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Kpler" sheetId="1" r:id="rId5"/>
    <sheet state="visible" name="2) Tracker" sheetId="2" r:id="rId6"/>
    <sheet state="visible" name="3) Sorter" sheetId="3" r:id="rId7"/>
    <sheet state="visible" name="Voyage days" sheetId="4" r:id="rId8"/>
    <sheet state="visible" name="Pertamina" sheetId="5" r:id="rId9"/>
    <sheet state="visible" name="4) COAs" sheetId="6" r:id="rId10"/>
    <sheet state="visible" name="India" sheetId="7" r:id="rId11"/>
    <sheet state="visible" name="Sheet48" sheetId="8" r:id="rId12"/>
    <sheet state="visible" name="2.1) Non active" sheetId="9" r:id="rId13"/>
    <sheet state="visible" name="Drydock" sheetId="10" r:id="rId14"/>
    <sheet state="visible" name="Iran, FS" sheetId="11" r:id="rId15"/>
    <sheet state="visible" name="Sheet43" sheetId="12" r:id="rId16"/>
    <sheet state="visible" name="Restricted ships" sheetId="13" r:id="rId17"/>
    <sheet state="visible" name="ScrubberDFPanamax" sheetId="14" r:id="rId18"/>
    <sheet state="visible" name="Name changes" sheetId="15" r:id="rId19"/>
    <sheet state="visible" name="Improvements-&gt;" sheetId="16" r:id="rId20"/>
    <sheet state="visible" name="Discharge ports" sheetId="17" r:id="rId21"/>
    <sheet state="visible" name="Vsl name chg" sheetId="18" r:id="rId22"/>
    <sheet state="visible" name="Highlighter" sheetId="19" r:id="rId23"/>
    <sheet state="visible" name="Loaded before" sheetId="20" r:id="rId24"/>
    <sheet state="visible" name="Datecheck" sheetId="21" r:id="rId25"/>
    <sheet state="visible" name="AGsorter" sheetId="22" r:id="rId26"/>
    <sheet state="visible" name="AGlineup2025" sheetId="23" r:id="rId27"/>
    <sheet state="visible" name="AGlineup2024" sheetId="24" r:id="rId28"/>
    <sheet state="visible" name="Control list" sheetId="25" r:id="rId29"/>
    <sheet state="visible" name="Old ships" sheetId="26" r:id="rId30"/>
    <sheet state="visible" name="Sheet53" sheetId="27" r:id="rId31"/>
  </sheets>
  <definedNames>
    <definedName hidden="1" localSheetId="0" name="_xlnm._FilterDatabase">'1) Kpler'!$E$1:$O$2031</definedName>
    <definedName hidden="1" localSheetId="1" name="_xlnm._FilterDatabase">'2) Tracker'!$A$2:$BP$339</definedName>
    <definedName hidden="1" localSheetId="2" name="_xlnm._FilterDatabase">'3) Sorter'!$A$3:$AO$345</definedName>
    <definedName hidden="1" localSheetId="11" name="_xlnm._FilterDatabase">Sheet43!$A$2:$L$975</definedName>
    <definedName hidden="1" localSheetId="21" name="_xlnm._FilterDatabase">AGsorter!$A$1:$E$1168</definedName>
    <definedName hidden="1" localSheetId="2" name="Z_3EFBF544_F75E_4295_A282_D81F667FBF23_.wvu.FilterData">'3) Sorter'!$C$3:$AL$192</definedName>
    <definedName hidden="1" localSheetId="2" name="Z_37987122_0908_4F5F_9880_AF64A2EE00B4_.wvu.FilterData">'3) Sorter'!$F$3:$AN$192</definedName>
  </definedNames>
  <calcPr/>
  <customWorkbookViews>
    <customWorkbookView activeSheetId="0" maximized="1" windowHeight="0" windowWidth="0" guid="{37987122-0908-4F5F-9880-AF64A2EE00B4}" name="Filter 2"/>
    <customWorkbookView activeSheetId="0" maximized="1" windowHeight="0" windowWidth="0" guid="{3EFBF544-F75E-4295-A282-D81F667FBF2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Astomos Venus last DD 06 Mar 2026 @ Yiulian Shipyard (DO NOT DELETE)
USWC-Far East shuttle
</t>
      </text>
    </comment>
    <comment authorId="0" ref="A8">
      <text>
        <t xml:space="preserve">IMO: 9255701 (2 x Gas Capricorn)</t>
      </text>
    </comment>
    <comment authorId="0" ref="P9">
      <text>
        <t xml:space="preserve">Kodaijisan last DD 28 Jan 2026 @ Yiulian Shipyard (DO NOT DELETE)
</t>
      </text>
    </comment>
    <comment authorId="0" ref="P10">
      <text>
        <t xml:space="preserve">Lantana Planet last DD 28 Dec 2025 @ Xiaoqian Island Shipyard (DO NOT DELETE)</t>
      </text>
    </comment>
    <comment authorId="0" ref="P19">
      <text>
        <t xml:space="preserve">Sumire Gas last DD 16 Mar 2026 @ Zhoushan Zinya Shipyard (DO NOT DELETE)
redelivered by Neptune to Astomos prior to DD Mar 2026
to be redelivered by Astomos to NS United mid 2026
to be delivered to Itochu on TC mid 2026</t>
      </text>
    </comment>
    <comment authorId="0" ref="E23">
      <text>
        <t xml:space="preserve">Registered Owner
XIANG L15 HK INTERNATIONAL
as of 22Oct2025</t>
      </text>
    </comment>
    <comment authorId="0" ref="E27">
      <text>
        <t xml:space="preserve">Registered Owner
XIANG L15 HK INTERNATIONAL
as of 22Oct2025</t>
      </text>
    </comment>
    <comment authorId="0" ref="P28">
      <text>
        <t xml:space="preserve">Shuttle run Yanbu to Suez</t>
      </text>
    </comment>
    <comment authorId="0" ref="G31">
      <text>
        <t xml:space="preserve">
2 x 1000 CBM</t>
      </text>
    </comment>
    <comment authorId="0" ref="P32">
      <text>
        <t xml:space="preserve">Hellas Sparta last DD 22 Feb 2026 @ Keppel Shipyard Singapore (DO NOT DELETE)</t>
      </text>
    </comment>
    <comment authorId="0" ref="P33">
      <text>
        <t xml:space="preserve">Shuttle run Yanbu to Suez</t>
      </text>
    </comment>
    <comment authorId="0" ref="A37">
      <text>
        <t xml:space="preserve">Ex Manifesto
</t>
      </text>
    </comment>
    <comment authorId="0" ref="P44">
      <text>
        <t xml:space="preserve">Gas Ares last DD 03 Mar 2026 @ Zhoushan Zhongtian shipyard (DO NOT DELETE)</t>
      </text>
    </comment>
    <comment authorId="0" ref="P47">
      <text>
        <t xml:space="preserve">Gas Gala last DD 24 Mar 2026 @ Keppel Shipyard Singapore (DO NOT DELETE)</t>
      </text>
    </comment>
    <comment authorId="0" ref="P49">
      <text>
        <t xml:space="preserve">Gas Ghazi last DD 01 Mar 2026 @ MMH Engineering shipyard, Pasir Gudang Malaysia (DO NOT DELETE)</t>
      </text>
    </comment>
    <comment authorId="0" ref="A61">
      <text>
        <t xml:space="preserve">On TC to SwissChemGas (3-5 years TC) ???</t>
      </text>
    </comment>
    <comment authorId="0" ref="I81">
      <text>
        <t xml:space="preserve">AG FOBs + 2/2 CFR per mth. Not interested in Pertamina due to internal issues</t>
      </text>
    </comment>
    <comment authorId="0" ref="I87">
      <text>
        <t xml:space="preserve">Relet more during summer, fix in more during winter
</t>
      </text>
    </comment>
    <comment authorId="0" ref="A93">
      <text>
        <t xml:space="preserve">E1's Gas Stella for 2 yrs (delivering in 1Q25) to ET</t>
      </text>
    </comment>
    <comment authorId="0" ref="A94">
      <text>
        <t xml:space="preserve">NS Dream has been fixed on TC to ETP in August
Will be redelivered to Astomos in mid 2026 - HC 15Jan2026
</t>
      </text>
    </comment>
    <comment authorId="0" ref="A95">
      <text>
        <t xml:space="preserve">Transpetrol's Perseverance V for 2 yrs (delivering in 1Q25) to ET</t>
      </text>
    </comment>
    <comment authorId="0" ref="A112">
      <text>
        <t xml:space="preserve">ex-Navigare Generosa</t>
      </text>
    </comment>
    <comment authorId="0" ref="I125">
      <text>
        <t xml:space="preserve">Using which own ship to load 23-26 May Prince Rupert ?</t>
      </text>
    </comment>
    <comment authorId="0" ref="P125">
      <text>
        <t xml:space="preserve">Sunny Vista last DD @ Daqianmen Shipyard on 25 Mar 2026 (DO NOT DELETE)
</t>
      </text>
    </comment>
    <comment authorId="0" ref="A136">
      <text>
        <t xml:space="preserve">to be renamed Future Japan</t>
      </text>
    </comment>
    <comment authorId="0" ref="P139">
      <text>
        <t xml:space="preserve">Shaamit last DD 21 Mar 2025 @ Zhoushan Xinya Shipyard (DO NOT DELETE)</t>
      </text>
    </comment>
    <comment authorId="0" ref="P140">
      <text>
        <t xml:space="preserve">last DD xx Mar 2025 @ xxx (DO NOT DELETE)</t>
      </text>
    </comment>
    <comment authorId="0" ref="A145">
      <text>
        <t xml:space="preserve">ex Gas Taurus
to be renamed Gas Quila
Cassa Mega Lautan PT are the owners, same as the Gas Camelot
</t>
      </text>
    </comment>
    <comment authorId="0" ref="P145">
      <text>
        <t xml:space="preserve">last DD 25 Dec 2025 @ Huangpu Shipyard (DO NOT DELETE)
DD then delivery to new Owners as per Ivan/Sinogas (BR 15Dec2025)</t>
      </text>
    </comment>
    <comment authorId="0" ref="P148">
      <text>
        <t xml:space="preserve">Bottom survey due in Oct 2025</t>
      </text>
    </comment>
    <comment authorId="0" ref="P149">
      <text>
        <t xml:space="preserve">last DD 24 Jan 2025 @ Zhoushan Zhongtian Shipyard (DO NOT DELETE)</t>
      </text>
    </comment>
    <comment authorId="0" ref="P150">
      <text>
        <t xml:space="preserve">last DD 29 Jan 2025 @ Lujia Shipyard (DO NOT DELETE)</t>
      </text>
    </comment>
    <comment authorId="0" ref="P152">
      <text>
        <t xml:space="preserve">last DD 24 Jan 2025 @ Zhoushan Zhongtian Shipyard (DO NOT DELETE)</t>
      </text>
    </comment>
    <comment authorId="0" ref="I165">
      <text>
        <t xml:space="preserve">1 US fob every 10 days
(3 per month)
2 AG fob every month
For USG: Indo + roughly 45 days later
For AG: Indo + 10 days later</t>
      </text>
    </comment>
    <comment authorId="0" ref="A181">
      <text>
        <t xml:space="preserve">Redelivered by Mercuria in mid Feb 2026</t>
      </text>
    </comment>
    <comment authorId="0" ref="A182">
      <text>
        <t xml:space="preserve">
Gas Tiffany
ex Shahrastani
will deliver to Itochu on TC on about Mar 2026 and will be on TC until the remainder of the TC period with KSS</t>
      </text>
    </comment>
    <comment authorId="0" ref="P182">
      <text>
        <t xml:space="preserve">last DD 25 Feb 2026 @ Cosco Zhoushan Shipyard (DO NOT DELETE)
DD, one more voy then del to Itochu for TC ~May 2026</t>
      </text>
    </comment>
    <comment authorId="0" ref="A183">
      <text>
        <t xml:space="preserve">Retrofitted with a scrubber during Dec 2025 drydock
- BR 15Dec2025</t>
      </text>
    </comment>
    <comment authorId="0" ref="A186">
      <text>
        <t xml:space="preserve">ex Aeolian Pearl</t>
      </text>
    </comment>
    <comment authorId="0" ref="A210">
      <text>
        <t xml:space="preserve">ML: Shuttle Bethioua to Aygaz's terminals</t>
      </text>
    </comment>
    <comment authorId="0" ref="A211">
      <text>
        <t xml:space="preserve">Can't call AG. Now Swiss 60-90 day TC  del Singapore 08-09 July
</t>
      </text>
    </comment>
    <comment authorId="0" ref="A220">
      <text>
        <t xml:space="preserve">ML: Shuttle USG - Tuxpan/Omoa</t>
      </text>
    </comment>
    <comment authorId="0" ref="A221">
      <text>
        <t xml:space="preserve">ML: Shuttle USG - Pajaritos</t>
      </text>
    </comment>
    <comment authorId="0" ref="A222">
      <text>
        <t xml:space="preserve">ML: Shuttle USG - Tuxpan/Omoa</t>
      </text>
    </comment>
    <comment authorId="0" ref="P234">
      <text>
        <t xml:space="preserve">(Trader Ship) </t>
      </text>
    </comment>
    <comment authorId="0" ref="P237">
      <text>
        <t xml:space="preserve">(Trader Ship) </t>
      </text>
    </comment>
    <comment authorId="0" ref="P241">
      <text>
        <t xml:space="preserve">(Trader Ship) </t>
      </text>
    </comment>
    <comment authorId="0" ref="P242">
      <text>
        <t xml:space="preserve">(Trader Ship) </t>
      </text>
    </comment>
    <comment authorId="0" ref="P243">
      <text>
        <t xml:space="preserve">(Trader Ship) </t>
      </text>
    </comment>
    <comment authorId="0" ref="P245">
      <text>
        <t xml:space="preserve">(Trader Ship) </t>
      </text>
    </comment>
    <comment authorId="0" ref="G271">
      <text>
        <t xml:space="preserve">
2 x 250 CBM</t>
      </text>
    </comment>
    <comment authorId="0" ref="G272">
      <text>
        <t xml:space="preserve">
2 x 1000 CBM</t>
      </text>
    </comment>
    <comment authorId="0" ref="P275">
      <text>
        <t xml:space="preserve">Berge Ningbo last DD 08 Jan 2026 @ Drydocks World Pertama (DO NOT DELETE)</t>
      </text>
    </comment>
    <comment authorId="0" ref="P277">
      <text>
        <t xml:space="preserve">BW Avior last DD 12 Mar 2026 @ Zhoushan Xinya Shipyard (DO NOT DELETE)</t>
      </text>
    </comment>
    <comment authorId="0" ref="P278">
      <text>
        <t xml:space="preserve">BW Brage last DD 14 Apr 2026 @ Zhoushan Xinya Shipyard (DO NOT DELETE)</t>
      </text>
    </comment>
    <comment authorId="0" ref="P285">
      <text>
        <t xml:space="preserve">BW Loyalty last DD 25 Feb 2026 @ Dubai Dry Docks (DO NOT DELETE)</t>
      </text>
    </comment>
    <comment authorId="0" ref="A288">
      <text>
        <t xml:space="preserve">TC to Geogas from Mar 2026 onwards, NFD</t>
      </text>
    </comment>
    <comment authorId="0" ref="P288">
      <text>
        <t xml:space="preserve">Geogas TC 60-90 days
will do another USG-EAF voyage and will finish around Mar 2026 - BR 19Dec2025
Geogas TC extended, no further details - BR 04Mar2026
</t>
      </text>
    </comment>
    <comment authorId="0" ref="P289">
      <text>
        <t xml:space="preserve">BW Njord last DD 23 Feb 2026 @ Dinghai shipyard (DO NOT DELETE)</t>
      </text>
    </comment>
    <comment authorId="0" ref="P293">
      <text>
        <t xml:space="preserve">BW Pine last DD 17 Mar 2026 @ Pax Ocean Batam shipyard (DO NOT DELETE)</t>
      </text>
    </comment>
    <comment authorId="0" ref="P295">
      <text>
        <t xml:space="preserve">BW Var last DD 12 Mar 2026 @ Zhoushan Xinya shipyard (DO NOT DELETE)</t>
      </text>
    </comment>
    <comment authorId="0" ref="A301">
      <text>
        <t xml:space="preserve">renewed on TC by 1 year i.e. until Jan 2027</t>
      </text>
    </comment>
    <comment authorId="0" ref="I302">
      <text>
        <t xml:space="preserve">22-23 Jun: OE
24-25 Jun: BWPS COA
</t>
      </text>
    </comment>
    <comment authorId="0" ref="P325">
      <text>
        <t xml:space="preserve">previously was drifing off Houston 05 Mar, PNC has issue with ballast water tank </t>
      </text>
    </comment>
    <comment authorId="0" ref="P327">
      <text>
        <t xml:space="preserve">previously was drifing off Houston 05 Mar, PNC has issue with ballast water tank </t>
      </text>
    </comment>
    <comment authorId="0" ref="I329">
      <text>
        <t xml:space="preserve">Want to TC in as always</t>
      </text>
    </comment>
    <comment authorId="0" ref="P337">
      <text>
        <t xml:space="preserve">Sansovino last DD 08 Mar 2026 @ Cosco Zhoushan Shipyard (DO NOT DELETE)
</t>
      </text>
    </comment>
    <comment authorId="0" ref="P338">
      <text>
        <t xml:space="preserve">Sunny Joy last DD 24 Oct 2025 @ Yiulian Shipyard (DO NOT DELETE)
Egyptian General Petroleum Corporation floating storage TC from Nov 2025 (1+1)
</t>
      </text>
    </comment>
    <comment authorId="0" ref="A339">
      <text>
        <t xml:space="preserve">ex Bella Victoria</t>
      </text>
    </comment>
    <comment authorId="0" ref="A341">
      <text>
        <t xml:space="preserve">Sold by SK Gas to Chinese owners del Mar 2026
Ex Gas Friend, renamed Gas Mia
</t>
      </text>
    </comment>
    <comment authorId="0" ref="P341">
      <text>
        <t xml:space="preserve">Gas Friend/Gas Mia last DD 19 Mar 2026 @ Tsing Yi Shipyard (DO NOT DELETE)</t>
      </text>
    </comment>
    <comment authorId="0" ref="P342">
      <text>
        <t xml:space="preserve">Lycaste Peace last DD 19 Jan 2026 @ Xiaoqian Shipyard (DO NOT DELETE)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S3">
      <text>
        <t xml:space="preserve">Wanhua, Total, BGN, BWPS | Gunvor, Vitol, </t>
      </text>
    </comment>
    <comment authorId="0" ref="T3">
      <text>
        <t xml:space="preserve">Gunvor, Vitol, Chevron, Augusta
</t>
      </text>
    </comment>
    <comment authorId="0" ref="W3">
      <text>
        <t xml:space="preserve">Inpex, Total, Petrochina,  BP.
Search for vessels open Botany and Indo
SG to Dampier is 5 days 
Dampier 1 day earlier ETA than Darwin from Singapore
SG to P. Bonython vs SG to Darwin 
is 5 days later
</t>
      </text>
    </comment>
    <comment authorId="0" ref="X3">
      <text>
        <t xml:space="preserve">BP, Gyxis, Astomos?</t>
      </text>
    </comment>
    <comment authorId="0" ref="V162">
      <text>
        <t xml:space="preserve">Nick/Petredec said that the S types and the Panamaxes are not accepted at Dampier, he thinks that the R types might be ok
Gas Tiffany (ex Shahrastani)
Kedarnath (ex Spread Eagle)
Navigare Gaia (ex Kedarnath)
Sansovino
Secreto
Shaamit
Shergar
Sinndar
Silvio
Sunstar
- BR 07Nov2025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
      <text>
        <t xml:space="preserve">$52 according to Kenneth of Chinagas
last voyage in Dec 2025 or Jan 2026</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98">
      <text>
        <t xml:space="preserve">Foward to mid 44.05m 
* need to adjust</t>
      </text>
    </comment>
    <comment authorId="0" ref="I146">
      <text>
        <t xml:space="preserve">Relet more during summer, fix in more during winter
</t>
      </text>
    </comment>
    <comment authorId="0" ref="H147">
      <text>
        <t xml:space="preserve">forward to mid 44.5
need to adjust </t>
      </text>
    </comment>
    <comment authorId="0" ref="H162">
      <text>
        <t xml:space="preserve">Aft to mid 44.9m
need to adjust
</t>
      </text>
    </comment>
    <comment authorId="0" ref="H164">
      <text>
        <t xml:space="preserve">need to adjust forward to Mid length
</t>
      </text>
    </comment>
    <comment authorId="0" ref="H165">
      <text>
        <t xml:space="preserve">forward to mid 44.85m
need to adjust
</t>
      </text>
    </comment>
    <comment authorId="0" ref="H186">
      <text>
        <t xml:space="preserve">foward to mid 44.123m
</t>
      </text>
    </comment>
    <comment authorId="0" ref="H205">
      <text>
        <t xml:space="preserve">Foward to mid 44.05m 
* need to adjust</t>
      </text>
    </comment>
    <comment authorId="0" ref="H209">
      <text>
        <t xml:space="preserve">Foward to mid 44.85m
</t>
      </text>
    </comment>
    <comment authorId="0" ref="H210">
      <text>
        <t xml:space="preserve">foward to mid 44.85</t>
      </text>
    </comment>
    <comment authorId="0" ref="H211">
      <text>
        <t xml:space="preserve">foward to mid 44.85</t>
      </text>
    </comment>
    <comment authorId="0" ref="H224">
      <text>
        <t xml:space="preserve">forward to mid 44.48m
 need to adjust
</t>
      </text>
    </comment>
    <comment authorId="0" ref="H251">
      <text>
        <t xml:space="preserve">forward to mid 44.51m
</t>
      </text>
    </comment>
    <comment authorId="0" ref="H318">
      <text>
        <t xml:space="preserve">forward to mid 44.85
need to adjust
</t>
      </text>
    </comment>
    <comment authorId="0" ref="H319">
      <text>
        <t xml:space="preserve">forward to mid 44.85
need to adjust</t>
      </text>
    </comment>
    <comment authorId="0" ref="H339">
      <text>
        <t xml:space="preserve">forward to mid 44.85m
need to adjust
</t>
      </text>
    </comment>
    <comment authorId="0" ref="H371">
      <text>
        <t xml:space="preserve">forward to mid 44.85
need to adjust
</t>
      </text>
    </comment>
    <comment authorId="0" ref="H374">
      <text>
        <t xml:space="preserve">forward to mid 44.85m
need to adjust</t>
      </text>
    </comment>
    <comment authorId="0" ref="H375">
      <text>
        <t xml:space="preserve">forward to mid 44.85m
need to adjust
</t>
      </text>
    </comment>
    <comment authorId="0" ref="H381">
      <text>
        <t xml:space="preserve">forward to mid 44.85m
need to adjust
</t>
      </text>
    </comment>
    <comment authorId="0" ref="H384">
      <text>
        <t xml:space="preserve">Foward to mid 44.45m, need to adjust
</t>
      </text>
    </comment>
    <comment authorId="0" ref="H392">
      <text>
        <t xml:space="preserve">forward to mid 44.46m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1">
      <text>
        <t xml:space="preserve">Aft to mid 44.9m
need to adjust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forward to mid 44.94m
need to adjust
</t>
      </text>
    </comment>
    <comment authorId="0" ref="G11">
      <text>
        <t xml:space="preserve">forward to mid 44.6m
need to adjust
</t>
      </text>
    </comment>
    <comment authorId="0" ref="G16">
      <text>
        <t xml:space="preserve">forward to mid 44.6m
need to adjust
</t>
      </text>
    </comment>
    <comment authorId="0" ref="G19">
      <text>
        <t xml:space="preserve">forward to mid 44.6m
need to adjust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5">
      <text>
        <t xml:space="preserve">Registered Owner
XIANG L15 HK INTERNATIONAL
as of 22Oct2025</t>
      </text>
    </comment>
    <comment authorId="0" ref="E26">
      <text>
        <t xml:space="preserve">Registered Owner
XIANG L15 HK INTERNATIONAL
as of 22Oct2025</t>
      </text>
    </comment>
    <comment authorId="0" ref="A33">
      <text>
        <t xml:space="preserve">Ex Manifesto
</t>
      </text>
    </comment>
    <comment authorId="0" ref="I63">
      <text>
        <t xml:space="preserve">WAF cargoes per month?</t>
      </text>
    </comment>
    <comment authorId="0" ref="I78">
      <text>
        <t xml:space="preserve">Relet more during summer, fix in more during winter
</t>
      </text>
    </comment>
    <comment authorId="0" ref="I114">
      <text>
        <t xml:space="preserve">Using which own ship to load 23-26 May Prince Rupert ?</t>
      </text>
    </comment>
    <comment authorId="0" ref="I153">
      <text>
        <t xml:space="preserve">1 US fob every 10 days
(3 per month)
2 AG fob every month</t>
      </text>
    </comment>
    <comment authorId="0" ref="I289">
      <text>
        <t xml:space="preserve">22-23 Jun: OE
24-25 Jun: BWPS COA
</t>
      </text>
    </comment>
    <comment authorId="0" ref="I317">
      <text>
        <t xml:space="preserve">Want to TC in as always</t>
      </text>
    </comment>
  </commentList>
</comments>
</file>

<file path=xl/sharedStrings.xml><?xml version="1.0" encoding="utf-8"?>
<sst xmlns="http://schemas.openxmlformats.org/spreadsheetml/2006/main" count="25898" uniqueCount="5835">
  <si>
    <t>.</t>
  </si>
  <si>
    <t>Name</t>
  </si>
  <si>
    <t>Capacity (m3)</t>
  </si>
  <si>
    <t>Deadweight</t>
  </si>
  <si>
    <t>State</t>
  </si>
  <si>
    <t>Status</t>
  </si>
  <si>
    <t>MMSI</t>
  </si>
  <si>
    <t>IMO</t>
  </si>
  <si>
    <t>Next destination</t>
  </si>
  <si>
    <t>Next destination ETA</t>
  </si>
  <si>
    <t>Loaded</t>
  </si>
  <si>
    <t>LAST DOWNLOADED</t>
  </si>
  <si>
    <t>According to Kpler:</t>
  </si>
  <si>
    <t>From '2) VLGC' + "India, Iran, FS"</t>
  </si>
  <si>
    <t>Not In Kpler List</t>
  </si>
  <si>
    <t>VLEC Check &gt; 93k cbm</t>
  </si>
  <si>
    <t>Not in Kpler. In Sorter</t>
  </si>
  <si>
    <t>In Kpler. Not in sorter</t>
  </si>
  <si>
    <t>From 2) Tracker</t>
  </si>
  <si>
    <t>Al Ain</t>
  </si>
  <si>
    <t>loaded</t>
  </si>
  <si>
    <t>Active</t>
  </si>
  <si>
    <t>Actively trading:</t>
  </si>
  <si>
    <t>NEWSHIPS?</t>
  </si>
  <si>
    <t>From 3) Sorter</t>
  </si>
  <si>
    <t>Al Maryah</t>
  </si>
  <si>
    <t>ballast</t>
  </si>
  <si>
    <t>Date</t>
  </si>
  <si>
    <t>Time</t>
  </si>
  <si>
    <t>By:</t>
  </si>
  <si>
    <t>Soon-to-be delivered</t>
  </si>
  <si>
    <t xml:space="preserve">Missing: </t>
  </si>
  <si>
    <t>Al Salam</t>
  </si>
  <si>
    <t>GP</t>
  </si>
  <si>
    <t>VLEC</t>
  </si>
  <si>
    <t>In 2) but not in 3)</t>
  </si>
  <si>
    <t>In 3) but not in 2)</t>
  </si>
  <si>
    <t>Al Wukir</t>
  </si>
  <si>
    <t>Houston</t>
  </si>
  <si>
    <t>Albert</t>
  </si>
  <si>
    <t>Pajaritos</t>
  </si>
  <si>
    <t>Albert Ii</t>
  </si>
  <si>
    <t>Albert Iii</t>
  </si>
  <si>
    <t>Energy Transfer Nederland</t>
  </si>
  <si>
    <t>Newbuilds</t>
  </si>
  <si>
    <t>Apollo Ocean</t>
  </si>
  <si>
    <t>Advario Oman</t>
  </si>
  <si>
    <t>1) Manual check on all the under constructions with newbuild list</t>
  </si>
  <si>
    <t>Aquamarine Progress</t>
  </si>
  <si>
    <t>Aquamarine Progress Ii</t>
  </si>
  <si>
    <t>Astir Thuban</t>
  </si>
  <si>
    <t>Astomos Earth</t>
  </si>
  <si>
    <t>Freeport Texas</t>
  </si>
  <si>
    <t>Daily</t>
  </si>
  <si>
    <t>Astomos Venus</t>
  </si>
  <si>
    <t>WA -&gt; Position lists</t>
  </si>
  <si>
    <t>Astra</t>
  </si>
  <si>
    <t>1) Sorter to align with position lists</t>
  </si>
  <si>
    <t>Astram</t>
  </si>
  <si>
    <t>Khor Fakkan Anchorage</t>
  </si>
  <si>
    <t>2) VL and Product operations info to be reflected</t>
  </si>
  <si>
    <t>Atlantic Victory</t>
  </si>
  <si>
    <t>3) Haldia / India line up to be updated</t>
  </si>
  <si>
    <t>Atlantic Voyager</t>
  </si>
  <si>
    <t>Ningbo Area</t>
  </si>
  <si>
    <t>Aura</t>
  </si>
  <si>
    <t>floatingStorage</t>
  </si>
  <si>
    <t>Guangzhou</t>
  </si>
  <si>
    <t>Then use Kpler AIS to update</t>
  </si>
  <si>
    <t>Aurora</t>
  </si>
  <si>
    <t xml:space="preserve"> </t>
  </si>
  <si>
    <t>Aurora Guardian</t>
  </si>
  <si>
    <t>underConstruction</t>
  </si>
  <si>
    <t>Under Construction</t>
  </si>
  <si>
    <t>Axis River</t>
  </si>
  <si>
    <t>RIPET</t>
  </si>
  <si>
    <t>Axon I</t>
  </si>
  <si>
    <t>Sharjah</t>
  </si>
  <si>
    <t>Ayame</t>
  </si>
  <si>
    <t>Badrinath</t>
  </si>
  <si>
    <t>Mangalore</t>
  </si>
  <si>
    <t>Banian</t>
  </si>
  <si>
    <t>Bao Yu</t>
  </si>
  <si>
    <t>Baynounah</t>
  </si>
  <si>
    <t>Bella Niagara</t>
  </si>
  <si>
    <t>Bellavista Explorer</t>
  </si>
  <si>
    <t>FREP Plant</t>
  </si>
  <si>
    <t>Berge Nantong</t>
  </si>
  <si>
    <t>Berge Ningbo</t>
  </si>
  <si>
    <t>Port Elizabeth</t>
  </si>
  <si>
    <t>Bonneville</t>
  </si>
  <si>
    <t>Boreal Pioneer</t>
  </si>
  <si>
    <t>Boreal Voyager</t>
  </si>
  <si>
    <t>Wenzhou</t>
  </si>
  <si>
    <t>Botan</t>
  </si>
  <si>
    <t>Singapore</t>
  </si>
  <si>
    <t>Brizo</t>
  </si>
  <si>
    <t>Bw Aries</t>
  </si>
  <si>
    <t>Bw Avior</t>
  </si>
  <si>
    <t>Kashima</t>
  </si>
  <si>
    <t>Bw Balder</t>
  </si>
  <si>
    <t>Panama Canal</t>
  </si>
  <si>
    <t>Bw Birch</t>
  </si>
  <si>
    <t>Ruwais Refinery</t>
  </si>
  <si>
    <t>Bw Brage</t>
  </si>
  <si>
    <t>Bw Breeze</t>
  </si>
  <si>
    <t>Kalbut</t>
  </si>
  <si>
    <t>Bw Capella</t>
  </si>
  <si>
    <t>Ferndale</t>
  </si>
  <si>
    <t>Bw Carina</t>
  </si>
  <si>
    <t>Bw Chinook</t>
  </si>
  <si>
    <t>Bw Elm</t>
  </si>
  <si>
    <t>Bw Freyja</t>
  </si>
  <si>
    <t>Bw Frigg</t>
  </si>
  <si>
    <t>Mohammedia Refinery</t>
  </si>
  <si>
    <t>Bw Gemini</t>
  </si>
  <si>
    <t>Bw Kizoku</t>
  </si>
  <si>
    <t>Bw Kyoto</t>
  </si>
  <si>
    <t>Bw Leo</t>
  </si>
  <si>
    <t>Bw Levant</t>
  </si>
  <si>
    <t>Bw Libra</t>
  </si>
  <si>
    <t>Lianyungang</t>
  </si>
  <si>
    <t>Bw Loyalty</t>
  </si>
  <si>
    <t>Bw Magellan</t>
  </si>
  <si>
    <t>Ennore Port</t>
  </si>
  <si>
    <t>Bw Malacca</t>
  </si>
  <si>
    <t>Bw Messina</t>
  </si>
  <si>
    <t>Energy Transfer Marcus Hook</t>
  </si>
  <si>
    <t>Bw Mindoro</t>
  </si>
  <si>
    <t>Bw Mistral</t>
  </si>
  <si>
    <t>Ko Sichang</t>
  </si>
  <si>
    <t>Bw Monsoon</t>
  </si>
  <si>
    <t>Zanzibar</t>
  </si>
  <si>
    <t>Bw Njord</t>
  </si>
  <si>
    <t>PADD 3</t>
  </si>
  <si>
    <t>Bw Oak</t>
  </si>
  <si>
    <t>Kandla</t>
  </si>
  <si>
    <t>Bw Orion</t>
  </si>
  <si>
    <t>Bw Pampero</t>
  </si>
  <si>
    <t>Bw Passat</t>
  </si>
  <si>
    <t>Port Louis</t>
  </si>
  <si>
    <t>Bw Pine</t>
  </si>
  <si>
    <t>Bw Polaris</t>
  </si>
  <si>
    <t>Bw Rigel</t>
  </si>
  <si>
    <t>Bw Sirocco</t>
  </si>
  <si>
    <t>Yeosu</t>
  </si>
  <si>
    <t>Bw Tokyo</t>
  </si>
  <si>
    <t>Incheon LPG</t>
  </si>
  <si>
    <t>Bw Tucana</t>
  </si>
  <si>
    <t>Cristobal Light.</t>
  </si>
  <si>
    <t>Bw Tyr</t>
  </si>
  <si>
    <t>Bw Var</t>
  </si>
  <si>
    <t>Bw Volans</t>
  </si>
  <si>
    <t>Bw Yushi</t>
  </si>
  <si>
    <t>Oiltank. Merak</t>
  </si>
  <si>
    <t>Calluna Gas</t>
  </si>
  <si>
    <t>Captain John Np</t>
  </si>
  <si>
    <t>Captain Markos</t>
  </si>
  <si>
    <t>Caravelle</t>
  </si>
  <si>
    <t>Celeste</t>
  </si>
  <si>
    <t>Fujairah</t>
  </si>
  <si>
    <t>Challenger</t>
  </si>
  <si>
    <t>Valletta</t>
  </si>
  <si>
    <t>Chang Xing Yuan</t>
  </si>
  <si>
    <t>Chaparral</t>
  </si>
  <si>
    <t>Cheyenne</t>
  </si>
  <si>
    <t>Clermont</t>
  </si>
  <si>
    <t>Clipper Explorer</t>
  </si>
  <si>
    <t>Clipper Freeport</t>
  </si>
  <si>
    <t>Total Daesan Hanwha Refinery</t>
  </si>
  <si>
    <t>Clipper Galiot</t>
  </si>
  <si>
    <t>Clipper Galleon</t>
  </si>
  <si>
    <t>Clipper Gannet</t>
  </si>
  <si>
    <t>Clipper Genesis</t>
  </si>
  <si>
    <t>Clipper Geneva</t>
  </si>
  <si>
    <t>Clipper Grace</t>
  </si>
  <si>
    <t>Clipper Guardian</t>
  </si>
  <si>
    <t>Clipper Posh</t>
  </si>
  <si>
    <t>Clipper Quito</t>
  </si>
  <si>
    <t>Clipper Valiant</t>
  </si>
  <si>
    <t>Clipper Vanguard</t>
  </si>
  <si>
    <t>Clipper Viking</t>
  </si>
  <si>
    <t>Clipper Voyager</t>
  </si>
  <si>
    <t>Sinopec Zhanjiang Dongxing Refinery</t>
  </si>
  <si>
    <t>Clipper Wilma</t>
  </si>
  <si>
    <t>Cobra</t>
  </si>
  <si>
    <t>Comet</t>
  </si>
  <si>
    <t>Commander</t>
  </si>
  <si>
    <t>China</t>
  </si>
  <si>
    <t>Commodore</t>
  </si>
  <si>
    <t>Chiba</t>
  </si>
  <si>
    <t>Concorde</t>
  </si>
  <si>
    <t>Constellation</t>
  </si>
  <si>
    <t>Sendai Refinery</t>
  </si>
  <si>
    <t>Constitution</t>
  </si>
  <si>
    <t>Continental</t>
  </si>
  <si>
    <t>Copernicus</t>
  </si>
  <si>
    <t>Corfu Gas</t>
  </si>
  <si>
    <t>Corsair</t>
  </si>
  <si>
    <t>Corvette</t>
  </si>
  <si>
    <t>Cougar</t>
  </si>
  <si>
    <t>Cratis</t>
  </si>
  <si>
    <t>Cresques</t>
  </si>
  <si>
    <t>Cristobal</t>
  </si>
  <si>
    <t>Crystal Angel</t>
  </si>
  <si>
    <t>Crystal Asteria</t>
  </si>
  <si>
    <t>Crystal Explorer</t>
  </si>
  <si>
    <t>Crystal Oasis</t>
  </si>
  <si>
    <t>Crystal Odyssey</t>
  </si>
  <si>
    <t>Jorf Lasfar</t>
  </si>
  <si>
    <t>Crystal River</t>
  </si>
  <si>
    <t>Galle</t>
  </si>
  <si>
    <t>Crystal Sunrise</t>
  </si>
  <si>
    <t>Crystal Trinity</t>
  </si>
  <si>
    <t>Da Li</t>
  </si>
  <si>
    <t>Danisa</t>
  </si>
  <si>
    <t>Danube River</t>
  </si>
  <si>
    <t>Danuta I</t>
  </si>
  <si>
    <t>Delma</t>
  </si>
  <si>
    <t>Djanet</t>
  </si>
  <si>
    <t>Arun</t>
  </si>
  <si>
    <t>Dom Explorer</t>
  </si>
  <si>
    <t>Dominator L</t>
  </si>
  <si>
    <t>Doraji Gas</t>
  </si>
  <si>
    <t>Dorset</t>
  </si>
  <si>
    <t>Double In</t>
  </si>
  <si>
    <t>Durham</t>
  </si>
  <si>
    <t>Mizushima</t>
  </si>
  <si>
    <t>Eiger Explorer</t>
  </si>
  <si>
    <t>Elly</t>
  </si>
  <si>
    <t>Eneos Mirai</t>
  </si>
  <si>
    <t>Eneos Wisdom</t>
  </si>
  <si>
    <t>Eastern Asia</t>
  </si>
  <si>
    <t>Energia Grandeur</t>
  </si>
  <si>
    <t>Energia Soleil</t>
  </si>
  <si>
    <t>Eternal Glory</t>
  </si>
  <si>
    <t>Exonave</t>
  </si>
  <si>
    <t>Fas Gas</t>
  </si>
  <si>
    <t>Flanders Innovation</t>
  </si>
  <si>
    <t>Flanders Pioneer</t>
  </si>
  <si>
    <t>Fogas</t>
  </si>
  <si>
    <t>Fotis</t>
  </si>
  <si>
    <t>Freycinet</t>
  </si>
  <si>
    <t>Fritzi N</t>
  </si>
  <si>
    <t>Future Ace</t>
  </si>
  <si>
    <t>Future Diamond</t>
  </si>
  <si>
    <t>Sakai Mitsui Chemicals</t>
  </si>
  <si>
    <t>Future Energy</t>
  </si>
  <si>
    <t>Future Explorer</t>
  </si>
  <si>
    <t>Future Japan</t>
  </si>
  <si>
    <t>G Arete</t>
  </si>
  <si>
    <t>Ulsan</t>
  </si>
  <si>
    <t>G Swan</t>
  </si>
  <si>
    <t>G. Dolce</t>
  </si>
  <si>
    <t>G. Forever</t>
  </si>
  <si>
    <t>G. Paragon</t>
  </si>
  <si>
    <t>G. Spirit</t>
  </si>
  <si>
    <t>SK Gas Pyeongtaek</t>
  </si>
  <si>
    <t>Gafus</t>
  </si>
  <si>
    <t>Galaxy River</t>
  </si>
  <si>
    <t>Galvin</t>
  </si>
  <si>
    <t>Gardian</t>
  </si>
  <si>
    <t>Gas Al Ahmadiah</t>
  </si>
  <si>
    <t>Gas Al Kuwait Ii</t>
  </si>
  <si>
    <t>Gas Al Mubarakiah</t>
  </si>
  <si>
    <t>Yanbu NGL &amp; Yasref</t>
  </si>
  <si>
    <t>Gas Al Negeh</t>
  </si>
  <si>
    <t>Gas Alkhaleej</t>
  </si>
  <si>
    <t>Gas Alyssa</t>
  </si>
  <si>
    <t>Balikpapan</t>
  </si>
  <si>
    <t>Gas Amethyst</t>
  </si>
  <si>
    <t>Nagoya</t>
  </si>
  <si>
    <t>Gas Aquarius</t>
  </si>
  <si>
    <t>Gas Arcturus</t>
  </si>
  <si>
    <t>Gas Ares</t>
  </si>
  <si>
    <t>Gas Aries</t>
  </si>
  <si>
    <t>Gas Barbarossa</t>
  </si>
  <si>
    <t>Port Said</t>
  </si>
  <si>
    <t>Gas Benua</t>
  </si>
  <si>
    <t>Gas Bombax</t>
  </si>
  <si>
    <t>Cape Town</t>
  </si>
  <si>
    <t>Gas Camelot</t>
  </si>
  <si>
    <t>Gas Capricorn</t>
  </si>
  <si>
    <t>Wanhua Yantai NGL Terminal</t>
  </si>
  <si>
    <t>Gas Concept</t>
  </si>
  <si>
    <t>Oman</t>
  </si>
  <si>
    <t>Gas Endurance</t>
  </si>
  <si>
    <t>Gas Felicity</t>
  </si>
  <si>
    <t>Gas Gabriela</t>
  </si>
  <si>
    <t>PV Vung Tau</t>
  </si>
  <si>
    <t>Gas Gala</t>
  </si>
  <si>
    <t>Gas Garnet</t>
  </si>
  <si>
    <t>Gas Gemini</t>
  </si>
  <si>
    <t>Gas Ghazi</t>
  </si>
  <si>
    <t>Gas Ivory</t>
  </si>
  <si>
    <t>Gas Jupiter</t>
  </si>
  <si>
    <t>Gas Justesen</t>
  </si>
  <si>
    <t>Gas Kaiserin</t>
  </si>
  <si>
    <t>Gas King</t>
  </si>
  <si>
    <t>Gas Lagoon</t>
  </si>
  <si>
    <t>Gas Leo</t>
  </si>
  <si>
    <t>Gas Libra</t>
  </si>
  <si>
    <t>Terneuzen</t>
  </si>
  <si>
    <t>Gas Marakua</t>
  </si>
  <si>
    <t>Gas Mia</t>
  </si>
  <si>
    <t>Gas Neptune</t>
  </si>
  <si>
    <t>Gas Nouveau Bauhinia</t>
  </si>
  <si>
    <t>Panama</t>
  </si>
  <si>
    <t>Gas Nouveau Crystal</t>
  </si>
  <si>
    <t>Gas Pisces</t>
  </si>
  <si>
    <t>Gas Planet</t>
  </si>
  <si>
    <t>Gas Power</t>
  </si>
  <si>
    <t>Gas Queen</t>
  </si>
  <si>
    <t>Gas Quila</t>
  </si>
  <si>
    <t>Aomori</t>
  </si>
  <si>
    <t>Gas Sagittarius</t>
  </si>
  <si>
    <t>Gas Scorpio</t>
  </si>
  <si>
    <t>Gas Stella</t>
  </si>
  <si>
    <t>Stenungsund</t>
  </si>
  <si>
    <t>Gas Strength</t>
  </si>
  <si>
    <t>Gas Summit</t>
  </si>
  <si>
    <t>Bay Area Houston</t>
  </si>
  <si>
    <t>Gas Tiffany</t>
  </si>
  <si>
    <t>Gas Umm Al Rowaisat</t>
  </si>
  <si>
    <t>Gas Vela</t>
  </si>
  <si>
    <t>Gas Venus</t>
  </si>
  <si>
    <t>Gas Virgo</t>
  </si>
  <si>
    <t>Gas Wanaka</t>
  </si>
  <si>
    <t>Gas Wisdom</t>
  </si>
  <si>
    <t>Gas Young</t>
  </si>
  <si>
    <t>Gas Zenith</t>
  </si>
  <si>
    <t>Gaz Gms</t>
  </si>
  <si>
    <t>Gaz Imperial</t>
  </si>
  <si>
    <t>Genesis River</t>
  </si>
  <si>
    <t>Genevi</t>
  </si>
  <si>
    <t>Global Vivian</t>
  </si>
  <si>
    <t>Khor Al Zubair Port</t>
  </si>
  <si>
    <t>Globe Atlas</t>
  </si>
  <si>
    <t>Globe Frontier</t>
  </si>
  <si>
    <t>Jinshan Caojing</t>
  </si>
  <si>
    <t>Globe Iris</t>
  </si>
  <si>
    <t>Globe Polaris</t>
  </si>
  <si>
    <t>Bonaire Sint Eustatius</t>
  </si>
  <si>
    <t>Gong De Tian</t>
  </si>
  <si>
    <t>Green Sachi</t>
  </si>
  <si>
    <t>Mina al-Ahmadi</t>
  </si>
  <si>
    <t>Green Sanvi</t>
  </si>
  <si>
    <t>Mundra</t>
  </si>
  <si>
    <t>Green Sarita</t>
  </si>
  <si>
    <t>Green Shakti</t>
  </si>
  <si>
    <t>Haana</t>
  </si>
  <si>
    <t>Hallasan Explorer</t>
  </si>
  <si>
    <t>Hannibal</t>
  </si>
  <si>
    <t>Hanwha Ocean</t>
  </si>
  <si>
    <t>Harzand</t>
  </si>
  <si>
    <t>Imari</t>
  </si>
  <si>
    <t>Hellas Bliss</t>
  </si>
  <si>
    <t>Hellas Dynasty</t>
  </si>
  <si>
    <t>Antwerp</t>
  </si>
  <si>
    <t>Hellas Gladiator</t>
  </si>
  <si>
    <t>Hellas Hercules</t>
  </si>
  <si>
    <t>Escravos Offshore Terminal</t>
  </si>
  <si>
    <t>Hellas Poseidon</t>
  </si>
  <si>
    <t>Hellas Prosperity</t>
  </si>
  <si>
    <t>Hellas Sparta</t>
  </si>
  <si>
    <t>Hellas Voyager</t>
  </si>
  <si>
    <t>Henbit</t>
  </si>
  <si>
    <t>Hermit</t>
  </si>
  <si>
    <t>Hh Glory</t>
  </si>
  <si>
    <t>Hisui</t>
  </si>
  <si>
    <t>IOC Haldia Refinery</t>
  </si>
  <si>
    <t>Hls Amber</t>
  </si>
  <si>
    <t>Hls Blue Sapphire</t>
  </si>
  <si>
    <t>Hls Citrine</t>
  </si>
  <si>
    <t>Richards Bay</t>
  </si>
  <si>
    <t>Hls Diamond</t>
  </si>
  <si>
    <t>Hls Emerald</t>
  </si>
  <si>
    <t>Hls Fluorite</t>
  </si>
  <si>
    <t>Horizon Tangier Terminal</t>
  </si>
  <si>
    <t>Humorist</t>
  </si>
  <si>
    <t>Nanrong Petrochemical Terminal</t>
  </si>
  <si>
    <t>Hyperion</t>
  </si>
  <si>
    <t>Hyundai Ulsan 3503</t>
  </si>
  <si>
    <t>Hyundai Ulsan 3504</t>
  </si>
  <si>
    <t>Hyundai Ulsan 3531</t>
  </si>
  <si>
    <t>Hyundai Ulsan 3532</t>
  </si>
  <si>
    <t>Hyundai Ulsan 3542</t>
  </si>
  <si>
    <t>Ithaca Gas</t>
  </si>
  <si>
    <t>Qingdao Huangdao</t>
  </si>
  <si>
    <t>Jag Vasant</t>
  </si>
  <si>
    <t>Mumbai</t>
  </si>
  <si>
    <t>Jag Vijay</t>
  </si>
  <si>
    <t>Jag Viraat</t>
  </si>
  <si>
    <t>Jagannath</t>
  </si>
  <si>
    <t>Jean Raspail</t>
  </si>
  <si>
    <t>Jenggala 21</t>
  </si>
  <si>
    <t>Jia Yuan</t>
  </si>
  <si>
    <t>India</t>
  </si>
  <si>
    <t>Jiangnan H2754</t>
  </si>
  <si>
    <t>Jiangnan H2755</t>
  </si>
  <si>
    <t>Jiangsu Yangzi Xinfu Yzj2024-1715</t>
  </si>
  <si>
    <t>Jirisan Explorer</t>
  </si>
  <si>
    <t>Kingston LPG</t>
  </si>
  <si>
    <t>Kaede</t>
  </si>
  <si>
    <t>Kalastin</t>
  </si>
  <si>
    <t>Kawasaki Sakaide 1769</t>
  </si>
  <si>
    <t>Kawasaki Sakaide 1770</t>
  </si>
  <si>
    <t>Kedarnath</t>
  </si>
  <si>
    <t>Kefalonia Gas</t>
  </si>
  <si>
    <t>Kodaijisan</t>
  </si>
  <si>
    <t>Kohaku</t>
  </si>
  <si>
    <t>Lantana Planet</t>
  </si>
  <si>
    <t>Laurel Prime</t>
  </si>
  <si>
    <t>Legend Prestige</t>
  </si>
  <si>
    <t>Legend Prosperity</t>
  </si>
  <si>
    <t>Legislator</t>
  </si>
  <si>
    <t>Leo Green</t>
  </si>
  <si>
    <t>Leto Providence</t>
  </si>
  <si>
    <t>Pupuk Ammonia</t>
  </si>
  <si>
    <t>Liberty Pathfinder</t>
  </si>
  <si>
    <t>Lilac Promenade</t>
  </si>
  <si>
    <t>Lily Promenade</t>
  </si>
  <si>
    <t>Taixing</t>
  </si>
  <si>
    <t>Logan Explorer</t>
  </si>
  <si>
    <t>Lucent Pathfinder</t>
  </si>
  <si>
    <t>Lucina Providence</t>
  </si>
  <si>
    <t>Lucky Gas</t>
  </si>
  <si>
    <t>Suez Canal</t>
  </si>
  <si>
    <t>Lumina Polaris</t>
  </si>
  <si>
    <t>Luna Pathfinder</t>
  </si>
  <si>
    <t>Lupinus Planet</t>
  </si>
  <si>
    <t>Lycaste Peace</t>
  </si>
  <si>
    <t>Targa</t>
  </si>
  <si>
    <t>Madam Xian</t>
  </si>
  <si>
    <t>Mado</t>
  </si>
  <si>
    <t>Manasarovar</t>
  </si>
  <si>
    <t>Maoming Pan</t>
  </si>
  <si>
    <t>Maple Gas</t>
  </si>
  <si>
    <t>Marser</t>
  </si>
  <si>
    <t>Min Jiang</t>
  </si>
  <si>
    <t>Matterhorn Explorer</t>
  </si>
  <si>
    <t>Meda</t>
  </si>
  <si>
    <t>Megrez</t>
  </si>
  <si>
    <t>Merak</t>
  </si>
  <si>
    <t>Mercator</t>
  </si>
  <si>
    <t>Mailiao</t>
  </si>
  <si>
    <t>Mighty Navigator</t>
  </si>
  <si>
    <t>Sri Lanka</t>
  </si>
  <si>
    <t>Mile</t>
  </si>
  <si>
    <t>Ming Long</t>
  </si>
  <si>
    <t>Miura</t>
  </si>
  <si>
    <t>Mizar</t>
  </si>
  <si>
    <t>Monza L</t>
  </si>
  <si>
    <t>Musanah</t>
  </si>
  <si>
    <t>Myra Gas</t>
  </si>
  <si>
    <t>Shantou</t>
  </si>
  <si>
    <t>Nadeshiko Gas</t>
  </si>
  <si>
    <t>Nanda Devi</t>
  </si>
  <si>
    <t>Navigare Gaia</t>
  </si>
  <si>
    <t>Navixon</t>
  </si>
  <si>
    <t>Nile River</t>
  </si>
  <si>
    <t>Nirvana Explorer</t>
  </si>
  <si>
    <t>North Gas</t>
  </si>
  <si>
    <t>Ns Dream</t>
  </si>
  <si>
    <t>Vlissingen</t>
  </si>
  <si>
    <t>Ns Frontier</t>
  </si>
  <si>
    <t>Nv Aquamarine</t>
  </si>
  <si>
    <t>NV Sunshine</t>
  </si>
  <si>
    <t>NY Lord</t>
  </si>
  <si>
    <t>Ocean Gas</t>
  </si>
  <si>
    <t>Ocean Radiance</t>
  </si>
  <si>
    <t>Oceanus Aurora</t>
  </si>
  <si>
    <t>Oriental Jubilee</t>
  </si>
  <si>
    <t>Oriental King</t>
  </si>
  <si>
    <t>Orlando 1</t>
  </si>
  <si>
    <t>Pacific Binzhou</t>
  </si>
  <si>
    <t>Pacific Dongying</t>
  </si>
  <si>
    <t>Pacific Hong Kong</t>
  </si>
  <si>
    <t>Pacific Qingdao</t>
  </si>
  <si>
    <t>Pacific Rizhao</t>
  </si>
  <si>
    <t>Pacific Shanghai</t>
  </si>
  <si>
    <t>Pacific Voyager</t>
  </si>
  <si>
    <t>Pacific Weihai</t>
  </si>
  <si>
    <t>Pacific Yantai</t>
  </si>
  <si>
    <t>Pacificator</t>
  </si>
  <si>
    <t>Parthia</t>
  </si>
  <si>
    <t>Pawan Putra</t>
  </si>
  <si>
    <t>Pertamina Gas 1</t>
  </si>
  <si>
    <t>Pertamina Gas 2</t>
  </si>
  <si>
    <t>Pertamina Gas Amaryllis</t>
  </si>
  <si>
    <t>Pertamina Gas Bergenia</t>
  </si>
  <si>
    <t>Pertamina Gas Caspia</t>
  </si>
  <si>
    <t>Liaoning Kingfa Cracker</t>
  </si>
  <si>
    <t>Pertamina Gas Dahlia</t>
  </si>
  <si>
    <t>Westport</t>
  </si>
  <si>
    <t>Pertamina Gas Tulip</t>
  </si>
  <si>
    <t>Phoenix Gaia</t>
  </si>
  <si>
    <t>Phoenix Harmonia</t>
  </si>
  <si>
    <t>Pinar Gas</t>
  </si>
  <si>
    <t>Pine Gas</t>
  </si>
  <si>
    <t>Qatar</t>
  </si>
  <si>
    <t>Pinza</t>
  </si>
  <si>
    <t>Pointis</t>
  </si>
  <si>
    <t>Prima Energy</t>
  </si>
  <si>
    <t>Pyra</t>
  </si>
  <si>
    <t>Pyxis Alfa</t>
  </si>
  <si>
    <t>Pyxis Pioneer</t>
  </si>
  <si>
    <t>Quantum Star</t>
  </si>
  <si>
    <t>Rabdan</t>
  </si>
  <si>
    <t>Raine</t>
  </si>
  <si>
    <t>Daxie Ningbo</t>
  </si>
  <si>
    <t>Red Admiral</t>
  </si>
  <si>
    <t>Red Marauder</t>
  </si>
  <si>
    <t>Red Rum</t>
  </si>
  <si>
    <t>Reference Point</t>
  </si>
  <si>
    <t>Reggane</t>
  </si>
  <si>
    <t>Reimei</t>
  </si>
  <si>
    <t>Porbandar</t>
  </si>
  <si>
    <t>Roberto</t>
  </si>
  <si>
    <t>Rong Hao</t>
  </si>
  <si>
    <t>Rosablanche</t>
  </si>
  <si>
    <t>Sahyadri</t>
  </si>
  <si>
    <t>Ras Laffan Refinery</t>
  </si>
  <si>
    <t>Sakura Gas</t>
  </si>
  <si>
    <t>Salute</t>
  </si>
  <si>
    <t>Gaolan Siamgas</t>
  </si>
  <si>
    <t>Sansovino</t>
  </si>
  <si>
    <t>Sarv Shakti</t>
  </si>
  <si>
    <t>Sea Opera</t>
  </si>
  <si>
    <t>Seabus</t>
  </si>
  <si>
    <t>Sudong</t>
  </si>
  <si>
    <t>Secreto</t>
  </si>
  <si>
    <t>Shaamit</t>
  </si>
  <si>
    <t>Shergar</t>
  </si>
  <si>
    <t>Shivalik</t>
  </si>
  <si>
    <t>Sia</t>
  </si>
  <si>
    <t>Silvio</t>
  </si>
  <si>
    <t>Zhangjiagang</t>
  </si>
  <si>
    <t>Sinndar</t>
  </si>
  <si>
    <t>Siona</t>
  </si>
  <si>
    <t>Sobaek Explorer</t>
  </si>
  <si>
    <t>Sogl</t>
  </si>
  <si>
    <t>Sumire Gas</t>
  </si>
  <si>
    <t>Summit River</t>
  </si>
  <si>
    <t>Sunny Bright</t>
  </si>
  <si>
    <t>Tokyo Bay</t>
  </si>
  <si>
    <t>Sunny Joy</t>
  </si>
  <si>
    <t>Wadi Feiran LPG</t>
  </si>
  <si>
    <t>Sunny Vista</t>
  </si>
  <si>
    <t>Sunstar</t>
  </si>
  <si>
    <t>Surya Veerya</t>
  </si>
  <si>
    <t>USGC (US Gulf Coast)</t>
  </si>
  <si>
    <t>Taebaek</t>
  </si>
  <si>
    <t>Tara Gas</t>
  </si>
  <si>
    <t>Tethys</t>
  </si>
  <si>
    <t>Soyo</t>
  </si>
  <si>
    <t>The Gas Amelia</t>
  </si>
  <si>
    <t>Tinos I</t>
  </si>
  <si>
    <t>Tp Perseverance</t>
  </si>
  <si>
    <t>Tp Tenacity</t>
  </si>
  <si>
    <t>Tsubaki</t>
  </si>
  <si>
    <t>Gibraltar</t>
  </si>
  <si>
    <t>Tulip</t>
  </si>
  <si>
    <t>United Arab Emirates</t>
  </si>
  <si>
    <t>Umm Laqhab</t>
  </si>
  <si>
    <t>Valano</t>
  </si>
  <si>
    <t>Vallee Blanche</t>
  </si>
  <si>
    <t>Vega Sage</t>
  </si>
  <si>
    <t>Kaohsiung</t>
  </si>
  <si>
    <t>Vega Sea</t>
  </si>
  <si>
    <t/>
  </si>
  <si>
    <t>Vega Sky</t>
  </si>
  <si>
    <t>Vega Song</t>
  </si>
  <si>
    <t>Vega Star</t>
  </si>
  <si>
    <t>Vega Sun</t>
  </si>
  <si>
    <t>Victoria Lyra</t>
  </si>
  <si>
    <t>Viet Dragon 68</t>
  </si>
  <si>
    <t>Vishvakarmaa</t>
  </si>
  <si>
    <t>White Cliffs</t>
  </si>
  <si>
    <t>Xavia</t>
  </si>
  <si>
    <t>Xi Wang Mu</t>
  </si>
  <si>
    <t>Yuhsan</t>
  </si>
  <si>
    <t>Yuyo</t>
  </si>
  <si>
    <t>Yuyo Spirits</t>
  </si>
  <si>
    <t>Zakher</t>
  </si>
  <si>
    <t>Zante Gas</t>
  </si>
  <si>
    <t>Ziran</t>
  </si>
  <si>
    <t>Zixuan</t>
  </si>
  <si>
    <t>Sequoia Cove</t>
  </si>
  <si>
    <t>Port of Spain</t>
  </si>
  <si>
    <t>open</t>
  </si>
  <si>
    <t>Muscat</t>
  </si>
  <si>
    <t>Terra Clove</t>
  </si>
  <si>
    <t>Terra Moss</t>
  </si>
  <si>
    <t>Terra Rose</t>
  </si>
  <si>
    <t>Terra Sycamore</t>
  </si>
  <si>
    <t>Laden</t>
  </si>
  <si>
    <t>What</t>
  </si>
  <si>
    <t>botan</t>
  </si>
  <si>
    <t>With Waiting</t>
  </si>
  <si>
    <t>Vessel</t>
  </si>
  <si>
    <t>BLT</t>
  </si>
  <si>
    <t>CBM</t>
  </si>
  <si>
    <t>US</t>
  </si>
  <si>
    <t>Chinese</t>
  </si>
  <si>
    <t>Deck Tank</t>
  </si>
  <si>
    <t>Scrubber/Dual Fuel/Deck Tank</t>
  </si>
  <si>
    <t>Control</t>
  </si>
  <si>
    <t>AIS</t>
  </si>
  <si>
    <t>v Cape</t>
  </si>
  <si>
    <t>Position</t>
  </si>
  <si>
    <t>Open From</t>
  </si>
  <si>
    <t>Open To</t>
  </si>
  <si>
    <t>Notes:</t>
  </si>
  <si>
    <t>Next loading:</t>
  </si>
  <si>
    <t>Voyage (no rate; + opts):</t>
  </si>
  <si>
    <t>Edited by:</t>
  </si>
  <si>
    <t>Updated</t>
  </si>
  <si>
    <t>Area</t>
  </si>
  <si>
    <t>AIS Location</t>
  </si>
  <si>
    <t>ETA AG</t>
  </si>
  <si>
    <t>ETA USG (P)</t>
  </si>
  <si>
    <t>ETA USG (C)</t>
  </si>
  <si>
    <t>ETA Bonny</t>
  </si>
  <si>
    <t>Bethioua</t>
  </si>
  <si>
    <t>ETA S'pore</t>
  </si>
  <si>
    <t>ETA Darwin</t>
  </si>
  <si>
    <t>ETA Yanbu</t>
  </si>
  <si>
    <t>ETA AG 1</t>
  </si>
  <si>
    <t>ETA AG 2</t>
  </si>
  <si>
    <t>ETA USG1</t>
  </si>
  <si>
    <t>ETA USG2</t>
  </si>
  <si>
    <t>ETA WAF</t>
  </si>
  <si>
    <t>ETA WAF1</t>
  </si>
  <si>
    <t>ETA WAF2</t>
  </si>
  <si>
    <t>ETA Bethouia</t>
  </si>
  <si>
    <t>ETA Bethioua</t>
  </si>
  <si>
    <t>ETA WEST'PORT</t>
  </si>
  <si>
    <t>ETA WEST'PORT 1</t>
  </si>
  <si>
    <t>ETA WEST'PORT 2</t>
  </si>
  <si>
    <t>ETA DARWIN</t>
  </si>
  <si>
    <t>ETA DARWIN1</t>
  </si>
  <si>
    <t>ETA DARWIN2</t>
  </si>
  <si>
    <t>ETA S'PORE</t>
  </si>
  <si>
    <t>ETA SPORE1</t>
  </si>
  <si>
    <t>ETA SPORE2</t>
  </si>
  <si>
    <t>ETA P.Rupert</t>
  </si>
  <si>
    <t>ETA P. Rupert 1</t>
  </si>
  <si>
    <t>ETA P. Rupert 2</t>
  </si>
  <si>
    <t>ETA Bonython</t>
  </si>
  <si>
    <t>ETA Yanbu 1</t>
  </si>
  <si>
    <t>ETA Yanbu 2</t>
  </si>
  <si>
    <t>GOA Yanbu</t>
  </si>
  <si>
    <t>ETA AG O</t>
  </si>
  <si>
    <t>ETA USG O</t>
  </si>
  <si>
    <t>AltaGas</t>
  </si>
  <si>
    <t>Far East</t>
  </si>
  <si>
    <t>ex DD, ETA Ferndale 16 Apr</t>
  </si>
  <si>
    <t>Altagas 16-17 Apr Ferndale</t>
  </si>
  <si>
    <t>BR</t>
  </si>
  <si>
    <t>New Build @ Japan</t>
  </si>
  <si>
    <t>ETA Prince Rupert 23 Apr</t>
  </si>
  <si>
    <t>Altagas 23 Mar RIPET</t>
  </si>
  <si>
    <t>East China</t>
  </si>
  <si>
    <t>ETA Jiangyin 21 Apr</t>
  </si>
  <si>
    <t>Altagas 05 Apr RIPET</t>
  </si>
  <si>
    <t>DF</t>
  </si>
  <si>
    <t>Astomos</t>
  </si>
  <si>
    <t>Japan</t>
  </si>
  <si>
    <t>ETA Nagoya 04 May</t>
  </si>
  <si>
    <t>Astomos 29-30 Mar Freeport</t>
  </si>
  <si>
    <t>Cape ballast</t>
  </si>
  <si>
    <t>ETA USG 04 May via Cape</t>
  </si>
  <si>
    <t>Astomos 24-25 Jan Ras Laffan</t>
  </si>
  <si>
    <t>Honolulu</t>
  </si>
  <si>
    <t>ex DD, @ Honolulu 11 Apr</t>
  </si>
  <si>
    <t>Astomos 25-26 Dec Ras Laffan</t>
  </si>
  <si>
    <t>Balboa</t>
  </si>
  <si>
    <t>ETA Balboa 01 May</t>
  </si>
  <si>
    <t>Marathon 22-23 Feb Freeport</t>
  </si>
  <si>
    <t>loads USG</t>
  </si>
  <si>
    <t>@ Houston anchorage 09 Apr, waiting to berth</t>
  </si>
  <si>
    <t>Exxon 09-10 Apr USG</t>
  </si>
  <si>
    <t>ETA 1st port Sodegaura 20 Apr</t>
  </si>
  <si>
    <t>Astomos 18-19 Mar Enterprise</t>
  </si>
  <si>
    <t>@ Nederland 12 Apr, still loading</t>
  </si>
  <si>
    <t>Astomos 09-10 Apr Nederland</t>
  </si>
  <si>
    <t>ETA 1st port Sakai 15 Apr</t>
  </si>
  <si>
    <t>Astomos 25-26 Mar Dampier</t>
  </si>
  <si>
    <t>S</t>
  </si>
  <si>
    <t>ETA RIPET 14 Apr</t>
  </si>
  <si>
    <t>Astomos 15-16 Apr RIPET</t>
  </si>
  <si>
    <t>ETA Balboa 13 Apr</t>
  </si>
  <si>
    <t>Petredec 29-30 Apr USG</t>
  </si>
  <si>
    <t>ETA Port Louis 12 Apr</t>
  </si>
  <si>
    <t>Vitol 16-17 May USG</t>
  </si>
  <si>
    <t>MB Energy 11-12 Jan Enterprise</t>
  </si>
  <si>
    <t>Nep-Asto-NSU-Itochu</t>
  </si>
  <si>
    <t>Singapore ballast</t>
  </si>
  <si>
    <t>R?</t>
  </si>
  <si>
    <t>ex DD, ETA Singapore 15 Apr</t>
  </si>
  <si>
    <t>Inpex 17-18 Feb Darwin</t>
  </si>
  <si>
    <t>AGT&gt;ATL 60-90days</t>
  </si>
  <si>
    <t>South China</t>
  </si>
  <si>
    <t>ATC short TC, ETA South China 18 Apr</t>
  </si>
  <si>
    <t>ATC End Mar Yanbu (short TC)</t>
  </si>
  <si>
    <t>C</t>
  </si>
  <si>
    <t>AGT</t>
  </si>
  <si>
    <t>Port Louis ballast</t>
  </si>
  <si>
    <t>R</t>
  </si>
  <si>
    <t>sailed 27 Mar, ETA USG 02 May via Cape</t>
  </si>
  <si>
    <t>AGT 25 Feb Ruwais</t>
  </si>
  <si>
    <t>BW Kizoku</t>
  </si>
  <si>
    <t>@ Galveston lighterage 11 Apr</t>
  </si>
  <si>
    <t>Wanhua 13-14 Apr Nederland</t>
  </si>
  <si>
    <t>drifting USG 06 Apr, waiting to berth</t>
  </si>
  <si>
    <t>BASF 15-16 Apr Freeport</t>
  </si>
  <si>
    <t>Astomos &gt; AGT</t>
  </si>
  <si>
    <t>ETA Singapore 15 Apr</t>
  </si>
  <si>
    <t xml:space="preserve">AGT own cargo early May </t>
  </si>
  <si>
    <t>Korea</t>
  </si>
  <si>
    <t>ETA 1st port Ulsan 30 Apr</t>
  </si>
  <si>
    <t>AGT 26 Mar Enterprise</t>
  </si>
  <si>
    <t>ETA USG 17 Apr via Cape</t>
  </si>
  <si>
    <t>AGT 17-18 Apr USG</t>
  </si>
  <si>
    <t>ETA Balboa 29 Apr</t>
  </si>
  <si>
    <t>Exxon 08-09 May USG</t>
  </si>
  <si>
    <t>ATC</t>
  </si>
  <si>
    <t>Turkey</t>
  </si>
  <si>
    <t>eu</t>
  </si>
  <si>
    <t>@ Dortyol 07 Apr</t>
  </si>
  <si>
    <t>ATC 01-02 Apr Yanbu</t>
  </si>
  <si>
    <t>BW Tucana</t>
  </si>
  <si>
    <t>BW &gt; ATC</t>
  </si>
  <si>
    <t>@ Houston anchorage 10 Apr, waiting to berth</t>
  </si>
  <si>
    <t>ATC 10-11 Apr USG</t>
  </si>
  <si>
    <t>ETA Nederland 22 Apr</t>
  </si>
  <si>
    <t>c3 / c4 in deck tanks</t>
  </si>
  <si>
    <t>Naftomar 23-24 Apr USG</t>
  </si>
  <si>
    <t>DT</t>
  </si>
  <si>
    <t>@ Houston anchorage 08 Apr, waiting to berth</t>
  </si>
  <si>
    <t>Dow 10-11 Apr USG</t>
  </si>
  <si>
    <t>ATC &gt; AGT</t>
  </si>
  <si>
    <t>ex DD, ETA USG 22 Apr via Cape</t>
  </si>
  <si>
    <t>Geogas 25-26 Apr USG</t>
  </si>
  <si>
    <t>Suez</t>
  </si>
  <si>
    <t>drifting off Jizan since 29 Mar</t>
  </si>
  <si>
    <t>ATC 7 Jan STS Red Sea (G Alkhaleej)</t>
  </si>
  <si>
    <t>BASF</t>
  </si>
  <si>
    <t>ETA Freeport 12 May via Cape</t>
  </si>
  <si>
    <t>BASF 04-05 May Freeport</t>
  </si>
  <si>
    <t>BW Freyja</t>
  </si>
  <si>
    <t>ETA Jinshan 16 Apr</t>
  </si>
  <si>
    <t>BASF 21-22 Feb Freeport</t>
  </si>
  <si>
    <t>BB Energy</t>
  </si>
  <si>
    <t>Indo</t>
  </si>
  <si>
    <t>ETA Darwin 12-13 Apr</t>
  </si>
  <si>
    <t>Total 10-11 Apr Darwin</t>
  </si>
  <si>
    <t>loads WAF</t>
  </si>
  <si>
    <t>ETA Soyo 22 Apr, ex Singapore 31 Mar</t>
  </si>
  <si>
    <t>Total 21-25 Apr Soyo</t>
  </si>
  <si>
    <t>BGN</t>
  </si>
  <si>
    <t>ETA USG 29 Apr</t>
  </si>
  <si>
    <t>BGN 28-1 Mar Nederland</t>
  </si>
  <si>
    <t>BW Yushi</t>
  </si>
  <si>
    <t>Cape</t>
  </si>
  <si>
    <t>ETA Merak 23 Apr</t>
  </si>
  <si>
    <t>BGN 10-11 Mar Freeport</t>
  </si>
  <si>
    <t>ETA Port Said 27 Apr</t>
  </si>
  <si>
    <t>BGN 08-09 Apr MH</t>
  </si>
  <si>
    <t>Cape laden</t>
  </si>
  <si>
    <t>Pendung firm disport</t>
  </si>
  <si>
    <t>BGN 17-18 Mar Nederland</t>
  </si>
  <si>
    <t>Eu</t>
  </si>
  <si>
    <t>ETA Horizon Tangier 13 Apr</t>
  </si>
  <si>
    <t>BGN 23-24 Mar Nederland</t>
  </si>
  <si>
    <t>Ex Nederland 06 Apr</t>
  </si>
  <si>
    <t>BGN 21-22 Mar Nederland</t>
  </si>
  <si>
    <t>ETA Balboa 14 Apr</t>
  </si>
  <si>
    <t>BGN 20-21 Apr USG</t>
  </si>
  <si>
    <t>ETA Port Said 30 Apr</t>
  </si>
  <si>
    <t>BGN 08-09 Apr Nederland</t>
  </si>
  <si>
    <t>ETA Nederland 25 Apr</t>
  </si>
  <si>
    <t>BGN 20-21 Apr Nederland</t>
  </si>
  <si>
    <t>Malaysia ballast</t>
  </si>
  <si>
    <t>ex DD, @ Port Klang 07 Apr coolant</t>
  </si>
  <si>
    <t>BGN 19-20 Jan Nederland (delay)?</t>
  </si>
  <si>
    <t>ETD Balikpapan 13 Apr, heading back to USG?</t>
  </si>
  <si>
    <t>BGN 15-17 Feb USG (delay)</t>
  </si>
  <si>
    <t>ex DD, ETA Nederland 18 Apr via Cape</t>
  </si>
  <si>
    <t>BGN 18-19 Apr Nederland</t>
  </si>
  <si>
    <t>@ Yosu 07 Apr bunkers</t>
  </si>
  <si>
    <t>BGN 25-26 Feb Targa</t>
  </si>
  <si>
    <t>HLS Emerald</t>
  </si>
  <si>
    <t>ETA 11 Apr USG</t>
  </si>
  <si>
    <t>BGN 22-23 Apr USG</t>
  </si>
  <si>
    <t>BGN 07-08 Apr USG</t>
  </si>
  <si>
    <t>ETA Ain Sukhna 18 Apr</t>
  </si>
  <si>
    <t>BGN 27-28 Mar Nederland</t>
  </si>
  <si>
    <t>ETA indo 17 Apr</t>
  </si>
  <si>
    <t>BGN 22-23 Mar Nederland</t>
  </si>
  <si>
    <t>still loading @ Nederland 11 Apr</t>
  </si>
  <si>
    <t>BGN 02-03 Apr Nederland</t>
  </si>
  <si>
    <t>Heading towards Panama 14 apr</t>
  </si>
  <si>
    <t>BGN 27-28 Mar USG</t>
  </si>
  <si>
    <t>Heading towards Eygpt 14 Apr</t>
  </si>
  <si>
    <t>BGN 25-26 Mar USG</t>
  </si>
  <si>
    <t>ETA 14 Apr USG</t>
  </si>
  <si>
    <t>BGN 10-11 Mar Nederland</t>
  </si>
  <si>
    <t>Vietnam</t>
  </si>
  <si>
    <t>ETA Vung Tau 21 Apr</t>
  </si>
  <si>
    <t>BGN 10-11 Mar Enterprise</t>
  </si>
  <si>
    <t>Port Louis laden</t>
  </si>
  <si>
    <t>ETA Port Louis 13 Apr</t>
  </si>
  <si>
    <t>BGN 13-14 Mar Nederland?</t>
  </si>
  <si>
    <t>BGN&gt; ???</t>
  </si>
  <si>
    <t>ETA Nderlanjd 23 Apr</t>
  </si>
  <si>
    <t>BGN 16-17 Mar Nederland</t>
  </si>
  <si>
    <t>Borealis</t>
  </si>
  <si>
    <t>@ Skagen 08 Apr</t>
  </si>
  <si>
    <t>Borealis 05-06 Mar Targa</t>
  </si>
  <si>
    <t>BW Aries</t>
  </si>
  <si>
    <t>BP</t>
  </si>
  <si>
    <t>loads MH</t>
  </si>
  <si>
    <t>ETA Marcus Hook 14 Apr</t>
  </si>
  <si>
    <t>10-15 Apr USG next; unless sold FOB</t>
  </si>
  <si>
    <t>BP 14-15 Apr MH</t>
  </si>
  <si>
    <t>BW Messina</t>
  </si>
  <si>
    <t>@ Lavera 06 Apr</t>
  </si>
  <si>
    <t>Exxon/ATC 23-24 Mar USG</t>
  </si>
  <si>
    <t>BWPS</t>
  </si>
  <si>
    <t>BWPS 15-16 Mar Targa</t>
  </si>
  <si>
    <t>@ Houston anchorage 11 Apr, waiting to berth</t>
  </si>
  <si>
    <t>BWPS 12-13 Apr USG</t>
  </si>
  <si>
    <t>ETA Balboa 05 May</t>
  </si>
  <si>
    <t>STL 18-19 May USG</t>
  </si>
  <si>
    <t>Chevron 24-25 Apr USG</t>
  </si>
  <si>
    <t>Chevron</t>
  </si>
  <si>
    <t>ETA Balboa 03 May</t>
  </si>
  <si>
    <t>Chevron 03-04 Mar Enterprise</t>
  </si>
  <si>
    <t>Has 18-19 Apr looking to swap for 28-29 Apr</t>
  </si>
  <si>
    <t>Chevron 07-08 Feb Targa</t>
  </si>
  <si>
    <t>ETA Antwerp 19 Apr</t>
  </si>
  <si>
    <t>Chevron 02 Apr Targa</t>
  </si>
  <si>
    <t>@ Dongguan 12 Apr</t>
  </si>
  <si>
    <t>Chevron 22-23 Feb Escravos</t>
  </si>
  <si>
    <t>drifing USG 02 Apr</t>
  </si>
  <si>
    <t>Chevron 18-19 Apr USG?</t>
  </si>
  <si>
    <t>ETA Port Louis 16 Apr</t>
  </si>
  <si>
    <t>Chevron 30-31 May USG</t>
  </si>
  <si>
    <t>ETA 1st port Chiba 03 May</t>
  </si>
  <si>
    <t>Chevron 26-27 Mar Enterprise</t>
  </si>
  <si>
    <t>ETA 1st port Chiba 28 Apr</t>
  </si>
  <si>
    <t>Chevron 25-26 Mar Targa</t>
  </si>
  <si>
    <t>@ Enterprise 12 Apr</t>
  </si>
  <si>
    <t>Chevron 12-13 Apr Enterprise</t>
  </si>
  <si>
    <t>ETA USG 12 Apr, ex Antwerp 29 Mar</t>
  </si>
  <si>
    <t>Chevron 12-13 Apr USG?</t>
  </si>
  <si>
    <t>pending disport</t>
  </si>
  <si>
    <t>Chevron 13-14 Mar Enterprise</t>
  </si>
  <si>
    <t>Singapore laden</t>
  </si>
  <si>
    <t>ETA Singapore 21 Apr</t>
  </si>
  <si>
    <t>Chevron 07-08 Mar Escravos+Soyo</t>
  </si>
  <si>
    <t>E1</t>
  </si>
  <si>
    <t>ETA Tg Sekong 16 May</t>
  </si>
  <si>
    <t>BGN 05-06 Apr Freeport</t>
  </si>
  <si>
    <t>ETA Houston 22 Apr via Cape</t>
  </si>
  <si>
    <t>Astomos 23-24 Apr USG (via Vitol)</t>
  </si>
  <si>
    <t>ETA Houston 01 May via Cape</t>
  </si>
  <si>
    <t>Trafi 03-04 May USG</t>
  </si>
  <si>
    <t>ETA USG 07 May via Cape</t>
  </si>
  <si>
    <t>BGN 12-13 May USG</t>
  </si>
  <si>
    <t>HLS Amber</t>
  </si>
  <si>
    <t>ETA USG 14 Apr via Cape</t>
  </si>
  <si>
    <t>Marathon 18-19 Apr Freeport</t>
  </si>
  <si>
    <t>HLS Blue Sapphire</t>
  </si>
  <si>
    <t>ETA Cristobal 17 Apr, pending disport</t>
  </si>
  <si>
    <t>E1 11-12 Apr Nederland</t>
  </si>
  <si>
    <t>Eneos</t>
  </si>
  <si>
    <t>ETA Daesan 16 Apr</t>
  </si>
  <si>
    <t>load own stem End May USG</t>
  </si>
  <si>
    <t>Eneos 12 Mar Nederland</t>
  </si>
  <si>
    <t>Eneos&gt;Itochu</t>
  </si>
  <si>
    <t>ETA Balboa 25 Apr</t>
  </si>
  <si>
    <t>Vitol 06-07 May USG</t>
  </si>
  <si>
    <t>ETA Nederland 14 Apr</t>
  </si>
  <si>
    <t>Eneos 14-15 Apr Nederland</t>
  </si>
  <si>
    <t>@ Port Arthur lighterage 07 Apr, waiting to berth</t>
  </si>
  <si>
    <t>Eneos 13-14 Apr Nederland?</t>
  </si>
  <si>
    <t>@ Dortyol 11 Apr</t>
  </si>
  <si>
    <t>Vitol 07-08 May USG</t>
  </si>
  <si>
    <t>ETA Cristobal 13 Apr, pending disport</t>
  </si>
  <si>
    <t>Eneos 03-04 Apr Targa</t>
  </si>
  <si>
    <t>Energy Transfer</t>
  </si>
  <si>
    <t xml:space="preserve">ETA Stenungsund 26 Apr </t>
  </si>
  <si>
    <t>ET 06-07 Apr Nederland</t>
  </si>
  <si>
    <t>NS Dream</t>
  </si>
  <si>
    <t>ETA Flushing 15 Apr</t>
  </si>
  <si>
    <t>ET 03-04 Apr MH</t>
  </si>
  <si>
    <t>ETA 19 Apr Marcus Hook</t>
  </si>
  <si>
    <t>ET 11-12 Mar MH</t>
  </si>
  <si>
    <t>Equinor</t>
  </si>
  <si>
    <t>ETA Balboa 24 Apr</t>
  </si>
  <si>
    <t>Equinor 01-05 May USG?</t>
  </si>
  <si>
    <t>ETA USG 12 Apr</t>
  </si>
  <si>
    <t>for orders</t>
  </si>
  <si>
    <t>Equinor 23-24 Dec Enterprise</t>
  </si>
  <si>
    <t>ETA Balboa 22 Apr</t>
  </si>
  <si>
    <t>@ ETA Enterprise 12 Apr, proceeding to berth</t>
  </si>
  <si>
    <t>Equinor 12-13 Apr Enterprise</t>
  </si>
  <si>
    <t>@ Targa 11 Apr, still loading</t>
  </si>
  <si>
    <t>Equinor 11-12 Apr Targa</t>
  </si>
  <si>
    <t>@ Balboa 11 Apr, waiting to transit</t>
  </si>
  <si>
    <t>Equinor 16-20 Apr USG?</t>
  </si>
  <si>
    <t>ETA Cristobal 14 Apr</t>
  </si>
  <si>
    <t>Equinor 07-08 Apr Targa</t>
  </si>
  <si>
    <t>ETA 2nd port Sendai 13 Apr</t>
  </si>
  <si>
    <t>Equinor 24-25 Feb Targa</t>
  </si>
  <si>
    <t>Equinor 13-14 Feb Targa</t>
  </si>
  <si>
    <t>Exxon</t>
  </si>
  <si>
    <t>@ Galveston lighterage 08 Apr, waiting to berth</t>
  </si>
  <si>
    <t>Axpo 08-09 Apr USG</t>
  </si>
  <si>
    <t>BW Malacca</t>
  </si>
  <si>
    <r>
      <rPr>
        <rFont val="Calibri"/>
        <color rgb="FF000000"/>
        <sz val="11.0"/>
      </rPr>
      <t xml:space="preserve">ETA Kalbut 05 May, </t>
    </r>
    <r>
      <rPr>
        <rFont val="Calibri"/>
        <b/>
        <color rgb="FF9900FF"/>
        <sz val="11.0"/>
      </rPr>
      <t>Darwin candidate?</t>
    </r>
  </si>
  <si>
    <t>Pertamina 25-26 Mar Freeport</t>
  </si>
  <si>
    <t>BW Mindoro</t>
  </si>
  <si>
    <t>ETA USG 26 Apr via Cape</t>
  </si>
  <si>
    <t>Helios &gt; Exxon</t>
  </si>
  <si>
    <t>Chevron 01 Feb Escravos</t>
  </si>
  <si>
    <t>SwissChemGas 15-16 May USG</t>
  </si>
  <si>
    <t>ETA Vung Tau 28 Apr</t>
  </si>
  <si>
    <t>ATC 16-17 Mar Targa</t>
  </si>
  <si>
    <t>ETA Singapore 13 Apr</t>
  </si>
  <si>
    <t>BGN 16-17 Feb Nederland (delay)</t>
  </si>
  <si>
    <t>ML</t>
  </si>
  <si>
    <r>
      <rPr>
        <rFont val="Calibri"/>
        <color rgb="FF000000"/>
        <sz val="11.0"/>
      </rPr>
      <t xml:space="preserve">@ Kalbut 12 Apr, </t>
    </r>
    <r>
      <rPr>
        <rFont val="Calibri"/>
        <b/>
        <color rgb="FF9900FF"/>
        <sz val="11.0"/>
      </rPr>
      <t>Darwin candidate?</t>
    </r>
  </si>
  <si>
    <t>Pertamina 27-28 Feb Freeport</t>
  </si>
  <si>
    <t>ETA Balboa 18 Apr</t>
  </si>
  <si>
    <t>BWPS 02-04 May USG</t>
  </si>
  <si>
    <t>TP Tenacity</t>
  </si>
  <si>
    <t>ETA Freeport 20 Apr via Cape</t>
  </si>
  <si>
    <t>Swiss via Pdec 21-22 April Freeport</t>
  </si>
  <si>
    <t>Geogas</t>
  </si>
  <si>
    <t>Ocoa Bay</t>
  </si>
  <si>
    <t>Ex San Pedro de Macoris 11 Apr, ETA USG 15 Apr</t>
  </si>
  <si>
    <t>Geogas 27-28 Mar Freeport</t>
  </si>
  <si>
    <t>ETA Male 21 Apr, for STS ops</t>
  </si>
  <si>
    <t>Geogas 16 Mar Enterprise</t>
  </si>
  <si>
    <t xml:space="preserve">Evalend&gt;Geogas </t>
  </si>
  <si>
    <t>ETA Balboa 27 Apr</t>
  </si>
  <si>
    <t>Geogas 17-18 Feb Targa</t>
  </si>
  <si>
    <t>Tanzania</t>
  </si>
  <si>
    <t>shuttle/STS ship East Africa 05 Feb</t>
  </si>
  <si>
    <t>Geogas 29 Mar STS Bumbwini</t>
  </si>
  <si>
    <t>Sailed Mombasa 03 Apr, ETA USG 29 Apr</t>
  </si>
  <si>
    <t>Geogas 26-27 Feb Enterprise</t>
  </si>
  <si>
    <t>Gunvor</t>
  </si>
  <si>
    <t>Taiwan</t>
  </si>
  <si>
    <t>ETA 1st port Mailiao 20 Apr</t>
  </si>
  <si>
    <t>Gunvor 16 Mar Enterprise</t>
  </si>
  <si>
    <t>Gunvor 06-07 Apr Freeport</t>
  </si>
  <si>
    <t>Ex Port Louis 06 Apr, ETA USG 05 May</t>
  </si>
  <si>
    <t>Gunvor 10-11 May USG</t>
  </si>
  <si>
    <t>North China</t>
  </si>
  <si>
    <t>ETA 1st port Qingdao 06 May</t>
  </si>
  <si>
    <t>Gunvor 09-10 Feb Enterprise</t>
  </si>
  <si>
    <t>Ex Dortyol 02 Apr, ETA 25 Apr USG</t>
  </si>
  <si>
    <t>ATC 21-22 Feb Enterprise</t>
  </si>
  <si>
    <t>Gyxis</t>
  </si>
  <si>
    <t>ex DD, ETA RIPET 22 Apr</t>
  </si>
  <si>
    <t>Gyxis 03-04 Feb Enterprise</t>
  </si>
  <si>
    <t>Aquamarine Progress II</t>
  </si>
  <si>
    <t>ETA USG 25 Apr via Cape</t>
  </si>
  <si>
    <t>SK Gas 05 Feb Nederland</t>
  </si>
  <si>
    <t>ETA 1st port Chiba 19 Apr</t>
  </si>
  <si>
    <t>Sinochem 17-18 Mar Nederland</t>
  </si>
  <si>
    <t>ETA 1st port Senboku 21 May</t>
  </si>
  <si>
    <t>BGN 21-22 May USG</t>
  </si>
  <si>
    <t>ETA 1st port Oita 16 Apr</t>
  </si>
  <si>
    <t>Internally Programmed 24-25 May</t>
  </si>
  <si>
    <t>PetroChina 13-14 Mar Enterprise</t>
  </si>
  <si>
    <t>ETA 1st port Nagoya 20 Apr</t>
  </si>
  <si>
    <t>MB Energy 16-17 Mar Enterprise</t>
  </si>
  <si>
    <t>ETA Houston 16 Apr</t>
  </si>
  <si>
    <t>Gyxis 16-17 Apr USG</t>
  </si>
  <si>
    <t>ETA Nederland 01 May via Cape</t>
  </si>
  <si>
    <t>Gyxis 01-02 May Nederland</t>
  </si>
  <si>
    <t>ETA USG 05 May via Cape</t>
  </si>
  <si>
    <t>BGN 09-10 May USG</t>
  </si>
  <si>
    <r>
      <rPr>
        <rFont val="Calibri"/>
        <color rgb="FF000000"/>
        <sz val="11.0"/>
      </rPr>
      <t xml:space="preserve">ETA Merak 17 May, </t>
    </r>
    <r>
      <rPr>
        <rFont val="Calibri"/>
        <b/>
        <color rgb="FF9900FF"/>
        <sz val="11.0"/>
      </rPr>
      <t>Darwin candidate?</t>
    </r>
  </si>
  <si>
    <t>BGN 03-04 Apr Nederland</t>
  </si>
  <si>
    <t>ETA Antwerp 17 Apr</t>
  </si>
  <si>
    <t>Dow 10-11 May USG</t>
  </si>
  <si>
    <t>Eneos Gunjo</t>
  </si>
  <si>
    <t>Itochu</t>
  </si>
  <si>
    <t>ETA USG via Cape 05 May</t>
  </si>
  <si>
    <t>Helios/BP 09-10 May USG?</t>
  </si>
  <si>
    <r>
      <rPr>
        <rFont val="Calibri"/>
        <color rgb="FF000000"/>
        <sz val="11.0"/>
      </rPr>
      <t xml:space="preserve">ETA Kalbut 02 May, </t>
    </r>
    <r>
      <rPr>
        <rFont val="Calibri"/>
        <b/>
        <color rgb="FF9900FF"/>
        <sz val="11.0"/>
      </rPr>
      <t>Darwin candidate?</t>
    </r>
  </si>
  <si>
    <t>Itochu 17-18 Mar Nederland</t>
  </si>
  <si>
    <t>ETA Cape 23 Apr</t>
  </si>
  <si>
    <t>Give out 2/2 15-16 May, Take back ~20 May</t>
  </si>
  <si>
    <t>Itochu 15-16 May USG</t>
  </si>
  <si>
    <t>in DD since 21 Mar</t>
  </si>
  <si>
    <t>Itochu 17-18 Jan Nederland</t>
  </si>
  <si>
    <t>BW Gemini</t>
  </si>
  <si>
    <t>Marathon</t>
  </si>
  <si>
    <t>ex DD, @ Balboa 09 Apr, waiting to transit</t>
  </si>
  <si>
    <t>Marathon 19-20 Apr USG</t>
  </si>
  <si>
    <t>Mercuria</t>
  </si>
  <si>
    <t>ETA Port Arthur lighterage 13 Apr</t>
  </si>
  <si>
    <t>Eneos 21-22 Apr Nederland</t>
  </si>
  <si>
    <t>ETA Singapore 09 May, pending disport</t>
  </si>
  <si>
    <t>Ineos 04-05 Apr MH</t>
  </si>
  <si>
    <t>@ Tokyo Bay lighterage 13 Apr, 1st port Chiba</t>
  </si>
  <si>
    <t>E1 07-08 Mar Nederland</t>
  </si>
  <si>
    <t>@ Balboa 12 Apr / not a relet but can look at reshuffling</t>
  </si>
  <si>
    <t>Total 01-02 Feb Nederland</t>
  </si>
  <si>
    <t>ETA 1st port Chiba 20 Apr</t>
  </si>
  <si>
    <t>Mercuria 18-19 Mar Nederland</t>
  </si>
  <si>
    <t>ETA 1st port Chiba 01 May</t>
  </si>
  <si>
    <t>Mercuria 26 Mar Nederland</t>
  </si>
  <si>
    <t>ETA St Eustatius 25 Apr bunkers?, ETA USG 01 May</t>
  </si>
  <si>
    <t>Mercuria (Repsol FOB) 10-11 Feb USG</t>
  </si>
  <si>
    <t>ETA USG 16 Apr</t>
  </si>
  <si>
    <t>Mercuria 16-17 Apr USG</t>
  </si>
  <si>
    <t>ex DD, ETA 1st port Kaohsiung 21 Apr</t>
  </si>
  <si>
    <t>BP 14-15 Mar Nederland</t>
  </si>
  <si>
    <t>ATC &gt; Mercuria</t>
  </si>
  <si>
    <t>ex DD, @ Targa 13 Apr, still loading</t>
  </si>
  <si>
    <t>Chevron 12-13 Apr USG</t>
  </si>
  <si>
    <t>Naftomar&gt; ATL</t>
  </si>
  <si>
    <t>loads AG</t>
  </si>
  <si>
    <t>drifting off Yanbu 10 Apr, waiting to berth</t>
  </si>
  <si>
    <t>ATC 10 Apr Yanbu (short TC)</t>
  </si>
  <si>
    <t>Gaz Ronin</t>
  </si>
  <si>
    <t xml:space="preserve">Naftomar&gt; </t>
  </si>
  <si>
    <t>ETA Cape Town 02 May, for orders</t>
  </si>
  <si>
    <t>? 07 Apr Enterprise</t>
  </si>
  <si>
    <t xml:space="preserve">Naftomar </t>
  </si>
  <si>
    <t>AG</t>
  </si>
  <si>
    <t>drifting off Sharjah 06 Mar (laden)</t>
  </si>
  <si>
    <t>Equinor 01-02 Mar MAA</t>
  </si>
  <si>
    <t>OE</t>
  </si>
  <si>
    <t>via Cape, ETA Singapore 14 May</t>
  </si>
  <si>
    <t>OE 03 Apr Enterprise</t>
  </si>
  <si>
    <t>ETA USG 24 Apr via Cape</t>
  </si>
  <si>
    <t>SK 25-26 Apr USG OOS?</t>
  </si>
  <si>
    <t>OE 24-25 Apr USG</t>
  </si>
  <si>
    <t>via Cape, pending disport</t>
  </si>
  <si>
    <t>OE 31 Mar Enterprise</t>
  </si>
  <si>
    <t>Gunvor 18-19 Apr USG</t>
  </si>
  <si>
    <t>Ex Singapore 11 Apr, ETA USG 21 May</t>
  </si>
  <si>
    <t>ATC 18-19 Feb USG</t>
  </si>
  <si>
    <t>ETA USG 23 Apr via Cape</t>
  </si>
  <si>
    <t>SK 25-26 Apr USG</t>
  </si>
  <si>
    <t>@ Port Arthur lighterage 08 Apr, waiting to berth</t>
  </si>
  <si>
    <t>BGN 09-10 Apr Nederland</t>
  </si>
  <si>
    <t>@ Doha anchorage (laden) 19 Mar</t>
  </si>
  <si>
    <t>OE 28-29 Feb Mesaieed</t>
  </si>
  <si>
    <t>ETA 13 Apr USG</t>
  </si>
  <si>
    <t>ATC 15-16 Apr USG</t>
  </si>
  <si>
    <t>P66</t>
  </si>
  <si>
    <t>ETA Freeport 27 Apr via Cape</t>
  </si>
  <si>
    <t>P66 28-29 Apr Freeport</t>
  </si>
  <si>
    <t>ETA 1st port Daesan 06 May</t>
  </si>
  <si>
    <t>Vitol 28-29 Mar Nederland</t>
  </si>
  <si>
    <t>Pertamina</t>
  </si>
  <si>
    <t>ETA Arun 15 Apr</t>
  </si>
  <si>
    <t>Perta 02-03 Mar Freeport</t>
  </si>
  <si>
    <t>Floater ex Balikpapan</t>
  </si>
  <si>
    <t>Floating Storage</t>
  </si>
  <si>
    <t>Floater ex Kalbut</t>
  </si>
  <si>
    <t>ETA Freeport 20 May</t>
  </si>
  <si>
    <t>Perta 21-22 May Freeport</t>
  </si>
  <si>
    <t>ETA Freeport 17 Apr</t>
  </si>
  <si>
    <t>Perta 18-19 Apr Freeport</t>
  </si>
  <si>
    <t>Drifting off Kalbut 18 Feb</t>
  </si>
  <si>
    <t>Perta 24-25 Oct Freeport</t>
  </si>
  <si>
    <t>ETA Freeport 10 May</t>
  </si>
  <si>
    <t>Perta 11-12 May Freeport</t>
  </si>
  <si>
    <t>Petredec</t>
  </si>
  <si>
    <t>ETA 1st port Oita 14 Apr</t>
  </si>
  <si>
    <t>Petredec 12 Mar Targa</t>
  </si>
  <si>
    <t>ETA 1st port Jiangyin 04 May</t>
  </si>
  <si>
    <t>Petredec 28 Mar Targa</t>
  </si>
  <si>
    <t>WCI</t>
  </si>
  <si>
    <t>@ Mangalore 10 Apr</t>
  </si>
  <si>
    <t>Petredec 03 Mar Targa</t>
  </si>
  <si>
    <t>ETA Mangalore 16 May</t>
  </si>
  <si>
    <t>Petredec 07-08 Apr USG</t>
  </si>
  <si>
    <t>ETA Balboa 28 Apr</t>
  </si>
  <si>
    <t>Petredec 14-15 May USG</t>
  </si>
  <si>
    <r>
      <rPr>
        <rFont val="Calibri"/>
        <color rgb="FF000000"/>
        <sz val="11.0"/>
      </rPr>
      <t>@ Richards Bay 23 Mar,</t>
    </r>
    <r>
      <rPr>
        <rFont val="Calibri"/>
        <b/>
        <color rgb="FF000000"/>
        <sz val="11.0"/>
      </rPr>
      <t xml:space="preserve"> ~09-10 May USG sub program</t>
    </r>
  </si>
  <si>
    <t>Petredec 22 Feb Targa</t>
  </si>
  <si>
    <t>ETA 1st port Nanao 12 Apr</t>
  </si>
  <si>
    <t>Exxon 18-19 May USG</t>
  </si>
  <si>
    <t>Total 07-08 May USG</t>
  </si>
  <si>
    <t>ETA Singapore 10 Apr</t>
  </si>
  <si>
    <t>Borealis 17-18 May USG</t>
  </si>
  <si>
    <r>
      <rPr>
        <rFont val="Calibri"/>
        <color rgb="FF000000"/>
        <sz val="11.0"/>
      </rPr>
      <t xml:space="preserve">ETA Merak 29 Apr, </t>
    </r>
    <r>
      <rPr>
        <rFont val="Calibri"/>
        <b/>
        <color rgb="FF9900FF"/>
        <sz val="11.0"/>
      </rPr>
      <t>Darwin candidate?</t>
    </r>
  </si>
  <si>
    <t>Petredec 22 Mar Freeport</t>
  </si>
  <si>
    <t>Petredec&gt;Itochu</t>
  </si>
  <si>
    <t>ex DD, ETA Balboa 14 Apr</t>
  </si>
  <si>
    <t>Petredec 21-22 Apr USG</t>
  </si>
  <si>
    <t>ETA Freeport 08 May via Cape</t>
  </si>
  <si>
    <t>Petredec 08-09 May Freeport</t>
  </si>
  <si>
    <t>2016</t>
  </si>
  <si>
    <t>Petrobras &gt; Petredec</t>
  </si>
  <si>
    <t>@ Cristobal 13 Apr, pending disport</t>
  </si>
  <si>
    <t>Petredec 01 Apr Freeport</t>
  </si>
  <si>
    <t>@ Nederland 06 Apr, pending firm disport</t>
  </si>
  <si>
    <t>ET 05-06 Apr Nederland</t>
  </si>
  <si>
    <t>Petrobras</t>
  </si>
  <si>
    <t>@ Suape 02 Apr, ETA USG 20 Apr</t>
  </si>
  <si>
    <t>Petrobras 21-22 Apr USG</t>
  </si>
  <si>
    <t>DF, no deck tank</t>
  </si>
  <si>
    <t>PTT</t>
  </si>
  <si>
    <t>ETA USG 10 May via Cape</t>
  </si>
  <si>
    <t>BGN 11-12 May USG</t>
  </si>
  <si>
    <t>ETA USG 03 May via Cape</t>
  </si>
  <si>
    <t xml:space="preserve">"14 knots speed" </t>
  </si>
  <si>
    <t>ATC 05-06 May USG</t>
  </si>
  <si>
    <t>BW Carina</t>
  </si>
  <si>
    <t>Satellite</t>
  </si>
  <si>
    <t>ETA 3rd port Tokyo Bay 13 Apr</t>
  </si>
  <si>
    <t xml:space="preserve">Has 18-19 May Ndl looking to swap for 22-25 May </t>
  </si>
  <si>
    <t>SK Gas 15-16 May USG</t>
  </si>
  <si>
    <t>BW Sirocco</t>
  </si>
  <si>
    <t>@ Cristobal 12 Apr, pending disport</t>
  </si>
  <si>
    <t>PC FOB -&gt; STL 04-05 Apr Nederland</t>
  </si>
  <si>
    <t>ETA 1st port Chiba 27 Apr</t>
  </si>
  <si>
    <t>Exxon 24-25 Mar Nederland</t>
  </si>
  <si>
    <t>ETA USG 20 May via Cape</t>
  </si>
  <si>
    <t>ATC 22-23 May USG</t>
  </si>
  <si>
    <t>Shell</t>
  </si>
  <si>
    <t>ETA 1st port Ulsan 04 May</t>
  </si>
  <si>
    <t>ATC 29-30 Mar Nederland</t>
  </si>
  <si>
    <t>@ Dongguan 11 Apr</t>
  </si>
  <si>
    <t>Petredec 27-28 May USG</t>
  </si>
  <si>
    <t>Mercuria 06-07 Apr Tg Sulong</t>
  </si>
  <si>
    <t>ETA Nederland 03 May via Cape</t>
  </si>
  <si>
    <t>ET 06-07 May Nederland</t>
  </si>
  <si>
    <t>ETA Prelude 14 Apr</t>
  </si>
  <si>
    <t>Shell 14-15 Apr Prelude</t>
  </si>
  <si>
    <t>SHV</t>
  </si>
  <si>
    <t>ETA Freeport 30 Apr via Cape</t>
  </si>
  <si>
    <t>Pertamina 29-30 Apr Freeport</t>
  </si>
  <si>
    <t>Malaysia laden</t>
  </si>
  <si>
    <t>@ Port Klang 12 Apr, ETA USG 23-25 May via Cape</t>
  </si>
  <si>
    <t>OQ 30-31 Mar Salalah</t>
  </si>
  <si>
    <t>BW Kyoto</t>
  </si>
  <si>
    <t>SK Gas</t>
  </si>
  <si>
    <t>ETA Balboa 14 May</t>
  </si>
  <si>
    <t>SK Gas 18 Feb Enterprise</t>
  </si>
  <si>
    <t>ETA Singapore 26 Apr, pending disport</t>
  </si>
  <si>
    <t>Exxon 12-13 Mar Targa</t>
  </si>
  <si>
    <t>ETA 1st port Ulsan 24 Apr</t>
  </si>
  <si>
    <t>SK Gas 17 Mar Enterprise</t>
  </si>
  <si>
    <t>SK Gas 13 Feb Enterprise</t>
  </si>
  <si>
    <t>ETA USG 13 Apr via Cape</t>
  </si>
  <si>
    <t>SK Gas 14-15 Apr USG</t>
  </si>
  <si>
    <t>ETA Cristobal 14 Apr, pending disport</t>
  </si>
  <si>
    <t>SK Gas 06-07 Apr Enterprise</t>
  </si>
  <si>
    <t>ETA 1st port Pyeongtaek 03 May</t>
  </si>
  <si>
    <t>SK Gas 29 Mar Enterprise</t>
  </si>
  <si>
    <t>ETA Singapore 27 Apr, pending disport</t>
  </si>
  <si>
    <t>BASF 07-08 Mar Freeport - FC C4</t>
  </si>
  <si>
    <t>Sinochem Intl</t>
  </si>
  <si>
    <t>ETA 1st port Dongguan 27 Apr</t>
  </si>
  <si>
    <t>Gyxis 23-24 Mar Freeport</t>
  </si>
  <si>
    <t>Sonangol</t>
  </si>
  <si>
    <t>WAF</t>
  </si>
  <si>
    <t>Floater ex WAF / Luanda</t>
  </si>
  <si>
    <t>Sonangol Soyo+Sanha 26 Mar</t>
  </si>
  <si>
    <t>Sonatrach</t>
  </si>
  <si>
    <t>ETA Merak 14 May</t>
  </si>
  <si>
    <t>Sonatrach 07 Apr Bethioua</t>
  </si>
  <si>
    <t>ETA Arun 30 Apr</t>
  </si>
  <si>
    <t>Sonatrach 23 Mar Bethioua</t>
  </si>
  <si>
    <t>SwissChemGas</t>
  </si>
  <si>
    <t>ETA Cristobal 17 Apr</t>
  </si>
  <si>
    <t>Gunvor 06-07 Apr Targa</t>
  </si>
  <si>
    <t>ETA Singapore 18 Apr</t>
  </si>
  <si>
    <t xml:space="preserve">Swiss to BWPS 16-17 to Marathon </t>
  </si>
  <si>
    <t>Marathon 25-26 Feb Freeport</t>
  </si>
  <si>
    <t>BWPS 04-05 May USG</t>
  </si>
  <si>
    <t>@ Nederland, waiting to berth</t>
  </si>
  <si>
    <t>SwissChemGas 11-12 Apr Nederland</t>
  </si>
  <si>
    <t>ETA Stenungsund 13 Apr</t>
  </si>
  <si>
    <t>SwissChemGas 26-27 Mar USG</t>
  </si>
  <si>
    <t>IOC</t>
  </si>
  <si>
    <t>SwissChemGas&gt;ATL</t>
  </si>
  <si>
    <t>Ex Trincomalee 12 Apr</t>
  </si>
  <si>
    <t>ATC 19 Mar Yanbu</t>
  </si>
  <si>
    <t>ETA 1st port Chiba 05 May</t>
  </si>
  <si>
    <t>SwissChemGas 02 Apr Enterprise</t>
  </si>
  <si>
    <t>ETA Port Klang 19 Apr</t>
  </si>
  <si>
    <t>SwissChemGas 07 Mar Enterprise</t>
  </si>
  <si>
    <t>Mexico</t>
  </si>
  <si>
    <t>@ Pajaritos 11 Apr</t>
  </si>
  <si>
    <t>SwissChemGas 05 Apr Targa</t>
  </si>
  <si>
    <t>Tomza</t>
  </si>
  <si>
    <t>@ Pajaritos 30 Mar</t>
  </si>
  <si>
    <t>Tomza 23 Mar Targa</t>
  </si>
  <si>
    <t>Albert II</t>
  </si>
  <si>
    <t>Suape</t>
  </si>
  <si>
    <t>@ Omoa 12 Apr</t>
  </si>
  <si>
    <t>Tomza 06 Apr Enterprise</t>
  </si>
  <si>
    <t>Albert III</t>
  </si>
  <si>
    <t>@ Tuxpan 12 Apr</t>
  </si>
  <si>
    <t>Tomza 20 Mar Enterprise</t>
  </si>
  <si>
    <t>BW Leo</t>
  </si>
  <si>
    <t>Total</t>
  </si>
  <si>
    <t>@ Port Arthur lighterage 12 Apr via Cape</t>
  </si>
  <si>
    <t>Total 12-13 Apr Nederland</t>
  </si>
  <si>
    <t>BW Polaris</t>
  </si>
  <si>
    <t>ETA Mangalore 21 Apr</t>
  </si>
  <si>
    <t>Total 14 Mar Freeport</t>
  </si>
  <si>
    <t>Total 06-07 Apr Freeport</t>
  </si>
  <si>
    <t>ETA Jiangyin 15 Apr</t>
  </si>
  <si>
    <t>Total 11 Mar Nederland</t>
  </si>
  <si>
    <t>ETA Nederland 10 May via Cape</t>
  </si>
  <si>
    <t>Total 10-11 May Nederland</t>
  </si>
  <si>
    <t>ETA Nederland 18 Apr via Cape</t>
  </si>
  <si>
    <t>Total 18-19 Apr Nederland</t>
  </si>
  <si>
    <t>ETA Terneuzen 17 Apr</t>
  </si>
  <si>
    <t>Total 31 Mar Nederland</t>
  </si>
  <si>
    <t>Trafigura</t>
  </si>
  <si>
    <t>ETA Chiba 26 Apr</t>
  </si>
  <si>
    <t>BWPS 19-20 Mar Enterprise</t>
  </si>
  <si>
    <t>Trafigura 23-24 Apr USG</t>
  </si>
  <si>
    <t>ECI</t>
  </si>
  <si>
    <t>ETA Ennore 15 May</t>
  </si>
  <si>
    <t>BWPS 06-07 Apr USG</t>
  </si>
  <si>
    <t>Gunvor 15-16 May USG</t>
  </si>
  <si>
    <t>ETA Balboa 3 May</t>
  </si>
  <si>
    <t>Trafi 24-25 Jan USG</t>
  </si>
  <si>
    <t>ETA USG via Cape 30 Apr</t>
  </si>
  <si>
    <t>Petredec 02-03 May USG</t>
  </si>
  <si>
    <t>Petredec 14-15 May USG (2/2)</t>
  </si>
  <si>
    <t>ETA 1st port Ningbo 24 Apr</t>
  </si>
  <si>
    <t>Trafigura 22 Mar Enterprise</t>
  </si>
  <si>
    <t>ETA USG 14 Apr via Panama</t>
  </si>
  <si>
    <t>Trafigura 12-13 Apr USG</t>
  </si>
  <si>
    <t>ETA Mangalore 20 Apr</t>
  </si>
  <si>
    <t>P66 07-08 Mar Enterprise</t>
  </si>
  <si>
    <t>ETA Port Louis 08 May</t>
  </si>
  <si>
    <t>Trafigura 09-10 Apr Enterprise</t>
  </si>
  <si>
    <t>ETA 1st port Chiba 29 Apr</t>
  </si>
  <si>
    <t>Trafigura 27 Mar Enterprise</t>
  </si>
  <si>
    <t>@ Corpus Christi 06 Apr, pending disport</t>
  </si>
  <si>
    <t>Trafigura 06-07 Apr Corpus Christi</t>
  </si>
  <si>
    <t>ETA USG 14 Apr</t>
  </si>
  <si>
    <t>Trafigura 15-16 Apr USG</t>
  </si>
  <si>
    <t>ETA Mangalore 05 May</t>
  </si>
  <si>
    <t>Trafigura 29 Mar Enterprise</t>
  </si>
  <si>
    <t>ETA Cristobal 10 Apr, pending disport</t>
  </si>
  <si>
    <t>ATC 30-31 Mar Nederland</t>
  </si>
  <si>
    <t>Trafigura?</t>
  </si>
  <si>
    <t>ETA USG 12 Apr via Panama</t>
  </si>
  <si>
    <t>Trafigura 13-14 Apr USG</t>
  </si>
  <si>
    <t>Petrochina 11-12 May USG</t>
  </si>
  <si>
    <t>ETA Singapore 30 Apr</t>
  </si>
  <si>
    <t>Vitol 01-03 Apr Bonny</t>
  </si>
  <si>
    <t>Vitol</t>
  </si>
  <si>
    <t>USG</t>
  </si>
  <si>
    <t>ML: Newbuild / floating outside - Iran owner. Blacklisted by US.</t>
  </si>
  <si>
    <t>Mohammedia</t>
  </si>
  <si>
    <t>ETA Mohammedia 22 Apr</t>
  </si>
  <si>
    <t>Vitol 05 Apr Enterprise</t>
  </si>
  <si>
    <t>East Med</t>
  </si>
  <si>
    <t>ETA Ceuta 16 Apr</t>
  </si>
  <si>
    <t>Vitol 08-09 Apr Escravos</t>
  </si>
  <si>
    <t>ETA 1st Zhanjiang 12 May via Cape</t>
  </si>
  <si>
    <t>Vitol 31 Mar Targa</t>
  </si>
  <si>
    <t>Cayman</t>
  </si>
  <si>
    <t>ETA St Eustatius 16 Apr bunkers, ETA USG 24 Apr</t>
  </si>
  <si>
    <t>Vitol 06-07 Feb Enterprise</t>
  </si>
  <si>
    <t>ETA Merak 20 May</t>
  </si>
  <si>
    <t>Vitol 07-08 Apr Nederland</t>
  </si>
  <si>
    <t>Wanhua</t>
  </si>
  <si>
    <t>Discharge STS in Suez (ML) / Loading at Yanbu</t>
  </si>
  <si>
    <t>ATC 13 Apr Yanbu</t>
  </si>
  <si>
    <t>@ Dubai Anchorage 28 Feb laden</t>
  </si>
  <si>
    <t>Wanhua 18 Feb Yanbu</t>
  </si>
  <si>
    <t>ATC 90 day TC, @ Ras Laffan anchorage 01 Apr</t>
  </si>
  <si>
    <t>ATC 20-21 Feb Ras Tanura</t>
  </si>
  <si>
    <t>ETA China 20 Apr</t>
  </si>
  <si>
    <t>Wanhua 06-07 Apr Yanbu</t>
  </si>
  <si>
    <t>Gas Capricorn (Wanhua)</t>
  </si>
  <si>
    <t>ETA Yantai 19 May</t>
  </si>
  <si>
    <t>Wanhua 02-03 Apr Bethioua</t>
  </si>
  <si>
    <t>@ Yarimca 08 Apr</t>
  </si>
  <si>
    <t>Wanhua 9-10 Mar USG</t>
  </si>
  <si>
    <t>ETA Nederland 15 Apr via Cape</t>
  </si>
  <si>
    <t>Wanhua 13-14 Apr USG</t>
  </si>
  <si>
    <t>DF, Have Deck Tank</t>
  </si>
  <si>
    <t>ETA Cristobal 12 Apr / pending firm disport</t>
  </si>
  <si>
    <t>Wanhua 01-02 Apr Nederland</t>
  </si>
  <si>
    <t>ETA Balboa 4 May / proxy for USG</t>
  </si>
  <si>
    <t>load end May USG</t>
  </si>
  <si>
    <t>Wanhua 20-21 Feb Nederland</t>
  </si>
  <si>
    <t>ETA Yantai 20 Apr</t>
  </si>
  <si>
    <t>Wanhua 06 Mar Bethioua</t>
  </si>
  <si>
    <t>drifting Arabian Sea 02 Apr, WCI as proxy</t>
  </si>
  <si>
    <t>Wanhua 07-08 Feb AG</t>
  </si>
  <si>
    <t>C4</t>
  </si>
  <si>
    <t>ETA USG 16 Apr via Cape</t>
  </si>
  <si>
    <t>Satellite 20-21 Apr USG</t>
  </si>
  <si>
    <t>Wellbred</t>
  </si>
  <si>
    <t>drifting Arabian Sea 11 Mar</t>
  </si>
  <si>
    <t>Flaked by charterer to load Iraq</t>
  </si>
  <si>
    <t>"PURE" SHIPOWNERS</t>
  </si>
  <si>
    <t>Sinogas</t>
  </si>
  <si>
    <t>O</t>
  </si>
  <si>
    <t>ETA Oz 22-25 Apr, WAF 13-15 May, ETA Bethioua 20-25 May</t>
  </si>
  <si>
    <t>Inpex 30-31 Mar Darwin</t>
  </si>
  <si>
    <t>ETA Vung Tau 19 May</t>
  </si>
  <si>
    <t>BP 07-08 Apr Nederland</t>
  </si>
  <si>
    <t>@ Balboa 03 Apr, waiting to transit</t>
  </si>
  <si>
    <t>Gunvor 12-13 Apr USG</t>
  </si>
  <si>
    <t>DF; Deck Tank</t>
  </si>
  <si>
    <t>ETA Ennore Port 29 Apr, ETA USG 10-12 Jun via Cape</t>
  </si>
  <si>
    <t>Total 18-19 Mar Nederland</t>
  </si>
  <si>
    <t>ETA Vung Tau 16 May</t>
  </si>
  <si>
    <t>BWPS 01-02 Apr Enterprise</t>
  </si>
  <si>
    <t>Pacific Gas</t>
  </si>
  <si>
    <t>Philippines</t>
  </si>
  <si>
    <t>ETA Singapore 13 Apr, 4 ports Phils discharge</t>
  </si>
  <si>
    <t>ATC 28 Mar Yanbu</t>
  </si>
  <si>
    <t>BW</t>
  </si>
  <si>
    <t>ETA USG 17 May via Cape</t>
  </si>
  <si>
    <t>AGT 13-14 Feb Ruwais</t>
  </si>
  <si>
    <t>BW Avior</t>
  </si>
  <si>
    <t>ETA 1st port Nagoya 16 Apr</t>
  </si>
  <si>
    <t>P66 24-25 May USG</t>
  </si>
  <si>
    <t>BW Balder</t>
  </si>
  <si>
    <t>ex DD, ETA Balboa 24 Apr</t>
  </si>
  <si>
    <t>BASF 29-30 Apr USG</t>
  </si>
  <si>
    <t>BW Brage</t>
  </si>
  <si>
    <t>ETA Zhoushan 14 Apr, DD</t>
  </si>
  <si>
    <t>BASF COA 03-04 Mar Freeport</t>
  </si>
  <si>
    <t>BW Breeze</t>
  </si>
  <si>
    <t>@ Port Elizabeth 11 Apr</t>
  </si>
  <si>
    <t>BGN 14-15 Mar Nederland</t>
  </si>
  <si>
    <t>BW Capella</t>
  </si>
  <si>
    <t>ETA 2nd port Jinshan 15 Apr</t>
  </si>
  <si>
    <t>COA next voy</t>
  </si>
  <si>
    <t>Petredec 04-05 Mar Targa</t>
  </si>
  <si>
    <t>BW Elm</t>
  </si>
  <si>
    <t>ETD Haldia 15 April</t>
  </si>
  <si>
    <t>BW Frigg</t>
  </si>
  <si>
    <t>ETA Marcus Hook 16 Apr via Cape</t>
  </si>
  <si>
    <t>Going West for sure</t>
  </si>
  <si>
    <t>Total 16-17 Apr MH</t>
  </si>
  <si>
    <t>BW Levant</t>
  </si>
  <si>
    <t>ETA Balboa 02 May</t>
  </si>
  <si>
    <t>Altagas 16-17 Mar RIPET</t>
  </si>
  <si>
    <t>BW Libra</t>
  </si>
  <si>
    <t>@ RIPET 12 Apr</t>
  </si>
  <si>
    <t>Altagas 09-10 Apr RIPET</t>
  </si>
  <si>
    <t>BW Loyalty</t>
  </si>
  <si>
    <t>HPCL</t>
  </si>
  <si>
    <t>@ Ras Laffan anchorage 05 Apr</t>
  </si>
  <si>
    <t>QE short TC 01 Apr onwards</t>
  </si>
  <si>
    <t>BW Magellan</t>
  </si>
  <si>
    <t>ETA Visag 25 Apr</t>
  </si>
  <si>
    <t>BGN 21-22 Mar Freeport</t>
  </si>
  <si>
    <t>BW Mistral</t>
  </si>
  <si>
    <t>Thailand</t>
  </si>
  <si>
    <t>ETA Sri Racha 10 May</t>
  </si>
  <si>
    <t>Marathon 27-28 Mar Freeport</t>
  </si>
  <si>
    <t>BW Monsoon</t>
  </si>
  <si>
    <t>BW&gt;Geogas</t>
  </si>
  <si>
    <t>ETA Zanzibar 26 Apr</t>
  </si>
  <si>
    <t>Geogas 25-26 Mar Enterprise</t>
  </si>
  <si>
    <t>BW Njord</t>
  </si>
  <si>
    <t>ex DD, ETA Balboa 09 Apr</t>
  </si>
  <si>
    <t>Geogas 20-21 Apr USG</t>
  </si>
  <si>
    <t>BW Orion</t>
  </si>
  <si>
    <r>
      <rPr>
        <rFont val="Calibri"/>
        <color rgb="FF000000"/>
        <sz val="11.0"/>
      </rPr>
      <t xml:space="preserve">ETA Kalbut 30 Apr, </t>
    </r>
    <r>
      <rPr>
        <rFont val="Calibri"/>
        <b/>
        <color rgb="FF9900FF"/>
        <sz val="11.0"/>
      </rPr>
      <t>Darwin candidate?</t>
    </r>
  </si>
  <si>
    <t>BGN 20-21 Mar Enterprise</t>
  </si>
  <si>
    <t>BW Passat</t>
  </si>
  <si>
    <r>
      <rPr>
        <rFont val="Calibri"/>
        <color rgb="FF000000"/>
        <sz val="11.0"/>
      </rPr>
      <t>ETA Merak 11 Apr,</t>
    </r>
    <r>
      <rPr>
        <rFont val="Calibri"/>
        <b/>
        <color rgb="FF000000"/>
        <sz val="11.0"/>
      </rPr>
      <t xml:space="preserve"> </t>
    </r>
    <r>
      <rPr>
        <rFont val="Calibri"/>
        <b/>
        <color rgb="FF9900FF"/>
        <sz val="11.0"/>
      </rPr>
      <t>Darwin candidate?</t>
    </r>
  </si>
  <si>
    <t>BGN 20-21 Feb Nederland</t>
  </si>
  <si>
    <t>BW Pampero</t>
  </si>
  <si>
    <t>NO AIS</t>
  </si>
  <si>
    <t>ETA Galveston 18 Apr</t>
  </si>
  <si>
    <t>COA 21-30 Apr USG</t>
  </si>
  <si>
    <t>No AIS</t>
  </si>
  <si>
    <t>BW Pine</t>
  </si>
  <si>
    <t>ex DD, Redel from IOC - will trade spot after DD</t>
  </si>
  <si>
    <t>IOC 08 Feb Ruwais</t>
  </si>
  <si>
    <t>BW Rigel</t>
  </si>
  <si>
    <t>Equinor 10-11 May USG</t>
  </si>
  <si>
    <t>BW Var</t>
  </si>
  <si>
    <t>ex DD, ETA Balboa 25 Apr</t>
  </si>
  <si>
    <t>BGN 06-07 May USG</t>
  </si>
  <si>
    <t>BW Volans</t>
  </si>
  <si>
    <t>ATC &gt; BW?</t>
  </si>
  <si>
    <t>ETA Yeosu 14 Apr bunkers</t>
  </si>
  <si>
    <t>Equinor 26-27 Feb Enterprise (India opt)</t>
  </si>
  <si>
    <t>ETA 1st port Yeosu 12 Apr</t>
  </si>
  <si>
    <t>Altagas 27-28 Mar RIPET</t>
  </si>
  <si>
    <t>BW-Sinogas pool</t>
  </si>
  <si>
    <t>ETA Port Louis 14 Apr</t>
  </si>
  <si>
    <t>SHV 16-17 May Nederland</t>
  </si>
  <si>
    <r>
      <rPr>
        <rFont val="Calibri"/>
        <color rgb="FF000000"/>
        <sz val="11.0"/>
      </rPr>
      <t xml:space="preserve">ETA Merak 16 Apr,  </t>
    </r>
    <r>
      <rPr>
        <rFont val="Calibri"/>
        <b/>
        <color rgb="FF9900FF"/>
        <sz val="11.0"/>
      </rPr>
      <t>Darwin candidate?</t>
    </r>
  </si>
  <si>
    <t>Altagas 19 Mar Ferndale</t>
  </si>
  <si>
    <t>ATC 16-17 Apr USG</t>
  </si>
  <si>
    <t>ETA Singapore 28 May</t>
  </si>
  <si>
    <t>Vitol 11-12 Apr Enterprise</t>
  </si>
  <si>
    <t>Helios</t>
  </si>
  <si>
    <t>ETA USG 16 May via Cape</t>
  </si>
  <si>
    <t>Areion</t>
  </si>
  <si>
    <t>ETA Balboa 19 Apr</t>
  </si>
  <si>
    <t>Petredec 25-26 Apr USG</t>
  </si>
  <si>
    <t>BW Tokyo</t>
  </si>
  <si>
    <t>@ Ferndale 07 Apr</t>
  </si>
  <si>
    <t>Altagas 01-02 Apr Ferndale</t>
  </si>
  <si>
    <t>Captain John NP</t>
  </si>
  <si>
    <t>ETA USG 29 Apr via Cape</t>
  </si>
  <si>
    <t>BGN Ely May USG</t>
  </si>
  <si>
    <t>ETA USG 19 Apr via Cape</t>
  </si>
  <si>
    <t>MB Energy 23-24 Apr USG</t>
  </si>
  <si>
    <t>ETA 1st port Ulsan 18 Apr</t>
  </si>
  <si>
    <t>Axpo 27-28 May USG</t>
  </si>
  <si>
    <t>Helios &gt; Petrobras</t>
  </si>
  <si>
    <t>@ Suape since 06 Mar</t>
  </si>
  <si>
    <t>ATC 09 Nov Nederland</t>
  </si>
  <si>
    <t>ETA Freeport 13 Apr via Cape</t>
  </si>
  <si>
    <t>Axpo 28-29 Apr Freeport</t>
  </si>
  <si>
    <t>BP 09-10 May MH</t>
  </si>
  <si>
    <t>ETA 1st port Chiba 23 Apr</t>
  </si>
  <si>
    <t>? 23 Mar Nederland</t>
  </si>
  <si>
    <t>ETA Ternuezen 16 Apr</t>
  </si>
  <si>
    <t>COA 27-28 Mar Enterprise</t>
  </si>
  <si>
    <t>ETA 1st port Chiba 22 Apr</t>
  </si>
  <si>
    <t>AXPO 30-31 May USG</t>
  </si>
  <si>
    <t>Equinor 18-19 Mar Enterprise</t>
  </si>
  <si>
    <t>P66 18-19 Apr Freeport</t>
  </si>
  <si>
    <t>ETA Balboa 26 Apr</t>
  </si>
  <si>
    <t>ETA Nederland 23 Apr</t>
  </si>
  <si>
    <t>Total 28-29 Apr Nederland</t>
  </si>
  <si>
    <t>ETA Colombo 13 Apr bunkers</t>
  </si>
  <si>
    <t>PetroChina 20-21 May USG</t>
  </si>
  <si>
    <t>ETA Ningbo 18 Apr via Cape</t>
  </si>
  <si>
    <t>ATC 05-06 Apr Enterprise</t>
  </si>
  <si>
    <t>O?</t>
  </si>
  <si>
    <t>ETA Balboa 07 May</t>
  </si>
  <si>
    <t>Unipec 23-24 Feb Enterprise</t>
  </si>
  <si>
    <t>ETA Balboa 20 Apr</t>
  </si>
  <si>
    <t>BP 28-29 Apr USG</t>
  </si>
  <si>
    <t>ETA Balboa 24 Apr, USG 04-05 May</t>
  </si>
  <si>
    <t>Gyxis 21-22 Feb Enterprise</t>
  </si>
  <si>
    <t>E1 18-19 May USG</t>
  </si>
  <si>
    <t>ETA RIPET 01 May</t>
  </si>
  <si>
    <t>Altagas 01-02 May RIPET</t>
  </si>
  <si>
    <t>ETA 1st port Chiba 25 Apr</t>
  </si>
  <si>
    <t>? 23-24 Mar Enterprise</t>
  </si>
  <si>
    <t>HLS Citrine</t>
  </si>
  <si>
    <t>@ Houston anchorage 07 Apr, waiting to berth</t>
  </si>
  <si>
    <t>HLS Diamond</t>
  </si>
  <si>
    <t>ETA Ningbo 29 Apr</t>
  </si>
  <si>
    <t>? 24-25 Mar Targa</t>
  </si>
  <si>
    <t>BASF 15-16 May USG</t>
  </si>
  <si>
    <t>Neptune</t>
  </si>
  <si>
    <t>Abalone 26-27 Apr USG</t>
  </si>
  <si>
    <t>@ 1st port Ningbo 12 Apr</t>
  </si>
  <si>
    <t>Geogas 26-27 May USG</t>
  </si>
  <si>
    <t>@ Sohar Anchorage since 07 Mar</t>
  </si>
  <si>
    <t>COA 06-07 Mar AG</t>
  </si>
  <si>
    <t>ETA Sohar 20 Apr</t>
  </si>
  <si>
    <t>KPC 21-22 Feb MAA</t>
  </si>
  <si>
    <t>ETA Galle 12 Apr</t>
  </si>
  <si>
    <t>ATC 01-02 Mar Yanbu</t>
  </si>
  <si>
    <t>2007</t>
  </si>
  <si>
    <t>@ Sohar 11 Apr</t>
  </si>
  <si>
    <t>BGN 09-10 Feb Ras Laffan</t>
  </si>
  <si>
    <t>ON HOLD FOR KPC, @ Sohar 10 Apr</t>
  </si>
  <si>
    <t>E1 02-03 Feb MAA</t>
  </si>
  <si>
    <t>ETA Tg Sekong 19 May</t>
  </si>
  <si>
    <t>Pertamina 08-09 Apr Freeport</t>
  </si>
  <si>
    <t>Levgas 03-04 May USG</t>
  </si>
  <si>
    <t>EGPC</t>
  </si>
  <si>
    <t>Floater ex Egypt from 06 Jan 26</t>
  </si>
  <si>
    <t>BGN &gt; ???</t>
  </si>
  <si>
    <t>@ Dubai OPL since 16 Mar</t>
  </si>
  <si>
    <t>Great Eastern (GESCO)</t>
  </si>
  <si>
    <t>ETD Mumbai 18 Apr / ETA 01-02 Jun USG</t>
  </si>
  <si>
    <t>IOC 27-28 Feb MAA</t>
  </si>
  <si>
    <t>Phecda Leading Shipping Limited</t>
  </si>
  <si>
    <t>ex DD,  ETA Singapore 15 Apr</t>
  </si>
  <si>
    <t>SwissChemGas End May USG</t>
  </si>
  <si>
    <t>European Navigation Group</t>
  </si>
  <si>
    <t>ex DD, @ Houston anchorage 11 Apr</t>
  </si>
  <si>
    <t>NV Trans</t>
  </si>
  <si>
    <t>Drifting off Sohar 15 Mar</t>
  </si>
  <si>
    <t>ADMIC 04 Feb Ruwais</t>
  </si>
  <si>
    <t>JGE</t>
  </si>
  <si>
    <t>ETA USG 11 May via Cape</t>
  </si>
  <si>
    <t>ATC 10-11 Feb Targa</t>
  </si>
  <si>
    <t>"Chinese"</t>
  </si>
  <si>
    <t>Rarely relet</t>
  </si>
  <si>
    <t>Programmed</t>
  </si>
  <si>
    <t>Prime candidates</t>
  </si>
  <si>
    <t>NB waiting days</t>
  </si>
  <si>
    <t>* Vessels that miss laycan are not in this list</t>
  </si>
  <si>
    <t>* Vessels undergoing TC ownership changes</t>
  </si>
  <si>
    <t>SSS</t>
  </si>
  <si>
    <t>Panamax</t>
  </si>
  <si>
    <t>Pure owner</t>
  </si>
  <si>
    <t>R = Relet; O = Open</t>
  </si>
  <si>
    <t>GOA</t>
  </si>
  <si>
    <t>* Vessels that might not have lifted full subs yet</t>
  </si>
  <si>
    <t>PMAX</t>
  </si>
  <si>
    <t>Open</t>
  </si>
  <si>
    <t>Owner</t>
  </si>
  <si>
    <t>Eu O</t>
  </si>
  <si>
    <t>AG O</t>
  </si>
  <si>
    <t>Yanbu</t>
  </si>
  <si>
    <t>Bonny</t>
  </si>
  <si>
    <t>S'pore</t>
  </si>
  <si>
    <t>Dampier</t>
  </si>
  <si>
    <t>Darwin</t>
  </si>
  <si>
    <t>P. Rupert</t>
  </si>
  <si>
    <t>Comments</t>
  </si>
  <si>
    <t>Current Voyage</t>
  </si>
  <si>
    <t>Next loading</t>
  </si>
  <si>
    <t>WAF (Bonny)</t>
  </si>
  <si>
    <t>P.Rupert</t>
  </si>
  <si>
    <t>Tentative relet</t>
  </si>
  <si>
    <t>Trader (internal) ship</t>
  </si>
  <si>
    <r>
      <rPr>
        <rFont val="Calibri"/>
        <b/>
        <color rgb="FF000000"/>
        <sz val="10.0"/>
      </rPr>
      <t>Firm Relet</t>
    </r>
    <r>
      <rPr>
        <rFont val="Calibri"/>
        <b val="0"/>
        <color rgb="FF000000"/>
        <sz val="10.0"/>
      </rPr>
      <t xml:space="preserve"> / </t>
    </r>
    <r>
      <rPr>
        <rFont val="Calibri"/>
        <b val="0"/>
        <color rgb="FFFF0000"/>
        <sz val="10.0"/>
      </rPr>
      <t>USG only</t>
    </r>
  </si>
  <si>
    <t>Solvang's newbuilds</t>
  </si>
  <si>
    <t>NS Frontier</t>
  </si>
  <si>
    <t>Neu Gas</t>
  </si>
  <si>
    <t>E1 04-05 Mar MAA</t>
  </si>
  <si>
    <t>(Trader Vessel / will not relet)</t>
  </si>
  <si>
    <t>Trafigura 14 Mar AG</t>
  </si>
  <si>
    <t>Tentative Relet</t>
  </si>
  <si>
    <t>ex DD</t>
  </si>
  <si>
    <t>We are working Total early Jul ex Darwin</t>
  </si>
  <si>
    <t>Due to Drydock next</t>
  </si>
  <si>
    <t>Firm Position</t>
  </si>
  <si>
    <t>Assume Pacific Hong Kong will be used for Prelude?</t>
  </si>
  <si>
    <t>E1 27-28 Dec Nederland</t>
  </si>
  <si>
    <t>Sub disports</t>
  </si>
  <si>
    <t>TP Perseverance</t>
  </si>
  <si>
    <t>Ethane DIamon - VLEC</t>
  </si>
  <si>
    <t>In 1) but not in 2)</t>
  </si>
  <si>
    <t>In "India, Iran, FS"</t>
  </si>
  <si>
    <t>cbm, Ethane?</t>
  </si>
  <si>
    <t>Swisschem</t>
  </si>
  <si>
    <t>Solvang</t>
  </si>
  <si>
    <t>Ethane Coral - VLEC</t>
  </si>
  <si>
    <t>Sea Hermes</t>
  </si>
  <si>
    <t>Yanbu Shuttles</t>
  </si>
  <si>
    <t>BGN 22-23 Jan USG  (delay)</t>
  </si>
  <si>
    <t>Going in for Pertamina End Apr USG</t>
  </si>
  <si>
    <t>Candidates</t>
  </si>
  <si>
    <t>Firm relet</t>
  </si>
  <si>
    <t>On TC to ATC</t>
  </si>
  <si>
    <t>Potential candidates</t>
  </si>
  <si>
    <t>Petredec Ely May USG (programmed)</t>
  </si>
  <si>
    <t>Firm position</t>
  </si>
  <si>
    <t>On Hold Gunvor 10-11 May USG</t>
  </si>
  <si>
    <t>Tentative relet /  intention own program</t>
  </si>
  <si>
    <t>Astra - Iran ship changed name</t>
  </si>
  <si>
    <t>Petrogas</t>
  </si>
  <si>
    <t>BP 08-09 May USG OOS</t>
  </si>
  <si>
    <t xml:space="preserve">Back with Head Owner Cassa Mega Lautan PT </t>
  </si>
  <si>
    <t>Ethane Jade - VLEC</t>
  </si>
  <si>
    <t>Petrochina 20-21 May USG</t>
  </si>
  <si>
    <t>New build ex Yard</t>
  </si>
  <si>
    <t>AXPO 27-28 May USG</t>
  </si>
  <si>
    <t>Hi Tore, can i check with you BW Capella, would she be open out of Eu soon?</t>
  </si>
  <si>
    <t>Can you consider Navigare Gaia for Darwin?</t>
  </si>
  <si>
    <t>BGN 07-08 Feb AG</t>
  </si>
  <si>
    <t>Danisa - Iran Ship</t>
  </si>
  <si>
    <t>BP 14-15 Mar USG</t>
  </si>
  <si>
    <t>BGN 02-03 Mar USG</t>
  </si>
  <si>
    <t>"Trader ship"</t>
  </si>
  <si>
    <t>Exxon 12-13 Mar USG</t>
  </si>
  <si>
    <t>BASF 07-08 Mar USG - FC C4</t>
  </si>
  <si>
    <t>Pref AG</t>
  </si>
  <si>
    <t>Porgrammed USG COA</t>
  </si>
  <si>
    <t>ATC 16-17 Mar USG</t>
  </si>
  <si>
    <t>Equinor 19-20 Jan Ras Tanura</t>
  </si>
  <si>
    <t>Gas Jupiter as well?</t>
  </si>
  <si>
    <t>DD at Batam</t>
  </si>
  <si>
    <t>Firm Relet</t>
  </si>
  <si>
    <t>R = Confirmed Relet</t>
  </si>
  <si>
    <t>what is the missing vsl?</t>
  </si>
  <si>
    <t>Hua Xu (Iran)</t>
  </si>
  <si>
    <t>BP 07-08 Mar Ras Laffan</t>
  </si>
  <si>
    <t>Not in VLGC list</t>
  </si>
  <si>
    <t>Duplicates</t>
  </si>
  <si>
    <t>Maersk Code</t>
  </si>
  <si>
    <t>Pure Owner</t>
  </si>
  <si>
    <t>Grey highlight owner</t>
  </si>
  <si>
    <t>1) Tally check for Sorter</t>
  </si>
  <si>
    <t>2) Tally check for AIS</t>
  </si>
  <si>
    <t>Key:</t>
  </si>
  <si>
    <t>Wirana</t>
  </si>
  <si>
    <t>Can use Maersk Code</t>
  </si>
  <si>
    <t>Atlantic voyager - NB</t>
  </si>
  <si>
    <t>latsco</t>
  </si>
  <si>
    <t>Pure owners</t>
  </si>
  <si>
    <t>Apollo Ocean Iran ship</t>
  </si>
  <si>
    <t>Transpetrol</t>
  </si>
  <si>
    <t>-</t>
  </si>
  <si>
    <t>Avance</t>
  </si>
  <si>
    <t>Trafi 07-08 Mar USG</t>
  </si>
  <si>
    <t>WAF Floating strorage</t>
  </si>
  <si>
    <t>Gas Al Kuwait ii</t>
  </si>
  <si>
    <t>Held back for KPC COA</t>
  </si>
  <si>
    <t>"loads AG" = fixed/programmed for AG</t>
  </si>
  <si>
    <t>Aira - Iran ship changed name</t>
  </si>
  <si>
    <t>Lecotra</t>
  </si>
  <si>
    <t>OE 27 Feb AG</t>
  </si>
  <si>
    <t>O = Confirmed Open</t>
  </si>
  <si>
    <t>Missing:</t>
  </si>
  <si>
    <t>Atlantic voyager - Iran ship changed name</t>
  </si>
  <si>
    <t>Nakilat</t>
  </si>
  <si>
    <t>Repsol</t>
  </si>
  <si>
    <t>IOC 07-08 Feb AG</t>
  </si>
  <si>
    <r>
      <rPr>
        <rFont val="Calibri"/>
        <b/>
        <color rgb="FF000000"/>
        <sz val="10.0"/>
      </rPr>
      <t>Firm Position</t>
    </r>
    <r>
      <rPr>
        <rFont val="Calibri"/>
        <b val="0"/>
        <color rgb="FF000000"/>
        <sz val="10.0"/>
      </rPr>
      <t xml:space="preserve"> / </t>
    </r>
    <r>
      <rPr>
        <rFont val="Calibri"/>
        <b val="0"/>
        <color rgb="FFFF0000"/>
        <sz val="10.0"/>
      </rPr>
      <t>ex DD</t>
    </r>
  </si>
  <si>
    <t>Relet</t>
  </si>
  <si>
    <t>Chinese owned and/or operated</t>
  </si>
  <si>
    <t>R = Relet</t>
  </si>
  <si>
    <t>O = Open</t>
  </si>
  <si>
    <t>F</t>
  </si>
  <si>
    <t>More ports</t>
  </si>
  <si>
    <t>Users</t>
  </si>
  <si>
    <t>loads Karsto</t>
  </si>
  <si>
    <t xml:space="preserve">Ridley Island </t>
  </si>
  <si>
    <t>Use P.Rupert</t>
  </si>
  <si>
    <t>USG REGION</t>
  </si>
  <si>
    <t>loads Bethouia</t>
  </si>
  <si>
    <t>loads Kaarstoe</t>
  </si>
  <si>
    <t>Port Bonython</t>
  </si>
  <si>
    <t>Sunoco Nederland Terminal</t>
  </si>
  <si>
    <t>Port Louis?</t>
  </si>
  <si>
    <t>Galveston Light.</t>
  </si>
  <si>
    <t>loads Darwin</t>
  </si>
  <si>
    <t>Bahia Blanca</t>
  </si>
  <si>
    <t>Too rare</t>
  </si>
  <si>
    <t>Cole Bay</t>
  </si>
  <si>
    <t>Crown Point</t>
  </si>
  <si>
    <t>Caribbean Netherlands</t>
  </si>
  <si>
    <t>loads Corpus Christi</t>
  </si>
  <si>
    <t>Relets/Owners' guidance</t>
  </si>
  <si>
    <t>loads Westernport</t>
  </si>
  <si>
    <t>loads Au</t>
  </si>
  <si>
    <t>Enterprise Houston</t>
  </si>
  <si>
    <t>Energy Transfer Nederland LPG</t>
  </si>
  <si>
    <t>Corpus Christi</t>
  </si>
  <si>
    <t>Terminals/STS locations that has slower discharge:</t>
  </si>
  <si>
    <t>Buckeye Texas Hub Terminal</t>
  </si>
  <si>
    <t>USG-Far East</t>
  </si>
  <si>
    <t>PORT LOUIS*</t>
  </si>
  <si>
    <t>Ain Sukhna or Wadi Feiran, Egypt</t>
  </si>
  <si>
    <t>2 weeks</t>
  </si>
  <si>
    <t>Port Louis, Mauritius</t>
  </si>
  <si>
    <t>10 days</t>
  </si>
  <si>
    <t>To USG via Panama // or nearby USG</t>
  </si>
  <si>
    <t>(Cape fastest so N/A)</t>
  </si>
  <si>
    <t>Dongguan, China</t>
  </si>
  <si>
    <t>4-5 days</t>
  </si>
  <si>
    <t>Americas</t>
  </si>
  <si>
    <t>To USG (Cape)</t>
  </si>
  <si>
    <t>Sariaya plus Bataan, Philippines (around 4 to 5 days)</t>
  </si>
  <si>
    <t>Texas</t>
  </si>
  <si>
    <t>to MH</t>
  </si>
  <si>
    <t>Beaumont/Port Arthur</t>
  </si>
  <si>
    <t xml:space="preserve">To WAF (Bonny) </t>
  </si>
  <si>
    <t>To Darwin</t>
  </si>
  <si>
    <t>Tsugaru Strait</t>
  </si>
  <si>
    <t>To Prince Rupert</t>
  </si>
  <si>
    <t>To Yanbu (suez)</t>
  </si>
  <si>
    <t>(inc 1 day transit)</t>
  </si>
  <si>
    <t>To Yanbu (Cape/Med)</t>
  </si>
  <si>
    <t>To Bethioua</t>
  </si>
  <si>
    <t>Singapore to:</t>
  </si>
  <si>
    <t>Port Louis to USG</t>
  </si>
  <si>
    <t>26 days</t>
  </si>
  <si>
    <t>P</t>
  </si>
  <si>
    <t>Cape to Houston</t>
  </si>
  <si>
    <t>to AG</t>
  </si>
  <si>
    <t>To AG (Ras Tanura)</t>
  </si>
  <si>
    <t>Optimization</t>
  </si>
  <si>
    <t>Assuming Indo discharge</t>
  </si>
  <si>
    <t>Open AG</t>
  </si>
  <si>
    <t>New Mangalore</t>
  </si>
  <si>
    <t>X</t>
  </si>
  <si>
    <t>Ennore/Haldia</t>
  </si>
  <si>
    <t>Scrubber</t>
  </si>
  <si>
    <t>Bangladesh</t>
  </si>
  <si>
    <t>Chittagong</t>
  </si>
  <si>
    <t>Botany</t>
  </si>
  <si>
    <t>This is assuming that vessel is coming from Asia. Not from Europe.</t>
  </si>
  <si>
    <t>loads Prince Rupert</t>
  </si>
  <si>
    <t>no Cape ballast - since the ship won't deviate back to AG</t>
  </si>
  <si>
    <t>no Port Louis ballast - since the ship won't deviate back to AG</t>
  </si>
  <si>
    <t>Teluk Semangka</t>
  </si>
  <si>
    <t>MTP</t>
  </si>
  <si>
    <t>Vungtao</t>
  </si>
  <si>
    <t>Bataan</t>
  </si>
  <si>
    <t>Kaohsiung/Mailiao</t>
  </si>
  <si>
    <t>Ningbo</t>
  </si>
  <si>
    <t>ZJG is very close to 16 days</t>
  </si>
  <si>
    <t>Dongguan</t>
  </si>
  <si>
    <t>Tianjin, Yantai (17 days)</t>
  </si>
  <si>
    <t>Australia</t>
  </si>
  <si>
    <t>Brisbane, Botany Bay</t>
  </si>
  <si>
    <t>Dortyol</t>
  </si>
  <si>
    <t xml:space="preserve">With Panama waiting </t>
  </si>
  <si>
    <t xml:space="preserve">Actual days / no waiting </t>
  </si>
  <si>
    <t>Open USG</t>
  </si>
  <si>
    <t>Assuming ARA discharge</t>
  </si>
  <si>
    <t>Assuming Southeast asian discharge</t>
  </si>
  <si>
    <t>Yantai</t>
  </si>
  <si>
    <t>USHOU LA.</t>
  </si>
  <si>
    <t>US HOU&gt;EG PSD</t>
  </si>
  <si>
    <t>NEDERL</t>
  </si>
  <si>
    <t>TEXAS CITY TX</t>
  </si>
  <si>
    <t>Jamaica</t>
  </si>
  <si>
    <t>TEXAS CITY</t>
  </si>
  <si>
    <t>FPT USA</t>
  </si>
  <si>
    <t>FREEPQLVESTON</t>
  </si>
  <si>
    <t>Add it just in case</t>
  </si>
  <si>
    <t>HOUSTMS&gt;0751</t>
  </si>
  <si>
    <t>NEDERLAND, US</t>
  </si>
  <si>
    <t>Suez canal exit</t>
  </si>
  <si>
    <t>HOU,US</t>
  </si>
  <si>
    <t>PABLB&gt;USHOU</t>
  </si>
  <si>
    <t>PA BLB &gt; US HOU</t>
  </si>
  <si>
    <t>Gulf Coast Ammonia</t>
  </si>
  <si>
    <t>Vung Tau</t>
  </si>
  <si>
    <t>US NDD</t>
  </si>
  <si>
    <t>DO SPM&gt;US FPO</t>
  </si>
  <si>
    <t>USHOU" MEADOW,LA.</t>
  </si>
  <si>
    <t>TARGA TERMINAL</t>
  </si>
  <si>
    <t>USHOU BAYTOWN</t>
  </si>
  <si>
    <t>Chile</t>
  </si>
  <si>
    <t>Quintero</t>
  </si>
  <si>
    <t>Buckeye Texas Hub</t>
  </si>
  <si>
    <t>Tuxpan</t>
  </si>
  <si>
    <t>NEDERLAND. USA</t>
  </si>
  <si>
    <t>KRTSN-&gt;PABLB</t>
  </si>
  <si>
    <t>BASF Freeport</t>
  </si>
  <si>
    <t>PADD 5</t>
  </si>
  <si>
    <t>Assume discharge in Southeast asia</t>
  </si>
  <si>
    <t>Tarragona (Spain) / Stenungsung (Sweden) / Rotterdam / Skagen (Denmark)</t>
  </si>
  <si>
    <t>Caribs</t>
  </si>
  <si>
    <t>St Thomas</t>
  </si>
  <si>
    <t>(Morocco)</t>
  </si>
  <si>
    <t>(Hualpen)</t>
  </si>
  <si>
    <t xml:space="preserve">Flushing </t>
  </si>
  <si>
    <t>Santos</t>
  </si>
  <si>
    <t>Malta</t>
  </si>
  <si>
    <t>Puerto Viejo de Azua</t>
  </si>
  <si>
    <t>Las Palmas (Canary Islands)</t>
  </si>
  <si>
    <t>Monteverde</t>
  </si>
  <si>
    <t>La Libertad, Ecaudor</t>
  </si>
  <si>
    <t>West Mexico</t>
  </si>
  <si>
    <t>Manza (Mex)</t>
  </si>
  <si>
    <t>Phillips 66 Freeport Marine Terminal</t>
  </si>
  <si>
    <t>ConocoPhillips Teesside Refinery</t>
  </si>
  <si>
    <t>HOUSTON UP</t>
  </si>
  <si>
    <t>US RV BUNKERING</t>
  </si>
  <si>
    <t>US GALVESTON</t>
  </si>
  <si>
    <t>PA BLB &gt;&gt; US NDX</t>
  </si>
  <si>
    <t>USHOU IRU REFINING</t>
  </si>
  <si>
    <t>MARCUS HOOK USA</t>
  </si>
  <si>
    <t>United States</t>
  </si>
  <si>
    <t>US HOU "9P</t>
  </si>
  <si>
    <t>FREE PORT</t>
  </si>
  <si>
    <t>NEDERLAND, USA</t>
  </si>
  <si>
    <t>US NDZ3</t>
  </si>
  <si>
    <t>GOLA,USA</t>
  </si>
  <si>
    <t>HOU US</t>
  </si>
  <si>
    <t>US-HOU</t>
  </si>
  <si>
    <t>HOUSTL&gt;US^0QRX</t>
  </si>
  <si>
    <t>US FPL LMR</t>
  </si>
  <si>
    <t>HOUSTON US</t>
  </si>
  <si>
    <t>US HOU #VV</t>
  </si>
  <si>
    <t>PA GTN&gt;US HOU</t>
  </si>
  <si>
    <t>US CRP</t>
  </si>
  <si>
    <t>Southern Louisiana</t>
  </si>
  <si>
    <t>US HOU B0QS1</t>
  </si>
  <si>
    <t>US NDX</t>
  </si>
  <si>
    <t>NEDERLAND</t>
  </si>
  <si>
    <t>KR YOS&gt;US</t>
  </si>
  <si>
    <t>US HOWN REFINING</t>
  </si>
  <si>
    <t>NEDERLAND USA</t>
  </si>
  <si>
    <t>PA BLB&gt;US MAH</t>
  </si>
  <si>
    <t>NEDERLAND US</t>
  </si>
  <si>
    <t>US HOS</t>
  </si>
  <si>
    <t>USHOU</t>
  </si>
  <si>
    <t>US HOU</t>
  </si>
  <si>
    <t>HOUSTON-USA</t>
  </si>
  <si>
    <t>US HOUS</t>
  </si>
  <si>
    <t>USHOUS #IUM</t>
  </si>
  <si>
    <t>US HOTTX</t>
  </si>
  <si>
    <t>PA BLB &gt; US NDX</t>
  </si>
  <si>
    <t>HOUSTON,TX.</t>
  </si>
  <si>
    <t>US HOU &gt; PA CTB</t>
  </si>
  <si>
    <t>USHOU PLT STN</t>
  </si>
  <si>
    <t>MAMOH&gt;USHOU (7NO</t>
  </si>
  <si>
    <t>USOGL</t>
  </si>
  <si>
    <t>USFRP</t>
  </si>
  <si>
    <t>FREEPORT-USA</t>
  </si>
  <si>
    <t>US LCH</t>
  </si>
  <si>
    <t>US SBP</t>
  </si>
  <si>
    <t>"Optimization" to Europe</t>
  </si>
  <si>
    <t>US HOTCITY</t>
  </si>
  <si>
    <t>FREEPORT USA</t>
  </si>
  <si>
    <t>USMAH</t>
  </si>
  <si>
    <t>Lake Charles</t>
  </si>
  <si>
    <t>US HOWEA</t>
  </si>
  <si>
    <t>bss 15 knots</t>
  </si>
  <si>
    <t>US HOU &lt;&gt; US GRY</t>
  </si>
  <si>
    <t>&gt;US NDX</t>
  </si>
  <si>
    <t>No Cape laden - since vessel haven't discharged</t>
  </si>
  <si>
    <t>P66 Freeport</t>
  </si>
  <si>
    <t>USFPO</t>
  </si>
  <si>
    <t>HOUSTON USA</t>
  </si>
  <si>
    <t>Bahamas</t>
  </si>
  <si>
    <t>Freeport Bahamas</t>
  </si>
  <si>
    <t>HOUSTON TX</t>
  </si>
  <si>
    <t>Omoa</t>
  </si>
  <si>
    <t>US GLS</t>
  </si>
  <si>
    <t>George Town</t>
  </si>
  <si>
    <t>CNZOS&gt;PABLB</t>
  </si>
  <si>
    <t>USHOU#</t>
  </si>
  <si>
    <t>HOUSTON TEXAS</t>
  </si>
  <si>
    <t>PABLB&gt;USFPO</t>
  </si>
  <si>
    <t>US NED</t>
  </si>
  <si>
    <t>USNDX</t>
  </si>
  <si>
    <t>MARCUS HOOK</t>
  </si>
  <si>
    <t>Panjin</t>
  </si>
  <si>
    <t>BGN 16-30 Jan USG</t>
  </si>
  <si>
    <t>FREEPORT</t>
  </si>
  <si>
    <t>IDTSE&gt;USHOU</t>
  </si>
  <si>
    <t>PABAL&gt;USHOU</t>
  </si>
  <si>
    <t>FREEPORT US</t>
  </si>
  <si>
    <t>USFPO ILE CUT GALVES</t>
  </si>
  <si>
    <t>Sabine Pass</t>
  </si>
  <si>
    <t>Energy Transfer Nederland Terminal</t>
  </si>
  <si>
    <t>PORT EVERGLADES</t>
  </si>
  <si>
    <t>USHOU #</t>
  </si>
  <si>
    <t>Henry edit (Prince Ruper&gt;Ningbo&gt;USGvia Cape</t>
  </si>
  <si>
    <t>MAMOH USHOU</t>
  </si>
  <si>
    <t>Flushing</t>
  </si>
  <si>
    <t>US_GLS</t>
  </si>
  <si>
    <t>USHOU#N</t>
  </si>
  <si>
    <t>CORPUS</t>
  </si>
  <si>
    <t>Algeria</t>
  </si>
  <si>
    <t>Arzew (Algeria)</t>
  </si>
  <si>
    <t>HOUSTON,USA</t>
  </si>
  <si>
    <t>CRIST0BAL</t>
  </si>
  <si>
    <t>Northern America</t>
  </si>
  <si>
    <t>NEDUS</t>
  </si>
  <si>
    <t>US BPT</t>
  </si>
  <si>
    <t>HOUSTON #NY</t>
  </si>
  <si>
    <t>PORT NECHES TX</t>
  </si>
  <si>
    <t>USA-FREEPORT</t>
  </si>
  <si>
    <t>US NEDERLAND</t>
  </si>
  <si>
    <t>Tanjung Sekong</t>
  </si>
  <si>
    <t>US FREEPORT</t>
  </si>
  <si>
    <t>N. Atlantic</t>
  </si>
  <si>
    <t>PHILADELPHIA</t>
  </si>
  <si>
    <t>Vungtau</t>
  </si>
  <si>
    <t>GALVESTON</t>
  </si>
  <si>
    <t>HOUSTON, USA</t>
  </si>
  <si>
    <t>US FPT</t>
  </si>
  <si>
    <t>USBPT</t>
  </si>
  <si>
    <t>Haldia</t>
  </si>
  <si>
    <t>PR CTBLINE LOGISTICS</t>
  </si>
  <si>
    <t>PA CTB &gt; UPX # ND</t>
  </si>
  <si>
    <t>Dev Point</t>
  </si>
  <si>
    <t>PA BLB&gt;US HOU</t>
  </si>
  <si>
    <t>US HOUR CUT</t>
  </si>
  <si>
    <t>USFPO-GBIMM</t>
  </si>
  <si>
    <t>NEDERLAND, U.S.A</t>
  </si>
  <si>
    <t>US GOLUSHOU</t>
  </si>
  <si>
    <t>USGLS&lt;&gt;USHOU</t>
  </si>
  <si>
    <t>U&lt;HKOU</t>
  </si>
  <si>
    <t>PA CTB &gt; US NDX</t>
  </si>
  <si>
    <t>US MAH</t>
  </si>
  <si>
    <t>PA CTB &gt; H</t>
  </si>
  <si>
    <t>USHOU MAMOH</t>
  </si>
  <si>
    <t>HOUSTO BAYOU</t>
  </si>
  <si>
    <t>US HOW5 GALVESTON</t>
  </si>
  <si>
    <t>MARCUS HOOK US</t>
  </si>
  <si>
    <t>HOUSTON,TX</t>
  </si>
  <si>
    <t>US HOUSTON</t>
  </si>
  <si>
    <t>US HOWN, TX</t>
  </si>
  <si>
    <t>USHOU ES</t>
  </si>
  <si>
    <t>NEDERLAND,U.S.A</t>
  </si>
  <si>
    <t>FREEPORT TX</t>
  </si>
  <si>
    <t>HOUSTN</t>
  </si>
  <si>
    <t>1 day bunker, -2 days to Soyo</t>
  </si>
  <si>
    <t>Or Tangiers</t>
  </si>
  <si>
    <t>Dortyol, Izmit</t>
  </si>
  <si>
    <t>Teluk Semangka - Singapore - Bonny</t>
  </si>
  <si>
    <t>MTP,Rayong</t>
  </si>
  <si>
    <t>Tianjin</t>
  </si>
  <si>
    <t>Lujia Shipyard</t>
  </si>
  <si>
    <t>Tarragona (Spain)</t>
  </si>
  <si>
    <t>Aruba</t>
  </si>
  <si>
    <t>CITGO Aruba Refinery</t>
  </si>
  <si>
    <t>Kingston LPG Terminal</t>
  </si>
  <si>
    <t>St. Thomas</t>
  </si>
  <si>
    <t>Cayman Islands</t>
  </si>
  <si>
    <t>Georgetown</t>
  </si>
  <si>
    <t>Ocoa (as proxy)</t>
  </si>
  <si>
    <t>Dominican Republic</t>
  </si>
  <si>
    <t>Ocoa</t>
  </si>
  <si>
    <t>Ocoa Bay Anchorage</t>
  </si>
  <si>
    <t>Caribbean Sea</t>
  </si>
  <si>
    <t>SAN PEDRO</t>
  </si>
  <si>
    <t>San Pedro de Macoris LPG Terminal</t>
  </si>
  <si>
    <t>San Pedro de Macoris LPG</t>
  </si>
  <si>
    <t>OCOA BAY</t>
  </si>
  <si>
    <t>Curacao</t>
  </si>
  <si>
    <t>Kingston</t>
  </si>
  <si>
    <t>CA PRR</t>
  </si>
  <si>
    <t>Ridley-&gt;Far East + 14</t>
  </si>
  <si>
    <t>Ridley Island Terminal</t>
  </si>
  <si>
    <t>Ridley Island Propane Export Terminal</t>
  </si>
  <si>
    <t>Canada</t>
  </si>
  <si>
    <t>MH</t>
  </si>
  <si>
    <t>Assume to Sines then to Bethioua. 15 knots &amp; 5 days discharge</t>
  </si>
  <si>
    <t>Assume to Sines then to Bethioua. 15 knots and 5 days discharge</t>
  </si>
  <si>
    <t>USWC (US West Coast)</t>
  </si>
  <si>
    <t>loads Bethioua</t>
  </si>
  <si>
    <t>Cherry Point</t>
  </si>
  <si>
    <t>Ferndale-&gt;Far East + 14</t>
  </si>
  <si>
    <t>Yesil Terminal</t>
  </si>
  <si>
    <t>Panama LNG</t>
  </si>
  <si>
    <t>PA CRI</t>
  </si>
  <si>
    <t>&gt; PA CRI</t>
  </si>
  <si>
    <t>BLB PA</t>
  </si>
  <si>
    <t>PNBLB</t>
  </si>
  <si>
    <t>PN BLB</t>
  </si>
  <si>
    <t>Via Cape</t>
  </si>
  <si>
    <t>Via Suez</t>
  </si>
  <si>
    <t>PACBL</t>
  </si>
  <si>
    <t>PACR</t>
  </si>
  <si>
    <t>Panama Canal Light.</t>
  </si>
  <si>
    <t>Black Sea</t>
  </si>
  <si>
    <t>CRSTBL</t>
  </si>
  <si>
    <t>New Mangolare</t>
  </si>
  <si>
    <t>PABLB W TPE</t>
  </si>
  <si>
    <t>PR CTB 28</t>
  </si>
  <si>
    <t>Jizan</t>
  </si>
  <si>
    <t>PA CBL</t>
  </si>
  <si>
    <t>CTB PA</t>
  </si>
  <si>
    <t>Bahia Las Minas Refineria</t>
  </si>
  <si>
    <t>Marcus Hook</t>
  </si>
  <si>
    <t>PABLB</t>
  </si>
  <si>
    <t>Energy Transfer Marcus Hook Refinery</t>
  </si>
  <si>
    <t>Sunoco Marcus Hook Refinery</t>
  </si>
  <si>
    <t>Tuxpan Gas Tomza</t>
  </si>
  <si>
    <t>Bunker in Jamaica</t>
  </si>
  <si>
    <t>San Gregorio</t>
  </si>
  <si>
    <t>Come By Chance Refinery</t>
  </si>
  <si>
    <t>DD in AG</t>
  </si>
  <si>
    <t>Botany Bay</t>
  </si>
  <si>
    <t>MIDDLE EAST REGION</t>
  </si>
  <si>
    <t>Drydocks World – Dubai</t>
  </si>
  <si>
    <t>Saudi Arabia</t>
  </si>
  <si>
    <t>RAS BUDRAN EGYPT</t>
  </si>
  <si>
    <t>Karachi Shipyard</t>
  </si>
  <si>
    <t>AE RUS</t>
  </si>
  <si>
    <t>AE FJR &gt;&gt;QA RLF</t>
  </si>
  <si>
    <t>FUJAIRAH UAE</t>
  </si>
  <si>
    <t>MESAIEED_QATAR</t>
  </si>
  <si>
    <t>RAS LAFFAN QATAR R</t>
  </si>
  <si>
    <t>RAS_LAFFAN</t>
  </si>
  <si>
    <t>QA UMS</t>
  </si>
  <si>
    <t>To Singapore</t>
  </si>
  <si>
    <t>RAS LAFFAN QATAR 1L</t>
  </si>
  <si>
    <t>MINA BAN</t>
  </si>
  <si>
    <t>THSRI&gt;AEFUJ</t>
  </si>
  <si>
    <t>Oiltank. Sohar</t>
  </si>
  <si>
    <t>SOHAR OMAN</t>
  </si>
  <si>
    <t>Saudi Aramco Ras Tanura LPG Terminal</t>
  </si>
  <si>
    <t>MAA KUWAIT</t>
  </si>
  <si>
    <t>KU MAA HY</t>
  </si>
  <si>
    <t>MINA AL AHMADY</t>
  </si>
  <si>
    <t>AE FJR&gt;KW MEA</t>
  </si>
  <si>
    <t>ID TSE TO QA RLF</t>
  </si>
  <si>
    <t>SA RTAHEEN FIELD</t>
  </si>
  <si>
    <t>Ras Al Khair</t>
  </si>
  <si>
    <t>KW ME</t>
  </si>
  <si>
    <t>Mina al-Ahmadi LPG</t>
  </si>
  <si>
    <t>RASLAFFAN K</t>
  </si>
  <si>
    <t>Jebel Ali LPG</t>
  </si>
  <si>
    <t>Qatar Petroleum Ras Laffan Refinery</t>
  </si>
  <si>
    <t>BHMIN</t>
  </si>
  <si>
    <t>EG AIRUSORF</t>
  </si>
  <si>
    <t>RUWAIP</t>
  </si>
  <si>
    <t>RLF</t>
  </si>
  <si>
    <t>SGSIN QARLF</t>
  </si>
  <si>
    <t>AT MAA</t>
  </si>
  <si>
    <t>MINA AL AHAMADIA</t>
  </si>
  <si>
    <t>Ju'aymah NGL</t>
  </si>
  <si>
    <t>INHAL &gt;QA RLF</t>
  </si>
  <si>
    <t>KWMEA/MINCUMYA</t>
  </si>
  <si>
    <t>MINA AL AHMADI KUWAI</t>
  </si>
  <si>
    <t>AE RUUEH</t>
  </si>
  <si>
    <t>IN HAL QA RLF</t>
  </si>
  <si>
    <t>Persian Gulf</t>
  </si>
  <si>
    <t>RASLAFAN QATAR</t>
  </si>
  <si>
    <t>AERWP</t>
  </si>
  <si>
    <t>To Westernport</t>
  </si>
  <si>
    <t>YANBU KSA</t>
  </si>
  <si>
    <t>Horizon Djibouti</t>
  </si>
  <si>
    <t>PK KHI --- AE RUW</t>
  </si>
  <si>
    <t>SAYBI</t>
  </si>
  <si>
    <t>10+5+2+11</t>
  </si>
  <si>
    <t>AE FJR D ANCHORAGE</t>
  </si>
  <si>
    <t>QA RLEEH</t>
  </si>
  <si>
    <t>AEFJR</t>
  </si>
  <si>
    <t>FUJAIRAH_OPL</t>
  </si>
  <si>
    <t>RUWAIS,UAE</t>
  </si>
  <si>
    <t>IN VTZ - QA RLF</t>
  </si>
  <si>
    <t>AE FUJ&gt;KW MEA</t>
  </si>
  <si>
    <t>INHAL &gt; AEFJR</t>
  </si>
  <si>
    <t>AEDAS</t>
  </si>
  <si>
    <t>MINA AI AHMADI</t>
  </si>
  <si>
    <t>AE DAS</t>
  </si>
  <si>
    <t>FUJ UAE</t>
  </si>
  <si>
    <t>AEFJRC</t>
  </si>
  <si>
    <t>Iraq</t>
  </si>
  <si>
    <t>RASLAFAN</t>
  </si>
  <si>
    <t>Jubail Industrial Port</t>
  </si>
  <si>
    <t>JPOIT K 3 E OFF</t>
  </si>
  <si>
    <t>Mesaieed</t>
  </si>
  <si>
    <t>Umm Said</t>
  </si>
  <si>
    <t>AE_DAS</t>
  </si>
  <si>
    <t>AERUW</t>
  </si>
  <si>
    <t>FUJ</t>
  </si>
  <si>
    <t>ID MRK &gt; AU RUW</t>
  </si>
  <si>
    <t>AEPRA</t>
  </si>
  <si>
    <t>SA RTA</t>
  </si>
  <si>
    <t>FUJAIRAH 3</t>
  </si>
  <si>
    <t>SA_RTA</t>
  </si>
  <si>
    <t>AE KLFIELD</t>
  </si>
  <si>
    <t>QARLF!N</t>
  </si>
  <si>
    <t>SA RT</t>
  </si>
  <si>
    <t>QARLD</t>
  </si>
  <si>
    <t>RLF Q</t>
  </si>
  <si>
    <t>AERWS</t>
  </si>
  <si>
    <t>RAS LAFFAN,QATAR</t>
  </si>
  <si>
    <t>SGSIN&gt;KWMEA</t>
  </si>
  <si>
    <t>AE FJR&gt;&gt;QA RLF</t>
  </si>
  <si>
    <t>SA TRA</t>
  </si>
  <si>
    <t>ASRY</t>
  </si>
  <si>
    <t>AG (Baharin DD, Gas Alkhaleej)</t>
  </si>
  <si>
    <t>Das Island Products</t>
  </si>
  <si>
    <t>BAPCO Sitra Refinery</t>
  </si>
  <si>
    <t>QARLF#0</t>
  </si>
  <si>
    <t>AE KLF &gt; KW MEA</t>
  </si>
  <si>
    <t>QA RALF</t>
  </si>
  <si>
    <t>SGSIN &gt; QARLF</t>
  </si>
  <si>
    <t>MMA,KUWAIT</t>
  </si>
  <si>
    <t>Gulf of Oman</t>
  </si>
  <si>
    <t>QA RLD</t>
  </si>
  <si>
    <t>Duqm</t>
  </si>
  <si>
    <t>KW MAA</t>
  </si>
  <si>
    <t>SA JUT #?&amp;</t>
  </si>
  <si>
    <t>RAS LAFFAN "&amp;;</t>
  </si>
  <si>
    <t>Oiltanking Odfjell Terminal Oman</t>
  </si>
  <si>
    <t>Kuwait</t>
  </si>
  <si>
    <t>AG (MAA)</t>
  </si>
  <si>
    <t>Jubail Refinery</t>
  </si>
  <si>
    <t>KR YOS &gt; KE MEA</t>
  </si>
  <si>
    <t>IN HAL&gt; AE FUJ</t>
  </si>
  <si>
    <t>KHORFAKAN</t>
  </si>
  <si>
    <t>Mina' Saqr</t>
  </si>
  <si>
    <t>DAS ISLAND, U.A.E</t>
  </si>
  <si>
    <t>Sharjah Anchorage</t>
  </si>
  <si>
    <t>Horizon Djibouti Terminal</t>
  </si>
  <si>
    <t>AE RWS</t>
  </si>
  <si>
    <t>ASRY,BAHARIN ES</t>
  </si>
  <si>
    <t>MEA KUW</t>
  </si>
  <si>
    <t>Asaluyeh South Pars Terminal</t>
  </si>
  <si>
    <t>ASRY M</t>
  </si>
  <si>
    <t>Sitra Refinery</t>
  </si>
  <si>
    <t>ASRY,BAHARIN #;\</t>
  </si>
  <si>
    <t>IN HAL&gt;&gt;RUWAIP</t>
  </si>
  <si>
    <t>ASRY BEERA PORT</t>
  </si>
  <si>
    <t>RAS TANNURAH.KSA</t>
  </si>
  <si>
    <t>Yanbu NGL Terminal</t>
  </si>
  <si>
    <t>QA RLF</t>
  </si>
  <si>
    <t>AEFJR&gt;KWMEA</t>
  </si>
  <si>
    <t>Romano Terminal</t>
  </si>
  <si>
    <t>INDAH KWMEA</t>
  </si>
  <si>
    <t>RAS LAFAN</t>
  </si>
  <si>
    <t>AE FUJ AE KLF GE</t>
  </si>
  <si>
    <t>RAS LAFFAN</t>
  </si>
  <si>
    <t>AE RWP &gt;</t>
  </si>
  <si>
    <t>FUJAIRAHX</t>
  </si>
  <si>
    <t>Jiangsu Yangtzejiang Petrochemical</t>
  </si>
  <si>
    <t>FUJAIRAH D ANCR</t>
  </si>
  <si>
    <t>SA RTAFFAN</t>
  </si>
  <si>
    <t>HAMRIYAH.U.A.E.</t>
  </si>
  <si>
    <t>Dongjiakou</t>
  </si>
  <si>
    <t>IN HAL &gt; AE FJ</t>
  </si>
  <si>
    <t>Tianjin Lingang</t>
  </si>
  <si>
    <t>KHORFAKKAN</t>
  </si>
  <si>
    <t>QA RLE</t>
  </si>
  <si>
    <t>Fuzhou</t>
  </si>
  <si>
    <t>KU MAA</t>
  </si>
  <si>
    <t>Raoping</t>
  </si>
  <si>
    <t>OPL FUJAIRAH</t>
  </si>
  <si>
    <t>Southwest China</t>
  </si>
  <si>
    <t>Qinzhou</t>
  </si>
  <si>
    <t>AE RWP</t>
  </si>
  <si>
    <t>Guangxi Tiansheng</t>
  </si>
  <si>
    <t>Khasab Anchorage</t>
  </si>
  <si>
    <t>Chita Fuels Terminal</t>
  </si>
  <si>
    <t>ARMED GUARDS ONBOARD</t>
  </si>
  <si>
    <t>Cosmo Matsuyama</t>
  </si>
  <si>
    <t>RUWAIS</t>
  </si>
  <si>
    <t>Hekinan</t>
  </si>
  <si>
    <t>Idemitsu Chiba Kosan Refinery</t>
  </si>
  <si>
    <t>Iwatani Sakai</t>
  </si>
  <si>
    <t>Karatsu</t>
  </si>
  <si>
    <t>Kashima JGE</t>
  </si>
  <si>
    <t>Kashima LPG</t>
  </si>
  <si>
    <t>Kawasaki - Eneos Globe</t>
  </si>
  <si>
    <t>Kawasaki - Gyxis</t>
  </si>
  <si>
    <t>Kawasaki - JGEC</t>
  </si>
  <si>
    <t>Marubeni Chiba</t>
  </si>
  <si>
    <t>RAS LAFFAN, QATAR</t>
  </si>
  <si>
    <t>Matsuura Kyushu</t>
  </si>
  <si>
    <t>Mina Al-Ahmadi</t>
  </si>
  <si>
    <t>Namikata</t>
  </si>
  <si>
    <t>Middle East</t>
  </si>
  <si>
    <t>Nanao</t>
  </si>
  <si>
    <t>Mideast Gulf</t>
  </si>
  <si>
    <t>Niigata</t>
  </si>
  <si>
    <t>JEBEL ALI</t>
  </si>
  <si>
    <t>Nippon Mizushima Refinery B</t>
  </si>
  <si>
    <t>RUWAIS^5E5E5E5E5E5E5</t>
  </si>
  <si>
    <t>Oita</t>
  </si>
  <si>
    <t>QARFL</t>
  </si>
  <si>
    <t>Oita Refinery</t>
  </si>
  <si>
    <t>QARLF</t>
  </si>
  <si>
    <t>Osaka</t>
  </si>
  <si>
    <t>RAS LAFFAN\QATAR</t>
  </si>
  <si>
    <t>Sakai Refinery</t>
  </si>
  <si>
    <t>AE RUW</t>
  </si>
  <si>
    <t>Sakaide</t>
  </si>
  <si>
    <t>&gt;FUJ</t>
  </si>
  <si>
    <t>SGSIN &gt;&gt; AEFJR</t>
  </si>
  <si>
    <t>Showa Kobe</t>
  </si>
  <si>
    <t>INHAL &gt; AEDAS</t>
  </si>
  <si>
    <t>Tokuyama LPG</t>
  </si>
  <si>
    <t>AE FJR</t>
  </si>
  <si>
    <t>Yokkaichi Plant</t>
  </si>
  <si>
    <t>RUWAIS UAE</t>
  </si>
  <si>
    <t>South Korea</t>
  </si>
  <si>
    <t>AG FOR ORDERS</t>
  </si>
  <si>
    <t>KWMEA</t>
  </si>
  <si>
    <t>SK Ulsan</t>
  </si>
  <si>
    <t>FUJAIRAH,UAE</t>
  </si>
  <si>
    <t>Ulsan Liquid Pier</t>
  </si>
  <si>
    <t>East Coast UAE - Fujairah</t>
  </si>
  <si>
    <t>Sitra</t>
  </si>
  <si>
    <t>DUBAI OPL</t>
  </si>
  <si>
    <t>IN HAL &gt;AE-FJR</t>
  </si>
  <si>
    <t>DUQM, OMAN</t>
  </si>
  <si>
    <t>BH SIT</t>
  </si>
  <si>
    <t>ID MRK-AE FJR</t>
  </si>
  <si>
    <t>IN HAL &gt;&gt; AE FUJ</t>
  </si>
  <si>
    <t>Red Sea</t>
  </si>
  <si>
    <t>DUBAI</t>
  </si>
  <si>
    <t>QA RUS</t>
  </si>
  <si>
    <t>AE FJR &gt;&gt; KW MAA</t>
  </si>
  <si>
    <t>KHASAB</t>
  </si>
  <si>
    <t>SHARJAH</t>
  </si>
  <si>
    <t>RASTANURAH</t>
  </si>
  <si>
    <t>RASLAFFAN QATAR</t>
  </si>
  <si>
    <t>ASRY FAN QATAR</t>
  </si>
  <si>
    <t>DASISLAND</t>
  </si>
  <si>
    <t>AG (Iran)</t>
  </si>
  <si>
    <t>YOSU,SOUTH KOREA</t>
  </si>
  <si>
    <t>AE JEA &gt; AE FJR</t>
  </si>
  <si>
    <t>QA QLF</t>
  </si>
  <si>
    <t>RAS TANURA</t>
  </si>
  <si>
    <t>AEF-JR</t>
  </si>
  <si>
    <t>QA RLF S</t>
  </si>
  <si>
    <t>SA YNB</t>
  </si>
  <si>
    <t>RUWAIS FOR ORDERS</t>
  </si>
  <si>
    <t>SARTA</t>
  </si>
  <si>
    <t>RAS LAN</t>
  </si>
  <si>
    <t>MINA ALAHMADI</t>
  </si>
  <si>
    <t>SGSIN &gt; AEFJR</t>
  </si>
  <si>
    <t>SA YNB&gt;SA GIZ</t>
  </si>
  <si>
    <t>QR RLF</t>
  </si>
  <si>
    <t>RAS LABAI</t>
  </si>
  <si>
    <t>Iran</t>
  </si>
  <si>
    <t>Yanbu NGL &amp; Yanbu Aramco Sinopec Refining Company</t>
  </si>
  <si>
    <t>Ras Tanura LPG</t>
  </si>
  <si>
    <t>RUW UAE</t>
  </si>
  <si>
    <t>INHAL &gt; AEFUJ</t>
  </si>
  <si>
    <t>SOHAR</t>
  </si>
  <si>
    <t>KWMEA #UMYA</t>
  </si>
  <si>
    <t>RAS LAFFAN BC O&gt;U</t>
  </si>
  <si>
    <t>AE FUJ</t>
  </si>
  <si>
    <t>AE DAS &gt; AE RUW</t>
  </si>
  <si>
    <t>AE RUW&gt;&gt;OM SOH</t>
  </si>
  <si>
    <t>QA MES</t>
  </si>
  <si>
    <t>MINA AL AHAMEDI</t>
  </si>
  <si>
    <t>MINAALAHMADI</t>
  </si>
  <si>
    <t>West Coast UAE</t>
  </si>
  <si>
    <t>KWMEA"</t>
  </si>
  <si>
    <t>RASLAFFAN.QATAR</t>
  </si>
  <si>
    <t>ASRY,BAHARIN IJ</t>
  </si>
  <si>
    <t>QA RAS</t>
  </si>
  <si>
    <t>MINA AL AH</t>
  </si>
  <si>
    <t>DDW-D</t>
  </si>
  <si>
    <t>AG (DD)</t>
  </si>
  <si>
    <t>AE PRA</t>
  </si>
  <si>
    <t>AG (DD, Kodaijisan)</t>
  </si>
  <si>
    <t>AE FJR&gt;AE DXB</t>
  </si>
  <si>
    <t>AE DXB</t>
  </si>
  <si>
    <t>AG ( DD, BW Trader)</t>
  </si>
  <si>
    <t>PORTSAID,EGYPT</t>
  </si>
  <si>
    <t>Suez + 7</t>
  </si>
  <si>
    <t>RAS GHARIB</t>
  </si>
  <si>
    <t>SUMED EGYPT</t>
  </si>
  <si>
    <t>OPL SUEZ</t>
  </si>
  <si>
    <t>SUEZ STS AREA</t>
  </si>
  <si>
    <t>IDBDJ&gt;EGADA</t>
  </si>
  <si>
    <t>EG WAF</t>
  </si>
  <si>
    <t>EG SZC</t>
  </si>
  <si>
    <t>AINSUKHANA</t>
  </si>
  <si>
    <t>Ain Sukhna</t>
  </si>
  <si>
    <t>Egypt</t>
  </si>
  <si>
    <t>EGDAM</t>
  </si>
  <si>
    <t>Alexandria</t>
  </si>
  <si>
    <t>El Dekheila</t>
  </si>
  <si>
    <t>South Suez Canal</t>
  </si>
  <si>
    <t>ABO RUDIS</t>
  </si>
  <si>
    <t>SA RTA SA JH</t>
  </si>
  <si>
    <t>Alexandria Products Import Terminal</t>
  </si>
  <si>
    <t>To Port Bonython</t>
  </si>
  <si>
    <t>Wadi Feiran LGP Terminal</t>
  </si>
  <si>
    <t>SUEZ, EGYPT</t>
  </si>
  <si>
    <t>Gulf of Aqaba</t>
  </si>
  <si>
    <t>Ain Sukhna 2</t>
  </si>
  <si>
    <t>WADIFEIRAN</t>
  </si>
  <si>
    <t>WADI FAYRAN,EG</t>
  </si>
  <si>
    <t>SUEZ EGYPT</t>
  </si>
  <si>
    <t>EGSCN</t>
  </si>
  <si>
    <t>Damietta</t>
  </si>
  <si>
    <t>EGSUZ &gt; SAGIZ</t>
  </si>
  <si>
    <t>Port of Suez</t>
  </si>
  <si>
    <t>RAS BVDRAN</t>
  </si>
  <si>
    <t>SUEZ OPL EGYPT</t>
  </si>
  <si>
    <t>WADI ETI</t>
  </si>
  <si>
    <t>SUEZ OPL</t>
  </si>
  <si>
    <t>US NDX&gt;EG SUZ</t>
  </si>
  <si>
    <t>EG SUZ</t>
  </si>
  <si>
    <t>EGSUZ</t>
  </si>
  <si>
    <t>EGWAF</t>
  </si>
  <si>
    <t>EG PSD&gt;EG SUZ</t>
  </si>
  <si>
    <t>EG AIS</t>
  </si>
  <si>
    <t>EGAIS</t>
  </si>
  <si>
    <t>SAGIZ</t>
  </si>
  <si>
    <t>SUMED. PEBGA</t>
  </si>
  <si>
    <t>RAS SHUQIR</t>
  </si>
  <si>
    <t>assuming southeast asia discharge</t>
  </si>
  <si>
    <t>WADI EAYQAN,EF</t>
  </si>
  <si>
    <t>WADI FEIRAN</t>
  </si>
  <si>
    <t>AIN SUKHNAH</t>
  </si>
  <si>
    <t>SA RTA&gt;SA GIZ</t>
  </si>
  <si>
    <t>RAS BUDRAN</t>
  </si>
  <si>
    <t>Jizan Refinery</t>
  </si>
  <si>
    <t>To Dampier</t>
  </si>
  <si>
    <t>SA GIZ</t>
  </si>
  <si>
    <t>JIZAN OPL</t>
  </si>
  <si>
    <t>Sonker Ain Sukhna</t>
  </si>
  <si>
    <t>Port Qasim</t>
  </si>
  <si>
    <t>Red Sea Light.</t>
  </si>
  <si>
    <t>WADI FERAN</t>
  </si>
  <si>
    <t>AIN SUKHNA EGYPT</t>
  </si>
  <si>
    <t>SUEZE GYPT</t>
  </si>
  <si>
    <t>JIZAN</t>
  </si>
  <si>
    <t>PORT SAID EGYPT</t>
  </si>
  <si>
    <t>EGSZC</t>
  </si>
  <si>
    <t>Jordan</t>
  </si>
  <si>
    <t>EG_AIS</t>
  </si>
  <si>
    <t>JIZAN_ARMEDGUARD</t>
  </si>
  <si>
    <t>Aqaba Terminal</t>
  </si>
  <si>
    <t>EG RAB</t>
  </si>
  <si>
    <t>AINSUKHNA</t>
  </si>
  <si>
    <t>ABU RUDEIS</t>
  </si>
  <si>
    <t>SG SIN - EG SUZ</t>
  </si>
  <si>
    <t>EGYPT SUEZ</t>
  </si>
  <si>
    <t>Mailao</t>
  </si>
  <si>
    <t>(SUEZ)</t>
  </si>
  <si>
    <t>Ain Sukhna Ammonia</t>
  </si>
  <si>
    <t>SUEZ SOUTH STS</t>
  </si>
  <si>
    <t>EG SCZ</t>
  </si>
  <si>
    <t>EAST COAST SAUDI ARABIA</t>
  </si>
  <si>
    <t>Las Palmas</t>
  </si>
  <si>
    <t>Canary Islands</t>
  </si>
  <si>
    <t>Arzew</t>
  </si>
  <si>
    <t>Bethioua -&gt; SG</t>
  </si>
  <si>
    <t>USHOU&gt;MAMNY</t>
  </si>
  <si>
    <t>Mohammedia + 5</t>
  </si>
  <si>
    <t>DZ AZW</t>
  </si>
  <si>
    <t>Skikda</t>
  </si>
  <si>
    <t>MOHAMMEDIA</t>
  </si>
  <si>
    <t>Samir Mohammedia Refinery</t>
  </si>
  <si>
    <t>MA JFL</t>
  </si>
  <si>
    <t>MA MOH</t>
  </si>
  <si>
    <t>ESALG&gt;MAML</t>
  </si>
  <si>
    <t>MOHMMEDIA</t>
  </si>
  <si>
    <t>Talara Refinery</t>
  </si>
  <si>
    <t>Sanha FPSO</t>
  </si>
  <si>
    <t>Western Africa</t>
  </si>
  <si>
    <t>Tema Oil Refinery</t>
  </si>
  <si>
    <t>Soyo Condensate terminal</t>
  </si>
  <si>
    <t>Bonny LPG</t>
  </si>
  <si>
    <t>WAF (Soyo)</t>
  </si>
  <si>
    <t>Escravos Terminal</t>
  </si>
  <si>
    <t>assuming Southeast asia discharge</t>
  </si>
  <si>
    <t>Nigeria</t>
  </si>
  <si>
    <t>Angola</t>
  </si>
  <si>
    <t>LUANDA 0("H</t>
  </si>
  <si>
    <t>AO LAD</t>
  </si>
  <si>
    <t>Luanda Refinery</t>
  </si>
  <si>
    <t>FPSO_SANHA</t>
  </si>
  <si>
    <t>Pointe Noire Terminal</t>
  </si>
  <si>
    <t>N'Kossa FPSO</t>
  </si>
  <si>
    <t>SANHA FSO</t>
  </si>
  <si>
    <t>SANHA ANGOLA</t>
  </si>
  <si>
    <t>SOYO</t>
  </si>
  <si>
    <t>NGESC</t>
  </si>
  <si>
    <t>BONNY</t>
  </si>
  <si>
    <t>TG TFW&gt;NG ESC</t>
  </si>
  <si>
    <t>Onne</t>
  </si>
  <si>
    <t>ESCRAVOS</t>
  </si>
  <si>
    <t>NG ESC</t>
  </si>
  <si>
    <t>Durban LPG</t>
  </si>
  <si>
    <t>Pointe Noire</t>
  </si>
  <si>
    <t>ZA PLZ&gt;ZA RCB</t>
  </si>
  <si>
    <t>ZARCB</t>
  </si>
  <si>
    <t>NG ESC FSO</t>
  </si>
  <si>
    <t>PlusPetrol Pisco</t>
  </si>
  <si>
    <t>LUANDA</t>
  </si>
  <si>
    <t>To Yanbu - via Cape</t>
  </si>
  <si>
    <t>To Yanbu - via GOA</t>
  </si>
  <si>
    <t>Ships that can do GOA</t>
  </si>
  <si>
    <t>US HOU ZA RCB</t>
  </si>
  <si>
    <t>EAST</t>
  </si>
  <si>
    <t>Walvis Bay</t>
  </si>
  <si>
    <t>WAF (discharge)</t>
  </si>
  <si>
    <t>SANHA</t>
  </si>
  <si>
    <t>Lome</t>
  </si>
  <si>
    <t>Bioko</t>
  </si>
  <si>
    <t>ESCRAVOS NIGERIA</t>
  </si>
  <si>
    <t>BONNY NIGERIA</t>
  </si>
  <si>
    <t>LUAND</t>
  </si>
  <si>
    <t>SANHA,ANGOLA</t>
  </si>
  <si>
    <t>Bata</t>
  </si>
  <si>
    <t>Alba LPG Plant</t>
  </si>
  <si>
    <t>Map Ta Phut</t>
  </si>
  <si>
    <t>Cape (as proxy)</t>
  </si>
  <si>
    <t>Durban</t>
  </si>
  <si>
    <t>Richards Bay Bidvest Terminal</t>
  </si>
  <si>
    <t>Durban LPG Terminal</t>
  </si>
  <si>
    <t>Beira (Mozambique, East Africa)</t>
  </si>
  <si>
    <t>Petredec Mauritius</t>
  </si>
  <si>
    <t>PORT ELZBTH</t>
  </si>
  <si>
    <t>BP Beira Products Terminal</t>
  </si>
  <si>
    <t>ZA RCB &gt; ZA CPT</t>
  </si>
  <si>
    <t>ZA PLZ</t>
  </si>
  <si>
    <t>MU PLU</t>
  </si>
  <si>
    <t>Tanzania + 7</t>
  </si>
  <si>
    <t>ZNZ</t>
  </si>
  <si>
    <t>TZZNZ</t>
  </si>
  <si>
    <t>WEST</t>
  </si>
  <si>
    <t>Cape of Good Hope</t>
  </si>
  <si>
    <t>COEGA</t>
  </si>
  <si>
    <t>South Africa</t>
  </si>
  <si>
    <t>Eastern Africa</t>
  </si>
  <si>
    <t>Tanzania International Petroleum Reserves</t>
  </si>
  <si>
    <t>BVI</t>
  </si>
  <si>
    <t>MBSA</t>
  </si>
  <si>
    <t>Mombasa</t>
  </si>
  <si>
    <t>Brazil</t>
  </si>
  <si>
    <t>MU PLU&gt;ZA RCB</t>
  </si>
  <si>
    <t>ZA RCB,SOUTH AFRICA</t>
  </si>
  <si>
    <t>ZA RCB</t>
  </si>
  <si>
    <t>TZ ZNZ</t>
  </si>
  <si>
    <t>Porvoo</t>
  </si>
  <si>
    <t>ZANZIBAR</t>
  </si>
  <si>
    <t>Greece</t>
  </si>
  <si>
    <t>Kalamata</t>
  </si>
  <si>
    <t>Kenya</t>
  </si>
  <si>
    <t>Nipah Light.</t>
  </si>
  <si>
    <t>SPORE PWBGA</t>
  </si>
  <si>
    <t>San Pedro?</t>
  </si>
  <si>
    <t>SGSIN PEBGB</t>
  </si>
  <si>
    <t>NG ESC&gt;SG SIN</t>
  </si>
  <si>
    <t>Pelepas Light.</t>
  </si>
  <si>
    <t>Singapore Strait</t>
  </si>
  <si>
    <t>SPORE</t>
  </si>
  <si>
    <t>SGSJN</t>
  </si>
  <si>
    <t>SG SINANG</t>
  </si>
  <si>
    <t>Singapore Republic</t>
  </si>
  <si>
    <t>SG PBGB</t>
  </si>
  <si>
    <t>SG SIN (PEBGA)</t>
  </si>
  <si>
    <t>SGSIN ASSPU</t>
  </si>
  <si>
    <t>SGSIN</t>
  </si>
  <si>
    <t>SINGAPORE-HORIZON</t>
  </si>
  <si>
    <t>SG WPBGA</t>
  </si>
  <si>
    <t>SG SILPWBGA</t>
  </si>
  <si>
    <t>PJSB SINGAPORE</t>
  </si>
  <si>
    <t>SG SIOGSIN</t>
  </si>
  <si>
    <t>ASSPU ANCHORAGE</t>
  </si>
  <si>
    <t>Malacca Strait</t>
  </si>
  <si>
    <t>Singapore (DD)</t>
  </si>
  <si>
    <t>KRINC ASSPU SIN</t>
  </si>
  <si>
    <t>KEPPEL</t>
  </si>
  <si>
    <t>SG-SIN/ASSPU</t>
  </si>
  <si>
    <t>SG-PGBG</t>
  </si>
  <si>
    <t>SG SIN PWBGA</t>
  </si>
  <si>
    <t>SG SIG</t>
  </si>
  <si>
    <t>SGSIG-PGBG</t>
  </si>
  <si>
    <t>SG SIN PGBG</t>
  </si>
  <si>
    <t>SGSIN PWBGA</t>
  </si>
  <si>
    <t>SG-PG</t>
  </si>
  <si>
    <t>SGSIN YTRDK</t>
  </si>
  <si>
    <t>NIPAH,ORE PEBGC</t>
  </si>
  <si>
    <t>SGSIG PGBG</t>
  </si>
  <si>
    <t>Huchem Bintulu Ammonia</t>
  </si>
  <si>
    <t>SNG</t>
  </si>
  <si>
    <t>PEBG</t>
  </si>
  <si>
    <t>Singapore (M'sia)</t>
  </si>
  <si>
    <t>SG SIN KEPPEL</t>
  </si>
  <si>
    <t>Western Petroleum B Anchorage</t>
  </si>
  <si>
    <t>SIN TUAS DD</t>
  </si>
  <si>
    <t>SG KEQRTH</t>
  </si>
  <si>
    <t>Johor Port Berhad</t>
  </si>
  <si>
    <t>Semabawang</t>
  </si>
  <si>
    <t>Tanjung Sulong</t>
  </si>
  <si>
    <t>Load Msia - Disch South/East China likely</t>
  </si>
  <si>
    <t>ATB</t>
  </si>
  <si>
    <t>KR MOK TO SG SIN</t>
  </si>
  <si>
    <t>Bintulu</t>
  </si>
  <si>
    <t>Johor Port</t>
  </si>
  <si>
    <t>Malaysia</t>
  </si>
  <si>
    <t>Kuantan</t>
  </si>
  <si>
    <t>Malaysia (bunkers)</t>
  </si>
  <si>
    <t>Petronas PBCT terminal</t>
  </si>
  <si>
    <t>Malaysia + 2</t>
  </si>
  <si>
    <t>Rapid</t>
  </si>
  <si>
    <t>Malaysia - Malacca Strait</t>
  </si>
  <si>
    <t>Stolthaven Westport Klang Terminal</t>
  </si>
  <si>
    <t>Sabah Ammonia Urea Terminal</t>
  </si>
  <si>
    <t>Petronas Melaka Refinery</t>
  </si>
  <si>
    <t>India?/SG-JP?</t>
  </si>
  <si>
    <t>Asia</t>
  </si>
  <si>
    <t>Taipei</t>
  </si>
  <si>
    <t>Taiwan + 2</t>
  </si>
  <si>
    <t>Shen-ao Oil Harbour</t>
  </si>
  <si>
    <t>Talin Refinery</t>
  </si>
  <si>
    <t>Talin Products Terminal</t>
  </si>
  <si>
    <t>Taichung LPG</t>
  </si>
  <si>
    <t>Taichung LPG Terminal</t>
  </si>
  <si>
    <t>Talin Products</t>
  </si>
  <si>
    <t>Shen-ao</t>
  </si>
  <si>
    <t>North China +4</t>
  </si>
  <si>
    <t>Rizhao</t>
  </si>
  <si>
    <t>Binzhou</t>
  </si>
  <si>
    <t>Huludao</t>
  </si>
  <si>
    <t>Bora LyondellBasell Panjin Cracker</t>
  </si>
  <si>
    <t>Laoining Kingfa Cracker</t>
  </si>
  <si>
    <t>Shandong</t>
  </si>
  <si>
    <t>Zhifu</t>
  </si>
  <si>
    <t>Dalian LPG</t>
  </si>
  <si>
    <t>Yantai LPG</t>
  </si>
  <si>
    <t>Yantai LPG Terminal</t>
  </si>
  <si>
    <t>Yantai Area</t>
  </si>
  <si>
    <t>Longkou Port</t>
  </si>
  <si>
    <t>Vopak Terminal Tianjin Lingang</t>
  </si>
  <si>
    <t>Rizhao Area</t>
  </si>
  <si>
    <t>Dalian Fujia</t>
  </si>
  <si>
    <t>Longkou LPG</t>
  </si>
  <si>
    <t>Longkou</t>
  </si>
  <si>
    <t>Tianjin Anchorage</t>
  </si>
  <si>
    <t>Vopak Tianjin Lingang</t>
  </si>
  <si>
    <t>Qingdao</t>
  </si>
  <si>
    <t>CN PAJ</t>
  </si>
  <si>
    <t>Lianyungang Petrochemical Storage</t>
  </si>
  <si>
    <t>Dongying LPG</t>
  </si>
  <si>
    <t>Sinopec Hainan</t>
  </si>
  <si>
    <t>South China + 4</t>
  </si>
  <si>
    <t>Hainan</t>
  </si>
  <si>
    <t>Dongshan Bay</t>
  </si>
  <si>
    <t>Shenzhen LPG</t>
  </si>
  <si>
    <t>Qinzhou LPG</t>
  </si>
  <si>
    <t>Guangdong Area</t>
  </si>
  <si>
    <t>Nansha</t>
  </si>
  <si>
    <t>Chaozhou</t>
  </si>
  <si>
    <t>Shenzhen LPG Terminal</t>
  </si>
  <si>
    <t>Fangcheng</t>
  </si>
  <si>
    <t>CN SHG HRDD</t>
  </si>
  <si>
    <t>Sinopec Fujian</t>
  </si>
  <si>
    <t>Shenzhen</t>
  </si>
  <si>
    <t>Hong Kong Port</t>
  </si>
  <si>
    <t>Fujian</t>
  </si>
  <si>
    <t>Haikou LPG</t>
  </si>
  <si>
    <t>CNFZG</t>
  </si>
  <si>
    <t>Hong Kong</t>
  </si>
  <si>
    <t>Sinochem Quanzhou Petrochemical</t>
  </si>
  <si>
    <t>South China Sea</t>
  </si>
  <si>
    <t>Fuzhou Chemicals</t>
  </si>
  <si>
    <t>Huizhou Petrochemicals</t>
  </si>
  <si>
    <t>Guangdong</t>
  </si>
  <si>
    <t>Chiwan Petroleum</t>
  </si>
  <si>
    <t>Guangzhou Area</t>
  </si>
  <si>
    <t>Dongshan LPG</t>
  </si>
  <si>
    <t>Zhu Hai</t>
  </si>
  <si>
    <t>Yiulian Shipyard</t>
  </si>
  <si>
    <t>Dry dock</t>
  </si>
  <si>
    <t>Zhanjiang</t>
  </si>
  <si>
    <t>BASF Zhanjiang Verbund</t>
  </si>
  <si>
    <t>Jingjiang LPG</t>
  </si>
  <si>
    <t>East China + 4</t>
  </si>
  <si>
    <t>Tongshouwei Shipyard</t>
  </si>
  <si>
    <t>Dry Dock</t>
  </si>
  <si>
    <t>Yellow Sea</t>
  </si>
  <si>
    <t>Daxie Ningbo LPG</t>
  </si>
  <si>
    <t>Chongming</t>
  </si>
  <si>
    <t>Jiangyin Lyon</t>
  </si>
  <si>
    <t>Huangyan Shanzui Tou Import Terminal</t>
  </si>
  <si>
    <t>Zhapu LPG Terminal</t>
  </si>
  <si>
    <t>Caojing</t>
  </si>
  <si>
    <t>Caojing Anchorage</t>
  </si>
  <si>
    <t>Jiangsu Litian</t>
  </si>
  <si>
    <t>Qidu</t>
  </si>
  <si>
    <t>Chang Jiang Kou Anch.</t>
  </si>
  <si>
    <t>Nantong 2</t>
  </si>
  <si>
    <t>Shanghai Area</t>
  </si>
  <si>
    <t>West Pacific Petrochemical Company Refinery</t>
  </si>
  <si>
    <t>Jiangsu Litian Terminal</t>
  </si>
  <si>
    <t>Chengxi Shipyard</t>
  </si>
  <si>
    <t>Jiangyin Chengxi Ship Voyage Repair</t>
  </si>
  <si>
    <t>Vopak Ningbo</t>
  </si>
  <si>
    <t>CJK</t>
  </si>
  <si>
    <t>Shanghai</t>
  </si>
  <si>
    <t>Shuidong</t>
  </si>
  <si>
    <t>South China + 3</t>
  </si>
  <si>
    <t>Dafeng</t>
  </si>
  <si>
    <t>Yangtze river</t>
  </si>
  <si>
    <t>Xiaomenyu Port</t>
  </si>
  <si>
    <t>Huangyan Shanzui Tou</t>
  </si>
  <si>
    <t>Zhenjiang</t>
  </si>
  <si>
    <t>Jiangnan Shipyard</t>
  </si>
  <si>
    <t>Zhapu LPG</t>
  </si>
  <si>
    <t>Zhoushan</t>
  </si>
  <si>
    <t>East China Sea</t>
  </si>
  <si>
    <t>Hengli Petrochemical</t>
  </si>
  <si>
    <t>Sinopec Nanjing</t>
  </si>
  <si>
    <t>Eastern China Sea</t>
  </si>
  <si>
    <t>Gyeongsangnam</t>
  </si>
  <si>
    <t>Korea + 4</t>
  </si>
  <si>
    <t>Korea+3/+1 bunkers</t>
  </si>
  <si>
    <t>Yeosu Light.</t>
  </si>
  <si>
    <t>Ulsan Ammonia Terminal</t>
  </si>
  <si>
    <t>SK Ulsan Refinery</t>
  </si>
  <si>
    <t>Seetec Daesan</t>
  </si>
  <si>
    <t>Busan</t>
  </si>
  <si>
    <t>Ulsan Ammonia</t>
  </si>
  <si>
    <t>Boryeong</t>
  </si>
  <si>
    <t>Boryeong LNG Terminal</t>
  </si>
  <si>
    <t>Incheon Port</t>
  </si>
  <si>
    <t>Hyundai Daesan Refinery</t>
  </si>
  <si>
    <t>Niihama</t>
  </si>
  <si>
    <t>Japan + 6</t>
  </si>
  <si>
    <t>Naoetsu INPEX</t>
  </si>
  <si>
    <t>Tsuneishi Shipyard</t>
  </si>
  <si>
    <t>Marifu Refinery</t>
  </si>
  <si>
    <t>Matsuura</t>
  </si>
  <si>
    <t>Niigata LPG</t>
  </si>
  <si>
    <t>Yokkaichi</t>
  </si>
  <si>
    <t>Chiba Area</t>
  </si>
  <si>
    <t>Kagoshima</t>
  </si>
  <si>
    <t>Nagasaki Works</t>
  </si>
  <si>
    <t>Tokuyama</t>
  </si>
  <si>
    <t>Hitachi LPG</t>
  </si>
  <si>
    <t>Kawasaki</t>
  </si>
  <si>
    <t>Negishi LNG Terminal</t>
  </si>
  <si>
    <t>Sakaide LPG</t>
  </si>
  <si>
    <t>Oita LPG</t>
  </si>
  <si>
    <t>Naoetsu INPEX LNG Terminal</t>
  </si>
  <si>
    <t>Kinuura</t>
  </si>
  <si>
    <t>Tokuyama LPG Terminal</t>
  </si>
  <si>
    <t>Nisshin Oillio Okayama</t>
  </si>
  <si>
    <t>Yokohama</t>
  </si>
  <si>
    <t>Kobe</t>
  </si>
  <si>
    <t>Ohgishima LNG Terminal</t>
  </si>
  <si>
    <t>Japan Sea</t>
  </si>
  <si>
    <t>Himeji</t>
  </si>
  <si>
    <t>Joetsu INPEX</t>
  </si>
  <si>
    <t>Yokosuka</t>
  </si>
  <si>
    <t>Kaita</t>
  </si>
  <si>
    <t>Fukuoka LPG Centre</t>
  </si>
  <si>
    <t>Showa Kobe Terminal</t>
  </si>
  <si>
    <t>Fukuyama</t>
  </si>
  <si>
    <t>Visakhapatnam Refinery</t>
  </si>
  <si>
    <t>ECI + 5</t>
  </si>
  <si>
    <t>Ennore Fertilizer Plant</t>
  </si>
  <si>
    <t>Kakinada Fertilizer</t>
  </si>
  <si>
    <t>Petregaz Krishnapatnam</t>
  </si>
  <si>
    <t>Paradip</t>
  </si>
  <si>
    <t>Ennore</t>
  </si>
  <si>
    <t>Ennore Terminal</t>
  </si>
  <si>
    <t>East Coast India</t>
  </si>
  <si>
    <t>Dhamra Anchorage</t>
  </si>
  <si>
    <t>"ECI" +3 (Bangladesh)</t>
  </si>
  <si>
    <t>Visakhapatnam</t>
  </si>
  <si>
    <t>Dhamra Light.</t>
  </si>
  <si>
    <t>Aegis Pipavav</t>
  </si>
  <si>
    <t>WCI + 5</t>
  </si>
  <si>
    <t>Tuticorin</t>
  </si>
  <si>
    <t>Kakinada Fertilizer Terminal</t>
  </si>
  <si>
    <t>Hazira</t>
  </si>
  <si>
    <t>New Manglore</t>
  </si>
  <si>
    <t xml:space="preserve">New Mangalore </t>
  </si>
  <si>
    <t xml:space="preserve">New Manglore </t>
  </si>
  <si>
    <t>Kochi</t>
  </si>
  <si>
    <t>Kochi LNG Terminal</t>
  </si>
  <si>
    <t>LKCMB</t>
  </si>
  <si>
    <t>Colombo Anch</t>
  </si>
  <si>
    <t>Dahej</t>
  </si>
  <si>
    <t>Sikka</t>
  </si>
  <si>
    <t>BPCL Mumbai</t>
  </si>
  <si>
    <t>West Coast India</t>
  </si>
  <si>
    <t>Mumbai Light.</t>
  </si>
  <si>
    <t>Villa Male tanks farm</t>
  </si>
  <si>
    <t>Galle +2</t>
  </si>
  <si>
    <t>LAUGFS Colombo</t>
  </si>
  <si>
    <t>LAUGFS Hambantota</t>
  </si>
  <si>
    <t>Male Anchorage</t>
  </si>
  <si>
    <t>Male</t>
  </si>
  <si>
    <t>Trincomalee Light.</t>
  </si>
  <si>
    <t>Indian Ocean</t>
  </si>
  <si>
    <t>Colombo</t>
  </si>
  <si>
    <t>Manila</t>
  </si>
  <si>
    <t>Philippines + 3</t>
  </si>
  <si>
    <t>Sual</t>
  </si>
  <si>
    <t>Port Dickson Refinery</t>
  </si>
  <si>
    <t>Liquigaz Sariaya Terminal</t>
  </si>
  <si>
    <t>Batangas</t>
  </si>
  <si>
    <t>Petron Mandaue Depot</t>
  </si>
  <si>
    <t>Petron Bataan Refinery</t>
  </si>
  <si>
    <t>Davao</t>
  </si>
  <si>
    <t>Subic Bay</t>
  </si>
  <si>
    <t>Liquigaz Sariaya</t>
  </si>
  <si>
    <t>Luzon</t>
  </si>
  <si>
    <t>Hai Phong</t>
  </si>
  <si>
    <t>Vietnam + 3</t>
  </si>
  <si>
    <t>Philphos Fertilizer Plant</t>
  </si>
  <si>
    <t>PetroVietnam Vung Tau Oil Terminal</t>
  </si>
  <si>
    <t>Ho Chi Minh</t>
  </si>
  <si>
    <t>Haiphong</t>
  </si>
  <si>
    <t>Thai Binh</t>
  </si>
  <si>
    <t>Map Ta Phut Terminal</t>
  </si>
  <si>
    <t>Thailand +3</t>
  </si>
  <si>
    <t>Sriracha LPG</t>
  </si>
  <si>
    <t>Sriracha LPG Terminal</t>
  </si>
  <si>
    <t>Indo + 4</t>
  </si>
  <si>
    <t>South-East Asia</t>
  </si>
  <si>
    <t>Teluk Semangka Terminal</t>
  </si>
  <si>
    <t>Indo + 4 (STS)</t>
  </si>
  <si>
    <t>Bontang LPG</t>
  </si>
  <si>
    <t>Pertamina Bintan BBM</t>
  </si>
  <si>
    <t>Pertamina TBBM Tanjung Uban Import Terminal</t>
  </si>
  <si>
    <t>Indonesia</t>
  </si>
  <si>
    <t>Pertamina Panjang Bandar Lampung</t>
  </si>
  <si>
    <t>Teluk Kabung Terminal</t>
  </si>
  <si>
    <t>Oiltanking Merak</t>
  </si>
  <si>
    <t>Batam Port</t>
  </si>
  <si>
    <t>Anyer Terminal</t>
  </si>
  <si>
    <t>Teluk Kabung</t>
  </si>
  <si>
    <t>Pertamina Tanjung Sekong</t>
  </si>
  <si>
    <t>Kalbut Situbondo</t>
  </si>
  <si>
    <t>Anyer</t>
  </si>
  <si>
    <t>Tanjung Priok</t>
  </si>
  <si>
    <t>Banggai</t>
  </si>
  <si>
    <t>Kalimantan</t>
  </si>
  <si>
    <t>Rayong</t>
  </si>
  <si>
    <t>Thailand + 3</t>
  </si>
  <si>
    <t>Westernport</t>
  </si>
  <si>
    <t>open "Indo" + 7</t>
  </si>
  <si>
    <t>Australia + 2</t>
  </si>
  <si>
    <t>Ichthys</t>
  </si>
  <si>
    <t>Bonython</t>
  </si>
  <si>
    <t>Gladstone</t>
  </si>
  <si>
    <t>Bayu Undan FPSO</t>
  </si>
  <si>
    <t>Kwinana Ammonia</t>
  </si>
  <si>
    <t>Channel Island LPG</t>
  </si>
  <si>
    <t>Prelude FLNG</t>
  </si>
  <si>
    <t>Prelude</t>
  </si>
  <si>
    <t>North West Shelf LPG</t>
  </si>
  <si>
    <t>BP Pinkenba</t>
  </si>
  <si>
    <t>Aus discharge</t>
  </si>
  <si>
    <t>Put open "Indo" first</t>
  </si>
  <si>
    <t>Repsol Tarragona Butano</t>
  </si>
  <si>
    <t>Eu +8</t>
  </si>
  <si>
    <t>Tarragona</t>
  </si>
  <si>
    <t>Stenungsund Terminal</t>
  </si>
  <si>
    <t>Eu + 4</t>
  </si>
  <si>
    <t>Fortuneswell</t>
  </si>
  <si>
    <t>Switzerland</t>
  </si>
  <si>
    <t>Kemaman</t>
  </si>
  <si>
    <t>Zeebrugge</t>
  </si>
  <si>
    <t>Ravenna</t>
  </si>
  <si>
    <t>Naples Refinery</t>
  </si>
  <si>
    <t>BE ANR H</t>
  </si>
  <si>
    <t>Rotterdam</t>
  </si>
  <si>
    <t>Skagen</t>
  </si>
  <si>
    <t>Netherlands</t>
  </si>
  <si>
    <t>Lavera 2</t>
  </si>
  <si>
    <t>Poland</t>
  </si>
  <si>
    <t>Vopak Vlissingen</t>
  </si>
  <si>
    <t>United Kingdom</t>
  </si>
  <si>
    <t>Zeebrugge LPG Terminal</t>
  </si>
  <si>
    <t>Borealis Porvoo</t>
  </si>
  <si>
    <t>English Channel</t>
  </si>
  <si>
    <t>Repsol Butano</t>
  </si>
  <si>
    <t>Repsol Cartagena Refinery</t>
  </si>
  <si>
    <t>Sines Terminal de Graneis Liquidos</t>
  </si>
  <si>
    <t>Fos</t>
  </si>
  <si>
    <t>Europe</t>
  </si>
  <si>
    <t>Donges</t>
  </si>
  <si>
    <t>Marseille</t>
  </si>
  <si>
    <t>Ceuta</t>
  </si>
  <si>
    <t>Le Havre</t>
  </si>
  <si>
    <t>BASF Antwerpen</t>
  </si>
  <si>
    <t>North West Europe Zone</t>
  </si>
  <si>
    <t>Teesside</t>
  </si>
  <si>
    <t>Ghent</t>
  </si>
  <si>
    <t>Gijon LPG</t>
  </si>
  <si>
    <t>Spain</t>
  </si>
  <si>
    <t>Portugal</t>
  </si>
  <si>
    <t>Le Havre Norgal</t>
  </si>
  <si>
    <t>Karlshamn</t>
  </si>
  <si>
    <t>Canvey Island</t>
  </si>
  <si>
    <t>Gothenburg</t>
  </si>
  <si>
    <t>BASF Antwerp</t>
  </si>
  <si>
    <t>Gijon LPG Terminal</t>
  </si>
  <si>
    <t>ETT Rotterdam</t>
  </si>
  <si>
    <t>Sines</t>
  </si>
  <si>
    <t>Eu + 5</t>
  </si>
  <si>
    <t>Denmark</t>
  </si>
  <si>
    <t>ARA</t>
  </si>
  <si>
    <t>Lisbon</t>
  </si>
  <si>
    <t>Porvoo LPG</t>
  </si>
  <si>
    <t>Immingham Gas</t>
  </si>
  <si>
    <t>Brest</t>
  </si>
  <si>
    <t>Fort de France Refinery</t>
  </si>
  <si>
    <t>Dunkirk</t>
  </si>
  <si>
    <t>Versalis Dunkirk Cracker</t>
  </si>
  <si>
    <t>Skagen Anchorage</t>
  </si>
  <si>
    <t>Immingham</t>
  </si>
  <si>
    <t>US MAH - NL VLI</t>
  </si>
  <si>
    <t>Brindisi</t>
  </si>
  <si>
    <t>Karsto</t>
  </si>
  <si>
    <t>Cartagena</t>
  </si>
  <si>
    <t>Karsto Processing Plant</t>
  </si>
  <si>
    <t>Dow Terneuzen</t>
  </si>
  <si>
    <t>Brunsbuttel</t>
  </si>
  <si>
    <t>Oiltank. Amsterdam</t>
  </si>
  <si>
    <t>Snohvit</t>
  </si>
  <si>
    <t>BMF Burgas</t>
  </si>
  <si>
    <t>Turkey + 5</t>
  </si>
  <si>
    <t>Burgas</t>
  </si>
  <si>
    <t>Yara Sluiskil</t>
  </si>
  <si>
    <t>Vopak Terminal Vlissingen</t>
  </si>
  <si>
    <t>Swinoujscie Area</t>
  </si>
  <si>
    <t>Bosphorus Strait</t>
  </si>
  <si>
    <t>Augusta</t>
  </si>
  <si>
    <t>Vassiliko</t>
  </si>
  <si>
    <t>Livorno</t>
  </si>
  <si>
    <t>Guzeliali Shipyard</t>
  </si>
  <si>
    <t>Italy</t>
  </si>
  <si>
    <t>Romano</t>
  </si>
  <si>
    <t>Canakkale</t>
  </si>
  <si>
    <t>Aygaz Izmit</t>
  </si>
  <si>
    <t>Nemrut</t>
  </si>
  <si>
    <t>Ceyhan</t>
  </si>
  <si>
    <t>Aliaga</t>
  </si>
  <si>
    <t>Tuzla Shipyard</t>
  </si>
  <si>
    <t>Equinor Mongstad Refinery</t>
  </si>
  <si>
    <t>Greece (Turkey)</t>
  </si>
  <si>
    <t>Piraeus</t>
  </si>
  <si>
    <t>Aygaz-Ipragaz Terminal</t>
  </si>
  <si>
    <t>Nemrut LPG</t>
  </si>
  <si>
    <t>Alania</t>
  </si>
  <si>
    <t>Gibraltar Dockyard</t>
  </si>
  <si>
    <t>Flushing Anchorage 2</t>
  </si>
  <si>
    <t>Falmouth</t>
  </si>
  <si>
    <t>Vopak Terminal Vlissngen</t>
  </si>
  <si>
    <t>Northern Europe</t>
  </si>
  <si>
    <t>Tangier</t>
  </si>
  <si>
    <t>Tunisia</t>
  </si>
  <si>
    <t>Sarroch Refinery</t>
  </si>
  <si>
    <t>Algeciras</t>
  </si>
  <si>
    <t>East Med (Malta)</t>
  </si>
  <si>
    <t>Gibraltar-San Roque Refinery</t>
  </si>
  <si>
    <t>East Med (Cypress)</t>
  </si>
  <si>
    <t>East Med (Greece)</t>
  </si>
  <si>
    <t>Med SEA</t>
  </si>
  <si>
    <t>Limassol Light.</t>
  </si>
  <si>
    <t>Malta Light.</t>
  </si>
  <si>
    <t>Kalamata Light.</t>
  </si>
  <si>
    <t>Morocco</t>
  </si>
  <si>
    <t>Tenerife</t>
  </si>
  <si>
    <t>Mohammedia + 1</t>
  </si>
  <si>
    <t>MOH Corinth Refinery</t>
  </si>
  <si>
    <t>Birzebbugia</t>
  </si>
  <si>
    <t>Paldisky -&gt; South/East China (Ust Luga, Estonia; likely SIBUR)</t>
  </si>
  <si>
    <t>ZOUK</t>
  </si>
  <si>
    <t>AS Alexela Terminal</t>
  </si>
  <si>
    <t>Hualpen Gas</t>
  </si>
  <si>
    <t>Mejillones</t>
  </si>
  <si>
    <t>Quintero Lipigas</t>
  </si>
  <si>
    <t>Quintero Gasmar</t>
  </si>
  <si>
    <t>Hualpen Gas Terminal</t>
  </si>
  <si>
    <t>Bay of Campeche</t>
  </si>
  <si>
    <t>Puerto Quetzal</t>
  </si>
  <si>
    <t>Gulf of Mexico</t>
  </si>
  <si>
    <t>Omoa LPG</t>
  </si>
  <si>
    <t>Tuxpan Termigas</t>
  </si>
  <si>
    <t>Lazaro Cardenas LPG Terminal</t>
  </si>
  <si>
    <t>Ensenada</t>
  </si>
  <si>
    <t>Manzanillo</t>
  </si>
  <si>
    <t>Monteverde (Ecuador)</t>
  </si>
  <si>
    <t>Callao</t>
  </si>
  <si>
    <t>Suape + 4</t>
  </si>
  <si>
    <t>Rio Grande LPG</t>
  </si>
  <si>
    <t>Rio Grande LPG Terminal</t>
  </si>
  <si>
    <t>Rio de Janeiro LPG Terminal</t>
  </si>
  <si>
    <t>Chorrillo</t>
  </si>
  <si>
    <t>Ecuador</t>
  </si>
  <si>
    <t>BR SUA</t>
  </si>
  <si>
    <t>Santo Tomas de Castilla</t>
  </si>
  <si>
    <t>La Teja Refinery</t>
  </si>
  <si>
    <t>Santos + 2</t>
  </si>
  <si>
    <t>+14 days to Far East</t>
  </si>
  <si>
    <t>Alemoa</t>
  </si>
  <si>
    <t>Manzanillo (Mexico)</t>
  </si>
  <si>
    <t>Laycans</t>
  </si>
  <si>
    <t>Load Port</t>
  </si>
  <si>
    <t>Broker</t>
  </si>
  <si>
    <t>Won</t>
  </si>
  <si>
    <t>21-22 Mar</t>
  </si>
  <si>
    <t>Freeport</t>
  </si>
  <si>
    <t>ATL</t>
  </si>
  <si>
    <t>??</t>
  </si>
  <si>
    <t>STL</t>
  </si>
  <si>
    <t>Clarksons</t>
  </si>
  <si>
    <t xml:space="preserve">Itochu </t>
  </si>
  <si>
    <t>Affinity</t>
  </si>
  <si>
    <t>COAs</t>
  </si>
  <si>
    <t>1 cargo per month</t>
  </si>
  <si>
    <t>Altagas</t>
  </si>
  <si>
    <t>1 cargo per quarter?</t>
  </si>
  <si>
    <t>BLPG1 plus premium?</t>
  </si>
  <si>
    <t>Chinagas</t>
  </si>
  <si>
    <t>1 cargo per month?</t>
  </si>
  <si>
    <t>low S50s allegedly</t>
  </si>
  <si>
    <t xml:space="preserve">Balanced </t>
  </si>
  <si>
    <t>20-30 Nov USWC @ COA : AltaGas / BW Freyja (BW)</t>
  </si>
  <si>
    <t>INDIA - Shuttle between AG and India. (Update AG line up)</t>
  </si>
  <si>
    <t>dd</t>
  </si>
  <si>
    <t>Ex</t>
  </si>
  <si>
    <t>Scrubber/Dual Fuel</t>
  </si>
  <si>
    <t>DD</t>
  </si>
  <si>
    <t>TC Expiry</t>
  </si>
  <si>
    <t>Head</t>
  </si>
  <si>
    <t>Relet?</t>
  </si>
  <si>
    <t>Current Voyage + Rate</t>
  </si>
  <si>
    <t>BW Lord</t>
  </si>
  <si>
    <t>BPCL</t>
  </si>
  <si>
    <t>KSS Line</t>
  </si>
  <si>
    <t>K Line</t>
  </si>
  <si>
    <t>Ennore + Haldia</t>
  </si>
  <si>
    <t>BPCL 29 May MAA</t>
  </si>
  <si>
    <t>Yamabuki</t>
  </si>
  <si>
    <t>NYK Line/Astomos</t>
  </si>
  <si>
    <t>BPCL 24 Jun Ruwais</t>
  </si>
  <si>
    <t>LT</t>
  </si>
  <si>
    <t>BPCL 31 May Ruwais</t>
  </si>
  <si>
    <t>Dhamra + Haldia</t>
  </si>
  <si>
    <t>BPCL 25 May Ruwais</t>
  </si>
  <si>
    <t>Jag Vishnu</t>
  </si>
  <si>
    <t>Idemitsu/Astomos</t>
  </si>
  <si>
    <t>BPCL 20 Jun MAA</t>
  </si>
  <si>
    <t>Own tonnage</t>
  </si>
  <si>
    <t>Seems to be doing Iran loadings</t>
  </si>
  <si>
    <t>ETD Haldia 28 Jun</t>
  </si>
  <si>
    <t>HPCL 11 Jun Ras Laffan</t>
  </si>
  <si>
    <t>Iino Lines/Astomos</t>
  </si>
  <si>
    <t>Option 6+6 options</t>
  </si>
  <si>
    <t>HPCL 17 May Ruwais</t>
  </si>
  <si>
    <t>BW Oak</t>
  </si>
  <si>
    <t>Option 6+6</t>
  </si>
  <si>
    <t>HPCL 13 Jun Ruwais</t>
  </si>
  <si>
    <t>BW Tyr</t>
  </si>
  <si>
    <t>1st port Mumbai</t>
  </si>
  <si>
    <t>HPCL 17 Jun Ruwais</t>
  </si>
  <si>
    <t>Global Liberty</t>
  </si>
  <si>
    <t>ETD Haldia 24 Jun</t>
  </si>
  <si>
    <t>Old Name: Global Liberty</t>
  </si>
  <si>
    <t>HPCL 3 Jun Ras Tanura</t>
  </si>
  <si>
    <t>MOL Energia</t>
  </si>
  <si>
    <t>HC: Unsure if Vessel will also deliver to BPCL along with Yamabuki (Green Sachi)</t>
  </si>
  <si>
    <t>HC: Drydocking?</t>
  </si>
  <si>
    <t>HPCL 21 Jun Ras Laffan</t>
  </si>
  <si>
    <t>BW LPG</t>
  </si>
  <si>
    <t>HPCL 18 Jun Ruwais</t>
  </si>
  <si>
    <t>Avance Gas</t>
  </si>
  <si>
    <t>Pirpau + Pipavav</t>
  </si>
  <si>
    <t>HPCL 7 Jun Das Island</t>
  </si>
  <si>
    <t>IOC 16 May MAA</t>
  </si>
  <si>
    <t>BW Birch</t>
  </si>
  <si>
    <t>waiting for orders</t>
  </si>
  <si>
    <t>IOC 21 May Male</t>
  </si>
  <si>
    <t>IOC 20 Jun Ras Laffan</t>
  </si>
  <si>
    <t>Helios LPG Pool</t>
  </si>
  <si>
    <t>IOC 17 Jun Ras Laffan</t>
  </si>
  <si>
    <t>IOC 6 Jun Ras Laffan</t>
  </si>
  <si>
    <t>IOC 28 May Ras Laffan</t>
  </si>
  <si>
    <t>IOC 12 Jun MAA</t>
  </si>
  <si>
    <t>IOC 17 Jun MAA</t>
  </si>
  <si>
    <t>TC to SwissChemGas Aug 2025/Relet to IOC Aug 2026</t>
  </si>
  <si>
    <t>IOC 30 May MAA</t>
  </si>
  <si>
    <t>?</t>
  </si>
  <si>
    <t>SCI</t>
  </si>
  <si>
    <t>Ex-Lubara</t>
  </si>
  <si>
    <t>AGT 10 Sep Ruwais</t>
  </si>
  <si>
    <t>MGCs?</t>
  </si>
  <si>
    <t>ML: USWC-FarEast shuttle</t>
  </si>
  <si>
    <t xml:space="preserve">Petrogas 15 Apr Ferndale </t>
  </si>
  <si>
    <t>Astomos 10 May Darwin</t>
  </si>
  <si>
    <t>HC: Ex Drydock / Chiba for Gasup?</t>
  </si>
  <si>
    <t>HC</t>
  </si>
  <si>
    <t>IMO: 9255701 (2 x Gas Capricorn)</t>
  </si>
  <si>
    <t>p</t>
  </si>
  <si>
    <t>Astomos 8-9 May MAA</t>
  </si>
  <si>
    <t>Asto 7-8 May USG</t>
  </si>
  <si>
    <t>Asto 6-7 June USG</t>
  </si>
  <si>
    <t>ATC 7-8 June USG $103 (India +2)</t>
  </si>
  <si>
    <t xml:space="preserve">Astomos 23 May AG </t>
  </si>
  <si>
    <t>BWPS bought FOB from Gunvor at 5 cpg</t>
  </si>
  <si>
    <t>BWPS 24-25 May USG $105</t>
  </si>
  <si>
    <t>Shell 30-31 May Ruwais @ 56</t>
  </si>
  <si>
    <t>Gunvor 12-13 June USG</t>
  </si>
  <si>
    <t>AGT 4 May Ruwais</t>
  </si>
  <si>
    <t>AGT 12-13 May Ruwais</t>
  </si>
  <si>
    <t>AGT 12 May Ruwais</t>
  </si>
  <si>
    <t>ex Korea Yard</t>
  </si>
  <si>
    <t>ML: Yanbu shuttle</t>
  </si>
  <si>
    <t>ATC 06 Mar Yanbu</t>
  </si>
  <si>
    <t>Q1 2026</t>
  </si>
  <si>
    <t>Keegan No. 2</t>
  </si>
  <si>
    <t>STS off Red Sea</t>
  </si>
  <si>
    <t>Gas Taurus</t>
  </si>
  <si>
    <t>Sinogas (Wideshine)</t>
  </si>
  <si>
    <t>Chevron 24-25 May USG $103</t>
  </si>
  <si>
    <t>ML: SG-JP discharge</t>
  </si>
  <si>
    <t>FOB/CFR Sinochem</t>
  </si>
  <si>
    <t>BB Energy 18 Apr USG</t>
  </si>
  <si>
    <t>Swisschem 23-24 May USG</t>
  </si>
  <si>
    <t>Manifesto</t>
  </si>
  <si>
    <t xml:space="preserve">ML: Pdec sold to Siamgas TC to BB enrgy </t>
  </si>
  <si>
    <t xml:space="preserve">MSH: Delivers to BB East End May  </t>
  </si>
  <si>
    <t>MSH</t>
  </si>
  <si>
    <t xml:space="preserve">New build </t>
  </si>
  <si>
    <t>ex Rhine River</t>
  </si>
  <si>
    <t>Bella Victoria</t>
  </si>
  <si>
    <t>BW Princess</t>
  </si>
  <si>
    <t>Ex BW Princess</t>
  </si>
  <si>
    <t>Floating Storage Suez</t>
  </si>
  <si>
    <t>assumed Ain Sukhna discharge</t>
  </si>
  <si>
    <t>BGN 7-8 May Nederland</t>
  </si>
  <si>
    <t>JX Ocean</t>
  </si>
  <si>
    <t>old panamax</t>
  </si>
  <si>
    <t>Newbuild - Repairing Technical issue</t>
  </si>
  <si>
    <t>BGN 12 May Nederland</t>
  </si>
  <si>
    <t>BGN 11 May Nederland</t>
  </si>
  <si>
    <t>BGN 23-24 May Nederland</t>
  </si>
  <si>
    <t>BGN 11 May Freeport</t>
  </si>
  <si>
    <t xml:space="preserve">GP </t>
  </si>
  <si>
    <t>BGN 13-14 May Nederland</t>
  </si>
  <si>
    <t>BGN ely Jun USG</t>
  </si>
  <si>
    <t>ML: ETA Arun 20 May</t>
  </si>
  <si>
    <t>Ex Narrator</t>
  </si>
  <si>
    <t>floating storage</t>
  </si>
  <si>
    <t>BGN 8-9 May AG</t>
  </si>
  <si>
    <t>Borealis 10 May Nederland</t>
  </si>
  <si>
    <t>BP 9 May MH</t>
  </si>
  <si>
    <t>BP 21 Apr MH</t>
  </si>
  <si>
    <t>Unique Shipping</t>
  </si>
  <si>
    <t>Unipec USG 19-20 Apr</t>
  </si>
  <si>
    <t>ML: ETA T. Sekong 16 May</t>
  </si>
  <si>
    <t>BGN USG 06-08 Apr</t>
  </si>
  <si>
    <t>Chevron ely Jun USG</t>
  </si>
  <si>
    <t>Chevron 15 May Escravos</t>
  </si>
  <si>
    <t>Chevron 06-07 May USG</t>
  </si>
  <si>
    <t>Chevron 10-15 June USG</t>
  </si>
  <si>
    <t>ML: Disc Philippines</t>
  </si>
  <si>
    <t>Chevron WAF 05-10 June</t>
  </si>
  <si>
    <t>Chevron 6-8 May USG</t>
  </si>
  <si>
    <t>Oceanic Venus</t>
  </si>
  <si>
    <t>Despina</t>
  </si>
  <si>
    <t>ML: For AG/Yemen program. But Yemen not importing recently.</t>
  </si>
  <si>
    <t>Sale or dry dock</t>
  </si>
  <si>
    <t>Sinochem 22-23 May AG $50</t>
  </si>
  <si>
    <t>ex Gas Star</t>
  </si>
  <si>
    <t>E1 29 Apr Port Bonython</t>
  </si>
  <si>
    <t>E1 30 Apr RL</t>
  </si>
  <si>
    <t>E1 2 May USG</t>
  </si>
  <si>
    <t xml:space="preserve">MSH: ballast via cape </t>
  </si>
  <si>
    <t>E1 10 Jun Nederland</t>
  </si>
  <si>
    <t>Marathon 4-5 May Freeport</t>
  </si>
  <si>
    <t>Long Term</t>
  </si>
  <si>
    <t>Unipec's</t>
  </si>
  <si>
    <t>Phoenix Tankers</t>
  </si>
  <si>
    <t>Nissen Kaiun</t>
  </si>
  <si>
    <t>20 May + USG</t>
  </si>
  <si>
    <t>Q4 2030</t>
  </si>
  <si>
    <t>BR: Bunker in P.Louis then Port Klang?</t>
  </si>
  <si>
    <t>Petredec 15-16 Apr USG</t>
  </si>
  <si>
    <t>ML: Billy confirms it's Sariaya</t>
  </si>
  <si>
    <t>Inpex 8-9 May Darwin $48</t>
  </si>
  <si>
    <t>E1's Gas Stella for 2 yrs (delivering in 1Q25) to ET</t>
  </si>
  <si>
    <t>NS United/Astomos</t>
  </si>
  <si>
    <t>Ns Dream has been TC to ETP in August</t>
  </si>
  <si>
    <t>ET 29 Apr MH</t>
  </si>
  <si>
    <t>Transpetrol's Perseverance V for 2 yrs (delivering in 1Q25) to ET</t>
  </si>
  <si>
    <t>ET 27 Apr MH</t>
  </si>
  <si>
    <t>Equinor end Apr USG ?</t>
  </si>
  <si>
    <t>Equinior end May USG</t>
  </si>
  <si>
    <t>Equinor 9-10 May USG</t>
  </si>
  <si>
    <t>Equnor</t>
  </si>
  <si>
    <t>long term</t>
  </si>
  <si>
    <t>Equinor 3-4 May USG</t>
  </si>
  <si>
    <t>Equinor 29-30 Apr USG</t>
  </si>
  <si>
    <t>Inpex 20 May Darwin</t>
  </si>
  <si>
    <t>Exxon 13 Jun USG</t>
  </si>
  <si>
    <t>Navigare Generosa</t>
  </si>
  <si>
    <t>ATC AG 25-27 May</t>
  </si>
  <si>
    <t>Ex Tenacity IV</t>
  </si>
  <si>
    <t>Exxon 9-10 May Freeport</t>
  </si>
  <si>
    <t>Geogas 27-28 Apr Bonny</t>
  </si>
  <si>
    <t>Floating Tanzanzia</t>
  </si>
  <si>
    <t>HC: Rumoured on subs ATC TC?</t>
  </si>
  <si>
    <t>x</t>
  </si>
  <si>
    <t>Gunvor 6-7 May USG</t>
  </si>
  <si>
    <t>Gunvor 3-5 June USG</t>
  </si>
  <si>
    <t>JP Morgan Asset Management</t>
  </si>
  <si>
    <t>Gunvor end April USG</t>
  </si>
  <si>
    <t>Gunvor 9-10 May USG</t>
  </si>
  <si>
    <t>Gyxis 29 Apr USG</t>
  </si>
  <si>
    <t>Gyxis 1-5 June USG</t>
  </si>
  <si>
    <t>Gyxis 12 May USG</t>
  </si>
  <si>
    <t>KSS</t>
  </si>
  <si>
    <t>AGT 7-8 May Das Island $53</t>
  </si>
  <si>
    <t>on hold for internal programm</t>
  </si>
  <si>
    <t>BGN 1-2 Jun USG $99.5</t>
  </si>
  <si>
    <t>Unipec 20-21 Jun USG @ 108</t>
  </si>
  <si>
    <t>Kumiai Navigation</t>
  </si>
  <si>
    <t>Pertamina 07-08 Apr USG</t>
  </si>
  <si>
    <t>HC: Fixed for Gyxis TC</t>
  </si>
  <si>
    <t>ML: Potential relet for July USG</t>
  </si>
  <si>
    <t>BGN 17-18 Apr USG</t>
  </si>
  <si>
    <t>MS: Ship ex dd</t>
  </si>
  <si>
    <t>Itochu 28-30 Apr / ely May USG</t>
  </si>
  <si>
    <t>Unipec 17-18 Apr USG</t>
  </si>
  <si>
    <t>Itochu 2-3 May USG</t>
  </si>
  <si>
    <t>Q1 2030</t>
  </si>
  <si>
    <t>ML: Disc in India</t>
  </si>
  <si>
    <t>Befar 11-12 May USG</t>
  </si>
  <si>
    <t>Marathon 20 oct USG</t>
  </si>
  <si>
    <t xml:space="preserve">MSH: DD </t>
  </si>
  <si>
    <t>ex chinagas glory that on TC  from Jovo)</t>
  </si>
  <si>
    <t>MSH: Befar 11-12 May</t>
  </si>
  <si>
    <t xml:space="preserve">MSH: checking if relet but they have not puushed </t>
  </si>
  <si>
    <t>HC: Loaded Yanbu / FARE via Cape</t>
  </si>
  <si>
    <t>Morston</t>
  </si>
  <si>
    <t>ML: Will be redel back to Pdec soon / Bought by Foresight del June</t>
  </si>
  <si>
    <t>ATC 04-05 Apr $78</t>
  </si>
  <si>
    <t>Keegan 13-14 May MAA $53</t>
  </si>
  <si>
    <t>GP: Waiting AIS Update. Ballasting out from USG</t>
  </si>
  <si>
    <t>ATC ex USG 06-07 May</t>
  </si>
  <si>
    <t>GP: 1-2 Jun open USG via Cape</t>
  </si>
  <si>
    <t>Equnior 1-2 June USG @ 103 / 55</t>
  </si>
  <si>
    <t>Keegan No. 1</t>
  </si>
  <si>
    <t>Itochu 25-26 May USG $94</t>
  </si>
  <si>
    <t>Naftomar</t>
  </si>
  <si>
    <t>MSH: DD after curren voy (assume SG)</t>
  </si>
  <si>
    <t>Gyxis 21-22 Apr AG</t>
  </si>
  <si>
    <t>-28 May AG @ ~53.25 RT-C : HPCL</t>
  </si>
  <si>
    <t>HC: Renewels due 2026</t>
  </si>
  <si>
    <t>OE end Apr USG</t>
  </si>
  <si>
    <t>OE 7-8 May Ras Laffan</t>
  </si>
  <si>
    <t>Keegan</t>
  </si>
  <si>
    <t>Pertamina 24-25 May USG $105</t>
  </si>
  <si>
    <t>ML: 9 May NB slot. Pdec can relet 15 May East only</t>
  </si>
  <si>
    <t>Petredec 11-15 May USG</t>
  </si>
  <si>
    <t>OE 19-22 May USG (Targa?)</t>
  </si>
  <si>
    <t>OE 27-30 May USG</t>
  </si>
  <si>
    <t>OE 19-20 May Ras Laffan</t>
  </si>
  <si>
    <t>Gunvor 12-13 May ex USG</t>
  </si>
  <si>
    <t xml:space="preserve"> T/C FROM SILLO</t>
  </si>
  <si>
    <t>Floating Storage outside Balikpapan</t>
  </si>
  <si>
    <t>Consolidated Marine</t>
  </si>
  <si>
    <t>Perta 14-15 Jun Freeport</t>
  </si>
  <si>
    <t>Aug-Oct 21</t>
  </si>
  <si>
    <t>Floating Storage outside Kalbut</t>
  </si>
  <si>
    <t>(ex Gas Beryl)</t>
  </si>
  <si>
    <t>ML: STS Kalbut</t>
  </si>
  <si>
    <t>Pertamina mid Nov AG</t>
  </si>
  <si>
    <t>Perta 5 May Bahrain</t>
  </si>
  <si>
    <t>Soechi Lines</t>
  </si>
  <si>
    <t>Perta 4-5 Jun Freeport</t>
  </si>
  <si>
    <t>Perta 17 Apr Freeport</t>
  </si>
  <si>
    <t>Pdec 25-26 May Targa</t>
  </si>
  <si>
    <t>Pdec 3-4 May Targa</t>
  </si>
  <si>
    <t>Pdec 14 May USG</t>
  </si>
  <si>
    <t>Total USG 19-20 May $95.5</t>
  </si>
  <si>
    <t>ex Spread Eagle</t>
  </si>
  <si>
    <t>ML: 15-16 Jun ETA USG</t>
  </si>
  <si>
    <t>24 Apr Ras Laffan</t>
  </si>
  <si>
    <t>Q2 2025</t>
  </si>
  <si>
    <t>Petrobras 10 May USG</t>
  </si>
  <si>
    <t>Floating at Suape</t>
  </si>
  <si>
    <t>ML: Debby's disc Tianjin 19 May</t>
  </si>
  <si>
    <t>Petrogas ely May Prince Rupert</t>
  </si>
  <si>
    <t>Petrogas 17 May Ferndale</t>
  </si>
  <si>
    <t>PTT 7-8 May RL</t>
  </si>
  <si>
    <t>SwissChemGas 29 Apr Mesaieed $45</t>
  </si>
  <si>
    <t>Shahrastani</t>
  </si>
  <si>
    <t>JAN-JUN 2025</t>
  </si>
  <si>
    <t>ML: Debby's</t>
  </si>
  <si>
    <t>BP USG 17-18 Apr</t>
  </si>
  <si>
    <t>STL 11 May Nederland</t>
  </si>
  <si>
    <t>ATC 18-19 May AG @ RNR</t>
  </si>
  <si>
    <t>ML: Will be own program. Ballast to USG</t>
  </si>
  <si>
    <t>TBC 2025</t>
  </si>
  <si>
    <t>Unipec 20-21 May AG @ 47</t>
  </si>
  <si>
    <t>Pdec 11-12 Jun USG @ 100~</t>
  </si>
  <si>
    <t>BWPS TC 3yrs - Q3?</t>
  </si>
  <si>
    <t>Petredec Mid May USG</t>
  </si>
  <si>
    <t>AGT 3-4 May AG $42</t>
  </si>
  <si>
    <t>Foresight</t>
  </si>
  <si>
    <t>Ex Bashundhara LPG Challenger</t>
  </si>
  <si>
    <t>Siam Gas</t>
  </si>
  <si>
    <t>Gas Friend</t>
  </si>
  <si>
    <t>SK Gas 5-7 May USG</t>
  </si>
  <si>
    <t>SK Shipping</t>
  </si>
  <si>
    <t>HC: Balboa 01 June</t>
  </si>
  <si>
    <t>SK Gas 08-09 June</t>
  </si>
  <si>
    <t>ML: ETA Balikpapan 13 May</t>
  </si>
  <si>
    <t>SK Gas 8-9 May USG</t>
  </si>
  <si>
    <t>ML: Is SK really ballasting via Cape?</t>
  </si>
  <si>
    <t>Eneos 20-21 Jun USG @ 104</t>
  </si>
  <si>
    <t>Sinochem/Cosco</t>
  </si>
  <si>
    <t>ENI 18-20 May Soyo $48</t>
  </si>
  <si>
    <t>Floater ex WAF</t>
  </si>
  <si>
    <t>Sonangol 11 May "Luanda"</t>
  </si>
  <si>
    <t>Hyproc Shipping Co</t>
  </si>
  <si>
    <t>ML: Shuttle Bethioua to Aygaz's terminals</t>
  </si>
  <si>
    <t>Aeolian Pearl</t>
  </si>
  <si>
    <t>Lyondell USG 17-18 May</t>
  </si>
  <si>
    <t>AMPTC</t>
  </si>
  <si>
    <t>ex Avance Castor</t>
  </si>
  <si>
    <t>Swisschem 3-4 May AG</t>
  </si>
  <si>
    <t>HC: ETA Male 12 May</t>
  </si>
  <si>
    <t>On TC to Swisschem (3-5 years TC)</t>
  </si>
  <si>
    <t xml:space="preserve">MSH: Own program </t>
  </si>
  <si>
    <t>Swiss 19-20 May USG</t>
  </si>
  <si>
    <t>Shuttle USG - Tuxpan/Omoa</t>
  </si>
  <si>
    <t>Shuttle USG - Pajaritos</t>
  </si>
  <si>
    <t>Total 19 Apr Freeport</t>
  </si>
  <si>
    <t>BW Chinook</t>
  </si>
  <si>
    <t>Total 25 Apr Nederland</t>
  </si>
  <si>
    <t>Total 02 June Nederland</t>
  </si>
  <si>
    <t>Total 2 Apr Nederland</t>
  </si>
  <si>
    <t>Total 12 -13 Jun Nederland</t>
  </si>
  <si>
    <t>NYK</t>
  </si>
  <si>
    <t>Total 17 Apr Nederland</t>
  </si>
  <si>
    <t>ATC 13-14 Jun USG @ 105</t>
  </si>
  <si>
    <t xml:space="preserve">23-26 May Prince Rupert @ 53 </t>
  </si>
  <si>
    <t>PERU own program?</t>
  </si>
  <si>
    <t>ETA balboa 21 May</t>
  </si>
  <si>
    <t>Eneos Explorer</t>
  </si>
  <si>
    <t>Eneos Ocean</t>
  </si>
  <si>
    <t>ML: Trader ship</t>
  </si>
  <si>
    <t>05-07 June USG @ 103 H-C : BGN / Trafi's Leo Green</t>
  </si>
  <si>
    <t xml:space="preserve">MSH: disch Ecuador </t>
  </si>
  <si>
    <t xml:space="preserve">23-24 Apr loaded </t>
  </si>
  <si>
    <t>Trafi 7-8 May USG</t>
  </si>
  <si>
    <t>Dow 04-05 Jun USG $54</t>
  </si>
  <si>
    <t>Pertamina USG 18-19 May</t>
  </si>
  <si>
    <t>Trafi 18-19 May Freeport</t>
  </si>
  <si>
    <t>Taebaek Explorer</t>
  </si>
  <si>
    <t>Ex Weisshorn Explorer</t>
  </si>
  <si>
    <t>SwissChemGas 18-19 May USG $84</t>
  </si>
  <si>
    <t>Zodiac</t>
  </si>
  <si>
    <t>MSH: disch Italy ?</t>
  </si>
  <si>
    <t>BP Ferndale 30Apr-01May</t>
  </si>
  <si>
    <t>Hampshire</t>
  </si>
  <si>
    <t>Vitol 17-18 May USG</t>
  </si>
  <si>
    <t>Eneos TC to Vitol for 6 months till Jan 2025</t>
  </si>
  <si>
    <t>P66 ex USG 29-30 Apr</t>
  </si>
  <si>
    <t>Newbuild / floating outside - Blacklisted by US</t>
  </si>
  <si>
    <t>Vivit Altais</t>
  </si>
  <si>
    <t>ATC ex USG 26-27May</t>
  </si>
  <si>
    <t>ATC 27-28 May USG $96</t>
  </si>
  <si>
    <t>Vivit Dubhe</t>
  </si>
  <si>
    <t>India discharge</t>
  </si>
  <si>
    <t>Pdec 11 Apr USG</t>
  </si>
  <si>
    <t xml:space="preserve">HC </t>
  </si>
  <si>
    <t>Vivit Fornax</t>
  </si>
  <si>
    <t>Vitol 2 May Nederland</t>
  </si>
  <si>
    <t>Vivit Thuban</t>
  </si>
  <si>
    <t>Discharging Tarragona</t>
  </si>
  <si>
    <t>Vitol 8-9 May USG</t>
  </si>
  <si>
    <t>Vitol 14 Mar Enterprise</t>
  </si>
  <si>
    <t>Notes: What is WH using for 17-18 Jun Nederland?</t>
  </si>
  <si>
    <t>Wanhua 4-5 May Bethioua</t>
  </si>
  <si>
    <t>Wanhua 24 May Bethioua</t>
  </si>
  <si>
    <t>Wanhua 2 Jun Bethioua</t>
  </si>
  <si>
    <t>WH 17-18 Jun USG?</t>
  </si>
  <si>
    <t>IMO:9902809 (2x Gas Capricorn)</t>
  </si>
  <si>
    <t>Wanhua 22 April Nederland</t>
  </si>
  <si>
    <t>ATC 11-12 Jun USG @ 103</t>
  </si>
  <si>
    <t>Wanhua 5 May Nederland</t>
  </si>
  <si>
    <t>Wanhua 19-20 Apr USG</t>
  </si>
  <si>
    <t>Wanhua 12-13 May AG (looking to swap)</t>
  </si>
  <si>
    <t>Wanhua 20 May Ruwais</t>
  </si>
  <si>
    <t>ATC 19-20 Jun USG @ 105</t>
  </si>
  <si>
    <t>Marathon 30-31 May USG $101.5</t>
  </si>
  <si>
    <t>E1 13-14 May Mesaieed $51.25</t>
  </si>
  <si>
    <t>Ex Syros</t>
  </si>
  <si>
    <t>ML: Male STS??</t>
  </si>
  <si>
    <t>Wanhua 30-1 May AG @ 29</t>
  </si>
  <si>
    <t>Ex Astipalea</t>
  </si>
  <si>
    <t>ML: Discharge in Yantai</t>
  </si>
  <si>
    <t>ADMIC 1-2 May AG</t>
  </si>
  <si>
    <t>Wanhua USG 27-28 Apr</t>
  </si>
  <si>
    <t>D</t>
  </si>
  <si>
    <t>ETA Baklboa 3rd May</t>
  </si>
  <si>
    <t>ATC 22-23 May $90.5 +$5 India</t>
  </si>
  <si>
    <t>ML: 6-8 Jun</t>
  </si>
  <si>
    <t>Unipec 20-21 Apr USG @ 126.5</t>
  </si>
  <si>
    <t>ML: 10-11 Jun Balboa</t>
  </si>
  <si>
    <t xml:space="preserve">7 May T.Sulong </t>
  </si>
  <si>
    <t>o?</t>
  </si>
  <si>
    <t>BWPS 5 Jun Freeport</t>
  </si>
  <si>
    <t>ML: India flag</t>
  </si>
  <si>
    <t>BPCL 2-3 May MAA @ 51.75</t>
  </si>
  <si>
    <t>ML: 14-15 Jun USG</t>
  </si>
  <si>
    <t>STS Dharma</t>
  </si>
  <si>
    <t>ex Drydock</t>
  </si>
  <si>
    <t>BGN 20 Jun USG @ 106</t>
  </si>
  <si>
    <t>Unipec 18-19 May USG $89</t>
  </si>
  <si>
    <t>AGT USG 04-05 Apr</t>
  </si>
  <si>
    <t>ATC 01-05 June Yanbu</t>
  </si>
  <si>
    <t>Geogas 03-04 Jun USG $104 - ON SUBS</t>
  </si>
  <si>
    <t>BGN 05-07 May USG $86</t>
  </si>
  <si>
    <t>Exmar</t>
  </si>
  <si>
    <t>Caribs for Geogas</t>
  </si>
  <si>
    <t>ML: Christos says 25-27 Jun</t>
  </si>
  <si>
    <t>ML: will be in Dhamra for a while</t>
  </si>
  <si>
    <t>Dharma STS</t>
  </si>
  <si>
    <t xml:space="preserve">Gyxis 1-2 May USG </t>
  </si>
  <si>
    <t>In BW pool</t>
  </si>
  <si>
    <t>Sub Disport</t>
  </si>
  <si>
    <t>ML: Terneuzen is not confirmed yet - Whether North or South Europe. Will know later today</t>
  </si>
  <si>
    <t>Dow 04-05 May Marcus Hook 59 HF</t>
  </si>
  <si>
    <t>Dorian LPG</t>
  </si>
  <si>
    <t>assumed disport</t>
  </si>
  <si>
    <t>ex Soyo 21 Apr</t>
  </si>
  <si>
    <t>Hear programmed for BWPS COA</t>
  </si>
  <si>
    <t>Unipec 23-24 May USG $105</t>
  </si>
  <si>
    <t>Dry dock after Korea</t>
  </si>
  <si>
    <t>May/Jun 22</t>
  </si>
  <si>
    <t>Petredec USG 07-08 Apr $91.50</t>
  </si>
  <si>
    <t xml:space="preserve">Inpex Darwin </t>
  </si>
  <si>
    <t>19 May USG</t>
  </si>
  <si>
    <t>11 May Freeport</t>
  </si>
  <si>
    <t>Itochu 27-28 May USG $99 / $48</t>
  </si>
  <si>
    <t>Drydock after Ningbo</t>
  </si>
  <si>
    <t>Open ex Mexgas COA</t>
  </si>
  <si>
    <t>16 May Nederland</t>
  </si>
  <si>
    <t>Keegan 17-18 Apr USG $92</t>
  </si>
  <si>
    <t>Keegan 20-30 May USG $100</t>
  </si>
  <si>
    <t>Dow 08-09 Jun USG</t>
  </si>
  <si>
    <t>Hyundai LNG</t>
  </si>
  <si>
    <t>HC: Likely India discharge</t>
  </si>
  <si>
    <t>Equinor 1-2 Jun USG</t>
  </si>
  <si>
    <t>Kikyo</t>
  </si>
  <si>
    <t>Navig8</t>
  </si>
  <si>
    <t>AGT 05-06 May USG</t>
  </si>
  <si>
    <t>Maiden voy</t>
  </si>
  <si>
    <t>loading for Adnoc dates TBC</t>
  </si>
  <si>
    <t>AGT 05-06 June? USG</t>
  </si>
  <si>
    <t>Itochu 04-05 Jun USG $103 +$2 India</t>
  </si>
  <si>
    <t>KOTC</t>
  </si>
  <si>
    <t xml:space="preserve">GP: VSL enroute to AG 2 May </t>
  </si>
  <si>
    <t>20-21 May ex Yanbu ATC @ 61</t>
  </si>
  <si>
    <t>Sub disport</t>
  </si>
  <si>
    <t>ATC 12 Apr Yanbu</t>
  </si>
  <si>
    <t>8 May AG</t>
  </si>
  <si>
    <t>NS United</t>
  </si>
  <si>
    <t>Iino Lines</t>
  </si>
  <si>
    <t>Geogas 20-21 May USG $48 (2 cvc)</t>
  </si>
  <si>
    <t>Lubara</t>
  </si>
  <si>
    <t>Raffles</t>
  </si>
  <si>
    <t>ML: ETD Yantai 8 May</t>
  </si>
  <si>
    <t>Bu Sidra</t>
  </si>
  <si>
    <t>iino conventional</t>
  </si>
  <si>
    <t>3 years TC (until 2029) after EEXI</t>
  </si>
  <si>
    <t>Laden :  15.0 knot / VLSFO 45.6MT (M/E) + VLSFO 4.0MT(AUX)</t>
  </si>
  <si>
    <t>Ballast : 16.0 knot / VLSFO 42.2MT (M/E) + VLSFO 4.0MT(AUX)</t>
  </si>
  <si>
    <t>Idle / berth: VLSFO 7.0MT + VLSFO 3.0MT(stand-by with boiler ops) + VLSFO 3.0MT(discharge / loading ops)</t>
  </si>
  <si>
    <t>Ex Name</t>
  </si>
  <si>
    <t>Head Owner</t>
  </si>
  <si>
    <t>R/O</t>
  </si>
  <si>
    <t>Current Voyage + Rate:</t>
  </si>
  <si>
    <t>Equinor 29 Apr Targa</t>
  </si>
  <si>
    <t>Equinor end Jun USG</t>
  </si>
  <si>
    <t>HC: Sub disports</t>
  </si>
  <si>
    <t>Equinor 22 June USG</t>
  </si>
  <si>
    <t>Equinor 16-18 Jun USG</t>
  </si>
  <si>
    <r>
      <rPr>
        <rFont val="Calibri"/>
        <color rgb="FF000000"/>
        <sz val="11.0"/>
      </rPr>
      <t xml:space="preserve">Equinor 3-4 May </t>
    </r>
    <r>
      <rPr>
        <rFont val="Calibri"/>
        <color rgb="FFFF00FF"/>
        <sz val="11.0"/>
      </rPr>
      <t>Karsto</t>
    </r>
  </si>
  <si>
    <t>Equinor 10-11 May? USG</t>
  </si>
  <si>
    <t>Q1 2025</t>
  </si>
  <si>
    <t>Q3 2025</t>
  </si>
  <si>
    <t>Q4 2025</t>
  </si>
  <si>
    <t>WEISSHORN EXPLORER</t>
  </si>
  <si>
    <t>VIVIT THUBAN</t>
  </si>
  <si>
    <t>GAS SUMMIT</t>
  </si>
  <si>
    <t>CONTINENTAL</t>
  </si>
  <si>
    <t>CORSAIR</t>
  </si>
  <si>
    <t>PHOENIX GAIA</t>
  </si>
  <si>
    <t>REGGANE</t>
  </si>
  <si>
    <t>RED RUM</t>
  </si>
  <si>
    <t>FUTURE DIAMOND</t>
  </si>
  <si>
    <t>GAS AL MUBARAKIAH</t>
  </si>
  <si>
    <t>FUTURE ENERGY</t>
  </si>
  <si>
    <t>HELLAS DYNASTY</t>
  </si>
  <si>
    <t>CHEYENNE</t>
  </si>
  <si>
    <t>ETERNAL GLORY</t>
  </si>
  <si>
    <t>APOLLO OCEAN</t>
  </si>
  <si>
    <t>BW LIBRA</t>
  </si>
  <si>
    <t>HLS AMBER</t>
  </si>
  <si>
    <t>GAS PLANET</t>
  </si>
  <si>
    <t>NAVIGARE GENEROSA</t>
  </si>
  <si>
    <t>VEGA SKY</t>
  </si>
  <si>
    <t>DOM EXPLORER</t>
  </si>
  <si>
    <t>NS DREAM</t>
  </si>
  <si>
    <t>BERGE NANTONG</t>
  </si>
  <si>
    <t>YUYO SPIRITS</t>
  </si>
  <si>
    <t>CLIPPER WILMA</t>
  </si>
  <si>
    <t>REFERENCE POINT</t>
  </si>
  <si>
    <t>BW ARIES</t>
  </si>
  <si>
    <t>AQUAMARINE PROGRESS</t>
  </si>
  <si>
    <t>CORVETTE</t>
  </si>
  <si>
    <t>BW YUSHI</t>
  </si>
  <si>
    <t>YAMABUKI</t>
  </si>
  <si>
    <t>BW MISTRAL</t>
  </si>
  <si>
    <t>GAS UMM AL ROWAISAT</t>
  </si>
  <si>
    <t>CONCORDE</t>
  </si>
  <si>
    <t>BW LEVANT</t>
  </si>
  <si>
    <t>COMMODORE</t>
  </si>
  <si>
    <t>CONSTELLATION</t>
  </si>
  <si>
    <t>VEGA SAGE</t>
  </si>
  <si>
    <t>CHAPARRAL / due 2030?</t>
  </si>
  <si>
    <t>CHALLENGER</t>
  </si>
  <si>
    <t>ALBERT</t>
  </si>
  <si>
    <t>EIGER EXPLORER</t>
  </si>
  <si>
    <t>DELMA</t>
  </si>
  <si>
    <t>LILY PROMENADE</t>
  </si>
  <si>
    <t>GREEN SANVI</t>
  </si>
  <si>
    <t>MIURA</t>
  </si>
  <si>
    <t>RED MARAUDER</t>
  </si>
  <si>
    <t>BW CARINA</t>
  </si>
  <si>
    <t>BW MONSOON</t>
  </si>
  <si>
    <t>BW GEMINI</t>
  </si>
  <si>
    <t>COBRA</t>
  </si>
  <si>
    <t>OCEANIC VENUS</t>
  </si>
  <si>
    <t>CRESQUES</t>
  </si>
  <si>
    <t>CLERMONT</t>
  </si>
  <si>
    <t>COMMANDER</t>
  </si>
  <si>
    <t>GAS FRIEND / no Q88</t>
  </si>
  <si>
    <t>GALAXY RIVER</t>
  </si>
  <si>
    <t>COMET</t>
  </si>
  <si>
    <t>NANDA DEVI</t>
  </si>
  <si>
    <t>ROBERTO</t>
  </si>
  <si>
    <t>CRYSTAL ANGEL</t>
  </si>
  <si>
    <t>CONSTITUTION</t>
  </si>
  <si>
    <t>BW BREEZE</t>
  </si>
  <si>
    <t>GAS NOUVEAU CRYSTAL</t>
  </si>
  <si>
    <t>COPERNICUS</t>
  </si>
  <si>
    <t>GAS BOMBAX</t>
  </si>
  <si>
    <t>HELLAS VOYAGER</t>
  </si>
  <si>
    <t>NAVIGARE GAIA</t>
  </si>
  <si>
    <t>BW PAMPERO</t>
  </si>
  <si>
    <t>HELLAS POSEIDON</t>
  </si>
  <si>
    <t>VIVIT ALTAIS</t>
  </si>
  <si>
    <t>MUSANAH</t>
  </si>
  <si>
    <t>BW KIZOKU</t>
  </si>
  <si>
    <t>CRATIS</t>
  </si>
  <si>
    <t>TP PERSEVERANCE</t>
  </si>
  <si>
    <t>BW LEO</t>
  </si>
  <si>
    <t>GLOBE POLARIS</t>
  </si>
  <si>
    <t>BW SIROCCO</t>
  </si>
  <si>
    <t>BW CHINOOK</t>
  </si>
  <si>
    <t>BW ORION</t>
  </si>
  <si>
    <t>BW KYOTO</t>
  </si>
  <si>
    <t>HISUI</t>
  </si>
  <si>
    <t>SIA</t>
  </si>
  <si>
    <t>GAS GLOBAL</t>
  </si>
  <si>
    <t>GAS AL AHMADIAH</t>
  </si>
  <si>
    <t>AYAME</t>
  </si>
  <si>
    <t>MADO</t>
  </si>
  <si>
    <t>BW PASSAT</t>
  </si>
  <si>
    <t>JENGGALA 21</t>
  </si>
  <si>
    <t>HELLAS HERCULES</t>
  </si>
  <si>
    <t>KIKYO</t>
  </si>
  <si>
    <t>COUGAR</t>
  </si>
  <si>
    <t>Disponent</t>
  </si>
  <si>
    <t>Operator</t>
  </si>
  <si>
    <t>Previous name</t>
  </si>
  <si>
    <t>Actual control</t>
  </si>
  <si>
    <t>Panama Fitted</t>
  </si>
  <si>
    <t>OpenFrom</t>
  </si>
  <si>
    <t>OpenTo</t>
  </si>
  <si>
    <t>ETA USG (S)</t>
  </si>
  <si>
    <t>Great Eastern Shipping Co</t>
  </si>
  <si>
    <t>Varun Shipping</t>
  </si>
  <si>
    <t>Mareena Gas</t>
  </si>
  <si>
    <t>TC to IOC Aug 24 2 yr</t>
  </si>
  <si>
    <t>Ex Kobai</t>
  </si>
  <si>
    <t>TC to BPCL Dec 2026</t>
  </si>
  <si>
    <t>Nhat Viet</t>
  </si>
  <si>
    <t>Iran Ship</t>
  </si>
  <si>
    <t>HC: Is she on TC to Indians?</t>
  </si>
  <si>
    <t>BW Cedar</t>
  </si>
  <si>
    <t>SOLD TO Foresight</t>
  </si>
  <si>
    <t>On TC to IOC swaps with GAK II</t>
  </si>
  <si>
    <t>VIETMY TRANS</t>
  </si>
  <si>
    <t>Ex Pansy</t>
  </si>
  <si>
    <t>14 knots only</t>
  </si>
  <si>
    <t>TC to IOC</t>
  </si>
  <si>
    <t>IOC TC</t>
  </si>
  <si>
    <t>Q3 20</t>
  </si>
  <si>
    <t>Shipping Corporation of India</t>
  </si>
  <si>
    <t>NHAT VIET TRANSPORTATION CORPORATION</t>
  </si>
  <si>
    <t>F Gas</t>
  </si>
  <si>
    <t>FLOATING STORAGES (NON IRAN)</t>
  </si>
  <si>
    <t>own tonnage</t>
  </si>
  <si>
    <t>Wellbred - Iraq loading</t>
  </si>
  <si>
    <t>CAP 2</t>
  </si>
  <si>
    <t>14 kts only. On TC from Sep 25...</t>
  </si>
  <si>
    <t>Shall we put into Dark Fleet?</t>
  </si>
  <si>
    <t>Wanhua 8-9 Aug Mesaieed</t>
  </si>
  <si>
    <t>Petrovietnam</t>
  </si>
  <si>
    <t>PV Gas</t>
  </si>
  <si>
    <t>Floating Storage @ Vietnam since Jul 2021</t>
  </si>
  <si>
    <t>Floating Storage @ Balikpapan since Apr 2023</t>
  </si>
  <si>
    <t>Duplicate from 2) VLGC</t>
  </si>
  <si>
    <t>Floating Storage @ Kalbut since 16 Nov 2023</t>
  </si>
  <si>
    <t>FLOATING STORAGE (IRAN RELATED)</t>
  </si>
  <si>
    <t>Last Load</t>
  </si>
  <si>
    <t>Siam Luck Marine</t>
  </si>
  <si>
    <t>Floating Storage @ Malacca since Dec 2023</t>
  </si>
  <si>
    <t>Siam Lucky Marine</t>
  </si>
  <si>
    <t>Floating Storage @ Malacca since Aug 2023</t>
  </si>
  <si>
    <t>Floating Storage @ Dhamra since Jun 2022</t>
  </si>
  <si>
    <t>Hai Ma</t>
  </si>
  <si>
    <t>KAI HENG LONG</t>
  </si>
  <si>
    <t>Ex Ganesha</t>
  </si>
  <si>
    <t>Floating Storage @ Dhamra since Aug 2023</t>
  </si>
  <si>
    <t>FS Dhamra</t>
  </si>
  <si>
    <t>STS Galle</t>
  </si>
  <si>
    <t>CPCC Petrochemical</t>
  </si>
  <si>
    <t>Floating Storage @ zanzibar since sep 2023</t>
  </si>
  <si>
    <t>Bumbwini</t>
  </si>
  <si>
    <t>Raha Gas</t>
  </si>
  <si>
    <t>Dawning Trade</t>
  </si>
  <si>
    <t>HK co</t>
  </si>
  <si>
    <t>Ex Gas Gemini / Gas Nelly</t>
  </si>
  <si>
    <t>Floating Storage @ Saleef since Feb 2024</t>
  </si>
  <si>
    <t>THANH HOA PETROL CO LTD</t>
  </si>
  <si>
    <t>ex BW Odin</t>
  </si>
  <si>
    <t>Floating Storage @ Sharjah Anchorage</t>
  </si>
  <si>
    <t>Kunlun Shipping</t>
  </si>
  <si>
    <t>Floating Storage @ Zhoushan</t>
  </si>
  <si>
    <t>Subhan Allah Gas</t>
  </si>
  <si>
    <t>Ex Gas Komodo</t>
  </si>
  <si>
    <t>Floating Storage @ Saleef since Mar 2024</t>
  </si>
  <si>
    <t>Heritage</t>
  </si>
  <si>
    <t>TPL Shipping</t>
  </si>
  <si>
    <t>Ex Sun 10 / Everrich 10</t>
  </si>
  <si>
    <t>Floating Storage @ Saleef since April 2024</t>
  </si>
  <si>
    <t>Jovo related</t>
  </si>
  <si>
    <t>Gas Dior</t>
  </si>
  <si>
    <t>Sygnius</t>
  </si>
  <si>
    <t>Ex Solina Gas</t>
  </si>
  <si>
    <t>Floating Storage @ Iran</t>
  </si>
  <si>
    <t>IRAN FLEET</t>
  </si>
  <si>
    <t>Hua Xu</t>
  </si>
  <si>
    <t>SC Commander LVII</t>
  </si>
  <si>
    <t>ASCA MARITIME</t>
  </si>
  <si>
    <t>Marathon Shipping and Maritime Trading Inc</t>
  </si>
  <si>
    <t>Captain Nikolas</t>
  </si>
  <si>
    <t>Azalea Gas</t>
  </si>
  <si>
    <t>Benelux</t>
  </si>
  <si>
    <t>Janus</t>
  </si>
  <si>
    <t>Ex Address Gas</t>
  </si>
  <si>
    <t>Gas Marta</t>
  </si>
  <si>
    <t>Cebaco</t>
  </si>
  <si>
    <t>(Naftomar)</t>
  </si>
  <si>
    <t>China Peace</t>
  </si>
  <si>
    <t>Fareast Shipmanagement HK</t>
  </si>
  <si>
    <t>Ex Gas Commerce</t>
  </si>
  <si>
    <t>Ex Gas Courage</t>
  </si>
  <si>
    <t>Gas Oceania</t>
  </si>
  <si>
    <t>Columbia Shipping (Hua Xu)</t>
  </si>
  <si>
    <t>COLUMBIA SHIPPING</t>
  </si>
  <si>
    <t>Ex Iris Glory</t>
  </si>
  <si>
    <t>Hua Xu 华旭</t>
  </si>
  <si>
    <t>Gas Takapo</t>
  </si>
  <si>
    <t>Ex Global Scorpio/ Gas Olympia</t>
  </si>
  <si>
    <t>Gas Leader</t>
  </si>
  <si>
    <t>Coral Marine</t>
  </si>
  <si>
    <t>Ex Dolphin</t>
  </si>
  <si>
    <t>Global United</t>
  </si>
  <si>
    <t>Owens</t>
  </si>
  <si>
    <t>Fgas Petrol JSC</t>
  </si>
  <si>
    <t>Ex Arrow</t>
  </si>
  <si>
    <t>Niba</t>
  </si>
  <si>
    <t>FULER SHIPPING</t>
  </si>
  <si>
    <t>Gas Global</t>
  </si>
  <si>
    <t>Global Gas</t>
  </si>
  <si>
    <t>GMS</t>
  </si>
  <si>
    <t>Ex Oceanus Gas</t>
  </si>
  <si>
    <t>Tung</t>
  </si>
  <si>
    <t>Ex Ourea</t>
  </si>
  <si>
    <t xml:space="preserve">KAI HENG LONG </t>
  </si>
  <si>
    <t>Ex Diana</t>
  </si>
  <si>
    <t>Siamgas</t>
  </si>
  <si>
    <t>Ex Venus7, Ming Ming</t>
  </si>
  <si>
    <t>Victoria</t>
  </si>
  <si>
    <t>Ex Fortuna/Victoria/ Da Li</t>
  </si>
  <si>
    <t>Echo Star</t>
  </si>
  <si>
    <t>Nexo</t>
  </si>
  <si>
    <t>Sona</t>
  </si>
  <si>
    <t>Tower Rise</t>
  </si>
  <si>
    <t>Neu Gas Shipping International</t>
  </si>
  <si>
    <t>Ex Toledo</t>
  </si>
  <si>
    <t>Ex Devon</t>
  </si>
  <si>
    <t>MARSHAL SHIPPING</t>
  </si>
  <si>
    <t>Ex Vela Gas</t>
  </si>
  <si>
    <t>Pamir</t>
  </si>
  <si>
    <t>Mayflower Shipping</t>
  </si>
  <si>
    <t>BW Global United  
LPG India</t>
  </si>
  <si>
    <t>Ex Godavari Gas</t>
  </si>
  <si>
    <t>Kanti</t>
  </si>
  <si>
    <t>Nan Lian</t>
  </si>
  <si>
    <t>Ex Artemis Gas</t>
  </si>
  <si>
    <t>Nus</t>
  </si>
  <si>
    <t>Oder Shipping</t>
  </si>
  <si>
    <t>PGPICC</t>
  </si>
  <si>
    <t>Ex Cape Gas</t>
  </si>
  <si>
    <t>PRUT</t>
  </si>
  <si>
    <t>Ex Nereus1</t>
  </si>
  <si>
    <t>Gas Vision</t>
  </si>
  <si>
    <t>PULA</t>
  </si>
  <si>
    <t>Lena Gas</t>
  </si>
  <si>
    <t>Sand &amp; Sea Marine</t>
  </si>
  <si>
    <t>Benelux Overseas</t>
  </si>
  <si>
    <t>Ex L Primo Gas</t>
  </si>
  <si>
    <t>SHANGHAI RUIQI</t>
  </si>
  <si>
    <t>Ex Clipper</t>
  </si>
  <si>
    <t>Elke</t>
  </si>
  <si>
    <t>SHKARA SHIPPING</t>
  </si>
  <si>
    <t>Ex Fabino Gas</t>
  </si>
  <si>
    <t>Triliance</t>
  </si>
  <si>
    <t>Global Bright</t>
  </si>
  <si>
    <t>UNKNOWN</t>
  </si>
  <si>
    <t>Calypso 7</t>
  </si>
  <si>
    <t>Ex Rubra</t>
  </si>
  <si>
    <t>Tris Gas</t>
  </si>
  <si>
    <t>Weser Shipping</t>
  </si>
  <si>
    <t>Opus Global?</t>
  </si>
  <si>
    <t>CAMELLIA SHIPPING</t>
  </si>
  <si>
    <t>ex Gas Gloria</t>
  </si>
  <si>
    <t>Marine Breeze</t>
  </si>
  <si>
    <t>NYK sold</t>
  </si>
  <si>
    <t>HC sold to Chinese Buyer?</t>
  </si>
  <si>
    <t>STS Tris Gas 7 Jun Dubai Lighterage</t>
  </si>
  <si>
    <t>"Sinma"</t>
  </si>
  <si>
    <t>Did 2 Iran voyages already</t>
  </si>
  <si>
    <t>Vitol 27-28 Jan AG</t>
  </si>
  <si>
    <t>VESSEL</t>
  </si>
  <si>
    <t>BUILT</t>
  </si>
  <si>
    <t>FUEL</t>
  </si>
  <si>
    <t>COMMENTS</t>
  </si>
  <si>
    <t>AMMONIA</t>
  </si>
  <si>
    <t>EARLIEST OPEN</t>
  </si>
  <si>
    <t>CONTROL</t>
  </si>
  <si>
    <t>HEAD OWNER</t>
  </si>
  <si>
    <t>TC RATE / COMMENTS</t>
  </si>
  <si>
    <t>hrd Huayi tender awarded  2 x 23/0 one at CP + teens and another 590s fp.</t>
  </si>
  <si>
    <t>PAN</t>
  </si>
  <si>
    <t>SC</t>
  </si>
  <si>
    <t>T/C FROM LATSCO UNTIL APR 2025 + OPTS</t>
  </si>
  <si>
    <t>NO</t>
  </si>
  <si>
    <t>CHEVRON</t>
  </si>
  <si>
    <t>LATSCO</t>
  </si>
  <si>
    <t xml:space="preserve">HELLAS DYNASTY </t>
  </si>
  <si>
    <t>T/C TO CHEVRON UNTIL APR 2025 + OPTS</t>
  </si>
  <si>
    <t>GAS LEO</t>
  </si>
  <si>
    <t>T/C FROM SINOGAS UNTIL MAY 2025</t>
  </si>
  <si>
    <t>BB ENERGY</t>
  </si>
  <si>
    <t>SINOGAS</t>
  </si>
  <si>
    <t>fixed rate</t>
  </si>
  <si>
    <t>T/C FROM LATSCO UNTIL MAY 2025 + OPTS</t>
  </si>
  <si>
    <t>LONG TERM T/C FROM NISSEN KAIUN - RELET TO VITOL UNTIL MAY 2025 OPT NOV 2025</t>
  </si>
  <si>
    <t>VITOL</t>
  </si>
  <si>
    <t>NISSEN KAIUN</t>
  </si>
  <si>
    <t>MARINE BREEZE</t>
  </si>
  <si>
    <t>EX LINDEN PRIDE - DELIVERY FROM NYK MAY 2025</t>
  </si>
  <si>
    <t>FORTUNE GAS</t>
  </si>
  <si>
    <t>HERMIT</t>
  </si>
  <si>
    <t>T/C FROM PETREDEC UNTIL MAY 2025, RELET TO TRAFIGURA UNTIL MAY 2025</t>
  </si>
  <si>
    <t>TRAFIGURA</t>
  </si>
  <si>
    <t>PETREDEC</t>
  </si>
  <si>
    <t xml:space="preserve">HELLAS VOYAGER </t>
  </si>
  <si>
    <t>T/C TO CHEVRON UNTIL MAY 2025 + OPTS</t>
  </si>
  <si>
    <t xml:space="preserve">HERMIT </t>
  </si>
  <si>
    <t>MANIFESTO</t>
  </si>
  <si>
    <t>SOLD TO SIAMGAS DELIVERY MAY 2025</t>
  </si>
  <si>
    <t>T/C TO BB ENERGY UNTIL MAY 2025</t>
  </si>
  <si>
    <t>50/50 Baltic/fixed</t>
  </si>
  <si>
    <t>T/C FROM GUNVOR UNTIL MAY 2025</t>
  </si>
  <si>
    <t>T/C FROM ENEOS GLOBE UNTIL MAY 2025 OPT NOV 2025</t>
  </si>
  <si>
    <t>NYK ENEOS OCEAN</t>
  </si>
  <si>
    <t>GAS TAURUS</t>
  </si>
  <si>
    <t>T/C FROM SINOGAS UNTIL JUN 2025</t>
  </si>
  <si>
    <t>T/C FROM DORIAN UNTIL JUN 2025</t>
  </si>
  <si>
    <t>DORIAN</t>
  </si>
  <si>
    <t>GAS VENUS</t>
  </si>
  <si>
    <t>BW POOL FROM SINOGAS</t>
  </si>
  <si>
    <t>3 MONTH NOTICE PERIOD TO REMOVE FROM POOL</t>
  </si>
  <si>
    <t>GAS JUPITER</t>
  </si>
  <si>
    <t>T/C TO BGN UNTIL JUN 2025</t>
  </si>
  <si>
    <t>CHAPARRAL</t>
  </si>
  <si>
    <t>T/C TO SATELLITE UNTIL JUN 2025</t>
  </si>
  <si>
    <t>SATELLITE</t>
  </si>
  <si>
    <t>MORSTON (TBR BADRINATH)</t>
  </si>
  <si>
    <t>DELIVERY FROM PETREDEC JUN 2025</t>
  </si>
  <si>
    <t>MERCURIA</t>
  </si>
  <si>
    <t>MORSTON (TBN BADRINATH)</t>
  </si>
  <si>
    <t>T/C FROM PETREDEC UNTIL JUN 2025, THEN SOLD TO FORESIGHT</t>
  </si>
  <si>
    <t>SHERGAR</t>
  </si>
  <si>
    <t>T/C FROM PETREDEC UNTIL JUN 2025</t>
  </si>
  <si>
    <t>T/C TO MERCURIA UNTIL JUN 2025</t>
  </si>
  <si>
    <t>T/C TO MERCURIA UNTIL JUN 2025. THEN SOLD TO FORESIGHT DELIVERY JUN 2025</t>
  </si>
  <si>
    <t>BW POOL</t>
  </si>
  <si>
    <t>3 MO NOTICE PERIOD TO REMOVE FROM POOL</t>
  </si>
  <si>
    <t>T/C TO BASF UNTIL JUN 2025</t>
  </si>
  <si>
    <t>T/C FROM MOL ENERGIA UNTIL JUN 2025</t>
  </si>
  <si>
    <t>GYXIS</t>
  </si>
  <si>
    <t>MOL ENERGIA</t>
  </si>
  <si>
    <t>J/V WITH OMAN SHIPPING. T/C TO GYXIS UNTIL JUN 2025</t>
  </si>
  <si>
    <t>IN THE POOL FROM JUL/AUG 2025</t>
  </si>
  <si>
    <t>BW/GLOBAL</t>
  </si>
  <si>
    <t>KAEDE</t>
  </si>
  <si>
    <t>BW POOL FROM BWPS UNTIL JUL 2025 OPT 2 YRS</t>
  </si>
  <si>
    <t>CARGO</t>
  </si>
  <si>
    <t>CIDO</t>
  </si>
  <si>
    <t>T/C TO TOTAL UNTIL JUL 2025. THEN BW/GLOBAL INDIA POOL</t>
  </si>
  <si>
    <t>TOTAL</t>
  </si>
  <si>
    <t>Baltic related floor/ceiling profit share</t>
  </si>
  <si>
    <t>T/C TO SWISSCHEMGAS UNTIL JUL 2025. THEN BW/GLOBAL INDIA POOL</t>
  </si>
  <si>
    <t>PETROBRAS</t>
  </si>
  <si>
    <t>$34k pdpr</t>
  </si>
  <si>
    <t>T/C TO SATELLITE FROM Q3 2025 UNTIL Q3 2028</t>
  </si>
  <si>
    <t>T/C FROM MOL ENERGIA UNTIL JUL 2025 OPT 2 YRS - BW POOL</t>
  </si>
  <si>
    <t>SUNNY BRIGHT</t>
  </si>
  <si>
    <t>T/C FROM NYK ENEOS OCEAN UNTIL MAR 2027 - RELET TO VITOL UNTIL JUL 2025</t>
  </si>
  <si>
    <t>T/C FROM PETREDEC UNTIL JUL 2025 + 1 YEAR OPTION</t>
  </si>
  <si>
    <t>EQUINOR</t>
  </si>
  <si>
    <t>BONNEVILLE - HYUNDAI HI 3425</t>
  </si>
  <si>
    <t>EX YARD Q3 2025</t>
  </si>
  <si>
    <t>CARGO ONLY</t>
  </si>
  <si>
    <t>EVALEND</t>
  </si>
  <si>
    <t>ROSABLANCHE - SAMSUNG 2649</t>
  </si>
  <si>
    <t>EX YARD Q3 2025 - T/C FROM EASTERN PACIFIC UNTIL Q3 2028</t>
  </si>
  <si>
    <t>GUNVOR</t>
  </si>
  <si>
    <t>EASTERN PACIFIC</t>
  </si>
  <si>
    <t>T/C FROM MOL INDIA UNTIL JUL 2025 OPT JUL 2026</t>
  </si>
  <si>
    <t>MOL INDIA</t>
  </si>
  <si>
    <t>~$1.5m pcm</t>
  </si>
  <si>
    <t>VEGA STAR</t>
  </si>
  <si>
    <t>T/C TO SHELL UNTIL JUL 2025 THEN BWPS UNTIL?</t>
  </si>
  <si>
    <t>SHELL</t>
  </si>
  <si>
    <t>JP MORGAN</t>
  </si>
  <si>
    <t>LONG TERM T/C FROM CIDO - RELET TO BWPS UNTIL JUL 2025</t>
  </si>
  <si>
    <t>CIDO SHIPPING</t>
  </si>
  <si>
    <t>T/C TO IOC UNTIL UNTIL JUL 2025</t>
  </si>
  <si>
    <t>1+1 year at about 45k PDPR for firm</t>
  </si>
  <si>
    <t>AL WUKIR</t>
  </si>
  <si>
    <t>T/C TO NEPTUNE UNTIL JUL 2025</t>
  </si>
  <si>
    <t>NEPTUNE POOL</t>
  </si>
  <si>
    <t>NAKILAT</t>
  </si>
  <si>
    <t>T/C FROM NAKILAT UNTIL JUL 2025</t>
  </si>
  <si>
    <t>KAWASAKI 1764</t>
  </si>
  <si>
    <t xml:space="preserve">EX YARD TBC Q3 2025  </t>
  </si>
  <si>
    <t>T/C TO EQUINOR UNTIL JUL 2025 OPT JUL 2026</t>
  </si>
  <si>
    <t>T/C FROM SWISSCHEMGAS UNTIL Q2 2025</t>
  </si>
  <si>
    <t>$34,000 pd</t>
  </si>
  <si>
    <t>T/C FROM BW LPG FROM Q3 2025 UNTIL Q3 2028</t>
  </si>
  <si>
    <t xml:space="preserve">VEGA STAR </t>
  </si>
  <si>
    <t>T/C FROM JP MORGAN UNTIL JUL 2025 (CAN REDEL AS ELY AS JUN)</t>
  </si>
  <si>
    <t>T/C FROM BW LPG UNTIL JUL 2025 OPT - RELET TO PETROBRAS UNTIL Q2 2025</t>
  </si>
  <si>
    <t>T/C FROM BW LPG UNTIL JUL 2025</t>
  </si>
  <si>
    <t>T/C FROM ENEOS GLOBE UNTIL JUL 2025</t>
  </si>
  <si>
    <t>DANUBE RIVER</t>
  </si>
  <si>
    <t>T/C FROM ZODIAC UNTIL AUG 2025</t>
  </si>
  <si>
    <t>ZODIAC</t>
  </si>
  <si>
    <t>T/C TO MARATHON UNTIL AUG 2025 OPT AUG 2026</t>
  </si>
  <si>
    <t>MARATHON</t>
  </si>
  <si>
    <t>T/C FROM LATSCO UNTIL AUG 2025</t>
  </si>
  <si>
    <t>CLIPPER QUITO</t>
  </si>
  <si>
    <t>T/C FROM SOLVANG UNTIL AUG 2025</t>
  </si>
  <si>
    <t>SOLVANG</t>
  </si>
  <si>
    <t>T/C TO CHEVRON UNTIL AUG 2025</t>
  </si>
  <si>
    <t>baltic flat</t>
  </si>
  <si>
    <t>T/C FROM BW LPG UNTIL AUG 2025 OPT AUG 2026</t>
  </si>
  <si>
    <t>$1.19m pcm</t>
  </si>
  <si>
    <t>SHAHRASTANI</t>
  </si>
  <si>
    <t>T/C TO REPSOL UNTIL AUG/SEP 2025</t>
  </si>
  <si>
    <t>REPSOL</t>
  </si>
  <si>
    <t>T/C FROM PETREDEC UNTIL AUG/SEP 2025</t>
  </si>
  <si>
    <t>GAS GEMINI</t>
  </si>
  <si>
    <t>T/C FROM SINOGAS UNTIL AUG 2025</t>
  </si>
  <si>
    <t>T/C TO SATELLITE UNTIL AUG 2025</t>
  </si>
  <si>
    <t>T/C TO GUNVOR UNTIL AUG 2025</t>
  </si>
  <si>
    <t>T/C TO BGN UNTIL JUL 2025</t>
  </si>
  <si>
    <t>LUPINUS PLANET</t>
  </si>
  <si>
    <t>LONG TERM T/C FROM NYK - RELET TO BGN UNTIL SEP 2025</t>
  </si>
  <si>
    <t>T/C FROM ASTOMOS UNTIL SEP 2025</t>
  </si>
  <si>
    <t xml:space="preserve">NYK </t>
  </si>
  <si>
    <t>EX YARD SEP 2025 - T/C TO GUNVOR UNTIL SEP 2028</t>
  </si>
  <si>
    <t>UMM LAQHAB</t>
  </si>
  <si>
    <t>T/C TO NEPTUNE UNTIL SEP 2025</t>
  </si>
  <si>
    <t>T/C FROM NAKILAT UNTIL SEP 2025</t>
  </si>
  <si>
    <t>DORSET</t>
  </si>
  <si>
    <t>T/C FROM ZODIAC UNTIL SEP 2025</t>
  </si>
  <si>
    <t>T/C TO VITOL UNTIL SEP 2025</t>
  </si>
  <si>
    <t>GLOBE ATLAS</t>
  </si>
  <si>
    <t xml:space="preserve">T/C FROM NISSEN KAIUN UNTIL SEP 2025 </t>
  </si>
  <si>
    <t>ENEOS GLOBE</t>
  </si>
  <si>
    <t>T/C TO ENEOS GLOBE UNTIL SEP 2025</t>
  </si>
  <si>
    <t>AGBC - HYUNDAI SAMHO 8230</t>
  </si>
  <si>
    <t>EX YARD OCT 2025 - JV WITH BGN</t>
  </si>
  <si>
    <t>AL SEER</t>
  </si>
  <si>
    <t>EX KEEGAN NO.2 - T/C FROM MERCURIA UNTIL Q4 2025</t>
  </si>
  <si>
    <t>SUMIRE GAS</t>
  </si>
  <si>
    <t>T/C FROM IINO UNTIL JAN 2026 - RELET TO NEPTUNE UNTIL OCT 2025</t>
  </si>
  <si>
    <t>IINO</t>
  </si>
  <si>
    <t>PARTHIA</t>
  </si>
  <si>
    <t>T/C FROM PETREDEC UNTIL OCT 2025</t>
  </si>
  <si>
    <t>ASTOMOS</t>
  </si>
  <si>
    <t>MID $40K PER DAY</t>
  </si>
  <si>
    <t>PAN?</t>
  </si>
  <si>
    <t>EX YARD OCT 2025 - JV WITH AL SEER (AGBC)</t>
  </si>
  <si>
    <t>GAS ZENITH</t>
  </si>
  <si>
    <r>
      <rPr>
        <rFont val="Calibri"/>
        <color theme="1"/>
        <sz val="11.0"/>
      </rPr>
      <t xml:space="preserve">T/C FROM KSS UNTIL OCT 2025 / </t>
    </r>
    <r>
      <rPr>
        <rFont val="Calibri"/>
        <b/>
        <color rgb="FFFF0000"/>
        <sz val="11.0"/>
      </rPr>
      <t>7 YEAR TC TO SK GAS FROM OCT 2025</t>
    </r>
    <r>
      <rPr>
        <rFont val="Calibri"/>
        <b/>
        <color theme="1"/>
        <sz val="11.0"/>
      </rPr>
      <t xml:space="preserve"> </t>
    </r>
  </si>
  <si>
    <t>$930,000 pcm</t>
  </si>
  <si>
    <t>LEGISLATOR</t>
  </si>
  <si>
    <t>T/C TO GUNVOR UNTIL OCT 2025</t>
  </si>
  <si>
    <t>$35k per day</t>
  </si>
  <si>
    <t>DOMINATOR L - HYUNDAI HI 3426</t>
  </si>
  <si>
    <t>EX YARD Q4 2025</t>
  </si>
  <si>
    <t>T/C FROM EVALEND UNTIL OCT 2025</t>
  </si>
  <si>
    <t>VALLEE BLANCHE - SAMSUNG 2650</t>
  </si>
  <si>
    <t>EX YARD Q4 2025 - T/C FROM EASTERN PACIFIC UNTIL Q4 2028</t>
  </si>
  <si>
    <t>PINZA</t>
  </si>
  <si>
    <t>GAS AL NEGEH</t>
  </si>
  <si>
    <t>T/C FROM NEPTUNE UNTIL OCT 2025</t>
  </si>
  <si>
    <t>CARGO 70% CAPACITY</t>
  </si>
  <si>
    <t>KPC</t>
  </si>
  <si>
    <t>VEGA SEA</t>
  </si>
  <si>
    <t>T/C TO SHELL UNTIL ~OCT 2025 THEN BWPS UNTIL?</t>
  </si>
  <si>
    <t xml:space="preserve">T/C TO BW LPG UNTIL OCT 2025  / 7 YEAR TC TO SK GAS FROM OCT 2025 </t>
  </si>
  <si>
    <t xml:space="preserve">KSS </t>
  </si>
  <si>
    <t>EX KEEGAN NO.2 - T/C FROM JP MORGAN UNTIL OCT 2027, RELET TO ATC UNTIL Q4 2025</t>
  </si>
  <si>
    <t>T/C FROM ASTOMOS UNTIL OCT 2025</t>
  </si>
  <si>
    <t>NEPTUNE POOL FROM KPC - T/C TO IOC UNTIL OCT 2025</t>
  </si>
  <si>
    <t>T/C TO ASTOMOS UNTIL OCT 2025</t>
  </si>
  <si>
    <t>T/C FROM JP MORGAN UNTIL ~OCT 2025</t>
  </si>
  <si>
    <t>SK GAS OCT 2032 (7 YR TC)</t>
  </si>
  <si>
    <t>SK GAS</t>
  </si>
  <si>
    <t>HAMPSHIRE</t>
  </si>
  <si>
    <t>T/C FROM ZODIAC UNTIL OCT 2025</t>
  </si>
  <si>
    <t>T/C TO VITOL UNTIL OCT 2025</t>
  </si>
  <si>
    <t>GAS ALKHALEEJ</t>
  </si>
  <si>
    <t>T/C TO SWISSCHEMGAS UNTIL NOV 2025 + 6 MTH OPT</t>
  </si>
  <si>
    <t>SWISSCHEMGAS</t>
  </si>
  <si>
    <t>Floating</t>
  </si>
  <si>
    <t>OCEAN GAS</t>
  </si>
  <si>
    <t xml:space="preserve">T/C TO SWISSCHEMGAS UNTIL NOV 2025  + 6 MTH OPT </t>
  </si>
  <si>
    <t>NS FRONTIER</t>
  </si>
  <si>
    <t>T/C FROM NS UNITED UNTIL NOV 2025 - RELET TO NEPTUNE UNTIL NOV 2025</t>
  </si>
  <si>
    <t>NS UNITED</t>
  </si>
  <si>
    <t>EX YARD NOV 2025 - T/C TO GUNVOR UNTIL NOV 2028</t>
  </si>
  <si>
    <t>GENESIS RIVER</t>
  </si>
  <si>
    <t>T/C FROM K LINE UNTIL NOV 2025</t>
  </si>
  <si>
    <t>K LINE</t>
  </si>
  <si>
    <t>T/C TO GYXIS UNTIL NOV 2025</t>
  </si>
  <si>
    <t>T/C FROM ASTOMOS UNTIL NOV 2025</t>
  </si>
  <si>
    <t>$965,000 PCM</t>
  </si>
  <si>
    <t>T/C TO ASTOMOS UNTIL NOV 2025</t>
  </si>
  <si>
    <t>LILAC PROMENADE</t>
  </si>
  <si>
    <t>T/C TO TOTAL UNTIL NOV 2025 (POSS 2026)</t>
  </si>
  <si>
    <t>T/C TO VITOL UNTIL NOV 2025</t>
  </si>
  <si>
    <t>$1.2?</t>
  </si>
  <si>
    <t>T/C FROM AMPTC UNTIL NOV 2025 + 6 MTH OPT - RELET TO IOC UNTIL JAN 2026</t>
  </si>
  <si>
    <t>T/C FROM AMPTC UNTIL NOV 2025 + 6 MTH OPT</t>
  </si>
  <si>
    <t>T/C FROM NYK UNTIL NOV 2025 (POSS 2026)</t>
  </si>
  <si>
    <t>T/C FROM NYK ENEOS OCEAN UNTIL NOV 2025</t>
  </si>
  <si>
    <t>Baltic with discount</t>
  </si>
  <si>
    <t>T/C FROM BW LPG UNTIL DEC 2025</t>
  </si>
  <si>
    <t>ADMIC</t>
  </si>
  <si>
    <t>UNIQUE</t>
  </si>
  <si>
    <t>BERGE NINGBO</t>
  </si>
  <si>
    <t>LEGEND PRESTIGE</t>
  </si>
  <si>
    <t>T/C FROM NYK UNTIL DEC 2025</t>
  </si>
  <si>
    <t>LEGEND PROSPERITY</t>
  </si>
  <si>
    <t>CRYSTAL RIVER</t>
  </si>
  <si>
    <t>T/C FROM K LINE UNTIL DEC 2025</t>
  </si>
  <si>
    <t>LUCINA PROVIDENCE</t>
  </si>
  <si>
    <t>T/C FROM NYK/IDEMITSU UNTIL DEC 2025</t>
  </si>
  <si>
    <t>NYK/IDEMITSU</t>
  </si>
  <si>
    <t>LETO PROVIDENCE</t>
  </si>
  <si>
    <t>LYCASTE PEACE</t>
  </si>
  <si>
    <t xml:space="preserve">KOHAKU </t>
  </si>
  <si>
    <t>T/C FROM MOL ENERGIA UNTIL DEC 2025</t>
  </si>
  <si>
    <t>BGN - KAWASAKI 1766</t>
  </si>
  <si>
    <t>EX YARD DEC 2025</t>
  </si>
  <si>
    <r>
      <rPr>
        <rFont val="Calibri"/>
        <color theme="1"/>
        <sz val="11.0"/>
      </rPr>
      <t>JAG VISHNU</t>
    </r>
    <r>
      <rPr>
        <rFont val="Calibri"/>
        <i/>
        <color theme="1"/>
        <sz val="11.0"/>
      </rPr>
      <t xml:space="preserve"> </t>
    </r>
  </si>
  <si>
    <t>T/C FROM GREAT EASTERN UNTIL DEC 2025</t>
  </si>
  <si>
    <t>GREAT EASTERN</t>
  </si>
  <si>
    <t>$56,700 pd</t>
  </si>
  <si>
    <t>ORIENTAL KING</t>
  </si>
  <si>
    <t>T/C FROM UNIQUE UNTIL END 2025</t>
  </si>
  <si>
    <t>T/C FROM UNIQUE UNTIL DEC 2025, RELET TO ADMIC UNTIL DEC 2025</t>
  </si>
  <si>
    <t>PACIFICATOR</t>
  </si>
  <si>
    <t>T/C TO SONANGOL UNTIL DEC 2025</t>
  </si>
  <si>
    <t>SONANGOL</t>
  </si>
  <si>
    <t>JAG VISHNU</t>
  </si>
  <si>
    <t>T/C TO BPCL UNTIL DEC 2025</t>
  </si>
  <si>
    <t>$56,700 PD</t>
  </si>
  <si>
    <t>PINE GAS</t>
  </si>
  <si>
    <t>T/C FROM SEVEN ISLANDS UNTIL DEC 2025 OPT 6+6M</t>
  </si>
  <si>
    <t>SEVEN ISLANDS</t>
  </si>
  <si>
    <t>YUHSAN</t>
  </si>
  <si>
    <t>T/C FROM JGE UNTIL DEC 2025 - RELET TO SWISSCHEMGAS UNTIL DEC 2025</t>
  </si>
  <si>
    <t>T/C FROM NYK ENEOS OCEAN UNTIL DEC 2025, RELET TO ITOCHU UNTIL DEC 2025</t>
  </si>
  <si>
    <t>T/C TO ASTOMOS UNTIL DEC 2025</t>
  </si>
  <si>
    <t>HELLAS GLADIATOR</t>
  </si>
  <si>
    <t>T/C TO TOTAL UNTIL DEC 2025</t>
  </si>
  <si>
    <t>KOHAKU</t>
  </si>
  <si>
    <t>LONG TERM T/C FROM CIDO - RELET TO BGN UNTIL DEC 2025</t>
  </si>
  <si>
    <t>T/C TO IDEMITSU/ASTOMOS UNTIL DEC 2025</t>
  </si>
  <si>
    <t>T/C TO JGE UNTIL DEC 2025</t>
  </si>
  <si>
    <t>$760k pcm</t>
  </si>
  <si>
    <t>SUNNY JOY</t>
  </si>
  <si>
    <t>T/C TO VITOL UNTIL DEC 2025</t>
  </si>
  <si>
    <t>low $800k's pcm</t>
  </si>
  <si>
    <t>T/C FROM SWISSCHEMGAS FROM JUN 2025 UNTIL MAY 2026</t>
  </si>
  <si>
    <t>T/C TO IOC UNTIL DEC 2025 OPT 6M OPT 6M</t>
  </si>
  <si>
    <t>SEVEN ISLAND</t>
  </si>
  <si>
    <t>T/C FROM EVALEND UNTIL DEC 2025</t>
  </si>
  <si>
    <t>T/C FROM ITOCHU UNTIL DEC 2025 - RELET TO PEMEX UNTIL MAY 2026</t>
  </si>
  <si>
    <t>T/C FROM LATSCO UNTIL DEC 2025</t>
  </si>
  <si>
    <t>T/C TO BW LPG UNTIL END 2025</t>
  </si>
  <si>
    <t>T/C TO BW LPG UNTIL DEC 2025</t>
  </si>
  <si>
    <t>T/C FROM NYK ENEOS OCEAN UNTIL DEC 2025</t>
  </si>
  <si>
    <t>low $800k's pm</t>
  </si>
  <si>
    <t>AGBC - HYUNDAI SAMHO 8231</t>
  </si>
  <si>
    <t>EX YARD JAN 2026 - JV WITH BGN</t>
  </si>
  <si>
    <t>HELLAS SPARTA</t>
  </si>
  <si>
    <t>T/C FROM LATSCO UNTIL Q1 2026</t>
  </si>
  <si>
    <t>Baltic</t>
  </si>
  <si>
    <t>LANTANA PLANET</t>
  </si>
  <si>
    <t>LONG TERM T/C FROM NYK - RELET TO BGN UNTIL Q1 2026</t>
  </si>
  <si>
    <t>DORAJI GAS</t>
  </si>
  <si>
    <t>T/C FROM IINO UNTIL JAN 2026 - RELET TO BW LPG UNTIL JAN 2026</t>
  </si>
  <si>
    <t>KODAIJISAN</t>
  </si>
  <si>
    <t>T/C FROM NS UNITED UNTIL JAN 2026</t>
  </si>
  <si>
    <t>NADESHIKO GAS</t>
  </si>
  <si>
    <t>T/C FROM TOKYO GAS UNTIL JAN 2026</t>
  </si>
  <si>
    <t>TOKYO GAS</t>
  </si>
  <si>
    <t>GAS LIBRA</t>
  </si>
  <si>
    <t>T/C FROM SINOGAS FROM Q1 2026 UNTIL Q1 2029</t>
  </si>
  <si>
    <t>EX YARD JAN 2026 - JV WITH AL SEER (AGBC)</t>
  </si>
  <si>
    <t>T/C FROM ASTOMOS UNTIL Q1 2026</t>
  </si>
  <si>
    <t>BW LOYALTY</t>
  </si>
  <si>
    <t>T/C TO HPCL UNTIL JAN 2026 OPT 6+6M</t>
  </si>
  <si>
    <t>T/C FROM ASTOMOS UNTIL JAN 2026</t>
  </si>
  <si>
    <t xml:space="preserve">GAS GABRIELA </t>
  </si>
  <si>
    <t>T/C FROM KSS UNTIL JAN 2026 OPT JAN 2027 (+ PURCHASE OPT)</t>
  </si>
  <si>
    <t>T/C FROM NYK ENEOS OCEAN UNTIL JAN 2026 OPT JAN 2027</t>
  </si>
  <si>
    <t>HELIOS</t>
  </si>
  <si>
    <t>SAKURA GAS</t>
  </si>
  <si>
    <t>T/C FROM IINO UNTIL JAN 2026 + OPTS(?)</t>
  </si>
  <si>
    <t>CLIPPER POSH</t>
  </si>
  <si>
    <t>T/C FROM SOLVANG BEYOND JAN 2026</t>
  </si>
  <si>
    <t>GEOGAS</t>
  </si>
  <si>
    <t>T/C FROM IWATANI UNTIL JAN 2026</t>
  </si>
  <si>
    <t>T/C FROM BW GLOBAL UNTIL JAN 2026 OPT 6+6M</t>
  </si>
  <si>
    <t>T/C TO ASTOMOS UNTIL JAN 2026</t>
  </si>
  <si>
    <t>Likely extend</t>
  </si>
  <si>
    <t>T/C TO EQUINOR UNTIL JAN 2026 + OPTS (?)</t>
  </si>
  <si>
    <t>Charterer has option to extend</t>
  </si>
  <si>
    <t>$1 mil pcm idea</t>
  </si>
  <si>
    <t>T/C TO TOKYO GAS LONG TERM</t>
  </si>
  <si>
    <t xml:space="preserve">T/C FROM SWISSCHEMGAS UNTIL JAN 2026 </t>
  </si>
  <si>
    <t>T/C FROM K LINE UNTIL JAN 2026. RELET TO GYXIS UNTIL JAN 2026</t>
  </si>
  <si>
    <t>IWATANI</t>
  </si>
  <si>
    <t>T/C TO IWATANI UNTIL JAN 2026</t>
  </si>
  <si>
    <t>T/C TO BWPS UNTIL JAN 2026 OPT JAN 2027 (+PURCHASE OPT)</t>
  </si>
  <si>
    <t>$960k pcm</t>
  </si>
  <si>
    <t>T/C TO ATC UNTIL Q1 2026</t>
  </si>
  <si>
    <t>GAZ ROSE - HANWHA OCEAN 2372</t>
  </si>
  <si>
    <t>EX YARD MAR 2027 - VLAC</t>
  </si>
  <si>
    <t>VLAC</t>
  </si>
  <si>
    <t>NAFTOMAR</t>
  </si>
  <si>
    <t>GAZ PEGASUS - HANWHA OCEAN 2371</t>
  </si>
  <si>
    <t>EX YARD DEC 2026 - VLAC</t>
  </si>
  <si>
    <t>GAZ GOTHAM - HANWHA OCEAN 2370</t>
  </si>
  <si>
    <t>EX YARD SEP 2026 - VLAC</t>
  </si>
  <si>
    <t>GAZ RONIN - HANWHA OCEAN 2369</t>
  </si>
  <si>
    <t>EX YARD JUN 2026 - VLAC</t>
  </si>
  <si>
    <t>NYK - KAWASAKI TBN 1</t>
  </si>
  <si>
    <t>EX YARD Q1 2026 - T/C TO BGN UNTIL Q1 2028, THEN JERA LONG TERM (NH3)</t>
  </si>
  <si>
    <t xml:space="preserve">FUTURE DIAMOND </t>
  </si>
  <si>
    <t>T/C TO DORIAN UNTIL JAN 2026 OPT JAN 2027</t>
  </si>
  <si>
    <t>PACIFIC DONGYING</t>
  </si>
  <si>
    <t>T/C TO WANHUA UNTIL JAN 2026</t>
  </si>
  <si>
    <t>WANHUA</t>
  </si>
  <si>
    <t>PACIFIC GAS</t>
  </si>
  <si>
    <t>ALBERT II</t>
  </si>
  <si>
    <t>T/C FROM TOMZA UNTIL JAN 2026</t>
  </si>
  <si>
    <t>PEMEX</t>
  </si>
  <si>
    <t>TOMZA</t>
  </si>
  <si>
    <t>T/C TO BASF FROM Q1 2026 UNTIL Q1 2029</t>
  </si>
  <si>
    <t>T/C TO TRAFIGURA UNTIL TBC 2026 + OPTS</t>
  </si>
  <si>
    <t>SK SHIPPING</t>
  </si>
  <si>
    <t>MATTERHORN EXPLORER</t>
  </si>
  <si>
    <t>T/C TO GEOGAS BEYOND JAN 2026</t>
  </si>
  <si>
    <t>NILE RIVER</t>
  </si>
  <si>
    <t>T/C FROM ZODIAC UNTIL JAN 2026</t>
  </si>
  <si>
    <t>T/C FROM IINO LINES LONG TERM. RELET FOB/TC TO ASTOMOS UNTIL JAN 2026</t>
  </si>
  <si>
    <t>T/C TO PEMEX UNTIL JAN 2026</t>
  </si>
  <si>
    <t>T/C FROM SK SHIPPING UNTIL TBC 2026 + OPTS</t>
  </si>
  <si>
    <t>T/C FROM PACIFIC GAS UNTIL JAN 2026</t>
  </si>
  <si>
    <t>T/C TO SWISSCHEMGAS UNTIL JAN 2026</t>
  </si>
  <si>
    <t>GAS GALA</t>
  </si>
  <si>
    <t>T/C FROM KSS UNTIL FEB 2026</t>
  </si>
  <si>
    <t>BW POLARIS</t>
  </si>
  <si>
    <t>T/C TO TOTAL UNTIL FEB 2026</t>
  </si>
  <si>
    <t xml:space="preserve">CALLUNA GAS </t>
  </si>
  <si>
    <t>T/C FROM IINO UNTIL FEB 2026 + OPTS(?)</t>
  </si>
  <si>
    <t>T/C FROM KUMIAI NAVIGATION UNTIL FEB 2026 OPT FEB 2027</t>
  </si>
  <si>
    <t>KUMIAI NAVIGATION</t>
  </si>
  <si>
    <t>MERCATOR</t>
  </si>
  <si>
    <t>T/C TO GUNVOR UNTIL FEB 2026</t>
  </si>
  <si>
    <t>SURYA VEERYA</t>
  </si>
  <si>
    <t>T/C TO MERCURIA UNTIL FEB 2026 OPT FEB 2027</t>
  </si>
  <si>
    <t>FORESIGHT</t>
  </si>
  <si>
    <t>T/C FROM EVALEND UNTIL FEB 2026</t>
  </si>
  <si>
    <t>CALLUNA GAS</t>
  </si>
  <si>
    <t>T/C TO EQUINOR FEB 2026 + OPTS (?)</t>
  </si>
  <si>
    <t>T/C FROM SCI UNTIL FEB 2026</t>
  </si>
  <si>
    <t>$31,500 pd</t>
  </si>
  <si>
    <t>GAS FRIEND</t>
  </si>
  <si>
    <t>T/C TO SK GAS UNTIL FEB 2026</t>
  </si>
  <si>
    <t>T/C TO EQUINOR UNTIL UNTIL FEB 2026 OPT FEB 2027</t>
  </si>
  <si>
    <t>T/C FROM PETREDEC UNTIL JAN/FEB 2026</t>
  </si>
  <si>
    <t>T/C FROM FORESIGHT UNTIL FEB 2026 OPT FEB 2027</t>
  </si>
  <si>
    <t xml:space="preserve">T/C TO MERCURIA UNTIL JAN/FEB 2026 </t>
  </si>
  <si>
    <t>T/C TO IOC UNTIL FEB 2026</t>
  </si>
  <si>
    <t>T/C FROM BW LPG UNTIL FEB 2026</t>
  </si>
  <si>
    <t>ASTOMOS VENUS</t>
  </si>
  <si>
    <t>T/C FROM ASTOMOS UNTIL MAR 2026</t>
  </si>
  <si>
    <t>ALTAGAS</t>
  </si>
  <si>
    <t>POINTIS</t>
  </si>
  <si>
    <t>T/C FROM OCEAN GOLD UNTIL MAR 2026</t>
  </si>
  <si>
    <t>OCEAN GOLD</t>
  </si>
  <si>
    <t>Scrubber fitted in next DD Mar 26</t>
  </si>
  <si>
    <t>T/C TO ALTAGAS UNTIL MAR 2026</t>
  </si>
  <si>
    <t>BELLA NIAGARA</t>
  </si>
  <si>
    <t>T/C FROM ZODIAC UNTIL MAR 2026</t>
  </si>
  <si>
    <t>GREEN SARITA</t>
  </si>
  <si>
    <t>T/C FROM MOL INDIA UNTIL MAR/APR 2026</t>
  </si>
  <si>
    <t>$42,250 pd</t>
  </si>
  <si>
    <t>BW ELM</t>
  </si>
  <si>
    <t>T/C TO HPCL UNTIL MAR/APR 2026</t>
  </si>
  <si>
    <t>$45,500 pd</t>
  </si>
  <si>
    <t>BW MINDORO</t>
  </si>
  <si>
    <t>T/C TO EXXON UNTIL MAR 2026</t>
  </si>
  <si>
    <t>EXXON</t>
  </si>
  <si>
    <t>T/C FROM BW LPG UNTIL MAR 2026</t>
  </si>
  <si>
    <t>$35,500 pdpr</t>
  </si>
  <si>
    <t>T/C FROM BW GLOBAL UNTIL MAR/APR 2026</t>
  </si>
  <si>
    <t>PACIFIC WEIHAI</t>
  </si>
  <si>
    <t>T/C FROM PACIFIC GAS UNTIL MAR 2026</t>
  </si>
  <si>
    <t>KEEGAN</t>
  </si>
  <si>
    <t>SILVIO</t>
  </si>
  <si>
    <t>T/C FROM PETREDEC UNTIL MAR 2026</t>
  </si>
  <si>
    <t xml:space="preserve">GAS GALA </t>
  </si>
  <si>
    <t>T/C TO BGN UNTIL MAR 2026</t>
  </si>
  <si>
    <t>T/C TO BPCL UNTIL MAR/APR 2026</t>
  </si>
  <si>
    <t>T/C TO ATC UNTIL MAR 2026</t>
  </si>
  <si>
    <t>T/C TO KEEGAN UNTIL MAR 2026</t>
  </si>
  <si>
    <t>SINNDAR</t>
  </si>
  <si>
    <t>T/C TO PETROBRAS UNTIL MAR/APR 2026</t>
  </si>
  <si>
    <t>T/C FROM PETREDEC UNTIL MAR/APR 2026</t>
  </si>
  <si>
    <t>T/C FROM KSS UNTIL MAR 2026</t>
  </si>
  <si>
    <t>MAPLE GAS</t>
  </si>
  <si>
    <t>T/C FROM IINO UNTIL APR 2026 + OPTS</t>
  </si>
  <si>
    <t>GAS BARBAROSSA</t>
  </si>
  <si>
    <t>T/C FROM KSS UNTIL APR 2026</t>
  </si>
  <si>
    <t>REIMEI</t>
  </si>
  <si>
    <t>T/C FROM MOL INDIA UNTIL APR/MAY 2026</t>
  </si>
  <si>
    <t>42,000 pd</t>
  </si>
  <si>
    <t>BW PINE</t>
  </si>
  <si>
    <t>T/C TO IOC UNTIL APR/MAY 2026</t>
  </si>
  <si>
    <t>CRYSTAL SUNRISE</t>
  </si>
  <si>
    <t>T/C FROM KUMIAI NAVIGATION UNTIL APR 2026</t>
  </si>
  <si>
    <t>low $800s pcm</t>
  </si>
  <si>
    <t>JAG VIRAAT</t>
  </si>
  <si>
    <t>T/C TO IOC UNTIL APR/JUN 2026</t>
  </si>
  <si>
    <t>$32,000 pd</t>
  </si>
  <si>
    <t>PYXIS PIONEER</t>
  </si>
  <si>
    <t>GAS WISDOM</t>
  </si>
  <si>
    <t>T/C FROM KSS UNTIL APR 2026?</t>
  </si>
  <si>
    <t>SUNNY VISTA</t>
  </si>
  <si>
    <t>TC FROM NYK ENEOS OCEAN UNTIL APR 2026</t>
  </si>
  <si>
    <t>T/C TO ASTOMOS UNTIL APR 2026 + OPTS (UNKNOWN LENGTH)</t>
  </si>
  <si>
    <t>T/C FROM GREAT EASTERN UNTIL APR/JUN 2026</t>
  </si>
  <si>
    <t>T/C FROM BW/GLOBAL UNTIL APR/MAY 2026</t>
  </si>
  <si>
    <t>PACIFIC RIZHAO</t>
  </si>
  <si>
    <t>T/C FROM PACIFIC GAS UNTIL APR 2026</t>
  </si>
  <si>
    <t xml:space="preserve">GAS BARBAROSSA </t>
  </si>
  <si>
    <t>T/C TO BGN UNTIL APR 2026</t>
  </si>
  <si>
    <t>T/C TO GYXIS UNTIL APR 2026?</t>
  </si>
  <si>
    <t>GAS POWER</t>
  </si>
  <si>
    <t>T/C TO  PTT UNTIL APRIL 2026</t>
  </si>
  <si>
    <t>T/C TO GYXIS UNTIL APR 2026</t>
  </si>
  <si>
    <t>T/C TO EQUINOR UNTIL APR 2026</t>
  </si>
  <si>
    <t>sub $1.1</t>
  </si>
  <si>
    <t>T/C TO KEEGAN UNTIL APR 2026</t>
  </si>
  <si>
    <t>T/C FROM KSS UNTIL APRIL 2026</t>
  </si>
  <si>
    <t>GAS KING - HYUNDAI HI 3437</t>
  </si>
  <si>
    <t xml:space="preserve">EX YARD MAY 2026 </t>
  </si>
  <si>
    <t>JAG VASANT</t>
  </si>
  <si>
    <t>T/C FROM GREAT EASTERN UNTIL MAY/JUN 2026</t>
  </si>
  <si>
    <t>46,700 PD</t>
  </si>
  <si>
    <t>T/C FROM PETREDEC UNTIL MAY 2026</t>
  </si>
  <si>
    <t>T/C TO BPCL UNTIL MAY/JUN 2026</t>
  </si>
  <si>
    <t>T/C TO CHEVRON UNTIL MAY 2026</t>
  </si>
  <si>
    <t>mid $900k pcm</t>
  </si>
  <si>
    <t>T/C FROM NS UNITED UNTIL JUN 2026 - RELET TO ENERGY TRANSFER UNTIL JUN 2026</t>
  </si>
  <si>
    <t>ENERGY TRANSFER</t>
  </si>
  <si>
    <t>GLOBE IRIS</t>
  </si>
  <si>
    <t>T/C FROM NISSEN KAIUN UNTIL SEP 2025 + OPTS</t>
  </si>
  <si>
    <t xml:space="preserve">T/C FROM ASTOMOS UNTIL JUN 2026 </t>
  </si>
  <si>
    <t>GLOBAL LIBERTY</t>
  </si>
  <si>
    <t>T/C FROM NHAT VIET UNTIL JUN 2026</t>
  </si>
  <si>
    <t>NHAT VIET</t>
  </si>
  <si>
    <t>PACIFIC QINGDAO</t>
  </si>
  <si>
    <t>T/C FROM PACIFIC GAS UNTIL JUN 2026</t>
  </si>
  <si>
    <t>SUNSTAR</t>
  </si>
  <si>
    <t>T/C FROM PETREDEC UNTIL JUN 2026</t>
  </si>
  <si>
    <t>NV SUNSHINE</t>
  </si>
  <si>
    <t>T/C TO HPCL UNTIL JUN 2026</t>
  </si>
  <si>
    <t>T/C TO ENEOS GLOBE UNTIL JUN 2026</t>
  </si>
  <si>
    <t>T/C TO ASTOMOS UNTIL JUN 2026</t>
  </si>
  <si>
    <t>T/C TO KEEGAN UNTIL JUN 2026</t>
  </si>
  <si>
    <t>GAS QUEEN - HYUNDAI HI 3438</t>
  </si>
  <si>
    <t xml:space="preserve">EX YARD JUL 2026 </t>
  </si>
  <si>
    <t>CRYSTAL ASTERIA</t>
  </si>
  <si>
    <r>
      <t xml:space="preserve">T/C FROM KUMIAI NAVIGATION UNTIL JUL 2026 / </t>
    </r>
    <r>
      <rPr>
        <rFont val="Calibri"/>
        <color rgb="FFFF0000"/>
        <sz val="11.0"/>
      </rPr>
      <t>RELET TO DORIAN FROM END JUN 2025 FOR 12 MONTHS AT 50% MID $30K AND 50% BALTIC</t>
    </r>
  </si>
  <si>
    <t>KUMIAI</t>
  </si>
  <si>
    <t xml:space="preserve">WHITE CLIFFS  </t>
  </si>
  <si>
    <t>T/C FROM NISSEN KAIUN UNTIL JUL 2026</t>
  </si>
  <si>
    <t>TC FROM ASTOMOS FROM END JUN 2025 FOR 12 MONTHS</t>
  </si>
  <si>
    <t xml:space="preserve">50% MID $30K AND 50% BALTIC </t>
  </si>
  <si>
    <t>GENEVI</t>
  </si>
  <si>
    <t>EX MOTIVATOR - T/C TO MERCURIA UNTIL AUG 2027 OPT AUG 2028</t>
  </si>
  <si>
    <t>FGAS</t>
  </si>
  <si>
    <t>T/C TO ASTOMOS UNTIL JUL 2026</t>
  </si>
  <si>
    <t>EX MOTIVATOR - T/C FROM FGAS UNTIL AUG 2027 OPT 1YR - RELET TO ATC UNTIL JUL 2025</t>
  </si>
  <si>
    <t>WHITE CLIFFS</t>
  </si>
  <si>
    <t>T/C TO CHEVRON UNTIL JUL 2026</t>
  </si>
  <si>
    <t>NYK - KAWASAKI TBN 2</t>
  </si>
  <si>
    <t>EX YARD Q3 2026 - T/C TO BGN UNTIL Q3 2028, THEN JERA LONG TERM (NH3)</t>
  </si>
  <si>
    <t>ALPHA GAS - HANWHA OCEAN 2375</t>
  </si>
  <si>
    <t>EX YARD AUG 2026</t>
  </si>
  <si>
    <t>ALPHA GAS</t>
  </si>
  <si>
    <t>SOGL</t>
  </si>
  <si>
    <t>EX MAREENA GAS - T/C FROM VARUN UNTIL AUG 2026</t>
  </si>
  <si>
    <t>VARUN</t>
  </si>
  <si>
    <t>$32,400 pd (+$1k for opt)</t>
  </si>
  <si>
    <t>BW BIRCH</t>
  </si>
  <si>
    <t>T/C TO IOC UNTIL AUG 2026</t>
  </si>
  <si>
    <t>PHOENIX HARMONIA</t>
  </si>
  <si>
    <t>T/C FROM MOL ENERGIA UNTIL AUG 2026</t>
  </si>
  <si>
    <t>SARV SHAKTI</t>
  </si>
  <si>
    <t>T/C TO SWISSCHEMGAS UNTIL AUG 2025</t>
  </si>
  <si>
    <t>$915,000 pcm</t>
  </si>
  <si>
    <t>T/C FROM SWISSCHEMGAS UNTIL AUG 2026</t>
  </si>
  <si>
    <t>NV AQUAMARINE</t>
  </si>
  <si>
    <t>T/C FROM VIETMY TRANS UNTIL AUG 2026</t>
  </si>
  <si>
    <t>T/C FROM BW/GLOBAL UNTIL AUG 2026</t>
  </si>
  <si>
    <t>PACIFIC YANTAI</t>
  </si>
  <si>
    <t>T/C FROM PACIFIC GAS UNTIL AUG 2026</t>
  </si>
  <si>
    <t>SANSOVINO</t>
  </si>
  <si>
    <t>T/C FROM PETREDEC UNTIL AUG 2026</t>
  </si>
  <si>
    <t xml:space="preserve">PHOENIX HARMONIA </t>
  </si>
  <si>
    <t>T/C TO EXXON UNTIL AUG 2026</t>
  </si>
  <si>
    <t>T/C TO KEEGAN UNTIL AUG 2026</t>
  </si>
  <si>
    <t>T/C FROM FORESIGHT UNTIL AUG 2025 - RELET TO IOC UNTIL AUG 2026</t>
  </si>
  <si>
    <t>DORIAN - HANWHA OCEAN 2373</t>
  </si>
  <si>
    <t>EX YARD SEP 2026</t>
  </si>
  <si>
    <t>JIANGNAN H2721</t>
  </si>
  <si>
    <t>EX YARD Q3 2026 - VLAC</t>
  </si>
  <si>
    <t>BW TOKYO</t>
  </si>
  <si>
    <t>J/V WITH MITSUI. T/C TO BW LPG UNTIL Q4 2026 + OPTS</t>
  </si>
  <si>
    <t>MEIJI KAIUN</t>
  </si>
  <si>
    <t>MOL ENERGIA - HYUNDAI SAMHO 8234</t>
  </si>
  <si>
    <t>EX YARD SEP 2026 - T/C FROM MOL ENERGIA UNTIL SEP 2029</t>
  </si>
  <si>
    <t xml:space="preserve">RED ADMIRAL </t>
  </si>
  <si>
    <t>T/C FROM NISSEN KAIUN UNTIL OCT 2026</t>
  </si>
  <si>
    <t>COSCO - NANTONG TBN 2</t>
  </si>
  <si>
    <t>EX YARD Q4 2026. TC TO BGN FOR 5 YEARS</t>
  </si>
  <si>
    <t>COSCO</t>
  </si>
  <si>
    <t>COSCO - NANTONG TBN 1</t>
  </si>
  <si>
    <t>BOTAN</t>
  </si>
  <si>
    <t>T/C FROM MOL ENERGIA UNTIL OCT 2026</t>
  </si>
  <si>
    <t>HENGLI - HENGLI HI TBN 1</t>
  </si>
  <si>
    <t>TBC</t>
  </si>
  <si>
    <t>EX YARD OCT 2026</t>
  </si>
  <si>
    <t>HENGLI</t>
  </si>
  <si>
    <t>JIA YUAN</t>
  </si>
  <si>
    <t>T/C FROM KUMIAI SENPAKU UNTIL OCT 2026</t>
  </si>
  <si>
    <t>KUMIAI SENPAKU</t>
  </si>
  <si>
    <t>T/C TO KEEGAN UNTIL OCT 2026</t>
  </si>
  <si>
    <t>LONG TERM T/C FROM CIDO - RELET TO EXXON UNTIL OCT 2026</t>
  </si>
  <si>
    <t>RED ADMIRAL</t>
  </si>
  <si>
    <t>T/C TO CHEVRON UNTIL OCT 2026</t>
  </si>
  <si>
    <t>YUYO</t>
  </si>
  <si>
    <t>T/C FROM NYK ENEOS OCEAN UNTIL NOV 2026 OPT NOV 2027</t>
  </si>
  <si>
    <t>$1.01m</t>
  </si>
  <si>
    <t>BW TYR</t>
  </si>
  <si>
    <t>T/C FROM BW/GLOBAL UNTIL NOV 2026</t>
  </si>
  <si>
    <t>$33k, $33.5k, $36k pd</t>
  </si>
  <si>
    <t>T/C TO BPCL UNTIL NOV 2026</t>
  </si>
  <si>
    <t>BW OAK</t>
  </si>
  <si>
    <t>T/C TO HPCL UNTIL NOV/DEC 2026 OPT 6M OPT 6M</t>
  </si>
  <si>
    <t>$33k,$34.5k, $36k pd</t>
  </si>
  <si>
    <t>MANASAROVAR</t>
  </si>
  <si>
    <t>T/C TO HPCL UNTIL NOV 2026 OPT 6+6M</t>
  </si>
  <si>
    <t>$31.5k,$33k,$34.5k pd</t>
  </si>
  <si>
    <t>VISHVAKARMAA</t>
  </si>
  <si>
    <t>T/C TO SHV UNTIL NOV 2026</t>
  </si>
  <si>
    <t>PINAR GAS</t>
  </si>
  <si>
    <t>T/C FROM WIRANA UNTIL NOV/DEC 2026 OPT 6+6M</t>
  </si>
  <si>
    <t>WIRANA</t>
  </si>
  <si>
    <t>MAERSK - HYUNDAI SAMHO 8264</t>
  </si>
  <si>
    <t>EX YARD NOV 2026</t>
  </si>
  <si>
    <t>MAERSK</t>
  </si>
  <si>
    <t>T/C BGN UNTIL NOV 2026 OPT NOV 2027</t>
  </si>
  <si>
    <t>T/C FROM FORESIGHT UNTIL NOV 2026</t>
  </si>
  <si>
    <t>EX KOBAI - T/C FROM MOL INDIA UNTIL DEC 2026</t>
  </si>
  <si>
    <t>CARDIFF - SAMSUNG TBN 1</t>
  </si>
  <si>
    <t>EX YARD DEC 2026</t>
  </si>
  <si>
    <t>CARDIFF GAS</t>
  </si>
  <si>
    <t>T/C FROM FORESIGHT UNTIL DEC 2026 OPT 6+6M</t>
  </si>
  <si>
    <t>$44k, $46k, $48k</t>
  </si>
  <si>
    <t>T/C FROM BW/GLOBAL UNTIL NOV/DEC 2026 OPT 6+6M</t>
  </si>
  <si>
    <t>$46.5k pd</t>
  </si>
  <si>
    <t>EX KOBAI - T/C TO BPCL UNTIL DEC 2026</t>
  </si>
  <si>
    <t>NAKILAT - HYUNDAI SAMHO 8246</t>
  </si>
  <si>
    <t>FRITZI N</t>
  </si>
  <si>
    <t>T/C TO SHV UNTIL DEC 2026</t>
  </si>
  <si>
    <t>NEU GAS</t>
  </si>
  <si>
    <t>T/C FROM NEU GAS UNTIL DEC 2026</t>
  </si>
  <si>
    <t>MOL ENERGIA - HYUNDAI SAMHO 8235</t>
  </si>
  <si>
    <t>EX YARD DEC 2026 - T/C FROM MOL ENERGIA UNTIL DEC 2029</t>
  </si>
  <si>
    <t>ALPHA GAS - HYUNDAI HI 3509</t>
  </si>
  <si>
    <t>EX YARD JAN 2027</t>
  </si>
  <si>
    <t>EMF VIKING III - HYUNDAI HI TBN</t>
  </si>
  <si>
    <t>EX YARD TBC 2027</t>
  </si>
  <si>
    <t>ATLAS MARITIME</t>
  </si>
  <si>
    <t>EMF VIKING II - HYUNDAI HI TBN</t>
  </si>
  <si>
    <t>EMF VIKING I - HYUNDAI HI TBN</t>
  </si>
  <si>
    <t>IINO - HANWHA OCEAN TBN</t>
  </si>
  <si>
    <t>T/C FROM IINO LONG TERM (ICE CLASS)</t>
  </si>
  <si>
    <t>CARGO (87%)</t>
  </si>
  <si>
    <t>BOREALIS</t>
  </si>
  <si>
    <t>CARDIFF - SAMSUNG TBN 2</t>
  </si>
  <si>
    <t>EX YARD Q1 2027</t>
  </si>
  <si>
    <t>GAS ARIES</t>
  </si>
  <si>
    <t>T/C FROM SINOGAS UNTIL JAN 2027</t>
  </si>
  <si>
    <t>EA TEMILE - HYUNDAI HI TBN</t>
  </si>
  <si>
    <t>EA TEMILE</t>
  </si>
  <si>
    <t>JIANGNAN H2722</t>
  </si>
  <si>
    <t>EX YARD Q1 2027 - VLAC</t>
  </si>
  <si>
    <t>DURHAM</t>
  </si>
  <si>
    <t>T/C FROM ZODIAC UNTIL JAN 2027</t>
  </si>
  <si>
    <t>T/C TO BOREALIS LONG TERM (ICE CLASS) - EX YARD Q1 2027</t>
  </si>
  <si>
    <t>GAS NOUVEAU BAUHINIA</t>
  </si>
  <si>
    <t>T/C TO MERCURIA UNTIL JAN 2027</t>
  </si>
  <si>
    <t>JOVO</t>
  </si>
  <si>
    <t>T/C FROM JOVO UNTIL JAN 2027</t>
  </si>
  <si>
    <t>NYK - KAWASAKI TBN 3</t>
  </si>
  <si>
    <t>PASCOGAS - HYUNDAI HI 3506</t>
  </si>
  <si>
    <t>PASCOGAS</t>
  </si>
  <si>
    <t>T/C TO E1 UNTIL JAN 2027</t>
  </si>
  <si>
    <t>T/C TO GYXIS UNTIL JAN 2027</t>
  </si>
  <si>
    <t>T/C FROM NAVIGARE CAPITAL UNTIL FEB 2027</t>
  </si>
  <si>
    <t>NAVIGARE CAPITAL</t>
  </si>
  <si>
    <t>$1.1m pcm</t>
  </si>
  <si>
    <t>KEDARNATH</t>
  </si>
  <si>
    <t>EX SPREAD EAGLE - T/C TO PETREDEC UNTIL FEB 2027</t>
  </si>
  <si>
    <t>T/C TO MERCURIA UNTIL FEB 2027 + OPTS</t>
  </si>
  <si>
    <t>MAERSK - HYUNDAI SAMHO 8265</t>
  </si>
  <si>
    <t>EX YARD FEB 2027</t>
  </si>
  <si>
    <t>T/C FROM JOVO UNTIL FEB 2027 + OPTS</t>
  </si>
  <si>
    <t>T/C TO EXXON UNTIL FEB 2027</t>
  </si>
  <si>
    <t>EX SPREAD EAGLE - T/C FROM FORESIGHT UNTIL FEB 2027</t>
  </si>
  <si>
    <t>LEO GREEN</t>
  </si>
  <si>
    <t>T/C FROM NYK ENEOS OCEAN UNTIL AUG 2029 - RELET TO TRAFIGURA UNTIL MAR 2027</t>
  </si>
  <si>
    <t>CHANG XING YUAN</t>
  </si>
  <si>
    <t>T/C TO SINOCHEM INTERNATIONAL UNTIL MAR 2027, OPT UP TO 5 YEARS</t>
  </si>
  <si>
    <t>SINOCHEM</t>
  </si>
  <si>
    <t>GAS STELLA</t>
  </si>
  <si>
    <t>T/C FROM NISSEN KAIUN UNTIL MAR 2027, RELET TO ENERGY TRANSFER UNTIL JAN 2027</t>
  </si>
  <si>
    <t>JIANGNAN H2745</t>
  </si>
  <si>
    <t>HYUNDAI HI 3468</t>
  </si>
  <si>
    <t>T/C FROM E1 UNTIL JAN 2027</t>
  </si>
  <si>
    <t>TP TENACITY</t>
  </si>
  <si>
    <t>EX TENACITY IV - T/C FROM TRANSPETROL UNTIL MAR 2027</t>
  </si>
  <si>
    <t>TRANSPETROL</t>
  </si>
  <si>
    <t>ORIENTAL JUBILEE</t>
  </si>
  <si>
    <t>T/C FROM UNIQUE UNTIL MAR 2027</t>
  </si>
  <si>
    <t>ITOCHU</t>
  </si>
  <si>
    <t>$1.05m pcm</t>
  </si>
  <si>
    <t>NAKILAT - HYUNDAI SAMHO 82467</t>
  </si>
  <si>
    <t>EX YARD MAR 2027</t>
  </si>
  <si>
    <t>T/C TO E1 UNTIL MAR 2027</t>
  </si>
  <si>
    <t>T/C TO ENEOS GLOBE UNTIL MAR 2027</t>
  </si>
  <si>
    <t>ENEOS</t>
  </si>
  <si>
    <t>PASCOGAS - HYUNDAI HI TBN</t>
  </si>
  <si>
    <t>T/C FROM COSCO UNTIL MAR 2027, OPT UP TO 5 YEARS</t>
  </si>
  <si>
    <t>T/C FROM BGN UNTIL MAR 2027</t>
  </si>
  <si>
    <t>EX TENACITY IV - T/C TO EXXON UNTIL MAR 2027</t>
  </si>
  <si>
    <t>T/C TO ITOCHU UNTIL MAR 2027</t>
  </si>
  <si>
    <t>ALPHA GAS - HYUNDAI HI 3510</t>
  </si>
  <si>
    <t>EX YARD Q2 2027</t>
  </si>
  <si>
    <t>BW MALACCA</t>
  </si>
  <si>
    <t>T/C TO EXXON UNTIL APR 2027</t>
  </si>
  <si>
    <t>CARDIFF - SAMSUNG TBN 3</t>
  </si>
  <si>
    <t>GAS AQUARIUS</t>
  </si>
  <si>
    <t>T/C FROM SINOGAS UNTIL APR 2027</t>
  </si>
  <si>
    <t>T/C FROM BW LPG UNTIL APR 2027</t>
  </si>
  <si>
    <t>HENGLI - HENGLI HI TBN 2</t>
  </si>
  <si>
    <t>EX YARD APR 2027</t>
  </si>
  <si>
    <t>NS UNITED - KAWASAKI TBN 1</t>
  </si>
  <si>
    <t>T/C TO E1 UNTIL APR 2027</t>
  </si>
  <si>
    <t>TETHYS</t>
  </si>
  <si>
    <t>T/C FROM SIAM GAS FROM MAY 2025 UNTIL MAY 2027 + OPTS</t>
  </si>
  <si>
    <t>T/C TO SATELLITE UNTIL MAY 2027</t>
  </si>
  <si>
    <t>JALDHI - JIANGNAN TBN 1</t>
  </si>
  <si>
    <t>JALDHI OVERSEAS</t>
  </si>
  <si>
    <t>PERTAMINA GAS DAHLIA</t>
  </si>
  <si>
    <t>T/C TO SWISSCHEMGAS UNTIL MAY 2027</t>
  </si>
  <si>
    <t>CARGO &amp; FUEL</t>
  </si>
  <si>
    <t>PERTAMINA</t>
  </si>
  <si>
    <t>T/C FROM DORIAN UNTIL MAY 2027</t>
  </si>
  <si>
    <t>DELIVERY FROM PETREDEC MAY 2025, T/C TO BB ENERGY UNTIL MAY 2027 + OPTS</t>
  </si>
  <si>
    <t>CRYSTAL OASIS</t>
  </si>
  <si>
    <t>T/C FROM KUMIAI NAVIGATION UNTIL JUN 2027</t>
  </si>
  <si>
    <t>ARISTAIOS - HYUNDAI HI 3469</t>
  </si>
  <si>
    <t>EX YARD JUN 2027</t>
  </si>
  <si>
    <t>CAPITAL MARITIME</t>
  </si>
  <si>
    <t>Ammonia engine</t>
  </si>
  <si>
    <t>CIDO - HYUNDAI HI TBN 2</t>
  </si>
  <si>
    <t>CIDO - HYUNDAI HI TBN 1</t>
  </si>
  <si>
    <t>JIANGNAN H2746</t>
  </si>
  <si>
    <t>EX YARD Q2 2027 - VLAC</t>
  </si>
  <si>
    <t>HENGLI - HENGLI HI TBN 3</t>
  </si>
  <si>
    <t>T/C TO BGN UNTIL JUN 2027</t>
  </si>
  <si>
    <t>MOL ENERGIA - HANWHA OCEAN TBN #2</t>
  </si>
  <si>
    <t>2027/28</t>
  </si>
  <si>
    <t>EX YARD TBC 2027/2028</t>
  </si>
  <si>
    <t>CARGO?</t>
  </si>
  <si>
    <t>MOL ENERGIA - HANWHA OCEAN TBN #1</t>
  </si>
  <si>
    <t>MOL ENERGIA - HHI TBN #2</t>
  </si>
  <si>
    <t>VLAC?</t>
  </si>
  <si>
    <t>MOL ENERGIA - HHI TBN #1</t>
  </si>
  <si>
    <t>NAKILAT - HYUNDAI SAMHO 8248</t>
  </si>
  <si>
    <t>CLIPPER FREEPORT</t>
  </si>
  <si>
    <t>T/C FROM SOLVANG UNTIL JUN 2027</t>
  </si>
  <si>
    <t xml:space="preserve">CLIPPER FREEPORT </t>
  </si>
  <si>
    <t>T/C TO P66 UNTIL JUN 2027</t>
  </si>
  <si>
    <t>ALPHA GAS - HANWHA OCEAN 2376</t>
  </si>
  <si>
    <t>EX YARD Q3 2027</t>
  </si>
  <si>
    <t>GAS YOUNG</t>
  </si>
  <si>
    <t>T/C FROM SIAM GAS UNTIL JUL 2027</t>
  </si>
  <si>
    <t>SIAM GAS</t>
  </si>
  <si>
    <t>MAERSK - HYUNDAI SAMHO 8266</t>
  </si>
  <si>
    <t xml:space="preserve">EX YARD JUL 2027 </t>
  </si>
  <si>
    <t>NYK - KAWASAKI TBN 4</t>
  </si>
  <si>
    <t>T/C TO BB ENERGY UNTIL JUL 2027</t>
  </si>
  <si>
    <t>EX MOTIVATOR - T/C FROM MERCURIA UNTIL JUL 2025</t>
  </si>
  <si>
    <t>JALDHI - JIANGNAN TBN 2</t>
  </si>
  <si>
    <t>GAS IVORY</t>
  </si>
  <si>
    <t>T/C TO PTT UNTIL AUG 2027</t>
  </si>
  <si>
    <t>T/C FROM KSS UNTIL AUG 2027</t>
  </si>
  <si>
    <t>BGN - HYUNDAI HI 3503</t>
  </si>
  <si>
    <t>EX YARD SEP 2027</t>
  </si>
  <si>
    <t>ARGONAFTIS - HYUNDAI HI 3470</t>
  </si>
  <si>
    <t>T/C FROM HYUNDAI LNG UNTIL SEP 2027 + OPTS</t>
  </si>
  <si>
    <t>HYUNDAI LNG</t>
  </si>
  <si>
    <t>JIANGNAN H2820</t>
  </si>
  <si>
    <t>EX YARD Q3 2027 - VLAC</t>
  </si>
  <si>
    <t>MONZA L</t>
  </si>
  <si>
    <t>T/C TO GEOGAS UNTIL SEP 2027</t>
  </si>
  <si>
    <t>T/C FROM EVALEND UNTIL SEP 2027</t>
  </si>
  <si>
    <t>T/C TO E1 UNTIL SEP 2027 + OPTS</t>
  </si>
  <si>
    <t>T/C TO MERCURIA UNTIL SEP 2027 + OPTS</t>
  </si>
  <si>
    <t>EX KEEGAN NO.1 - T/C TO MERCURIA UNTIL SEP 2027</t>
  </si>
  <si>
    <t>EX KEEGAN NO.1 - T/C FROM JP MORGAN UNTIL SEP 2027</t>
  </si>
  <si>
    <t>T/C FROM JOVO UNTIL SEP 2027 + OPTS</t>
  </si>
  <si>
    <t>NAKILAT - HYUNDAI SAMHO 8249</t>
  </si>
  <si>
    <t>ENEOS EXPLORER</t>
  </si>
  <si>
    <t>T/C TO TRAFIGURA UNTIL SEP 2027 OPT 1+1+1+1 YRS</t>
  </si>
  <si>
    <t xml:space="preserve">CLIPPER VANGUARD </t>
  </si>
  <si>
    <t>T/C FROM SOLVANG UNTIL SEP 2027</t>
  </si>
  <si>
    <t>CLIPPER VANGUARD</t>
  </si>
  <si>
    <t>T/C TO P66 UNTIL SEP 2027</t>
  </si>
  <si>
    <t>T/C FROM NYK ENEOS OCEAN UNTIL SEP 2027 OPT 1+1+1+1 YRS + PURCHASE OPTS</t>
  </si>
  <si>
    <t>PNC purchase opt 2028 $64 mill</t>
  </si>
  <si>
    <t>CARDIFF - SAMSUNG TBN 4</t>
  </si>
  <si>
    <t>EX YARD Q4 2027</t>
  </si>
  <si>
    <t>HENGLI - HENGLI HI TBN 4</t>
  </si>
  <si>
    <t>EX YARD OCT 2027</t>
  </si>
  <si>
    <t>EX KEEGAN NO.2 - T/C TO MERCURIA UNTIL OCT 2027</t>
  </si>
  <si>
    <t>MOL ENERGIA - KAWASAKI TBN 1</t>
  </si>
  <si>
    <t>NYK - HYUNDAI HI TBN 3</t>
  </si>
  <si>
    <t>88/93,000</t>
  </si>
  <si>
    <t>EX YARD Q4 2027 - MANAGED BY NYK FUEL SOLUTIONS GROUP</t>
  </si>
  <si>
    <t>NYK - HYUNDAI HI TBN 2</t>
  </si>
  <si>
    <t>NYK - HYUNDAI HI TBN 1</t>
  </si>
  <si>
    <t>ENEOS WISDOM</t>
  </si>
  <si>
    <t>T/C TO TOTAL UNTIL OCT 2027 OPT 1+1+1+1+1 YRS</t>
  </si>
  <si>
    <t>T/C FROM NYK ENEOS OCEAN UNTIL OCT 2027 OPT 1+1+1+1+1 YRS</t>
  </si>
  <si>
    <t>VEGA SUN</t>
  </si>
  <si>
    <t>T/C FROM JP MORGAN UNTIL NOV 2027</t>
  </si>
  <si>
    <t xml:space="preserve">VEGA SUN </t>
  </si>
  <si>
    <t>T/C TO GUNVOR UNTIL NOV 2027</t>
  </si>
  <si>
    <t>MAERSK - HYUNDAI SAMHO 8267</t>
  </si>
  <si>
    <t xml:space="preserve">EX YARD NOV 2027 </t>
  </si>
  <si>
    <t>PRIMA ENERGY</t>
  </si>
  <si>
    <t>T/C FROM SOECHI LINES UNTIL NOV 2027</t>
  </si>
  <si>
    <t>SOECHI</t>
  </si>
  <si>
    <t>$30k pd</t>
  </si>
  <si>
    <t>T/C TO PERTAMINA UNTIL NOV 2027</t>
  </si>
  <si>
    <t>BGN - HYUNDAI HI 3531</t>
  </si>
  <si>
    <t>HYUNDAI HI 3471</t>
  </si>
  <si>
    <t>EX YARD Q4 2027 - VLAC</t>
  </si>
  <si>
    <t>T/C FROM TRANSPETROL UNTIL DEC 2027</t>
  </si>
  <si>
    <t>low $1 mil</t>
  </si>
  <si>
    <t>TP PERSEVERANCE V</t>
  </si>
  <si>
    <t>EX PERSEVERANCE V - T/C TO ENERGY TRANSFER UNTIL DEC 2027</t>
  </si>
  <si>
    <t>BW MESSINA</t>
  </si>
  <si>
    <t>T/C FROM BW LPG UNTIL JAN 2028</t>
  </si>
  <si>
    <t>T/C TO BP UNTIL JAN 2028</t>
  </si>
  <si>
    <t>JIANGNAN H2821</t>
  </si>
  <si>
    <t>EX YARD Q1 2028 - VLAC</t>
  </si>
  <si>
    <t>HYUNDAI HI 3513</t>
  </si>
  <si>
    <t>EX YARD 2028 - FIXED ON T/C FOR LPG</t>
  </si>
  <si>
    <t>HYUNDAI HI 3512</t>
  </si>
  <si>
    <t>VEGA SONG</t>
  </si>
  <si>
    <t>T/C FROM JP MORGAN UNTIL JAN 2028</t>
  </si>
  <si>
    <t xml:space="preserve">VEGA SONG </t>
  </si>
  <si>
    <t>T/C TO GUNVOR UNTIL JAN 2028</t>
  </si>
  <si>
    <t>MAERSK - HYUNDAI SAMHO 8268</t>
  </si>
  <si>
    <t>EX YARD JAN 2028</t>
  </si>
  <si>
    <t>MOL ENERGIA - KAWASAKI TBN 2</t>
  </si>
  <si>
    <t>EX YARD Q1 2028</t>
  </si>
  <si>
    <t>CLIPPER EXPLORER</t>
  </si>
  <si>
    <t>EX WEISSHORN EXPLORER - T/C TO TRAFIGURA UNTIL JAN 2028?</t>
  </si>
  <si>
    <t>EX WEISSHORN EXPLORER - T/C FROM SOLVANG UNTIL JAN 2028</t>
  </si>
  <si>
    <t>GAS ARES</t>
  </si>
  <si>
    <t>T/C FROM KSS UNTIL FEB 2028</t>
  </si>
  <si>
    <t xml:space="preserve">GAS ARES </t>
  </si>
  <si>
    <t>T/C TO BGN UNTIL FEB 2028</t>
  </si>
  <si>
    <t>GAS JUSTESEN</t>
  </si>
  <si>
    <t>T/C FROM KSS UNTIL MAR 2028</t>
  </si>
  <si>
    <t>OCEANUS AURORA</t>
  </si>
  <si>
    <t>T/C FROM IINO UNTIL MAR 2028</t>
  </si>
  <si>
    <t xml:space="preserve">T/C TO BOREALIS UNTIL MAR 2028 </t>
  </si>
  <si>
    <t>T/C TO BGN UNTIL MAR 2028</t>
  </si>
  <si>
    <t>MAERSK - HYUNDAI SAMHO 8269</t>
  </si>
  <si>
    <t>EX YARD MAR 2028</t>
  </si>
  <si>
    <t>GAS KAISERIN</t>
  </si>
  <si>
    <t>T/C FROM KSS UNTIL APR 2028</t>
  </si>
  <si>
    <t xml:space="preserve"> T/C TO SATELLITE UNTIL APR 2028</t>
  </si>
  <si>
    <t>PYXIS ALFA</t>
  </si>
  <si>
    <t>T/C FROM KUMIAI NAVIGATION UNTIL APR/JUN 2028</t>
  </si>
  <si>
    <t>T/C TO BGN UNTIL APR 2028</t>
  </si>
  <si>
    <t>T/C TO GYXIS UNTIL APR/JUN 2028</t>
  </si>
  <si>
    <t>NYK - KAWASAKI TBN 5</t>
  </si>
  <si>
    <t>EX YARD Q2 2028</t>
  </si>
  <si>
    <t>T/C FROM BW LPG UNTIL APR 2028</t>
  </si>
  <si>
    <t>MAERSK - HYUNDAI SAMHO 8270</t>
  </si>
  <si>
    <t>EX YARD MAY 2028</t>
  </si>
  <si>
    <t>SUMMIT RIVER</t>
  </si>
  <si>
    <t>T/C FROM K LINE UNTIL JUN 2028</t>
  </si>
  <si>
    <t>T/C TO GYXIS UNTIL JUN 2028</t>
  </si>
  <si>
    <t>CRISTOBAL</t>
  </si>
  <si>
    <t>LONG TERM T/C TO DORIAN</t>
  </si>
  <si>
    <t>PACIFIC HONG KONG</t>
  </si>
  <si>
    <t>T/C TO SHELL UNTIL UNTIL JUN 2028</t>
  </si>
  <si>
    <t>T/C FROM PACIFIC GAS UNTIL JUN 2028</t>
  </si>
  <si>
    <t>ASTOMOS EARTH</t>
  </si>
  <si>
    <t>T/C TO BASF FROM Q3 2025 UNTIL Q3 2028</t>
  </si>
  <si>
    <t>T/C FROM ASTOMOS FROM Q3 2025 UNTIL Q3 2028</t>
  </si>
  <si>
    <t>HLS EMERALD</t>
  </si>
  <si>
    <t>T/C FROM HYUNDAI LNG UNTIL JUL 2028</t>
  </si>
  <si>
    <t>T/C TO BGN UNTIL JUL 2028</t>
  </si>
  <si>
    <t>MAERSK - HYUNDAI SAMHO 8271</t>
  </si>
  <si>
    <t>EX YARD JUL 2028</t>
  </si>
  <si>
    <t>LOGAN EXPLORER</t>
  </si>
  <si>
    <t>T/C TO TRAFIGURA UNTIL SEP 2028 + OPTS</t>
  </si>
  <si>
    <t>ENEOS GUNJO</t>
  </si>
  <si>
    <t>T/C FROM JGE UNTIL SEP 2028</t>
  </si>
  <si>
    <t>T/C FROM NYK ENEOS OCEAN UNTIL SEP 2028 - RELET TO ITOCHU UNTIL SEP 2028</t>
  </si>
  <si>
    <t>MAERSK - HYUNDAI SAMHO 8272</t>
  </si>
  <si>
    <t>EX YARD SEP 2028</t>
  </si>
  <si>
    <t>T/C TO JGE UNTIL SEP 2028</t>
  </si>
  <si>
    <t>T/C FROM EASTERN PACIFIC UNTIL SEP 2028 + OPTS</t>
  </si>
  <si>
    <t xml:space="preserve">GAS GHAZI </t>
  </si>
  <si>
    <t>T/C FROM KSS UNTIL OCT 2028</t>
  </si>
  <si>
    <t>GAS GHAZI</t>
  </si>
  <si>
    <t>T/C TO BGN UNTIL OCT 2028</t>
  </si>
  <si>
    <t>NIRVANA EXPLORER</t>
  </si>
  <si>
    <t>T/C TO TRAFIGURA UNTIL NOV 2028 + OPTS</t>
  </si>
  <si>
    <t>MAERSK - HYUNDAI SAMHO 8273</t>
  </si>
  <si>
    <t>EX YARD NOV 2028</t>
  </si>
  <si>
    <t>PERTAMINA GAS AMARYLLIS</t>
  </si>
  <si>
    <t>T/C TO TRAFIGURA UNTIL NOV 2028</t>
  </si>
  <si>
    <t>T/C FROM PERTAMINA UNTIL NOV 2028</t>
  </si>
  <si>
    <t>T/C FROM EASTERN PACIFIC UNTL NOV 2028 + OPTS</t>
  </si>
  <si>
    <t>HLS FLUORITE</t>
  </si>
  <si>
    <t>T/C FROM HYUNDAI LNG UNTIL DEC 2028</t>
  </si>
  <si>
    <t>T/C TO BGN UNTIL DEC 2028</t>
  </si>
  <si>
    <t>TSUBAKI</t>
  </si>
  <si>
    <t>LONG TERM T/C TO MOL ENERGIA</t>
  </si>
  <si>
    <t>T/C FROM MOL EMERGIA UNTIL JAN 2029</t>
  </si>
  <si>
    <t>LONG TERM T/C FROM CIDO - RELET TO ENEOS GLOBE UNTIL JAN 2029</t>
  </si>
  <si>
    <t>PACIFIC SHANGHAI</t>
  </si>
  <si>
    <t>T/C TO WANHUA UNTIL JAN 2029</t>
  </si>
  <si>
    <t>RM: There is an option to extend TC for a year in the CP, most likely will be exercised</t>
  </si>
  <si>
    <t>T/C FROM PACIFIC GAS UNTIL JAN 2029</t>
  </si>
  <si>
    <t>PERTAMINA GAS CASPIA</t>
  </si>
  <si>
    <t>T/C TO SWISSCHEMGAS UNTIL MAR 2029</t>
  </si>
  <si>
    <t>HALLASAN EXPLORER</t>
  </si>
  <si>
    <t xml:space="preserve">T/C TO TRAFIGURA UNTIL MAR 2029/2031 </t>
  </si>
  <si>
    <t>T/C FROM PERTAMINA UNTIL MAR 2029</t>
  </si>
  <si>
    <t>T/C FROM SK SHIPPING UNTIL MAR 2029/2031</t>
  </si>
  <si>
    <t>T/C TO BGN UNTIL MAR 2029</t>
  </si>
  <si>
    <t>AQUAMARINE PROGRESS II</t>
  </si>
  <si>
    <t>T/C FROM MOL ENERGIA UNTIL APR 2029</t>
  </si>
  <si>
    <t>TAEBAEK EXPLORER</t>
  </si>
  <si>
    <t>T/C TO TRAFIGURA UNTIL APR 2029 (POSS 2031)</t>
  </si>
  <si>
    <t>HYUNDAI GLOVIS</t>
  </si>
  <si>
    <t>T/C TO GYXIS UNTIL APR 2029</t>
  </si>
  <si>
    <t>JENGGALA</t>
  </si>
  <si>
    <t>T/C FROM HYUNDAI GLOVIS UNTIL APR 2029/2031 + PURCHASE OPTS</t>
  </si>
  <si>
    <t>JIRISAN EXPLORER</t>
  </si>
  <si>
    <t>T/C TO TRAFIGURA UNTIL MAY 2029/2031</t>
  </si>
  <si>
    <t>T/C FROM PERTAMINA UNTIL MAY 2027</t>
  </si>
  <si>
    <t>T/C FROM SK SHIPPING UNTIL MAY 2029/2031</t>
  </si>
  <si>
    <t>SOBAEK EXPLORER</t>
  </si>
  <si>
    <t>T/C TO TRAFIGURA UNTIL JUN 2029 (POSS 2031)</t>
  </si>
  <si>
    <t>GAS GARNET</t>
  </si>
  <si>
    <t>JOINT OWNERSHIP WITH NYK - RELET TO BGN UNTIL MID 2029 (POSS LONGER)</t>
  </si>
  <si>
    <t>T/C FROM ASTOMOS UNTIL MID 2029 (POSS LONGER)</t>
  </si>
  <si>
    <t>T/C TO BGN UNTIL AUG 2029</t>
  </si>
  <si>
    <t>More than $1M pcm</t>
  </si>
  <si>
    <t>T/C FROM KSS UNTIL SEP 2029 (+PURCHASE OPT)</t>
  </si>
  <si>
    <t>T/C TO E1 UNTIL SEP 2029 (+PURCHASE OPT)</t>
  </si>
  <si>
    <t>EX YARD SEP 2026 - T/C TO TOTAL UNTIL SEP 2029</t>
  </si>
  <si>
    <t>EX SERJEANT - T/C TO SHELL UNTIL SEP 2029</t>
  </si>
  <si>
    <t>EX SERJEANT - T/C FROM NAVIGARE CAPITAL UNTIL SEP 2029</t>
  </si>
  <si>
    <t>T/C FROM MOL ENERGIA UNTIL NOV 2029</t>
  </si>
  <si>
    <t>1.5 mill pcm</t>
  </si>
  <si>
    <t>KEFALONIA GAS</t>
  </si>
  <si>
    <t>T/C TO CHEVRON UNTIL NOV 2029</t>
  </si>
  <si>
    <t>T/C FROM CARDIFF UNTIL NOV 2029</t>
  </si>
  <si>
    <t>T/C TO ATC UNTIL NOV 2029</t>
  </si>
  <si>
    <t>$1.4M PCM</t>
  </si>
  <si>
    <t>BOREAL PIONEER</t>
  </si>
  <si>
    <t>T/C FROM SK SHIPPING UNTIL DEC 2029/2031</t>
  </si>
  <si>
    <t>EX YARD DEC 2026 - T/C TO TOTAL UNTIL DEC 2029</t>
  </si>
  <si>
    <t>T/C TO ALTAGAS UNTIL DEC 2029/2031</t>
  </si>
  <si>
    <t>CORFU GAS</t>
  </si>
  <si>
    <t>T/C FROM CARDIFF UNTIL JAN 2030 - NAVIG8 POOL</t>
  </si>
  <si>
    <t>T/C TO ADMIC UNTIL JAN 2030</t>
  </si>
  <si>
    <t>PACIFIC BINZHOU</t>
  </si>
  <si>
    <t>HELIOS POOL FROM MOL ENERGIA</t>
  </si>
  <si>
    <t>HLS BLUE SAPPHIRE</t>
  </si>
  <si>
    <t>T/C FROM HYUNDAI LNG UNTIL JAN 2030</t>
  </si>
  <si>
    <t>T/C TO E1 UNTIL JAN 2030</t>
  </si>
  <si>
    <t>SHAAMIT</t>
  </si>
  <si>
    <t>T/C FROM PETREDEC UNTIL Q1 2030</t>
  </si>
  <si>
    <t>T/C FROM PACIFIC GAS UNTIL JAN 2030 - HELIOS POOL</t>
  </si>
  <si>
    <t>NAVIG8 POOL FROM ADMIC</t>
  </si>
  <si>
    <t>T/C TO MOL ENERGIA UNTIL JAN 2030</t>
  </si>
  <si>
    <t>T/C TO ITOCHU UNTIL Q1 2030</t>
  </si>
  <si>
    <t>T/C TO SK GAS UNTIL FEB 2030</t>
  </si>
  <si>
    <t>HLS CITRINE</t>
  </si>
  <si>
    <t>T/C FROM E1 UNTIL FEB 2030</t>
  </si>
  <si>
    <t>T/C FROM HYUNDAI LNG UNTIL FEB 2030, RELET TO DORIAN UNTIL FEB 2030</t>
  </si>
  <si>
    <t xml:space="preserve">HLS CITRINE </t>
  </si>
  <si>
    <t>T/C TO E1 UNTIL FEB 2030 - RELET TO DORIAN UNTIL FEB 2030</t>
  </si>
  <si>
    <t>T/C FROM BW LPG UNTIL FEB 2030</t>
  </si>
  <si>
    <t>T/C FROM BW LPG UNTIL MAR 2030</t>
  </si>
  <si>
    <t>BOREAL VOYAGER</t>
  </si>
  <si>
    <t>T/C FROM SK SHIPPING UNTIL MAR 2030/2032</t>
  </si>
  <si>
    <t>FUTURE ACE</t>
  </si>
  <si>
    <t>T/C FROM NYK ENEOS OCEAN UNTIL MAR 2030</t>
  </si>
  <si>
    <t>T/C TO ADMIC UNTIL MAR 2030</t>
  </si>
  <si>
    <t>ITHACA GAS</t>
  </si>
  <si>
    <t>T/C TO CHEVRON UNTIL MAR 2030</t>
  </si>
  <si>
    <t>T/C FROM CARDIFF UNTIL JAN 2030</t>
  </si>
  <si>
    <t>HLS DIAMOND</t>
  </si>
  <si>
    <t>T/C FROM E1 UNTIL MAR 2030</t>
  </si>
  <si>
    <t>T/C FROM HYUNDAI LNG UNTIL MAR 2030, RELET TO DORIAN UNTIL MAR 2030</t>
  </si>
  <si>
    <t>T/C TO E1 UNTIL MAR 2030 - RELET TO DORIAN UNTIL MAR 2030</t>
  </si>
  <si>
    <t>T/C FROM JGE UNTIL MAR 2030</t>
  </si>
  <si>
    <t>T/C FROM NYK ENEOS OCEAN UNTIL MAR 2030 - RELET TO ITOCHU UNTIL MAR 2030</t>
  </si>
  <si>
    <t>CRYSTAL EXPLORER</t>
  </si>
  <si>
    <t>T/C TO TRAFIGURA UNTIL MAR 2030 + OPTS</t>
  </si>
  <si>
    <t>T/C TO JGE UNTIL MAR 2030</t>
  </si>
  <si>
    <t>T/C TO BGN UNTIL MAR 2030</t>
  </si>
  <si>
    <t>T/C TO ALTAGAS UNTIL MAR 2030/2032</t>
  </si>
  <si>
    <t>T/C FROM KUMIAI UNTIL MAR 2030 + OPTS</t>
  </si>
  <si>
    <t>SECRETO</t>
  </si>
  <si>
    <t>T/C FROM PETREDEC UNTIL APR 2030 - HELIOS POOL</t>
  </si>
  <si>
    <t>T/C TO MOL ENERGIA UNTIL APR 2030</t>
  </si>
  <si>
    <t>ZANTE GAS</t>
  </si>
  <si>
    <t>T/C FROM CARDIFF UNTIL MAY 2030 - NAVIG8 POOL</t>
  </si>
  <si>
    <t>T/C TO ADMIC UNTIL MAY 2030</t>
  </si>
  <si>
    <t>ZANTE GAS - HYUNDAI HI 3406</t>
  </si>
  <si>
    <t>EX YARD MAY 2025 - NAVIG8 POOL FROM ADMIC</t>
  </si>
  <si>
    <t>CRYSTAL ODYSSEY - KAWASAKI 1765</t>
  </si>
  <si>
    <t>EX YARD JUN 2025 - T/C FROM KUMIAI NAVIGATION UNTIL JUN 2030 + OPTS?</t>
  </si>
  <si>
    <t>T/C FROM NYK ENEOS OCEAN UNTIL JUN 2030</t>
  </si>
  <si>
    <t>EX YARD JUN 2025 - T/C TO BGN UNTIL JUN 2030 + OPTS</t>
  </si>
  <si>
    <t>T/C TO ENEOS GLOBE UNTIL JUN 2030</t>
  </si>
  <si>
    <t>HELLAS BLISS - HYUNDAI HI 3427</t>
  </si>
  <si>
    <t>EX YARD AUG 2025 - T/C TO CHEVRON UNTIL AUG 2030 + OPTS</t>
  </si>
  <si>
    <t>CARGO 86%</t>
  </si>
  <si>
    <t>HELLAS PROSPERITY - HYUNDAI HI 3428</t>
  </si>
  <si>
    <t>EX YARD NOV 2025 - T/C TO CHEVRON UNTIL NOV 2030 + OPTS</t>
  </si>
  <si>
    <t>ENEOS MIRAI</t>
  </si>
  <si>
    <t>T/C FROM NYK ENEOS OCEAN UNTIL DEC 2030 OPT 1+1 YRS</t>
  </si>
  <si>
    <t>ATLANTIC VICTORY</t>
  </si>
  <si>
    <t>T/C FROM PARETO UNTIL DEC 2030</t>
  </si>
  <si>
    <t>PARETO PROJECT FINANCE</t>
  </si>
  <si>
    <t>T/C TO ENEOS GLOBE UNTIL DEC 2030 OPT 1+1 YRS</t>
  </si>
  <si>
    <t>T/C TO DORIAN UNTIL 2031</t>
  </si>
  <si>
    <t>DOUN KISEN</t>
  </si>
  <si>
    <t xml:space="preserve">ATLANTIC VICTORY </t>
  </si>
  <si>
    <t>T/C TO GEOGAS UNTIL DEC 2030</t>
  </si>
  <si>
    <t>GAS PISCES</t>
  </si>
  <si>
    <t>T/C TO WANHUA UNTIL MAY 2031</t>
  </si>
  <si>
    <t>T/C FROM SINOGAS UNTIL MAY 2031</t>
  </si>
  <si>
    <t>GAS VIRGO</t>
  </si>
  <si>
    <t>T/C TO WANHUA UNTIL AUG 2031</t>
  </si>
  <si>
    <t>T/C FROM SINOGAS UNTIL AUG 2031</t>
  </si>
  <si>
    <t>GAS SAGITTARIUS</t>
  </si>
  <si>
    <t>T/C TO WANHUA UNTIL NOV 2031</t>
  </si>
  <si>
    <t>T/C FROM SINOGAS UNTIL NOV 2031</t>
  </si>
  <si>
    <t>GAS CAPRICORN</t>
  </si>
  <si>
    <t>T/C TO WANHUA UNTIL JAN 2032</t>
  </si>
  <si>
    <t>T/C FROM SINOGAS UNTIL JAN 2032</t>
  </si>
  <si>
    <t>KUMIAI NAVIGATION - KAWASAKI 1768</t>
  </si>
  <si>
    <t>EX YARD APR 2026 - T/C TO ALTAGAS UNTIL APR 2033</t>
  </si>
  <si>
    <t>ATLANTIC VOYAGER - HYUNDAI HI 3429</t>
  </si>
  <si>
    <t>EX YARD APR 2026 - BAREBOAT TO CHEVRON UNTIL APR 2033</t>
  </si>
  <si>
    <t>PACIFIC VOYAGER - HYUNDAI HI 3430</t>
  </si>
  <si>
    <t>EX YARD MAY 2026 - BAREBOAT TO CHEVRON UNTIL MAY 2033</t>
  </si>
  <si>
    <t>EX YARD JUN 2026 - T/C FROM KUMIAI NAVIGATION UNTIL JUN 2033</t>
  </si>
  <si>
    <t>KUMIAI NAVIGATION - KAWASAKI 1770</t>
  </si>
  <si>
    <t>EX YARD Q4 2026 - T/C FROM KUMIAI NAVIGATION UNTIL Q4 2033</t>
  </si>
  <si>
    <t>EX YARD Q4 2026 - T/C TO ALAGAS UNTIL Q4 2033</t>
  </si>
  <si>
    <t>CLIPPER GENESIS - HYUNDAI HI 3508</t>
  </si>
  <si>
    <t>EX YARD JAN 2027 - ~10 YEARS T/C TO GEOGAS</t>
  </si>
  <si>
    <t>CLIPPER GUARDIAN - HYUNDAI HI 3458</t>
  </si>
  <si>
    <t>EX YARD MAR 2026 - 10 YEARS T/C FROM SOLVANG</t>
  </si>
  <si>
    <t>EX YARD MAR 2026 - 10 YEARS T/C TO GUNVOR</t>
  </si>
  <si>
    <t>CLIPPER GALLEON - HYUNDAI HI 3460</t>
  </si>
  <si>
    <t>EX YARD APR 2026 - 10 YEARS T/C FROM SOLVANG</t>
  </si>
  <si>
    <t>EX YARD APR 2026 - 10 YEARST/C TO GUNVOR</t>
  </si>
  <si>
    <t>CLIPPER GANNET - HYUNDAI HI 3462</t>
  </si>
  <si>
    <t>EX YARD MAY 2026 - 10 YEARS T/C FROM SOLVANG</t>
  </si>
  <si>
    <t>CLIPPER GALIOT - HYUNDAI HI 3459</t>
  </si>
  <si>
    <t>EX YARD MAY 2026 - 10 YEARS T/C TO GUNVOR</t>
  </si>
  <si>
    <t>CLIPPER GRACE - HYUNDAI HI 3463</t>
  </si>
  <si>
    <t>EX YARD JUN 2026 - 10 YEARS T/C FROM SOLVANG</t>
  </si>
  <si>
    <t>EX YARD JUN 2026 - 10 YEARS T/C TO GUNVOR</t>
  </si>
  <si>
    <t>CLIPPER GENEVA - HYUNDAI HI 3507</t>
  </si>
  <si>
    <t>EX YARD OCT 2026 - ~10 YEARS T/C FROM SOLVANG</t>
  </si>
  <si>
    <t>EX YARD OCT 2026 - ~10 YEARS T/C TO GEOGAS</t>
  </si>
  <si>
    <t>EX YARD JAN 2027 - ~10 YEARS T/C FROM SOLVANG</t>
  </si>
  <si>
    <t xml:space="preserve">KOHAKU  </t>
  </si>
  <si>
    <t>JALDHI - JIANGNAN TBN 3</t>
  </si>
  <si>
    <t>EX YARD 2H 2027</t>
  </si>
  <si>
    <t>2H 2027</t>
  </si>
  <si>
    <t>JALDHI - JIANGNAN TBN 4</t>
  </si>
  <si>
    <t>GLOBAL VIVIAN</t>
  </si>
  <si>
    <t>EX FLANDERS HARMONY - IRAN TRADING</t>
  </si>
  <si>
    <t>IRAN</t>
  </si>
  <si>
    <t>VALANO</t>
  </si>
  <si>
    <t>IRAN TRADING</t>
  </si>
  <si>
    <t>DA LI</t>
  </si>
  <si>
    <t>EX FORTUNA DIAMOND - IRAN TRADING</t>
  </si>
  <si>
    <t>PAMIR</t>
  </si>
  <si>
    <t>EX BERTHA / GODAVARI GAS - IRAN TRADING</t>
  </si>
  <si>
    <t>EX MAREENA GAS - IRAN TRADING</t>
  </si>
  <si>
    <t>GAS WANAKA</t>
  </si>
  <si>
    <t>EX GAS OCEANIA / IRIS GLORY - IRAN TRADING</t>
  </si>
  <si>
    <t>HH GLORY</t>
  </si>
  <si>
    <t>GAS MARTA</t>
  </si>
  <si>
    <t>CEBACO</t>
  </si>
  <si>
    <t>GALVIN</t>
  </si>
  <si>
    <t>EX BW ODIN - IRAN TRADING</t>
  </si>
  <si>
    <t>KANTI</t>
  </si>
  <si>
    <t>EX LUNA / ARTEMIS GAS - IRAN TRADING</t>
  </si>
  <si>
    <t>NAN LIAN</t>
  </si>
  <si>
    <t>ASTRA</t>
  </si>
  <si>
    <t>EX OUREA - IRAN TRADING</t>
  </si>
  <si>
    <t>SAPPHIRE GAS</t>
  </si>
  <si>
    <t>EX BW CEDAR - IRAN TRADING?</t>
  </si>
  <si>
    <t>GAS TAKAPO</t>
  </si>
  <si>
    <t>EX GAS OLYMPIA / GLOBAL SCORPIO - IRAN TRADING</t>
  </si>
  <si>
    <t>GAS ENDURANCE</t>
  </si>
  <si>
    <t>EX GAS COURAGE - IRAN TRADING</t>
  </si>
  <si>
    <t>CHINA PEACE</t>
  </si>
  <si>
    <t>AURA</t>
  </si>
  <si>
    <t>EX VELA GAS - IRAN TRADING</t>
  </si>
  <si>
    <t>OWENS</t>
  </si>
  <si>
    <t>EX OPEC NEPTUNE - IRAN TRADING</t>
  </si>
  <si>
    <t>GAZ GMS</t>
  </si>
  <si>
    <t>EX GAZ LIBERTY - IRAN TRADING</t>
  </si>
  <si>
    <t>EX PANSY - IRAN TRADING</t>
  </si>
  <si>
    <t>EX OCEANUS GAS - IRAN TRADING</t>
  </si>
  <si>
    <t>QUANTUM STAR</t>
  </si>
  <si>
    <t>EX GAS GLORIA - IRAN TRADING</t>
  </si>
  <si>
    <t>FOTIS</t>
  </si>
  <si>
    <t>EX NEREUS 1 - IRAN TRADING</t>
  </si>
  <si>
    <t>DANISA</t>
  </si>
  <si>
    <t>EX SC COMMANDER LVII - IRAN TRADING</t>
  </si>
  <si>
    <t>HUA XU</t>
  </si>
  <si>
    <t>GAS VISION</t>
  </si>
  <si>
    <t>EX JAG VIDHI -  IRAN TRADING</t>
  </si>
  <si>
    <t>CAPTAIN NIKOLAS</t>
  </si>
  <si>
    <t>EX SUNNY GREEN - IRAN TRADING</t>
  </si>
  <si>
    <t>AZALEA</t>
  </si>
  <si>
    <t>THE GAS AMELIA</t>
  </si>
  <si>
    <t>EX ARROW - IRAN TRADING</t>
  </si>
  <si>
    <t>GAS LEADER</t>
  </si>
  <si>
    <t>EX GAS CORAL - IRAN TRADING</t>
  </si>
  <si>
    <t>CORAL</t>
  </si>
  <si>
    <t>OCEAN PRIDE</t>
  </si>
  <si>
    <t>EX CALYPSO 7 / RUBRA - IRAN TRADING</t>
  </si>
  <si>
    <t>DANUTA I</t>
  </si>
  <si>
    <t>EX GAS DIGNITY - IRAN TRADING</t>
  </si>
  <si>
    <t>KUNLUN SHIPPING</t>
  </si>
  <si>
    <t>OCEAN RADIANCE</t>
  </si>
  <si>
    <t>EX ADDRESS GAS - IRAN TRADING</t>
  </si>
  <si>
    <t>GAS STRENGTH</t>
  </si>
  <si>
    <t>EX GAS COMMERCE - IRAN TRADING</t>
  </si>
  <si>
    <t>ECHO STAR</t>
  </si>
  <si>
    <t>EX GAS INFINITY - IRAN TRADING</t>
  </si>
  <si>
    <t>HERITAGE</t>
  </si>
  <si>
    <t>EX SUN 10 - IRAN TRADING</t>
  </si>
  <si>
    <t>TPL</t>
  </si>
  <si>
    <t>GONG DE TIAN</t>
  </si>
  <si>
    <t>EX LADY LIBERTY / DIANA - IRAN TRADING</t>
  </si>
  <si>
    <t>SONA</t>
  </si>
  <si>
    <t>EX SEA GLORIA - IRAN TRADING</t>
  </si>
  <si>
    <t>NEXO</t>
  </si>
  <si>
    <t>EX SEA DRAGON - IRAN TRADING</t>
  </si>
  <si>
    <t>NIBA</t>
  </si>
  <si>
    <t>DOUBLE IN</t>
  </si>
  <si>
    <t>PYRA</t>
  </si>
  <si>
    <t>EX NUS - IRAN TRADING</t>
  </si>
  <si>
    <t>TRIS GAS</t>
  </si>
  <si>
    <t>WESER SHIPPING</t>
  </si>
  <si>
    <t>MILE</t>
  </si>
  <si>
    <t>GAS ORIENT - IRAN TRADING</t>
  </si>
  <si>
    <t>SUBHAN ALLAH GAS LIMITED</t>
  </si>
  <si>
    <t>XI WANG MU</t>
  </si>
  <si>
    <t>EX FENSGHU - IRAN TRADING</t>
  </si>
  <si>
    <t>AIRA</t>
  </si>
  <si>
    <t>EX GAS NELLY - IRAN TRADING</t>
  </si>
  <si>
    <t>HAI MA</t>
  </si>
  <si>
    <t>EX PARVATI - IRAN TRADING</t>
  </si>
  <si>
    <t>GLOBAL GAS</t>
  </si>
  <si>
    <t>XAVIA</t>
  </si>
  <si>
    <t>SEA OPERA</t>
  </si>
  <si>
    <t>DAWNING TRADE</t>
  </si>
  <si>
    <t>MYRA GAS</t>
  </si>
  <si>
    <t>EX LENA GAS - IRAN TRADING</t>
  </si>
  <si>
    <t>SAND &amp; SEA</t>
  </si>
  <si>
    <t>GAS CONCEPT</t>
  </si>
  <si>
    <t>EX DEVON - IRAN TRADING</t>
  </si>
  <si>
    <t>HNR</t>
  </si>
  <si>
    <t>GAS DIOR</t>
  </si>
  <si>
    <t>EX SOLINA GAS</t>
  </si>
  <si>
    <t>GAS LAGOON</t>
  </si>
  <si>
    <t>EX TOLEDO - IRAN TRADING</t>
  </si>
  <si>
    <t>ELKE</t>
  </si>
  <si>
    <t>EX FABINO GAS - IRAN TRADING</t>
  </si>
  <si>
    <t>SEA HERMES</t>
  </si>
  <si>
    <t>TOWER RISE</t>
  </si>
  <si>
    <t>TULIP</t>
  </si>
  <si>
    <t>GAS ALYSSA</t>
  </si>
  <si>
    <t>LONG TERM T/C TO PERTAMINA</t>
  </si>
  <si>
    <t>LONG TERM</t>
  </si>
  <si>
    <t>ARCADIA</t>
  </si>
  <si>
    <t>VICTORIA LYRA</t>
  </si>
  <si>
    <t>GAS FELICITY</t>
  </si>
  <si>
    <t>LIBERTY PATHFINDER</t>
  </si>
  <si>
    <t>LONG TERM T/C FROM NYK</t>
  </si>
  <si>
    <t>NYK / ASTOMOS JV</t>
  </si>
  <si>
    <t xml:space="preserve">GAS AMETHYST </t>
  </si>
  <si>
    <t>LAUREL PRIME</t>
  </si>
  <si>
    <t>NISSEN KAIUN - YANGZIJIANG TBN 4</t>
  </si>
  <si>
    <t>EX YARD TBC 2028 - T/C FROM NISSEN KAIUN UNTIL TBC 2035</t>
  </si>
  <si>
    <t>NISSEN KAIUN - YANGZIJIANG TBN 3</t>
  </si>
  <si>
    <t>NISSEN KAIUN - YANGZIJIANG TBN 2</t>
  </si>
  <si>
    <t>NISSEN KAIUN - YANGZIJIANG TBN 1</t>
  </si>
  <si>
    <t>BW POOL FROM EXMAR</t>
  </si>
  <si>
    <t>LONG TERM T/C FROM SOLVANG</t>
  </si>
  <si>
    <t>$969k pcm</t>
  </si>
  <si>
    <t>GAS CAMELOT</t>
  </si>
  <si>
    <t>CASSA</t>
  </si>
  <si>
    <t>EX YARD MAY 2026 - BAREBOAT FROM LATSCO UNTIL MAY 2033</t>
  </si>
  <si>
    <t>EX YARD APR 2026 - BAREBOAT FROM LATSCO UNTIL APR 2033</t>
  </si>
  <si>
    <t>EX YARD NOV 2025 - T/C FROM LATSCO UNTIL NOV 2030 + OPTS</t>
  </si>
  <si>
    <t>EX YARD AUG 2025 - T/C FROM LATSCO UNTIL AUG 2030 + OPTS</t>
  </si>
  <si>
    <t>T/C FROM NISSEN KAIUN LONG TERM</t>
  </si>
  <si>
    <t>GLOBE FRONTIER</t>
  </si>
  <si>
    <t>LONG TERM T/C FROM NISSEN KAIUN</t>
  </si>
  <si>
    <t xml:space="preserve">FLANDERS PIONEER </t>
  </si>
  <si>
    <t>LONG TERM T/C FROM EXMAR</t>
  </si>
  <si>
    <t>EXMAR</t>
  </si>
  <si>
    <t>FLANDERS INNOVATION</t>
  </si>
  <si>
    <t>CRYSTAL TRINITY</t>
  </si>
  <si>
    <t>LONG TERM T/C FROM KUMIAI NAVIGATION</t>
  </si>
  <si>
    <t>FLANDERS PIONEER</t>
  </si>
  <si>
    <t>LONG TERM T/C TO EQUINOR</t>
  </si>
  <si>
    <t>AXIS RIVER</t>
  </si>
  <si>
    <t>T/C FROM K LINE LONG TERM</t>
  </si>
  <si>
    <t xml:space="preserve">PHOENIX GAIA </t>
  </si>
  <si>
    <t>T/C FROM JGE LONG TERM</t>
  </si>
  <si>
    <t>T/C FROM MOL ENERGIA LONG TERM - RELET TO ITOCHU LONG TERM5</t>
  </si>
  <si>
    <t>T/C TO GYXIS LONG TERM</t>
  </si>
  <si>
    <t>GAS AL KUWAIT II</t>
  </si>
  <si>
    <t>T/C TO EQUINOR LONG TERM</t>
  </si>
  <si>
    <t>T/C TO JGE LONG TERM - RELET TO ITOCHU LONG TERM</t>
  </si>
  <si>
    <t>NEPTUNE POOL FROM KPC</t>
  </si>
  <si>
    <t>EX YARD TBC 2028 - T/C TO BGN UNTIL TBC 2035</t>
  </si>
  <si>
    <t>LONG TERM T/C TO ENEOS GLOBE</t>
  </si>
  <si>
    <t>LONG TERM T/C TO E1</t>
  </si>
  <si>
    <t>LONG TERM T/C TO ASTOMOS</t>
  </si>
  <si>
    <t>GAS AMETHYST</t>
  </si>
  <si>
    <t>PERTAMINA GAS BERGENIA</t>
  </si>
  <si>
    <t>JV WITH BGN (BGN CONTROL)</t>
  </si>
  <si>
    <t>PERTAMINA GAS TULIP</t>
  </si>
  <si>
    <t>LONG TERM T/C FROM ARCADIA</t>
  </si>
  <si>
    <t>LONG TERM T/C FROM CASSA MEGA LAUTAN</t>
  </si>
  <si>
    <t>GAS BENUA</t>
  </si>
  <si>
    <t>T/C FROM SILLO</t>
  </si>
  <si>
    <t>SILLO</t>
  </si>
  <si>
    <t xml:space="preserve">GAS FELICITY </t>
  </si>
  <si>
    <t xml:space="preserve">LONG TERM T/C FROM ARCADIA </t>
  </si>
  <si>
    <t>T/C TO PERTAMINA</t>
  </si>
  <si>
    <t>G. DOLCE</t>
  </si>
  <si>
    <t>LONG TERM T/C FROM SK SHIPPING</t>
  </si>
  <si>
    <t>G. SPIRIT</t>
  </si>
  <si>
    <t>G. ARETE</t>
  </si>
  <si>
    <t>G. PARAGON</t>
  </si>
  <si>
    <t>G. SWAN</t>
  </si>
  <si>
    <t>G. FOREVER</t>
  </si>
  <si>
    <t>LONG TERM T/C TO SK GAS</t>
  </si>
  <si>
    <t>T/C TO BWPS LONG-TERM</t>
  </si>
  <si>
    <t>NORTH GAS</t>
  </si>
  <si>
    <t>JV WITH BGN</t>
  </si>
  <si>
    <t>OWN TONNAGE</t>
  </si>
  <si>
    <t>BGN/AL SEER</t>
  </si>
  <si>
    <t>LUCKY GAS</t>
  </si>
  <si>
    <t>ADNOC - JIANGNAN TBN 4</t>
  </si>
  <si>
    <t>ADNOC L&amp;S</t>
  </si>
  <si>
    <t>ADNOC - JIANGNAN TBN 3</t>
  </si>
  <si>
    <t>ADNOC - JIANGNAN TBN 2</t>
  </si>
  <si>
    <t>ADNOC - JIANGNAN TBN 1</t>
  </si>
  <si>
    <t>AL MARYAH</t>
  </si>
  <si>
    <t>JOINT OWNERSHIP WITH NYK</t>
  </si>
  <si>
    <t>JV WITH PERTAMINA</t>
  </si>
  <si>
    <t>BGN - HYUNDAI HI TBN 2</t>
  </si>
  <si>
    <t>EX YARD TBC 2028</t>
  </si>
  <si>
    <t>BGN - HYUNDAI HI TBN 1</t>
  </si>
  <si>
    <t>JV WITH AL SEER (AGBC)</t>
  </si>
  <si>
    <t>BELLA VICTORIA</t>
  </si>
  <si>
    <t>BW LORD</t>
  </si>
  <si>
    <t>BW AVIOR</t>
  </si>
  <si>
    <t>FUEL ONLY</t>
  </si>
  <si>
    <t>BW RIGEL</t>
  </si>
  <si>
    <t>BW CAPELLA</t>
  </si>
  <si>
    <t>BW MAGELLAN</t>
  </si>
  <si>
    <t>BW BRAGE</t>
  </si>
  <si>
    <t>BW FREYJA</t>
  </si>
  <si>
    <t>BW FRIGG</t>
  </si>
  <si>
    <t>BW NJORD</t>
  </si>
  <si>
    <t>BW TUCANA</t>
  </si>
  <si>
    <t>BW VOLANS</t>
  </si>
  <si>
    <t>BW BALDER</t>
  </si>
  <si>
    <t>BW VAR</t>
  </si>
  <si>
    <t>T/C FROM NISSEN KAIUN LONG TERM (+PURCHASE OPT)</t>
  </si>
  <si>
    <t xml:space="preserve">TINOS I  </t>
  </si>
  <si>
    <t>BAREBOAT TO PEARL PETROCHEMICAL - POSS SOLD?</t>
  </si>
  <si>
    <t>CSSC?</t>
  </si>
  <si>
    <t>EX BASHUNDHARA LPG WARRIOR</t>
  </si>
  <si>
    <t>DESPINA</t>
  </si>
  <si>
    <t>CAPTAIN MARKOS</t>
  </si>
  <si>
    <t>CARAVELLE</t>
  </si>
  <si>
    <t>low $800's pcm</t>
  </si>
  <si>
    <t>T/C FROM DOUN KISEN UNTIL 2031</t>
  </si>
  <si>
    <t>CAPTAIN JOHN NP</t>
  </si>
  <si>
    <t>FREYCINET</t>
  </si>
  <si>
    <t>JEAN RASPAIL</t>
  </si>
  <si>
    <t>PAWAN PUTRA</t>
  </si>
  <si>
    <t>EX GAS BERYL - TC TO PERTAMINA UNTIL APRIL 2029</t>
  </si>
  <si>
    <t>MAOMING PAN</t>
  </si>
  <si>
    <t>MADAM XIAN</t>
  </si>
  <si>
    <t>LUBARA</t>
  </si>
  <si>
    <t xml:space="preserve">UNDER RAFFLES SHIP MANAGEMENT </t>
  </si>
  <si>
    <t>RAFFLES</t>
  </si>
  <si>
    <t>MILAHA</t>
  </si>
  <si>
    <t>BU SIDRA</t>
  </si>
  <si>
    <t>HELIOS POOL</t>
  </si>
  <si>
    <t>GREEN SACHI</t>
  </si>
  <si>
    <t>EX YAMABUKI</t>
  </si>
  <si>
    <t>GAZ IMPERIAL</t>
  </si>
  <si>
    <t>EX SALTRAM</t>
  </si>
  <si>
    <t>LONG TERM T/C TO BW LPG (+PURCHASE OPT)</t>
  </si>
  <si>
    <t xml:space="preserve">GAS GARNET </t>
  </si>
  <si>
    <t>JOINT OWNERSHIP WITH ASTOMOS</t>
  </si>
  <si>
    <t>TINOS I</t>
  </si>
  <si>
    <t>BAREBOAT FROM CSSC</t>
  </si>
  <si>
    <t>PERTAMINA GAS 2</t>
  </si>
  <si>
    <t>PERTAMINA GAS 1</t>
  </si>
  <si>
    <t>HANNIBAL</t>
  </si>
  <si>
    <t>HENBIT</t>
  </si>
  <si>
    <t>HYPERION</t>
  </si>
  <si>
    <t>HUMORIST</t>
  </si>
  <si>
    <t>HARZAND</t>
  </si>
  <si>
    <t>VIET DRAGON 68</t>
  </si>
  <si>
    <t>PETROVIETNAM</t>
  </si>
  <si>
    <t>BRIZO</t>
  </si>
  <si>
    <t>EX BASHUNDHARA LPG CHALLENGER</t>
  </si>
  <si>
    <t>ORLANDO 1</t>
  </si>
  <si>
    <t>MING LONG</t>
  </si>
  <si>
    <t>GAS VELA</t>
  </si>
  <si>
    <t>EX ASTIPALEA</t>
  </si>
  <si>
    <t>GAS ARCTURUS</t>
  </si>
  <si>
    <t>EX SYROS</t>
  </si>
  <si>
    <t>GAS NEPTUNE</t>
  </si>
  <si>
    <t>GAS SCORPIO</t>
  </si>
  <si>
    <t>DJANET</t>
  </si>
  <si>
    <t>SONATRACH</t>
  </si>
  <si>
    <t>AEOLIAN PEARL</t>
  </si>
  <si>
    <t>ALBERT III</t>
  </si>
  <si>
    <t>BELLAVISTA EXPLORER</t>
  </si>
  <si>
    <t>VIVIT DUBHE</t>
  </si>
  <si>
    <t>VIVIT FORNAX</t>
  </si>
  <si>
    <t>BAYNOUNAH</t>
  </si>
  <si>
    <t>AW SHIPPING JV</t>
  </si>
  <si>
    <t>AW SHIPPING</t>
  </si>
  <si>
    <t>AL SALAM</t>
  </si>
  <si>
    <t>RABDAN</t>
  </si>
  <si>
    <t>ZAKHER</t>
  </si>
  <si>
    <t>AL AIN</t>
  </si>
  <si>
    <t>ABGC (AL SEER / BGN JV)</t>
  </si>
  <si>
    <t>AGT / ADMIC</t>
  </si>
  <si>
    <t>ARAMCO TRADING COMPANY (ATC)</t>
  </si>
  <si>
    <t>ATLAS MARITIME / EMF</t>
  </si>
  <si>
    <t>BW TBN</t>
  </si>
  <si>
    <t>T/C FROM BW LPG FROM Q3/Q4 2025 UNTIL Q3/24 2028</t>
  </si>
  <si>
    <t>low $30k pd</t>
  </si>
  <si>
    <t>BW GLOBAL UNITED LPG INDIA</t>
  </si>
  <si>
    <t>BW PRODUCT SERVICES (BWPS)</t>
  </si>
  <si>
    <t>CASSA MEGA LAUTAN</t>
  </si>
  <si>
    <t>COSCO SHIPPING</t>
  </si>
  <si>
    <t>CSSC</t>
  </si>
  <si>
    <t xml:space="preserve">DESPINA TRADING </t>
  </si>
  <si>
    <t>DORIAN LPG / HELIOS LPG POOL</t>
  </si>
  <si>
    <t>EA TEMILE &amp; SONS</t>
  </si>
  <si>
    <t xml:space="preserve">ENERGY TRANSFER </t>
  </si>
  <si>
    <t>EVALEND SHIPPING</t>
  </si>
  <si>
    <t>EXXON (SEARIVER MARITIME)</t>
  </si>
  <si>
    <t>FORESIGHT SHIPPING</t>
  </si>
  <si>
    <t>a</t>
  </si>
  <si>
    <t>GREAT EASTERN (GESCO)</t>
  </si>
  <si>
    <t>GUNVOR (CLEARLAKE)</t>
  </si>
  <si>
    <t>HYUNDAI LNG SHIPPING (HLS)</t>
  </si>
  <si>
    <t>IINO LINES</t>
  </si>
  <si>
    <t>JAPAN GAS ENERGY (JGE)</t>
  </si>
  <si>
    <t>JENGGALA MARITIM NUSANTARA</t>
  </si>
  <si>
    <t>KEEGAN SHIPPING (ORIENTAL ENERGY)</t>
  </si>
  <si>
    <t>KOTC / KPC</t>
  </si>
  <si>
    <t>KSS LINE</t>
  </si>
  <si>
    <t>LATSCO SHIPPING</t>
  </si>
  <si>
    <t>MOL ENERGIA (FORMERLY PHOENIX TANKERS)</t>
  </si>
  <si>
    <t>MOL INDIA (SAKURA ENERGY TRANSPORT)</t>
  </si>
  <si>
    <t>NAKILAT (QATAR GAS TRANSPORT CO)</t>
  </si>
  <si>
    <t>NAVIG8 GAS POOL</t>
  </si>
  <si>
    <t>NEPTUNE POOL (SCORPIO TANKERS)</t>
  </si>
  <si>
    <t>NEU GAS SHIPPING</t>
  </si>
  <si>
    <t>NYK LINE</t>
  </si>
  <si>
    <t>NYK ENEOS OCEAN (FORMERLY ENEOS OCEAN)</t>
  </si>
  <si>
    <t>PACIFIC GAS (SHANDONG)</t>
  </si>
  <si>
    <t>PEARL PETROCHEMICAL</t>
  </si>
  <si>
    <t>SHIPPING CORPORATION INDIA (SCI)</t>
  </si>
  <si>
    <t>SINOCHEM INTERNATIONAL</t>
  </si>
  <si>
    <t>SOECHI LINES</t>
  </si>
  <si>
    <t>UNIQUE SHIPPING</t>
  </si>
  <si>
    <t>WANHUA CHEMICAL</t>
  </si>
  <si>
    <t>SHADOW FLEET</t>
  </si>
  <si>
    <t>India flags</t>
  </si>
  <si>
    <t>Old vessels</t>
  </si>
  <si>
    <t>INDIAN DISCHARGE</t>
  </si>
  <si>
    <t>Soyo not approved vessels</t>
  </si>
  <si>
    <t>SOYO APPROVED VESSELS</t>
  </si>
  <si>
    <t>VESSELS THAT HAVE CALLED:</t>
  </si>
  <si>
    <t>Cap 2 only (pump got problem)</t>
  </si>
  <si>
    <t>Weisshorn Explorer</t>
  </si>
  <si>
    <t>Yuhsan - cannot discharge in  Vizag</t>
  </si>
  <si>
    <t>26/11/2022</t>
  </si>
  <si>
    <t>BW AUSTRIA</t>
  </si>
  <si>
    <t>SPOT</t>
  </si>
  <si>
    <t>Gas Alkhaleej - no Kalbut and no India</t>
  </si>
  <si>
    <t>26/10/2022</t>
  </si>
  <si>
    <t>WESTERNPORT</t>
  </si>
  <si>
    <t>PRINCE RUPERT</t>
  </si>
  <si>
    <t xml:space="preserve">DARWIN </t>
  </si>
  <si>
    <t>ICHTHYS</t>
  </si>
  <si>
    <t>DAMPIER</t>
  </si>
  <si>
    <t xml:space="preserve">Tanjung Sulong </t>
  </si>
  <si>
    <t>BW ODIN</t>
  </si>
  <si>
    <t>Hellas Glory</t>
  </si>
  <si>
    <t>No Pdec's M class</t>
  </si>
  <si>
    <t>TC BGN JUN 2022</t>
  </si>
  <si>
    <t>Bw Thor</t>
  </si>
  <si>
    <t>BW LIBERTY</t>
  </si>
  <si>
    <t>31/07/2022</t>
  </si>
  <si>
    <t xml:space="preserve">Sinndar </t>
  </si>
  <si>
    <t>Gas Almadiah</t>
  </si>
  <si>
    <t>TC HPCL MAR 2023 + OPTS</t>
  </si>
  <si>
    <t>Sea Bird</t>
  </si>
  <si>
    <t xml:space="preserve">Crystal Asteria </t>
  </si>
  <si>
    <t>AStomos Earth</t>
  </si>
  <si>
    <t xml:space="preserve">Gas Ivory </t>
  </si>
  <si>
    <t>BW CEDAR</t>
  </si>
  <si>
    <t>TC HPCL DEC 2021</t>
  </si>
  <si>
    <t>Gas umm Al Rowaisat</t>
  </si>
  <si>
    <t>Pampero</t>
  </si>
  <si>
    <t>Chinagas Glory</t>
  </si>
  <si>
    <t>AVANCE</t>
  </si>
  <si>
    <t>14/12/2021</t>
  </si>
  <si>
    <t>PROVIDENCE</t>
  </si>
  <si>
    <t>16/11/2021</t>
  </si>
  <si>
    <t>PROMISE</t>
  </si>
  <si>
    <t>17/10/2021</t>
  </si>
  <si>
    <t>THETIS GLORY</t>
  </si>
  <si>
    <t>16/09/2021</t>
  </si>
  <si>
    <t>VENUS GLORY</t>
  </si>
  <si>
    <t>16/08/2021</t>
  </si>
  <si>
    <t>IRIS GLORY</t>
  </si>
  <si>
    <t>Linden Pride</t>
  </si>
  <si>
    <t>Gas Star</t>
  </si>
  <si>
    <t>31/03/2021</t>
  </si>
  <si>
    <t>Cyrstal Asteria</t>
  </si>
  <si>
    <t>27/02/2021</t>
  </si>
  <si>
    <t>27/01/2021</t>
  </si>
  <si>
    <t>22/12/2020</t>
  </si>
  <si>
    <t>19/11/2020</t>
  </si>
  <si>
    <t>Saltram</t>
  </si>
  <si>
    <t>24/10/2020</t>
  </si>
  <si>
    <t>22/09/2020</t>
  </si>
  <si>
    <t>28/08/2020</t>
  </si>
  <si>
    <t>Oriental Jubille</t>
  </si>
  <si>
    <t>23/06/2020</t>
  </si>
  <si>
    <t>29/05/2020</t>
  </si>
  <si>
    <t>21/03/2020</t>
  </si>
  <si>
    <t>26/02/2020</t>
  </si>
  <si>
    <t>25/01/2020</t>
  </si>
  <si>
    <t>Nereus 1</t>
  </si>
  <si>
    <t>24/12/2019</t>
  </si>
  <si>
    <t>19/12/2019</t>
  </si>
  <si>
    <t>21/11/2019</t>
  </si>
  <si>
    <t>13/11/2019</t>
  </si>
  <si>
    <t>24/10/2019</t>
  </si>
  <si>
    <t>19/10/2019</t>
  </si>
  <si>
    <t>28/09/2019</t>
  </si>
  <si>
    <t>26/09/2019</t>
  </si>
  <si>
    <t>30/08/2019</t>
  </si>
  <si>
    <t>13/08/2019</t>
  </si>
  <si>
    <t>26/07/2019</t>
  </si>
  <si>
    <t>20/07/2019</t>
  </si>
  <si>
    <t>21/06/2019</t>
  </si>
  <si>
    <t>Ronald N</t>
  </si>
  <si>
    <t>20/05/2019</t>
  </si>
  <si>
    <t>30/04/2019</t>
  </si>
  <si>
    <t>23/03/2019</t>
  </si>
  <si>
    <t>16/02/2019</t>
  </si>
  <si>
    <t>20/01/2019</t>
  </si>
  <si>
    <t>Spread Eagle</t>
  </si>
  <si>
    <t>26/12/2018</t>
  </si>
  <si>
    <t>17/11/2018</t>
  </si>
  <si>
    <t>14/09/2018</t>
  </si>
  <si>
    <t>15/08/2018</t>
  </si>
  <si>
    <t>19/06/2018</t>
  </si>
  <si>
    <t>Bashundhara Lpg Warrior</t>
  </si>
  <si>
    <t>21/05/2018</t>
  </si>
  <si>
    <t>16/05/2018</t>
  </si>
  <si>
    <t>25/04/2018</t>
  </si>
  <si>
    <t>20/04/2018</t>
  </si>
  <si>
    <t>20/03/2018</t>
  </si>
  <si>
    <t>28/02/2018</t>
  </si>
  <si>
    <t>21/02/2018</t>
  </si>
  <si>
    <t>25/01/2018</t>
  </si>
  <si>
    <t>31/12/2017</t>
  </si>
  <si>
    <t>18/12/2017</t>
  </si>
  <si>
    <t>20/11/2017</t>
  </si>
  <si>
    <t>22/10/2017</t>
  </si>
  <si>
    <t>21/09/2017</t>
  </si>
  <si>
    <t>25/08/2017</t>
  </si>
  <si>
    <t>31/07/2017</t>
  </si>
  <si>
    <t>19/04/2017</t>
  </si>
  <si>
    <t>30/03/2017</t>
  </si>
  <si>
    <t>28/02/2017</t>
  </si>
  <si>
    <t>22/01/2017</t>
  </si>
  <si>
    <t>13/12/2016</t>
  </si>
  <si>
    <t>19/06/2016</t>
  </si>
  <si>
    <t>VLGC - SCRUBBERS</t>
  </si>
  <si>
    <t>Fitted</t>
  </si>
  <si>
    <t>VLGC - DUAL FUEL</t>
  </si>
  <si>
    <t>SCRUBBER</t>
  </si>
  <si>
    <t>85 = 21.5% of current fleet/orderbook (396 in Jun 22)</t>
  </si>
  <si>
    <t>FITTED</t>
  </si>
  <si>
    <t>SINGAPORE</t>
  </si>
  <si>
    <t>DORIAN LPG</t>
  </si>
  <si>
    <t>NB</t>
  </si>
  <si>
    <t>Poss Jul 23</t>
  </si>
  <si>
    <t>DECK TANKS</t>
  </si>
  <si>
    <t>SHEKOU</t>
  </si>
  <si>
    <t>Dual Fuel:</t>
  </si>
  <si>
    <t>SEMBAWANG, SINGAPORE</t>
  </si>
  <si>
    <t>Fitted (on water)</t>
  </si>
  <si>
    <t>102 = 25% of current fleet/orderbook (396 Jun 22)</t>
  </si>
  <si>
    <t>to be fitted</t>
  </si>
  <si>
    <t>MIAOSHAWEI, CHINA</t>
  </si>
  <si>
    <t>QINGDAO, CHINA</t>
  </si>
  <si>
    <t>CHANGXINGXIANG, CHINA</t>
  </si>
  <si>
    <t>BREEZE</t>
  </si>
  <si>
    <t>AVANCE GAS</t>
  </si>
  <si>
    <t>ZHOUSHAN SHIPYARD, CHINA</t>
  </si>
  <si>
    <t>Sept 2021</t>
  </si>
  <si>
    <t>TO BE RETROFITTED</t>
  </si>
  <si>
    <t>COSCO, Guangdong</t>
  </si>
  <si>
    <t>GAS GABRIELA</t>
  </si>
  <si>
    <t>KEEGAN NO.2</t>
  </si>
  <si>
    <t>ORIENTAL ENERGY</t>
  </si>
  <si>
    <t>ENEOS OCEAN</t>
  </si>
  <si>
    <t>YIULIAN SHIPYARD, CHINA</t>
  </si>
  <si>
    <t>MITSUI</t>
  </si>
  <si>
    <t>KEEGAN NO.1</t>
  </si>
  <si>
    <t>PASSAT</t>
  </si>
  <si>
    <t>CHINA</t>
  </si>
  <si>
    <t>G.ARETE</t>
  </si>
  <si>
    <t>MONTE ROSA EXPLORER</t>
  </si>
  <si>
    <t>JX OCEAN</t>
  </si>
  <si>
    <t>CHINAGAS GLORY</t>
  </si>
  <si>
    <t>FORTUNE OIL</t>
  </si>
  <si>
    <t>NANTONG, CHINA</t>
  </si>
  <si>
    <t>AVANCE POLARIS</t>
  </si>
  <si>
    <t>WENCHONG, CHINA</t>
  </si>
  <si>
    <t>AVANCE CAPELLA</t>
  </si>
  <si>
    <t>PHOENIX TANKERS</t>
  </si>
  <si>
    <t>KEPPEL YARD, SINGAPORE</t>
  </si>
  <si>
    <t>CHINAGAS LEGEND</t>
  </si>
  <si>
    <t>SIROCCO</t>
  </si>
  <si>
    <t>PASIR GUDANG, SINGAPORE</t>
  </si>
  <si>
    <t>AW Shipping</t>
  </si>
  <si>
    <t>Evalend</t>
  </si>
  <si>
    <t>AVANCE LEVANT</t>
  </si>
  <si>
    <t>HHI TBN</t>
  </si>
  <si>
    <t>MISTRAL</t>
  </si>
  <si>
    <t>MONSOON</t>
  </si>
  <si>
    <t>AVANCE RIGEL</t>
  </si>
  <si>
    <t>PHOENIX / OMAN SHIPPING</t>
  </si>
  <si>
    <t>AVANCE AVIOR</t>
  </si>
  <si>
    <t>KHI 1755</t>
  </si>
  <si>
    <t>DSME 2359</t>
  </si>
  <si>
    <t>GUANGZHOU, CHINA</t>
  </si>
  <si>
    <t>Q1 23</t>
  </si>
  <si>
    <t>G. SYMPHONY</t>
  </si>
  <si>
    <t>SK SHIPPING / JX OCEAN</t>
  </si>
  <si>
    <t>Hyundai Samho 8126</t>
  </si>
  <si>
    <t>Eastern Pacific</t>
  </si>
  <si>
    <t>VICTORIA LYRA (EX CLIPPER SUN)</t>
  </si>
  <si>
    <t>DSME 2365</t>
  </si>
  <si>
    <t>CLIPPER VICTORY</t>
  </si>
  <si>
    <t>Cido Shipping</t>
  </si>
  <si>
    <t>DSME 2362</t>
  </si>
  <si>
    <t>Hyundai Samho 8117</t>
  </si>
  <si>
    <t>Hyundai Samho 8124</t>
  </si>
  <si>
    <t>Hyundai Samho TBN</t>
  </si>
  <si>
    <t>Jiangnan TBN</t>
  </si>
  <si>
    <t>Keegan Shipping</t>
  </si>
  <si>
    <t>DSME 2367</t>
  </si>
  <si>
    <t>INITIATOR</t>
  </si>
  <si>
    <t>Q2 23</t>
  </si>
  <si>
    <t>1H 23</t>
  </si>
  <si>
    <t>Namura TBN</t>
  </si>
  <si>
    <t>CHENGXI, CHINA</t>
  </si>
  <si>
    <t>DSME 2363</t>
  </si>
  <si>
    <t>Hyundai Samho 8125</t>
  </si>
  <si>
    <t>Hyundai Samho 8122</t>
  </si>
  <si>
    <t>Q3 23</t>
  </si>
  <si>
    <t>KHI TBN</t>
  </si>
  <si>
    <t>DSME 2364</t>
  </si>
  <si>
    <t>Hyundai Samho 8118</t>
  </si>
  <si>
    <t>DSME 2366</t>
  </si>
  <si>
    <t>DSME 2368</t>
  </si>
  <si>
    <t>FREEPORT, BAHAMAS</t>
  </si>
  <si>
    <t>Hyundai Samho 8127</t>
  </si>
  <si>
    <t>Hyundai Samho 8138</t>
  </si>
  <si>
    <t>2H-23</t>
  </si>
  <si>
    <t>LGC</t>
  </si>
  <si>
    <t>HHI 3278</t>
  </si>
  <si>
    <t>CLIPPER JUPITER</t>
  </si>
  <si>
    <t>HHI 3289</t>
  </si>
  <si>
    <t>CLIPPER SATURN</t>
  </si>
  <si>
    <t>2023/2024</t>
  </si>
  <si>
    <t>Jovo</t>
  </si>
  <si>
    <t>Q4-23/Q1-24</t>
  </si>
  <si>
    <t>CLIPPER VENUS</t>
  </si>
  <si>
    <t>Hyundai Glovis</t>
  </si>
  <si>
    <t>1H-24</t>
  </si>
  <si>
    <t>Q1 24</t>
  </si>
  <si>
    <t>Q2 24</t>
  </si>
  <si>
    <t>Q3 24</t>
  </si>
  <si>
    <t>TBC 25</t>
  </si>
  <si>
    <t>SAMSUNG TBN</t>
  </si>
  <si>
    <t>Latest Name</t>
  </si>
  <si>
    <t>Old name</t>
  </si>
  <si>
    <t>Date of Chage</t>
  </si>
  <si>
    <t>Bashundhara LPG Challenger</t>
  </si>
  <si>
    <t>Champlain</t>
  </si>
  <si>
    <t>BW Confidence</t>
  </si>
  <si>
    <t>Gaz Majestic</t>
  </si>
  <si>
    <t>Lotus Gas</t>
  </si>
  <si>
    <t>Gas Roma</t>
  </si>
  <si>
    <t>Gas Orpheus</t>
  </si>
  <si>
    <t>Vela Gas</t>
  </si>
  <si>
    <t>Crystal Marine</t>
  </si>
  <si>
    <t>Gas Jenny/Sea Luna</t>
  </si>
  <si>
    <t>Pansy</t>
  </si>
  <si>
    <t>Yuricosmos-BW Niigata</t>
  </si>
  <si>
    <t>BW Nantong</t>
  </si>
  <si>
    <t>Clipper Sun</t>
  </si>
  <si>
    <t>Godavari Gas</t>
  </si>
  <si>
    <t>BW Boss-Nila 1</t>
  </si>
  <si>
    <t>BW Energy</t>
  </si>
  <si>
    <t>Gas Pula</t>
  </si>
  <si>
    <t>Sapphire I</t>
  </si>
  <si>
    <t>eneos</t>
  </si>
  <si>
    <t>Beatris Gas</t>
  </si>
  <si>
    <t>Sun 10</t>
  </si>
  <si>
    <t>Everrich 10</t>
  </si>
  <si>
    <t>Diana</t>
  </si>
  <si>
    <t>Aphrodite</t>
  </si>
  <si>
    <t>Artemis Gas</t>
  </si>
  <si>
    <t>Oriental Queen</t>
  </si>
  <si>
    <t>Capt Markos ML</t>
  </si>
  <si>
    <t>Hellas Fos</t>
  </si>
  <si>
    <t>OPEC Neptune</t>
  </si>
  <si>
    <t>Oceanus Gas</t>
  </si>
  <si>
    <t>BW Sakura</t>
  </si>
  <si>
    <t>Sea Gloria</t>
  </si>
  <si>
    <t>Thetis Glory</t>
  </si>
  <si>
    <t>Captain Nicholas ML</t>
  </si>
  <si>
    <t>L Primo Gas</t>
  </si>
  <si>
    <t>Venture Gas</t>
  </si>
  <si>
    <t xml:space="preserve">Sarv Shakti </t>
  </si>
  <si>
    <t>Providence</t>
  </si>
  <si>
    <t>Hellas Serenity</t>
  </si>
  <si>
    <t>Avance Levant</t>
  </si>
  <si>
    <t>Levant</t>
  </si>
  <si>
    <t xml:space="preserve">Summit Terra </t>
  </si>
  <si>
    <t>Sunny Green</t>
  </si>
  <si>
    <t>Solina Gas</t>
  </si>
  <si>
    <t>Clipper Sirius</t>
  </si>
  <si>
    <t>OPEC Energy</t>
  </si>
  <si>
    <t>G Symphony</t>
  </si>
  <si>
    <t>Ourea</t>
  </si>
  <si>
    <t>BW Prince</t>
  </si>
  <si>
    <t>Progress</t>
  </si>
  <si>
    <t>Clipper</t>
  </si>
  <si>
    <t>Global Capricorn</t>
  </si>
  <si>
    <t>Promise</t>
  </si>
  <si>
    <t>Monte Rosa Explorer</t>
  </si>
  <si>
    <t>BW Thor</t>
  </si>
  <si>
    <t>Gas Orchid</t>
  </si>
  <si>
    <t>Toledo</t>
  </si>
  <si>
    <t>Devon</t>
  </si>
  <si>
    <t>Karoline N</t>
  </si>
  <si>
    <t>Bw Odin</t>
  </si>
  <si>
    <t>2Q 2023</t>
  </si>
  <si>
    <t>Aeolian Pearn</t>
  </si>
  <si>
    <t>Gas Tigers</t>
  </si>
  <si>
    <t>BW Austria</t>
  </si>
  <si>
    <t>Venus Glory</t>
  </si>
  <si>
    <t>Include Port Louis</t>
  </si>
  <si>
    <t>ETA Balboa</t>
  </si>
  <si>
    <t>May deliveries</t>
  </si>
  <si>
    <t>G Forever</t>
  </si>
  <si>
    <t>HLS Fluorite</t>
  </si>
  <si>
    <t>June deliveries</t>
  </si>
  <si>
    <t>Gas Alkaheej</t>
  </si>
  <si>
    <t>TP Tenacity</t>
  </si>
  <si>
    <t>Charterer</t>
  </si>
  <si>
    <t>Ship name</t>
  </si>
  <si>
    <t>AG dates</t>
  </si>
  <si>
    <t>USG dates</t>
  </si>
  <si>
    <t>Panama or Cape?</t>
  </si>
  <si>
    <t>Vsl ex</t>
  </si>
  <si>
    <t>Discharge ports</t>
  </si>
  <si>
    <t>Receiver</t>
  </si>
  <si>
    <t>Sendai - Eneos Globe</t>
  </si>
  <si>
    <t>Huayi</t>
  </si>
  <si>
    <t>FIC</t>
  </si>
  <si>
    <t>Huatai</t>
  </si>
  <si>
    <t>Tianjin Bohua</t>
  </si>
  <si>
    <t>Inpex</t>
  </si>
  <si>
    <t>Daesan</t>
  </si>
  <si>
    <t>HTC</t>
  </si>
  <si>
    <t>Mizushima - Eneos B-No.2 (Propane 23,735.585mt)</t>
  </si>
  <si>
    <t>Long Son Terminal</t>
  </si>
  <si>
    <t xml:space="preserve">Siam Cement Group </t>
  </si>
  <si>
    <t>Previous Last Name</t>
  </si>
  <si>
    <t>Blt</t>
  </si>
  <si>
    <t>Blt Mth</t>
  </si>
  <si>
    <t>Yard</t>
  </si>
  <si>
    <t>Yard Country</t>
  </si>
  <si>
    <t>LiqCub</t>
  </si>
  <si>
    <t>Type</t>
  </si>
  <si>
    <t>Subtype</t>
  </si>
  <si>
    <t>Commercial Owner</t>
  </si>
  <si>
    <t>Month of Build</t>
  </si>
  <si>
    <t>Year Of Build</t>
  </si>
  <si>
    <t>Trading area</t>
  </si>
  <si>
    <t>Earliest Open</t>
  </si>
  <si>
    <t>Fuel option</t>
  </si>
  <si>
    <t>GAS SPIRIT I</t>
  </si>
  <si>
    <t>BERGE SPIRIT / GOLAR FROST</t>
  </si>
  <si>
    <t>Oy Wartsila AB - Finland</t>
  </si>
  <si>
    <t>Finland</t>
  </si>
  <si>
    <t>Trdg</t>
  </si>
  <si>
    <t>LPG</t>
  </si>
  <si>
    <t>REF</t>
  </si>
  <si>
    <t>Mar-80</t>
  </si>
  <si>
    <t>GAS BEAUTY 1 / BW STRAND / BERGE STRAND</t>
  </si>
  <si>
    <t>PetroVietnam</t>
  </si>
  <si>
    <t>May-82</t>
  </si>
  <si>
    <t>GANESHA</t>
  </si>
  <si>
    <t>ARTEMIS / MING ZHU / SCHUMI / MAPLE 1 / CHELSEA BRIDGE / BERGE KOBE / CO-OP SUNRISE</t>
  </si>
  <si>
    <t>Hitachi Innoshima Japan</t>
  </si>
  <si>
    <t>Mar-87</t>
  </si>
  <si>
    <t>BERGE SUMMIT / SUNNY HOPE</t>
  </si>
  <si>
    <t>Mitsubishi Nagasaki Japan</t>
  </si>
  <si>
    <t>Jun-90</t>
  </si>
  <si>
    <t>VENTURE GAS</t>
  </si>
  <si>
    <t>EVERRICH 8 / JAG VIDHI / PACIFIC HARMONY</t>
  </si>
  <si>
    <t>Kawasaki Sakaide Japan</t>
  </si>
  <si>
    <t>Jul-90</t>
  </si>
  <si>
    <t>GAS TARA / GAZ SUPPIER / GAS LEO</t>
  </si>
  <si>
    <t>Unknown</t>
  </si>
  <si>
    <t>Dec-90</t>
  </si>
  <si>
    <t>GAS ORCHID</t>
  </si>
  <si>
    <t>GAS SOPHIA / GAS JASMINE / CRYSTAL MERMAID</t>
  </si>
  <si>
    <t>GAS KOMODO</t>
  </si>
  <si>
    <t>COMMANDER N. / BERGE COMMANDER</t>
  </si>
  <si>
    <t>Nippon Kokan K.K Tsu Japan</t>
  </si>
  <si>
    <t>Buana Lintas Lautan (BULL)</t>
  </si>
  <si>
    <t>Mar-91</t>
  </si>
  <si>
    <t>SEA LUNA</t>
  </si>
  <si>
    <t>GAS JENNY / TSUGARU GLORIA / GLORIA / FLANDERS GLORIA / BERGE FLANDERS / TOWER BRIDGE / MAPLE 2 / MAP</t>
  </si>
  <si>
    <t>Jul-91</t>
  </si>
  <si>
    <t>NUSA BRIGHT / BW CAPTAIN / BERGE CAPTAIN</t>
  </si>
  <si>
    <t>Oct-91</t>
  </si>
  <si>
    <t>VENUS 7</t>
  </si>
  <si>
    <t>MING MING / PACIFIC CENTURY</t>
  </si>
  <si>
    <t>Kai Heng Long</t>
  </si>
  <si>
    <t>Nov-91</t>
  </si>
  <si>
    <t>SENNA JUMBO / NOTO GLORIA</t>
  </si>
  <si>
    <t>Kawasaki Kobe Japan</t>
  </si>
  <si>
    <t>Feb-92</t>
  </si>
  <si>
    <t>CLIPPER</t>
  </si>
  <si>
    <t>BW CLIPPER / BERGE CLIPPER</t>
  </si>
  <si>
    <t>Pacific Carriers</t>
  </si>
  <si>
    <t>Mar-92</t>
  </si>
  <si>
    <t>SUNNY GREEN</t>
  </si>
  <si>
    <t>NKOSSA II</t>
  </si>
  <si>
    <t>INGER MAERSK</t>
  </si>
  <si>
    <t>Apr-92</t>
  </si>
  <si>
    <t>PALANIMALA GAS / BENNY PRINCESS / ARIES DUO</t>
  </si>
  <si>
    <t>Kunlun Holding</t>
  </si>
  <si>
    <t>Sep-92</t>
  </si>
  <si>
    <t>CAPE GAS</t>
  </si>
  <si>
    <t>PORTOFINO GAS / NS CHALLENGER / BW CHALLENGER / BERGE CHALLENGER</t>
  </si>
  <si>
    <t>Nov-92</t>
  </si>
  <si>
    <t>OPEC ENERGY</t>
  </si>
  <si>
    <t>KAILASH GAS / FLANDERS HARMONY</t>
  </si>
  <si>
    <t>Boelwerf Vlaanderen Temse Belgium</t>
  </si>
  <si>
    <t>Belgium</t>
  </si>
  <si>
    <t>Dec-92</t>
  </si>
  <si>
    <t>TRADING IRAN/CHINA</t>
  </si>
  <si>
    <t>BEATRIS GAS / SISOULI PREM / MAHARSHI VISHWAMITRA / GAS MIRACLE</t>
  </si>
  <si>
    <t>GAS ROMA</t>
  </si>
  <si>
    <t>GAS ORPHEUS / ENERGY ORPHEUS</t>
  </si>
  <si>
    <t>Fuler Shipping</t>
  </si>
  <si>
    <t>Jan-93</t>
  </si>
  <si>
    <t>EVERRICH 8 / CARMEN / SAM RUSS / CO-OP AKEBANO</t>
  </si>
  <si>
    <t>Feb-93</t>
  </si>
  <si>
    <t>SEA GLORIA</t>
  </si>
  <si>
    <t>GAS AL MUTLAA</t>
  </si>
  <si>
    <t>Mar-93</t>
  </si>
  <si>
    <t>FABINO GAS</t>
  </si>
  <si>
    <t>FABIO GAS / TAKAO GAS / GAS SAPPHIRE / RED RUM / MUSAHI GLORIA / TSUGARA GLORIA</t>
  </si>
  <si>
    <t>DIANA</t>
  </si>
  <si>
    <t>APHRODITE / APANCHANIT NO.4 / CRANE GOLD / NISSEN MARU</t>
  </si>
  <si>
    <t>Jun-93</t>
  </si>
  <si>
    <t>SEA DRAGON / OVAL NOVA</t>
  </si>
  <si>
    <t>Jul-93</t>
  </si>
  <si>
    <t>DOLPHIN</t>
  </si>
  <si>
    <t>OPEC ATHENA / JAG VISHNU / JA SUNSHINE</t>
  </si>
  <si>
    <t>Mar-94</t>
  </si>
  <si>
    <t>GAS CORAL / SEA SAPPHIRE / GAS SAPPHIRE / G.COMMANDER / G.LEADER</t>
  </si>
  <si>
    <t>Coral Maritime</t>
  </si>
  <si>
    <t>Nov-95</t>
  </si>
  <si>
    <t>JAG VIDHI / GAS PULA</t>
  </si>
  <si>
    <t>Great Eastern Shipping</t>
  </si>
  <si>
    <t>Feb-96</t>
  </si>
  <si>
    <t>SUN 10</t>
  </si>
  <si>
    <t>EVERRICH 10 / GAS SCOPRIO</t>
  </si>
  <si>
    <t>Truong Phat Loc Shipping</t>
  </si>
  <si>
    <t>FORTUNA</t>
  </si>
  <si>
    <t>ATHENA / MING DE / GAS MIRACLE / FLANDERS TENACITY</t>
  </si>
  <si>
    <t>May-96</t>
  </si>
  <si>
    <t>ARROW</t>
  </si>
  <si>
    <t>LAVENDER PASSAGE</t>
  </si>
  <si>
    <t>Jul-96</t>
  </si>
  <si>
    <t>GAS INFINITY / TOYOSU MARU</t>
  </si>
  <si>
    <t>Feb-97</t>
  </si>
  <si>
    <t>GAZ LIBERTY</t>
  </si>
  <si>
    <t>FOUNTAIN RIVER</t>
  </si>
  <si>
    <t>Oct-97</t>
  </si>
  <si>
    <t>SC COMMANDER LVII</t>
  </si>
  <si>
    <t>YUHSHO</t>
  </si>
  <si>
    <t>Soechi Group</t>
  </si>
  <si>
    <t>Feb-99</t>
  </si>
  <si>
    <t>Nov-99</t>
  </si>
  <si>
    <t>TRADING MED</t>
  </si>
  <si>
    <t>GAS COMMERCE</t>
  </si>
  <si>
    <t>GREAT TRIBUNE / GREAT TRIBUTE</t>
  </si>
  <si>
    <t>Mitsubishi Kobe Japan</t>
  </si>
  <si>
    <t>ADDRESS GAS</t>
  </si>
  <si>
    <t>GAS DIANA</t>
  </si>
  <si>
    <t>Jun-00</t>
  </si>
  <si>
    <t>SUMMIT TERRA</t>
  </si>
  <si>
    <t>SEA DOLPHN / SUMMIT TERRA / ANNE-LAURE</t>
  </si>
  <si>
    <t>DSME - Korea</t>
  </si>
  <si>
    <t>Oct-00</t>
  </si>
  <si>
    <t>SAPPHIRE I</t>
  </si>
  <si>
    <t>GAS DIGNITY / SEA DANUTA / BW DANUTA / BERGE DANUTA</t>
  </si>
  <si>
    <t>Stocznia Gdynia Poland</t>
  </si>
  <si>
    <t>Nov-00</t>
  </si>
  <si>
    <t>LINDEN PRIDE</t>
  </si>
  <si>
    <t>RUBRA</t>
  </si>
  <si>
    <t>BW DENISE / BERGE DENISE</t>
  </si>
  <si>
    <t>OPEC NEPTUNE</t>
  </si>
  <si>
    <t>OCEAN ORCHID</t>
  </si>
  <si>
    <t>GAS GLORIA</t>
  </si>
  <si>
    <t>MAREENA GAS</t>
  </si>
  <si>
    <t>MAHARSHI VISHWAMITRA / BW BORG / FORMOSAGAS APOLLO</t>
  </si>
  <si>
    <t>TRADING INDIA</t>
  </si>
  <si>
    <t>BW VISION / DYNAMIC VISION</t>
  </si>
  <si>
    <t>S C I</t>
  </si>
  <si>
    <t>GODAVARI GAS</t>
  </si>
  <si>
    <t>BW BOSS / FORMOSAGAS BRIGHT</t>
  </si>
  <si>
    <t>BW ENERGY / DYNAMIC ENERGY</t>
  </si>
  <si>
    <t>GRACE RIVER</t>
  </si>
  <si>
    <t>BASHUNDARA LPG CHALLENGER</t>
  </si>
  <si>
    <t>AVANCE / STOLT AVANCE / ALTHEA GAS</t>
  </si>
  <si>
    <t>Bashundara</t>
  </si>
  <si>
    <t>GAS COURAGE</t>
  </si>
  <si>
    <t>HELLAS NAUTILUS</t>
  </si>
  <si>
    <t>HHI Korea</t>
  </si>
  <si>
    <t>GLOBAL SCORPIO</t>
  </si>
  <si>
    <t>LPG SCORPIO / ARTEMIS / HELLAS ARGOSY</t>
  </si>
  <si>
    <t>VELA GAS</t>
  </si>
  <si>
    <t>CRYSTAL MARINE</t>
  </si>
  <si>
    <t>Marshal Shipping</t>
  </si>
  <si>
    <t>NS United Kaiun Kaisha</t>
  </si>
  <si>
    <t>ARTEMIS GAS</t>
  </si>
  <si>
    <t>ORIENTAL QUEEN</t>
  </si>
  <si>
    <t>Universal Shipbuilding Corp now JMU Tsu Japan</t>
  </si>
  <si>
    <t>Nan Liam Shipmanagement</t>
  </si>
  <si>
    <t>GLOBAL CAPRICORN</t>
  </si>
  <si>
    <t>LPG CAPRICORN / ALPHA / JEANNE-MARIE</t>
  </si>
  <si>
    <t>BASHUNDARA LPG WARRIOR</t>
  </si>
  <si>
    <t>BW EMPRESS / P.K. BERGE / YUYO BERGE</t>
  </si>
  <si>
    <t>Unique Shipping (H.K.)</t>
  </si>
  <si>
    <t>BW CONFIDENCE / BRITISH CONFIDENCE</t>
  </si>
  <si>
    <t>BW TRADER</t>
  </si>
  <si>
    <t>BERGE TRADER</t>
  </si>
  <si>
    <t>T/C TO BGN</t>
  </si>
  <si>
    <t>GAZ MAJESTIC / BRITISH COURAGE</t>
  </si>
  <si>
    <t>Cebaco Maritime &amp; Transport</t>
  </si>
  <si>
    <t>BRITISH COMMERCE</t>
  </si>
  <si>
    <t>CAPTAIN MARKOS NL</t>
  </si>
  <si>
    <t>BW BROKER</t>
  </si>
  <si>
    <t>Zodiac Maritime Ltd</t>
  </si>
  <si>
    <t>BRITISH COUNCILLOR</t>
  </si>
  <si>
    <t>MAERSK VISUAL</t>
  </si>
  <si>
    <t>MAERSK VIRTUE</t>
  </si>
  <si>
    <t>BW MAPLE / MAERSEK VALUE</t>
  </si>
  <si>
    <t>Hyundai Samho - Korea</t>
  </si>
  <si>
    <t>FLANDERS LIBERTY</t>
  </si>
  <si>
    <t>TRADING SPOT/COA</t>
  </si>
  <si>
    <t>BW PRINCE</t>
  </si>
  <si>
    <t>HHI - Korea</t>
  </si>
  <si>
    <t>Kawasaki Sakaide - Japan</t>
  </si>
  <si>
    <t>FLANDERS LOYALTY</t>
  </si>
  <si>
    <t>HELLAS FOS</t>
  </si>
  <si>
    <t>Latsco</t>
  </si>
  <si>
    <t>T/C TO TRAFI</t>
  </si>
  <si>
    <t>MAERSK VENTURE</t>
  </si>
  <si>
    <t>AURORA LEO / MILL REEF</t>
  </si>
  <si>
    <t>BW PRINCESS</t>
  </si>
  <si>
    <t>Nakilat (Qatar Shipping)</t>
  </si>
  <si>
    <t>ON T/.C TO OE</t>
  </si>
  <si>
    <t>CLIPPER SUN / CAPTAIN LEON LEMOS</t>
  </si>
  <si>
    <t>ON T.C TO BGN</t>
  </si>
  <si>
    <t>Mitsubishi Nagasaki - Japan</t>
  </si>
  <si>
    <t>HELLAS GLORY</t>
  </si>
  <si>
    <t>ON T.C TO CHEVRON</t>
  </si>
  <si>
    <t>BW THOR</t>
  </si>
  <si>
    <t>AURORA TAURUS / MILL HOUSE</t>
  </si>
  <si>
    <t>ON T.C TO GEOGAS</t>
  </si>
  <si>
    <t>CLIPPER SIRIUS</t>
  </si>
  <si>
    <t>MARAN GAS VERGINA / VERGINA GAS</t>
  </si>
  <si>
    <t>ON T/C TO OE</t>
  </si>
  <si>
    <t>CAPTAIN NICHOLAS ML</t>
  </si>
  <si>
    <t>ON T/C TO SHV</t>
  </si>
  <si>
    <t>ON T/C TO GYXIS</t>
  </si>
  <si>
    <t>OLYMPIA GAS</t>
  </si>
  <si>
    <t>HELLAS SERENITY</t>
  </si>
  <si>
    <t>ON T/C TO TRAFI</t>
  </si>
  <si>
    <t>A M P T C</t>
  </si>
  <si>
    <t>ON T/C TO PETREDEC</t>
  </si>
  <si>
    <t>LOTUS GAS</t>
  </si>
  <si>
    <t>Foresight Shipping</t>
  </si>
  <si>
    <t>ON T/C TO OSK GAS</t>
  </si>
  <si>
    <t>RONALD N</t>
  </si>
  <si>
    <t>MARAN GAS KNOSSOS / MARAN KNOSSOS GAS / KNOSSOS GAS</t>
  </si>
  <si>
    <t>PROGRESS</t>
  </si>
  <si>
    <t>TRADING SPOT</t>
  </si>
  <si>
    <t>KAROLINE N</t>
  </si>
  <si>
    <t>BW DUKE</t>
  </si>
  <si>
    <t>AURORA CAPRICORN / PROSPECT</t>
  </si>
  <si>
    <t>Meiji Kaiun</t>
  </si>
  <si>
    <t>KOBAI</t>
  </si>
  <si>
    <t>BW SAKURA</t>
  </si>
  <si>
    <t>VERMILLION FIRST / VERMILLION</t>
  </si>
  <si>
    <t>Celeste Holding</t>
  </si>
  <si>
    <t>BW NIIGATA</t>
  </si>
  <si>
    <t>YURICOSMOS</t>
  </si>
  <si>
    <t>Doun Kisen</t>
  </si>
  <si>
    <t>GAS BERYL</t>
  </si>
  <si>
    <t>DEVON / DORSET</t>
  </si>
  <si>
    <t>Tianjin Southwest</t>
  </si>
  <si>
    <t>MAERSK TUAS / DERBY</t>
  </si>
  <si>
    <t>Eneos Ocean / SK Shipping JV</t>
  </si>
  <si>
    <t>MOTIVATOR</t>
  </si>
  <si>
    <t>SANKO WIND</t>
  </si>
  <si>
    <t>MORSTON</t>
  </si>
  <si>
    <t>GAS PERTAMINA 1 / GAS PERTAMINA</t>
  </si>
  <si>
    <t>Kumiai Senpaku</t>
  </si>
  <si>
    <t>GAS STAR</t>
  </si>
  <si>
    <t>GAS PERTAMINA 2</t>
  </si>
  <si>
    <t>Tomza Group</t>
  </si>
  <si>
    <t>DORIAN COMET</t>
  </si>
  <si>
    <t>DORIAN CORSAIR</t>
  </si>
  <si>
    <t>DORIAN CORVETTE</t>
  </si>
  <si>
    <t>Hisafuku Kisen</t>
  </si>
  <si>
    <t>Jiangnan - China</t>
  </si>
  <si>
    <t>Hisamoto Kisen</t>
  </si>
  <si>
    <t>SALTRAM</t>
  </si>
  <si>
    <t>PERSEVERANCE V</t>
  </si>
  <si>
    <t>LEVANT</t>
  </si>
  <si>
    <t>SERJEANT</t>
  </si>
  <si>
    <t>CHINOOK</t>
  </si>
  <si>
    <t>PAMPERO</t>
  </si>
  <si>
    <t>SEA BIRD</t>
  </si>
  <si>
    <t>SPREAD EAGLE</t>
  </si>
  <si>
    <t>CHAMPLAIN</t>
  </si>
  <si>
    <t>AURORA BALDER</t>
  </si>
  <si>
    <t>AURORA NJORD</t>
  </si>
  <si>
    <t>AURORA VAR</t>
  </si>
  <si>
    <t>BW TUCAN</t>
  </si>
  <si>
    <t>AURORA BRAGE</t>
  </si>
  <si>
    <t>GAS TIGERS</t>
  </si>
  <si>
    <t>AURORA FREYJA</t>
  </si>
  <si>
    <t>DF SEP 2021</t>
  </si>
  <si>
    <t>MHI - Japan</t>
  </si>
  <si>
    <t>TENACITY IV</t>
  </si>
  <si>
    <t>AURORA FRIGG</t>
  </si>
  <si>
    <t>DF NOV 2021</t>
  </si>
  <si>
    <t>DF OCT 2021</t>
  </si>
  <si>
    <t>DF JAN 2022</t>
  </si>
  <si>
    <t>ANDERIDA</t>
  </si>
  <si>
    <t>JP Morgan</t>
  </si>
  <si>
    <t>AISLING</t>
  </si>
  <si>
    <t>MONT FORT</t>
  </si>
  <si>
    <t>CSSC / TSW JV</t>
  </si>
  <si>
    <t>MONT GELE</t>
  </si>
  <si>
    <t>Kawasaki Tokyo - Japan</t>
  </si>
  <si>
    <t>JMU Ariake - Japan</t>
  </si>
  <si>
    <t>KHI - Japan</t>
  </si>
  <si>
    <t>Fortune Oil</t>
  </si>
  <si>
    <t>Oriental Energy</t>
  </si>
  <si>
    <t>HYUNDAI ULSAN 3142</t>
  </si>
  <si>
    <t>HYUNDAI ULSAN 3159</t>
  </si>
  <si>
    <t>Apr-31</t>
  </si>
  <si>
    <t>HYUNDAI ULSAN 3160</t>
  </si>
  <si>
    <t>JIANGNAN 2629</t>
  </si>
  <si>
    <t>JIANGNAN 2667</t>
  </si>
  <si>
    <t>Exmar LPG</t>
  </si>
  <si>
    <t>HHI 3184</t>
  </si>
  <si>
    <t>HYUNDAI SAMHO 8050</t>
  </si>
  <si>
    <t>Trafigura Beheer</t>
  </si>
  <si>
    <t>HYUNDAI ULSAN 3192</t>
  </si>
  <si>
    <t>JIANGNAN H2673</t>
  </si>
  <si>
    <t>KHI 1748</t>
  </si>
  <si>
    <t>JIANGNAN 2668</t>
  </si>
  <si>
    <t>Newb</t>
  </si>
  <si>
    <t>HYUNDAI ULSAN 3161</t>
  </si>
  <si>
    <t>HYUNDAI ULSAN 3193</t>
  </si>
  <si>
    <t>HYUNDAI SAMHO 8051</t>
  </si>
  <si>
    <t>JIANGNAN 2674</t>
  </si>
  <si>
    <t>JIANGNAN 2675</t>
  </si>
  <si>
    <t>KHI 1751</t>
  </si>
  <si>
    <t>Kawasaki HI Sakaide</t>
  </si>
  <si>
    <t>DSME 2357</t>
  </si>
  <si>
    <t>KHI 1750</t>
  </si>
  <si>
    <t>RASPAIL</t>
  </si>
  <si>
    <t>HYUNDAI SAMHO 8056</t>
  </si>
  <si>
    <t>DSME 2358</t>
  </si>
  <si>
    <t>HYUNDAI SAMHO 8057</t>
  </si>
  <si>
    <t>KHI 1752</t>
  </si>
  <si>
    <t>KHI 1753</t>
  </si>
  <si>
    <t>Q2</t>
  </si>
  <si>
    <t>Q2-22</t>
  </si>
  <si>
    <t>JIANGNAN H2727</t>
  </si>
  <si>
    <t>JIANGNAN H2728</t>
  </si>
  <si>
    <t>HYUNDAI ULSAN 3252</t>
  </si>
  <si>
    <t>HYUNDAI SAMHO TBN</t>
  </si>
  <si>
    <t>Evalend Shipping</t>
  </si>
  <si>
    <t>DSME 2360</t>
  </si>
  <si>
    <t>KHI 1754</t>
  </si>
  <si>
    <t>JIANGNAN H2729</t>
  </si>
  <si>
    <t>JIANGNAN H2731</t>
  </si>
  <si>
    <t>HHI 3263</t>
  </si>
  <si>
    <t>JIANGNAN H2735</t>
  </si>
  <si>
    <t>JIANGNAN H2730</t>
  </si>
  <si>
    <t>DSME 2361</t>
  </si>
  <si>
    <t>JIANGNAN H2736</t>
  </si>
  <si>
    <t>JIANGNAN H2737</t>
  </si>
  <si>
    <t>JIANGNAN H2738</t>
  </si>
  <si>
    <t>HHI 3276</t>
  </si>
  <si>
    <t>HHI 3277</t>
  </si>
  <si>
    <t>JIANGNAN TBN</t>
  </si>
  <si>
    <t>HYUNDAI SAMHO 8126</t>
  </si>
  <si>
    <t>JIANGNAN H2739</t>
  </si>
  <si>
    <t>JIANGNAN H2740</t>
  </si>
  <si>
    <t>Q3</t>
  </si>
  <si>
    <t>Q3-23</t>
  </si>
  <si>
    <t>HYUNDAI SAMHO 8127</t>
  </si>
  <si>
    <t>Q4</t>
  </si>
  <si>
    <t>Q4 23</t>
  </si>
  <si>
    <t>EVALEND SHIPPING TBN</t>
  </si>
  <si>
    <t>2H</t>
  </si>
  <si>
    <t>2H 23</t>
  </si>
  <si>
    <t>2023/24</t>
  </si>
  <si>
    <t>?? 23/24</t>
  </si>
  <si>
    <t>NAMURA TBN</t>
  </si>
  <si>
    <t>Namura - Japan</t>
  </si>
  <si>
    <t>?? 2024</t>
  </si>
  <si>
    <t>Q2/Q3</t>
  </si>
  <si>
    <t>Q2/Q3 2024</t>
  </si>
  <si>
    <t>FOR MAIN SORTER</t>
  </si>
  <si>
    <t>FOR WEST SORTER</t>
  </si>
  <si>
    <t>In position list Relet / Open to Check propel</t>
  </si>
  <si>
    <t>EAST &amp; WEST</t>
  </si>
  <si>
    <t>PANAMAX</t>
  </si>
  <si>
    <t>Deck tank</t>
  </si>
  <si>
    <t>Al Maryah</t>
  </si>
  <si>
    <t>Avance Rigel</t>
  </si>
  <si>
    <t>SOLINA GAS</t>
  </si>
  <si>
    <t>Gas Capricorn (Astomos)</t>
  </si>
  <si>
    <t>Vessels which Can't do:</t>
  </si>
  <si>
    <t>Gaz Imperial (no 3/1)</t>
  </si>
  <si>
    <t>Pacific Hong Kong (no 3/1)</t>
  </si>
  <si>
    <t>Pacific Rizhao (no 3/1)</t>
  </si>
  <si>
    <t>Pertamina Gas 2 (no 3/1)</t>
  </si>
  <si>
    <t>for Pertamina - every 10 days, they have 1 cargo to load from Freeport</t>
  </si>
  <si>
    <t>1st Decade</t>
  </si>
  <si>
    <t>2nd Decade</t>
  </si>
  <si>
    <t>3rd Decade</t>
  </si>
  <si>
    <t>Current Itinerary</t>
  </si>
  <si>
    <t>ETA USG Cape</t>
  </si>
  <si>
    <t>Laycan</t>
  </si>
  <si>
    <t>Port</t>
  </si>
  <si>
    <t>Rate</t>
  </si>
  <si>
    <t>to paste in Kpler</t>
  </si>
  <si>
    <t>ARZEW</t>
  </si>
  <si>
    <t>RNR</t>
  </si>
  <si>
    <t>INPEX</t>
  </si>
  <si>
    <t>DARWIN</t>
  </si>
  <si>
    <t>YANBU</t>
  </si>
  <si>
    <t>Ras Laffan</t>
  </si>
  <si>
    <t>Ras Tanura</t>
  </si>
  <si>
    <t>Ruwais</t>
  </si>
  <si>
    <t>SWISSCHEM</t>
  </si>
  <si>
    <t>Das Island</t>
  </si>
  <si>
    <t>Ju'aymah</t>
  </si>
  <si>
    <t>MINA AL-AHMADI</t>
  </si>
  <si>
    <t>65 dropped?</t>
  </si>
  <si>
    <t>Prelude Area</t>
  </si>
  <si>
    <t>NWS</t>
  </si>
  <si>
    <t>Cherry point</t>
  </si>
  <si>
    <t>Prince Rupert</t>
  </si>
  <si>
    <t>Bonny Island</t>
  </si>
  <si>
    <t>Malongo</t>
  </si>
  <si>
    <t>Sanha</t>
  </si>
  <si>
    <t>Unsorted AG</t>
  </si>
  <si>
    <t>Qatar (Ras Laffan/ Mesaieed)</t>
  </si>
  <si>
    <t>KPC (Mina Al-Ahmadi / Mina' saqr)</t>
  </si>
  <si>
    <t>ADNOC (Ruwais, Das Island - UAE)</t>
  </si>
  <si>
    <t>Saudi Aramco (Ras Tanura. Ju'aymah, Yanbu)</t>
  </si>
  <si>
    <t>Australia (Darwin / Ichthys, Westernport, Prelude Area, Port Bonython, Dampier, NWS)</t>
  </si>
  <si>
    <t>USWC (Ferndale, Prince Rupert)</t>
  </si>
  <si>
    <t>Cherrypoint is Ferndale</t>
  </si>
  <si>
    <t>WAF(Escravos Terminal, Bonny Island, Soyo, Sanha/ Malongo)</t>
  </si>
  <si>
    <t>Algeria / NAF (Bethioua / Arzew)</t>
  </si>
  <si>
    <t>Western Port Bay</t>
  </si>
  <si>
    <t>port bonython</t>
  </si>
  <si>
    <t>62 Gibson</t>
  </si>
  <si>
    <t>61-62</t>
  </si>
  <si>
    <t>Passat</t>
  </si>
  <si>
    <t>51 Gibson</t>
  </si>
  <si>
    <t>Bw Lord</t>
  </si>
  <si>
    <t>Hengli</t>
  </si>
  <si>
    <t>Bw Cedar</t>
  </si>
  <si>
    <t>sonatrach</t>
  </si>
  <si>
    <t>wanhua</t>
  </si>
  <si>
    <t>54.85 Gibson</t>
  </si>
  <si>
    <t>Perseverance V</t>
  </si>
  <si>
    <t>56.25 Gibson</t>
  </si>
  <si>
    <t>BW var</t>
  </si>
  <si>
    <t>COA</t>
  </si>
  <si>
    <t>ENI</t>
  </si>
  <si>
    <t>63 Gibson</t>
  </si>
  <si>
    <t>55 Gibson</t>
  </si>
  <si>
    <t>Gaz Zenith</t>
  </si>
  <si>
    <t>Avance Capella</t>
  </si>
  <si>
    <t>50 Gibson</t>
  </si>
  <si>
    <t>81.5 Gibson</t>
  </si>
  <si>
    <t>53 Gibson</t>
  </si>
  <si>
    <t>68 Gibson</t>
  </si>
  <si>
    <t>49.25 Gibson</t>
  </si>
  <si>
    <t>Lycaste peace</t>
  </si>
  <si>
    <t>59 Gibson</t>
  </si>
  <si>
    <t>64 Gibson</t>
  </si>
  <si>
    <t>SwisschemGas</t>
  </si>
  <si>
    <t>65 Gibson</t>
  </si>
  <si>
    <t>Bashundhara Lpg Challenger</t>
  </si>
  <si>
    <t>Tenacity IV</t>
  </si>
  <si>
    <t>GeoGas</t>
  </si>
  <si>
    <t>Tenacity Iv</t>
  </si>
  <si>
    <t>Manifesto oos Henbit</t>
  </si>
  <si>
    <t>AGT (CVCs)</t>
  </si>
  <si>
    <t>Chinook</t>
  </si>
  <si>
    <t>Syros</t>
  </si>
  <si>
    <t>40 Gibson</t>
  </si>
  <si>
    <t>35 Gibson</t>
  </si>
  <si>
    <t>low 60s Gibson</t>
  </si>
  <si>
    <t>36 Gibson</t>
  </si>
  <si>
    <t>49 Gibson</t>
  </si>
  <si>
    <t>85 Gibson</t>
  </si>
  <si>
    <t>ras laffan</t>
  </si>
  <si>
    <t>Sumire Gas (Orig Crystal River)</t>
  </si>
  <si>
    <t>82 Gibson</t>
  </si>
  <si>
    <t>Abalone</t>
  </si>
  <si>
    <t>147 Gibson</t>
  </si>
  <si>
    <t>Sunny vista</t>
  </si>
  <si>
    <t>47 Gibson</t>
  </si>
  <si>
    <t>69 Gibson</t>
  </si>
  <si>
    <t>Mistral</t>
  </si>
  <si>
    <t>43 Gibson</t>
  </si>
  <si>
    <t>48 Gibson</t>
  </si>
  <si>
    <t>74 Gibson</t>
  </si>
  <si>
    <t>89 Gibson</t>
  </si>
  <si>
    <t>Hls AMber</t>
  </si>
  <si>
    <t>Heng Li</t>
  </si>
  <si>
    <t>Sinochem</t>
  </si>
  <si>
    <t>Sirocco</t>
  </si>
  <si>
    <t>Serjeant</t>
  </si>
  <si>
    <t>SK</t>
  </si>
  <si>
    <t>61 Gibson</t>
  </si>
  <si>
    <t>73 Gibson</t>
  </si>
  <si>
    <t>70 Gibson</t>
  </si>
  <si>
    <t>78.5 Gibson</t>
  </si>
  <si>
    <t>65.8 Gibson</t>
  </si>
  <si>
    <t>77.5 Gibson</t>
  </si>
  <si>
    <t>HengLi</t>
  </si>
  <si>
    <t>Pyxis Pioneed</t>
  </si>
  <si>
    <t>Motivator</t>
  </si>
  <si>
    <t>Gas Umm Al rowaisat</t>
  </si>
  <si>
    <t>Chinagas Legend</t>
  </si>
  <si>
    <t>Petrochina</t>
  </si>
  <si>
    <t>200 Gibson</t>
  </si>
  <si>
    <t>152 Gibson</t>
  </si>
  <si>
    <t>58 Gibson</t>
  </si>
  <si>
    <t>TC</t>
  </si>
  <si>
    <t>155 Gibson</t>
  </si>
  <si>
    <t>132 Gibson</t>
  </si>
  <si>
    <t>Bashundara LPG Challenger</t>
  </si>
  <si>
    <t>54 Gibson</t>
  </si>
  <si>
    <t>SiamGas</t>
  </si>
  <si>
    <t>Monsoon</t>
  </si>
  <si>
    <t>Gas Al kuwait Li</t>
  </si>
  <si>
    <t>39 Gibson</t>
  </si>
  <si>
    <t>Pacific Hongkong</t>
  </si>
  <si>
    <t>Avance Avior</t>
  </si>
  <si>
    <t>180 Gibson</t>
  </si>
  <si>
    <t>Gas Al kuwait ii</t>
  </si>
  <si>
    <t>Bw Princess</t>
  </si>
  <si>
    <t>AGT Navig8</t>
  </si>
  <si>
    <t>Shell&gt;BWPS</t>
  </si>
  <si>
    <t>BW —&gt; BASF</t>
  </si>
  <si>
    <t>BW-&gt;SK Gas in Oct</t>
  </si>
  <si>
    <t>Zodiac-&gt;Swiss</t>
  </si>
  <si>
    <t>INDIA FLEET</t>
  </si>
  <si>
    <t>Built</t>
  </si>
  <si>
    <t>Comment</t>
  </si>
  <si>
    <t>25 years non Iran trading:</t>
  </si>
  <si>
    <t>Floater - Vietnam</t>
  </si>
  <si>
    <t>Floater - Malaysia</t>
  </si>
  <si>
    <t>Floater - India</t>
  </si>
  <si>
    <t>Floater - Indo</t>
  </si>
  <si>
    <t>Soechi</t>
  </si>
  <si>
    <t>Vitol - check</t>
  </si>
  <si>
    <t>20-24 yrs old non Iran trading:</t>
  </si>
</sst>
</file>

<file path=xl/styles.xml><?xml version="1.0" encoding="utf-8"?>
<styleSheet xmlns="http://schemas.openxmlformats.org/spreadsheetml/2006/main" xmlns:x14ac="http://schemas.microsoft.com/office/spreadsheetml/2009/9/ac" xmlns:mc="http://schemas.openxmlformats.org/markup-compatibility/2006">
  <numFmts count="45">
    <numFmt numFmtId="164" formatCode="d\ mmm\ yyyy\ h:mm"/>
    <numFmt numFmtId="165" formatCode="dmmm"/>
    <numFmt numFmtId="166" formatCode="h:mm am/pm"/>
    <numFmt numFmtId="167" formatCode="d\ mmmm\ yyyy\ h:mm"/>
    <numFmt numFmtId="168" formatCode="d\-mmm\-yyyy\ h:mm"/>
    <numFmt numFmtId="169" formatCode="mmm\-d"/>
    <numFmt numFmtId="170" formatCode="mmm&quot;-&quot;yy"/>
    <numFmt numFmtId="171" formatCode="mmmd"/>
    <numFmt numFmtId="172" formatCode="d mmm yyyy h:mm"/>
    <numFmt numFmtId="173" formatCode="dd\ mmm"/>
    <numFmt numFmtId="174" formatCode="yyyy"/>
    <numFmt numFmtId="175" formatCode="d\ mmm"/>
    <numFmt numFmtId="176" formatCode="d mmm"/>
    <numFmt numFmtId="177" formatCode="dd mmm"/>
    <numFmt numFmtId="178" formatCode="d mmmm"/>
    <numFmt numFmtId="179" formatCode="dd mmmm"/>
    <numFmt numFmtId="180" formatCode="mmm\ yy"/>
    <numFmt numFmtId="181" formatCode="mmm\ yyyy"/>
    <numFmt numFmtId="182" formatCode="dd\ mmm\ h:mm\ AM/PM"/>
    <numFmt numFmtId="183" formatCode="m-d"/>
    <numFmt numFmtId="184" formatCode="0.000"/>
    <numFmt numFmtId="185" formatCode="0.0"/>
    <numFmt numFmtId="186" formatCode="&quot;$&quot;#,##0"/>
    <numFmt numFmtId="187" formatCode="mmm yyyy"/>
    <numFmt numFmtId="188" formatCode="ddmmm"/>
    <numFmt numFmtId="189" formatCode="mmmm\ yyyy"/>
    <numFmt numFmtId="190" formatCode="mmm\ d"/>
    <numFmt numFmtId="191" formatCode="dmmmm"/>
    <numFmt numFmtId="192" formatCode="mmmm\ d"/>
    <numFmt numFmtId="193" formatCode="mmmyyyy"/>
    <numFmt numFmtId="194" formatCode="mmm-d"/>
    <numFmt numFmtId="195" formatCode="mmmm-d"/>
    <numFmt numFmtId="196" formatCode="d\ mmmm"/>
    <numFmt numFmtId="197" formatCode="&quot;$&quot;#,##0.00"/>
    <numFmt numFmtId="198" formatCode="mmmm yyyy"/>
    <numFmt numFmtId="199" formatCode="mmmm d"/>
    <numFmt numFmtId="200" formatCode="mmm d"/>
    <numFmt numFmtId="201" formatCode="mm/dd/yyyy"/>
    <numFmt numFmtId="202" formatCode="m/d/yyyy"/>
    <numFmt numFmtId="203" formatCode="mmm\-yyyy"/>
    <numFmt numFmtId="204" formatCode="mmmm\-yyyy"/>
    <numFmt numFmtId="205" formatCode="mmm-dd"/>
    <numFmt numFmtId="206" formatCode="mmmm-dd"/>
    <numFmt numFmtId="207" formatCode="d&quot;-&quot;mmm"/>
    <numFmt numFmtId="208" formatCode="d\-mmmm"/>
  </numFmts>
  <fonts count="105">
    <font>
      <sz val="11.0"/>
      <color rgb="FF000000"/>
      <name val="Calibri"/>
      <scheme val="minor"/>
    </font>
    <font>
      <b/>
      <u/>
      <sz val="10.0"/>
      <color theme="1"/>
      <name val="Calibri"/>
      <scheme val="minor"/>
    </font>
    <font>
      <sz val="10.0"/>
      <color theme="1"/>
      <name val="Calibri"/>
    </font>
    <font>
      <sz val="11.0"/>
      <color rgb="FF000000"/>
      <name val="Calibri"/>
    </font>
    <font>
      <color rgb="FF000000"/>
      <name val="Calibri"/>
      <scheme val="minor"/>
    </font>
    <font>
      <sz val="12.0"/>
      <color rgb="FF000000"/>
      <name val="Calibri"/>
    </font>
    <font>
      <b/>
      <u/>
      <color rgb="FF000000"/>
      <name val="Calibri"/>
      <scheme val="minor"/>
    </font>
    <font>
      <b/>
      <u/>
      <sz val="11.0"/>
      <color rgb="FF000000"/>
      <name val="Calibri"/>
    </font>
    <font>
      <b/>
      <sz val="11.0"/>
      <color rgb="FF000000"/>
      <name val="Calibri"/>
    </font>
    <font>
      <b/>
      <u/>
      <sz val="11.0"/>
      <color rgb="FF000000"/>
      <name val="Calibri"/>
    </font>
    <font>
      <b/>
      <u/>
      <sz val="11.0"/>
      <color rgb="FF000000"/>
      <name val="Calibri"/>
    </font>
    <font>
      <b/>
      <u/>
      <sz val="11.0"/>
      <color rgb="FF000000"/>
      <name val="Calibri"/>
    </font>
    <font>
      <sz val="10.0"/>
      <color theme="1"/>
      <name val="Calibri"/>
      <scheme val="minor"/>
    </font>
    <font>
      <color theme="1"/>
      <name val="Calibri"/>
      <scheme val="minor"/>
    </font>
    <font>
      <b/>
      <sz val="12.0"/>
      <color rgb="FF000000"/>
      <name val="Calibri"/>
    </font>
    <font>
      <b/>
      <u/>
      <color theme="1"/>
      <name val="Calibri"/>
      <scheme val="minor"/>
    </font>
    <font>
      <b/>
      <u/>
      <sz val="11.0"/>
      <color rgb="FF000000"/>
      <name val="Calibri"/>
    </font>
    <font>
      <color rgb="FF0000FF"/>
      <name val="Calibri"/>
      <scheme val="minor"/>
    </font>
    <font>
      <sz val="11.0"/>
      <color rgb="FF0000FF"/>
      <name val="Calibri"/>
    </font>
    <font>
      <color rgb="FF000000"/>
      <name val="Calibri"/>
    </font>
    <font>
      <sz val="11.0"/>
      <color theme="1"/>
      <name val="Calibri"/>
    </font>
    <font>
      <sz val="11.0"/>
      <color rgb="FFFFFFFF"/>
      <name val="Calibri"/>
    </font>
    <font>
      <b/>
      <sz val="11.0"/>
      <color rgb="FFFFFFFF"/>
      <name val="Calibri"/>
    </font>
    <font>
      <sz val="11.0"/>
      <color theme="1"/>
      <name val="Calibri"/>
      <scheme val="minor"/>
    </font>
    <font>
      <sz val="11.0"/>
      <color rgb="FFFF00FF"/>
      <name val="Calibri"/>
    </font>
    <font>
      <b/>
      <sz val="11.0"/>
      <color rgb="FF990000"/>
      <name val="Calibri"/>
    </font>
    <font>
      <b/>
      <sz val="11.0"/>
      <color theme="1"/>
      <name val="Calibri"/>
    </font>
    <font>
      <sz val="11.0"/>
      <color rgb="FFFF0000"/>
      <name val="Calibri"/>
    </font>
    <font>
      <sz val="11.0"/>
      <color rgb="FF181A1B"/>
      <name val="Calibri"/>
    </font>
    <font>
      <b/>
      <sz val="11.0"/>
      <color rgb="FF9C0006"/>
      <name val="Calibri"/>
    </font>
    <font>
      <b/>
      <i/>
      <sz val="11.0"/>
      <color rgb="FFFF00FF"/>
      <name val="Calibri"/>
    </font>
    <font>
      <b/>
      <i/>
      <sz val="11.0"/>
      <color rgb="FF000000"/>
      <name val="Calibri"/>
    </font>
    <font>
      <sz val="11.0"/>
      <color rgb="FF1155CC"/>
      <name val="Calibri"/>
    </font>
    <font>
      <b/>
      <i/>
      <sz val="11.0"/>
      <color rgb="FF9900FF"/>
      <name val="Calibri"/>
    </font>
    <font>
      <b/>
      <i/>
      <sz val="11.0"/>
      <color theme="1"/>
      <name val="Calibri"/>
    </font>
    <font>
      <strike/>
      <sz val="11.0"/>
      <color theme="1"/>
      <name val="Calibri"/>
    </font>
    <font>
      <strike/>
      <sz val="11.0"/>
      <color rgb="FF000000"/>
      <name val="Calibri"/>
    </font>
    <font>
      <sz val="11.0"/>
      <color rgb="FF9900CC"/>
      <name val="Calibri"/>
    </font>
    <font>
      <b/>
      <sz val="11.0"/>
      <color rgb="FF9900CC"/>
      <name val="Calibri"/>
    </font>
    <font>
      <sz val="11.0"/>
      <color rgb="FF9900FF"/>
      <name val="Calibri"/>
    </font>
    <font>
      <b/>
      <sz val="11.0"/>
      <color rgb="FF181A1B"/>
      <name val="Calibri"/>
    </font>
    <font>
      <b/>
      <sz val="10.0"/>
      <color rgb="FF000000"/>
      <name val="Calibri"/>
    </font>
    <font>
      <sz val="10.0"/>
      <color rgb="FF000000"/>
      <name val="Calibri"/>
    </font>
    <font>
      <b/>
      <sz val="10.0"/>
      <color theme="1"/>
      <name val="Calibri"/>
    </font>
    <font>
      <b/>
      <sz val="10.0"/>
      <color rgb="FFFF0000"/>
      <name val="Calibri"/>
    </font>
    <font>
      <b/>
      <sz val="10.0"/>
      <color rgb="FFFFFFFF"/>
      <name val="Calibri"/>
    </font>
    <font>
      <b/>
      <i/>
      <sz val="10.0"/>
      <color rgb="FF000000"/>
      <name val="Calibri"/>
    </font>
    <font>
      <sz val="10.0"/>
      <color rgb="FFFF0000"/>
      <name val="Calibri"/>
    </font>
    <font>
      <b/>
      <i/>
      <sz val="10.0"/>
      <color rgb="FFFF9900"/>
      <name val="Calibri"/>
    </font>
    <font>
      <sz val="10.0"/>
      <color rgb="FFFF9900"/>
      <name val="Calibri"/>
    </font>
    <font>
      <sz val="10.0"/>
      <color rgb="FF0000FF"/>
      <name val="Calibri"/>
    </font>
    <font>
      <sz val="10.0"/>
      <color rgb="FF000000"/>
      <name val="Arial"/>
    </font>
    <font>
      <i/>
      <sz val="10.0"/>
      <color rgb="FFFF0000"/>
      <name val="Calibri"/>
    </font>
    <font>
      <b/>
      <sz val="10.0"/>
      <color rgb="FF9900FF"/>
      <name val="Calibri"/>
    </font>
    <font>
      <i/>
      <sz val="10.0"/>
      <color rgb="FF000000"/>
      <name val="Calibri"/>
    </font>
    <font>
      <b/>
      <u/>
      <sz val="10.0"/>
      <color theme="1"/>
      <name val="Calibri"/>
      <scheme val="minor"/>
    </font>
    <font>
      <b/>
      <u/>
      <sz val="10.0"/>
      <color rgb="FF000000"/>
      <name val="Calibri"/>
    </font>
    <font>
      <sz val="10.0"/>
      <color rgb="FF000000"/>
      <name val="Roboto"/>
    </font>
    <font>
      <sz val="10.0"/>
      <color theme="1"/>
      <name val="Aptos"/>
    </font>
    <font>
      <sz val="10.0"/>
      <color rgb="FFFFFFFF"/>
      <name val="Calibri"/>
      <scheme val="minor"/>
    </font>
    <font>
      <strike/>
      <sz val="10.0"/>
      <color theme="1"/>
      <name val="Calibri"/>
    </font>
    <font>
      <b/>
      <sz val="10.0"/>
      <color theme="1"/>
      <name val="Calibri"/>
      <scheme val="minor"/>
    </font>
    <font>
      <b/>
      <u/>
      <sz val="11.0"/>
      <color theme="1"/>
      <name val="Calibri"/>
    </font>
    <font>
      <b/>
      <u/>
      <sz val="11.0"/>
      <color rgb="FF000000"/>
      <name val="Calibri"/>
    </font>
    <font>
      <b/>
      <u/>
      <sz val="11.0"/>
      <color rgb="FF000000"/>
      <name val="Calibri"/>
    </font>
    <font>
      <b/>
      <u/>
      <sz val="11.0"/>
      <color rgb="FF000000"/>
      <name val="Calibri"/>
    </font>
    <font>
      <b/>
      <sz val="11.0"/>
      <color rgb="FF0000FF"/>
      <name val="Calibri"/>
    </font>
    <font>
      <sz val="11.0"/>
      <color rgb="FF666666"/>
      <name val="Calibri"/>
    </font>
    <font>
      <b/>
      <u/>
      <sz val="11.0"/>
      <color theme="1"/>
      <name val="Calibri"/>
    </font>
    <font>
      <b/>
      <color theme="1"/>
      <name val="Calibri"/>
      <scheme val="minor"/>
    </font>
    <font/>
    <font>
      <sz val="11.0"/>
      <color rgb="FF800000"/>
      <name val="Calibri"/>
    </font>
    <font>
      <b/>
      <sz val="11.0"/>
      <color rgb="FF800000"/>
      <name val="Calibri"/>
    </font>
    <font>
      <b/>
      <sz val="11.0"/>
      <color rgb="FFFF0000"/>
      <name val="Calibri"/>
    </font>
    <font>
      <sz val="11.0"/>
      <color rgb="FFB7B7B7"/>
      <name val="Calibri"/>
    </font>
    <font>
      <sz val="11.0"/>
      <color rgb="FF0070C0"/>
      <name val="Calibri"/>
    </font>
    <font>
      <sz val="11.0"/>
      <color rgb="FF4A86E8"/>
      <name val="Calibri"/>
    </font>
    <font>
      <b/>
      <sz val="11.0"/>
      <color rgb="FF006100"/>
      <name val="Calibri"/>
    </font>
    <font>
      <sz val="10.0"/>
      <color rgb="FF00B050"/>
      <name val="Calibri"/>
    </font>
    <font>
      <b/>
      <sz val="10.0"/>
      <color rgb="FF00B050"/>
      <name val="Calibri"/>
    </font>
    <font>
      <color theme="1"/>
      <name val="Arial"/>
    </font>
    <font>
      <color theme="1"/>
      <name val="Calibri"/>
    </font>
    <font>
      <strike/>
      <sz val="11.0"/>
      <color rgb="FFFF0000"/>
      <name val="Calibri"/>
    </font>
    <font>
      <sz val="11.0"/>
      <color rgb="FFDCE6F1"/>
      <name val="Calibri"/>
    </font>
    <font>
      <sz val="11.0"/>
      <color theme="1"/>
      <name val="Docs-Calibri"/>
    </font>
    <font>
      <sz val="12.0"/>
      <color theme="1"/>
      <name val="Calibri"/>
    </font>
    <font>
      <sz val="11.0"/>
      <color theme="1"/>
      <name val="Arial"/>
    </font>
    <font>
      <b/>
      <sz val="11.0"/>
      <color theme="1"/>
      <name val="Arial"/>
    </font>
    <font>
      <b/>
      <u/>
      <sz val="11.0"/>
      <color theme="1"/>
      <name val="Calibri"/>
    </font>
    <font>
      <b/>
      <u/>
      <sz val="11.0"/>
      <color theme="1"/>
      <name val="Calibri"/>
    </font>
    <font>
      <sz val="11.0"/>
      <color rgb="FFFF0000"/>
      <name val="Calibri"/>
      <scheme val="minor"/>
    </font>
    <font>
      <b/>
      <sz val="14.0"/>
      <color rgb="FFFFFFFF"/>
      <name val="Calibri"/>
    </font>
    <font>
      <b/>
      <color theme="1"/>
      <name val="Calibri"/>
    </font>
    <font>
      <b/>
      <color rgb="FFFFFFFF"/>
      <name val="Calibri"/>
    </font>
    <font>
      <color rgb="FFFF0000"/>
      <name val="Calibri"/>
    </font>
    <font>
      <sz val="10.0"/>
      <color theme="1"/>
      <name val="Arial"/>
    </font>
    <font>
      <sz val="11.0"/>
      <color rgb="FF000000"/>
      <name val="Arial"/>
    </font>
    <font>
      <sz val="9.0"/>
      <color rgb="FF29333C"/>
      <name val="Roboto"/>
    </font>
    <font>
      <sz val="9.0"/>
      <color rgb="FF000000"/>
      <name val="Roboto"/>
    </font>
    <font>
      <sz val="11.0"/>
      <color rgb="FF000000"/>
      <name val="Verdana"/>
    </font>
    <font>
      <u/>
      <sz val="9.0"/>
      <color rgb="FF29333C"/>
      <name val="Roboto"/>
    </font>
    <font>
      <b/>
      <u/>
      <sz val="11.0"/>
      <color theme="1"/>
      <name val="Calibri"/>
    </font>
    <font>
      <sz val="9.0"/>
      <color rgb="FF000000"/>
      <name val="Arial"/>
    </font>
    <font>
      <b/>
      <sz val="10.0"/>
      <color theme="1"/>
      <name val="Arial"/>
    </font>
    <font>
      <sz val="12.0"/>
      <color rgb="FFFF0000"/>
      <name val="Calibri"/>
    </font>
  </fonts>
  <fills count="4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1F3864"/>
        <bgColor rgb="FF1F3864"/>
      </patternFill>
    </fill>
    <fill>
      <patternFill patternType="solid">
        <fgColor rgb="FF2F5496"/>
        <bgColor rgb="FF2F5496"/>
      </patternFill>
    </fill>
    <fill>
      <patternFill patternType="solid">
        <fgColor rgb="FFD9E2F3"/>
        <bgColor rgb="FFD9E2F3"/>
      </patternFill>
    </fill>
    <fill>
      <patternFill patternType="solid">
        <fgColor rgb="FFB7B7B7"/>
        <bgColor rgb="FFB7B7B7"/>
      </patternFill>
    </fill>
    <fill>
      <patternFill patternType="solid">
        <fgColor rgb="FFC9DAF8"/>
        <bgColor rgb="FFC9DAF8"/>
      </patternFill>
    </fill>
    <fill>
      <patternFill patternType="solid">
        <fgColor theme="0"/>
        <bgColor theme="0"/>
      </patternFill>
    </fill>
    <fill>
      <patternFill patternType="solid">
        <fgColor rgb="FFFF9900"/>
        <bgColor rgb="FFFF9900"/>
      </patternFill>
    </fill>
    <fill>
      <patternFill patternType="solid">
        <fgColor rgb="FFFEF2CB"/>
        <bgColor rgb="FFFEF2CB"/>
      </patternFill>
    </fill>
    <fill>
      <patternFill patternType="solid">
        <fgColor rgb="FFFFF2CC"/>
        <bgColor rgb="FFFFF2CC"/>
      </patternFill>
    </fill>
    <fill>
      <patternFill patternType="solid">
        <fgColor rgb="FF666666"/>
        <bgColor rgb="FF666666"/>
      </patternFill>
    </fill>
    <fill>
      <patternFill patternType="solid">
        <fgColor rgb="FFF4CCCC"/>
        <bgColor rgb="FFF4CCCC"/>
      </patternFill>
    </fill>
    <fill>
      <patternFill patternType="solid">
        <fgColor rgb="FFFFFF00"/>
        <bgColor rgb="FFFFFF00"/>
      </patternFill>
    </fill>
    <fill>
      <patternFill patternType="solid">
        <fgColor rgb="FF741B47"/>
        <bgColor rgb="FF741B47"/>
      </patternFill>
    </fill>
    <fill>
      <patternFill patternType="solid">
        <fgColor rgb="FFE69138"/>
        <bgColor rgb="FFE69138"/>
      </patternFill>
    </fill>
    <fill>
      <patternFill patternType="solid">
        <fgColor rgb="FF999999"/>
        <bgColor rgb="FF999999"/>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D0E0E3"/>
        <bgColor rgb="FFD0E0E3"/>
      </patternFill>
    </fill>
    <fill>
      <patternFill patternType="solid">
        <fgColor rgb="FF1E6679"/>
        <bgColor rgb="FF1E6679"/>
      </patternFill>
    </fill>
    <fill>
      <patternFill patternType="solid">
        <fgColor rgb="FF9FC5E8"/>
        <bgColor rgb="FF9FC5E8"/>
      </patternFill>
    </fill>
    <fill>
      <patternFill patternType="solid">
        <fgColor rgb="FFA4C2F4"/>
        <bgColor rgb="FFA4C2F4"/>
      </patternFill>
    </fill>
    <fill>
      <patternFill patternType="solid">
        <fgColor rgb="FFD9D9D9"/>
        <bgColor rgb="FFD9D9D9"/>
      </patternFill>
    </fill>
    <fill>
      <patternFill patternType="solid">
        <fgColor rgb="FF3C78D8"/>
        <bgColor rgb="FF3C78D8"/>
      </patternFill>
    </fill>
    <fill>
      <patternFill patternType="solid">
        <fgColor rgb="FF800000"/>
        <bgColor rgb="FF800000"/>
      </patternFill>
    </fill>
    <fill>
      <patternFill patternType="solid">
        <fgColor rgb="FFCCCCCC"/>
        <bgColor rgb="FFCCCCCC"/>
      </patternFill>
    </fill>
    <fill>
      <patternFill patternType="solid">
        <fgColor rgb="FFB45F06"/>
        <bgColor rgb="FFB45F06"/>
      </patternFill>
    </fill>
    <fill>
      <patternFill patternType="solid">
        <fgColor rgb="FFC0E6F5"/>
        <bgColor rgb="FFC0E6F5"/>
      </patternFill>
    </fill>
    <fill>
      <patternFill patternType="solid">
        <fgColor rgb="FFFFC000"/>
        <bgColor rgb="FFFFC000"/>
      </patternFill>
    </fill>
    <fill>
      <patternFill patternType="solid">
        <fgColor rgb="FFDEEAF6"/>
        <bgColor rgb="FFDEEAF6"/>
      </patternFill>
    </fill>
    <fill>
      <patternFill patternType="solid">
        <fgColor rgb="FFDCE6F1"/>
        <bgColor rgb="FFDCE6F1"/>
      </patternFill>
    </fill>
    <fill>
      <patternFill patternType="solid">
        <fgColor rgb="FF000000"/>
        <bgColor rgb="FF000000"/>
      </patternFill>
    </fill>
    <fill>
      <patternFill patternType="solid">
        <fgColor theme="1"/>
        <bgColor theme="1"/>
      </patternFill>
    </fill>
    <fill>
      <patternFill patternType="solid">
        <fgColor rgb="FFE6B8AF"/>
        <bgColor rgb="FFE6B8AF"/>
      </patternFill>
    </fill>
    <fill>
      <patternFill patternType="solid">
        <fgColor rgb="FFFF0000"/>
        <bgColor rgb="FFFF0000"/>
      </patternFill>
    </fill>
    <fill>
      <patternFill patternType="solid">
        <fgColor rgb="FF76A5AF"/>
        <bgColor rgb="FF76A5AF"/>
      </patternFill>
    </fill>
    <fill>
      <patternFill patternType="solid">
        <fgColor rgb="FF46BDC6"/>
        <bgColor rgb="FF46BDC6"/>
      </patternFill>
    </fill>
    <fill>
      <patternFill patternType="solid">
        <fgColor rgb="FF6FA8DC"/>
        <bgColor rgb="FF6FA8DC"/>
      </patternFill>
    </fill>
    <fill>
      <patternFill patternType="solid">
        <fgColor rgb="FFD9EAD3"/>
        <bgColor rgb="FFD9EAD3"/>
      </patternFill>
    </fill>
    <fill>
      <patternFill patternType="solid">
        <fgColor rgb="FF002060"/>
        <bgColor rgb="FF002060"/>
      </patternFill>
    </fill>
    <fill>
      <patternFill patternType="solid">
        <fgColor rgb="FFDBDBDB"/>
        <bgColor rgb="FFDBDBDB"/>
      </patternFill>
    </fill>
    <fill>
      <patternFill patternType="solid">
        <fgColor rgb="FFFEFEFE"/>
        <bgColor rgb="FFFEFEFE"/>
      </patternFill>
    </fill>
    <fill>
      <patternFill patternType="solid">
        <fgColor rgb="FF0000FF"/>
        <bgColor rgb="FF0000FF"/>
      </patternFill>
    </fill>
  </fills>
  <borders count="59">
    <border/>
    <border>
      <left style="thin">
        <color rgb="FF000000"/>
      </left>
      <top style="thin">
        <color rgb="FF000000"/>
      </top>
    </border>
    <border>
      <right style="thin">
        <color rgb="FF000000"/>
      </right>
      <top style="thin">
        <color rgb="FF000000"/>
      </top>
    </border>
    <border>
      <left style="thin">
        <color rgb="FF9A9A9A"/>
      </left>
      <right style="thin">
        <color rgb="FF9A9A9A"/>
      </right>
      <top style="thin">
        <color rgb="FF9A9A9A"/>
      </top>
      <bottom style="thin">
        <color rgb="FF9A9A9A"/>
      </bottom>
    </border>
    <border>
      <left style="thin">
        <color rgb="FF000000"/>
      </left>
    </border>
    <border>
      <right style="thin">
        <color rgb="FF000000"/>
      </right>
    </border>
    <border>
      <right style="thin">
        <color rgb="FF000000"/>
      </right>
      <bottom style="thin">
        <color rgb="FF000000"/>
      </bottom>
    </border>
    <border>
      <left style="thin">
        <color rgb="FF000000"/>
      </left>
      <right style="thin">
        <color rgb="FF000000"/>
      </right>
      <top/>
      <bottom/>
    </border>
    <border>
      <left style="thin">
        <color rgb="FF000000"/>
      </left>
      <right style="thin">
        <color rgb="FF000000"/>
      </right>
    </border>
    <border>
      <left/>
      <right/>
      <top/>
      <bottom/>
    </border>
    <border>
      <right style="thin">
        <color rgb="FF000000"/>
      </right>
      <bottom/>
    </border>
    <border>
      <left style="thin">
        <color rgb="FF000000"/>
      </left>
      <right style="thin">
        <color rgb="FF000000"/>
      </right>
      <bottom/>
    </border>
    <border>
      <left style="thin">
        <color rgb="FF000000"/>
      </left>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bottom/>
    </border>
    <border>
      <left/>
      <right style="thin">
        <color rgb="FF000000"/>
      </right>
      <bottom/>
    </border>
    <border>
      <right style="thin">
        <color rgb="FF000000"/>
      </right>
      <top/>
      <bottom style="thin">
        <color rgb="FF000000"/>
      </bottom>
    </border>
    <border>
      <left style="thin">
        <color rgb="FF000000"/>
      </left>
      <top/>
      <bottom style="thin">
        <color rgb="FF000000"/>
      </bottom>
    </border>
    <border>
      <left style="thin">
        <color rgb="FF000000"/>
      </left>
      <right/>
      <top/>
      <bottom/>
    </border>
    <border>
      <left style="thin">
        <color rgb="FF000000"/>
      </left>
      <right style="thin">
        <color rgb="FF000000"/>
      </right>
      <top/>
    </border>
    <border>
      <right style="thin">
        <color rgb="FF000000"/>
      </right>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left style="thin">
        <color rgb="FF000000"/>
      </left>
      <bottom/>
    </border>
    <border>
      <right style="thin">
        <color rgb="FF000000"/>
      </right>
      <top/>
      <bottom/>
    </border>
    <border>
      <left style="thin">
        <color rgb="FF000000"/>
      </left>
      <right/>
      <top/>
      <bottom style="thin">
        <color rgb="FF000000"/>
      </bottom>
    </border>
    <border>
      <left/>
      <right/>
      <top/>
      <bottom style="thin">
        <color rgb="FF000000"/>
      </bottom>
    </border>
    <border>
      <left style="thin">
        <color rgb="FF000000"/>
      </left>
      <bottom style="thin">
        <color rgb="FF000000"/>
      </bottom>
    </border>
    <border>
      <left/>
      <right style="thin">
        <color rgb="FF000000"/>
      </right>
      <top/>
      <bottom/>
    </border>
    <border>
      <right/>
      <top/>
      <bottom style="thin">
        <color rgb="FF000000"/>
      </bottom>
    </border>
    <border>
      <left/>
      <right/>
      <bottom/>
    </border>
    <border>
      <left/>
      <top/>
    </border>
    <border>
      <left style="thin">
        <color rgb="FF000000"/>
      </left>
      <right/>
      <top/>
    </border>
    <border>
      <left style="thin">
        <color rgb="FF000000"/>
      </left>
      <top/>
    </border>
    <border>
      <right style="thin">
        <color rgb="FF000000"/>
      </right>
      <top style="thin">
        <color rgb="FF000000"/>
      </top>
      <bottom style="thin">
        <color rgb="FF000000"/>
      </bottom>
    </border>
    <border>
      <left/>
      <bottom/>
    </border>
    <border>
      <left/>
      <right/>
      <top/>
    </border>
    <border>
      <left/>
      <right style="thin">
        <color rgb="FF000000"/>
      </right>
      <top/>
    </border>
    <border>
      <bottom/>
    </border>
    <border>
      <left/>
      <top/>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border>
    <border>
      <left/>
      <right/>
      <top style="thin">
        <color rgb="FF000000"/>
      </top>
    </border>
    <border>
      <right/>
      <bottom/>
    </border>
    <border>
      <left/>
      <right style="thin">
        <color rgb="FF000000"/>
      </right>
      <bottom style="thin">
        <color rgb="FF000000"/>
      </bottom>
    </border>
    <border>
      <left/>
      <right style="thin">
        <color rgb="FF000000"/>
      </right>
      <top style="thin">
        <color rgb="FF000000"/>
      </top>
      <bottom/>
    </border>
    <border>
      <left/>
      <right style="thin">
        <color rgb="FF000000"/>
      </right>
      <top/>
      <bottom style="thin">
        <color rgb="FF000000"/>
      </bottom>
    </border>
    <border>
      <top/>
      <bottom/>
    </border>
    <border>
      <right/>
      <top/>
      <bottom/>
    </border>
    <border>
      <left style="medium">
        <color rgb="FF000000"/>
      </left>
      <right style="thin">
        <color rgb="FF000000"/>
      </right>
    </border>
  </borders>
  <cellStyleXfs count="1">
    <xf borderId="0" fillId="0" fontId="0" numFmtId="0" applyAlignment="1" applyFont="1"/>
  </cellStyleXfs>
  <cellXfs count="1728">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2" fontId="2" numFmtId="0" xfId="0" applyAlignment="1" applyBorder="1" applyFont="1">
      <alignment vertical="center"/>
    </xf>
    <xf borderId="0" fillId="2" fontId="3" numFmtId="0" xfId="0" applyFont="1"/>
    <xf borderId="0" fillId="2" fontId="4" numFmtId="0" xfId="0" applyFont="1"/>
    <xf borderId="3" fillId="0" fontId="5" numFmtId="0" xfId="0" applyAlignment="1" applyBorder="1" applyFont="1">
      <alignment readingOrder="0" vertical="bottom"/>
    </xf>
    <xf borderId="3" fillId="0" fontId="5" numFmtId="3" xfId="0" applyAlignment="1" applyBorder="1" applyFont="1" applyNumberFormat="1">
      <alignment readingOrder="0" vertical="bottom"/>
    </xf>
    <xf borderId="0" fillId="0" fontId="5" numFmtId="0" xfId="0" applyFont="1"/>
    <xf borderId="0" fillId="0" fontId="6" numFmtId="0" xfId="0" applyAlignment="1" applyFont="1">
      <alignment readingOrder="0"/>
    </xf>
    <xf borderId="0" fillId="0" fontId="4" numFmtId="0" xfId="0" applyFont="1"/>
    <xf borderId="0" fillId="2" fontId="7" numFmtId="0" xfId="0" applyFont="1"/>
    <xf borderId="0" fillId="0" fontId="8" numFmtId="0" xfId="0" applyFont="1"/>
    <xf borderId="0" fillId="0" fontId="9" numFmtId="0" xfId="0" applyAlignment="1" applyFont="1">
      <alignment horizontal="center"/>
    </xf>
    <xf borderId="0" fillId="0" fontId="10" numFmtId="0" xfId="0" applyAlignment="1" applyFont="1">
      <alignment horizontal="left"/>
    </xf>
    <xf borderId="0" fillId="0" fontId="11" numFmtId="0" xfId="0" applyFont="1"/>
    <xf borderId="4" fillId="0" fontId="12" numFmtId="0" xfId="0" applyAlignment="1" applyBorder="1" applyFont="1">
      <alignment readingOrder="0" vertical="center"/>
    </xf>
    <xf borderId="5" fillId="0" fontId="12" numFmtId="0" xfId="0" applyAlignment="1" applyBorder="1" applyFont="1">
      <alignment vertical="center"/>
    </xf>
    <xf borderId="3" fillId="0" fontId="13" numFmtId="0" xfId="0" applyAlignment="1" applyBorder="1" applyFont="1">
      <alignment vertical="bottom"/>
    </xf>
    <xf borderId="3" fillId="0" fontId="13" numFmtId="164" xfId="0" applyAlignment="1" applyBorder="1" applyFont="1" applyNumberFormat="1">
      <alignment vertical="bottom"/>
    </xf>
    <xf borderId="0" fillId="0" fontId="5" numFmtId="0" xfId="0" applyAlignment="1" applyFont="1">
      <alignment horizontal="center"/>
    </xf>
    <xf borderId="0" fillId="2" fontId="3" numFmtId="0" xfId="0" applyAlignment="1" applyFont="1">
      <alignment horizontal="left"/>
    </xf>
    <xf borderId="0" fillId="3" fontId="12" numFmtId="0" xfId="0" applyAlignment="1" applyFill="1" applyFont="1">
      <alignment vertical="center"/>
    </xf>
    <xf borderId="6" fillId="3" fontId="12" numFmtId="0" xfId="0" applyAlignment="1" applyBorder="1" applyFont="1">
      <alignment vertical="center"/>
    </xf>
    <xf borderId="0" fillId="0" fontId="3" numFmtId="0" xfId="0" applyFont="1"/>
    <xf borderId="0" fillId="2" fontId="14" numFmtId="0" xfId="0" applyFont="1"/>
    <xf borderId="0" fillId="0" fontId="3" numFmtId="0" xfId="0" applyAlignment="1" applyFont="1">
      <alignment horizontal="center"/>
    </xf>
    <xf borderId="0" fillId="0" fontId="15" numFmtId="0" xfId="0" applyAlignment="1" applyFont="1">
      <alignment readingOrder="0"/>
    </xf>
    <xf borderId="0" fillId="0" fontId="3" numFmtId="0" xfId="0" applyAlignment="1" applyFont="1">
      <alignment readingOrder="0"/>
    </xf>
    <xf borderId="4" fillId="0" fontId="2" numFmtId="0" xfId="0" applyAlignment="1" applyBorder="1" applyFont="1">
      <alignment readingOrder="0" vertical="center"/>
    </xf>
    <xf borderId="5" fillId="0" fontId="2" numFmtId="0" xfId="0" applyAlignment="1" applyBorder="1" applyFont="1">
      <alignment vertical="center"/>
    </xf>
    <xf borderId="0" fillId="0" fontId="4" numFmtId="165" xfId="0" applyAlignment="1" applyFont="1" applyNumberFormat="1">
      <alignment horizontal="left" readingOrder="0"/>
    </xf>
    <xf borderId="0" fillId="0" fontId="4" numFmtId="166" xfId="0" applyAlignment="1" applyFont="1" applyNumberFormat="1">
      <alignment horizontal="left" readingOrder="0"/>
    </xf>
    <xf borderId="0" fillId="0" fontId="4" numFmtId="0" xfId="0" applyAlignment="1" applyFont="1">
      <alignment readingOrder="0"/>
    </xf>
    <xf borderId="0" fillId="2" fontId="5" numFmtId="0" xfId="0" applyFont="1"/>
    <xf borderId="5" fillId="0" fontId="2" numFmtId="0" xfId="0" applyAlignment="1" applyBorder="1" applyFont="1">
      <alignment readingOrder="0" vertical="center"/>
    </xf>
    <xf borderId="3" fillId="0" fontId="5" numFmtId="164" xfId="0" applyAlignment="1" applyBorder="1" applyFont="1" applyNumberFormat="1">
      <alignment readingOrder="0" vertical="bottom"/>
    </xf>
    <xf borderId="5" fillId="3" fontId="12" numFmtId="0" xfId="0" applyAlignment="1" applyBorder="1" applyFont="1">
      <alignment vertical="center"/>
    </xf>
    <xf borderId="0" fillId="0" fontId="12" numFmtId="0" xfId="0" applyFont="1"/>
    <xf borderId="3" fillId="0" fontId="5" numFmtId="167" xfId="0" applyAlignment="1" applyBorder="1" applyFont="1" applyNumberFormat="1">
      <alignment readingOrder="0" vertical="bottom"/>
    </xf>
    <xf borderId="3" fillId="0" fontId="5" numFmtId="168" xfId="0" applyAlignment="1" applyBorder="1" applyFont="1" applyNumberFormat="1">
      <alignment readingOrder="0" vertical="bottom"/>
    </xf>
    <xf borderId="0" fillId="2" fontId="3" numFmtId="3" xfId="0" applyAlignment="1" applyFont="1" applyNumberFormat="1">
      <alignment horizontal="center"/>
    </xf>
    <xf borderId="0" fillId="2" fontId="3" numFmtId="169" xfId="0" applyAlignment="1" applyFont="1" applyNumberFormat="1">
      <alignment horizontal="center"/>
    </xf>
    <xf borderId="0" fillId="2" fontId="8" numFmtId="0" xfId="0" applyAlignment="1" applyFont="1">
      <alignment horizontal="center"/>
    </xf>
    <xf borderId="0" fillId="0" fontId="13" numFmtId="0" xfId="0" applyFont="1"/>
    <xf borderId="0" fillId="2" fontId="16" numFmtId="0" xfId="0" applyAlignment="1" applyFont="1">
      <alignment horizontal="left" readingOrder="0"/>
    </xf>
    <xf borderId="0" fillId="2" fontId="3" numFmtId="170" xfId="0" applyAlignment="1" applyFont="1" applyNumberFormat="1">
      <alignment horizontal="center"/>
    </xf>
    <xf borderId="0" fillId="0" fontId="17" numFmtId="0" xfId="0" applyAlignment="1" applyFont="1">
      <alignment readingOrder="0"/>
    </xf>
    <xf borderId="0" fillId="2" fontId="17" numFmtId="0" xfId="0" applyAlignment="1" applyFont="1">
      <alignment horizontal="left" readingOrder="0"/>
    </xf>
    <xf borderId="0" fillId="2" fontId="18" numFmtId="0" xfId="0" applyAlignment="1" applyFont="1">
      <alignment horizontal="left" readingOrder="0"/>
    </xf>
    <xf borderId="0" fillId="2" fontId="3" numFmtId="171" xfId="0" applyAlignment="1" applyFont="1" applyNumberFormat="1">
      <alignment horizontal="center"/>
    </xf>
    <xf borderId="0" fillId="2" fontId="3" numFmtId="0" xfId="0" applyAlignment="1" applyFont="1">
      <alignment horizontal="center"/>
    </xf>
    <xf borderId="0" fillId="0" fontId="12" numFmtId="0" xfId="0" applyAlignment="1" applyFont="1">
      <alignment readingOrder="0" vertical="center"/>
    </xf>
    <xf borderId="0" fillId="0" fontId="12" numFmtId="0" xfId="0" applyAlignment="1" applyFont="1">
      <alignment vertical="center"/>
    </xf>
    <xf borderId="3" fillId="0" fontId="13" numFmtId="167" xfId="0" applyAlignment="1" applyBorder="1" applyFont="1" applyNumberFormat="1">
      <alignment vertical="bottom"/>
    </xf>
    <xf borderId="0" fillId="0" fontId="19" numFmtId="0" xfId="0" applyFont="1"/>
    <xf borderId="3" fillId="0" fontId="5" numFmtId="172" xfId="0" applyAlignment="1" applyBorder="1" applyFont="1" applyNumberFormat="1">
      <alignment readingOrder="0" vertical="bottom"/>
    </xf>
    <xf borderId="3" fillId="0" fontId="13" numFmtId="172" xfId="0" applyAlignment="1" applyBorder="1" applyFont="1" applyNumberFormat="1">
      <alignment vertical="bottom"/>
    </xf>
    <xf borderId="0" fillId="0" fontId="5" numFmtId="0" xfId="0" applyAlignment="1" applyFont="1">
      <alignment readingOrder="0" shrinkToFit="0" vertical="bottom" wrapText="0"/>
    </xf>
    <xf borderId="0" fillId="0" fontId="5" numFmtId="3" xfId="0" applyAlignment="1" applyFont="1" applyNumberFormat="1">
      <alignment horizontal="right" readingOrder="0" shrinkToFit="0" vertical="bottom" wrapText="0"/>
    </xf>
    <xf borderId="0" fillId="0" fontId="5" numFmtId="167" xfId="0" applyAlignment="1" applyFont="1" applyNumberFormat="1">
      <alignment readingOrder="0" shrinkToFit="0" vertical="bottom" wrapText="0"/>
    </xf>
    <xf borderId="0" fillId="0" fontId="5" numFmtId="0" xfId="0" applyAlignment="1" applyFont="1">
      <alignment horizontal="center" readingOrder="0" shrinkToFit="0" vertical="bottom" wrapText="0"/>
    </xf>
    <xf borderId="0" fillId="0" fontId="5" numFmtId="0" xfId="0" applyAlignment="1" applyFont="1">
      <alignment shrinkToFit="0" vertical="bottom" wrapText="0"/>
    </xf>
    <xf borderId="0" fillId="0" fontId="5" numFmtId="167" xfId="0" applyAlignment="1" applyFont="1" applyNumberFormat="1">
      <alignment shrinkToFit="0" vertical="bottom" wrapText="0"/>
    </xf>
    <xf borderId="0" fillId="0" fontId="5" numFmtId="164" xfId="0" applyAlignment="1" applyFont="1" applyNumberFormat="1">
      <alignment shrinkToFit="0" vertical="bottom" wrapText="0"/>
    </xf>
    <xf borderId="0" fillId="0" fontId="5" numFmtId="172" xfId="0" applyAlignment="1" applyFont="1" applyNumberFormat="1">
      <alignment shrinkToFit="0" vertical="bottom" wrapText="0"/>
    </xf>
    <xf borderId="0" fillId="0" fontId="5" numFmtId="172" xfId="0" applyAlignment="1" applyFont="1" applyNumberFormat="1">
      <alignment readingOrder="0" shrinkToFit="0" vertical="bottom" wrapText="0"/>
    </xf>
    <xf borderId="0" fillId="0" fontId="5" numFmtId="164" xfId="0" applyAlignment="1" applyFont="1" applyNumberFormat="1">
      <alignment readingOrder="0" shrinkToFit="0" vertical="bottom" wrapText="0"/>
    </xf>
    <xf borderId="0" fillId="0" fontId="20" numFmtId="0" xfId="0" applyAlignment="1" applyFont="1">
      <alignment vertical="bottom"/>
    </xf>
    <xf borderId="0" fillId="0" fontId="5" numFmtId="3" xfId="0" applyAlignment="1" applyFont="1" applyNumberFormat="1">
      <alignment horizontal="left"/>
    </xf>
    <xf borderId="0" fillId="0" fontId="5" numFmtId="0" xfId="0" applyAlignment="1" applyFont="1">
      <alignment horizontal="left"/>
    </xf>
    <xf borderId="0" fillId="0" fontId="5" numFmtId="167" xfId="0" applyAlignment="1" applyFont="1" applyNumberFormat="1">
      <alignment horizontal="left"/>
    </xf>
    <xf borderId="0" fillId="0" fontId="5" numFmtId="164" xfId="0" applyAlignment="1" applyFont="1" applyNumberFormat="1">
      <alignment horizontal="left"/>
    </xf>
    <xf borderId="0" fillId="0" fontId="5" numFmtId="0" xfId="0" applyAlignment="1" applyFont="1">
      <alignment shrinkToFit="0" vertical="bottom" wrapText="0"/>
    </xf>
    <xf borderId="7" fillId="2" fontId="3" numFmtId="0" xfId="0" applyAlignment="1" applyBorder="1" applyFont="1">
      <alignment readingOrder="0"/>
    </xf>
    <xf borderId="7" fillId="2" fontId="21" numFmtId="0" xfId="0" applyBorder="1" applyFont="1"/>
    <xf borderId="7" fillId="2" fontId="21" numFmtId="3" xfId="0" applyAlignment="1" applyBorder="1" applyFont="1" applyNumberFormat="1">
      <alignment horizontal="left"/>
    </xf>
    <xf borderId="7" fillId="2" fontId="21" numFmtId="0" xfId="0" applyAlignment="1" applyBorder="1" applyFont="1">
      <alignment horizontal="center"/>
    </xf>
    <xf borderId="7" fillId="2" fontId="21" numFmtId="0" xfId="0" applyAlignment="1" applyBorder="1" applyFont="1">
      <alignment horizontal="left"/>
    </xf>
    <xf borderId="7" fillId="4" fontId="22" numFmtId="0" xfId="0" applyAlignment="1" applyBorder="1" applyFill="1" applyFont="1">
      <alignment horizontal="left" readingOrder="0"/>
    </xf>
    <xf borderId="7" fillId="2" fontId="21" numFmtId="173" xfId="0" applyBorder="1" applyFont="1" applyNumberFormat="1"/>
    <xf borderId="7" fillId="2" fontId="3" numFmtId="0" xfId="0" applyBorder="1" applyFont="1"/>
    <xf borderId="7" fillId="2" fontId="21" numFmtId="173" xfId="0" applyAlignment="1" applyBorder="1" applyFont="1" applyNumberFormat="1">
      <alignment horizontal="center"/>
    </xf>
    <xf borderId="7" fillId="2" fontId="21" numFmtId="0" xfId="0" applyAlignment="1" applyBorder="1" applyFont="1">
      <alignment readingOrder="0"/>
    </xf>
    <xf borderId="7" fillId="2" fontId="22" numFmtId="0" xfId="0" applyAlignment="1" applyBorder="1" applyFont="1">
      <alignment readingOrder="0"/>
    </xf>
    <xf borderId="7" fillId="2" fontId="22" numFmtId="0" xfId="0" applyAlignment="1" applyBorder="1" applyFont="1">
      <alignment horizontal="left"/>
    </xf>
    <xf borderId="7" fillId="2" fontId="3" numFmtId="0" xfId="0" applyAlignment="1" applyBorder="1" applyFont="1">
      <alignment horizontal="center" readingOrder="0"/>
    </xf>
    <xf borderId="8" fillId="0" fontId="23" numFmtId="0" xfId="0" applyBorder="1" applyFont="1"/>
    <xf borderId="9" fillId="2" fontId="21" numFmtId="0" xfId="0" applyAlignment="1" applyBorder="1" applyFont="1">
      <alignment horizontal="center"/>
    </xf>
    <xf borderId="7" fillId="4" fontId="22" numFmtId="0" xfId="0" applyBorder="1" applyFont="1"/>
    <xf borderId="7" fillId="4" fontId="22" numFmtId="174" xfId="0" applyAlignment="1" applyBorder="1" applyFont="1" applyNumberFormat="1">
      <alignment horizontal="center"/>
    </xf>
    <xf borderId="7" fillId="4" fontId="22" numFmtId="3" xfId="0" applyAlignment="1" applyBorder="1" applyFont="1" applyNumberFormat="1">
      <alignment horizontal="left"/>
    </xf>
    <xf borderId="7" fillId="4" fontId="22" numFmtId="0" xfId="0" applyAlignment="1" applyBorder="1" applyFont="1">
      <alignment horizontal="center" readingOrder="0"/>
    </xf>
    <xf borderId="7" fillId="4" fontId="22" numFmtId="0" xfId="0" applyAlignment="1" applyBorder="1" applyFont="1">
      <alignment readingOrder="0"/>
    </xf>
    <xf borderId="7" fillId="4" fontId="22" numFmtId="0" xfId="0" applyAlignment="1" applyBorder="1" applyFont="1">
      <alignment horizontal="center"/>
    </xf>
    <xf borderId="7" fillId="4" fontId="22" numFmtId="0" xfId="0" applyAlignment="1" applyBorder="1" applyFont="1">
      <alignment horizontal="left"/>
    </xf>
    <xf borderId="7" fillId="4" fontId="22" numFmtId="173" xfId="0" applyAlignment="1" applyBorder="1" applyFont="1" applyNumberFormat="1">
      <alignment horizontal="center"/>
    </xf>
    <xf borderId="7" fillId="5" fontId="22" numFmtId="0" xfId="0" applyAlignment="1" applyBorder="1" applyFill="1" applyFont="1">
      <alignment horizontal="center" readingOrder="0"/>
    </xf>
    <xf borderId="7" fillId="5" fontId="22" numFmtId="0" xfId="0" applyAlignment="1" applyBorder="1" applyFont="1">
      <alignment horizontal="left" readingOrder="0"/>
    </xf>
    <xf borderId="7" fillId="5" fontId="22" numFmtId="0" xfId="0" applyAlignment="1" applyBorder="1" applyFont="1">
      <alignment horizontal="center"/>
    </xf>
    <xf borderId="9" fillId="4" fontId="22" numFmtId="0" xfId="0" applyAlignment="1" applyBorder="1" applyFont="1">
      <alignment horizontal="center"/>
    </xf>
    <xf borderId="7" fillId="2" fontId="20" numFmtId="0" xfId="0" applyBorder="1" applyFont="1"/>
    <xf borderId="8" fillId="0" fontId="3" numFmtId="174" xfId="0" applyAlignment="1" applyBorder="1" applyFont="1" applyNumberFormat="1">
      <alignment horizontal="center"/>
    </xf>
    <xf borderId="8" fillId="0" fontId="3" numFmtId="3" xfId="0" applyAlignment="1" applyBorder="1" applyFont="1" applyNumberFormat="1">
      <alignment horizontal="left"/>
    </xf>
    <xf borderId="7" fillId="6" fontId="3" numFmtId="0" xfId="0" applyAlignment="1" applyBorder="1" applyFill="1" applyFont="1">
      <alignment horizontal="center"/>
    </xf>
    <xf borderId="7" fillId="6" fontId="3" numFmtId="0" xfId="0" applyAlignment="1" applyBorder="1" applyFont="1">
      <alignment horizontal="left"/>
    </xf>
    <xf borderId="10" fillId="7" fontId="3" numFmtId="0" xfId="0" applyAlignment="1" applyBorder="1" applyFill="1" applyFont="1">
      <alignment readingOrder="0"/>
    </xf>
    <xf borderId="7" fillId="2" fontId="24" numFmtId="2" xfId="0" applyAlignment="1" applyBorder="1" applyFont="1" applyNumberFormat="1">
      <alignment horizontal="center"/>
    </xf>
    <xf borderId="7" fillId="6" fontId="25" numFmtId="2" xfId="0" applyAlignment="1" applyBorder="1" applyFont="1" applyNumberFormat="1">
      <alignment horizontal="left"/>
    </xf>
    <xf borderId="7" fillId="6" fontId="3" numFmtId="0" xfId="0" applyAlignment="1" applyBorder="1" applyFont="1">
      <alignment readingOrder="0"/>
    </xf>
    <xf borderId="7" fillId="6" fontId="3" numFmtId="173" xfId="0" applyAlignment="1" applyBorder="1" applyFont="1" applyNumberFormat="1">
      <alignment readingOrder="0"/>
    </xf>
    <xf borderId="7" fillId="6" fontId="8" numFmtId="0" xfId="0" applyAlignment="1" applyBorder="1" applyFont="1">
      <alignment horizontal="center"/>
    </xf>
    <xf borderId="7" fillId="6" fontId="20" numFmtId="0" xfId="0" applyBorder="1" applyFont="1"/>
    <xf borderId="7" fillId="6" fontId="3" numFmtId="0" xfId="0" applyAlignment="1" applyBorder="1" applyFont="1">
      <alignment horizontal="center" readingOrder="0"/>
    </xf>
    <xf borderId="7" fillId="6" fontId="3" numFmtId="175" xfId="0" applyAlignment="1" applyBorder="1" applyFont="1" applyNumberFormat="1">
      <alignment horizontal="center" readingOrder="0"/>
    </xf>
    <xf borderId="11" fillId="2" fontId="3" numFmtId="0" xfId="0" applyAlignment="1" applyBorder="1" applyFont="1">
      <alignment horizontal="left"/>
    </xf>
    <xf borderId="7" fillId="2" fontId="3" numFmtId="0" xfId="0" applyAlignment="1" applyBorder="1" applyFont="1">
      <alignment horizontal="left"/>
    </xf>
    <xf borderId="7" fillId="2" fontId="3" numFmtId="164" xfId="0" applyAlignment="1" applyBorder="1" applyFont="1" applyNumberFormat="1">
      <alignment horizontal="left"/>
    </xf>
    <xf borderId="7" fillId="8" fontId="3" numFmtId="0" xfId="0" applyAlignment="1" applyBorder="1" applyFill="1" applyFont="1">
      <alignment horizontal="center"/>
    </xf>
    <xf borderId="12" fillId="8" fontId="3" numFmtId="0" xfId="0" applyAlignment="1" applyBorder="1" applyFont="1">
      <alignment horizontal="center"/>
    </xf>
    <xf borderId="8" fillId="8" fontId="23" numFmtId="0" xfId="0" applyBorder="1" applyFont="1"/>
    <xf borderId="13" fillId="2" fontId="3" numFmtId="0" xfId="0" applyAlignment="1" applyBorder="1" applyFont="1">
      <alignment horizontal="center"/>
    </xf>
    <xf borderId="13" fillId="2" fontId="3" numFmtId="173" xfId="0" applyAlignment="1" applyBorder="1" applyFont="1" applyNumberFormat="1">
      <alignment horizontal="center"/>
    </xf>
    <xf borderId="14" fillId="2" fontId="3" numFmtId="173" xfId="0" applyAlignment="1" applyBorder="1" applyFont="1" applyNumberFormat="1">
      <alignment horizontal="center"/>
    </xf>
    <xf borderId="15" fillId="0" fontId="3" numFmtId="173" xfId="0" applyAlignment="1" applyBorder="1" applyFont="1" applyNumberFormat="1">
      <alignment horizontal="center"/>
    </xf>
    <xf borderId="8" fillId="0" fontId="20" numFmtId="0" xfId="0" applyAlignment="1" applyBorder="1" applyFont="1">
      <alignment readingOrder="0"/>
    </xf>
    <xf borderId="8" fillId="0" fontId="20" numFmtId="0" xfId="0" applyAlignment="1" applyBorder="1" applyFont="1">
      <alignment horizontal="center" readingOrder="0" vertical="bottom"/>
    </xf>
    <xf borderId="8" fillId="0" fontId="20" numFmtId="3" xfId="0" applyAlignment="1" applyBorder="1" applyFont="1" applyNumberFormat="1">
      <alignment readingOrder="0" vertical="bottom"/>
    </xf>
    <xf borderId="11" fillId="6" fontId="20" numFmtId="0" xfId="0" applyAlignment="1" applyBorder="1" applyFont="1">
      <alignment vertical="bottom"/>
    </xf>
    <xf borderId="10" fillId="7" fontId="20" numFmtId="0" xfId="0" applyAlignment="1" applyBorder="1" applyFont="1">
      <alignment readingOrder="0" vertical="bottom"/>
    </xf>
    <xf borderId="11" fillId="2" fontId="24" numFmtId="2" xfId="0" applyAlignment="1" applyBorder="1" applyFont="1" applyNumberFormat="1">
      <alignment vertical="bottom"/>
    </xf>
    <xf borderId="11" fillId="6" fontId="20" numFmtId="2" xfId="0" applyAlignment="1" applyBorder="1" applyFont="1" applyNumberFormat="1">
      <alignment vertical="bottom"/>
    </xf>
    <xf borderId="11" fillId="6" fontId="20" numFmtId="0" xfId="0" applyAlignment="1" applyBorder="1" applyFont="1">
      <alignment vertical="bottom"/>
    </xf>
    <xf borderId="7" fillId="6" fontId="20" numFmtId="173" xfId="0" applyAlignment="1" applyBorder="1" applyFont="1" applyNumberFormat="1">
      <alignment horizontal="right" vertical="bottom"/>
    </xf>
    <xf borderId="16" fillId="6" fontId="20" numFmtId="0" xfId="0" applyAlignment="1" applyBorder="1" applyFont="1">
      <alignment readingOrder="0" vertical="bottom"/>
    </xf>
    <xf borderId="17" fillId="6" fontId="20" numFmtId="0" xfId="0" applyAlignment="1" applyBorder="1" applyFont="1">
      <alignment vertical="bottom"/>
    </xf>
    <xf borderId="7" fillId="6" fontId="20" numFmtId="0" xfId="0" applyAlignment="1" applyBorder="1" applyFont="1">
      <alignment horizontal="center" vertical="bottom"/>
    </xf>
    <xf borderId="7" fillId="2" fontId="18" numFmtId="175" xfId="0" applyAlignment="1" applyBorder="1" applyFont="1" applyNumberFormat="1">
      <alignment horizontal="center" vertical="bottom"/>
    </xf>
    <xf borderId="11" fillId="2" fontId="20" numFmtId="0" xfId="0" applyAlignment="1" applyBorder="1" applyFont="1">
      <alignment vertical="bottom"/>
    </xf>
    <xf borderId="11" fillId="2" fontId="20" numFmtId="164" xfId="0" applyAlignment="1" applyBorder="1" applyFont="1" applyNumberFormat="1">
      <alignment vertical="bottom"/>
    </xf>
    <xf borderId="7" fillId="2" fontId="20" numFmtId="0" xfId="0" applyAlignment="1" applyBorder="1" applyFont="1">
      <alignment horizontal="center" vertical="bottom"/>
    </xf>
    <xf borderId="12" fillId="2" fontId="20" numFmtId="0" xfId="0" applyAlignment="1" applyBorder="1" applyFont="1">
      <alignment horizontal="center" vertical="bottom"/>
    </xf>
    <xf borderId="8" fillId="2" fontId="20" numFmtId="0" xfId="0" applyAlignment="1" applyBorder="1" applyFont="1">
      <alignment vertical="bottom"/>
    </xf>
    <xf borderId="14" fillId="2" fontId="20" numFmtId="0" xfId="0" applyAlignment="1" applyBorder="1" applyFont="1">
      <alignment horizontal="center" vertical="bottom"/>
    </xf>
    <xf borderId="14" fillId="2" fontId="20" numFmtId="173" xfId="0" applyAlignment="1" applyBorder="1" applyFont="1" applyNumberFormat="1">
      <alignment horizontal="center" vertical="bottom"/>
    </xf>
    <xf borderId="13" fillId="2" fontId="20" numFmtId="173" xfId="0" applyAlignment="1" applyBorder="1" applyFont="1" applyNumberFormat="1">
      <alignment horizontal="center" vertical="bottom"/>
    </xf>
    <xf borderId="15" fillId="0" fontId="20" numFmtId="173" xfId="0" applyAlignment="1" applyBorder="1" applyFont="1" applyNumberFormat="1">
      <alignment horizontal="center" vertical="bottom"/>
    </xf>
    <xf borderId="13" fillId="2" fontId="20" numFmtId="173" xfId="0" applyAlignment="1" applyBorder="1" applyFont="1" applyNumberFormat="1">
      <alignment vertical="bottom"/>
    </xf>
    <xf borderId="8" fillId="0" fontId="20" numFmtId="0" xfId="0" applyBorder="1" applyFont="1"/>
    <xf borderId="8" fillId="0" fontId="3" numFmtId="0" xfId="0" applyAlignment="1" applyBorder="1" applyFont="1">
      <alignment horizontal="center"/>
    </xf>
    <xf borderId="11" fillId="6" fontId="3" numFmtId="0" xfId="0" applyAlignment="1" applyBorder="1" applyFont="1">
      <alignment horizontal="center"/>
    </xf>
    <xf borderId="11" fillId="6" fontId="3" numFmtId="0" xfId="0" applyAlignment="1" applyBorder="1" applyFont="1">
      <alignment horizontal="left"/>
    </xf>
    <xf borderId="11" fillId="2" fontId="24" numFmtId="2" xfId="0" applyAlignment="1" applyBorder="1" applyFont="1" applyNumberFormat="1">
      <alignment horizontal="center"/>
    </xf>
    <xf borderId="11" fillId="6" fontId="25" numFmtId="2" xfId="0" applyAlignment="1" applyBorder="1" applyFont="1" applyNumberFormat="1">
      <alignment horizontal="left"/>
    </xf>
    <xf borderId="11" fillId="6" fontId="3" numFmtId="0" xfId="0" applyAlignment="1" applyBorder="1" applyFont="1">
      <alignment readingOrder="0"/>
    </xf>
    <xf borderId="7" fillId="6" fontId="20" numFmtId="173" xfId="0" applyAlignment="1" applyBorder="1" applyFont="1" applyNumberFormat="1">
      <alignment readingOrder="0"/>
    </xf>
    <xf borderId="11" fillId="6" fontId="8" numFmtId="0" xfId="0" applyAlignment="1" applyBorder="1" applyFont="1">
      <alignment horizontal="center"/>
    </xf>
    <xf borderId="16" fillId="6" fontId="20" numFmtId="0" xfId="0" applyAlignment="1" applyBorder="1" applyFont="1">
      <alignment readingOrder="0"/>
    </xf>
    <xf borderId="11" fillId="6" fontId="3" numFmtId="0" xfId="0" applyBorder="1" applyFont="1"/>
    <xf borderId="17" fillId="6" fontId="3" numFmtId="0" xfId="0" applyAlignment="1" applyBorder="1" applyFont="1">
      <alignment readingOrder="0"/>
    </xf>
    <xf borderId="11" fillId="2" fontId="3" numFmtId="164" xfId="0" applyAlignment="1" applyBorder="1" applyFont="1" applyNumberFormat="1">
      <alignment horizontal="left"/>
    </xf>
    <xf borderId="7" fillId="2" fontId="3" numFmtId="0" xfId="0" applyAlignment="1" applyBorder="1" applyFont="1">
      <alignment horizontal="center"/>
    </xf>
    <xf borderId="12" fillId="2" fontId="3" numFmtId="0" xfId="0" applyAlignment="1" applyBorder="1" applyFont="1">
      <alignment horizontal="center"/>
    </xf>
    <xf borderId="8" fillId="2" fontId="23" numFmtId="0" xfId="0" applyBorder="1" applyFont="1"/>
    <xf borderId="14" fillId="2" fontId="3" numFmtId="0" xfId="0" applyAlignment="1" applyBorder="1" applyFont="1">
      <alignment horizontal="center"/>
    </xf>
    <xf borderId="13" fillId="2" fontId="3" numFmtId="0" xfId="0" applyBorder="1" applyFont="1"/>
    <xf borderId="14" fillId="0" fontId="3" numFmtId="0" xfId="0" applyAlignment="1" applyBorder="1" applyFont="1">
      <alignment horizontal="center"/>
    </xf>
    <xf borderId="14" fillId="0" fontId="3" numFmtId="3" xfId="0" applyAlignment="1" applyBorder="1" applyFont="1" applyNumberFormat="1">
      <alignment horizontal="left"/>
    </xf>
    <xf borderId="13" fillId="6" fontId="20" numFmtId="0" xfId="0" applyAlignment="1" applyBorder="1" applyFont="1">
      <alignment horizontal="center"/>
    </xf>
    <xf borderId="13" fillId="6" fontId="3" numFmtId="0" xfId="0" applyAlignment="1" applyBorder="1" applyFont="1">
      <alignment horizontal="left"/>
    </xf>
    <xf borderId="18" fillId="7" fontId="3" numFmtId="0" xfId="0" applyAlignment="1" applyBorder="1" applyFont="1">
      <alignment readingOrder="0"/>
    </xf>
    <xf borderId="13" fillId="2" fontId="24" numFmtId="2" xfId="0" applyAlignment="1" applyBorder="1" applyFont="1" applyNumberFormat="1">
      <alignment horizontal="center"/>
    </xf>
    <xf borderId="13" fillId="6" fontId="25" numFmtId="2" xfId="0" applyAlignment="1" applyBorder="1" applyFont="1" applyNumberFormat="1">
      <alignment horizontal="left"/>
    </xf>
    <xf borderId="13" fillId="6" fontId="3" numFmtId="0" xfId="0" applyAlignment="1" applyBorder="1" applyFont="1">
      <alignment readingOrder="0"/>
    </xf>
    <xf borderId="13" fillId="6" fontId="3" numFmtId="173" xfId="0" applyAlignment="1" applyBorder="1" applyFont="1" applyNumberFormat="1">
      <alignment readingOrder="0"/>
    </xf>
    <xf borderId="13" fillId="6" fontId="8" numFmtId="0" xfId="0" applyAlignment="1" applyBorder="1" applyFont="1">
      <alignment horizontal="center"/>
    </xf>
    <xf borderId="13" fillId="6" fontId="3" numFmtId="0" xfId="0" applyAlignment="1" applyBorder="1" applyFont="1">
      <alignment horizontal="center" readingOrder="0"/>
    </xf>
    <xf borderId="13" fillId="6" fontId="3" numFmtId="175" xfId="0" applyAlignment="1" applyBorder="1" applyFont="1" applyNumberFormat="1">
      <alignment horizontal="center" readingOrder="0"/>
    </xf>
    <xf borderId="14" fillId="2" fontId="3" numFmtId="0" xfId="0" applyAlignment="1" applyBorder="1" applyFont="1">
      <alignment horizontal="left"/>
    </xf>
    <xf borderId="13" fillId="2" fontId="3" numFmtId="0" xfId="0" applyAlignment="1" applyBorder="1" applyFont="1">
      <alignment horizontal="left"/>
    </xf>
    <xf borderId="13" fillId="2" fontId="3" numFmtId="164" xfId="0" applyAlignment="1" applyBorder="1" applyFont="1" applyNumberFormat="1">
      <alignment horizontal="left"/>
    </xf>
    <xf borderId="13" fillId="8" fontId="3" numFmtId="0" xfId="0" applyAlignment="1" applyBorder="1" applyFont="1">
      <alignment horizontal="center"/>
    </xf>
    <xf borderId="19" fillId="8" fontId="3" numFmtId="0" xfId="0" applyAlignment="1" applyBorder="1" applyFont="1">
      <alignment horizontal="center"/>
    </xf>
    <xf borderId="14" fillId="8" fontId="23" numFmtId="0" xfId="0" applyBorder="1" applyFont="1"/>
    <xf borderId="8" fillId="0" fontId="20" numFmtId="0" xfId="0" applyAlignment="1" applyBorder="1" applyFont="1">
      <alignment horizontal="center"/>
    </xf>
    <xf borderId="8" fillId="0" fontId="20" numFmtId="3" xfId="0" applyAlignment="1" applyBorder="1" applyFont="1" applyNumberFormat="1">
      <alignment horizontal="left"/>
    </xf>
    <xf borderId="7" fillId="6" fontId="3" numFmtId="0" xfId="0" applyBorder="1" applyFont="1"/>
    <xf borderId="11" fillId="6" fontId="26" numFmtId="0" xfId="0" applyAlignment="1" applyBorder="1" applyFont="1">
      <alignment horizontal="center" readingOrder="0"/>
    </xf>
    <xf borderId="7" fillId="6" fontId="20" numFmtId="0" xfId="0" applyAlignment="1" applyBorder="1" applyFont="1">
      <alignment readingOrder="0"/>
    </xf>
    <xf borderId="7" fillId="6" fontId="3" numFmtId="176" xfId="0" applyAlignment="1" applyBorder="1" applyFont="1" applyNumberFormat="1">
      <alignment horizontal="center" readingOrder="0"/>
    </xf>
    <xf borderId="8" fillId="0" fontId="27" numFmtId="174" xfId="0" applyAlignment="1" applyBorder="1" applyFont="1" applyNumberFormat="1">
      <alignment horizontal="center"/>
    </xf>
    <xf borderId="8" fillId="0" fontId="27" numFmtId="3" xfId="0" applyAlignment="1" applyBorder="1" applyFont="1" applyNumberFormat="1">
      <alignment horizontal="left"/>
    </xf>
    <xf borderId="7" fillId="6" fontId="8" numFmtId="0" xfId="0" applyAlignment="1" applyBorder="1" applyFont="1">
      <alignment horizontal="center" readingOrder="0"/>
    </xf>
    <xf borderId="7" fillId="6" fontId="3" numFmtId="0" xfId="0" applyAlignment="1" applyBorder="1" applyFont="1">
      <alignment horizontal="left" readingOrder="0"/>
    </xf>
    <xf borderId="11" fillId="6" fontId="25" numFmtId="2" xfId="0" applyAlignment="1" applyBorder="1" applyFont="1" applyNumberFormat="1">
      <alignment horizontal="left" readingOrder="0"/>
    </xf>
    <xf borderId="8" fillId="0" fontId="20" numFmtId="174" xfId="0" applyAlignment="1" applyBorder="1" applyFont="1" applyNumberFormat="1">
      <alignment horizontal="center"/>
    </xf>
    <xf borderId="7" fillId="6" fontId="20" numFmtId="0" xfId="0" applyAlignment="1" applyBorder="1" applyFont="1">
      <alignment horizontal="center"/>
    </xf>
    <xf borderId="7" fillId="6" fontId="20" numFmtId="0" xfId="0" applyAlignment="1" applyBorder="1" applyFont="1">
      <alignment horizontal="left"/>
    </xf>
    <xf borderId="20" fillId="6" fontId="3" numFmtId="0" xfId="0" applyAlignment="1" applyBorder="1" applyFont="1">
      <alignment readingOrder="0"/>
    </xf>
    <xf borderId="7" fillId="6" fontId="27" numFmtId="0" xfId="0" applyAlignment="1" applyBorder="1" applyFont="1">
      <alignment readingOrder="0" vertical="bottom"/>
    </xf>
    <xf borderId="7" fillId="6" fontId="28" numFmtId="0" xfId="0" applyAlignment="1" applyBorder="1" applyFont="1">
      <alignment readingOrder="0"/>
    </xf>
    <xf borderId="7" fillId="6" fontId="3" numFmtId="173" xfId="0" applyAlignment="1" applyBorder="1" applyFont="1" applyNumberFormat="1">
      <alignment horizontal="center" readingOrder="0"/>
    </xf>
    <xf borderId="7" fillId="6" fontId="8" numFmtId="0" xfId="0" applyAlignment="1" applyBorder="1" applyFont="1">
      <alignment readingOrder="0"/>
    </xf>
    <xf borderId="8" fillId="0" fontId="3" numFmtId="0" xfId="0" applyAlignment="1" applyBorder="1" applyFont="1">
      <alignment horizontal="center" readingOrder="0"/>
    </xf>
    <xf borderId="8" fillId="0" fontId="3" numFmtId="3" xfId="0" applyAlignment="1" applyBorder="1" applyFont="1" applyNumberFormat="1">
      <alignment horizontal="left" readingOrder="0"/>
    </xf>
    <xf borderId="7" fillId="2" fontId="20" numFmtId="0" xfId="0" applyAlignment="1" applyBorder="1" applyFont="1">
      <alignment readingOrder="0"/>
    </xf>
    <xf borderId="7" fillId="6" fontId="25" numFmtId="2" xfId="0" applyAlignment="1" applyBorder="1" applyFont="1" applyNumberFormat="1">
      <alignment horizontal="left" readingOrder="0"/>
    </xf>
    <xf borderId="21" fillId="6" fontId="20" numFmtId="0" xfId="0" applyAlignment="1" applyBorder="1" applyFont="1">
      <alignment horizontal="center"/>
    </xf>
    <xf borderId="21" fillId="6" fontId="3" numFmtId="0" xfId="0" applyAlignment="1" applyBorder="1" applyFont="1">
      <alignment horizontal="left"/>
    </xf>
    <xf borderId="22" fillId="6" fontId="3" numFmtId="0" xfId="0" applyAlignment="1" applyBorder="1" applyFont="1">
      <alignment readingOrder="0"/>
    </xf>
    <xf borderId="21" fillId="2" fontId="24" numFmtId="2" xfId="0" applyAlignment="1" applyBorder="1" applyFont="1" applyNumberFormat="1">
      <alignment horizontal="center"/>
    </xf>
    <xf borderId="21" fillId="6" fontId="25" numFmtId="2" xfId="0" applyAlignment="1" applyBorder="1" applyFont="1" applyNumberFormat="1">
      <alignment horizontal="left"/>
    </xf>
    <xf borderId="21" fillId="6" fontId="3" numFmtId="0" xfId="0" applyAlignment="1" applyBorder="1" applyFont="1">
      <alignment readingOrder="0"/>
    </xf>
    <xf borderId="21" fillId="6" fontId="3" numFmtId="176" xfId="0" applyAlignment="1" applyBorder="1" applyFont="1" applyNumberFormat="1">
      <alignment readingOrder="0"/>
    </xf>
    <xf borderId="21" fillId="6" fontId="8" numFmtId="0" xfId="0" applyAlignment="1" applyBorder="1" applyFont="1">
      <alignment horizontal="center" readingOrder="0"/>
    </xf>
    <xf borderId="21" fillId="6" fontId="20" numFmtId="0" xfId="0" applyAlignment="1" applyBorder="1" applyFont="1">
      <alignment readingOrder="0"/>
    </xf>
    <xf borderId="21" fillId="6" fontId="20" numFmtId="0" xfId="0" applyAlignment="1" applyBorder="1" applyFont="1">
      <alignment readingOrder="0" vertical="bottom"/>
    </xf>
    <xf borderId="8" fillId="2" fontId="3" numFmtId="0" xfId="0" applyAlignment="1" applyBorder="1" applyFont="1">
      <alignment horizontal="left"/>
    </xf>
    <xf borderId="21" fillId="2" fontId="3" numFmtId="0" xfId="0" applyAlignment="1" applyBorder="1" applyFont="1">
      <alignment horizontal="left"/>
    </xf>
    <xf borderId="21" fillId="2" fontId="3" numFmtId="164" xfId="0" applyAlignment="1" applyBorder="1" applyFont="1" applyNumberFormat="1">
      <alignment horizontal="left"/>
    </xf>
    <xf borderId="8" fillId="8" fontId="3" numFmtId="0" xfId="0" applyAlignment="1" applyBorder="1" applyFont="1">
      <alignment horizontal="center"/>
    </xf>
    <xf borderId="4" fillId="8" fontId="3" numFmtId="0" xfId="0" applyAlignment="1" applyBorder="1" applyFont="1">
      <alignment horizontal="center"/>
    </xf>
    <xf borderId="13" fillId="9" fontId="3" numFmtId="0" xfId="0" applyBorder="1" applyFill="1" applyFont="1"/>
    <xf borderId="14" fillId="0" fontId="3" numFmtId="174" xfId="0" applyAlignment="1" applyBorder="1" applyFont="1" applyNumberFormat="1">
      <alignment horizontal="center"/>
    </xf>
    <xf borderId="13" fillId="6" fontId="3" numFmtId="0" xfId="0" applyAlignment="1" applyBorder="1" applyFont="1">
      <alignment horizontal="center"/>
    </xf>
    <xf borderId="18" fillId="6" fontId="3" numFmtId="0" xfId="0" applyAlignment="1" applyBorder="1" applyFont="1">
      <alignment readingOrder="0"/>
    </xf>
    <xf borderId="13" fillId="6" fontId="25" numFmtId="2" xfId="0" applyAlignment="1" applyBorder="1" applyFont="1" applyNumberFormat="1">
      <alignment horizontal="left" readingOrder="0"/>
    </xf>
    <xf borderId="13" fillId="6" fontId="8" numFmtId="0" xfId="0" applyAlignment="1" applyBorder="1" applyFont="1">
      <alignment horizontal="center" readingOrder="0"/>
    </xf>
    <xf borderId="21" fillId="6" fontId="3" numFmtId="0" xfId="0" applyAlignment="1" applyBorder="1" applyFont="1">
      <alignment horizontal="center" readingOrder="0"/>
    </xf>
    <xf borderId="19" fillId="2" fontId="3" numFmtId="0" xfId="0" applyAlignment="1" applyBorder="1" applyFont="1">
      <alignment horizontal="center"/>
    </xf>
    <xf borderId="14" fillId="2" fontId="23" numFmtId="0" xfId="0" applyBorder="1" applyFont="1"/>
    <xf borderId="23" fillId="0" fontId="20" numFmtId="0" xfId="0" applyBorder="1" applyFont="1"/>
    <xf borderId="23" fillId="0" fontId="3" numFmtId="0" xfId="0" applyAlignment="1" applyBorder="1" applyFont="1">
      <alignment horizontal="center"/>
    </xf>
    <xf borderId="23" fillId="0" fontId="3" numFmtId="3" xfId="0" applyAlignment="1" applyBorder="1" applyFont="1" applyNumberFormat="1">
      <alignment horizontal="left"/>
    </xf>
    <xf borderId="24" fillId="6" fontId="3" numFmtId="0" xfId="0" applyAlignment="1" applyBorder="1" applyFont="1">
      <alignment horizontal="center"/>
    </xf>
    <xf borderId="24" fillId="6" fontId="3" numFmtId="0" xfId="0" applyAlignment="1" applyBorder="1" applyFont="1">
      <alignment horizontal="left"/>
    </xf>
    <xf borderId="24" fillId="6" fontId="3" numFmtId="0" xfId="0" applyAlignment="1" applyBorder="1" applyFont="1">
      <alignment readingOrder="0"/>
    </xf>
    <xf borderId="24" fillId="2" fontId="24" numFmtId="2" xfId="0" applyAlignment="1" applyBorder="1" applyFont="1" applyNumberFormat="1">
      <alignment horizontal="center"/>
    </xf>
    <xf borderId="24" fillId="6" fontId="25" numFmtId="2" xfId="0" applyAlignment="1" applyBorder="1" applyFont="1" applyNumberFormat="1">
      <alignment horizontal="left"/>
    </xf>
    <xf borderId="24" fillId="6" fontId="3" numFmtId="173" xfId="0" applyAlignment="1" applyBorder="1" applyFont="1" applyNumberFormat="1">
      <alignment readingOrder="0"/>
    </xf>
    <xf borderId="24" fillId="6" fontId="26" numFmtId="0" xfId="0" applyAlignment="1" applyBorder="1" applyFont="1">
      <alignment horizontal="center" readingOrder="0"/>
    </xf>
    <xf borderId="25" fillId="6" fontId="3" numFmtId="0" xfId="0" applyAlignment="1" applyBorder="1" applyFont="1">
      <alignment readingOrder="0"/>
    </xf>
    <xf borderId="26" fillId="6" fontId="3" numFmtId="0" xfId="0" applyAlignment="1" applyBorder="1" applyFont="1">
      <alignment readingOrder="0"/>
    </xf>
    <xf borderId="23" fillId="6" fontId="3" numFmtId="0" xfId="0" applyAlignment="1" applyBorder="1" applyFont="1">
      <alignment horizontal="center" readingOrder="0"/>
    </xf>
    <xf borderId="27" fillId="6" fontId="3" numFmtId="176" xfId="0" applyAlignment="1" applyBorder="1" applyFont="1" applyNumberFormat="1">
      <alignment horizontal="center" readingOrder="0"/>
    </xf>
    <xf borderId="24" fillId="2" fontId="3" numFmtId="0" xfId="0" applyAlignment="1" applyBorder="1" applyFont="1">
      <alignment horizontal="left"/>
    </xf>
    <xf borderId="24" fillId="2" fontId="3" numFmtId="164" xfId="0" applyAlignment="1" applyBorder="1" applyFont="1" applyNumberFormat="1">
      <alignment horizontal="left"/>
    </xf>
    <xf borderId="24" fillId="2" fontId="3" numFmtId="0" xfId="0" applyAlignment="1" applyBorder="1" applyFont="1">
      <alignment horizontal="center"/>
    </xf>
    <xf borderId="26" fillId="2" fontId="3" numFmtId="0" xfId="0" applyAlignment="1" applyBorder="1" applyFont="1">
      <alignment horizontal="center"/>
    </xf>
    <xf borderId="23" fillId="2" fontId="23" numFmtId="0" xfId="0" applyBorder="1" applyFont="1"/>
    <xf borderId="28" fillId="2" fontId="3" numFmtId="0" xfId="0" applyAlignment="1" applyBorder="1" applyFont="1">
      <alignment horizontal="center"/>
    </xf>
    <xf borderId="28" fillId="2" fontId="3" numFmtId="173" xfId="0" applyAlignment="1" applyBorder="1" applyFont="1" applyNumberFormat="1">
      <alignment horizontal="center"/>
    </xf>
    <xf borderId="29" fillId="0" fontId="3" numFmtId="173" xfId="0" applyAlignment="1" applyBorder="1" applyFont="1" applyNumberFormat="1">
      <alignment horizontal="center"/>
    </xf>
    <xf borderId="30" fillId="0" fontId="13" numFmtId="0" xfId="0" applyBorder="1" applyFont="1"/>
    <xf borderId="8" fillId="0" fontId="27" numFmtId="0" xfId="0" applyAlignment="1" applyBorder="1" applyFont="1">
      <alignment horizontal="center"/>
    </xf>
    <xf borderId="21" fillId="6" fontId="3" numFmtId="173" xfId="0" applyAlignment="1" applyBorder="1" applyFont="1" applyNumberFormat="1">
      <alignment readingOrder="0"/>
    </xf>
    <xf borderId="7" fillId="6" fontId="26" numFmtId="0" xfId="0" applyAlignment="1" applyBorder="1" applyFont="1">
      <alignment horizontal="center" readingOrder="0"/>
    </xf>
    <xf borderId="11" fillId="6" fontId="3" numFmtId="0" xfId="0" applyAlignment="1" applyBorder="1" applyFont="1">
      <alignment horizontal="center" readingOrder="0"/>
    </xf>
    <xf borderId="7" fillId="10" fontId="3" numFmtId="0" xfId="0" applyAlignment="1" applyBorder="1" applyFill="1" applyFont="1">
      <alignment horizontal="center"/>
    </xf>
    <xf borderId="5" fillId="0" fontId="20" numFmtId="0" xfId="0" applyBorder="1" applyFont="1"/>
    <xf borderId="4" fillId="0" fontId="3" numFmtId="0" xfId="0" applyAlignment="1" applyBorder="1" applyFont="1">
      <alignment horizontal="center"/>
    </xf>
    <xf borderId="4" fillId="0" fontId="3" numFmtId="3" xfId="0" applyAlignment="1" applyBorder="1" applyFont="1" applyNumberFormat="1">
      <alignment horizontal="left" readingOrder="0"/>
    </xf>
    <xf borderId="7" fillId="6" fontId="3" numFmtId="2" xfId="0" applyAlignment="1" applyBorder="1" applyFont="1" applyNumberFormat="1">
      <alignment horizontal="left"/>
    </xf>
    <xf borderId="12" fillId="6" fontId="3" numFmtId="0" xfId="0" applyAlignment="1" applyBorder="1" applyFont="1">
      <alignment readingOrder="0"/>
    </xf>
    <xf borderId="11" fillId="6" fontId="3" numFmtId="177" xfId="0" applyAlignment="1" applyBorder="1" applyFont="1" applyNumberFormat="1">
      <alignment readingOrder="0"/>
    </xf>
    <xf borderId="5" fillId="11" fontId="3" numFmtId="0" xfId="0" applyBorder="1" applyFill="1" applyFont="1"/>
    <xf borderId="4" fillId="0" fontId="3" numFmtId="0" xfId="0" applyAlignment="1" applyBorder="1" applyFont="1">
      <alignment horizontal="center" readingOrder="0"/>
    </xf>
    <xf borderId="4" fillId="0" fontId="3" numFmtId="3" xfId="0" applyAlignment="1" applyBorder="1" applyFont="1" applyNumberFormat="1">
      <alignment horizontal="left"/>
    </xf>
    <xf borderId="8" fillId="0" fontId="24" numFmtId="3" xfId="0" applyAlignment="1" applyBorder="1" applyFont="1" applyNumberFormat="1">
      <alignment horizontal="center"/>
    </xf>
    <xf borderId="10" fillId="6" fontId="8" numFmtId="0" xfId="0" applyAlignment="1" applyBorder="1" applyFont="1">
      <alignment horizontal="center" readingOrder="0"/>
    </xf>
    <xf borderId="31" fillId="6" fontId="3" numFmtId="0" xfId="0" applyAlignment="1" applyBorder="1" applyFont="1">
      <alignment horizontal="left" readingOrder="0"/>
    </xf>
    <xf borderId="11" fillId="2" fontId="3" numFmtId="173" xfId="0" applyAlignment="1" applyBorder="1" applyFont="1" applyNumberFormat="1">
      <alignment readingOrder="0"/>
    </xf>
    <xf borderId="11" fillId="2" fontId="3" numFmtId="0" xfId="0" applyAlignment="1" applyBorder="1" applyFont="1">
      <alignment readingOrder="0"/>
    </xf>
    <xf borderId="11" fillId="2" fontId="3" numFmtId="0" xfId="0" applyAlignment="1" applyBorder="1" applyFont="1">
      <alignment horizontal="center"/>
    </xf>
    <xf borderId="31" fillId="2" fontId="3" numFmtId="0" xfId="0" applyAlignment="1" applyBorder="1" applyFont="1">
      <alignment horizontal="center"/>
    </xf>
    <xf borderId="11" fillId="2" fontId="3" numFmtId="0" xfId="0" applyBorder="1" applyFont="1"/>
    <xf borderId="11" fillId="6" fontId="20" numFmtId="0" xfId="0" applyAlignment="1" applyBorder="1" applyFont="1">
      <alignment horizontal="center"/>
    </xf>
    <xf borderId="11" fillId="6" fontId="3" numFmtId="173" xfId="0" applyAlignment="1" applyBorder="1" applyFont="1" applyNumberFormat="1">
      <alignment readingOrder="0"/>
    </xf>
    <xf borderId="11" fillId="6" fontId="8" numFmtId="0" xfId="0" applyAlignment="1" applyBorder="1" applyFont="1">
      <alignment horizontal="center" readingOrder="0"/>
    </xf>
    <xf borderId="11" fillId="6" fontId="27" numFmtId="0" xfId="0" applyAlignment="1" applyBorder="1" applyFont="1">
      <alignment readingOrder="0"/>
    </xf>
    <xf borderId="14" fillId="11" fontId="20" numFmtId="0" xfId="0" applyAlignment="1" applyBorder="1" applyFont="1">
      <alignment readingOrder="0"/>
    </xf>
    <xf borderId="14" fillId="0" fontId="3" numFmtId="0" xfId="0" applyAlignment="1" applyBorder="1" applyFont="1">
      <alignment horizontal="center" readingOrder="0"/>
    </xf>
    <xf borderId="14" fillId="0" fontId="3" numFmtId="3" xfId="0" applyAlignment="1" applyBorder="1" applyFont="1" applyNumberFormat="1">
      <alignment horizontal="left" readingOrder="0"/>
    </xf>
    <xf borderId="14" fillId="6" fontId="3" numFmtId="0" xfId="0" applyAlignment="1" applyBorder="1" applyFont="1">
      <alignment horizontal="left"/>
    </xf>
    <xf borderId="14" fillId="6" fontId="3" numFmtId="173" xfId="0" applyAlignment="1" applyBorder="1" applyFont="1" applyNumberFormat="1">
      <alignment readingOrder="0"/>
    </xf>
    <xf borderId="13" fillId="6" fontId="26" numFmtId="0" xfId="0" applyAlignment="1" applyBorder="1" applyFont="1">
      <alignment horizontal="center" readingOrder="0"/>
    </xf>
    <xf borderId="14" fillId="6" fontId="3" numFmtId="0" xfId="0" applyAlignment="1" applyBorder="1" applyFont="1">
      <alignment readingOrder="0"/>
    </xf>
    <xf borderId="13" fillId="6" fontId="3" numFmtId="176" xfId="0" applyAlignment="1" applyBorder="1" applyFont="1" applyNumberFormat="1">
      <alignment horizontal="center" readingOrder="0"/>
    </xf>
    <xf borderId="23" fillId="0" fontId="3" numFmtId="0" xfId="0" applyBorder="1" applyFont="1"/>
    <xf borderId="23" fillId="0" fontId="3" numFmtId="174" xfId="0" applyAlignment="1" applyBorder="1" applyFont="1" applyNumberFormat="1">
      <alignment horizontal="center"/>
    </xf>
    <xf borderId="24" fillId="7" fontId="3" numFmtId="0" xfId="0" applyBorder="1" applyFont="1"/>
    <xf borderId="9" fillId="6" fontId="3" numFmtId="0" xfId="0" applyAlignment="1" applyBorder="1" applyFont="1">
      <alignment readingOrder="0"/>
    </xf>
    <xf borderId="24" fillId="6" fontId="3" numFmtId="0" xfId="0" applyBorder="1" applyFont="1"/>
    <xf borderId="24" fillId="6" fontId="3" numFmtId="0" xfId="0" applyAlignment="1" applyBorder="1" applyFont="1">
      <alignment horizontal="center" readingOrder="0"/>
    </xf>
    <xf borderId="11" fillId="6" fontId="3" numFmtId="175" xfId="0" applyAlignment="1" applyBorder="1" applyFont="1" applyNumberFormat="1">
      <alignment horizontal="center" readingOrder="0"/>
    </xf>
    <xf borderId="8" fillId="0" fontId="20" numFmtId="3" xfId="0" applyAlignment="1" applyBorder="1" applyFont="1" applyNumberFormat="1">
      <alignment horizontal="left" readingOrder="0"/>
    </xf>
    <xf borderId="32" fillId="6" fontId="3" numFmtId="0" xfId="0" applyAlignment="1" applyBorder="1" applyFont="1">
      <alignment readingOrder="0"/>
    </xf>
    <xf borderId="11" fillId="8" fontId="3" numFmtId="0" xfId="0" applyAlignment="1" applyBorder="1" applyFont="1">
      <alignment horizontal="center"/>
    </xf>
    <xf borderId="31" fillId="8" fontId="3" numFmtId="0" xfId="0" applyAlignment="1" applyBorder="1" applyFont="1">
      <alignment horizontal="center"/>
    </xf>
    <xf borderId="7" fillId="11" fontId="20" numFmtId="0" xfId="0" applyBorder="1" applyFont="1"/>
    <xf borderId="7" fillId="7" fontId="3" numFmtId="0" xfId="0" applyBorder="1" applyFont="1"/>
    <xf borderId="11" fillId="6" fontId="3" numFmtId="0" xfId="0" applyAlignment="1" applyBorder="1" applyFont="1">
      <alignment horizontal="left" readingOrder="0"/>
    </xf>
    <xf borderId="11" fillId="2" fontId="20" numFmtId="0" xfId="0" applyAlignment="1" applyBorder="1" applyFont="1">
      <alignment horizontal="left"/>
    </xf>
    <xf borderId="11" fillId="2" fontId="20" numFmtId="164" xfId="0" applyAlignment="1" applyBorder="1" applyFont="1" applyNumberFormat="1">
      <alignment horizontal="left"/>
    </xf>
    <xf borderId="7" fillId="7" fontId="3" numFmtId="0" xfId="0" applyAlignment="1" applyBorder="1" applyFont="1">
      <alignment readingOrder="0"/>
    </xf>
    <xf borderId="7" fillId="6" fontId="27" numFmtId="0" xfId="0" applyAlignment="1" applyBorder="1" applyFont="1">
      <alignment readingOrder="0"/>
    </xf>
    <xf borderId="15" fillId="0" fontId="3" numFmtId="0" xfId="0" applyAlignment="1" applyBorder="1" applyFont="1">
      <alignment readingOrder="0"/>
    </xf>
    <xf borderId="15" fillId="0" fontId="3" numFmtId="3" xfId="0" applyAlignment="1" applyBorder="1" applyFont="1" applyNumberFormat="1">
      <alignment horizontal="left"/>
    </xf>
    <xf borderId="33" fillId="6" fontId="3" numFmtId="0" xfId="0" applyAlignment="1" applyBorder="1" applyFont="1">
      <alignment horizontal="center"/>
    </xf>
    <xf borderId="33" fillId="6" fontId="3" numFmtId="0" xfId="0" applyAlignment="1" applyBorder="1" applyFont="1">
      <alignment horizontal="left"/>
    </xf>
    <xf borderId="13" fillId="7" fontId="3" numFmtId="0" xfId="0" applyAlignment="1" applyBorder="1" applyFont="1">
      <alignment readingOrder="0"/>
    </xf>
    <xf borderId="13" fillId="6" fontId="20" numFmtId="173" xfId="0" applyAlignment="1" applyBorder="1" applyFont="1" applyNumberFormat="1">
      <alignment horizontal="center" vertical="bottom"/>
    </xf>
    <xf borderId="34" fillId="6" fontId="3" numFmtId="0" xfId="0" applyAlignment="1" applyBorder="1" applyFont="1">
      <alignment readingOrder="0"/>
    </xf>
    <xf borderId="13" fillId="6" fontId="20" numFmtId="0" xfId="0" applyBorder="1" applyFont="1"/>
    <xf borderId="15" fillId="0" fontId="13" numFmtId="0" xfId="0" applyBorder="1" applyFont="1"/>
    <xf borderId="8" fillId="0" fontId="3" numFmtId="174" xfId="0" applyAlignment="1" applyBorder="1" applyFont="1" applyNumberFormat="1">
      <alignment horizontal="center" readingOrder="0"/>
    </xf>
    <xf borderId="10" fillId="6" fontId="3" numFmtId="0" xfId="0" applyAlignment="1" applyBorder="1" applyFont="1">
      <alignment readingOrder="0"/>
    </xf>
    <xf borderId="11" fillId="6" fontId="28" numFmtId="0" xfId="0" applyAlignment="1" applyBorder="1" applyFont="1">
      <alignment readingOrder="0"/>
    </xf>
    <xf borderId="11" fillId="6" fontId="20" numFmtId="0" xfId="0" applyAlignment="1" applyBorder="1" applyFont="1">
      <alignment readingOrder="0"/>
    </xf>
    <xf borderId="11" fillId="6" fontId="3" numFmtId="176" xfId="0" applyAlignment="1" applyBorder="1" applyFont="1" applyNumberFormat="1">
      <alignment horizontal="center" readingOrder="0"/>
    </xf>
    <xf borderId="13" fillId="6" fontId="28" numFmtId="0" xfId="0" applyAlignment="1" applyBorder="1" applyFont="1">
      <alignment readingOrder="0"/>
    </xf>
    <xf borderId="13" fillId="6" fontId="20" numFmtId="0" xfId="0" applyAlignment="1" applyBorder="1" applyFont="1">
      <alignment readingOrder="0"/>
    </xf>
    <xf borderId="10" fillId="6" fontId="3" numFmtId="0" xfId="0" applyBorder="1" applyFont="1"/>
    <xf borderId="31" fillId="6" fontId="3" numFmtId="0" xfId="0" applyAlignment="1" applyBorder="1" applyFont="1">
      <alignment readingOrder="0"/>
    </xf>
    <xf borderId="10" fillId="6" fontId="3" numFmtId="0" xfId="0" applyAlignment="1" applyBorder="1" applyFont="1">
      <alignment horizontal="center" readingOrder="0"/>
    </xf>
    <xf borderId="18" fillId="6" fontId="3" numFmtId="0" xfId="0" applyBorder="1" applyFont="1"/>
    <xf borderId="14" fillId="6" fontId="25" numFmtId="2" xfId="0" applyAlignment="1" applyBorder="1" applyFont="1" applyNumberFormat="1">
      <alignment horizontal="left" readingOrder="0"/>
    </xf>
    <xf borderId="14" fillId="6" fontId="26" numFmtId="0" xfId="0" applyAlignment="1" applyBorder="1" applyFont="1">
      <alignment horizontal="center" readingOrder="0"/>
    </xf>
    <xf borderId="35" fillId="6" fontId="27" numFmtId="0" xfId="0" applyAlignment="1" applyBorder="1" applyFont="1">
      <alignment readingOrder="0"/>
    </xf>
    <xf borderId="6" fillId="6" fontId="3" numFmtId="0" xfId="0" applyAlignment="1" applyBorder="1" applyFont="1">
      <alignment horizontal="center" readingOrder="0"/>
    </xf>
    <xf borderId="10" fillId="7" fontId="3" numFmtId="0" xfId="0" applyBorder="1" applyFont="1"/>
    <xf borderId="16" fillId="6" fontId="3" numFmtId="0" xfId="0" applyAlignment="1" applyBorder="1" applyFont="1">
      <alignment readingOrder="0"/>
    </xf>
    <xf borderId="17" fillId="6" fontId="3" numFmtId="0" xfId="0" applyAlignment="1" applyBorder="1" applyFont="1">
      <alignment horizontal="center" readingOrder="0"/>
    </xf>
    <xf borderId="32" fillId="7" fontId="3" numFmtId="0" xfId="0" applyBorder="1" applyFont="1"/>
    <xf borderId="7" fillId="6" fontId="27" numFmtId="0" xfId="0" applyBorder="1" applyFont="1"/>
    <xf borderId="7" fillId="6" fontId="26" numFmtId="0" xfId="0" applyAlignment="1" applyBorder="1" applyFont="1">
      <alignment horizontal="center"/>
    </xf>
    <xf borderId="32" fillId="7" fontId="3" numFmtId="0" xfId="0" applyAlignment="1" applyBorder="1" applyFont="1">
      <alignment readingOrder="0"/>
    </xf>
    <xf borderId="7" fillId="2" fontId="3" numFmtId="2" xfId="0" applyAlignment="1" applyBorder="1" applyFont="1" applyNumberFormat="1">
      <alignment horizontal="center"/>
    </xf>
    <xf borderId="7" fillId="6" fontId="3" numFmtId="178" xfId="0" applyAlignment="1" applyBorder="1" applyFont="1" applyNumberFormat="1">
      <alignment readingOrder="0"/>
    </xf>
    <xf borderId="7" fillId="11" fontId="3" numFmtId="0" xfId="0" applyBorder="1" applyFont="1"/>
    <xf borderId="9" fillId="6" fontId="20" numFmtId="0" xfId="0" applyAlignment="1" applyBorder="1" applyFont="1">
      <alignment readingOrder="0"/>
    </xf>
    <xf borderId="20" fillId="6" fontId="20" numFmtId="0" xfId="0" applyBorder="1" applyFont="1"/>
    <xf borderId="8" fillId="0" fontId="3" numFmtId="0" xfId="0" applyBorder="1" applyFont="1"/>
    <xf borderId="8" fillId="0" fontId="3" numFmtId="0" xfId="0" applyAlignment="1" applyBorder="1" applyFont="1">
      <alignment readingOrder="0"/>
    </xf>
    <xf borderId="5" fillId="0" fontId="20" numFmtId="0" xfId="0" applyAlignment="1" applyBorder="1" applyFont="1">
      <alignment horizontal="center"/>
    </xf>
    <xf borderId="5" fillId="0" fontId="20" numFmtId="3" xfId="0" applyAlignment="1" applyBorder="1" applyFont="1" applyNumberFormat="1">
      <alignment horizontal="left"/>
    </xf>
    <xf borderId="36" fillId="6" fontId="20" numFmtId="0" xfId="0" applyAlignment="1" applyBorder="1" applyFont="1">
      <alignment horizontal="center" readingOrder="0"/>
    </xf>
    <xf borderId="36" fillId="6" fontId="20" numFmtId="0" xfId="0" applyAlignment="1" applyBorder="1" applyFont="1">
      <alignment horizontal="left"/>
    </xf>
    <xf borderId="36" fillId="6" fontId="20" numFmtId="0" xfId="0" applyAlignment="1" applyBorder="1" applyFont="1">
      <alignment readingOrder="0"/>
    </xf>
    <xf borderId="36" fillId="6" fontId="20" numFmtId="0" xfId="0" applyAlignment="1" applyBorder="1" applyFont="1">
      <alignment horizontal="center"/>
    </xf>
    <xf borderId="36" fillId="6" fontId="3" numFmtId="0" xfId="0" applyAlignment="1" applyBorder="1" applyFont="1">
      <alignment readingOrder="0"/>
    </xf>
    <xf borderId="15" fillId="0" fontId="3" numFmtId="0" xfId="0" applyBorder="1" applyFont="1"/>
    <xf borderId="35" fillId="0" fontId="3" numFmtId="0" xfId="0" applyAlignment="1" applyBorder="1" applyFont="1">
      <alignment horizontal="center"/>
    </xf>
    <xf borderId="14" fillId="0" fontId="20" numFmtId="3" xfId="0" applyAlignment="1" applyBorder="1" applyFont="1" applyNumberFormat="1">
      <alignment horizontal="left"/>
    </xf>
    <xf borderId="19" fillId="6" fontId="3" numFmtId="0" xfId="0" applyAlignment="1" applyBorder="1" applyFont="1">
      <alignment readingOrder="0"/>
    </xf>
    <xf borderId="37" fillId="6" fontId="26" numFmtId="0" xfId="0" applyAlignment="1" applyBorder="1" applyFont="1">
      <alignment horizontal="center" readingOrder="0"/>
    </xf>
    <xf borderId="33" fillId="6" fontId="20" numFmtId="0" xfId="0" applyAlignment="1" applyBorder="1" applyFont="1">
      <alignment readingOrder="0"/>
    </xf>
    <xf borderId="33" fillId="6" fontId="20" numFmtId="0" xfId="0" applyBorder="1" applyFont="1"/>
    <xf borderId="33" fillId="6" fontId="3" numFmtId="0" xfId="0" applyAlignment="1" applyBorder="1" applyFont="1">
      <alignment readingOrder="0"/>
    </xf>
    <xf borderId="14" fillId="6" fontId="3" numFmtId="0" xfId="0" applyAlignment="1" applyBorder="1" applyFont="1">
      <alignment horizontal="center" readingOrder="0"/>
    </xf>
    <xf borderId="14" fillId="2" fontId="20" numFmtId="0" xfId="0" applyBorder="1" applyFont="1"/>
    <xf borderId="14" fillId="0" fontId="20" numFmtId="0" xfId="0" applyAlignment="1" applyBorder="1" applyFont="1">
      <alignment horizontal="center"/>
    </xf>
    <xf borderId="14" fillId="6" fontId="20" numFmtId="0" xfId="0" applyAlignment="1" applyBorder="1" applyFont="1">
      <alignment horizontal="center"/>
    </xf>
    <xf borderId="14" fillId="6" fontId="20" numFmtId="0" xfId="0" applyAlignment="1" applyBorder="1" applyFont="1">
      <alignment horizontal="left"/>
    </xf>
    <xf borderId="14" fillId="7" fontId="3" numFmtId="0" xfId="0" applyBorder="1" applyFont="1"/>
    <xf borderId="14" fillId="2" fontId="24" numFmtId="2" xfId="0" applyAlignment="1" applyBorder="1" applyFont="1" applyNumberFormat="1">
      <alignment horizontal="center"/>
    </xf>
    <xf borderId="14" fillId="6" fontId="25" numFmtId="2" xfId="0" applyAlignment="1" applyBorder="1" applyFont="1" applyNumberFormat="1">
      <alignment horizontal="left"/>
    </xf>
    <xf borderId="14" fillId="6" fontId="20" numFmtId="0" xfId="0" applyAlignment="1" applyBorder="1" applyFont="1">
      <alignment readingOrder="0"/>
    </xf>
    <xf borderId="28" fillId="6" fontId="3" numFmtId="173" xfId="0" applyAlignment="1" applyBorder="1" applyFont="1" applyNumberFormat="1">
      <alignment readingOrder="0"/>
    </xf>
    <xf borderId="14" fillId="6" fontId="20" numFmtId="0" xfId="0" applyBorder="1" applyFont="1"/>
    <xf borderId="14" fillId="6" fontId="3" numFmtId="175" xfId="0" applyAlignment="1" applyBorder="1" applyFont="1" applyNumberFormat="1">
      <alignment horizontal="center" readingOrder="0"/>
    </xf>
    <xf borderId="14" fillId="2" fontId="3" numFmtId="164" xfId="0" applyAlignment="1" applyBorder="1" applyFont="1" applyNumberFormat="1">
      <alignment horizontal="left"/>
    </xf>
    <xf borderId="35" fillId="2" fontId="3" numFmtId="0" xfId="0" applyAlignment="1" applyBorder="1" applyFont="1">
      <alignment horizontal="center"/>
    </xf>
    <xf borderId="8" fillId="6" fontId="3" numFmtId="176" xfId="0" applyAlignment="1" applyBorder="1" applyFont="1" applyNumberFormat="1">
      <alignment horizontal="center" readingOrder="0"/>
    </xf>
    <xf borderId="14" fillId="2" fontId="3" numFmtId="0" xfId="0" applyAlignment="1" applyBorder="1" applyFont="1">
      <alignment readingOrder="0"/>
    </xf>
    <xf borderId="14" fillId="6" fontId="3" numFmtId="0" xfId="0" applyAlignment="1" applyBorder="1" applyFont="1">
      <alignment horizontal="center"/>
    </xf>
    <xf borderId="11" fillId="11" fontId="3" numFmtId="0" xfId="0" applyBorder="1" applyFont="1"/>
    <xf borderId="13" fillId="12" fontId="20" numFmtId="0" xfId="0" applyBorder="1" applyFill="1" applyFont="1"/>
    <xf borderId="13" fillId="6" fontId="3" numFmtId="0" xfId="0" applyAlignment="1" applyBorder="1" applyFont="1">
      <alignment horizontal="left" readingOrder="0"/>
    </xf>
    <xf borderId="13" fillId="6" fontId="27" numFmtId="0" xfId="0" applyAlignment="1" applyBorder="1" applyFont="1">
      <alignment horizontal="left" readingOrder="0"/>
    </xf>
    <xf borderId="13" fillId="6" fontId="20" numFmtId="0" xfId="0" applyAlignment="1" applyBorder="1" applyFont="1">
      <alignment horizontal="left" readingOrder="0"/>
    </xf>
    <xf borderId="8" fillId="6" fontId="3" numFmtId="0" xfId="0" applyAlignment="1" applyBorder="1" applyFont="1">
      <alignment horizontal="center" readingOrder="0"/>
    </xf>
    <xf borderId="8" fillId="11" fontId="3" numFmtId="0" xfId="0" applyAlignment="1" applyBorder="1" applyFont="1">
      <alignment readingOrder="0"/>
    </xf>
    <xf borderId="23" fillId="0" fontId="20" numFmtId="3" xfId="0" applyAlignment="1" applyBorder="1" applyFont="1" applyNumberFormat="1">
      <alignment horizontal="left" readingOrder="0" vertical="bottom"/>
    </xf>
    <xf borderId="8" fillId="6" fontId="3" numFmtId="0" xfId="0" applyAlignment="1" applyBorder="1" applyFont="1">
      <alignment horizontal="left"/>
    </xf>
    <xf borderId="5" fillId="7" fontId="3" numFmtId="0" xfId="0" applyAlignment="1" applyBorder="1" applyFont="1">
      <alignment readingOrder="0"/>
    </xf>
    <xf borderId="8" fillId="2" fontId="3" numFmtId="2" xfId="0" applyAlignment="1" applyBorder="1" applyFont="1" applyNumberFormat="1">
      <alignment horizontal="center"/>
    </xf>
    <xf borderId="8" fillId="6" fontId="25" numFmtId="2" xfId="0" applyAlignment="1" applyBorder="1" applyFont="1" applyNumberFormat="1">
      <alignment horizontal="left"/>
    </xf>
    <xf borderId="8" fillId="6" fontId="3" numFmtId="0" xfId="0" applyAlignment="1" applyBorder="1" applyFont="1">
      <alignment readingOrder="0"/>
    </xf>
    <xf borderId="8" fillId="6" fontId="8" numFmtId="0" xfId="0" applyAlignment="1" applyBorder="1" applyFont="1">
      <alignment horizontal="center" readingOrder="0"/>
    </xf>
    <xf borderId="8" fillId="6" fontId="20" numFmtId="0" xfId="0" applyAlignment="1" applyBorder="1" applyFont="1">
      <alignment readingOrder="0"/>
    </xf>
    <xf borderId="8" fillId="0" fontId="20" numFmtId="3" xfId="0" applyAlignment="1" applyBorder="1" applyFont="1" applyNumberFormat="1">
      <alignment horizontal="left" vertical="bottom"/>
    </xf>
    <xf borderId="7" fillId="6" fontId="3" numFmtId="176" xfId="0" applyAlignment="1" applyBorder="1" applyFont="1" applyNumberFormat="1">
      <alignment readingOrder="0"/>
    </xf>
    <xf borderId="21" fillId="12" fontId="3" numFmtId="0" xfId="0" applyAlignment="1" applyBorder="1" applyFont="1">
      <alignment readingOrder="0"/>
    </xf>
    <xf borderId="12" fillId="6" fontId="20" numFmtId="0" xfId="0" applyAlignment="1" applyBorder="1" applyFont="1">
      <alignment readingOrder="0"/>
    </xf>
    <xf borderId="5" fillId="0" fontId="3" numFmtId="0" xfId="0" applyAlignment="1" applyBorder="1" applyFont="1">
      <alignment horizontal="center"/>
    </xf>
    <xf borderId="20" fillId="6" fontId="20" numFmtId="0" xfId="0" applyAlignment="1" applyBorder="1" applyFont="1">
      <alignment readingOrder="0"/>
    </xf>
    <xf borderId="13" fillId="11" fontId="3" numFmtId="0" xfId="0" applyBorder="1" applyFont="1"/>
    <xf borderId="18" fillId="7" fontId="3" numFmtId="0" xfId="0" applyBorder="1" applyFont="1"/>
    <xf borderId="8" fillId="2" fontId="24" numFmtId="2" xfId="0" applyAlignment="1" applyBorder="1" applyFont="1" applyNumberFormat="1">
      <alignment horizontal="center"/>
    </xf>
    <xf borderId="11" fillId="6" fontId="29" numFmtId="0" xfId="0" applyAlignment="1" applyBorder="1" applyFont="1">
      <alignment horizontal="center" readingOrder="0"/>
    </xf>
    <xf borderId="11" fillId="6" fontId="28" numFmtId="0" xfId="0" applyAlignment="1" applyBorder="1" applyFont="1">
      <alignment horizontal="center" readingOrder="0"/>
    </xf>
    <xf borderId="32" fillId="6" fontId="3" numFmtId="0" xfId="0" applyBorder="1" applyFont="1"/>
    <xf borderId="11" fillId="6" fontId="28" numFmtId="0" xfId="0" applyAlignment="1" applyBorder="1" applyFont="1">
      <alignment horizontal="center" readingOrder="0" vertical="bottom"/>
    </xf>
    <xf borderId="20" fillId="6" fontId="8" numFmtId="0" xfId="0" applyAlignment="1" applyBorder="1" applyFont="1">
      <alignment horizontal="center" readingOrder="0"/>
    </xf>
    <xf borderId="11" fillId="2" fontId="20" numFmtId="0" xfId="0" applyBorder="1" applyFont="1"/>
    <xf borderId="38" fillId="6" fontId="20" numFmtId="0" xfId="0" applyBorder="1" applyFont="1"/>
    <xf borderId="7" fillId="12" fontId="3" numFmtId="0" xfId="0" applyBorder="1" applyFont="1"/>
    <xf borderId="12" fillId="6" fontId="26" numFmtId="0" xfId="0" applyAlignment="1" applyBorder="1" applyFont="1">
      <alignment horizontal="center" readingOrder="0"/>
    </xf>
    <xf borderId="21" fillId="2" fontId="20" numFmtId="0" xfId="0" applyBorder="1" applyFont="1"/>
    <xf borderId="21" fillId="6" fontId="3" numFmtId="0" xfId="0" applyAlignment="1" applyBorder="1" applyFont="1">
      <alignment horizontal="center"/>
    </xf>
    <xf borderId="21" fillId="6" fontId="26" numFmtId="0" xfId="0" applyAlignment="1" applyBorder="1" applyFont="1">
      <alignment horizontal="center" readingOrder="0"/>
    </xf>
    <xf borderId="39" fillId="6" fontId="20" numFmtId="0" xfId="0" applyAlignment="1" applyBorder="1" applyFont="1">
      <alignment readingOrder="0"/>
    </xf>
    <xf borderId="40" fillId="6" fontId="20" numFmtId="0" xfId="0" applyAlignment="1" applyBorder="1" applyFont="1">
      <alignment readingOrder="0"/>
    </xf>
    <xf borderId="21" fillId="6" fontId="3" numFmtId="175" xfId="0" applyAlignment="1" applyBorder="1" applyFont="1" applyNumberFormat="1">
      <alignment horizontal="center" readingOrder="0"/>
    </xf>
    <xf borderId="21" fillId="2" fontId="3" numFmtId="0" xfId="0" applyAlignment="1" applyBorder="1" applyFont="1">
      <alignment horizontal="center"/>
    </xf>
    <xf borderId="41" fillId="2" fontId="3" numFmtId="0" xfId="0" applyAlignment="1" applyBorder="1" applyFont="1">
      <alignment horizontal="center"/>
    </xf>
    <xf borderId="24" fillId="9" fontId="20" numFmtId="0" xfId="0" applyBorder="1" applyFont="1"/>
    <xf borderId="23" fillId="0" fontId="3" numFmtId="0" xfId="0" applyAlignment="1" applyBorder="1" applyFont="1">
      <alignment horizontal="center" readingOrder="0"/>
    </xf>
    <xf borderId="27" fillId="7" fontId="3" numFmtId="0" xfId="0" applyBorder="1" applyFont="1"/>
    <xf borderId="23" fillId="6" fontId="26" numFmtId="0" xfId="0" applyAlignment="1" applyBorder="1" applyFont="1">
      <alignment horizontal="center" readingOrder="0"/>
    </xf>
    <xf borderId="24" fillId="6" fontId="3" numFmtId="175" xfId="0" applyAlignment="1" applyBorder="1" applyFont="1" applyNumberFormat="1">
      <alignment horizontal="center" readingOrder="0"/>
    </xf>
    <xf borderId="24" fillId="8" fontId="3" numFmtId="0" xfId="0" applyAlignment="1" applyBorder="1" applyFont="1">
      <alignment horizontal="center"/>
    </xf>
    <xf borderId="26" fillId="8" fontId="3" numFmtId="0" xfId="0" applyAlignment="1" applyBorder="1" applyFont="1">
      <alignment horizontal="center"/>
    </xf>
    <xf borderId="23" fillId="8" fontId="23" numFmtId="0" xfId="0" applyBorder="1" applyFont="1"/>
    <xf borderId="0" fillId="2" fontId="3" numFmtId="164" xfId="0" applyAlignment="1" applyFont="1" applyNumberFormat="1">
      <alignment horizontal="left"/>
    </xf>
    <xf borderId="4" fillId="2" fontId="3" numFmtId="0" xfId="0" applyAlignment="1" applyBorder="1" applyFont="1">
      <alignment horizontal="left"/>
    </xf>
    <xf borderId="6" fillId="7" fontId="3" numFmtId="0" xfId="0" applyAlignment="1" applyBorder="1" applyFont="1">
      <alignment readingOrder="0"/>
    </xf>
    <xf borderId="11" fillId="9" fontId="20" numFmtId="0" xfId="0" applyBorder="1" applyFont="1"/>
    <xf borderId="8" fillId="6" fontId="26" numFmtId="0" xfId="0" applyAlignment="1" applyBorder="1" applyFont="1">
      <alignment horizontal="center"/>
    </xf>
    <xf borderId="7" fillId="9" fontId="20" numFmtId="0" xfId="0" applyBorder="1" applyFont="1"/>
    <xf borderId="7" fillId="9" fontId="3" numFmtId="0" xfId="0" applyBorder="1" applyFont="1"/>
    <xf borderId="11" fillId="6" fontId="26" numFmtId="0" xfId="0" applyAlignment="1" applyBorder="1" applyFont="1">
      <alignment horizontal="center"/>
    </xf>
    <xf borderId="8" fillId="9" fontId="3" numFmtId="0" xfId="0" applyBorder="1" applyFont="1"/>
    <xf borderId="13" fillId="6" fontId="26" numFmtId="0" xfId="0" applyAlignment="1" applyBorder="1" applyFont="1">
      <alignment horizontal="center"/>
    </xf>
    <xf borderId="23" fillId="6" fontId="3" numFmtId="0" xfId="0" applyAlignment="1" applyBorder="1" applyFont="1">
      <alignment horizontal="left"/>
    </xf>
    <xf borderId="2" fillId="6" fontId="3" numFmtId="0" xfId="0" applyBorder="1" applyFont="1"/>
    <xf borderId="23" fillId="2" fontId="24" numFmtId="2" xfId="0" applyAlignment="1" applyBorder="1" applyFont="1" applyNumberFormat="1">
      <alignment horizontal="center"/>
    </xf>
    <xf borderId="23" fillId="6" fontId="3" numFmtId="0" xfId="0" applyAlignment="1" applyBorder="1" applyFont="1">
      <alignment readingOrder="0"/>
    </xf>
    <xf borderId="23" fillId="6" fontId="3" numFmtId="173" xfId="0" applyAlignment="1" applyBorder="1" applyFont="1" applyNumberFormat="1">
      <alignment readingOrder="0"/>
    </xf>
    <xf borderId="23" fillId="2" fontId="3" numFmtId="0" xfId="0" applyAlignment="1" applyBorder="1" applyFont="1">
      <alignment horizontal="left"/>
    </xf>
    <xf borderId="23" fillId="2" fontId="3" numFmtId="164" xfId="0" applyAlignment="1" applyBorder="1" applyFont="1" applyNumberFormat="1">
      <alignment horizontal="left"/>
    </xf>
    <xf borderId="8" fillId="2" fontId="3" numFmtId="0" xfId="0" applyAlignment="1" applyBorder="1" applyFont="1">
      <alignment horizontal="center"/>
    </xf>
    <xf borderId="4" fillId="2" fontId="3" numFmtId="0" xfId="0" applyAlignment="1" applyBorder="1" applyFont="1">
      <alignment horizontal="center"/>
    </xf>
    <xf borderId="23" fillId="2" fontId="3" numFmtId="0" xfId="0" applyAlignment="1" applyBorder="1" applyFont="1">
      <alignment horizontal="center"/>
    </xf>
    <xf borderId="23" fillId="2" fontId="3" numFmtId="173" xfId="0" applyAlignment="1" applyBorder="1" applyFont="1" applyNumberFormat="1">
      <alignment horizontal="center"/>
    </xf>
    <xf borderId="21" fillId="2" fontId="3" numFmtId="173" xfId="0" applyAlignment="1" applyBorder="1" applyFont="1" applyNumberFormat="1">
      <alignment horizontal="center"/>
    </xf>
    <xf borderId="30" fillId="0" fontId="3" numFmtId="173" xfId="0" applyAlignment="1" applyBorder="1" applyFont="1" applyNumberFormat="1">
      <alignment horizontal="center"/>
    </xf>
    <xf borderId="8" fillId="2" fontId="3" numFmtId="173" xfId="0" applyAlignment="1" applyBorder="1" applyFont="1" applyNumberFormat="1">
      <alignment horizontal="center"/>
    </xf>
    <xf borderId="8" fillId="2" fontId="20" numFmtId="0" xfId="0" applyAlignment="1" applyBorder="1" applyFont="1">
      <alignment readingOrder="0"/>
    </xf>
    <xf borderId="8" fillId="9" fontId="3" numFmtId="0" xfId="0" applyAlignment="1" applyBorder="1" applyFont="1">
      <alignment readingOrder="0"/>
    </xf>
    <xf borderId="7" fillId="6" fontId="8" numFmtId="0" xfId="0" applyBorder="1" applyFont="1"/>
    <xf borderId="7" fillId="13" fontId="3" numFmtId="0" xfId="0" applyAlignment="1" applyBorder="1" applyFill="1" applyFont="1">
      <alignment horizontal="center"/>
    </xf>
    <xf borderId="8" fillId="2" fontId="3" numFmtId="0" xfId="0" applyBorder="1" applyFont="1"/>
    <xf borderId="8" fillId="6" fontId="26" numFmtId="0" xfId="0" applyAlignment="1" applyBorder="1" applyFont="1">
      <alignment horizontal="center" readingOrder="0"/>
    </xf>
    <xf borderId="32" fillId="6" fontId="20" numFmtId="0" xfId="0" applyAlignment="1" applyBorder="1" applyFont="1">
      <alignment readingOrder="0"/>
    </xf>
    <xf borderId="21" fillId="2" fontId="3" numFmtId="0" xfId="0" applyAlignment="1" applyBorder="1" applyFont="1">
      <alignment readingOrder="0"/>
    </xf>
    <xf borderId="21" fillId="2" fontId="3" numFmtId="2" xfId="0" applyAlignment="1" applyBorder="1" applyFont="1" applyNumberFormat="1">
      <alignment horizontal="center"/>
    </xf>
    <xf borderId="7" fillId="6" fontId="3" numFmtId="177" xfId="0" applyAlignment="1" applyBorder="1" applyFont="1" applyNumberFormat="1">
      <alignment readingOrder="0"/>
    </xf>
    <xf borderId="13" fillId="2" fontId="3" numFmtId="0" xfId="0" applyAlignment="1" applyBorder="1" applyFont="1">
      <alignment readingOrder="0"/>
    </xf>
    <xf borderId="24" fillId="6" fontId="3" numFmtId="176" xfId="0" applyAlignment="1" applyBorder="1" applyFont="1" applyNumberFormat="1">
      <alignment horizontal="center" readingOrder="0"/>
    </xf>
    <xf borderId="7" fillId="12" fontId="3" numFmtId="0" xfId="0" applyAlignment="1" applyBorder="1" applyFont="1">
      <alignment readingOrder="0"/>
    </xf>
    <xf borderId="13" fillId="12" fontId="3" numFmtId="0" xfId="0" applyBorder="1" applyFont="1"/>
    <xf borderId="13" fillId="6" fontId="3" numFmtId="176" xfId="0" applyAlignment="1" applyBorder="1" applyFont="1" applyNumberFormat="1">
      <alignment readingOrder="0"/>
    </xf>
    <xf borderId="13" fillId="6" fontId="3" numFmtId="0" xfId="0" applyBorder="1" applyFont="1"/>
    <xf borderId="32" fillId="6" fontId="20" numFmtId="0" xfId="0" applyBorder="1" applyFont="1"/>
    <xf borderId="7" fillId="6" fontId="26" numFmtId="2" xfId="0" applyAlignment="1" applyBorder="1" applyFont="1" applyNumberFormat="1">
      <alignment horizontal="left"/>
    </xf>
    <xf borderId="7" fillId="2" fontId="3" numFmtId="0" xfId="0" applyAlignment="1" applyBorder="1" applyFont="1">
      <alignment vertical="center"/>
    </xf>
    <xf borderId="7" fillId="6" fontId="24" numFmtId="0" xfId="0" applyAlignment="1" applyBorder="1" applyFont="1">
      <alignment readingOrder="0"/>
    </xf>
    <xf borderId="14" fillId="0" fontId="20" numFmtId="3" xfId="0" applyAlignment="1" applyBorder="1" applyFont="1" applyNumberFormat="1">
      <alignment horizontal="left" readingOrder="0"/>
    </xf>
    <xf borderId="13" fillId="2" fontId="3" numFmtId="2" xfId="0" applyAlignment="1" applyBorder="1" applyFont="1" applyNumberFormat="1">
      <alignment horizontal="center"/>
    </xf>
    <xf borderId="11" fillId="2" fontId="3" numFmtId="2" xfId="0" applyAlignment="1" applyBorder="1" applyFont="1" applyNumberFormat="1">
      <alignment horizontal="center"/>
    </xf>
    <xf borderId="7" fillId="6" fontId="8" numFmtId="2" xfId="0" applyAlignment="1" applyBorder="1" applyFont="1" applyNumberFormat="1">
      <alignment horizontal="left"/>
    </xf>
    <xf borderId="8" fillId="2" fontId="0" numFmtId="0" xfId="0" applyBorder="1" applyFont="1"/>
    <xf borderId="13" fillId="2" fontId="20" numFmtId="0" xfId="0" applyBorder="1" applyFont="1"/>
    <xf borderId="0" fillId="6" fontId="3" numFmtId="0" xfId="0" applyAlignment="1" applyFont="1">
      <alignment readingOrder="0"/>
    </xf>
    <xf borderId="23" fillId="2" fontId="20" numFmtId="0" xfId="0" applyBorder="1" applyFont="1"/>
    <xf borderId="28" fillId="0" fontId="3" numFmtId="174" xfId="0" applyAlignment="1" applyBorder="1" applyFont="1" applyNumberFormat="1">
      <alignment horizontal="center"/>
    </xf>
    <xf borderId="28" fillId="0" fontId="3" numFmtId="3" xfId="0" applyAlignment="1" applyBorder="1" applyFont="1" applyNumberFormat="1">
      <alignment horizontal="left" readingOrder="0"/>
    </xf>
    <xf borderId="28" fillId="6" fontId="3" numFmtId="0" xfId="0" applyAlignment="1" applyBorder="1" applyFont="1">
      <alignment horizontal="center"/>
    </xf>
    <xf borderId="28" fillId="6" fontId="3" numFmtId="0" xfId="0" applyAlignment="1" applyBorder="1" applyFont="1">
      <alignment horizontal="left"/>
    </xf>
    <xf borderId="42" fillId="7" fontId="3" numFmtId="0" xfId="0" applyBorder="1" applyFont="1"/>
    <xf borderId="14" fillId="2" fontId="3" numFmtId="2" xfId="0" applyAlignment="1" applyBorder="1" applyFont="1" applyNumberFormat="1">
      <alignment horizontal="center"/>
    </xf>
    <xf borderId="28" fillId="6" fontId="3" numFmtId="0" xfId="0" applyAlignment="1" applyBorder="1" applyFont="1">
      <alignment readingOrder="0"/>
    </xf>
    <xf borderId="28" fillId="6" fontId="8" numFmtId="0" xfId="0" applyAlignment="1" applyBorder="1" applyFont="1">
      <alignment horizontal="center" readingOrder="0"/>
    </xf>
    <xf borderId="28" fillId="6" fontId="3" numFmtId="0" xfId="0" applyBorder="1" applyFont="1"/>
    <xf borderId="28" fillId="6" fontId="3" numFmtId="0" xfId="0" applyAlignment="1" applyBorder="1" applyFont="1">
      <alignment horizontal="center" readingOrder="0"/>
    </xf>
    <xf borderId="28" fillId="6" fontId="3" numFmtId="175" xfId="0" applyAlignment="1" applyBorder="1" applyFont="1" applyNumberFormat="1">
      <alignment horizontal="center" readingOrder="0"/>
    </xf>
    <xf borderId="24" fillId="6" fontId="28" numFmtId="0" xfId="0" applyAlignment="1" applyBorder="1" applyFont="1">
      <alignment horizontal="center" readingOrder="0"/>
    </xf>
    <xf borderId="8" fillId="0" fontId="3" numFmtId="0" xfId="0" applyAlignment="1" applyBorder="1" applyFont="1">
      <alignment horizontal="left"/>
    </xf>
    <xf borderId="21" fillId="6" fontId="20" numFmtId="0" xfId="0" applyAlignment="1" applyBorder="1" applyFont="1">
      <alignment horizontal="center" readingOrder="0"/>
    </xf>
    <xf borderId="21" fillId="6" fontId="20" numFmtId="0" xfId="0" applyAlignment="1" applyBorder="1" applyFont="1">
      <alignment horizontal="left"/>
    </xf>
    <xf borderId="22" fillId="6" fontId="3" numFmtId="0" xfId="0" applyBorder="1" applyFont="1"/>
    <xf borderId="40" fillId="6" fontId="26" numFmtId="0" xfId="0" applyAlignment="1" applyBorder="1" applyFont="1">
      <alignment horizontal="center" readingOrder="0"/>
    </xf>
    <xf borderId="21" fillId="6" fontId="27" numFmtId="0" xfId="0" applyAlignment="1" applyBorder="1" applyFont="1">
      <alignment readingOrder="0"/>
    </xf>
    <xf borderId="21" fillId="8" fontId="3" numFmtId="0" xfId="0" applyAlignment="1" applyBorder="1" applyFont="1">
      <alignment horizontal="center"/>
    </xf>
    <xf borderId="41" fillId="8" fontId="3" numFmtId="0" xfId="0" applyAlignment="1" applyBorder="1" applyFont="1">
      <alignment horizontal="center"/>
    </xf>
    <xf borderId="0" fillId="0" fontId="3" numFmtId="173" xfId="0" applyAlignment="1" applyFont="1" applyNumberFormat="1">
      <alignment horizontal="center"/>
    </xf>
    <xf borderId="5" fillId="6" fontId="3" numFmtId="0" xfId="0" applyAlignment="1" applyBorder="1" applyFont="1">
      <alignment readingOrder="0"/>
    </xf>
    <xf borderId="8" fillId="6" fontId="3" numFmtId="173" xfId="0" applyAlignment="1" applyBorder="1" applyFont="1" applyNumberFormat="1">
      <alignment readingOrder="0"/>
    </xf>
    <xf borderId="4" fillId="6" fontId="8" numFmtId="0" xfId="0" applyAlignment="1" applyBorder="1" applyFont="1">
      <alignment horizontal="center" readingOrder="0"/>
    </xf>
    <xf borderId="5" fillId="6" fontId="3" numFmtId="0" xfId="0" applyBorder="1" applyFont="1"/>
    <xf borderId="8" fillId="2" fontId="3" numFmtId="164" xfId="0" applyAlignment="1" applyBorder="1" applyFont="1" applyNumberFormat="1">
      <alignment horizontal="left"/>
    </xf>
    <xf borderId="0" fillId="0" fontId="3" numFmtId="3" xfId="0" applyAlignment="1" applyFont="1" applyNumberFormat="1">
      <alignment horizontal="left"/>
    </xf>
    <xf borderId="16" fillId="6" fontId="3" numFmtId="0" xfId="0" applyAlignment="1" applyBorder="1" applyFont="1">
      <alignment horizontal="center"/>
    </xf>
    <xf borderId="16" fillId="6" fontId="3" numFmtId="0" xfId="0" applyAlignment="1" applyBorder="1" applyFont="1">
      <alignment horizontal="left"/>
    </xf>
    <xf borderId="38" fillId="6" fontId="3" numFmtId="0" xfId="0" applyAlignment="1" applyBorder="1" applyFont="1">
      <alignment readingOrder="0"/>
    </xf>
    <xf borderId="7" fillId="9" fontId="3" numFmtId="0" xfId="0" applyAlignment="1" applyBorder="1" applyFont="1">
      <alignment horizontal="center"/>
    </xf>
    <xf borderId="21" fillId="2" fontId="3" numFmtId="0" xfId="0" applyBorder="1" applyFont="1"/>
    <xf borderId="22" fillId="6" fontId="20" numFmtId="0" xfId="0" applyBorder="1" applyFont="1"/>
    <xf borderId="21" fillId="6" fontId="25" numFmtId="2" xfId="0" applyAlignment="1" applyBorder="1" applyFont="1" applyNumberFormat="1">
      <alignment horizontal="left" readingOrder="0"/>
    </xf>
    <xf borderId="21" fillId="6" fontId="3" numFmtId="0" xfId="0" applyAlignment="1" applyBorder="1" applyFont="1">
      <alignment horizontal="left" readingOrder="0"/>
    </xf>
    <xf borderId="14" fillId="0" fontId="20" numFmtId="0" xfId="0" applyAlignment="1" applyBorder="1" applyFont="1">
      <alignment readingOrder="0"/>
    </xf>
    <xf borderId="0" fillId="0" fontId="3" numFmtId="0" xfId="0" applyAlignment="1" applyFont="1">
      <alignment horizontal="center" readingOrder="0"/>
    </xf>
    <xf borderId="0" fillId="6" fontId="3" numFmtId="0" xfId="0" applyAlignment="1" applyFont="1">
      <alignment horizontal="center" readingOrder="0"/>
    </xf>
    <xf borderId="0" fillId="6" fontId="3" numFmtId="0" xfId="0" applyAlignment="1" applyFont="1">
      <alignment horizontal="left"/>
    </xf>
    <xf borderId="24" fillId="2" fontId="3" numFmtId="0" xfId="0" applyBorder="1" applyFont="1"/>
    <xf borderId="27" fillId="6" fontId="3" numFmtId="0" xfId="0" applyAlignment="1" applyBorder="1" applyFont="1">
      <alignment readingOrder="0"/>
    </xf>
    <xf borderId="24" fillId="2" fontId="3" numFmtId="2" xfId="0" applyAlignment="1" applyBorder="1" applyFont="1" applyNumberFormat="1">
      <alignment horizontal="center"/>
    </xf>
    <xf borderId="27" fillId="6" fontId="3" numFmtId="176" xfId="0" applyAlignment="1" applyBorder="1" applyFont="1" applyNumberFormat="1">
      <alignment readingOrder="0"/>
    </xf>
    <xf borderId="24" fillId="6" fontId="8" numFmtId="0" xfId="0" applyAlignment="1" applyBorder="1" applyFont="1">
      <alignment horizontal="center" readingOrder="0"/>
    </xf>
    <xf borderId="25" fillId="6" fontId="27" numFmtId="0" xfId="0" applyAlignment="1" applyBorder="1" applyFont="1">
      <alignment readingOrder="0"/>
    </xf>
    <xf borderId="27" fillId="6" fontId="3" numFmtId="175" xfId="0" applyAlignment="1" applyBorder="1" applyFont="1" applyNumberFormat="1">
      <alignment horizontal="center" readingOrder="0"/>
    </xf>
    <xf borderId="22" fillId="6" fontId="20" numFmtId="0" xfId="0" applyAlignment="1" applyBorder="1" applyFont="1">
      <alignment readingOrder="0"/>
    </xf>
    <xf borderId="13" fillId="14" fontId="3" numFmtId="0" xfId="0" applyBorder="1" applyFill="1" applyFont="1"/>
    <xf borderId="14" fillId="6" fontId="3" numFmtId="176" xfId="0" applyAlignment="1" applyBorder="1" applyFont="1" applyNumberFormat="1">
      <alignment horizontal="center" readingOrder="0"/>
    </xf>
    <xf borderId="11" fillId="6" fontId="18" numFmtId="176" xfId="0" applyAlignment="1" applyBorder="1" applyFont="1" applyNumberFormat="1">
      <alignment horizontal="center" readingOrder="0"/>
    </xf>
    <xf borderId="7" fillId="6" fontId="20" numFmtId="0" xfId="0" applyAlignment="1" applyBorder="1" applyFont="1">
      <alignment horizontal="left" readingOrder="0"/>
    </xf>
    <xf borderId="7" fillId="6" fontId="20" numFmtId="3" xfId="0" applyAlignment="1" applyBorder="1" applyFont="1" applyNumberFormat="1">
      <alignment readingOrder="0"/>
    </xf>
    <xf borderId="7" fillId="14" fontId="3" numFmtId="0" xfId="0" applyBorder="1" applyFont="1"/>
    <xf borderId="18" fillId="6" fontId="20" numFmtId="0" xfId="0" applyBorder="1" applyFont="1"/>
    <xf borderId="21" fillId="6" fontId="3" numFmtId="177" xfId="0" applyAlignment="1" applyBorder="1" applyFont="1" applyNumberFormat="1">
      <alignment readingOrder="0"/>
    </xf>
    <xf borderId="27" fillId="6" fontId="3" numFmtId="173" xfId="0" applyAlignment="1" applyBorder="1" applyFont="1" applyNumberFormat="1">
      <alignment readingOrder="0"/>
    </xf>
    <xf borderId="13" fillId="6" fontId="20" numFmtId="0" xfId="0" applyAlignment="1" applyBorder="1" applyFont="1">
      <alignment horizontal="left"/>
    </xf>
    <xf borderId="33" fillId="6" fontId="3" numFmtId="0" xfId="0" applyAlignment="1" applyBorder="1" applyFont="1">
      <alignment horizontal="center" readingOrder="0"/>
    </xf>
    <xf borderId="10" fillId="7" fontId="20" numFmtId="0" xfId="0" applyBorder="1" applyFont="1"/>
    <xf borderId="31" fillId="6" fontId="28" numFmtId="0" xfId="0" applyAlignment="1" applyBorder="1" applyFont="1">
      <alignment readingOrder="0"/>
    </xf>
    <xf borderId="11" fillId="6" fontId="20" numFmtId="0" xfId="0" applyBorder="1" applyFont="1"/>
    <xf borderId="8" fillId="7" fontId="3" numFmtId="0" xfId="0" applyBorder="1" applyFont="1"/>
    <xf borderId="32" fillId="7" fontId="20" numFmtId="0" xfId="0" applyBorder="1" applyFont="1"/>
    <xf borderId="7" fillId="6" fontId="30" numFmtId="0" xfId="0" applyAlignment="1" applyBorder="1" applyFont="1">
      <alignment readingOrder="0"/>
    </xf>
    <xf borderId="7" fillId="6" fontId="31" numFmtId="0" xfId="0" applyBorder="1" applyFont="1"/>
    <xf borderId="11" fillId="2" fontId="24" numFmtId="0" xfId="0" applyAlignment="1" applyBorder="1" applyFont="1">
      <alignment horizontal="left"/>
    </xf>
    <xf borderId="4" fillId="0" fontId="3" numFmtId="174" xfId="0" applyAlignment="1" applyBorder="1" applyFont="1" applyNumberFormat="1">
      <alignment horizontal="center"/>
    </xf>
    <xf borderId="36" fillId="6" fontId="3" numFmtId="0" xfId="0" applyAlignment="1" applyBorder="1" applyFont="1">
      <alignment horizontal="center"/>
    </xf>
    <xf borderId="12" fillId="6" fontId="3" numFmtId="0" xfId="0" applyAlignment="1" applyBorder="1" applyFont="1">
      <alignment horizontal="left"/>
    </xf>
    <xf borderId="7" fillId="7" fontId="20" numFmtId="0" xfId="0" applyBorder="1" applyFont="1"/>
    <xf borderId="14" fillId="0" fontId="3" numFmtId="0" xfId="0" applyBorder="1" applyFont="1"/>
    <xf borderId="18" fillId="7" fontId="20" numFmtId="0" xfId="0" applyBorder="1" applyFont="1"/>
    <xf borderId="13" fillId="6" fontId="3" numFmtId="0" xfId="0" applyAlignment="1" applyBorder="1" applyFont="1">
      <alignment readingOrder="0"/>
    </xf>
    <xf borderId="8" fillId="2" fontId="3" numFmtId="3" xfId="0" applyAlignment="1" applyBorder="1" applyFont="1" applyNumberFormat="1">
      <alignment horizontal="left"/>
    </xf>
    <xf borderId="8" fillId="0" fontId="3" numFmtId="1" xfId="0" applyAlignment="1" applyBorder="1" applyFont="1" applyNumberFormat="1">
      <alignment horizontal="center"/>
    </xf>
    <xf borderId="8" fillId="6" fontId="3" numFmtId="0" xfId="0" applyAlignment="1" applyBorder="1" applyFont="1">
      <alignment horizontal="center"/>
    </xf>
    <xf borderId="21" fillId="12" fontId="3" numFmtId="0" xfId="0" applyBorder="1" applyFont="1"/>
    <xf borderId="8" fillId="2" fontId="3" numFmtId="0" xfId="0" applyAlignment="1" applyBorder="1" applyFont="1">
      <alignment horizontal="center" readingOrder="0"/>
    </xf>
    <xf borderId="38" fillId="11" fontId="3" numFmtId="0" xfId="0" applyBorder="1" applyFont="1"/>
    <xf borderId="43" fillId="6" fontId="3" numFmtId="0" xfId="0" applyAlignment="1" applyBorder="1" applyFont="1">
      <alignment horizontal="center"/>
    </xf>
    <xf borderId="31" fillId="6" fontId="3" numFmtId="0" xfId="0" applyAlignment="1" applyBorder="1" applyFont="1">
      <alignment horizontal="center"/>
    </xf>
    <xf borderId="44" fillId="2" fontId="3" numFmtId="0" xfId="0" applyBorder="1" applyFont="1"/>
    <xf borderId="45" fillId="6" fontId="3" numFmtId="0" xfId="0" applyAlignment="1" applyBorder="1" applyFont="1">
      <alignment horizontal="center"/>
    </xf>
    <xf borderId="45" fillId="6" fontId="3" numFmtId="0" xfId="0" applyAlignment="1" applyBorder="1" applyFont="1">
      <alignment horizontal="left"/>
    </xf>
    <xf borderId="45" fillId="6" fontId="28" numFmtId="0" xfId="0" applyAlignment="1" applyBorder="1" applyFont="1">
      <alignment readingOrder="0"/>
    </xf>
    <xf borderId="0" fillId="0" fontId="3" numFmtId="174" xfId="0" applyAlignment="1" applyFont="1" applyNumberFormat="1">
      <alignment horizontal="center"/>
    </xf>
    <xf borderId="0" fillId="6" fontId="25" numFmtId="2" xfId="0" applyAlignment="1" applyFont="1" applyNumberFormat="1">
      <alignment horizontal="left" readingOrder="0"/>
    </xf>
    <xf borderId="28" fillId="0" fontId="3" numFmtId="173" xfId="0" applyAlignment="1" applyBorder="1" applyFont="1" applyNumberFormat="1">
      <alignment horizontal="center"/>
    </xf>
    <xf borderId="11" fillId="6" fontId="8" numFmtId="0" xfId="0" applyAlignment="1" applyBorder="1" applyFont="1">
      <alignment readingOrder="0"/>
    </xf>
    <xf borderId="8" fillId="0" fontId="3" numFmtId="49" xfId="0" applyAlignment="1" applyBorder="1" applyFont="1" applyNumberFormat="1">
      <alignment horizontal="center" readingOrder="0"/>
    </xf>
    <xf borderId="7" fillId="7" fontId="20" numFmtId="0" xfId="0" applyAlignment="1" applyBorder="1" applyFont="1">
      <alignment readingOrder="0"/>
    </xf>
    <xf borderId="14" fillId="2" fontId="3" numFmtId="0" xfId="0" applyAlignment="1" applyBorder="1" applyFont="1">
      <alignment horizontal="center" readingOrder="0"/>
    </xf>
    <xf borderId="14" fillId="2" fontId="3" numFmtId="3" xfId="0" applyAlignment="1" applyBorder="1" applyFont="1" applyNumberFormat="1">
      <alignment horizontal="left"/>
    </xf>
    <xf borderId="6" fillId="6" fontId="3" numFmtId="176" xfId="0" applyAlignment="1" applyBorder="1" applyFont="1" applyNumberFormat="1">
      <alignment readingOrder="0"/>
    </xf>
    <xf borderId="18" fillId="6" fontId="8" numFmtId="0" xfId="0" applyAlignment="1" applyBorder="1" applyFont="1">
      <alignment horizontal="center" readingOrder="0"/>
    </xf>
    <xf borderId="14" fillId="2" fontId="20" numFmtId="0" xfId="0" applyAlignment="1" applyBorder="1" applyFont="1">
      <alignment readingOrder="0"/>
    </xf>
    <xf borderId="14" fillId="9" fontId="3" numFmtId="0" xfId="0" applyAlignment="1" applyBorder="1" applyFont="1">
      <alignment horizontal="center" readingOrder="0"/>
    </xf>
    <xf borderId="6" fillId="7" fontId="3" numFmtId="0" xfId="0" applyBorder="1" applyFont="1"/>
    <xf borderId="14" fillId="2" fontId="3" numFmtId="2" xfId="0" applyAlignment="1" applyBorder="1" applyFont="1" applyNumberFormat="1">
      <alignment horizontal="center" readingOrder="0"/>
    </xf>
    <xf borderId="14" fillId="8" fontId="3" numFmtId="0" xfId="0" applyAlignment="1" applyBorder="1" applyFont="1">
      <alignment horizontal="center"/>
    </xf>
    <xf borderId="35" fillId="8" fontId="3" numFmtId="0" xfId="0" applyAlignment="1" applyBorder="1" applyFont="1">
      <alignment horizontal="center"/>
    </xf>
    <xf borderId="24" fillId="6" fontId="3" numFmtId="0" xfId="0" applyAlignment="1" applyBorder="1" applyFont="1">
      <alignment horizontal="left" readingOrder="0"/>
    </xf>
    <xf borderId="27" fillId="6" fontId="3" numFmtId="0" xfId="0" applyBorder="1" applyFont="1"/>
    <xf borderId="26" fillId="6" fontId="3" numFmtId="173" xfId="0" applyAlignment="1" applyBorder="1" applyFont="1" applyNumberFormat="1">
      <alignment readingOrder="0"/>
    </xf>
    <xf borderId="23" fillId="6" fontId="8" numFmtId="0" xfId="0" applyAlignment="1" applyBorder="1" applyFont="1">
      <alignment horizontal="center" readingOrder="0"/>
    </xf>
    <xf borderId="27" fillId="6" fontId="3" numFmtId="0" xfId="0" applyAlignment="1" applyBorder="1" applyFont="1">
      <alignment horizontal="center" readingOrder="0"/>
    </xf>
    <xf borderId="13" fillId="6" fontId="8" numFmtId="2" xfId="0" applyAlignment="1" applyBorder="1" applyFont="1" applyNumberFormat="1">
      <alignment horizontal="left"/>
    </xf>
    <xf borderId="13" fillId="6" fontId="3" numFmtId="179" xfId="0" applyAlignment="1" applyBorder="1" applyFont="1" applyNumberFormat="1">
      <alignment readingOrder="0"/>
    </xf>
    <xf borderId="14" fillId="6" fontId="8" numFmtId="0" xfId="0" applyAlignment="1" applyBorder="1" applyFont="1">
      <alignment horizontal="center" readingOrder="0"/>
    </xf>
    <xf borderId="7" fillId="6" fontId="32" numFmtId="0" xfId="0" applyAlignment="1" applyBorder="1" applyFont="1">
      <alignment readingOrder="0"/>
    </xf>
    <xf borderId="5" fillId="6" fontId="8" numFmtId="0" xfId="0" applyAlignment="1" applyBorder="1" applyFont="1">
      <alignment horizontal="center" readingOrder="0"/>
    </xf>
    <xf borderId="7" fillId="6" fontId="20" numFmtId="0" xfId="0" applyAlignment="1" applyBorder="1" applyFont="1">
      <alignment vertical="bottom"/>
    </xf>
    <xf borderId="26" fillId="2" fontId="24" numFmtId="2" xfId="0" applyAlignment="1" applyBorder="1" applyFont="1" applyNumberFormat="1">
      <alignment horizontal="center"/>
    </xf>
    <xf borderId="24" fillId="6" fontId="3" numFmtId="176" xfId="0" applyAlignment="1" applyBorder="1" applyFont="1" applyNumberFormat="1">
      <alignment readingOrder="0"/>
    </xf>
    <xf borderId="19" fillId="6" fontId="3" numFmtId="173" xfId="0" applyAlignment="1" applyBorder="1" applyFont="1" applyNumberFormat="1">
      <alignment readingOrder="0"/>
    </xf>
    <xf borderId="14" fillId="7" fontId="3" numFmtId="0" xfId="0" applyAlignment="1" applyBorder="1" applyFont="1">
      <alignment readingOrder="0"/>
    </xf>
    <xf borderId="28" fillId="2" fontId="24" numFmtId="2" xfId="0" applyAlignment="1" applyBorder="1" applyFont="1" applyNumberFormat="1">
      <alignment horizontal="center"/>
    </xf>
    <xf borderId="14" fillId="6" fontId="33" numFmtId="0" xfId="0" applyAlignment="1" applyBorder="1" applyFont="1">
      <alignment readingOrder="0"/>
    </xf>
    <xf borderId="14" fillId="6" fontId="34" numFmtId="0" xfId="0" applyBorder="1" applyFont="1"/>
    <xf borderId="14" fillId="0" fontId="27" numFmtId="174" xfId="0" applyAlignment="1" applyBorder="1" applyFont="1" applyNumberFormat="1">
      <alignment horizontal="center"/>
    </xf>
    <xf borderId="14" fillId="6" fontId="26" numFmtId="0" xfId="0" applyAlignment="1" applyBorder="1" applyFont="1">
      <alignment horizontal="center"/>
    </xf>
    <xf borderId="14" fillId="6" fontId="3" numFmtId="0" xfId="0" applyBorder="1" applyFont="1"/>
    <xf borderId="14" fillId="6" fontId="20" numFmtId="0" xfId="0" applyAlignment="1" applyBorder="1" applyFont="1">
      <alignment horizontal="center" readingOrder="0"/>
    </xf>
    <xf borderId="11" fillId="2" fontId="24" numFmtId="0" xfId="0" applyBorder="1" applyFont="1"/>
    <xf borderId="11" fillId="9" fontId="3" numFmtId="174" xfId="0" applyAlignment="1" applyBorder="1" applyFont="1" applyNumberFormat="1">
      <alignment horizontal="center"/>
    </xf>
    <xf borderId="7" fillId="9" fontId="3" numFmtId="0" xfId="0" applyAlignment="1" applyBorder="1" applyFont="1">
      <alignment horizontal="center" readingOrder="0"/>
    </xf>
    <xf borderId="0" fillId="15" fontId="20" numFmtId="0" xfId="0" applyFill="1" applyFont="1"/>
    <xf borderId="9" fillId="6" fontId="3" numFmtId="0" xfId="0" applyBorder="1" applyFont="1"/>
    <xf borderId="7" fillId="6" fontId="3" numFmtId="180" xfId="0" applyAlignment="1" applyBorder="1" applyFont="1" applyNumberFormat="1">
      <alignment horizontal="center"/>
    </xf>
    <xf borderId="7" fillId="6" fontId="3" numFmtId="181" xfId="0" applyAlignment="1" applyBorder="1" applyFont="1" applyNumberFormat="1">
      <alignment horizontal="center"/>
    </xf>
    <xf borderId="0" fillId="0" fontId="20" numFmtId="0" xfId="0" applyFont="1"/>
    <xf borderId="7" fillId="2" fontId="3" numFmtId="173" xfId="0" applyAlignment="1" applyBorder="1" applyFont="1" applyNumberFormat="1">
      <alignment horizontal="center"/>
    </xf>
    <xf borderId="12" fillId="2" fontId="3" numFmtId="173" xfId="0" applyAlignment="1" applyBorder="1" applyFont="1" applyNumberFormat="1">
      <alignment horizontal="center"/>
    </xf>
    <xf borderId="0" fillId="2" fontId="3" numFmtId="173" xfId="0" applyAlignment="1" applyFont="1" applyNumberFormat="1">
      <alignment horizontal="center"/>
    </xf>
    <xf borderId="13" fillId="9" fontId="27" numFmtId="0" xfId="0" applyAlignment="1" applyBorder="1" applyFont="1">
      <alignment horizontal="center" readingOrder="0"/>
    </xf>
    <xf borderId="11" fillId="7" fontId="3" numFmtId="0" xfId="0" applyBorder="1" applyFont="1"/>
    <xf borderId="32" fillId="6" fontId="8" numFmtId="0" xfId="0" applyAlignment="1" applyBorder="1" applyFont="1">
      <alignment horizontal="center"/>
    </xf>
    <xf borderId="6" fillId="0" fontId="20" numFmtId="0" xfId="0" applyBorder="1" applyFont="1"/>
    <xf borderId="13" fillId="7" fontId="3" numFmtId="0" xfId="0" applyBorder="1" applyFont="1"/>
    <xf borderId="11" fillId="6" fontId="24" numFmtId="0" xfId="0" applyAlignment="1" applyBorder="1" applyFont="1">
      <alignment horizontal="center" readingOrder="0"/>
    </xf>
    <xf borderId="31" fillId="6" fontId="3" numFmtId="0" xfId="0" applyAlignment="1" applyBorder="1" applyFont="1">
      <alignment horizontal="center" readingOrder="0"/>
    </xf>
    <xf borderId="24" fillId="2" fontId="20" numFmtId="0" xfId="0" applyBorder="1" applyFont="1"/>
    <xf borderId="7" fillId="6" fontId="18" numFmtId="0" xfId="0" applyAlignment="1" applyBorder="1" applyFont="1">
      <alignment readingOrder="0"/>
    </xf>
    <xf borderId="11" fillId="6" fontId="20" numFmtId="0" xfId="0" applyAlignment="1" applyBorder="1" applyFont="1">
      <alignment horizontal="center" readingOrder="0" vertical="bottom"/>
    </xf>
    <xf borderId="7" fillId="6" fontId="20" numFmtId="0" xfId="0" applyAlignment="1" applyBorder="1" applyFont="1">
      <alignment horizontal="center" readingOrder="0"/>
    </xf>
    <xf borderId="7" fillId="0" fontId="20" numFmtId="0" xfId="0" applyAlignment="1" applyBorder="1" applyFont="1">
      <alignment readingOrder="0"/>
    </xf>
    <xf borderId="8" fillId="0" fontId="3" numFmtId="1" xfId="0" applyAlignment="1" applyBorder="1" applyFont="1" applyNumberFormat="1">
      <alignment horizontal="center" readingOrder="0"/>
    </xf>
    <xf borderId="7" fillId="12" fontId="20" numFmtId="0" xfId="0" applyAlignment="1" applyBorder="1" applyFont="1">
      <alignment readingOrder="0"/>
    </xf>
    <xf borderId="7" fillId="6" fontId="35" numFmtId="0" xfId="0" applyAlignment="1" applyBorder="1" applyFont="1">
      <alignment readingOrder="0"/>
    </xf>
    <xf borderId="7" fillId="11" fontId="20" numFmtId="0" xfId="0" applyAlignment="1" applyBorder="1" applyFont="1">
      <alignment readingOrder="0"/>
    </xf>
    <xf borderId="7" fillId="11" fontId="3" numFmtId="0" xfId="0" applyAlignment="1" applyBorder="1" applyFont="1">
      <alignment readingOrder="0"/>
    </xf>
    <xf borderId="12" fillId="6" fontId="8" numFmtId="0" xfId="0" applyAlignment="1" applyBorder="1" applyFont="1">
      <alignment horizontal="center" readingOrder="0"/>
    </xf>
    <xf borderId="24" fillId="6" fontId="8" numFmtId="0" xfId="0" applyAlignment="1" applyBorder="1" applyFont="1">
      <alignment horizontal="center" readingOrder="0" vertical="center"/>
    </xf>
    <xf borderId="24" fillId="6" fontId="18" numFmtId="0" xfId="0" applyAlignment="1" applyBorder="1" applyFont="1">
      <alignment readingOrder="0"/>
    </xf>
    <xf borderId="7" fillId="14" fontId="20" numFmtId="0" xfId="0" applyBorder="1" applyFont="1"/>
    <xf borderId="7" fillId="2" fontId="24" numFmtId="0" xfId="0" applyAlignment="1" applyBorder="1" applyFont="1">
      <alignment horizontal="left"/>
    </xf>
    <xf borderId="21" fillId="6" fontId="36" numFmtId="0" xfId="0" applyAlignment="1" applyBorder="1" applyFont="1">
      <alignment readingOrder="0"/>
    </xf>
    <xf borderId="13" fillId="9" fontId="20" numFmtId="0" xfId="0" applyAlignment="1" applyBorder="1" applyFont="1">
      <alignment readingOrder="0"/>
    </xf>
    <xf borderId="14" fillId="0" fontId="27" numFmtId="0" xfId="0" applyAlignment="1" applyBorder="1" applyFont="1">
      <alignment horizontal="center" readingOrder="0"/>
    </xf>
    <xf borderId="11" fillId="16" fontId="22" numFmtId="0" xfId="0" applyBorder="1" applyFill="1" applyFont="1"/>
    <xf borderId="11" fillId="16" fontId="22" numFmtId="0" xfId="0" applyAlignment="1" applyBorder="1" applyFont="1">
      <alignment readingOrder="0"/>
    </xf>
    <xf borderId="11" fillId="16" fontId="37" numFmtId="3" xfId="0" applyAlignment="1" applyBorder="1" applyFont="1" applyNumberFormat="1">
      <alignment horizontal="left"/>
    </xf>
    <xf borderId="11" fillId="16" fontId="37" numFmtId="0" xfId="0" applyAlignment="1" applyBorder="1" applyFont="1">
      <alignment horizontal="center"/>
    </xf>
    <xf borderId="11" fillId="16" fontId="37" numFmtId="0" xfId="0" applyAlignment="1" applyBorder="1" applyFont="1">
      <alignment horizontal="left"/>
    </xf>
    <xf borderId="31" fillId="16" fontId="37" numFmtId="0" xfId="0" applyAlignment="1" applyBorder="1" applyFont="1">
      <alignment horizontal="center"/>
    </xf>
    <xf borderId="11" fillId="16" fontId="3" numFmtId="0" xfId="0" applyBorder="1" applyFont="1"/>
    <xf borderId="11" fillId="16" fontId="3" numFmtId="0" xfId="0" applyAlignment="1" applyBorder="1" applyFont="1">
      <alignment horizontal="left"/>
    </xf>
    <xf borderId="8" fillId="16" fontId="37" numFmtId="173" xfId="0" applyBorder="1" applyFont="1" applyNumberFormat="1"/>
    <xf borderId="11" fillId="16" fontId="38" numFmtId="0" xfId="0" applyAlignment="1" applyBorder="1" applyFont="1">
      <alignment horizontal="center"/>
    </xf>
    <xf borderId="11" fillId="16" fontId="37" numFmtId="0" xfId="0" applyBorder="1" applyFont="1"/>
    <xf borderId="11" fillId="16" fontId="8" numFmtId="0" xfId="0" applyBorder="1" applyFont="1"/>
    <xf borderId="11" fillId="16" fontId="37" numFmtId="182" xfId="0" applyAlignment="1" applyBorder="1" applyFont="1" applyNumberFormat="1">
      <alignment horizontal="center"/>
    </xf>
    <xf borderId="11" fillId="16" fontId="37" numFmtId="173" xfId="0" applyAlignment="1" applyBorder="1" applyFont="1" applyNumberFormat="1">
      <alignment horizontal="center"/>
    </xf>
    <xf borderId="11" fillId="16" fontId="3" numFmtId="164" xfId="0" applyAlignment="1" applyBorder="1" applyFont="1" applyNumberFormat="1">
      <alignment horizontal="left"/>
    </xf>
    <xf borderId="14" fillId="16" fontId="3" numFmtId="173" xfId="0" applyAlignment="1" applyBorder="1" applyFont="1" applyNumberFormat="1">
      <alignment horizontal="center"/>
    </xf>
    <xf borderId="14" fillId="16" fontId="3" numFmtId="0" xfId="0" applyAlignment="1" applyBorder="1" applyFont="1">
      <alignment horizontal="center"/>
    </xf>
    <xf borderId="15" fillId="16" fontId="3" numFmtId="173" xfId="0" applyAlignment="1" applyBorder="1" applyFont="1" applyNumberFormat="1">
      <alignment horizontal="center"/>
    </xf>
    <xf borderId="8" fillId="0" fontId="20" numFmtId="0" xfId="0" applyAlignment="1" applyBorder="1" applyFont="1">
      <alignment vertical="bottom"/>
    </xf>
    <xf borderId="8" fillId="0" fontId="20" numFmtId="0" xfId="0" applyAlignment="1" applyBorder="1" applyFont="1">
      <alignment horizontal="center" vertical="bottom"/>
    </xf>
    <xf borderId="11" fillId="6" fontId="20" numFmtId="0" xfId="0" applyAlignment="1" applyBorder="1" applyFont="1">
      <alignment horizontal="left" vertical="bottom"/>
    </xf>
    <xf borderId="10" fillId="6" fontId="20" numFmtId="0" xfId="0" applyAlignment="1" applyBorder="1" applyFont="1">
      <alignment vertical="bottom"/>
    </xf>
    <xf borderId="7" fillId="2" fontId="20" numFmtId="0" xfId="0" applyAlignment="1" applyBorder="1" applyFont="1">
      <alignment vertical="bottom"/>
    </xf>
    <xf borderId="8" fillId="0" fontId="20" numFmtId="0" xfId="0" applyAlignment="1" applyBorder="1" applyFont="1">
      <alignment horizontal="center" vertical="bottom"/>
    </xf>
    <xf borderId="7" fillId="6" fontId="20" numFmtId="0" xfId="0" applyAlignment="1" applyBorder="1" applyFont="1">
      <alignment horizontal="center" readingOrder="0" vertical="bottom"/>
    </xf>
    <xf borderId="7" fillId="6" fontId="20" numFmtId="0" xfId="0" applyAlignment="1" applyBorder="1" applyFont="1">
      <alignment horizontal="left" vertical="bottom"/>
    </xf>
    <xf borderId="32" fillId="6" fontId="20" numFmtId="0" xfId="0" applyAlignment="1" applyBorder="1" applyFont="1">
      <alignment readingOrder="0" vertical="bottom"/>
    </xf>
    <xf borderId="12" fillId="6" fontId="3" numFmtId="173" xfId="0" applyAlignment="1" applyBorder="1" applyFont="1" applyNumberFormat="1">
      <alignment readingOrder="0"/>
    </xf>
    <xf borderId="11" fillId="2" fontId="3" numFmtId="164" xfId="0" applyAlignment="1" applyBorder="1" applyFont="1" applyNumberFormat="1">
      <alignment horizontal="center" readingOrder="0"/>
    </xf>
    <xf borderId="11" fillId="2" fontId="3" numFmtId="175" xfId="0" applyAlignment="1" applyBorder="1" applyFont="1" applyNumberFormat="1">
      <alignment horizontal="center" readingOrder="0"/>
    </xf>
    <xf borderId="6" fillId="6" fontId="3" numFmtId="0" xfId="0" applyAlignment="1" applyBorder="1" applyFont="1">
      <alignment readingOrder="0"/>
    </xf>
    <xf borderId="28" fillId="6" fontId="26" numFmtId="0" xfId="0" applyAlignment="1" applyBorder="1" applyFont="1">
      <alignment horizontal="center" readingOrder="0"/>
    </xf>
    <xf borderId="8" fillId="9" fontId="20" numFmtId="0" xfId="0" applyBorder="1" applyFont="1"/>
    <xf borderId="43" fillId="6" fontId="20" numFmtId="0" xfId="0" applyAlignment="1" applyBorder="1" applyFont="1">
      <alignment readingOrder="0"/>
    </xf>
    <xf borderId="11" fillId="2" fontId="8" numFmtId="0" xfId="0" applyAlignment="1" applyBorder="1" applyFont="1">
      <alignment horizontal="left"/>
    </xf>
    <xf borderId="8" fillId="15" fontId="20" numFmtId="0" xfId="0" applyBorder="1" applyFont="1"/>
    <xf borderId="8" fillId="17" fontId="20" numFmtId="0" xfId="0" applyAlignment="1" applyBorder="1" applyFill="1" applyFont="1">
      <alignment readingOrder="0"/>
    </xf>
    <xf borderId="7" fillId="6" fontId="8" numFmtId="2" xfId="0" applyAlignment="1" applyBorder="1" applyFont="1" applyNumberFormat="1">
      <alignment horizontal="left" readingOrder="0"/>
    </xf>
    <xf borderId="8" fillId="9" fontId="20" numFmtId="0" xfId="0" applyAlignment="1" applyBorder="1" applyFont="1">
      <alignment readingOrder="0"/>
    </xf>
    <xf borderId="14" fillId="0" fontId="20" numFmtId="0" xfId="0" applyBorder="1" applyFont="1"/>
    <xf borderId="13" fillId="6" fontId="39" numFmtId="0" xfId="0" applyAlignment="1" applyBorder="1" applyFont="1">
      <alignment readingOrder="0"/>
    </xf>
    <xf borderId="8" fillId="2" fontId="20" numFmtId="0" xfId="0" applyBorder="1" applyFont="1"/>
    <xf borderId="24" fillId="6" fontId="3" numFmtId="178" xfId="0" applyAlignment="1" applyBorder="1" applyFont="1" applyNumberFormat="1">
      <alignment readingOrder="0"/>
    </xf>
    <xf borderId="11" fillId="6" fontId="40" numFmtId="0" xfId="0" applyAlignment="1" applyBorder="1" applyFont="1">
      <alignment horizontal="center" readingOrder="0"/>
    </xf>
    <xf borderId="46" fillId="6" fontId="3" numFmtId="0" xfId="0" applyAlignment="1" applyBorder="1" applyFont="1">
      <alignment readingOrder="0"/>
    </xf>
    <xf borderId="10" fillId="6" fontId="25" numFmtId="2" xfId="0" applyAlignment="1" applyBorder="1" applyFont="1" applyNumberFormat="1">
      <alignment horizontal="left" readingOrder="0"/>
    </xf>
    <xf borderId="7" fillId="2" fontId="18" numFmtId="175" xfId="0" applyAlignment="1" applyBorder="1" applyFont="1" applyNumberFormat="1">
      <alignment horizontal="center" readingOrder="0" vertical="bottom"/>
    </xf>
    <xf borderId="7" fillId="2" fontId="20" numFmtId="164" xfId="0" applyAlignment="1" applyBorder="1" applyFont="1" applyNumberFormat="1">
      <alignment vertical="bottom"/>
    </xf>
    <xf borderId="13" fillId="2" fontId="20" numFmtId="0" xfId="0" applyAlignment="1" applyBorder="1" applyFont="1">
      <alignment horizontal="center" vertical="bottom"/>
    </xf>
    <xf borderId="8" fillId="2" fontId="3" numFmtId="0" xfId="0" applyAlignment="1" applyBorder="1" applyFont="1">
      <alignment readingOrder="0"/>
    </xf>
    <xf borderId="7" fillId="6" fontId="20" numFmtId="177" xfId="0" applyAlignment="1" applyBorder="1" applyFont="1" applyNumberFormat="1">
      <alignment readingOrder="0"/>
    </xf>
    <xf borderId="9" fillId="6" fontId="20" numFmtId="0" xfId="0" applyBorder="1" applyFont="1"/>
    <xf borderId="24" fillId="6" fontId="24" numFmtId="0" xfId="0" applyAlignment="1" applyBorder="1" applyFont="1">
      <alignment readingOrder="0"/>
    </xf>
    <xf borderId="11" fillId="18" fontId="3" numFmtId="0" xfId="0" applyAlignment="1" applyBorder="1" applyFill="1" applyFont="1">
      <alignment horizontal="center"/>
    </xf>
    <xf borderId="7" fillId="18" fontId="3" numFmtId="0" xfId="0" applyAlignment="1" applyBorder="1" applyFont="1">
      <alignment horizontal="center"/>
    </xf>
    <xf borderId="47" fillId="0" fontId="20" numFmtId="0" xfId="0" applyBorder="1" applyFont="1"/>
    <xf borderId="4" fillId="0" fontId="20" numFmtId="49" xfId="0" applyAlignment="1" applyBorder="1" applyFont="1" applyNumberFormat="1">
      <alignment horizontal="center" readingOrder="0"/>
    </xf>
    <xf borderId="47" fillId="0" fontId="20" numFmtId="0" xfId="0" applyAlignment="1" applyBorder="1" applyFont="1">
      <alignment readingOrder="0"/>
    </xf>
    <xf borderId="18" fillId="6" fontId="20" numFmtId="0" xfId="0" applyAlignment="1" applyBorder="1" applyFont="1">
      <alignment readingOrder="0"/>
    </xf>
    <xf borderId="13" fillId="6" fontId="20" numFmtId="173" xfId="0" applyAlignment="1" applyBorder="1" applyFont="1" applyNumberFormat="1">
      <alignment readingOrder="0"/>
    </xf>
    <xf borderId="28" fillId="2" fontId="3" numFmtId="0" xfId="0" applyBorder="1" applyFont="1"/>
    <xf borderId="28" fillId="0" fontId="27" numFmtId="174" xfId="0" applyAlignment="1" applyBorder="1" applyFont="1" applyNumberFormat="1">
      <alignment horizontal="center"/>
    </xf>
    <xf borderId="28" fillId="0" fontId="27" numFmtId="3" xfId="0" applyAlignment="1" applyBorder="1" applyFont="1" applyNumberFormat="1">
      <alignment horizontal="left"/>
    </xf>
    <xf borderId="42" fillId="6" fontId="3" numFmtId="0" xfId="0" applyAlignment="1" applyBorder="1" applyFont="1">
      <alignment readingOrder="0"/>
    </xf>
    <xf borderId="28" fillId="6" fontId="25" numFmtId="2" xfId="0" applyAlignment="1" applyBorder="1" applyFont="1" applyNumberFormat="1">
      <alignment horizontal="left"/>
    </xf>
    <xf borderId="28" fillId="6" fontId="28" numFmtId="0" xfId="0" applyAlignment="1" applyBorder="1" applyFont="1">
      <alignment readingOrder="0"/>
    </xf>
    <xf borderId="28" fillId="6" fontId="30" numFmtId="0" xfId="0" applyAlignment="1" applyBorder="1" applyFont="1">
      <alignment readingOrder="0"/>
    </xf>
    <xf borderId="28" fillId="6" fontId="31" numFmtId="0" xfId="0" applyBorder="1" applyFont="1"/>
    <xf borderId="28" fillId="2" fontId="3" numFmtId="0" xfId="0" applyAlignment="1" applyBorder="1" applyFont="1">
      <alignment horizontal="left"/>
    </xf>
    <xf borderId="28" fillId="2" fontId="3" numFmtId="164" xfId="0" applyAlignment="1" applyBorder="1" applyFont="1" applyNumberFormat="1">
      <alignment horizontal="left"/>
    </xf>
    <xf borderId="28" fillId="8" fontId="3" numFmtId="0" xfId="0" applyAlignment="1" applyBorder="1" applyFont="1">
      <alignment horizontal="center"/>
    </xf>
    <xf borderId="48" fillId="8" fontId="3" numFmtId="0" xfId="0" applyAlignment="1" applyBorder="1" applyFont="1">
      <alignment horizontal="center"/>
    </xf>
    <xf borderId="28" fillId="8" fontId="23" numFmtId="0" xfId="0" applyBorder="1" applyFont="1"/>
    <xf borderId="8" fillId="14" fontId="20" numFmtId="0" xfId="0" applyAlignment="1" applyBorder="1" applyFont="1">
      <alignment readingOrder="0"/>
    </xf>
    <xf borderId="8" fillId="6" fontId="8" numFmtId="0" xfId="0" applyAlignment="1" applyBorder="1" applyFont="1">
      <alignment horizontal="center"/>
    </xf>
    <xf borderId="8" fillId="6" fontId="3" numFmtId="0" xfId="0" applyAlignment="1" applyBorder="1" applyFont="1">
      <alignment readingOrder="0" vertical="bottom"/>
    </xf>
    <xf borderId="28" fillId="2" fontId="20" numFmtId="0" xfId="0" applyBorder="1" applyFont="1"/>
    <xf borderId="28" fillId="0" fontId="3" numFmtId="0" xfId="0" applyAlignment="1" applyBorder="1" applyFont="1">
      <alignment horizontal="center" readingOrder="0"/>
    </xf>
    <xf borderId="48" fillId="6" fontId="8" numFmtId="0" xfId="0" applyAlignment="1" applyBorder="1" applyFont="1">
      <alignment horizontal="center" readingOrder="0"/>
    </xf>
    <xf borderId="49" fillId="6" fontId="3" numFmtId="0" xfId="0" applyAlignment="1" applyBorder="1" applyFont="1">
      <alignment horizontal="center" readingOrder="0"/>
    </xf>
    <xf borderId="48" fillId="2" fontId="3" numFmtId="0" xfId="0" applyAlignment="1" applyBorder="1" applyFont="1">
      <alignment horizontal="center"/>
    </xf>
    <xf borderId="28" fillId="2" fontId="23" numFmtId="0" xfId="0" applyBorder="1" applyFont="1"/>
    <xf borderId="28" fillId="2" fontId="20" numFmtId="0" xfId="0" applyAlignment="1" applyBorder="1" applyFont="1">
      <alignment readingOrder="0"/>
    </xf>
    <xf borderId="28" fillId="0" fontId="27" numFmtId="174" xfId="0" applyAlignment="1" applyBorder="1" applyFont="1" applyNumberFormat="1">
      <alignment horizontal="center" readingOrder="0"/>
    </xf>
    <xf borderId="28" fillId="0" fontId="3" numFmtId="3" xfId="0" applyAlignment="1" applyBorder="1" applyFont="1" applyNumberFormat="1">
      <alignment horizontal="left"/>
    </xf>
    <xf borderId="28" fillId="14" fontId="3" numFmtId="0" xfId="0" applyAlignment="1" applyBorder="1" applyFont="1">
      <alignment readingOrder="0"/>
    </xf>
    <xf borderId="28" fillId="6" fontId="3" numFmtId="0" xfId="0" applyAlignment="1" applyBorder="1" applyFont="1">
      <alignment readingOrder="0" vertical="bottom"/>
    </xf>
    <xf borderId="28" fillId="0" fontId="13" numFmtId="0" xfId="0" applyBorder="1" applyFont="1"/>
    <xf borderId="0" fillId="0" fontId="23" numFmtId="0" xfId="0" applyAlignment="1" applyFont="1">
      <alignment horizontal="left"/>
    </xf>
    <xf borderId="8" fillId="2" fontId="20" numFmtId="0" xfId="0" applyAlignment="1" applyBorder="1" applyFont="1">
      <alignment horizontal="left"/>
    </xf>
    <xf borderId="0" fillId="0" fontId="13" numFmtId="0" xfId="0" applyAlignment="1" applyFont="1">
      <alignment readingOrder="0"/>
    </xf>
    <xf borderId="0" fillId="10" fontId="12" numFmtId="0" xfId="0" applyAlignment="1" applyFont="1">
      <alignment readingOrder="0" vertical="center"/>
    </xf>
    <xf borderId="0" fillId="0" fontId="41" numFmtId="0" xfId="0" applyAlignment="1" applyFont="1">
      <alignment horizontal="left" vertical="center"/>
    </xf>
    <xf borderId="9" fillId="7" fontId="42" numFmtId="0" xfId="0" applyAlignment="1" applyBorder="1" applyFont="1">
      <alignment horizontal="left" readingOrder="0" vertical="center"/>
    </xf>
    <xf borderId="0" fillId="18" fontId="42" numFmtId="0" xfId="0" applyAlignment="1" applyFont="1">
      <alignment horizontal="left" readingOrder="0" vertical="center"/>
    </xf>
    <xf borderId="0" fillId="19" fontId="2" numFmtId="0" xfId="0" applyAlignment="1" applyFill="1" applyFont="1">
      <alignment horizontal="left" readingOrder="0" vertical="center"/>
    </xf>
    <xf borderId="0" fillId="15" fontId="43" numFmtId="0" xfId="0" applyAlignment="1" applyFont="1">
      <alignment horizontal="center" readingOrder="0" vertical="center"/>
    </xf>
    <xf borderId="0" fillId="0" fontId="2" numFmtId="0" xfId="0" applyAlignment="1" applyFont="1">
      <alignment horizontal="center" readingOrder="0" vertical="center"/>
    </xf>
    <xf borderId="0" fillId="0" fontId="12"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9" fillId="9" fontId="44" numFmtId="0" xfId="0" applyAlignment="1" applyBorder="1" applyFont="1">
      <alignment horizontal="left" vertical="center"/>
    </xf>
    <xf borderId="9" fillId="9" fontId="44" numFmtId="0" xfId="0" applyAlignment="1" applyBorder="1" applyFont="1">
      <alignment horizontal="left" readingOrder="0" vertical="center"/>
    </xf>
    <xf borderId="0" fillId="0" fontId="2" numFmtId="0" xfId="0" applyAlignment="1" applyFont="1">
      <alignment horizontal="left" shrinkToFit="0" vertical="center" wrapText="1"/>
    </xf>
    <xf borderId="0" fillId="20" fontId="41" numFmtId="0" xfId="0" applyAlignment="1" applyFill="1" applyFont="1">
      <alignment horizontal="left" readingOrder="0" vertical="center"/>
    </xf>
    <xf borderId="0" fillId="0" fontId="2" numFmtId="0" xfId="0" applyAlignment="1" applyFont="1">
      <alignment horizontal="left" vertical="center"/>
    </xf>
    <xf borderId="0" fillId="0" fontId="43" numFmtId="0" xfId="0" applyAlignment="1" applyFont="1">
      <alignment horizontal="center" vertical="center"/>
    </xf>
    <xf borderId="9" fillId="12" fontId="42" numFmtId="0" xfId="0" applyAlignment="1" applyBorder="1" applyFont="1">
      <alignment horizontal="left" vertical="center"/>
    </xf>
    <xf borderId="0" fillId="21" fontId="43" numFmtId="0" xfId="0" applyAlignment="1" applyFill="1" applyFont="1">
      <alignment horizontal="left" readingOrder="0" vertical="center"/>
    </xf>
    <xf borderId="0" fillId="0" fontId="43" numFmtId="0" xfId="0" applyAlignment="1" applyFont="1">
      <alignment horizontal="left" vertical="center"/>
    </xf>
    <xf borderId="0" fillId="0" fontId="43" numFmtId="0" xfId="0" applyAlignment="1" applyFont="1">
      <alignment horizontal="center" readingOrder="0" vertical="center"/>
    </xf>
    <xf borderId="44" fillId="22" fontId="43" numFmtId="0" xfId="0" applyAlignment="1" applyBorder="1" applyFill="1" applyFont="1">
      <alignment horizontal="center" readingOrder="0" vertical="center"/>
    </xf>
    <xf borderId="0" fillId="0" fontId="43" numFmtId="0" xfId="0" applyAlignment="1" applyFont="1">
      <alignment horizontal="center" shrinkToFit="0" vertical="center" wrapText="1"/>
    </xf>
    <xf borderId="0" fillId="0" fontId="43" numFmtId="0" xfId="0" applyAlignment="1" applyFont="1">
      <alignment horizontal="center" readingOrder="0" shrinkToFit="0" vertical="center" wrapText="1"/>
    </xf>
    <xf borderId="0" fillId="9" fontId="45" numFmtId="0" xfId="0" applyAlignment="1" applyFont="1">
      <alignment horizontal="center" vertical="center"/>
    </xf>
    <xf borderId="0" fillId="9" fontId="45" numFmtId="0" xfId="0" applyAlignment="1" applyFont="1">
      <alignment horizontal="left" vertical="center"/>
    </xf>
    <xf borderId="9" fillId="9" fontId="45" numFmtId="0" xfId="0" applyAlignment="1" applyBorder="1" applyFont="1">
      <alignment horizontal="center" vertical="center"/>
    </xf>
    <xf borderId="0" fillId="23" fontId="45" numFmtId="0" xfId="0" applyAlignment="1" applyFill="1" applyFont="1">
      <alignment readingOrder="0" vertical="bottom"/>
    </xf>
    <xf borderId="4" fillId="23" fontId="45" numFmtId="0" xfId="0" applyAlignment="1" applyBorder="1" applyFont="1">
      <alignment readingOrder="0" vertical="bottom"/>
    </xf>
    <xf borderId="0" fillId="23" fontId="45" numFmtId="0" xfId="0" applyAlignment="1" applyFont="1">
      <alignment vertical="bottom"/>
    </xf>
    <xf borderId="0" fillId="23" fontId="45" numFmtId="0" xfId="0" applyAlignment="1" applyFont="1">
      <alignment horizontal="left" vertical="bottom"/>
    </xf>
    <xf borderId="44" fillId="22" fontId="2" numFmtId="0" xfId="0" applyAlignment="1" applyBorder="1" applyFont="1">
      <alignment horizontal="center" readingOrder="0" vertical="center"/>
    </xf>
    <xf borderId="0" fillId="22" fontId="41" numFmtId="0" xfId="0" applyAlignment="1" applyFont="1">
      <alignment horizontal="left" vertical="bottom"/>
    </xf>
    <xf borderId="0" fillId="24" fontId="43" numFmtId="0" xfId="0" applyAlignment="1" applyFill="1" applyFont="1">
      <alignment horizontal="left" vertical="center"/>
    </xf>
    <xf borderId="44" fillId="24" fontId="43" numFmtId="0" xfId="0" applyAlignment="1" applyBorder="1" applyFont="1">
      <alignment horizontal="center" vertical="center"/>
    </xf>
    <xf borderId="44" fillId="25" fontId="41" numFmtId="0" xfId="0" applyAlignment="1" applyBorder="1" applyFill="1" applyFont="1">
      <alignment horizontal="center" readingOrder="0" vertical="center"/>
    </xf>
    <xf borderId="44" fillId="25" fontId="41" numFmtId="0" xfId="0" applyAlignment="1" applyBorder="1" applyFont="1">
      <alignment horizontal="center" vertical="center"/>
    </xf>
    <xf borderId="44" fillId="25" fontId="43" numFmtId="0" xfId="0" applyAlignment="1" applyBorder="1" applyFont="1">
      <alignment horizontal="center" readingOrder="0" vertical="center"/>
    </xf>
    <xf borderId="44" fillId="25" fontId="43" numFmtId="0" xfId="0" applyAlignment="1" applyBorder="1" applyFont="1">
      <alignment horizontal="center" vertical="center"/>
    </xf>
    <xf borderId="44" fillId="9" fontId="45" numFmtId="0" xfId="0" applyAlignment="1" applyBorder="1" applyFont="1">
      <alignment horizontal="center" vertical="center"/>
    </xf>
    <xf borderId="8" fillId="0" fontId="2" numFmtId="0" xfId="0" applyAlignment="1" applyBorder="1" applyFont="1">
      <alignment horizontal="center" vertical="center"/>
    </xf>
    <xf borderId="0" fillId="26" fontId="2" numFmtId="0" xfId="0" applyAlignment="1" applyFill="1" applyFont="1">
      <alignment horizontal="left" vertical="center"/>
    </xf>
    <xf borderId="0" fillId="2" fontId="42" numFmtId="49" xfId="0" applyAlignment="1" applyFont="1" applyNumberFormat="1">
      <alignment horizontal="center" vertical="center"/>
    </xf>
    <xf borderId="0" fillId="2" fontId="42" numFmtId="3" xfId="0" applyAlignment="1" applyFont="1" applyNumberFormat="1">
      <alignment horizontal="center" vertical="center"/>
    </xf>
    <xf borderId="0" fillId="26" fontId="42" numFmtId="0" xfId="0" applyAlignment="1" applyFont="1">
      <alignment horizontal="left" vertical="center"/>
    </xf>
    <xf borderId="0" fillId="2" fontId="42" numFmtId="0" xfId="0" applyAlignment="1" applyFont="1">
      <alignment horizontal="left" vertical="center"/>
    </xf>
    <xf borderId="0" fillId="0" fontId="2" numFmtId="173" xfId="0" applyAlignment="1" applyFont="1" applyNumberFormat="1">
      <alignment horizontal="center" vertical="center"/>
    </xf>
    <xf borderId="0" fillId="0" fontId="42" numFmtId="173" xfId="0" applyAlignment="1" applyFont="1" applyNumberFormat="1">
      <alignment horizontal="center" vertical="center"/>
    </xf>
    <xf borderId="0" fillId="0" fontId="46" numFmtId="173" xfId="0" applyAlignment="1" applyFont="1" applyNumberFormat="1">
      <alignment horizontal="center" vertical="center"/>
    </xf>
    <xf borderId="0" fillId="2" fontId="2" numFmtId="173" xfId="0" applyAlignment="1" applyFont="1" applyNumberFormat="1">
      <alignment horizontal="center" vertical="center"/>
    </xf>
    <xf borderId="0" fillId="2" fontId="42" numFmtId="173" xfId="0" applyAlignment="1" applyFont="1" applyNumberFormat="1">
      <alignment horizontal="center" shrinkToFit="0" vertical="center" wrapText="1"/>
    </xf>
    <xf borderId="0" fillId="2" fontId="42" numFmtId="0" xfId="0" applyAlignment="1" applyFont="1">
      <alignment horizontal="left" readingOrder="0" vertical="center"/>
    </xf>
    <xf borderId="0" fillId="0" fontId="42" numFmtId="0" xfId="0" applyAlignment="1" applyFont="1">
      <alignment horizontal="left" vertical="center"/>
    </xf>
    <xf borderId="0" fillId="2" fontId="42" numFmtId="173" xfId="0" applyAlignment="1" applyFont="1" applyNumberFormat="1">
      <alignment horizontal="center" vertical="center"/>
    </xf>
    <xf borderId="0" fillId="2" fontId="42" numFmtId="173" xfId="0" applyAlignment="1" applyFont="1" applyNumberFormat="1">
      <alignment horizontal="left" vertical="center"/>
    </xf>
    <xf borderId="0" fillId="2" fontId="42" numFmtId="173" xfId="0" applyAlignment="1" applyFont="1" applyNumberFormat="1">
      <alignment vertical="center"/>
    </xf>
    <xf borderId="1" fillId="0" fontId="12" numFmtId="0" xfId="0" applyAlignment="1" applyBorder="1" applyFont="1">
      <alignment vertical="center"/>
    </xf>
    <xf borderId="2" fillId="0" fontId="12" numFmtId="0" xfId="0" applyAlignment="1" applyBorder="1" applyFont="1">
      <alignment vertical="center"/>
    </xf>
    <xf borderId="0" fillId="2" fontId="42" numFmtId="174" xfId="0" applyAlignment="1" applyFont="1" applyNumberFormat="1">
      <alignment horizontal="center" vertical="center"/>
    </xf>
    <xf borderId="0" fillId="2" fontId="41" numFmtId="0" xfId="0" applyAlignment="1" applyFont="1">
      <alignment horizontal="left" readingOrder="0" vertical="center"/>
    </xf>
    <xf borderId="4" fillId="0" fontId="12" numFmtId="0" xfId="0" applyAlignment="1" applyBorder="1" applyFont="1">
      <alignment vertical="center"/>
    </xf>
    <xf borderId="0" fillId="2" fontId="2" numFmtId="0" xfId="0" applyAlignment="1" applyFont="1">
      <alignment horizontal="left" vertical="center"/>
    </xf>
    <xf borderId="0" fillId="2" fontId="2" numFmtId="0" xfId="0" applyAlignment="1" applyFont="1">
      <alignment horizontal="center" vertical="center"/>
    </xf>
    <xf borderId="0" fillId="2" fontId="2" numFmtId="0" xfId="0" applyAlignment="1" applyFont="1">
      <alignment horizontal="left" vertical="center"/>
    </xf>
    <xf borderId="0" fillId="2" fontId="42" numFmtId="0" xfId="0" applyAlignment="1" applyFont="1">
      <alignment horizontal="center" vertical="center"/>
    </xf>
    <xf borderId="35" fillId="0" fontId="12" numFmtId="0" xfId="0" applyAlignment="1" applyBorder="1" applyFont="1">
      <alignment vertical="center"/>
    </xf>
    <xf borderId="6" fillId="0" fontId="12" numFmtId="0" xfId="0" applyAlignment="1" applyBorder="1" applyFont="1">
      <alignment vertical="center"/>
    </xf>
    <xf borderId="0" fillId="2" fontId="47" numFmtId="174" xfId="0" applyAlignment="1" applyFont="1" applyNumberFormat="1">
      <alignment horizontal="center" vertical="center"/>
    </xf>
    <xf borderId="9" fillId="0" fontId="12" numFmtId="0" xfId="0" applyAlignment="1" applyBorder="1" applyFont="1">
      <alignment vertical="center"/>
    </xf>
    <xf borderId="0" fillId="12" fontId="2" numFmtId="0" xfId="0" applyAlignment="1" applyFont="1">
      <alignment horizontal="left" readingOrder="0" vertical="center"/>
    </xf>
    <xf borderId="0" fillId="2" fontId="47" numFmtId="0" xfId="0" applyAlignment="1" applyFont="1">
      <alignment horizontal="left" readingOrder="0" vertical="center"/>
    </xf>
    <xf borderId="0" fillId="2" fontId="41" numFmtId="0" xfId="0" applyAlignment="1" applyFont="1">
      <alignment horizontal="left" readingOrder="0" vertical="center"/>
    </xf>
    <xf borderId="0" fillId="12" fontId="2" numFmtId="0" xfId="0" applyAlignment="1" applyFont="1">
      <alignment horizontal="left" vertical="center"/>
    </xf>
    <xf borderId="0" fillId="2" fontId="2" numFmtId="0" xfId="0" applyAlignment="1" applyFont="1">
      <alignment horizontal="left" readingOrder="0" vertical="center"/>
    </xf>
    <xf borderId="0" fillId="2" fontId="42" numFmtId="0" xfId="0" applyAlignment="1" applyFont="1">
      <alignment horizontal="center" vertical="center"/>
    </xf>
    <xf borderId="0" fillId="0" fontId="48" numFmtId="173" xfId="0" applyAlignment="1" applyFont="1" applyNumberFormat="1">
      <alignment horizontal="center" vertical="center"/>
    </xf>
    <xf borderId="0" fillId="0" fontId="49" numFmtId="173" xfId="0" applyAlignment="1" applyFont="1" applyNumberFormat="1">
      <alignment horizontal="center" vertical="center"/>
    </xf>
    <xf borderId="0" fillId="9" fontId="2" numFmtId="173" xfId="0" applyAlignment="1" applyFont="1" applyNumberFormat="1">
      <alignment horizontal="center" vertical="center"/>
    </xf>
    <xf borderId="0" fillId="0" fontId="50" numFmtId="0" xfId="0" applyAlignment="1" applyFont="1">
      <alignment vertical="center"/>
    </xf>
    <xf borderId="0" fillId="15" fontId="42" numFmtId="0" xfId="0" applyAlignment="1" applyFont="1">
      <alignment horizontal="left" vertical="center"/>
    </xf>
    <xf borderId="0" fillId="2" fontId="42" numFmtId="1" xfId="0" applyAlignment="1" applyFont="1" applyNumberFormat="1">
      <alignment horizontal="center" vertical="center"/>
    </xf>
    <xf borderId="0" fillId="0" fontId="42" numFmtId="3" xfId="0" applyAlignment="1" applyFont="1" applyNumberFormat="1">
      <alignment horizontal="left" vertical="center"/>
    </xf>
    <xf borderId="0" fillId="26" fontId="2" numFmtId="0" xfId="0" applyAlignment="1" applyFont="1">
      <alignment readingOrder="0" vertical="center"/>
    </xf>
    <xf borderId="0" fillId="2" fontId="47" numFmtId="3" xfId="0" applyAlignment="1" applyFont="1" applyNumberFormat="1">
      <alignment horizontal="center" vertical="center"/>
    </xf>
    <xf borderId="0" fillId="12" fontId="42" numFmtId="0" xfId="0" applyAlignment="1" applyFont="1">
      <alignment horizontal="left" vertical="center"/>
    </xf>
    <xf borderId="0" fillId="2" fontId="47" numFmtId="0" xfId="0" applyAlignment="1" applyFont="1">
      <alignment horizontal="center" vertical="center"/>
    </xf>
    <xf borderId="0" fillId="0" fontId="2" numFmtId="0" xfId="0" applyAlignment="1" applyFont="1">
      <alignment horizontal="right" vertical="center"/>
    </xf>
    <xf borderId="0" fillId="26" fontId="2" numFmtId="0" xfId="0" applyAlignment="1" applyFont="1">
      <alignment horizontal="left" readingOrder="0" vertical="center"/>
    </xf>
    <xf borderId="0" fillId="0" fontId="2" numFmtId="0" xfId="0" applyAlignment="1" applyFont="1">
      <alignment vertical="center"/>
    </xf>
    <xf borderId="0" fillId="26" fontId="51" numFmtId="0" xfId="0" applyAlignment="1" applyFont="1">
      <alignment readingOrder="0" vertical="center"/>
    </xf>
    <xf borderId="0" fillId="0" fontId="2" numFmtId="0" xfId="0" applyAlignment="1" applyFont="1">
      <alignment readingOrder="0" vertical="center"/>
    </xf>
    <xf borderId="0" fillId="2" fontId="2" numFmtId="0" xfId="0" applyAlignment="1" applyFont="1">
      <alignment horizontal="center" readingOrder="0" vertical="center"/>
    </xf>
    <xf borderId="0" fillId="0" fontId="2" numFmtId="0" xfId="0" applyAlignment="1" applyFont="1">
      <alignment horizontal="left" vertical="center"/>
    </xf>
    <xf borderId="0" fillId="0" fontId="2" numFmtId="173" xfId="0" applyAlignment="1" applyFont="1" applyNumberFormat="1">
      <alignment horizontal="left" vertical="center"/>
    </xf>
    <xf borderId="0" fillId="0" fontId="2" numFmtId="0" xfId="0" applyAlignment="1" applyFont="1">
      <alignment horizontal="left" readingOrder="0" vertical="center"/>
    </xf>
    <xf borderId="0" fillId="2" fontId="42" numFmtId="0" xfId="0" applyAlignment="1" applyFont="1">
      <alignment horizontal="center" readingOrder="0" vertical="center"/>
    </xf>
    <xf borderId="0" fillId="2" fontId="42" numFmtId="3" xfId="0" applyAlignment="1" applyFont="1" applyNumberFormat="1">
      <alignment horizontal="center" readingOrder="0" vertical="center"/>
    </xf>
    <xf borderId="0" fillId="19" fontId="2" numFmtId="0" xfId="0" applyAlignment="1" applyFont="1">
      <alignment horizontal="left" vertical="center"/>
    </xf>
    <xf borderId="0" fillId="2" fontId="2" numFmtId="174" xfId="0" applyAlignment="1" applyFont="1" applyNumberFormat="1">
      <alignment horizontal="left" vertical="center"/>
    </xf>
    <xf borderId="4" fillId="2" fontId="2" numFmtId="173" xfId="0" applyAlignment="1" applyBorder="1" applyFont="1" applyNumberFormat="1">
      <alignment horizontal="center" vertical="center"/>
    </xf>
    <xf borderId="0" fillId="19" fontId="42" numFmtId="0" xfId="0" applyAlignment="1" applyFont="1">
      <alignment readingOrder="0" vertical="center"/>
    </xf>
    <xf borderId="0" fillId="0" fontId="2" numFmtId="3" xfId="0" applyAlignment="1" applyFont="1" applyNumberFormat="1">
      <alignment horizontal="center" readingOrder="0" vertical="center"/>
    </xf>
    <xf borderId="0" fillId="0" fontId="13" numFmtId="0" xfId="0" applyAlignment="1" applyFont="1">
      <alignment horizontal="center"/>
    </xf>
    <xf borderId="0" fillId="0" fontId="2" numFmtId="0" xfId="0" applyFont="1"/>
    <xf borderId="0" fillId="2" fontId="2" numFmtId="0" xfId="0" applyFont="1"/>
    <xf borderId="0" fillId="19" fontId="42" numFmtId="0" xfId="0" applyAlignment="1" applyFont="1">
      <alignment horizontal="left" vertical="center"/>
    </xf>
    <xf borderId="0" fillId="0" fontId="46" numFmtId="0" xfId="0" applyAlignment="1" applyFont="1">
      <alignment horizontal="center" readingOrder="0" vertical="center"/>
    </xf>
    <xf borderId="0" fillId="8" fontId="51" numFmtId="0" xfId="0" applyAlignment="1" applyFont="1">
      <alignment readingOrder="0" vertical="center"/>
    </xf>
    <xf borderId="0" fillId="7" fontId="42" numFmtId="0" xfId="0" applyAlignment="1" applyFont="1">
      <alignment horizontal="left" readingOrder="0" vertical="center"/>
    </xf>
    <xf borderId="8" fillId="0" fontId="2" numFmtId="0" xfId="0" applyAlignment="1" applyBorder="1" applyFont="1">
      <alignment horizontal="left" vertical="center"/>
    </xf>
    <xf borderId="0" fillId="12" fontId="42" numFmtId="0" xfId="0" applyAlignment="1" applyFont="1">
      <alignment horizontal="left" readingOrder="0" vertical="center"/>
    </xf>
    <xf borderId="0" fillId="0" fontId="42" numFmtId="0" xfId="0" applyAlignment="1" applyFont="1">
      <alignment horizontal="left" readingOrder="0" vertical="center"/>
    </xf>
    <xf borderId="0" fillId="0" fontId="43" numFmtId="0" xfId="0" applyAlignment="1" applyFont="1">
      <alignment vertical="center"/>
    </xf>
    <xf borderId="0" fillId="21" fontId="42" numFmtId="0" xfId="0" applyAlignment="1" applyFont="1">
      <alignment horizontal="left" vertical="center"/>
    </xf>
    <xf borderId="0" fillId="15" fontId="42" numFmtId="0" xfId="0" applyAlignment="1" applyFont="1">
      <alignment horizontal="left" readingOrder="0" vertical="center"/>
    </xf>
    <xf borderId="0" fillId="7" fontId="42" numFmtId="0" xfId="0" applyAlignment="1" applyFont="1">
      <alignment horizontal="left" vertical="center"/>
    </xf>
    <xf borderId="0" fillId="27" fontId="42" numFmtId="0" xfId="0" applyAlignment="1" applyFill="1" applyFont="1">
      <alignment horizontal="left" vertical="center"/>
    </xf>
    <xf borderId="0" fillId="0" fontId="42" numFmtId="174" xfId="0" applyAlignment="1" applyFont="1" applyNumberFormat="1">
      <alignment horizontal="center" vertical="center"/>
    </xf>
    <xf borderId="0" fillId="0" fontId="42" numFmtId="3" xfId="0" applyAlignment="1" applyFont="1" applyNumberFormat="1">
      <alignment horizontal="center" vertical="center"/>
    </xf>
    <xf borderId="0" fillId="0" fontId="42" numFmtId="0" xfId="0" applyAlignment="1" applyFont="1">
      <alignment horizontal="center" readingOrder="0" vertical="center"/>
    </xf>
    <xf borderId="0" fillId="0" fontId="42" numFmtId="3" xfId="0" applyAlignment="1" applyFont="1" applyNumberFormat="1">
      <alignment horizontal="center" readingOrder="0" vertical="center"/>
    </xf>
    <xf borderId="0" fillId="2" fontId="52" numFmtId="0" xfId="0" applyAlignment="1" applyFont="1">
      <alignment horizontal="left" readingOrder="0" vertical="center"/>
    </xf>
    <xf borderId="0" fillId="0" fontId="2" numFmtId="3" xfId="0" applyAlignment="1" applyFont="1" applyNumberFormat="1">
      <alignment horizontal="center" vertical="center"/>
    </xf>
    <xf borderId="0" fillId="2" fontId="44" numFmtId="0" xfId="0" applyAlignment="1" applyFont="1">
      <alignment horizontal="center" vertical="center"/>
    </xf>
    <xf borderId="0" fillId="2" fontId="44" numFmtId="0" xfId="0" applyAlignment="1" applyFont="1">
      <alignment horizontal="left" vertical="center"/>
    </xf>
    <xf borderId="0" fillId="2" fontId="53" numFmtId="0" xfId="0" applyAlignment="1" applyFont="1">
      <alignment horizontal="center" vertical="center"/>
    </xf>
    <xf borderId="0" fillId="2" fontId="43" numFmtId="0" xfId="0" applyAlignment="1" applyFont="1">
      <alignment horizontal="center" vertical="center"/>
    </xf>
    <xf borderId="0" fillId="2" fontId="54" numFmtId="0" xfId="0" applyAlignment="1" applyFont="1">
      <alignment horizontal="left" readingOrder="0" vertical="center"/>
    </xf>
    <xf borderId="0" fillId="15" fontId="55" numFmtId="0" xfId="0" applyAlignment="1" applyFont="1">
      <alignment readingOrder="0" vertical="center"/>
    </xf>
    <xf borderId="0" fillId="15" fontId="2" numFmtId="0" xfId="0" applyAlignment="1" applyFont="1">
      <alignment vertical="center"/>
    </xf>
    <xf borderId="0" fillId="2" fontId="56" numFmtId="0" xfId="0" applyAlignment="1" applyFont="1">
      <alignment horizontal="center" readingOrder="0" vertical="center"/>
    </xf>
    <xf borderId="0" fillId="2" fontId="57" numFmtId="0" xfId="0" applyAlignment="1" applyFont="1">
      <alignment vertical="center"/>
    </xf>
    <xf borderId="0" fillId="0" fontId="58" numFmtId="0" xfId="0" applyAlignment="1" applyFont="1">
      <alignment readingOrder="0" vertical="center"/>
    </xf>
    <xf borderId="0" fillId="20" fontId="50" numFmtId="0" xfId="0" applyAlignment="1" applyFont="1">
      <alignment readingOrder="0" vertical="center"/>
    </xf>
    <xf borderId="0" fillId="0" fontId="12" numFmtId="0" xfId="0" applyAlignment="1" applyFont="1">
      <alignment horizontal="left" readingOrder="0" vertical="center"/>
    </xf>
    <xf borderId="0" fillId="21" fontId="59" numFmtId="0" xfId="0" applyAlignment="1" applyFont="1">
      <alignment readingOrder="0" vertical="center"/>
    </xf>
    <xf borderId="8" fillId="0" fontId="2" numFmtId="0" xfId="0" applyAlignment="1" applyBorder="1" applyFont="1">
      <alignment horizontal="center" readingOrder="0" vertical="center"/>
    </xf>
    <xf borderId="0" fillId="0" fontId="12" numFmtId="0" xfId="0" applyAlignment="1" applyFont="1">
      <alignment horizontal="left" vertical="center"/>
    </xf>
    <xf borderId="0" fillId="2" fontId="50" numFmtId="0" xfId="0" applyAlignment="1" applyFont="1">
      <alignment horizontal="left" vertical="center"/>
    </xf>
    <xf borderId="0" fillId="2" fontId="43" numFmtId="0" xfId="0" applyAlignment="1" applyFont="1">
      <alignment horizontal="left" readingOrder="0" vertical="center"/>
    </xf>
    <xf borderId="0" fillId="18" fontId="12" numFmtId="0" xfId="0" applyAlignment="1" applyFont="1">
      <alignment readingOrder="0" vertical="center"/>
    </xf>
    <xf borderId="0" fillId="3" fontId="12" numFmtId="0" xfId="0" applyAlignment="1" applyFont="1">
      <alignment horizontal="center" vertical="center"/>
    </xf>
    <xf borderId="0" fillId="2" fontId="2" numFmtId="3" xfId="0" applyAlignment="1" applyFont="1" applyNumberFormat="1">
      <alignment horizontal="center" vertical="center"/>
    </xf>
    <xf borderId="4" fillId="0" fontId="2" numFmtId="0" xfId="0" applyAlignment="1" applyBorder="1" applyFont="1">
      <alignment horizontal="center" vertical="center"/>
    </xf>
    <xf borderId="4" fillId="0" fontId="2" numFmtId="0" xfId="0" applyAlignment="1" applyBorder="1" applyFont="1">
      <alignment horizontal="left" vertical="center"/>
    </xf>
    <xf borderId="0" fillId="2" fontId="2" numFmtId="0" xfId="0" applyAlignment="1" applyFont="1">
      <alignment vertical="center"/>
    </xf>
    <xf borderId="0" fillId="2" fontId="47" numFmtId="0" xfId="0" applyAlignment="1" applyFont="1">
      <alignment horizontal="left" readingOrder="0" vertical="center"/>
    </xf>
    <xf borderId="0" fillId="0" fontId="60" numFmtId="0" xfId="0" applyAlignment="1" applyFont="1">
      <alignment horizontal="center" vertical="center"/>
    </xf>
    <xf borderId="0" fillId="0" fontId="2" numFmtId="183" xfId="0" applyAlignment="1" applyFont="1" applyNumberFormat="1">
      <alignment horizontal="center" readingOrder="0" vertical="center"/>
    </xf>
    <xf borderId="9" fillId="7" fontId="41" numFmtId="0" xfId="0" applyAlignment="1" applyBorder="1" applyFont="1">
      <alignment horizontal="left" readingOrder="0" vertical="center"/>
    </xf>
    <xf borderId="0" fillId="18" fontId="41" numFmtId="0" xfId="0" applyAlignment="1" applyFont="1">
      <alignment horizontal="left" readingOrder="0" vertical="center"/>
    </xf>
    <xf borderId="0" fillId="19" fontId="43" numFmtId="0" xfId="0" applyAlignment="1" applyFont="1">
      <alignment horizontal="left" readingOrder="0" vertical="center"/>
    </xf>
    <xf borderId="0" fillId="10" fontId="61" numFmtId="0" xfId="0" applyAlignment="1" applyFont="1">
      <alignment readingOrder="0" vertical="center"/>
    </xf>
    <xf borderId="9" fillId="12" fontId="41" numFmtId="0" xfId="0" applyAlignment="1" applyBorder="1" applyFont="1">
      <alignment horizontal="left" vertical="center"/>
    </xf>
    <xf borderId="9" fillId="2" fontId="2" numFmtId="0" xfId="0" applyAlignment="1" applyBorder="1" applyFont="1">
      <alignment horizontal="center" vertical="center"/>
    </xf>
    <xf borderId="0" fillId="0" fontId="61" numFmtId="0" xfId="0" applyAlignment="1" applyFont="1">
      <alignment readingOrder="0" vertical="center"/>
    </xf>
    <xf borderId="0" fillId="0" fontId="2" numFmtId="0" xfId="0" applyAlignment="1" applyFont="1">
      <alignment horizontal="right" readingOrder="0" vertical="center"/>
    </xf>
    <xf borderId="0" fillId="2" fontId="21" numFmtId="0" xfId="0" applyAlignment="1" applyFont="1">
      <alignment horizontal="center" readingOrder="0"/>
    </xf>
    <xf borderId="0" fillId="2" fontId="20" numFmtId="0" xfId="0" applyAlignment="1" applyFont="1">
      <alignment readingOrder="0"/>
    </xf>
    <xf borderId="0" fillId="2" fontId="20" numFmtId="0" xfId="0" applyFont="1"/>
    <xf borderId="0" fillId="2" fontId="20" numFmtId="0" xfId="0" applyFont="1"/>
    <xf borderId="0" fillId="2" fontId="3" numFmtId="1" xfId="0" applyAlignment="1" applyFont="1" applyNumberFormat="1">
      <alignment horizontal="right"/>
    </xf>
    <xf borderId="0" fillId="2" fontId="20" numFmtId="184" xfId="0" applyAlignment="1" applyFont="1" applyNumberFormat="1">
      <alignment horizontal="right"/>
    </xf>
    <xf borderId="0" fillId="2" fontId="22" numFmtId="0" xfId="0" applyFont="1"/>
    <xf borderId="0" fillId="2" fontId="8" numFmtId="0" xfId="0" applyFont="1"/>
    <xf borderId="0" fillId="2" fontId="27" numFmtId="0" xfId="0" applyFont="1"/>
    <xf borderId="0" fillId="2" fontId="62" numFmtId="0" xfId="0" applyAlignment="1" applyFont="1">
      <alignment readingOrder="0"/>
    </xf>
    <xf borderId="0" fillId="2" fontId="3" numFmtId="184" xfId="0" applyAlignment="1" applyFont="1" applyNumberFormat="1">
      <alignment horizontal="right"/>
    </xf>
    <xf borderId="0" fillId="2" fontId="26" numFmtId="0" xfId="0" applyAlignment="1" applyFont="1">
      <alignment readingOrder="0"/>
    </xf>
    <xf borderId="0" fillId="0" fontId="13" numFmtId="1" xfId="0" applyAlignment="1" applyFont="1" applyNumberFormat="1">
      <alignment horizontal="right"/>
    </xf>
    <xf borderId="0" fillId="2" fontId="3" numFmtId="0" xfId="0" applyAlignment="1" applyFont="1">
      <alignment readingOrder="0"/>
    </xf>
    <xf borderId="0" fillId="0" fontId="13" numFmtId="0" xfId="0" applyAlignment="1" applyFont="1">
      <alignment readingOrder="0"/>
    </xf>
    <xf borderId="0" fillId="0" fontId="13" numFmtId="1" xfId="0" applyAlignment="1" applyFont="1" applyNumberFormat="1">
      <alignment horizontal="right" readingOrder="0"/>
    </xf>
    <xf borderId="0" fillId="2" fontId="3" numFmtId="0" xfId="0" applyFont="1"/>
    <xf borderId="0" fillId="2" fontId="20" numFmtId="0" xfId="0" applyFont="1"/>
    <xf borderId="0" fillId="2" fontId="3" numFmtId="1" xfId="0" applyAlignment="1" applyFont="1" applyNumberFormat="1">
      <alignment horizontal="right" readingOrder="0"/>
    </xf>
    <xf borderId="0" fillId="0" fontId="13" numFmtId="0" xfId="0" applyFont="1"/>
    <xf borderId="0" fillId="2" fontId="20" numFmtId="0" xfId="0" applyAlignment="1" applyFont="1">
      <alignment readingOrder="0"/>
    </xf>
    <xf borderId="0" fillId="2" fontId="63" numFmtId="0" xfId="0" applyAlignment="1" applyFont="1">
      <alignment readingOrder="0"/>
    </xf>
    <xf borderId="0" fillId="15" fontId="3" numFmtId="0" xfId="0" applyFont="1"/>
    <xf borderId="0" fillId="15" fontId="64" numFmtId="0" xfId="0" applyFont="1"/>
    <xf borderId="0" fillId="15" fontId="3" numFmtId="1" xfId="0" applyAlignment="1" applyFont="1" applyNumberFormat="1">
      <alignment horizontal="right"/>
    </xf>
    <xf borderId="0" fillId="15" fontId="20" numFmtId="0" xfId="0" applyFont="1"/>
    <xf borderId="1" fillId="2" fontId="3" numFmtId="0" xfId="0" applyAlignment="1" applyBorder="1" applyFont="1">
      <alignment readingOrder="0"/>
    </xf>
    <xf borderId="2" fillId="2" fontId="65" numFmtId="0" xfId="0" applyBorder="1" applyFont="1"/>
    <xf borderId="4" fillId="2" fontId="3" numFmtId="0" xfId="0" applyAlignment="1" applyBorder="1" applyFont="1">
      <alignment readingOrder="0"/>
    </xf>
    <xf borderId="5" fillId="2" fontId="3" numFmtId="0" xfId="0" applyAlignment="1" applyBorder="1" applyFont="1">
      <alignment horizontal="left" readingOrder="0"/>
    </xf>
    <xf borderId="35" fillId="2" fontId="3" numFmtId="0" xfId="0" applyAlignment="1" applyBorder="1" applyFont="1">
      <alignment readingOrder="0"/>
    </xf>
    <xf borderId="6" fillId="2" fontId="3" numFmtId="0" xfId="0" applyAlignment="1" applyBorder="1" applyFont="1">
      <alignment horizontal="left"/>
    </xf>
    <xf borderId="0" fillId="2" fontId="66" numFmtId="0" xfId="0" applyFont="1"/>
    <xf borderId="0" fillId="2" fontId="18" numFmtId="0" xfId="0" applyAlignment="1" applyFont="1">
      <alignment readingOrder="0"/>
    </xf>
    <xf borderId="0" fillId="2" fontId="67" numFmtId="0" xfId="0" applyFont="1"/>
    <xf borderId="0" fillId="2" fontId="20" numFmtId="184" xfId="0" applyAlignment="1" applyFont="1" applyNumberFormat="1">
      <alignment horizontal="right" readingOrder="0"/>
    </xf>
    <xf borderId="0" fillId="2" fontId="3" numFmtId="184" xfId="0" applyAlignment="1" applyFont="1" applyNumberFormat="1">
      <alignment horizontal="right" readingOrder="0"/>
    </xf>
    <xf borderId="7" fillId="2" fontId="3" numFmtId="0" xfId="0" applyAlignment="1" applyBorder="1" applyFont="1">
      <alignment horizontal="left" readingOrder="0"/>
    </xf>
    <xf quotePrefix="1" borderId="0" fillId="2" fontId="3" numFmtId="1" xfId="0" applyAlignment="1" applyFont="1" applyNumberFormat="1">
      <alignment horizontal="right"/>
    </xf>
    <xf borderId="0" fillId="2" fontId="3" numFmtId="0" xfId="0" applyAlignment="1" applyFont="1">
      <alignment readingOrder="0"/>
    </xf>
    <xf borderId="0" fillId="2" fontId="3" numFmtId="0" xfId="0" applyAlignment="1" applyFont="1">
      <alignment horizontal="left" readingOrder="0"/>
    </xf>
    <xf borderId="0" fillId="2" fontId="20" numFmtId="0" xfId="0" applyAlignment="1" applyFont="1">
      <alignment horizontal="left"/>
    </xf>
    <xf borderId="0" fillId="0" fontId="13" numFmtId="0" xfId="0" applyAlignment="1" applyFont="1">
      <alignment horizontal="left"/>
    </xf>
    <xf borderId="0" fillId="2" fontId="20" numFmtId="0" xfId="0" applyAlignment="1" applyFont="1">
      <alignment horizontal="left"/>
    </xf>
    <xf borderId="0" fillId="2" fontId="20" numFmtId="185" xfId="0" applyAlignment="1" applyFont="1" applyNumberFormat="1">
      <alignment horizontal="right" readingOrder="0"/>
    </xf>
    <xf borderId="0" fillId="2" fontId="20" numFmtId="185" xfId="0" applyAlignment="1" applyFont="1" applyNumberFormat="1">
      <alignment horizontal="right"/>
    </xf>
    <xf borderId="0" fillId="2" fontId="3" numFmtId="185" xfId="0" applyAlignment="1" applyFont="1" applyNumberFormat="1">
      <alignment horizontal="right" readingOrder="0"/>
    </xf>
    <xf borderId="0" fillId="2" fontId="3" numFmtId="185" xfId="0" applyAlignment="1" applyFont="1" applyNumberFormat="1">
      <alignment horizontal="right"/>
    </xf>
    <xf borderId="0" fillId="2" fontId="20" numFmtId="1" xfId="0" applyAlignment="1" applyFont="1" applyNumberFormat="1">
      <alignment horizontal="right"/>
    </xf>
    <xf borderId="0" fillId="2" fontId="20" numFmtId="1" xfId="0" applyAlignment="1" applyFont="1" applyNumberFormat="1">
      <alignment horizontal="right" readingOrder="0"/>
    </xf>
    <xf borderId="0" fillId="0" fontId="13" numFmtId="185" xfId="0" applyFont="1" applyNumberFormat="1"/>
    <xf borderId="0" fillId="2" fontId="26" numFmtId="0" xfId="0" applyFont="1"/>
    <xf borderId="1" fillId="2" fontId="20" numFmtId="0" xfId="0" applyBorder="1" applyFont="1"/>
    <xf borderId="30" fillId="2" fontId="26" numFmtId="0" xfId="0" applyBorder="1" applyFont="1"/>
    <xf borderId="2" fillId="0" fontId="13" numFmtId="1" xfId="0" applyAlignment="1" applyBorder="1" applyFont="1" applyNumberFormat="1">
      <alignment horizontal="right"/>
    </xf>
    <xf borderId="4" fillId="2" fontId="20" numFmtId="0" xfId="0" applyBorder="1" applyFont="1"/>
    <xf borderId="5" fillId="2" fontId="20" numFmtId="1" xfId="0" applyAlignment="1" applyBorder="1" applyFont="1" applyNumberFormat="1">
      <alignment horizontal="right"/>
    </xf>
    <xf borderId="4" fillId="2" fontId="3" numFmtId="0" xfId="0" applyBorder="1" applyFont="1"/>
    <xf borderId="4" fillId="0" fontId="13" numFmtId="0" xfId="0" applyBorder="1" applyFont="1"/>
    <xf borderId="5" fillId="0" fontId="13" numFmtId="1" xfId="0" applyAlignment="1" applyBorder="1" applyFont="1" applyNumberFormat="1">
      <alignment horizontal="right"/>
    </xf>
    <xf borderId="5" fillId="2" fontId="3" numFmtId="1" xfId="0" applyAlignment="1" applyBorder="1" applyFont="1" applyNumberFormat="1">
      <alignment horizontal="right"/>
    </xf>
    <xf borderId="0" fillId="2" fontId="20" numFmtId="176" xfId="0" applyAlignment="1" applyFont="1" applyNumberFormat="1">
      <alignment readingOrder="0"/>
    </xf>
    <xf borderId="35" fillId="2" fontId="3" numFmtId="0" xfId="0" applyBorder="1" applyFont="1"/>
    <xf borderId="15" fillId="2" fontId="3" numFmtId="0" xfId="0" applyBorder="1" applyFont="1"/>
    <xf borderId="6" fillId="2" fontId="3" numFmtId="1" xfId="0" applyAlignment="1" applyBorder="1" applyFont="1" applyNumberFormat="1">
      <alignment horizontal="right"/>
    </xf>
    <xf borderId="0" fillId="2" fontId="68" numFmtId="0" xfId="0" applyFont="1"/>
    <xf borderId="1" fillId="2" fontId="3" numFmtId="0" xfId="0" applyBorder="1" applyFont="1"/>
    <xf borderId="30" fillId="2" fontId="26" numFmtId="0" xfId="0" applyAlignment="1" applyBorder="1" applyFont="1">
      <alignment readingOrder="0"/>
    </xf>
    <xf borderId="30" fillId="2" fontId="3" numFmtId="1" xfId="0" applyAlignment="1" applyBorder="1" applyFont="1" applyNumberFormat="1">
      <alignment horizontal="right"/>
    </xf>
    <xf borderId="30" fillId="2" fontId="20" numFmtId="0" xfId="0" applyBorder="1" applyFont="1"/>
    <xf borderId="30" fillId="2" fontId="8" numFmtId="0" xfId="0" applyAlignment="1" applyBorder="1" applyFont="1">
      <alignment readingOrder="0"/>
    </xf>
    <xf borderId="2" fillId="2" fontId="3" numFmtId="0" xfId="0" applyBorder="1" applyFont="1"/>
    <xf borderId="0" fillId="0" fontId="13" numFmtId="0" xfId="0" applyFont="1"/>
    <xf borderId="4" fillId="2" fontId="26" numFmtId="0" xfId="0" applyAlignment="1" applyBorder="1" applyFont="1">
      <alignment readingOrder="0"/>
    </xf>
    <xf borderId="5" fillId="2" fontId="3" numFmtId="0" xfId="0" applyBorder="1" applyFont="1"/>
    <xf borderId="0" fillId="2" fontId="20" numFmtId="0" xfId="0" applyAlignment="1" applyFont="1">
      <alignment horizontal="left" vertical="center"/>
    </xf>
    <xf borderId="4" fillId="2" fontId="18" numFmtId="0" xfId="0" applyAlignment="1" applyBorder="1" applyFont="1">
      <alignment readingOrder="0"/>
    </xf>
    <xf borderId="4" fillId="0" fontId="17" numFmtId="0" xfId="0" applyAlignment="1" applyBorder="1" applyFont="1">
      <alignment readingOrder="0"/>
    </xf>
    <xf borderId="0" fillId="2" fontId="3" numFmtId="0" xfId="0" applyAlignment="1" applyFont="1">
      <alignment horizontal="left" vertical="center"/>
    </xf>
    <xf borderId="0" fillId="0" fontId="20" numFmtId="0" xfId="0" applyAlignment="1" applyFont="1">
      <alignment horizontal="left" readingOrder="0" vertical="center"/>
    </xf>
    <xf borderId="4" fillId="2" fontId="18" numFmtId="0" xfId="0" applyAlignment="1" applyBorder="1" applyFont="1">
      <alignment readingOrder="0" shrinkToFit="0" vertical="bottom" wrapText="0"/>
    </xf>
    <xf borderId="0" fillId="2" fontId="3" numFmtId="0" xfId="0" applyAlignment="1" applyFont="1">
      <alignment readingOrder="0" shrinkToFit="0" vertical="bottom" wrapText="0"/>
    </xf>
    <xf borderId="0" fillId="2" fontId="3" numFmtId="1" xfId="0" applyAlignment="1" applyFont="1" applyNumberFormat="1">
      <alignment horizontal="right" readingOrder="0" shrinkToFit="0" vertical="bottom" wrapText="0"/>
    </xf>
    <xf borderId="4" fillId="2" fontId="20" numFmtId="0" xfId="0" applyAlignment="1" applyBorder="1" applyFont="1">
      <alignment readingOrder="0"/>
    </xf>
    <xf borderId="0" fillId="0" fontId="3" numFmtId="0" xfId="0" applyAlignment="1" applyFont="1">
      <alignment horizontal="left" vertical="center"/>
    </xf>
    <xf borderId="0" fillId="2" fontId="20" numFmtId="0" xfId="0" applyAlignment="1" applyFont="1">
      <alignment horizontal="left" vertical="center"/>
    </xf>
    <xf borderId="0" fillId="2" fontId="20" numFmtId="0" xfId="0" applyAlignment="1" applyFont="1">
      <alignment horizontal="left" readingOrder="0" vertical="center"/>
    </xf>
    <xf borderId="4" fillId="0" fontId="13" numFmtId="0" xfId="0" applyAlignment="1" applyBorder="1" applyFont="1">
      <alignment readingOrder="0"/>
    </xf>
    <xf borderId="4" fillId="2" fontId="3" numFmtId="0" xfId="0" applyAlignment="1" applyBorder="1" applyFont="1">
      <alignment readingOrder="0" shrinkToFit="0" vertical="bottom" wrapText="0"/>
    </xf>
    <xf borderId="0" fillId="2" fontId="3" numFmtId="0" xfId="0" applyAlignment="1" applyFont="1">
      <alignment shrinkToFit="0" vertical="bottom" wrapText="0"/>
    </xf>
    <xf borderId="0" fillId="2" fontId="3" numFmtId="1" xfId="0" applyAlignment="1" applyFont="1" applyNumberFormat="1">
      <alignment horizontal="right" shrinkToFit="0" vertical="bottom" wrapText="0"/>
    </xf>
    <xf borderId="6" fillId="2" fontId="3" numFmtId="0" xfId="0" applyBorder="1" applyFont="1"/>
    <xf borderId="0" fillId="0" fontId="23" numFmtId="0" xfId="0" applyFont="1"/>
    <xf borderId="0" fillId="2" fontId="26" numFmtId="0" xfId="0" applyAlignment="1" applyFont="1">
      <alignment horizontal="center"/>
    </xf>
    <xf quotePrefix="1" borderId="0" fillId="0" fontId="13" numFmtId="0" xfId="0" applyAlignment="1" applyFont="1">
      <alignment readingOrder="0"/>
    </xf>
    <xf borderId="28" fillId="0" fontId="69" numFmtId="0" xfId="0" applyAlignment="1" applyBorder="1" applyFont="1">
      <alignment readingOrder="0"/>
    </xf>
    <xf borderId="23" fillId="0" fontId="13" numFmtId="0" xfId="0" applyAlignment="1" applyBorder="1" applyFont="1">
      <alignment readingOrder="0" vertical="center"/>
    </xf>
    <xf borderId="28" fillId="0" fontId="13" numFmtId="0" xfId="0" applyAlignment="1" applyBorder="1" applyFont="1">
      <alignment readingOrder="0" vertical="center"/>
    </xf>
    <xf borderId="28" fillId="0" fontId="13" numFmtId="186" xfId="0" applyAlignment="1" applyBorder="1" applyFont="1" applyNumberFormat="1">
      <alignment readingOrder="0" vertical="center"/>
    </xf>
    <xf borderId="8" fillId="0" fontId="70" numFmtId="0" xfId="0" applyBorder="1" applyFont="1"/>
    <xf borderId="14" fillId="0" fontId="70" numFmtId="0" xfId="0" applyBorder="1" applyFont="1"/>
    <xf borderId="0" fillId="0" fontId="69" numFmtId="0" xfId="0" applyAlignment="1" applyFont="1">
      <alignment horizontal="center" readingOrder="0"/>
    </xf>
    <xf borderId="0" fillId="0" fontId="13" numFmtId="14" xfId="0" applyAlignment="1" applyFont="1" applyNumberFormat="1">
      <alignment readingOrder="0"/>
    </xf>
    <xf borderId="9" fillId="28" fontId="22" numFmtId="0" xfId="0" applyBorder="1" applyFill="1" applyFont="1"/>
    <xf borderId="9" fillId="28" fontId="71" numFmtId="174" xfId="0" applyAlignment="1" applyBorder="1" applyFont="1" applyNumberFormat="1">
      <alignment horizontal="center"/>
    </xf>
    <xf borderId="9" fillId="28" fontId="71" numFmtId="0" xfId="0" applyAlignment="1" applyBorder="1" applyFont="1">
      <alignment horizontal="center"/>
    </xf>
    <xf borderId="9" fillId="28" fontId="71" numFmtId="0" xfId="0" applyBorder="1" applyFont="1"/>
    <xf borderId="9" fillId="28" fontId="71" numFmtId="180" xfId="0" applyAlignment="1" applyBorder="1" applyFont="1" applyNumberFormat="1">
      <alignment horizontal="center"/>
    </xf>
    <xf borderId="9" fillId="28" fontId="71" numFmtId="173" xfId="0" applyAlignment="1" applyBorder="1" applyFont="1" applyNumberFormat="1">
      <alignment horizontal="center"/>
    </xf>
    <xf borderId="9" fillId="28" fontId="71" numFmtId="0" xfId="0" applyAlignment="1" applyBorder="1" applyFont="1">
      <alignment horizontal="left"/>
    </xf>
    <xf borderId="9" fillId="28" fontId="71" numFmtId="173" xfId="0" applyBorder="1" applyFont="1" applyNumberFormat="1"/>
    <xf borderId="9" fillId="28" fontId="72" numFmtId="0" xfId="0" applyAlignment="1" applyBorder="1" applyFont="1">
      <alignment horizontal="center"/>
    </xf>
    <xf borderId="9" fillId="28" fontId="71" numFmtId="182" xfId="0" applyAlignment="1" applyBorder="1" applyFont="1" applyNumberFormat="1">
      <alignment horizontal="center"/>
    </xf>
    <xf borderId="9" fillId="2" fontId="3" numFmtId="173" xfId="0" applyAlignment="1" applyBorder="1" applyFont="1" applyNumberFormat="1">
      <alignment horizontal="center"/>
    </xf>
    <xf borderId="0" fillId="28" fontId="71" numFmtId="173" xfId="0" applyAlignment="1" applyFont="1" applyNumberFormat="1">
      <alignment horizontal="center"/>
    </xf>
    <xf borderId="21" fillId="4" fontId="22" numFmtId="0" xfId="0" applyBorder="1" applyFont="1"/>
    <xf borderId="21" fillId="4" fontId="22" numFmtId="174" xfId="0" applyAlignment="1" applyBorder="1" applyFont="1" applyNumberFormat="1">
      <alignment horizontal="center"/>
    </xf>
    <xf borderId="21" fillId="4" fontId="22" numFmtId="3" xfId="0" applyAlignment="1" applyBorder="1" applyFont="1" applyNumberFormat="1">
      <alignment horizontal="center"/>
    </xf>
    <xf borderId="0" fillId="4" fontId="22" numFmtId="0" xfId="0" applyAlignment="1" applyFont="1">
      <alignment horizontal="center" readingOrder="0"/>
    </xf>
    <xf borderId="0" fillId="10" fontId="20" numFmtId="0" xfId="0" applyFont="1"/>
    <xf borderId="0" fillId="0" fontId="20" numFmtId="174" xfId="0" applyAlignment="1" applyFont="1" applyNumberFormat="1">
      <alignment horizontal="center"/>
    </xf>
    <xf borderId="9" fillId="0" fontId="3" numFmtId="0" xfId="0" applyBorder="1" applyFont="1"/>
    <xf borderId="9" fillId="0" fontId="20" numFmtId="0" xfId="0" applyAlignment="1" applyBorder="1" applyFont="1">
      <alignment readingOrder="0"/>
    </xf>
    <xf borderId="0" fillId="0" fontId="27" numFmtId="174" xfId="0" applyAlignment="1" applyFont="1" applyNumberFormat="1">
      <alignment horizontal="center"/>
    </xf>
    <xf borderId="34" fillId="0" fontId="27" numFmtId="0" xfId="0" applyBorder="1" applyFont="1"/>
    <xf borderId="15" fillId="0" fontId="27" numFmtId="174" xfId="0" applyAlignment="1" applyBorder="1" applyFont="1" applyNumberFormat="1">
      <alignment horizontal="center"/>
    </xf>
    <xf borderId="15" fillId="0" fontId="3" numFmtId="0" xfId="0" applyAlignment="1" applyBorder="1" applyFont="1">
      <alignment horizontal="center"/>
    </xf>
    <xf borderId="34" fillId="6" fontId="3" numFmtId="0" xfId="0" applyBorder="1" applyFont="1"/>
    <xf borderId="13" fillId="6" fontId="3" numFmtId="180" xfId="0" applyAlignment="1" applyBorder="1" applyFont="1" applyNumberFormat="1">
      <alignment horizontal="center"/>
    </xf>
    <xf borderId="13" fillId="6" fontId="3" numFmtId="181" xfId="0" applyAlignment="1" applyBorder="1" applyFont="1" applyNumberFormat="1">
      <alignment horizontal="center"/>
    </xf>
    <xf borderId="13" fillId="6" fontId="27" numFmtId="0" xfId="0" applyAlignment="1" applyBorder="1" applyFont="1">
      <alignment readingOrder="0"/>
    </xf>
    <xf borderId="38" fillId="6" fontId="3" numFmtId="0" xfId="0" applyBorder="1" applyFont="1"/>
    <xf borderId="11" fillId="6" fontId="3" numFmtId="180" xfId="0" applyAlignment="1" applyBorder="1" applyFont="1" applyNumberFormat="1">
      <alignment horizontal="center"/>
    </xf>
    <xf borderId="11" fillId="6" fontId="3" numFmtId="181" xfId="0" applyAlignment="1" applyBorder="1" applyFont="1" applyNumberFormat="1">
      <alignment horizontal="center"/>
    </xf>
    <xf borderId="9" fillId="0" fontId="20" numFmtId="0" xfId="0" applyBorder="1" applyFont="1"/>
    <xf borderId="7" fillId="6" fontId="3" numFmtId="181" xfId="0" applyAlignment="1" applyBorder="1" applyFont="1" applyNumberFormat="1">
      <alignment horizontal="center" readingOrder="0"/>
    </xf>
    <xf borderId="0" fillId="0" fontId="3" numFmtId="3" xfId="0" applyAlignment="1" applyFont="1" applyNumberFormat="1">
      <alignment horizontal="center"/>
    </xf>
    <xf borderId="7" fillId="15" fontId="3" numFmtId="180" xfId="0" applyAlignment="1" applyBorder="1" applyFont="1" applyNumberFormat="1">
      <alignment horizontal="center" readingOrder="0"/>
    </xf>
    <xf borderId="7" fillId="19" fontId="3" numFmtId="0" xfId="0" applyAlignment="1" applyBorder="1" applyFont="1">
      <alignment readingOrder="0"/>
    </xf>
    <xf borderId="13" fillId="2" fontId="13" numFmtId="0" xfId="0" applyBorder="1" applyFont="1"/>
    <xf borderId="15" fillId="2" fontId="3" numFmtId="0" xfId="0" applyAlignment="1" applyBorder="1" applyFont="1">
      <alignment horizontal="center"/>
    </xf>
    <xf borderId="13" fillId="0" fontId="3" numFmtId="173" xfId="0" applyAlignment="1" applyBorder="1" applyFont="1" applyNumberFormat="1">
      <alignment horizontal="center"/>
    </xf>
    <xf borderId="44" fillId="0" fontId="20" numFmtId="0" xfId="0" applyBorder="1" applyFont="1"/>
    <xf borderId="44" fillId="6" fontId="3" numFmtId="0" xfId="0" applyBorder="1" applyFont="1"/>
    <xf borderId="21" fillId="6" fontId="3" numFmtId="180" xfId="0" applyAlignment="1" applyBorder="1" applyFont="1" applyNumberFormat="1">
      <alignment horizontal="center"/>
    </xf>
    <xf borderId="21" fillId="6" fontId="3" numFmtId="181" xfId="0" applyAlignment="1" applyBorder="1" applyFont="1" applyNumberFormat="1">
      <alignment horizontal="center" readingOrder="0"/>
    </xf>
    <xf borderId="21" fillId="6" fontId="3" numFmtId="0" xfId="0" applyBorder="1" applyFont="1"/>
    <xf borderId="21" fillId="6" fontId="8" numFmtId="0" xfId="0" applyAlignment="1" applyBorder="1" applyFont="1">
      <alignment horizontal="center"/>
    </xf>
    <xf borderId="44" fillId="6" fontId="3" numFmtId="0" xfId="0" applyAlignment="1" applyBorder="1" applyFont="1">
      <alignment readingOrder="0"/>
    </xf>
    <xf borderId="50" fillId="0" fontId="20" numFmtId="0" xfId="0" applyBorder="1" applyFont="1"/>
    <xf borderId="30" fillId="0" fontId="20" numFmtId="174" xfId="0" applyAlignment="1" applyBorder="1" applyFont="1" applyNumberFormat="1">
      <alignment horizontal="center"/>
    </xf>
    <xf borderId="30" fillId="0" fontId="3" numFmtId="0" xfId="0" applyAlignment="1" applyBorder="1" applyFont="1">
      <alignment horizontal="center"/>
    </xf>
    <xf borderId="50" fillId="6" fontId="3" numFmtId="0" xfId="0" applyBorder="1" applyFont="1"/>
    <xf borderId="24" fillId="6" fontId="3" numFmtId="180" xfId="0" applyAlignment="1" applyBorder="1" applyFont="1" applyNumberFormat="1">
      <alignment horizontal="center"/>
    </xf>
    <xf borderId="24" fillId="6" fontId="3" numFmtId="181" xfId="0" applyAlignment="1" applyBorder="1" applyFont="1" applyNumberFormat="1">
      <alignment horizontal="center" readingOrder="0"/>
    </xf>
    <xf borderId="24" fillId="6" fontId="20" numFmtId="0" xfId="0" applyBorder="1" applyFont="1"/>
    <xf borderId="24" fillId="6" fontId="8" numFmtId="0" xfId="0" applyAlignment="1" applyBorder="1" applyFont="1">
      <alignment horizontal="center"/>
    </xf>
    <xf borderId="51" fillId="6" fontId="3" numFmtId="0" xfId="0" applyAlignment="1" applyBorder="1" applyFont="1">
      <alignment readingOrder="0"/>
    </xf>
    <xf borderId="0" fillId="0" fontId="20" numFmtId="0" xfId="0" applyAlignment="1" applyFont="1">
      <alignment horizontal="center" readingOrder="0"/>
    </xf>
    <xf borderId="8" fillId="0" fontId="3" numFmtId="3" xfId="0" applyAlignment="1" applyBorder="1" applyFont="1" applyNumberFormat="1">
      <alignment readingOrder="0"/>
    </xf>
    <xf borderId="8" fillId="0" fontId="3" numFmtId="0" xfId="0" applyAlignment="1" applyBorder="1" applyFont="1">
      <alignment horizontal="left" readingOrder="0"/>
    </xf>
    <xf borderId="8" fillId="0" fontId="3" numFmtId="187" xfId="0" applyAlignment="1" applyBorder="1" applyFont="1" applyNumberFormat="1">
      <alignment horizontal="center" readingOrder="0"/>
    </xf>
    <xf borderId="4" fillId="9" fontId="3" numFmtId="174" xfId="0" applyAlignment="1" applyBorder="1" applyFont="1" applyNumberFormat="1">
      <alignment horizontal="center"/>
    </xf>
    <xf borderId="8" fillId="0" fontId="3" numFmtId="3" xfId="0" applyAlignment="1" applyBorder="1" applyFont="1" applyNumberFormat="1">
      <alignment horizontal="center"/>
    </xf>
    <xf borderId="4" fillId="6" fontId="3" numFmtId="0" xfId="0" applyAlignment="1" applyBorder="1" applyFont="1">
      <alignment horizontal="center"/>
    </xf>
    <xf borderId="4" fillId="6" fontId="3" numFmtId="180" xfId="0" applyAlignment="1" applyBorder="1" applyFont="1" applyNumberFormat="1">
      <alignment horizontal="center"/>
    </xf>
    <xf borderId="4" fillId="6" fontId="3" numFmtId="181" xfId="0" applyAlignment="1" applyBorder="1" applyFont="1" applyNumberFormat="1">
      <alignment horizontal="center"/>
    </xf>
    <xf borderId="4" fillId="6" fontId="3" numFmtId="0" xfId="0" applyAlignment="1" applyBorder="1" applyFont="1">
      <alignment readingOrder="0"/>
    </xf>
    <xf borderId="4" fillId="2" fontId="24" numFmtId="2" xfId="0" applyAlignment="1" applyBorder="1" applyFont="1" applyNumberFormat="1">
      <alignment horizontal="center"/>
    </xf>
    <xf borderId="4" fillId="6" fontId="26" numFmtId="0" xfId="0" applyAlignment="1" applyBorder="1" applyFont="1">
      <alignment horizontal="center" readingOrder="0"/>
    </xf>
    <xf borderId="1" fillId="6" fontId="20" numFmtId="0" xfId="0" applyAlignment="1" applyBorder="1" applyFont="1">
      <alignment readingOrder="0"/>
    </xf>
    <xf borderId="4" fillId="6" fontId="3" numFmtId="0" xfId="0" applyAlignment="1" applyBorder="1" applyFont="1">
      <alignment horizontal="center" readingOrder="0"/>
    </xf>
    <xf borderId="4" fillId="6" fontId="3" numFmtId="175" xfId="0" applyAlignment="1" applyBorder="1" applyFont="1" applyNumberFormat="1">
      <alignment horizontal="center" readingOrder="0"/>
    </xf>
    <xf borderId="4" fillId="2" fontId="3" numFmtId="164" xfId="0" applyAlignment="1" applyBorder="1" applyFont="1" applyNumberFormat="1">
      <alignment horizontal="left"/>
    </xf>
    <xf borderId="8" fillId="0" fontId="3" numFmtId="3" xfId="0" applyBorder="1" applyFont="1" applyNumberFormat="1"/>
    <xf borderId="7" fillId="2" fontId="8" numFmtId="0" xfId="0" applyAlignment="1" applyBorder="1" applyFont="1">
      <alignment readingOrder="0"/>
    </xf>
    <xf borderId="7" fillId="2" fontId="21" numFmtId="3" xfId="0" applyBorder="1" applyFont="1" applyNumberFormat="1"/>
    <xf borderId="7" fillId="2" fontId="22" numFmtId="0" xfId="0" applyBorder="1" applyFont="1"/>
    <xf borderId="0" fillId="2" fontId="21" numFmtId="0" xfId="0" applyAlignment="1" applyFont="1">
      <alignment horizontal="center"/>
    </xf>
    <xf borderId="7" fillId="4" fontId="22" numFmtId="3" xfId="0" applyAlignment="1" applyBorder="1" applyFont="1" applyNumberFormat="1">
      <alignment horizontal="center"/>
    </xf>
    <xf borderId="28" fillId="0" fontId="3" numFmtId="0" xfId="0" applyBorder="1" applyFont="1"/>
    <xf borderId="28" fillId="0" fontId="3" numFmtId="3" xfId="0" applyAlignment="1" applyBorder="1" applyFont="1" applyNumberFormat="1">
      <alignment horizontal="center"/>
    </xf>
    <xf borderId="28" fillId="6" fontId="3" numFmtId="180" xfId="0" applyAlignment="1" applyBorder="1" applyFont="1" applyNumberFormat="1">
      <alignment horizontal="center"/>
    </xf>
    <xf borderId="28" fillId="6" fontId="3" numFmtId="181" xfId="0" applyAlignment="1" applyBorder="1" applyFont="1" applyNumberFormat="1">
      <alignment horizontal="center"/>
    </xf>
    <xf borderId="28" fillId="6" fontId="73" numFmtId="0" xfId="0" applyAlignment="1" applyBorder="1" applyFont="1">
      <alignment horizontal="center"/>
    </xf>
    <xf borderId="28" fillId="7" fontId="3" numFmtId="0" xfId="0" applyAlignment="1" applyBorder="1" applyFont="1">
      <alignment readingOrder="0"/>
    </xf>
    <xf borderId="28" fillId="6" fontId="20" numFmtId="0" xfId="0" applyBorder="1" applyFont="1"/>
    <xf borderId="28" fillId="2" fontId="3" numFmtId="2" xfId="0" applyAlignment="1" applyBorder="1" applyFont="1" applyNumberFormat="1">
      <alignment horizontal="center"/>
    </xf>
    <xf borderId="13" fillId="6" fontId="3" numFmtId="178" xfId="0" applyAlignment="1" applyBorder="1" applyFont="1" applyNumberFormat="1">
      <alignment readingOrder="0"/>
    </xf>
    <xf borderId="28" fillId="6" fontId="8" numFmtId="0" xfId="0" applyAlignment="1" applyBorder="1" applyFont="1">
      <alignment horizontal="center"/>
    </xf>
    <xf borderId="4" fillId="0" fontId="20" numFmtId="0" xfId="0" applyBorder="1" applyFont="1"/>
    <xf borderId="5" fillId="0" fontId="3" numFmtId="3" xfId="0" applyAlignment="1" applyBorder="1" applyFont="1" applyNumberFormat="1">
      <alignment horizontal="center"/>
    </xf>
    <xf borderId="52" fillId="6" fontId="3" numFmtId="0" xfId="0" applyAlignment="1" applyBorder="1" applyFont="1">
      <alignment horizontal="left"/>
    </xf>
    <xf borderId="38" fillId="6" fontId="3" numFmtId="180" xfId="0" applyAlignment="1" applyBorder="1" applyFont="1" applyNumberFormat="1">
      <alignment horizontal="center"/>
    </xf>
    <xf borderId="38" fillId="6" fontId="3" numFmtId="0" xfId="0" applyAlignment="1" applyBorder="1" applyFont="1">
      <alignment horizontal="center"/>
    </xf>
    <xf borderId="17" fillId="6" fontId="24" numFmtId="0" xfId="0" applyAlignment="1" applyBorder="1" applyFont="1">
      <alignment readingOrder="0"/>
    </xf>
    <xf borderId="24" fillId="6" fontId="3" numFmtId="179" xfId="0" applyAlignment="1" applyBorder="1" applyFont="1" applyNumberFormat="1">
      <alignment readingOrder="0"/>
    </xf>
    <xf borderId="52" fillId="6" fontId="8" numFmtId="0" xfId="0" applyAlignment="1" applyBorder="1" applyFont="1">
      <alignment horizontal="center"/>
    </xf>
    <xf borderId="11" fillId="6" fontId="27" numFmtId="0" xfId="0" applyAlignment="1" applyBorder="1" applyFont="1">
      <alignment horizontal="left" readingOrder="0"/>
    </xf>
    <xf borderId="43" fillId="6" fontId="3" numFmtId="0" xfId="0" applyAlignment="1" applyBorder="1" applyFont="1">
      <alignment readingOrder="0"/>
    </xf>
    <xf borderId="8" fillId="0" fontId="20" numFmtId="3" xfId="0" applyAlignment="1" applyBorder="1" applyFont="1" applyNumberFormat="1">
      <alignment horizontal="center"/>
    </xf>
    <xf borderId="8" fillId="0" fontId="27" numFmtId="3" xfId="0" applyAlignment="1" applyBorder="1" applyFont="1" applyNumberFormat="1">
      <alignment horizontal="center"/>
    </xf>
    <xf borderId="7" fillId="6" fontId="20" numFmtId="180" xfId="0" applyAlignment="1" applyBorder="1" applyFont="1" applyNumberFormat="1">
      <alignment horizontal="center"/>
    </xf>
    <xf borderId="7" fillId="6" fontId="20" numFmtId="181" xfId="0" applyAlignment="1" applyBorder="1" applyFont="1" applyNumberFormat="1">
      <alignment horizontal="center"/>
    </xf>
    <xf borderId="7" fillId="6" fontId="3" numFmtId="188" xfId="0" applyAlignment="1" applyBorder="1" applyFont="1" applyNumberFormat="1">
      <alignment readingOrder="0"/>
    </xf>
    <xf borderId="13" fillId="11" fontId="20" numFmtId="0" xfId="0" applyBorder="1" applyFont="1"/>
    <xf borderId="14" fillId="0" fontId="20" numFmtId="174" xfId="0" applyAlignment="1" applyBorder="1" applyFont="1" applyNumberFormat="1">
      <alignment horizontal="center"/>
    </xf>
    <xf borderId="14" fillId="0" fontId="20" numFmtId="3" xfId="0" applyAlignment="1" applyBorder="1" applyFont="1" applyNumberFormat="1">
      <alignment horizontal="center"/>
    </xf>
    <xf borderId="13" fillId="6" fontId="20" numFmtId="180" xfId="0" applyBorder="1" applyFont="1" applyNumberFormat="1"/>
    <xf borderId="16" fillId="6" fontId="3" numFmtId="0" xfId="0" applyBorder="1" applyFont="1"/>
    <xf borderId="17" fillId="6" fontId="20" numFmtId="0" xfId="0" applyBorder="1" applyFont="1"/>
    <xf borderId="16" fillId="6" fontId="27" numFmtId="0" xfId="0" applyBorder="1" applyFont="1"/>
    <xf borderId="20" fillId="6" fontId="3" numFmtId="0" xfId="0" applyBorder="1" applyFont="1"/>
    <xf borderId="13" fillId="11" fontId="20" numFmtId="0" xfId="0" applyAlignment="1" applyBorder="1" applyFont="1">
      <alignment readingOrder="0"/>
    </xf>
    <xf borderId="14" fillId="0" fontId="3" numFmtId="3" xfId="0" applyAlignment="1" applyBorder="1" applyFont="1" applyNumberFormat="1">
      <alignment horizontal="center" readingOrder="0"/>
    </xf>
    <xf borderId="53" fillId="6" fontId="3" numFmtId="0" xfId="0" applyAlignment="1" applyBorder="1" applyFont="1">
      <alignment horizontal="center" readingOrder="0"/>
    </xf>
    <xf borderId="23" fillId="0" fontId="3" numFmtId="3" xfId="0" applyAlignment="1" applyBorder="1" applyFont="1" applyNumberFormat="1">
      <alignment horizontal="center"/>
    </xf>
    <xf borderId="24" fillId="6" fontId="26" numFmtId="0" xfId="0" applyAlignment="1" applyBorder="1" applyFont="1">
      <alignment horizontal="center"/>
    </xf>
    <xf borderId="24" fillId="6" fontId="3" numFmtId="0" xfId="0" applyAlignment="1" applyBorder="1" applyFont="1">
      <alignment horizontal="left" readingOrder="0" vertical="center"/>
    </xf>
    <xf borderId="14" fillId="0" fontId="3" numFmtId="3" xfId="0" applyAlignment="1" applyBorder="1" applyFont="1" applyNumberFormat="1">
      <alignment horizontal="center"/>
    </xf>
    <xf borderId="33" fillId="6" fontId="3" numFmtId="0" xfId="0" applyBorder="1" applyFont="1"/>
    <xf borderId="14" fillId="6" fontId="3" numFmtId="180" xfId="0" applyAlignment="1" applyBorder="1" applyFont="1" applyNumberFormat="1">
      <alignment horizontal="center"/>
    </xf>
    <xf borderId="14" fillId="6" fontId="3" numFmtId="189" xfId="0" applyAlignment="1" applyBorder="1" applyFont="1" applyNumberFormat="1">
      <alignment horizontal="center"/>
    </xf>
    <xf borderId="24" fillId="6" fontId="3" numFmtId="181" xfId="0" applyAlignment="1" applyBorder="1" applyFont="1" applyNumberFormat="1">
      <alignment horizontal="center"/>
    </xf>
    <xf borderId="24" fillId="6" fontId="20" numFmtId="0" xfId="0" applyAlignment="1" applyBorder="1" applyFont="1">
      <alignment readingOrder="0"/>
    </xf>
    <xf borderId="7" fillId="6" fontId="28" numFmtId="0" xfId="0" applyBorder="1" applyFont="1"/>
    <xf borderId="7" fillId="6" fontId="39" numFmtId="0" xfId="0" applyBorder="1" applyFont="1"/>
    <xf borderId="7" fillId="6" fontId="3" numFmtId="190" xfId="0" applyAlignment="1" applyBorder="1" applyFont="1" applyNumberFormat="1">
      <alignment horizontal="center"/>
    </xf>
    <xf borderId="7" fillId="6" fontId="3" numFmtId="189" xfId="0" applyAlignment="1" applyBorder="1" applyFont="1" applyNumberFormat="1">
      <alignment horizontal="center"/>
    </xf>
    <xf borderId="5" fillId="0" fontId="20" numFmtId="3" xfId="0" applyAlignment="1" applyBorder="1" applyFont="1" applyNumberFormat="1">
      <alignment horizontal="center"/>
    </xf>
    <xf borderId="36" fillId="6" fontId="20" numFmtId="180" xfId="0" applyBorder="1" applyFont="1" applyNumberFormat="1"/>
    <xf borderId="36" fillId="6" fontId="20" numFmtId="181" xfId="0" applyBorder="1" applyFont="1" applyNumberFormat="1"/>
    <xf borderId="36" fillId="6" fontId="20" numFmtId="0" xfId="0" applyBorder="1" applyFont="1"/>
    <xf borderId="36" fillId="6" fontId="3" numFmtId="0" xfId="0" applyBorder="1" applyFont="1"/>
    <xf borderId="14" fillId="6" fontId="18" numFmtId="180" xfId="0" applyAlignment="1" applyBorder="1" applyFont="1" applyNumberFormat="1">
      <alignment horizontal="center"/>
    </xf>
    <xf borderId="14" fillId="6" fontId="20" numFmtId="181" xfId="0" applyAlignment="1" applyBorder="1" applyFont="1" applyNumberFormat="1">
      <alignment horizontal="center"/>
    </xf>
    <xf borderId="24" fillId="6" fontId="20" numFmtId="0" xfId="0" applyAlignment="1" applyBorder="1" applyFont="1">
      <alignment horizontal="center"/>
    </xf>
    <xf borderId="11" fillId="6" fontId="26" numFmtId="0" xfId="0" applyBorder="1" applyFont="1"/>
    <xf borderId="47" fillId="6" fontId="20" numFmtId="0" xfId="0" applyAlignment="1" applyBorder="1" applyFont="1">
      <alignment readingOrder="0"/>
    </xf>
    <xf borderId="7" fillId="6" fontId="3" numFmtId="179" xfId="0" applyAlignment="1" applyBorder="1" applyFont="1" applyNumberFormat="1">
      <alignment readingOrder="0"/>
    </xf>
    <xf borderId="28" fillId="0" fontId="20" numFmtId="174" xfId="0" applyAlignment="1" applyBorder="1" applyFont="1" applyNumberFormat="1">
      <alignment horizontal="center"/>
    </xf>
    <xf borderId="28" fillId="0" fontId="20" numFmtId="3" xfId="0" applyAlignment="1" applyBorder="1" applyFont="1" applyNumberFormat="1">
      <alignment horizontal="center"/>
    </xf>
    <xf borderId="28" fillId="6" fontId="20" numFmtId="180" xfId="0" applyAlignment="1" applyBorder="1" applyFont="1" applyNumberFormat="1">
      <alignment horizontal="center"/>
    </xf>
    <xf borderId="28" fillId="6" fontId="20" numFmtId="0" xfId="0" applyAlignment="1" applyBorder="1" applyFont="1">
      <alignment horizontal="center"/>
    </xf>
    <xf borderId="28" fillId="18" fontId="20" numFmtId="0" xfId="0" applyBorder="1" applyFont="1"/>
    <xf borderId="28" fillId="6" fontId="20" numFmtId="0" xfId="0" applyAlignment="1" applyBorder="1" applyFont="1">
      <alignment readingOrder="0"/>
    </xf>
    <xf borderId="11" fillId="6" fontId="3" numFmtId="190" xfId="0" applyAlignment="1" applyBorder="1" applyFont="1" applyNumberFormat="1">
      <alignment horizontal="center"/>
    </xf>
    <xf borderId="7" fillId="6" fontId="29" numFmtId="0" xfId="0" applyAlignment="1" applyBorder="1" applyFont="1">
      <alignment horizontal="center"/>
    </xf>
    <xf borderId="7" fillId="6" fontId="27" numFmtId="0" xfId="0" applyAlignment="1" applyBorder="1" applyFont="1">
      <alignment horizontal="center"/>
    </xf>
    <xf borderId="12" fillId="6" fontId="26" numFmtId="0" xfId="0" applyAlignment="1" applyBorder="1" applyFont="1">
      <alignment horizontal="center"/>
    </xf>
    <xf borderId="11" fillId="6" fontId="20" numFmtId="180" xfId="0" applyBorder="1" applyFont="1" applyNumberFormat="1"/>
    <xf borderId="11" fillId="7" fontId="3" numFmtId="0" xfId="0" applyAlignment="1" applyBorder="1" applyFont="1">
      <alignment readingOrder="0"/>
    </xf>
    <xf borderId="14" fillId="2" fontId="3" numFmtId="0" xfId="0" applyBorder="1" applyFont="1"/>
    <xf borderId="13" fillId="6" fontId="27" numFmtId="0" xfId="0" applyAlignment="1" applyBorder="1" applyFont="1">
      <alignment horizontal="center"/>
    </xf>
    <xf borderId="24" fillId="6" fontId="28" numFmtId="0" xfId="0" applyAlignment="1" applyBorder="1" applyFont="1">
      <alignment readingOrder="0"/>
    </xf>
    <xf borderId="7" fillId="6" fontId="18" numFmtId="180" xfId="0" applyAlignment="1" applyBorder="1" applyFont="1" applyNumberFormat="1">
      <alignment horizontal="center"/>
    </xf>
    <xf borderId="7" fillId="6" fontId="73" numFmtId="0" xfId="0" applyAlignment="1" applyBorder="1" applyFont="1">
      <alignment horizontal="center"/>
    </xf>
    <xf borderId="7" fillId="6" fontId="3" numFmtId="191" xfId="0" applyAlignment="1" applyBorder="1" applyFont="1" applyNumberFormat="1">
      <alignment readingOrder="0"/>
    </xf>
    <xf borderId="7" fillId="6" fontId="3" numFmtId="0" xfId="0" applyAlignment="1" applyBorder="1" applyFont="1">
      <alignment horizontal="right"/>
    </xf>
    <xf borderId="16" fillId="6" fontId="20" numFmtId="0" xfId="0" applyBorder="1" applyFont="1"/>
    <xf borderId="9" fillId="11" fontId="3" numFmtId="0" xfId="0" applyBorder="1" applyFont="1"/>
    <xf borderId="9" fillId="6" fontId="3" numFmtId="0" xfId="0" applyAlignment="1" applyBorder="1" applyFont="1">
      <alignment horizontal="left"/>
    </xf>
    <xf borderId="20" fillId="6" fontId="3" numFmtId="0" xfId="0" applyAlignment="1" applyBorder="1" applyFont="1">
      <alignment horizontal="center"/>
    </xf>
    <xf borderId="9" fillId="6" fontId="3" numFmtId="180" xfId="0" applyAlignment="1" applyBorder="1" applyFont="1" applyNumberFormat="1">
      <alignment horizontal="center"/>
    </xf>
    <xf borderId="20" fillId="6" fontId="26" numFmtId="0" xfId="0" applyAlignment="1" applyBorder="1" applyFont="1">
      <alignment horizontal="center" readingOrder="0"/>
    </xf>
    <xf borderId="9" fillId="6" fontId="3" numFmtId="0" xfId="0" applyAlignment="1" applyBorder="1" applyFont="1">
      <alignment horizontal="center" readingOrder="0"/>
    </xf>
    <xf borderId="8" fillId="0" fontId="20" numFmtId="3" xfId="0" applyBorder="1" applyFont="1" applyNumberFormat="1"/>
    <xf borderId="8" fillId="0" fontId="20" numFmtId="3" xfId="0" applyAlignment="1" applyBorder="1" applyFont="1" applyNumberFormat="1">
      <alignment readingOrder="0"/>
    </xf>
    <xf borderId="14" fillId="0" fontId="20" numFmtId="3" xfId="0" applyAlignment="1" applyBorder="1" applyFont="1" applyNumberFormat="1">
      <alignment readingOrder="0"/>
    </xf>
    <xf borderId="11" fillId="6" fontId="24" numFmtId="0" xfId="0" applyAlignment="1" applyBorder="1" applyFont="1">
      <alignment readingOrder="0"/>
    </xf>
    <xf borderId="28" fillId="6" fontId="18" numFmtId="180" xfId="0" applyAlignment="1" applyBorder="1" applyFont="1" applyNumberFormat="1">
      <alignment horizontal="center"/>
    </xf>
    <xf borderId="28" fillId="7" fontId="3" numFmtId="0" xfId="0" applyBorder="1" applyFont="1"/>
    <xf borderId="0" fillId="0" fontId="3" numFmtId="0" xfId="0" applyAlignment="1" applyFont="1">
      <alignment horizontal="left"/>
    </xf>
    <xf borderId="7" fillId="6" fontId="20" numFmtId="180" xfId="0" applyBorder="1" applyFont="1" applyNumberFormat="1"/>
    <xf borderId="7" fillId="6" fontId="24" numFmtId="0" xfId="0" applyBorder="1" applyFont="1"/>
    <xf borderId="0" fillId="0" fontId="3" numFmtId="3" xfId="0" applyFont="1" applyNumberFormat="1"/>
    <xf borderId="20" fillId="6" fontId="3" numFmtId="0" xfId="0" applyAlignment="1" applyBorder="1" applyFont="1">
      <alignment horizontal="left"/>
    </xf>
    <xf borderId="36" fillId="6" fontId="8" numFmtId="0" xfId="0" applyAlignment="1" applyBorder="1" applyFont="1">
      <alignment horizontal="center"/>
    </xf>
    <xf borderId="54" fillId="6" fontId="3" numFmtId="0" xfId="0" applyAlignment="1" applyBorder="1" applyFont="1">
      <alignment horizontal="center" readingOrder="0"/>
    </xf>
    <xf borderId="13" fillId="2" fontId="39" numFmtId="2" xfId="0" applyAlignment="1" applyBorder="1" applyFont="1" applyNumberFormat="1">
      <alignment horizontal="center"/>
    </xf>
    <xf borderId="55" fillId="6" fontId="3" numFmtId="0" xfId="0" applyAlignment="1" applyBorder="1" applyFont="1">
      <alignment horizontal="center" readingOrder="0"/>
    </xf>
    <xf borderId="17" fillId="6" fontId="3" numFmtId="175" xfId="0" applyAlignment="1" applyBorder="1" applyFont="1" applyNumberFormat="1">
      <alignment horizontal="center" readingOrder="0"/>
    </xf>
    <xf borderId="7" fillId="6" fontId="26" numFmtId="0" xfId="0" applyBorder="1" applyFont="1"/>
    <xf borderId="11" fillId="6" fontId="3" numFmtId="192" xfId="0" applyAlignment="1" applyBorder="1" applyFont="1" applyNumberFormat="1">
      <alignment horizontal="center"/>
    </xf>
    <xf borderId="11" fillId="7" fontId="20" numFmtId="0" xfId="0" applyBorder="1" applyFont="1"/>
    <xf borderId="7" fillId="6" fontId="30" numFmtId="0" xfId="0" applyBorder="1" applyFont="1"/>
    <xf borderId="36" fillId="6" fontId="3" numFmtId="0" xfId="0" applyAlignment="1" applyBorder="1" applyFont="1">
      <alignment horizontal="left"/>
    </xf>
    <xf borderId="20" fillId="7" fontId="20" numFmtId="0" xfId="0" applyBorder="1" applyFont="1"/>
    <xf borderId="13" fillId="7" fontId="20" numFmtId="0" xfId="0" applyBorder="1" applyFont="1"/>
    <xf borderId="8" fillId="2" fontId="3" numFmtId="3" xfId="0" applyAlignment="1" applyBorder="1" applyFont="1" applyNumberFormat="1">
      <alignment horizontal="center"/>
    </xf>
    <xf borderId="9" fillId="2" fontId="3" numFmtId="0" xfId="0" applyBorder="1" applyFont="1"/>
    <xf borderId="36" fillId="6" fontId="3" numFmtId="181" xfId="0" applyAlignment="1" applyBorder="1" applyFont="1" applyNumberFormat="1">
      <alignment horizontal="center"/>
    </xf>
    <xf borderId="9" fillId="6" fontId="3" numFmtId="0" xfId="0" applyAlignment="1" applyBorder="1" applyFont="1">
      <alignment horizontal="center"/>
    </xf>
    <xf borderId="36" fillId="6" fontId="28" numFmtId="0" xfId="0" applyAlignment="1" applyBorder="1" applyFont="1">
      <alignment readingOrder="0"/>
    </xf>
    <xf borderId="36" fillId="6" fontId="3" numFmtId="0" xfId="0" applyAlignment="1" applyBorder="1" applyFont="1">
      <alignment horizontal="center" readingOrder="0"/>
    </xf>
    <xf borderId="14" fillId="2" fontId="3" numFmtId="3" xfId="0" applyAlignment="1" applyBorder="1" applyFont="1" applyNumberFormat="1">
      <alignment horizontal="center"/>
    </xf>
    <xf borderId="13" fillId="6" fontId="73" numFmtId="0" xfId="0" applyAlignment="1" applyBorder="1" applyFont="1">
      <alignment horizontal="center"/>
    </xf>
    <xf borderId="13" fillId="6" fontId="3" numFmtId="175" xfId="0" applyAlignment="1" applyBorder="1" applyFont="1" applyNumberFormat="1">
      <alignment horizontal="center"/>
    </xf>
    <xf borderId="19" fillId="6" fontId="28" numFmtId="0" xfId="0" applyAlignment="1" applyBorder="1" applyFont="1">
      <alignment readingOrder="0"/>
    </xf>
    <xf borderId="14" fillId="6" fontId="8" numFmtId="0" xfId="0" applyAlignment="1" applyBorder="1" applyFont="1">
      <alignment horizontal="center"/>
    </xf>
    <xf borderId="11" fillId="6" fontId="18" numFmtId="180" xfId="0" applyAlignment="1" applyBorder="1" applyFont="1" applyNumberFormat="1">
      <alignment horizontal="center"/>
    </xf>
    <xf borderId="7" fillId="6" fontId="32" numFmtId="0" xfId="0" applyBorder="1" applyFont="1"/>
    <xf borderId="24" fillId="6" fontId="20" numFmtId="0" xfId="0" applyAlignment="1" applyBorder="1" applyFont="1">
      <alignment horizontal="left" readingOrder="0"/>
    </xf>
    <xf borderId="7" fillId="12" fontId="20" numFmtId="0" xfId="0" applyBorder="1" applyFont="1"/>
    <xf borderId="13" fillId="6" fontId="27" numFmtId="0" xfId="0" applyBorder="1" applyFont="1"/>
    <xf borderId="11" fillId="6" fontId="27" numFmtId="0" xfId="0" applyAlignment="1" applyBorder="1" applyFont="1">
      <alignment horizontal="center"/>
    </xf>
    <xf borderId="13" fillId="6" fontId="3" numFmtId="190" xfId="0" applyAlignment="1" applyBorder="1" applyFont="1" applyNumberFormat="1">
      <alignment horizontal="center"/>
    </xf>
    <xf borderId="11" fillId="6" fontId="27" numFmtId="0" xfId="0" applyBorder="1" applyFont="1"/>
    <xf borderId="14" fillId="6" fontId="3" numFmtId="181" xfId="0" applyAlignment="1" applyBorder="1" applyFont="1" applyNumberFormat="1">
      <alignment horizontal="center"/>
    </xf>
    <xf borderId="14" fillId="6" fontId="31" numFmtId="0" xfId="0" applyBorder="1" applyFont="1"/>
    <xf borderId="11" fillId="9" fontId="3" numFmtId="0" xfId="0" applyAlignment="1" applyBorder="1" applyFont="1">
      <alignment horizontal="center" readingOrder="0"/>
    </xf>
    <xf borderId="4" fillId="0" fontId="3" numFmtId="3" xfId="0" applyAlignment="1" applyBorder="1" applyFont="1" applyNumberFormat="1">
      <alignment horizontal="center"/>
    </xf>
    <xf borderId="20" fillId="6" fontId="26" numFmtId="0" xfId="0" applyAlignment="1" applyBorder="1" applyFont="1">
      <alignment horizontal="center"/>
    </xf>
    <xf borderId="14" fillId="0" fontId="3" numFmtId="3" xfId="0" applyBorder="1" applyFont="1" applyNumberFormat="1"/>
    <xf borderId="11" fillId="6" fontId="3" numFmtId="175" xfId="0" applyAlignment="1" applyBorder="1" applyFont="1" applyNumberFormat="1">
      <alignment horizontal="center"/>
    </xf>
    <xf borderId="7" fillId="6" fontId="3" numFmtId="175" xfId="0" applyAlignment="1" applyBorder="1" applyFont="1" applyNumberFormat="1">
      <alignment horizontal="center"/>
    </xf>
    <xf borderId="13" fillId="6" fontId="18" numFmtId="180" xfId="0" applyAlignment="1" applyBorder="1" applyFont="1" applyNumberFormat="1">
      <alignment horizontal="center"/>
    </xf>
    <xf borderId="11" fillId="6" fontId="28" numFmtId="0" xfId="0" applyBorder="1" applyFont="1"/>
    <xf borderId="23" fillId="6" fontId="3" numFmtId="175" xfId="0" applyAlignment="1" applyBorder="1" applyFont="1" applyNumberFormat="1">
      <alignment horizontal="center" readingOrder="0"/>
    </xf>
    <xf borderId="50" fillId="6" fontId="20" numFmtId="0" xfId="0" applyAlignment="1" applyBorder="1" applyFont="1">
      <alignment readingOrder="0"/>
    </xf>
    <xf borderId="7" fillId="29" fontId="20" numFmtId="0" xfId="0" applyBorder="1" applyFill="1" applyFont="1"/>
    <xf borderId="7" fillId="6" fontId="35" numFmtId="0" xfId="0" applyBorder="1" applyFont="1"/>
    <xf borderId="7" fillId="6" fontId="3" numFmtId="193" xfId="0" applyAlignment="1" applyBorder="1" applyFont="1" applyNumberFormat="1">
      <alignment horizontal="center"/>
    </xf>
    <xf borderId="8" fillId="12" fontId="3" numFmtId="3" xfId="0" applyAlignment="1" applyBorder="1" applyFont="1" applyNumberFormat="1">
      <alignment horizontal="center"/>
    </xf>
    <xf borderId="9" fillId="6" fontId="3" numFmtId="0" xfId="0" applyAlignment="1" applyBorder="1" applyFont="1">
      <alignment horizontal="left" readingOrder="0"/>
    </xf>
    <xf borderId="13" fillId="11" fontId="3" numFmtId="0" xfId="0" applyAlignment="1" applyBorder="1" applyFont="1">
      <alignment readingOrder="0"/>
    </xf>
    <xf borderId="7" fillId="9" fontId="3" numFmtId="174" xfId="0" applyAlignment="1" applyBorder="1" applyFont="1" applyNumberFormat="1">
      <alignment horizontal="center"/>
    </xf>
    <xf borderId="11" fillId="2" fontId="74" numFmtId="0" xfId="0" applyAlignment="1" applyBorder="1" applyFont="1">
      <alignment horizontal="left"/>
    </xf>
    <xf borderId="7" fillId="2" fontId="74" numFmtId="0" xfId="0" applyAlignment="1" applyBorder="1" applyFont="1">
      <alignment horizontal="left"/>
    </xf>
    <xf borderId="7" fillId="2" fontId="74" numFmtId="164" xfId="0" applyAlignment="1" applyBorder="1" applyFont="1" applyNumberFormat="1">
      <alignment horizontal="left"/>
    </xf>
    <xf borderId="7" fillId="16" fontId="22" numFmtId="0" xfId="0" applyBorder="1" applyFont="1"/>
    <xf borderId="7" fillId="16" fontId="22" numFmtId="0" xfId="0" applyAlignment="1" applyBorder="1" applyFont="1">
      <alignment readingOrder="0"/>
    </xf>
    <xf borderId="7" fillId="16" fontId="37" numFmtId="3" xfId="0" applyAlignment="1" applyBorder="1" applyFont="1" applyNumberFormat="1">
      <alignment horizontal="center"/>
    </xf>
    <xf borderId="7" fillId="16" fontId="37" numFmtId="0" xfId="0" applyAlignment="1" applyBorder="1" applyFont="1">
      <alignment horizontal="left"/>
    </xf>
    <xf borderId="7" fillId="16" fontId="37" numFmtId="0" xfId="0" applyAlignment="1" applyBorder="1" applyFont="1">
      <alignment horizontal="center"/>
    </xf>
    <xf borderId="7" fillId="16" fontId="37" numFmtId="180" xfId="0" applyAlignment="1" applyBorder="1" applyFont="1" applyNumberFormat="1">
      <alignment horizontal="center"/>
    </xf>
    <xf borderId="7" fillId="16" fontId="37" numFmtId="0" xfId="0" applyBorder="1" applyFont="1"/>
    <xf borderId="7" fillId="16" fontId="3" numFmtId="0" xfId="0" applyBorder="1" applyFont="1"/>
    <xf borderId="21" fillId="16" fontId="37" numFmtId="173" xfId="0" applyBorder="1" applyFont="1" applyNumberFormat="1"/>
    <xf borderId="7" fillId="16" fontId="38" numFmtId="0" xfId="0" applyAlignment="1" applyBorder="1" applyFont="1">
      <alignment horizontal="center"/>
    </xf>
    <xf borderId="7" fillId="16" fontId="37" numFmtId="182" xfId="0" applyAlignment="1" applyBorder="1" applyFont="1" applyNumberFormat="1">
      <alignment horizontal="center"/>
    </xf>
    <xf borderId="7" fillId="16" fontId="37" numFmtId="173" xfId="0" applyAlignment="1" applyBorder="1" applyFont="1" applyNumberFormat="1">
      <alignment horizontal="center"/>
    </xf>
    <xf borderId="7" fillId="16" fontId="3" numFmtId="164" xfId="0" applyAlignment="1" applyBorder="1" applyFont="1" applyNumberFormat="1">
      <alignment horizontal="left"/>
    </xf>
    <xf borderId="7" fillId="16" fontId="3" numFmtId="0" xfId="0" applyAlignment="1" applyBorder="1" applyFont="1">
      <alignment horizontal="left"/>
    </xf>
    <xf borderId="13" fillId="16" fontId="3" numFmtId="173" xfId="0" applyAlignment="1" applyBorder="1" applyFont="1" applyNumberFormat="1">
      <alignment horizontal="center"/>
    </xf>
    <xf borderId="13" fillId="16" fontId="3" numFmtId="0" xfId="0" applyAlignment="1" applyBorder="1" applyFont="1">
      <alignment horizontal="center"/>
    </xf>
    <xf borderId="11" fillId="6" fontId="3" numFmtId="189" xfId="0" applyAlignment="1" applyBorder="1" applyFont="1" applyNumberFormat="1">
      <alignment horizontal="center"/>
    </xf>
    <xf borderId="31" fillId="6" fontId="3" numFmtId="0" xfId="0" applyBorder="1" applyFont="1"/>
    <xf borderId="36" fillId="6" fontId="3" numFmtId="0" xfId="0" applyAlignment="1" applyBorder="1" applyFont="1">
      <alignment horizontal="left" readingOrder="0"/>
    </xf>
    <xf borderId="36" fillId="6" fontId="3" numFmtId="180" xfId="0" applyAlignment="1" applyBorder="1" applyFont="1" applyNumberFormat="1">
      <alignment horizontal="center"/>
    </xf>
    <xf borderId="9" fillId="6" fontId="24" numFmtId="0" xfId="0" applyAlignment="1" applyBorder="1" applyFont="1">
      <alignment readingOrder="0"/>
    </xf>
    <xf borderId="11" fillId="6" fontId="18" numFmtId="190" xfId="0" applyAlignment="1" applyBorder="1" applyFont="1" applyNumberFormat="1">
      <alignment horizontal="center"/>
    </xf>
    <xf borderId="38" fillId="6" fontId="20" numFmtId="0" xfId="0" applyAlignment="1" applyBorder="1" applyFont="1">
      <alignment readingOrder="0"/>
    </xf>
    <xf borderId="7" fillId="6" fontId="75" numFmtId="0" xfId="0" applyBorder="1" applyFont="1"/>
    <xf borderId="7" fillId="6" fontId="28" numFmtId="0" xfId="0" applyAlignment="1" applyBorder="1" applyFont="1">
      <alignment horizontal="center" readingOrder="0"/>
    </xf>
    <xf borderId="7" fillId="6" fontId="18" numFmtId="190" xfId="0" applyAlignment="1" applyBorder="1" applyFont="1" applyNumberFormat="1">
      <alignment horizontal="center"/>
    </xf>
    <xf borderId="7" fillId="6" fontId="76" numFmtId="0" xfId="0" applyBorder="1" applyFont="1"/>
    <xf borderId="8" fillId="30" fontId="20" numFmtId="0" xfId="0" applyAlignment="1" applyBorder="1" applyFill="1" applyFont="1">
      <alignment readingOrder="0"/>
    </xf>
    <xf borderId="7" fillId="6" fontId="14" numFmtId="0" xfId="0" applyBorder="1" applyFont="1"/>
    <xf borderId="7" fillId="6" fontId="77" numFmtId="0" xfId="0" applyAlignment="1" applyBorder="1" applyFont="1">
      <alignment horizontal="center"/>
    </xf>
    <xf borderId="7" fillId="6" fontId="18" numFmtId="0" xfId="0" applyAlignment="1" applyBorder="1" applyFont="1">
      <alignment horizontal="center"/>
    </xf>
    <xf borderId="7" fillId="6" fontId="77" numFmtId="0" xfId="0" applyAlignment="1" applyBorder="1" applyFont="1">
      <alignment horizontal="center" readingOrder="0"/>
    </xf>
    <xf borderId="7" fillId="6" fontId="3" numFmtId="14" xfId="0" applyBorder="1" applyFont="1" applyNumberFormat="1"/>
    <xf borderId="11" fillId="6" fontId="73" numFmtId="0" xfId="0" applyAlignment="1" applyBorder="1" applyFont="1">
      <alignment horizontal="center"/>
    </xf>
    <xf borderId="7" fillId="3" fontId="3" numFmtId="0" xfId="0" applyBorder="1" applyFont="1"/>
    <xf borderId="24" fillId="6" fontId="27" numFmtId="0" xfId="0" applyAlignment="1" applyBorder="1" applyFont="1">
      <alignment horizontal="center"/>
    </xf>
    <xf borderId="0" fillId="0" fontId="20" numFmtId="0" xfId="0" applyAlignment="1" applyFont="1">
      <alignment readingOrder="0"/>
    </xf>
    <xf borderId="8" fillId="0" fontId="3" numFmtId="3" xfId="0" applyAlignment="1" applyBorder="1" applyFont="1" applyNumberFormat="1">
      <alignment horizontal="center" readingOrder="0"/>
    </xf>
    <xf borderId="0" fillId="6" fontId="3" numFmtId="180" xfId="0" applyAlignment="1" applyFont="1" applyNumberFormat="1">
      <alignment horizontal="center"/>
    </xf>
    <xf borderId="0" fillId="6" fontId="3" numFmtId="181" xfId="0" applyAlignment="1" applyFont="1" applyNumberFormat="1">
      <alignment horizontal="center"/>
    </xf>
    <xf borderId="0" fillId="6" fontId="3" numFmtId="0" xfId="0" applyAlignment="1" applyFont="1">
      <alignment horizontal="center"/>
    </xf>
    <xf borderId="0" fillId="6" fontId="20" numFmtId="0" xfId="0" applyFont="1"/>
    <xf borderId="4" fillId="2" fontId="3" numFmtId="2" xfId="0" applyAlignment="1" applyBorder="1" applyFont="1" applyNumberFormat="1">
      <alignment horizontal="center"/>
    </xf>
    <xf borderId="4" fillId="6" fontId="20" numFmtId="0" xfId="0" applyAlignment="1" applyBorder="1" applyFont="1">
      <alignment readingOrder="0"/>
    </xf>
    <xf borderId="4" fillId="6" fontId="3" numFmtId="0" xfId="0" applyBorder="1" applyFont="1"/>
    <xf borderId="35" fillId="6" fontId="3" numFmtId="0" xfId="0" applyAlignment="1" applyBorder="1" applyFont="1">
      <alignment horizontal="center" readingOrder="0"/>
    </xf>
    <xf borderId="35" fillId="6" fontId="3" numFmtId="175" xfId="0" applyAlignment="1" applyBorder="1" applyFont="1" applyNumberFormat="1">
      <alignment horizontal="center" readingOrder="0"/>
    </xf>
    <xf borderId="8" fillId="2" fontId="13" numFmtId="0" xfId="0" applyBorder="1" applyFont="1"/>
    <xf borderId="8" fillId="8" fontId="13" numFmtId="0" xfId="0" applyBorder="1" applyFont="1"/>
    <xf borderId="14" fillId="2" fontId="13" numFmtId="0" xfId="0" applyBorder="1" applyFont="1"/>
    <xf borderId="0" fillId="0" fontId="42" numFmtId="0" xfId="0" applyAlignment="1" applyFont="1">
      <alignment shrinkToFit="0" vertical="bottom" wrapText="0"/>
    </xf>
    <xf borderId="5" fillId="0" fontId="42" numFmtId="0" xfId="0" applyAlignment="1" applyBorder="1" applyFont="1">
      <alignment shrinkToFit="0" vertical="bottom" wrapText="0"/>
    </xf>
    <xf borderId="0" fillId="0" fontId="41" numFmtId="0" xfId="0" applyAlignment="1" applyFont="1">
      <alignment horizontal="center" readingOrder="0" shrinkToFit="0" vertical="bottom" wrapText="0"/>
    </xf>
    <xf borderId="4" fillId="0" fontId="41" numFmtId="0" xfId="0" applyAlignment="1" applyBorder="1" applyFont="1">
      <alignment horizontal="center" readingOrder="0" shrinkToFit="0" vertical="bottom" wrapText="0"/>
    </xf>
    <xf borderId="4" fillId="0" fontId="42" numFmtId="0" xfId="0" applyAlignment="1" applyBorder="1" applyFont="1">
      <alignment shrinkToFit="0" vertical="bottom" wrapText="0"/>
    </xf>
    <xf borderId="0" fillId="15" fontId="41" numFmtId="194" xfId="0" applyAlignment="1" applyFont="1" applyNumberFormat="1">
      <alignment horizontal="center" readingOrder="0" shrinkToFit="0" vertical="bottom" wrapText="0"/>
    </xf>
    <xf borderId="0" fillId="15" fontId="41" numFmtId="195" xfId="0" applyAlignment="1" applyFont="1" applyNumberFormat="1">
      <alignment horizontal="center" readingOrder="0" shrinkToFit="0" vertical="bottom" wrapText="0"/>
    </xf>
    <xf borderId="5" fillId="15" fontId="41" numFmtId="194" xfId="0" applyAlignment="1" applyBorder="1" applyFont="1" applyNumberFormat="1">
      <alignment horizontal="center" readingOrder="0" shrinkToFit="0" vertical="bottom" wrapText="0"/>
    </xf>
    <xf borderId="4" fillId="15" fontId="41" numFmtId="194" xfId="0" applyAlignment="1" applyBorder="1" applyFont="1" applyNumberFormat="1">
      <alignment horizontal="center" readingOrder="0" shrinkToFit="0" vertical="bottom" wrapText="0"/>
    </xf>
    <xf borderId="0" fillId="0" fontId="78" numFmtId="0" xfId="0" applyAlignment="1" applyFont="1">
      <alignment readingOrder="0" shrinkToFit="0" vertical="bottom" wrapText="0"/>
    </xf>
    <xf borderId="0" fillId="0" fontId="78" numFmtId="0" xfId="0" applyAlignment="1" applyFont="1">
      <alignment shrinkToFit="0" vertical="bottom" wrapText="0"/>
    </xf>
    <xf borderId="5" fillId="0" fontId="78" numFmtId="0" xfId="0" applyAlignment="1" applyBorder="1" applyFont="1">
      <alignment readingOrder="0" shrinkToFit="0" vertical="bottom" wrapText="0"/>
    </xf>
    <xf borderId="0" fillId="0" fontId="79" numFmtId="0" xfId="0" applyAlignment="1" applyFont="1">
      <alignment readingOrder="0" shrinkToFit="0" vertical="bottom" wrapText="0"/>
    </xf>
    <xf borderId="4" fillId="0" fontId="79" numFmtId="0" xfId="0" applyAlignment="1" applyBorder="1" applyFont="1">
      <alignment readingOrder="0" shrinkToFit="0" vertical="bottom" wrapText="0"/>
    </xf>
    <xf borderId="4" fillId="0" fontId="2" numFmtId="0" xfId="0" applyAlignment="1" applyBorder="1" applyFont="1">
      <alignment readingOrder="0" shrinkToFit="0" vertical="bottom" wrapText="0"/>
    </xf>
    <xf borderId="0" fillId="0" fontId="2" numFmtId="0" xfId="0" applyAlignment="1" applyFont="1">
      <alignment readingOrder="0" shrinkToFit="0" vertical="bottom" wrapText="0"/>
    </xf>
    <xf borderId="0" fillId="31" fontId="2" numFmtId="0" xfId="0" applyAlignment="1" applyFill="1" applyFont="1">
      <alignment readingOrder="0" shrinkToFit="0" vertical="bottom" wrapText="0"/>
    </xf>
    <xf borderId="4" fillId="31" fontId="2" numFmtId="0" xfId="0" applyAlignment="1" applyBorder="1" applyFont="1">
      <alignment readingOrder="0" shrinkToFit="0" vertical="bottom" wrapText="0"/>
    </xf>
    <xf borderId="0" fillId="0" fontId="42" numFmtId="0" xfId="0" applyAlignment="1" applyFont="1">
      <alignment readingOrder="0" shrinkToFit="0" vertical="bottom" wrapText="0"/>
    </xf>
    <xf borderId="0" fillId="0" fontId="2" numFmtId="0" xfId="0" applyAlignment="1" applyFont="1">
      <alignment shrinkToFit="0" vertical="bottom" wrapText="0"/>
    </xf>
    <xf borderId="0" fillId="32" fontId="42" numFmtId="0" xfId="0" applyAlignment="1" applyFill="1" applyFont="1">
      <alignment readingOrder="0" shrinkToFit="0" vertical="bottom" wrapText="0"/>
    </xf>
    <xf borderId="4" fillId="0" fontId="2" numFmtId="0" xfId="0" applyAlignment="1" applyBorder="1" applyFont="1">
      <alignment shrinkToFit="0" vertical="bottom" wrapText="0"/>
    </xf>
    <xf borderId="0" fillId="0" fontId="50" numFmtId="0" xfId="0" applyAlignment="1" applyFont="1">
      <alignment shrinkToFit="0" wrapText="0"/>
    </xf>
    <xf borderId="9" fillId="4" fontId="21" numFmtId="0" xfId="0" applyBorder="1" applyFont="1"/>
    <xf borderId="36" fillId="4" fontId="21" numFmtId="174" xfId="0" applyAlignment="1" applyBorder="1" applyFont="1" applyNumberFormat="1">
      <alignment horizontal="center"/>
    </xf>
    <xf borderId="7" fillId="4" fontId="21" numFmtId="0" xfId="0" applyAlignment="1" applyBorder="1" applyFont="1">
      <alignment horizontal="center"/>
    </xf>
    <xf borderId="32" fillId="4" fontId="21" numFmtId="0" xfId="0" applyAlignment="1" applyBorder="1" applyFont="1">
      <alignment readingOrder="0"/>
    </xf>
    <xf borderId="36" fillId="4" fontId="21" numFmtId="0" xfId="0" applyBorder="1" applyFont="1"/>
    <xf borderId="36" fillId="4" fontId="21" numFmtId="0" xfId="0" applyAlignment="1" applyBorder="1" applyFont="1">
      <alignment horizontal="center"/>
    </xf>
    <xf borderId="20" fillId="4" fontId="21" numFmtId="0" xfId="0" applyBorder="1" applyFont="1"/>
    <xf borderId="9" fillId="4" fontId="22" numFmtId="0" xfId="0" applyBorder="1" applyFont="1"/>
    <xf borderId="9" fillId="4" fontId="22" numFmtId="0" xfId="0" applyAlignment="1" applyBorder="1" applyFont="1">
      <alignment horizontal="left"/>
    </xf>
    <xf borderId="7" fillId="4" fontId="21" numFmtId="0" xfId="0" applyAlignment="1" applyBorder="1" applyFont="1">
      <alignment horizontal="left"/>
    </xf>
    <xf borderId="9" fillId="4" fontId="21" numFmtId="173" xfId="0" applyBorder="1" applyFont="1" applyNumberFormat="1"/>
    <xf borderId="7" fillId="4" fontId="21" numFmtId="196" xfId="0" applyBorder="1" applyFont="1" applyNumberFormat="1"/>
    <xf borderId="7" fillId="4" fontId="21" numFmtId="0" xfId="0" applyBorder="1" applyFont="1"/>
    <xf borderId="7" fillId="4" fontId="21" numFmtId="173" xfId="0" applyAlignment="1" applyBorder="1" applyFont="1" applyNumberFormat="1">
      <alignment horizontal="center"/>
    </xf>
    <xf borderId="7" fillId="5" fontId="21" numFmtId="0" xfId="0" applyAlignment="1" applyBorder="1" applyFont="1">
      <alignment horizontal="center"/>
    </xf>
    <xf borderId="20" fillId="4" fontId="21" numFmtId="0" xfId="0" applyAlignment="1" applyBorder="1" applyFont="1">
      <alignment horizontal="center"/>
    </xf>
    <xf borderId="9" fillId="4" fontId="21" numFmtId="0" xfId="0" applyAlignment="1" applyBorder="1" applyFont="1">
      <alignment horizontal="center"/>
    </xf>
    <xf borderId="0" fillId="4" fontId="21" numFmtId="0" xfId="0" applyAlignment="1" applyFont="1">
      <alignment horizontal="center"/>
    </xf>
    <xf borderId="0" fillId="6" fontId="3" numFmtId="0" xfId="0" applyFont="1"/>
    <xf borderId="9" fillId="2" fontId="3" numFmtId="0" xfId="0" applyAlignment="1" applyBorder="1" applyFont="1">
      <alignment horizontal="left"/>
    </xf>
    <xf borderId="9" fillId="2" fontId="3" numFmtId="164" xfId="0" applyAlignment="1" applyBorder="1" applyFont="1" applyNumberFormat="1">
      <alignment horizontal="left"/>
    </xf>
    <xf borderId="9" fillId="6" fontId="3" numFmtId="181" xfId="0" applyAlignment="1" applyBorder="1" applyFont="1" applyNumberFormat="1">
      <alignment horizontal="center"/>
    </xf>
    <xf borderId="9" fillId="6" fontId="3" numFmtId="188" xfId="0" applyBorder="1" applyFont="1" applyNumberFormat="1"/>
    <xf borderId="9" fillId="6" fontId="3" numFmtId="165" xfId="0" applyBorder="1" applyFont="1" applyNumberFormat="1"/>
    <xf borderId="9" fillId="6" fontId="8" numFmtId="0" xfId="0" applyAlignment="1" applyBorder="1" applyFont="1">
      <alignment horizontal="center"/>
    </xf>
    <xf borderId="9" fillId="6" fontId="3" numFmtId="175" xfId="0" applyAlignment="1" applyBorder="1" applyFont="1" applyNumberFormat="1">
      <alignment horizontal="center"/>
    </xf>
    <xf borderId="9" fillId="33" fontId="3" numFmtId="173" xfId="0" applyBorder="1" applyFill="1" applyFont="1" applyNumberFormat="1"/>
    <xf borderId="9" fillId="2" fontId="3" numFmtId="0" xfId="0" applyAlignment="1" applyBorder="1" applyFont="1">
      <alignment horizontal="center"/>
    </xf>
    <xf borderId="9" fillId="6" fontId="3" numFmtId="175" xfId="0" applyBorder="1" applyFont="1" applyNumberFormat="1"/>
    <xf borderId="9" fillId="6" fontId="3" numFmtId="173" xfId="0" applyAlignment="1" applyBorder="1" applyFont="1" applyNumberFormat="1">
      <alignment horizontal="center"/>
    </xf>
    <xf borderId="0" fillId="0" fontId="3" numFmtId="173" xfId="0" applyFont="1" applyNumberFormat="1"/>
    <xf borderId="9" fillId="2" fontId="20" numFmtId="0" xfId="0" applyBorder="1" applyFont="1"/>
    <xf borderId="9" fillId="2" fontId="3" numFmtId="3" xfId="0" applyAlignment="1" applyBorder="1" applyFont="1" applyNumberFormat="1">
      <alignment horizontal="left"/>
    </xf>
    <xf borderId="9" fillId="6" fontId="3" numFmtId="173" xfId="0" applyBorder="1" applyFont="1" applyNumberFormat="1"/>
    <xf borderId="9" fillId="6" fontId="26" numFmtId="0" xfId="0" applyAlignment="1" applyBorder="1" applyFont="1">
      <alignment horizontal="center"/>
    </xf>
    <xf borderId="9" fillId="6" fontId="20" numFmtId="0" xfId="0" applyAlignment="1" applyBorder="1" applyFont="1">
      <alignment horizontal="center"/>
    </xf>
    <xf borderId="0" fillId="0" fontId="20" numFmtId="173" xfId="0" applyFont="1" applyNumberFormat="1"/>
    <xf borderId="15" fillId="0" fontId="3" numFmtId="174" xfId="0" applyAlignment="1" applyBorder="1" applyFont="1" applyNumberFormat="1">
      <alignment horizontal="center"/>
    </xf>
    <xf borderId="15" fillId="6" fontId="3" numFmtId="0" xfId="0" applyBorder="1" applyFont="1"/>
    <xf borderId="34" fillId="6" fontId="3" numFmtId="0" xfId="0" applyAlignment="1" applyBorder="1" applyFont="1">
      <alignment horizontal="center"/>
    </xf>
    <xf borderId="34" fillId="6" fontId="3" numFmtId="180" xfId="0" applyAlignment="1" applyBorder="1" applyFont="1" applyNumberFormat="1">
      <alignment horizontal="center"/>
    </xf>
    <xf borderId="34" fillId="6" fontId="3" numFmtId="0" xfId="0" applyAlignment="1" applyBorder="1" applyFont="1">
      <alignment horizontal="left"/>
    </xf>
    <xf borderId="34" fillId="6" fontId="3" numFmtId="173" xfId="0" applyBorder="1" applyFont="1" applyNumberFormat="1"/>
    <xf borderId="34" fillId="6" fontId="8" numFmtId="0" xfId="0" applyAlignment="1" applyBorder="1" applyFont="1">
      <alignment horizontal="center"/>
    </xf>
    <xf borderId="34" fillId="6" fontId="27" numFmtId="0" xfId="0" applyBorder="1" applyFont="1"/>
    <xf borderId="34" fillId="6" fontId="3" numFmtId="173" xfId="0" applyAlignment="1" applyBorder="1" applyFont="1" applyNumberFormat="1">
      <alignment horizontal="center"/>
    </xf>
    <xf borderId="34" fillId="2" fontId="3" numFmtId="173" xfId="0" applyBorder="1" applyFont="1" applyNumberFormat="1"/>
    <xf borderId="13" fillId="2" fontId="20" numFmtId="0" xfId="0" applyAlignment="1" applyBorder="1" applyFont="1">
      <alignment readingOrder="0"/>
    </xf>
    <xf borderId="0" fillId="6" fontId="20" numFmtId="0" xfId="0" applyAlignment="1" applyFont="1">
      <alignment horizontal="left"/>
    </xf>
    <xf borderId="44" fillId="6" fontId="20" numFmtId="0" xfId="0" applyAlignment="1" applyBorder="1" applyFont="1">
      <alignment horizontal="left"/>
    </xf>
    <xf borderId="44" fillId="6" fontId="20" numFmtId="0" xfId="0" applyBorder="1" applyFont="1"/>
    <xf borderId="44" fillId="6" fontId="20" numFmtId="0" xfId="0" applyAlignment="1" applyBorder="1" applyFont="1">
      <alignment horizontal="left" readingOrder="0"/>
    </xf>
    <xf borderId="38" fillId="2" fontId="20" numFmtId="0" xfId="0" applyBorder="1" applyFont="1"/>
    <xf borderId="38" fillId="2" fontId="20" numFmtId="164" xfId="0" applyBorder="1" applyFont="1" applyNumberFormat="1"/>
    <xf borderId="44" fillId="6" fontId="20" numFmtId="175" xfId="0" applyAlignment="1" applyBorder="1" applyFont="1" applyNumberFormat="1">
      <alignment horizontal="center"/>
    </xf>
    <xf borderId="44" fillId="6" fontId="20" numFmtId="180" xfId="0" applyBorder="1" applyFont="1" applyNumberFormat="1"/>
    <xf borderId="44" fillId="6" fontId="26" numFmtId="0" xfId="0" applyBorder="1" applyFont="1"/>
    <xf borderId="44" fillId="6" fontId="20" numFmtId="173" xfId="0" applyBorder="1" applyFont="1" applyNumberFormat="1"/>
    <xf borderId="9" fillId="2" fontId="20" numFmtId="173" xfId="0" applyBorder="1" applyFont="1" applyNumberFormat="1"/>
    <xf borderId="0" fillId="0" fontId="20" numFmtId="0" xfId="0" applyAlignment="1" applyFont="1">
      <alignment horizontal="center"/>
    </xf>
    <xf borderId="9" fillId="6" fontId="20" numFmtId="0" xfId="0" applyAlignment="1" applyBorder="1" applyFont="1">
      <alignment horizontal="left"/>
    </xf>
    <xf borderId="30" fillId="0" fontId="20" numFmtId="0" xfId="0" applyBorder="1" applyFont="1"/>
    <xf borderId="50" fillId="2" fontId="20" numFmtId="0" xfId="0" applyBorder="1" applyFont="1"/>
    <xf borderId="50" fillId="2" fontId="20" numFmtId="164" xfId="0" applyBorder="1" applyFont="1" applyNumberFormat="1"/>
    <xf borderId="50" fillId="2" fontId="20" numFmtId="3" xfId="0" applyBorder="1" applyFont="1" applyNumberFormat="1"/>
    <xf borderId="9" fillId="6" fontId="20" numFmtId="175" xfId="0" applyAlignment="1" applyBorder="1" applyFont="1" applyNumberFormat="1">
      <alignment horizontal="center"/>
    </xf>
    <xf borderId="9" fillId="6" fontId="20" numFmtId="180" xfId="0" applyBorder="1" applyFont="1" applyNumberFormat="1"/>
    <xf borderId="9" fillId="6" fontId="26" numFmtId="0" xfId="0" applyBorder="1" applyFont="1"/>
    <xf borderId="9" fillId="6" fontId="20" numFmtId="173" xfId="0" applyBorder="1" applyFont="1" applyNumberFormat="1"/>
    <xf borderId="9" fillId="6" fontId="27" numFmtId="0" xfId="0" applyAlignment="1" applyBorder="1" applyFont="1">
      <alignment horizontal="center"/>
    </xf>
    <xf borderId="9" fillId="3" fontId="27" numFmtId="0" xfId="0" applyBorder="1" applyFont="1"/>
    <xf borderId="9" fillId="6" fontId="3" numFmtId="165" xfId="0" applyAlignment="1" applyBorder="1" applyFont="1" applyNumberFormat="1">
      <alignment horizontal="center"/>
    </xf>
    <xf borderId="50" fillId="2" fontId="3" numFmtId="0" xfId="0" applyAlignment="1" applyBorder="1" applyFont="1">
      <alignment horizontal="center"/>
    </xf>
    <xf borderId="50" fillId="2" fontId="3" numFmtId="173" xfId="0" applyAlignment="1" applyBorder="1" applyFont="1" applyNumberFormat="1">
      <alignment horizontal="center"/>
    </xf>
    <xf borderId="9" fillId="6" fontId="27" numFmtId="0" xfId="0" applyBorder="1" applyFont="1"/>
    <xf borderId="9" fillId="6" fontId="3" numFmtId="190" xfId="0" applyAlignment="1" applyBorder="1" applyFont="1" applyNumberFormat="1">
      <alignment horizontal="center"/>
    </xf>
    <xf borderId="9" fillId="6" fontId="27" numFmtId="0" xfId="0" applyAlignment="1" applyBorder="1" applyFont="1">
      <alignment horizontal="left"/>
    </xf>
    <xf borderId="15" fillId="0" fontId="20" numFmtId="0" xfId="0" applyBorder="1" applyFont="1"/>
    <xf borderId="34" fillId="6" fontId="20" numFmtId="0" xfId="0" applyBorder="1" applyFont="1"/>
    <xf borderId="34" fillId="6" fontId="27" numFmtId="0" xfId="0" applyAlignment="1" applyBorder="1" applyFont="1">
      <alignment horizontal="center"/>
    </xf>
    <xf borderId="34" fillId="2" fontId="3" numFmtId="0" xfId="0" applyAlignment="1" applyBorder="1" applyFont="1">
      <alignment horizontal="left"/>
    </xf>
    <xf borderId="34" fillId="2" fontId="3" numFmtId="164" xfId="0" applyAlignment="1" applyBorder="1" applyFont="1" applyNumberFormat="1">
      <alignment horizontal="left"/>
    </xf>
    <xf borderId="34" fillId="2" fontId="3" numFmtId="3" xfId="0" applyAlignment="1" applyBorder="1" applyFont="1" applyNumberFormat="1">
      <alignment horizontal="left"/>
    </xf>
    <xf borderId="34" fillId="6" fontId="3" numFmtId="181" xfId="0" applyAlignment="1" applyBorder="1" applyFont="1" applyNumberFormat="1">
      <alignment horizontal="center"/>
    </xf>
    <xf borderId="34" fillId="6" fontId="3" numFmtId="165" xfId="0" applyBorder="1" applyFont="1" applyNumberFormat="1"/>
    <xf borderId="34" fillId="33" fontId="3" numFmtId="173" xfId="0" applyBorder="1" applyFont="1" applyNumberFormat="1"/>
    <xf borderId="34" fillId="2" fontId="3" numFmtId="0" xfId="0" applyAlignment="1" applyBorder="1" applyFont="1">
      <alignment horizontal="center"/>
    </xf>
    <xf borderId="34" fillId="2" fontId="3" numFmtId="173" xfId="0" applyAlignment="1" applyBorder="1" applyFont="1" applyNumberFormat="1">
      <alignment horizontal="center"/>
    </xf>
    <xf borderId="8" fillId="6" fontId="20" numFmtId="0" xfId="0" applyBorder="1" applyFont="1"/>
    <xf borderId="7" fillId="15" fontId="20" numFmtId="0" xfId="0" applyAlignment="1" applyBorder="1" applyFont="1">
      <alignment readingOrder="0"/>
    </xf>
    <xf borderId="9" fillId="2" fontId="20" numFmtId="164" xfId="0" applyBorder="1" applyFont="1" applyNumberFormat="1"/>
    <xf borderId="9" fillId="2" fontId="20" numFmtId="3" xfId="0" applyBorder="1" applyFont="1" applyNumberFormat="1"/>
    <xf borderId="9" fillId="6" fontId="20" numFmtId="181" xfId="0" applyBorder="1" applyFont="1" applyNumberFormat="1"/>
    <xf borderId="9" fillId="6" fontId="20" numFmtId="175" xfId="0" applyBorder="1" applyFont="1" applyNumberFormat="1"/>
    <xf borderId="9" fillId="33" fontId="3" numFmtId="0" xfId="0" applyBorder="1" applyFont="1"/>
    <xf borderId="4" fillId="6" fontId="8" numFmtId="0" xfId="0" applyAlignment="1" applyBorder="1" applyFont="1">
      <alignment horizontal="center"/>
    </xf>
    <xf borderId="4" fillId="6" fontId="3" numFmtId="175" xfId="0" applyAlignment="1" applyBorder="1" applyFont="1" applyNumberFormat="1">
      <alignment horizontal="center"/>
    </xf>
    <xf borderId="0" fillId="2" fontId="13" numFmtId="0" xfId="0" applyFont="1"/>
    <xf borderId="9" fillId="6" fontId="20" numFmtId="14" xfId="0" applyBorder="1" applyFont="1" applyNumberFormat="1"/>
    <xf borderId="9" fillId="6" fontId="3" numFmtId="165" xfId="0" applyAlignment="1" applyBorder="1" applyFont="1" applyNumberFormat="1">
      <alignment horizontal="right"/>
    </xf>
    <xf borderId="9" fillId="6" fontId="3" numFmtId="175" xfId="0" applyAlignment="1" applyBorder="1" applyFont="1" applyNumberFormat="1">
      <alignment horizontal="right"/>
    </xf>
    <xf borderId="9" fillId="2" fontId="3" numFmtId="173" xfId="0" applyBorder="1" applyFont="1" applyNumberFormat="1"/>
    <xf borderId="9" fillId="6" fontId="20" numFmtId="180" xfId="0" applyAlignment="1" applyBorder="1" applyFont="1" applyNumberFormat="1">
      <alignment horizontal="left"/>
    </xf>
    <xf borderId="9" fillId="6" fontId="27" numFmtId="181" xfId="0" applyAlignment="1" applyBorder="1" applyFont="1" applyNumberFormat="1">
      <alignment horizontal="center"/>
    </xf>
    <xf borderId="9" fillId="6" fontId="18" numFmtId="180" xfId="0" applyAlignment="1" applyBorder="1" applyFont="1" applyNumberFormat="1">
      <alignment horizontal="center"/>
    </xf>
    <xf borderId="9" fillId="6" fontId="3" numFmtId="188" xfId="0" applyAlignment="1" applyBorder="1" applyFont="1" applyNumberFormat="1">
      <alignment horizontal="center"/>
    </xf>
    <xf borderId="7" fillId="15" fontId="3" numFmtId="0" xfId="0" applyAlignment="1" applyBorder="1" applyFont="1">
      <alignment readingOrder="0"/>
    </xf>
    <xf borderId="0" fillId="8" fontId="13" numFmtId="0" xfId="0" applyFont="1"/>
    <xf borderId="9" fillId="34" fontId="20" numFmtId="0" xfId="0" applyBorder="1" applyFill="1" applyFont="1"/>
    <xf borderId="8" fillId="0" fontId="3" numFmtId="173" xfId="0" applyAlignment="1" applyBorder="1" applyFont="1" applyNumberFormat="1">
      <alignment horizontal="center"/>
    </xf>
    <xf borderId="9" fillId="35" fontId="22" numFmtId="0" xfId="0" applyBorder="1" applyFill="1" applyFont="1"/>
    <xf borderId="9" fillId="35" fontId="20" numFmtId="174" xfId="0" applyAlignment="1" applyBorder="1" applyFont="1" applyNumberFormat="1">
      <alignment horizontal="center"/>
    </xf>
    <xf borderId="9" fillId="35" fontId="20" numFmtId="0" xfId="0" applyAlignment="1" applyBorder="1" applyFont="1">
      <alignment horizontal="center"/>
    </xf>
    <xf borderId="9" fillId="35" fontId="20" numFmtId="0" xfId="0" applyBorder="1" applyFont="1"/>
    <xf borderId="9" fillId="35" fontId="20" numFmtId="180" xfId="0" applyAlignment="1" applyBorder="1" applyFont="1" applyNumberFormat="1">
      <alignment horizontal="center"/>
    </xf>
    <xf borderId="9" fillId="36" fontId="20" numFmtId="173" xfId="0" applyAlignment="1" applyBorder="1" applyFill="1" applyFont="1" applyNumberFormat="1">
      <alignment horizontal="center"/>
    </xf>
    <xf borderId="9" fillId="36" fontId="20" numFmtId="0" xfId="0" applyAlignment="1" applyBorder="1" applyFont="1">
      <alignment horizontal="center"/>
    </xf>
    <xf borderId="9" fillId="35" fontId="20" numFmtId="0" xfId="0" applyAlignment="1" applyBorder="1" applyFont="1">
      <alignment horizontal="left"/>
    </xf>
    <xf borderId="9" fillId="35" fontId="20" numFmtId="173" xfId="0" applyBorder="1" applyFont="1" applyNumberFormat="1"/>
    <xf borderId="9" fillId="35" fontId="26" numFmtId="0" xfId="0" applyAlignment="1" applyBorder="1" applyFont="1">
      <alignment horizontal="center"/>
    </xf>
    <xf borderId="9" fillId="36" fontId="20" numFmtId="0" xfId="0" applyBorder="1" applyFont="1"/>
    <xf borderId="9" fillId="36" fontId="20" numFmtId="182" xfId="0" applyAlignment="1" applyBorder="1" applyFont="1" applyNumberFormat="1">
      <alignment horizontal="center"/>
    </xf>
    <xf borderId="28" fillId="7" fontId="20" numFmtId="0" xfId="0" applyBorder="1" applyFont="1"/>
    <xf borderId="14" fillId="6" fontId="3" numFmtId="190" xfId="0" applyAlignment="1" applyBorder="1" applyFont="1" applyNumberFormat="1">
      <alignment horizontal="center"/>
    </xf>
    <xf borderId="6" fillId="29" fontId="3" numFmtId="0" xfId="0" applyAlignment="1" applyBorder="1" applyFont="1">
      <alignment readingOrder="0"/>
    </xf>
    <xf borderId="14" fillId="2" fontId="24" numFmtId="2" xfId="0" applyAlignment="1" applyBorder="1" applyFont="1" applyNumberFormat="1">
      <alignment horizontal="center" readingOrder="0"/>
    </xf>
    <xf borderId="14" fillId="6" fontId="3" numFmtId="176" xfId="0" applyAlignment="1" applyBorder="1" applyFont="1" applyNumberFormat="1">
      <alignment readingOrder="0"/>
    </xf>
    <xf borderId="14" fillId="6" fontId="24" numFmtId="0" xfId="0" applyAlignment="1" applyBorder="1" applyFont="1">
      <alignment readingOrder="0"/>
    </xf>
    <xf borderId="9" fillId="2" fontId="22" numFmtId="0" xfId="0" applyBorder="1" applyFont="1"/>
    <xf borderId="47" fillId="2" fontId="20" numFmtId="174" xfId="0" applyAlignment="1" applyBorder="1" applyFont="1" applyNumberFormat="1">
      <alignment horizontal="center"/>
    </xf>
    <xf borderId="56" fillId="2" fontId="20" numFmtId="0" xfId="0" applyAlignment="1" applyBorder="1" applyFont="1">
      <alignment horizontal="center"/>
    </xf>
    <xf borderId="56" fillId="2" fontId="20" numFmtId="0" xfId="0" applyBorder="1" applyFont="1"/>
    <xf borderId="47" fillId="2" fontId="20" numFmtId="0" xfId="0" applyBorder="1" applyFont="1"/>
    <xf borderId="47" fillId="2" fontId="20" numFmtId="180" xfId="0" applyAlignment="1" applyBorder="1" applyFont="1" applyNumberFormat="1">
      <alignment horizontal="center"/>
    </xf>
    <xf borderId="9" fillId="2" fontId="20" numFmtId="173" xfId="0" applyAlignment="1" applyBorder="1" applyFont="1" applyNumberFormat="1">
      <alignment horizontal="center"/>
    </xf>
    <xf borderId="57" fillId="2" fontId="20" numFmtId="173" xfId="0" applyAlignment="1" applyBorder="1" applyFont="1" applyNumberFormat="1">
      <alignment horizontal="center"/>
    </xf>
    <xf borderId="56" fillId="2" fontId="20" numFmtId="173" xfId="0" applyAlignment="1" applyBorder="1" applyFont="1" applyNumberFormat="1">
      <alignment horizontal="center"/>
    </xf>
    <xf borderId="56" fillId="2" fontId="20" numFmtId="180" xfId="0" applyAlignment="1" applyBorder="1" applyFont="1" applyNumberFormat="1">
      <alignment horizontal="center"/>
    </xf>
    <xf borderId="56" fillId="2" fontId="20" numFmtId="0" xfId="0" applyAlignment="1" applyBorder="1" applyFont="1">
      <alignment horizontal="left"/>
    </xf>
    <xf borderId="56" fillId="2" fontId="26" numFmtId="0" xfId="0" applyAlignment="1" applyBorder="1" applyFont="1">
      <alignment horizontal="center"/>
    </xf>
    <xf borderId="56" fillId="2" fontId="20" numFmtId="182" xfId="0" applyAlignment="1" applyBorder="1" applyFont="1" applyNumberFormat="1">
      <alignment horizontal="center"/>
    </xf>
    <xf borderId="47" fillId="2" fontId="20" numFmtId="173" xfId="0" applyAlignment="1" applyBorder="1" applyFont="1" applyNumberFormat="1">
      <alignment horizontal="center"/>
    </xf>
    <xf borderId="0" fillId="0" fontId="27" numFmtId="0" xfId="0" applyAlignment="1" applyFont="1">
      <alignment horizontal="center"/>
    </xf>
    <xf borderId="0" fillId="0" fontId="33" numFmtId="0" xfId="0" applyFont="1"/>
    <xf borderId="9" fillId="6" fontId="33" numFmtId="0" xfId="0" applyBorder="1" applyFont="1"/>
    <xf borderId="4" fillId="0" fontId="3" numFmtId="0" xfId="0" applyBorder="1" applyFont="1"/>
    <xf borderId="0" fillId="0" fontId="69" numFmtId="0" xfId="0" applyFont="1"/>
    <xf borderId="9" fillId="35" fontId="22" numFmtId="0" xfId="0" applyAlignment="1" applyBorder="1" applyFont="1">
      <alignment horizontal="left"/>
    </xf>
    <xf borderId="9" fillId="35" fontId="22" numFmtId="0" xfId="0" applyAlignment="1" applyBorder="1" applyFont="1">
      <alignment horizontal="center"/>
    </xf>
    <xf borderId="9" fillId="35" fontId="20" numFmtId="173" xfId="0" applyAlignment="1" applyBorder="1" applyFont="1" applyNumberFormat="1">
      <alignment horizontal="center"/>
    </xf>
    <xf borderId="9" fillId="6" fontId="34" numFmtId="0" xfId="0" applyBorder="1" applyFont="1"/>
    <xf borderId="9" fillId="6" fontId="20" numFmtId="180" xfId="0" applyAlignment="1" applyBorder="1" applyFont="1" applyNumberFormat="1">
      <alignment horizontal="center"/>
    </xf>
    <xf borderId="9" fillId="3" fontId="20" numFmtId="173" xfId="0" applyBorder="1" applyFont="1" applyNumberFormat="1"/>
    <xf borderId="9" fillId="33" fontId="20" numFmtId="173" xfId="0" applyBorder="1" applyFont="1" applyNumberFormat="1"/>
    <xf borderId="9" fillId="6" fontId="20" numFmtId="173" xfId="0" applyAlignment="1" applyBorder="1" applyFont="1" applyNumberFormat="1">
      <alignment horizontal="center"/>
    </xf>
    <xf borderId="0" fillId="6" fontId="20" numFmtId="173" xfId="0" applyAlignment="1" applyFont="1" applyNumberFormat="1">
      <alignment horizontal="left"/>
    </xf>
    <xf borderId="9" fillId="6" fontId="20" numFmtId="173" xfId="0" applyAlignment="1" applyBorder="1" applyFont="1" applyNumberFormat="1">
      <alignment horizontal="left"/>
    </xf>
    <xf borderId="9" fillId="35" fontId="20" numFmtId="0" xfId="0" applyAlignment="1" applyBorder="1" applyFont="1">
      <alignment readingOrder="0"/>
    </xf>
    <xf borderId="9" fillId="2" fontId="20" numFmtId="0" xfId="0" applyAlignment="1" applyBorder="1" applyFont="1">
      <alignment horizontal="center"/>
    </xf>
    <xf borderId="9" fillId="2" fontId="20" numFmtId="0" xfId="0" applyAlignment="1" applyBorder="1" applyFont="1">
      <alignment horizontal="left"/>
    </xf>
    <xf borderId="9" fillId="2" fontId="20" numFmtId="164" xfId="0" applyAlignment="1" applyBorder="1" applyFont="1" applyNumberFormat="1">
      <alignment horizontal="left"/>
    </xf>
    <xf borderId="9" fillId="6" fontId="20" numFmtId="182" xfId="0" applyBorder="1" applyFont="1" applyNumberFormat="1"/>
    <xf borderId="9" fillId="6" fontId="20" numFmtId="189" xfId="0" applyAlignment="1" applyBorder="1" applyFont="1" applyNumberFormat="1">
      <alignment horizontal="center"/>
    </xf>
    <xf borderId="9" fillId="6" fontId="20" numFmtId="165" xfId="0" applyBorder="1" applyFont="1" applyNumberFormat="1"/>
    <xf borderId="8" fillId="9" fontId="3" numFmtId="174" xfId="0" applyAlignment="1" applyBorder="1" applyFont="1" applyNumberFormat="1">
      <alignment horizontal="center"/>
    </xf>
    <xf borderId="8" fillId="6" fontId="3" numFmtId="0" xfId="0" applyBorder="1" applyFont="1"/>
    <xf borderId="9" fillId="6" fontId="20" numFmtId="0" xfId="0" applyAlignment="1" applyBorder="1" applyFont="1">
      <alignment horizontal="left" readingOrder="0"/>
    </xf>
    <xf borderId="8" fillId="6" fontId="3" numFmtId="181" xfId="0" applyAlignment="1" applyBorder="1" applyFont="1" applyNumberFormat="1">
      <alignment horizontal="center"/>
    </xf>
    <xf borderId="9" fillId="37" fontId="20" numFmtId="0" xfId="0" applyBorder="1" applyFill="1" applyFont="1"/>
    <xf borderId="9" fillId="6" fontId="26" numFmtId="173" xfId="0" applyBorder="1" applyFont="1" applyNumberFormat="1"/>
    <xf borderId="9" fillId="6" fontId="73" numFmtId="175" xfId="0" applyAlignment="1" applyBorder="1" applyFont="1" applyNumberFormat="1">
      <alignment horizontal="center"/>
    </xf>
    <xf borderId="9" fillId="6" fontId="20" numFmtId="189" xfId="0" applyBorder="1" applyFont="1" applyNumberFormat="1"/>
    <xf borderId="0" fillId="0" fontId="20" numFmtId="173" xfId="0" applyAlignment="1" applyFont="1" applyNumberFormat="1">
      <alignment horizontal="center"/>
    </xf>
    <xf borderId="28" fillId="2" fontId="27" numFmtId="0" xfId="0" applyBorder="1" applyFont="1"/>
    <xf borderId="28" fillId="6" fontId="27" numFmtId="0" xfId="0" applyAlignment="1" applyBorder="1" applyFont="1">
      <alignment readingOrder="0"/>
    </xf>
    <xf borderId="11" fillId="6" fontId="3" numFmtId="176" xfId="0" applyAlignment="1" applyBorder="1" applyFont="1" applyNumberFormat="1">
      <alignment readingOrder="0"/>
    </xf>
    <xf borderId="0" fillId="38" fontId="80" numFmtId="197" xfId="0" applyAlignment="1" applyFill="1" applyFont="1" applyNumberFormat="1">
      <alignment vertical="bottom"/>
    </xf>
    <xf borderId="0" fillId="10" fontId="80" numFmtId="0" xfId="0" applyAlignment="1" applyFont="1">
      <alignment vertical="bottom"/>
    </xf>
    <xf borderId="0" fillId="10" fontId="20" numFmtId="0" xfId="0" applyAlignment="1" applyFont="1">
      <alignment horizontal="center" vertical="bottom"/>
    </xf>
    <xf borderId="0" fillId="0" fontId="80" numFmtId="0" xfId="0" applyAlignment="1" applyFont="1">
      <alignment vertical="bottom"/>
    </xf>
    <xf borderId="0" fillId="39" fontId="26" numFmtId="0" xfId="0" applyAlignment="1" applyFill="1" applyFont="1">
      <alignment vertical="bottom"/>
    </xf>
    <xf borderId="0" fillId="39" fontId="80" numFmtId="0" xfId="0" applyAlignment="1" applyFont="1">
      <alignment vertical="bottom"/>
    </xf>
    <xf borderId="0" fillId="39" fontId="26" numFmtId="0" xfId="0" applyAlignment="1" applyFont="1">
      <alignment horizontal="center" vertical="bottom"/>
    </xf>
    <xf borderId="0" fillId="0" fontId="20" numFmtId="0" xfId="0" applyAlignment="1" applyFont="1">
      <alignment shrinkToFit="0" vertical="bottom" wrapText="1"/>
    </xf>
    <xf borderId="0" fillId="0" fontId="20" numFmtId="3" xfId="0" applyAlignment="1" applyFont="1" applyNumberFormat="1">
      <alignment horizontal="center" vertical="bottom"/>
    </xf>
    <xf borderId="0" fillId="0" fontId="20" numFmtId="0" xfId="0" applyAlignment="1" applyFont="1">
      <alignment horizontal="center" vertical="bottom"/>
    </xf>
    <xf borderId="0" fillId="0" fontId="20" numFmtId="0" xfId="0" applyAlignment="1" applyFont="1">
      <alignment vertical="bottom"/>
    </xf>
    <xf borderId="0" fillId="0" fontId="20" numFmtId="187" xfId="0" applyAlignment="1" applyFont="1" applyNumberFormat="1">
      <alignment horizontal="center" vertical="bottom"/>
    </xf>
    <xf borderId="0" fillId="0" fontId="80" numFmtId="3" xfId="0" applyAlignment="1" applyFont="1" applyNumberFormat="1">
      <alignment vertical="bottom"/>
    </xf>
    <xf borderId="0" fillId="2" fontId="20" numFmtId="0" xfId="0" applyAlignment="1" applyFont="1">
      <alignment shrinkToFit="0" vertical="bottom" wrapText="1"/>
    </xf>
    <xf borderId="0" fillId="2" fontId="20" numFmtId="3" xfId="0" applyAlignment="1" applyFont="1" applyNumberFormat="1">
      <alignment horizontal="center" vertical="bottom"/>
    </xf>
    <xf borderId="0" fillId="2" fontId="20" numFmtId="0" xfId="0" applyAlignment="1" applyFont="1">
      <alignment horizontal="center" vertical="bottom"/>
    </xf>
    <xf borderId="0" fillId="2" fontId="20" numFmtId="0" xfId="0" applyAlignment="1" applyFont="1">
      <alignment vertical="bottom"/>
    </xf>
    <xf borderId="0" fillId="2" fontId="20" numFmtId="198" xfId="0" applyAlignment="1" applyFont="1" applyNumberFormat="1">
      <alignment horizontal="center" vertical="bottom"/>
    </xf>
    <xf borderId="0" fillId="2" fontId="80" numFmtId="0" xfId="0" applyAlignment="1" applyFont="1">
      <alignment vertical="bottom"/>
    </xf>
    <xf borderId="0" fillId="2" fontId="20" numFmtId="187" xfId="0" applyAlignment="1" applyFont="1" applyNumberFormat="1">
      <alignment horizontal="center" vertical="bottom"/>
    </xf>
    <xf borderId="0" fillId="2" fontId="80" numFmtId="3" xfId="0" applyAlignment="1" applyFont="1" applyNumberFormat="1">
      <alignment vertical="bottom"/>
    </xf>
    <xf borderId="0" fillId="0" fontId="20" numFmtId="199" xfId="0" applyAlignment="1" applyFont="1" applyNumberFormat="1">
      <alignment horizontal="right" vertical="bottom"/>
    </xf>
    <xf borderId="0" fillId="0" fontId="81" numFmtId="0" xfId="0" applyAlignment="1" applyFont="1">
      <alignment vertical="bottom"/>
    </xf>
    <xf borderId="0" fillId="15" fontId="20" numFmtId="187" xfId="0" applyAlignment="1" applyFont="1" applyNumberFormat="1">
      <alignment horizontal="center" vertical="bottom"/>
    </xf>
    <xf borderId="0" fillId="26" fontId="20" numFmtId="0" xfId="0" applyAlignment="1" applyFont="1">
      <alignment shrinkToFit="0" vertical="bottom" wrapText="1"/>
    </xf>
    <xf borderId="0" fillId="26" fontId="20" numFmtId="3" xfId="0" applyAlignment="1" applyFont="1" applyNumberFormat="1">
      <alignment horizontal="center" vertical="bottom"/>
    </xf>
    <xf borderId="0" fillId="26" fontId="20" numFmtId="0" xfId="0" applyAlignment="1" applyFont="1">
      <alignment horizontal="center" vertical="bottom"/>
    </xf>
    <xf borderId="0" fillId="26" fontId="20" numFmtId="0" xfId="0" applyAlignment="1" applyFont="1">
      <alignment vertical="bottom"/>
    </xf>
    <xf borderId="0" fillId="26" fontId="80" numFmtId="0" xfId="0" applyAlignment="1" applyFont="1">
      <alignment vertical="bottom"/>
    </xf>
    <xf borderId="0" fillId="26" fontId="20" numFmtId="187" xfId="0" applyAlignment="1" applyFont="1" applyNumberFormat="1">
      <alignment horizontal="center" vertical="bottom"/>
    </xf>
    <xf borderId="0" fillId="0" fontId="20" numFmtId="198" xfId="0" applyAlignment="1" applyFont="1" applyNumberFormat="1">
      <alignment horizontal="center" vertical="bottom"/>
    </xf>
    <xf borderId="0" fillId="26" fontId="80" numFmtId="3" xfId="0" applyAlignment="1" applyFont="1" applyNumberFormat="1">
      <alignment vertical="bottom"/>
    </xf>
    <xf borderId="0" fillId="0" fontId="82" numFmtId="0" xfId="0" applyAlignment="1" applyFont="1">
      <alignment horizontal="center" vertical="bottom"/>
    </xf>
    <xf borderId="0" fillId="2" fontId="80" numFmtId="200" xfId="0" applyAlignment="1" applyFont="1" applyNumberFormat="1">
      <alignment vertical="bottom"/>
    </xf>
    <xf borderId="0" fillId="2" fontId="20" numFmtId="3" xfId="0" applyAlignment="1" applyFont="1" applyNumberFormat="1">
      <alignment vertical="bottom"/>
    </xf>
    <xf borderId="0" fillId="0" fontId="20" numFmtId="186" xfId="0" applyAlignment="1" applyFont="1" applyNumberFormat="1">
      <alignment horizontal="center" vertical="bottom"/>
    </xf>
    <xf borderId="0" fillId="0" fontId="80" numFmtId="0" xfId="0" applyFont="1"/>
    <xf borderId="0" fillId="0" fontId="20" numFmtId="0" xfId="0" applyAlignment="1" applyFont="1">
      <alignment shrinkToFit="0" wrapText="1"/>
    </xf>
    <xf borderId="0" fillId="2" fontId="20" numFmtId="3" xfId="0" applyAlignment="1" applyFont="1" applyNumberFormat="1">
      <alignment horizontal="center"/>
    </xf>
    <xf borderId="0" fillId="2" fontId="20" numFmtId="0" xfId="0" applyAlignment="1" applyFont="1">
      <alignment horizontal="center"/>
    </xf>
    <xf borderId="0" fillId="2" fontId="80" numFmtId="3" xfId="0" applyFont="1" applyNumberFormat="1"/>
    <xf borderId="0" fillId="2" fontId="27" numFmtId="0" xfId="0" applyAlignment="1" applyFont="1">
      <alignment shrinkToFit="0" wrapText="1"/>
    </xf>
    <xf borderId="0" fillId="2" fontId="80" numFmtId="0" xfId="0" applyFont="1"/>
    <xf borderId="0" fillId="2" fontId="20" numFmtId="187" xfId="0" applyAlignment="1" applyFont="1" applyNumberFormat="1">
      <alignment horizontal="center"/>
    </xf>
    <xf borderId="0" fillId="26" fontId="20" numFmtId="198" xfId="0" applyAlignment="1" applyFont="1" applyNumberFormat="1">
      <alignment horizontal="center" vertical="bottom"/>
    </xf>
    <xf borderId="0" fillId="0" fontId="20" numFmtId="14" xfId="0" applyAlignment="1" applyFont="1" applyNumberFormat="1">
      <alignment horizontal="right" vertical="bottom"/>
    </xf>
    <xf borderId="0" fillId="2" fontId="80" numFmtId="0" xfId="0" applyAlignment="1" applyFont="1">
      <alignment horizontal="right" vertical="bottom"/>
    </xf>
    <xf borderId="0" fillId="0" fontId="20" numFmtId="3" xfId="0" applyAlignment="1" applyFont="1" applyNumberFormat="1">
      <alignment vertical="bottom"/>
    </xf>
    <xf borderId="0" fillId="0" fontId="20" numFmtId="187" xfId="0" applyAlignment="1" applyFont="1" applyNumberFormat="1">
      <alignment horizontal="center" shrinkToFit="0" vertical="bottom" wrapText="1"/>
    </xf>
    <xf borderId="0" fillId="0" fontId="20" numFmtId="0" xfId="0" applyAlignment="1" applyFont="1">
      <alignment horizontal="center" shrinkToFit="0" vertical="bottom" wrapText="1"/>
    </xf>
    <xf borderId="0" fillId="34" fontId="26" numFmtId="0" xfId="0" applyAlignment="1" applyFont="1">
      <alignment shrinkToFit="0" vertical="bottom" wrapText="1"/>
    </xf>
    <xf borderId="0" fillId="34" fontId="80" numFmtId="0" xfId="0" applyAlignment="1" applyFont="1">
      <alignment vertical="bottom"/>
    </xf>
    <xf borderId="0" fillId="34" fontId="83" numFmtId="0" xfId="0" applyAlignment="1" applyFont="1">
      <alignment vertical="bottom"/>
    </xf>
    <xf borderId="0" fillId="2" fontId="84" numFmtId="0" xfId="0" applyAlignment="1" applyFont="1">
      <alignment horizontal="center" vertical="bottom"/>
    </xf>
    <xf borderId="0" fillId="0" fontId="85" numFmtId="0" xfId="0" applyAlignment="1" applyFont="1">
      <alignment vertical="bottom"/>
    </xf>
    <xf borderId="0" fillId="2" fontId="80" numFmtId="198" xfId="0" applyAlignment="1" applyFont="1" applyNumberFormat="1">
      <alignment vertical="bottom"/>
    </xf>
    <xf borderId="0" fillId="34" fontId="80" numFmtId="3" xfId="0" applyAlignment="1" applyFont="1" applyNumberFormat="1">
      <alignment vertical="bottom"/>
    </xf>
    <xf borderId="0" fillId="0" fontId="80" numFmtId="199" xfId="0" applyAlignment="1" applyFont="1" applyNumberFormat="1">
      <alignment vertical="bottom"/>
    </xf>
    <xf borderId="0" fillId="40" fontId="26" numFmtId="0" xfId="0" applyAlignment="1" applyFill="1" applyFont="1">
      <alignment shrinkToFit="0" vertical="bottom" wrapText="1"/>
    </xf>
    <xf borderId="0" fillId="40" fontId="80" numFmtId="0" xfId="0" applyAlignment="1" applyFont="1">
      <alignment vertical="bottom"/>
    </xf>
    <xf borderId="0" fillId="40" fontId="83" numFmtId="0" xfId="0" applyAlignment="1" applyFont="1">
      <alignment vertical="bottom"/>
    </xf>
    <xf borderId="0" fillId="34" fontId="26" numFmtId="0" xfId="0" applyAlignment="1" applyFont="1">
      <alignment vertical="bottom"/>
    </xf>
    <xf borderId="0" fillId="0" fontId="80" numFmtId="187" xfId="0" applyAlignment="1" applyFont="1" applyNumberFormat="1">
      <alignment vertical="bottom"/>
    </xf>
    <xf borderId="0" fillId="0" fontId="26" numFmtId="0" xfId="0" applyAlignment="1" applyFont="1">
      <alignment readingOrder="0" vertical="bottom"/>
    </xf>
    <xf borderId="0" fillId="0" fontId="26" numFmtId="0" xfId="0" applyAlignment="1" applyFont="1">
      <alignment vertical="bottom"/>
    </xf>
    <xf borderId="0" fillId="0" fontId="86" numFmtId="0" xfId="0" applyAlignment="1" applyFont="1">
      <alignment vertical="bottom"/>
    </xf>
    <xf borderId="0" fillId="0" fontId="87" numFmtId="0" xfId="0" applyAlignment="1" applyFont="1">
      <alignment vertical="bottom"/>
    </xf>
    <xf borderId="0" fillId="0" fontId="20" numFmtId="0" xfId="0" applyAlignment="1" applyFont="1">
      <alignment readingOrder="0" vertical="bottom"/>
    </xf>
    <xf borderId="0" fillId="0" fontId="20" numFmtId="0" xfId="0" applyAlignment="1" applyFont="1">
      <alignment horizontal="right" vertical="bottom"/>
    </xf>
    <xf borderId="0" fillId="0" fontId="20" numFmtId="0" xfId="0" applyAlignment="1" applyFont="1">
      <alignment readingOrder="0" vertical="bottom"/>
    </xf>
    <xf borderId="0" fillId="0" fontId="86" numFmtId="0" xfId="0" applyAlignment="1" applyFont="1">
      <alignment readingOrder="0" vertical="bottom"/>
    </xf>
    <xf borderId="0" fillId="0" fontId="88" numFmtId="0" xfId="0" applyAlignment="1" applyFont="1">
      <alignment vertical="bottom"/>
    </xf>
    <xf borderId="0" fillId="2" fontId="89" numFmtId="0" xfId="0" applyAlignment="1" applyFont="1">
      <alignment vertical="bottom"/>
    </xf>
    <xf borderId="0" fillId="0" fontId="20" numFmtId="201" xfId="0" applyAlignment="1" applyFont="1" applyNumberFormat="1">
      <alignment horizontal="right" vertical="bottom"/>
    </xf>
    <xf borderId="0" fillId="0" fontId="90" numFmtId="0" xfId="0" applyAlignment="1" applyFont="1">
      <alignment readingOrder="0"/>
    </xf>
    <xf borderId="0" fillId="0" fontId="20" numFmtId="202" xfId="0" applyAlignment="1" applyFont="1" applyNumberFormat="1">
      <alignment horizontal="right" vertical="bottom"/>
    </xf>
    <xf borderId="0" fillId="41" fontId="91" numFmtId="0" xfId="0" applyAlignment="1" applyFill="1" applyFont="1">
      <alignment horizontal="center" vertical="bottom"/>
    </xf>
    <xf borderId="0" fillId="0" fontId="92" numFmtId="0" xfId="0" applyAlignment="1" applyFont="1">
      <alignment vertical="bottom"/>
    </xf>
    <xf borderId="0" fillId="0" fontId="92" numFmtId="0" xfId="0" applyAlignment="1" applyFont="1">
      <alignment horizontal="right" vertical="bottom"/>
    </xf>
    <xf borderId="0" fillId="41" fontId="93" numFmtId="0" xfId="0" applyAlignment="1" applyFont="1">
      <alignment vertical="bottom"/>
    </xf>
    <xf borderId="0" fillId="2" fontId="94" numFmtId="0" xfId="0" applyAlignment="1" applyFont="1">
      <alignment vertical="bottom"/>
    </xf>
    <xf borderId="0" fillId="2" fontId="94" numFmtId="3" xfId="0" applyAlignment="1" applyFont="1" applyNumberFormat="1">
      <alignment horizontal="center" vertical="bottom"/>
    </xf>
    <xf borderId="0" fillId="2" fontId="94" numFmtId="0" xfId="0" applyAlignment="1" applyFont="1">
      <alignment horizontal="center" vertical="bottom"/>
    </xf>
    <xf borderId="0" fillId="0" fontId="94" numFmtId="187" xfId="0" applyAlignment="1" applyFont="1" applyNumberFormat="1">
      <alignment horizontal="right" vertical="bottom"/>
    </xf>
    <xf borderId="0" fillId="42" fontId="80" numFmtId="0" xfId="0" applyAlignment="1" applyFill="1" applyFont="1">
      <alignment vertical="bottom"/>
    </xf>
    <xf borderId="0" fillId="42" fontId="80" numFmtId="3" xfId="0" applyAlignment="1" applyFont="1" applyNumberFormat="1">
      <alignment vertical="bottom"/>
    </xf>
    <xf borderId="0" fillId="42" fontId="80" numFmtId="187" xfId="0" applyAlignment="1" applyFont="1" applyNumberFormat="1">
      <alignment vertical="bottom"/>
    </xf>
    <xf borderId="0" fillId="0" fontId="94" numFmtId="0" xfId="0" applyAlignment="1" applyFont="1">
      <alignment horizontal="right" vertical="bottom"/>
    </xf>
    <xf borderId="0" fillId="0" fontId="94" numFmtId="0" xfId="0" applyAlignment="1" applyFont="1">
      <alignment vertical="bottom"/>
    </xf>
    <xf borderId="0" fillId="42" fontId="81" numFmtId="0" xfId="0" applyAlignment="1" applyFont="1">
      <alignment vertical="bottom"/>
    </xf>
    <xf borderId="0" fillId="42" fontId="81" numFmtId="3" xfId="0" applyAlignment="1" applyFont="1" applyNumberFormat="1">
      <alignment horizontal="center" vertical="bottom"/>
    </xf>
    <xf borderId="0" fillId="42" fontId="81" numFmtId="0" xfId="0" applyAlignment="1" applyFont="1">
      <alignment horizontal="center" vertical="bottom"/>
    </xf>
    <xf borderId="0" fillId="42" fontId="81" numFmtId="187" xfId="0" applyAlignment="1" applyFont="1" applyNumberFormat="1">
      <alignment vertical="bottom"/>
    </xf>
    <xf borderId="0" fillId="2" fontId="81" numFmtId="0" xfId="0" applyAlignment="1" applyFont="1">
      <alignment vertical="bottom"/>
    </xf>
    <xf borderId="0" fillId="2" fontId="81" numFmtId="3" xfId="0" applyAlignment="1" applyFont="1" applyNumberFormat="1">
      <alignment horizontal="center" vertical="bottom"/>
    </xf>
    <xf borderId="0" fillId="2" fontId="81" numFmtId="0" xfId="0" applyAlignment="1" applyFont="1">
      <alignment horizontal="center" vertical="bottom"/>
    </xf>
    <xf borderId="0" fillId="0" fontId="81" numFmtId="200" xfId="0" applyAlignment="1" applyFont="1" applyNumberFormat="1">
      <alignment horizontal="right" vertical="bottom"/>
    </xf>
    <xf borderId="0" fillId="0" fontId="81" numFmtId="0" xfId="0" applyAlignment="1" applyFont="1">
      <alignment horizontal="center" vertical="bottom"/>
    </xf>
    <xf borderId="0" fillId="0" fontId="81" numFmtId="0" xfId="0" applyAlignment="1" applyFont="1">
      <alignment horizontal="left" vertical="bottom"/>
    </xf>
    <xf borderId="0" fillId="42" fontId="81" numFmtId="198" xfId="0" applyAlignment="1" applyFont="1" applyNumberFormat="1">
      <alignment vertical="bottom"/>
    </xf>
    <xf borderId="0" fillId="0" fontId="81" numFmtId="0" xfId="0" applyAlignment="1" applyFont="1">
      <alignment horizontal="right" vertical="bottom"/>
    </xf>
    <xf borderId="0" fillId="2" fontId="81" numFmtId="200" xfId="0" applyAlignment="1" applyFont="1" applyNumberFormat="1">
      <alignment horizontal="right" vertical="bottom"/>
    </xf>
    <xf borderId="0" fillId="2" fontId="81" numFmtId="187" xfId="0" applyAlignment="1" applyFont="1" applyNumberFormat="1">
      <alignment vertical="bottom"/>
    </xf>
    <xf borderId="0" fillId="2" fontId="81" numFmtId="0" xfId="0" applyAlignment="1" applyFont="1">
      <alignment horizontal="right" vertical="bottom"/>
    </xf>
    <xf borderId="0" fillId="2" fontId="81" numFmtId="198" xfId="0" applyAlignment="1" applyFont="1" applyNumberFormat="1">
      <alignment vertical="bottom"/>
    </xf>
    <xf borderId="0" fillId="2" fontId="81" numFmtId="199" xfId="0" applyAlignment="1" applyFont="1" applyNumberFormat="1">
      <alignment horizontal="right" vertical="bottom"/>
    </xf>
    <xf borderId="0" fillId="2" fontId="81" numFmtId="194" xfId="0" applyAlignment="1" applyFont="1" applyNumberFormat="1">
      <alignment horizontal="right" vertical="bottom"/>
    </xf>
    <xf borderId="0" fillId="2" fontId="81" numFmtId="0" xfId="0" applyAlignment="1" applyFont="1">
      <alignment shrinkToFit="0" vertical="bottom" wrapText="1"/>
    </xf>
    <xf borderId="0" fillId="2" fontId="81" numFmtId="3" xfId="0" applyAlignment="1" applyFont="1" applyNumberFormat="1">
      <alignment horizontal="right" vertical="bottom"/>
    </xf>
    <xf borderId="0" fillId="26" fontId="81" numFmtId="0" xfId="0" applyAlignment="1" applyFont="1">
      <alignment vertical="bottom"/>
    </xf>
    <xf borderId="0" fillId="26" fontId="81" numFmtId="3" xfId="0" applyAlignment="1" applyFont="1" applyNumberFormat="1">
      <alignment horizontal="right" vertical="bottom"/>
    </xf>
    <xf borderId="0" fillId="26" fontId="81" numFmtId="0" xfId="0" applyAlignment="1" applyFont="1">
      <alignment horizontal="right" vertical="bottom"/>
    </xf>
    <xf borderId="0" fillId="26" fontId="81" numFmtId="187" xfId="0" applyAlignment="1" applyFont="1" applyNumberFormat="1">
      <alignment vertical="bottom"/>
    </xf>
    <xf borderId="0" fillId="41" fontId="93" numFmtId="0" xfId="0" applyAlignment="1" applyFont="1">
      <alignment horizontal="center" vertical="bottom"/>
    </xf>
    <xf borderId="0" fillId="0" fontId="81" numFmtId="3" xfId="0" applyAlignment="1" applyFont="1" applyNumberFormat="1">
      <alignment horizontal="center" vertical="bottom"/>
    </xf>
    <xf borderId="0" fillId="26" fontId="81" numFmtId="198" xfId="0" applyAlignment="1" applyFont="1" applyNumberFormat="1">
      <alignment horizontal="right" vertical="bottom"/>
    </xf>
    <xf borderId="0" fillId="0" fontId="26" numFmtId="0" xfId="0" applyFont="1"/>
    <xf borderId="0" fillId="0" fontId="20" numFmtId="181" xfId="0" applyFont="1" applyNumberFormat="1"/>
    <xf borderId="0" fillId="0" fontId="20" numFmtId="193" xfId="0" applyFont="1" applyNumberFormat="1"/>
    <xf borderId="0" fillId="0" fontId="20" numFmtId="203" xfId="0" applyFont="1" applyNumberFormat="1"/>
    <xf borderId="0" fillId="0" fontId="20" numFmtId="204" xfId="0" applyFont="1" applyNumberFormat="1"/>
    <xf borderId="0" fillId="0" fontId="20" numFmtId="189" xfId="0" applyFont="1" applyNumberFormat="1"/>
    <xf borderId="0" fillId="0" fontId="95" numFmtId="0" xfId="0" applyAlignment="1" applyFont="1">
      <alignment horizontal="left" readingOrder="0"/>
    </xf>
    <xf borderId="0" fillId="43" fontId="22" numFmtId="0" xfId="0" applyAlignment="1" applyFill="1" applyFont="1">
      <alignment horizontal="center" readingOrder="0" shrinkToFit="0" vertical="bottom" wrapText="0"/>
    </xf>
    <xf borderId="0" fillId="0" fontId="3" numFmtId="0" xfId="0" applyAlignment="1" applyFont="1">
      <alignment horizontal="center" readingOrder="0" shrinkToFit="0" vertical="bottom" wrapText="0"/>
    </xf>
    <xf borderId="0" fillId="0" fontId="3" numFmtId="3" xfId="0" applyAlignment="1" applyFont="1" applyNumberFormat="1">
      <alignment horizontal="center" readingOrder="0" shrinkToFit="0" vertical="bottom" wrapText="0"/>
    </xf>
    <xf borderId="0" fillId="0" fontId="96" numFmtId="0" xfId="0" applyAlignment="1" applyFont="1">
      <alignment shrinkToFit="0" vertical="bottom" wrapText="0"/>
    </xf>
    <xf borderId="0" fillId="0" fontId="3" numFmtId="0" xfId="0" applyAlignment="1" applyFont="1">
      <alignment horizontal="center" shrinkToFit="0" vertical="bottom" wrapText="0"/>
    </xf>
    <xf borderId="0" fillId="0" fontId="3" numFmtId="195" xfId="0" applyAlignment="1" applyFont="1" applyNumberFormat="1">
      <alignment horizontal="center" readingOrder="0" shrinkToFit="0" vertical="bottom" wrapText="0"/>
    </xf>
    <xf borderId="0" fillId="2" fontId="3" numFmtId="0" xfId="0" applyAlignment="1" applyFont="1">
      <alignment horizontal="center" readingOrder="0" shrinkToFit="0" vertical="bottom" wrapText="0"/>
    </xf>
    <xf borderId="0" fillId="0" fontId="3" numFmtId="194" xfId="0" applyAlignment="1" applyFont="1" applyNumberFormat="1">
      <alignment horizontal="center" readingOrder="0" shrinkToFit="0" vertical="bottom" wrapText="0"/>
    </xf>
    <xf borderId="0" fillId="0" fontId="3" numFmtId="205" xfId="0" applyAlignment="1" applyFont="1" applyNumberFormat="1">
      <alignment horizontal="center" readingOrder="0" shrinkToFit="0" vertical="bottom" wrapText="0"/>
    </xf>
    <xf borderId="0" fillId="0" fontId="3" numFmtId="206" xfId="0" applyAlignment="1" applyFont="1" applyNumberFormat="1">
      <alignment horizontal="center" readingOrder="0" shrinkToFit="0" vertical="bottom" wrapText="0"/>
    </xf>
    <xf borderId="0" fillId="2" fontId="96" numFmtId="0" xfId="0" applyAlignment="1" applyFont="1">
      <alignment shrinkToFit="0" vertical="bottom" wrapText="0"/>
    </xf>
    <xf borderId="0" fillId="2" fontId="3" numFmtId="0" xfId="0" applyAlignment="1" applyFont="1">
      <alignment horizontal="center" shrinkToFit="0" vertical="bottom" wrapText="0"/>
    </xf>
    <xf borderId="0" fillId="0" fontId="18" numFmtId="0" xfId="0" applyAlignment="1" applyFont="1">
      <alignment horizontal="center" readingOrder="0" shrinkToFit="0" vertical="bottom" wrapText="0"/>
    </xf>
    <xf borderId="0" fillId="0" fontId="18" numFmtId="3" xfId="0" applyAlignment="1" applyFont="1" applyNumberFormat="1">
      <alignment horizontal="center" readingOrder="0" shrinkToFit="0" vertical="bottom" wrapText="0"/>
    </xf>
    <xf borderId="0" fillId="0" fontId="18" numFmtId="194" xfId="0" applyAlignment="1" applyFont="1" applyNumberFormat="1">
      <alignment horizontal="center" readingOrder="0" shrinkToFit="0" vertical="bottom" wrapText="0"/>
    </xf>
    <xf borderId="0" fillId="0" fontId="18" numFmtId="0" xfId="0" applyAlignment="1" applyFont="1">
      <alignment horizontal="center" shrinkToFit="0" vertical="bottom" wrapText="0"/>
    </xf>
    <xf borderId="0" fillId="0" fontId="18" numFmtId="195" xfId="0" applyAlignment="1" applyFont="1" applyNumberFormat="1">
      <alignment horizontal="center" readingOrder="0" shrinkToFit="0" vertical="bottom" wrapText="0"/>
    </xf>
    <xf borderId="0" fillId="2" fontId="18" numFmtId="0" xfId="0" applyAlignment="1" applyFont="1">
      <alignment horizontal="center" readingOrder="0" shrinkToFit="0" vertical="bottom" wrapText="0"/>
    </xf>
    <xf borderId="9" fillId="15" fontId="26" numFmtId="0" xfId="0" applyBorder="1" applyFont="1"/>
    <xf borderId="9" fillId="38" fontId="26" numFmtId="0" xfId="0" applyBorder="1" applyFont="1"/>
    <xf borderId="0" fillId="0" fontId="20" numFmtId="175" xfId="0" applyAlignment="1" applyFont="1" applyNumberFormat="1">
      <alignment horizontal="center"/>
    </xf>
    <xf borderId="9" fillId="44" fontId="3" numFmtId="0" xfId="0" applyAlignment="1" applyBorder="1" applyFill="1" applyFont="1">
      <alignment horizontal="center"/>
    </xf>
    <xf borderId="9" fillId="2" fontId="3" numFmtId="0" xfId="0" applyAlignment="1" applyBorder="1" applyFont="1">
      <alignment horizontal="center"/>
    </xf>
    <xf borderId="0" fillId="0" fontId="20" numFmtId="0" xfId="0" applyAlignment="1" applyFont="1">
      <alignment horizontal="left"/>
    </xf>
    <xf borderId="0" fillId="0" fontId="3" numFmtId="0" xfId="0" applyAlignment="1" applyFont="1">
      <alignment horizontal="left" shrinkToFit="0" wrapText="1"/>
    </xf>
    <xf borderId="9" fillId="44" fontId="3" numFmtId="0" xfId="0" applyAlignment="1" applyBorder="1" applyFont="1">
      <alignment horizontal="center"/>
    </xf>
    <xf borderId="0" fillId="0" fontId="97" numFmtId="0" xfId="0" applyFont="1"/>
    <xf borderId="0" fillId="0" fontId="97" numFmtId="3" xfId="0" applyAlignment="1" applyFont="1" applyNumberFormat="1">
      <alignment vertical="top"/>
    </xf>
    <xf borderId="0" fillId="0" fontId="97" numFmtId="0" xfId="0" applyAlignment="1" applyFont="1">
      <alignment vertical="top"/>
    </xf>
    <xf borderId="9" fillId="45" fontId="3" numFmtId="0" xfId="0" applyAlignment="1" applyBorder="1" applyFill="1" applyFont="1">
      <alignment horizontal="center" shrinkToFit="0" wrapText="1"/>
    </xf>
    <xf borderId="0" fillId="0" fontId="3" numFmtId="0" xfId="0" applyAlignment="1" applyFont="1">
      <alignment horizontal="center" shrinkToFit="0" wrapText="1"/>
    </xf>
    <xf borderId="0" fillId="0" fontId="20" numFmtId="0" xfId="0" applyAlignment="1" applyFont="1">
      <alignment horizontal="center" shrinkToFit="0" wrapText="1"/>
    </xf>
    <xf borderId="9" fillId="26" fontId="3" numFmtId="0" xfId="0" applyAlignment="1" applyBorder="1" applyFont="1">
      <alignment horizontal="center"/>
    </xf>
    <xf borderId="9" fillId="26" fontId="3" numFmtId="0" xfId="0" applyAlignment="1" applyBorder="1" applyFont="1">
      <alignment horizontal="center"/>
    </xf>
    <xf borderId="0" fillId="0" fontId="20" numFmtId="0" xfId="0" applyAlignment="1" applyFont="1">
      <alignment horizontal="left" shrinkToFit="0" wrapText="1"/>
    </xf>
    <xf borderId="0" fillId="0" fontId="20" numFmtId="0" xfId="0" applyAlignment="1" applyFont="1">
      <alignment horizontal="left" shrinkToFit="0" wrapText="1"/>
    </xf>
    <xf borderId="9" fillId="2" fontId="98" numFmtId="0" xfId="0" applyBorder="1" applyFont="1"/>
    <xf borderId="0" fillId="0" fontId="97" numFmtId="3" xfId="0" applyFont="1" applyNumberFormat="1"/>
    <xf borderId="0" fillId="0" fontId="20" numFmtId="0" xfId="0" applyAlignment="1" applyFont="1">
      <alignment horizontal="center"/>
    </xf>
    <xf borderId="0" fillId="0" fontId="20" numFmtId="0" xfId="0" applyAlignment="1" applyFont="1">
      <alignment horizontal="center" shrinkToFit="0" wrapText="1"/>
    </xf>
    <xf borderId="0" fillId="0" fontId="3" numFmtId="0" xfId="0" applyAlignment="1" applyFont="1">
      <alignment horizontal="center" shrinkToFit="0" wrapText="1"/>
    </xf>
    <xf borderId="0" fillId="0" fontId="20" numFmtId="0" xfId="0" applyFont="1"/>
    <xf borderId="9" fillId="45" fontId="3" numFmtId="0" xfId="0" applyAlignment="1" applyBorder="1" applyFont="1">
      <alignment horizontal="center" shrinkToFit="0" wrapText="1"/>
    </xf>
    <xf borderId="9" fillId="2" fontId="3" numFmtId="0" xfId="0" applyAlignment="1" applyBorder="1" applyFont="1">
      <alignment horizontal="left" shrinkToFit="0" wrapText="1"/>
    </xf>
    <xf borderId="0" fillId="0" fontId="99" numFmtId="0" xfId="0" applyAlignment="1" applyFont="1">
      <alignment horizontal="center" shrinkToFit="0" wrapText="1"/>
    </xf>
    <xf borderId="0" fillId="0" fontId="100" numFmtId="0" xfId="0" applyFont="1"/>
    <xf borderId="0" fillId="0" fontId="101" numFmtId="0" xfId="0" applyFont="1"/>
    <xf borderId="9" fillId="2" fontId="3" numFmtId="0" xfId="0" applyAlignment="1" applyBorder="1" applyFont="1">
      <alignment readingOrder="0"/>
    </xf>
    <xf borderId="0" fillId="0" fontId="3" numFmtId="0" xfId="0" applyAlignment="1" applyFont="1">
      <alignment horizontal="right"/>
    </xf>
    <xf borderId="0" fillId="0" fontId="20" numFmtId="0" xfId="0" applyAlignment="1" applyFont="1">
      <alignment horizontal="right"/>
    </xf>
    <xf borderId="0" fillId="0" fontId="18" numFmtId="175" xfId="0" applyFont="1" applyNumberFormat="1"/>
    <xf borderId="0" fillId="0" fontId="18" numFmtId="175" xfId="0" applyAlignment="1" applyFont="1" applyNumberFormat="1">
      <alignment horizontal="right"/>
    </xf>
    <xf borderId="1" fillId="0" fontId="20" numFmtId="0" xfId="0" applyBorder="1" applyFont="1"/>
    <xf borderId="1" fillId="0" fontId="20" numFmtId="175" xfId="0" applyBorder="1" applyFont="1" applyNumberFormat="1"/>
    <xf borderId="2" fillId="0" fontId="20" numFmtId="175" xfId="0" applyBorder="1" applyFont="1" applyNumberFormat="1"/>
    <xf borderId="2" fillId="0" fontId="18" numFmtId="173" xfId="0" applyBorder="1" applyFont="1" applyNumberFormat="1"/>
    <xf borderId="4" fillId="0" fontId="20" numFmtId="173" xfId="0" applyBorder="1" applyFont="1" applyNumberFormat="1"/>
    <xf borderId="5" fillId="0" fontId="20" numFmtId="175" xfId="0" applyBorder="1" applyFont="1" applyNumberFormat="1"/>
    <xf borderId="5" fillId="0" fontId="18" numFmtId="173" xfId="0" applyBorder="1" applyFont="1" applyNumberFormat="1"/>
    <xf borderId="4" fillId="0" fontId="20" numFmtId="175" xfId="0" applyBorder="1" applyFont="1" applyNumberFormat="1"/>
    <xf borderId="35" fillId="0" fontId="20" numFmtId="0" xfId="0" applyBorder="1" applyFont="1"/>
    <xf borderId="35" fillId="0" fontId="20" numFmtId="173" xfId="0" applyBorder="1" applyFont="1" applyNumberFormat="1"/>
    <xf borderId="6" fillId="0" fontId="20" numFmtId="175" xfId="0" applyBorder="1" applyFont="1" applyNumberFormat="1"/>
    <xf borderId="6" fillId="0" fontId="18" numFmtId="173" xfId="0" applyBorder="1" applyFont="1" applyNumberFormat="1"/>
    <xf borderId="9" fillId="19" fontId="26" numFmtId="0" xfId="0" applyAlignment="1" applyBorder="1" applyFont="1">
      <alignment horizontal="left"/>
    </xf>
    <xf borderId="9" fillId="15" fontId="26" numFmtId="0" xfId="0" applyAlignment="1" applyBorder="1" applyFont="1">
      <alignment horizontal="left"/>
    </xf>
    <xf borderId="9" fillId="46" fontId="22" numFmtId="0" xfId="0" applyBorder="1" applyFill="1" applyFont="1"/>
    <xf borderId="34" fillId="46" fontId="22" numFmtId="0" xfId="0" applyBorder="1" applyFont="1"/>
    <xf borderId="9" fillId="2" fontId="102" numFmtId="0" xfId="0" applyBorder="1" applyFont="1"/>
    <xf borderId="0" fillId="0" fontId="3" numFmtId="207" xfId="0" applyAlignment="1" applyFont="1" applyNumberFormat="1">
      <alignment horizontal="left"/>
    </xf>
    <xf borderId="0" fillId="0" fontId="3" numFmtId="197" xfId="0" applyAlignment="1" applyFont="1" applyNumberFormat="1">
      <alignment horizontal="left"/>
    </xf>
    <xf borderId="0" fillId="0" fontId="86" numFmtId="207" xfId="0" applyAlignment="1" applyFont="1" applyNumberFormat="1">
      <alignment horizontal="right"/>
    </xf>
    <xf borderId="0" fillId="0" fontId="86" numFmtId="14" xfId="0" applyFont="1" applyNumberFormat="1"/>
    <xf borderId="0" fillId="0" fontId="3" numFmtId="186" xfId="0" applyAlignment="1" applyFont="1" applyNumberFormat="1">
      <alignment horizontal="left"/>
    </xf>
    <xf borderId="0" fillId="0" fontId="86" numFmtId="0" xfId="0" applyFont="1"/>
    <xf borderId="9" fillId="10" fontId="20" numFmtId="0" xfId="0" applyBorder="1" applyFont="1"/>
    <xf borderId="0" fillId="0" fontId="3" numFmtId="175" xfId="0" applyAlignment="1" applyFont="1" applyNumberFormat="1">
      <alignment horizontal="left"/>
    </xf>
    <xf borderId="0" fillId="0" fontId="86" numFmtId="207" xfId="0" applyAlignment="1" applyFont="1" applyNumberFormat="1">
      <alignment horizontal="left"/>
    </xf>
    <xf borderId="0" fillId="0" fontId="3" numFmtId="14" xfId="0" applyAlignment="1" applyFont="1" applyNumberFormat="1">
      <alignment horizontal="left"/>
    </xf>
    <xf borderId="0" fillId="0" fontId="20" numFmtId="207" xfId="0" applyAlignment="1" applyFont="1" applyNumberFormat="1">
      <alignment horizontal="right"/>
    </xf>
    <xf borderId="0" fillId="0" fontId="20" numFmtId="16" xfId="0" applyAlignment="1" applyFont="1" applyNumberFormat="1">
      <alignment horizontal="left"/>
    </xf>
    <xf borderId="0" fillId="0" fontId="3" numFmtId="16" xfId="0" applyAlignment="1" applyFont="1" applyNumberFormat="1">
      <alignment horizontal="left"/>
    </xf>
    <xf borderId="0" fillId="0" fontId="3" numFmtId="14" xfId="0" applyFont="1" applyNumberFormat="1"/>
    <xf borderId="0" fillId="0" fontId="3" numFmtId="208" xfId="0" applyAlignment="1" applyFont="1" applyNumberFormat="1">
      <alignment horizontal="left"/>
    </xf>
    <xf borderId="4" fillId="0" fontId="3" numFmtId="207" xfId="0" applyAlignment="1" applyBorder="1" applyFont="1" applyNumberFormat="1">
      <alignment horizontal="left"/>
    </xf>
    <xf borderId="4" fillId="0" fontId="3" numFmtId="16" xfId="0" applyAlignment="1" applyBorder="1" applyFont="1" applyNumberFormat="1">
      <alignment horizontal="left"/>
    </xf>
    <xf borderId="4" fillId="0" fontId="3" numFmtId="208" xfId="0" applyAlignment="1" applyBorder="1" applyFont="1" applyNumberFormat="1">
      <alignment horizontal="left"/>
    </xf>
    <xf borderId="0" fillId="0" fontId="43" numFmtId="0" xfId="0" applyAlignment="1" applyFont="1">
      <alignment horizontal="left"/>
    </xf>
    <xf borderId="0" fillId="0" fontId="95" numFmtId="0" xfId="0" applyAlignment="1" applyFont="1">
      <alignment horizontal="left"/>
    </xf>
    <xf borderId="0" fillId="0" fontId="103" numFmtId="0" xfId="0" applyAlignment="1" applyFont="1">
      <alignment horizontal="left"/>
    </xf>
    <xf borderId="9" fillId="15" fontId="103" numFmtId="0" xfId="0" applyAlignment="1" applyBorder="1" applyFont="1">
      <alignment horizontal="left"/>
    </xf>
    <xf borderId="0" fillId="0" fontId="20" numFmtId="207" xfId="0" applyAlignment="1" applyFont="1" applyNumberFormat="1">
      <alignment horizontal="left"/>
    </xf>
    <xf borderId="0" fillId="0" fontId="20" numFmtId="197" xfId="0" applyAlignment="1" applyFont="1" applyNumberFormat="1">
      <alignment horizontal="left"/>
    </xf>
    <xf borderId="0" fillId="0" fontId="20" numFmtId="175" xfId="0" applyAlignment="1" applyFont="1" applyNumberFormat="1">
      <alignment horizontal="left"/>
    </xf>
    <xf borderId="0" fillId="0" fontId="20" numFmtId="186" xfId="0" applyAlignment="1" applyFont="1" applyNumberFormat="1">
      <alignment horizontal="left"/>
    </xf>
    <xf borderId="9" fillId="2" fontId="98" numFmtId="207" xfId="0" applyAlignment="1" applyBorder="1" applyFont="1" applyNumberFormat="1">
      <alignment horizontal="left"/>
    </xf>
    <xf borderId="9" fillId="2" fontId="98" numFmtId="0" xfId="0" applyAlignment="1" applyBorder="1" applyFont="1">
      <alignment horizontal="left"/>
    </xf>
    <xf borderId="9" fillId="2" fontId="3" numFmtId="207" xfId="0" applyAlignment="1" applyBorder="1" applyFont="1" applyNumberFormat="1">
      <alignment horizontal="left"/>
    </xf>
    <xf borderId="0" fillId="0" fontId="20" numFmtId="207" xfId="0" applyFont="1" applyNumberFormat="1"/>
    <xf borderId="0" fillId="0" fontId="20" numFmtId="175" xfId="0" applyFont="1" applyNumberFormat="1"/>
    <xf borderId="0" fillId="0" fontId="20" numFmtId="14" xfId="0" applyFont="1" applyNumberFormat="1"/>
    <xf borderId="0" fillId="0" fontId="20" numFmtId="16" xfId="0" applyFont="1" applyNumberFormat="1"/>
    <xf borderId="0" fillId="0" fontId="20" numFmtId="208" xfId="0" applyFont="1" applyNumberFormat="1"/>
    <xf borderId="14" fillId="0" fontId="20" numFmtId="0" xfId="0" applyAlignment="1" applyBorder="1" applyFont="1">
      <alignment horizontal="center" readingOrder="0"/>
    </xf>
    <xf borderId="8" fillId="29" fontId="20" numFmtId="0" xfId="0" applyBorder="1" applyFont="1"/>
    <xf borderId="8" fillId="7" fontId="3" numFmtId="0" xfId="0" applyAlignment="1" applyBorder="1" applyFont="1">
      <alignment readingOrder="0"/>
    </xf>
    <xf borderId="47" fillId="6" fontId="3" numFmtId="0" xfId="0" applyAlignment="1" applyBorder="1" applyFont="1">
      <alignment horizontal="center"/>
    </xf>
    <xf borderId="12" fillId="6" fontId="3" numFmtId="0" xfId="0" applyAlignment="1" applyBorder="1" applyFont="1">
      <alignment horizontal="center"/>
    </xf>
    <xf borderId="7" fillId="2" fontId="24" numFmtId="0" xfId="0" applyBorder="1" applyFont="1"/>
    <xf borderId="4" fillId="6" fontId="3" numFmtId="0" xfId="0" applyAlignment="1" applyBorder="1" applyFont="1">
      <alignment horizontal="left"/>
    </xf>
    <xf borderId="2" fillId="6" fontId="3" numFmtId="0" xfId="0" applyAlignment="1" applyBorder="1" applyFont="1">
      <alignment horizontal="center"/>
    </xf>
    <xf borderId="30" fillId="6" fontId="3" numFmtId="0" xfId="0" applyAlignment="1" applyBorder="1" applyFont="1">
      <alignment horizontal="left"/>
    </xf>
    <xf borderId="2" fillId="6" fontId="3" numFmtId="0" xfId="0" applyAlignment="1" applyBorder="1" applyFont="1">
      <alignment horizontal="left"/>
    </xf>
    <xf borderId="2" fillId="7" fontId="3" numFmtId="0" xfId="0" applyBorder="1" applyFont="1"/>
    <xf borderId="8" fillId="0" fontId="27" numFmtId="174" xfId="0" applyAlignment="1" applyBorder="1" applyFont="1" applyNumberFormat="1">
      <alignment horizontal="center" readingOrder="0"/>
    </xf>
    <xf borderId="11" fillId="16" fontId="37" numFmtId="3" xfId="0" applyAlignment="1" applyBorder="1" applyFont="1" applyNumberFormat="1">
      <alignment horizontal="center"/>
    </xf>
    <xf borderId="8" fillId="0" fontId="20" numFmtId="3" xfId="0" applyAlignment="1" applyBorder="1" applyFont="1" applyNumberFormat="1">
      <alignment horizontal="center" vertical="bottom"/>
    </xf>
    <xf borderId="14" fillId="0" fontId="3" numFmtId="0" xfId="0" applyAlignment="1" applyBorder="1" applyFont="1">
      <alignment readingOrder="0"/>
    </xf>
    <xf borderId="15" fillId="6" fontId="3" numFmtId="0" xfId="0" applyAlignment="1" applyBorder="1" applyFont="1">
      <alignment readingOrder="0"/>
    </xf>
    <xf borderId="58" fillId="4" fontId="22" numFmtId="0" xfId="0" applyAlignment="1" applyBorder="1" applyFont="1">
      <alignment horizontal="center"/>
    </xf>
    <xf borderId="8" fillId="4" fontId="22" numFmtId="174" xfId="0" applyAlignment="1" applyBorder="1" applyFont="1" applyNumberFormat="1">
      <alignment horizontal="center"/>
    </xf>
    <xf borderId="8" fillId="4" fontId="22" numFmtId="3" xfId="0" applyAlignment="1" applyBorder="1" applyFont="1" applyNumberFormat="1">
      <alignment horizontal="center"/>
    </xf>
    <xf borderId="8" fillId="4" fontId="22" numFmtId="0" xfId="0" applyAlignment="1" applyBorder="1" applyFont="1">
      <alignment horizontal="center"/>
    </xf>
    <xf borderId="8" fillId="4" fontId="22" numFmtId="0" xfId="0" applyAlignment="1" applyBorder="1" applyFont="1">
      <alignment horizontal="center" shrinkToFit="0" wrapText="1"/>
    </xf>
    <xf borderId="0" fillId="2" fontId="27" numFmtId="1" xfId="0" applyAlignment="1" applyFont="1" applyNumberFormat="1">
      <alignment horizontal="center"/>
    </xf>
    <xf borderId="0" fillId="2" fontId="20" numFmtId="0" xfId="0" applyAlignment="1" applyFont="1">
      <alignment horizontal="center"/>
    </xf>
    <xf borderId="0" fillId="2" fontId="20" numFmtId="1" xfId="0" applyAlignment="1" applyFont="1" applyNumberFormat="1">
      <alignment horizontal="center"/>
    </xf>
    <xf borderId="15" fillId="2" fontId="20" numFmtId="0" xfId="0" applyBorder="1" applyFont="1"/>
    <xf borderId="15" fillId="2" fontId="27" numFmtId="1" xfId="0" applyAlignment="1" applyBorder="1" applyFont="1" applyNumberFormat="1">
      <alignment horizontal="center"/>
    </xf>
    <xf borderId="15" fillId="2" fontId="20" numFmtId="3" xfId="0" applyAlignment="1" applyBorder="1" applyFont="1" applyNumberFormat="1">
      <alignment horizontal="center"/>
    </xf>
    <xf borderId="15" fillId="2" fontId="13" numFmtId="0" xfId="0" applyBorder="1" applyFont="1"/>
    <xf borderId="15" fillId="2" fontId="20" numFmtId="0" xfId="0" applyAlignment="1" applyBorder="1" applyFont="1">
      <alignment horizontal="center"/>
    </xf>
    <xf borderId="15" fillId="2" fontId="20" numFmtId="1" xfId="0" applyAlignment="1" applyBorder="1" applyFont="1" applyNumberFormat="1">
      <alignment horizontal="center"/>
    </xf>
    <xf borderId="0" fillId="2" fontId="20" numFmtId="0" xfId="0" applyAlignment="1" applyFont="1">
      <alignment vertical="bottom"/>
    </xf>
    <xf borderId="0" fillId="2" fontId="20" numFmtId="174" xfId="0" applyAlignment="1" applyFont="1" applyNumberFormat="1">
      <alignment horizontal="center" vertical="bottom"/>
    </xf>
    <xf borderId="9" fillId="15" fontId="20" numFmtId="0" xfId="0" applyBorder="1" applyFont="1"/>
    <xf borderId="0" fillId="0" fontId="3" numFmtId="180" xfId="0" applyAlignment="1" applyFont="1" applyNumberFormat="1">
      <alignment horizontal="center"/>
    </xf>
    <xf borderId="0" fillId="0" fontId="104" numFmtId="0" xfId="0" applyFont="1"/>
    <xf borderId="0" fillId="0" fontId="5" numFmtId="0" xfId="0" applyAlignment="1" applyFont="1">
      <alignment horizontal="right"/>
    </xf>
    <xf borderId="9" fillId="9" fontId="27" numFmtId="174" xfId="0" applyAlignment="1" applyBorder="1" applyFont="1" applyNumberFormat="1">
      <alignment horizontal="center"/>
    </xf>
    <xf borderId="0" fillId="0" fontId="3" numFmtId="181" xfId="0" applyAlignment="1" applyFont="1" applyNumberFormat="1">
      <alignment horizontal="center"/>
    </xf>
    <xf borderId="0" fillId="0" fontId="20" numFmtId="181" xfId="0" applyAlignment="1" applyFont="1" applyNumberFormat="1">
      <alignment horizontal="center"/>
    </xf>
    <xf borderId="0" fillId="0" fontId="20" numFmtId="180" xfId="0" applyFont="1" applyNumberFormat="1"/>
    <xf borderId="0" fillId="0" fontId="20" numFmtId="180" xfId="0" applyAlignment="1" applyFont="1" applyNumberFormat="1">
      <alignment horizontal="center"/>
    </xf>
  </cellXfs>
  <cellStyles count="1">
    <cellStyle xfId="0" name="Normal" builtinId="0"/>
  </cellStyles>
  <dxfs count="24">
    <dxf>
      <font/>
      <fill>
        <patternFill patternType="solid">
          <fgColor rgb="FFFF0000"/>
          <bgColor rgb="FFFF0000"/>
        </patternFill>
      </fill>
      <border/>
    </dxf>
    <dxf>
      <font/>
      <fill>
        <patternFill patternType="solid">
          <fgColor rgb="FFF4C7C3"/>
          <bgColor rgb="FFF4C7C3"/>
        </patternFill>
      </fill>
      <border/>
    </dxf>
    <dxf>
      <font/>
      <fill>
        <patternFill patternType="solid">
          <fgColor rgb="FF00B050"/>
          <bgColor rgb="FF00B050"/>
        </patternFill>
      </fill>
      <border/>
    </dxf>
    <dxf>
      <font/>
      <fill>
        <patternFill patternType="solid">
          <fgColor rgb="FFFF00FF"/>
          <bgColor rgb="FFFF00FF"/>
        </patternFill>
      </fill>
      <border/>
    </dxf>
    <dxf>
      <font>
        <color rgb="FF0000FF"/>
      </font>
      <fill>
        <patternFill patternType="solid">
          <fgColor rgb="FFFFFFFF"/>
          <bgColor rgb="FFFFFFFF"/>
        </patternFill>
      </fill>
      <border/>
    </dxf>
    <dxf>
      <font/>
      <fill>
        <patternFill patternType="solid">
          <fgColor rgb="FFB7E1CD"/>
          <bgColor rgb="FFB7E1CD"/>
        </patternFill>
      </fill>
      <border/>
    </dxf>
    <dxf>
      <font>
        <color rgb="FFFF0000"/>
      </font>
      <fill>
        <patternFill patternType="solid">
          <fgColor rgb="FFFFFFFF"/>
          <bgColor rgb="FFFFFFFF"/>
        </patternFill>
      </fill>
      <border/>
    </dxf>
    <dxf>
      <font/>
      <fill>
        <patternFill patternType="solid">
          <fgColor rgb="FFF1C232"/>
          <bgColor rgb="FFF1C232"/>
        </patternFill>
      </fill>
      <border/>
    </dxf>
    <dxf>
      <font>
        <color rgb="FFFFFFFF"/>
      </font>
      <fill>
        <patternFill patternType="solid">
          <fgColor rgb="FF9900FF"/>
          <bgColor rgb="FF9900FF"/>
        </patternFill>
      </fill>
      <border/>
    </dxf>
    <dxf>
      <font/>
      <fill>
        <patternFill patternType="solid">
          <fgColor rgb="FFFFFF00"/>
          <bgColor rgb="FFFFFF00"/>
        </patternFill>
      </fill>
      <border/>
    </dxf>
    <dxf>
      <font/>
      <fill>
        <patternFill patternType="solid">
          <fgColor rgb="FFFF9900"/>
          <bgColor rgb="FFFF9900"/>
        </patternFill>
      </fill>
      <border/>
    </dxf>
    <dxf>
      <font>
        <color rgb="FFFF0000"/>
      </font>
      <fill>
        <patternFill patternType="none"/>
      </fill>
      <border/>
    </dxf>
    <dxf>
      <font/>
      <fill>
        <patternFill patternType="solid">
          <fgColor rgb="FF4A86E8"/>
          <bgColor rgb="FF4A86E8"/>
        </patternFill>
      </fill>
      <border/>
    </dxf>
    <dxf>
      <font/>
      <fill>
        <patternFill patternType="solid">
          <fgColor rgb="FF999999"/>
          <bgColor rgb="FF999999"/>
        </patternFill>
      </fill>
      <border/>
    </dxf>
    <dxf>
      <font>
        <color rgb="FF000000"/>
      </font>
      <fill>
        <patternFill patternType="solid">
          <fgColor rgb="FF999999"/>
          <bgColor rgb="FF999999"/>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color rgb="FFFF00FF"/>
      </font>
      <fill>
        <patternFill patternType="solid">
          <fgColor rgb="FFFFFFFF"/>
          <bgColor rgb="FFFFFFFF"/>
        </patternFill>
      </fill>
      <border/>
    </dxf>
    <dxf>
      <font>
        <color rgb="FF00B050"/>
      </font>
      <fill>
        <patternFill patternType="none"/>
      </fill>
      <border/>
    </dxf>
    <dxf>
      <font>
        <color rgb="FFFF9900"/>
      </font>
      <fill>
        <patternFill patternType="none"/>
      </fill>
      <border/>
    </dxf>
    <dxf>
      <font>
        <color rgb="FF0000FF"/>
      </font>
      <fill>
        <patternFill patternType="none"/>
      </fill>
      <border/>
    </dxf>
    <dxf>
      <font>
        <color rgb="FF9900FF"/>
      </font>
      <fill>
        <patternFill patternType="none"/>
      </fill>
      <border/>
    </dxf>
    <dxf>
      <font/>
      <fill>
        <patternFill patternType="solid">
          <fgColor rgb="FF00FF00"/>
          <bgColor rgb="FF00FF00"/>
        </patternFill>
      </fill>
      <border/>
    </dxf>
  </dxfs>
  <tableStyles count="30">
    <tableStyle count="2" pivot="0" name="Voyage days-style">
      <tableStyleElement dxfId="16" type="firstRowStripe"/>
      <tableStyleElement dxfId="17" type="secondRowStripe"/>
    </tableStyle>
    <tableStyle count="2" pivot="0" name="Highlighter-style">
      <tableStyleElement dxfId="16" type="firstRowStripe"/>
      <tableStyleElement dxfId="16" type="secondRowStripe"/>
    </tableStyle>
    <tableStyle count="2" pivot="0" name="Highlighter-style 2">
      <tableStyleElement dxfId="16" type="firstRowStripe"/>
      <tableStyleElement dxfId="16" type="secondRowStripe"/>
    </tableStyle>
    <tableStyle count="2" pivot="0" name="Highlighter-style 3">
      <tableStyleElement dxfId="16" type="firstRowStripe"/>
      <tableStyleElement dxfId="16" type="secondRowStripe"/>
    </tableStyle>
    <tableStyle count="2" pivot="0" name="Highlighter-style 4">
      <tableStyleElement dxfId="16" type="firstRowStripe"/>
      <tableStyleElement dxfId="16" type="secondRowStripe"/>
    </tableStyle>
    <tableStyle count="2" pivot="0" name="Highlighter-style 5">
      <tableStyleElement dxfId="16" type="firstRowStripe"/>
      <tableStyleElement dxfId="16" type="secondRowStripe"/>
    </tableStyle>
    <tableStyle count="2" pivot="0" name="Highlighter-style 6">
      <tableStyleElement dxfId="16" type="firstRowStripe"/>
      <tableStyleElement dxfId="16" type="secondRowStripe"/>
    </tableStyle>
    <tableStyle count="2" pivot="0" name="Highlighter-style 7">
      <tableStyleElement dxfId="16" type="firstRowStripe"/>
      <tableStyleElement dxfId="16" type="secondRowStripe"/>
    </tableStyle>
    <tableStyle count="2" pivot="0" name="Highlighter-style 8">
      <tableStyleElement dxfId="16" type="firstRowStripe"/>
      <tableStyleElement dxfId="16" type="secondRowStripe"/>
    </tableStyle>
    <tableStyle count="2" pivot="0" name="Highlighter-style 9">
      <tableStyleElement dxfId="16" type="firstRowStripe"/>
      <tableStyleElement dxfId="16" type="secondRowStripe"/>
    </tableStyle>
    <tableStyle count="2" pivot="0" name="Highlighter-style 10">
      <tableStyleElement dxfId="16" type="firstRowStripe"/>
      <tableStyleElement dxfId="16" type="secondRowStripe"/>
    </tableStyle>
    <tableStyle count="2" pivot="0" name="Highlighter-style 11">
      <tableStyleElement dxfId="16" type="firstRowStripe"/>
      <tableStyleElement dxfId="16" type="secondRowStripe"/>
    </tableStyle>
    <tableStyle count="2" pivot="0" name="Highlighter-style 12">
      <tableStyleElement dxfId="16" type="firstRowStripe"/>
      <tableStyleElement dxfId="16" type="secondRowStripe"/>
    </tableStyle>
    <tableStyle count="2" pivot="0" name="Highlighter-style 13">
      <tableStyleElement dxfId="16" type="firstRowStripe"/>
      <tableStyleElement dxfId="16" type="secondRowStripe"/>
    </tableStyle>
    <tableStyle count="2" pivot="0" name="Highlighter-style 14">
      <tableStyleElement dxfId="16" type="firstRowStripe"/>
      <tableStyleElement dxfId="16" type="secondRowStripe"/>
    </tableStyle>
    <tableStyle count="2" pivot="0" name="Highlighter-style 15">
      <tableStyleElement dxfId="16" type="firstRowStripe"/>
      <tableStyleElement dxfId="16" type="secondRowStripe"/>
    </tableStyle>
    <tableStyle count="2" pivot="0" name="Highlighter-style 16">
      <tableStyleElement dxfId="16" type="firstRowStripe"/>
      <tableStyleElement dxfId="16" type="secondRowStripe"/>
    </tableStyle>
    <tableStyle count="2" pivot="0" name="Highlighter-style 17">
      <tableStyleElement dxfId="16" type="firstRowStripe"/>
      <tableStyleElement dxfId="16" type="secondRowStripe"/>
    </tableStyle>
    <tableStyle count="2" pivot="0" name="Highlighter-style 18">
      <tableStyleElement dxfId="16" type="firstRowStripe"/>
      <tableStyleElement dxfId="16" type="secondRowStripe"/>
    </tableStyle>
    <tableStyle count="2" pivot="0" name="Highlighter-style 19">
      <tableStyleElement dxfId="16" type="firstRowStripe"/>
      <tableStyleElement dxfId="16" type="secondRowStripe"/>
    </tableStyle>
    <tableStyle count="2" pivot="0" name="Highlighter-style 20">
      <tableStyleElement dxfId="16" type="firstRowStripe"/>
      <tableStyleElement dxfId="16" type="secondRowStripe"/>
    </tableStyle>
    <tableStyle count="2" pivot="0" name="Highlighter-style 21">
      <tableStyleElement dxfId="16" type="firstRowStripe"/>
      <tableStyleElement dxfId="16" type="secondRowStripe"/>
    </tableStyle>
    <tableStyle count="2" pivot="0" name="Highlighter-style 22">
      <tableStyleElement dxfId="16" type="firstRowStripe"/>
      <tableStyleElement dxfId="16" type="secondRowStripe"/>
    </tableStyle>
    <tableStyle count="2" pivot="0" name="Highlighter-style 23">
      <tableStyleElement dxfId="16" type="firstRowStripe"/>
      <tableStyleElement dxfId="16" type="secondRowStripe"/>
    </tableStyle>
    <tableStyle count="2" pivot="0" name="Highlighter-style 24">
      <tableStyleElement dxfId="16" type="firstRowStripe"/>
      <tableStyleElement dxfId="16" type="secondRowStripe"/>
    </tableStyle>
    <tableStyle count="2" pivot="0" name="Highlighter-style 25">
      <tableStyleElement dxfId="16" type="firstRowStripe"/>
      <tableStyleElement dxfId="16" type="secondRowStripe"/>
    </tableStyle>
    <tableStyle count="2" pivot="0" name="Highlighter-style 26">
      <tableStyleElement dxfId="16" type="firstRowStripe"/>
      <tableStyleElement dxfId="16" type="secondRowStripe"/>
    </tableStyle>
    <tableStyle count="2" pivot="0" name="Highlighter-style 27">
      <tableStyleElement dxfId="16" type="firstRowStripe"/>
      <tableStyleElement dxfId="16" type="secondRowStripe"/>
    </tableStyle>
    <tableStyle count="2" pivot="0" name="Highlighter-style 28">
      <tableStyleElement dxfId="16" type="firstRowStripe"/>
      <tableStyleElement dxfId="16" type="secondRowStripe"/>
    </tableStyle>
    <tableStyle count="2" pivot="0" name="Highlighter-style 29">
      <tableStyleElement dxfId="16" type="firstRowStripe"/>
      <tableStyleElement dxfId="16"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104</xdr:row>
      <xdr:rowOff>0</xdr:rowOff>
    </xdr:from>
    <xdr:ext cx="4876800" cy="3819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4819650" cy="16002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M808:M828" displayName="Table_1" name="Table_1" id="1">
  <tableColumns count="1">
    <tableColumn name="Column1" id="1"/>
  </tableColumns>
  <tableStyleInfo name="Voyage days-style" showColumnStripes="0" showFirstColumn="1" showLastColumn="1" showRowStripes="1"/>
</table>
</file>

<file path=xl/tables/table2.xml><?xml version="1.0" encoding="utf-8"?>
<table xmlns="http://schemas.openxmlformats.org/spreadsheetml/2006/main" headerRowCount="0" ref="B2:B12" displayName="Table_2" name="Table_2" id="2">
  <tableColumns count="1">
    <tableColumn name="Column1" id="1"/>
  </tableColumns>
  <tableStyleInfo name="Highlighter-style" showColumnStripes="0" showFirstColumn="1" showLastColumn="1" showRowStripes="1"/>
</table>
</file>

<file path=xl/tables/table3.xml><?xml version="1.0" encoding="utf-8"?>
<table xmlns="http://schemas.openxmlformats.org/spreadsheetml/2006/main" headerRowCount="0" ref="D2" displayName="Table_3" name="Table_3" id="3">
  <tableColumns count="1">
    <tableColumn name="Column1" id="1"/>
  </tableColumns>
  <tableStyleInfo name="Highlighter-style 2" showColumnStripes="0" showFirstColumn="1" showLastColumn="1" showRowStripes="1"/>
</table>
</file>

<file path=xl/tables/table4.xml><?xml version="1.0" encoding="utf-8"?>
<table xmlns="http://schemas.openxmlformats.org/spreadsheetml/2006/main" headerRowCount="0" ref="F2" displayName="Table_4" name="Table_4" id="4">
  <tableColumns count="1">
    <tableColumn name="Column1" id="1"/>
  </tableColumns>
  <tableStyleInfo name="Highlighter-style 3" showColumnStripes="0" showFirstColumn="1" showLastColumn="1" showRowStripes="1"/>
</table>
</file>

<file path=xl/tables/table5.xml><?xml version="1.0" encoding="utf-8"?>
<table xmlns="http://schemas.openxmlformats.org/spreadsheetml/2006/main" headerRowCount="0" ref="H2" displayName="Table_5" name="Table_5" id="5">
  <tableColumns count="1">
    <tableColumn name="Column1" id="1"/>
  </tableColumns>
  <tableStyleInfo name="Highlighter-style 4" showColumnStripes="0" showFirstColumn="1" showLastColumn="1" showRowStripes="1"/>
</table>
</file>

<file path=xl/tables/table6.xml><?xml version="1.0" encoding="utf-8"?>
<table xmlns="http://schemas.openxmlformats.org/spreadsheetml/2006/main" headerRowCount="0" ref="D3" displayName="Table_6" name="Table_6" id="6">
  <tableColumns count="1">
    <tableColumn name="Column1" id="1"/>
  </tableColumns>
  <tableStyleInfo name="Highlighter-style 5" showColumnStripes="0" showFirstColumn="1" showLastColumn="1" showRowStripes="1"/>
</table>
</file>

<file path=xl/tables/table7.xml><?xml version="1.0" encoding="utf-8"?>
<table xmlns="http://schemas.openxmlformats.org/spreadsheetml/2006/main" headerRowCount="0" ref="F3" displayName="Table_7" name="Table_7" id="7">
  <tableColumns count="1">
    <tableColumn name="Column1" id="1"/>
  </tableColumns>
  <tableStyleInfo name="Highlighter-style 6" showColumnStripes="0" showFirstColumn="1" showLastColumn="1" showRowStripes="1"/>
</table>
</file>

<file path=xl/tables/table8.xml><?xml version="1.0" encoding="utf-8"?>
<table xmlns="http://schemas.openxmlformats.org/spreadsheetml/2006/main" headerRowCount="0" ref="H3" displayName="Table_8" name="Table_8" id="8">
  <tableColumns count="1">
    <tableColumn name="Column1" id="1"/>
  </tableColumns>
  <tableStyleInfo name="Highlighter-style 7" showColumnStripes="0" showFirstColumn="1" showLastColumn="1" showRowStripes="1"/>
</table>
</file>

<file path=xl/tables/table9.xml><?xml version="1.0" encoding="utf-8"?>
<table xmlns="http://schemas.openxmlformats.org/spreadsheetml/2006/main" headerRowCount="0" ref="D4:D9" displayName="Table_9" name="Table_9" id="9">
  <tableColumns count="1">
    <tableColumn name="Column1" id="1"/>
  </tableColumns>
  <tableStyleInfo name="Highlighter-style 8" showColumnStripes="0" showFirstColumn="1" showLastColumn="1" showRowStripes="1"/>
</table>
</file>

<file path=xl/tables/table10.xml><?xml version="1.0" encoding="utf-8"?>
<table xmlns="http://schemas.openxmlformats.org/spreadsheetml/2006/main" headerRowCount="0" ref="F4" displayName="Table_10" name="Table_10" id="10">
  <tableColumns count="1">
    <tableColumn name="Column1" id="1"/>
  </tableColumns>
  <tableStyleInfo name="Highlighter-style 9" showColumnStripes="0" showFirstColumn="1" showLastColumn="1" showRowStripes="1"/>
</table>
</file>

<file path=xl/tables/table11.xml><?xml version="1.0" encoding="utf-8"?>
<table xmlns="http://schemas.openxmlformats.org/spreadsheetml/2006/main" headerRowCount="0" ref="H4:H9" displayName="Table_11" name="Table_11" id="11">
  <tableColumns count="1">
    <tableColumn name="Column1" id="1"/>
  </tableColumns>
  <tableStyleInfo name="Highlighter-style 10" showColumnStripes="0" showFirstColumn="1" showLastColumn="1" showRowStripes="1"/>
</table>
</file>

<file path=xl/tables/table12.xml><?xml version="1.0" encoding="utf-8"?>
<table xmlns="http://schemas.openxmlformats.org/spreadsheetml/2006/main" headerRowCount="0" ref="F5" displayName="Table_12" name="Table_12" id="12">
  <tableColumns count="1">
    <tableColumn name="Column1" id="1"/>
  </tableColumns>
  <tableStyleInfo name="Highlighter-style 11" showColumnStripes="0" showFirstColumn="1" showLastColumn="1" showRowStripes="1"/>
</table>
</file>

<file path=xl/tables/table13.xml><?xml version="1.0" encoding="utf-8"?>
<table xmlns="http://schemas.openxmlformats.org/spreadsheetml/2006/main" headerRowCount="0" ref="F11" displayName="Table_13" name="Table_13" id="13">
  <tableColumns count="1">
    <tableColumn name="Column1" id="1"/>
  </tableColumns>
  <tableStyleInfo name="Highlighter-style 12" showColumnStripes="0" showFirstColumn="1" showLastColumn="1" showRowStripes="1"/>
</table>
</file>

<file path=xl/tables/table14.xml><?xml version="1.0" encoding="utf-8"?>
<table xmlns="http://schemas.openxmlformats.org/spreadsheetml/2006/main" headerRowCount="0" ref="F12" displayName="Table_14" name="Table_14" id="14">
  <tableColumns count="1">
    <tableColumn name="Column1" id="1"/>
  </tableColumns>
  <tableStyleInfo name="Highlighter-style 13" showColumnStripes="0" showFirstColumn="1" showLastColumn="1" showRowStripes="1"/>
</table>
</file>

<file path=xl/tables/table15.xml><?xml version="1.0" encoding="utf-8"?>
<table xmlns="http://schemas.openxmlformats.org/spreadsheetml/2006/main" headerRowCount="0" ref="F13" displayName="Table_15" name="Table_15" id="15">
  <tableColumns count="1">
    <tableColumn name="Column1" id="1"/>
  </tableColumns>
  <tableStyleInfo name="Highlighter-style 14" showColumnStripes="0" showFirstColumn="1" showLastColumn="1" showRowStripes="1"/>
</table>
</file>

<file path=xl/tables/table16.xml><?xml version="1.0" encoding="utf-8"?>
<table xmlns="http://schemas.openxmlformats.org/spreadsheetml/2006/main" headerRowCount="0" ref="F14" displayName="Table_16" name="Table_16" id="16">
  <tableColumns count="1">
    <tableColumn name="Column1" id="1"/>
  </tableColumns>
  <tableStyleInfo name="Highlighter-style 15" showColumnStripes="0" showFirstColumn="1" showLastColumn="1" showRowStripes="1"/>
</table>
</file>

<file path=xl/tables/table17.xml><?xml version="1.0" encoding="utf-8"?>
<table xmlns="http://schemas.openxmlformats.org/spreadsheetml/2006/main" headerRowCount="0" ref="F15" displayName="Table_17" name="Table_17" id="17">
  <tableColumns count="1">
    <tableColumn name="Column1" id="1"/>
  </tableColumns>
  <tableStyleInfo name="Highlighter-style 16" showColumnStripes="0" showFirstColumn="1" showLastColumn="1" showRowStripes="1"/>
</table>
</file>

<file path=xl/tables/table18.xml><?xml version="1.0" encoding="utf-8"?>
<table xmlns="http://schemas.openxmlformats.org/spreadsheetml/2006/main" headerRowCount="0" ref="F16" displayName="Table_18" name="Table_18" id="18">
  <tableColumns count="1">
    <tableColumn name="Column1" id="1"/>
  </tableColumns>
  <tableStyleInfo name="Highlighter-style 17" showColumnStripes="0" showFirstColumn="1" showLastColumn="1" showRowStripes="1"/>
</table>
</file>

<file path=xl/tables/table19.xml><?xml version="1.0" encoding="utf-8"?>
<table xmlns="http://schemas.openxmlformats.org/spreadsheetml/2006/main" headerRowCount="0" ref="F17" displayName="Table_19" name="Table_19" id="19">
  <tableColumns count="1">
    <tableColumn name="Column1" id="1"/>
  </tableColumns>
  <tableStyleInfo name="Highlighter-style 18" showColumnStripes="0" showFirstColumn="1" showLastColumn="1" showRowStripes="1"/>
</table>
</file>

<file path=xl/tables/table20.xml><?xml version="1.0" encoding="utf-8"?>
<table xmlns="http://schemas.openxmlformats.org/spreadsheetml/2006/main" headerRowCount="0" ref="F20" displayName="Table_20" name="Table_20" id="20">
  <tableColumns count="1">
    <tableColumn name="Column1" id="1"/>
  </tableColumns>
  <tableStyleInfo name="Highlighter-style 19" showColumnStripes="0" showFirstColumn="1" showLastColumn="1" showRowStripes="1"/>
</table>
</file>

<file path=xl/tables/table21.xml><?xml version="1.0" encoding="utf-8"?>
<table xmlns="http://schemas.openxmlformats.org/spreadsheetml/2006/main" headerRowCount="0" ref="B21" displayName="Table_21" name="Table_21" id="21">
  <tableColumns count="1">
    <tableColumn name="Column1" id="1"/>
  </tableColumns>
  <tableStyleInfo name="Highlighter-style 20" showColumnStripes="0" showFirstColumn="1" showLastColumn="1" showRowStripes="1"/>
</table>
</file>

<file path=xl/tables/table22.xml><?xml version="1.0" encoding="utf-8"?>
<table xmlns="http://schemas.openxmlformats.org/spreadsheetml/2006/main" headerRowCount="0" ref="B22" displayName="Table_22" name="Table_22" id="22">
  <tableColumns count="1">
    <tableColumn name="Column1" id="1"/>
  </tableColumns>
  <tableStyleInfo name="Highlighter-style 21" showColumnStripes="0" showFirstColumn="1" showLastColumn="1" showRowStripes="1"/>
</table>
</file>

<file path=xl/tables/table23.xml><?xml version="1.0" encoding="utf-8"?>
<table xmlns="http://schemas.openxmlformats.org/spreadsheetml/2006/main" headerRowCount="0" ref="F22" displayName="Table_23" name="Table_23" id="23">
  <tableColumns count="1">
    <tableColumn name="Column1" id="1"/>
  </tableColumns>
  <tableStyleInfo name="Highlighter-style 22" showColumnStripes="0" showFirstColumn="1" showLastColumn="1" showRowStripes="1"/>
</table>
</file>

<file path=xl/tables/table24.xml><?xml version="1.0" encoding="utf-8"?>
<table xmlns="http://schemas.openxmlformats.org/spreadsheetml/2006/main" headerRowCount="0" ref="B23" displayName="Table_24" name="Table_24" id="24">
  <tableColumns count="1">
    <tableColumn name="Column1" id="1"/>
  </tableColumns>
  <tableStyleInfo name="Highlighter-style 23" showColumnStripes="0" showFirstColumn="1" showLastColumn="1" showRowStripes="1"/>
</table>
</file>

<file path=xl/tables/table25.xml><?xml version="1.0" encoding="utf-8"?>
<table xmlns="http://schemas.openxmlformats.org/spreadsheetml/2006/main" headerRowCount="0" ref="F23:F44" displayName="Table_25" name="Table_25" id="25">
  <tableColumns count="1">
    <tableColumn name="Column1" id="1"/>
  </tableColumns>
  <tableStyleInfo name="Highlighter-style 24" showColumnStripes="0" showFirstColumn="1" showLastColumn="1" showRowStripes="1"/>
</table>
</file>

<file path=xl/tables/table26.xml><?xml version="1.0" encoding="utf-8"?>
<table xmlns="http://schemas.openxmlformats.org/spreadsheetml/2006/main" headerRowCount="0" ref="B24" displayName="Table_26" name="Table_26" id="26">
  <tableColumns count="1">
    <tableColumn name="Column1" id="1"/>
  </tableColumns>
  <tableStyleInfo name="Highlighter-style 25" showColumnStripes="0" showFirstColumn="1" showLastColumn="1" showRowStripes="1"/>
</table>
</file>

<file path=xl/tables/table27.xml><?xml version="1.0" encoding="utf-8"?>
<table xmlns="http://schemas.openxmlformats.org/spreadsheetml/2006/main" headerRowCount="0" ref="B25" displayName="Table_27" name="Table_27" id="27">
  <tableColumns count="1">
    <tableColumn name="Column1" id="1"/>
  </tableColumns>
  <tableStyleInfo name="Highlighter-style 26" showColumnStripes="0" showFirstColumn="1" showLastColumn="1" showRowStripes="1"/>
</table>
</file>

<file path=xl/tables/table28.xml><?xml version="1.0" encoding="utf-8"?>
<table xmlns="http://schemas.openxmlformats.org/spreadsheetml/2006/main" headerRowCount="0" ref="H25:H35" displayName="Table_28" name="Table_28" id="28">
  <tableColumns count="1">
    <tableColumn name="Column1" id="1"/>
  </tableColumns>
  <tableStyleInfo name="Highlighter-style 27" showColumnStripes="0" showFirstColumn="1" showLastColumn="1" showRowStripes="1"/>
</table>
</file>

<file path=xl/tables/table29.xml><?xml version="1.0" encoding="utf-8"?>
<table xmlns="http://schemas.openxmlformats.org/spreadsheetml/2006/main" headerRowCount="0" ref="B26" displayName="Table_29" name="Table_29" id="29">
  <tableColumns count="1">
    <tableColumn name="Column1" id="1"/>
  </tableColumns>
  <tableStyleInfo name="Highlighter-style 28" showColumnStripes="0" showFirstColumn="1" showLastColumn="1" showRowStripes="1"/>
</table>
</file>

<file path=xl/tables/table30.xml><?xml version="1.0" encoding="utf-8"?>
<table xmlns="http://schemas.openxmlformats.org/spreadsheetml/2006/main" headerRowCount="0" ref="B47:B48" displayName="Table_30" name="Table_30" id="30">
  <tableColumns count="1">
    <tableColumn name="Column1" id="1"/>
  </tableColumns>
  <tableStyleInfo name="Highlighter-style 2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table" Target="../tables/table11.xml"/><Relationship Id="rId42" Type="http://schemas.openxmlformats.org/officeDocument/2006/relationships/table" Target="../tables/table13.xml"/><Relationship Id="rId41" Type="http://schemas.openxmlformats.org/officeDocument/2006/relationships/table" Target="../tables/table12.xml"/><Relationship Id="rId44" Type="http://schemas.openxmlformats.org/officeDocument/2006/relationships/table" Target="../tables/table15.xml"/><Relationship Id="rId43" Type="http://schemas.openxmlformats.org/officeDocument/2006/relationships/table" Target="../tables/table14.xml"/><Relationship Id="rId46" Type="http://schemas.openxmlformats.org/officeDocument/2006/relationships/table" Target="../tables/table17.xml"/><Relationship Id="rId45" Type="http://schemas.openxmlformats.org/officeDocument/2006/relationships/table" Target="../tables/table16.xml"/><Relationship Id="rId1" Type="http://schemas.openxmlformats.org/officeDocument/2006/relationships/drawing" Target="../drawings/drawing19.xml"/><Relationship Id="rId48" Type="http://schemas.openxmlformats.org/officeDocument/2006/relationships/table" Target="../tables/table19.xml"/><Relationship Id="rId47" Type="http://schemas.openxmlformats.org/officeDocument/2006/relationships/table" Target="../tables/table18.xml"/><Relationship Id="rId49" Type="http://schemas.openxmlformats.org/officeDocument/2006/relationships/table" Target="../tables/table20.xml"/><Relationship Id="rId51" Type="http://schemas.openxmlformats.org/officeDocument/2006/relationships/table" Target="../tables/table22.xml"/><Relationship Id="rId50" Type="http://schemas.openxmlformats.org/officeDocument/2006/relationships/table" Target="../tables/table21.xml"/><Relationship Id="rId31" Type="http://schemas.openxmlformats.org/officeDocument/2006/relationships/table" Target="../tables/table2.xml"/><Relationship Id="rId53" Type="http://schemas.openxmlformats.org/officeDocument/2006/relationships/table" Target="../tables/table24.xml"/><Relationship Id="rId52" Type="http://schemas.openxmlformats.org/officeDocument/2006/relationships/table" Target="../tables/table23.xml"/><Relationship Id="rId33" Type="http://schemas.openxmlformats.org/officeDocument/2006/relationships/table" Target="../tables/table4.xml"/><Relationship Id="rId55" Type="http://schemas.openxmlformats.org/officeDocument/2006/relationships/table" Target="../tables/table26.xml"/><Relationship Id="rId32" Type="http://schemas.openxmlformats.org/officeDocument/2006/relationships/table" Target="../tables/table3.xml"/><Relationship Id="rId54" Type="http://schemas.openxmlformats.org/officeDocument/2006/relationships/table" Target="../tables/table25.xml"/><Relationship Id="rId35" Type="http://schemas.openxmlformats.org/officeDocument/2006/relationships/table" Target="../tables/table6.xml"/><Relationship Id="rId57" Type="http://schemas.openxmlformats.org/officeDocument/2006/relationships/table" Target="../tables/table28.xml"/><Relationship Id="rId34" Type="http://schemas.openxmlformats.org/officeDocument/2006/relationships/table" Target="../tables/table5.xml"/><Relationship Id="rId56" Type="http://schemas.openxmlformats.org/officeDocument/2006/relationships/table" Target="../tables/table27.xml"/><Relationship Id="rId37" Type="http://schemas.openxmlformats.org/officeDocument/2006/relationships/table" Target="../tables/table8.xml"/><Relationship Id="rId59" Type="http://schemas.openxmlformats.org/officeDocument/2006/relationships/table" Target="../tables/table30.xml"/><Relationship Id="rId36" Type="http://schemas.openxmlformats.org/officeDocument/2006/relationships/table" Target="../tables/table7.xml"/><Relationship Id="rId58" Type="http://schemas.openxmlformats.org/officeDocument/2006/relationships/table" Target="../tables/table29.xml"/><Relationship Id="rId39" Type="http://schemas.openxmlformats.org/officeDocument/2006/relationships/table" Target="../tables/table10.xml"/><Relationship Id="rId38"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5.xml"/><Relationship Id="rId3" Type="http://schemas.openxmlformats.org/officeDocument/2006/relationships/vmlDrawing" Target="../drawings/vmlDrawing7.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66"/>
    <pageSetUpPr/>
  </sheetPr>
  <sheetViews>
    <sheetView workbookViewId="0"/>
  </sheetViews>
  <sheetFormatPr customHeight="1" defaultColWidth="14.43" defaultRowHeight="15.0"/>
  <cols>
    <col customWidth="1" min="1" max="1" width="22.57"/>
    <col customWidth="1" min="2" max="2" width="20.86"/>
    <col customWidth="1" min="3" max="4" width="4.14"/>
    <col customWidth="1" min="5" max="5" width="24.29"/>
    <col customWidth="1" min="6" max="6" width="9.29"/>
    <col customWidth="1" min="7" max="7" width="10.86"/>
    <col customWidth="1" min="8" max="8" width="9.0"/>
    <col customWidth="1" min="9" max="9" width="10.29"/>
    <col customWidth="1" min="10" max="10" width="11.57"/>
    <col customWidth="1" min="11" max="11" width="9.29"/>
    <col customWidth="1" min="12" max="12" width="18.71"/>
    <col customWidth="1" min="13" max="13" width="22.0"/>
    <col customWidth="1" min="14" max="14" width="13.14"/>
    <col customWidth="1" min="15" max="15" width="0.43"/>
    <col customWidth="1" min="16" max="16" width="9.57"/>
    <col customWidth="1" min="17" max="17" width="10.71"/>
    <col customWidth="1" min="18" max="18" width="10.86"/>
    <col customWidth="1" min="21" max="21" width="56.57"/>
    <col customWidth="1" min="24" max="25" width="25.29"/>
    <col customWidth="1" min="26" max="26" width="2.71"/>
    <col customWidth="1" min="27" max="27" width="23.57"/>
    <col customWidth="1" min="28" max="29" width="19.71"/>
    <col customWidth="1" min="31" max="31" width="16.29"/>
    <col customWidth="1" min="32" max="32" width="19.86"/>
    <col customWidth="1" min="33" max="33" width="19.71"/>
  </cols>
  <sheetData>
    <row r="1">
      <c r="A1" s="1" t="s">
        <v>0</v>
      </c>
      <c r="B1" s="2"/>
      <c r="C1" s="3"/>
      <c r="D1" s="4"/>
      <c r="E1" s="5" t="s">
        <v>1</v>
      </c>
      <c r="F1" s="6" t="s">
        <v>2</v>
      </c>
      <c r="G1" s="6" t="s">
        <v>3</v>
      </c>
      <c r="H1" s="5" t="s">
        <v>4</v>
      </c>
      <c r="I1" s="5" t="s">
        <v>5</v>
      </c>
      <c r="J1" s="5" t="s">
        <v>6</v>
      </c>
      <c r="K1" s="5" t="s">
        <v>7</v>
      </c>
      <c r="L1" s="5" t="s">
        <v>8</v>
      </c>
      <c r="M1" s="5" t="s">
        <v>9</v>
      </c>
      <c r="N1" s="5" t="s">
        <v>10</v>
      </c>
      <c r="O1" s="7"/>
      <c r="P1" s="7"/>
      <c r="Q1" s="8" t="s">
        <v>11</v>
      </c>
      <c r="R1" s="9"/>
      <c r="S1" s="9"/>
      <c r="T1" s="9"/>
      <c r="U1" s="10" t="s">
        <v>12</v>
      </c>
      <c r="V1" s="4"/>
      <c r="W1" s="9"/>
      <c r="X1" s="11"/>
      <c r="Y1" s="11" t="s">
        <v>13</v>
      </c>
      <c r="Z1" s="11"/>
      <c r="AA1" s="11" t="s">
        <v>14</v>
      </c>
      <c r="AB1" s="9"/>
      <c r="AC1" s="9"/>
      <c r="AD1" s="12"/>
      <c r="AE1" s="13" t="s">
        <v>15</v>
      </c>
      <c r="AF1" s="14" t="s">
        <v>16</v>
      </c>
      <c r="AG1" s="14" t="s">
        <v>17</v>
      </c>
      <c r="AH1" s="9"/>
      <c r="AI1" s="9"/>
    </row>
    <row r="2">
      <c r="A2" s="15" t="s">
        <v>18</v>
      </c>
      <c r="B2" s="16">
        <f>COUNTA('2) Tracker'!A3:A510)</f>
        <v>341</v>
      </c>
      <c r="C2" s="4"/>
      <c r="D2" s="4"/>
      <c r="E2" s="5" t="s">
        <v>19</v>
      </c>
      <c r="F2" s="6">
        <v>86000.0</v>
      </c>
      <c r="G2" s="6">
        <v>55324.0</v>
      </c>
      <c r="H2" s="5" t="s">
        <v>20</v>
      </c>
      <c r="I2" s="5" t="s">
        <v>21</v>
      </c>
      <c r="J2" s="5">
        <v>6.36021495E8</v>
      </c>
      <c r="K2" s="5">
        <v>9916812.0</v>
      </c>
      <c r="L2" s="17"/>
      <c r="M2" s="18"/>
      <c r="N2" s="5" t="b">
        <v>1</v>
      </c>
      <c r="O2" s="19"/>
      <c r="P2" s="7"/>
      <c r="U2" s="3" t="s">
        <v>22</v>
      </c>
      <c r="V2" s="20">
        <f>COUNTIF($I$2:$I$1000,"active")</f>
        <v>473</v>
      </c>
      <c r="W2" s="9"/>
      <c r="X2" s="21"/>
      <c r="Y2" s="22" t="str">
        <f>IFERROR(__xludf.DUMMYFUNCTION("filter($E$4:$E$600,not(countif('2) Tracker'!$A$3:$A$609,$E$4:$E$600)))"),"Apollo Ocean")</f>
        <v>Apollo Ocean</v>
      </c>
      <c r="Z2" s="23">
        <v>1.0</v>
      </c>
      <c r="AA2" s="23" t="str">
        <f>IFERROR(__xludf.DUMMYFUNCTION("FILTER(Y2:Y501, ISNA(MATCH(TRIM(LOWER(CLEAN(Y2:Y501))), $E$2:$E$501, 0)))"),"")</f>
        <v/>
      </c>
      <c r="AB2" s="24"/>
      <c r="AC2" s="24" t="s">
        <v>23</v>
      </c>
      <c r="AD2" s="25"/>
      <c r="AE2" s="25" t="str">
        <f>IF(E174="","", IF(F2&gt;93000,1,""))</f>
        <v/>
      </c>
      <c r="AF2" s="23">
        <f>IF(ISERROR(VLOOKUP(#REF!,$E$2:$F$600,2, FALSE)),1,"")</f>
        <v>1</v>
      </c>
      <c r="AG2" s="23">
        <f>IF(ISERROR(VLOOKUP(E174,$Y$2:$Z$600,2,FALSE)),1,"")</f>
        <v>1</v>
      </c>
      <c r="AH2" s="9"/>
      <c r="AI2" s="9"/>
    </row>
    <row r="3">
      <c r="A3" s="15" t="s">
        <v>24</v>
      </c>
      <c r="B3" s="16">
        <f>COUNTA('3) Sorter'!F4:F507)</f>
        <v>349</v>
      </c>
      <c r="C3" s="4"/>
      <c r="D3" s="4"/>
      <c r="E3" s="5" t="s">
        <v>25</v>
      </c>
      <c r="F3" s="6">
        <v>83765.0</v>
      </c>
      <c r="G3" s="6">
        <v>54474.0</v>
      </c>
      <c r="H3" s="5" t="s">
        <v>26</v>
      </c>
      <c r="I3" s="5" t="s">
        <v>21</v>
      </c>
      <c r="J3" s="5">
        <v>6.36023795E8</v>
      </c>
      <c r="K3" s="5">
        <v>9393682.0</v>
      </c>
      <c r="L3" s="17"/>
      <c r="M3" s="18"/>
      <c r="N3" s="5" t="b">
        <v>0</v>
      </c>
      <c r="O3" s="19"/>
      <c r="P3" s="7"/>
      <c r="Q3" s="26" t="s">
        <v>27</v>
      </c>
      <c r="R3" s="26" t="s">
        <v>28</v>
      </c>
      <c r="S3" s="26" t="s">
        <v>29</v>
      </c>
      <c r="T3" s="9"/>
      <c r="U3" s="3" t="s">
        <v>30</v>
      </c>
      <c r="V3" s="20">
        <f>COUNTIF($I$2:$I$1000,"under construction")</f>
        <v>25</v>
      </c>
      <c r="W3" s="9"/>
      <c r="X3" s="27"/>
      <c r="Y3" s="27" t="str">
        <f>IFERROR(__xludf.DUMMYFUNCTION("""COMPUTED_VALUE"""),"Astra")</f>
        <v>Astra</v>
      </c>
      <c r="Z3" s="23"/>
      <c r="AA3" s="23"/>
      <c r="AB3" s="3"/>
      <c r="AC3" s="3" t="str">
        <f>IFERROR(__xludf.DUMMYFUNCTION("FILTER(E2:E501, ISNA(MATCH(TRIM(LOWER(CLEAN(E2:E501))), $Y$2:$Y$501, 0)))"),"Al Ain")</f>
        <v>Al Ain</v>
      </c>
      <c r="AD3" s="25"/>
      <c r="AE3" s="25" t="str">
        <f t="shared" ref="AE3:AE173" si="1">IF(E3="","", IF(F3&gt;93000,1,""))</f>
        <v/>
      </c>
      <c r="AF3" s="23" t="str">
        <f t="shared" ref="AF3:AF17" si="2">IF(ISERROR(VLOOKUP(Y3,$E$2:$F$600,2, FALSE)),1,"")</f>
        <v/>
      </c>
      <c r="AG3" s="23">
        <f t="shared" ref="AG3:AG173" si="3">IF(ISERROR(VLOOKUP(E3,$Y$2:$Z$600,2,FALSE)),1,"")</f>
        <v>1</v>
      </c>
      <c r="AH3" s="9"/>
      <c r="AI3" s="9"/>
    </row>
    <row r="4">
      <c r="A4" s="28" t="s">
        <v>31</v>
      </c>
      <c r="B4" s="29">
        <f>B2-B3</f>
        <v>-8</v>
      </c>
      <c r="C4" s="4"/>
      <c r="D4" s="4"/>
      <c r="E4" s="5" t="s">
        <v>32</v>
      </c>
      <c r="F4" s="6">
        <v>86000.0</v>
      </c>
      <c r="G4" s="6">
        <v>54000.0</v>
      </c>
      <c r="H4" s="5" t="s">
        <v>20</v>
      </c>
      <c r="I4" s="5" t="s">
        <v>21</v>
      </c>
      <c r="J4" s="5">
        <v>6.36021498E8</v>
      </c>
      <c r="K4" s="5">
        <v>9923085.0</v>
      </c>
      <c r="L4" s="17"/>
      <c r="M4" s="18"/>
      <c r="N4" s="5" t="b">
        <v>1</v>
      </c>
      <c r="O4" s="19"/>
      <c r="P4" s="7"/>
      <c r="Q4" s="30">
        <v>46125.0</v>
      </c>
      <c r="R4" s="31">
        <v>0.4166666666666667</v>
      </c>
      <c r="S4" s="32" t="s">
        <v>33</v>
      </c>
      <c r="T4" s="9"/>
      <c r="U4" s="3" t="s">
        <v>34</v>
      </c>
      <c r="V4" s="20" t="str">
        <f>SUM(AE2:AE500)</f>
        <v>#REF!</v>
      </c>
      <c r="W4" s="9"/>
      <c r="X4" s="23"/>
      <c r="Y4" s="23" t="str">
        <f>IFERROR(__xludf.DUMMYFUNCTION("""COMPUTED_VALUE"""),"Astram")</f>
        <v>Astram</v>
      </c>
      <c r="Z4" s="23"/>
      <c r="AA4" s="23"/>
      <c r="AB4" s="33"/>
      <c r="AC4" s="33" t="str">
        <f>IFERROR(__xludf.DUMMYFUNCTION("""COMPUTED_VALUE"""),"Al Maryah")</f>
        <v>Al Maryah</v>
      </c>
      <c r="AD4" s="25"/>
      <c r="AE4" s="25" t="str">
        <f t="shared" si="1"/>
        <v/>
      </c>
      <c r="AF4" s="23" t="str">
        <f t="shared" si="2"/>
        <v/>
      </c>
      <c r="AG4" s="23">
        <f t="shared" si="3"/>
        <v>1</v>
      </c>
      <c r="AH4" s="9"/>
      <c r="AI4" s="9"/>
    </row>
    <row r="5">
      <c r="A5" s="28" t="s">
        <v>35</v>
      </c>
      <c r="B5" s="34" t="s">
        <v>36</v>
      </c>
      <c r="C5" s="4"/>
      <c r="D5" s="4"/>
      <c r="E5" s="5" t="s">
        <v>37</v>
      </c>
      <c r="F5" s="6">
        <v>80841.0</v>
      </c>
      <c r="G5" s="6">
        <v>53999.0</v>
      </c>
      <c r="H5" s="5" t="s">
        <v>26</v>
      </c>
      <c r="I5" s="5" t="s">
        <v>21</v>
      </c>
      <c r="J5" s="5">
        <v>5.38005255E8</v>
      </c>
      <c r="K5" s="5">
        <v>9359466.0</v>
      </c>
      <c r="L5" s="5" t="s">
        <v>38</v>
      </c>
      <c r="M5" s="35">
        <v>46138.125</v>
      </c>
      <c r="N5" s="5" t="b">
        <v>0</v>
      </c>
      <c r="O5" s="19"/>
      <c r="P5" s="7"/>
      <c r="Q5" s="9"/>
      <c r="R5" s="9"/>
      <c r="S5" s="9"/>
      <c r="T5" s="9"/>
      <c r="U5" s="3" t="s">
        <v>16</v>
      </c>
      <c r="V5" s="20">
        <f>SUM(AF2:AF399)</f>
        <v>275</v>
      </c>
      <c r="W5" s="9"/>
      <c r="X5" s="23"/>
      <c r="Y5" s="23" t="str">
        <f>IFERROR(__xludf.DUMMYFUNCTION("""COMPUTED_VALUE"""),"Aura")</f>
        <v>Aura</v>
      </c>
      <c r="Z5" s="23"/>
      <c r="AA5" s="23"/>
      <c r="AB5" s="3"/>
      <c r="AC5" s="3" t="str">
        <f>IFERROR(__xludf.DUMMYFUNCTION("""COMPUTED_VALUE"""),"Al Salam")</f>
        <v>Al Salam</v>
      </c>
      <c r="AD5" s="25"/>
      <c r="AE5" s="25" t="str">
        <f t="shared" si="1"/>
        <v/>
      </c>
      <c r="AF5" s="23" t="str">
        <f t="shared" si="2"/>
        <v/>
      </c>
      <c r="AG5" s="23">
        <f t="shared" si="3"/>
        <v>1</v>
      </c>
      <c r="AH5" s="9"/>
      <c r="AI5" s="9"/>
    </row>
    <row r="6">
      <c r="A6" s="21" t="str">
        <f>IFERROR(__xludf.DUMMYFUNCTION("filter('2) Tracker'!$A3:$A$402,not(countif('3) Sorter'!$F$4:$F$344,'2) Tracker'!$A$3:$A$402)))"),"")</f>
        <v/>
      </c>
      <c r="B6" s="36" t="str">
        <f>IFERROR(__xludf.DUMMYFUNCTION("filter('3) Sorter'!$F$4:$F$366,not(countif('2) Tracker'!$A$3:$A$503,'3) Sorter'!$F$4:$F$366)))"),"")</f>
        <v/>
      </c>
      <c r="C6" s="4"/>
      <c r="D6" s="4"/>
      <c r="E6" s="5" t="s">
        <v>39</v>
      </c>
      <c r="F6" s="6">
        <v>84000.0</v>
      </c>
      <c r="G6" s="6">
        <v>54354.0</v>
      </c>
      <c r="H6" s="5" t="s">
        <v>20</v>
      </c>
      <c r="I6" s="5" t="s">
        <v>21</v>
      </c>
      <c r="J6" s="5">
        <v>3.71353E8</v>
      </c>
      <c r="K6" s="5">
        <v>9682447.0</v>
      </c>
      <c r="L6" s="5" t="s">
        <v>40</v>
      </c>
      <c r="M6" s="35">
        <v>46132.625</v>
      </c>
      <c r="N6" s="5" t="b">
        <v>1</v>
      </c>
      <c r="O6" s="19"/>
      <c r="P6" s="7"/>
      <c r="Q6" s="9"/>
      <c r="R6" s="9"/>
      <c r="S6" s="9"/>
      <c r="T6" s="9"/>
      <c r="U6" s="3" t="s">
        <v>17</v>
      </c>
      <c r="V6" s="20">
        <f>SUM(AG2:AG394)</f>
        <v>303</v>
      </c>
      <c r="W6" s="9"/>
      <c r="X6" s="23"/>
      <c r="Y6" s="23" t="str">
        <f>IFERROR(__xludf.DUMMYFUNCTION("""COMPUTED_VALUE"""),"Aurora")</f>
        <v>Aurora</v>
      </c>
      <c r="Z6" s="23"/>
      <c r="AA6" s="23"/>
      <c r="AB6" s="23"/>
      <c r="AC6" s="23" t="str">
        <f>IFERROR(__xludf.DUMMYFUNCTION("""COMPUTED_VALUE"""),"Al Wukir")</f>
        <v>Al Wukir</v>
      </c>
      <c r="AD6" s="25"/>
      <c r="AE6" s="25" t="str">
        <f t="shared" si="1"/>
        <v/>
      </c>
      <c r="AF6" s="23" t="str">
        <f t="shared" si="2"/>
        <v/>
      </c>
      <c r="AG6" s="23">
        <f t="shared" si="3"/>
        <v>1</v>
      </c>
      <c r="AH6" s="9"/>
      <c r="AI6" s="9"/>
    </row>
    <row r="7">
      <c r="A7" s="37"/>
      <c r="B7" s="37"/>
      <c r="C7" s="4"/>
      <c r="D7" s="4"/>
      <c r="E7" s="5" t="s">
        <v>41</v>
      </c>
      <c r="F7" s="6">
        <v>84000.0</v>
      </c>
      <c r="G7" s="6">
        <v>54358.0</v>
      </c>
      <c r="H7" s="5" t="s">
        <v>20</v>
      </c>
      <c r="I7" s="5" t="s">
        <v>21</v>
      </c>
      <c r="J7" s="5">
        <v>3.71669E8</v>
      </c>
      <c r="K7" s="5">
        <v>9780732.0</v>
      </c>
      <c r="L7" s="5" t="s">
        <v>38</v>
      </c>
      <c r="M7" s="38">
        <v>46134.895833333336</v>
      </c>
      <c r="N7" s="5" t="b">
        <v>1</v>
      </c>
      <c r="O7" s="19"/>
      <c r="P7" s="7"/>
      <c r="T7" s="9"/>
      <c r="U7" s="4"/>
      <c r="V7" s="4"/>
      <c r="W7" s="9"/>
      <c r="X7" s="27"/>
      <c r="Y7" s="27" t="str">
        <f>IFERROR(__xludf.DUMMYFUNCTION("""COMPUTED_VALUE"""),"Axon I")</f>
        <v>Axon I</v>
      </c>
      <c r="Z7" s="23"/>
      <c r="AA7" s="23"/>
      <c r="AB7" s="23"/>
      <c r="AC7" s="23" t="str">
        <f>IFERROR(__xludf.DUMMYFUNCTION("""COMPUTED_VALUE"""),"Albert")</f>
        <v>Albert</v>
      </c>
      <c r="AD7" s="25"/>
      <c r="AE7" s="25" t="str">
        <f t="shared" si="1"/>
        <v/>
      </c>
      <c r="AF7" s="23" t="str">
        <f t="shared" si="2"/>
        <v/>
      </c>
      <c r="AG7" s="23">
        <f t="shared" si="3"/>
        <v>1</v>
      </c>
      <c r="AH7" s="9"/>
      <c r="AI7" s="9"/>
    </row>
    <row r="8">
      <c r="A8" s="37"/>
      <c r="B8" s="37"/>
      <c r="C8" s="4"/>
      <c r="D8" s="4"/>
      <c r="E8" s="5" t="s">
        <v>42</v>
      </c>
      <c r="F8" s="6">
        <v>84000.0</v>
      </c>
      <c r="G8" s="6">
        <v>54365.0</v>
      </c>
      <c r="H8" s="5" t="s">
        <v>26</v>
      </c>
      <c r="I8" s="5" t="s">
        <v>21</v>
      </c>
      <c r="J8" s="5">
        <v>3.71557E8</v>
      </c>
      <c r="K8" s="5">
        <v>9794288.0</v>
      </c>
      <c r="L8" s="5" t="s">
        <v>43</v>
      </c>
      <c r="M8" s="39">
        <v>46132.541666666664</v>
      </c>
      <c r="N8" s="5" t="b">
        <v>0</v>
      </c>
      <c r="O8" s="19"/>
      <c r="P8" s="7"/>
      <c r="T8" s="9"/>
      <c r="U8" s="10" t="s">
        <v>44</v>
      </c>
      <c r="V8" s="4"/>
      <c r="W8" s="9"/>
      <c r="X8" s="23"/>
      <c r="Y8" s="23" t="str">
        <f>IFERROR(__xludf.DUMMYFUNCTION("""COMPUTED_VALUE"""),"Banian")</f>
        <v>Banian</v>
      </c>
      <c r="Z8" s="23"/>
      <c r="AA8" s="23"/>
      <c r="AB8" s="23"/>
      <c r="AC8" s="23" t="str">
        <f>IFERROR(__xludf.DUMMYFUNCTION("""COMPUTED_VALUE"""),"Albert Ii")</f>
        <v>Albert Ii</v>
      </c>
      <c r="AD8" s="25"/>
      <c r="AE8" s="25" t="str">
        <f t="shared" si="1"/>
        <v/>
      </c>
      <c r="AF8" s="23" t="str">
        <f t="shared" si="2"/>
        <v/>
      </c>
      <c r="AG8" s="23">
        <f t="shared" si="3"/>
        <v>1</v>
      </c>
      <c r="AH8" s="9"/>
      <c r="AI8" s="9"/>
    </row>
    <row r="9">
      <c r="A9" s="37"/>
      <c r="B9" s="37"/>
      <c r="C9" s="4"/>
      <c r="D9" s="4"/>
      <c r="E9" s="5" t="s">
        <v>45</v>
      </c>
      <c r="F9" s="6">
        <v>78907.0</v>
      </c>
      <c r="G9" s="6">
        <v>49999.0</v>
      </c>
      <c r="H9" s="5" t="s">
        <v>26</v>
      </c>
      <c r="I9" s="5" t="s">
        <v>21</v>
      </c>
      <c r="J9" s="5">
        <v>5.740056E8</v>
      </c>
      <c r="K9" s="5">
        <v>9423322.0</v>
      </c>
      <c r="L9" s="5" t="s">
        <v>46</v>
      </c>
      <c r="M9" s="35">
        <v>46134.458333333336</v>
      </c>
      <c r="N9" s="5" t="b">
        <v>0</v>
      </c>
      <c r="O9" s="19"/>
      <c r="P9" s="7"/>
      <c r="T9" s="9"/>
      <c r="U9" s="32" t="s">
        <v>47</v>
      </c>
      <c r="V9" s="40"/>
      <c r="W9" s="9"/>
      <c r="X9" s="23"/>
      <c r="Y9" s="23" t="str">
        <f>IFERROR(__xludf.DUMMYFUNCTION("""COMPUTED_VALUE"""),"Bao Yu")</f>
        <v>Bao Yu</v>
      </c>
      <c r="Z9" s="23"/>
      <c r="AA9" s="23"/>
      <c r="AB9" s="23"/>
      <c r="AC9" s="23" t="str">
        <f>IFERROR(__xludf.DUMMYFUNCTION("""COMPUTED_VALUE"""),"Albert Iii")</f>
        <v>Albert Iii</v>
      </c>
      <c r="AD9" s="25"/>
      <c r="AE9" s="25" t="str">
        <f t="shared" si="1"/>
        <v/>
      </c>
      <c r="AF9" s="23" t="str">
        <f t="shared" si="2"/>
        <v/>
      </c>
      <c r="AG9" s="23" t="str">
        <f t="shared" si="3"/>
        <v/>
      </c>
      <c r="AH9" s="9"/>
      <c r="AI9" s="9"/>
    </row>
    <row r="10">
      <c r="A10" s="37"/>
      <c r="B10" s="37"/>
      <c r="C10" s="41"/>
      <c r="D10" s="4"/>
      <c r="E10" s="5" t="s">
        <v>48</v>
      </c>
      <c r="F10" s="6">
        <v>83278.0</v>
      </c>
      <c r="G10" s="6">
        <v>54866.0</v>
      </c>
      <c r="H10" s="5" t="s">
        <v>26</v>
      </c>
      <c r="I10" s="5" t="s">
        <v>21</v>
      </c>
      <c r="J10" s="5">
        <v>5.6521E8</v>
      </c>
      <c r="K10" s="5">
        <v>9415650.0</v>
      </c>
      <c r="L10" s="5" t="s">
        <v>38</v>
      </c>
      <c r="M10" s="38">
        <v>46159.208333333336</v>
      </c>
      <c r="N10" s="5" t="b">
        <v>0</v>
      </c>
      <c r="O10" s="19"/>
      <c r="P10" s="7"/>
      <c r="T10" s="9"/>
      <c r="U10" s="42"/>
      <c r="V10" s="40"/>
      <c r="W10" s="9"/>
      <c r="X10" s="23"/>
      <c r="Y10" s="23" t="str">
        <f>IFERROR(__xludf.DUMMYFUNCTION("""COMPUTED_VALUE"""),"Bw Birch")</f>
        <v>Bw Birch</v>
      </c>
      <c r="Z10" s="23"/>
      <c r="AA10" s="23"/>
      <c r="AB10" s="23"/>
      <c r="AC10" s="23" t="str">
        <f>IFERROR(__xludf.DUMMYFUNCTION("""COMPUTED_VALUE"""),"Aquamarine Progress")</f>
        <v>Aquamarine Progress</v>
      </c>
      <c r="AD10" s="25"/>
      <c r="AE10" s="25" t="str">
        <f t="shared" si="1"/>
        <v/>
      </c>
      <c r="AF10" s="23" t="str">
        <f t="shared" si="2"/>
        <v/>
      </c>
      <c r="AG10" s="23">
        <f t="shared" si="3"/>
        <v>1</v>
      </c>
      <c r="AH10" s="9"/>
      <c r="AI10" s="9"/>
    </row>
    <row r="11">
      <c r="A11" s="43"/>
      <c r="B11" s="43"/>
      <c r="C11" s="41"/>
      <c r="D11" s="4"/>
      <c r="E11" s="5" t="s">
        <v>49</v>
      </c>
      <c r="F11" s="6">
        <v>87000.0</v>
      </c>
      <c r="G11" s="6">
        <v>56805.0</v>
      </c>
      <c r="H11" s="5" t="s">
        <v>26</v>
      </c>
      <c r="I11" s="5" t="s">
        <v>21</v>
      </c>
      <c r="J11" s="5">
        <v>5.632207E8</v>
      </c>
      <c r="K11" s="5">
        <v>9947495.0</v>
      </c>
      <c r="L11" s="5" t="s">
        <v>38</v>
      </c>
      <c r="M11" s="35">
        <v>46137.291666666664</v>
      </c>
      <c r="N11" s="5" t="b">
        <v>0</v>
      </c>
      <c r="O11" s="19"/>
      <c r="P11" s="7"/>
      <c r="T11" s="9"/>
      <c r="V11" s="40"/>
      <c r="W11" s="9"/>
      <c r="X11" s="23"/>
      <c r="Y11" s="23" t="str">
        <f>IFERROR(__xludf.DUMMYFUNCTION("""COMPUTED_VALUE"""),"Bw Chinook")</f>
        <v>Bw Chinook</v>
      </c>
      <c r="Z11" s="23"/>
      <c r="AA11" s="23"/>
      <c r="AB11" s="23"/>
      <c r="AC11" s="23" t="str">
        <f>IFERROR(__xludf.DUMMYFUNCTION("""COMPUTED_VALUE"""),"Aquamarine Progress Ii")</f>
        <v>Aquamarine Progress Ii</v>
      </c>
      <c r="AD11" s="25"/>
      <c r="AE11" s="25" t="str">
        <f t="shared" si="1"/>
        <v/>
      </c>
      <c r="AF11" s="23" t="str">
        <f t="shared" si="2"/>
        <v/>
      </c>
      <c r="AG11" s="23">
        <f t="shared" si="3"/>
        <v>1</v>
      </c>
      <c r="AH11" s="9"/>
      <c r="AI11" s="9"/>
    </row>
    <row r="12">
      <c r="A12" s="43"/>
      <c r="B12" s="43"/>
      <c r="C12" s="41"/>
      <c r="D12" s="4"/>
      <c r="E12" s="5" t="s">
        <v>50</v>
      </c>
      <c r="F12" s="6">
        <v>80546.0</v>
      </c>
      <c r="G12" s="6">
        <v>54650.0</v>
      </c>
      <c r="H12" s="5" t="s">
        <v>26</v>
      </c>
      <c r="I12" s="5" t="s">
        <v>21</v>
      </c>
      <c r="J12" s="5">
        <v>6.36018567E8</v>
      </c>
      <c r="K12" s="5">
        <v>9840867.0</v>
      </c>
      <c r="L12" s="5" t="s">
        <v>43</v>
      </c>
      <c r="M12" s="35">
        <v>46134.041666666664</v>
      </c>
      <c r="N12" s="5" t="b">
        <v>0</v>
      </c>
      <c r="O12" s="19"/>
      <c r="P12" s="7"/>
      <c r="T12" s="9"/>
      <c r="V12" s="4"/>
      <c r="W12" s="9"/>
      <c r="X12" s="23"/>
      <c r="Y12" s="23" t="str">
        <f>IFERROR(__xludf.DUMMYFUNCTION("""COMPUTED_VALUE"""),"Bw Oak")</f>
        <v>Bw Oak</v>
      </c>
      <c r="Z12" s="23"/>
      <c r="AA12" s="23"/>
      <c r="AB12" s="23"/>
      <c r="AC12" s="23" t="str">
        <f>IFERROR(__xludf.DUMMYFUNCTION("""COMPUTED_VALUE"""),"Astir Thuban")</f>
        <v>Astir Thuban</v>
      </c>
      <c r="AD12" s="25"/>
      <c r="AE12" s="25" t="str">
        <f t="shared" si="1"/>
        <v/>
      </c>
      <c r="AF12" s="23" t="str">
        <f t="shared" si="2"/>
        <v/>
      </c>
      <c r="AG12" s="23">
        <f t="shared" si="3"/>
        <v>1</v>
      </c>
      <c r="AH12" s="9"/>
      <c r="AI12" s="9"/>
    </row>
    <row r="13">
      <c r="A13" s="43"/>
      <c r="B13" s="43"/>
      <c r="C13" s="4"/>
      <c r="D13" s="4"/>
      <c r="E13" s="5" t="s">
        <v>51</v>
      </c>
      <c r="F13" s="6">
        <v>83426.0</v>
      </c>
      <c r="G13" s="6">
        <v>55250.0</v>
      </c>
      <c r="H13" s="5" t="s">
        <v>26</v>
      </c>
      <c r="I13" s="5" t="s">
        <v>21</v>
      </c>
      <c r="J13" s="5">
        <v>3.7374E8</v>
      </c>
      <c r="K13" s="5">
        <v>9607069.0</v>
      </c>
      <c r="L13" s="5" t="s">
        <v>52</v>
      </c>
      <c r="M13" s="35">
        <v>46154.645833333336</v>
      </c>
      <c r="N13" s="5" t="b">
        <v>0</v>
      </c>
      <c r="O13" s="19"/>
      <c r="P13" s="7"/>
      <c r="T13" s="9"/>
      <c r="U13" s="44" t="s">
        <v>53</v>
      </c>
      <c r="V13" s="45"/>
      <c r="W13" s="9"/>
      <c r="X13" s="23"/>
      <c r="Y13" s="23" t="str">
        <f>IFERROR(__xludf.DUMMYFUNCTION("""COMPUTED_VALUE"""),"Bw Tyr")</f>
        <v>Bw Tyr</v>
      </c>
      <c r="Z13" s="23"/>
      <c r="AA13" s="23"/>
      <c r="AB13" s="23"/>
      <c r="AC13" s="23" t="str">
        <f>IFERROR(__xludf.DUMMYFUNCTION("""COMPUTED_VALUE"""),"Astomos Earth")</f>
        <v>Astomos Earth</v>
      </c>
      <c r="AD13" s="25"/>
      <c r="AE13" s="25" t="str">
        <f t="shared" si="1"/>
        <v/>
      </c>
      <c r="AF13" s="23" t="str">
        <f t="shared" si="2"/>
        <v/>
      </c>
      <c r="AG13" s="23">
        <f t="shared" si="3"/>
        <v>1</v>
      </c>
      <c r="AH13" s="9"/>
      <c r="AI13" s="9"/>
    </row>
    <row r="14">
      <c r="A14" s="43"/>
      <c r="B14" s="43"/>
      <c r="C14" s="40"/>
      <c r="D14" s="4"/>
      <c r="E14" s="5" t="s">
        <v>54</v>
      </c>
      <c r="F14" s="6">
        <v>83000.0</v>
      </c>
      <c r="G14" s="6">
        <v>55209.0</v>
      </c>
      <c r="H14" s="5" t="s">
        <v>20</v>
      </c>
      <c r="I14" s="5" t="s">
        <v>21</v>
      </c>
      <c r="J14" s="5">
        <v>3.74614E8</v>
      </c>
      <c r="K14" s="5">
        <v>9738545.0</v>
      </c>
      <c r="L14" s="17"/>
      <c r="M14" s="18"/>
      <c r="N14" s="5" t="b">
        <v>1</v>
      </c>
      <c r="O14" s="19"/>
      <c r="P14" s="7"/>
      <c r="T14" s="9"/>
      <c r="U14" s="46" t="s">
        <v>55</v>
      </c>
      <c r="V14" s="4"/>
      <c r="W14" s="23"/>
      <c r="X14" s="23"/>
      <c r="Y14" s="23" t="str">
        <f>IFERROR(__xludf.DUMMYFUNCTION("""COMPUTED_VALUE"""),"Celeste")</f>
        <v>Celeste</v>
      </c>
      <c r="Z14" s="23"/>
      <c r="AA14" s="23"/>
      <c r="AB14" s="23"/>
      <c r="AC14" s="23" t="str">
        <f>IFERROR(__xludf.DUMMYFUNCTION("""COMPUTED_VALUE"""),"Astomos Venus")</f>
        <v>Astomos Venus</v>
      </c>
      <c r="AD14" s="25"/>
      <c r="AE14" s="25" t="str">
        <f t="shared" si="1"/>
        <v/>
      </c>
      <c r="AF14" s="23" t="str">
        <f t="shared" si="2"/>
        <v/>
      </c>
      <c r="AG14" s="23">
        <f t="shared" si="3"/>
        <v>1</v>
      </c>
      <c r="AH14" s="9"/>
      <c r="AI14" s="9"/>
    </row>
    <row r="15">
      <c r="A15" s="43"/>
      <c r="B15" s="43"/>
      <c r="C15" s="4"/>
      <c r="D15" s="4"/>
      <c r="E15" s="5" t="s">
        <v>56</v>
      </c>
      <c r="F15" s="6">
        <v>82000.0</v>
      </c>
      <c r="G15" s="6">
        <v>54368.0</v>
      </c>
      <c r="H15" s="5" t="s">
        <v>26</v>
      </c>
      <c r="I15" s="5" t="s">
        <v>21</v>
      </c>
      <c r="J15" s="5">
        <v>6.50000174E8</v>
      </c>
      <c r="K15" s="5">
        <v>9350422.0</v>
      </c>
      <c r="L15" s="5" t="s">
        <v>46</v>
      </c>
      <c r="M15" s="35">
        <v>46133.75</v>
      </c>
      <c r="N15" s="5" t="b">
        <v>0</v>
      </c>
      <c r="O15" s="19"/>
      <c r="P15" s="7"/>
      <c r="T15" s="9"/>
      <c r="U15" s="47" t="s">
        <v>57</v>
      </c>
      <c r="V15" s="4"/>
      <c r="W15" s="9"/>
      <c r="X15" s="23"/>
      <c r="Y15" s="23" t="str">
        <f>IFERROR(__xludf.DUMMYFUNCTION("""COMPUTED_VALUE"""),"Clipper Galiot")</f>
        <v>Clipper Galiot</v>
      </c>
      <c r="Z15" s="23"/>
      <c r="AA15" s="23"/>
      <c r="AB15" s="23"/>
      <c r="AC15" s="23" t="str">
        <f>IFERROR(__xludf.DUMMYFUNCTION("""COMPUTED_VALUE"""),"Atlantic Victory")</f>
        <v>Atlantic Victory</v>
      </c>
      <c r="AD15" s="25"/>
      <c r="AE15" s="25" t="str">
        <f t="shared" si="1"/>
        <v/>
      </c>
      <c r="AF15" s="23" t="str">
        <f t="shared" si="2"/>
        <v/>
      </c>
      <c r="AG15" s="23" t="str">
        <f t="shared" si="3"/>
        <v/>
      </c>
      <c r="AH15" s="9"/>
      <c r="AI15" s="9"/>
    </row>
    <row r="16">
      <c r="A16" s="43"/>
      <c r="B16" s="43"/>
      <c r="C16" s="4"/>
      <c r="D16" s="4"/>
      <c r="E16" s="5" t="s">
        <v>58</v>
      </c>
      <c r="F16" s="6">
        <v>81605.0</v>
      </c>
      <c r="G16" s="6">
        <v>54533.0</v>
      </c>
      <c r="H16" s="5" t="s">
        <v>26</v>
      </c>
      <c r="I16" s="5" t="s">
        <v>21</v>
      </c>
      <c r="J16" s="5">
        <v>6.03914E8</v>
      </c>
      <c r="K16" s="5">
        <v>9307748.0</v>
      </c>
      <c r="L16" s="5" t="s">
        <v>59</v>
      </c>
      <c r="M16" s="35">
        <v>46132.875</v>
      </c>
      <c r="N16" s="5" t="b">
        <v>0</v>
      </c>
      <c r="O16" s="19"/>
      <c r="P16" s="7"/>
      <c r="T16" s="9"/>
      <c r="U16" s="48" t="s">
        <v>60</v>
      </c>
      <c r="V16" s="49"/>
      <c r="W16" s="9"/>
      <c r="X16" s="23"/>
      <c r="Y16" s="23" t="str">
        <f>IFERROR(__xludf.DUMMYFUNCTION("""COMPUTED_VALUE"""),"Clipper Galleon")</f>
        <v>Clipper Galleon</v>
      </c>
      <c r="Z16" s="23"/>
      <c r="AA16" s="23"/>
      <c r="AB16" s="23"/>
      <c r="AC16" s="23" t="str">
        <f>IFERROR(__xludf.DUMMYFUNCTION("""COMPUTED_VALUE"""),"Atlantic Voyager")</f>
        <v>Atlantic Voyager</v>
      </c>
      <c r="AD16" s="25"/>
      <c r="AE16" s="25" t="str">
        <f t="shared" si="1"/>
        <v/>
      </c>
      <c r="AF16" s="23" t="str">
        <f t="shared" si="2"/>
        <v/>
      </c>
      <c r="AG16" s="23" t="str">
        <f t="shared" si="3"/>
        <v/>
      </c>
      <c r="AH16" s="9"/>
      <c r="AI16" s="9"/>
    </row>
    <row r="17">
      <c r="A17" s="43"/>
      <c r="B17" s="43"/>
      <c r="C17" s="3"/>
      <c r="D17" s="4"/>
      <c r="E17" s="5" t="s">
        <v>61</v>
      </c>
      <c r="F17" s="6">
        <v>75000.0</v>
      </c>
      <c r="G17" s="6">
        <v>54048.0</v>
      </c>
      <c r="H17" s="5" t="s">
        <v>20</v>
      </c>
      <c r="I17" s="5" t="s">
        <v>21</v>
      </c>
      <c r="J17" s="5">
        <v>3.52003378E8</v>
      </c>
      <c r="K17" s="5">
        <v>9379399.0</v>
      </c>
      <c r="L17" s="17"/>
      <c r="M17" s="18"/>
      <c r="N17" s="5" t="b">
        <v>1</v>
      </c>
      <c r="O17" s="19"/>
      <c r="P17" s="7"/>
      <c r="T17" s="9"/>
      <c r="U17" s="47" t="s">
        <v>62</v>
      </c>
      <c r="V17" s="50"/>
      <c r="W17" s="9"/>
      <c r="X17" s="23"/>
      <c r="Y17" s="23" t="str">
        <f>IFERROR(__xludf.DUMMYFUNCTION("""COMPUTED_VALUE"""),"Clipper Gannet")</f>
        <v>Clipper Gannet</v>
      </c>
      <c r="Z17" s="23"/>
      <c r="AA17" s="23"/>
      <c r="AB17" s="23"/>
      <c r="AC17" s="23" t="str">
        <f>IFERROR(__xludf.DUMMYFUNCTION("""COMPUTED_VALUE"""),"Aurora Guardian")</f>
        <v>Aurora Guardian</v>
      </c>
      <c r="AD17" s="25"/>
      <c r="AE17" s="25" t="str">
        <f t="shared" si="1"/>
        <v/>
      </c>
      <c r="AF17" s="23" t="str">
        <f t="shared" si="2"/>
        <v/>
      </c>
      <c r="AG17" s="23">
        <f t="shared" si="3"/>
        <v>1</v>
      </c>
      <c r="AH17" s="9"/>
      <c r="AI17" s="9"/>
    </row>
    <row r="18">
      <c r="A18" s="43"/>
      <c r="B18" s="43"/>
      <c r="C18" s="3"/>
      <c r="D18" s="4"/>
      <c r="E18" s="5" t="s">
        <v>63</v>
      </c>
      <c r="F18" s="6">
        <v>87000.0</v>
      </c>
      <c r="G18" s="6">
        <v>55885.0</v>
      </c>
      <c r="H18" s="5" t="s">
        <v>26</v>
      </c>
      <c r="I18" s="5" t="s">
        <v>21</v>
      </c>
      <c r="J18" s="5">
        <v>3.11001673E8</v>
      </c>
      <c r="K18" s="5">
        <v>9996020.0</v>
      </c>
      <c r="L18" s="5" t="s">
        <v>64</v>
      </c>
      <c r="M18" s="35">
        <v>46145.625</v>
      </c>
      <c r="N18" s="5" t="b">
        <v>0</v>
      </c>
      <c r="O18" s="19"/>
      <c r="P18" s="7"/>
      <c r="T18" s="9"/>
      <c r="U18" s="4"/>
      <c r="V18" s="4"/>
      <c r="W18" s="9"/>
      <c r="Y18" s="43" t="str">
        <f>IFERROR(__xludf.DUMMYFUNCTION("""COMPUTED_VALUE"""),"Clipper Genesis")</f>
        <v>Clipper Genesis</v>
      </c>
      <c r="Z18" s="23"/>
      <c r="AA18" s="23"/>
      <c r="AB18" s="23"/>
      <c r="AC18" s="23" t="str">
        <f>IFERROR(__xludf.DUMMYFUNCTION("""COMPUTED_VALUE"""),"Axis River")</f>
        <v>Axis River</v>
      </c>
      <c r="AD18" s="25"/>
      <c r="AE18" s="25" t="str">
        <f t="shared" si="1"/>
        <v/>
      </c>
      <c r="AF18" s="23" t="str">
        <f>IF(ISERROR(VLOOKUP(Y2,$E$2:$F$600,2, FALSE)),1,"")</f>
        <v/>
      </c>
      <c r="AG18" s="23">
        <f t="shared" si="3"/>
        <v>1</v>
      </c>
      <c r="AH18" s="9"/>
      <c r="AI18" s="9"/>
    </row>
    <row r="19">
      <c r="A19" s="43"/>
      <c r="B19" s="43"/>
      <c r="C19" s="4"/>
      <c r="D19" s="4"/>
      <c r="E19" s="5" t="s">
        <v>65</v>
      </c>
      <c r="F19" s="6">
        <v>80138.0</v>
      </c>
      <c r="G19" s="6">
        <v>53395.0</v>
      </c>
      <c r="H19" s="5" t="s">
        <v>66</v>
      </c>
      <c r="I19" s="5" t="s">
        <v>21</v>
      </c>
      <c r="J19" s="5">
        <v>6.50000181E8</v>
      </c>
      <c r="K19" s="5">
        <v>9274563.0</v>
      </c>
      <c r="L19" s="5" t="s">
        <v>67</v>
      </c>
      <c r="M19" s="35">
        <v>46133.125</v>
      </c>
      <c r="N19" s="5" t="b">
        <v>1</v>
      </c>
      <c r="O19" s="19"/>
      <c r="P19" s="7"/>
      <c r="T19" s="9"/>
      <c r="U19" s="46" t="s">
        <v>68</v>
      </c>
      <c r="V19" s="3"/>
      <c r="W19" s="9"/>
      <c r="X19" s="23"/>
      <c r="Y19" s="23" t="str">
        <f>IFERROR(__xludf.DUMMYFUNCTION("""COMPUTED_VALUE"""),"Clipper Geneva")</f>
        <v>Clipper Geneva</v>
      </c>
      <c r="Z19" s="23"/>
      <c r="AA19" s="23"/>
      <c r="AB19" s="23"/>
      <c r="AC19" s="23" t="str">
        <f>IFERROR(__xludf.DUMMYFUNCTION("""COMPUTED_VALUE"""),"Ayame")</f>
        <v>Ayame</v>
      </c>
      <c r="AD19" s="25"/>
      <c r="AE19" s="25" t="str">
        <f t="shared" si="1"/>
        <v/>
      </c>
      <c r="AF19" s="23" t="str">
        <f t="shared" ref="AF19:AF344" si="4">IF(ISERROR(VLOOKUP(Y19,$E$2:$F$600,2, FALSE)),1,"")</f>
        <v/>
      </c>
      <c r="AG19" s="23" t="str">
        <f t="shared" si="3"/>
        <v/>
      </c>
      <c r="AH19" s="9"/>
      <c r="AI19" s="9"/>
    </row>
    <row r="20">
      <c r="A20" s="43"/>
      <c r="B20" s="43"/>
      <c r="C20" s="4"/>
      <c r="D20" s="4"/>
      <c r="E20" s="5" t="s">
        <v>69</v>
      </c>
      <c r="F20" s="6">
        <v>78462.0</v>
      </c>
      <c r="G20" s="6">
        <v>49679.0</v>
      </c>
      <c r="H20" s="5" t="s">
        <v>20</v>
      </c>
      <c r="I20" s="5" t="s">
        <v>21</v>
      </c>
      <c r="J20" s="5">
        <v>5.11101458E8</v>
      </c>
      <c r="K20" s="5">
        <v>9088536.0</v>
      </c>
      <c r="L20" s="17"/>
      <c r="M20" s="18"/>
      <c r="N20" s="5" t="b">
        <v>1</v>
      </c>
      <c r="O20" s="19"/>
      <c r="P20" s="7"/>
      <c r="T20" s="23"/>
      <c r="U20" s="23"/>
      <c r="V20" s="23"/>
      <c r="W20" s="23" t="s">
        <v>70</v>
      </c>
      <c r="X20" s="23"/>
      <c r="Y20" s="23" t="str">
        <f>IFERROR(__xludf.DUMMYFUNCTION("""COMPUTED_VALUE"""),"Clipper Grace")</f>
        <v>Clipper Grace</v>
      </c>
      <c r="Z20" s="23"/>
      <c r="AA20" s="23"/>
      <c r="AB20" s="23"/>
      <c r="AC20" s="23" t="str">
        <f>IFERROR(__xludf.DUMMYFUNCTION("""COMPUTED_VALUE"""),"Badrinath")</f>
        <v>Badrinath</v>
      </c>
      <c r="AD20" s="25"/>
      <c r="AE20" s="25" t="str">
        <f t="shared" si="1"/>
        <v/>
      </c>
      <c r="AF20" s="23" t="str">
        <f t="shared" si="4"/>
        <v/>
      </c>
      <c r="AG20" s="23" t="str">
        <f t="shared" si="3"/>
        <v/>
      </c>
      <c r="AH20" s="9"/>
      <c r="AI20" s="9"/>
    </row>
    <row r="21" ht="15.75" customHeight="1">
      <c r="A21" s="43"/>
      <c r="B21" s="23"/>
      <c r="C21" s="32" t="s">
        <v>70</v>
      </c>
      <c r="D21" s="4"/>
      <c r="E21" s="5" t="s">
        <v>71</v>
      </c>
      <c r="F21" s="6">
        <v>86700.0</v>
      </c>
      <c r="G21" s="6">
        <v>55000.0</v>
      </c>
      <c r="H21" s="5" t="s">
        <v>72</v>
      </c>
      <c r="I21" s="5" t="s">
        <v>73</v>
      </c>
      <c r="J21" s="5">
        <v>5.633193E8</v>
      </c>
      <c r="K21" s="5">
        <v>1015399.0</v>
      </c>
      <c r="L21" s="17"/>
      <c r="M21" s="18"/>
      <c r="N21" s="5" t="b">
        <v>0</v>
      </c>
      <c r="O21" s="19"/>
      <c r="P21" s="7"/>
      <c r="T21" s="9"/>
      <c r="U21" s="9"/>
      <c r="V21" s="9"/>
      <c r="W21" s="9"/>
      <c r="X21" s="23"/>
      <c r="Y21" s="23" t="str">
        <f>IFERROR(__xludf.DUMMYFUNCTION("""COMPUTED_VALUE"""),"Clipper Guardian")</f>
        <v>Clipper Guardian</v>
      </c>
      <c r="Z21" s="23"/>
      <c r="AA21" s="23"/>
      <c r="AB21" s="23"/>
      <c r="AC21" s="23" t="str">
        <f>IFERROR(__xludf.DUMMYFUNCTION("""COMPUTED_VALUE"""),"Baynounah")</f>
        <v>Baynounah</v>
      </c>
      <c r="AD21" s="25"/>
      <c r="AE21" s="25" t="str">
        <f t="shared" si="1"/>
        <v/>
      </c>
      <c r="AF21" s="23" t="str">
        <f t="shared" si="4"/>
        <v/>
      </c>
      <c r="AG21" s="23">
        <f t="shared" si="3"/>
        <v>1</v>
      </c>
      <c r="AH21" s="9"/>
      <c r="AI21" s="9"/>
    </row>
    <row r="22" ht="15.75" customHeight="1">
      <c r="A22" s="43"/>
      <c r="B22" s="27"/>
      <c r="C22" s="9"/>
      <c r="D22" s="4"/>
      <c r="E22" s="5" t="s">
        <v>74</v>
      </c>
      <c r="F22" s="6">
        <v>86700.0</v>
      </c>
      <c r="G22" s="6">
        <v>55000.0</v>
      </c>
      <c r="H22" s="5" t="s">
        <v>26</v>
      </c>
      <c r="I22" s="5" t="s">
        <v>21</v>
      </c>
      <c r="J22" s="5">
        <v>3.52002455E8</v>
      </c>
      <c r="K22" s="5">
        <v>9949704.0</v>
      </c>
      <c r="L22" s="5" t="s">
        <v>75</v>
      </c>
      <c r="M22" s="35">
        <v>46133.833333333336</v>
      </c>
      <c r="N22" s="5" t="b">
        <v>0</v>
      </c>
      <c r="O22" s="19"/>
      <c r="P22" s="7"/>
      <c r="T22" s="9"/>
      <c r="U22" s="9"/>
      <c r="V22" s="9"/>
      <c r="W22" s="9"/>
      <c r="X22" s="23"/>
      <c r="Y22" s="23" t="str">
        <f>IFERROR(__xludf.DUMMYFUNCTION("""COMPUTED_VALUE"""),"Da Li")</f>
        <v>Da Li</v>
      </c>
      <c r="Z22" s="23"/>
      <c r="AA22" s="23"/>
      <c r="AB22" s="23"/>
      <c r="AC22" s="23" t="str">
        <f>IFERROR(__xludf.DUMMYFUNCTION("""COMPUTED_VALUE"""),"Bella Niagara")</f>
        <v>Bella Niagara</v>
      </c>
      <c r="AD22" s="25"/>
      <c r="AE22" s="25" t="str">
        <f t="shared" si="1"/>
        <v/>
      </c>
      <c r="AF22" s="23" t="str">
        <f t="shared" si="4"/>
        <v/>
      </c>
      <c r="AG22" s="23">
        <f t="shared" si="3"/>
        <v>1</v>
      </c>
      <c r="AH22" s="9"/>
      <c r="AI22" s="9"/>
    </row>
    <row r="23" ht="15.75" customHeight="1">
      <c r="A23" s="43"/>
      <c r="B23" s="27"/>
      <c r="C23" s="9"/>
      <c r="D23" s="4"/>
      <c r="E23" s="5" t="s">
        <v>76</v>
      </c>
      <c r="F23" s="6">
        <v>76905.0</v>
      </c>
      <c r="G23" s="6">
        <v>49874.0</v>
      </c>
      <c r="H23" s="5" t="s">
        <v>26</v>
      </c>
      <c r="I23" s="5" t="s">
        <v>21</v>
      </c>
      <c r="J23" s="5">
        <v>6.0392E8</v>
      </c>
      <c r="K23" s="5">
        <v>9005053.0</v>
      </c>
      <c r="L23" s="5" t="s">
        <v>77</v>
      </c>
      <c r="M23" s="35">
        <v>46132.583333333336</v>
      </c>
      <c r="N23" s="5" t="b">
        <v>0</v>
      </c>
      <c r="O23" s="19"/>
      <c r="P23" s="7"/>
      <c r="T23" s="9"/>
      <c r="U23" s="9"/>
      <c r="V23" s="9"/>
      <c r="W23" s="9"/>
      <c r="X23" s="23"/>
      <c r="Y23" s="23" t="str">
        <f>IFERROR(__xludf.DUMMYFUNCTION("""COMPUTED_VALUE"""),"Danisa")</f>
        <v>Danisa</v>
      </c>
      <c r="Z23" s="23"/>
      <c r="AA23" s="23"/>
      <c r="AB23" s="23"/>
      <c r="AC23" s="23" t="str">
        <f>IFERROR(__xludf.DUMMYFUNCTION("""COMPUTED_VALUE"""),"Bellavista Explorer")</f>
        <v>Bellavista Explorer</v>
      </c>
      <c r="AD23" s="25"/>
      <c r="AE23" s="25" t="str">
        <f t="shared" si="1"/>
        <v/>
      </c>
      <c r="AF23" s="23" t="str">
        <f t="shared" si="4"/>
        <v/>
      </c>
      <c r="AG23" s="23" t="str">
        <f t="shared" si="3"/>
        <v/>
      </c>
      <c r="AH23" s="9"/>
      <c r="AI23" s="9"/>
    </row>
    <row r="24" ht="15.75" customHeight="1">
      <c r="A24" s="43"/>
      <c r="B24" s="43"/>
      <c r="C24" s="9"/>
      <c r="D24" s="4"/>
      <c r="E24" s="5" t="s">
        <v>78</v>
      </c>
      <c r="F24" s="6">
        <v>81605.0</v>
      </c>
      <c r="G24" s="6">
        <v>55076.0</v>
      </c>
      <c r="H24" s="5" t="s">
        <v>26</v>
      </c>
      <c r="I24" s="5" t="s">
        <v>21</v>
      </c>
      <c r="J24" s="5">
        <v>5.65238E8</v>
      </c>
      <c r="K24" s="5">
        <v>9415662.0</v>
      </c>
      <c r="L24" s="17"/>
      <c r="M24" s="18"/>
      <c r="N24" s="5" t="b">
        <v>0</v>
      </c>
      <c r="O24" s="19"/>
      <c r="P24" s="7"/>
      <c r="T24" s="9"/>
      <c r="U24" s="9"/>
      <c r="V24" s="9"/>
      <c r="W24" s="9"/>
      <c r="X24" s="23"/>
      <c r="Y24" s="23" t="str">
        <f>IFERROR(__xludf.DUMMYFUNCTION("""COMPUTED_VALUE"""),"Danuta I")</f>
        <v>Danuta I</v>
      </c>
      <c r="Z24" s="23"/>
      <c r="AA24" s="23"/>
      <c r="AB24" s="23"/>
      <c r="AC24" s="23" t="str">
        <f>IFERROR(__xludf.DUMMYFUNCTION("""COMPUTED_VALUE"""),"Berge Nantong")</f>
        <v>Berge Nantong</v>
      </c>
      <c r="AD24" s="25"/>
      <c r="AE24" s="25" t="str">
        <f t="shared" si="1"/>
        <v/>
      </c>
      <c r="AF24" s="23" t="str">
        <f t="shared" si="4"/>
        <v/>
      </c>
      <c r="AG24" s="23">
        <f t="shared" si="3"/>
        <v>1</v>
      </c>
      <c r="AH24" s="9"/>
      <c r="AI24" s="9"/>
    </row>
    <row r="25" ht="15.75" customHeight="1">
      <c r="A25" s="43"/>
      <c r="B25" s="43"/>
      <c r="C25" s="9"/>
      <c r="D25" s="4"/>
      <c r="E25" s="5" t="s">
        <v>79</v>
      </c>
      <c r="F25" s="6">
        <v>82230.0</v>
      </c>
      <c r="G25" s="6">
        <v>54901.0</v>
      </c>
      <c r="H25" s="5" t="s">
        <v>20</v>
      </c>
      <c r="I25" s="5" t="s">
        <v>21</v>
      </c>
      <c r="J25" s="5">
        <v>5.38011595E8</v>
      </c>
      <c r="K25" s="5">
        <v>9608300.0</v>
      </c>
      <c r="L25" s="5" t="s">
        <v>80</v>
      </c>
      <c r="M25" s="35">
        <v>46169.5</v>
      </c>
      <c r="N25" s="5" t="b">
        <v>1</v>
      </c>
      <c r="O25" s="19"/>
      <c r="P25" s="7"/>
      <c r="T25" s="9"/>
      <c r="U25" s="9"/>
      <c r="V25" s="9"/>
      <c r="W25" s="9"/>
      <c r="X25" s="23"/>
      <c r="Y25" s="23" t="str">
        <f>IFERROR(__xludf.DUMMYFUNCTION("""COMPUTED_VALUE"""),"Double In")</f>
        <v>Double In</v>
      </c>
      <c r="Z25" s="23"/>
      <c r="AA25" s="23"/>
      <c r="AB25" s="23"/>
      <c r="AC25" s="23" t="str">
        <f>IFERROR(__xludf.DUMMYFUNCTION("""COMPUTED_VALUE"""),"Berge Ningbo")</f>
        <v>Berge Ningbo</v>
      </c>
      <c r="AD25" s="25"/>
      <c r="AE25" s="25" t="str">
        <f t="shared" si="1"/>
        <v/>
      </c>
      <c r="AF25" s="23" t="str">
        <f t="shared" si="4"/>
        <v/>
      </c>
      <c r="AG25" s="23">
        <f t="shared" si="3"/>
        <v>1</v>
      </c>
      <c r="AH25" s="9"/>
      <c r="AI25" s="9"/>
    </row>
    <row r="26" ht="15.75" customHeight="1">
      <c r="A26" s="43"/>
      <c r="B26" s="43"/>
      <c r="C26" s="9"/>
      <c r="D26" s="4"/>
      <c r="E26" s="5" t="s">
        <v>81</v>
      </c>
      <c r="F26" s="6">
        <v>76928.0</v>
      </c>
      <c r="G26" s="6">
        <v>49999.0</v>
      </c>
      <c r="H26" s="5" t="s">
        <v>20</v>
      </c>
      <c r="I26" s="5" t="s">
        <v>21</v>
      </c>
      <c r="J26" s="5">
        <v>6.03919E8</v>
      </c>
      <c r="K26" s="5">
        <v>9046784.0</v>
      </c>
      <c r="L26" s="17"/>
      <c r="M26" s="18"/>
      <c r="N26" s="5" t="b">
        <v>1</v>
      </c>
      <c r="O26" s="19"/>
      <c r="P26" s="7"/>
      <c r="Q26" s="9"/>
      <c r="R26" s="9"/>
      <c r="S26" s="9"/>
      <c r="T26" s="9"/>
      <c r="U26" s="9"/>
      <c r="V26" s="9"/>
      <c r="W26" s="9"/>
      <c r="X26" s="23"/>
      <c r="Y26" s="23" t="str">
        <f>IFERROR(__xludf.DUMMYFUNCTION("""COMPUTED_VALUE"""),"Elly")</f>
        <v>Elly</v>
      </c>
      <c r="Z26" s="23"/>
      <c r="AA26" s="23"/>
      <c r="AB26" s="23"/>
      <c r="AC26" s="23" t="str">
        <f>IFERROR(__xludf.DUMMYFUNCTION("""COMPUTED_VALUE"""),"Bonneville")</f>
        <v>Bonneville</v>
      </c>
      <c r="AD26" s="25"/>
      <c r="AE26" s="25" t="str">
        <f t="shared" si="1"/>
        <v/>
      </c>
      <c r="AF26" s="23" t="str">
        <f t="shared" si="4"/>
        <v/>
      </c>
      <c r="AG26" s="23" t="str">
        <f t="shared" si="3"/>
        <v/>
      </c>
      <c r="AH26" s="9"/>
      <c r="AI26" s="9"/>
    </row>
    <row r="27" ht="15.75" customHeight="1">
      <c r="A27" s="43"/>
      <c r="B27" s="43"/>
      <c r="C27" s="9"/>
      <c r="D27" s="4"/>
      <c r="E27" s="5" t="s">
        <v>82</v>
      </c>
      <c r="F27" s="6">
        <v>76194.0</v>
      </c>
      <c r="G27" s="6">
        <v>51466.0</v>
      </c>
      <c r="H27" s="5" t="s">
        <v>26</v>
      </c>
      <c r="I27" s="5" t="s">
        <v>21</v>
      </c>
      <c r="J27" s="5">
        <v>6.10000074E8</v>
      </c>
      <c r="K27" s="5">
        <v>8519966.0</v>
      </c>
      <c r="L27" s="17"/>
      <c r="M27" s="18"/>
      <c r="N27" s="5" t="b">
        <v>0</v>
      </c>
      <c r="O27" s="19"/>
      <c r="P27" s="7"/>
      <c r="Q27" s="9"/>
      <c r="R27" s="9"/>
      <c r="S27" s="9"/>
      <c r="T27" s="9"/>
      <c r="U27" s="9"/>
      <c r="V27" s="9"/>
      <c r="W27" s="9"/>
      <c r="X27" s="23"/>
      <c r="Y27" s="23" t="str">
        <f>IFERROR(__xludf.DUMMYFUNCTION("""COMPUTED_VALUE"""),"Energia Soleil")</f>
        <v>Energia Soleil</v>
      </c>
      <c r="Z27" s="23"/>
      <c r="AA27" s="23"/>
      <c r="AB27" s="23"/>
      <c r="AC27" s="23" t="str">
        <f>IFERROR(__xludf.DUMMYFUNCTION("""COMPUTED_VALUE"""),"Boreal Pioneer")</f>
        <v>Boreal Pioneer</v>
      </c>
      <c r="AD27" s="25"/>
      <c r="AE27" s="25" t="str">
        <f t="shared" si="1"/>
        <v/>
      </c>
      <c r="AF27" s="23" t="str">
        <f t="shared" si="4"/>
        <v/>
      </c>
      <c r="AG27" s="23" t="str">
        <f t="shared" si="3"/>
        <v/>
      </c>
      <c r="AH27" s="9"/>
      <c r="AI27" s="9"/>
    </row>
    <row r="28" ht="15.75" customHeight="1">
      <c r="A28" s="43"/>
      <c r="C28" s="9"/>
      <c r="D28" s="4"/>
      <c r="E28" s="5" t="s">
        <v>83</v>
      </c>
      <c r="F28" s="6">
        <v>86000.0</v>
      </c>
      <c r="G28" s="6">
        <v>54000.0</v>
      </c>
      <c r="H28" s="5" t="s">
        <v>26</v>
      </c>
      <c r="I28" s="5" t="s">
        <v>21</v>
      </c>
      <c r="J28" s="5">
        <v>6.36021499E8</v>
      </c>
      <c r="K28" s="5">
        <v>9923097.0</v>
      </c>
      <c r="L28" s="17"/>
      <c r="M28" s="18"/>
      <c r="N28" s="5" t="b">
        <v>0</v>
      </c>
      <c r="O28" s="19"/>
      <c r="P28" s="7"/>
      <c r="Q28" s="9"/>
      <c r="R28" s="9"/>
      <c r="S28" s="9"/>
      <c r="T28" s="9"/>
      <c r="U28" s="9"/>
      <c r="V28" s="9"/>
      <c r="W28" s="9"/>
      <c r="X28" s="23"/>
      <c r="Y28" s="23" t="str">
        <f>IFERROR(__xludf.DUMMYFUNCTION("""COMPUTED_VALUE"""),"Exonave")</f>
        <v>Exonave</v>
      </c>
      <c r="Z28" s="23"/>
      <c r="AA28" s="23"/>
      <c r="AB28" s="23"/>
      <c r="AC28" s="23" t="str">
        <f>IFERROR(__xludf.DUMMYFUNCTION("""COMPUTED_VALUE"""),"Boreal Voyager")</f>
        <v>Boreal Voyager</v>
      </c>
      <c r="AD28" s="25"/>
      <c r="AE28" s="25" t="str">
        <f t="shared" si="1"/>
        <v/>
      </c>
      <c r="AF28" s="23" t="str">
        <f t="shared" si="4"/>
        <v/>
      </c>
      <c r="AG28" s="23">
        <f t="shared" si="3"/>
        <v>1</v>
      </c>
      <c r="AH28" s="9"/>
      <c r="AI28" s="9"/>
    </row>
    <row r="29" ht="15.75" customHeight="1">
      <c r="A29" s="43"/>
      <c r="C29" s="9"/>
      <c r="D29" s="4"/>
      <c r="E29" s="5" t="s">
        <v>84</v>
      </c>
      <c r="F29" s="6">
        <v>91000.0</v>
      </c>
      <c r="G29" s="6">
        <v>62500.0</v>
      </c>
      <c r="H29" s="5" t="s">
        <v>26</v>
      </c>
      <c r="I29" s="5" t="s">
        <v>21</v>
      </c>
      <c r="J29" s="5">
        <v>6.36022369E8</v>
      </c>
      <c r="K29" s="5">
        <v>9933781.0</v>
      </c>
      <c r="L29" s="5" t="s">
        <v>43</v>
      </c>
      <c r="M29" s="35">
        <v>46143.666666666664</v>
      </c>
      <c r="N29" s="5" t="b">
        <v>0</v>
      </c>
      <c r="O29" s="19"/>
      <c r="P29" s="7"/>
      <c r="Q29" s="9"/>
      <c r="R29" s="9"/>
      <c r="S29" s="9"/>
      <c r="T29" s="9"/>
      <c r="U29" s="9"/>
      <c r="V29" s="9"/>
      <c r="W29" s="9"/>
      <c r="X29" s="23"/>
      <c r="Y29" s="23" t="str">
        <f>IFERROR(__xludf.DUMMYFUNCTION("""COMPUTED_VALUE"""),"Fas Gas")</f>
        <v>Fas Gas</v>
      </c>
      <c r="Z29" s="23"/>
      <c r="AA29" s="23"/>
      <c r="AB29" s="23"/>
      <c r="AC29" s="23" t="str">
        <f>IFERROR(__xludf.DUMMYFUNCTION("""COMPUTED_VALUE"""),"Botan")</f>
        <v>Botan</v>
      </c>
      <c r="AD29" s="25"/>
      <c r="AE29" s="25" t="str">
        <f t="shared" si="1"/>
        <v/>
      </c>
      <c r="AF29" s="23" t="str">
        <f t="shared" si="4"/>
        <v/>
      </c>
      <c r="AG29" s="23">
        <f t="shared" si="3"/>
        <v>1</v>
      </c>
      <c r="AH29" s="9"/>
      <c r="AI29" s="9"/>
    </row>
    <row r="30" ht="15.75" customHeight="1">
      <c r="A30" s="51"/>
      <c r="B30" s="52"/>
      <c r="C30" s="9"/>
      <c r="D30" s="4"/>
      <c r="E30" s="5" t="s">
        <v>85</v>
      </c>
      <c r="F30" s="6">
        <v>90000.0</v>
      </c>
      <c r="G30" s="6">
        <v>54000.0</v>
      </c>
      <c r="H30" s="5" t="s">
        <v>20</v>
      </c>
      <c r="I30" s="5" t="s">
        <v>21</v>
      </c>
      <c r="J30" s="5">
        <v>5.38090722E8</v>
      </c>
      <c r="K30" s="5">
        <v>9895305.0</v>
      </c>
      <c r="L30" s="5" t="s">
        <v>86</v>
      </c>
      <c r="M30" s="35">
        <v>46141.5</v>
      </c>
      <c r="N30" s="5" t="b">
        <v>1</v>
      </c>
      <c r="O30" s="19"/>
      <c r="P30" s="7"/>
      <c r="Q30" s="9"/>
      <c r="R30" s="9"/>
      <c r="S30" s="9"/>
      <c r="T30" s="9"/>
      <c r="U30" s="9"/>
      <c r="V30" s="9"/>
      <c r="W30" s="9"/>
      <c r="X30" s="23"/>
      <c r="Y30" s="23" t="str">
        <f>IFERROR(__xludf.DUMMYFUNCTION("""COMPUTED_VALUE"""),"Fogas")</f>
        <v>Fogas</v>
      </c>
      <c r="Z30" s="23"/>
      <c r="AA30" s="23"/>
      <c r="AB30" s="23"/>
      <c r="AC30" s="23" t="str">
        <f>IFERROR(__xludf.DUMMYFUNCTION("""COMPUTED_VALUE"""),"Brizo")</f>
        <v>Brizo</v>
      </c>
      <c r="AD30" s="25"/>
      <c r="AE30" s="25" t="str">
        <f t="shared" si="1"/>
        <v/>
      </c>
      <c r="AF30" s="23" t="str">
        <f t="shared" si="4"/>
        <v/>
      </c>
      <c r="AG30" s="23">
        <f t="shared" si="3"/>
        <v>1</v>
      </c>
      <c r="AH30" s="9"/>
      <c r="AI30" s="9"/>
    </row>
    <row r="31" ht="15.75" customHeight="1">
      <c r="A31" s="52"/>
      <c r="B31" s="52"/>
      <c r="C31" s="9"/>
      <c r="D31" s="9"/>
      <c r="E31" s="5" t="s">
        <v>87</v>
      </c>
      <c r="F31" s="6">
        <v>80360.0</v>
      </c>
      <c r="G31" s="6">
        <v>58757.0</v>
      </c>
      <c r="H31" s="5" t="s">
        <v>26</v>
      </c>
      <c r="I31" s="5" t="s">
        <v>21</v>
      </c>
      <c r="J31" s="5">
        <v>4.772415E8</v>
      </c>
      <c r="K31" s="5">
        <v>9317987.0</v>
      </c>
      <c r="L31" s="5" t="s">
        <v>38</v>
      </c>
      <c r="M31" s="35">
        <v>46144.5</v>
      </c>
      <c r="N31" s="5" t="b">
        <v>0</v>
      </c>
      <c r="O31" s="19"/>
      <c r="P31" s="7"/>
      <c r="Q31" s="9"/>
      <c r="R31" s="9"/>
      <c r="S31" s="9"/>
      <c r="T31" s="9"/>
      <c r="U31" s="9"/>
      <c r="V31" s="9"/>
      <c r="W31" s="9"/>
      <c r="X31" s="23"/>
      <c r="Y31" s="23" t="str">
        <f>IFERROR(__xludf.DUMMYFUNCTION("""COMPUTED_VALUE"""),"Fotis")</f>
        <v>Fotis</v>
      </c>
      <c r="Z31" s="23"/>
      <c r="AA31" s="23"/>
      <c r="AB31" s="23"/>
      <c r="AC31" s="23" t="str">
        <f>IFERROR(__xludf.DUMMYFUNCTION("""COMPUTED_VALUE"""),"Bw Aries")</f>
        <v>Bw Aries</v>
      </c>
      <c r="AD31" s="25"/>
      <c r="AE31" s="25" t="str">
        <f t="shared" si="1"/>
        <v/>
      </c>
      <c r="AF31" s="23" t="str">
        <f t="shared" si="4"/>
        <v/>
      </c>
      <c r="AG31" s="23">
        <f t="shared" si="3"/>
        <v>1</v>
      </c>
      <c r="AH31" s="9"/>
      <c r="AI31" s="9"/>
    </row>
    <row r="32" ht="15.75" customHeight="1">
      <c r="A32" s="43"/>
      <c r="C32" s="9"/>
      <c r="D32" s="9"/>
      <c r="E32" s="5" t="s">
        <v>88</v>
      </c>
      <c r="F32" s="6">
        <v>80607.0</v>
      </c>
      <c r="G32" s="6">
        <v>58899.0</v>
      </c>
      <c r="H32" s="5" t="s">
        <v>26</v>
      </c>
      <c r="I32" s="5" t="s">
        <v>21</v>
      </c>
      <c r="J32" s="5">
        <v>4.770996E8</v>
      </c>
      <c r="K32" s="5">
        <v>9308493.0</v>
      </c>
      <c r="L32" s="5" t="s">
        <v>89</v>
      </c>
      <c r="M32" s="35">
        <v>46135.833333333336</v>
      </c>
      <c r="N32" s="5" t="b">
        <v>0</v>
      </c>
      <c r="O32" s="19"/>
      <c r="P32" s="7"/>
      <c r="Q32" s="9"/>
      <c r="R32" s="9"/>
      <c r="S32" s="9"/>
      <c r="T32" s="9"/>
      <c r="U32" s="9"/>
      <c r="V32" s="9"/>
      <c r="W32" s="9"/>
      <c r="X32" s="23"/>
      <c r="Y32" s="23" t="str">
        <f>IFERROR(__xludf.DUMMYFUNCTION("""COMPUTED_VALUE"""),"Future Japan")</f>
        <v>Future Japan</v>
      </c>
      <c r="Z32" s="23"/>
      <c r="AA32" s="23"/>
      <c r="AB32" s="23"/>
      <c r="AC32" s="23" t="str">
        <f>IFERROR(__xludf.DUMMYFUNCTION("""COMPUTED_VALUE"""),"Bw Avior")</f>
        <v>Bw Avior</v>
      </c>
      <c r="AD32" s="25"/>
      <c r="AE32" s="25" t="str">
        <f t="shared" si="1"/>
        <v/>
      </c>
      <c r="AF32" s="23" t="str">
        <f t="shared" si="4"/>
        <v/>
      </c>
      <c r="AG32" s="23">
        <f t="shared" si="3"/>
        <v>1</v>
      </c>
      <c r="AH32" s="9"/>
      <c r="AI32" s="9"/>
    </row>
    <row r="33" ht="15.75" customHeight="1">
      <c r="A33" s="43"/>
      <c r="C33" s="9"/>
      <c r="D33" s="9"/>
      <c r="E33" s="5" t="s">
        <v>90</v>
      </c>
      <c r="F33" s="6">
        <v>88000.0</v>
      </c>
      <c r="G33" s="6">
        <v>56044.0</v>
      </c>
      <c r="H33" s="5" t="s">
        <v>26</v>
      </c>
      <c r="I33" s="5" t="s">
        <v>21</v>
      </c>
      <c r="J33" s="5">
        <v>6.36022845E8</v>
      </c>
      <c r="K33" s="5">
        <v>9993626.0</v>
      </c>
      <c r="L33" s="5" t="s">
        <v>38</v>
      </c>
      <c r="M33" s="38">
        <v>46135.75</v>
      </c>
      <c r="N33" s="5" t="b">
        <v>0</v>
      </c>
      <c r="O33" s="19"/>
      <c r="P33" s="7"/>
      <c r="Q33" s="9"/>
      <c r="R33" s="9"/>
      <c r="S33" s="9"/>
      <c r="T33" s="9"/>
      <c r="U33" s="9"/>
      <c r="V33" s="9"/>
      <c r="W33" s="9"/>
      <c r="X33" s="23"/>
      <c r="Y33" s="23" t="str">
        <f>IFERROR(__xludf.DUMMYFUNCTION("""COMPUTED_VALUE"""),"Gafus")</f>
        <v>Gafus</v>
      </c>
      <c r="Z33" s="23"/>
      <c r="AA33" s="23"/>
      <c r="AB33" s="23"/>
      <c r="AC33" s="23" t="str">
        <f>IFERROR(__xludf.DUMMYFUNCTION("""COMPUTED_VALUE"""),"Bw Balder")</f>
        <v>Bw Balder</v>
      </c>
      <c r="AD33" s="25"/>
      <c r="AE33" s="25" t="str">
        <f t="shared" si="1"/>
        <v/>
      </c>
      <c r="AF33" s="23" t="str">
        <f t="shared" si="4"/>
        <v/>
      </c>
      <c r="AG33" s="23">
        <f t="shared" si="3"/>
        <v>1</v>
      </c>
      <c r="AH33" s="9"/>
      <c r="AI33" s="9"/>
    </row>
    <row r="34" ht="15.75" customHeight="1">
      <c r="A34" s="43"/>
      <c r="C34" s="9"/>
      <c r="D34" s="9"/>
      <c r="E34" s="5" t="s">
        <v>91</v>
      </c>
      <c r="F34" s="6">
        <v>91000.0</v>
      </c>
      <c r="G34" s="6">
        <v>59206.0</v>
      </c>
      <c r="H34" s="5" t="s">
        <v>26</v>
      </c>
      <c r="I34" s="5" t="s">
        <v>21</v>
      </c>
      <c r="J34" s="5">
        <v>6.36023404E8</v>
      </c>
      <c r="K34" s="5">
        <v>9945198.0</v>
      </c>
      <c r="L34" s="5" t="s">
        <v>75</v>
      </c>
      <c r="M34" s="35">
        <v>46135.125</v>
      </c>
      <c r="N34" s="5" t="b">
        <v>0</v>
      </c>
      <c r="O34" s="19"/>
      <c r="P34" s="7"/>
      <c r="Q34" s="9"/>
      <c r="R34" s="9"/>
      <c r="S34" s="9"/>
      <c r="T34" s="9"/>
      <c r="U34" s="9"/>
      <c r="V34" s="9"/>
      <c r="W34" s="9"/>
      <c r="X34" s="23"/>
      <c r="Y34" s="23" t="str">
        <f>IFERROR(__xludf.DUMMYFUNCTION("""COMPUTED_VALUE"""),"Galvin")</f>
        <v>Galvin</v>
      </c>
      <c r="Z34" s="23"/>
      <c r="AA34" s="23"/>
      <c r="AB34" s="23"/>
      <c r="AC34" s="23" t="str">
        <f>IFERROR(__xludf.DUMMYFUNCTION("""COMPUTED_VALUE"""),"Bw Brage")</f>
        <v>Bw Brage</v>
      </c>
      <c r="AD34" s="25"/>
      <c r="AE34" s="25" t="str">
        <f t="shared" si="1"/>
        <v/>
      </c>
      <c r="AF34" s="23" t="str">
        <f t="shared" si="4"/>
        <v/>
      </c>
      <c r="AG34" s="23">
        <f t="shared" si="3"/>
        <v>1</v>
      </c>
      <c r="AH34" s="9"/>
      <c r="AI34" s="9"/>
    </row>
    <row r="35" ht="15.75" customHeight="1">
      <c r="A35" s="43"/>
      <c r="C35" s="9"/>
      <c r="D35" s="9"/>
      <c r="E35" s="5" t="s">
        <v>92</v>
      </c>
      <c r="F35" s="6">
        <v>91000.0</v>
      </c>
      <c r="G35" s="6">
        <v>58263.0</v>
      </c>
      <c r="H35" s="5" t="s">
        <v>20</v>
      </c>
      <c r="I35" s="5" t="s">
        <v>21</v>
      </c>
      <c r="J35" s="5">
        <v>6.36023667E8</v>
      </c>
      <c r="K35" s="5">
        <v>9945203.0</v>
      </c>
      <c r="L35" s="5" t="s">
        <v>93</v>
      </c>
      <c r="M35" s="35">
        <v>46132.708333333336</v>
      </c>
      <c r="N35" s="5" t="b">
        <v>1</v>
      </c>
      <c r="O35" s="19"/>
      <c r="P35" s="7"/>
      <c r="Q35" s="9"/>
      <c r="R35" s="9"/>
      <c r="S35" s="9"/>
      <c r="T35" s="9"/>
      <c r="U35" s="9"/>
      <c r="V35" s="9"/>
      <c r="W35" s="9"/>
      <c r="X35" s="23"/>
      <c r="Y35" s="23" t="str">
        <f>IFERROR(__xludf.DUMMYFUNCTION("""COMPUTED_VALUE"""),"Gardian")</f>
        <v>Gardian</v>
      </c>
      <c r="Z35" s="23"/>
      <c r="AA35" s="23"/>
      <c r="AB35" s="23"/>
      <c r="AC35" s="23" t="str">
        <f>IFERROR(__xludf.DUMMYFUNCTION("""COMPUTED_VALUE"""),"Bw Breeze")</f>
        <v>Bw Breeze</v>
      </c>
      <c r="AD35" s="25"/>
      <c r="AE35" s="25" t="str">
        <f t="shared" si="1"/>
        <v/>
      </c>
      <c r="AF35" s="23" t="str">
        <f t="shared" si="4"/>
        <v/>
      </c>
      <c r="AG35" s="23">
        <f t="shared" si="3"/>
        <v>1</v>
      </c>
      <c r="AH35" s="9"/>
      <c r="AI35" s="9"/>
    </row>
    <row r="36" ht="15.75" customHeight="1">
      <c r="A36" s="43"/>
      <c r="C36" s="9"/>
      <c r="D36" s="9"/>
      <c r="E36" s="5" t="s">
        <v>94</v>
      </c>
      <c r="F36" s="6">
        <v>91000.0</v>
      </c>
      <c r="G36" s="6">
        <v>59312.0</v>
      </c>
      <c r="H36" s="5" t="s">
        <v>26</v>
      </c>
      <c r="I36" s="5" t="s">
        <v>21</v>
      </c>
      <c r="J36" s="5">
        <v>5.38010117E8</v>
      </c>
      <c r="K36" s="5">
        <v>9940966.0</v>
      </c>
      <c r="L36" s="5" t="s">
        <v>95</v>
      </c>
      <c r="M36" s="35">
        <v>46133.666666666664</v>
      </c>
      <c r="N36" s="5" t="b">
        <v>0</v>
      </c>
      <c r="O36" s="19"/>
      <c r="P36" s="7"/>
      <c r="Q36" s="9"/>
      <c r="R36" s="9"/>
      <c r="S36" s="9"/>
      <c r="T36" s="9"/>
      <c r="U36" s="9"/>
      <c r="V36" s="9"/>
      <c r="W36" s="9"/>
      <c r="X36" s="23"/>
      <c r="Y36" s="23" t="str">
        <f>IFERROR(__xludf.DUMMYFUNCTION("""COMPUTED_VALUE"""),"Gas Concept")</f>
        <v>Gas Concept</v>
      </c>
      <c r="Z36" s="23"/>
      <c r="AA36" s="23"/>
      <c r="AB36" s="23"/>
      <c r="AC36" s="23" t="str">
        <f>IFERROR(__xludf.DUMMYFUNCTION("""COMPUTED_VALUE"""),"Bw Capella")</f>
        <v>Bw Capella</v>
      </c>
      <c r="AD36" s="25"/>
      <c r="AE36" s="25" t="str">
        <f t="shared" si="1"/>
        <v/>
      </c>
      <c r="AF36" s="23" t="str">
        <f t="shared" si="4"/>
        <v/>
      </c>
      <c r="AG36" s="23">
        <f t="shared" si="3"/>
        <v>1</v>
      </c>
      <c r="AH36" s="9"/>
      <c r="AI36" s="9"/>
    </row>
    <row r="37" ht="15.75" customHeight="1">
      <c r="A37" s="43"/>
      <c r="C37" s="9"/>
      <c r="D37" s="9"/>
      <c r="E37" s="5" t="s">
        <v>96</v>
      </c>
      <c r="F37" s="6">
        <v>82557.0</v>
      </c>
      <c r="G37" s="6">
        <v>53677.0</v>
      </c>
      <c r="H37" s="5" t="s">
        <v>26</v>
      </c>
      <c r="I37" s="5" t="s">
        <v>21</v>
      </c>
      <c r="J37" s="5">
        <v>3.52004952E8</v>
      </c>
      <c r="K37" s="5">
        <v>9238284.0</v>
      </c>
      <c r="L37" s="17"/>
      <c r="M37" s="18"/>
      <c r="N37" s="5" t="b">
        <v>0</v>
      </c>
      <c r="O37" s="19"/>
      <c r="P37" s="7"/>
      <c r="Q37" s="9"/>
      <c r="R37" s="9"/>
      <c r="S37" s="9"/>
      <c r="T37" s="9"/>
      <c r="U37" s="9"/>
      <c r="V37" s="9"/>
      <c r="W37" s="9"/>
      <c r="X37" s="23"/>
      <c r="Y37" s="23" t="str">
        <f>IFERROR(__xludf.DUMMYFUNCTION("""COMPUTED_VALUE"""),"Gas Endurance")</f>
        <v>Gas Endurance</v>
      </c>
      <c r="Z37" s="23"/>
      <c r="AA37" s="23"/>
      <c r="AB37" s="23"/>
      <c r="AC37" s="23" t="str">
        <f>IFERROR(__xludf.DUMMYFUNCTION("""COMPUTED_VALUE"""),"Bw Carina")</f>
        <v>Bw Carina</v>
      </c>
      <c r="AD37" s="25"/>
      <c r="AE37" s="25" t="str">
        <f t="shared" si="1"/>
        <v/>
      </c>
      <c r="AF37" s="23" t="str">
        <f t="shared" si="4"/>
        <v/>
      </c>
      <c r="AG37" s="23">
        <f t="shared" si="3"/>
        <v>1</v>
      </c>
      <c r="AH37" s="9"/>
      <c r="AI37" s="9"/>
    </row>
    <row r="38" ht="15.75" customHeight="1">
      <c r="A38" s="43"/>
      <c r="C38" s="9"/>
      <c r="D38" s="9"/>
      <c r="E38" s="5" t="s">
        <v>97</v>
      </c>
      <c r="F38" s="6">
        <v>84196.0</v>
      </c>
      <c r="G38" s="6">
        <v>54561.0</v>
      </c>
      <c r="H38" s="5" t="s">
        <v>20</v>
      </c>
      <c r="I38" s="5" t="s">
        <v>21</v>
      </c>
      <c r="J38" s="5">
        <v>2.35106302E8</v>
      </c>
      <c r="K38" s="5">
        <v>9701786.0</v>
      </c>
      <c r="L38" s="17"/>
      <c r="M38" s="18"/>
      <c r="N38" s="5" t="b">
        <v>1</v>
      </c>
      <c r="O38" s="19"/>
      <c r="P38" s="7"/>
      <c r="Q38" s="9"/>
      <c r="R38" s="9"/>
      <c r="S38" s="9"/>
      <c r="T38" s="9"/>
      <c r="U38" s="9"/>
      <c r="V38" s="9"/>
      <c r="W38" s="9"/>
      <c r="X38" s="23"/>
      <c r="Y38" s="23" t="str">
        <f>IFERROR(__xludf.DUMMYFUNCTION("""COMPUTED_VALUE"""),"Gas Lagoon")</f>
        <v>Gas Lagoon</v>
      </c>
      <c r="Z38" s="23"/>
      <c r="AA38" s="23"/>
      <c r="AB38" s="23"/>
      <c r="AC38" s="23" t="str">
        <f>IFERROR(__xludf.DUMMYFUNCTION("""COMPUTED_VALUE"""),"Bw Elm")</f>
        <v>Bw Elm</v>
      </c>
      <c r="AD38" s="25"/>
      <c r="AE38" s="25" t="str">
        <f t="shared" si="1"/>
        <v/>
      </c>
      <c r="AF38" s="23" t="str">
        <f t="shared" si="4"/>
        <v/>
      </c>
      <c r="AG38" s="23">
        <f t="shared" si="3"/>
        <v>1</v>
      </c>
      <c r="AH38" s="9"/>
      <c r="AI38" s="9"/>
    </row>
    <row r="39" ht="15.75" customHeight="1">
      <c r="A39" s="43"/>
      <c r="C39" s="9"/>
      <c r="D39" s="9"/>
      <c r="E39" s="5" t="s">
        <v>98</v>
      </c>
      <c r="F39" s="6">
        <v>91000.0</v>
      </c>
      <c r="G39" s="6">
        <v>62500.0</v>
      </c>
      <c r="H39" s="5" t="s">
        <v>20</v>
      </c>
      <c r="I39" s="5" t="s">
        <v>21</v>
      </c>
      <c r="J39" s="5">
        <v>5.38010183E8</v>
      </c>
      <c r="K39" s="5">
        <v>9930296.0</v>
      </c>
      <c r="L39" s="5" t="s">
        <v>99</v>
      </c>
      <c r="M39" s="38">
        <v>46131.875</v>
      </c>
      <c r="N39" s="5" t="b">
        <v>1</v>
      </c>
      <c r="O39" s="19"/>
      <c r="P39" s="7"/>
      <c r="Q39" s="9"/>
      <c r="R39" s="9"/>
      <c r="S39" s="9"/>
      <c r="T39" s="9"/>
      <c r="U39" s="9"/>
      <c r="V39" s="9"/>
      <c r="W39" s="9"/>
      <c r="X39" s="23"/>
      <c r="Y39" s="23" t="str">
        <f>IFERROR(__xludf.DUMMYFUNCTION("""COMPUTED_VALUE"""),"Gas Marakua")</f>
        <v>Gas Marakua</v>
      </c>
      <c r="Z39" s="23"/>
      <c r="AA39" s="23"/>
      <c r="AB39" s="23"/>
      <c r="AC39" s="23" t="str">
        <f>IFERROR(__xludf.DUMMYFUNCTION("""COMPUTED_VALUE"""),"Bw Freyja")</f>
        <v>Bw Freyja</v>
      </c>
      <c r="AD39" s="25"/>
      <c r="AE39" s="25" t="str">
        <f t="shared" si="1"/>
        <v/>
      </c>
      <c r="AF39" s="23" t="str">
        <f t="shared" si="4"/>
        <v/>
      </c>
      <c r="AG39" s="23">
        <f t="shared" si="3"/>
        <v>1</v>
      </c>
      <c r="AH39" s="9"/>
      <c r="AI39" s="9"/>
    </row>
    <row r="40" ht="15.75" customHeight="1">
      <c r="A40" s="43"/>
      <c r="C40" s="9"/>
      <c r="D40" s="9"/>
      <c r="E40" s="5" t="s">
        <v>100</v>
      </c>
      <c r="F40" s="6">
        <v>84000.0</v>
      </c>
      <c r="G40" s="6">
        <v>54053.0</v>
      </c>
      <c r="H40" s="5" t="s">
        <v>26</v>
      </c>
      <c r="I40" s="5" t="s">
        <v>21</v>
      </c>
      <c r="J40" s="5">
        <v>5.38006835E8</v>
      </c>
      <c r="K40" s="5">
        <v>9732527.0</v>
      </c>
      <c r="L40" s="5" t="s">
        <v>101</v>
      </c>
      <c r="M40" s="35">
        <v>46135.541666666664</v>
      </c>
      <c r="N40" s="5" t="b">
        <v>0</v>
      </c>
      <c r="O40" s="19"/>
      <c r="P40" s="7"/>
      <c r="Q40" s="9"/>
      <c r="R40" s="9"/>
      <c r="S40" s="9"/>
      <c r="T40" s="9"/>
      <c r="U40" s="9"/>
      <c r="V40" s="9"/>
      <c r="W40" s="9"/>
      <c r="X40" s="23"/>
      <c r="Y40" s="23" t="str">
        <f>IFERROR(__xludf.DUMMYFUNCTION("""COMPUTED_VALUE"""),"Gas Strength")</f>
        <v>Gas Strength</v>
      </c>
      <c r="Z40" s="23"/>
      <c r="AA40" s="23"/>
      <c r="AB40" s="23"/>
      <c r="AC40" s="23" t="str">
        <f>IFERROR(__xludf.DUMMYFUNCTION("""COMPUTED_VALUE"""),"Bw Frigg")</f>
        <v>Bw Frigg</v>
      </c>
      <c r="AD40" s="25"/>
      <c r="AE40" s="25" t="str">
        <f t="shared" si="1"/>
        <v/>
      </c>
      <c r="AF40" s="23" t="str">
        <f t="shared" si="4"/>
        <v/>
      </c>
      <c r="AG40" s="23">
        <f t="shared" si="3"/>
        <v>1</v>
      </c>
      <c r="AH40" s="9"/>
      <c r="AI40" s="9"/>
    </row>
    <row r="41" ht="15.75" customHeight="1">
      <c r="A41" s="43"/>
      <c r="C41" s="9"/>
      <c r="D41" s="9"/>
      <c r="E41" s="5" t="s">
        <v>102</v>
      </c>
      <c r="F41" s="6">
        <v>82291.0</v>
      </c>
      <c r="G41" s="6">
        <v>58124.0</v>
      </c>
      <c r="H41" s="5" t="s">
        <v>26</v>
      </c>
      <c r="I41" s="5" t="s">
        <v>21</v>
      </c>
      <c r="J41" s="5">
        <v>4.19001563E8</v>
      </c>
      <c r="K41" s="5">
        <v>9320740.0</v>
      </c>
      <c r="L41" s="5" t="s">
        <v>103</v>
      </c>
      <c r="M41" s="35">
        <v>46132.271527777775</v>
      </c>
      <c r="N41" s="5" t="b">
        <v>0</v>
      </c>
      <c r="O41" s="19"/>
      <c r="P41" s="7"/>
      <c r="Q41" s="9"/>
      <c r="R41" s="9"/>
      <c r="S41" s="9"/>
      <c r="T41" s="9"/>
      <c r="U41" s="9"/>
      <c r="V41" s="9"/>
      <c r="W41" s="9"/>
      <c r="X41" s="23"/>
      <c r="Y41" s="23" t="str">
        <f>IFERROR(__xludf.DUMMYFUNCTION("""COMPUTED_VALUE"""),"Gas Wanaka")</f>
        <v>Gas Wanaka</v>
      </c>
      <c r="Z41" s="23"/>
      <c r="AA41" s="23"/>
      <c r="AB41" s="23"/>
      <c r="AC41" s="23" t="str">
        <f>IFERROR(__xludf.DUMMYFUNCTION("""COMPUTED_VALUE"""),"Bw Gemini")</f>
        <v>Bw Gemini</v>
      </c>
      <c r="AD41" s="25"/>
      <c r="AE41" s="25" t="str">
        <f t="shared" si="1"/>
        <v/>
      </c>
      <c r="AF41" s="23" t="str">
        <f t="shared" si="4"/>
        <v/>
      </c>
      <c r="AG41" s="23" t="str">
        <f t="shared" si="3"/>
        <v/>
      </c>
      <c r="AH41" s="9"/>
      <c r="AI41" s="9"/>
    </row>
    <row r="42" ht="15.75" customHeight="1">
      <c r="A42" s="43"/>
      <c r="C42" s="9"/>
      <c r="D42" s="9"/>
      <c r="E42" s="5" t="s">
        <v>104</v>
      </c>
      <c r="F42" s="6">
        <v>84000.0</v>
      </c>
      <c r="G42" s="6">
        <v>54053.0</v>
      </c>
      <c r="H42" s="5" t="s">
        <v>26</v>
      </c>
      <c r="I42" s="5" t="s">
        <v>21</v>
      </c>
      <c r="J42" s="5">
        <v>5.38006837E8</v>
      </c>
      <c r="K42" s="5">
        <v>9732539.0</v>
      </c>
      <c r="L42" s="17"/>
      <c r="M42" s="18"/>
      <c r="N42" s="5" t="b">
        <v>0</v>
      </c>
      <c r="O42" s="19"/>
      <c r="P42" s="7"/>
      <c r="Q42" s="9"/>
      <c r="R42" s="9"/>
      <c r="S42" s="9"/>
      <c r="T42" s="9"/>
      <c r="U42" s="9"/>
      <c r="V42" s="9"/>
      <c r="W42" s="9"/>
      <c r="X42" s="23"/>
      <c r="Y42" s="23" t="str">
        <f>IFERROR(__xludf.DUMMYFUNCTION("""COMPUTED_VALUE"""),"Gaz Gms")</f>
        <v>Gaz Gms</v>
      </c>
      <c r="Z42" s="23"/>
      <c r="AA42" s="23"/>
      <c r="AB42" s="23"/>
      <c r="AC42" s="23" t="str">
        <f>IFERROR(__xludf.DUMMYFUNCTION("""COMPUTED_VALUE"""),"Bw Kizoku")</f>
        <v>Bw Kizoku</v>
      </c>
      <c r="AD42" s="25"/>
      <c r="AE42" s="25" t="str">
        <f t="shared" si="1"/>
        <v/>
      </c>
      <c r="AF42" s="23" t="str">
        <f t="shared" si="4"/>
        <v/>
      </c>
      <c r="AG42" s="23">
        <f t="shared" si="3"/>
        <v>1</v>
      </c>
      <c r="AH42" s="9"/>
      <c r="AI42" s="9"/>
    </row>
    <row r="43" ht="15.75" customHeight="1">
      <c r="A43" s="43"/>
      <c r="C43" s="9"/>
      <c r="D43" s="9"/>
      <c r="E43" s="5" t="s">
        <v>105</v>
      </c>
      <c r="F43" s="6">
        <v>83000.0</v>
      </c>
      <c r="G43" s="6">
        <v>53781.0</v>
      </c>
      <c r="H43" s="5" t="s">
        <v>20</v>
      </c>
      <c r="I43" s="5" t="s">
        <v>21</v>
      </c>
      <c r="J43" s="5">
        <v>5.38005615E8</v>
      </c>
      <c r="K43" s="5">
        <v>9674842.0</v>
      </c>
      <c r="L43" s="5" t="s">
        <v>106</v>
      </c>
      <c r="M43" s="35">
        <v>46139.875</v>
      </c>
      <c r="N43" s="5" t="b">
        <v>1</v>
      </c>
      <c r="O43" s="19"/>
      <c r="P43" s="7"/>
      <c r="Q43" s="9"/>
      <c r="R43" s="9"/>
      <c r="S43" s="9"/>
      <c r="T43" s="9"/>
      <c r="U43" s="9"/>
      <c r="V43" s="9"/>
      <c r="W43" s="9"/>
      <c r="X43" s="23"/>
      <c r="Y43" s="23" t="str">
        <f>IFERROR(__xludf.DUMMYFUNCTION("""COMPUTED_VALUE"""),"Global Vivian")</f>
        <v>Global Vivian</v>
      </c>
      <c r="Z43" s="23"/>
      <c r="AA43" s="23"/>
      <c r="AB43" s="23"/>
      <c r="AC43" s="23" t="str">
        <f>IFERROR(__xludf.DUMMYFUNCTION("""COMPUTED_VALUE"""),"Bw Kyoto")</f>
        <v>Bw Kyoto</v>
      </c>
      <c r="AD43" s="25"/>
      <c r="AE43" s="25" t="str">
        <f t="shared" si="1"/>
        <v/>
      </c>
      <c r="AF43" s="23" t="str">
        <f t="shared" si="4"/>
        <v/>
      </c>
      <c r="AG43" s="23">
        <f t="shared" si="3"/>
        <v>1</v>
      </c>
      <c r="AH43" s="9"/>
      <c r="AI43" s="9"/>
    </row>
    <row r="44" ht="15.75" customHeight="1">
      <c r="A44" s="43"/>
      <c r="C44" s="9"/>
      <c r="D44" s="9"/>
      <c r="E44" s="5" t="s">
        <v>107</v>
      </c>
      <c r="F44" s="6">
        <v>91000.0</v>
      </c>
      <c r="G44" s="6">
        <v>62500.0</v>
      </c>
      <c r="H44" s="5" t="s">
        <v>26</v>
      </c>
      <c r="I44" s="5" t="s">
        <v>21</v>
      </c>
      <c r="J44" s="5">
        <v>5.3800968E8</v>
      </c>
      <c r="K44" s="5">
        <v>9901996.0</v>
      </c>
      <c r="L44" s="5" t="s">
        <v>108</v>
      </c>
      <c r="M44" s="35">
        <v>46148.25</v>
      </c>
      <c r="N44" s="5" t="b">
        <v>0</v>
      </c>
      <c r="O44" s="19"/>
      <c r="P44" s="7"/>
      <c r="Q44" s="9"/>
      <c r="R44" s="9"/>
      <c r="S44" s="9"/>
      <c r="T44" s="9"/>
      <c r="U44" s="9"/>
      <c r="V44" s="9"/>
      <c r="W44" s="9"/>
      <c r="X44" s="23"/>
      <c r="Y44" s="23" t="str">
        <f>IFERROR(__xludf.DUMMYFUNCTION("""COMPUTED_VALUE"""),"Gong De Tian")</f>
        <v>Gong De Tian</v>
      </c>
      <c r="Z44" s="23"/>
      <c r="AA44" s="23"/>
      <c r="AB44" s="23"/>
      <c r="AC44" s="23" t="str">
        <f>IFERROR(__xludf.DUMMYFUNCTION("""COMPUTED_VALUE"""),"Bw Leo")</f>
        <v>Bw Leo</v>
      </c>
      <c r="AD44" s="25"/>
      <c r="AE44" s="25" t="str">
        <f t="shared" si="1"/>
        <v/>
      </c>
      <c r="AF44" s="23" t="str">
        <f t="shared" si="4"/>
        <v/>
      </c>
      <c r="AG44" s="23">
        <f t="shared" si="3"/>
        <v>1</v>
      </c>
      <c r="AH44" s="9"/>
      <c r="AI44" s="9"/>
    </row>
    <row r="45" ht="15.75" customHeight="1">
      <c r="A45" s="43"/>
      <c r="C45" s="9"/>
      <c r="D45" s="9"/>
      <c r="E45" s="5" t="s">
        <v>109</v>
      </c>
      <c r="F45" s="6">
        <v>84195.0</v>
      </c>
      <c r="G45" s="6">
        <v>54561.0</v>
      </c>
      <c r="H45" s="5" t="s">
        <v>26</v>
      </c>
      <c r="I45" s="5" t="s">
        <v>21</v>
      </c>
      <c r="J45" s="5">
        <v>2.35108619E8</v>
      </c>
      <c r="K45" s="5">
        <v>9701798.0</v>
      </c>
      <c r="L45" s="5" t="s">
        <v>101</v>
      </c>
      <c r="M45" s="35">
        <v>46149.5</v>
      </c>
      <c r="N45" s="5" t="b">
        <v>0</v>
      </c>
      <c r="O45" s="19"/>
      <c r="P45" s="7"/>
      <c r="Q45" s="9"/>
      <c r="R45" s="9"/>
      <c r="S45" s="9"/>
      <c r="T45" s="9"/>
      <c r="U45" s="9"/>
      <c r="V45" s="9"/>
      <c r="W45" s="9"/>
      <c r="X45" s="23"/>
      <c r="Y45" s="23" t="str">
        <f>IFERROR(__xludf.DUMMYFUNCTION("""COMPUTED_VALUE"""),"Green Sachi")</f>
        <v>Green Sachi</v>
      </c>
      <c r="Z45" s="23"/>
      <c r="AA45" s="23"/>
      <c r="AB45" s="23"/>
      <c r="AC45" s="23" t="str">
        <f>IFERROR(__xludf.DUMMYFUNCTION("""COMPUTED_VALUE"""),"Bw Levant")</f>
        <v>Bw Levant</v>
      </c>
      <c r="AD45" s="25"/>
      <c r="AE45" s="25" t="str">
        <f t="shared" si="1"/>
        <v/>
      </c>
      <c r="AF45" s="23" t="str">
        <f t="shared" si="4"/>
        <v/>
      </c>
      <c r="AG45" s="23">
        <f t="shared" si="3"/>
        <v>1</v>
      </c>
      <c r="AH45" s="9"/>
      <c r="AI45" s="9"/>
    </row>
    <row r="46" ht="15.75" customHeight="1">
      <c r="A46" s="43"/>
      <c r="C46" s="9"/>
      <c r="D46" s="9"/>
      <c r="E46" s="5" t="s">
        <v>110</v>
      </c>
      <c r="F46" s="6">
        <v>83000.0</v>
      </c>
      <c r="G46" s="6">
        <v>53660.0</v>
      </c>
      <c r="H46" s="5" t="s">
        <v>26</v>
      </c>
      <c r="I46" s="5" t="s">
        <v>21</v>
      </c>
      <c r="J46" s="5">
        <v>4.19002041E8</v>
      </c>
      <c r="K46" s="5">
        <v>9689536.0</v>
      </c>
      <c r="L46" s="5" t="s">
        <v>38</v>
      </c>
      <c r="M46" s="35">
        <v>46165.458333333336</v>
      </c>
      <c r="N46" s="5" t="b">
        <v>0</v>
      </c>
      <c r="O46" s="19"/>
      <c r="P46" s="7"/>
      <c r="Q46" s="9"/>
      <c r="R46" s="9"/>
      <c r="S46" s="9"/>
      <c r="T46" s="9"/>
      <c r="U46" s="9"/>
      <c r="V46" s="9"/>
      <c r="W46" s="9"/>
      <c r="X46" s="23"/>
      <c r="Y46" s="23" t="str">
        <f>IFERROR(__xludf.DUMMYFUNCTION("""COMPUTED_VALUE"""),"Green Sanvi")</f>
        <v>Green Sanvi</v>
      </c>
      <c r="Z46" s="23"/>
      <c r="AA46" s="23"/>
      <c r="AB46" s="23"/>
      <c r="AC46" s="23" t="str">
        <f>IFERROR(__xludf.DUMMYFUNCTION("""COMPUTED_VALUE"""),"Bw Libra")</f>
        <v>Bw Libra</v>
      </c>
      <c r="AD46" s="25"/>
      <c r="AE46" s="25" t="str">
        <f t="shared" si="1"/>
        <v/>
      </c>
      <c r="AF46" s="23" t="str">
        <f t="shared" si="4"/>
        <v/>
      </c>
      <c r="AG46" s="23" t="str">
        <f t="shared" si="3"/>
        <v/>
      </c>
      <c r="AH46" s="9"/>
      <c r="AI46" s="9"/>
    </row>
    <row r="47" ht="15.75" customHeight="1">
      <c r="A47" s="43"/>
      <c r="C47" s="9"/>
      <c r="D47" s="9"/>
      <c r="E47" s="5" t="s">
        <v>111</v>
      </c>
      <c r="F47" s="6">
        <v>82291.0</v>
      </c>
      <c r="G47" s="6">
        <v>58136.0</v>
      </c>
      <c r="H47" s="5" t="s">
        <v>26</v>
      </c>
      <c r="I47" s="5" t="s">
        <v>21</v>
      </c>
      <c r="J47" s="5">
        <v>4.1900162E8</v>
      </c>
      <c r="K47" s="5">
        <v>9320752.0</v>
      </c>
      <c r="L47" s="17"/>
      <c r="M47" s="18"/>
      <c r="N47" s="5" t="b">
        <v>0</v>
      </c>
      <c r="O47" s="19"/>
      <c r="P47" s="7"/>
      <c r="Q47" s="9"/>
      <c r="R47" s="9"/>
      <c r="S47" s="9"/>
      <c r="T47" s="9"/>
      <c r="U47" s="9"/>
      <c r="V47" s="9"/>
      <c r="W47" s="9"/>
      <c r="X47" s="23"/>
      <c r="Y47" s="23" t="str">
        <f>IFERROR(__xludf.DUMMYFUNCTION("""COMPUTED_VALUE"""),"Green Sarita")</f>
        <v>Green Sarita</v>
      </c>
      <c r="Z47" s="23"/>
      <c r="AA47" s="23"/>
      <c r="AB47" s="23"/>
      <c r="AC47" s="23" t="str">
        <f>IFERROR(__xludf.DUMMYFUNCTION("""COMPUTED_VALUE"""),"Bw Loyalty")</f>
        <v>Bw Loyalty</v>
      </c>
      <c r="AD47" s="25"/>
      <c r="AE47" s="25" t="str">
        <f t="shared" si="1"/>
        <v/>
      </c>
      <c r="AF47" s="23" t="str">
        <f t="shared" si="4"/>
        <v/>
      </c>
      <c r="AG47" s="23">
        <f t="shared" si="3"/>
        <v>1</v>
      </c>
      <c r="AH47" s="9"/>
      <c r="AI47" s="9"/>
    </row>
    <row r="48" ht="15.75" customHeight="1">
      <c r="A48" s="43"/>
      <c r="C48" s="9"/>
      <c r="D48" s="9"/>
      <c r="E48" s="5" t="s">
        <v>112</v>
      </c>
      <c r="F48" s="6">
        <v>84000.0</v>
      </c>
      <c r="G48" s="6">
        <v>54053.0</v>
      </c>
      <c r="H48" s="5" t="s">
        <v>26</v>
      </c>
      <c r="I48" s="5" t="s">
        <v>21</v>
      </c>
      <c r="J48" s="5">
        <v>5.38006838E8</v>
      </c>
      <c r="K48" s="5">
        <v>9733325.0</v>
      </c>
      <c r="L48" s="17"/>
      <c r="M48" s="18"/>
      <c r="N48" s="5" t="b">
        <v>0</v>
      </c>
      <c r="O48" s="19"/>
      <c r="P48" s="7"/>
      <c r="Q48" s="9"/>
      <c r="R48" s="9"/>
      <c r="S48" s="9"/>
      <c r="T48" s="9"/>
      <c r="U48" s="9"/>
      <c r="V48" s="9"/>
      <c r="W48" s="9"/>
      <c r="X48" s="23"/>
      <c r="Y48" s="23" t="str">
        <f>IFERROR(__xludf.DUMMYFUNCTION("""COMPUTED_VALUE"""),"Green Shakti")</f>
        <v>Green Shakti</v>
      </c>
      <c r="Z48" s="23"/>
      <c r="AA48" s="23"/>
      <c r="AB48" s="23"/>
      <c r="AC48" s="23" t="str">
        <f>IFERROR(__xludf.DUMMYFUNCTION("""COMPUTED_VALUE"""),"Bw Magellan")</f>
        <v>Bw Magellan</v>
      </c>
      <c r="AD48" s="25"/>
      <c r="AE48" s="25" t="str">
        <f t="shared" si="1"/>
        <v/>
      </c>
      <c r="AF48" s="23" t="str">
        <f t="shared" si="4"/>
        <v/>
      </c>
      <c r="AG48" s="23">
        <f t="shared" si="3"/>
        <v>1</v>
      </c>
      <c r="AH48" s="9"/>
      <c r="AI48" s="9"/>
    </row>
    <row r="49" ht="15.75" customHeight="1">
      <c r="A49" s="43"/>
      <c r="C49" s="9"/>
      <c r="D49" s="9"/>
      <c r="E49" s="5" t="s">
        <v>113</v>
      </c>
      <c r="F49" s="6">
        <v>84000.0</v>
      </c>
      <c r="G49" s="6">
        <v>54053.0</v>
      </c>
      <c r="H49" s="5" t="s">
        <v>20</v>
      </c>
      <c r="I49" s="5" t="s">
        <v>21</v>
      </c>
      <c r="J49" s="5">
        <v>5.38006839E8</v>
      </c>
      <c r="K49" s="5">
        <v>9733337.0</v>
      </c>
      <c r="L49" s="5" t="s">
        <v>114</v>
      </c>
      <c r="M49" s="35">
        <v>46140.708333333336</v>
      </c>
      <c r="N49" s="5" t="b">
        <v>1</v>
      </c>
      <c r="O49" s="19"/>
      <c r="P49" s="7"/>
      <c r="Q49" s="9"/>
      <c r="R49" s="9"/>
      <c r="S49" s="9"/>
      <c r="T49" s="9"/>
      <c r="U49" s="9"/>
      <c r="V49" s="9"/>
      <c r="W49" s="9"/>
      <c r="X49" s="23"/>
      <c r="Y49" s="23" t="str">
        <f>IFERROR(__xludf.DUMMYFUNCTION("""COMPUTED_VALUE"""),"Hanwha Ocean")</f>
        <v>Hanwha Ocean</v>
      </c>
      <c r="Z49" s="23"/>
      <c r="AA49" s="23"/>
      <c r="AB49" s="23"/>
      <c r="AC49" s="23" t="str">
        <f>IFERROR(__xludf.DUMMYFUNCTION("""COMPUTED_VALUE"""),"Bw Malacca")</f>
        <v>Bw Malacca</v>
      </c>
      <c r="AD49" s="25"/>
      <c r="AE49" s="25" t="str">
        <f t="shared" si="1"/>
        <v/>
      </c>
      <c r="AF49" s="23" t="str">
        <f t="shared" si="4"/>
        <v/>
      </c>
      <c r="AG49" s="23">
        <f t="shared" si="3"/>
        <v>1</v>
      </c>
      <c r="AH49" s="9"/>
      <c r="AI49" s="9"/>
    </row>
    <row r="50" ht="15.75" customHeight="1">
      <c r="A50" s="43"/>
      <c r="C50" s="9"/>
      <c r="D50" s="9"/>
      <c r="E50" s="5" t="s">
        <v>115</v>
      </c>
      <c r="F50" s="6">
        <v>84196.0</v>
      </c>
      <c r="G50" s="6">
        <v>54116.0</v>
      </c>
      <c r="H50" s="5" t="s">
        <v>26</v>
      </c>
      <c r="I50" s="5" t="s">
        <v>21</v>
      </c>
      <c r="J50" s="5">
        <v>2.35108666E8</v>
      </c>
      <c r="K50" s="5">
        <v>9703007.0</v>
      </c>
      <c r="L50" s="5" t="s">
        <v>52</v>
      </c>
      <c r="M50" s="35">
        <v>46132.125</v>
      </c>
      <c r="N50" s="5" t="b">
        <v>0</v>
      </c>
      <c r="O50" s="19"/>
      <c r="P50" s="7"/>
      <c r="Q50" s="9"/>
      <c r="R50" s="9"/>
      <c r="S50" s="9"/>
      <c r="T50" s="9"/>
      <c r="U50" s="9"/>
      <c r="V50" s="9"/>
      <c r="W50" s="9"/>
      <c r="X50" s="23"/>
      <c r="Y50" s="23" t="str">
        <f>IFERROR(__xludf.DUMMYFUNCTION("""COMPUTED_VALUE"""),"Hanwha Ocean")</f>
        <v>Hanwha Ocean</v>
      </c>
      <c r="Z50" s="23"/>
      <c r="AA50" s="23"/>
      <c r="AB50" s="23"/>
      <c r="AC50" s="23" t="str">
        <f>IFERROR(__xludf.DUMMYFUNCTION("""COMPUTED_VALUE"""),"Bw Messina")</f>
        <v>Bw Messina</v>
      </c>
      <c r="AD50" s="25"/>
      <c r="AE50" s="25" t="str">
        <f t="shared" si="1"/>
        <v/>
      </c>
      <c r="AF50" s="23" t="str">
        <f t="shared" si="4"/>
        <v/>
      </c>
      <c r="AG50" s="23">
        <f t="shared" si="3"/>
        <v>1</v>
      </c>
      <c r="AH50" s="9"/>
      <c r="AI50" s="9"/>
    </row>
    <row r="51" ht="15.75" customHeight="1">
      <c r="A51" s="43"/>
      <c r="B51" s="9"/>
      <c r="C51" s="9"/>
      <c r="D51" s="9"/>
      <c r="E51" s="5" t="s">
        <v>116</v>
      </c>
      <c r="F51" s="6">
        <v>83325.0</v>
      </c>
      <c r="G51" s="6">
        <v>51100.0</v>
      </c>
      <c r="H51" s="5" t="s">
        <v>20</v>
      </c>
      <c r="I51" s="5" t="s">
        <v>21</v>
      </c>
      <c r="J51" s="5">
        <v>5.630943E8</v>
      </c>
      <c r="K51" s="5">
        <v>9810032.0</v>
      </c>
      <c r="L51" s="5" t="s">
        <v>101</v>
      </c>
      <c r="M51" s="35">
        <v>46133.5</v>
      </c>
      <c r="N51" s="5" t="b">
        <v>1</v>
      </c>
      <c r="O51" s="19"/>
      <c r="P51" s="7"/>
      <c r="Q51" s="9"/>
      <c r="R51" s="9"/>
      <c r="S51" s="9"/>
      <c r="T51" s="9"/>
      <c r="U51" s="9"/>
      <c r="V51" s="9"/>
      <c r="W51" s="9"/>
      <c r="X51" s="23"/>
      <c r="Y51" s="23" t="str">
        <f>IFERROR(__xludf.DUMMYFUNCTION("""COMPUTED_VALUE"""),"Hh Glory")</f>
        <v>Hh Glory</v>
      </c>
      <c r="Z51" s="23"/>
      <c r="AA51" s="23"/>
      <c r="AB51" s="23"/>
      <c r="AC51" s="23" t="str">
        <f>IFERROR(__xludf.DUMMYFUNCTION("""COMPUTED_VALUE"""),"Bw Mindoro")</f>
        <v>Bw Mindoro</v>
      </c>
      <c r="AD51" s="25"/>
      <c r="AE51" s="25" t="str">
        <f t="shared" si="1"/>
        <v/>
      </c>
      <c r="AF51" s="23" t="str">
        <f t="shared" si="4"/>
        <v/>
      </c>
      <c r="AG51" s="23">
        <f t="shared" si="3"/>
        <v>1</v>
      </c>
      <c r="AH51" s="9"/>
      <c r="AI51" s="9"/>
    </row>
    <row r="52" ht="15.75" customHeight="1">
      <c r="A52" s="43"/>
      <c r="B52" s="9"/>
      <c r="C52" s="9"/>
      <c r="D52" s="9"/>
      <c r="E52" s="5" t="s">
        <v>117</v>
      </c>
      <c r="F52" s="6">
        <v>83298.0</v>
      </c>
      <c r="G52" s="6">
        <v>54920.0</v>
      </c>
      <c r="H52" s="5" t="s">
        <v>26</v>
      </c>
      <c r="I52" s="5" t="s">
        <v>21</v>
      </c>
      <c r="J52" s="5">
        <v>5.64818E8</v>
      </c>
      <c r="K52" s="5">
        <v>9405083.0</v>
      </c>
      <c r="L52" s="5" t="s">
        <v>101</v>
      </c>
      <c r="M52" s="35">
        <v>46155.708333333336</v>
      </c>
      <c r="N52" s="5" t="b">
        <v>0</v>
      </c>
      <c r="O52" s="19"/>
      <c r="P52" s="7"/>
      <c r="Q52" s="9"/>
      <c r="R52" s="9"/>
      <c r="S52" s="9"/>
      <c r="T52" s="9"/>
      <c r="U52" s="9"/>
      <c r="V52" s="9"/>
      <c r="W52" s="9"/>
      <c r="X52" s="23"/>
      <c r="Y52" s="23" t="str">
        <f>IFERROR(__xludf.DUMMYFUNCTION("""COMPUTED_VALUE"""),"Hisui")</f>
        <v>Hisui</v>
      </c>
      <c r="Z52" s="23"/>
      <c r="AA52" s="23"/>
      <c r="AB52" s="23"/>
      <c r="AC52" s="23" t="str">
        <f>IFERROR(__xludf.DUMMYFUNCTION("""COMPUTED_VALUE"""),"Bw Mistral")</f>
        <v>Bw Mistral</v>
      </c>
      <c r="AD52" s="25"/>
      <c r="AE52" s="25" t="str">
        <f t="shared" si="1"/>
        <v/>
      </c>
      <c r="AF52" s="23" t="str">
        <f t="shared" si="4"/>
        <v/>
      </c>
      <c r="AG52" s="23">
        <f t="shared" si="3"/>
        <v>1</v>
      </c>
      <c r="AH52" s="9"/>
      <c r="AI52" s="9"/>
    </row>
    <row r="53" ht="15.75" customHeight="1">
      <c r="A53" s="43"/>
      <c r="B53" s="9"/>
      <c r="C53" s="9"/>
      <c r="D53" s="9"/>
      <c r="E53" s="5" t="s">
        <v>118</v>
      </c>
      <c r="F53" s="6">
        <v>84195.0</v>
      </c>
      <c r="G53" s="6">
        <v>54116.0</v>
      </c>
      <c r="H53" s="5" t="s">
        <v>20</v>
      </c>
      <c r="I53" s="5" t="s">
        <v>21</v>
      </c>
      <c r="J53" s="5">
        <v>2.35109137E8</v>
      </c>
      <c r="K53" s="5">
        <v>9703019.0</v>
      </c>
      <c r="L53" s="5" t="s">
        <v>101</v>
      </c>
      <c r="M53" s="35">
        <v>46135.00069444445</v>
      </c>
      <c r="N53" s="5" t="b">
        <v>1</v>
      </c>
      <c r="O53" s="19"/>
      <c r="P53" s="7"/>
      <c r="Q53" s="9"/>
      <c r="R53" s="9"/>
      <c r="S53" s="9"/>
      <c r="T53" s="9"/>
      <c r="U53" s="9"/>
      <c r="V53" s="9"/>
      <c r="W53" s="9"/>
      <c r="X53" s="23"/>
      <c r="Y53" s="23" t="str">
        <f>IFERROR(__xludf.DUMMYFUNCTION("""COMPUTED_VALUE"""),"Hyundai Ulsan 3503")</f>
        <v>Hyundai Ulsan 3503</v>
      </c>
      <c r="Z53" s="23"/>
      <c r="AA53" s="23"/>
      <c r="AB53" s="23"/>
      <c r="AC53" s="23" t="str">
        <f>IFERROR(__xludf.DUMMYFUNCTION("""COMPUTED_VALUE"""),"Bw Monsoon")</f>
        <v>Bw Monsoon</v>
      </c>
      <c r="AD53" s="25"/>
      <c r="AE53" s="25" t="str">
        <f t="shared" si="1"/>
        <v/>
      </c>
      <c r="AF53" s="23" t="str">
        <f t="shared" si="4"/>
        <v/>
      </c>
      <c r="AG53" s="23">
        <f t="shared" si="3"/>
        <v>1</v>
      </c>
      <c r="AH53" s="9"/>
      <c r="AI53" s="9"/>
    </row>
    <row r="54" ht="15.75" customHeight="1">
      <c r="A54" s="43"/>
      <c r="B54" s="9"/>
      <c r="C54" s="9"/>
      <c r="D54" s="9"/>
      <c r="E54" s="5" t="s">
        <v>119</v>
      </c>
      <c r="F54" s="6">
        <v>83000.0</v>
      </c>
      <c r="G54" s="6">
        <v>53658.0</v>
      </c>
      <c r="H54" s="5" t="s">
        <v>26</v>
      </c>
      <c r="I54" s="5" t="s">
        <v>21</v>
      </c>
      <c r="J54" s="5">
        <v>5.38012003E8</v>
      </c>
      <c r="K54" s="5">
        <v>9686388.0</v>
      </c>
      <c r="L54" s="5" t="s">
        <v>101</v>
      </c>
      <c r="M54" s="35">
        <v>46144.208333333336</v>
      </c>
      <c r="N54" s="5" t="b">
        <v>0</v>
      </c>
      <c r="O54" s="19"/>
      <c r="P54" s="7"/>
      <c r="Q54" s="9"/>
      <c r="R54" s="9"/>
      <c r="S54" s="9"/>
      <c r="T54" s="9"/>
      <c r="U54" s="9"/>
      <c r="V54" s="9"/>
      <c r="W54" s="9"/>
      <c r="X54" s="23"/>
      <c r="Y54" s="23" t="str">
        <f>IFERROR(__xludf.DUMMYFUNCTION("""COMPUTED_VALUE"""),"Hyundai Ulsan 3504")</f>
        <v>Hyundai Ulsan 3504</v>
      </c>
      <c r="Z54" s="23"/>
      <c r="AA54" s="23"/>
      <c r="AB54" s="23"/>
      <c r="AC54" s="23" t="str">
        <f>IFERROR(__xludf.DUMMYFUNCTION("""COMPUTED_VALUE"""),"Bw Njord")</f>
        <v>Bw Njord</v>
      </c>
      <c r="AD54" s="25"/>
      <c r="AE54" s="25" t="str">
        <f t="shared" si="1"/>
        <v/>
      </c>
      <c r="AF54" s="23" t="str">
        <f t="shared" si="4"/>
        <v/>
      </c>
      <c r="AG54" s="23">
        <f t="shared" si="3"/>
        <v>1</v>
      </c>
      <c r="AH54" s="9"/>
      <c r="AI54" s="9"/>
    </row>
    <row r="55" ht="15.75" customHeight="1">
      <c r="A55" s="43"/>
      <c r="B55" s="9"/>
      <c r="C55" s="9"/>
      <c r="D55" s="9"/>
      <c r="E55" s="5" t="s">
        <v>120</v>
      </c>
      <c r="F55" s="6">
        <v>84000.0</v>
      </c>
      <c r="G55" s="6">
        <v>54561.0</v>
      </c>
      <c r="H55" s="5" t="s">
        <v>20</v>
      </c>
      <c r="I55" s="5" t="s">
        <v>21</v>
      </c>
      <c r="J55" s="5">
        <v>2.35111639E8</v>
      </c>
      <c r="K55" s="5">
        <v>9719496.0</v>
      </c>
      <c r="L55" s="5" t="s">
        <v>121</v>
      </c>
      <c r="M55" s="35">
        <v>46139.583333333336</v>
      </c>
      <c r="N55" s="5" t="b">
        <v>1</v>
      </c>
      <c r="O55" s="19"/>
      <c r="P55" s="7"/>
      <c r="Q55" s="9"/>
      <c r="R55" s="9"/>
      <c r="S55" s="9"/>
      <c r="T55" s="9"/>
      <c r="U55" s="9"/>
      <c r="V55" s="9"/>
      <c r="W55" s="9"/>
      <c r="X55" s="23"/>
      <c r="Y55" s="23" t="str">
        <f>IFERROR(__xludf.DUMMYFUNCTION("""COMPUTED_VALUE"""),"Hyundai Ulsan 3531")</f>
        <v>Hyundai Ulsan 3531</v>
      </c>
      <c r="Z55" s="23"/>
      <c r="AA55" s="23"/>
      <c r="AB55" s="23"/>
      <c r="AC55" s="23" t="str">
        <f>IFERROR(__xludf.DUMMYFUNCTION("""COMPUTED_VALUE"""),"Bw Orion")</f>
        <v>Bw Orion</v>
      </c>
      <c r="AD55" s="25"/>
      <c r="AE55" s="25" t="str">
        <f t="shared" si="1"/>
        <v/>
      </c>
      <c r="AF55" s="23" t="str">
        <f t="shared" si="4"/>
        <v/>
      </c>
      <c r="AG55" s="23">
        <f t="shared" si="3"/>
        <v>1</v>
      </c>
      <c r="AH55" s="9"/>
      <c r="AI55" s="9"/>
    </row>
    <row r="56" ht="15.75" customHeight="1">
      <c r="A56" s="43"/>
      <c r="B56" s="9"/>
      <c r="C56" s="9"/>
      <c r="D56" s="9"/>
      <c r="E56" s="5" t="s">
        <v>122</v>
      </c>
      <c r="F56" s="6">
        <v>84631.0</v>
      </c>
      <c r="G56" s="6">
        <v>55057.0</v>
      </c>
      <c r="H56" s="5" t="s">
        <v>20</v>
      </c>
      <c r="I56" s="5" t="s">
        <v>21</v>
      </c>
      <c r="J56" s="5">
        <v>4.1900172E8</v>
      </c>
      <c r="K56" s="5">
        <v>9350290.0</v>
      </c>
      <c r="L56" s="17"/>
      <c r="M56" s="18"/>
      <c r="N56" s="5" t="b">
        <v>1</v>
      </c>
      <c r="O56" s="19"/>
      <c r="P56" s="7"/>
      <c r="Q56" s="9"/>
      <c r="R56" s="9"/>
      <c r="S56" s="9"/>
      <c r="T56" s="9"/>
      <c r="U56" s="9"/>
      <c r="V56" s="9"/>
      <c r="W56" s="9"/>
      <c r="X56" s="23"/>
      <c r="Y56" s="23" t="str">
        <f>IFERROR(__xludf.DUMMYFUNCTION("""COMPUTED_VALUE"""),"Hyundai Ulsan 3532")</f>
        <v>Hyundai Ulsan 3532</v>
      </c>
      <c r="Z56" s="23"/>
      <c r="AA56" s="23"/>
      <c r="AB56" s="23"/>
      <c r="AC56" s="23" t="str">
        <f>IFERROR(__xludf.DUMMYFUNCTION("""COMPUTED_VALUE"""),"Bw Pampero")</f>
        <v>Bw Pampero</v>
      </c>
      <c r="AD56" s="25"/>
      <c r="AE56" s="25" t="str">
        <f t="shared" si="1"/>
        <v/>
      </c>
      <c r="AF56" s="23" t="str">
        <f t="shared" si="4"/>
        <v/>
      </c>
      <c r="AG56" s="23">
        <f t="shared" si="3"/>
        <v>1</v>
      </c>
      <c r="AH56" s="9"/>
      <c r="AI56" s="9"/>
    </row>
    <row r="57" ht="15.75" customHeight="1">
      <c r="A57" s="43"/>
      <c r="B57" s="9"/>
      <c r="C57" s="9"/>
      <c r="D57" s="9"/>
      <c r="E57" s="5" t="s">
        <v>123</v>
      </c>
      <c r="F57" s="6">
        <v>84000.0</v>
      </c>
      <c r="G57" s="6">
        <v>54268.0</v>
      </c>
      <c r="H57" s="5" t="s">
        <v>20</v>
      </c>
      <c r="I57" s="5" t="s">
        <v>21</v>
      </c>
      <c r="J57" s="5">
        <v>2.32003788E8</v>
      </c>
      <c r="K57" s="5">
        <v>9735036.0</v>
      </c>
      <c r="L57" s="5" t="s">
        <v>124</v>
      </c>
      <c r="M57" s="35">
        <v>46136.854166666664</v>
      </c>
      <c r="N57" s="5" t="b">
        <v>1</v>
      </c>
      <c r="O57" s="19"/>
      <c r="P57" s="7"/>
      <c r="Q57" s="9"/>
      <c r="R57" s="9"/>
      <c r="S57" s="9"/>
      <c r="T57" s="9"/>
      <c r="U57" s="9"/>
      <c r="V57" s="9"/>
      <c r="W57" s="9"/>
      <c r="X57" s="23"/>
      <c r="Y57" s="23" t="str">
        <f>IFERROR(__xludf.DUMMYFUNCTION("""COMPUTED_VALUE"""),"Hyundai Ulsan 3542")</f>
        <v>Hyundai Ulsan 3542</v>
      </c>
      <c r="Z57" s="23"/>
      <c r="AA57" s="23"/>
      <c r="AB57" s="23"/>
      <c r="AC57" s="23" t="str">
        <f>IFERROR(__xludf.DUMMYFUNCTION("""COMPUTED_VALUE"""),"Bw Passat")</f>
        <v>Bw Passat</v>
      </c>
      <c r="AD57" s="25"/>
      <c r="AE57" s="25" t="str">
        <f t="shared" si="1"/>
        <v/>
      </c>
      <c r="AF57" s="23" t="str">
        <f t="shared" si="4"/>
        <v/>
      </c>
      <c r="AG57" s="23">
        <f t="shared" si="3"/>
        <v>1</v>
      </c>
      <c r="AH57" s="9"/>
      <c r="AI57" s="9"/>
    </row>
    <row r="58" ht="15.75" customHeight="1">
      <c r="A58" s="43"/>
      <c r="B58" s="9"/>
      <c r="C58" s="9"/>
      <c r="D58" s="9"/>
      <c r="E58" s="5" t="s">
        <v>125</v>
      </c>
      <c r="F58" s="6">
        <v>84000.0</v>
      </c>
      <c r="G58" s="6">
        <v>54268.0</v>
      </c>
      <c r="H58" s="5" t="s">
        <v>20</v>
      </c>
      <c r="I58" s="5" t="s">
        <v>21</v>
      </c>
      <c r="J58" s="5">
        <v>2.320041E8</v>
      </c>
      <c r="K58" s="5">
        <v>9735048.0</v>
      </c>
      <c r="L58" s="5" t="s">
        <v>106</v>
      </c>
      <c r="M58" s="35">
        <v>46148.208333333336</v>
      </c>
      <c r="N58" s="5" t="b">
        <v>1</v>
      </c>
      <c r="O58" s="19"/>
      <c r="P58" s="7"/>
      <c r="Q58" s="9"/>
      <c r="R58" s="9"/>
      <c r="S58" s="9"/>
      <c r="T58" s="9"/>
      <c r="U58" s="9"/>
      <c r="V58" s="9"/>
      <c r="W58" s="9"/>
      <c r="X58" s="23"/>
      <c r="Y58" s="23" t="str">
        <f>IFERROR(__xludf.DUMMYFUNCTION("""COMPUTED_VALUE"""),"Jag Viraat")</f>
        <v>Jag Viraat</v>
      </c>
      <c r="Z58" s="23"/>
      <c r="AA58" s="23"/>
      <c r="AB58" s="23"/>
      <c r="AC58" s="23" t="str">
        <f>IFERROR(__xludf.DUMMYFUNCTION("""COMPUTED_VALUE"""),"Bw Pine")</f>
        <v>Bw Pine</v>
      </c>
      <c r="AD58" s="25"/>
      <c r="AE58" s="25" t="str">
        <f t="shared" si="1"/>
        <v/>
      </c>
      <c r="AF58" s="23" t="str">
        <f t="shared" si="4"/>
        <v/>
      </c>
      <c r="AG58" s="23">
        <f t="shared" si="3"/>
        <v>1</v>
      </c>
      <c r="AH58" s="9"/>
      <c r="AI58" s="9"/>
    </row>
    <row r="59" ht="15.75" customHeight="1">
      <c r="A59" s="43"/>
      <c r="B59" s="9"/>
      <c r="C59" s="9"/>
      <c r="D59" s="9"/>
      <c r="E59" s="5" t="s">
        <v>126</v>
      </c>
      <c r="F59" s="6">
        <v>84000.0</v>
      </c>
      <c r="G59" s="6">
        <v>54647.0</v>
      </c>
      <c r="H59" s="5" t="s">
        <v>26</v>
      </c>
      <c r="I59" s="5" t="s">
        <v>21</v>
      </c>
      <c r="J59" s="5">
        <v>3.57498E8</v>
      </c>
      <c r="K59" s="5">
        <v>9735062.0</v>
      </c>
      <c r="L59" s="5" t="s">
        <v>127</v>
      </c>
      <c r="M59" s="38">
        <v>46137.583333333336</v>
      </c>
      <c r="N59" s="5" t="b">
        <v>0</v>
      </c>
      <c r="O59" s="19"/>
      <c r="P59" s="7"/>
      <c r="Q59" s="9"/>
      <c r="R59" s="9"/>
      <c r="S59" s="9"/>
      <c r="T59" s="9"/>
      <c r="U59" s="9"/>
      <c r="V59" s="9"/>
      <c r="W59" s="9"/>
      <c r="X59" s="23"/>
      <c r="Y59" s="23" t="str">
        <f>IFERROR(__xludf.DUMMYFUNCTION("""COMPUTED_VALUE"""),"Jiangnan H2754")</f>
        <v>Jiangnan H2754</v>
      </c>
      <c r="Z59" s="23"/>
      <c r="AA59" s="23"/>
      <c r="AB59" s="23"/>
      <c r="AC59" s="23" t="str">
        <f>IFERROR(__xludf.DUMMYFUNCTION("""COMPUTED_VALUE"""),"Bw Polaris")</f>
        <v>Bw Polaris</v>
      </c>
      <c r="AD59" s="25"/>
      <c r="AE59" s="25" t="str">
        <f t="shared" si="1"/>
        <v/>
      </c>
      <c r="AF59" s="23" t="str">
        <f t="shared" si="4"/>
        <v/>
      </c>
      <c r="AG59" s="23">
        <f t="shared" si="3"/>
        <v>1</v>
      </c>
      <c r="AH59" s="9"/>
      <c r="AI59" s="9"/>
    </row>
    <row r="60" ht="15.75" customHeight="1">
      <c r="A60" s="43"/>
      <c r="B60" s="9"/>
      <c r="C60" s="9"/>
      <c r="D60" s="9"/>
      <c r="E60" s="5" t="s">
        <v>128</v>
      </c>
      <c r="F60" s="6">
        <v>84000.0</v>
      </c>
      <c r="G60" s="6">
        <v>54647.0</v>
      </c>
      <c r="H60" s="5" t="s">
        <v>26</v>
      </c>
      <c r="I60" s="5" t="s">
        <v>21</v>
      </c>
      <c r="J60" s="5">
        <v>2.32005596E8</v>
      </c>
      <c r="K60" s="5">
        <v>9735050.0</v>
      </c>
      <c r="L60" s="5" t="s">
        <v>43</v>
      </c>
      <c r="M60" s="35">
        <v>46138.375</v>
      </c>
      <c r="N60" s="5" t="b">
        <v>0</v>
      </c>
      <c r="O60" s="19"/>
      <c r="P60" s="7"/>
      <c r="Q60" s="9"/>
      <c r="R60" s="9"/>
      <c r="S60" s="9"/>
      <c r="T60" s="9"/>
      <c r="U60" s="9"/>
      <c r="V60" s="9"/>
      <c r="W60" s="9"/>
      <c r="X60" s="23"/>
      <c r="Y60" s="23" t="str">
        <f>IFERROR(__xludf.DUMMYFUNCTION("""COMPUTED_VALUE"""),"Jiangnan H2755")</f>
        <v>Jiangnan H2755</v>
      </c>
      <c r="Z60" s="23"/>
      <c r="AA60" s="23"/>
      <c r="AB60" s="23"/>
      <c r="AC60" s="23" t="str">
        <f>IFERROR(__xludf.DUMMYFUNCTION("""COMPUTED_VALUE"""),"Bw Rigel")</f>
        <v>Bw Rigel</v>
      </c>
      <c r="AD60" s="25"/>
      <c r="AE60" s="25" t="str">
        <f t="shared" si="1"/>
        <v/>
      </c>
      <c r="AF60" s="23" t="str">
        <f t="shared" si="4"/>
        <v/>
      </c>
      <c r="AG60" s="23">
        <f t="shared" si="3"/>
        <v>1</v>
      </c>
      <c r="AH60" s="9"/>
      <c r="AI60" s="9"/>
    </row>
    <row r="61" ht="15.75" customHeight="1">
      <c r="A61" s="43"/>
      <c r="B61" s="9"/>
      <c r="C61" s="9"/>
      <c r="D61" s="9"/>
      <c r="E61" s="5" t="s">
        <v>129</v>
      </c>
      <c r="F61" s="6">
        <v>83000.0</v>
      </c>
      <c r="G61" s="6">
        <v>53854.0</v>
      </c>
      <c r="H61" s="5" t="s">
        <v>20</v>
      </c>
      <c r="I61" s="5" t="s">
        <v>21</v>
      </c>
      <c r="J61" s="5">
        <v>5.38005576E8</v>
      </c>
      <c r="K61" s="5">
        <v>9667540.0</v>
      </c>
      <c r="L61" s="5" t="s">
        <v>130</v>
      </c>
      <c r="M61" s="35">
        <v>46152.791666666664</v>
      </c>
      <c r="N61" s="5" t="b">
        <v>1</v>
      </c>
      <c r="O61" s="19"/>
      <c r="P61" s="7"/>
      <c r="Q61" s="9"/>
      <c r="R61" s="9"/>
      <c r="S61" s="9"/>
      <c r="T61" s="9"/>
      <c r="U61" s="9"/>
      <c r="V61" s="9"/>
      <c r="W61" s="9"/>
      <c r="X61" s="23"/>
      <c r="Y61" s="23" t="str">
        <f>IFERROR(__xludf.DUMMYFUNCTION("""COMPUTED_VALUE"""),"Jiangsu Yangzi Xinfu Yzj2024-1715")</f>
        <v>Jiangsu Yangzi Xinfu Yzj2024-1715</v>
      </c>
      <c r="Z61" s="23"/>
      <c r="AA61" s="23"/>
      <c r="AB61" s="23"/>
      <c r="AC61" s="23" t="str">
        <f>IFERROR(__xludf.DUMMYFUNCTION("""COMPUTED_VALUE"""),"Bw Sirocco")</f>
        <v>Bw Sirocco</v>
      </c>
      <c r="AD61" s="25"/>
      <c r="AE61" s="25" t="str">
        <f t="shared" si="1"/>
        <v/>
      </c>
      <c r="AF61" s="23" t="str">
        <f t="shared" si="4"/>
        <v/>
      </c>
      <c r="AG61" s="23">
        <f t="shared" si="3"/>
        <v>1</v>
      </c>
      <c r="AH61" s="9"/>
      <c r="AI61" s="9"/>
    </row>
    <row r="62" ht="15.75" customHeight="1">
      <c r="A62" s="43"/>
      <c r="B62" s="9"/>
      <c r="C62" s="9"/>
      <c r="D62" s="9"/>
      <c r="E62" s="5" t="s">
        <v>131</v>
      </c>
      <c r="F62" s="6">
        <v>83000.0</v>
      </c>
      <c r="G62" s="6">
        <v>53751.0</v>
      </c>
      <c r="H62" s="5" t="s">
        <v>20</v>
      </c>
      <c r="I62" s="5" t="s">
        <v>21</v>
      </c>
      <c r="J62" s="5">
        <v>5.38005614E8</v>
      </c>
      <c r="K62" s="5">
        <v>9667564.0</v>
      </c>
      <c r="L62" s="5" t="s">
        <v>132</v>
      </c>
      <c r="M62" s="35">
        <v>46138.5</v>
      </c>
      <c r="N62" s="5" t="b">
        <v>1</v>
      </c>
      <c r="O62" s="19"/>
      <c r="P62" s="7"/>
      <c r="Q62" s="9"/>
      <c r="R62" s="9"/>
      <c r="S62" s="9"/>
      <c r="T62" s="9"/>
      <c r="U62" s="9"/>
      <c r="V62" s="9"/>
      <c r="W62" s="9"/>
      <c r="X62" s="23"/>
      <c r="Y62" s="23" t="str">
        <f>IFERROR(__xludf.DUMMYFUNCTION("""COMPUTED_VALUE"""),"Kalastin")</f>
        <v>Kalastin</v>
      </c>
      <c r="Z62" s="23"/>
      <c r="AA62" s="23"/>
      <c r="AB62" s="23"/>
      <c r="AC62" s="23" t="str">
        <f>IFERROR(__xludf.DUMMYFUNCTION("""COMPUTED_VALUE"""),"Bw Tokyo")</f>
        <v>Bw Tokyo</v>
      </c>
      <c r="AD62" s="25"/>
      <c r="AE62" s="25" t="str">
        <f t="shared" si="1"/>
        <v/>
      </c>
      <c r="AF62" s="23" t="str">
        <f t="shared" si="4"/>
        <v/>
      </c>
      <c r="AG62" s="23">
        <f t="shared" si="3"/>
        <v>1</v>
      </c>
      <c r="AH62" s="9"/>
      <c r="AI62" s="9"/>
    </row>
    <row r="63" ht="15.75" customHeight="1">
      <c r="A63" s="43"/>
      <c r="B63" s="9"/>
      <c r="C63" s="9"/>
      <c r="D63" s="9"/>
      <c r="E63" s="5" t="s">
        <v>133</v>
      </c>
      <c r="F63" s="6">
        <v>84000.0</v>
      </c>
      <c r="G63" s="6">
        <v>54053.0</v>
      </c>
      <c r="H63" s="5" t="s">
        <v>26</v>
      </c>
      <c r="I63" s="5" t="s">
        <v>21</v>
      </c>
      <c r="J63" s="5">
        <v>5.3800684E8</v>
      </c>
      <c r="K63" s="5">
        <v>9741827.0</v>
      </c>
      <c r="L63" s="5" t="s">
        <v>134</v>
      </c>
      <c r="M63" s="35">
        <v>46132.0</v>
      </c>
      <c r="N63" s="5" t="b">
        <v>0</v>
      </c>
      <c r="O63" s="19"/>
      <c r="P63" s="7"/>
      <c r="Q63" s="9"/>
      <c r="R63" s="9"/>
      <c r="S63" s="9"/>
      <c r="T63" s="9"/>
      <c r="U63" s="9"/>
      <c r="V63" s="9"/>
      <c r="W63" s="9"/>
      <c r="X63" s="23"/>
      <c r="Y63" s="23" t="str">
        <f>IFERROR(__xludf.DUMMYFUNCTION("""COMPUTED_VALUE"""),"Kawasaki Sakaide 1769")</f>
        <v>Kawasaki Sakaide 1769</v>
      </c>
      <c r="Z63" s="23"/>
      <c r="AA63" s="23"/>
      <c r="AB63" s="23"/>
      <c r="AC63" s="23" t="str">
        <f>IFERROR(__xludf.DUMMYFUNCTION("""COMPUTED_VALUE"""),"Bw Tucana")</f>
        <v>Bw Tucana</v>
      </c>
      <c r="AD63" s="25"/>
      <c r="AE63" s="25" t="str">
        <f t="shared" si="1"/>
        <v/>
      </c>
      <c r="AF63" s="23" t="str">
        <f t="shared" si="4"/>
        <v/>
      </c>
      <c r="AG63" s="23">
        <f t="shared" si="3"/>
        <v>1</v>
      </c>
      <c r="AH63" s="9"/>
      <c r="AI63" s="9"/>
    </row>
    <row r="64" ht="15.75" customHeight="1">
      <c r="A64" s="43"/>
      <c r="B64" s="9"/>
      <c r="C64" s="9"/>
      <c r="D64" s="9"/>
      <c r="E64" s="5" t="s">
        <v>135</v>
      </c>
      <c r="F64" s="6">
        <v>82291.0</v>
      </c>
      <c r="G64" s="6">
        <v>58159.0</v>
      </c>
      <c r="H64" s="5" t="s">
        <v>26</v>
      </c>
      <c r="I64" s="5" t="s">
        <v>21</v>
      </c>
      <c r="J64" s="5">
        <v>4.19001669E8</v>
      </c>
      <c r="K64" s="5">
        <v>9320764.0</v>
      </c>
      <c r="L64" s="5" t="s">
        <v>136</v>
      </c>
      <c r="M64" s="35">
        <v>46131.75</v>
      </c>
      <c r="N64" s="5" t="b">
        <v>0</v>
      </c>
      <c r="O64" s="19"/>
      <c r="P64" s="7"/>
      <c r="Q64" s="9"/>
      <c r="R64" s="9"/>
      <c r="S64" s="9"/>
      <c r="T64" s="9"/>
      <c r="U64" s="9"/>
      <c r="V64" s="9"/>
      <c r="W64" s="9"/>
      <c r="X64" s="23"/>
      <c r="Y64" s="23" t="str">
        <f>IFERROR(__xludf.DUMMYFUNCTION("""COMPUTED_VALUE"""),"Kawasaki Sakaide 1770")</f>
        <v>Kawasaki Sakaide 1770</v>
      </c>
      <c r="Z64" s="23"/>
      <c r="AA64" s="23"/>
      <c r="AB64" s="23"/>
      <c r="AC64" s="23" t="str">
        <f>IFERROR(__xludf.DUMMYFUNCTION("""COMPUTED_VALUE"""),"Bw Var")</f>
        <v>Bw Var</v>
      </c>
      <c r="AD64" s="25"/>
      <c r="AE64" s="25" t="str">
        <f t="shared" si="1"/>
        <v/>
      </c>
      <c r="AF64" s="23" t="str">
        <f t="shared" si="4"/>
        <v/>
      </c>
      <c r="AG64" s="23" t="str">
        <f t="shared" si="3"/>
        <v/>
      </c>
      <c r="AH64" s="9"/>
      <c r="AI64" s="9"/>
    </row>
    <row r="65" ht="15.75" customHeight="1">
      <c r="B65" s="9"/>
      <c r="C65" s="9"/>
      <c r="D65" s="9"/>
      <c r="E65" s="5" t="s">
        <v>137</v>
      </c>
      <c r="F65" s="6">
        <v>84195.0</v>
      </c>
      <c r="G65" s="6">
        <v>54116.0</v>
      </c>
      <c r="H65" s="5" t="s">
        <v>20</v>
      </c>
      <c r="I65" s="5" t="s">
        <v>21</v>
      </c>
      <c r="J65" s="5">
        <v>2.35112806E8</v>
      </c>
      <c r="K65" s="5">
        <v>9719501.0</v>
      </c>
      <c r="L65" s="5" t="s">
        <v>106</v>
      </c>
      <c r="M65" s="35">
        <v>46143.5</v>
      </c>
      <c r="N65" s="5" t="b">
        <v>1</v>
      </c>
      <c r="O65" s="19"/>
      <c r="P65" s="7"/>
      <c r="Q65" s="9"/>
      <c r="R65" s="9"/>
      <c r="S65" s="9"/>
      <c r="T65" s="9"/>
      <c r="U65" s="9"/>
      <c r="V65" s="9"/>
      <c r="W65" s="9"/>
      <c r="X65" s="23"/>
      <c r="Y65" s="23" t="str">
        <f>IFERROR(__xludf.DUMMYFUNCTION("""COMPUTED_VALUE"""),"Lumina Polaris")</f>
        <v>Lumina Polaris</v>
      </c>
      <c r="Z65" s="23"/>
      <c r="AA65" s="23"/>
      <c r="AB65" s="23"/>
      <c r="AC65" s="23" t="str">
        <f>IFERROR(__xludf.DUMMYFUNCTION("""COMPUTED_VALUE"""),"Bw Volans")</f>
        <v>Bw Volans</v>
      </c>
      <c r="AD65" s="25"/>
      <c r="AE65" s="25" t="str">
        <f t="shared" si="1"/>
        <v/>
      </c>
      <c r="AF65" s="23" t="str">
        <f t="shared" si="4"/>
        <v/>
      </c>
      <c r="AG65" s="23">
        <f t="shared" si="3"/>
        <v>1</v>
      </c>
      <c r="AH65" s="9"/>
      <c r="AI65" s="9"/>
    </row>
    <row r="66" ht="15.75" customHeight="1">
      <c r="B66" s="9"/>
      <c r="C66" s="9"/>
      <c r="D66" s="9"/>
      <c r="E66" s="5" t="s">
        <v>138</v>
      </c>
      <c r="F66" s="6">
        <v>83000.0</v>
      </c>
      <c r="G66" s="6">
        <v>53503.0</v>
      </c>
      <c r="H66" s="5" t="s">
        <v>26</v>
      </c>
      <c r="I66" s="5" t="s">
        <v>21</v>
      </c>
      <c r="J66" s="5">
        <v>4.19002054E8</v>
      </c>
      <c r="K66" s="5">
        <v>9689548.0</v>
      </c>
      <c r="L66" s="5" t="s">
        <v>52</v>
      </c>
      <c r="M66" s="35">
        <v>46131.875</v>
      </c>
      <c r="N66" s="5" t="b">
        <v>0</v>
      </c>
      <c r="O66" s="19"/>
      <c r="P66" s="7"/>
      <c r="Q66" s="9"/>
      <c r="R66" s="9"/>
      <c r="S66" s="9"/>
      <c r="T66" s="9"/>
      <c r="U66" s="9"/>
      <c r="V66" s="9"/>
      <c r="W66" s="9"/>
      <c r="X66" s="23"/>
      <c r="Y66" s="23" t="str">
        <f>IFERROR(__xludf.DUMMYFUNCTION("""COMPUTED_VALUE"""),"Manasarovar")</f>
        <v>Manasarovar</v>
      </c>
      <c r="Z66" s="23"/>
      <c r="AA66" s="23"/>
      <c r="AB66" s="23"/>
      <c r="AC66" s="23" t="str">
        <f>IFERROR(__xludf.DUMMYFUNCTION("""COMPUTED_VALUE"""),"Bw Yushi")</f>
        <v>Bw Yushi</v>
      </c>
      <c r="AD66" s="25"/>
      <c r="AE66" s="25" t="str">
        <f t="shared" si="1"/>
        <v/>
      </c>
      <c r="AF66" s="23" t="str">
        <f t="shared" si="4"/>
        <v/>
      </c>
      <c r="AG66" s="23">
        <f t="shared" si="3"/>
        <v>1</v>
      </c>
      <c r="AH66" s="9"/>
      <c r="AI66" s="9"/>
    </row>
    <row r="67" ht="15.75" customHeight="1">
      <c r="B67" s="9"/>
      <c r="C67" s="9"/>
      <c r="D67" s="9"/>
      <c r="E67" s="5" t="s">
        <v>139</v>
      </c>
      <c r="F67" s="6">
        <v>83000.0</v>
      </c>
      <c r="G67" s="6">
        <v>53701.0</v>
      </c>
      <c r="H67" s="5" t="s">
        <v>26</v>
      </c>
      <c r="I67" s="5" t="s">
        <v>21</v>
      </c>
      <c r="J67" s="5">
        <v>5.38005616E8</v>
      </c>
      <c r="K67" s="5">
        <v>9674854.0</v>
      </c>
      <c r="L67" s="5" t="s">
        <v>140</v>
      </c>
      <c r="M67" s="35">
        <v>46134.395833333336</v>
      </c>
      <c r="N67" s="5" t="b">
        <v>0</v>
      </c>
      <c r="O67" s="19"/>
      <c r="P67" s="7"/>
      <c r="Q67" s="9"/>
      <c r="R67" s="9"/>
      <c r="S67" s="9"/>
      <c r="T67" s="9"/>
      <c r="U67" s="9"/>
      <c r="V67" s="9"/>
      <c r="W67" s="9"/>
      <c r="X67" s="23"/>
      <c r="Y67" s="23" t="str">
        <f>IFERROR(__xludf.DUMMYFUNCTION("""COMPUTED_VALUE"""),"Marser")</f>
        <v>Marser</v>
      </c>
      <c r="Z67" s="23"/>
      <c r="AA67" s="23"/>
      <c r="AB67" s="23"/>
      <c r="AC67" s="23" t="str">
        <f>IFERROR(__xludf.DUMMYFUNCTION("""COMPUTED_VALUE"""),"Calluna Gas")</f>
        <v>Calluna Gas</v>
      </c>
      <c r="AD67" s="25"/>
      <c r="AE67" s="25" t="str">
        <f t="shared" si="1"/>
        <v/>
      </c>
      <c r="AF67" s="23" t="str">
        <f t="shared" si="4"/>
        <v/>
      </c>
      <c r="AG67" s="23">
        <f t="shared" si="3"/>
        <v>1</v>
      </c>
      <c r="AH67" s="9"/>
      <c r="AI67" s="9"/>
    </row>
    <row r="68" ht="15.75" customHeight="1">
      <c r="B68" s="9"/>
      <c r="C68" s="9"/>
      <c r="D68" s="9"/>
      <c r="E68" s="5" t="s">
        <v>141</v>
      </c>
      <c r="F68" s="6">
        <v>80156.0</v>
      </c>
      <c r="G68" s="6">
        <v>53028.0</v>
      </c>
      <c r="H68" s="5" t="s">
        <v>20</v>
      </c>
      <c r="I68" s="5" t="s">
        <v>21</v>
      </c>
      <c r="J68" s="5">
        <v>4.19001637E8</v>
      </c>
      <c r="K68" s="5">
        <v>9479929.0</v>
      </c>
      <c r="L68" s="17"/>
      <c r="M68" s="18"/>
      <c r="N68" s="5" t="b">
        <v>0</v>
      </c>
      <c r="O68" s="19"/>
      <c r="P68" s="7"/>
      <c r="Q68" s="9"/>
      <c r="R68" s="9"/>
      <c r="S68" s="9"/>
      <c r="T68" s="9"/>
      <c r="U68" s="9"/>
      <c r="V68" s="9"/>
      <c r="W68" s="9"/>
      <c r="X68" s="23"/>
      <c r="Y68" s="23" t="str">
        <f>IFERROR(__xludf.DUMMYFUNCTION("""COMPUTED_VALUE"""),"Meda")</f>
        <v>Meda</v>
      </c>
      <c r="Z68" s="23"/>
      <c r="AA68" s="23"/>
      <c r="AB68" s="23"/>
      <c r="AC68" s="23" t="str">
        <f>IFERROR(__xludf.DUMMYFUNCTION("""COMPUTED_VALUE"""),"Captain John Np")</f>
        <v>Captain John Np</v>
      </c>
      <c r="AD68" s="25"/>
      <c r="AE68" s="25" t="str">
        <f t="shared" si="1"/>
        <v/>
      </c>
      <c r="AF68" s="23" t="str">
        <f t="shared" si="4"/>
        <v/>
      </c>
      <c r="AG68" s="23">
        <f t="shared" si="3"/>
        <v>1</v>
      </c>
      <c r="AH68" s="9"/>
      <c r="AI68" s="9"/>
    </row>
    <row r="69" ht="15.75" customHeight="1">
      <c r="B69" s="9"/>
      <c r="C69" s="9"/>
      <c r="D69" s="9"/>
      <c r="E69" s="5" t="s">
        <v>142</v>
      </c>
      <c r="F69" s="6">
        <v>91000.0</v>
      </c>
      <c r="G69" s="6">
        <v>62500.0</v>
      </c>
      <c r="H69" s="5" t="s">
        <v>20</v>
      </c>
      <c r="I69" s="5" t="s">
        <v>21</v>
      </c>
      <c r="J69" s="5">
        <v>5.38009599E8</v>
      </c>
      <c r="K69" s="5">
        <v>9901984.0</v>
      </c>
      <c r="L69" s="5" t="s">
        <v>80</v>
      </c>
      <c r="M69" s="35">
        <v>46133.416666666664</v>
      </c>
      <c r="N69" s="5" t="b">
        <v>1</v>
      </c>
      <c r="O69" s="19"/>
      <c r="P69" s="7"/>
      <c r="Q69" s="9"/>
      <c r="R69" s="9"/>
      <c r="S69" s="9"/>
      <c r="T69" s="9"/>
      <c r="U69" s="9"/>
      <c r="V69" s="9"/>
      <c r="W69" s="9"/>
      <c r="X69" s="23"/>
      <c r="Y69" s="23" t="str">
        <f>IFERROR(__xludf.DUMMYFUNCTION("""COMPUTED_VALUE"""),"Mighty Navigator")</f>
        <v>Mighty Navigator</v>
      </c>
      <c r="Z69" s="23"/>
      <c r="AA69" s="23"/>
      <c r="AB69" s="23"/>
      <c r="AC69" s="23" t="str">
        <f>IFERROR(__xludf.DUMMYFUNCTION("""COMPUTED_VALUE"""),"Captain Markos")</f>
        <v>Captain Markos</v>
      </c>
      <c r="AD69" s="25"/>
      <c r="AE69" s="25" t="str">
        <f t="shared" si="1"/>
        <v/>
      </c>
      <c r="AF69" s="23" t="str">
        <f t="shared" si="4"/>
        <v/>
      </c>
      <c r="AG69" s="23">
        <f t="shared" si="3"/>
        <v>1</v>
      </c>
      <c r="AH69" s="9"/>
      <c r="AI69" s="9"/>
    </row>
    <row r="70" ht="15.75" customHeight="1">
      <c r="B70" s="9"/>
      <c r="C70" s="9"/>
      <c r="D70" s="9"/>
      <c r="E70" s="5" t="s">
        <v>143</v>
      </c>
      <c r="F70" s="6">
        <v>91000.0</v>
      </c>
      <c r="G70" s="6">
        <v>62500.0</v>
      </c>
      <c r="H70" s="5" t="s">
        <v>26</v>
      </c>
      <c r="I70" s="5" t="s">
        <v>21</v>
      </c>
      <c r="J70" s="5">
        <v>5.38010182E8</v>
      </c>
      <c r="K70" s="5">
        <v>9540091.0</v>
      </c>
      <c r="L70" s="5" t="s">
        <v>38</v>
      </c>
      <c r="M70" s="35">
        <v>46146.708333333336</v>
      </c>
      <c r="N70" s="5" t="b">
        <v>0</v>
      </c>
      <c r="O70" s="19"/>
      <c r="P70" s="7"/>
      <c r="Q70" s="9"/>
      <c r="R70" s="9"/>
      <c r="S70" s="9"/>
      <c r="T70" s="9"/>
      <c r="U70" s="9"/>
      <c r="V70" s="9"/>
      <c r="W70" s="9"/>
      <c r="X70" s="23"/>
      <c r="Y70" s="23" t="str">
        <f>IFERROR(__xludf.DUMMYFUNCTION("""COMPUTED_VALUE"""),"Mile")</f>
        <v>Mile</v>
      </c>
      <c r="Z70" s="23"/>
      <c r="AA70" s="23"/>
      <c r="AB70" s="23"/>
      <c r="AC70" s="23" t="str">
        <f>IFERROR(__xludf.DUMMYFUNCTION("""COMPUTED_VALUE"""),"Caravelle")</f>
        <v>Caravelle</v>
      </c>
      <c r="AD70" s="25"/>
      <c r="AE70" s="25" t="str">
        <f t="shared" si="1"/>
        <v/>
      </c>
      <c r="AF70" s="23" t="str">
        <f t="shared" si="4"/>
        <v/>
      </c>
      <c r="AG70" s="23">
        <f t="shared" si="3"/>
        <v>1</v>
      </c>
      <c r="AH70" s="9"/>
      <c r="AI70" s="9"/>
    </row>
    <row r="71" ht="15.75" customHeight="1">
      <c r="B71" s="9"/>
      <c r="C71" s="9"/>
      <c r="D71" s="9"/>
      <c r="E71" s="5" t="s">
        <v>144</v>
      </c>
      <c r="F71" s="6">
        <v>83000.0</v>
      </c>
      <c r="G71" s="6">
        <v>53558.0</v>
      </c>
      <c r="H71" s="5" t="s">
        <v>20</v>
      </c>
      <c r="I71" s="5" t="s">
        <v>21</v>
      </c>
      <c r="J71" s="5">
        <v>5.38006045E8</v>
      </c>
      <c r="K71" s="5">
        <v>9686376.0</v>
      </c>
      <c r="L71" s="5" t="s">
        <v>145</v>
      </c>
      <c r="M71" s="35">
        <v>46153.583333333336</v>
      </c>
      <c r="N71" s="5" t="b">
        <v>1</v>
      </c>
      <c r="O71" s="19"/>
      <c r="P71" s="7"/>
      <c r="Q71" s="9"/>
      <c r="R71" s="9"/>
      <c r="S71" s="9"/>
      <c r="T71" s="9"/>
      <c r="U71" s="9"/>
      <c r="V71" s="9"/>
      <c r="W71" s="9"/>
      <c r="X71" s="23"/>
      <c r="Y71" s="23" t="str">
        <f>IFERROR(__xludf.DUMMYFUNCTION("""COMPUTED_VALUE"""),"Ming Long")</f>
        <v>Ming Long</v>
      </c>
      <c r="Z71" s="23"/>
      <c r="AA71" s="23"/>
      <c r="AB71" s="23"/>
      <c r="AC71" s="23" t="str">
        <f>IFERROR(__xludf.DUMMYFUNCTION("""COMPUTED_VALUE"""),"Challenger")</f>
        <v>Challenger</v>
      </c>
      <c r="AD71" s="25"/>
      <c r="AE71" s="25" t="str">
        <f t="shared" si="1"/>
        <v/>
      </c>
      <c r="AF71" s="23" t="str">
        <f t="shared" si="4"/>
        <v/>
      </c>
      <c r="AG71" s="23">
        <f t="shared" si="3"/>
        <v>1</v>
      </c>
      <c r="AH71" s="9"/>
      <c r="AI71" s="9"/>
    </row>
    <row r="72" ht="15.75" customHeight="1">
      <c r="B72" s="9"/>
      <c r="C72" s="9"/>
      <c r="D72" s="9"/>
      <c r="E72" s="5" t="s">
        <v>146</v>
      </c>
      <c r="F72" s="6">
        <v>83270.0</v>
      </c>
      <c r="G72" s="6">
        <v>54936.0</v>
      </c>
      <c r="H72" s="5" t="s">
        <v>20</v>
      </c>
      <c r="I72" s="5" t="s">
        <v>21</v>
      </c>
      <c r="J72" s="5">
        <v>5.63343E8</v>
      </c>
      <c r="K72" s="5">
        <v>9398307.0</v>
      </c>
      <c r="L72" s="5" t="s">
        <v>147</v>
      </c>
      <c r="M72" s="38">
        <v>46139.75</v>
      </c>
      <c r="N72" s="5" t="b">
        <v>1</v>
      </c>
      <c r="O72" s="19"/>
      <c r="P72" s="7"/>
      <c r="Q72" s="9"/>
      <c r="R72" s="9"/>
      <c r="S72" s="9"/>
      <c r="T72" s="9"/>
      <c r="U72" s="9"/>
      <c r="V72" s="9"/>
      <c r="W72" s="9"/>
      <c r="X72" s="23"/>
      <c r="Y72" s="23" t="str">
        <f>IFERROR(__xludf.DUMMYFUNCTION("""COMPUTED_VALUE"""),"Miura")</f>
        <v>Miura</v>
      </c>
      <c r="Z72" s="23"/>
      <c r="AA72" s="23"/>
      <c r="AB72" s="23"/>
      <c r="AC72" s="23" t="str">
        <f>IFERROR(__xludf.DUMMYFUNCTION("""COMPUTED_VALUE"""),"Chang Xing Yuan")</f>
        <v>Chang Xing Yuan</v>
      </c>
      <c r="AD72" s="25"/>
      <c r="AE72" s="25" t="str">
        <f t="shared" si="1"/>
        <v/>
      </c>
      <c r="AF72" s="23" t="str">
        <f t="shared" si="4"/>
        <v/>
      </c>
      <c r="AG72" s="23">
        <f t="shared" si="3"/>
        <v>1</v>
      </c>
      <c r="AH72" s="9"/>
      <c r="AI72" s="9"/>
    </row>
    <row r="73" ht="15.75" customHeight="1">
      <c r="B73" s="9"/>
      <c r="C73" s="9"/>
      <c r="D73" s="9"/>
      <c r="E73" s="5" t="s">
        <v>148</v>
      </c>
      <c r="F73" s="6">
        <v>84195.0</v>
      </c>
      <c r="G73" s="6">
        <v>54116.0</v>
      </c>
      <c r="H73" s="5" t="s">
        <v>20</v>
      </c>
      <c r="I73" s="5" t="s">
        <v>21</v>
      </c>
      <c r="J73" s="5">
        <v>2.35115081E8</v>
      </c>
      <c r="K73" s="5">
        <v>9735658.0</v>
      </c>
      <c r="L73" s="5" t="s">
        <v>149</v>
      </c>
      <c r="M73" s="35">
        <v>46134.25</v>
      </c>
      <c r="N73" s="5" t="b">
        <v>1</v>
      </c>
      <c r="O73" s="19"/>
      <c r="P73" s="7"/>
      <c r="Q73" s="9"/>
      <c r="R73" s="9"/>
      <c r="S73" s="9"/>
      <c r="T73" s="9"/>
      <c r="U73" s="9"/>
      <c r="V73" s="9"/>
      <c r="W73" s="9"/>
      <c r="X73" s="23"/>
      <c r="Y73" s="23" t="str">
        <f>IFERROR(__xludf.DUMMYFUNCTION("""COMPUTED_VALUE"""),"Myra Gas")</f>
        <v>Myra Gas</v>
      </c>
      <c r="Z73" s="23"/>
      <c r="AA73" s="23"/>
      <c r="AB73" s="23"/>
      <c r="AC73" s="23" t="str">
        <f>IFERROR(__xludf.DUMMYFUNCTION("""COMPUTED_VALUE"""),"Chaparral")</f>
        <v>Chaparral</v>
      </c>
      <c r="AD73" s="25"/>
      <c r="AE73" s="25" t="str">
        <f t="shared" si="1"/>
        <v/>
      </c>
      <c r="AF73" s="23" t="str">
        <f t="shared" si="4"/>
        <v/>
      </c>
      <c r="AG73" s="23">
        <f t="shared" si="3"/>
        <v>1</v>
      </c>
      <c r="AH73" s="9"/>
      <c r="AI73" s="9"/>
    </row>
    <row r="74" ht="15.75" customHeight="1">
      <c r="B74" s="9"/>
      <c r="C74" s="9"/>
      <c r="D74" s="9"/>
      <c r="E74" s="5" t="s">
        <v>150</v>
      </c>
      <c r="F74" s="6">
        <v>80657.0</v>
      </c>
      <c r="G74" s="6">
        <v>50700.0</v>
      </c>
      <c r="H74" s="5" t="s">
        <v>20</v>
      </c>
      <c r="I74" s="5" t="s">
        <v>21</v>
      </c>
      <c r="J74" s="5">
        <v>4.19001673E8</v>
      </c>
      <c r="K74" s="5">
        <v>9346122.0</v>
      </c>
      <c r="L74" s="17"/>
      <c r="M74" s="53"/>
      <c r="N74" s="5" t="b">
        <v>1</v>
      </c>
      <c r="O74" s="19"/>
      <c r="P74" s="7"/>
      <c r="Q74" s="9"/>
      <c r="R74" s="9"/>
      <c r="S74" s="9"/>
      <c r="T74" s="9"/>
      <c r="U74" s="9"/>
      <c r="V74" s="9"/>
      <c r="W74" s="9"/>
      <c r="X74" s="23"/>
      <c r="Y74" s="23" t="str">
        <f>IFERROR(__xludf.DUMMYFUNCTION("""COMPUTED_VALUE"""),"Nanda Devi")</f>
        <v>Nanda Devi</v>
      </c>
      <c r="Z74" s="23"/>
      <c r="AA74" s="23"/>
      <c r="AB74" s="23"/>
      <c r="AC74" s="23" t="str">
        <f>IFERROR(__xludf.DUMMYFUNCTION("""COMPUTED_VALUE"""),"Cheyenne")</f>
        <v>Cheyenne</v>
      </c>
      <c r="AD74" s="25"/>
      <c r="AE74" s="25" t="str">
        <f t="shared" si="1"/>
        <v/>
      </c>
      <c r="AF74" s="23" t="str">
        <f t="shared" si="4"/>
        <v/>
      </c>
      <c r="AG74" s="23" t="str">
        <f t="shared" si="3"/>
        <v/>
      </c>
      <c r="AH74" s="9"/>
      <c r="AI74" s="9"/>
    </row>
    <row r="75" ht="15.75" customHeight="1">
      <c r="B75" s="9"/>
      <c r="C75" s="9"/>
      <c r="D75" s="9"/>
      <c r="E75" s="5" t="s">
        <v>151</v>
      </c>
      <c r="F75" s="6">
        <v>84000.0</v>
      </c>
      <c r="G75" s="6">
        <v>54053.0</v>
      </c>
      <c r="H75" s="5" t="s">
        <v>26</v>
      </c>
      <c r="I75" s="5" t="s">
        <v>21</v>
      </c>
      <c r="J75" s="5">
        <v>5.38006841E8</v>
      </c>
      <c r="K75" s="5">
        <v>9748227.0</v>
      </c>
      <c r="L75" s="5" t="s">
        <v>101</v>
      </c>
      <c r="M75" s="35">
        <v>46137.375</v>
      </c>
      <c r="N75" s="5" t="b">
        <v>0</v>
      </c>
      <c r="O75" s="19"/>
      <c r="P75" s="7"/>
      <c r="Q75" s="9"/>
      <c r="R75" s="9"/>
      <c r="S75" s="9"/>
      <c r="T75" s="9"/>
      <c r="U75" s="9"/>
      <c r="V75" s="9"/>
      <c r="W75" s="9"/>
      <c r="X75" s="23"/>
      <c r="Y75" s="23" t="str">
        <f>IFERROR(__xludf.DUMMYFUNCTION("""COMPUTED_VALUE"""),"Navixon")</f>
        <v>Navixon</v>
      </c>
      <c r="Z75" s="23"/>
      <c r="AA75" s="23"/>
      <c r="AB75" s="23"/>
      <c r="AC75" s="23" t="str">
        <f>IFERROR(__xludf.DUMMYFUNCTION("""COMPUTED_VALUE"""),"Clermont")</f>
        <v>Clermont</v>
      </c>
      <c r="AD75" s="25"/>
      <c r="AE75" s="25" t="str">
        <f t="shared" si="1"/>
        <v/>
      </c>
      <c r="AF75" s="23" t="str">
        <f t="shared" si="4"/>
        <v/>
      </c>
      <c r="AG75" s="23">
        <f t="shared" si="3"/>
        <v>1</v>
      </c>
      <c r="AH75" s="9"/>
      <c r="AI75" s="9"/>
    </row>
    <row r="76" ht="15.75" customHeight="1">
      <c r="B76" s="9"/>
      <c r="C76" s="9"/>
      <c r="D76" s="9"/>
      <c r="E76" s="5" t="s">
        <v>152</v>
      </c>
      <c r="F76" s="6">
        <v>84195.0</v>
      </c>
      <c r="G76" s="6">
        <v>54116.0</v>
      </c>
      <c r="H76" s="5" t="s">
        <v>26</v>
      </c>
      <c r="I76" s="5" t="s">
        <v>21</v>
      </c>
      <c r="J76" s="5">
        <v>2.35115082E8</v>
      </c>
      <c r="K76" s="5">
        <v>9735660.0</v>
      </c>
      <c r="L76" s="5" t="s">
        <v>108</v>
      </c>
      <c r="M76" s="35">
        <v>46140.791666666664</v>
      </c>
      <c r="N76" s="5" t="b">
        <v>0</v>
      </c>
      <c r="O76" s="19"/>
      <c r="P76" s="7"/>
      <c r="Q76" s="9"/>
      <c r="R76" s="9"/>
      <c r="S76" s="9"/>
      <c r="T76" s="9"/>
      <c r="U76" s="9"/>
      <c r="V76" s="9"/>
      <c r="W76" s="9"/>
      <c r="X76" s="23"/>
      <c r="Y76" s="23" t="str">
        <f>IFERROR(__xludf.DUMMYFUNCTION("""COMPUTED_VALUE"""),"Nv Aquamarine")</f>
        <v>Nv Aquamarine</v>
      </c>
      <c r="Z76" s="23"/>
      <c r="AA76" s="23"/>
      <c r="AB76" s="23"/>
      <c r="AC76" s="23" t="str">
        <f>IFERROR(__xludf.DUMMYFUNCTION("""COMPUTED_VALUE"""),"Clipper Explorer")</f>
        <v>Clipper Explorer</v>
      </c>
      <c r="AD76" s="25"/>
      <c r="AE76" s="25" t="str">
        <f t="shared" si="1"/>
        <v/>
      </c>
      <c r="AF76" s="23" t="str">
        <f t="shared" si="4"/>
        <v/>
      </c>
      <c r="AG76" s="23">
        <f t="shared" si="3"/>
        <v>1</v>
      </c>
      <c r="AH76" s="9"/>
      <c r="AI76" s="9"/>
    </row>
    <row r="77" ht="15.75" customHeight="1">
      <c r="B77" s="9"/>
      <c r="C77" s="9"/>
      <c r="D77" s="9"/>
      <c r="E77" s="5" t="s">
        <v>153</v>
      </c>
      <c r="F77" s="6">
        <v>83000.0</v>
      </c>
      <c r="G77" s="6">
        <v>51100.0</v>
      </c>
      <c r="H77" s="5" t="s">
        <v>20</v>
      </c>
      <c r="I77" s="5" t="s">
        <v>21</v>
      </c>
      <c r="J77" s="5">
        <v>5.631013E8</v>
      </c>
      <c r="K77" s="5">
        <v>9810044.0</v>
      </c>
      <c r="L77" s="5" t="s">
        <v>154</v>
      </c>
      <c r="M77" s="35">
        <v>46135.32847222222</v>
      </c>
      <c r="N77" s="5" t="b">
        <v>1</v>
      </c>
      <c r="O77" s="19"/>
      <c r="P77" s="7"/>
      <c r="Q77" s="9"/>
      <c r="R77" s="9"/>
      <c r="S77" s="9"/>
      <c r="T77" s="9"/>
      <c r="U77" s="9"/>
      <c r="V77" s="9"/>
      <c r="W77" s="9"/>
      <c r="X77" s="23"/>
      <c r="Y77" s="23" t="str">
        <f>IFERROR(__xludf.DUMMYFUNCTION("""COMPUTED_VALUE"""),"Ocean Radiance")</f>
        <v>Ocean Radiance</v>
      </c>
      <c r="Z77" s="23"/>
      <c r="AA77" s="23"/>
      <c r="AB77" s="23"/>
      <c r="AC77" s="23" t="str">
        <f>IFERROR(__xludf.DUMMYFUNCTION("""COMPUTED_VALUE"""),"Clipper Freeport")</f>
        <v>Clipper Freeport</v>
      </c>
      <c r="AD77" s="25"/>
      <c r="AE77" s="25" t="str">
        <f t="shared" si="1"/>
        <v/>
      </c>
      <c r="AF77" s="23" t="str">
        <f t="shared" si="4"/>
        <v/>
      </c>
      <c r="AG77" s="23">
        <f t="shared" si="3"/>
        <v>1</v>
      </c>
      <c r="AH77" s="9"/>
      <c r="AI77" s="9"/>
    </row>
    <row r="78" ht="15.75" customHeight="1">
      <c r="B78" s="9"/>
      <c r="C78" s="9"/>
      <c r="D78" s="9"/>
      <c r="E78" s="5" t="s">
        <v>155</v>
      </c>
      <c r="F78" s="6">
        <v>84000.0</v>
      </c>
      <c r="G78" s="6">
        <v>55086.0</v>
      </c>
      <c r="H78" s="5" t="s">
        <v>26</v>
      </c>
      <c r="I78" s="5" t="s">
        <v>21</v>
      </c>
      <c r="J78" s="5">
        <v>3.52001015E8</v>
      </c>
      <c r="K78" s="5">
        <v>9914058.0</v>
      </c>
      <c r="L78" s="5" t="s">
        <v>101</v>
      </c>
      <c r="M78" s="35">
        <v>46136.958333333336</v>
      </c>
      <c r="N78" s="5" t="b">
        <v>0</v>
      </c>
      <c r="O78" s="19"/>
      <c r="P78" s="7"/>
      <c r="Q78" s="9"/>
      <c r="R78" s="9"/>
      <c r="S78" s="9"/>
      <c r="T78" s="9"/>
      <c r="U78" s="9"/>
      <c r="V78" s="9"/>
      <c r="W78" s="9"/>
      <c r="X78" s="23"/>
      <c r="Y78" s="23" t="str">
        <f>IFERROR(__xludf.DUMMYFUNCTION("""COMPUTED_VALUE"""),"Orlando 1")</f>
        <v>Orlando 1</v>
      </c>
      <c r="Z78" s="23"/>
      <c r="AA78" s="23"/>
      <c r="AB78" s="23"/>
      <c r="AC78" s="23" t="str">
        <f>IFERROR(__xludf.DUMMYFUNCTION("""COMPUTED_VALUE"""),"Clipper Posh")</f>
        <v>Clipper Posh</v>
      </c>
      <c r="AD78" s="25"/>
      <c r="AE78" s="25" t="str">
        <f t="shared" si="1"/>
        <v/>
      </c>
      <c r="AF78" s="23" t="str">
        <f t="shared" si="4"/>
        <v/>
      </c>
      <c r="AG78" s="23">
        <f t="shared" si="3"/>
        <v>1</v>
      </c>
      <c r="AH78" s="9"/>
      <c r="AI78" s="9"/>
    </row>
    <row r="79" ht="15.75" customHeight="1">
      <c r="B79" s="9"/>
      <c r="C79" s="9"/>
      <c r="D79" s="9"/>
      <c r="E79" s="5" t="s">
        <v>156</v>
      </c>
      <c r="F79" s="6">
        <v>80595.0</v>
      </c>
      <c r="G79" s="6">
        <v>58691.0</v>
      </c>
      <c r="H79" s="5" t="s">
        <v>26</v>
      </c>
      <c r="I79" s="5" t="s">
        <v>21</v>
      </c>
      <c r="J79" s="5">
        <v>2.55915947E8</v>
      </c>
      <c r="K79" s="5">
        <v>9347504.0</v>
      </c>
      <c r="L79" s="5" t="s">
        <v>38</v>
      </c>
      <c r="M79" s="35">
        <v>46141.708333333336</v>
      </c>
      <c r="N79" s="5" t="b">
        <v>0</v>
      </c>
      <c r="O79" s="19"/>
      <c r="P79" s="7"/>
      <c r="Q79" s="9"/>
      <c r="R79" s="9"/>
      <c r="S79" s="9"/>
      <c r="T79" s="9"/>
      <c r="U79" s="9"/>
      <c r="V79" s="9"/>
      <c r="W79" s="9"/>
      <c r="X79" s="23"/>
      <c r="Y79" s="23" t="str">
        <f>IFERROR(__xludf.DUMMYFUNCTION("""COMPUTED_VALUE"""),"Pawan Putra")</f>
        <v>Pawan Putra</v>
      </c>
      <c r="Z79" s="23"/>
      <c r="AA79" s="23"/>
      <c r="AB79" s="23"/>
      <c r="AC79" s="23" t="str">
        <f>IFERROR(__xludf.DUMMYFUNCTION("""COMPUTED_VALUE"""),"Clipper Quito")</f>
        <v>Clipper Quito</v>
      </c>
      <c r="AD79" s="25"/>
      <c r="AE79" s="25" t="str">
        <f t="shared" si="1"/>
        <v/>
      </c>
      <c r="AF79" s="23" t="str">
        <f t="shared" si="4"/>
        <v/>
      </c>
      <c r="AG79" s="23">
        <f t="shared" si="3"/>
        <v>1</v>
      </c>
      <c r="AH79" s="9"/>
      <c r="AI79" s="9"/>
    </row>
    <row r="80" ht="15.75" customHeight="1">
      <c r="B80" s="9"/>
      <c r="C80" s="9"/>
      <c r="D80" s="9"/>
      <c r="E80" s="5" t="s">
        <v>157</v>
      </c>
      <c r="F80" s="6">
        <v>84000.0</v>
      </c>
      <c r="G80" s="6">
        <v>54000.0</v>
      </c>
      <c r="H80" s="5" t="s">
        <v>26</v>
      </c>
      <c r="I80" s="5" t="s">
        <v>21</v>
      </c>
      <c r="J80" s="5">
        <v>3.11001157E8</v>
      </c>
      <c r="K80" s="5">
        <v>9939917.0</v>
      </c>
      <c r="L80" s="5" t="s">
        <v>38</v>
      </c>
      <c r="M80" s="35">
        <v>46134.666666666664</v>
      </c>
      <c r="N80" s="5" t="b">
        <v>0</v>
      </c>
      <c r="O80" s="19"/>
      <c r="P80" s="7"/>
      <c r="Q80" s="9"/>
      <c r="R80" s="9"/>
      <c r="S80" s="9"/>
      <c r="T80" s="9"/>
      <c r="U80" s="9"/>
      <c r="V80" s="9"/>
      <c r="W80" s="9"/>
      <c r="X80" s="23"/>
      <c r="Y80" s="23" t="str">
        <f>IFERROR(__xludf.DUMMYFUNCTION("""COMPUTED_VALUE"""),"Pinar Gas")</f>
        <v>Pinar Gas</v>
      </c>
      <c r="Z80" s="23"/>
      <c r="AA80" s="23"/>
      <c r="AB80" s="23"/>
      <c r="AC80" s="23" t="str">
        <f>IFERROR(__xludf.DUMMYFUNCTION("""COMPUTED_VALUE"""),"Clipper Valiant")</f>
        <v>Clipper Valiant</v>
      </c>
      <c r="AD80" s="25"/>
      <c r="AE80" s="25" t="str">
        <f t="shared" si="1"/>
        <v/>
      </c>
      <c r="AF80" s="23" t="str">
        <f t="shared" si="4"/>
        <v/>
      </c>
      <c r="AG80" s="23">
        <f t="shared" si="3"/>
        <v>1</v>
      </c>
      <c r="AH80" s="9"/>
      <c r="AI80" s="9"/>
    </row>
    <row r="81" ht="15.75" customHeight="1">
      <c r="B81" s="9"/>
      <c r="C81" s="9"/>
      <c r="D81" s="9"/>
      <c r="E81" s="5" t="s">
        <v>158</v>
      </c>
      <c r="F81" s="6">
        <v>84000.0</v>
      </c>
      <c r="G81" s="6">
        <v>54553.0</v>
      </c>
      <c r="H81" s="5" t="s">
        <v>26</v>
      </c>
      <c r="I81" s="5" t="s">
        <v>21</v>
      </c>
      <c r="J81" s="5">
        <v>3.1100039E8</v>
      </c>
      <c r="K81" s="5">
        <v>9722807.0</v>
      </c>
      <c r="L81" s="5" t="s">
        <v>134</v>
      </c>
      <c r="M81" s="35">
        <v>46168.0</v>
      </c>
      <c r="N81" s="5" t="b">
        <v>0</v>
      </c>
      <c r="O81" s="19"/>
      <c r="P81" s="7"/>
      <c r="Q81" s="9"/>
      <c r="R81" s="9"/>
      <c r="S81" s="9"/>
      <c r="T81" s="9"/>
      <c r="U81" s="9"/>
      <c r="V81" s="9"/>
      <c r="W81" s="9"/>
      <c r="X81" s="23"/>
      <c r="Y81" s="23" t="str">
        <f>IFERROR(__xludf.DUMMYFUNCTION("""COMPUTED_VALUE"""),"Pine Gas")</f>
        <v>Pine Gas</v>
      </c>
      <c r="Z81" s="23"/>
      <c r="AA81" s="23"/>
      <c r="AB81" s="23"/>
      <c r="AC81" s="23" t="str">
        <f>IFERROR(__xludf.DUMMYFUNCTION("""COMPUTED_VALUE"""),"Clipper Vanguard")</f>
        <v>Clipper Vanguard</v>
      </c>
      <c r="AD81" s="25"/>
      <c r="AE81" s="25" t="str">
        <f t="shared" si="1"/>
        <v/>
      </c>
      <c r="AF81" s="23" t="str">
        <f t="shared" si="4"/>
        <v/>
      </c>
      <c r="AG81" s="23">
        <f t="shared" si="3"/>
        <v>1</v>
      </c>
      <c r="AH81" s="9"/>
      <c r="AI81" s="9"/>
    </row>
    <row r="82" ht="15.75" customHeight="1">
      <c r="B82" s="9"/>
      <c r="C82" s="9"/>
      <c r="D82" s="9"/>
      <c r="E82" s="5" t="s">
        <v>159</v>
      </c>
      <c r="F82" s="6">
        <v>75000.0</v>
      </c>
      <c r="G82" s="6">
        <v>54048.0</v>
      </c>
      <c r="H82" s="5" t="s">
        <v>26</v>
      </c>
      <c r="I82" s="5" t="s">
        <v>21</v>
      </c>
      <c r="J82" s="5">
        <v>6.03922E8</v>
      </c>
      <c r="K82" s="5">
        <v>9379404.0</v>
      </c>
      <c r="L82" s="5" t="s">
        <v>160</v>
      </c>
      <c r="M82" s="35">
        <v>46131.791666666664</v>
      </c>
      <c r="N82" s="5" t="b">
        <v>0</v>
      </c>
      <c r="O82" s="19"/>
      <c r="P82" s="7"/>
      <c r="Q82" s="9"/>
      <c r="R82" s="9"/>
      <c r="S82" s="9"/>
      <c r="T82" s="9"/>
      <c r="U82" s="9"/>
      <c r="V82" s="9"/>
      <c r="W82" s="9"/>
      <c r="X82" s="23"/>
      <c r="Y82" s="23" t="str">
        <f>IFERROR(__xludf.DUMMYFUNCTION("""COMPUTED_VALUE"""),"Pyra")</f>
        <v>Pyra</v>
      </c>
      <c r="Z82" s="23"/>
      <c r="AA82" s="23"/>
      <c r="AB82" s="23"/>
      <c r="AC82" s="23" t="str">
        <f>IFERROR(__xludf.DUMMYFUNCTION("""COMPUTED_VALUE"""),"Clipper Viking")</f>
        <v>Clipper Viking</v>
      </c>
      <c r="AD82" s="25"/>
      <c r="AE82" s="25" t="str">
        <f t="shared" si="1"/>
        <v/>
      </c>
      <c r="AF82" s="23" t="str">
        <f t="shared" si="4"/>
        <v/>
      </c>
      <c r="AG82" s="23" t="str">
        <f t="shared" si="3"/>
        <v/>
      </c>
      <c r="AH82" s="9"/>
      <c r="AI82" s="9"/>
    </row>
    <row r="83" ht="15.75" customHeight="1">
      <c r="B83" s="9"/>
      <c r="C83" s="9"/>
      <c r="D83" s="9"/>
      <c r="E83" s="5" t="s">
        <v>161</v>
      </c>
      <c r="F83" s="6">
        <v>84000.0</v>
      </c>
      <c r="G83" s="6">
        <v>54553.0</v>
      </c>
      <c r="H83" s="5" t="s">
        <v>20</v>
      </c>
      <c r="I83" s="5" t="s">
        <v>21</v>
      </c>
      <c r="J83" s="5">
        <v>3.11000393E8</v>
      </c>
      <c r="K83" s="5">
        <v>9722792.0</v>
      </c>
      <c r="L83" s="5" t="s">
        <v>162</v>
      </c>
      <c r="M83" s="35">
        <v>46136.875</v>
      </c>
      <c r="N83" s="5" t="b">
        <v>1</v>
      </c>
      <c r="O83" s="19"/>
      <c r="P83" s="7"/>
      <c r="Q83" s="9"/>
      <c r="R83" s="9"/>
      <c r="S83" s="9"/>
      <c r="T83" s="9"/>
      <c r="U83" s="9"/>
      <c r="V83" s="9"/>
      <c r="W83" s="9"/>
      <c r="X83" s="23"/>
      <c r="Y83" s="23" t="str">
        <f>IFERROR(__xludf.DUMMYFUNCTION("""COMPUTED_VALUE"""),"Quantum Star")</f>
        <v>Quantum Star</v>
      </c>
      <c r="Z83" s="23"/>
      <c r="AA83" s="23"/>
      <c r="AB83" s="23"/>
      <c r="AC83" s="23" t="str">
        <f>IFERROR(__xludf.DUMMYFUNCTION("""COMPUTED_VALUE"""),"Clipper Voyager")</f>
        <v>Clipper Voyager</v>
      </c>
      <c r="AD83" s="25"/>
      <c r="AE83" s="25" t="str">
        <f t="shared" si="1"/>
        <v/>
      </c>
      <c r="AF83" s="23" t="str">
        <f t="shared" si="4"/>
        <v/>
      </c>
      <c r="AG83" s="23">
        <f t="shared" si="3"/>
        <v>1</v>
      </c>
      <c r="AH83" s="9"/>
      <c r="AI83" s="9"/>
    </row>
    <row r="84" ht="15.75" customHeight="1">
      <c r="B84" s="9"/>
      <c r="C84" s="9"/>
      <c r="D84" s="9"/>
      <c r="E84" s="5" t="s">
        <v>163</v>
      </c>
      <c r="F84" s="6">
        <v>83000.0</v>
      </c>
      <c r="G84" s="6">
        <v>53688.0</v>
      </c>
      <c r="H84" s="5" t="s">
        <v>20</v>
      </c>
      <c r="I84" s="5" t="s">
        <v>21</v>
      </c>
      <c r="J84" s="5">
        <v>4.1467E8</v>
      </c>
      <c r="K84" s="5">
        <v>9710397.0</v>
      </c>
      <c r="L84" s="5" t="s">
        <v>67</v>
      </c>
      <c r="M84" s="35">
        <v>46139.416666666664</v>
      </c>
      <c r="N84" s="5" t="b">
        <v>1</v>
      </c>
      <c r="O84" s="19"/>
      <c r="P84" s="7"/>
      <c r="Q84" s="9"/>
      <c r="R84" s="9"/>
      <c r="S84" s="9"/>
      <c r="T84" s="9"/>
      <c r="U84" s="9"/>
      <c r="V84" s="9"/>
      <c r="W84" s="9"/>
      <c r="X84" s="23"/>
      <c r="Y84" s="23" t="str">
        <f>IFERROR(__xludf.DUMMYFUNCTION("""COMPUTED_VALUE"""),"Raine")</f>
        <v>Raine</v>
      </c>
      <c r="Z84" s="23"/>
      <c r="AA84" s="23"/>
      <c r="AB84" s="23"/>
      <c r="AC84" s="23" t="str">
        <f>IFERROR(__xludf.DUMMYFUNCTION("""COMPUTED_VALUE"""),"Clipper Wilma")</f>
        <v>Clipper Wilma</v>
      </c>
      <c r="AD84" s="25"/>
      <c r="AE84" s="25" t="str">
        <f t="shared" si="1"/>
        <v/>
      </c>
      <c r="AF84" s="23" t="str">
        <f t="shared" si="4"/>
        <v/>
      </c>
      <c r="AG84" s="23">
        <f t="shared" si="3"/>
        <v>1</v>
      </c>
      <c r="AH84" s="9"/>
      <c r="AI84" s="9"/>
    </row>
    <row r="85" ht="15.75" customHeight="1">
      <c r="B85" s="9"/>
      <c r="C85" s="9"/>
      <c r="D85" s="9"/>
      <c r="E85" s="5" t="s">
        <v>164</v>
      </c>
      <c r="F85" s="6">
        <v>84126.0</v>
      </c>
      <c r="G85" s="6">
        <v>54584.0</v>
      </c>
      <c r="H85" s="5" t="s">
        <v>26</v>
      </c>
      <c r="I85" s="5" t="s">
        <v>21</v>
      </c>
      <c r="J85" s="5">
        <v>3.11000389E8</v>
      </c>
      <c r="K85" s="5">
        <v>9714393.0</v>
      </c>
      <c r="L85" s="17"/>
      <c r="M85" s="18"/>
      <c r="N85" s="5" t="b">
        <v>0</v>
      </c>
      <c r="O85" s="19"/>
      <c r="P85" s="7"/>
      <c r="Q85" s="9"/>
      <c r="R85" s="9"/>
      <c r="S85" s="9"/>
      <c r="T85" s="9"/>
      <c r="U85" s="9"/>
      <c r="V85" s="9"/>
      <c r="W85" s="9"/>
      <c r="X85" s="23"/>
      <c r="Y85" s="23" t="str">
        <f>IFERROR(__xludf.DUMMYFUNCTION("""COMPUTED_VALUE"""),"Reimei")</f>
        <v>Reimei</v>
      </c>
      <c r="Z85" s="23"/>
      <c r="AA85" s="23"/>
      <c r="AB85" s="23"/>
      <c r="AC85" s="23" t="str">
        <f>IFERROR(__xludf.DUMMYFUNCTION("""COMPUTED_VALUE"""),"Cobra")</f>
        <v>Cobra</v>
      </c>
      <c r="AD85" s="25"/>
      <c r="AE85" s="25" t="str">
        <f t="shared" si="1"/>
        <v/>
      </c>
      <c r="AF85" s="23" t="str">
        <f t="shared" si="4"/>
        <v/>
      </c>
      <c r="AG85" s="23">
        <f t="shared" si="3"/>
        <v>1</v>
      </c>
      <c r="AH85" s="9"/>
      <c r="AI85" s="9"/>
    </row>
    <row r="86" ht="15.75" customHeight="1">
      <c r="B86" s="9"/>
      <c r="C86" s="9"/>
      <c r="D86" s="9"/>
      <c r="E86" s="5" t="s">
        <v>165</v>
      </c>
      <c r="F86" s="6">
        <v>84000.0</v>
      </c>
      <c r="G86" s="6">
        <v>54599.0</v>
      </c>
      <c r="H86" s="5" t="s">
        <v>20</v>
      </c>
      <c r="I86" s="5" t="s">
        <v>21</v>
      </c>
      <c r="J86" s="5">
        <v>3.11000387E8</v>
      </c>
      <c r="K86" s="5">
        <v>9706504.0</v>
      </c>
      <c r="L86" s="5" t="s">
        <v>101</v>
      </c>
      <c r="M86" s="35">
        <v>46132.541666666664</v>
      </c>
      <c r="N86" s="5" t="b">
        <v>1</v>
      </c>
      <c r="O86" s="19"/>
      <c r="P86" s="7"/>
      <c r="Q86" s="9"/>
      <c r="R86" s="9"/>
      <c r="S86" s="9"/>
      <c r="T86" s="9"/>
      <c r="U86" s="9"/>
      <c r="V86" s="9"/>
      <c r="W86" s="9"/>
      <c r="X86" s="23"/>
      <c r="Y86" s="23" t="str">
        <f>IFERROR(__xludf.DUMMYFUNCTION("""COMPUTED_VALUE"""),"Rong Hao")</f>
        <v>Rong Hao</v>
      </c>
      <c r="Z86" s="23"/>
      <c r="AA86" s="23"/>
      <c r="AB86" s="23"/>
      <c r="AC86" s="23" t="str">
        <f>IFERROR(__xludf.DUMMYFUNCTION("""COMPUTED_VALUE"""),"Comet")</f>
        <v>Comet</v>
      </c>
      <c r="AD86" s="25"/>
      <c r="AE86" s="25" t="str">
        <f t="shared" si="1"/>
        <v/>
      </c>
      <c r="AF86" s="23" t="str">
        <f t="shared" si="4"/>
        <v/>
      </c>
      <c r="AG86" s="23">
        <f t="shared" si="3"/>
        <v>1</v>
      </c>
      <c r="AH86" s="9"/>
      <c r="AI86" s="9"/>
    </row>
    <row r="87" ht="15.75" customHeight="1">
      <c r="B87" s="9"/>
      <c r="C87" s="9"/>
      <c r="D87" s="9"/>
      <c r="E87" s="5" t="s">
        <v>166</v>
      </c>
      <c r="F87" s="6">
        <v>84000.0</v>
      </c>
      <c r="G87" s="6">
        <v>54587.0</v>
      </c>
      <c r="H87" s="5" t="s">
        <v>26</v>
      </c>
      <c r="I87" s="5" t="s">
        <v>21</v>
      </c>
      <c r="J87" s="5">
        <v>3.11000391E8</v>
      </c>
      <c r="K87" s="5">
        <v>9706487.0</v>
      </c>
      <c r="L87" s="5" t="s">
        <v>101</v>
      </c>
      <c r="M87" s="35">
        <v>46139.625</v>
      </c>
      <c r="N87" s="5" t="b">
        <v>0</v>
      </c>
      <c r="O87" s="19"/>
      <c r="P87" s="7"/>
      <c r="Q87" s="9"/>
      <c r="R87" s="9"/>
      <c r="S87" s="9"/>
      <c r="T87" s="9"/>
      <c r="U87" s="9"/>
      <c r="V87" s="9"/>
      <c r="W87" s="9"/>
      <c r="X87" s="23"/>
      <c r="Y87" s="23" t="str">
        <f>IFERROR(__xludf.DUMMYFUNCTION("""COMPUTED_VALUE"""),"Sahyadri")</f>
        <v>Sahyadri</v>
      </c>
      <c r="Z87" s="23"/>
      <c r="AA87" s="23"/>
      <c r="AB87" s="23"/>
      <c r="AC87" s="23" t="str">
        <f>IFERROR(__xludf.DUMMYFUNCTION("""COMPUTED_VALUE"""),"Commander")</f>
        <v>Commander</v>
      </c>
      <c r="AD87" s="25"/>
      <c r="AE87" s="25" t="str">
        <f t="shared" si="1"/>
        <v/>
      </c>
      <c r="AF87" s="23" t="str">
        <f t="shared" si="4"/>
        <v/>
      </c>
      <c r="AG87" s="23">
        <f t="shared" si="3"/>
        <v>1</v>
      </c>
      <c r="AH87" s="9"/>
      <c r="AI87" s="9"/>
    </row>
    <row r="88" ht="15.75" customHeight="1">
      <c r="B88" s="9"/>
      <c r="C88" s="9"/>
      <c r="D88" s="9"/>
      <c r="E88" s="5" t="s">
        <v>167</v>
      </c>
      <c r="F88" s="6">
        <v>80000.0</v>
      </c>
      <c r="G88" s="6">
        <v>50513.0</v>
      </c>
      <c r="H88" s="5" t="s">
        <v>26</v>
      </c>
      <c r="I88" s="5" t="s">
        <v>21</v>
      </c>
      <c r="J88" s="5">
        <v>2.57968E8</v>
      </c>
      <c r="K88" s="5">
        <v>9852949.0</v>
      </c>
      <c r="L88" s="5" t="s">
        <v>134</v>
      </c>
      <c r="M88" s="35">
        <v>46152.0</v>
      </c>
      <c r="N88" s="5" t="b">
        <v>0</v>
      </c>
      <c r="O88" s="19"/>
      <c r="P88" s="7"/>
      <c r="Q88" s="9"/>
      <c r="R88" s="9"/>
      <c r="S88" s="9"/>
      <c r="T88" s="9"/>
      <c r="U88" s="9"/>
      <c r="V88" s="9"/>
      <c r="W88" s="9"/>
      <c r="X88" s="23"/>
      <c r="Y88" s="23" t="str">
        <f>IFERROR(__xludf.DUMMYFUNCTION("""COMPUTED_VALUE"""),"Salute")</f>
        <v>Salute</v>
      </c>
      <c r="Z88" s="23"/>
      <c r="AA88" s="23"/>
      <c r="AB88" s="23"/>
      <c r="AC88" s="23" t="str">
        <f>IFERROR(__xludf.DUMMYFUNCTION("""COMPUTED_VALUE"""),"Commodore")</f>
        <v>Commodore</v>
      </c>
      <c r="AD88" s="25"/>
      <c r="AE88" s="25" t="str">
        <f t="shared" si="1"/>
        <v/>
      </c>
      <c r="AF88" s="23" t="str">
        <f t="shared" si="4"/>
        <v/>
      </c>
      <c r="AG88" s="23">
        <f t="shared" si="3"/>
        <v>1</v>
      </c>
      <c r="AH88" s="9"/>
      <c r="AI88" s="9"/>
    </row>
    <row r="89" ht="15.75" customHeight="1">
      <c r="B89" s="9"/>
      <c r="C89" s="9"/>
      <c r="D89" s="9"/>
      <c r="E89" s="5" t="s">
        <v>168</v>
      </c>
      <c r="F89" s="6">
        <v>78000.0</v>
      </c>
      <c r="G89" s="6">
        <v>50891.0</v>
      </c>
      <c r="H89" s="5" t="s">
        <v>20</v>
      </c>
      <c r="I89" s="5" t="s">
        <v>21</v>
      </c>
      <c r="J89" s="5">
        <v>2.59104E8</v>
      </c>
      <c r="K89" s="5">
        <v>9789154.0</v>
      </c>
      <c r="L89" s="5" t="s">
        <v>169</v>
      </c>
      <c r="M89" s="35">
        <v>46148.583333333336</v>
      </c>
      <c r="N89" s="5" t="b">
        <v>1</v>
      </c>
      <c r="O89" s="19"/>
      <c r="P89" s="7"/>
      <c r="Q89" s="9"/>
      <c r="R89" s="9"/>
      <c r="S89" s="9"/>
      <c r="T89" s="9"/>
      <c r="U89" s="9"/>
      <c r="V89" s="9"/>
      <c r="W89" s="9"/>
      <c r="X89" s="23"/>
      <c r="Y89" s="23" t="str">
        <f>IFERROR(__xludf.DUMMYFUNCTION("""COMPUTED_VALUE"""),"Sarv Shakti")</f>
        <v>Sarv Shakti</v>
      </c>
      <c r="Z89" s="23"/>
      <c r="AA89" s="23"/>
      <c r="AB89" s="23"/>
      <c r="AC89" s="23" t="str">
        <f>IFERROR(__xludf.DUMMYFUNCTION("""COMPUTED_VALUE"""),"Concorde")</f>
        <v>Concorde</v>
      </c>
      <c r="AD89" s="25"/>
      <c r="AE89" s="25" t="str">
        <f t="shared" si="1"/>
        <v/>
      </c>
      <c r="AF89" s="23" t="str">
        <f t="shared" si="4"/>
        <v/>
      </c>
      <c r="AG89" s="23">
        <f t="shared" si="3"/>
        <v>1</v>
      </c>
      <c r="AH89" s="9"/>
      <c r="AI89" s="9"/>
    </row>
    <row r="90" ht="15.75" customHeight="1">
      <c r="B90" s="9"/>
      <c r="C90" s="9"/>
      <c r="D90" s="9"/>
      <c r="E90" s="5" t="s">
        <v>170</v>
      </c>
      <c r="F90" s="6">
        <v>88000.0</v>
      </c>
      <c r="G90" s="6">
        <v>51497.0</v>
      </c>
      <c r="H90" s="5" t="s">
        <v>72</v>
      </c>
      <c r="I90" s="5" t="s">
        <v>73</v>
      </c>
      <c r="J90" s="5">
        <v>2.58233E8</v>
      </c>
      <c r="K90" s="5">
        <v>1026817.0</v>
      </c>
      <c r="L90" s="17"/>
      <c r="M90" s="18"/>
      <c r="N90" s="5" t="b">
        <v>0</v>
      </c>
      <c r="O90" s="19"/>
      <c r="P90" s="7"/>
      <c r="Q90" s="9"/>
      <c r="R90" s="9"/>
      <c r="S90" s="9"/>
      <c r="T90" s="9"/>
      <c r="U90" s="9"/>
      <c r="V90" s="9"/>
      <c r="W90" s="9"/>
      <c r="X90" s="23"/>
      <c r="Y90" s="23" t="str">
        <f>IFERROR(__xludf.DUMMYFUNCTION("""COMPUTED_VALUE"""),"Sea Opera")</f>
        <v>Sea Opera</v>
      </c>
      <c r="Z90" s="23"/>
      <c r="AA90" s="23"/>
      <c r="AB90" s="23"/>
      <c r="AC90" s="23" t="str">
        <f>IFERROR(__xludf.DUMMYFUNCTION("""COMPUTED_VALUE"""),"Constellation")</f>
        <v>Constellation</v>
      </c>
      <c r="AD90" s="25"/>
      <c r="AE90" s="25" t="str">
        <f t="shared" si="1"/>
        <v/>
      </c>
      <c r="AF90" s="23" t="str">
        <f t="shared" si="4"/>
        <v/>
      </c>
      <c r="AG90" s="23" t="str">
        <f t="shared" si="3"/>
        <v/>
      </c>
      <c r="AH90" s="9"/>
      <c r="AI90" s="9"/>
    </row>
    <row r="91" ht="15.75" customHeight="1">
      <c r="B91" s="9"/>
      <c r="C91" s="9"/>
      <c r="D91" s="9"/>
      <c r="E91" s="5" t="s">
        <v>171</v>
      </c>
      <c r="F91" s="6">
        <v>88000.0</v>
      </c>
      <c r="G91" s="6">
        <v>51497.0</v>
      </c>
      <c r="H91" s="5" t="s">
        <v>72</v>
      </c>
      <c r="I91" s="5" t="s">
        <v>73</v>
      </c>
      <c r="J91" s="5">
        <v>2.5749285E8</v>
      </c>
      <c r="K91" s="5">
        <v>1026829.0</v>
      </c>
      <c r="L91" s="17"/>
      <c r="M91" s="18"/>
      <c r="N91" s="5" t="b">
        <v>0</v>
      </c>
      <c r="O91" s="19"/>
      <c r="P91" s="7"/>
      <c r="Q91" s="9"/>
      <c r="R91" s="9"/>
      <c r="S91" s="9"/>
      <c r="T91" s="9"/>
      <c r="U91" s="9"/>
      <c r="V91" s="9"/>
      <c r="W91" s="9"/>
      <c r="X91" s="23"/>
      <c r="Y91" s="23" t="str">
        <f>IFERROR(__xludf.DUMMYFUNCTION("""COMPUTED_VALUE"""),"Seabus")</f>
        <v>Seabus</v>
      </c>
      <c r="Z91" s="23"/>
      <c r="AA91" s="23"/>
      <c r="AB91" s="23"/>
      <c r="AC91" s="23" t="str">
        <f>IFERROR(__xludf.DUMMYFUNCTION("""COMPUTED_VALUE"""),"Constitution")</f>
        <v>Constitution</v>
      </c>
      <c r="AD91" s="25"/>
      <c r="AE91" s="25" t="str">
        <f t="shared" si="1"/>
        <v/>
      </c>
      <c r="AF91" s="23" t="str">
        <f t="shared" si="4"/>
        <v/>
      </c>
      <c r="AG91" s="23" t="str">
        <f t="shared" si="3"/>
        <v/>
      </c>
      <c r="AH91" s="9"/>
      <c r="AI91" s="9"/>
    </row>
    <row r="92" ht="15.75" customHeight="1">
      <c r="B92" s="9"/>
      <c r="C92" s="9"/>
      <c r="D92" s="9"/>
      <c r="E92" s="5" t="s">
        <v>172</v>
      </c>
      <c r="F92" s="6">
        <v>88000.0</v>
      </c>
      <c r="G92" s="6">
        <v>51497.0</v>
      </c>
      <c r="H92" s="5" t="s">
        <v>72</v>
      </c>
      <c r="I92" s="5" t="s">
        <v>73</v>
      </c>
      <c r="J92" s="17"/>
      <c r="K92" s="5">
        <v>1032751.0</v>
      </c>
      <c r="L92" s="17"/>
      <c r="M92" s="18"/>
      <c r="N92" s="5" t="b">
        <v>0</v>
      </c>
      <c r="O92" s="19"/>
      <c r="P92" s="7"/>
      <c r="Q92" s="9"/>
      <c r="R92" s="9"/>
      <c r="S92" s="9"/>
      <c r="T92" s="9"/>
      <c r="U92" s="9"/>
      <c r="V92" s="9"/>
      <c r="W92" s="9"/>
      <c r="X92" s="23"/>
      <c r="Y92" s="23" t="str">
        <f>IFERROR(__xludf.DUMMYFUNCTION("""COMPUTED_VALUE"""),"Shivalik")</f>
        <v>Shivalik</v>
      </c>
      <c r="Z92" s="23"/>
      <c r="AA92" s="23"/>
      <c r="AB92" s="23"/>
      <c r="AC92" s="23" t="str">
        <f>IFERROR(__xludf.DUMMYFUNCTION("""COMPUTED_VALUE"""),"Continental")</f>
        <v>Continental</v>
      </c>
      <c r="AD92" s="25"/>
      <c r="AE92" s="25" t="str">
        <f t="shared" si="1"/>
        <v/>
      </c>
      <c r="AF92" s="23" t="str">
        <f t="shared" si="4"/>
        <v/>
      </c>
      <c r="AG92" s="23" t="str">
        <f t="shared" si="3"/>
        <v/>
      </c>
      <c r="AH92" s="9"/>
      <c r="AI92" s="9"/>
    </row>
    <row r="93" ht="15.75" customHeight="1">
      <c r="B93" s="9"/>
      <c r="C93" s="9"/>
      <c r="D93" s="9"/>
      <c r="E93" s="5" t="s">
        <v>173</v>
      </c>
      <c r="F93" s="6">
        <v>88000.0</v>
      </c>
      <c r="G93" s="6">
        <v>56844.0</v>
      </c>
      <c r="H93" s="5" t="s">
        <v>72</v>
      </c>
      <c r="I93" s="5" t="s">
        <v>73</v>
      </c>
      <c r="J93" s="17"/>
      <c r="K93" s="5">
        <v>1048102.0</v>
      </c>
      <c r="L93" s="17"/>
      <c r="M93" s="18"/>
      <c r="N93" s="5" t="b">
        <v>0</v>
      </c>
      <c r="O93" s="19"/>
      <c r="P93" s="7"/>
      <c r="Q93" s="9"/>
      <c r="R93" s="9"/>
      <c r="S93" s="9"/>
      <c r="T93" s="9"/>
      <c r="U93" s="9"/>
      <c r="V93" s="9"/>
      <c r="W93" s="9"/>
      <c r="X93" s="23"/>
      <c r="Y93" s="23" t="str">
        <f>IFERROR(__xludf.DUMMYFUNCTION("""COMPUTED_VALUE"""),"Sia")</f>
        <v>Sia</v>
      </c>
      <c r="Z93" s="23"/>
      <c r="AA93" s="23"/>
      <c r="AB93" s="23"/>
      <c r="AC93" s="23" t="str">
        <f>IFERROR(__xludf.DUMMYFUNCTION("""COMPUTED_VALUE"""),"Copernicus")</f>
        <v>Copernicus</v>
      </c>
      <c r="AD93" s="25"/>
      <c r="AE93" s="25" t="str">
        <f t="shared" si="1"/>
        <v/>
      </c>
      <c r="AF93" s="23" t="str">
        <f t="shared" si="4"/>
        <v/>
      </c>
      <c r="AG93" s="23" t="str">
        <f t="shared" si="3"/>
        <v/>
      </c>
      <c r="AH93" s="9"/>
      <c r="AI93" s="9"/>
    </row>
    <row r="94" ht="15.75" customHeight="1">
      <c r="B94" s="9"/>
      <c r="C94" s="9"/>
      <c r="D94" s="9"/>
      <c r="E94" s="5" t="s">
        <v>174</v>
      </c>
      <c r="F94" s="6">
        <v>88000.0</v>
      </c>
      <c r="G94" s="6">
        <v>56844.0</v>
      </c>
      <c r="H94" s="5" t="s">
        <v>72</v>
      </c>
      <c r="I94" s="5" t="s">
        <v>73</v>
      </c>
      <c r="J94" s="17"/>
      <c r="K94" s="5">
        <v>1048097.0</v>
      </c>
      <c r="L94" s="17"/>
      <c r="M94" s="18"/>
      <c r="N94" s="5" t="b">
        <v>0</v>
      </c>
      <c r="O94" s="19"/>
      <c r="P94" s="7"/>
      <c r="Q94" s="9"/>
      <c r="R94" s="9"/>
      <c r="S94" s="9"/>
      <c r="T94" s="9"/>
      <c r="U94" s="9"/>
      <c r="V94" s="9"/>
      <c r="W94" s="9"/>
      <c r="X94" s="23"/>
      <c r="Y94" s="23" t="str">
        <f>IFERROR(__xludf.DUMMYFUNCTION("""COMPUTED_VALUE"""),"Siona")</f>
        <v>Siona</v>
      </c>
      <c r="Z94" s="23"/>
      <c r="AA94" s="23"/>
      <c r="AB94" s="23"/>
      <c r="AC94" s="23" t="str">
        <f>IFERROR(__xludf.DUMMYFUNCTION("""COMPUTED_VALUE"""),"Corfu Gas")</f>
        <v>Corfu Gas</v>
      </c>
      <c r="AD94" s="25"/>
      <c r="AE94" s="25" t="str">
        <f t="shared" si="1"/>
        <v/>
      </c>
      <c r="AF94" s="23" t="str">
        <f t="shared" si="4"/>
        <v/>
      </c>
      <c r="AG94" s="23" t="str">
        <f t="shared" si="3"/>
        <v/>
      </c>
      <c r="AH94" s="9"/>
      <c r="AI94" s="9"/>
    </row>
    <row r="95" ht="15.75" customHeight="1">
      <c r="B95" s="9"/>
      <c r="C95" s="9"/>
      <c r="D95" s="9"/>
      <c r="E95" s="5" t="s">
        <v>175</v>
      </c>
      <c r="F95" s="6">
        <v>88000.0</v>
      </c>
      <c r="G95" s="6">
        <v>51497.0</v>
      </c>
      <c r="H95" s="5" t="s">
        <v>72</v>
      </c>
      <c r="I95" s="5" t="s">
        <v>73</v>
      </c>
      <c r="J95" s="17"/>
      <c r="K95" s="5">
        <v>1032763.0</v>
      </c>
      <c r="L95" s="17"/>
      <c r="M95" s="18"/>
      <c r="N95" s="5" t="b">
        <v>0</v>
      </c>
      <c r="O95" s="19"/>
      <c r="P95" s="7"/>
      <c r="Q95" s="9"/>
      <c r="R95" s="9"/>
      <c r="S95" s="9"/>
      <c r="T95" s="9"/>
      <c r="U95" s="9"/>
      <c r="V95" s="9"/>
      <c r="W95" s="9"/>
      <c r="X95" s="23"/>
      <c r="Y95" s="23" t="str">
        <f>IFERROR(__xludf.DUMMYFUNCTION("""COMPUTED_VALUE"""),"Sogl")</f>
        <v>Sogl</v>
      </c>
      <c r="Z95" s="23"/>
      <c r="AA95" s="23"/>
      <c r="AB95" s="23"/>
      <c r="AC95" s="23" t="str">
        <f>IFERROR(__xludf.DUMMYFUNCTION("""COMPUTED_VALUE"""),"Corsair")</f>
        <v>Corsair</v>
      </c>
      <c r="AD95" s="25"/>
      <c r="AE95" s="25" t="str">
        <f t="shared" si="1"/>
        <v/>
      </c>
      <c r="AF95" s="23" t="str">
        <f t="shared" si="4"/>
        <v/>
      </c>
      <c r="AG95" s="23" t="str">
        <f t="shared" si="3"/>
        <v/>
      </c>
      <c r="AH95" s="9"/>
      <c r="AI95" s="9"/>
    </row>
    <row r="96" ht="15.75" customHeight="1">
      <c r="B96" s="9"/>
      <c r="C96" s="9"/>
      <c r="D96" s="9"/>
      <c r="E96" s="5" t="s">
        <v>176</v>
      </c>
      <c r="F96" s="6">
        <v>88000.0</v>
      </c>
      <c r="G96" s="6">
        <v>51497.0</v>
      </c>
      <c r="H96" s="5" t="s">
        <v>26</v>
      </c>
      <c r="I96" s="5" t="s">
        <v>21</v>
      </c>
      <c r="J96" s="5">
        <v>2.5822E8</v>
      </c>
      <c r="K96" s="5">
        <v>1026805.0</v>
      </c>
      <c r="L96" s="5" t="s">
        <v>101</v>
      </c>
      <c r="M96" s="35">
        <v>46139.041666666664</v>
      </c>
      <c r="N96" s="5" t="b">
        <v>0</v>
      </c>
      <c r="O96" s="19"/>
      <c r="P96" s="7"/>
      <c r="Q96" s="9"/>
      <c r="R96" s="9"/>
      <c r="S96" s="9"/>
      <c r="T96" s="9"/>
      <c r="U96" s="9"/>
      <c r="V96" s="9"/>
      <c r="W96" s="9"/>
      <c r="X96" s="23"/>
      <c r="Y96" s="23" t="str">
        <f>IFERROR(__xludf.DUMMYFUNCTION("""COMPUTED_VALUE"""),"Tara Gas")</f>
        <v>Tara Gas</v>
      </c>
      <c r="Z96" s="23"/>
      <c r="AA96" s="23"/>
      <c r="AB96" s="23"/>
      <c r="AC96" s="23" t="str">
        <f>IFERROR(__xludf.DUMMYFUNCTION("""COMPUTED_VALUE"""),"Corvette")</f>
        <v>Corvette</v>
      </c>
      <c r="AD96" s="25"/>
      <c r="AE96" s="25" t="str">
        <f t="shared" si="1"/>
        <v/>
      </c>
      <c r="AF96" s="23" t="str">
        <f t="shared" si="4"/>
        <v/>
      </c>
      <c r="AG96" s="23" t="str">
        <f t="shared" si="3"/>
        <v/>
      </c>
      <c r="AH96" s="9"/>
      <c r="AI96" s="9"/>
    </row>
    <row r="97" ht="15.75" customHeight="1">
      <c r="B97" s="9"/>
      <c r="C97" s="9"/>
      <c r="D97" s="9"/>
      <c r="E97" s="5" t="s">
        <v>177</v>
      </c>
      <c r="F97" s="6">
        <v>84000.0</v>
      </c>
      <c r="G97" s="6">
        <v>54999.0</v>
      </c>
      <c r="H97" s="5" t="s">
        <v>20</v>
      </c>
      <c r="I97" s="5" t="s">
        <v>21</v>
      </c>
      <c r="J97" s="5">
        <v>2.57919E8</v>
      </c>
      <c r="K97" s="5">
        <v>9656747.0</v>
      </c>
      <c r="L97" s="17"/>
      <c r="M97" s="18"/>
      <c r="N97" s="5" t="b">
        <v>1</v>
      </c>
      <c r="O97" s="19"/>
      <c r="P97" s="7"/>
      <c r="Q97" s="9"/>
      <c r="R97" s="9"/>
      <c r="S97" s="9"/>
      <c r="T97" s="9"/>
      <c r="U97" s="9"/>
      <c r="V97" s="9"/>
      <c r="W97" s="9"/>
      <c r="X97" s="23"/>
      <c r="Y97" s="23" t="str">
        <f>IFERROR(__xludf.DUMMYFUNCTION("""COMPUTED_VALUE"""),"The Gas Amelia")</f>
        <v>The Gas Amelia</v>
      </c>
      <c r="Z97" s="23"/>
      <c r="AA97" s="23"/>
      <c r="AB97" s="23"/>
      <c r="AC97" s="23" t="str">
        <f>IFERROR(__xludf.DUMMYFUNCTION("""COMPUTED_VALUE"""),"Cougar")</f>
        <v>Cougar</v>
      </c>
      <c r="AD97" s="25"/>
      <c r="AE97" s="25" t="str">
        <f t="shared" si="1"/>
        <v/>
      </c>
      <c r="AF97" s="23" t="str">
        <f t="shared" si="4"/>
        <v/>
      </c>
      <c r="AG97" s="23">
        <f t="shared" si="3"/>
        <v>1</v>
      </c>
      <c r="AH97" s="9"/>
      <c r="AI97" s="9"/>
    </row>
    <row r="98" ht="15.75" customHeight="1">
      <c r="B98" s="9"/>
      <c r="C98" s="9"/>
      <c r="D98" s="9"/>
      <c r="E98" s="5" t="s">
        <v>178</v>
      </c>
      <c r="F98" s="6">
        <v>84000.0</v>
      </c>
      <c r="G98" s="6">
        <v>55047.0</v>
      </c>
      <c r="H98" s="5" t="s">
        <v>26</v>
      </c>
      <c r="I98" s="5" t="s">
        <v>21</v>
      </c>
      <c r="J98" s="5">
        <v>2.57928E8</v>
      </c>
      <c r="K98" s="5">
        <v>9630755.0</v>
      </c>
      <c r="L98" s="5" t="s">
        <v>101</v>
      </c>
      <c r="M98" s="35">
        <v>46134.75</v>
      </c>
      <c r="N98" s="5" t="b">
        <v>0</v>
      </c>
      <c r="O98" s="19"/>
      <c r="P98" s="7"/>
      <c r="Q98" s="9"/>
      <c r="R98" s="9"/>
      <c r="S98" s="9"/>
      <c r="T98" s="9"/>
      <c r="U98" s="9"/>
      <c r="V98" s="9"/>
      <c r="W98" s="9"/>
      <c r="X98" s="23"/>
      <c r="Y98" s="23" t="str">
        <f>IFERROR(__xludf.DUMMYFUNCTION("""COMPUTED_VALUE"""),"Tulip")</f>
        <v>Tulip</v>
      </c>
      <c r="Z98" s="23"/>
      <c r="AA98" s="23"/>
      <c r="AB98" s="23"/>
      <c r="AC98" s="23" t="str">
        <f>IFERROR(__xludf.DUMMYFUNCTION("""COMPUTED_VALUE"""),"Cratis")</f>
        <v>Cratis</v>
      </c>
      <c r="AD98" s="25"/>
      <c r="AE98" s="25" t="str">
        <f t="shared" si="1"/>
        <v/>
      </c>
      <c r="AF98" s="23" t="str">
        <f t="shared" si="4"/>
        <v/>
      </c>
      <c r="AG98" s="23">
        <f t="shared" si="3"/>
        <v>1</v>
      </c>
      <c r="AH98" s="9"/>
      <c r="AI98" s="9"/>
    </row>
    <row r="99" ht="15.75" customHeight="1">
      <c r="B99" s="9"/>
      <c r="C99" s="9"/>
      <c r="D99" s="9"/>
      <c r="E99" s="5" t="s">
        <v>179</v>
      </c>
      <c r="F99" s="6">
        <v>84765.0</v>
      </c>
      <c r="G99" s="6">
        <v>50877.0</v>
      </c>
      <c r="H99" s="5" t="s">
        <v>20</v>
      </c>
      <c r="I99" s="5" t="s">
        <v>21</v>
      </c>
      <c r="J99" s="5">
        <v>6.36018565E8</v>
      </c>
      <c r="K99" s="5">
        <v>9835173.0</v>
      </c>
      <c r="L99" s="5" t="s">
        <v>38</v>
      </c>
      <c r="M99" s="35">
        <v>46142.791666666664</v>
      </c>
      <c r="N99" s="5" t="b">
        <v>1</v>
      </c>
      <c r="O99" s="19"/>
      <c r="P99" s="7"/>
      <c r="Q99" s="9"/>
      <c r="R99" s="9"/>
      <c r="S99" s="9"/>
      <c r="T99" s="9"/>
      <c r="U99" s="9"/>
      <c r="V99" s="9"/>
      <c r="W99" s="9"/>
      <c r="X99" s="23"/>
      <c r="Y99" s="23" t="str">
        <f>IFERROR(__xludf.DUMMYFUNCTION("""COMPUTED_VALUE"""),"Valano")</f>
        <v>Valano</v>
      </c>
      <c r="Z99" s="23"/>
      <c r="AA99" s="23"/>
      <c r="AB99" s="23"/>
      <c r="AC99" s="23" t="str">
        <f>IFERROR(__xludf.DUMMYFUNCTION("""COMPUTED_VALUE"""),"Cresques")</f>
        <v>Cresques</v>
      </c>
      <c r="AD99" s="25"/>
      <c r="AE99" s="25" t="str">
        <f t="shared" si="1"/>
        <v/>
      </c>
      <c r="AF99" s="23" t="str">
        <f t="shared" si="4"/>
        <v/>
      </c>
      <c r="AG99" s="23">
        <f t="shared" si="3"/>
        <v>1</v>
      </c>
      <c r="AH99" s="9"/>
      <c r="AI99" s="9"/>
    </row>
    <row r="100" ht="15.75" customHeight="1">
      <c r="B100" s="9"/>
      <c r="C100" s="9"/>
      <c r="D100" s="9"/>
      <c r="E100" s="5" t="s">
        <v>180</v>
      </c>
      <c r="F100" s="6">
        <v>78000.0</v>
      </c>
      <c r="G100" s="6">
        <v>50891.0</v>
      </c>
      <c r="H100" s="5" t="s">
        <v>26</v>
      </c>
      <c r="I100" s="5" t="s">
        <v>21</v>
      </c>
      <c r="J100" s="5">
        <v>2.59138E8</v>
      </c>
      <c r="K100" s="5">
        <v>9789166.0</v>
      </c>
      <c r="L100" s="5" t="s">
        <v>52</v>
      </c>
      <c r="M100" s="38">
        <v>46139.958333333336</v>
      </c>
      <c r="N100" s="5" t="b">
        <v>0</v>
      </c>
      <c r="O100" s="19"/>
      <c r="P100" s="7"/>
      <c r="Q100" s="9"/>
      <c r="R100" s="9"/>
      <c r="S100" s="9"/>
      <c r="T100" s="9"/>
      <c r="U100" s="9"/>
      <c r="V100" s="9"/>
      <c r="W100" s="9"/>
      <c r="X100" s="23"/>
      <c r="Y100" s="23" t="str">
        <f>IFERROR(__xludf.DUMMYFUNCTION("""COMPUTED_VALUE"""),"Viet Dragon 68")</f>
        <v>Viet Dragon 68</v>
      </c>
      <c r="Z100" s="23"/>
      <c r="AA100" s="23"/>
      <c r="AB100" s="23"/>
      <c r="AC100" s="23" t="str">
        <f>IFERROR(__xludf.DUMMYFUNCTION("""COMPUTED_VALUE"""),"Cristobal")</f>
        <v>Cristobal</v>
      </c>
      <c r="AD100" s="25"/>
      <c r="AE100" s="25" t="str">
        <f t="shared" si="1"/>
        <v/>
      </c>
      <c r="AF100" s="23" t="str">
        <f t="shared" si="4"/>
        <v/>
      </c>
      <c r="AG100" s="23">
        <f t="shared" si="3"/>
        <v>1</v>
      </c>
      <c r="AH100" s="9"/>
      <c r="AI100" s="9"/>
    </row>
    <row r="101" ht="15.75" customHeight="1">
      <c r="B101" s="9"/>
      <c r="C101" s="9"/>
      <c r="D101" s="9"/>
      <c r="E101" s="5" t="s">
        <v>181</v>
      </c>
      <c r="F101" s="6">
        <v>80546.0</v>
      </c>
      <c r="G101" s="6">
        <v>54650.0</v>
      </c>
      <c r="H101" s="5" t="s">
        <v>20</v>
      </c>
      <c r="I101" s="5" t="s">
        <v>21</v>
      </c>
      <c r="J101" s="5">
        <v>6.36018568E8</v>
      </c>
      <c r="K101" s="5">
        <v>9840879.0</v>
      </c>
      <c r="L101" s="5" t="s">
        <v>114</v>
      </c>
      <c r="M101" s="35">
        <v>46134.25</v>
      </c>
      <c r="N101" s="5" t="b">
        <v>1</v>
      </c>
      <c r="O101" s="19"/>
      <c r="P101" s="7"/>
      <c r="Q101" s="9"/>
      <c r="R101" s="9"/>
      <c r="S101" s="9"/>
      <c r="T101" s="9"/>
      <c r="U101" s="9"/>
      <c r="V101" s="9"/>
      <c r="W101" s="9"/>
      <c r="X101" s="23"/>
      <c r="Y101" s="23" t="str">
        <f>IFERROR(__xludf.DUMMYFUNCTION("""COMPUTED_VALUE"""),"Xavia")</f>
        <v>Xavia</v>
      </c>
      <c r="Z101" s="23"/>
      <c r="AA101" s="23"/>
      <c r="AB101" s="23"/>
      <c r="AC101" s="23" t="str">
        <f>IFERROR(__xludf.DUMMYFUNCTION("""COMPUTED_VALUE"""),"Crystal Angel")</f>
        <v>Crystal Angel</v>
      </c>
      <c r="AD101" s="25"/>
      <c r="AE101" s="25" t="str">
        <f t="shared" si="1"/>
        <v/>
      </c>
      <c r="AF101" s="23" t="str">
        <f t="shared" si="4"/>
        <v/>
      </c>
      <c r="AG101" s="23">
        <f t="shared" si="3"/>
        <v>1</v>
      </c>
      <c r="AH101" s="9"/>
      <c r="AI101" s="9"/>
    </row>
    <row r="102" ht="15.75" customHeight="1">
      <c r="B102" s="9"/>
      <c r="C102" s="9"/>
      <c r="D102" s="9"/>
      <c r="E102" s="5" t="s">
        <v>182</v>
      </c>
      <c r="F102" s="6">
        <v>84794.0</v>
      </c>
      <c r="G102" s="6">
        <v>54406.0</v>
      </c>
      <c r="H102" s="5" t="s">
        <v>20</v>
      </c>
      <c r="I102" s="5" t="s">
        <v>21</v>
      </c>
      <c r="J102" s="5">
        <v>6.36018566E8</v>
      </c>
      <c r="K102" s="5">
        <v>9835185.0</v>
      </c>
      <c r="L102" s="5" t="s">
        <v>183</v>
      </c>
      <c r="M102" s="38">
        <v>46155.1875</v>
      </c>
      <c r="N102" s="5" t="b">
        <v>1</v>
      </c>
      <c r="O102" s="19"/>
      <c r="P102" s="7"/>
      <c r="Q102" s="9"/>
      <c r="R102" s="9"/>
      <c r="S102" s="9"/>
      <c r="T102" s="9"/>
      <c r="U102" s="9"/>
      <c r="V102" s="9"/>
      <c r="W102" s="9"/>
      <c r="X102" s="23"/>
      <c r="Y102" s="23" t="str">
        <f>IFERROR(__xludf.DUMMYFUNCTION("""COMPUTED_VALUE"""),"Xi Wang Mu")</f>
        <v>Xi Wang Mu</v>
      </c>
      <c r="Z102" s="23"/>
      <c r="AA102" s="23"/>
      <c r="AB102" s="23"/>
      <c r="AC102" s="23" t="str">
        <f>IFERROR(__xludf.DUMMYFUNCTION("""COMPUTED_VALUE"""),"Crystal Asteria")</f>
        <v>Crystal Asteria</v>
      </c>
      <c r="AD102" s="25"/>
      <c r="AE102" s="25" t="str">
        <f t="shared" si="1"/>
        <v/>
      </c>
      <c r="AF102" s="23" t="str">
        <f t="shared" si="4"/>
        <v/>
      </c>
      <c r="AG102" s="23">
        <f t="shared" si="3"/>
        <v>1</v>
      </c>
      <c r="AH102" s="9"/>
      <c r="AI102" s="9"/>
    </row>
    <row r="103" ht="15.75" customHeight="1">
      <c r="B103" s="9"/>
      <c r="C103" s="9"/>
      <c r="D103" s="9"/>
      <c r="E103" s="5" t="s">
        <v>184</v>
      </c>
      <c r="F103" s="6">
        <v>80000.0</v>
      </c>
      <c r="G103" s="6">
        <v>51098.0</v>
      </c>
      <c r="H103" s="5" t="s">
        <v>26</v>
      </c>
      <c r="I103" s="5" t="s">
        <v>21</v>
      </c>
      <c r="J103" s="5">
        <v>2.5708599E8</v>
      </c>
      <c r="K103" s="5">
        <v>9855941.0</v>
      </c>
      <c r="L103" s="5" t="s">
        <v>38</v>
      </c>
      <c r="M103" s="35">
        <v>46132.5</v>
      </c>
      <c r="N103" s="5" t="b">
        <v>0</v>
      </c>
      <c r="O103" s="19"/>
      <c r="P103" s="7"/>
      <c r="Q103" s="9"/>
      <c r="R103" s="9"/>
      <c r="S103" s="9"/>
      <c r="T103" s="9"/>
      <c r="U103" s="9"/>
      <c r="V103" s="9"/>
      <c r="W103" s="9"/>
      <c r="X103" s="23"/>
      <c r="Y103" s="23" t="str">
        <f>IFERROR(__xludf.DUMMYFUNCTION("""COMPUTED_VALUE"""),"Ziran")</f>
        <v>Ziran</v>
      </c>
      <c r="Z103" s="23"/>
      <c r="AA103" s="23"/>
      <c r="AB103" s="23"/>
      <c r="AC103" s="23" t="str">
        <f>IFERROR(__xludf.DUMMYFUNCTION("""COMPUTED_VALUE"""),"Crystal Explorer")</f>
        <v>Crystal Explorer</v>
      </c>
      <c r="AD103" s="25"/>
      <c r="AE103" s="25" t="str">
        <f t="shared" si="1"/>
        <v/>
      </c>
      <c r="AF103" s="23" t="str">
        <f t="shared" si="4"/>
        <v/>
      </c>
      <c r="AG103" s="23">
        <f t="shared" si="3"/>
        <v>1</v>
      </c>
      <c r="AH103" s="9"/>
      <c r="AI103" s="9"/>
    </row>
    <row r="104" ht="15.75" customHeight="1">
      <c r="B104" s="9"/>
      <c r="C104" s="9"/>
      <c r="D104" s="9"/>
      <c r="E104" s="5" t="s">
        <v>185</v>
      </c>
      <c r="F104" s="6">
        <v>84000.0</v>
      </c>
      <c r="G104" s="6">
        <v>54545.0</v>
      </c>
      <c r="H104" s="5" t="s">
        <v>20</v>
      </c>
      <c r="I104" s="5" t="s">
        <v>21</v>
      </c>
      <c r="J104" s="5">
        <v>3.11000345E8</v>
      </c>
      <c r="K104" s="5">
        <v>9702015.0</v>
      </c>
      <c r="L104" s="5" t="s">
        <v>169</v>
      </c>
      <c r="M104" s="35">
        <v>46137.958333333336</v>
      </c>
      <c r="N104" s="5" t="b">
        <v>1</v>
      </c>
      <c r="O104" s="19"/>
      <c r="P104" s="7"/>
      <c r="Q104" s="9"/>
      <c r="R104" s="9"/>
      <c r="S104" s="9"/>
      <c r="T104" s="9"/>
      <c r="U104" s="9"/>
      <c r="V104" s="9"/>
      <c r="W104" s="9"/>
      <c r="X104" s="23"/>
      <c r="Y104" s="23" t="str">
        <f>IFERROR(__xludf.DUMMYFUNCTION("""COMPUTED_VALUE"""),"Zixuan")</f>
        <v>Zixuan</v>
      </c>
      <c r="Z104" s="23"/>
      <c r="AA104" s="23"/>
      <c r="AB104" s="23"/>
      <c r="AC104" s="23" t="str">
        <f>IFERROR(__xludf.DUMMYFUNCTION("""COMPUTED_VALUE"""),"Crystal Oasis")</f>
        <v>Crystal Oasis</v>
      </c>
      <c r="AD104" s="25"/>
      <c r="AE104" s="25" t="str">
        <f t="shared" si="1"/>
        <v/>
      </c>
      <c r="AF104" s="23" t="str">
        <f t="shared" si="4"/>
        <v/>
      </c>
      <c r="AG104" s="23">
        <f t="shared" si="3"/>
        <v>1</v>
      </c>
      <c r="AH104" s="9"/>
      <c r="AI104" s="9"/>
    </row>
    <row r="105" ht="15.75" customHeight="1">
      <c r="B105" s="9"/>
      <c r="C105" s="9"/>
      <c r="D105" s="9"/>
      <c r="E105" s="5" t="s">
        <v>186</v>
      </c>
      <c r="F105" s="6">
        <v>84000.0</v>
      </c>
      <c r="G105" s="6">
        <v>54336.0</v>
      </c>
      <c r="H105" s="5" t="s">
        <v>26</v>
      </c>
      <c r="I105" s="5" t="s">
        <v>21</v>
      </c>
      <c r="J105" s="5">
        <v>3.11000251E8</v>
      </c>
      <c r="K105" s="5">
        <v>9689914.0</v>
      </c>
      <c r="L105" s="17"/>
      <c r="M105" s="18"/>
      <c r="N105" s="5" t="b">
        <v>0</v>
      </c>
      <c r="O105" s="19"/>
      <c r="P105" s="7"/>
      <c r="Q105" s="9"/>
      <c r="R105" s="9"/>
      <c r="S105" s="9"/>
      <c r="T105" s="9"/>
      <c r="U105" s="9"/>
      <c r="V105" s="9"/>
      <c r="W105" s="9"/>
      <c r="X105" s="23"/>
      <c r="Y105" s="23" t="str">
        <f>IFERROR(__xludf.DUMMYFUNCTION("""COMPUTED_VALUE"""),"Sarv Shakti")</f>
        <v>Sarv Shakti</v>
      </c>
      <c r="Z105" s="23"/>
      <c r="AA105" s="23"/>
      <c r="AB105" s="23"/>
      <c r="AC105" s="23" t="str">
        <f>IFERROR(__xludf.DUMMYFUNCTION("""COMPUTED_VALUE"""),"Crystal Odyssey")</f>
        <v>Crystal Odyssey</v>
      </c>
      <c r="AD105" s="25"/>
      <c r="AE105" s="25" t="str">
        <f t="shared" si="1"/>
        <v/>
      </c>
      <c r="AF105" s="23" t="str">
        <f t="shared" si="4"/>
        <v/>
      </c>
      <c r="AG105" s="23">
        <f t="shared" si="3"/>
        <v>1</v>
      </c>
      <c r="AH105" s="9"/>
      <c r="AI105" s="9"/>
    </row>
    <row r="106" ht="15.75" customHeight="1">
      <c r="B106" s="9"/>
      <c r="C106" s="9"/>
      <c r="D106" s="9"/>
      <c r="E106" s="5" t="s">
        <v>187</v>
      </c>
      <c r="F106" s="6">
        <v>84000.0</v>
      </c>
      <c r="G106" s="6">
        <v>54336.0</v>
      </c>
      <c r="H106" s="5" t="s">
        <v>26</v>
      </c>
      <c r="I106" s="5" t="s">
        <v>21</v>
      </c>
      <c r="J106" s="5">
        <v>3.11000392E8</v>
      </c>
      <c r="K106" s="5">
        <v>9734692.0</v>
      </c>
      <c r="L106" s="5" t="s">
        <v>188</v>
      </c>
      <c r="M106" s="35">
        <v>46133.625</v>
      </c>
      <c r="N106" s="5" t="b">
        <v>0</v>
      </c>
      <c r="O106" s="19"/>
      <c r="P106" s="7"/>
      <c r="Q106" s="9"/>
      <c r="R106" s="9"/>
      <c r="S106" s="9"/>
      <c r="T106" s="9"/>
      <c r="U106" s="9"/>
      <c r="V106" s="9"/>
      <c r="W106" s="9"/>
      <c r="X106" s="23"/>
      <c r="Y106" s="23" t="str">
        <f>IFERROR(__xludf.DUMMYFUNCTION("""COMPUTED_VALUE"""),"Sea Opera")</f>
        <v>Sea Opera</v>
      </c>
      <c r="Z106" s="23"/>
      <c r="AA106" s="23"/>
      <c r="AB106" s="23"/>
      <c r="AC106" s="23" t="str">
        <f>IFERROR(__xludf.DUMMYFUNCTION("""COMPUTED_VALUE"""),"Crystal River")</f>
        <v>Crystal River</v>
      </c>
      <c r="AD106" s="25"/>
      <c r="AE106" s="25" t="str">
        <f t="shared" si="1"/>
        <v/>
      </c>
      <c r="AF106" s="23" t="str">
        <f t="shared" si="4"/>
        <v/>
      </c>
      <c r="AG106" s="23">
        <f t="shared" si="3"/>
        <v>1</v>
      </c>
      <c r="AH106" s="9"/>
      <c r="AI106" s="9"/>
    </row>
    <row r="107" ht="15.75" customHeight="1">
      <c r="B107" s="9"/>
      <c r="C107" s="9"/>
      <c r="D107" s="9"/>
      <c r="E107" s="5" t="s">
        <v>189</v>
      </c>
      <c r="F107" s="6">
        <v>84000.0</v>
      </c>
      <c r="G107" s="6">
        <v>54494.0</v>
      </c>
      <c r="H107" s="5" t="s">
        <v>20</v>
      </c>
      <c r="I107" s="5" t="s">
        <v>21</v>
      </c>
      <c r="J107" s="5">
        <v>3.11000377E8</v>
      </c>
      <c r="K107" s="5">
        <v>9702027.0</v>
      </c>
      <c r="L107" s="5" t="s">
        <v>190</v>
      </c>
      <c r="M107" s="35">
        <v>46139.458333333336</v>
      </c>
      <c r="N107" s="5" t="b">
        <v>1</v>
      </c>
      <c r="O107" s="19"/>
      <c r="P107" s="7"/>
      <c r="Q107" s="9"/>
      <c r="R107" s="9"/>
      <c r="S107" s="9"/>
      <c r="T107" s="9"/>
      <c r="U107" s="9"/>
      <c r="V107" s="9"/>
      <c r="W107" s="9"/>
      <c r="X107" s="23"/>
      <c r="Y107" s="23" t="str">
        <f>IFERROR(__xludf.DUMMYFUNCTION("""COMPUTED_VALUE"""),"Seabus")</f>
        <v>Seabus</v>
      </c>
      <c r="Z107" s="23"/>
      <c r="AA107" s="23"/>
      <c r="AB107" s="54"/>
      <c r="AC107" s="54" t="str">
        <f>IFERROR(__xludf.DUMMYFUNCTION("""COMPUTED_VALUE"""),"Crystal Sunrise")</f>
        <v>Crystal Sunrise</v>
      </c>
      <c r="AD107" s="25"/>
      <c r="AE107" s="25" t="str">
        <f t="shared" si="1"/>
        <v/>
      </c>
      <c r="AF107" s="23" t="str">
        <f t="shared" si="4"/>
        <v/>
      </c>
      <c r="AG107" s="23">
        <f t="shared" si="3"/>
        <v>1</v>
      </c>
      <c r="AH107" s="9"/>
      <c r="AI107" s="9"/>
    </row>
    <row r="108" ht="15.75" customHeight="1">
      <c r="B108" s="9"/>
      <c r="C108" s="9"/>
      <c r="D108" s="9"/>
      <c r="E108" s="5" t="s">
        <v>191</v>
      </c>
      <c r="F108" s="6">
        <v>84000.0</v>
      </c>
      <c r="G108" s="6">
        <v>54336.0</v>
      </c>
      <c r="H108" s="5" t="s">
        <v>26</v>
      </c>
      <c r="I108" s="5" t="s">
        <v>21</v>
      </c>
      <c r="J108" s="5">
        <v>3.11000378E8</v>
      </c>
      <c r="K108" s="5">
        <v>9734678.0</v>
      </c>
      <c r="L108" s="5" t="s">
        <v>101</v>
      </c>
      <c r="M108" s="35">
        <v>46138.833333333336</v>
      </c>
      <c r="N108" s="5" t="b">
        <v>0</v>
      </c>
      <c r="O108" s="19"/>
      <c r="P108" s="7"/>
      <c r="Q108" s="9"/>
      <c r="R108" s="9"/>
      <c r="S108" s="9"/>
      <c r="T108" s="9"/>
      <c r="U108" s="9"/>
      <c r="V108" s="9"/>
      <c r="W108" s="9"/>
      <c r="X108" s="23"/>
      <c r="Y108" s="23" t="str">
        <f>IFERROR(__xludf.DUMMYFUNCTION("""COMPUTED_VALUE"""),"Sequoia Cove")</f>
        <v>Sequoia Cove</v>
      </c>
      <c r="Z108" s="23"/>
      <c r="AA108" s="23"/>
      <c r="AB108" s="54"/>
      <c r="AC108" s="54" t="str">
        <f>IFERROR(__xludf.DUMMYFUNCTION("""COMPUTED_VALUE"""),"Crystal Trinity")</f>
        <v>Crystal Trinity</v>
      </c>
      <c r="AD108" s="25"/>
      <c r="AE108" s="25" t="str">
        <f t="shared" si="1"/>
        <v/>
      </c>
      <c r="AF108" s="23" t="str">
        <f t="shared" si="4"/>
        <v/>
      </c>
      <c r="AG108" s="23">
        <f t="shared" si="3"/>
        <v>1</v>
      </c>
      <c r="AH108" s="9"/>
      <c r="AI108" s="9"/>
    </row>
    <row r="109" ht="15.75" customHeight="1">
      <c r="B109" s="9"/>
      <c r="C109" s="9"/>
      <c r="D109" s="9"/>
      <c r="E109" s="5" t="s">
        <v>192</v>
      </c>
      <c r="F109" s="6">
        <v>84000.0</v>
      </c>
      <c r="G109" s="6">
        <v>54336.0</v>
      </c>
      <c r="H109" s="5" t="s">
        <v>20</v>
      </c>
      <c r="I109" s="5" t="s">
        <v>21</v>
      </c>
      <c r="J109" s="5">
        <v>3.11000388E8</v>
      </c>
      <c r="K109" s="5">
        <v>9734680.0</v>
      </c>
      <c r="L109" s="5" t="s">
        <v>193</v>
      </c>
      <c r="M109" s="35">
        <v>46134.875</v>
      </c>
      <c r="N109" s="5" t="b">
        <v>1</v>
      </c>
      <c r="O109" s="19"/>
      <c r="P109" s="7"/>
      <c r="Q109" s="9"/>
      <c r="R109" s="9"/>
      <c r="S109" s="9"/>
      <c r="T109" s="9"/>
      <c r="U109" s="9"/>
      <c r="V109" s="9"/>
      <c r="W109" s="9"/>
      <c r="X109" s="23"/>
      <c r="Y109" s="23" t="str">
        <f>IFERROR(__xludf.DUMMYFUNCTION("""COMPUTED_VALUE"""),"Shivalik")</f>
        <v>Shivalik</v>
      </c>
      <c r="Z109" s="23"/>
      <c r="AA109" s="23"/>
      <c r="AB109" s="54"/>
      <c r="AC109" s="54" t="str">
        <f>IFERROR(__xludf.DUMMYFUNCTION("""COMPUTED_VALUE"""),"Danube River")</f>
        <v>Danube River</v>
      </c>
      <c r="AD109" s="25"/>
      <c r="AE109" s="25" t="str">
        <f t="shared" si="1"/>
        <v/>
      </c>
      <c r="AF109" s="23" t="str">
        <f t="shared" si="4"/>
        <v/>
      </c>
      <c r="AG109" s="23">
        <f t="shared" si="3"/>
        <v>1</v>
      </c>
      <c r="AH109" s="9"/>
      <c r="AI109" s="9"/>
    </row>
    <row r="110" ht="15.75" customHeight="1">
      <c r="B110" s="9"/>
      <c r="C110" s="9"/>
      <c r="D110" s="9"/>
      <c r="E110" s="5" t="s">
        <v>194</v>
      </c>
      <c r="F110" s="6">
        <v>84000.0</v>
      </c>
      <c r="G110" s="6">
        <v>54577.0</v>
      </c>
      <c r="H110" s="5" t="s">
        <v>26</v>
      </c>
      <c r="I110" s="5" t="s">
        <v>21</v>
      </c>
      <c r="J110" s="5">
        <v>3.11000379E8</v>
      </c>
      <c r="K110" s="5">
        <v>9706499.0</v>
      </c>
      <c r="L110" s="5" t="s">
        <v>38</v>
      </c>
      <c r="M110" s="35">
        <v>46140.708333333336</v>
      </c>
      <c r="N110" s="5" t="b">
        <v>0</v>
      </c>
      <c r="O110" s="19"/>
      <c r="P110" s="7"/>
      <c r="Q110" s="9"/>
      <c r="R110" s="9"/>
      <c r="S110" s="9"/>
      <c r="T110" s="9"/>
      <c r="U110" s="9"/>
      <c r="V110" s="9"/>
      <c r="W110" s="9"/>
      <c r="X110" s="23"/>
      <c r="Y110" s="23" t="str">
        <f>IFERROR(__xludf.DUMMYFUNCTION("""COMPUTED_VALUE"""),"Sia")</f>
        <v>Sia</v>
      </c>
      <c r="Z110" s="23"/>
      <c r="AA110" s="23"/>
      <c r="AB110" s="9"/>
      <c r="AC110" s="9" t="str">
        <f>IFERROR(__xludf.DUMMYFUNCTION("""COMPUTED_VALUE"""),"Delma")</f>
        <v>Delma</v>
      </c>
      <c r="AD110" s="25"/>
      <c r="AE110" s="25" t="str">
        <f t="shared" si="1"/>
        <v/>
      </c>
      <c r="AF110" s="23" t="str">
        <f t="shared" si="4"/>
        <v/>
      </c>
      <c r="AG110" s="23">
        <f t="shared" si="3"/>
        <v>1</v>
      </c>
      <c r="AH110" s="9"/>
      <c r="AI110" s="9"/>
    </row>
    <row r="111" ht="15.75" customHeight="1">
      <c r="B111" s="9"/>
      <c r="C111" s="9"/>
      <c r="D111" s="9"/>
      <c r="E111" s="5" t="s">
        <v>195</v>
      </c>
      <c r="F111" s="6">
        <v>84000.0</v>
      </c>
      <c r="G111" s="6">
        <v>54554.0</v>
      </c>
      <c r="H111" s="5" t="s">
        <v>20</v>
      </c>
      <c r="I111" s="5" t="s">
        <v>21</v>
      </c>
      <c r="J111" s="5">
        <v>3.11000346E8</v>
      </c>
      <c r="K111" s="5">
        <v>9714381.0</v>
      </c>
      <c r="L111" s="5" t="s">
        <v>190</v>
      </c>
      <c r="M111" s="35">
        <v>46140.583333333336</v>
      </c>
      <c r="N111" s="5" t="b">
        <v>1</v>
      </c>
      <c r="O111" s="19"/>
      <c r="P111" s="7"/>
      <c r="Q111" s="9"/>
      <c r="R111" s="9"/>
      <c r="S111" s="9"/>
      <c r="T111" s="9"/>
      <c r="U111" s="9"/>
      <c r="V111" s="9"/>
      <c r="W111" s="9"/>
      <c r="X111" s="23"/>
      <c r="Y111" s="23" t="str">
        <f>IFERROR(__xludf.DUMMYFUNCTION("""COMPUTED_VALUE"""),"Siona")</f>
        <v>Siona</v>
      </c>
      <c r="Z111" s="23"/>
      <c r="AA111" s="23"/>
      <c r="AB111" s="9"/>
      <c r="AC111" s="9" t="str">
        <f>IFERROR(__xludf.DUMMYFUNCTION("""COMPUTED_VALUE"""),"Djanet")</f>
        <v>Djanet</v>
      </c>
      <c r="AD111" s="25"/>
      <c r="AE111" s="25" t="str">
        <f t="shared" si="1"/>
        <v/>
      </c>
      <c r="AF111" s="23" t="str">
        <f t="shared" si="4"/>
        <v/>
      </c>
      <c r="AG111" s="23">
        <f t="shared" si="3"/>
        <v>1</v>
      </c>
      <c r="AH111" s="9"/>
      <c r="AI111" s="9"/>
    </row>
    <row r="112" ht="15.75" customHeight="1">
      <c r="B112" s="9"/>
      <c r="C112" s="9"/>
      <c r="D112" s="9"/>
      <c r="E112" s="5" t="s">
        <v>196</v>
      </c>
      <c r="F112" s="6">
        <v>84000.0</v>
      </c>
      <c r="G112" s="6">
        <v>54656.0</v>
      </c>
      <c r="H112" s="5" t="s">
        <v>20</v>
      </c>
      <c r="I112" s="5" t="s">
        <v>21</v>
      </c>
      <c r="J112" s="5">
        <v>3.11000375E8</v>
      </c>
      <c r="K112" s="5">
        <v>9706516.0</v>
      </c>
      <c r="L112" s="17"/>
      <c r="M112" s="53"/>
      <c r="N112" s="5" t="b">
        <v>1</v>
      </c>
      <c r="O112" s="19"/>
      <c r="P112" s="7"/>
      <c r="Q112" s="9"/>
      <c r="R112" s="9"/>
      <c r="S112" s="9"/>
      <c r="T112" s="9"/>
      <c r="U112" s="9"/>
      <c r="V112" s="9"/>
      <c r="W112" s="9"/>
      <c r="X112" s="23"/>
      <c r="Y112" s="23" t="str">
        <f>IFERROR(__xludf.DUMMYFUNCTION("""COMPUTED_VALUE"""),"Sogl")</f>
        <v>Sogl</v>
      </c>
      <c r="Z112" s="23"/>
      <c r="AA112" s="23"/>
      <c r="AB112" s="9"/>
      <c r="AC112" s="9" t="str">
        <f>IFERROR(__xludf.DUMMYFUNCTION("""COMPUTED_VALUE"""),"Dom Explorer")</f>
        <v>Dom Explorer</v>
      </c>
      <c r="AD112" s="25"/>
      <c r="AE112" s="25" t="str">
        <f t="shared" si="1"/>
        <v/>
      </c>
      <c r="AF112" s="23" t="str">
        <f t="shared" si="4"/>
        <v/>
      </c>
      <c r="AG112" s="23">
        <f t="shared" si="3"/>
        <v>1</v>
      </c>
      <c r="AH112" s="9"/>
      <c r="AI112" s="9"/>
    </row>
    <row r="113" ht="15.75" customHeight="1">
      <c r="B113" s="9"/>
      <c r="C113" s="9"/>
      <c r="D113" s="9"/>
      <c r="E113" s="5" t="s">
        <v>197</v>
      </c>
      <c r="F113" s="6">
        <v>88000.0</v>
      </c>
      <c r="G113" s="6">
        <v>56044.0</v>
      </c>
      <c r="H113" s="5" t="s">
        <v>20</v>
      </c>
      <c r="I113" s="5" t="s">
        <v>21</v>
      </c>
      <c r="J113" s="5">
        <v>6.36022843E8</v>
      </c>
      <c r="K113" s="5">
        <v>9984728.0</v>
      </c>
      <c r="L113" s="5" t="s">
        <v>101</v>
      </c>
      <c r="M113" s="35">
        <v>46135.25</v>
      </c>
      <c r="N113" s="5" t="b">
        <v>1</v>
      </c>
      <c r="O113" s="19"/>
      <c r="P113" s="7"/>
      <c r="Q113" s="9"/>
      <c r="R113" s="9"/>
      <c r="S113" s="9"/>
      <c r="T113" s="9"/>
      <c r="U113" s="9"/>
      <c r="V113" s="9"/>
      <c r="W113" s="9"/>
      <c r="X113" s="23"/>
      <c r="Y113" s="23" t="str">
        <f>IFERROR(__xludf.DUMMYFUNCTION("""COMPUTED_VALUE"""),"Tara Gas")</f>
        <v>Tara Gas</v>
      </c>
      <c r="Z113" s="23"/>
      <c r="AA113" s="23"/>
      <c r="AB113" s="9"/>
      <c r="AC113" s="9" t="str">
        <f>IFERROR(__xludf.DUMMYFUNCTION("""COMPUTED_VALUE"""),"Dominator L")</f>
        <v>Dominator L</v>
      </c>
      <c r="AD113" s="25"/>
      <c r="AE113" s="25" t="str">
        <f t="shared" si="1"/>
        <v/>
      </c>
      <c r="AF113" s="23" t="str">
        <f t="shared" si="4"/>
        <v/>
      </c>
      <c r="AG113" s="23">
        <f t="shared" si="3"/>
        <v>1</v>
      </c>
      <c r="AH113" s="9"/>
      <c r="AI113" s="9"/>
    </row>
    <row r="114" ht="15.75" customHeight="1">
      <c r="B114" s="9"/>
      <c r="C114" s="9"/>
      <c r="D114" s="9"/>
      <c r="E114" s="5" t="s">
        <v>198</v>
      </c>
      <c r="F114" s="6">
        <v>84000.0</v>
      </c>
      <c r="G114" s="6">
        <v>54336.0</v>
      </c>
      <c r="H114" s="5" t="s">
        <v>26</v>
      </c>
      <c r="I114" s="5" t="s">
        <v>21</v>
      </c>
      <c r="J114" s="5">
        <v>3.11000252E8</v>
      </c>
      <c r="K114" s="5">
        <v>9689926.0</v>
      </c>
      <c r="L114" s="5" t="s">
        <v>101</v>
      </c>
      <c r="M114" s="35">
        <v>46140.208333333336</v>
      </c>
      <c r="N114" s="5" t="b">
        <v>0</v>
      </c>
      <c r="O114" s="19"/>
      <c r="P114" s="7"/>
      <c r="Q114" s="9"/>
      <c r="R114" s="9"/>
      <c r="S114" s="9"/>
      <c r="T114" s="9"/>
      <c r="U114" s="9"/>
      <c r="V114" s="9"/>
      <c r="W114" s="9"/>
      <c r="X114" s="23"/>
      <c r="Y114" s="23" t="str">
        <f>IFERROR(__xludf.DUMMYFUNCTION("""COMPUTED_VALUE"""),"Terra Clove")</f>
        <v>Terra Clove</v>
      </c>
      <c r="Z114" s="23"/>
      <c r="AA114" s="23"/>
      <c r="AB114" s="9"/>
      <c r="AC114" s="9" t="str">
        <f>IFERROR(__xludf.DUMMYFUNCTION("""COMPUTED_VALUE"""),"Doraji Gas")</f>
        <v>Doraji Gas</v>
      </c>
      <c r="AD114" s="25"/>
      <c r="AE114" s="25" t="str">
        <f t="shared" si="1"/>
        <v/>
      </c>
      <c r="AF114" s="23" t="str">
        <f t="shared" si="4"/>
        <v/>
      </c>
      <c r="AG114" s="23">
        <f t="shared" si="3"/>
        <v>1</v>
      </c>
      <c r="AH114" s="9"/>
      <c r="AI114" s="9"/>
    </row>
    <row r="115" ht="15.75" customHeight="1">
      <c r="B115" s="9"/>
      <c r="C115" s="9"/>
      <c r="D115" s="9"/>
      <c r="E115" s="5" t="s">
        <v>199</v>
      </c>
      <c r="F115" s="6">
        <v>84000.0</v>
      </c>
      <c r="G115" s="6">
        <v>54336.0</v>
      </c>
      <c r="H115" s="5" t="s">
        <v>20</v>
      </c>
      <c r="I115" s="5" t="s">
        <v>21</v>
      </c>
      <c r="J115" s="5">
        <v>3.11000255E8</v>
      </c>
      <c r="K115" s="5">
        <v>9703837.0</v>
      </c>
      <c r="L115" s="5" t="s">
        <v>64</v>
      </c>
      <c r="M115" s="35">
        <v>46160.25</v>
      </c>
      <c r="N115" s="5" t="b">
        <v>1</v>
      </c>
      <c r="O115" s="19"/>
      <c r="P115" s="7"/>
      <c r="Q115" s="9"/>
      <c r="R115" s="9"/>
      <c r="S115" s="9"/>
      <c r="T115" s="9"/>
      <c r="U115" s="9"/>
      <c r="V115" s="9"/>
      <c r="W115" s="9"/>
      <c r="X115" s="23"/>
      <c r="Y115" s="23" t="str">
        <f>IFERROR(__xludf.DUMMYFUNCTION("""COMPUTED_VALUE"""),"Terra Moss")</f>
        <v>Terra Moss</v>
      </c>
      <c r="Z115" s="23"/>
      <c r="AA115" s="23"/>
      <c r="AB115" s="9"/>
      <c r="AC115" s="9" t="str">
        <f>IFERROR(__xludf.DUMMYFUNCTION("""COMPUTED_VALUE"""),"Dorset")</f>
        <v>Dorset</v>
      </c>
      <c r="AD115" s="25"/>
      <c r="AE115" s="25" t="str">
        <f t="shared" si="1"/>
        <v/>
      </c>
      <c r="AF115" s="23" t="str">
        <f t="shared" si="4"/>
        <v/>
      </c>
      <c r="AG115" s="23">
        <f t="shared" si="3"/>
        <v>1</v>
      </c>
      <c r="AH115" s="9"/>
      <c r="AI115" s="9"/>
    </row>
    <row r="116" ht="15.75" customHeight="1">
      <c r="B116" s="9"/>
      <c r="C116" s="9"/>
      <c r="D116" s="9"/>
      <c r="E116" s="5" t="s">
        <v>200</v>
      </c>
      <c r="F116" s="6">
        <v>84000.0</v>
      </c>
      <c r="G116" s="6">
        <v>54494.0</v>
      </c>
      <c r="H116" s="5" t="s">
        <v>26</v>
      </c>
      <c r="I116" s="5" t="s">
        <v>21</v>
      </c>
      <c r="J116" s="5">
        <v>3.11000344E8</v>
      </c>
      <c r="K116" s="5">
        <v>9702003.0</v>
      </c>
      <c r="L116" s="5" t="s">
        <v>101</v>
      </c>
      <c r="M116" s="35">
        <v>46150.625</v>
      </c>
      <c r="N116" s="5" t="b">
        <v>0</v>
      </c>
      <c r="O116" s="19"/>
      <c r="P116" s="7"/>
      <c r="Q116" s="9"/>
      <c r="R116" s="9"/>
      <c r="S116" s="9"/>
      <c r="T116" s="9"/>
      <c r="U116" s="9"/>
      <c r="V116" s="9"/>
      <c r="W116" s="9"/>
      <c r="X116" s="23"/>
      <c r="Y116" s="23" t="str">
        <f>IFERROR(__xludf.DUMMYFUNCTION("""COMPUTED_VALUE"""),"Terra Rose")</f>
        <v>Terra Rose</v>
      </c>
      <c r="Z116" s="23"/>
      <c r="AA116" s="23"/>
      <c r="AB116" s="9"/>
      <c r="AC116" s="9" t="str">
        <f>IFERROR(__xludf.DUMMYFUNCTION("""COMPUTED_VALUE"""),"Durham")</f>
        <v>Durham</v>
      </c>
      <c r="AD116" s="25"/>
      <c r="AE116" s="25" t="str">
        <f t="shared" si="1"/>
        <v/>
      </c>
      <c r="AF116" s="23" t="str">
        <f t="shared" si="4"/>
        <v/>
      </c>
      <c r="AG116" s="23">
        <f t="shared" si="3"/>
        <v>1</v>
      </c>
      <c r="AH116" s="9"/>
      <c r="AI116" s="9"/>
    </row>
    <row r="117" ht="15.75" customHeight="1">
      <c r="B117" s="9"/>
      <c r="C117" s="9"/>
      <c r="D117" s="9"/>
      <c r="E117" s="5" t="s">
        <v>201</v>
      </c>
      <c r="F117" s="6">
        <v>84000.0</v>
      </c>
      <c r="G117" s="6">
        <v>54656.0</v>
      </c>
      <c r="H117" s="5" t="s">
        <v>26</v>
      </c>
      <c r="I117" s="5" t="s">
        <v>21</v>
      </c>
      <c r="J117" s="5">
        <v>3.11000374E8</v>
      </c>
      <c r="K117" s="5">
        <v>9702041.0</v>
      </c>
      <c r="L117" s="5" t="s">
        <v>101</v>
      </c>
      <c r="M117" s="35">
        <v>46132.458333333336</v>
      </c>
      <c r="N117" s="5" t="b">
        <v>0</v>
      </c>
      <c r="O117" s="19"/>
      <c r="P117" s="7"/>
      <c r="Q117" s="9"/>
      <c r="R117" s="9"/>
      <c r="S117" s="9"/>
      <c r="T117" s="9"/>
      <c r="U117" s="9"/>
      <c r="V117" s="9"/>
      <c r="W117" s="9"/>
      <c r="X117" s="23"/>
      <c r="Y117" s="23" t="str">
        <f>IFERROR(__xludf.DUMMYFUNCTION("""COMPUTED_VALUE"""),"Terra Sycamore")</f>
        <v>Terra Sycamore</v>
      </c>
      <c r="Z117" s="23"/>
      <c r="AA117" s="23"/>
      <c r="AB117" s="9"/>
      <c r="AC117" s="9" t="str">
        <f>IFERROR(__xludf.DUMMYFUNCTION("""COMPUTED_VALUE"""),"Eiger Explorer")</f>
        <v>Eiger Explorer</v>
      </c>
      <c r="AD117" s="25"/>
      <c r="AE117" s="25" t="str">
        <f t="shared" si="1"/>
        <v/>
      </c>
      <c r="AF117" s="23" t="str">
        <f t="shared" si="4"/>
        <v/>
      </c>
      <c r="AG117" s="23">
        <f t="shared" si="3"/>
        <v>1</v>
      </c>
      <c r="AH117" s="9"/>
      <c r="AI117" s="9"/>
    </row>
    <row r="118" ht="15.75" customHeight="1">
      <c r="B118" s="9"/>
      <c r="C118" s="9"/>
      <c r="D118" s="9"/>
      <c r="E118" s="5" t="s">
        <v>202</v>
      </c>
      <c r="F118" s="6">
        <v>84000.0</v>
      </c>
      <c r="G118" s="6">
        <v>54657.0</v>
      </c>
      <c r="H118" s="5" t="s">
        <v>26</v>
      </c>
      <c r="I118" s="5" t="s">
        <v>21</v>
      </c>
      <c r="J118" s="5">
        <v>3.11000373E8</v>
      </c>
      <c r="K118" s="5">
        <v>9702039.0</v>
      </c>
      <c r="L118" s="5" t="s">
        <v>101</v>
      </c>
      <c r="M118" s="35">
        <v>46136.75</v>
      </c>
      <c r="N118" s="5" t="b">
        <v>0</v>
      </c>
      <c r="O118" s="19"/>
      <c r="P118" s="7"/>
      <c r="Q118" s="9"/>
      <c r="R118" s="9"/>
      <c r="S118" s="9"/>
      <c r="T118" s="9"/>
      <c r="U118" s="9"/>
      <c r="V118" s="9"/>
      <c r="W118" s="9"/>
      <c r="X118" s="23"/>
      <c r="Y118" s="23" t="str">
        <f>IFERROR(__xludf.DUMMYFUNCTION("""COMPUTED_VALUE"""),"The Gas Amelia")</f>
        <v>The Gas Amelia</v>
      </c>
      <c r="Z118" s="23"/>
      <c r="AA118" s="23"/>
      <c r="AB118" s="9"/>
      <c r="AC118" s="9" t="str">
        <f>IFERROR(__xludf.DUMMYFUNCTION("""COMPUTED_VALUE"""),"Eneos Mirai")</f>
        <v>Eneos Mirai</v>
      </c>
      <c r="AD118" s="25"/>
      <c r="AE118" s="25" t="str">
        <f t="shared" si="1"/>
        <v/>
      </c>
      <c r="AF118" s="23" t="str">
        <f t="shared" si="4"/>
        <v/>
      </c>
      <c r="AG118" s="23">
        <f t="shared" si="3"/>
        <v>1</v>
      </c>
      <c r="AH118" s="9"/>
      <c r="AI118" s="9"/>
    </row>
    <row r="119" ht="15.75" customHeight="1">
      <c r="B119" s="9"/>
      <c r="C119" s="9"/>
      <c r="D119" s="9"/>
      <c r="E119" s="5" t="s">
        <v>203</v>
      </c>
      <c r="F119" s="6">
        <v>86000.0</v>
      </c>
      <c r="G119" s="6">
        <v>51111.0</v>
      </c>
      <c r="H119" s="5" t="s">
        <v>26</v>
      </c>
      <c r="I119" s="5" t="s">
        <v>21</v>
      </c>
      <c r="J119" s="5">
        <v>3.52002747E8</v>
      </c>
      <c r="K119" s="5">
        <v>9944974.0</v>
      </c>
      <c r="L119" s="5" t="s">
        <v>38</v>
      </c>
      <c r="M119" s="35">
        <v>46161.333333333336</v>
      </c>
      <c r="N119" s="5" t="b">
        <v>0</v>
      </c>
      <c r="O119" s="19"/>
      <c r="P119" s="7"/>
      <c r="Q119" s="9"/>
      <c r="R119" s="9"/>
      <c r="S119" s="9"/>
      <c r="T119" s="9"/>
      <c r="U119" s="9"/>
      <c r="V119" s="9"/>
      <c r="W119" s="9"/>
      <c r="X119" s="23"/>
      <c r="Y119" s="23" t="str">
        <f>IFERROR(__xludf.DUMMYFUNCTION("""COMPUTED_VALUE"""),"Tulip")</f>
        <v>Tulip</v>
      </c>
      <c r="Z119" s="23"/>
      <c r="AA119" s="23"/>
      <c r="AB119" s="9"/>
      <c r="AC119" s="9" t="str">
        <f>IFERROR(__xludf.DUMMYFUNCTION("""COMPUTED_VALUE"""),"Eneos Wisdom")</f>
        <v>Eneos Wisdom</v>
      </c>
      <c r="AD119" s="25"/>
      <c r="AE119" s="25" t="str">
        <f t="shared" si="1"/>
        <v/>
      </c>
      <c r="AF119" s="23" t="str">
        <f t="shared" si="4"/>
        <v/>
      </c>
      <c r="AG119" s="23">
        <f t="shared" si="3"/>
        <v>1</v>
      </c>
      <c r="AH119" s="9"/>
      <c r="AI119" s="9"/>
    </row>
    <row r="120" ht="15.75" customHeight="1">
      <c r="B120" s="9"/>
      <c r="C120" s="9"/>
      <c r="D120" s="9"/>
      <c r="E120" s="5" t="s">
        <v>204</v>
      </c>
      <c r="F120" s="6">
        <v>82200.0</v>
      </c>
      <c r="G120" s="6">
        <v>53995.0</v>
      </c>
      <c r="H120" s="5" t="s">
        <v>26</v>
      </c>
      <c r="I120" s="5" t="s">
        <v>21</v>
      </c>
      <c r="J120" s="5">
        <v>5.631011E8</v>
      </c>
      <c r="K120" s="5">
        <v>9833199.0</v>
      </c>
      <c r="L120" s="5" t="s">
        <v>101</v>
      </c>
      <c r="M120" s="35">
        <v>46134.00069444445</v>
      </c>
      <c r="N120" s="5" t="b">
        <v>0</v>
      </c>
      <c r="O120" s="19"/>
      <c r="P120" s="7"/>
      <c r="Q120" s="9"/>
      <c r="R120" s="9"/>
      <c r="S120" s="9"/>
      <c r="T120" s="9"/>
      <c r="U120" s="9"/>
      <c r="V120" s="9"/>
      <c r="W120" s="9"/>
      <c r="X120" s="23"/>
      <c r="Y120" s="23" t="str">
        <f>IFERROR(__xludf.DUMMYFUNCTION("""COMPUTED_VALUE"""),"Valano")</f>
        <v>Valano</v>
      </c>
      <c r="Z120" s="23"/>
      <c r="AA120" s="23"/>
      <c r="AB120" s="9"/>
      <c r="AC120" s="9" t="str">
        <f>IFERROR(__xludf.DUMMYFUNCTION("""COMPUTED_VALUE"""),"Energia Grandeur")</f>
        <v>Energia Grandeur</v>
      </c>
      <c r="AD120" s="25"/>
      <c r="AE120" s="25" t="str">
        <f t="shared" si="1"/>
        <v/>
      </c>
      <c r="AF120" s="23" t="str">
        <f t="shared" si="4"/>
        <v/>
      </c>
      <c r="AG120" s="23">
        <f t="shared" si="3"/>
        <v>1</v>
      </c>
      <c r="AH120" s="9"/>
      <c r="AI120" s="9"/>
    </row>
    <row r="121" ht="15.75" customHeight="1">
      <c r="B121" s="9"/>
      <c r="C121" s="9"/>
      <c r="D121" s="9"/>
      <c r="E121" s="5" t="s">
        <v>205</v>
      </c>
      <c r="F121" s="6">
        <v>84000.0</v>
      </c>
      <c r="G121" s="6">
        <v>54922.0</v>
      </c>
      <c r="H121" s="5" t="s">
        <v>26</v>
      </c>
      <c r="I121" s="5" t="s">
        <v>21</v>
      </c>
      <c r="J121" s="5">
        <v>5.631346E8</v>
      </c>
      <c r="K121" s="5">
        <v>9889576.0</v>
      </c>
      <c r="L121" s="5" t="s">
        <v>75</v>
      </c>
      <c r="M121" s="35">
        <v>46143.791666666664</v>
      </c>
      <c r="N121" s="5" t="b">
        <v>0</v>
      </c>
      <c r="O121" s="19"/>
      <c r="P121" s="7"/>
      <c r="Q121" s="9"/>
      <c r="R121" s="9"/>
      <c r="S121" s="9"/>
      <c r="T121" s="9"/>
      <c r="U121" s="9"/>
      <c r="V121" s="9"/>
      <c r="W121" s="9"/>
      <c r="X121" s="23"/>
      <c r="Y121" s="23" t="str">
        <f>IFERROR(__xludf.DUMMYFUNCTION("""COMPUTED_VALUE"""),"Viet Dragon 68")</f>
        <v>Viet Dragon 68</v>
      </c>
      <c r="Z121" s="23"/>
      <c r="AA121" s="23"/>
      <c r="AB121" s="9"/>
      <c r="AC121" s="9" t="str">
        <f>IFERROR(__xludf.DUMMYFUNCTION("""COMPUTED_VALUE"""),"Eternal Glory")</f>
        <v>Eternal Glory</v>
      </c>
      <c r="AD121" s="25"/>
      <c r="AE121" s="25" t="str">
        <f t="shared" si="1"/>
        <v/>
      </c>
      <c r="AF121" s="23" t="str">
        <f t="shared" si="4"/>
        <v/>
      </c>
      <c r="AG121" s="23">
        <f t="shared" si="3"/>
        <v>1</v>
      </c>
      <c r="AH121" s="9"/>
      <c r="AI121" s="9"/>
    </row>
    <row r="122" ht="15.75" customHeight="1">
      <c r="B122" s="9"/>
      <c r="C122" s="9"/>
      <c r="D122" s="9"/>
      <c r="E122" s="5" t="s">
        <v>206</v>
      </c>
      <c r="F122" s="6">
        <v>86700.0</v>
      </c>
      <c r="G122" s="6">
        <v>55000.0</v>
      </c>
      <c r="H122" s="5" t="s">
        <v>20</v>
      </c>
      <c r="I122" s="5" t="s">
        <v>21</v>
      </c>
      <c r="J122" s="5">
        <v>5.632494E8</v>
      </c>
      <c r="K122" s="5">
        <v>9978781.0</v>
      </c>
      <c r="L122" s="5" t="s">
        <v>124</v>
      </c>
      <c r="M122" s="35">
        <v>46157.375</v>
      </c>
      <c r="N122" s="5" t="b">
        <v>1</v>
      </c>
      <c r="O122" s="19"/>
      <c r="P122" s="7"/>
      <c r="Q122" s="9"/>
      <c r="R122" s="9"/>
      <c r="S122" s="9"/>
      <c r="T122" s="9"/>
      <c r="U122" s="9"/>
      <c r="V122" s="9"/>
      <c r="W122" s="9"/>
      <c r="X122" s="23"/>
      <c r="Y122" s="23" t="str">
        <f>IFERROR(__xludf.DUMMYFUNCTION("""COMPUTED_VALUE"""),"Xavia")</f>
        <v>Xavia</v>
      </c>
      <c r="Z122" s="23"/>
      <c r="AA122" s="23"/>
      <c r="AB122" s="9"/>
      <c r="AC122" s="9" t="str">
        <f>IFERROR(__xludf.DUMMYFUNCTION("""COMPUTED_VALUE"""),"Flanders Innovation")</f>
        <v>Flanders Innovation</v>
      </c>
      <c r="AD122" s="25"/>
      <c r="AE122" s="25" t="str">
        <f t="shared" si="1"/>
        <v/>
      </c>
      <c r="AF122" s="23" t="str">
        <f t="shared" si="4"/>
        <v/>
      </c>
      <c r="AG122" s="23">
        <f t="shared" si="3"/>
        <v>1</v>
      </c>
      <c r="AH122" s="9"/>
      <c r="AI122" s="9"/>
    </row>
    <row r="123" ht="15.75" customHeight="1">
      <c r="B123" s="9"/>
      <c r="C123" s="9"/>
      <c r="D123" s="9"/>
      <c r="E123" s="5" t="s">
        <v>207</v>
      </c>
      <c r="F123" s="6">
        <v>84000.0</v>
      </c>
      <c r="G123" s="6">
        <v>55090.0</v>
      </c>
      <c r="H123" s="5" t="s">
        <v>20</v>
      </c>
      <c r="I123" s="5" t="s">
        <v>21</v>
      </c>
      <c r="J123" s="5">
        <v>5.631565E8</v>
      </c>
      <c r="K123" s="5">
        <v>9915806.0</v>
      </c>
      <c r="L123" s="5" t="s">
        <v>140</v>
      </c>
      <c r="M123" s="35">
        <v>46134.375</v>
      </c>
      <c r="N123" s="5" t="b">
        <v>1</v>
      </c>
      <c r="O123" s="19"/>
      <c r="P123" s="7"/>
      <c r="Q123" s="9"/>
      <c r="R123" s="9"/>
      <c r="S123" s="9"/>
      <c r="T123" s="9"/>
      <c r="U123" s="9"/>
      <c r="V123" s="9"/>
      <c r="W123" s="9"/>
      <c r="X123" s="23"/>
      <c r="Y123" s="23" t="str">
        <f>IFERROR(__xludf.DUMMYFUNCTION("""COMPUTED_VALUE"""),"Xi Wang Mu")</f>
        <v>Xi Wang Mu</v>
      </c>
      <c r="Z123" s="23"/>
      <c r="AA123" s="23"/>
      <c r="AB123" s="9"/>
      <c r="AC123" s="9" t="str">
        <f>IFERROR(__xludf.DUMMYFUNCTION("""COMPUTED_VALUE"""),"Flanders Pioneer")</f>
        <v>Flanders Pioneer</v>
      </c>
      <c r="AD123" s="25"/>
      <c r="AE123" s="25" t="str">
        <f t="shared" si="1"/>
        <v/>
      </c>
      <c r="AF123" s="23" t="str">
        <f t="shared" si="4"/>
        <v/>
      </c>
      <c r="AG123" s="23">
        <f t="shared" si="3"/>
        <v>1</v>
      </c>
      <c r="AH123" s="9"/>
      <c r="AI123" s="9"/>
    </row>
    <row r="124" ht="15.75" customHeight="1">
      <c r="B124" s="9"/>
      <c r="C124" s="9"/>
      <c r="D124" s="9"/>
      <c r="E124" s="5" t="s">
        <v>208</v>
      </c>
      <c r="F124" s="6">
        <v>86700.0</v>
      </c>
      <c r="G124" s="6">
        <v>55000.0</v>
      </c>
      <c r="H124" s="5" t="s">
        <v>20</v>
      </c>
      <c r="I124" s="5" t="s">
        <v>21</v>
      </c>
      <c r="J124" s="5">
        <v>5.632592E8</v>
      </c>
      <c r="K124" s="5">
        <v>9997177.0</v>
      </c>
      <c r="L124" s="5" t="s">
        <v>209</v>
      </c>
      <c r="M124" s="35">
        <v>46132.5</v>
      </c>
      <c r="N124" s="5" t="b">
        <v>1</v>
      </c>
      <c r="O124" s="19"/>
      <c r="P124" s="7"/>
      <c r="Q124" s="9"/>
      <c r="R124" s="9"/>
      <c r="S124" s="9"/>
      <c r="T124" s="9"/>
      <c r="U124" s="9"/>
      <c r="V124" s="9"/>
      <c r="W124" s="9"/>
      <c r="X124" s="23"/>
      <c r="Y124" s="23" t="str">
        <f>IFERROR(__xludf.DUMMYFUNCTION("""COMPUTED_VALUE"""),"Ziran")</f>
        <v>Ziran</v>
      </c>
      <c r="Z124" s="23"/>
      <c r="AA124" s="23"/>
      <c r="AB124" s="9"/>
      <c r="AC124" s="9" t="str">
        <f>IFERROR(__xludf.DUMMYFUNCTION("""COMPUTED_VALUE"""),"Freycinet")</f>
        <v>Freycinet</v>
      </c>
      <c r="AD124" s="25"/>
      <c r="AE124" s="25" t="str">
        <f t="shared" si="1"/>
        <v/>
      </c>
      <c r="AF124" s="23" t="str">
        <f t="shared" si="4"/>
        <v/>
      </c>
      <c r="AG124" s="23">
        <f t="shared" si="3"/>
        <v>1</v>
      </c>
      <c r="AH124" s="9"/>
      <c r="AI124" s="9"/>
    </row>
    <row r="125" ht="15.75" customHeight="1">
      <c r="B125" s="9"/>
      <c r="C125" s="9"/>
      <c r="D125" s="9"/>
      <c r="E125" s="5" t="s">
        <v>210</v>
      </c>
      <c r="F125" s="6">
        <v>82200.0</v>
      </c>
      <c r="G125" s="6">
        <v>54171.0</v>
      </c>
      <c r="H125" s="5" t="s">
        <v>26</v>
      </c>
      <c r="I125" s="5" t="s">
        <v>21</v>
      </c>
      <c r="J125" s="5">
        <v>3.74097E8</v>
      </c>
      <c r="K125" s="5">
        <v>9780641.0</v>
      </c>
      <c r="L125" s="5" t="s">
        <v>211</v>
      </c>
      <c r="M125" s="35">
        <v>46135.958333333336</v>
      </c>
      <c r="N125" s="5" t="b">
        <v>0</v>
      </c>
      <c r="O125" s="19"/>
      <c r="P125" s="7"/>
      <c r="Q125" s="9"/>
      <c r="R125" s="9"/>
      <c r="S125" s="9"/>
      <c r="T125" s="9"/>
      <c r="U125" s="9"/>
      <c r="V125" s="9"/>
      <c r="W125" s="9"/>
      <c r="X125" s="23"/>
      <c r="Y125" s="23" t="str">
        <f>IFERROR(__xludf.DUMMYFUNCTION("""COMPUTED_VALUE"""),"Zixuan")</f>
        <v>Zixuan</v>
      </c>
      <c r="Z125" s="23"/>
      <c r="AA125" s="23"/>
      <c r="AB125" s="9"/>
      <c r="AC125" s="9" t="str">
        <f>IFERROR(__xludf.DUMMYFUNCTION("""COMPUTED_VALUE"""),"Fritzi N")</f>
        <v>Fritzi N</v>
      </c>
      <c r="AD125" s="25"/>
      <c r="AE125" s="25" t="str">
        <f t="shared" si="1"/>
        <v/>
      </c>
      <c r="AF125" s="23" t="str">
        <f t="shared" si="4"/>
        <v/>
      </c>
      <c r="AG125" s="23">
        <f t="shared" si="3"/>
        <v>1</v>
      </c>
      <c r="AH125" s="9"/>
      <c r="AI125" s="9"/>
    </row>
    <row r="126" ht="15.75" customHeight="1">
      <c r="B126" s="9"/>
      <c r="C126" s="9"/>
      <c r="D126" s="23"/>
      <c r="E126" s="5" t="s">
        <v>212</v>
      </c>
      <c r="F126" s="6">
        <v>82394.0</v>
      </c>
      <c r="G126" s="6">
        <v>54070.0</v>
      </c>
      <c r="H126" s="5" t="s">
        <v>20</v>
      </c>
      <c r="I126" s="5" t="s">
        <v>21</v>
      </c>
      <c r="J126" s="5">
        <v>5.63689E8</v>
      </c>
      <c r="K126" s="5">
        <v>9631682.0</v>
      </c>
      <c r="L126" s="5" t="s">
        <v>140</v>
      </c>
      <c r="M126" s="35">
        <v>46155.583333333336</v>
      </c>
      <c r="N126" s="5" t="b">
        <v>1</v>
      </c>
      <c r="O126" s="19"/>
      <c r="P126" s="7"/>
      <c r="Q126" s="9"/>
      <c r="R126" s="9"/>
      <c r="S126" s="9"/>
      <c r="T126" s="9"/>
      <c r="U126" s="9"/>
      <c r="V126" s="9"/>
      <c r="W126" s="9"/>
      <c r="X126" s="23"/>
      <c r="Y126" s="23"/>
      <c r="Z126" s="23"/>
      <c r="AA126" s="23"/>
      <c r="AB126" s="9"/>
      <c r="AC126" s="9" t="str">
        <f>IFERROR(__xludf.DUMMYFUNCTION("""COMPUTED_VALUE"""),"Future Ace")</f>
        <v>Future Ace</v>
      </c>
      <c r="AD126" s="25"/>
      <c r="AE126" s="25" t="str">
        <f t="shared" si="1"/>
        <v/>
      </c>
      <c r="AF126" s="23">
        <f t="shared" si="4"/>
        <v>1</v>
      </c>
      <c r="AG126" s="23">
        <f t="shared" si="3"/>
        <v>1</v>
      </c>
      <c r="AH126" s="9"/>
      <c r="AI126" s="9"/>
    </row>
    <row r="127" ht="15.75" customHeight="1">
      <c r="B127" s="9"/>
      <c r="C127" s="9"/>
      <c r="D127" s="9"/>
      <c r="E127" s="5" t="s">
        <v>213</v>
      </c>
      <c r="F127" s="6">
        <v>84000.0</v>
      </c>
      <c r="G127" s="6">
        <v>53600.0</v>
      </c>
      <c r="H127" s="5" t="s">
        <v>20</v>
      </c>
      <c r="I127" s="5" t="s">
        <v>21</v>
      </c>
      <c r="J127" s="5">
        <v>5.631441E8</v>
      </c>
      <c r="K127" s="5">
        <v>9906269.0</v>
      </c>
      <c r="L127" s="5" t="s">
        <v>101</v>
      </c>
      <c r="M127" s="35">
        <v>46133.375</v>
      </c>
      <c r="N127" s="5" t="b">
        <v>1</v>
      </c>
      <c r="O127" s="19"/>
      <c r="P127" s="7"/>
      <c r="Q127" s="9"/>
      <c r="R127" s="9"/>
      <c r="S127" s="9"/>
      <c r="T127" s="9"/>
      <c r="U127" s="9"/>
      <c r="V127" s="9"/>
      <c r="W127" s="9"/>
      <c r="X127" s="23"/>
      <c r="Y127" s="23"/>
      <c r="Z127" s="23"/>
      <c r="AA127" s="23"/>
      <c r="AB127" s="9"/>
      <c r="AC127" s="9" t="str">
        <f>IFERROR(__xludf.DUMMYFUNCTION("""COMPUTED_VALUE"""),"Future Diamond")</f>
        <v>Future Diamond</v>
      </c>
      <c r="AD127" s="25"/>
      <c r="AE127" s="25" t="str">
        <f t="shared" si="1"/>
        <v/>
      </c>
      <c r="AF127" s="23">
        <f t="shared" si="4"/>
        <v>1</v>
      </c>
      <c r="AG127" s="23">
        <f t="shared" si="3"/>
        <v>1</v>
      </c>
      <c r="AH127" s="9"/>
      <c r="AI127" s="9"/>
    </row>
    <row r="128" ht="15.75" customHeight="1">
      <c r="B128" s="9"/>
      <c r="C128" s="9"/>
      <c r="D128" s="9"/>
      <c r="E128" s="5" t="s">
        <v>214</v>
      </c>
      <c r="F128" s="6">
        <v>84269.0</v>
      </c>
      <c r="G128" s="6">
        <v>54155.0</v>
      </c>
      <c r="H128" s="5" t="s">
        <v>26</v>
      </c>
      <c r="I128" s="5" t="s">
        <v>21</v>
      </c>
      <c r="J128" s="5">
        <v>3.07087E8</v>
      </c>
      <c r="K128" s="5">
        <v>9113379.0</v>
      </c>
      <c r="L128" s="17"/>
      <c r="M128" s="18"/>
      <c r="N128" s="5" t="b">
        <v>0</v>
      </c>
      <c r="O128" s="19"/>
      <c r="P128" s="7"/>
      <c r="Q128" s="9"/>
      <c r="R128" s="9"/>
      <c r="S128" s="9"/>
      <c r="T128" s="9"/>
      <c r="U128" s="9"/>
      <c r="V128" s="9"/>
      <c r="W128" s="9"/>
      <c r="X128" s="23"/>
      <c r="Y128" s="23"/>
      <c r="Z128" s="23"/>
      <c r="AA128" s="23"/>
      <c r="AB128" s="9"/>
      <c r="AC128" s="9" t="str">
        <f>IFERROR(__xludf.DUMMYFUNCTION("""COMPUTED_VALUE"""),"Future Energy")</f>
        <v>Future Energy</v>
      </c>
      <c r="AD128" s="25"/>
      <c r="AE128" s="25" t="str">
        <f t="shared" si="1"/>
        <v/>
      </c>
      <c r="AF128" s="23">
        <f t="shared" si="4"/>
        <v>1</v>
      </c>
      <c r="AG128" s="23" t="str">
        <f t="shared" si="3"/>
        <v/>
      </c>
      <c r="AH128" s="9"/>
      <c r="AI128" s="9"/>
    </row>
    <row r="129" ht="15.75" customHeight="1">
      <c r="B129" s="9"/>
      <c r="C129" s="9"/>
      <c r="D129" s="9"/>
      <c r="E129" s="5" t="s">
        <v>215</v>
      </c>
      <c r="F129" s="6">
        <v>76929.0</v>
      </c>
      <c r="G129" s="6">
        <v>49723.0</v>
      </c>
      <c r="H129" s="5" t="s">
        <v>20</v>
      </c>
      <c r="I129" s="5" t="s">
        <v>21</v>
      </c>
      <c r="J129" s="5">
        <v>3.52004406E8</v>
      </c>
      <c r="K129" s="5">
        <v>9172739.0</v>
      </c>
      <c r="L129" s="17"/>
      <c r="M129" s="18"/>
      <c r="N129" s="5" t="b">
        <v>1</v>
      </c>
      <c r="O129" s="19"/>
      <c r="P129" s="7"/>
      <c r="Q129" s="9"/>
      <c r="R129" s="9"/>
      <c r="S129" s="9"/>
      <c r="T129" s="9"/>
      <c r="U129" s="9"/>
      <c r="V129" s="9"/>
      <c r="W129" s="9"/>
      <c r="X129" s="23"/>
      <c r="Y129" s="23"/>
      <c r="Z129" s="23"/>
      <c r="AA129" s="23"/>
      <c r="AB129" s="9"/>
      <c r="AC129" s="9" t="str">
        <f>IFERROR(__xludf.DUMMYFUNCTION("""COMPUTED_VALUE"""),"Future Explorer")</f>
        <v>Future Explorer</v>
      </c>
      <c r="AD129" s="25"/>
      <c r="AE129" s="25" t="str">
        <f t="shared" si="1"/>
        <v/>
      </c>
      <c r="AF129" s="23">
        <f t="shared" si="4"/>
        <v>1</v>
      </c>
      <c r="AG129" s="23" t="str">
        <f t="shared" si="3"/>
        <v/>
      </c>
      <c r="AH129" s="9"/>
      <c r="AI129" s="9"/>
    </row>
    <row r="130" ht="15.75" customHeight="1">
      <c r="B130" s="9"/>
      <c r="C130" s="9"/>
      <c r="D130" s="9"/>
      <c r="E130" s="5" t="s">
        <v>216</v>
      </c>
      <c r="F130" s="6">
        <v>91000.0</v>
      </c>
      <c r="G130" s="6">
        <v>62500.0</v>
      </c>
      <c r="H130" s="5" t="s">
        <v>20</v>
      </c>
      <c r="I130" s="5" t="s">
        <v>21</v>
      </c>
      <c r="J130" s="5">
        <v>6.36022367E8</v>
      </c>
      <c r="K130" s="5">
        <v>9933767.0</v>
      </c>
      <c r="L130" s="5" t="s">
        <v>190</v>
      </c>
      <c r="M130" s="35">
        <v>46152.75</v>
      </c>
      <c r="N130" s="5" t="b">
        <v>1</v>
      </c>
      <c r="O130" s="19"/>
      <c r="P130" s="7"/>
      <c r="Q130" s="9"/>
      <c r="R130" s="9"/>
      <c r="S130" s="9"/>
      <c r="T130" s="9"/>
      <c r="U130" s="9"/>
      <c r="V130" s="9"/>
      <c r="W130" s="9"/>
      <c r="X130" s="23"/>
      <c r="Y130" s="23"/>
      <c r="Z130" s="23"/>
      <c r="AA130" s="23"/>
      <c r="AB130" s="9"/>
      <c r="AC130" s="9" t="str">
        <f>IFERROR(__xludf.DUMMYFUNCTION("""COMPUTED_VALUE"""),"G Arete")</f>
        <v>G Arete</v>
      </c>
      <c r="AD130" s="25"/>
      <c r="AE130" s="25" t="str">
        <f t="shared" si="1"/>
        <v/>
      </c>
      <c r="AF130" s="23">
        <f t="shared" si="4"/>
        <v>1</v>
      </c>
      <c r="AG130" s="23">
        <f t="shared" si="3"/>
        <v>1</v>
      </c>
      <c r="AH130" s="9"/>
      <c r="AI130" s="9"/>
    </row>
    <row r="131" ht="15.75" customHeight="1">
      <c r="B131" s="9"/>
      <c r="C131" s="9"/>
      <c r="D131" s="9"/>
      <c r="E131" s="5" t="s">
        <v>217</v>
      </c>
      <c r="F131" s="6">
        <v>76980.0</v>
      </c>
      <c r="G131" s="6">
        <v>56824.0</v>
      </c>
      <c r="H131" s="5" t="s">
        <v>20</v>
      </c>
      <c r="I131" s="5" t="s">
        <v>21</v>
      </c>
      <c r="J131" s="5">
        <v>5.11101556E8</v>
      </c>
      <c r="K131" s="5">
        <v>9193721.0</v>
      </c>
      <c r="L131" s="17"/>
      <c r="M131" s="53"/>
      <c r="N131" s="5" t="b">
        <v>1</v>
      </c>
      <c r="O131" s="19"/>
      <c r="P131" s="7"/>
      <c r="Q131" s="9"/>
      <c r="R131" s="9"/>
      <c r="S131" s="9"/>
      <c r="T131" s="9"/>
      <c r="U131" s="9"/>
      <c r="V131" s="9"/>
      <c r="W131" s="9"/>
      <c r="X131" s="23"/>
      <c r="Y131" s="23"/>
      <c r="Z131" s="23"/>
      <c r="AA131" s="23"/>
      <c r="AB131" s="9"/>
      <c r="AC131" s="9" t="str">
        <f>IFERROR(__xludf.DUMMYFUNCTION("""COMPUTED_VALUE"""),"G Swan")</f>
        <v>G Swan</v>
      </c>
      <c r="AD131" s="25"/>
      <c r="AE131" s="25" t="str">
        <f t="shared" si="1"/>
        <v/>
      </c>
      <c r="AF131" s="23">
        <f t="shared" si="4"/>
        <v>1</v>
      </c>
      <c r="AG131" s="23" t="str">
        <f t="shared" si="3"/>
        <v/>
      </c>
      <c r="AH131" s="9"/>
      <c r="AI131" s="9"/>
    </row>
    <row r="132" ht="15.75" customHeight="1">
      <c r="B132" s="9"/>
      <c r="C132" s="9"/>
      <c r="D132" s="9"/>
      <c r="E132" s="5" t="s">
        <v>218</v>
      </c>
      <c r="F132" s="6">
        <v>84000.0</v>
      </c>
      <c r="G132" s="6">
        <v>53991.0</v>
      </c>
      <c r="H132" s="5" t="s">
        <v>20</v>
      </c>
      <c r="I132" s="5" t="s">
        <v>21</v>
      </c>
      <c r="J132" s="5">
        <v>6.36021037E8</v>
      </c>
      <c r="K132" s="5">
        <v>9719408.0</v>
      </c>
      <c r="L132" s="5" t="s">
        <v>124</v>
      </c>
      <c r="M132" s="35">
        <v>46132.4375</v>
      </c>
      <c r="N132" s="5" t="b">
        <v>1</v>
      </c>
      <c r="O132" s="19"/>
      <c r="P132" s="7"/>
      <c r="Q132" s="9"/>
      <c r="R132" s="9"/>
      <c r="S132" s="9"/>
      <c r="T132" s="9"/>
      <c r="U132" s="9"/>
      <c r="V132" s="9"/>
      <c r="W132" s="9"/>
      <c r="X132" s="23"/>
      <c r="Y132" s="23"/>
      <c r="Z132" s="23"/>
      <c r="AA132" s="23"/>
      <c r="AB132" s="9"/>
      <c r="AC132" s="9" t="str">
        <f>IFERROR(__xludf.DUMMYFUNCTION("""COMPUTED_VALUE"""),"G. Dolce")</f>
        <v>G. Dolce</v>
      </c>
      <c r="AD132" s="25"/>
      <c r="AE132" s="25" t="str">
        <f t="shared" si="1"/>
        <v/>
      </c>
      <c r="AF132" s="23">
        <f t="shared" si="4"/>
        <v>1</v>
      </c>
      <c r="AG132" s="23">
        <f t="shared" si="3"/>
        <v>1</v>
      </c>
      <c r="AH132" s="9"/>
      <c r="AI132" s="9"/>
    </row>
    <row r="133" ht="15.75" customHeight="1">
      <c r="B133" s="9"/>
      <c r="C133" s="9"/>
      <c r="D133" s="9"/>
      <c r="E133" s="5" t="s">
        <v>219</v>
      </c>
      <c r="F133" s="6">
        <v>82623.0</v>
      </c>
      <c r="G133" s="6">
        <v>54584.0</v>
      </c>
      <c r="H133" s="5" t="s">
        <v>20</v>
      </c>
      <c r="I133" s="5" t="s">
        <v>21</v>
      </c>
      <c r="J133" s="5">
        <v>6.36011305E8</v>
      </c>
      <c r="K133" s="5">
        <v>9176369.0</v>
      </c>
      <c r="L133" s="5" t="s">
        <v>220</v>
      </c>
      <c r="M133" s="35">
        <v>46142.5</v>
      </c>
      <c r="N133" s="5" t="b">
        <v>1</v>
      </c>
      <c r="O133" s="19"/>
      <c r="P133" s="7"/>
      <c r="Q133" s="9"/>
      <c r="R133" s="9"/>
      <c r="S133" s="9"/>
      <c r="T133" s="9"/>
      <c r="U133" s="9"/>
      <c r="V133" s="9"/>
      <c r="W133" s="9"/>
      <c r="X133" s="23"/>
      <c r="Y133" s="23"/>
      <c r="Z133" s="23"/>
      <c r="AA133" s="23"/>
      <c r="AB133" s="9"/>
      <c r="AC133" s="9" t="str">
        <f>IFERROR(__xludf.DUMMYFUNCTION("""COMPUTED_VALUE"""),"G. Forever")</f>
        <v>G. Forever</v>
      </c>
      <c r="AD133" s="25"/>
      <c r="AE133" s="25" t="str">
        <f t="shared" si="1"/>
        <v/>
      </c>
      <c r="AF133" s="23">
        <f t="shared" si="4"/>
        <v>1</v>
      </c>
      <c r="AG133" s="23">
        <f t="shared" si="3"/>
        <v>1</v>
      </c>
      <c r="AH133" s="9"/>
      <c r="AI133" s="9"/>
    </row>
    <row r="134" ht="15.75" customHeight="1">
      <c r="B134" s="9"/>
      <c r="C134" s="9"/>
      <c r="D134" s="9"/>
      <c r="E134" s="5" t="s">
        <v>221</v>
      </c>
      <c r="F134" s="6">
        <v>80000.0</v>
      </c>
      <c r="G134" s="6">
        <v>51038.0</v>
      </c>
      <c r="H134" s="5" t="s">
        <v>26</v>
      </c>
      <c r="I134" s="5" t="s">
        <v>21</v>
      </c>
      <c r="J134" s="5">
        <v>6.36020882E8</v>
      </c>
      <c r="K134" s="5">
        <v>9852951.0</v>
      </c>
      <c r="L134" s="5" t="s">
        <v>101</v>
      </c>
      <c r="M134" s="38">
        <v>46146.520833333336</v>
      </c>
      <c r="N134" s="5" t="b">
        <v>0</v>
      </c>
      <c r="O134" s="19"/>
      <c r="P134" s="7"/>
      <c r="Q134" s="9"/>
      <c r="R134" s="9"/>
      <c r="S134" s="9"/>
      <c r="T134" s="9"/>
      <c r="U134" s="9"/>
      <c r="V134" s="9"/>
      <c r="W134" s="9"/>
      <c r="X134" s="23"/>
      <c r="Y134" s="23"/>
      <c r="Z134" s="23"/>
      <c r="AA134" s="23"/>
      <c r="AB134" s="9"/>
      <c r="AC134" s="9" t="str">
        <f>IFERROR(__xludf.DUMMYFUNCTION("""COMPUTED_VALUE"""),"G. Paragon")</f>
        <v>G. Paragon</v>
      </c>
      <c r="AD134" s="25"/>
      <c r="AE134" s="25" t="str">
        <f t="shared" si="1"/>
        <v/>
      </c>
      <c r="AF134" s="23">
        <f t="shared" si="4"/>
        <v>1</v>
      </c>
      <c r="AG134" s="23">
        <f t="shared" si="3"/>
        <v>1</v>
      </c>
      <c r="AH134" s="9"/>
      <c r="AI134" s="9"/>
    </row>
    <row r="135" ht="15.75" customHeight="1">
      <c r="B135" s="9"/>
      <c r="C135" s="9"/>
      <c r="D135" s="9"/>
      <c r="E135" s="5" t="s">
        <v>222</v>
      </c>
      <c r="F135" s="6">
        <v>88000.0</v>
      </c>
      <c r="G135" s="6">
        <v>56044.0</v>
      </c>
      <c r="H135" s="5" t="s">
        <v>26</v>
      </c>
      <c r="I135" s="5" t="s">
        <v>21</v>
      </c>
      <c r="J135" s="5">
        <v>6.36022849E8</v>
      </c>
      <c r="K135" s="5">
        <v>9993638.0</v>
      </c>
      <c r="L135" s="5" t="s">
        <v>101</v>
      </c>
      <c r="M135" s="35">
        <v>46139.875</v>
      </c>
      <c r="N135" s="5" t="b">
        <v>0</v>
      </c>
      <c r="O135" s="19"/>
      <c r="P135" s="7"/>
      <c r="Q135" s="9"/>
      <c r="R135" s="9"/>
      <c r="S135" s="9"/>
      <c r="T135" s="9"/>
      <c r="U135" s="9"/>
      <c r="V135" s="9"/>
      <c r="W135" s="9"/>
      <c r="X135" s="23"/>
      <c r="Y135" s="23"/>
      <c r="Z135" s="23"/>
      <c r="AA135" s="23"/>
      <c r="AB135" s="9"/>
      <c r="AC135" s="9" t="str">
        <f>IFERROR(__xludf.DUMMYFUNCTION("""COMPUTED_VALUE"""),"G. Spirit")</f>
        <v>G. Spirit</v>
      </c>
      <c r="AD135" s="25"/>
      <c r="AE135" s="25" t="str">
        <f t="shared" si="1"/>
        <v/>
      </c>
      <c r="AF135" s="23">
        <f t="shared" si="4"/>
        <v>1</v>
      </c>
      <c r="AG135" s="23">
        <f t="shared" si="3"/>
        <v>1</v>
      </c>
      <c r="AH135" s="9"/>
      <c r="AI135" s="9"/>
    </row>
    <row r="136" ht="15.75" customHeight="1">
      <c r="B136" s="9"/>
      <c r="C136" s="9"/>
      <c r="D136" s="9"/>
      <c r="E136" s="5" t="s">
        <v>223</v>
      </c>
      <c r="F136" s="6">
        <v>83000.0</v>
      </c>
      <c r="G136" s="6">
        <v>55134.0</v>
      </c>
      <c r="H136" s="5" t="s">
        <v>26</v>
      </c>
      <c r="I136" s="5" t="s">
        <v>21</v>
      </c>
      <c r="J136" s="5">
        <v>3.5485E8</v>
      </c>
      <c r="K136" s="5">
        <v>9759185.0</v>
      </c>
      <c r="L136" s="5" t="s">
        <v>101</v>
      </c>
      <c r="M136" s="35">
        <v>46153.125</v>
      </c>
      <c r="N136" s="5" t="b">
        <v>0</v>
      </c>
      <c r="O136" s="19"/>
      <c r="P136" s="7"/>
      <c r="Q136" s="9"/>
      <c r="R136" s="9"/>
      <c r="S136" s="9"/>
      <c r="T136" s="9"/>
      <c r="U136" s="9"/>
      <c r="V136" s="9"/>
      <c r="W136" s="9"/>
      <c r="X136" s="23"/>
      <c r="Y136" s="23"/>
      <c r="Z136" s="23"/>
      <c r="AA136" s="23"/>
      <c r="AB136" s="9"/>
      <c r="AC136" s="9" t="str">
        <f>IFERROR(__xludf.DUMMYFUNCTION("""COMPUTED_VALUE"""),"Galaxy River")</f>
        <v>Galaxy River</v>
      </c>
      <c r="AD136" s="25"/>
      <c r="AE136" s="25" t="str">
        <f t="shared" si="1"/>
        <v/>
      </c>
      <c r="AF136" s="23">
        <f t="shared" si="4"/>
        <v>1</v>
      </c>
      <c r="AG136" s="23">
        <f t="shared" si="3"/>
        <v>1</v>
      </c>
      <c r="AH136" s="9"/>
      <c r="AI136" s="9"/>
    </row>
    <row r="137" ht="15.75" customHeight="1">
      <c r="B137" s="9"/>
      <c r="C137" s="9"/>
      <c r="D137" s="9"/>
      <c r="E137" s="5" t="s">
        <v>224</v>
      </c>
      <c r="F137" s="6">
        <v>78400.0</v>
      </c>
      <c r="G137" s="6">
        <v>53076.0</v>
      </c>
      <c r="H137" s="5" t="s">
        <v>26</v>
      </c>
      <c r="I137" s="5" t="s">
        <v>21</v>
      </c>
      <c r="J137" s="5">
        <v>2.35089774E8</v>
      </c>
      <c r="K137" s="5">
        <v>9470088.0</v>
      </c>
      <c r="L137" s="5" t="s">
        <v>95</v>
      </c>
      <c r="M137" s="35">
        <v>46132.125</v>
      </c>
      <c r="N137" s="5" t="b">
        <v>0</v>
      </c>
      <c r="O137" s="19"/>
      <c r="P137" s="7"/>
      <c r="Q137" s="9"/>
      <c r="R137" s="9"/>
      <c r="S137" s="9"/>
      <c r="T137" s="9"/>
      <c r="U137" s="9"/>
      <c r="V137" s="9"/>
      <c r="W137" s="9"/>
      <c r="X137" s="23"/>
      <c r="Y137" s="23"/>
      <c r="Z137" s="23"/>
      <c r="AA137" s="23"/>
      <c r="AB137" s="9"/>
      <c r="AC137" s="9" t="str">
        <f>IFERROR(__xludf.DUMMYFUNCTION("""COMPUTED_VALUE"""),"Gas Al Ahmadiah")</f>
        <v>Gas Al Ahmadiah</v>
      </c>
      <c r="AD137" s="25"/>
      <c r="AE137" s="25" t="str">
        <f t="shared" si="1"/>
        <v/>
      </c>
      <c r="AF137" s="23">
        <f t="shared" si="4"/>
        <v>1</v>
      </c>
      <c r="AG137" s="23">
        <f t="shared" si="3"/>
        <v>1</v>
      </c>
      <c r="AH137" s="9"/>
      <c r="AI137" s="9"/>
    </row>
    <row r="138" ht="15.75" customHeight="1">
      <c r="B138" s="9"/>
      <c r="C138" s="9"/>
      <c r="D138" s="9"/>
      <c r="E138" s="5" t="s">
        <v>225</v>
      </c>
      <c r="F138" s="6">
        <v>78549.0</v>
      </c>
      <c r="G138" s="6">
        <v>56864.0</v>
      </c>
      <c r="H138" s="5" t="s">
        <v>20</v>
      </c>
      <c r="I138" s="5" t="s">
        <v>21</v>
      </c>
      <c r="J138" s="5">
        <v>2.68252804E8</v>
      </c>
      <c r="K138" s="5">
        <v>8917807.0</v>
      </c>
      <c r="L138" s="5" t="s">
        <v>46</v>
      </c>
      <c r="M138" s="35">
        <v>46131.791666666664</v>
      </c>
      <c r="N138" s="5" t="b">
        <v>1</v>
      </c>
      <c r="O138" s="19"/>
      <c r="P138" s="7"/>
      <c r="Q138" s="9"/>
      <c r="R138" s="9"/>
      <c r="S138" s="9"/>
      <c r="T138" s="9"/>
      <c r="U138" s="9"/>
      <c r="V138" s="9"/>
      <c r="W138" s="9"/>
      <c r="X138" s="23"/>
      <c r="Y138" s="23"/>
      <c r="Z138" s="23"/>
      <c r="AA138" s="23"/>
      <c r="AB138" s="9"/>
      <c r="AC138" s="9" t="str">
        <f>IFERROR(__xludf.DUMMYFUNCTION("""COMPUTED_VALUE"""),"Gas Al Kuwait Ii")</f>
        <v>Gas Al Kuwait Ii</v>
      </c>
      <c r="AD138" s="25"/>
      <c r="AE138" s="25" t="str">
        <f t="shared" si="1"/>
        <v/>
      </c>
      <c r="AF138" s="23">
        <f t="shared" si="4"/>
        <v>1</v>
      </c>
      <c r="AG138" s="23" t="str">
        <f t="shared" si="3"/>
        <v/>
      </c>
      <c r="AH138" s="9"/>
      <c r="AI138" s="9"/>
    </row>
    <row r="139" ht="15.75" customHeight="1">
      <c r="B139" s="9"/>
      <c r="C139" s="9"/>
      <c r="D139" s="9"/>
      <c r="E139" s="5" t="s">
        <v>226</v>
      </c>
      <c r="F139" s="6">
        <v>84000.0</v>
      </c>
      <c r="G139" s="6">
        <v>53696.0</v>
      </c>
      <c r="H139" s="5" t="s">
        <v>20</v>
      </c>
      <c r="I139" s="5" t="s">
        <v>21</v>
      </c>
      <c r="J139" s="5">
        <v>2.32031864E8</v>
      </c>
      <c r="K139" s="5">
        <v>9889564.0</v>
      </c>
      <c r="L139" s="5" t="s">
        <v>227</v>
      </c>
      <c r="M139" s="39">
        <v>46133.288194444445</v>
      </c>
      <c r="N139" s="5" t="b">
        <v>1</v>
      </c>
      <c r="O139" s="19"/>
      <c r="P139" s="7"/>
      <c r="Q139" s="9"/>
      <c r="R139" s="9"/>
      <c r="S139" s="9"/>
      <c r="T139" s="9"/>
      <c r="U139" s="9"/>
      <c r="V139" s="9"/>
      <c r="W139" s="9"/>
      <c r="X139" s="23"/>
      <c r="Y139" s="23"/>
      <c r="Z139" s="23"/>
      <c r="AA139" s="23"/>
      <c r="AB139" s="9"/>
      <c r="AC139" s="9" t="str">
        <f>IFERROR(__xludf.DUMMYFUNCTION("""COMPUTED_VALUE"""),"Gas Al Mubarakiah")</f>
        <v>Gas Al Mubarakiah</v>
      </c>
      <c r="AD139" s="25"/>
      <c r="AE139" s="25" t="str">
        <f t="shared" si="1"/>
        <v/>
      </c>
      <c r="AF139" s="23">
        <f t="shared" si="4"/>
        <v>1</v>
      </c>
      <c r="AG139" s="23">
        <f t="shared" si="3"/>
        <v>1</v>
      </c>
      <c r="AH139" s="9"/>
      <c r="AI139" s="9"/>
    </row>
    <row r="140" ht="15.75" customHeight="1">
      <c r="B140" s="9"/>
      <c r="C140" s="9"/>
      <c r="D140" s="9"/>
      <c r="E140" s="5" t="s">
        <v>228</v>
      </c>
      <c r="F140" s="6">
        <v>80000.0</v>
      </c>
      <c r="G140" s="6">
        <v>50513.0</v>
      </c>
      <c r="H140" s="5" t="s">
        <v>26</v>
      </c>
      <c r="I140" s="5" t="s">
        <v>21</v>
      </c>
      <c r="J140" s="5">
        <v>6.36020881E8</v>
      </c>
      <c r="K140" s="5">
        <v>9847437.0</v>
      </c>
      <c r="L140" s="5" t="s">
        <v>43</v>
      </c>
      <c r="M140" s="35">
        <v>46133.833333333336</v>
      </c>
      <c r="N140" s="5" t="b">
        <v>0</v>
      </c>
      <c r="O140" s="19"/>
      <c r="P140" s="7"/>
      <c r="Q140" s="9"/>
      <c r="R140" s="9"/>
      <c r="S140" s="9"/>
      <c r="T140" s="9"/>
      <c r="U140" s="9"/>
      <c r="V140" s="9"/>
      <c r="W140" s="9"/>
      <c r="X140" s="23"/>
      <c r="Y140" s="23"/>
      <c r="Z140" s="23"/>
      <c r="AA140" s="23"/>
      <c r="AB140" s="9"/>
      <c r="AC140" s="9" t="str">
        <f>IFERROR(__xludf.DUMMYFUNCTION("""COMPUTED_VALUE"""),"Gas Al Negeh")</f>
        <v>Gas Al Negeh</v>
      </c>
      <c r="AD140" s="25"/>
      <c r="AE140" s="25" t="str">
        <f t="shared" si="1"/>
        <v/>
      </c>
      <c r="AF140" s="23">
        <f t="shared" si="4"/>
        <v>1</v>
      </c>
      <c r="AG140" s="23">
        <f t="shared" si="3"/>
        <v>1</v>
      </c>
      <c r="AH140" s="9"/>
      <c r="AI140" s="9"/>
    </row>
    <row r="141" ht="15.75" customHeight="1">
      <c r="B141" s="9"/>
      <c r="C141" s="9"/>
      <c r="D141" s="9"/>
      <c r="E141" s="5" t="s">
        <v>229</v>
      </c>
      <c r="F141" s="6">
        <v>78462.0</v>
      </c>
      <c r="G141" s="6">
        <v>49651.0</v>
      </c>
      <c r="H141" s="5" t="s">
        <v>26</v>
      </c>
      <c r="I141" s="5" t="s">
        <v>21</v>
      </c>
      <c r="J141" s="5">
        <v>6.4755304E8</v>
      </c>
      <c r="K141" s="5">
        <v>9134294.0</v>
      </c>
      <c r="L141" s="17"/>
      <c r="M141" s="18"/>
      <c r="N141" s="5" t="b">
        <v>0</v>
      </c>
      <c r="O141" s="19"/>
      <c r="P141" s="7"/>
      <c r="Q141" s="9"/>
      <c r="R141" s="9"/>
      <c r="S141" s="9"/>
      <c r="T141" s="9"/>
      <c r="U141" s="9"/>
      <c r="V141" s="9"/>
      <c r="W141" s="9"/>
      <c r="X141" s="23"/>
      <c r="Y141" s="23"/>
      <c r="Z141" s="23"/>
      <c r="AA141" s="23"/>
      <c r="AB141" s="9"/>
      <c r="AC141" s="9" t="str">
        <f>IFERROR(__xludf.DUMMYFUNCTION("""COMPUTED_VALUE"""),"Gas Alkhaleej")</f>
        <v>Gas Alkhaleej</v>
      </c>
      <c r="AD141" s="25"/>
      <c r="AE141" s="25" t="str">
        <f t="shared" si="1"/>
        <v/>
      </c>
      <c r="AF141" s="23">
        <f t="shared" si="4"/>
        <v>1</v>
      </c>
      <c r="AG141" s="23" t="str">
        <f t="shared" si="3"/>
        <v/>
      </c>
      <c r="AH141" s="9"/>
      <c r="AI141" s="9"/>
    </row>
    <row r="142" ht="15.75" customHeight="1">
      <c r="B142" s="9"/>
      <c r="C142" s="9"/>
      <c r="D142" s="9"/>
      <c r="E142" s="5" t="s">
        <v>230</v>
      </c>
      <c r="F142" s="6">
        <v>86700.0</v>
      </c>
      <c r="G142" s="6">
        <v>55000.0</v>
      </c>
      <c r="H142" s="5" t="s">
        <v>20</v>
      </c>
      <c r="I142" s="5" t="s">
        <v>21</v>
      </c>
      <c r="J142" s="5">
        <v>3.52003182E8</v>
      </c>
      <c r="K142" s="5">
        <v>9957892.0</v>
      </c>
      <c r="L142" s="5" t="s">
        <v>101</v>
      </c>
      <c r="M142" s="35">
        <v>46133.666666666664</v>
      </c>
      <c r="N142" s="5" t="b">
        <v>1</v>
      </c>
      <c r="O142" s="19"/>
      <c r="P142" s="7"/>
      <c r="Q142" s="9"/>
      <c r="R142" s="9"/>
      <c r="S142" s="9"/>
      <c r="T142" s="9"/>
      <c r="U142" s="9"/>
      <c r="V142" s="9"/>
      <c r="W142" s="9"/>
      <c r="X142" s="23"/>
      <c r="Y142" s="23"/>
      <c r="Z142" s="23"/>
      <c r="AA142" s="23"/>
      <c r="AB142" s="9"/>
      <c r="AC142" s="9" t="str">
        <f>IFERROR(__xludf.DUMMYFUNCTION("""COMPUTED_VALUE"""),"Gas Alyssa")</f>
        <v>Gas Alyssa</v>
      </c>
      <c r="AD142" s="25"/>
      <c r="AE142" s="25" t="str">
        <f t="shared" si="1"/>
        <v/>
      </c>
      <c r="AF142" s="23">
        <f t="shared" si="4"/>
        <v>1</v>
      </c>
      <c r="AG142" s="23">
        <f t="shared" si="3"/>
        <v>1</v>
      </c>
      <c r="AH142" s="9"/>
      <c r="AI142" s="9"/>
    </row>
    <row r="143" ht="15.75" customHeight="1">
      <c r="B143" s="9"/>
      <c r="C143" s="9"/>
      <c r="D143" s="9"/>
      <c r="E143" s="5" t="s">
        <v>231</v>
      </c>
      <c r="F143" s="6">
        <v>91000.0</v>
      </c>
      <c r="G143" s="6">
        <v>57914.0</v>
      </c>
      <c r="H143" s="5" t="s">
        <v>20</v>
      </c>
      <c r="I143" s="5" t="s">
        <v>21</v>
      </c>
      <c r="J143" s="5">
        <v>3.52001885E8</v>
      </c>
      <c r="K143" s="5">
        <v>9935507.0</v>
      </c>
      <c r="L143" s="5" t="s">
        <v>232</v>
      </c>
      <c r="M143" s="35">
        <v>46157.46388888889</v>
      </c>
      <c r="N143" s="5" t="b">
        <v>1</v>
      </c>
      <c r="O143" s="19"/>
      <c r="P143" s="7"/>
      <c r="Q143" s="9"/>
      <c r="R143" s="9"/>
      <c r="S143" s="9"/>
      <c r="T143" s="9"/>
      <c r="U143" s="9"/>
      <c r="V143" s="9"/>
      <c r="W143" s="9"/>
      <c r="X143" s="23"/>
      <c r="Y143" s="23"/>
      <c r="Z143" s="23"/>
      <c r="AA143" s="23"/>
      <c r="AB143" s="9"/>
      <c r="AC143" s="9" t="str">
        <f>IFERROR(__xludf.DUMMYFUNCTION("""COMPUTED_VALUE"""),"Gas Amethyst")</f>
        <v>Gas Amethyst</v>
      </c>
      <c r="AD143" s="25"/>
      <c r="AE143" s="25" t="str">
        <f t="shared" si="1"/>
        <v/>
      </c>
      <c r="AF143" s="23">
        <f t="shared" si="4"/>
        <v>1</v>
      </c>
      <c r="AG143" s="23">
        <f t="shared" si="3"/>
        <v>1</v>
      </c>
      <c r="AH143" s="9"/>
      <c r="AI143" s="9"/>
    </row>
    <row r="144" ht="15.75" customHeight="1">
      <c r="B144" s="9"/>
      <c r="C144" s="9"/>
      <c r="D144" s="9"/>
      <c r="E144" s="5" t="s">
        <v>233</v>
      </c>
      <c r="F144" s="6">
        <v>88000.0</v>
      </c>
      <c r="G144" s="6">
        <v>51497.0</v>
      </c>
      <c r="H144" s="5" t="s">
        <v>26</v>
      </c>
      <c r="I144" s="5" t="s">
        <v>21</v>
      </c>
      <c r="J144" s="5">
        <v>6.36025679E8</v>
      </c>
      <c r="K144" s="5">
        <v>1051630.0</v>
      </c>
      <c r="L144" s="5" t="s">
        <v>101</v>
      </c>
      <c r="M144" s="38">
        <v>46155.791666666664</v>
      </c>
      <c r="N144" s="5" t="b">
        <v>0</v>
      </c>
      <c r="O144" s="19"/>
      <c r="P144" s="7"/>
      <c r="Q144" s="9"/>
      <c r="R144" s="9"/>
      <c r="S144" s="9"/>
      <c r="T144" s="9"/>
      <c r="U144" s="9"/>
      <c r="V144" s="9"/>
      <c r="W144" s="9"/>
      <c r="X144" s="23"/>
      <c r="Y144" s="23"/>
      <c r="Z144" s="23"/>
      <c r="AA144" s="23"/>
      <c r="AB144" s="9"/>
      <c r="AC144" s="9" t="str">
        <f>IFERROR(__xludf.DUMMYFUNCTION("""COMPUTED_VALUE"""),"Gas Aquarius")</f>
        <v>Gas Aquarius</v>
      </c>
      <c r="AD144" s="25"/>
      <c r="AE144" s="25" t="str">
        <f t="shared" si="1"/>
        <v/>
      </c>
      <c r="AF144" s="23">
        <f t="shared" si="4"/>
        <v>1</v>
      </c>
      <c r="AG144" s="23">
        <f t="shared" si="3"/>
        <v>1</v>
      </c>
      <c r="AH144" s="9"/>
      <c r="AI144" s="9"/>
    </row>
    <row r="145" ht="15.75" customHeight="1">
      <c r="B145" s="9"/>
      <c r="C145" s="9"/>
      <c r="D145" s="9"/>
      <c r="E145" s="5" t="s">
        <v>234</v>
      </c>
      <c r="F145" s="6">
        <v>88000.0</v>
      </c>
      <c r="G145" s="6">
        <v>51497.0</v>
      </c>
      <c r="H145" s="5" t="s">
        <v>72</v>
      </c>
      <c r="I145" s="5" t="s">
        <v>73</v>
      </c>
      <c r="J145" s="5">
        <v>6.3602568E8</v>
      </c>
      <c r="K145" s="5">
        <v>1051642.0</v>
      </c>
      <c r="L145" s="17"/>
      <c r="M145" s="18"/>
      <c r="N145" s="5" t="b">
        <v>0</v>
      </c>
      <c r="O145" s="19"/>
      <c r="P145" s="7"/>
      <c r="Q145" s="9"/>
      <c r="R145" s="9"/>
      <c r="S145" s="9"/>
      <c r="T145" s="9"/>
      <c r="U145" s="9"/>
      <c r="V145" s="9"/>
      <c r="W145" s="9"/>
      <c r="X145" s="23"/>
      <c r="Y145" s="23"/>
      <c r="Z145" s="23"/>
      <c r="AA145" s="23"/>
      <c r="AB145" s="9"/>
      <c r="AC145" s="9" t="str">
        <f>IFERROR(__xludf.DUMMYFUNCTION("""COMPUTED_VALUE"""),"Gas Arcturus")</f>
        <v>Gas Arcturus</v>
      </c>
      <c r="AD145" s="25"/>
      <c r="AE145" s="25" t="str">
        <f t="shared" si="1"/>
        <v/>
      </c>
      <c r="AF145" s="23">
        <f t="shared" si="4"/>
        <v>1</v>
      </c>
      <c r="AG145" s="23" t="str">
        <f t="shared" si="3"/>
        <v/>
      </c>
      <c r="AH145" s="9"/>
      <c r="AI145" s="9"/>
    </row>
    <row r="146" ht="15.75" customHeight="1">
      <c r="B146" s="9"/>
      <c r="C146" s="9"/>
      <c r="D146" s="9"/>
      <c r="E146" s="5" t="s">
        <v>235</v>
      </c>
      <c r="F146" s="6">
        <v>83000.0</v>
      </c>
      <c r="G146" s="6">
        <v>50850.0</v>
      </c>
      <c r="H146" s="5" t="s">
        <v>20</v>
      </c>
      <c r="I146" s="5" t="s">
        <v>21</v>
      </c>
      <c r="J146" s="5">
        <v>3.7036E8</v>
      </c>
      <c r="K146" s="5">
        <v>9875408.0</v>
      </c>
      <c r="L146" s="5" t="s">
        <v>101</v>
      </c>
      <c r="M146" s="35">
        <v>46136.64791666667</v>
      </c>
      <c r="N146" s="5" t="b">
        <v>1</v>
      </c>
      <c r="O146" s="19"/>
      <c r="P146" s="7"/>
      <c r="Q146" s="9"/>
      <c r="R146" s="9"/>
      <c r="S146" s="9"/>
      <c r="T146" s="9"/>
      <c r="U146" s="9"/>
      <c r="V146" s="9"/>
      <c r="W146" s="9"/>
      <c r="X146" s="23"/>
      <c r="Y146" s="23"/>
      <c r="Z146" s="23"/>
      <c r="AA146" s="23"/>
      <c r="AB146" s="9"/>
      <c r="AC146" s="9" t="str">
        <f>IFERROR(__xludf.DUMMYFUNCTION("""COMPUTED_VALUE"""),"Gas Ares")</f>
        <v>Gas Ares</v>
      </c>
      <c r="AD146" s="25"/>
      <c r="AE146" s="25" t="str">
        <f t="shared" si="1"/>
        <v/>
      </c>
      <c r="AF146" s="23">
        <f t="shared" si="4"/>
        <v>1</v>
      </c>
      <c r="AG146" s="23">
        <f t="shared" si="3"/>
        <v>1</v>
      </c>
      <c r="AH146" s="9"/>
      <c r="AI146" s="9"/>
    </row>
    <row r="147" ht="15.75" customHeight="1">
      <c r="B147" s="9"/>
      <c r="C147" s="9"/>
      <c r="D147" s="9"/>
      <c r="E147" s="5" t="s">
        <v>236</v>
      </c>
      <c r="F147" s="6">
        <v>75362.0</v>
      </c>
      <c r="G147" s="6">
        <v>49996.0</v>
      </c>
      <c r="H147" s="5" t="s">
        <v>20</v>
      </c>
      <c r="I147" s="5" t="s">
        <v>21</v>
      </c>
      <c r="J147" s="5">
        <v>6.47553066E8</v>
      </c>
      <c r="K147" s="5">
        <v>9014456.0</v>
      </c>
      <c r="L147" s="5" t="s">
        <v>188</v>
      </c>
      <c r="M147" s="38">
        <v>46147.478472222225</v>
      </c>
      <c r="N147" s="5" t="b">
        <v>1</v>
      </c>
      <c r="O147" s="19"/>
      <c r="P147" s="7"/>
      <c r="Q147" s="9"/>
      <c r="R147" s="9"/>
      <c r="S147" s="9"/>
      <c r="T147" s="9"/>
      <c r="U147" s="9"/>
      <c r="V147" s="9"/>
      <c r="W147" s="9"/>
      <c r="X147" s="23"/>
      <c r="Y147" s="23"/>
      <c r="Z147" s="23"/>
      <c r="AA147" s="23"/>
      <c r="AB147" s="9"/>
      <c r="AC147" s="9" t="str">
        <f>IFERROR(__xludf.DUMMYFUNCTION("""COMPUTED_VALUE"""),"Gas Aries")</f>
        <v>Gas Aries</v>
      </c>
      <c r="AD147" s="25"/>
      <c r="AE147" s="25" t="str">
        <f t="shared" si="1"/>
        <v/>
      </c>
      <c r="AF147" s="23">
        <f t="shared" si="4"/>
        <v>1</v>
      </c>
      <c r="AG147" s="23" t="str">
        <f t="shared" si="3"/>
        <v/>
      </c>
      <c r="AH147" s="9"/>
      <c r="AI147" s="9"/>
    </row>
    <row r="148" ht="15.75" customHeight="1">
      <c r="B148" s="9"/>
      <c r="C148" s="9"/>
      <c r="D148" s="9"/>
      <c r="E148" s="5" t="s">
        <v>237</v>
      </c>
      <c r="F148" s="6">
        <v>82291.0</v>
      </c>
      <c r="G148" s="6">
        <v>58063.0</v>
      </c>
      <c r="H148" s="5" t="s">
        <v>26</v>
      </c>
      <c r="I148" s="5" t="s">
        <v>21</v>
      </c>
      <c r="J148" s="5">
        <v>6.03915E8</v>
      </c>
      <c r="K148" s="5">
        <v>9320738.0</v>
      </c>
      <c r="L148" s="17"/>
      <c r="M148" s="18"/>
      <c r="N148" s="5" t="b">
        <v>0</v>
      </c>
      <c r="O148" s="19"/>
      <c r="P148" s="7"/>
      <c r="Q148" s="9"/>
      <c r="R148" s="9"/>
      <c r="S148" s="9"/>
      <c r="T148" s="9"/>
      <c r="U148" s="9"/>
      <c r="V148" s="9"/>
      <c r="W148" s="9"/>
      <c r="X148" s="23"/>
      <c r="Y148" s="23"/>
      <c r="Z148" s="23"/>
      <c r="AA148" s="23"/>
      <c r="AB148" s="9"/>
      <c r="AC148" s="9" t="str">
        <f>IFERROR(__xludf.DUMMYFUNCTION("""COMPUTED_VALUE"""),"Gas Barbarossa")</f>
        <v>Gas Barbarossa</v>
      </c>
      <c r="AD148" s="25"/>
      <c r="AE148" s="25" t="str">
        <f t="shared" si="1"/>
        <v/>
      </c>
      <c r="AF148" s="23">
        <f t="shared" si="4"/>
        <v>1</v>
      </c>
      <c r="AG148" s="23" t="str">
        <f t="shared" si="3"/>
        <v/>
      </c>
      <c r="AH148" s="9"/>
      <c r="AI148" s="9"/>
    </row>
    <row r="149" ht="15.75" customHeight="1">
      <c r="B149" s="9"/>
      <c r="C149" s="9"/>
      <c r="D149" s="9"/>
      <c r="E149" s="5" t="s">
        <v>238</v>
      </c>
      <c r="F149" s="6">
        <v>88000.0</v>
      </c>
      <c r="G149" s="6">
        <v>54998.0</v>
      </c>
      <c r="H149" s="5" t="s">
        <v>26</v>
      </c>
      <c r="I149" s="5" t="s">
        <v>21</v>
      </c>
      <c r="J149" s="5">
        <v>2.05097E8</v>
      </c>
      <c r="K149" s="5">
        <v>9897547.0</v>
      </c>
      <c r="L149" s="5" t="s">
        <v>38</v>
      </c>
      <c r="M149" s="35">
        <v>46132.5</v>
      </c>
      <c r="N149" s="5" t="b">
        <v>0</v>
      </c>
      <c r="O149" s="19"/>
      <c r="P149" s="7"/>
      <c r="Q149" s="9"/>
      <c r="R149" s="9"/>
      <c r="S149" s="9"/>
      <c r="T149" s="9"/>
      <c r="U149" s="9"/>
      <c r="V149" s="9"/>
      <c r="W149" s="9"/>
      <c r="X149" s="23"/>
      <c r="Y149" s="23"/>
      <c r="Z149" s="23"/>
      <c r="AA149" s="23"/>
      <c r="AB149" s="9"/>
      <c r="AC149" s="9" t="str">
        <f>IFERROR(__xludf.DUMMYFUNCTION("""COMPUTED_VALUE"""),"Gas Benua")</f>
        <v>Gas Benua</v>
      </c>
      <c r="AD149" s="25"/>
      <c r="AE149" s="25" t="str">
        <f t="shared" si="1"/>
        <v/>
      </c>
      <c r="AF149" s="23">
        <f t="shared" si="4"/>
        <v>1</v>
      </c>
      <c r="AG149" s="23">
        <f t="shared" si="3"/>
        <v>1</v>
      </c>
      <c r="AH149" s="9"/>
      <c r="AI149" s="9"/>
    </row>
    <row r="150" ht="15.75" customHeight="1">
      <c r="B150" s="9"/>
      <c r="C150" s="9"/>
      <c r="D150" s="9"/>
      <c r="E150" s="5" t="s">
        <v>239</v>
      </c>
      <c r="F150" s="6">
        <v>88000.0</v>
      </c>
      <c r="G150" s="6">
        <v>54857.0</v>
      </c>
      <c r="H150" s="5" t="s">
        <v>20</v>
      </c>
      <c r="I150" s="5" t="s">
        <v>21</v>
      </c>
      <c r="J150" s="5">
        <v>2.05104E8</v>
      </c>
      <c r="K150" s="5">
        <v>9897559.0</v>
      </c>
      <c r="L150" s="5" t="s">
        <v>140</v>
      </c>
      <c r="M150" s="35">
        <v>46150.583333333336</v>
      </c>
      <c r="N150" s="5" t="b">
        <v>1</v>
      </c>
      <c r="O150" s="19"/>
      <c r="P150" s="7"/>
      <c r="Q150" s="9"/>
      <c r="R150" s="9"/>
      <c r="S150" s="9"/>
      <c r="T150" s="9"/>
      <c r="U150" s="9"/>
      <c r="V150" s="9"/>
      <c r="W150" s="9"/>
      <c r="X150" s="23"/>
      <c r="Y150" s="23"/>
      <c r="Z150" s="23"/>
      <c r="AA150" s="23"/>
      <c r="AB150" s="9"/>
      <c r="AC150" s="9" t="str">
        <f>IFERROR(__xludf.DUMMYFUNCTION("""COMPUTED_VALUE"""),"Gas Bombax")</f>
        <v>Gas Bombax</v>
      </c>
      <c r="AD150" s="25"/>
      <c r="AE150" s="25" t="str">
        <f t="shared" si="1"/>
        <v/>
      </c>
      <c r="AF150" s="23">
        <f t="shared" si="4"/>
        <v>1</v>
      </c>
      <c r="AG150" s="23">
        <f t="shared" si="3"/>
        <v>1</v>
      </c>
      <c r="AH150" s="9"/>
      <c r="AI150" s="9"/>
    </row>
    <row r="151" ht="15.75" customHeight="1">
      <c r="B151" s="9"/>
      <c r="C151" s="9"/>
      <c r="D151" s="9"/>
      <c r="E151" s="5" t="s">
        <v>240</v>
      </c>
      <c r="F151" s="6">
        <v>75358.0</v>
      </c>
      <c r="G151" s="6">
        <v>49255.0</v>
      </c>
      <c r="H151" s="5" t="s">
        <v>20</v>
      </c>
      <c r="I151" s="5" t="s">
        <v>21</v>
      </c>
      <c r="J151" s="5">
        <v>6.03911E8</v>
      </c>
      <c r="K151" s="5">
        <v>9012886.0</v>
      </c>
      <c r="L151" s="5" t="s">
        <v>188</v>
      </c>
      <c r="M151" s="38">
        <v>46134.5</v>
      </c>
      <c r="N151" s="5" t="b">
        <v>1</v>
      </c>
      <c r="O151" s="19"/>
      <c r="P151" s="7"/>
      <c r="Q151" s="9"/>
      <c r="R151" s="9"/>
      <c r="S151" s="9"/>
      <c r="T151" s="9"/>
      <c r="U151" s="9"/>
      <c r="V151" s="9"/>
      <c r="W151" s="9"/>
      <c r="X151" s="23"/>
      <c r="Y151" s="23"/>
      <c r="Z151" s="23"/>
      <c r="AA151" s="23"/>
      <c r="AB151" s="9"/>
      <c r="AC151" s="9" t="str">
        <f>IFERROR(__xludf.DUMMYFUNCTION("""COMPUTED_VALUE"""),"Gas Camelot")</f>
        <v>Gas Camelot</v>
      </c>
      <c r="AD151" s="25"/>
      <c r="AE151" s="25" t="str">
        <f t="shared" si="1"/>
        <v/>
      </c>
      <c r="AF151" s="23">
        <f t="shared" si="4"/>
        <v>1</v>
      </c>
      <c r="AG151" s="23" t="str">
        <f t="shared" si="3"/>
        <v/>
      </c>
      <c r="AH151" s="9"/>
      <c r="AI151" s="9"/>
    </row>
    <row r="152" ht="15.75" customHeight="1">
      <c r="B152" s="9"/>
      <c r="C152" s="9"/>
      <c r="D152" s="9"/>
      <c r="E152" s="5" t="s">
        <v>241</v>
      </c>
      <c r="F152" s="6">
        <v>78631.0</v>
      </c>
      <c r="G152" s="6">
        <v>53151.0</v>
      </c>
      <c r="H152" s="5" t="s">
        <v>20</v>
      </c>
      <c r="I152" s="5" t="s">
        <v>21</v>
      </c>
      <c r="J152" s="5">
        <v>6.03917E8</v>
      </c>
      <c r="K152" s="5">
        <v>9306548.0</v>
      </c>
      <c r="L152" s="17"/>
      <c r="M152" s="18"/>
      <c r="N152" s="5" t="b">
        <v>1</v>
      </c>
      <c r="O152" s="19"/>
      <c r="P152" s="7"/>
      <c r="Q152" s="9"/>
      <c r="R152" s="9"/>
      <c r="S152" s="9"/>
      <c r="T152" s="9"/>
      <c r="U152" s="9"/>
      <c r="V152" s="9"/>
      <c r="W152" s="9"/>
      <c r="X152" s="23"/>
      <c r="Y152" s="23"/>
      <c r="Z152" s="23"/>
      <c r="AA152" s="23"/>
      <c r="AB152" s="9"/>
      <c r="AC152" s="9" t="str">
        <f>IFERROR(__xludf.DUMMYFUNCTION("""COMPUTED_VALUE"""),"Gas Capricorn")</f>
        <v>Gas Capricorn</v>
      </c>
      <c r="AD152" s="25"/>
      <c r="AE152" s="25" t="str">
        <f t="shared" si="1"/>
        <v/>
      </c>
      <c r="AF152" s="23">
        <f t="shared" si="4"/>
        <v>1</v>
      </c>
      <c r="AG152" s="23" t="str">
        <f t="shared" si="3"/>
        <v/>
      </c>
      <c r="AH152" s="9"/>
      <c r="AI152" s="9"/>
    </row>
    <row r="153" ht="15.75" customHeight="1">
      <c r="B153" s="9"/>
      <c r="C153" s="9"/>
      <c r="D153" s="9"/>
      <c r="E153" s="5" t="s">
        <v>242</v>
      </c>
      <c r="F153" s="6">
        <v>90000.0</v>
      </c>
      <c r="G153" s="6">
        <v>57847.0</v>
      </c>
      <c r="H153" s="5" t="s">
        <v>20</v>
      </c>
      <c r="I153" s="5" t="s">
        <v>21</v>
      </c>
      <c r="J153" s="5">
        <v>2.284068E8</v>
      </c>
      <c r="K153" s="5">
        <v>9904211.0</v>
      </c>
      <c r="L153" s="5" t="s">
        <v>232</v>
      </c>
      <c r="M153" s="35">
        <v>46132.46388888889</v>
      </c>
      <c r="N153" s="5" t="b">
        <v>1</v>
      </c>
      <c r="O153" s="19"/>
      <c r="P153" s="7"/>
      <c r="Q153" s="9"/>
      <c r="R153" s="9"/>
      <c r="S153" s="9"/>
      <c r="T153" s="9"/>
      <c r="U153" s="9"/>
      <c r="V153" s="9"/>
      <c r="W153" s="9"/>
      <c r="X153" s="23"/>
      <c r="Y153" s="23"/>
      <c r="Z153" s="23"/>
      <c r="AA153" s="23"/>
      <c r="AB153" s="9"/>
      <c r="AC153" s="9" t="str">
        <f>IFERROR(__xludf.DUMMYFUNCTION("""COMPUTED_VALUE"""),"Gas Capricorn")</f>
        <v>Gas Capricorn</v>
      </c>
      <c r="AD153" s="25"/>
      <c r="AE153" s="25" t="str">
        <f t="shared" si="1"/>
        <v/>
      </c>
      <c r="AF153" s="23">
        <f t="shared" si="4"/>
        <v>1</v>
      </c>
      <c r="AG153" s="23">
        <f t="shared" si="3"/>
        <v>1</v>
      </c>
      <c r="AH153" s="9"/>
      <c r="AI153" s="9"/>
    </row>
    <row r="154" ht="15.75" customHeight="1">
      <c r="B154" s="9"/>
      <c r="C154" s="9"/>
      <c r="D154" s="9"/>
      <c r="E154" s="5" t="s">
        <v>243</v>
      </c>
      <c r="F154" s="6">
        <v>80676.0</v>
      </c>
      <c r="G154" s="6">
        <v>58448.0</v>
      </c>
      <c r="H154" s="5" t="s">
        <v>26</v>
      </c>
      <c r="I154" s="5" t="s">
        <v>21</v>
      </c>
      <c r="J154" s="5">
        <v>5.38010305E8</v>
      </c>
      <c r="K154" s="5">
        <v>9407122.0</v>
      </c>
      <c r="L154" s="5" t="s">
        <v>52</v>
      </c>
      <c r="M154" s="35">
        <v>46141.958333333336</v>
      </c>
      <c r="N154" s="5" t="b">
        <v>0</v>
      </c>
      <c r="O154" s="19"/>
      <c r="P154" s="7"/>
      <c r="Q154" s="9"/>
      <c r="R154" s="9"/>
      <c r="S154" s="9"/>
      <c r="T154" s="9"/>
      <c r="U154" s="9"/>
      <c r="V154" s="9"/>
      <c r="W154" s="9"/>
      <c r="X154" s="23"/>
      <c r="Y154" s="23"/>
      <c r="Z154" s="23"/>
      <c r="AA154" s="23"/>
      <c r="AB154" s="9"/>
      <c r="AC154" s="9" t="str">
        <f>IFERROR(__xludf.DUMMYFUNCTION("""COMPUTED_VALUE"""),"Gas Felicity")</f>
        <v>Gas Felicity</v>
      </c>
      <c r="AD154" s="25"/>
      <c r="AE154" s="25" t="str">
        <f t="shared" si="1"/>
        <v/>
      </c>
      <c r="AF154" s="23">
        <f t="shared" si="4"/>
        <v>1</v>
      </c>
      <c r="AG154" s="23">
        <f t="shared" si="3"/>
        <v>1</v>
      </c>
      <c r="AH154" s="9"/>
      <c r="AI154" s="9"/>
    </row>
    <row r="155" ht="15.75" customHeight="1">
      <c r="B155" s="9"/>
      <c r="C155" s="9"/>
      <c r="D155" s="9"/>
      <c r="E155" s="5" t="s">
        <v>244</v>
      </c>
      <c r="F155" s="6">
        <v>83000.0</v>
      </c>
      <c r="G155" s="6">
        <v>54868.0</v>
      </c>
      <c r="H155" s="5" t="s">
        <v>20</v>
      </c>
      <c r="I155" s="5" t="s">
        <v>21</v>
      </c>
      <c r="J155" s="5">
        <v>3.74577E8</v>
      </c>
      <c r="K155" s="5">
        <v>9810056.0</v>
      </c>
      <c r="L155" s="17"/>
      <c r="M155" s="18"/>
      <c r="N155" s="5" t="b">
        <v>1</v>
      </c>
      <c r="O155" s="19"/>
      <c r="P155" s="7"/>
      <c r="Q155" s="9"/>
      <c r="R155" s="9"/>
      <c r="S155" s="9"/>
      <c r="T155" s="9"/>
      <c r="U155" s="9"/>
      <c r="V155" s="9"/>
      <c r="W155" s="9"/>
      <c r="X155" s="23"/>
      <c r="Y155" s="23"/>
      <c r="Z155" s="23"/>
      <c r="AA155" s="23"/>
      <c r="AB155" s="9"/>
      <c r="AC155" s="9" t="str">
        <f>IFERROR(__xludf.DUMMYFUNCTION("""COMPUTED_VALUE"""),"Gas Gabriela")</f>
        <v>Gas Gabriela</v>
      </c>
      <c r="AD155" s="25"/>
      <c r="AE155" s="25" t="str">
        <f t="shared" si="1"/>
        <v/>
      </c>
      <c r="AF155" s="23">
        <f t="shared" si="4"/>
        <v>1</v>
      </c>
      <c r="AG155" s="23">
        <f t="shared" si="3"/>
        <v>1</v>
      </c>
      <c r="AH155" s="9"/>
      <c r="AI155" s="9"/>
    </row>
    <row r="156" ht="15.75" customHeight="1">
      <c r="B156" s="9"/>
      <c r="C156" s="9"/>
      <c r="D156" s="9"/>
      <c r="E156" s="5" t="s">
        <v>245</v>
      </c>
      <c r="F156" s="6">
        <v>80000.0</v>
      </c>
      <c r="G156" s="6">
        <v>50900.0</v>
      </c>
      <c r="H156" s="5" t="s">
        <v>20</v>
      </c>
      <c r="I156" s="5" t="s">
        <v>21</v>
      </c>
      <c r="J156" s="5">
        <v>3.74651E8</v>
      </c>
      <c r="K156" s="5">
        <v>9853864.0</v>
      </c>
      <c r="L156" s="5" t="s">
        <v>246</v>
      </c>
      <c r="M156" s="35">
        <v>46138.666666666664</v>
      </c>
      <c r="N156" s="5" t="b">
        <v>1</v>
      </c>
      <c r="O156" s="19"/>
      <c r="P156" s="7"/>
      <c r="Q156" s="9"/>
      <c r="R156" s="9"/>
      <c r="S156" s="9"/>
      <c r="T156" s="9"/>
      <c r="U156" s="9"/>
      <c r="V156" s="9"/>
      <c r="W156" s="9"/>
      <c r="X156" s="23"/>
      <c r="Y156" s="23"/>
      <c r="Z156" s="23"/>
      <c r="AA156" s="23"/>
      <c r="AB156" s="9"/>
      <c r="AC156" s="9" t="str">
        <f>IFERROR(__xludf.DUMMYFUNCTION("""COMPUTED_VALUE"""),"Gas Gala")</f>
        <v>Gas Gala</v>
      </c>
      <c r="AD156" s="25"/>
      <c r="AE156" s="25" t="str">
        <f t="shared" si="1"/>
        <v/>
      </c>
      <c r="AF156" s="23">
        <f t="shared" si="4"/>
        <v>1</v>
      </c>
      <c r="AG156" s="23">
        <f t="shared" si="3"/>
        <v>1</v>
      </c>
      <c r="AH156" s="9"/>
      <c r="AI156" s="9"/>
    </row>
    <row r="157" ht="15.75" customHeight="1">
      <c r="B157" s="9"/>
      <c r="C157" s="9"/>
      <c r="D157" s="9"/>
      <c r="E157" s="5" t="s">
        <v>247</v>
      </c>
      <c r="F157" s="6">
        <v>83000.0</v>
      </c>
      <c r="G157" s="6">
        <v>50850.0</v>
      </c>
      <c r="H157" s="5" t="s">
        <v>20</v>
      </c>
      <c r="I157" s="5" t="s">
        <v>21</v>
      </c>
      <c r="J157" s="5">
        <v>3.56356E8</v>
      </c>
      <c r="K157" s="5">
        <v>9867102.0</v>
      </c>
      <c r="L157" s="5" t="s">
        <v>154</v>
      </c>
      <c r="M157" s="35">
        <v>46143.375</v>
      </c>
      <c r="N157" s="5" t="b">
        <v>1</v>
      </c>
      <c r="O157" s="19"/>
      <c r="P157" s="7"/>
      <c r="Q157" s="9"/>
      <c r="R157" s="9"/>
      <c r="S157" s="9"/>
      <c r="T157" s="9"/>
      <c r="U157" s="9"/>
      <c r="V157" s="9"/>
      <c r="W157" s="9"/>
      <c r="X157" s="23"/>
      <c r="Y157" s="23"/>
      <c r="Z157" s="23"/>
      <c r="AA157" s="23"/>
      <c r="AB157" s="9"/>
      <c r="AC157" s="9" t="str">
        <f>IFERROR(__xludf.DUMMYFUNCTION("""COMPUTED_VALUE"""),"Gas Garnet")</f>
        <v>Gas Garnet</v>
      </c>
      <c r="AD157" s="25"/>
      <c r="AE157" s="25" t="str">
        <f t="shared" si="1"/>
        <v/>
      </c>
      <c r="AF157" s="23">
        <f t="shared" si="4"/>
        <v>1</v>
      </c>
      <c r="AG157" s="23">
        <f t="shared" si="3"/>
        <v>1</v>
      </c>
      <c r="AH157" s="9"/>
      <c r="AI157" s="9"/>
    </row>
    <row r="158" ht="15.75" customHeight="1">
      <c r="B158" s="9"/>
      <c r="C158" s="9"/>
      <c r="D158" s="9"/>
      <c r="E158" s="5" t="s">
        <v>248</v>
      </c>
      <c r="F158" s="6">
        <v>91000.0</v>
      </c>
      <c r="G158" s="6">
        <v>57914.0</v>
      </c>
      <c r="H158" s="5" t="s">
        <v>26</v>
      </c>
      <c r="I158" s="5" t="s">
        <v>21</v>
      </c>
      <c r="J158" s="5">
        <v>3.52001704E8</v>
      </c>
      <c r="K158" s="5">
        <v>9935492.0</v>
      </c>
      <c r="L158" s="5" t="s">
        <v>38</v>
      </c>
      <c r="M158" s="35">
        <v>46142.583333333336</v>
      </c>
      <c r="N158" s="5" t="b">
        <v>0</v>
      </c>
      <c r="O158" s="19"/>
      <c r="P158" s="7"/>
      <c r="Q158" s="9"/>
      <c r="R158" s="9"/>
      <c r="S158" s="9"/>
      <c r="T158" s="9"/>
      <c r="U158" s="9"/>
      <c r="V158" s="9"/>
      <c r="W158" s="9"/>
      <c r="X158" s="23"/>
      <c r="Y158" s="23"/>
      <c r="Z158" s="23"/>
      <c r="AA158" s="23"/>
      <c r="AB158" s="9"/>
      <c r="AC158" s="9" t="str">
        <f>IFERROR(__xludf.DUMMYFUNCTION("""COMPUTED_VALUE"""),"Gas Gemini")</f>
        <v>Gas Gemini</v>
      </c>
      <c r="AD158" s="25"/>
      <c r="AE158" s="25" t="str">
        <f t="shared" si="1"/>
        <v/>
      </c>
      <c r="AF158" s="23">
        <f t="shared" si="4"/>
        <v>1</v>
      </c>
      <c r="AG158" s="23">
        <f t="shared" si="3"/>
        <v>1</v>
      </c>
      <c r="AH158" s="9"/>
      <c r="AI158" s="9"/>
    </row>
    <row r="159" ht="15.75" customHeight="1">
      <c r="B159" s="9"/>
      <c r="C159" s="9"/>
      <c r="D159" s="9"/>
      <c r="E159" s="5" t="s">
        <v>249</v>
      </c>
      <c r="F159" s="6">
        <v>86700.0</v>
      </c>
      <c r="G159" s="6">
        <v>55000.0</v>
      </c>
      <c r="H159" s="5" t="s">
        <v>26</v>
      </c>
      <c r="I159" s="5" t="s">
        <v>21</v>
      </c>
      <c r="J159" s="5">
        <v>3.52002937E8</v>
      </c>
      <c r="K159" s="5">
        <v>9950583.0</v>
      </c>
      <c r="L159" s="5" t="s">
        <v>127</v>
      </c>
      <c r="M159" s="38">
        <v>46146.291666666664</v>
      </c>
      <c r="N159" s="5" t="b">
        <v>0</v>
      </c>
      <c r="O159" s="19"/>
      <c r="P159" s="7"/>
      <c r="Q159" s="9"/>
      <c r="R159" s="9"/>
      <c r="S159" s="9"/>
      <c r="T159" s="9"/>
      <c r="U159" s="9"/>
      <c r="V159" s="9"/>
      <c r="W159" s="9"/>
      <c r="X159" s="23"/>
      <c r="Y159" s="23"/>
      <c r="Z159" s="23"/>
      <c r="AA159" s="23"/>
      <c r="AB159" s="9"/>
      <c r="AC159" s="9" t="str">
        <f>IFERROR(__xludf.DUMMYFUNCTION("""COMPUTED_VALUE"""),"Gas Ghazi")</f>
        <v>Gas Ghazi</v>
      </c>
      <c r="AD159" s="25"/>
      <c r="AE159" s="25" t="str">
        <f t="shared" si="1"/>
        <v/>
      </c>
      <c r="AF159" s="23">
        <f t="shared" si="4"/>
        <v>1</v>
      </c>
      <c r="AG159" s="23" t="str">
        <f t="shared" si="3"/>
        <v/>
      </c>
      <c r="AH159" s="9"/>
      <c r="AI159" s="9"/>
    </row>
    <row r="160" ht="15.75" customHeight="1">
      <c r="B160" s="9"/>
      <c r="C160" s="9"/>
      <c r="D160" s="9"/>
      <c r="E160" s="5" t="s">
        <v>250</v>
      </c>
      <c r="F160" s="6">
        <v>80754.0</v>
      </c>
      <c r="G160" s="6">
        <v>54597.0</v>
      </c>
      <c r="H160" s="5" t="s">
        <v>20</v>
      </c>
      <c r="I160" s="5" t="s">
        <v>21</v>
      </c>
      <c r="J160" s="5">
        <v>3.73728E8</v>
      </c>
      <c r="K160" s="5">
        <v>9621584.0</v>
      </c>
      <c r="L160" s="5" t="s">
        <v>251</v>
      </c>
      <c r="M160" s="35">
        <v>46137.041666666664</v>
      </c>
      <c r="N160" s="5" t="b">
        <v>1</v>
      </c>
      <c r="O160" s="19"/>
      <c r="P160" s="7"/>
      <c r="Q160" s="9"/>
      <c r="R160" s="9"/>
      <c r="S160" s="9"/>
      <c r="T160" s="9"/>
      <c r="U160" s="9"/>
      <c r="V160" s="9"/>
      <c r="W160" s="9"/>
      <c r="X160" s="23"/>
      <c r="Y160" s="23"/>
      <c r="Z160" s="23"/>
      <c r="AA160" s="23"/>
      <c r="AB160" s="9"/>
      <c r="AC160" s="9" t="str">
        <f>IFERROR(__xludf.DUMMYFUNCTION("""COMPUTED_VALUE"""),"Gas Ivory")</f>
        <v>Gas Ivory</v>
      </c>
      <c r="AD160" s="25"/>
      <c r="AE160" s="25" t="str">
        <f t="shared" si="1"/>
        <v/>
      </c>
      <c r="AF160" s="23">
        <f t="shared" si="4"/>
        <v>1</v>
      </c>
      <c r="AG160" s="23">
        <f t="shared" si="3"/>
        <v>1</v>
      </c>
      <c r="AH160" s="9"/>
      <c r="AI160" s="9"/>
    </row>
    <row r="161" ht="15.75" customHeight="1">
      <c r="B161" s="9"/>
      <c r="C161" s="9"/>
      <c r="D161" s="9"/>
      <c r="E161" s="5" t="s">
        <v>252</v>
      </c>
      <c r="F161" s="6">
        <v>80754.0</v>
      </c>
      <c r="G161" s="6">
        <v>54842.0</v>
      </c>
      <c r="H161" s="5" t="s">
        <v>20</v>
      </c>
      <c r="I161" s="5" t="s">
        <v>21</v>
      </c>
      <c r="J161" s="5">
        <v>3.55147E8</v>
      </c>
      <c r="K161" s="5">
        <v>9611955.0</v>
      </c>
      <c r="L161" s="5" t="s">
        <v>95</v>
      </c>
      <c r="M161" s="35">
        <v>46139.833333333336</v>
      </c>
      <c r="N161" s="5" t="b">
        <v>1</v>
      </c>
      <c r="O161" s="19"/>
      <c r="P161" s="7"/>
      <c r="Q161" s="9"/>
      <c r="R161" s="9"/>
      <c r="S161" s="9"/>
      <c r="T161" s="9"/>
      <c r="U161" s="9"/>
      <c r="V161" s="9"/>
      <c r="W161" s="9"/>
      <c r="X161" s="23"/>
      <c r="Y161" s="23"/>
      <c r="Z161" s="23"/>
      <c r="AA161" s="23"/>
      <c r="AB161" s="9"/>
      <c r="AC161" s="9" t="str">
        <f>IFERROR(__xludf.DUMMYFUNCTION("""COMPUTED_VALUE"""),"Gas Jupiter")</f>
        <v>Gas Jupiter</v>
      </c>
      <c r="AD161" s="25"/>
      <c r="AE161" s="25" t="str">
        <f t="shared" si="1"/>
        <v/>
      </c>
      <c r="AF161" s="23">
        <f t="shared" si="4"/>
        <v>1</v>
      </c>
      <c r="AG161" s="23">
        <f t="shared" si="3"/>
        <v>1</v>
      </c>
      <c r="AH161" s="9"/>
      <c r="AI161" s="9"/>
    </row>
    <row r="162" ht="15.75" customHeight="1">
      <c r="B162" s="9"/>
      <c r="C162" s="9"/>
      <c r="D162" s="9"/>
      <c r="E162" s="5" t="s">
        <v>253</v>
      </c>
      <c r="F162" s="6">
        <v>84000.0</v>
      </c>
      <c r="G162" s="6">
        <v>54502.0</v>
      </c>
      <c r="H162" s="5" t="s">
        <v>26</v>
      </c>
      <c r="I162" s="5" t="s">
        <v>21</v>
      </c>
      <c r="J162" s="5">
        <v>3.537E8</v>
      </c>
      <c r="K162" s="5">
        <v>9797864.0</v>
      </c>
      <c r="L162" s="5" t="s">
        <v>101</v>
      </c>
      <c r="M162" s="35">
        <v>46138.625</v>
      </c>
      <c r="N162" s="5" t="b">
        <v>0</v>
      </c>
      <c r="O162" s="19"/>
      <c r="P162" s="7"/>
      <c r="Q162" s="9"/>
      <c r="R162" s="9"/>
      <c r="S162" s="9"/>
      <c r="T162" s="9"/>
      <c r="U162" s="9"/>
      <c r="V162" s="9"/>
      <c r="W162" s="9"/>
      <c r="X162" s="23"/>
      <c r="Y162" s="23"/>
      <c r="Z162" s="23"/>
      <c r="AA162" s="23"/>
      <c r="AB162" s="9"/>
      <c r="AC162" s="9" t="str">
        <f>IFERROR(__xludf.DUMMYFUNCTION("""COMPUTED_VALUE"""),"Gas Justesen")</f>
        <v>Gas Justesen</v>
      </c>
      <c r="AD162" s="25"/>
      <c r="AE162" s="25" t="str">
        <f t="shared" si="1"/>
        <v/>
      </c>
      <c r="AF162" s="23">
        <f t="shared" si="4"/>
        <v>1</v>
      </c>
      <c r="AG162" s="23">
        <f t="shared" si="3"/>
        <v>1</v>
      </c>
      <c r="AH162" s="9"/>
      <c r="AI162" s="9"/>
    </row>
    <row r="163" ht="15.75" customHeight="1">
      <c r="B163" s="9"/>
      <c r="C163" s="9"/>
      <c r="D163" s="9"/>
      <c r="E163" s="5" t="s">
        <v>254</v>
      </c>
      <c r="F163" s="6">
        <v>80780.0</v>
      </c>
      <c r="G163" s="6">
        <v>54800.0</v>
      </c>
      <c r="H163" s="5" t="s">
        <v>26</v>
      </c>
      <c r="I163" s="5" t="s">
        <v>21</v>
      </c>
      <c r="J163" s="5">
        <v>4.41125E8</v>
      </c>
      <c r="K163" s="5">
        <v>9409302.0</v>
      </c>
      <c r="L163" s="5" t="s">
        <v>38</v>
      </c>
      <c r="M163" s="38">
        <v>46132.486805555556</v>
      </c>
      <c r="N163" s="5" t="b">
        <v>0</v>
      </c>
      <c r="O163" s="19"/>
      <c r="P163" s="7"/>
      <c r="Q163" s="9"/>
      <c r="R163" s="9"/>
      <c r="S163" s="9"/>
      <c r="T163" s="9"/>
      <c r="U163" s="9"/>
      <c r="V163" s="9"/>
      <c r="W163" s="9"/>
      <c r="X163" s="23"/>
      <c r="Y163" s="23"/>
      <c r="Z163" s="23"/>
      <c r="AA163" s="23"/>
      <c r="AB163" s="9"/>
      <c r="AC163" s="9" t="str">
        <f>IFERROR(__xludf.DUMMYFUNCTION("""COMPUTED_VALUE"""),"Gas Kaiserin")</f>
        <v>Gas Kaiserin</v>
      </c>
      <c r="AD163" s="25"/>
      <c r="AE163" s="25" t="str">
        <f t="shared" si="1"/>
        <v/>
      </c>
      <c r="AF163" s="23">
        <f t="shared" si="4"/>
        <v>1</v>
      </c>
      <c r="AG163" s="23">
        <f t="shared" si="3"/>
        <v>1</v>
      </c>
      <c r="AH163" s="9"/>
      <c r="AI163" s="9"/>
    </row>
    <row r="164" ht="15.75" customHeight="1">
      <c r="B164" s="9"/>
      <c r="C164" s="9"/>
      <c r="D164" s="9"/>
      <c r="E164" s="5" t="s">
        <v>255</v>
      </c>
      <c r="F164" s="6">
        <v>80623.0</v>
      </c>
      <c r="G164" s="6">
        <v>54776.0</v>
      </c>
      <c r="H164" s="5" t="s">
        <v>20</v>
      </c>
      <c r="I164" s="5" t="s">
        <v>21</v>
      </c>
      <c r="J164" s="5">
        <v>3.56117E8</v>
      </c>
      <c r="K164" s="5">
        <v>9656888.0</v>
      </c>
      <c r="L164" s="5" t="s">
        <v>251</v>
      </c>
      <c r="M164" s="35">
        <v>46159.958333333336</v>
      </c>
      <c r="N164" s="5" t="b">
        <v>1</v>
      </c>
      <c r="O164" s="19"/>
      <c r="P164" s="7"/>
      <c r="Q164" s="9"/>
      <c r="R164" s="9"/>
      <c r="S164" s="9"/>
      <c r="T164" s="9"/>
      <c r="U164" s="9"/>
      <c r="V164" s="9"/>
      <c r="W164" s="9"/>
      <c r="X164" s="23"/>
      <c r="Y164" s="23"/>
      <c r="Z164" s="23"/>
      <c r="AA164" s="23"/>
      <c r="AB164" s="9"/>
      <c r="AC164" s="9" t="str">
        <f>IFERROR(__xludf.DUMMYFUNCTION("""COMPUTED_VALUE"""),"Gas King")</f>
        <v>Gas King</v>
      </c>
      <c r="AD164" s="25"/>
      <c r="AE164" s="25" t="str">
        <f t="shared" si="1"/>
        <v/>
      </c>
      <c r="AF164" s="23">
        <f t="shared" si="4"/>
        <v>1</v>
      </c>
      <c r="AG164" s="23">
        <f t="shared" si="3"/>
        <v>1</v>
      </c>
      <c r="AH164" s="9"/>
      <c r="AI164" s="9"/>
    </row>
    <row r="165" ht="15.75" customHeight="1">
      <c r="B165" s="9"/>
      <c r="C165" s="9"/>
      <c r="D165" s="9"/>
      <c r="E165" s="5" t="s">
        <v>256</v>
      </c>
      <c r="F165" s="6">
        <v>86000.0</v>
      </c>
      <c r="G165" s="6">
        <v>54502.0</v>
      </c>
      <c r="H165" s="5" t="s">
        <v>20</v>
      </c>
      <c r="I165" s="5" t="s">
        <v>21</v>
      </c>
      <c r="J165" s="5">
        <v>3.74993E8</v>
      </c>
      <c r="K165" s="5">
        <v>9797876.0</v>
      </c>
      <c r="L165" s="5" t="s">
        <v>257</v>
      </c>
      <c r="M165" s="35">
        <v>46144.375</v>
      </c>
      <c r="N165" s="5" t="b">
        <v>1</v>
      </c>
      <c r="O165" s="19"/>
      <c r="P165" s="7"/>
      <c r="Q165" s="9"/>
      <c r="R165" s="9"/>
      <c r="S165" s="9"/>
      <c r="T165" s="9"/>
      <c r="U165" s="9"/>
      <c r="V165" s="9"/>
      <c r="W165" s="9"/>
      <c r="X165" s="23"/>
      <c r="Y165" s="23"/>
      <c r="Z165" s="23"/>
      <c r="AA165" s="23"/>
      <c r="AB165" s="9"/>
      <c r="AC165" s="9" t="str">
        <f>IFERROR(__xludf.DUMMYFUNCTION("""COMPUTED_VALUE"""),"Gas Leo")</f>
        <v>Gas Leo</v>
      </c>
      <c r="AD165" s="25"/>
      <c r="AE165" s="25" t="str">
        <f t="shared" si="1"/>
        <v/>
      </c>
      <c r="AF165" s="23">
        <f t="shared" si="4"/>
        <v>1</v>
      </c>
      <c r="AG165" s="23">
        <f t="shared" si="3"/>
        <v>1</v>
      </c>
      <c r="AH165" s="9"/>
      <c r="AI165" s="9"/>
    </row>
    <row r="166" ht="15.75" customHeight="1">
      <c r="B166" s="9"/>
      <c r="C166" s="9"/>
      <c r="D166" s="9"/>
      <c r="E166" s="5" t="s">
        <v>258</v>
      </c>
      <c r="F166" s="6">
        <v>84333.0</v>
      </c>
      <c r="G166" s="6">
        <v>54800.0</v>
      </c>
      <c r="H166" s="5" t="s">
        <v>26</v>
      </c>
      <c r="I166" s="5" t="s">
        <v>21</v>
      </c>
      <c r="J166" s="5">
        <v>6.20999947E8</v>
      </c>
      <c r="K166" s="5">
        <v>9208239.0</v>
      </c>
      <c r="L166" s="17"/>
      <c r="M166" s="18"/>
      <c r="N166" s="5" t="b">
        <v>0</v>
      </c>
      <c r="O166" s="19"/>
      <c r="P166" s="7"/>
      <c r="Q166" s="9"/>
      <c r="R166" s="9"/>
      <c r="S166" s="9"/>
      <c r="T166" s="9"/>
      <c r="U166" s="9"/>
      <c r="V166" s="9"/>
      <c r="W166" s="9"/>
      <c r="X166" s="23"/>
      <c r="Y166" s="23"/>
      <c r="Z166" s="23"/>
      <c r="AA166" s="23"/>
      <c r="AB166" s="9"/>
      <c r="AC166" s="9" t="str">
        <f>IFERROR(__xludf.DUMMYFUNCTION("""COMPUTED_VALUE"""),"Gas Libra")</f>
        <v>Gas Libra</v>
      </c>
      <c r="AD166" s="25"/>
      <c r="AE166" s="25" t="str">
        <f t="shared" si="1"/>
        <v/>
      </c>
      <c r="AF166" s="23">
        <f t="shared" si="4"/>
        <v>1</v>
      </c>
      <c r="AG166" s="23" t="str">
        <f t="shared" si="3"/>
        <v/>
      </c>
      <c r="AH166" s="9"/>
      <c r="AI166" s="9"/>
    </row>
    <row r="167" ht="15.75" customHeight="1">
      <c r="B167" s="9"/>
      <c r="C167" s="9"/>
      <c r="D167" s="9"/>
      <c r="E167" s="5" t="s">
        <v>259</v>
      </c>
      <c r="F167" s="6">
        <v>82391.0</v>
      </c>
      <c r="G167" s="6">
        <v>54081.0</v>
      </c>
      <c r="H167" s="5" t="s">
        <v>26</v>
      </c>
      <c r="I167" s="5" t="s">
        <v>21</v>
      </c>
      <c r="J167" s="5">
        <v>3.72915E8</v>
      </c>
      <c r="K167" s="5">
        <v>9670016.0</v>
      </c>
      <c r="L167" s="5" t="s">
        <v>251</v>
      </c>
      <c r="M167" s="35">
        <v>46133.5</v>
      </c>
      <c r="N167" s="5" t="b">
        <v>0</v>
      </c>
      <c r="O167" s="19"/>
      <c r="P167" s="7"/>
      <c r="Q167" s="9"/>
      <c r="R167" s="9"/>
      <c r="S167" s="9"/>
      <c r="T167" s="9"/>
      <c r="U167" s="9"/>
      <c r="V167" s="9"/>
      <c r="W167" s="9"/>
      <c r="X167" s="23"/>
      <c r="Y167" s="23"/>
      <c r="Z167" s="23"/>
      <c r="AA167" s="23"/>
      <c r="AB167" s="9"/>
      <c r="AC167" s="9" t="str">
        <f>IFERROR(__xludf.DUMMYFUNCTION("""COMPUTED_VALUE"""),"Gas Mia")</f>
        <v>Gas Mia</v>
      </c>
      <c r="AD167" s="25"/>
      <c r="AE167" s="25" t="str">
        <f t="shared" si="1"/>
        <v/>
      </c>
      <c r="AF167" s="23">
        <f t="shared" si="4"/>
        <v>1</v>
      </c>
      <c r="AG167" s="23">
        <f t="shared" si="3"/>
        <v>1</v>
      </c>
      <c r="AH167" s="9"/>
      <c r="AI167" s="9"/>
    </row>
    <row r="168" ht="15.75" customHeight="1">
      <c r="B168" s="9"/>
      <c r="C168" s="9"/>
      <c r="D168" s="9"/>
      <c r="E168" s="5" t="s">
        <v>260</v>
      </c>
      <c r="F168" s="6">
        <v>80797.0</v>
      </c>
      <c r="G168" s="6">
        <v>58551.0</v>
      </c>
      <c r="H168" s="5" t="s">
        <v>26</v>
      </c>
      <c r="I168" s="5" t="s">
        <v>21</v>
      </c>
      <c r="J168" s="5">
        <v>3.52002602E8</v>
      </c>
      <c r="K168" s="5">
        <v>9387762.0</v>
      </c>
      <c r="L168" s="17"/>
      <c r="M168" s="18"/>
      <c r="N168" s="5" t="b">
        <v>0</v>
      </c>
      <c r="O168" s="19"/>
      <c r="P168" s="7"/>
      <c r="Q168" s="9"/>
      <c r="R168" s="9"/>
      <c r="S168" s="9"/>
      <c r="T168" s="9"/>
      <c r="U168" s="9"/>
      <c r="V168" s="9"/>
      <c r="W168" s="9"/>
      <c r="X168" s="23"/>
      <c r="Y168" s="23"/>
      <c r="Z168" s="23"/>
      <c r="AA168" s="23"/>
      <c r="AB168" s="9"/>
      <c r="AC168" s="9" t="str">
        <f>IFERROR(__xludf.DUMMYFUNCTION("""COMPUTED_VALUE"""),"Gas Neptune")</f>
        <v>Gas Neptune</v>
      </c>
      <c r="AD168" s="25"/>
      <c r="AE168" s="25" t="str">
        <f t="shared" si="1"/>
        <v/>
      </c>
      <c r="AF168" s="23">
        <f t="shared" si="4"/>
        <v>1</v>
      </c>
      <c r="AG168" s="23" t="str">
        <f t="shared" si="3"/>
        <v/>
      </c>
      <c r="AH168" s="9"/>
      <c r="AI168" s="9"/>
    </row>
    <row r="169" ht="15.75" customHeight="1">
      <c r="B169" s="9"/>
      <c r="C169" s="9"/>
      <c r="D169" s="9"/>
      <c r="E169" s="5" t="s">
        <v>261</v>
      </c>
      <c r="F169" s="6">
        <v>76909.0</v>
      </c>
      <c r="G169" s="6">
        <v>49743.0</v>
      </c>
      <c r="H169" s="5" t="s">
        <v>20</v>
      </c>
      <c r="I169" s="5" t="s">
        <v>21</v>
      </c>
      <c r="J169" s="5">
        <v>6.03916E8</v>
      </c>
      <c r="K169" s="5">
        <v>9114581.0</v>
      </c>
      <c r="L169" s="5" t="s">
        <v>77</v>
      </c>
      <c r="M169" s="35">
        <v>46132.486805555556</v>
      </c>
      <c r="N169" s="5" t="b">
        <v>1</v>
      </c>
      <c r="O169" s="19"/>
      <c r="P169" s="7"/>
      <c r="Q169" s="9"/>
      <c r="R169" s="9"/>
      <c r="S169" s="9"/>
      <c r="T169" s="9"/>
      <c r="U169" s="9"/>
      <c r="V169" s="9"/>
      <c r="W169" s="9"/>
      <c r="X169" s="23"/>
      <c r="Y169" s="23"/>
      <c r="Z169" s="23"/>
      <c r="AA169" s="23"/>
      <c r="AB169" s="9"/>
      <c r="AC169" s="9" t="str">
        <f>IFERROR(__xludf.DUMMYFUNCTION("""COMPUTED_VALUE"""),"Gas Nouveau Bauhinia")</f>
        <v>Gas Nouveau Bauhinia</v>
      </c>
      <c r="AD169" s="25"/>
      <c r="AE169" s="25" t="str">
        <f t="shared" si="1"/>
        <v/>
      </c>
      <c r="AF169" s="23">
        <f t="shared" si="4"/>
        <v>1</v>
      </c>
      <c r="AG169" s="23" t="str">
        <f t="shared" si="3"/>
        <v/>
      </c>
      <c r="AH169" s="9"/>
      <c r="AI169" s="9"/>
    </row>
    <row r="170" ht="15.75" customHeight="1">
      <c r="B170" s="9"/>
      <c r="C170" s="9"/>
      <c r="D170" s="9"/>
      <c r="E170" s="5" t="s">
        <v>262</v>
      </c>
      <c r="F170" s="6">
        <v>84000.0</v>
      </c>
      <c r="G170" s="6">
        <v>54503.0</v>
      </c>
      <c r="H170" s="5" t="s">
        <v>26</v>
      </c>
      <c r="I170" s="5" t="s">
        <v>21</v>
      </c>
      <c r="J170" s="5">
        <v>4.47275E8</v>
      </c>
      <c r="K170" s="5">
        <v>9849629.0</v>
      </c>
      <c r="L170" s="5" t="s">
        <v>160</v>
      </c>
      <c r="M170" s="35">
        <v>46132.5</v>
      </c>
      <c r="N170" s="5" t="b">
        <v>0</v>
      </c>
      <c r="O170" s="19"/>
      <c r="P170" s="7"/>
      <c r="Q170" s="9"/>
      <c r="R170" s="9"/>
      <c r="S170" s="9"/>
      <c r="T170" s="9"/>
      <c r="U170" s="9"/>
      <c r="V170" s="9"/>
      <c r="W170" s="9"/>
      <c r="X170" s="23"/>
      <c r="Y170" s="23"/>
      <c r="Z170" s="23"/>
      <c r="AA170" s="23"/>
      <c r="AB170" s="9"/>
      <c r="AC170" s="9" t="str">
        <f>IFERROR(__xludf.DUMMYFUNCTION("""COMPUTED_VALUE"""),"Gas Nouveau Crystal")</f>
        <v>Gas Nouveau Crystal</v>
      </c>
      <c r="AD170" s="25"/>
      <c r="AE170" s="25" t="str">
        <f t="shared" si="1"/>
        <v/>
      </c>
      <c r="AF170" s="23">
        <f t="shared" si="4"/>
        <v>1</v>
      </c>
      <c r="AG170" s="23">
        <f t="shared" si="3"/>
        <v>1</v>
      </c>
      <c r="AH170" s="9"/>
      <c r="AI170" s="9"/>
    </row>
    <row r="171" ht="15.75" customHeight="1">
      <c r="B171" s="9"/>
      <c r="C171" s="9"/>
      <c r="D171" s="9"/>
      <c r="E171" s="5" t="s">
        <v>263</v>
      </c>
      <c r="F171" s="6">
        <v>80613.0</v>
      </c>
      <c r="G171" s="6">
        <v>57738.0</v>
      </c>
      <c r="H171" s="5" t="s">
        <v>26</v>
      </c>
      <c r="I171" s="5" t="s">
        <v>21</v>
      </c>
      <c r="J171" s="5">
        <v>4.47161E8</v>
      </c>
      <c r="K171" s="5">
        <v>9329710.0</v>
      </c>
      <c r="L171" s="5" t="s">
        <v>160</v>
      </c>
      <c r="M171" s="35">
        <v>46132.208333333336</v>
      </c>
      <c r="N171" s="5" t="b">
        <v>0</v>
      </c>
      <c r="O171" s="19"/>
      <c r="P171" s="7"/>
      <c r="Q171" s="9"/>
      <c r="R171" s="9"/>
      <c r="S171" s="9"/>
      <c r="T171" s="9"/>
      <c r="U171" s="9"/>
      <c r="V171" s="9"/>
      <c r="W171" s="9"/>
      <c r="X171" s="23"/>
      <c r="Y171" s="23"/>
      <c r="Z171" s="23"/>
      <c r="AA171" s="23"/>
      <c r="AB171" s="9"/>
      <c r="AC171" s="9" t="str">
        <f>IFERROR(__xludf.DUMMYFUNCTION("""COMPUTED_VALUE"""),"Gas Pisces")</f>
        <v>Gas Pisces</v>
      </c>
      <c r="AD171" s="25"/>
      <c r="AE171" s="25" t="str">
        <f t="shared" si="1"/>
        <v/>
      </c>
      <c r="AF171" s="23">
        <f t="shared" si="4"/>
        <v>1</v>
      </c>
      <c r="AG171" s="23">
        <f t="shared" si="3"/>
        <v>1</v>
      </c>
      <c r="AH171" s="9"/>
      <c r="AI171" s="9"/>
    </row>
    <row r="172" ht="15.75" customHeight="1">
      <c r="B172" s="9"/>
      <c r="C172" s="9"/>
      <c r="D172" s="9"/>
      <c r="E172" s="5" t="s">
        <v>264</v>
      </c>
      <c r="F172" s="6">
        <v>84000.0</v>
      </c>
      <c r="G172" s="6">
        <v>54520.0</v>
      </c>
      <c r="H172" s="5" t="s">
        <v>26</v>
      </c>
      <c r="I172" s="5" t="s">
        <v>21</v>
      </c>
      <c r="J172" s="5">
        <v>4.47273E8</v>
      </c>
      <c r="K172" s="5">
        <v>9849617.0</v>
      </c>
      <c r="L172" s="5" t="s">
        <v>265</v>
      </c>
      <c r="M172" s="35">
        <v>46136.00069444445</v>
      </c>
      <c r="N172" s="5" t="b">
        <v>0</v>
      </c>
      <c r="O172" s="19"/>
      <c r="P172" s="7"/>
      <c r="Q172" s="9"/>
      <c r="R172" s="9"/>
      <c r="S172" s="9"/>
      <c r="T172" s="9"/>
      <c r="U172" s="9"/>
      <c r="V172" s="9"/>
      <c r="W172" s="9"/>
      <c r="X172" s="23"/>
      <c r="Y172" s="23"/>
      <c r="Z172" s="23"/>
      <c r="AA172" s="23"/>
      <c r="AB172" s="9"/>
      <c r="AC172" s="9" t="str">
        <f>IFERROR(__xludf.DUMMYFUNCTION("""COMPUTED_VALUE"""),"Gas Planet")</f>
        <v>Gas Planet</v>
      </c>
      <c r="AD172" s="25"/>
      <c r="AE172" s="25" t="str">
        <f t="shared" si="1"/>
        <v/>
      </c>
      <c r="AF172" s="23">
        <f t="shared" si="4"/>
        <v>1</v>
      </c>
      <c r="AG172" s="23">
        <f t="shared" si="3"/>
        <v>1</v>
      </c>
      <c r="AH172" s="9"/>
      <c r="AI172" s="9"/>
    </row>
    <row r="173" ht="15.75" customHeight="1">
      <c r="B173" s="9"/>
      <c r="C173" s="9"/>
      <c r="D173" s="9"/>
      <c r="E173" s="5" t="s">
        <v>266</v>
      </c>
      <c r="F173" s="6">
        <v>80681.0</v>
      </c>
      <c r="G173" s="6">
        <v>57748.0</v>
      </c>
      <c r="H173" s="5" t="s">
        <v>26</v>
      </c>
      <c r="I173" s="5" t="s">
        <v>21</v>
      </c>
      <c r="J173" s="5">
        <v>4.47087E8</v>
      </c>
      <c r="K173" s="5">
        <v>9329722.0</v>
      </c>
      <c r="L173" s="5" t="s">
        <v>160</v>
      </c>
      <c r="M173" s="35">
        <v>46132.625</v>
      </c>
      <c r="N173" s="5" t="b">
        <v>0</v>
      </c>
      <c r="O173" s="19"/>
      <c r="P173" s="7"/>
      <c r="Q173" s="9"/>
      <c r="R173" s="9"/>
      <c r="S173" s="9"/>
      <c r="T173" s="9"/>
      <c r="U173" s="9"/>
      <c r="V173" s="9"/>
      <c r="W173" s="9"/>
      <c r="X173" s="23"/>
      <c r="Y173" s="23"/>
      <c r="Z173" s="23"/>
      <c r="AA173" s="23"/>
      <c r="AB173" s="9"/>
      <c r="AC173" s="9" t="str">
        <f>IFERROR(__xludf.DUMMYFUNCTION("""COMPUTED_VALUE"""),"Gas Power")</f>
        <v>Gas Power</v>
      </c>
      <c r="AD173" s="25"/>
      <c r="AE173" s="25" t="str">
        <f t="shared" si="1"/>
        <v/>
      </c>
      <c r="AF173" s="23">
        <f t="shared" si="4"/>
        <v>1</v>
      </c>
      <c r="AG173" s="23">
        <f t="shared" si="3"/>
        <v>1</v>
      </c>
      <c r="AH173" s="9"/>
      <c r="AI173" s="9"/>
    </row>
    <row r="174" ht="15.75" customHeight="1">
      <c r="B174" s="9"/>
      <c r="C174" s="9"/>
      <c r="D174" s="9"/>
      <c r="E174" s="5" t="s">
        <v>267</v>
      </c>
      <c r="F174" s="6">
        <v>80701.0</v>
      </c>
      <c r="G174" s="6">
        <v>54491.0</v>
      </c>
      <c r="H174" s="5" t="s">
        <v>26</v>
      </c>
      <c r="I174" s="5" t="s">
        <v>21</v>
      </c>
      <c r="J174" s="5">
        <v>3.70355E8</v>
      </c>
      <c r="K174" s="5">
        <v>9385685.0</v>
      </c>
      <c r="L174" s="5" t="s">
        <v>101</v>
      </c>
      <c r="M174" s="35">
        <v>46140.5</v>
      </c>
      <c r="N174" s="5" t="b">
        <v>0</v>
      </c>
      <c r="O174" s="19"/>
      <c r="P174" s="7"/>
      <c r="Q174" s="9"/>
      <c r="R174" s="9"/>
      <c r="S174" s="9"/>
      <c r="T174" s="9"/>
      <c r="U174" s="9"/>
      <c r="V174" s="9"/>
      <c r="W174" s="9"/>
      <c r="X174" s="23"/>
      <c r="Y174" s="23"/>
      <c r="Z174" s="23"/>
      <c r="AA174" s="23"/>
      <c r="AB174" s="9"/>
      <c r="AC174" s="9" t="str">
        <f>IFERROR(__xludf.DUMMYFUNCTION("""COMPUTED_VALUE"""),"Gas Queen")</f>
        <v>Gas Queen</v>
      </c>
      <c r="AD174" s="25"/>
      <c r="AE174" s="25" t="str">
        <f>IF(#REF!="","", IF(F174&gt;93000,1,""))</f>
        <v>#REF!</v>
      </c>
      <c r="AF174" s="23">
        <f t="shared" si="4"/>
        <v>1</v>
      </c>
      <c r="AG174" s="23">
        <f>IF(ISERROR(VLOOKUP(#REF!,$Y$2:$Z$600,2,FALSE)),1,"")</f>
        <v>1</v>
      </c>
      <c r="AH174" s="9"/>
      <c r="AI174" s="9"/>
    </row>
    <row r="175" ht="15.75" customHeight="1">
      <c r="B175" s="9"/>
      <c r="C175" s="9"/>
      <c r="D175" s="9"/>
      <c r="E175" s="5" t="s">
        <v>268</v>
      </c>
      <c r="F175" s="6">
        <v>83783.0</v>
      </c>
      <c r="G175" s="6">
        <v>53999.0</v>
      </c>
      <c r="H175" s="5" t="s">
        <v>20</v>
      </c>
      <c r="I175" s="5" t="s">
        <v>21</v>
      </c>
      <c r="J175" s="5">
        <v>5.25401047E8</v>
      </c>
      <c r="K175" s="5">
        <v>9364394.0</v>
      </c>
      <c r="L175" s="5" t="s">
        <v>269</v>
      </c>
      <c r="M175" s="35">
        <v>46134.625</v>
      </c>
      <c r="N175" s="5" t="b">
        <v>1</v>
      </c>
      <c r="O175" s="19"/>
      <c r="P175" s="7"/>
      <c r="Q175" s="9"/>
      <c r="R175" s="9"/>
      <c r="S175" s="9"/>
      <c r="T175" s="9"/>
      <c r="U175" s="9"/>
      <c r="V175" s="9"/>
      <c r="W175" s="9"/>
      <c r="X175" s="23"/>
      <c r="Y175" s="23"/>
      <c r="Z175" s="23"/>
      <c r="AA175" s="23"/>
      <c r="AB175" s="9"/>
      <c r="AC175" s="9" t="str">
        <f>IFERROR(__xludf.DUMMYFUNCTION("""COMPUTED_VALUE"""),"Gas Quila")</f>
        <v>Gas Quila</v>
      </c>
      <c r="AD175" s="25"/>
      <c r="AE175" s="25" t="str">
        <f t="shared" ref="AE175:AE424" si="5">IF(E175="","", IF(F175&gt;93000,1,""))</f>
        <v/>
      </c>
      <c r="AF175" s="23">
        <f t="shared" si="4"/>
        <v>1</v>
      </c>
      <c r="AG175" s="23">
        <f t="shared" ref="AG175:AG424" si="6">IF(ISERROR(VLOOKUP(E175,$Y$2:$Z$600,2,FALSE)),1,"")</f>
        <v>1</v>
      </c>
      <c r="AH175" s="9"/>
      <c r="AI175" s="9"/>
    </row>
    <row r="176" ht="15.75" customHeight="1">
      <c r="B176" s="9"/>
      <c r="C176" s="9"/>
      <c r="D176" s="9"/>
      <c r="E176" s="5" t="s">
        <v>270</v>
      </c>
      <c r="F176" s="6">
        <v>86953.0</v>
      </c>
      <c r="G176" s="6">
        <v>55000.0</v>
      </c>
      <c r="H176" s="5" t="s">
        <v>20</v>
      </c>
      <c r="I176" s="5" t="s">
        <v>21</v>
      </c>
      <c r="J176" s="5">
        <v>3.52003871E8</v>
      </c>
      <c r="K176" s="5">
        <v>9958391.0</v>
      </c>
      <c r="L176" s="5" t="s">
        <v>271</v>
      </c>
      <c r="M176" s="35">
        <v>46146.125</v>
      </c>
      <c r="N176" s="5" t="b">
        <v>1</v>
      </c>
      <c r="O176" s="19"/>
      <c r="P176" s="7"/>
      <c r="Q176" s="9"/>
      <c r="R176" s="9"/>
      <c r="S176" s="9"/>
      <c r="T176" s="9"/>
      <c r="U176" s="9"/>
      <c r="V176" s="9"/>
      <c r="W176" s="9"/>
      <c r="X176" s="23"/>
      <c r="Y176" s="23"/>
      <c r="Z176" s="23"/>
      <c r="AA176" s="23"/>
      <c r="AB176" s="9"/>
      <c r="AC176" s="9" t="str">
        <f>IFERROR(__xludf.DUMMYFUNCTION("""COMPUTED_VALUE"""),"Gas Sagittarius")</f>
        <v>Gas Sagittarius</v>
      </c>
      <c r="AD176" s="25"/>
      <c r="AE176" s="25" t="str">
        <f t="shared" si="5"/>
        <v/>
      </c>
      <c r="AF176" s="23">
        <f t="shared" si="4"/>
        <v>1</v>
      </c>
      <c r="AG176" s="23">
        <f t="shared" si="6"/>
        <v>1</v>
      </c>
      <c r="AH176" s="9"/>
      <c r="AI176" s="9"/>
    </row>
    <row r="177" ht="15.75" customHeight="1">
      <c r="B177" s="9"/>
      <c r="C177" s="9"/>
      <c r="D177" s="9"/>
      <c r="E177" s="5" t="s">
        <v>272</v>
      </c>
      <c r="F177" s="6">
        <v>85000.0</v>
      </c>
      <c r="G177" s="6">
        <v>54656.0</v>
      </c>
      <c r="H177" s="5" t="s">
        <v>26</v>
      </c>
      <c r="I177" s="5" t="s">
        <v>21</v>
      </c>
      <c r="J177" s="5">
        <v>4.771182E8</v>
      </c>
      <c r="K177" s="5">
        <v>9780005.0</v>
      </c>
      <c r="L177" s="5" t="s">
        <v>38</v>
      </c>
      <c r="M177" s="35">
        <v>46134.333333333336</v>
      </c>
      <c r="N177" s="5" t="b">
        <v>0</v>
      </c>
      <c r="O177" s="19"/>
      <c r="P177" s="7"/>
      <c r="Q177" s="9"/>
      <c r="R177" s="9"/>
      <c r="S177" s="9"/>
      <c r="T177" s="9"/>
      <c r="U177" s="9"/>
      <c r="V177" s="9"/>
      <c r="W177" s="9"/>
      <c r="X177" s="23"/>
      <c r="Y177" s="23"/>
      <c r="Z177" s="23"/>
      <c r="AA177" s="23"/>
      <c r="AB177" s="9"/>
      <c r="AC177" s="9" t="str">
        <f>IFERROR(__xludf.DUMMYFUNCTION("""COMPUTED_VALUE"""),"Gas Scorpio")</f>
        <v>Gas Scorpio</v>
      </c>
      <c r="AD177" s="25"/>
      <c r="AE177" s="25" t="str">
        <f t="shared" si="5"/>
        <v/>
      </c>
      <c r="AF177" s="23">
        <f t="shared" si="4"/>
        <v>1</v>
      </c>
      <c r="AG177" s="23">
        <f t="shared" si="6"/>
        <v>1</v>
      </c>
      <c r="AH177" s="9"/>
      <c r="AI177" s="9"/>
    </row>
    <row r="178" ht="15.75" customHeight="1">
      <c r="B178" s="9"/>
      <c r="C178" s="9"/>
      <c r="D178" s="9"/>
      <c r="E178" s="5" t="s">
        <v>273</v>
      </c>
      <c r="F178" s="6">
        <v>91140.0</v>
      </c>
      <c r="G178" s="6">
        <v>60000.0</v>
      </c>
      <c r="H178" s="5" t="s">
        <v>26</v>
      </c>
      <c r="I178" s="5" t="s">
        <v>21</v>
      </c>
      <c r="J178" s="5">
        <v>5.632482E8</v>
      </c>
      <c r="K178" s="5">
        <v>9969833.0</v>
      </c>
      <c r="L178" s="5" t="s">
        <v>95</v>
      </c>
      <c r="M178" s="35">
        <v>46132.916666666664</v>
      </c>
      <c r="N178" s="5" t="b">
        <v>0</v>
      </c>
      <c r="O178" s="19"/>
      <c r="P178" s="7"/>
      <c r="Q178" s="9"/>
      <c r="R178" s="9"/>
      <c r="S178" s="9"/>
      <c r="T178" s="9"/>
      <c r="U178" s="9"/>
      <c r="V178" s="9"/>
      <c r="W178" s="9"/>
      <c r="X178" s="23"/>
      <c r="Y178" s="23"/>
      <c r="Z178" s="23"/>
      <c r="AA178" s="23"/>
      <c r="AB178" s="9"/>
      <c r="AC178" s="9" t="str">
        <f>IFERROR(__xludf.DUMMYFUNCTION("""COMPUTED_VALUE"""),"Gas Stella")</f>
        <v>Gas Stella</v>
      </c>
      <c r="AD178" s="25"/>
      <c r="AE178" s="25" t="str">
        <f t="shared" si="5"/>
        <v/>
      </c>
      <c r="AF178" s="23">
        <f t="shared" si="4"/>
        <v>1</v>
      </c>
      <c r="AG178" s="23">
        <f t="shared" si="6"/>
        <v>1</v>
      </c>
      <c r="AH178" s="9"/>
      <c r="AI178" s="9"/>
    </row>
    <row r="179" ht="15.75" customHeight="1">
      <c r="B179" s="9"/>
      <c r="C179" s="9"/>
      <c r="D179" s="9"/>
      <c r="E179" s="5" t="s">
        <v>274</v>
      </c>
      <c r="F179" s="6">
        <v>84000.0</v>
      </c>
      <c r="G179" s="6">
        <v>53349.0</v>
      </c>
      <c r="H179" s="5" t="s">
        <v>26</v>
      </c>
      <c r="I179" s="5" t="s">
        <v>21</v>
      </c>
      <c r="J179" s="5">
        <v>3.51104E8</v>
      </c>
      <c r="K179" s="5">
        <v>9892391.0</v>
      </c>
      <c r="L179" s="5" t="s">
        <v>43</v>
      </c>
      <c r="M179" s="35">
        <v>46133.791666666664</v>
      </c>
      <c r="N179" s="5" t="b">
        <v>0</v>
      </c>
      <c r="O179" s="19"/>
      <c r="P179" s="7"/>
      <c r="Q179" s="9"/>
      <c r="R179" s="9"/>
      <c r="S179" s="9"/>
      <c r="T179" s="9"/>
      <c r="U179" s="9"/>
      <c r="V179" s="9"/>
      <c r="W179" s="9"/>
      <c r="X179" s="23"/>
      <c r="Y179" s="23"/>
      <c r="Z179" s="23"/>
      <c r="AA179" s="23"/>
      <c r="AB179" s="9"/>
      <c r="AC179" s="9" t="str">
        <f>IFERROR(__xludf.DUMMYFUNCTION("""COMPUTED_VALUE"""),"Gas Summit")</f>
        <v>Gas Summit</v>
      </c>
      <c r="AD179" s="25"/>
      <c r="AE179" s="25" t="str">
        <f t="shared" si="5"/>
        <v/>
      </c>
      <c r="AF179" s="23">
        <f t="shared" si="4"/>
        <v>1</v>
      </c>
      <c r="AG179" s="23">
        <f t="shared" si="6"/>
        <v>1</v>
      </c>
      <c r="AH179" s="9"/>
      <c r="AI179" s="9"/>
    </row>
    <row r="180" ht="15.75" customHeight="1">
      <c r="B180" s="9"/>
      <c r="C180" s="9"/>
      <c r="D180" s="9"/>
      <c r="E180" s="5" t="s">
        <v>275</v>
      </c>
      <c r="F180" s="6">
        <v>84000.0</v>
      </c>
      <c r="G180" s="6">
        <v>54732.0</v>
      </c>
      <c r="H180" s="5" t="s">
        <v>20</v>
      </c>
      <c r="I180" s="5" t="s">
        <v>21</v>
      </c>
      <c r="J180" s="5">
        <v>5.632153E8</v>
      </c>
      <c r="K180" s="5">
        <v>9670004.0</v>
      </c>
      <c r="L180" s="5" t="s">
        <v>154</v>
      </c>
      <c r="M180" s="35">
        <v>46158.166666666664</v>
      </c>
      <c r="N180" s="5" t="b">
        <v>1</v>
      </c>
      <c r="O180" s="19"/>
      <c r="P180" s="7"/>
      <c r="Q180" s="9"/>
      <c r="R180" s="9"/>
      <c r="S180" s="9"/>
      <c r="T180" s="9"/>
      <c r="U180" s="9"/>
      <c r="V180" s="9"/>
      <c r="W180" s="9"/>
      <c r="X180" s="23"/>
      <c r="Y180" s="23"/>
      <c r="Z180" s="23"/>
      <c r="AA180" s="23"/>
      <c r="AB180" s="9"/>
      <c r="AC180" s="9" t="str">
        <f>IFERROR(__xludf.DUMMYFUNCTION("""COMPUTED_VALUE"""),"Gas Tiffany")</f>
        <v>Gas Tiffany</v>
      </c>
      <c r="AD180" s="25"/>
      <c r="AE180" s="25" t="str">
        <f t="shared" si="5"/>
        <v/>
      </c>
      <c r="AF180" s="23">
        <f t="shared" si="4"/>
        <v>1</v>
      </c>
      <c r="AG180" s="23">
        <f t="shared" si="6"/>
        <v>1</v>
      </c>
      <c r="AH180" s="9"/>
      <c r="AI180" s="9"/>
    </row>
    <row r="181" ht="15.75" customHeight="1">
      <c r="B181" s="9"/>
      <c r="C181" s="9"/>
      <c r="D181" s="9"/>
      <c r="E181" s="5" t="s">
        <v>276</v>
      </c>
      <c r="F181" s="6">
        <v>84000.0</v>
      </c>
      <c r="G181" s="6">
        <v>53919.0</v>
      </c>
      <c r="H181" s="5" t="s">
        <v>20</v>
      </c>
      <c r="I181" s="5" t="s">
        <v>21</v>
      </c>
      <c r="J181" s="5">
        <v>3.55369E8</v>
      </c>
      <c r="K181" s="5">
        <v>9903762.0</v>
      </c>
      <c r="L181" s="5" t="s">
        <v>277</v>
      </c>
      <c r="M181" s="38">
        <v>46142.166666666664</v>
      </c>
      <c r="N181" s="5" t="b">
        <v>1</v>
      </c>
      <c r="O181" s="19"/>
      <c r="P181" s="7"/>
      <c r="Q181" s="9"/>
      <c r="R181" s="9"/>
      <c r="S181" s="9"/>
      <c r="T181" s="9"/>
      <c r="U181" s="9"/>
      <c r="V181" s="9"/>
      <c r="W181" s="9"/>
      <c r="X181" s="23"/>
      <c r="Y181" s="23"/>
      <c r="Z181" s="23"/>
      <c r="AA181" s="23"/>
      <c r="AB181" s="9"/>
      <c r="AC181" s="9" t="str">
        <f>IFERROR(__xludf.DUMMYFUNCTION("""COMPUTED_VALUE"""),"Gas Umm Al Rowaisat")</f>
        <v>Gas Umm Al Rowaisat</v>
      </c>
      <c r="AD181" s="25"/>
      <c r="AE181" s="25" t="str">
        <f t="shared" si="5"/>
        <v/>
      </c>
      <c r="AF181" s="23">
        <f t="shared" si="4"/>
        <v>1</v>
      </c>
      <c r="AG181" s="23">
        <f t="shared" si="6"/>
        <v>1</v>
      </c>
      <c r="AH181" s="9"/>
      <c r="AI181" s="9"/>
    </row>
    <row r="182" ht="15.75" customHeight="1">
      <c r="B182" s="9"/>
      <c r="C182" s="9"/>
      <c r="D182" s="9"/>
      <c r="E182" s="5" t="s">
        <v>278</v>
      </c>
      <c r="F182" s="6">
        <v>82000.0</v>
      </c>
      <c r="G182" s="6">
        <v>58610.0</v>
      </c>
      <c r="H182" s="5" t="s">
        <v>66</v>
      </c>
      <c r="I182" s="5" t="s">
        <v>21</v>
      </c>
      <c r="J182" s="5">
        <v>5.25501372E8</v>
      </c>
      <c r="K182" s="5">
        <v>9346134.0</v>
      </c>
      <c r="L182" s="17"/>
      <c r="M182" s="18"/>
      <c r="N182" s="5" t="b">
        <v>1</v>
      </c>
      <c r="O182" s="19"/>
      <c r="P182" s="7"/>
      <c r="Q182" s="9"/>
      <c r="R182" s="9"/>
      <c r="S182" s="9"/>
      <c r="T182" s="9"/>
      <c r="U182" s="9"/>
      <c r="V182" s="9"/>
      <c r="W182" s="9"/>
      <c r="X182" s="23"/>
      <c r="Y182" s="23"/>
      <c r="Z182" s="23"/>
      <c r="AA182" s="23"/>
      <c r="AB182" s="9"/>
      <c r="AC182" s="9" t="str">
        <f>IFERROR(__xludf.DUMMYFUNCTION("""COMPUTED_VALUE"""),"Gas Vela")</f>
        <v>Gas Vela</v>
      </c>
      <c r="AD182" s="25"/>
      <c r="AE182" s="25" t="str">
        <f t="shared" si="5"/>
        <v/>
      </c>
      <c r="AF182" s="23">
        <f t="shared" si="4"/>
        <v>1</v>
      </c>
      <c r="AG182" s="23">
        <f t="shared" si="6"/>
        <v>1</v>
      </c>
      <c r="AH182" s="9"/>
      <c r="AI182" s="9"/>
    </row>
    <row r="183" ht="15.75" customHeight="1">
      <c r="B183" s="9"/>
      <c r="C183" s="9"/>
      <c r="D183" s="9"/>
      <c r="E183" s="5" t="s">
        <v>279</v>
      </c>
      <c r="F183" s="6">
        <v>84000.0</v>
      </c>
      <c r="G183" s="6">
        <v>54000.0</v>
      </c>
      <c r="H183" s="5" t="s">
        <v>20</v>
      </c>
      <c r="I183" s="5" t="s">
        <v>21</v>
      </c>
      <c r="J183" s="5">
        <v>5.632367E8</v>
      </c>
      <c r="K183" s="5">
        <v>9847944.0</v>
      </c>
      <c r="L183" s="5" t="s">
        <v>280</v>
      </c>
      <c r="M183" s="35">
        <v>46137.75</v>
      </c>
      <c r="N183" s="5" t="b">
        <v>1</v>
      </c>
      <c r="O183" s="19"/>
      <c r="P183" s="7"/>
      <c r="Q183" s="9"/>
      <c r="R183" s="9"/>
      <c r="S183" s="9"/>
      <c r="T183" s="9"/>
      <c r="U183" s="9"/>
      <c r="V183" s="9"/>
      <c r="W183" s="9"/>
      <c r="X183" s="23"/>
      <c r="Y183" s="23"/>
      <c r="Z183" s="23"/>
      <c r="AA183" s="23"/>
      <c r="AB183" s="9"/>
      <c r="AC183" s="9" t="str">
        <f>IFERROR(__xludf.DUMMYFUNCTION("""COMPUTED_VALUE"""),"Gas Venus")</f>
        <v>Gas Venus</v>
      </c>
      <c r="AD183" s="25"/>
      <c r="AE183" s="25" t="str">
        <f t="shared" si="5"/>
        <v/>
      </c>
      <c r="AF183" s="23">
        <f t="shared" si="4"/>
        <v>1</v>
      </c>
      <c r="AG183" s="23">
        <f t="shared" si="6"/>
        <v>1</v>
      </c>
      <c r="AH183" s="9"/>
      <c r="AI183" s="9"/>
    </row>
    <row r="184" ht="15.75" customHeight="1">
      <c r="B184" s="9"/>
      <c r="C184" s="9"/>
      <c r="D184" s="9"/>
      <c r="E184" s="5" t="s">
        <v>281</v>
      </c>
      <c r="F184" s="6">
        <v>80705.0</v>
      </c>
      <c r="G184" s="6">
        <v>54995.0</v>
      </c>
      <c r="H184" s="5" t="s">
        <v>26</v>
      </c>
      <c r="I184" s="5" t="s">
        <v>21</v>
      </c>
      <c r="J184" s="5">
        <v>5.25301585E8</v>
      </c>
      <c r="K184" s="5">
        <v>9352963.0</v>
      </c>
      <c r="L184" s="5" t="s">
        <v>89</v>
      </c>
      <c r="M184" s="35">
        <v>46132.70416666667</v>
      </c>
      <c r="N184" s="5" t="b">
        <v>0</v>
      </c>
      <c r="O184" s="19"/>
      <c r="P184" s="7"/>
      <c r="Q184" s="9"/>
      <c r="R184" s="9"/>
      <c r="S184" s="9"/>
      <c r="T184" s="9"/>
      <c r="U184" s="9"/>
      <c r="V184" s="9"/>
      <c r="W184" s="9"/>
      <c r="X184" s="23"/>
      <c r="Y184" s="23"/>
      <c r="Z184" s="23"/>
      <c r="AA184" s="23"/>
      <c r="AB184" s="9"/>
      <c r="AC184" s="9" t="str">
        <f>IFERROR(__xludf.DUMMYFUNCTION("""COMPUTED_VALUE"""),"Gas Virgo")</f>
        <v>Gas Virgo</v>
      </c>
      <c r="AD184" s="25"/>
      <c r="AE184" s="25" t="str">
        <f t="shared" si="5"/>
        <v/>
      </c>
      <c r="AF184" s="23">
        <f t="shared" si="4"/>
        <v>1</v>
      </c>
      <c r="AG184" s="23">
        <f t="shared" si="6"/>
        <v>1</v>
      </c>
      <c r="AH184" s="9"/>
      <c r="AI184" s="9"/>
    </row>
    <row r="185" ht="15.75" customHeight="1">
      <c r="B185" s="9"/>
      <c r="C185" s="9"/>
      <c r="D185" s="9"/>
      <c r="E185" s="5" t="s">
        <v>282</v>
      </c>
      <c r="F185" s="6">
        <v>78934.0</v>
      </c>
      <c r="G185" s="6">
        <v>49999.0</v>
      </c>
      <c r="H185" s="5" t="s">
        <v>26</v>
      </c>
      <c r="I185" s="5" t="s">
        <v>21</v>
      </c>
      <c r="J185" s="5">
        <v>6.36011617E8</v>
      </c>
      <c r="K185" s="5">
        <v>9255701.0</v>
      </c>
      <c r="L185" s="5" t="s">
        <v>38</v>
      </c>
      <c r="M185" s="35">
        <v>46146.125</v>
      </c>
      <c r="N185" s="5" t="b">
        <v>0</v>
      </c>
      <c r="O185" s="19"/>
      <c r="P185" s="7"/>
      <c r="Q185" s="9"/>
      <c r="R185" s="9"/>
      <c r="S185" s="9"/>
      <c r="T185" s="9"/>
      <c r="U185" s="9"/>
      <c r="V185" s="9"/>
      <c r="W185" s="9"/>
      <c r="X185" s="23"/>
      <c r="Y185" s="23"/>
      <c r="Z185" s="23"/>
      <c r="AA185" s="23"/>
      <c r="AB185" s="9"/>
      <c r="AC185" s="9" t="str">
        <f>IFERROR(__xludf.DUMMYFUNCTION("""COMPUTED_VALUE"""),"Gas Wisdom")</f>
        <v>Gas Wisdom</v>
      </c>
      <c r="AD185" s="25"/>
      <c r="AE185" s="25" t="str">
        <f t="shared" si="5"/>
        <v/>
      </c>
      <c r="AF185" s="23">
        <f t="shared" si="4"/>
        <v>1</v>
      </c>
      <c r="AG185" s="23">
        <f t="shared" si="6"/>
        <v>1</v>
      </c>
      <c r="AH185" s="9"/>
      <c r="AI185" s="9"/>
    </row>
    <row r="186" ht="15.75" customHeight="1">
      <c r="B186" s="9"/>
      <c r="C186" s="9"/>
      <c r="D186" s="9"/>
      <c r="E186" s="5" t="s">
        <v>282</v>
      </c>
      <c r="F186" s="6">
        <v>86000.0</v>
      </c>
      <c r="G186" s="6">
        <v>55081.0</v>
      </c>
      <c r="H186" s="5" t="s">
        <v>20</v>
      </c>
      <c r="I186" s="5" t="s">
        <v>21</v>
      </c>
      <c r="J186" s="5">
        <v>5.631443E8</v>
      </c>
      <c r="K186" s="5">
        <v>9902809.0</v>
      </c>
      <c r="L186" s="5" t="s">
        <v>283</v>
      </c>
      <c r="M186" s="35">
        <v>46161.208333333336</v>
      </c>
      <c r="N186" s="5" t="b">
        <v>1</v>
      </c>
      <c r="O186" s="19"/>
      <c r="P186" s="7"/>
      <c r="Q186" s="9"/>
      <c r="R186" s="9"/>
      <c r="S186" s="9"/>
      <c r="T186" s="9"/>
      <c r="U186" s="9"/>
      <c r="V186" s="9"/>
      <c r="W186" s="9"/>
      <c r="X186" s="23"/>
      <c r="Y186" s="23"/>
      <c r="Z186" s="23"/>
      <c r="AA186" s="23"/>
      <c r="AB186" s="9"/>
      <c r="AC186" s="9" t="str">
        <f>IFERROR(__xludf.DUMMYFUNCTION("""COMPUTED_VALUE"""),"Gas Young")</f>
        <v>Gas Young</v>
      </c>
      <c r="AD186" s="25"/>
      <c r="AE186" s="25" t="str">
        <f t="shared" si="5"/>
        <v/>
      </c>
      <c r="AF186" s="23">
        <f t="shared" si="4"/>
        <v>1</v>
      </c>
      <c r="AG186" s="23">
        <f t="shared" si="6"/>
        <v>1</v>
      </c>
      <c r="AH186" s="9"/>
      <c r="AI186" s="9"/>
    </row>
    <row r="187" ht="15.75" customHeight="1">
      <c r="B187" s="9"/>
      <c r="C187" s="9"/>
      <c r="D187" s="9"/>
      <c r="E187" s="5" t="s">
        <v>284</v>
      </c>
      <c r="F187" s="6">
        <v>73555.0</v>
      </c>
      <c r="G187" s="6">
        <v>54004.0</v>
      </c>
      <c r="H187" s="5" t="s">
        <v>26</v>
      </c>
      <c r="I187" s="5" t="s">
        <v>21</v>
      </c>
      <c r="J187" s="5">
        <v>3.14132E8</v>
      </c>
      <c r="K187" s="5">
        <v>9386299.0</v>
      </c>
      <c r="L187" s="5" t="s">
        <v>285</v>
      </c>
      <c r="M187" s="38">
        <v>46133.25</v>
      </c>
      <c r="N187" s="5" t="b">
        <v>0</v>
      </c>
      <c r="O187" s="19"/>
      <c r="P187" s="7"/>
      <c r="Q187" s="9"/>
      <c r="R187" s="9"/>
      <c r="S187" s="9"/>
      <c r="T187" s="9"/>
      <c r="U187" s="9"/>
      <c r="V187" s="9"/>
      <c r="W187" s="9"/>
      <c r="X187" s="23"/>
      <c r="Y187" s="23"/>
      <c r="Z187" s="23"/>
      <c r="AA187" s="23"/>
      <c r="AB187" s="9"/>
      <c r="AC187" s="9" t="str">
        <f>IFERROR(__xludf.DUMMYFUNCTION("""COMPUTED_VALUE"""),"Gas Zenith")</f>
        <v>Gas Zenith</v>
      </c>
      <c r="AD187" s="25"/>
      <c r="AE187" s="25" t="str">
        <f t="shared" si="5"/>
        <v/>
      </c>
      <c r="AF187" s="23">
        <f t="shared" si="4"/>
        <v>1</v>
      </c>
      <c r="AG187" s="23" t="str">
        <f t="shared" si="6"/>
        <v/>
      </c>
      <c r="AH187" s="9"/>
      <c r="AI187" s="9"/>
    </row>
    <row r="188" ht="15.75" customHeight="1">
      <c r="B188" s="9"/>
      <c r="C188" s="9"/>
      <c r="D188" s="9"/>
      <c r="E188" s="5" t="s">
        <v>286</v>
      </c>
      <c r="F188" s="6">
        <v>80551.0</v>
      </c>
      <c r="G188" s="6">
        <v>54998.0</v>
      </c>
      <c r="H188" s="5" t="s">
        <v>20</v>
      </c>
      <c r="I188" s="5" t="s">
        <v>21</v>
      </c>
      <c r="J188" s="5">
        <v>6.2648E8</v>
      </c>
      <c r="K188" s="5">
        <v>9240419.0</v>
      </c>
      <c r="L188" s="5" t="s">
        <v>95</v>
      </c>
      <c r="M188" s="35">
        <v>46134.5</v>
      </c>
      <c r="N188" s="5" t="b">
        <v>1</v>
      </c>
      <c r="O188" s="19"/>
      <c r="P188" s="7"/>
      <c r="Q188" s="9"/>
      <c r="R188" s="9"/>
      <c r="S188" s="9"/>
      <c r="T188" s="9"/>
      <c r="U188" s="9"/>
      <c r="V188" s="9"/>
      <c r="W188" s="9"/>
      <c r="X188" s="23"/>
      <c r="Y188" s="23"/>
      <c r="Z188" s="23"/>
      <c r="AA188" s="23"/>
      <c r="AB188" s="9"/>
      <c r="AC188" s="9" t="str">
        <f>IFERROR(__xludf.DUMMYFUNCTION("""COMPUTED_VALUE"""),"Gaz Imperial")</f>
        <v>Gaz Imperial</v>
      </c>
      <c r="AD188" s="25"/>
      <c r="AE188" s="25" t="str">
        <f t="shared" si="5"/>
        <v/>
      </c>
      <c r="AF188" s="23">
        <f t="shared" si="4"/>
        <v>1</v>
      </c>
      <c r="AG188" s="23" t="str">
        <f t="shared" si="6"/>
        <v/>
      </c>
      <c r="AH188" s="9"/>
      <c r="AI188" s="9"/>
    </row>
    <row r="189" ht="15.75" customHeight="1">
      <c r="B189" s="9"/>
      <c r="C189" s="9"/>
      <c r="D189" s="9"/>
      <c r="E189" s="5" t="s">
        <v>287</v>
      </c>
      <c r="F189" s="6">
        <v>80791.0</v>
      </c>
      <c r="G189" s="6">
        <v>54994.0</v>
      </c>
      <c r="H189" s="5" t="s">
        <v>26</v>
      </c>
      <c r="I189" s="5" t="s">
        <v>21</v>
      </c>
      <c r="J189" s="5">
        <v>5.25114114E8</v>
      </c>
      <c r="K189" s="5">
        <v>9354624.0</v>
      </c>
      <c r="L189" s="17"/>
      <c r="M189" s="18"/>
      <c r="N189" s="5" t="b">
        <v>0</v>
      </c>
      <c r="O189" s="19"/>
      <c r="P189" s="7"/>
      <c r="Q189" s="9"/>
      <c r="R189" s="9"/>
      <c r="S189" s="9"/>
      <c r="T189" s="9"/>
      <c r="U189" s="9"/>
      <c r="V189" s="9"/>
      <c r="W189" s="9"/>
      <c r="X189" s="23"/>
      <c r="Y189" s="23"/>
      <c r="Z189" s="23"/>
      <c r="AA189" s="23"/>
      <c r="AB189" s="9"/>
      <c r="AC189" s="9" t="str">
        <f>IFERROR(__xludf.DUMMYFUNCTION("""COMPUTED_VALUE"""),"Genesis River")</f>
        <v>Genesis River</v>
      </c>
      <c r="AD189" s="25"/>
      <c r="AE189" s="25" t="str">
        <f t="shared" si="5"/>
        <v/>
      </c>
      <c r="AF189" s="23">
        <f t="shared" si="4"/>
        <v>1</v>
      </c>
      <c r="AG189" s="23">
        <f t="shared" si="6"/>
        <v>1</v>
      </c>
      <c r="AH189" s="9"/>
      <c r="AI189" s="9"/>
    </row>
    <row r="190" ht="15.75" customHeight="1">
      <c r="B190" s="9"/>
      <c r="C190" s="9"/>
      <c r="D190" s="9"/>
      <c r="E190" s="5" t="s">
        <v>288</v>
      </c>
      <c r="F190" s="6">
        <v>84000.0</v>
      </c>
      <c r="G190" s="6">
        <v>55000.0</v>
      </c>
      <c r="H190" s="5" t="s">
        <v>20</v>
      </c>
      <c r="I190" s="5" t="s">
        <v>21</v>
      </c>
      <c r="J190" s="5">
        <v>3.51328E8</v>
      </c>
      <c r="K190" s="5">
        <v>9887451.0</v>
      </c>
      <c r="L190" s="5" t="s">
        <v>289</v>
      </c>
      <c r="M190" s="35">
        <v>46133.458333333336</v>
      </c>
      <c r="N190" s="5" t="b">
        <v>1</v>
      </c>
      <c r="O190" s="19"/>
      <c r="P190" s="7"/>
      <c r="Q190" s="9"/>
      <c r="R190" s="9"/>
      <c r="S190" s="9"/>
      <c r="T190" s="9"/>
      <c r="U190" s="9"/>
      <c r="V190" s="9"/>
      <c r="W190" s="9"/>
      <c r="X190" s="23"/>
      <c r="Y190" s="23"/>
      <c r="Z190" s="23"/>
      <c r="AA190" s="23"/>
      <c r="AB190" s="9"/>
      <c r="AC190" s="9" t="str">
        <f>IFERROR(__xludf.DUMMYFUNCTION("""COMPUTED_VALUE"""),"Genevi")</f>
        <v>Genevi</v>
      </c>
      <c r="AD190" s="25"/>
      <c r="AE190" s="25" t="str">
        <f t="shared" si="5"/>
        <v/>
      </c>
      <c r="AF190" s="23">
        <f t="shared" si="4"/>
        <v>1</v>
      </c>
      <c r="AG190" s="23">
        <f t="shared" si="6"/>
        <v>1</v>
      </c>
      <c r="AH190" s="9"/>
      <c r="AI190" s="9"/>
    </row>
    <row r="191" ht="15.75" customHeight="1">
      <c r="B191" s="9"/>
      <c r="C191" s="9"/>
      <c r="D191" s="9"/>
      <c r="E191" s="5" t="s">
        <v>290</v>
      </c>
      <c r="F191" s="6">
        <v>84000.0</v>
      </c>
      <c r="G191" s="6">
        <v>53349.0</v>
      </c>
      <c r="H191" s="5" t="s">
        <v>26</v>
      </c>
      <c r="I191" s="5" t="s">
        <v>21</v>
      </c>
      <c r="J191" s="5">
        <v>3.73568E8</v>
      </c>
      <c r="K191" s="5">
        <v>9892406.0</v>
      </c>
      <c r="L191" s="5" t="s">
        <v>140</v>
      </c>
      <c r="M191" s="35">
        <v>46132.708333333336</v>
      </c>
      <c r="N191" s="5" t="b">
        <v>0</v>
      </c>
      <c r="O191" s="19"/>
      <c r="P191" s="7"/>
      <c r="Q191" s="9"/>
      <c r="R191" s="9"/>
      <c r="S191" s="9"/>
      <c r="T191" s="9"/>
      <c r="U191" s="9"/>
      <c r="V191" s="9"/>
      <c r="W191" s="9"/>
      <c r="X191" s="23"/>
      <c r="Y191" s="23"/>
      <c r="Z191" s="23"/>
      <c r="AA191" s="23"/>
      <c r="AB191" s="9"/>
      <c r="AC191" s="9" t="str">
        <f>IFERROR(__xludf.DUMMYFUNCTION("""COMPUTED_VALUE"""),"Globe Atlas")</f>
        <v>Globe Atlas</v>
      </c>
      <c r="AD191" s="25"/>
      <c r="AE191" s="25" t="str">
        <f t="shared" si="5"/>
        <v/>
      </c>
      <c r="AF191" s="23">
        <f t="shared" si="4"/>
        <v>1</v>
      </c>
      <c r="AG191" s="23">
        <f t="shared" si="6"/>
        <v>1</v>
      </c>
      <c r="AH191" s="9"/>
      <c r="AI191" s="9"/>
    </row>
    <row r="192" ht="15.75" customHeight="1">
      <c r="B192" s="9"/>
      <c r="C192" s="9"/>
      <c r="D192" s="9"/>
      <c r="E192" s="5" t="s">
        <v>291</v>
      </c>
      <c r="F192" s="6">
        <v>86953.0</v>
      </c>
      <c r="G192" s="6">
        <v>55000.0</v>
      </c>
      <c r="H192" s="5" t="s">
        <v>26</v>
      </c>
      <c r="I192" s="5" t="s">
        <v>21</v>
      </c>
      <c r="J192" s="5">
        <v>3.52003586E8</v>
      </c>
      <c r="K192" s="5">
        <v>9958389.0</v>
      </c>
      <c r="L192" s="5" t="s">
        <v>38</v>
      </c>
      <c r="M192" s="35">
        <v>46137.00069444445</v>
      </c>
      <c r="N192" s="5" t="b">
        <v>0</v>
      </c>
      <c r="O192" s="19"/>
      <c r="P192" s="7"/>
      <c r="Q192" s="9"/>
      <c r="R192" s="9"/>
      <c r="S192" s="9"/>
      <c r="T192" s="9"/>
      <c r="U192" s="9"/>
      <c r="V192" s="9"/>
      <c r="W192" s="9"/>
      <c r="X192" s="23"/>
      <c r="Y192" s="23"/>
      <c r="Z192" s="23"/>
      <c r="AA192" s="23"/>
      <c r="AB192" s="9"/>
      <c r="AC192" s="9" t="str">
        <f>IFERROR(__xludf.DUMMYFUNCTION("""COMPUTED_VALUE"""),"Globe Frontier")</f>
        <v>Globe Frontier</v>
      </c>
      <c r="AD192" s="25"/>
      <c r="AE192" s="25" t="str">
        <f t="shared" si="5"/>
        <v/>
      </c>
      <c r="AF192" s="23">
        <f t="shared" si="4"/>
        <v>1</v>
      </c>
      <c r="AG192" s="23">
        <f t="shared" si="6"/>
        <v>1</v>
      </c>
      <c r="AH192" s="9"/>
      <c r="AI192" s="9"/>
    </row>
    <row r="193" ht="15.75" customHeight="1">
      <c r="B193" s="9"/>
      <c r="C193" s="9"/>
      <c r="D193" s="9"/>
      <c r="E193" s="5" t="s">
        <v>292</v>
      </c>
      <c r="F193" s="6">
        <v>85000.0</v>
      </c>
      <c r="G193" s="6">
        <v>54605.0</v>
      </c>
      <c r="H193" s="5" t="s">
        <v>26</v>
      </c>
      <c r="I193" s="5" t="s">
        <v>21</v>
      </c>
      <c r="J193" s="5">
        <v>6.36022458E8</v>
      </c>
      <c r="K193" s="5">
        <v>9779991.0</v>
      </c>
      <c r="L193" s="5" t="s">
        <v>38</v>
      </c>
      <c r="M193" s="35">
        <v>46162.583333333336</v>
      </c>
      <c r="N193" s="5" t="b">
        <v>0</v>
      </c>
      <c r="O193" s="19"/>
      <c r="P193" s="7"/>
      <c r="Q193" s="9"/>
      <c r="R193" s="9"/>
      <c r="S193" s="9"/>
      <c r="T193" s="9"/>
      <c r="U193" s="9"/>
      <c r="V193" s="9"/>
      <c r="W193" s="9"/>
      <c r="X193" s="23"/>
      <c r="Y193" s="23"/>
      <c r="Z193" s="23"/>
      <c r="AA193" s="23"/>
      <c r="AB193" s="9"/>
      <c r="AC193" s="9" t="str">
        <f>IFERROR(__xludf.DUMMYFUNCTION("""COMPUTED_VALUE"""),"Globe Iris")</f>
        <v>Globe Iris</v>
      </c>
      <c r="AD193" s="25"/>
      <c r="AE193" s="25" t="str">
        <f t="shared" si="5"/>
        <v/>
      </c>
      <c r="AF193" s="23">
        <f t="shared" si="4"/>
        <v>1</v>
      </c>
      <c r="AG193" s="23">
        <f t="shared" si="6"/>
        <v>1</v>
      </c>
      <c r="AH193" s="9"/>
      <c r="AI193" s="9"/>
    </row>
    <row r="194" ht="15.75" customHeight="1">
      <c r="B194" s="9"/>
      <c r="C194" s="9"/>
      <c r="D194" s="9"/>
      <c r="E194" s="5" t="s">
        <v>293</v>
      </c>
      <c r="F194" s="6">
        <v>84000.0</v>
      </c>
      <c r="G194" s="6">
        <v>53349.0</v>
      </c>
      <c r="H194" s="5" t="s">
        <v>26</v>
      </c>
      <c r="I194" s="5" t="s">
        <v>21</v>
      </c>
      <c r="J194" s="5">
        <v>3.52498732E8</v>
      </c>
      <c r="K194" s="5">
        <v>9906922.0</v>
      </c>
      <c r="L194" s="5" t="s">
        <v>140</v>
      </c>
      <c r="M194" s="35">
        <v>46132.333333333336</v>
      </c>
      <c r="N194" s="5" t="b">
        <v>0</v>
      </c>
      <c r="O194" s="19"/>
      <c r="P194" s="7"/>
      <c r="Q194" s="9"/>
      <c r="R194" s="9"/>
      <c r="S194" s="9"/>
      <c r="T194" s="9"/>
      <c r="U194" s="9"/>
      <c r="V194" s="9"/>
      <c r="W194" s="9"/>
      <c r="X194" s="23"/>
      <c r="Y194" s="23"/>
      <c r="Z194" s="23"/>
      <c r="AA194" s="23"/>
      <c r="AB194" s="9"/>
      <c r="AC194" s="9" t="str">
        <f>IFERROR(__xludf.DUMMYFUNCTION("""COMPUTED_VALUE"""),"Globe Polaris")</f>
        <v>Globe Polaris</v>
      </c>
      <c r="AD194" s="25"/>
      <c r="AE194" s="25" t="str">
        <f t="shared" si="5"/>
        <v/>
      </c>
      <c r="AF194" s="23">
        <f t="shared" si="4"/>
        <v>1</v>
      </c>
      <c r="AG194" s="23">
        <f t="shared" si="6"/>
        <v>1</v>
      </c>
      <c r="AH194" s="9"/>
      <c r="AI194" s="9"/>
    </row>
    <row r="195" ht="15.75" customHeight="1">
      <c r="B195" s="9"/>
      <c r="C195" s="9"/>
      <c r="D195" s="9"/>
      <c r="E195" s="5" t="s">
        <v>294</v>
      </c>
      <c r="F195" s="6">
        <v>91000.0</v>
      </c>
      <c r="G195" s="6">
        <v>58886.0</v>
      </c>
      <c r="H195" s="5" t="s">
        <v>26</v>
      </c>
      <c r="I195" s="5" t="s">
        <v>21</v>
      </c>
      <c r="J195" s="5">
        <v>3.52001415E8</v>
      </c>
      <c r="K195" s="5">
        <v>9929132.0</v>
      </c>
      <c r="L195" s="5" t="s">
        <v>38</v>
      </c>
      <c r="M195" s="35">
        <v>46151.833333333336</v>
      </c>
      <c r="N195" s="5" t="b">
        <v>0</v>
      </c>
      <c r="O195" s="19"/>
      <c r="P195" s="7"/>
      <c r="Q195" s="9"/>
      <c r="R195" s="9"/>
      <c r="S195" s="9"/>
      <c r="T195" s="9"/>
      <c r="U195" s="9"/>
      <c r="V195" s="9"/>
      <c r="W195" s="9"/>
      <c r="X195" s="23"/>
      <c r="Y195" s="23"/>
      <c r="Z195" s="23"/>
      <c r="AA195" s="23"/>
      <c r="AB195" s="9"/>
      <c r="AC195" s="9" t="str">
        <f>IFERROR(__xludf.DUMMYFUNCTION("""COMPUTED_VALUE"""),"Haana")</f>
        <v>Haana</v>
      </c>
      <c r="AD195" s="25"/>
      <c r="AE195" s="25" t="str">
        <f t="shared" si="5"/>
        <v/>
      </c>
      <c r="AF195" s="23">
        <f t="shared" si="4"/>
        <v>1</v>
      </c>
      <c r="AG195" s="23">
        <f t="shared" si="6"/>
        <v>1</v>
      </c>
      <c r="AH195" s="9"/>
      <c r="AI195" s="9"/>
    </row>
    <row r="196" ht="15.75" customHeight="1">
      <c r="B196" s="9"/>
      <c r="C196" s="9"/>
      <c r="D196" s="9"/>
      <c r="E196" s="5" t="s">
        <v>295</v>
      </c>
      <c r="F196" s="6">
        <v>93000.0</v>
      </c>
      <c r="G196" s="6">
        <v>62000.0</v>
      </c>
      <c r="H196" s="5" t="s">
        <v>26</v>
      </c>
      <c r="I196" s="5" t="s">
        <v>21</v>
      </c>
      <c r="J196" s="5">
        <v>4.778904E8</v>
      </c>
      <c r="K196" s="5">
        <v>9941465.0</v>
      </c>
      <c r="L196" s="5" t="s">
        <v>43</v>
      </c>
      <c r="M196" s="35">
        <v>46156.458333333336</v>
      </c>
      <c r="N196" s="5" t="b">
        <v>0</v>
      </c>
      <c r="O196" s="19"/>
      <c r="P196" s="7"/>
      <c r="Q196" s="9"/>
      <c r="R196" s="9"/>
      <c r="S196" s="9"/>
      <c r="T196" s="9"/>
      <c r="U196" s="9"/>
      <c r="V196" s="9"/>
      <c r="W196" s="9"/>
      <c r="X196" s="23"/>
      <c r="Y196" s="23"/>
      <c r="Z196" s="23"/>
      <c r="AA196" s="23"/>
      <c r="AB196" s="9"/>
      <c r="AC196" s="9" t="str">
        <f>IFERROR(__xludf.DUMMYFUNCTION("""COMPUTED_VALUE"""),"Hallasan Explorer")</f>
        <v>Hallasan Explorer</v>
      </c>
      <c r="AD196" s="25"/>
      <c r="AE196" s="25" t="str">
        <f t="shared" si="5"/>
        <v/>
      </c>
      <c r="AF196" s="23">
        <f t="shared" si="4"/>
        <v>1</v>
      </c>
      <c r="AG196" s="23">
        <f t="shared" si="6"/>
        <v>1</v>
      </c>
      <c r="AH196" s="9"/>
      <c r="AI196" s="9"/>
    </row>
    <row r="197" ht="15.75" customHeight="1">
      <c r="B197" s="9"/>
      <c r="C197" s="9"/>
      <c r="D197" s="9"/>
      <c r="E197" s="5" t="s">
        <v>296</v>
      </c>
      <c r="F197" s="6">
        <v>84000.0</v>
      </c>
      <c r="G197" s="6">
        <v>55076.0</v>
      </c>
      <c r="H197" s="5" t="s">
        <v>20</v>
      </c>
      <c r="I197" s="5" t="s">
        <v>21</v>
      </c>
      <c r="J197" s="5">
        <v>3.52002349E8</v>
      </c>
      <c r="K197" s="5">
        <v>9940992.0</v>
      </c>
      <c r="L197" s="17"/>
      <c r="M197" s="18"/>
      <c r="N197" s="5" t="b">
        <v>1</v>
      </c>
      <c r="O197" s="19"/>
      <c r="P197" s="7"/>
      <c r="Q197" s="9"/>
      <c r="R197" s="9"/>
      <c r="S197" s="9"/>
      <c r="T197" s="9"/>
      <c r="U197" s="9"/>
      <c r="V197" s="9"/>
      <c r="W197" s="9"/>
      <c r="X197" s="23"/>
      <c r="Y197" s="23"/>
      <c r="Z197" s="23"/>
      <c r="AA197" s="23"/>
      <c r="AB197" s="9"/>
      <c r="AC197" s="9" t="str">
        <f>IFERROR(__xludf.DUMMYFUNCTION("""COMPUTED_VALUE"""),"Hannibal")</f>
        <v>Hannibal</v>
      </c>
      <c r="AD197" s="25"/>
      <c r="AE197" s="25" t="str">
        <f t="shared" si="5"/>
        <v/>
      </c>
      <c r="AF197" s="23">
        <f t="shared" si="4"/>
        <v>1</v>
      </c>
      <c r="AG197" s="23">
        <f t="shared" si="6"/>
        <v>1</v>
      </c>
      <c r="AH197" s="9"/>
      <c r="AI197" s="9"/>
    </row>
    <row r="198" ht="15.75" customHeight="1">
      <c r="B198" s="9"/>
      <c r="C198" s="9"/>
      <c r="D198" s="9"/>
      <c r="E198" s="5" t="s">
        <v>297</v>
      </c>
      <c r="F198" s="6">
        <v>84000.0</v>
      </c>
      <c r="G198" s="6">
        <v>54303.0</v>
      </c>
      <c r="H198" s="5" t="s">
        <v>26</v>
      </c>
      <c r="I198" s="5" t="s">
        <v>21</v>
      </c>
      <c r="J198" s="5">
        <v>3.5200246E8</v>
      </c>
      <c r="K198" s="5">
        <v>9941001.0</v>
      </c>
      <c r="L198" s="5" t="s">
        <v>145</v>
      </c>
      <c r="M198" s="35">
        <v>46150.333333333336</v>
      </c>
      <c r="N198" s="5" t="b">
        <v>0</v>
      </c>
      <c r="O198" s="19"/>
      <c r="P198" s="7"/>
      <c r="Q198" s="9"/>
      <c r="R198" s="9"/>
      <c r="S198" s="9"/>
      <c r="T198" s="9"/>
      <c r="U198" s="9"/>
      <c r="V198" s="9"/>
      <c r="W198" s="9"/>
      <c r="X198" s="23"/>
      <c r="Y198" s="23"/>
      <c r="Z198" s="23"/>
      <c r="AA198" s="23"/>
      <c r="AB198" s="9"/>
      <c r="AC198" s="9" t="str">
        <f>IFERROR(__xludf.DUMMYFUNCTION("""COMPUTED_VALUE"""),"Harzand")</f>
        <v>Harzand</v>
      </c>
      <c r="AD198" s="25"/>
      <c r="AE198" s="25" t="str">
        <f t="shared" si="5"/>
        <v/>
      </c>
      <c r="AF198" s="23">
        <f t="shared" si="4"/>
        <v>1</v>
      </c>
      <c r="AG198" s="23">
        <f t="shared" si="6"/>
        <v>1</v>
      </c>
      <c r="AH198" s="9"/>
      <c r="AI198" s="9"/>
    </row>
    <row r="199" ht="15.75" customHeight="1">
      <c r="B199" s="9"/>
      <c r="C199" s="9"/>
      <c r="D199" s="9"/>
      <c r="E199" s="5" t="s">
        <v>298</v>
      </c>
      <c r="F199" s="6">
        <v>91000.0</v>
      </c>
      <c r="G199" s="6">
        <v>57234.0</v>
      </c>
      <c r="H199" s="5" t="s">
        <v>26</v>
      </c>
      <c r="I199" s="5" t="s">
        <v>21</v>
      </c>
      <c r="J199" s="5">
        <v>3.52005692E8</v>
      </c>
      <c r="K199" s="5">
        <v>1014058.0</v>
      </c>
      <c r="L199" s="5" t="s">
        <v>101</v>
      </c>
      <c r="M199" s="35">
        <v>46144.916666666664</v>
      </c>
      <c r="N199" s="5" t="b">
        <v>0</v>
      </c>
      <c r="O199" s="19"/>
      <c r="P199" s="7"/>
      <c r="Q199" s="9"/>
      <c r="R199" s="9"/>
      <c r="S199" s="9"/>
      <c r="T199" s="9"/>
      <c r="U199" s="9"/>
      <c r="V199" s="9"/>
      <c r="W199" s="9"/>
      <c r="X199" s="23"/>
      <c r="Y199" s="23"/>
      <c r="Z199" s="23"/>
      <c r="AA199" s="23"/>
      <c r="AB199" s="9"/>
      <c r="AC199" s="9" t="str">
        <f>IFERROR(__xludf.DUMMYFUNCTION("""COMPUTED_VALUE"""),"Hellas Bliss")</f>
        <v>Hellas Bliss</v>
      </c>
      <c r="AD199" s="25"/>
      <c r="AE199" s="25" t="str">
        <f t="shared" si="5"/>
        <v/>
      </c>
      <c r="AF199" s="23">
        <f t="shared" si="4"/>
        <v>1</v>
      </c>
      <c r="AG199" s="23">
        <f t="shared" si="6"/>
        <v>1</v>
      </c>
      <c r="AH199" s="9"/>
      <c r="AI199" s="9"/>
    </row>
    <row r="200" ht="15.75" customHeight="1">
      <c r="B200" s="9"/>
      <c r="C200" s="9"/>
      <c r="D200" s="9"/>
      <c r="E200" s="5" t="s">
        <v>299</v>
      </c>
      <c r="F200" s="6">
        <v>73517.0</v>
      </c>
      <c r="G200" s="6">
        <v>54004.0</v>
      </c>
      <c r="H200" s="5" t="s">
        <v>26</v>
      </c>
      <c r="I200" s="5" t="s">
        <v>21</v>
      </c>
      <c r="J200" s="5">
        <v>3.52002989E8</v>
      </c>
      <c r="K200" s="5">
        <v>9386304.0</v>
      </c>
      <c r="L200" s="17"/>
      <c r="M200" s="18"/>
      <c r="N200" s="5" t="b">
        <v>0</v>
      </c>
      <c r="O200" s="19"/>
      <c r="P200" s="7"/>
      <c r="Q200" s="9"/>
      <c r="R200" s="9"/>
      <c r="S200" s="9"/>
      <c r="T200" s="9"/>
      <c r="U200" s="9"/>
      <c r="V200" s="9"/>
      <c r="W200" s="9"/>
      <c r="X200" s="23"/>
      <c r="Y200" s="23"/>
      <c r="Z200" s="23"/>
      <c r="AA200" s="23"/>
      <c r="AB200" s="9"/>
      <c r="AC200" s="9" t="str">
        <f>IFERROR(__xludf.DUMMYFUNCTION("""COMPUTED_VALUE"""),"Hellas Dynasty")</f>
        <v>Hellas Dynasty</v>
      </c>
      <c r="AD200" s="25"/>
      <c r="AE200" s="25" t="str">
        <f t="shared" si="5"/>
        <v/>
      </c>
      <c r="AF200" s="23">
        <f t="shared" si="4"/>
        <v>1</v>
      </c>
      <c r="AG200" s="23" t="str">
        <f t="shared" si="6"/>
        <v/>
      </c>
      <c r="AH200" s="9"/>
      <c r="AI200" s="9"/>
    </row>
    <row r="201" ht="15.75" customHeight="1">
      <c r="B201" s="9"/>
      <c r="C201" s="9"/>
      <c r="D201" s="9"/>
      <c r="E201" s="5" t="s">
        <v>300</v>
      </c>
      <c r="F201" s="6">
        <v>83000.0</v>
      </c>
      <c r="G201" s="6">
        <v>53748.0</v>
      </c>
      <c r="H201" s="5" t="s">
        <v>20</v>
      </c>
      <c r="I201" s="5" t="s">
        <v>21</v>
      </c>
      <c r="J201" s="5">
        <v>4.776548E8</v>
      </c>
      <c r="K201" s="5">
        <v>9735282.0</v>
      </c>
      <c r="L201" s="5" t="s">
        <v>289</v>
      </c>
      <c r="M201" s="35">
        <v>46162.625</v>
      </c>
      <c r="N201" s="5" t="b">
        <v>1</v>
      </c>
      <c r="O201" s="19"/>
      <c r="P201" s="7"/>
      <c r="Q201" s="9"/>
      <c r="R201" s="9"/>
      <c r="S201" s="9"/>
      <c r="T201" s="9"/>
      <c r="U201" s="9"/>
      <c r="V201" s="9"/>
      <c r="W201" s="9"/>
      <c r="X201" s="23"/>
      <c r="Y201" s="23"/>
      <c r="Z201" s="23"/>
      <c r="AA201" s="23"/>
      <c r="AB201" s="9"/>
      <c r="AC201" s="9" t="str">
        <f>IFERROR(__xludf.DUMMYFUNCTION("""COMPUTED_VALUE"""),"Hellas Gladiator")</f>
        <v>Hellas Gladiator</v>
      </c>
      <c r="AD201" s="25"/>
      <c r="AE201" s="25" t="str">
        <f t="shared" si="5"/>
        <v/>
      </c>
      <c r="AF201" s="23">
        <f t="shared" si="4"/>
        <v>1</v>
      </c>
      <c r="AG201" s="23">
        <f t="shared" si="6"/>
        <v>1</v>
      </c>
      <c r="AH201" s="9"/>
      <c r="AI201" s="9"/>
    </row>
    <row r="202" ht="15.75" customHeight="1">
      <c r="B202" s="9"/>
      <c r="C202" s="9"/>
      <c r="D202" s="9"/>
      <c r="E202" s="5" t="s">
        <v>301</v>
      </c>
      <c r="F202" s="6">
        <v>84000.0</v>
      </c>
      <c r="G202" s="6">
        <v>54650.0</v>
      </c>
      <c r="H202" s="5" t="s">
        <v>20</v>
      </c>
      <c r="I202" s="5" t="s">
        <v>21</v>
      </c>
      <c r="J202" s="5">
        <v>4.773338E8</v>
      </c>
      <c r="K202" s="5">
        <v>9752711.0</v>
      </c>
      <c r="L202" s="5" t="s">
        <v>302</v>
      </c>
      <c r="M202" s="35">
        <v>46142.11388888889</v>
      </c>
      <c r="N202" s="5" t="b">
        <v>1</v>
      </c>
      <c r="O202" s="19"/>
      <c r="P202" s="7"/>
      <c r="Q202" s="9"/>
      <c r="R202" s="9"/>
      <c r="S202" s="9"/>
      <c r="T202" s="9"/>
      <c r="U202" s="9"/>
      <c r="V202" s="9"/>
      <c r="W202" s="9"/>
      <c r="X202" s="23"/>
      <c r="Y202" s="23"/>
      <c r="Z202" s="23"/>
      <c r="AA202" s="23"/>
      <c r="AB202" s="9"/>
      <c r="AC202" s="9" t="str">
        <f>IFERROR(__xludf.DUMMYFUNCTION("""COMPUTED_VALUE"""),"Hellas Hercules")</f>
        <v>Hellas Hercules</v>
      </c>
      <c r="AD202" s="25"/>
      <c r="AE202" s="25" t="str">
        <f t="shared" si="5"/>
        <v/>
      </c>
      <c r="AF202" s="23">
        <f t="shared" si="4"/>
        <v>1</v>
      </c>
      <c r="AG202" s="23">
        <f t="shared" si="6"/>
        <v>1</v>
      </c>
      <c r="AH202" s="9"/>
      <c r="AI202" s="9"/>
    </row>
    <row r="203" ht="15.75" customHeight="1">
      <c r="B203" s="9"/>
      <c r="C203" s="9"/>
      <c r="D203" s="9"/>
      <c r="E203" s="5" t="s">
        <v>303</v>
      </c>
      <c r="F203" s="6">
        <v>80530.0</v>
      </c>
      <c r="G203" s="6">
        <v>58814.0</v>
      </c>
      <c r="H203" s="5" t="s">
        <v>26</v>
      </c>
      <c r="I203" s="5" t="s">
        <v>21</v>
      </c>
      <c r="J203" s="5">
        <v>6.67002467E8</v>
      </c>
      <c r="K203" s="5">
        <v>9240421.0</v>
      </c>
      <c r="L203" s="5" t="s">
        <v>46</v>
      </c>
      <c r="M203" s="35">
        <v>46134.916666666664</v>
      </c>
      <c r="N203" s="5" t="b">
        <v>0</v>
      </c>
      <c r="O203" s="19"/>
      <c r="P203" s="7"/>
      <c r="Q203" s="9"/>
      <c r="R203" s="9"/>
      <c r="S203" s="9"/>
      <c r="T203" s="9"/>
      <c r="U203" s="9"/>
      <c r="V203" s="9"/>
      <c r="W203" s="9"/>
      <c r="X203" s="23"/>
      <c r="Y203" s="23"/>
      <c r="Z203" s="23"/>
      <c r="AA203" s="23"/>
      <c r="AB203" s="9"/>
      <c r="AC203" s="9" t="str">
        <f>IFERROR(__xludf.DUMMYFUNCTION("""COMPUTED_VALUE"""),"Hellas Poseidon")</f>
        <v>Hellas Poseidon</v>
      </c>
      <c r="AD203" s="25"/>
      <c r="AE203" s="25" t="str">
        <f t="shared" si="5"/>
        <v/>
      </c>
      <c r="AF203" s="23">
        <f t="shared" si="4"/>
        <v>1</v>
      </c>
      <c r="AG203" s="23" t="str">
        <f t="shared" si="6"/>
        <v/>
      </c>
      <c r="AH203" s="9"/>
      <c r="AI203" s="9"/>
    </row>
    <row r="204" ht="15.75" customHeight="1">
      <c r="B204" s="9"/>
      <c r="C204" s="9"/>
      <c r="D204" s="9"/>
      <c r="E204" s="5" t="s">
        <v>304</v>
      </c>
      <c r="F204" s="6">
        <v>78912.0</v>
      </c>
      <c r="G204" s="6">
        <v>49997.0</v>
      </c>
      <c r="H204" s="5" t="s">
        <v>26</v>
      </c>
      <c r="I204" s="5" t="s">
        <v>21</v>
      </c>
      <c r="J204" s="5">
        <v>3.7166E8</v>
      </c>
      <c r="K204" s="5">
        <v>9321225.0</v>
      </c>
      <c r="L204" s="5" t="s">
        <v>95</v>
      </c>
      <c r="M204" s="35">
        <v>46133.15</v>
      </c>
      <c r="N204" s="5" t="b">
        <v>0</v>
      </c>
      <c r="O204" s="19"/>
      <c r="P204" s="7"/>
      <c r="Q204" s="9"/>
      <c r="R204" s="9"/>
      <c r="S204" s="9"/>
      <c r="T204" s="9"/>
      <c r="U204" s="9"/>
      <c r="V204" s="9"/>
      <c r="W204" s="9"/>
      <c r="X204" s="23"/>
      <c r="Y204" s="23"/>
      <c r="Z204" s="23"/>
      <c r="AA204" s="23"/>
      <c r="AB204" s="9"/>
      <c r="AC204" s="9" t="str">
        <f>IFERROR(__xludf.DUMMYFUNCTION("""COMPUTED_VALUE"""),"Hellas Prosperity")</f>
        <v>Hellas Prosperity</v>
      </c>
      <c r="AD204" s="25"/>
      <c r="AE204" s="25" t="str">
        <f t="shared" si="5"/>
        <v/>
      </c>
      <c r="AF204" s="23">
        <f t="shared" si="4"/>
        <v>1</v>
      </c>
      <c r="AG204" s="23">
        <f t="shared" si="6"/>
        <v>1</v>
      </c>
      <c r="AH204" s="9"/>
      <c r="AI204" s="9"/>
    </row>
    <row r="205" ht="15.75" customHeight="1">
      <c r="B205" s="9"/>
      <c r="C205" s="9"/>
      <c r="D205" s="9"/>
      <c r="E205" s="5" t="s">
        <v>305</v>
      </c>
      <c r="F205" s="6">
        <v>91215.0</v>
      </c>
      <c r="G205" s="6">
        <v>62000.0</v>
      </c>
      <c r="H205" s="5" t="s">
        <v>26</v>
      </c>
      <c r="I205" s="5" t="s">
        <v>21</v>
      </c>
      <c r="J205" s="5">
        <v>4.778951E8</v>
      </c>
      <c r="K205" s="5">
        <v>9944065.0</v>
      </c>
      <c r="L205" s="5" t="s">
        <v>38</v>
      </c>
      <c r="M205" s="35">
        <v>46132.375</v>
      </c>
      <c r="N205" s="5" t="b">
        <v>0</v>
      </c>
      <c r="O205" s="19"/>
      <c r="P205" s="7"/>
      <c r="Q205" s="9"/>
      <c r="R205" s="9"/>
      <c r="S205" s="9"/>
      <c r="T205" s="9"/>
      <c r="U205" s="9"/>
      <c r="V205" s="9"/>
      <c r="W205" s="9"/>
      <c r="X205" s="23"/>
      <c r="Y205" s="23"/>
      <c r="Z205" s="23"/>
      <c r="AA205" s="23"/>
      <c r="AB205" s="9"/>
      <c r="AC205" s="9" t="str">
        <f>IFERROR(__xludf.DUMMYFUNCTION("""COMPUTED_VALUE"""),"Hellas Sparta")</f>
        <v>Hellas Sparta</v>
      </c>
      <c r="AD205" s="25"/>
      <c r="AE205" s="25" t="str">
        <f t="shared" si="5"/>
        <v/>
      </c>
      <c r="AF205" s="23">
        <f t="shared" si="4"/>
        <v>1</v>
      </c>
      <c r="AG205" s="23">
        <f t="shared" si="6"/>
        <v>1</v>
      </c>
      <c r="AH205" s="9"/>
      <c r="AI205" s="9"/>
    </row>
    <row r="206" ht="15.75" customHeight="1">
      <c r="B206" s="9"/>
      <c r="C206" s="9"/>
      <c r="D206" s="9"/>
      <c r="E206" s="5" t="s">
        <v>306</v>
      </c>
      <c r="F206" s="6">
        <v>91140.0</v>
      </c>
      <c r="G206" s="6">
        <v>58201.0</v>
      </c>
      <c r="H206" s="5" t="s">
        <v>26</v>
      </c>
      <c r="I206" s="5" t="s">
        <v>21</v>
      </c>
      <c r="J206" s="5">
        <v>5.632116E8</v>
      </c>
      <c r="K206" s="5">
        <v>9958987.0</v>
      </c>
      <c r="L206" s="5" t="s">
        <v>307</v>
      </c>
      <c r="M206" s="35">
        <v>46131.875</v>
      </c>
      <c r="N206" s="5" t="b">
        <v>0</v>
      </c>
      <c r="O206" s="19"/>
      <c r="P206" s="7"/>
      <c r="Q206" s="9"/>
      <c r="R206" s="9"/>
      <c r="S206" s="9"/>
      <c r="T206" s="9"/>
      <c r="U206" s="9"/>
      <c r="V206" s="9"/>
      <c r="W206" s="9"/>
      <c r="X206" s="23"/>
      <c r="Y206" s="23"/>
      <c r="Z206" s="23"/>
      <c r="AA206" s="23"/>
      <c r="AB206" s="9"/>
      <c r="AC206" s="9" t="str">
        <f>IFERROR(__xludf.DUMMYFUNCTION("""COMPUTED_VALUE"""),"Hellas Voyager")</f>
        <v>Hellas Voyager</v>
      </c>
      <c r="AD206" s="25"/>
      <c r="AE206" s="25" t="str">
        <f t="shared" si="5"/>
        <v/>
      </c>
      <c r="AF206" s="23">
        <f t="shared" si="4"/>
        <v>1</v>
      </c>
      <c r="AG206" s="23">
        <f t="shared" si="6"/>
        <v>1</v>
      </c>
      <c r="AH206" s="9"/>
      <c r="AI206" s="9"/>
    </row>
    <row r="207" ht="15.75" customHeight="1">
      <c r="B207" s="9"/>
      <c r="C207" s="9"/>
      <c r="D207" s="9"/>
      <c r="E207" s="5" t="s">
        <v>308</v>
      </c>
      <c r="F207" s="6">
        <v>84000.0</v>
      </c>
      <c r="G207" s="6">
        <v>54000.0</v>
      </c>
      <c r="H207" s="5" t="s">
        <v>26</v>
      </c>
      <c r="I207" s="5" t="s">
        <v>21</v>
      </c>
      <c r="J207" s="5">
        <v>5.632218E8</v>
      </c>
      <c r="K207" s="5">
        <v>9847956.0</v>
      </c>
      <c r="L207" s="5" t="s">
        <v>101</v>
      </c>
      <c r="M207" s="35">
        <v>46150.791666666664</v>
      </c>
      <c r="N207" s="5" t="b">
        <v>0</v>
      </c>
      <c r="O207" s="19"/>
      <c r="P207" s="7"/>
      <c r="Q207" s="9"/>
      <c r="R207" s="9"/>
      <c r="S207" s="9"/>
      <c r="T207" s="9"/>
      <c r="U207" s="9"/>
      <c r="V207" s="9"/>
      <c r="W207" s="9"/>
      <c r="X207" s="23"/>
      <c r="Y207" s="23"/>
      <c r="Z207" s="23"/>
      <c r="AA207" s="23"/>
      <c r="AB207" s="9"/>
      <c r="AC207" s="9" t="str">
        <f>IFERROR(__xludf.DUMMYFUNCTION("""COMPUTED_VALUE"""),"Henbit")</f>
        <v>Henbit</v>
      </c>
      <c r="AD207" s="25"/>
      <c r="AE207" s="25" t="str">
        <f t="shared" si="5"/>
        <v/>
      </c>
      <c r="AF207" s="23">
        <f t="shared" si="4"/>
        <v>1</v>
      </c>
      <c r="AG207" s="23">
        <f t="shared" si="6"/>
        <v>1</v>
      </c>
      <c r="AH207" s="9"/>
      <c r="AI207" s="9"/>
    </row>
    <row r="208" ht="15.75" customHeight="1">
      <c r="B208" s="9"/>
      <c r="C208" s="9"/>
      <c r="D208" s="9"/>
      <c r="E208" s="5" t="s">
        <v>309</v>
      </c>
      <c r="F208" s="6">
        <v>86000.0</v>
      </c>
      <c r="G208" s="6">
        <v>57000.0</v>
      </c>
      <c r="H208" s="5" t="s">
        <v>26</v>
      </c>
      <c r="I208" s="5" t="s">
        <v>21</v>
      </c>
      <c r="J208" s="5">
        <v>5.631281E8</v>
      </c>
      <c r="K208" s="5">
        <v>9892951.0</v>
      </c>
      <c r="L208" s="17"/>
      <c r="M208" s="18"/>
      <c r="N208" s="5" t="b">
        <v>0</v>
      </c>
      <c r="O208" s="19"/>
      <c r="P208" s="7"/>
      <c r="Q208" s="9"/>
      <c r="R208" s="9"/>
      <c r="S208" s="9"/>
      <c r="T208" s="9"/>
      <c r="U208" s="9"/>
      <c r="V208" s="9"/>
      <c r="W208" s="9"/>
      <c r="X208" s="23"/>
      <c r="Y208" s="23"/>
      <c r="Z208" s="23"/>
      <c r="AA208" s="23"/>
      <c r="AB208" s="9"/>
      <c r="AC208" s="9" t="str">
        <f>IFERROR(__xludf.DUMMYFUNCTION("""COMPUTED_VALUE"""),"Hermit")</f>
        <v>Hermit</v>
      </c>
      <c r="AD208" s="25"/>
      <c r="AE208" s="25" t="str">
        <f t="shared" si="5"/>
        <v/>
      </c>
      <c r="AF208" s="23">
        <f t="shared" si="4"/>
        <v>1</v>
      </c>
      <c r="AG208" s="23">
        <f t="shared" si="6"/>
        <v>1</v>
      </c>
      <c r="AH208" s="9"/>
      <c r="AI208" s="9"/>
    </row>
    <row r="209" ht="15.75" customHeight="1">
      <c r="B209" s="9"/>
      <c r="C209" s="9"/>
      <c r="D209" s="9"/>
      <c r="E209" s="5" t="s">
        <v>310</v>
      </c>
      <c r="F209" s="6">
        <v>84144.0</v>
      </c>
      <c r="G209" s="6">
        <v>53696.0</v>
      </c>
      <c r="H209" s="5" t="s">
        <v>26</v>
      </c>
      <c r="I209" s="5" t="s">
        <v>21</v>
      </c>
      <c r="J209" s="5">
        <v>3.55437E8</v>
      </c>
      <c r="K209" s="5">
        <v>9889552.0</v>
      </c>
      <c r="L209" s="5" t="s">
        <v>38</v>
      </c>
      <c r="M209" s="35">
        <v>46142.791666666664</v>
      </c>
      <c r="N209" s="5" t="b">
        <v>0</v>
      </c>
      <c r="O209" s="19"/>
      <c r="P209" s="7"/>
      <c r="Q209" s="9"/>
      <c r="R209" s="9"/>
      <c r="S209" s="9"/>
      <c r="T209" s="9"/>
      <c r="U209" s="9"/>
      <c r="V209" s="9"/>
      <c r="W209" s="9"/>
      <c r="X209" s="23"/>
      <c r="Y209" s="23"/>
      <c r="Z209" s="23"/>
      <c r="AA209" s="23"/>
      <c r="AB209" s="9"/>
      <c r="AC209" s="9" t="str">
        <f>IFERROR(__xludf.DUMMYFUNCTION("""COMPUTED_VALUE"""),"Hls Amber")</f>
        <v>Hls Amber</v>
      </c>
      <c r="AD209" s="25"/>
      <c r="AE209" s="25" t="str">
        <f t="shared" si="5"/>
        <v/>
      </c>
      <c r="AF209" s="23">
        <f t="shared" si="4"/>
        <v>1</v>
      </c>
      <c r="AG209" s="23">
        <f t="shared" si="6"/>
        <v>1</v>
      </c>
      <c r="AH209" s="9"/>
      <c r="AI209" s="9"/>
    </row>
    <row r="210" ht="15.75" customHeight="1">
      <c r="B210" s="9"/>
      <c r="C210" s="9"/>
      <c r="D210" s="9"/>
      <c r="E210" s="5" t="s">
        <v>311</v>
      </c>
      <c r="F210" s="6">
        <v>78000.0</v>
      </c>
      <c r="G210" s="6">
        <v>49999.0</v>
      </c>
      <c r="H210" s="5" t="s">
        <v>26</v>
      </c>
      <c r="I210" s="5" t="s">
        <v>21</v>
      </c>
      <c r="J210" s="5">
        <v>3.73129E8</v>
      </c>
      <c r="K210" s="5">
        <v>9522415.0</v>
      </c>
      <c r="L210" s="5" t="s">
        <v>38</v>
      </c>
      <c r="M210" s="35">
        <v>46144.25</v>
      </c>
      <c r="N210" s="5" t="b">
        <v>0</v>
      </c>
      <c r="O210" s="19"/>
      <c r="P210" s="7"/>
      <c r="Q210" s="9"/>
      <c r="R210" s="9"/>
      <c r="S210" s="9"/>
      <c r="T210" s="9"/>
      <c r="U210" s="9"/>
      <c r="V210" s="9"/>
      <c r="W210" s="9"/>
      <c r="X210" s="23"/>
      <c r="Y210" s="23"/>
      <c r="Z210" s="23"/>
      <c r="AA210" s="23"/>
      <c r="AB210" s="9"/>
      <c r="AC210" s="9" t="str">
        <f>IFERROR(__xludf.DUMMYFUNCTION("""COMPUTED_VALUE"""),"Hls Blue Sapphire")</f>
        <v>Hls Blue Sapphire</v>
      </c>
      <c r="AD210" s="25"/>
      <c r="AE210" s="25" t="str">
        <f t="shared" si="5"/>
        <v/>
      </c>
      <c r="AF210" s="23">
        <f t="shared" si="4"/>
        <v>1</v>
      </c>
      <c r="AG210" s="23">
        <f t="shared" si="6"/>
        <v>1</v>
      </c>
      <c r="AH210" s="9"/>
      <c r="AI210" s="9"/>
    </row>
    <row r="211" ht="15.75" customHeight="1">
      <c r="B211" s="9"/>
      <c r="C211" s="9"/>
      <c r="D211" s="9"/>
      <c r="E211" s="5" t="s">
        <v>312</v>
      </c>
      <c r="F211" s="6">
        <v>91000.0</v>
      </c>
      <c r="G211" s="6">
        <v>56000.0</v>
      </c>
      <c r="H211" s="5" t="s">
        <v>20</v>
      </c>
      <c r="I211" s="5" t="s">
        <v>21</v>
      </c>
      <c r="J211" s="5">
        <v>3.52005872E8</v>
      </c>
      <c r="K211" s="5">
        <v>1014072.0</v>
      </c>
      <c r="L211" s="5" t="s">
        <v>232</v>
      </c>
      <c r="M211" s="35">
        <v>46160.24513888889</v>
      </c>
      <c r="N211" s="5" t="b">
        <v>1</v>
      </c>
      <c r="O211" s="19"/>
      <c r="P211" s="7"/>
      <c r="Q211" s="9"/>
      <c r="R211" s="9"/>
      <c r="S211" s="9"/>
      <c r="T211" s="9"/>
      <c r="U211" s="9"/>
      <c r="V211" s="9"/>
      <c r="W211" s="9"/>
      <c r="X211" s="23"/>
      <c r="Y211" s="23"/>
      <c r="Z211" s="23"/>
      <c r="AA211" s="23"/>
      <c r="AB211" s="9"/>
      <c r="AC211" s="9" t="str">
        <f>IFERROR(__xludf.DUMMYFUNCTION("""COMPUTED_VALUE"""),"Hls Citrine")</f>
        <v>Hls Citrine</v>
      </c>
      <c r="AD211" s="25"/>
      <c r="AE211" s="25" t="str">
        <f t="shared" si="5"/>
        <v/>
      </c>
      <c r="AF211" s="23">
        <f t="shared" si="4"/>
        <v>1</v>
      </c>
      <c r="AG211" s="23">
        <f t="shared" si="6"/>
        <v>1</v>
      </c>
      <c r="AH211" s="9"/>
      <c r="AI211" s="9"/>
    </row>
    <row r="212" ht="15.75" customHeight="1">
      <c r="B212" s="9"/>
      <c r="C212" s="9"/>
      <c r="D212" s="9"/>
      <c r="E212" s="5" t="s">
        <v>313</v>
      </c>
      <c r="F212" s="6">
        <v>83000.0</v>
      </c>
      <c r="G212" s="6">
        <v>53765.0</v>
      </c>
      <c r="H212" s="5" t="s">
        <v>20</v>
      </c>
      <c r="I212" s="5" t="s">
        <v>21</v>
      </c>
      <c r="J212" s="5">
        <v>5.25110231E8</v>
      </c>
      <c r="K212" s="5">
        <v>9710385.0</v>
      </c>
      <c r="L212" s="5" t="s">
        <v>314</v>
      </c>
      <c r="M212" s="35">
        <v>46135.333333333336</v>
      </c>
      <c r="N212" s="5" t="b">
        <v>1</v>
      </c>
      <c r="O212" s="19"/>
      <c r="P212" s="7"/>
      <c r="Q212" s="9"/>
      <c r="R212" s="9"/>
      <c r="S212" s="9"/>
      <c r="T212" s="9"/>
      <c r="U212" s="9"/>
      <c r="V212" s="9"/>
      <c r="W212" s="9"/>
      <c r="X212" s="23"/>
      <c r="Y212" s="23"/>
      <c r="Z212" s="23"/>
      <c r="AA212" s="23"/>
      <c r="AB212" s="9"/>
      <c r="AC212" s="9" t="str">
        <f>IFERROR(__xludf.DUMMYFUNCTION("""COMPUTED_VALUE"""),"Hls Diamond")</f>
        <v>Hls Diamond</v>
      </c>
      <c r="AD212" s="25"/>
      <c r="AE212" s="25" t="str">
        <f t="shared" si="5"/>
        <v/>
      </c>
      <c r="AF212" s="23">
        <f t="shared" si="4"/>
        <v>1</v>
      </c>
      <c r="AG212" s="23">
        <f t="shared" si="6"/>
        <v>1</v>
      </c>
      <c r="AH212" s="9"/>
      <c r="AI212" s="9"/>
    </row>
    <row r="213" ht="15.75" customHeight="1">
      <c r="B213" s="9"/>
      <c r="C213" s="9"/>
      <c r="D213" s="9"/>
      <c r="E213" s="5" t="s">
        <v>315</v>
      </c>
      <c r="F213" s="6">
        <v>86000.0</v>
      </c>
      <c r="G213" s="6">
        <v>55087.0</v>
      </c>
      <c r="H213" s="5" t="s">
        <v>20</v>
      </c>
      <c r="I213" s="5" t="s">
        <v>21</v>
      </c>
      <c r="J213" s="5">
        <v>5.631402E8</v>
      </c>
      <c r="K213" s="5">
        <v>9902794.0</v>
      </c>
      <c r="L213" s="17"/>
      <c r="M213" s="18"/>
      <c r="N213" s="5" t="b">
        <v>1</v>
      </c>
      <c r="O213" s="19"/>
      <c r="P213" s="7"/>
      <c r="Q213" s="9"/>
      <c r="R213" s="9"/>
      <c r="S213" s="9"/>
      <c r="T213" s="9"/>
      <c r="U213" s="9"/>
      <c r="V213" s="9"/>
      <c r="W213" s="9"/>
      <c r="X213" s="23"/>
      <c r="Y213" s="23"/>
      <c r="Z213" s="23"/>
      <c r="AA213" s="23"/>
      <c r="AB213" s="9"/>
      <c r="AC213" s="9" t="str">
        <f>IFERROR(__xludf.DUMMYFUNCTION("""COMPUTED_VALUE"""),"Hls Emerald")</f>
        <v>Hls Emerald</v>
      </c>
      <c r="AD213" s="25"/>
      <c r="AE213" s="25" t="str">
        <f t="shared" si="5"/>
        <v/>
      </c>
      <c r="AF213" s="23">
        <f t="shared" si="4"/>
        <v>1</v>
      </c>
      <c r="AG213" s="23">
        <f t="shared" si="6"/>
        <v>1</v>
      </c>
      <c r="AH213" s="9"/>
      <c r="AI213" s="9"/>
    </row>
    <row r="214" ht="15.75" customHeight="1">
      <c r="B214" s="9"/>
      <c r="C214" s="9"/>
      <c r="D214" s="9"/>
      <c r="E214" s="5" t="s">
        <v>316</v>
      </c>
      <c r="F214" s="6">
        <v>84000.0</v>
      </c>
      <c r="G214" s="6">
        <v>54746.0</v>
      </c>
      <c r="H214" s="5" t="s">
        <v>20</v>
      </c>
      <c r="I214" s="5" t="s">
        <v>21</v>
      </c>
      <c r="J214" s="5">
        <v>4.771005E8</v>
      </c>
      <c r="K214" s="5">
        <v>9752723.0</v>
      </c>
      <c r="L214" s="5" t="s">
        <v>124</v>
      </c>
      <c r="M214" s="35">
        <v>46141.520833333336</v>
      </c>
      <c r="N214" s="5" t="b">
        <v>1</v>
      </c>
      <c r="O214" s="19"/>
      <c r="P214" s="7"/>
      <c r="Q214" s="9"/>
      <c r="R214" s="9"/>
      <c r="S214" s="9"/>
      <c r="T214" s="9"/>
      <c r="U214" s="9"/>
      <c r="V214" s="9"/>
      <c r="W214" s="9"/>
      <c r="X214" s="23"/>
      <c r="Y214" s="23"/>
      <c r="Z214" s="23"/>
      <c r="AA214" s="23"/>
      <c r="AB214" s="9"/>
      <c r="AC214" s="9" t="str">
        <f>IFERROR(__xludf.DUMMYFUNCTION("""COMPUTED_VALUE"""),"Hls Fluorite")</f>
        <v>Hls Fluorite</v>
      </c>
      <c r="AD214" s="25"/>
      <c r="AE214" s="25" t="str">
        <f t="shared" si="5"/>
        <v/>
      </c>
      <c r="AF214" s="23">
        <f t="shared" si="4"/>
        <v>1</v>
      </c>
      <c r="AG214" s="23">
        <f t="shared" si="6"/>
        <v>1</v>
      </c>
      <c r="AH214" s="9"/>
      <c r="AI214" s="9"/>
    </row>
    <row r="215" ht="15.75" customHeight="1">
      <c r="B215" s="9"/>
      <c r="C215" s="9"/>
      <c r="D215" s="9"/>
      <c r="E215" s="5" t="s">
        <v>317</v>
      </c>
      <c r="F215" s="6">
        <v>83000.0</v>
      </c>
      <c r="G215" s="6">
        <v>51100.0</v>
      </c>
      <c r="H215" s="5" t="s">
        <v>20</v>
      </c>
      <c r="I215" s="5" t="s">
        <v>21</v>
      </c>
      <c r="J215" s="5">
        <v>3.74345E8</v>
      </c>
      <c r="K215" s="5">
        <v>9765562.0</v>
      </c>
      <c r="L215" s="5" t="s">
        <v>318</v>
      </c>
      <c r="M215" s="35">
        <v>46138.5</v>
      </c>
      <c r="N215" s="5" t="b">
        <v>1</v>
      </c>
      <c r="O215" s="19"/>
      <c r="P215" s="7"/>
      <c r="Q215" s="9"/>
      <c r="R215" s="9"/>
      <c r="S215" s="9"/>
      <c r="T215" s="9"/>
      <c r="U215" s="9"/>
      <c r="V215" s="9"/>
      <c r="W215" s="9"/>
      <c r="X215" s="23"/>
      <c r="Y215" s="23"/>
      <c r="Z215" s="23"/>
      <c r="AA215" s="23"/>
      <c r="AB215" s="9"/>
      <c r="AC215" s="9" t="str">
        <f>IFERROR(__xludf.DUMMYFUNCTION("""COMPUTED_VALUE"""),"Humorist")</f>
        <v>Humorist</v>
      </c>
      <c r="AD215" s="25"/>
      <c r="AE215" s="25" t="str">
        <f t="shared" si="5"/>
        <v/>
      </c>
      <c r="AF215" s="23">
        <f t="shared" si="4"/>
        <v>1</v>
      </c>
      <c r="AG215" s="23">
        <f t="shared" si="6"/>
        <v>1</v>
      </c>
      <c r="AH215" s="9"/>
      <c r="AI215" s="9"/>
    </row>
    <row r="216" ht="15.75" customHeight="1">
      <c r="B216" s="9"/>
      <c r="C216" s="9"/>
      <c r="D216" s="9"/>
      <c r="E216" s="5" t="s">
        <v>319</v>
      </c>
      <c r="F216" s="6">
        <v>78432.0</v>
      </c>
      <c r="G216" s="6">
        <v>49609.0</v>
      </c>
      <c r="H216" s="5" t="s">
        <v>26</v>
      </c>
      <c r="I216" s="5" t="s">
        <v>21</v>
      </c>
      <c r="J216" s="5">
        <v>6.26457E8</v>
      </c>
      <c r="K216" s="5">
        <v>9172636.0</v>
      </c>
      <c r="L216" s="5" t="s">
        <v>211</v>
      </c>
      <c r="M216" s="35">
        <v>46131.875</v>
      </c>
      <c r="N216" s="5" t="b">
        <v>0</v>
      </c>
      <c r="O216" s="19"/>
      <c r="P216" s="7"/>
      <c r="Q216" s="9"/>
      <c r="R216" s="9"/>
      <c r="S216" s="9"/>
      <c r="T216" s="9"/>
      <c r="U216" s="9"/>
      <c r="V216" s="9"/>
      <c r="W216" s="9"/>
      <c r="X216" s="23"/>
      <c r="Y216" s="23"/>
      <c r="Z216" s="23"/>
      <c r="AA216" s="23"/>
      <c r="AB216" s="9"/>
      <c r="AC216" s="9" t="str">
        <f>IFERROR(__xludf.DUMMYFUNCTION("""COMPUTED_VALUE"""),"Hyperion")</f>
        <v>Hyperion</v>
      </c>
      <c r="AD216" s="25"/>
      <c r="AE216" s="25" t="str">
        <f t="shared" si="5"/>
        <v/>
      </c>
      <c r="AF216" s="23">
        <f t="shared" si="4"/>
        <v>1</v>
      </c>
      <c r="AG216" s="23" t="str">
        <f t="shared" si="6"/>
        <v/>
      </c>
      <c r="AH216" s="9"/>
      <c r="AI216" s="9"/>
    </row>
    <row r="217" ht="15.75" customHeight="1">
      <c r="B217" s="9"/>
      <c r="C217" s="9"/>
      <c r="D217" s="9"/>
      <c r="E217" s="5" t="s">
        <v>320</v>
      </c>
      <c r="F217" s="6">
        <v>84000.0</v>
      </c>
      <c r="G217" s="6">
        <v>54684.0</v>
      </c>
      <c r="H217" s="5" t="s">
        <v>26</v>
      </c>
      <c r="I217" s="5" t="s">
        <v>21</v>
      </c>
      <c r="J217" s="5">
        <v>3.73215E8</v>
      </c>
      <c r="K217" s="5">
        <v>9693549.0</v>
      </c>
      <c r="L217" s="5" t="s">
        <v>321</v>
      </c>
      <c r="M217" s="35">
        <v>46149.416666666664</v>
      </c>
      <c r="N217" s="5" t="b">
        <v>0</v>
      </c>
      <c r="O217" s="19"/>
      <c r="P217" s="7"/>
      <c r="Q217" s="9"/>
      <c r="R217" s="9"/>
      <c r="S217" s="9"/>
      <c r="T217" s="9"/>
      <c r="U217" s="9"/>
      <c r="V217" s="9"/>
      <c r="W217" s="9"/>
      <c r="X217" s="23"/>
      <c r="Y217" s="23"/>
      <c r="Z217" s="23"/>
      <c r="AA217" s="23"/>
      <c r="AB217" s="9"/>
      <c r="AC217" s="9" t="str">
        <f>IFERROR(__xludf.DUMMYFUNCTION("""COMPUTED_VALUE"""),"Ithaca Gas")</f>
        <v>Ithaca Gas</v>
      </c>
      <c r="AD217" s="25"/>
      <c r="AE217" s="25" t="str">
        <f t="shared" si="5"/>
        <v/>
      </c>
      <c r="AF217" s="23">
        <f t="shared" si="4"/>
        <v>1</v>
      </c>
      <c r="AG217" s="23">
        <f t="shared" si="6"/>
        <v>1</v>
      </c>
      <c r="AH217" s="9"/>
      <c r="AI217" s="9"/>
    </row>
    <row r="218" ht="15.75" customHeight="1">
      <c r="B218" s="9"/>
      <c r="C218" s="9"/>
      <c r="D218" s="9"/>
      <c r="E218" s="5" t="s">
        <v>322</v>
      </c>
      <c r="F218" s="6">
        <v>84000.0</v>
      </c>
      <c r="G218" s="6">
        <v>51700.0</v>
      </c>
      <c r="H218" s="5" t="s">
        <v>26</v>
      </c>
      <c r="I218" s="5" t="s">
        <v>21</v>
      </c>
      <c r="J218" s="5">
        <v>3.52006303E8</v>
      </c>
      <c r="K218" s="5">
        <v>9726085.0</v>
      </c>
      <c r="L218" s="5" t="s">
        <v>38</v>
      </c>
      <c r="M218" s="38">
        <v>46133.833333333336</v>
      </c>
      <c r="N218" s="5" t="b">
        <v>0</v>
      </c>
      <c r="O218" s="19"/>
      <c r="P218" s="7"/>
      <c r="Q218" s="9"/>
      <c r="R218" s="9"/>
      <c r="S218" s="9"/>
      <c r="T218" s="9"/>
      <c r="U218" s="9"/>
      <c r="V218" s="9"/>
      <c r="W218" s="9"/>
      <c r="X218" s="23"/>
      <c r="Y218" s="23"/>
      <c r="Z218" s="23"/>
      <c r="AA218" s="23"/>
      <c r="AB218" s="9"/>
      <c r="AC218" s="9" t="str">
        <f>IFERROR(__xludf.DUMMYFUNCTION("""COMPUTED_VALUE"""),"Jag Vasant")</f>
        <v>Jag Vasant</v>
      </c>
      <c r="AD218" s="25"/>
      <c r="AE218" s="25" t="str">
        <f t="shared" si="5"/>
        <v/>
      </c>
      <c r="AF218" s="23">
        <f t="shared" si="4"/>
        <v>1</v>
      </c>
      <c r="AG218" s="23">
        <f t="shared" si="6"/>
        <v>1</v>
      </c>
      <c r="AH218" s="9"/>
      <c r="AI218" s="9"/>
    </row>
    <row r="219" ht="15.75" customHeight="1">
      <c r="B219" s="9"/>
      <c r="C219" s="9"/>
      <c r="D219" s="9"/>
      <c r="E219" s="5" t="s">
        <v>323</v>
      </c>
      <c r="F219" s="6">
        <v>84000.0</v>
      </c>
      <c r="G219" s="6">
        <v>54551.0</v>
      </c>
      <c r="H219" s="5" t="s">
        <v>26</v>
      </c>
      <c r="I219" s="5" t="s">
        <v>21</v>
      </c>
      <c r="J219" s="5">
        <v>4.47274E8</v>
      </c>
      <c r="K219" s="5">
        <v>9849631.0</v>
      </c>
      <c r="L219" s="5" t="s">
        <v>160</v>
      </c>
      <c r="M219" s="35">
        <v>46132.5</v>
      </c>
      <c r="N219" s="5" t="b">
        <v>0</v>
      </c>
      <c r="O219" s="19"/>
      <c r="P219" s="7"/>
      <c r="Q219" s="9"/>
      <c r="R219" s="9"/>
      <c r="S219" s="9"/>
      <c r="T219" s="9"/>
      <c r="U219" s="9"/>
      <c r="V219" s="9"/>
      <c r="W219" s="9"/>
      <c r="X219" s="23"/>
      <c r="Y219" s="23"/>
      <c r="Z219" s="23"/>
      <c r="AA219" s="23"/>
      <c r="AB219" s="9"/>
      <c r="AC219" s="9" t="str">
        <f>IFERROR(__xludf.DUMMYFUNCTION("""COMPUTED_VALUE"""),"Jag Vijay")</f>
        <v>Jag Vijay</v>
      </c>
      <c r="AD219" s="25"/>
      <c r="AE219" s="25" t="str">
        <f t="shared" si="5"/>
        <v/>
      </c>
      <c r="AF219" s="23">
        <f t="shared" si="4"/>
        <v>1</v>
      </c>
      <c r="AG219" s="23">
        <f t="shared" si="6"/>
        <v>1</v>
      </c>
      <c r="AH219" s="9"/>
      <c r="AI219" s="9"/>
    </row>
    <row r="220" ht="15.75" customHeight="1">
      <c r="B220" s="9"/>
      <c r="C220" s="9"/>
      <c r="D220" s="9"/>
      <c r="E220" s="5" t="s">
        <v>324</v>
      </c>
      <c r="F220" s="6">
        <v>93000.0</v>
      </c>
      <c r="G220" s="6">
        <v>60000.0</v>
      </c>
      <c r="H220" s="5" t="s">
        <v>20</v>
      </c>
      <c r="I220" s="5" t="s">
        <v>21</v>
      </c>
      <c r="J220" s="5">
        <v>5.632481E8</v>
      </c>
      <c r="K220" s="5">
        <v>9969845.0</v>
      </c>
      <c r="L220" s="5" t="s">
        <v>232</v>
      </c>
      <c r="M220" s="38">
        <v>46153.46388888889</v>
      </c>
      <c r="N220" s="5" t="b">
        <v>1</v>
      </c>
      <c r="O220" s="19"/>
      <c r="P220" s="7"/>
      <c r="Q220" s="9"/>
      <c r="R220" s="9"/>
      <c r="S220" s="9"/>
      <c r="T220" s="9"/>
      <c r="U220" s="9"/>
      <c r="V220" s="9"/>
      <c r="W220" s="9"/>
      <c r="X220" s="23"/>
      <c r="Y220" s="23"/>
      <c r="Z220" s="23"/>
      <c r="AA220" s="23"/>
      <c r="AB220" s="9"/>
      <c r="AC220" s="9" t="str">
        <f>IFERROR(__xludf.DUMMYFUNCTION("""COMPUTED_VALUE"""),"Jagannath")</f>
        <v>Jagannath</v>
      </c>
      <c r="AD220" s="25"/>
      <c r="AE220" s="25" t="str">
        <f t="shared" si="5"/>
        <v/>
      </c>
      <c r="AF220" s="23">
        <f t="shared" si="4"/>
        <v>1</v>
      </c>
      <c r="AG220" s="23">
        <f t="shared" si="6"/>
        <v>1</v>
      </c>
      <c r="AH220" s="9"/>
      <c r="AI220" s="9"/>
    </row>
    <row r="221" ht="15.75" customHeight="1">
      <c r="B221" s="9"/>
      <c r="C221" s="9"/>
      <c r="D221" s="9"/>
      <c r="E221" s="5" t="s">
        <v>325</v>
      </c>
      <c r="F221" s="6">
        <v>86000.0</v>
      </c>
      <c r="G221" s="6">
        <v>57000.0</v>
      </c>
      <c r="H221" s="5" t="s">
        <v>26</v>
      </c>
      <c r="I221" s="5" t="s">
        <v>21</v>
      </c>
      <c r="J221" s="5">
        <v>5.631234E8</v>
      </c>
      <c r="K221" s="5">
        <v>9876490.0</v>
      </c>
      <c r="L221" s="17"/>
      <c r="M221" s="18"/>
      <c r="N221" s="5" t="b">
        <v>0</v>
      </c>
      <c r="O221" s="19"/>
      <c r="P221" s="7"/>
      <c r="Q221" s="9"/>
      <c r="R221" s="9"/>
      <c r="S221" s="9"/>
      <c r="T221" s="9"/>
      <c r="U221" s="9"/>
      <c r="V221" s="9"/>
      <c r="W221" s="9"/>
      <c r="X221" s="23"/>
      <c r="Y221" s="23"/>
      <c r="Z221" s="23"/>
      <c r="AA221" s="23"/>
      <c r="AB221" s="9"/>
      <c r="AC221" s="9" t="str">
        <f>IFERROR(__xludf.DUMMYFUNCTION("""COMPUTED_VALUE"""),"Jean Raspail")</f>
        <v>Jean Raspail</v>
      </c>
      <c r="AD221" s="25"/>
      <c r="AE221" s="25" t="str">
        <f t="shared" si="5"/>
        <v/>
      </c>
      <c r="AF221" s="23">
        <f t="shared" si="4"/>
        <v>1</v>
      </c>
      <c r="AG221" s="23">
        <f t="shared" si="6"/>
        <v>1</v>
      </c>
      <c r="AH221" s="9"/>
      <c r="AI221" s="9"/>
    </row>
    <row r="222" ht="15.75" customHeight="1">
      <c r="B222" s="9"/>
      <c r="C222" s="9"/>
      <c r="D222" s="9"/>
      <c r="E222" s="5" t="s">
        <v>326</v>
      </c>
      <c r="F222" s="6">
        <v>86000.0</v>
      </c>
      <c r="G222" s="6">
        <v>54966.0</v>
      </c>
      <c r="H222" s="5" t="s">
        <v>20</v>
      </c>
      <c r="I222" s="5" t="s">
        <v>21</v>
      </c>
      <c r="J222" s="5">
        <v>5.631336E8</v>
      </c>
      <c r="K222" s="5">
        <v>9902782.0</v>
      </c>
      <c r="L222" s="5" t="s">
        <v>283</v>
      </c>
      <c r="M222" s="35">
        <v>46154.541666666664</v>
      </c>
      <c r="N222" s="5" t="b">
        <v>1</v>
      </c>
      <c r="O222" s="19"/>
      <c r="P222" s="7"/>
      <c r="Q222" s="9"/>
      <c r="R222" s="9"/>
      <c r="S222" s="9"/>
      <c r="T222" s="9"/>
      <c r="U222" s="9"/>
      <c r="V222" s="9"/>
      <c r="W222" s="9"/>
      <c r="X222" s="23"/>
      <c r="Y222" s="23"/>
      <c r="Z222" s="23"/>
      <c r="AA222" s="23"/>
      <c r="AB222" s="9"/>
      <c r="AC222" s="9" t="str">
        <f>IFERROR(__xludf.DUMMYFUNCTION("""COMPUTED_VALUE"""),"Jenggala 21")</f>
        <v>Jenggala 21</v>
      </c>
      <c r="AD222" s="25"/>
      <c r="AE222" s="25" t="str">
        <f t="shared" si="5"/>
        <v/>
      </c>
      <c r="AF222" s="23">
        <f t="shared" si="4"/>
        <v>1</v>
      </c>
      <c r="AG222" s="23">
        <f t="shared" si="6"/>
        <v>1</v>
      </c>
      <c r="AH222" s="9"/>
      <c r="AI222" s="9"/>
    </row>
    <row r="223" ht="15.75" customHeight="1">
      <c r="B223" s="9"/>
      <c r="C223" s="9"/>
      <c r="D223" s="9"/>
      <c r="E223" s="5" t="s">
        <v>327</v>
      </c>
      <c r="F223" s="6">
        <v>83783.0</v>
      </c>
      <c r="G223" s="6">
        <v>54707.0</v>
      </c>
      <c r="H223" s="5" t="s">
        <v>26</v>
      </c>
      <c r="I223" s="5" t="s">
        <v>21</v>
      </c>
      <c r="J223" s="5">
        <v>3.52003445E8</v>
      </c>
      <c r="K223" s="5">
        <v>9364382.0</v>
      </c>
      <c r="L223" s="17"/>
      <c r="M223" s="18"/>
      <c r="N223" s="5" t="b">
        <v>0</v>
      </c>
      <c r="O223" s="19"/>
      <c r="P223" s="7"/>
      <c r="Q223" s="9"/>
      <c r="R223" s="9"/>
      <c r="S223" s="9"/>
      <c r="T223" s="9"/>
      <c r="U223" s="9"/>
      <c r="V223" s="9"/>
      <c r="W223" s="9"/>
      <c r="X223" s="23"/>
      <c r="Y223" s="23"/>
      <c r="Z223" s="23"/>
      <c r="AA223" s="23"/>
      <c r="AB223" s="9"/>
      <c r="AC223" s="9" t="str">
        <f>IFERROR(__xludf.DUMMYFUNCTION("""COMPUTED_VALUE"""),"Jia Yuan")</f>
        <v>Jia Yuan</v>
      </c>
      <c r="AD223" s="25"/>
      <c r="AE223" s="25" t="str">
        <f t="shared" si="5"/>
        <v/>
      </c>
      <c r="AF223" s="23">
        <f t="shared" si="4"/>
        <v>1</v>
      </c>
      <c r="AG223" s="23" t="str">
        <f t="shared" si="6"/>
        <v/>
      </c>
      <c r="AH223" s="9"/>
      <c r="AI223" s="9"/>
    </row>
    <row r="224" ht="15.75" customHeight="1">
      <c r="B224" s="9"/>
      <c r="C224" s="9"/>
      <c r="D224" s="9"/>
      <c r="E224" s="5" t="s">
        <v>328</v>
      </c>
      <c r="F224" s="6">
        <v>84000.0</v>
      </c>
      <c r="G224" s="6">
        <v>54675.0</v>
      </c>
      <c r="H224" s="5" t="s">
        <v>20</v>
      </c>
      <c r="I224" s="5" t="s">
        <v>21</v>
      </c>
      <c r="J224" s="5">
        <v>3.73435E8</v>
      </c>
      <c r="K224" s="5">
        <v>9788992.0</v>
      </c>
      <c r="L224" s="5" t="s">
        <v>145</v>
      </c>
      <c r="M224" s="35">
        <v>46131.833333333336</v>
      </c>
      <c r="N224" s="5" t="b">
        <v>1</v>
      </c>
      <c r="O224" s="19"/>
      <c r="P224" s="7"/>
      <c r="Q224" s="9"/>
      <c r="R224" s="9"/>
      <c r="S224" s="9"/>
      <c r="T224" s="9"/>
      <c r="U224" s="9"/>
      <c r="V224" s="9"/>
      <c r="W224" s="9"/>
      <c r="X224" s="23"/>
      <c r="Y224" s="23"/>
      <c r="Z224" s="23"/>
      <c r="AA224" s="23"/>
      <c r="AB224" s="9"/>
      <c r="AC224" s="9" t="str">
        <f>IFERROR(__xludf.DUMMYFUNCTION("""COMPUTED_VALUE"""),"Jirisan Explorer")</f>
        <v>Jirisan Explorer</v>
      </c>
      <c r="AD224" s="25"/>
      <c r="AE224" s="25" t="str">
        <f t="shared" si="5"/>
        <v/>
      </c>
      <c r="AF224" s="23">
        <f t="shared" si="4"/>
        <v>1</v>
      </c>
      <c r="AG224" s="23">
        <f t="shared" si="6"/>
        <v>1</v>
      </c>
      <c r="AH224" s="9"/>
      <c r="AI224" s="9"/>
    </row>
    <row r="225" ht="15.75" customHeight="1">
      <c r="B225" s="9"/>
      <c r="C225" s="9"/>
      <c r="D225" s="9"/>
      <c r="E225" s="5" t="s">
        <v>329</v>
      </c>
      <c r="F225" s="6">
        <v>80000.0</v>
      </c>
      <c r="G225" s="6">
        <v>54645.0</v>
      </c>
      <c r="H225" s="5" t="s">
        <v>26</v>
      </c>
      <c r="I225" s="5" t="s">
        <v>21</v>
      </c>
      <c r="J225" s="5">
        <v>3.73729E8</v>
      </c>
      <c r="K225" s="5">
        <v>9800099.0</v>
      </c>
      <c r="L225" s="17"/>
      <c r="M225" s="18"/>
      <c r="N225" s="5" t="b">
        <v>0</v>
      </c>
      <c r="O225" s="19"/>
      <c r="P225" s="7"/>
      <c r="Q225" s="9"/>
      <c r="R225" s="9"/>
      <c r="S225" s="9"/>
      <c r="T225" s="9"/>
      <c r="U225" s="9"/>
      <c r="V225" s="9"/>
      <c r="W225" s="9"/>
      <c r="X225" s="23"/>
      <c r="Y225" s="23"/>
      <c r="Z225" s="23"/>
      <c r="AA225" s="23"/>
      <c r="AB225" s="9"/>
      <c r="AC225" s="9" t="str">
        <f>IFERROR(__xludf.DUMMYFUNCTION("""COMPUTED_VALUE"""),"Kaede")</f>
        <v>Kaede</v>
      </c>
      <c r="AD225" s="25"/>
      <c r="AE225" s="25" t="str">
        <f t="shared" si="5"/>
        <v/>
      </c>
      <c r="AF225" s="23">
        <f t="shared" si="4"/>
        <v>1</v>
      </c>
      <c r="AG225" s="23">
        <f t="shared" si="6"/>
        <v>1</v>
      </c>
      <c r="AH225" s="9"/>
      <c r="AI225" s="9"/>
    </row>
    <row r="226" ht="15.75" customHeight="1">
      <c r="B226" s="9"/>
      <c r="C226" s="9"/>
      <c r="D226" s="9"/>
      <c r="E226" s="5" t="s">
        <v>330</v>
      </c>
      <c r="F226" s="6">
        <v>84000.0</v>
      </c>
      <c r="G226" s="6">
        <v>54675.0</v>
      </c>
      <c r="H226" s="5" t="s">
        <v>20</v>
      </c>
      <c r="I226" s="5" t="s">
        <v>21</v>
      </c>
      <c r="J226" s="5">
        <v>3.71639E8</v>
      </c>
      <c r="K226" s="5">
        <v>9795543.0</v>
      </c>
      <c r="L226" s="5" t="s">
        <v>95</v>
      </c>
      <c r="M226" s="35">
        <v>46138.958333333336</v>
      </c>
      <c r="N226" s="5" t="b">
        <v>1</v>
      </c>
      <c r="O226" s="19"/>
      <c r="P226" s="7"/>
      <c r="Q226" s="9"/>
      <c r="R226" s="9"/>
      <c r="S226" s="9"/>
      <c r="T226" s="9"/>
      <c r="U226" s="9"/>
      <c r="V226" s="9"/>
      <c r="W226" s="9"/>
      <c r="X226" s="23"/>
      <c r="Y226" s="23"/>
      <c r="Z226" s="23"/>
      <c r="AA226" s="23"/>
      <c r="AB226" s="9"/>
      <c r="AC226" s="9" t="str">
        <f>IFERROR(__xludf.DUMMYFUNCTION("""COMPUTED_VALUE"""),"Kedarnath")</f>
        <v>Kedarnath</v>
      </c>
      <c r="AD226" s="25"/>
      <c r="AE226" s="25" t="str">
        <f t="shared" si="5"/>
        <v/>
      </c>
      <c r="AF226" s="23">
        <f t="shared" si="4"/>
        <v>1</v>
      </c>
      <c r="AG226" s="23">
        <f t="shared" si="6"/>
        <v>1</v>
      </c>
      <c r="AH226" s="9"/>
      <c r="AI226" s="9"/>
    </row>
    <row r="227" ht="15.75" customHeight="1">
      <c r="B227" s="9"/>
      <c r="C227" s="9"/>
      <c r="D227" s="9"/>
      <c r="E227" s="5" t="s">
        <v>331</v>
      </c>
      <c r="F227" s="6">
        <v>79527.0</v>
      </c>
      <c r="G227" s="6">
        <v>49996.0</v>
      </c>
      <c r="H227" s="5" t="s">
        <v>26</v>
      </c>
      <c r="I227" s="5" t="s">
        <v>21</v>
      </c>
      <c r="J227" s="5">
        <v>3.52002853E8</v>
      </c>
      <c r="K227" s="5">
        <v>9131539.0</v>
      </c>
      <c r="L227" s="5" t="s">
        <v>160</v>
      </c>
      <c r="M227" s="35">
        <v>46132.333333333336</v>
      </c>
      <c r="N227" s="5" t="b">
        <v>0</v>
      </c>
      <c r="O227" s="19"/>
      <c r="P227" s="7"/>
      <c r="Q227" s="9"/>
      <c r="R227" s="9"/>
      <c r="S227" s="9"/>
      <c r="T227" s="9"/>
      <c r="U227" s="9"/>
      <c r="V227" s="9"/>
      <c r="W227" s="9"/>
      <c r="X227" s="23"/>
      <c r="Y227" s="23"/>
      <c r="Z227" s="23"/>
      <c r="AA227" s="23"/>
      <c r="AB227" s="9"/>
      <c r="AC227" s="9" t="str">
        <f>IFERROR(__xludf.DUMMYFUNCTION("""COMPUTED_VALUE"""),"Kefalonia Gas")</f>
        <v>Kefalonia Gas</v>
      </c>
      <c r="AD227" s="25"/>
      <c r="AE227" s="25" t="str">
        <f t="shared" si="5"/>
        <v/>
      </c>
      <c r="AF227" s="23">
        <f t="shared" si="4"/>
        <v>1</v>
      </c>
      <c r="AG227" s="23" t="str">
        <f t="shared" si="6"/>
        <v/>
      </c>
      <c r="AH227" s="9"/>
      <c r="AI227" s="9"/>
    </row>
    <row r="228" ht="15.75" customHeight="1">
      <c r="B228" s="9"/>
      <c r="C228" s="9"/>
      <c r="D228" s="9"/>
      <c r="E228" s="5" t="s">
        <v>332</v>
      </c>
      <c r="F228" s="6">
        <v>84000.0</v>
      </c>
      <c r="G228" s="6">
        <v>54304.0</v>
      </c>
      <c r="H228" s="5" t="s">
        <v>66</v>
      </c>
      <c r="I228" s="5" t="s">
        <v>21</v>
      </c>
      <c r="J228" s="5">
        <v>5.38007631E8</v>
      </c>
      <c r="K228" s="5">
        <v>9795919.0</v>
      </c>
      <c r="L228" s="5" t="s">
        <v>67</v>
      </c>
      <c r="M228" s="35">
        <v>46144.166666666664</v>
      </c>
      <c r="N228" s="5" t="b">
        <v>1</v>
      </c>
      <c r="O228" s="19"/>
      <c r="P228" s="7"/>
      <c r="Q228" s="9"/>
      <c r="R228" s="9"/>
      <c r="S228" s="9"/>
      <c r="T228" s="9"/>
      <c r="U228" s="9"/>
      <c r="V228" s="9"/>
      <c r="W228" s="9"/>
      <c r="X228" s="23"/>
      <c r="Y228" s="23"/>
      <c r="Z228" s="23"/>
      <c r="AA228" s="23"/>
      <c r="AB228" s="9"/>
      <c r="AC228" s="9" t="str">
        <f>IFERROR(__xludf.DUMMYFUNCTION("""COMPUTED_VALUE"""),"Kodaijisan")</f>
        <v>Kodaijisan</v>
      </c>
      <c r="AD228" s="25"/>
      <c r="AE228" s="25" t="str">
        <f t="shared" si="5"/>
        <v/>
      </c>
      <c r="AF228" s="23">
        <f t="shared" si="4"/>
        <v>1</v>
      </c>
      <c r="AG228" s="23">
        <f t="shared" si="6"/>
        <v>1</v>
      </c>
      <c r="AH228" s="9"/>
      <c r="AI228" s="9"/>
    </row>
    <row r="229" ht="15.75" customHeight="1">
      <c r="B229" s="9"/>
      <c r="C229" s="9"/>
      <c r="D229" s="9"/>
      <c r="E229" s="5" t="s">
        <v>333</v>
      </c>
      <c r="F229" s="6">
        <v>82000.0</v>
      </c>
      <c r="G229" s="6">
        <v>54149.0</v>
      </c>
      <c r="H229" s="5" t="s">
        <v>20</v>
      </c>
      <c r="I229" s="5" t="s">
        <v>21</v>
      </c>
      <c r="J229" s="5">
        <v>3.56144E8</v>
      </c>
      <c r="K229" s="5">
        <v>9791224.0</v>
      </c>
      <c r="L229" s="5" t="s">
        <v>271</v>
      </c>
      <c r="M229" s="35">
        <v>46133.270833333336</v>
      </c>
      <c r="N229" s="5" t="b">
        <v>1</v>
      </c>
      <c r="O229" s="19"/>
      <c r="P229" s="7"/>
      <c r="Q229" s="9"/>
      <c r="R229" s="9"/>
      <c r="S229" s="9"/>
      <c r="T229" s="9"/>
      <c r="U229" s="9"/>
      <c r="V229" s="9"/>
      <c r="W229" s="9"/>
      <c r="X229" s="23"/>
      <c r="Y229" s="23"/>
      <c r="Z229" s="23"/>
      <c r="AA229" s="23"/>
      <c r="AB229" s="9"/>
      <c r="AC229" s="9" t="str">
        <f>IFERROR(__xludf.DUMMYFUNCTION("""COMPUTED_VALUE"""),"Kohaku")</f>
        <v>Kohaku</v>
      </c>
      <c r="AD229" s="25"/>
      <c r="AE229" s="25" t="str">
        <f t="shared" si="5"/>
        <v/>
      </c>
      <c r="AF229" s="23">
        <f t="shared" si="4"/>
        <v>1</v>
      </c>
      <c r="AG229" s="23">
        <f t="shared" si="6"/>
        <v>1</v>
      </c>
      <c r="AH229" s="9"/>
      <c r="AI229" s="9"/>
    </row>
    <row r="230" ht="15.75" customHeight="1">
      <c r="B230" s="9"/>
      <c r="C230" s="9"/>
      <c r="D230" s="9"/>
      <c r="E230" s="5" t="s">
        <v>334</v>
      </c>
      <c r="F230" s="6">
        <v>82000.0</v>
      </c>
      <c r="G230" s="6">
        <v>54901.0</v>
      </c>
      <c r="H230" s="5" t="s">
        <v>20</v>
      </c>
      <c r="I230" s="5" t="s">
        <v>21</v>
      </c>
      <c r="J230" s="5">
        <v>3.5200431E8</v>
      </c>
      <c r="K230" s="5">
        <v>9604392.0</v>
      </c>
      <c r="L230" s="5" t="s">
        <v>169</v>
      </c>
      <c r="M230" s="35">
        <v>46145.375</v>
      </c>
      <c r="N230" s="5" t="b">
        <v>1</v>
      </c>
      <c r="O230" s="19"/>
      <c r="P230" s="7"/>
      <c r="Q230" s="9"/>
      <c r="R230" s="9"/>
      <c r="S230" s="9"/>
      <c r="T230" s="9"/>
      <c r="U230" s="9"/>
      <c r="V230" s="9"/>
      <c r="W230" s="9"/>
      <c r="X230" s="23"/>
      <c r="Y230" s="23"/>
      <c r="Z230" s="23"/>
      <c r="AA230" s="23"/>
      <c r="AB230" s="9"/>
      <c r="AC230" s="9" t="str">
        <f>IFERROR(__xludf.DUMMYFUNCTION("""COMPUTED_VALUE"""),"Lantana Planet")</f>
        <v>Lantana Planet</v>
      </c>
      <c r="AD230" s="25"/>
      <c r="AE230" s="25" t="str">
        <f t="shared" si="5"/>
        <v/>
      </c>
      <c r="AF230" s="23">
        <f t="shared" si="4"/>
        <v>1</v>
      </c>
      <c r="AG230" s="23">
        <f t="shared" si="6"/>
        <v>1</v>
      </c>
      <c r="AH230" s="9"/>
      <c r="AI230" s="9"/>
    </row>
    <row r="231" ht="15.75" customHeight="1">
      <c r="B231" s="9"/>
      <c r="C231" s="9"/>
      <c r="D231" s="9"/>
      <c r="E231" s="5" t="s">
        <v>335</v>
      </c>
      <c r="F231" s="6">
        <v>84109.0</v>
      </c>
      <c r="G231" s="6">
        <v>64220.0</v>
      </c>
      <c r="H231" s="5" t="s">
        <v>26</v>
      </c>
      <c r="I231" s="5" t="s">
        <v>21</v>
      </c>
      <c r="J231" s="5">
        <v>3.73502E8</v>
      </c>
      <c r="K231" s="5">
        <v>9002908.0</v>
      </c>
      <c r="L231" s="5" t="s">
        <v>336</v>
      </c>
      <c r="M231" s="35">
        <v>46132.875</v>
      </c>
      <c r="N231" s="5" t="b">
        <v>0</v>
      </c>
      <c r="O231" s="19"/>
      <c r="P231" s="7"/>
      <c r="Q231" s="9"/>
      <c r="R231" s="9"/>
      <c r="S231" s="9"/>
      <c r="T231" s="9"/>
      <c r="U231" s="9"/>
      <c r="V231" s="9"/>
      <c r="W231" s="9"/>
      <c r="X231" s="23"/>
      <c r="Y231" s="23"/>
      <c r="Z231" s="23"/>
      <c r="AA231" s="23"/>
      <c r="AB231" s="9"/>
      <c r="AC231" s="9" t="str">
        <f>IFERROR(__xludf.DUMMYFUNCTION("""COMPUTED_VALUE"""),"Laurel Prime")</f>
        <v>Laurel Prime</v>
      </c>
      <c r="AD231" s="25"/>
      <c r="AE231" s="25" t="str">
        <f t="shared" si="5"/>
        <v/>
      </c>
      <c r="AF231" s="23">
        <f t="shared" si="4"/>
        <v>1</v>
      </c>
      <c r="AG231" s="23" t="str">
        <f t="shared" si="6"/>
        <v/>
      </c>
      <c r="AH231" s="9"/>
      <c r="AI231" s="9"/>
    </row>
    <row r="232" ht="15.75" customHeight="1">
      <c r="B232" s="9"/>
      <c r="C232" s="9"/>
      <c r="D232" s="9"/>
      <c r="E232" s="5" t="s">
        <v>337</v>
      </c>
      <c r="F232" s="6">
        <v>83000.0</v>
      </c>
      <c r="G232" s="6">
        <v>54994.0</v>
      </c>
      <c r="H232" s="5" t="s">
        <v>26</v>
      </c>
      <c r="I232" s="5" t="s">
        <v>21</v>
      </c>
      <c r="J232" s="5">
        <v>3.73045E8</v>
      </c>
      <c r="K232" s="5">
        <v>9765550.0</v>
      </c>
      <c r="L232" s="5" t="s">
        <v>101</v>
      </c>
      <c r="M232" s="35">
        <v>46137.125</v>
      </c>
      <c r="N232" s="5" t="b">
        <v>0</v>
      </c>
      <c r="O232" s="19"/>
      <c r="P232" s="7"/>
      <c r="Q232" s="9"/>
      <c r="R232" s="9"/>
      <c r="S232" s="9"/>
      <c r="T232" s="9"/>
      <c r="U232" s="9"/>
      <c r="V232" s="9"/>
      <c r="W232" s="9"/>
      <c r="X232" s="23"/>
      <c r="Y232" s="23"/>
      <c r="Z232" s="23"/>
      <c r="AA232" s="23"/>
      <c r="AB232" s="9"/>
      <c r="AC232" s="9" t="str">
        <f>IFERROR(__xludf.DUMMYFUNCTION("""COMPUTED_VALUE"""),"Legend Prestige")</f>
        <v>Legend Prestige</v>
      </c>
      <c r="AD232" s="25"/>
      <c r="AE232" s="25" t="str">
        <f t="shared" si="5"/>
        <v/>
      </c>
      <c r="AF232" s="23">
        <f t="shared" si="4"/>
        <v>1</v>
      </c>
      <c r="AG232" s="23">
        <f t="shared" si="6"/>
        <v>1</v>
      </c>
      <c r="AH232" s="9"/>
      <c r="AI232" s="9"/>
    </row>
    <row r="233" ht="15.75" customHeight="1">
      <c r="B233" s="9"/>
      <c r="C233" s="9"/>
      <c r="D233" s="9"/>
      <c r="E233" s="5" t="s">
        <v>338</v>
      </c>
      <c r="F233" s="6">
        <v>86000.0</v>
      </c>
      <c r="G233" s="6">
        <v>51111.0</v>
      </c>
      <c r="H233" s="5" t="s">
        <v>26</v>
      </c>
      <c r="I233" s="5" t="s">
        <v>21</v>
      </c>
      <c r="J233" s="5">
        <v>3.5200307E8</v>
      </c>
      <c r="K233" s="5">
        <v>9944986.0</v>
      </c>
      <c r="L233" s="5" t="s">
        <v>339</v>
      </c>
      <c r="M233" s="35">
        <v>46133.5</v>
      </c>
      <c r="N233" s="5" t="b">
        <v>0</v>
      </c>
      <c r="O233" s="19"/>
      <c r="P233" s="7"/>
      <c r="Q233" s="9"/>
      <c r="R233" s="9"/>
      <c r="S233" s="9"/>
      <c r="T233" s="9"/>
      <c r="U233" s="9"/>
      <c r="V233" s="9"/>
      <c r="W233" s="9"/>
      <c r="X233" s="23"/>
      <c r="Y233" s="23"/>
      <c r="Z233" s="23"/>
      <c r="AA233" s="23"/>
      <c r="AB233" s="9"/>
      <c r="AC233" s="9" t="str">
        <f>IFERROR(__xludf.DUMMYFUNCTION("""COMPUTED_VALUE"""),"Legend Prosperity")</f>
        <v>Legend Prosperity</v>
      </c>
      <c r="AD233" s="25"/>
      <c r="AE233" s="25" t="str">
        <f t="shared" si="5"/>
        <v/>
      </c>
      <c r="AF233" s="23">
        <f t="shared" si="4"/>
        <v>1</v>
      </c>
      <c r="AG233" s="23">
        <f t="shared" si="6"/>
        <v>1</v>
      </c>
      <c r="AH233" s="9"/>
      <c r="AI233" s="9"/>
    </row>
    <row r="234" ht="15.75" customHeight="1">
      <c r="B234" s="9"/>
      <c r="C234" s="9"/>
      <c r="D234" s="9"/>
      <c r="E234" s="5" t="s">
        <v>340</v>
      </c>
      <c r="F234" s="6">
        <v>84000.0</v>
      </c>
      <c r="G234" s="6">
        <v>54002.0</v>
      </c>
      <c r="H234" s="5" t="s">
        <v>20</v>
      </c>
      <c r="I234" s="5" t="s">
        <v>21</v>
      </c>
      <c r="J234" s="5">
        <v>3.73263E8</v>
      </c>
      <c r="K234" s="5">
        <v>9902160.0</v>
      </c>
      <c r="L234" s="5" t="s">
        <v>307</v>
      </c>
      <c r="M234" s="35">
        <v>46136.958333333336</v>
      </c>
      <c r="N234" s="5" t="b">
        <v>1</v>
      </c>
      <c r="O234" s="19"/>
      <c r="P234" s="7"/>
      <c r="Q234" s="9"/>
      <c r="R234" s="9"/>
      <c r="S234" s="9"/>
      <c r="T234" s="9"/>
      <c r="U234" s="9"/>
      <c r="V234" s="9"/>
      <c r="W234" s="9"/>
      <c r="X234" s="23"/>
      <c r="Y234" s="23"/>
      <c r="Z234" s="23"/>
      <c r="AA234" s="23"/>
      <c r="AB234" s="9"/>
      <c r="AC234" s="9" t="str">
        <f>IFERROR(__xludf.DUMMYFUNCTION("""COMPUTED_VALUE"""),"Legislator")</f>
        <v>Legislator</v>
      </c>
      <c r="AD234" s="25"/>
      <c r="AE234" s="25" t="str">
        <f t="shared" si="5"/>
        <v/>
      </c>
      <c r="AF234" s="23">
        <f t="shared" si="4"/>
        <v>1</v>
      </c>
      <c r="AG234" s="23">
        <f t="shared" si="6"/>
        <v>1</v>
      </c>
      <c r="AH234" s="9"/>
      <c r="AI234" s="9"/>
    </row>
    <row r="235" ht="15.75" customHeight="1">
      <c r="B235" s="9"/>
      <c r="C235" s="9"/>
      <c r="D235" s="9"/>
      <c r="E235" s="5" t="s">
        <v>341</v>
      </c>
      <c r="F235" s="6">
        <v>84000.0</v>
      </c>
      <c r="G235" s="6">
        <v>54238.0</v>
      </c>
      <c r="H235" s="5" t="s">
        <v>26</v>
      </c>
      <c r="I235" s="5" t="s">
        <v>21</v>
      </c>
      <c r="J235" s="5">
        <v>3.7172E8</v>
      </c>
      <c r="K235" s="5">
        <v>9879703.0</v>
      </c>
      <c r="L235" s="5" t="s">
        <v>342</v>
      </c>
      <c r="M235" s="35">
        <v>46137.8125</v>
      </c>
      <c r="N235" s="5" t="b">
        <v>0</v>
      </c>
      <c r="O235" s="19"/>
      <c r="P235" s="7"/>
      <c r="Q235" s="9"/>
      <c r="R235" s="9"/>
      <c r="S235" s="9"/>
      <c r="T235" s="9"/>
      <c r="U235" s="9"/>
      <c r="V235" s="9"/>
      <c r="W235" s="9"/>
      <c r="X235" s="23"/>
      <c r="Y235" s="23"/>
      <c r="Z235" s="23"/>
      <c r="AA235" s="23"/>
      <c r="AB235" s="9"/>
      <c r="AC235" s="9" t="str">
        <f>IFERROR(__xludf.DUMMYFUNCTION("""COMPUTED_VALUE"""),"Leo Green")</f>
        <v>Leo Green</v>
      </c>
      <c r="AD235" s="25"/>
      <c r="AE235" s="25" t="str">
        <f t="shared" si="5"/>
        <v/>
      </c>
      <c r="AF235" s="23">
        <f t="shared" si="4"/>
        <v>1</v>
      </c>
      <c r="AG235" s="23">
        <f t="shared" si="6"/>
        <v>1</v>
      </c>
      <c r="AH235" s="9"/>
      <c r="AI235" s="9"/>
    </row>
    <row r="236" ht="15.75" customHeight="1">
      <c r="B236" s="9"/>
      <c r="C236" s="9"/>
      <c r="D236" s="9"/>
      <c r="E236" s="5" t="s">
        <v>343</v>
      </c>
      <c r="F236" s="6">
        <v>76893.0</v>
      </c>
      <c r="G236" s="6">
        <v>49880.0</v>
      </c>
      <c r="H236" s="5" t="s">
        <v>26</v>
      </c>
      <c r="I236" s="5" t="s">
        <v>21</v>
      </c>
      <c r="J236" s="5">
        <v>3.07086E8</v>
      </c>
      <c r="K236" s="5">
        <v>9005065.0</v>
      </c>
      <c r="L236" s="17"/>
      <c r="M236" s="53"/>
      <c r="N236" s="5" t="b">
        <v>0</v>
      </c>
      <c r="O236" s="19"/>
      <c r="P236" s="7"/>
      <c r="Q236" s="9"/>
      <c r="R236" s="9"/>
      <c r="S236" s="9"/>
      <c r="T236" s="9"/>
      <c r="U236" s="9"/>
      <c r="V236" s="9"/>
      <c r="W236" s="9"/>
      <c r="X236" s="23"/>
      <c r="Y236" s="23"/>
      <c r="Z236" s="23"/>
      <c r="AA236" s="23"/>
      <c r="AB236" s="9"/>
      <c r="AC236" s="9" t="str">
        <f>IFERROR(__xludf.DUMMYFUNCTION("""COMPUTED_VALUE"""),"Leto Providence")</f>
        <v>Leto Providence</v>
      </c>
      <c r="AD236" s="25"/>
      <c r="AE236" s="25" t="str">
        <f t="shared" si="5"/>
        <v/>
      </c>
      <c r="AF236" s="23">
        <f t="shared" si="4"/>
        <v>1</v>
      </c>
      <c r="AG236" s="23" t="str">
        <f t="shared" si="6"/>
        <v/>
      </c>
      <c r="AH236" s="9"/>
      <c r="AI236" s="9"/>
    </row>
    <row r="237" ht="15.75" customHeight="1">
      <c r="B237" s="9"/>
      <c r="C237" s="9"/>
      <c r="D237" s="9"/>
      <c r="E237" s="5" t="s">
        <v>344</v>
      </c>
      <c r="F237" s="6">
        <v>80793.0</v>
      </c>
      <c r="G237" s="6">
        <v>58811.0</v>
      </c>
      <c r="H237" s="5" t="s">
        <v>26</v>
      </c>
      <c r="I237" s="5" t="s">
        <v>21</v>
      </c>
      <c r="J237" s="5">
        <v>4.19002009E8</v>
      </c>
      <c r="K237" s="5">
        <v>9415698.0</v>
      </c>
      <c r="L237" s="5" t="s">
        <v>345</v>
      </c>
      <c r="M237" s="35">
        <v>46134.493055555555</v>
      </c>
      <c r="N237" s="5" t="b">
        <v>0</v>
      </c>
      <c r="O237" s="19"/>
      <c r="P237" s="7"/>
      <c r="Q237" s="9"/>
      <c r="R237" s="9"/>
      <c r="S237" s="9"/>
      <c r="T237" s="9"/>
      <c r="U237" s="9"/>
      <c r="V237" s="9"/>
      <c r="W237" s="9"/>
      <c r="X237" s="23"/>
      <c r="Y237" s="23"/>
      <c r="Z237" s="23"/>
      <c r="AA237" s="23"/>
      <c r="AB237" s="9"/>
      <c r="AC237" s="9" t="str">
        <f>IFERROR(__xludf.DUMMYFUNCTION("""COMPUTED_VALUE"""),"Liberty Pathfinder")</f>
        <v>Liberty Pathfinder</v>
      </c>
      <c r="AD237" s="25"/>
      <c r="AE237" s="25" t="str">
        <f t="shared" si="5"/>
        <v/>
      </c>
      <c r="AF237" s="23">
        <f t="shared" si="4"/>
        <v>1</v>
      </c>
      <c r="AG237" s="23" t="str">
        <f t="shared" si="6"/>
        <v/>
      </c>
      <c r="AH237" s="9"/>
      <c r="AI237" s="9"/>
    </row>
    <row r="238" ht="15.75" customHeight="1">
      <c r="B238" s="9"/>
      <c r="C238" s="9"/>
      <c r="D238" s="9"/>
      <c r="E238" s="5" t="s">
        <v>346</v>
      </c>
      <c r="F238" s="6">
        <v>80781.0</v>
      </c>
      <c r="G238" s="6">
        <v>58811.0</v>
      </c>
      <c r="H238" s="5" t="s">
        <v>26</v>
      </c>
      <c r="I238" s="5" t="s">
        <v>21</v>
      </c>
      <c r="J238" s="5">
        <v>4.19001979E8</v>
      </c>
      <c r="K238" s="5">
        <v>9415686.0</v>
      </c>
      <c r="L238" s="5" t="s">
        <v>347</v>
      </c>
      <c r="M238" s="35">
        <v>46132.964583333334</v>
      </c>
      <c r="N238" s="5" t="b">
        <v>0</v>
      </c>
      <c r="O238" s="19"/>
      <c r="P238" s="7"/>
      <c r="Q238" s="9"/>
      <c r="R238" s="9"/>
      <c r="S238" s="9"/>
      <c r="T238" s="9"/>
      <c r="U238" s="9"/>
      <c r="V238" s="9"/>
      <c r="W238" s="9"/>
      <c r="X238" s="23"/>
      <c r="Y238" s="23"/>
      <c r="Z238" s="23"/>
      <c r="AA238" s="23"/>
      <c r="AB238" s="9"/>
      <c r="AC238" s="9" t="str">
        <f>IFERROR(__xludf.DUMMYFUNCTION("""COMPUTED_VALUE"""),"Lilac Promenade")</f>
        <v>Lilac Promenade</v>
      </c>
      <c r="AD238" s="25"/>
      <c r="AE238" s="25" t="str">
        <f t="shared" si="5"/>
        <v/>
      </c>
      <c r="AF238" s="23">
        <f t="shared" si="4"/>
        <v>1</v>
      </c>
      <c r="AG238" s="23" t="str">
        <f t="shared" si="6"/>
        <v/>
      </c>
      <c r="AH238" s="9"/>
      <c r="AI238" s="9"/>
    </row>
    <row r="239" ht="15.75" customHeight="1">
      <c r="B239" s="9"/>
      <c r="C239" s="9"/>
      <c r="D239" s="9"/>
      <c r="E239" s="5" t="s">
        <v>348</v>
      </c>
      <c r="F239" s="6">
        <v>82000.0</v>
      </c>
      <c r="G239" s="6">
        <v>58690.0</v>
      </c>
      <c r="H239" s="5" t="s">
        <v>26</v>
      </c>
      <c r="I239" s="5" t="s">
        <v>21</v>
      </c>
      <c r="J239" s="5">
        <v>4.19001701E8</v>
      </c>
      <c r="K239" s="5">
        <v>9351919.0</v>
      </c>
      <c r="L239" s="17"/>
      <c r="M239" s="18"/>
      <c r="N239" s="5" t="b">
        <v>0</v>
      </c>
      <c r="O239" s="19"/>
      <c r="P239" s="7"/>
      <c r="Q239" s="9"/>
      <c r="R239" s="9"/>
      <c r="S239" s="9"/>
      <c r="T239" s="9"/>
      <c r="U239" s="9"/>
      <c r="V239" s="9"/>
      <c r="W239" s="9"/>
      <c r="X239" s="23"/>
      <c r="Y239" s="23"/>
      <c r="Z239" s="23"/>
      <c r="AA239" s="23"/>
      <c r="AB239" s="9"/>
      <c r="AC239" s="9" t="str">
        <f>IFERROR(__xludf.DUMMYFUNCTION("""COMPUTED_VALUE"""),"Lily Promenade")</f>
        <v>Lily Promenade</v>
      </c>
      <c r="AD239" s="25"/>
      <c r="AE239" s="25" t="str">
        <f t="shared" si="5"/>
        <v/>
      </c>
      <c r="AF239" s="23">
        <f t="shared" si="4"/>
        <v>1</v>
      </c>
      <c r="AG239" s="23" t="str">
        <f t="shared" si="6"/>
        <v/>
      </c>
      <c r="AH239" s="9"/>
      <c r="AI239" s="9"/>
    </row>
    <row r="240" ht="15.75" customHeight="1">
      <c r="B240" s="9"/>
      <c r="C240" s="9"/>
      <c r="D240" s="9"/>
      <c r="E240" s="5" t="s">
        <v>349</v>
      </c>
      <c r="F240" s="6">
        <v>80783.0</v>
      </c>
      <c r="G240" s="6">
        <v>58811.0</v>
      </c>
      <c r="H240" s="5" t="s">
        <v>26</v>
      </c>
      <c r="I240" s="5" t="s">
        <v>21</v>
      </c>
      <c r="J240" s="5">
        <v>4.19002026E8</v>
      </c>
      <c r="K240" s="5">
        <v>9415703.0</v>
      </c>
      <c r="L240" s="17"/>
      <c r="M240" s="18"/>
      <c r="N240" s="5" t="b">
        <v>0</v>
      </c>
      <c r="O240" s="19"/>
      <c r="P240" s="7"/>
      <c r="Q240" s="9"/>
      <c r="R240" s="9"/>
      <c r="S240" s="9"/>
      <c r="T240" s="9"/>
      <c r="U240" s="9"/>
      <c r="V240" s="9"/>
      <c r="W240" s="9"/>
      <c r="X240" s="23"/>
      <c r="Y240" s="23"/>
      <c r="Z240" s="23"/>
      <c r="AA240" s="23"/>
      <c r="AB240" s="9"/>
      <c r="AC240" s="9" t="str">
        <f>IFERROR(__xludf.DUMMYFUNCTION("""COMPUTED_VALUE"""),"Logan Explorer")</f>
        <v>Logan Explorer</v>
      </c>
      <c r="AD240" s="25"/>
      <c r="AE240" s="25" t="str">
        <f t="shared" si="5"/>
        <v/>
      </c>
      <c r="AF240" s="23">
        <f t="shared" si="4"/>
        <v>1</v>
      </c>
      <c r="AG240" s="23" t="str">
        <f t="shared" si="6"/>
        <v/>
      </c>
      <c r="AH240" s="9"/>
      <c r="AI240" s="9"/>
    </row>
    <row r="241" ht="15.75" customHeight="1">
      <c r="B241" s="9"/>
      <c r="C241" s="9"/>
      <c r="D241" s="9"/>
      <c r="E241" s="5" t="s">
        <v>350</v>
      </c>
      <c r="F241" s="6">
        <v>82383.0</v>
      </c>
      <c r="G241" s="6">
        <v>54368.0</v>
      </c>
      <c r="H241" s="5" t="s">
        <v>26</v>
      </c>
      <c r="I241" s="5" t="s">
        <v>21</v>
      </c>
      <c r="J241" s="5">
        <v>5.38011959E8</v>
      </c>
      <c r="K241" s="5">
        <v>9353242.0</v>
      </c>
      <c r="L241" s="17"/>
      <c r="M241" s="53"/>
      <c r="N241" s="5" t="b">
        <v>0</v>
      </c>
      <c r="O241" s="19"/>
      <c r="P241" s="7"/>
      <c r="Q241" s="9"/>
      <c r="R241" s="9"/>
      <c r="S241" s="9"/>
      <c r="T241" s="9"/>
      <c r="U241" s="9"/>
      <c r="V241" s="9"/>
      <c r="W241" s="9"/>
      <c r="X241" s="23"/>
      <c r="Y241" s="23"/>
      <c r="Z241" s="23"/>
      <c r="AA241" s="23"/>
      <c r="AB241" s="9"/>
      <c r="AC241" s="9" t="str">
        <f>IFERROR(__xludf.DUMMYFUNCTION("""COMPUTED_VALUE"""),"Lucent Pathfinder")</f>
        <v>Lucent Pathfinder</v>
      </c>
      <c r="AD241" s="25"/>
      <c r="AE241" s="25" t="str">
        <f t="shared" si="5"/>
        <v/>
      </c>
      <c r="AF241" s="23">
        <f t="shared" si="4"/>
        <v>1</v>
      </c>
      <c r="AG241" s="23">
        <f t="shared" si="6"/>
        <v>1</v>
      </c>
      <c r="AH241" s="9"/>
      <c r="AI241" s="9"/>
    </row>
    <row r="242" ht="15.75" customHeight="1">
      <c r="B242" s="9"/>
      <c r="C242" s="9"/>
      <c r="D242" s="9"/>
      <c r="E242" s="5" t="s">
        <v>351</v>
      </c>
      <c r="F242" s="6">
        <v>86000.0</v>
      </c>
      <c r="G242" s="6">
        <v>51269.0</v>
      </c>
      <c r="H242" s="5" t="s">
        <v>20</v>
      </c>
      <c r="I242" s="5" t="s">
        <v>21</v>
      </c>
      <c r="J242" s="5">
        <v>6.36022275E8</v>
      </c>
      <c r="K242" s="5">
        <v>9941219.0</v>
      </c>
      <c r="L242" s="5" t="s">
        <v>64</v>
      </c>
      <c r="M242" s="35">
        <v>46136.5</v>
      </c>
      <c r="N242" s="5" t="b">
        <v>1</v>
      </c>
      <c r="O242" s="19"/>
      <c r="P242" s="7"/>
      <c r="Q242" s="9"/>
      <c r="R242" s="9"/>
      <c r="S242" s="9"/>
      <c r="T242" s="9"/>
      <c r="U242" s="9"/>
      <c r="V242" s="9"/>
      <c r="W242" s="9"/>
      <c r="X242" s="23"/>
      <c r="Y242" s="23"/>
      <c r="Z242" s="23"/>
      <c r="AA242" s="23"/>
      <c r="AB242" s="9"/>
      <c r="AC242" s="9" t="str">
        <f>IFERROR(__xludf.DUMMYFUNCTION("""COMPUTED_VALUE"""),"Lucina Providence")</f>
        <v>Lucina Providence</v>
      </c>
      <c r="AD242" s="25"/>
      <c r="AE242" s="25" t="str">
        <f t="shared" si="5"/>
        <v/>
      </c>
      <c r="AF242" s="23">
        <f t="shared" si="4"/>
        <v>1</v>
      </c>
      <c r="AG242" s="23">
        <f t="shared" si="6"/>
        <v>1</v>
      </c>
      <c r="AH242" s="9"/>
      <c r="AI242" s="9"/>
    </row>
    <row r="243" ht="15.75" customHeight="1">
      <c r="B243" s="9"/>
      <c r="C243" s="9"/>
      <c r="D243" s="9"/>
      <c r="E243" s="5" t="s">
        <v>352</v>
      </c>
      <c r="F243" s="6">
        <v>93000.0</v>
      </c>
      <c r="G243" s="6">
        <v>60000.0</v>
      </c>
      <c r="H243" s="5" t="s">
        <v>20</v>
      </c>
      <c r="I243" s="5" t="s">
        <v>21</v>
      </c>
      <c r="J243" s="5">
        <v>5.632079E8</v>
      </c>
      <c r="K243" s="5">
        <v>9933523.0</v>
      </c>
      <c r="L243" s="5" t="s">
        <v>80</v>
      </c>
      <c r="M243" s="35">
        <v>46158.625</v>
      </c>
      <c r="N243" s="5" t="b">
        <v>1</v>
      </c>
      <c r="O243" s="19"/>
      <c r="P243" s="7"/>
      <c r="Q243" s="9"/>
      <c r="R243" s="9"/>
      <c r="S243" s="9"/>
      <c r="T243" s="9"/>
      <c r="U243" s="9"/>
      <c r="V243" s="9"/>
      <c r="W243" s="9"/>
      <c r="X243" s="23"/>
      <c r="Y243" s="23"/>
      <c r="Z243" s="23"/>
      <c r="AA243" s="23"/>
      <c r="AB243" s="9"/>
      <c r="AC243" s="9" t="str">
        <f>IFERROR(__xludf.DUMMYFUNCTION("""COMPUTED_VALUE"""),"Lucky Gas")</f>
        <v>Lucky Gas</v>
      </c>
      <c r="AD243" s="25"/>
      <c r="AE243" s="25" t="str">
        <f t="shared" si="5"/>
        <v/>
      </c>
      <c r="AF243" s="23">
        <f t="shared" si="4"/>
        <v>1</v>
      </c>
      <c r="AG243" s="23">
        <f t="shared" si="6"/>
        <v>1</v>
      </c>
      <c r="AH243" s="9"/>
      <c r="AI243" s="9"/>
    </row>
    <row r="244" ht="15.75" customHeight="1">
      <c r="B244" s="9"/>
      <c r="C244" s="9"/>
      <c r="D244" s="9"/>
      <c r="E244" s="5" t="s">
        <v>353</v>
      </c>
      <c r="F244" s="6">
        <v>86240.0</v>
      </c>
      <c r="G244" s="6">
        <v>62500.0</v>
      </c>
      <c r="H244" s="5" t="s">
        <v>72</v>
      </c>
      <c r="I244" s="5" t="s">
        <v>73</v>
      </c>
      <c r="J244" s="17"/>
      <c r="K244" s="5">
        <v>1099163.0</v>
      </c>
      <c r="L244" s="17"/>
      <c r="M244" s="53"/>
      <c r="N244" s="5" t="b">
        <v>0</v>
      </c>
      <c r="O244" s="19"/>
      <c r="P244" s="7"/>
      <c r="Q244" s="9"/>
      <c r="R244" s="9"/>
      <c r="S244" s="9"/>
      <c r="T244" s="9"/>
      <c r="U244" s="9"/>
      <c r="V244" s="9"/>
      <c r="W244" s="9"/>
      <c r="X244" s="23"/>
      <c r="Y244" s="23"/>
      <c r="Z244" s="23"/>
      <c r="AA244" s="23"/>
      <c r="AB244" s="9"/>
      <c r="AC244" s="9" t="str">
        <f>IFERROR(__xludf.DUMMYFUNCTION("""COMPUTED_VALUE"""),"Luna Pathfinder")</f>
        <v>Luna Pathfinder</v>
      </c>
      <c r="AD244" s="25"/>
      <c r="AE244" s="25" t="str">
        <f t="shared" si="5"/>
        <v/>
      </c>
      <c r="AF244" s="23">
        <f t="shared" si="4"/>
        <v>1</v>
      </c>
      <c r="AG244" s="23" t="str">
        <f t="shared" si="6"/>
        <v/>
      </c>
      <c r="AH244" s="9"/>
      <c r="AI244" s="9"/>
    </row>
    <row r="245" ht="15.75" customHeight="1">
      <c r="B245" s="9"/>
      <c r="C245" s="9"/>
      <c r="D245" s="9"/>
      <c r="E245" s="5" t="s">
        <v>353</v>
      </c>
      <c r="F245" s="6">
        <v>86240.0</v>
      </c>
      <c r="G245" s="6">
        <v>62500.0</v>
      </c>
      <c r="H245" s="5" t="s">
        <v>72</v>
      </c>
      <c r="I245" s="5" t="s">
        <v>73</v>
      </c>
      <c r="J245" s="17"/>
      <c r="K245" s="5">
        <v>1099175.0</v>
      </c>
      <c r="L245" s="17"/>
      <c r="M245" s="18"/>
      <c r="N245" s="5" t="b">
        <v>0</v>
      </c>
      <c r="O245" s="19"/>
      <c r="P245" s="7"/>
      <c r="Q245" s="9"/>
      <c r="R245" s="9"/>
      <c r="S245" s="9"/>
      <c r="T245" s="9"/>
      <c r="U245" s="9"/>
      <c r="V245" s="9"/>
      <c r="W245" s="9"/>
      <c r="X245" s="23"/>
      <c r="Y245" s="23"/>
      <c r="Z245" s="23"/>
      <c r="AA245" s="23"/>
      <c r="AB245" s="9"/>
      <c r="AC245" s="9" t="str">
        <f>IFERROR(__xludf.DUMMYFUNCTION("""COMPUTED_VALUE"""),"Lupinus Planet")</f>
        <v>Lupinus Planet</v>
      </c>
      <c r="AD245" s="25"/>
      <c r="AE245" s="25" t="str">
        <f t="shared" si="5"/>
        <v/>
      </c>
      <c r="AF245" s="23">
        <f t="shared" si="4"/>
        <v>1</v>
      </c>
      <c r="AG245" s="23" t="str">
        <f t="shared" si="6"/>
        <v/>
      </c>
      <c r="AH245" s="9"/>
      <c r="AI245" s="9"/>
    </row>
    <row r="246" ht="15.75" customHeight="1">
      <c r="B246" s="9"/>
      <c r="C246" s="9"/>
      <c r="D246" s="9"/>
      <c r="E246" s="5" t="s">
        <v>354</v>
      </c>
      <c r="F246" s="6">
        <v>90000.0</v>
      </c>
      <c r="G246" s="6">
        <v>60000.0</v>
      </c>
      <c r="H246" s="5" t="s">
        <v>20</v>
      </c>
      <c r="I246" s="5" t="s">
        <v>21</v>
      </c>
      <c r="J246" s="5">
        <v>5.631815E8</v>
      </c>
      <c r="K246" s="5">
        <v>9922768.0</v>
      </c>
      <c r="L246" s="5" t="s">
        <v>355</v>
      </c>
      <c r="M246" s="35">
        <v>46132.5</v>
      </c>
      <c r="N246" s="5" t="b">
        <v>1</v>
      </c>
      <c r="O246" s="19"/>
      <c r="P246" s="7"/>
      <c r="Q246" s="9"/>
      <c r="R246" s="9"/>
      <c r="S246" s="9"/>
      <c r="T246" s="9"/>
      <c r="U246" s="9"/>
      <c r="V246" s="9"/>
      <c r="W246" s="9"/>
      <c r="X246" s="23"/>
      <c r="Y246" s="23"/>
      <c r="Z246" s="23"/>
      <c r="AA246" s="23"/>
      <c r="AB246" s="9"/>
      <c r="AC246" s="9" t="str">
        <f>IFERROR(__xludf.DUMMYFUNCTION("""COMPUTED_VALUE"""),"Lycaste Peace")</f>
        <v>Lycaste Peace</v>
      </c>
      <c r="AD246" s="25"/>
      <c r="AE246" s="25" t="str">
        <f t="shared" si="5"/>
        <v/>
      </c>
      <c r="AF246" s="23">
        <f t="shared" si="4"/>
        <v>1</v>
      </c>
      <c r="AG246" s="23">
        <f t="shared" si="6"/>
        <v>1</v>
      </c>
      <c r="AH246" s="9"/>
      <c r="AI246" s="9"/>
    </row>
    <row r="247" ht="15.75" customHeight="1">
      <c r="B247" s="9"/>
      <c r="C247" s="9"/>
      <c r="D247" s="9"/>
      <c r="E247" s="5" t="s">
        <v>356</v>
      </c>
      <c r="F247" s="6">
        <v>87000.0</v>
      </c>
      <c r="G247" s="6">
        <v>55885.0</v>
      </c>
      <c r="H247" s="5" t="s">
        <v>26</v>
      </c>
      <c r="I247" s="5" t="s">
        <v>21</v>
      </c>
      <c r="J247" s="5">
        <v>5.3801134E8</v>
      </c>
      <c r="K247" s="5">
        <v>9989649.0</v>
      </c>
      <c r="L247" s="5" t="s">
        <v>38</v>
      </c>
      <c r="M247" s="35">
        <v>46136.209027777775</v>
      </c>
      <c r="N247" s="5" t="b">
        <v>0</v>
      </c>
      <c r="O247" s="19"/>
      <c r="P247" s="7"/>
      <c r="Q247" s="9"/>
      <c r="R247" s="9"/>
      <c r="S247" s="9"/>
      <c r="T247" s="9"/>
      <c r="U247" s="9"/>
      <c r="V247" s="9"/>
      <c r="W247" s="9"/>
      <c r="X247" s="23"/>
      <c r="Y247" s="23"/>
      <c r="Z247" s="23"/>
      <c r="AA247" s="23"/>
      <c r="AB247" s="9"/>
      <c r="AC247" s="9" t="str">
        <f>IFERROR(__xludf.DUMMYFUNCTION("""COMPUTED_VALUE"""),"Madam Xian")</f>
        <v>Madam Xian</v>
      </c>
      <c r="AD247" s="25"/>
      <c r="AE247" s="25" t="str">
        <f t="shared" si="5"/>
        <v/>
      </c>
      <c r="AF247" s="23">
        <f t="shared" si="4"/>
        <v>1</v>
      </c>
      <c r="AG247" s="23">
        <f t="shared" si="6"/>
        <v>1</v>
      </c>
      <c r="AH247" s="9"/>
      <c r="AI247" s="9"/>
    </row>
    <row r="248" ht="15.75" customHeight="1">
      <c r="B248" s="9"/>
      <c r="C248" s="9"/>
      <c r="D248" s="9"/>
      <c r="E248" s="5" t="s">
        <v>357</v>
      </c>
      <c r="F248" s="6">
        <v>80000.0</v>
      </c>
      <c r="G248" s="6">
        <v>51116.0</v>
      </c>
      <c r="H248" s="5" t="s">
        <v>20</v>
      </c>
      <c r="I248" s="5" t="s">
        <v>21</v>
      </c>
      <c r="J248" s="5">
        <v>5.38008424E8</v>
      </c>
      <c r="K248" s="5">
        <v>9869241.0</v>
      </c>
      <c r="L248" s="5" t="s">
        <v>358</v>
      </c>
      <c r="M248" s="35">
        <v>46131.791666666664</v>
      </c>
      <c r="N248" s="5" t="b">
        <v>1</v>
      </c>
      <c r="O248" s="19"/>
      <c r="P248" s="7"/>
      <c r="Q248" s="9"/>
      <c r="R248" s="9"/>
      <c r="S248" s="9"/>
      <c r="T248" s="9"/>
      <c r="U248" s="9"/>
      <c r="V248" s="9"/>
      <c r="W248" s="9"/>
      <c r="X248" s="23"/>
      <c r="Y248" s="23"/>
      <c r="Z248" s="23"/>
      <c r="AA248" s="23"/>
      <c r="AB248" s="9"/>
      <c r="AC248" s="9" t="str">
        <f>IFERROR(__xludf.DUMMYFUNCTION("""COMPUTED_VALUE"""),"Mado")</f>
        <v>Mado</v>
      </c>
      <c r="AD248" s="25"/>
      <c r="AE248" s="25" t="str">
        <f t="shared" si="5"/>
        <v/>
      </c>
      <c r="AF248" s="23">
        <f t="shared" si="4"/>
        <v>1</v>
      </c>
      <c r="AG248" s="23">
        <f t="shared" si="6"/>
        <v>1</v>
      </c>
      <c r="AH248" s="9"/>
      <c r="AI248" s="9"/>
    </row>
    <row r="249" ht="15.75" customHeight="1">
      <c r="B249" s="9"/>
      <c r="C249" s="9"/>
      <c r="D249" s="9"/>
      <c r="E249" s="5" t="s">
        <v>359</v>
      </c>
      <c r="F249" s="6">
        <v>84000.0</v>
      </c>
      <c r="G249" s="6">
        <v>54376.0</v>
      </c>
      <c r="H249" s="5" t="s">
        <v>26</v>
      </c>
      <c r="I249" s="5" t="s">
        <v>21</v>
      </c>
      <c r="J249" s="5">
        <v>2.56742E8</v>
      </c>
      <c r="K249" s="5">
        <v>9732503.0</v>
      </c>
      <c r="L249" s="5" t="s">
        <v>280</v>
      </c>
      <c r="M249" s="35">
        <v>46132.666666666664</v>
      </c>
      <c r="N249" s="5" t="b">
        <v>0</v>
      </c>
      <c r="O249" s="19"/>
      <c r="P249" s="7"/>
      <c r="Q249" s="9"/>
      <c r="R249" s="9"/>
      <c r="S249" s="9"/>
      <c r="T249" s="9"/>
      <c r="U249" s="9"/>
      <c r="V249" s="9"/>
      <c r="W249" s="9"/>
      <c r="X249" s="23"/>
      <c r="Y249" s="23"/>
      <c r="Z249" s="23"/>
      <c r="AA249" s="23"/>
      <c r="AB249" s="9"/>
      <c r="AC249" s="9" t="str">
        <f>IFERROR(__xludf.DUMMYFUNCTION("""COMPUTED_VALUE"""),"Maoming Pan")</f>
        <v>Maoming Pan</v>
      </c>
      <c r="AD249" s="25"/>
      <c r="AE249" s="25" t="str">
        <f t="shared" si="5"/>
        <v/>
      </c>
      <c r="AF249" s="23">
        <f t="shared" si="4"/>
        <v>1</v>
      </c>
      <c r="AG249" s="23">
        <f t="shared" si="6"/>
        <v>1</v>
      </c>
      <c r="AH249" s="9"/>
      <c r="AI249" s="9"/>
    </row>
    <row r="250" ht="15.75" customHeight="1">
      <c r="B250" s="9"/>
      <c r="C250" s="9"/>
      <c r="D250" s="9"/>
      <c r="E250" s="5" t="s">
        <v>360</v>
      </c>
      <c r="F250" s="6">
        <v>80705.0</v>
      </c>
      <c r="G250" s="6">
        <v>54409.0</v>
      </c>
      <c r="H250" s="5" t="s">
        <v>26</v>
      </c>
      <c r="I250" s="5" t="s">
        <v>21</v>
      </c>
      <c r="J250" s="5">
        <v>2.56734E8</v>
      </c>
      <c r="K250" s="5">
        <v>9721138.0</v>
      </c>
      <c r="L250" s="5" t="s">
        <v>361</v>
      </c>
      <c r="M250" s="35">
        <v>46153.958333333336</v>
      </c>
      <c r="N250" s="5" t="b">
        <v>0</v>
      </c>
      <c r="O250" s="19"/>
      <c r="P250" s="7"/>
      <c r="Q250" s="9"/>
      <c r="R250" s="9"/>
      <c r="S250" s="9"/>
      <c r="T250" s="9"/>
      <c r="U250" s="9"/>
      <c r="V250" s="9"/>
      <c r="W250" s="9"/>
      <c r="X250" s="23"/>
      <c r="Y250" s="23"/>
      <c r="Z250" s="23"/>
      <c r="AA250" s="23"/>
      <c r="AB250" s="9"/>
      <c r="AC250" s="9" t="str">
        <f>IFERROR(__xludf.DUMMYFUNCTION("""COMPUTED_VALUE"""),"Maple Gas")</f>
        <v>Maple Gas</v>
      </c>
      <c r="AD250" s="25"/>
      <c r="AE250" s="25" t="str">
        <f t="shared" si="5"/>
        <v/>
      </c>
      <c r="AF250" s="23">
        <f t="shared" si="4"/>
        <v>1</v>
      </c>
      <c r="AG250" s="23">
        <f t="shared" si="6"/>
        <v>1</v>
      </c>
      <c r="AH250" s="9"/>
      <c r="AI250" s="9"/>
    </row>
    <row r="251" ht="15.75" customHeight="1">
      <c r="B251" s="9"/>
      <c r="C251" s="9"/>
      <c r="D251" s="9"/>
      <c r="E251" s="5" t="s">
        <v>362</v>
      </c>
      <c r="F251" s="6">
        <v>84000.0</v>
      </c>
      <c r="G251" s="6">
        <v>54361.0</v>
      </c>
      <c r="H251" s="5" t="s">
        <v>26</v>
      </c>
      <c r="I251" s="5" t="s">
        <v>21</v>
      </c>
      <c r="J251" s="5">
        <v>2.56732E8</v>
      </c>
      <c r="K251" s="5">
        <v>9721140.0</v>
      </c>
      <c r="L251" s="5" t="s">
        <v>43</v>
      </c>
      <c r="M251" s="38">
        <v>46132.5</v>
      </c>
      <c r="N251" s="5" t="b">
        <v>0</v>
      </c>
      <c r="O251" s="19"/>
      <c r="P251" s="7"/>
      <c r="Q251" s="9"/>
      <c r="R251" s="9"/>
      <c r="S251" s="9"/>
      <c r="T251" s="9"/>
      <c r="U251" s="9"/>
      <c r="V251" s="9"/>
      <c r="W251" s="9"/>
      <c r="X251" s="23"/>
      <c r="Y251" s="23"/>
      <c r="Z251" s="23"/>
      <c r="AA251" s="23"/>
      <c r="AB251" s="9"/>
      <c r="AC251" s="9" t="str">
        <f>IFERROR(__xludf.DUMMYFUNCTION("""COMPUTED_VALUE"""),"Matterhorn Explorer")</f>
        <v>Matterhorn Explorer</v>
      </c>
      <c r="AD251" s="25"/>
      <c r="AE251" s="25" t="str">
        <f t="shared" si="5"/>
        <v/>
      </c>
      <c r="AF251" s="23">
        <f t="shared" si="4"/>
        <v>1</v>
      </c>
      <c r="AG251" s="23">
        <f t="shared" si="6"/>
        <v>1</v>
      </c>
      <c r="AH251" s="9"/>
      <c r="AI251" s="9"/>
    </row>
    <row r="252" ht="15.75" customHeight="1">
      <c r="B252" s="9"/>
      <c r="C252" s="9"/>
      <c r="D252" s="9"/>
      <c r="E252" s="5" t="s">
        <v>363</v>
      </c>
      <c r="F252" s="6">
        <v>87000.0</v>
      </c>
      <c r="G252" s="6">
        <v>55885.0</v>
      </c>
      <c r="H252" s="5" t="s">
        <v>26</v>
      </c>
      <c r="I252" s="5" t="s">
        <v>21</v>
      </c>
      <c r="J252" s="5">
        <v>5.38011339E8</v>
      </c>
      <c r="K252" s="5">
        <v>9989651.0</v>
      </c>
      <c r="L252" s="5" t="s">
        <v>38</v>
      </c>
      <c r="M252" s="38">
        <v>46132.486805555556</v>
      </c>
      <c r="N252" s="5" t="b">
        <v>0</v>
      </c>
      <c r="O252" s="19"/>
      <c r="P252" s="7"/>
      <c r="Q252" s="9"/>
      <c r="R252" s="9"/>
      <c r="S252" s="9"/>
      <c r="T252" s="9"/>
      <c r="U252" s="9"/>
      <c r="V252" s="9"/>
      <c r="W252" s="9"/>
      <c r="X252" s="23"/>
      <c r="Y252" s="23"/>
      <c r="Z252" s="23"/>
      <c r="AA252" s="23"/>
      <c r="AB252" s="9"/>
      <c r="AC252" s="9" t="str">
        <f>IFERROR(__xludf.DUMMYFUNCTION("""COMPUTED_VALUE"""),"Megrez")</f>
        <v>Megrez</v>
      </c>
      <c r="AD252" s="25"/>
      <c r="AE252" s="25" t="str">
        <f t="shared" si="5"/>
        <v/>
      </c>
      <c r="AF252" s="23">
        <f t="shared" si="4"/>
        <v>1</v>
      </c>
      <c r="AG252" s="23">
        <f t="shared" si="6"/>
        <v>1</v>
      </c>
      <c r="AH252" s="9"/>
      <c r="AI252" s="9"/>
    </row>
    <row r="253" ht="15.75" customHeight="1">
      <c r="B253" s="9"/>
      <c r="C253" s="9"/>
      <c r="D253" s="9"/>
      <c r="E253" s="5" t="s">
        <v>364</v>
      </c>
      <c r="F253" s="6">
        <v>84000.0</v>
      </c>
      <c r="G253" s="6">
        <v>54415.0</v>
      </c>
      <c r="H253" s="5" t="s">
        <v>26</v>
      </c>
      <c r="I253" s="5" t="s">
        <v>21</v>
      </c>
      <c r="J253" s="5">
        <v>2.49401E8</v>
      </c>
      <c r="K253" s="5">
        <v>9732515.0</v>
      </c>
      <c r="L253" s="5" t="s">
        <v>38</v>
      </c>
      <c r="M253" s="35">
        <v>46136.708333333336</v>
      </c>
      <c r="N253" s="5" t="b">
        <v>0</v>
      </c>
      <c r="O253" s="19"/>
      <c r="P253" s="7"/>
      <c r="Q253" s="9"/>
      <c r="R253" s="9"/>
      <c r="S253" s="9"/>
      <c r="T253" s="9"/>
      <c r="U253" s="9"/>
      <c r="V253" s="9"/>
      <c r="W253" s="9"/>
      <c r="X253" s="23"/>
      <c r="Y253" s="23"/>
      <c r="Z253" s="23"/>
      <c r="AA253" s="23"/>
      <c r="AB253" s="9"/>
      <c r="AC253" s="9" t="str">
        <f>IFERROR(__xludf.DUMMYFUNCTION("""COMPUTED_VALUE"""),"Merak")</f>
        <v>Merak</v>
      </c>
      <c r="AD253" s="25"/>
      <c r="AE253" s="25" t="str">
        <f t="shared" si="5"/>
        <v/>
      </c>
      <c r="AF253" s="23">
        <f t="shared" si="4"/>
        <v>1</v>
      </c>
      <c r="AG253" s="23">
        <f t="shared" si="6"/>
        <v>1</v>
      </c>
      <c r="AH253" s="9"/>
      <c r="AI253" s="9"/>
    </row>
    <row r="254" ht="15.75" customHeight="1">
      <c r="B254" s="9"/>
      <c r="C254" s="9"/>
      <c r="D254" s="9"/>
      <c r="E254" s="5" t="s">
        <v>365</v>
      </c>
      <c r="F254" s="6">
        <v>80000.0</v>
      </c>
      <c r="G254" s="6">
        <v>51116.0</v>
      </c>
      <c r="H254" s="5" t="s">
        <v>26</v>
      </c>
      <c r="I254" s="5" t="s">
        <v>21</v>
      </c>
      <c r="J254" s="5">
        <v>5.38008425E8</v>
      </c>
      <c r="K254" s="5">
        <v>9869253.0</v>
      </c>
      <c r="L254" s="5" t="s">
        <v>38</v>
      </c>
      <c r="M254" s="35">
        <v>46155.041666666664</v>
      </c>
      <c r="N254" s="5" t="b">
        <v>0</v>
      </c>
      <c r="O254" s="19"/>
      <c r="P254" s="7"/>
      <c r="Q254" s="9"/>
      <c r="R254" s="9"/>
      <c r="S254" s="9"/>
      <c r="T254" s="9"/>
      <c r="U254" s="9"/>
      <c r="V254" s="9"/>
      <c r="W254" s="9"/>
      <c r="X254" s="23"/>
      <c r="Y254" s="23"/>
      <c r="Z254" s="23"/>
      <c r="AA254" s="23"/>
      <c r="AB254" s="9"/>
      <c r="AC254" s="9" t="str">
        <f>IFERROR(__xludf.DUMMYFUNCTION("""COMPUTED_VALUE"""),"Mercator")</f>
        <v>Mercator</v>
      </c>
      <c r="AD254" s="25"/>
      <c r="AE254" s="25" t="str">
        <f t="shared" si="5"/>
        <v/>
      </c>
      <c r="AF254" s="23">
        <f t="shared" si="4"/>
        <v>1</v>
      </c>
      <c r="AG254" s="23">
        <f t="shared" si="6"/>
        <v>1</v>
      </c>
      <c r="AH254" s="9"/>
      <c r="AI254" s="9"/>
    </row>
    <row r="255" ht="15.75" customHeight="1">
      <c r="B255" s="9"/>
      <c r="C255" s="9"/>
      <c r="D255" s="9"/>
      <c r="E255" s="5" t="s">
        <v>366</v>
      </c>
      <c r="F255" s="6">
        <v>93000.0</v>
      </c>
      <c r="G255" s="6">
        <v>60000.0</v>
      </c>
      <c r="H255" s="5" t="s">
        <v>26</v>
      </c>
      <c r="I255" s="5" t="s">
        <v>21</v>
      </c>
      <c r="J255" s="5">
        <v>5.632033E8</v>
      </c>
      <c r="K255" s="5">
        <v>9933509.0</v>
      </c>
      <c r="L255" s="5" t="s">
        <v>38</v>
      </c>
      <c r="M255" s="35">
        <v>46156.40694444445</v>
      </c>
      <c r="N255" s="5" t="b">
        <v>0</v>
      </c>
      <c r="O255" s="19"/>
      <c r="P255" s="7"/>
      <c r="Q255" s="9"/>
      <c r="R255" s="9"/>
      <c r="S255" s="9"/>
      <c r="T255" s="9"/>
      <c r="U255" s="9"/>
      <c r="V255" s="9"/>
      <c r="W255" s="9"/>
      <c r="X255" s="23"/>
      <c r="Y255" s="23"/>
      <c r="Z255" s="23"/>
      <c r="AA255" s="23"/>
      <c r="AB255" s="9"/>
      <c r="AC255" s="9" t="str">
        <f>IFERROR(__xludf.DUMMYFUNCTION("""COMPUTED_VALUE"""),"Mizar")</f>
        <v>Mizar</v>
      </c>
      <c r="AD255" s="25"/>
      <c r="AE255" s="25" t="str">
        <f t="shared" si="5"/>
        <v/>
      </c>
      <c r="AF255" s="23">
        <f t="shared" si="4"/>
        <v>1</v>
      </c>
      <c r="AG255" s="23">
        <f t="shared" si="6"/>
        <v>1</v>
      </c>
      <c r="AH255" s="9"/>
      <c r="AI255" s="9"/>
    </row>
    <row r="256" ht="15.75" customHeight="1">
      <c r="B256" s="9"/>
      <c r="C256" s="9"/>
      <c r="D256" s="9"/>
      <c r="E256" s="5" t="s">
        <v>367</v>
      </c>
      <c r="F256" s="6">
        <v>93000.0</v>
      </c>
      <c r="G256" s="6">
        <v>60000.0</v>
      </c>
      <c r="H256" s="5" t="s">
        <v>26</v>
      </c>
      <c r="I256" s="5" t="s">
        <v>21</v>
      </c>
      <c r="J256" s="5">
        <v>5.632034E8</v>
      </c>
      <c r="K256" s="5">
        <v>9933511.0</v>
      </c>
      <c r="L256" s="5" t="s">
        <v>101</v>
      </c>
      <c r="M256" s="35">
        <v>46140.333333333336</v>
      </c>
      <c r="N256" s="5" t="b">
        <v>0</v>
      </c>
      <c r="O256" s="19"/>
      <c r="P256" s="7"/>
      <c r="Q256" s="9"/>
      <c r="R256" s="9"/>
      <c r="S256" s="9"/>
      <c r="T256" s="9"/>
      <c r="U256" s="9"/>
      <c r="V256" s="9"/>
      <c r="W256" s="9"/>
      <c r="X256" s="23"/>
      <c r="Y256" s="23"/>
      <c r="Z256" s="23"/>
      <c r="AA256" s="23"/>
      <c r="AB256" s="9"/>
      <c r="AC256" s="9" t="str">
        <f>IFERROR(__xludf.DUMMYFUNCTION("""COMPUTED_VALUE"""),"Monza L")</f>
        <v>Monza L</v>
      </c>
      <c r="AD256" s="25"/>
      <c r="AE256" s="25" t="str">
        <f t="shared" si="5"/>
        <v/>
      </c>
      <c r="AF256" s="23">
        <f t="shared" si="4"/>
        <v>1</v>
      </c>
      <c r="AG256" s="23">
        <f t="shared" si="6"/>
        <v>1</v>
      </c>
      <c r="AH256" s="9"/>
      <c r="AI256" s="9"/>
    </row>
    <row r="257" ht="15.75" customHeight="1">
      <c r="B257" s="9"/>
      <c r="C257" s="9"/>
      <c r="D257" s="9"/>
      <c r="E257" s="5" t="s">
        <v>368</v>
      </c>
      <c r="F257" s="6">
        <v>83275.0</v>
      </c>
      <c r="G257" s="6">
        <v>54867.0</v>
      </c>
      <c r="H257" s="5" t="s">
        <v>26</v>
      </c>
      <c r="I257" s="5" t="s">
        <v>21</v>
      </c>
      <c r="J257" s="5">
        <v>3.52255E8</v>
      </c>
      <c r="K257" s="5">
        <v>9534614.0</v>
      </c>
      <c r="L257" s="5" t="s">
        <v>59</v>
      </c>
      <c r="M257" s="35">
        <v>46145.166666666664</v>
      </c>
      <c r="N257" s="5" t="b">
        <v>0</v>
      </c>
      <c r="O257" s="19"/>
      <c r="P257" s="7"/>
      <c r="Q257" s="9"/>
      <c r="R257" s="9"/>
      <c r="S257" s="9"/>
      <c r="T257" s="9"/>
      <c r="U257" s="9"/>
      <c r="V257" s="9"/>
      <c r="W257" s="9"/>
      <c r="X257" s="23"/>
      <c r="Y257" s="23"/>
      <c r="Z257" s="23"/>
      <c r="AA257" s="23"/>
      <c r="AB257" s="9"/>
      <c r="AC257" s="9" t="str">
        <f>IFERROR(__xludf.DUMMYFUNCTION("""COMPUTED_VALUE"""),"Musanah")</f>
        <v>Musanah</v>
      </c>
      <c r="AD257" s="25"/>
      <c r="AE257" s="25" t="str">
        <f t="shared" si="5"/>
        <v/>
      </c>
      <c r="AF257" s="23">
        <f t="shared" si="4"/>
        <v>1</v>
      </c>
      <c r="AG257" s="23" t="str">
        <f t="shared" si="6"/>
        <v/>
      </c>
      <c r="AH257" s="9"/>
      <c r="AI257" s="9"/>
    </row>
    <row r="258" ht="15.75" customHeight="1">
      <c r="B258" s="9"/>
      <c r="C258" s="9"/>
      <c r="D258" s="9"/>
      <c r="E258" s="5" t="s">
        <v>369</v>
      </c>
      <c r="F258" s="6">
        <v>78595.0</v>
      </c>
      <c r="G258" s="6">
        <v>53012.0</v>
      </c>
      <c r="H258" s="5" t="s">
        <v>20</v>
      </c>
      <c r="I258" s="5" t="s">
        <v>21</v>
      </c>
      <c r="J258" s="5">
        <v>4.1900164E8</v>
      </c>
      <c r="K258" s="5">
        <v>9405875.0</v>
      </c>
      <c r="L258" s="5" t="s">
        <v>370</v>
      </c>
      <c r="M258" s="35">
        <v>46142.895833333336</v>
      </c>
      <c r="N258" s="5" t="b">
        <v>1</v>
      </c>
      <c r="O258" s="19"/>
      <c r="P258" s="7"/>
      <c r="Q258" s="9"/>
      <c r="R258" s="9"/>
      <c r="S258" s="9"/>
      <c r="T258" s="9"/>
      <c r="U258" s="9"/>
      <c r="V258" s="9"/>
      <c r="W258" s="9"/>
      <c r="X258" s="23"/>
      <c r="Y258" s="23"/>
      <c r="Z258" s="23"/>
      <c r="AA258" s="23"/>
      <c r="AB258" s="9"/>
      <c r="AC258" s="9" t="str">
        <f>IFERROR(__xludf.DUMMYFUNCTION("""COMPUTED_VALUE"""),"Nadeshiko Gas")</f>
        <v>Nadeshiko Gas</v>
      </c>
      <c r="AD258" s="25"/>
      <c r="AE258" s="25" t="str">
        <f t="shared" si="5"/>
        <v/>
      </c>
      <c r="AF258" s="23">
        <f t="shared" si="4"/>
        <v>1</v>
      </c>
      <c r="AG258" s="23" t="str">
        <f t="shared" si="6"/>
        <v/>
      </c>
      <c r="AH258" s="9"/>
      <c r="AI258" s="9"/>
    </row>
    <row r="259" ht="15.75" customHeight="1">
      <c r="B259" s="9"/>
      <c r="C259" s="9"/>
      <c r="D259" s="9"/>
      <c r="E259" s="5" t="s">
        <v>371</v>
      </c>
      <c r="F259" s="6">
        <v>84600.0</v>
      </c>
      <c r="G259" s="6">
        <v>47500.0</v>
      </c>
      <c r="H259" s="5" t="s">
        <v>20</v>
      </c>
      <c r="I259" s="5" t="s">
        <v>21</v>
      </c>
      <c r="J259" s="5">
        <v>6.36020121E8</v>
      </c>
      <c r="K259" s="5">
        <v>9883819.0</v>
      </c>
      <c r="L259" s="5" t="s">
        <v>101</v>
      </c>
      <c r="M259" s="35">
        <v>46134.916666666664</v>
      </c>
      <c r="N259" s="5" t="b">
        <v>1</v>
      </c>
      <c r="O259" s="19"/>
      <c r="P259" s="7"/>
      <c r="Q259" s="9"/>
      <c r="R259" s="9"/>
      <c r="S259" s="9"/>
      <c r="T259" s="9"/>
      <c r="U259" s="9"/>
      <c r="V259" s="9"/>
      <c r="W259" s="9"/>
      <c r="X259" s="23"/>
      <c r="Y259" s="23"/>
      <c r="Z259" s="23"/>
      <c r="AA259" s="23"/>
      <c r="AB259" s="9"/>
      <c r="AC259" s="9" t="str">
        <f>IFERROR(__xludf.DUMMYFUNCTION("""COMPUTED_VALUE"""),"Navigare Gaia")</f>
        <v>Navigare Gaia</v>
      </c>
      <c r="AD259" s="25"/>
      <c r="AE259" s="25" t="str">
        <f t="shared" si="5"/>
        <v/>
      </c>
      <c r="AF259" s="23">
        <f t="shared" si="4"/>
        <v>1</v>
      </c>
      <c r="AG259" s="23">
        <f t="shared" si="6"/>
        <v>1</v>
      </c>
      <c r="AH259" s="9"/>
      <c r="AI259" s="9"/>
    </row>
    <row r="260" ht="15.75" customHeight="1">
      <c r="B260" s="9"/>
      <c r="C260" s="9"/>
      <c r="D260" s="9"/>
      <c r="E260" s="5" t="s">
        <v>372</v>
      </c>
      <c r="F260" s="6">
        <v>86000.0</v>
      </c>
      <c r="G260" s="6">
        <v>51269.0</v>
      </c>
      <c r="H260" s="5" t="s">
        <v>20</v>
      </c>
      <c r="I260" s="5" t="s">
        <v>21</v>
      </c>
      <c r="J260" s="5">
        <v>6.36021821E8</v>
      </c>
      <c r="K260" s="5">
        <v>9938573.0</v>
      </c>
      <c r="L260" s="5" t="s">
        <v>190</v>
      </c>
      <c r="M260" s="35">
        <v>46153.875</v>
      </c>
      <c r="N260" s="5" t="b">
        <v>1</v>
      </c>
      <c r="O260" s="19"/>
      <c r="P260" s="7"/>
      <c r="Q260" s="9"/>
      <c r="R260" s="9"/>
      <c r="S260" s="9"/>
      <c r="T260" s="9"/>
      <c r="U260" s="9"/>
      <c r="V260" s="9"/>
      <c r="W260" s="9"/>
      <c r="X260" s="23"/>
      <c r="Y260" s="23"/>
      <c r="Z260" s="23"/>
      <c r="AA260" s="23"/>
      <c r="AB260" s="9"/>
      <c r="AC260" s="9" t="str">
        <f>IFERROR(__xludf.DUMMYFUNCTION("""COMPUTED_VALUE"""),"Nile River")</f>
        <v>Nile River</v>
      </c>
      <c r="AD260" s="25"/>
      <c r="AE260" s="25" t="str">
        <f t="shared" si="5"/>
        <v/>
      </c>
      <c r="AF260" s="23">
        <f t="shared" si="4"/>
        <v>1</v>
      </c>
      <c r="AG260" s="23">
        <f t="shared" si="6"/>
        <v>1</v>
      </c>
      <c r="AH260" s="9"/>
      <c r="AI260" s="9"/>
    </row>
    <row r="261" ht="15.75" customHeight="1">
      <c r="B261" s="9"/>
      <c r="C261" s="9"/>
      <c r="D261" s="9"/>
      <c r="E261" s="5" t="s">
        <v>373</v>
      </c>
      <c r="F261" s="6">
        <v>86000.0</v>
      </c>
      <c r="G261" s="6">
        <v>51269.0</v>
      </c>
      <c r="H261" s="5" t="s">
        <v>20</v>
      </c>
      <c r="I261" s="5" t="s">
        <v>21</v>
      </c>
      <c r="J261" s="5">
        <v>6.36021822E8</v>
      </c>
      <c r="K261" s="5">
        <v>9938585.0</v>
      </c>
      <c r="L261" s="5" t="s">
        <v>374</v>
      </c>
      <c r="M261" s="35">
        <v>46153.333333333336</v>
      </c>
      <c r="N261" s="5" t="b">
        <v>1</v>
      </c>
      <c r="O261" s="19"/>
      <c r="P261" s="7"/>
      <c r="Q261" s="9"/>
      <c r="R261" s="9"/>
      <c r="S261" s="9"/>
      <c r="T261" s="9"/>
      <c r="U261" s="9"/>
      <c r="V261" s="9"/>
      <c r="W261" s="9"/>
      <c r="X261" s="23"/>
      <c r="Y261" s="23"/>
      <c r="Z261" s="23"/>
      <c r="AA261" s="23"/>
      <c r="AB261" s="9"/>
      <c r="AC261" s="9" t="str">
        <f>IFERROR(__xludf.DUMMYFUNCTION("""COMPUTED_VALUE"""),"Nirvana Explorer")</f>
        <v>Nirvana Explorer</v>
      </c>
      <c r="AD261" s="25"/>
      <c r="AE261" s="25" t="str">
        <f t="shared" si="5"/>
        <v/>
      </c>
      <c r="AF261" s="23">
        <f t="shared" si="4"/>
        <v>1</v>
      </c>
      <c r="AG261" s="23">
        <f t="shared" si="6"/>
        <v>1</v>
      </c>
      <c r="AH261" s="9"/>
      <c r="AI261" s="9"/>
    </row>
    <row r="262" ht="15.75" customHeight="1">
      <c r="B262" s="9"/>
      <c r="C262" s="9"/>
      <c r="D262" s="9"/>
      <c r="E262" s="5" t="s">
        <v>375</v>
      </c>
      <c r="F262" s="6">
        <v>86000.0</v>
      </c>
      <c r="G262" s="6">
        <v>51269.0</v>
      </c>
      <c r="H262" s="5" t="s">
        <v>20</v>
      </c>
      <c r="I262" s="5" t="s">
        <v>21</v>
      </c>
      <c r="J262" s="5">
        <v>6.36021823E8</v>
      </c>
      <c r="K262" s="5">
        <v>9940605.0</v>
      </c>
      <c r="L262" s="5" t="s">
        <v>64</v>
      </c>
      <c r="M262" s="35">
        <v>46142.208333333336</v>
      </c>
      <c r="N262" s="5" t="b">
        <v>1</v>
      </c>
      <c r="O262" s="19"/>
      <c r="P262" s="7"/>
      <c r="Q262" s="9"/>
      <c r="R262" s="9"/>
      <c r="S262" s="9"/>
      <c r="T262" s="9"/>
      <c r="U262" s="9"/>
      <c r="V262" s="9"/>
      <c r="W262" s="9"/>
      <c r="X262" s="23"/>
      <c r="Y262" s="23"/>
      <c r="Z262" s="23"/>
      <c r="AA262" s="23"/>
      <c r="AB262" s="9"/>
      <c r="AC262" s="9" t="str">
        <f>IFERROR(__xludf.DUMMYFUNCTION("""COMPUTED_VALUE"""),"North Gas")</f>
        <v>North Gas</v>
      </c>
      <c r="AD262" s="25"/>
      <c r="AE262" s="25" t="str">
        <f t="shared" si="5"/>
        <v/>
      </c>
      <c r="AF262" s="23">
        <f t="shared" si="4"/>
        <v>1</v>
      </c>
      <c r="AG262" s="23">
        <f t="shared" si="6"/>
        <v>1</v>
      </c>
      <c r="AH262" s="9"/>
      <c r="AI262" s="9"/>
    </row>
    <row r="263" ht="15.75" customHeight="1">
      <c r="B263" s="9"/>
      <c r="C263" s="9"/>
      <c r="D263" s="9"/>
      <c r="E263" s="5" t="s">
        <v>376</v>
      </c>
      <c r="F263" s="6">
        <v>91000.0</v>
      </c>
      <c r="G263" s="6">
        <v>62500.0</v>
      </c>
      <c r="H263" s="5" t="s">
        <v>26</v>
      </c>
      <c r="I263" s="5" t="s">
        <v>21</v>
      </c>
      <c r="J263" s="5">
        <v>6.36022185E8</v>
      </c>
      <c r="K263" s="5">
        <v>9938054.0</v>
      </c>
      <c r="L263" s="5" t="s">
        <v>43</v>
      </c>
      <c r="M263" s="35">
        <v>46134.00069444445</v>
      </c>
      <c r="N263" s="5" t="b">
        <v>0</v>
      </c>
      <c r="O263" s="19"/>
      <c r="P263" s="7"/>
      <c r="Q263" s="9"/>
      <c r="R263" s="9"/>
      <c r="S263" s="9"/>
      <c r="T263" s="9"/>
      <c r="U263" s="9"/>
      <c r="V263" s="9"/>
      <c r="W263" s="9"/>
      <c r="X263" s="23"/>
      <c r="Y263" s="23"/>
      <c r="Z263" s="23"/>
      <c r="AA263" s="23"/>
      <c r="AB263" s="9"/>
      <c r="AC263" s="9" t="str">
        <f>IFERROR(__xludf.DUMMYFUNCTION("""COMPUTED_VALUE"""),"Ns Dream")</f>
        <v>Ns Dream</v>
      </c>
      <c r="AD263" s="25"/>
      <c r="AE263" s="25" t="str">
        <f t="shared" si="5"/>
        <v/>
      </c>
      <c r="AF263" s="23">
        <f t="shared" si="4"/>
        <v>1</v>
      </c>
      <c r="AG263" s="23">
        <f t="shared" si="6"/>
        <v>1</v>
      </c>
      <c r="AH263" s="9"/>
      <c r="AI263" s="9"/>
    </row>
    <row r="264" ht="15.75" customHeight="1">
      <c r="B264" s="9"/>
      <c r="C264" s="9"/>
      <c r="D264" s="9"/>
      <c r="E264" s="5" t="s">
        <v>377</v>
      </c>
      <c r="F264" s="6">
        <v>91000.0</v>
      </c>
      <c r="G264" s="6">
        <v>62500.0</v>
      </c>
      <c r="H264" s="5" t="s">
        <v>20</v>
      </c>
      <c r="I264" s="5" t="s">
        <v>21</v>
      </c>
      <c r="J264" s="5">
        <v>6.36022186E8</v>
      </c>
      <c r="K264" s="5">
        <v>9938066.0</v>
      </c>
      <c r="L264" s="5" t="s">
        <v>378</v>
      </c>
      <c r="M264" s="35">
        <v>46144.00069444445</v>
      </c>
      <c r="N264" s="5" t="b">
        <v>1</v>
      </c>
      <c r="O264" s="19"/>
      <c r="P264" s="7"/>
      <c r="Q264" s="9"/>
      <c r="R264" s="9"/>
      <c r="S264" s="9"/>
      <c r="T264" s="9"/>
      <c r="U264" s="9"/>
      <c r="V264" s="9"/>
      <c r="W264" s="9"/>
      <c r="X264" s="23"/>
      <c r="Y264" s="23"/>
      <c r="Z264" s="23"/>
      <c r="AA264" s="23"/>
      <c r="AB264" s="9"/>
      <c r="AC264" s="9" t="str">
        <f>IFERROR(__xludf.DUMMYFUNCTION("""COMPUTED_VALUE"""),"Ns Frontier")</f>
        <v>Ns Frontier</v>
      </c>
      <c r="AD264" s="25"/>
      <c r="AE264" s="25" t="str">
        <f t="shared" si="5"/>
        <v/>
      </c>
      <c r="AF264" s="23">
        <f t="shared" si="4"/>
        <v>1</v>
      </c>
      <c r="AG264" s="23">
        <f t="shared" si="6"/>
        <v>1</v>
      </c>
      <c r="AH264" s="9"/>
      <c r="AI264" s="9"/>
    </row>
    <row r="265" ht="15.75" customHeight="1">
      <c r="B265" s="9"/>
      <c r="C265" s="9"/>
      <c r="D265" s="9"/>
      <c r="E265" s="5" t="s">
        <v>379</v>
      </c>
      <c r="F265" s="6">
        <v>90000.0</v>
      </c>
      <c r="G265" s="6">
        <v>60000.0</v>
      </c>
      <c r="H265" s="5" t="s">
        <v>20</v>
      </c>
      <c r="I265" s="5" t="s">
        <v>21</v>
      </c>
      <c r="J265" s="5">
        <v>5.631886E8</v>
      </c>
      <c r="K265" s="5">
        <v>9922782.0</v>
      </c>
      <c r="L265" s="5" t="s">
        <v>380</v>
      </c>
      <c r="M265" s="35">
        <v>46146.416666666664</v>
      </c>
      <c r="N265" s="5" t="b">
        <v>1</v>
      </c>
      <c r="O265" s="19"/>
      <c r="P265" s="7"/>
      <c r="Q265" s="9"/>
      <c r="R265" s="9"/>
      <c r="S265" s="9"/>
      <c r="T265" s="9"/>
      <c r="U265" s="9"/>
      <c r="V265" s="9"/>
      <c r="W265" s="9"/>
      <c r="X265" s="23"/>
      <c r="Y265" s="23"/>
      <c r="Z265" s="23"/>
      <c r="AA265" s="23"/>
      <c r="AB265" s="9"/>
      <c r="AC265" s="9" t="str">
        <f>IFERROR(__xludf.DUMMYFUNCTION("""COMPUTED_VALUE"""),"NV Sunshine")</f>
        <v>NV Sunshine</v>
      </c>
      <c r="AD265" s="25"/>
      <c r="AE265" s="25" t="str">
        <f t="shared" si="5"/>
        <v/>
      </c>
      <c r="AF265" s="23">
        <f t="shared" si="4"/>
        <v>1</v>
      </c>
      <c r="AG265" s="23">
        <f t="shared" si="6"/>
        <v>1</v>
      </c>
      <c r="AH265" s="9"/>
      <c r="AI265" s="9"/>
    </row>
    <row r="266" ht="15.75" customHeight="1">
      <c r="B266" s="9"/>
      <c r="C266" s="9"/>
      <c r="D266" s="9"/>
      <c r="E266" s="5" t="s">
        <v>381</v>
      </c>
      <c r="F266" s="6">
        <v>90000.0</v>
      </c>
      <c r="G266" s="6">
        <v>60000.0</v>
      </c>
      <c r="H266" s="5" t="s">
        <v>26</v>
      </c>
      <c r="I266" s="5" t="s">
        <v>21</v>
      </c>
      <c r="J266" s="5">
        <v>5.631966E8</v>
      </c>
      <c r="K266" s="5">
        <v>9922770.0</v>
      </c>
      <c r="L266" s="17"/>
      <c r="M266" s="18"/>
      <c r="N266" s="5" t="b">
        <v>0</v>
      </c>
      <c r="O266" s="19"/>
      <c r="P266" s="7"/>
      <c r="Q266" s="9"/>
      <c r="R266" s="9"/>
      <c r="S266" s="9"/>
      <c r="T266" s="9"/>
      <c r="U266" s="9"/>
      <c r="V266" s="9"/>
      <c r="W266" s="9"/>
      <c r="X266" s="23"/>
      <c r="Y266" s="23"/>
      <c r="Z266" s="23"/>
      <c r="AA266" s="23"/>
      <c r="AB266" s="9"/>
      <c r="AC266" s="9" t="str">
        <f>IFERROR(__xludf.DUMMYFUNCTION("""COMPUTED_VALUE"""),"NY Lord")</f>
        <v>NY Lord</v>
      </c>
      <c r="AD266" s="25"/>
      <c r="AE266" s="25" t="str">
        <f t="shared" si="5"/>
        <v/>
      </c>
      <c r="AF266" s="23">
        <f t="shared" si="4"/>
        <v>1</v>
      </c>
      <c r="AG266" s="23">
        <f t="shared" si="6"/>
        <v>1</v>
      </c>
      <c r="AH266" s="9"/>
      <c r="AI266" s="9"/>
    </row>
    <row r="267" ht="15.75" customHeight="1">
      <c r="B267" s="9"/>
      <c r="C267" s="9"/>
      <c r="D267" s="9"/>
      <c r="E267" s="5" t="s">
        <v>382</v>
      </c>
      <c r="F267" s="6">
        <v>88000.0</v>
      </c>
      <c r="G267" s="6">
        <v>57000.0</v>
      </c>
      <c r="H267" s="5" t="s">
        <v>72</v>
      </c>
      <c r="I267" s="5" t="s">
        <v>73</v>
      </c>
      <c r="J267" s="17"/>
      <c r="K267" s="5">
        <v>1049766.0</v>
      </c>
      <c r="L267" s="17"/>
      <c r="M267" s="18"/>
      <c r="N267" s="5" t="b">
        <v>0</v>
      </c>
      <c r="O267" s="19"/>
      <c r="P267" s="7"/>
      <c r="Q267" s="9"/>
      <c r="R267" s="9"/>
      <c r="S267" s="9"/>
      <c r="T267" s="9"/>
      <c r="U267" s="9"/>
      <c r="V267" s="9"/>
      <c r="W267" s="9"/>
      <c r="X267" s="23"/>
      <c r="Y267" s="23"/>
      <c r="Z267" s="23"/>
      <c r="AA267" s="23"/>
      <c r="AB267" s="9"/>
      <c r="AC267" s="9" t="str">
        <f>IFERROR(__xludf.DUMMYFUNCTION("""COMPUTED_VALUE"""),"Ocean Gas")</f>
        <v>Ocean Gas</v>
      </c>
      <c r="AD267" s="25"/>
      <c r="AE267" s="25" t="str">
        <f t="shared" si="5"/>
        <v/>
      </c>
      <c r="AF267" s="23">
        <f t="shared" si="4"/>
        <v>1</v>
      </c>
      <c r="AG267" s="23" t="str">
        <f t="shared" si="6"/>
        <v/>
      </c>
      <c r="AH267" s="9"/>
      <c r="AI267" s="9"/>
    </row>
    <row r="268" ht="15.75" customHeight="1">
      <c r="B268" s="9"/>
      <c r="C268" s="9"/>
      <c r="D268" s="9"/>
      <c r="E268" s="5" t="s">
        <v>383</v>
      </c>
      <c r="F268" s="6">
        <v>88000.0</v>
      </c>
      <c r="G268" s="6">
        <v>57000.0</v>
      </c>
      <c r="H268" s="5" t="s">
        <v>72</v>
      </c>
      <c r="I268" s="5" t="s">
        <v>73</v>
      </c>
      <c r="J268" s="17"/>
      <c r="K268" s="5">
        <v>1049778.0</v>
      </c>
      <c r="L268" s="17"/>
      <c r="M268" s="18"/>
      <c r="N268" s="5" t="b">
        <v>0</v>
      </c>
      <c r="O268" s="19"/>
      <c r="P268" s="7"/>
      <c r="Q268" s="9"/>
      <c r="R268" s="9"/>
      <c r="S268" s="9"/>
      <c r="T268" s="9"/>
      <c r="U268" s="9"/>
      <c r="V268" s="9"/>
      <c r="W268" s="9"/>
      <c r="X268" s="23"/>
      <c r="Y268" s="23"/>
      <c r="Z268" s="23"/>
      <c r="AA268" s="23"/>
      <c r="AB268" s="9"/>
      <c r="AC268" s="9" t="str">
        <f>IFERROR(__xludf.DUMMYFUNCTION("""COMPUTED_VALUE"""),"Oceanus Aurora")</f>
        <v>Oceanus Aurora</v>
      </c>
      <c r="AD268" s="25"/>
      <c r="AE268" s="25" t="str">
        <f t="shared" si="5"/>
        <v/>
      </c>
      <c r="AF268" s="23">
        <f t="shared" si="4"/>
        <v>1</v>
      </c>
      <c r="AG268" s="23" t="str">
        <f t="shared" si="6"/>
        <v/>
      </c>
      <c r="AH268" s="9"/>
      <c r="AI268" s="9"/>
    </row>
    <row r="269" ht="15.75" customHeight="1">
      <c r="B269" s="9"/>
      <c r="C269" s="9"/>
      <c r="D269" s="9"/>
      <c r="E269" s="5" t="s">
        <v>384</v>
      </c>
      <c r="F269" s="6">
        <v>88000.0</v>
      </c>
      <c r="G269" s="6">
        <v>57000.0</v>
      </c>
      <c r="H269" s="5" t="s">
        <v>72</v>
      </c>
      <c r="I269" s="5" t="s">
        <v>73</v>
      </c>
      <c r="J269" s="17"/>
      <c r="K269" s="5">
        <v>1076044.0</v>
      </c>
      <c r="L269" s="17"/>
      <c r="M269" s="18"/>
      <c r="N269" s="5" t="b">
        <v>0</v>
      </c>
      <c r="O269" s="19"/>
      <c r="P269" s="7"/>
      <c r="Q269" s="9"/>
      <c r="R269" s="9"/>
      <c r="S269" s="9"/>
      <c r="T269" s="9"/>
      <c r="U269" s="9"/>
      <c r="V269" s="9"/>
      <c r="W269" s="9"/>
      <c r="X269" s="23"/>
      <c r="Y269" s="23"/>
      <c r="Z269" s="23"/>
      <c r="AA269" s="23"/>
      <c r="AB269" s="9"/>
      <c r="AC269" s="9" t="str">
        <f>IFERROR(__xludf.DUMMYFUNCTION("""COMPUTED_VALUE"""),"Oriental Jubilee")</f>
        <v>Oriental Jubilee</v>
      </c>
      <c r="AD269" s="25"/>
      <c r="AE269" s="25" t="str">
        <f t="shared" si="5"/>
        <v/>
      </c>
      <c r="AF269" s="23">
        <f t="shared" si="4"/>
        <v>1</v>
      </c>
      <c r="AG269" s="23" t="str">
        <f t="shared" si="6"/>
        <v/>
      </c>
      <c r="AH269" s="9"/>
      <c r="AI269" s="9"/>
    </row>
    <row r="270" ht="15.75" customHeight="1">
      <c r="B270" s="9"/>
      <c r="C270" s="9"/>
      <c r="D270" s="9"/>
      <c r="E270" s="5" t="s">
        <v>385</v>
      </c>
      <c r="F270" s="6">
        <v>88000.0</v>
      </c>
      <c r="G270" s="6">
        <v>57000.0</v>
      </c>
      <c r="H270" s="5" t="s">
        <v>72</v>
      </c>
      <c r="I270" s="5" t="s">
        <v>73</v>
      </c>
      <c r="J270" s="17"/>
      <c r="K270" s="5">
        <v>1076056.0</v>
      </c>
      <c r="L270" s="17"/>
      <c r="M270" s="18"/>
      <c r="N270" s="5" t="b">
        <v>0</v>
      </c>
      <c r="O270" s="19"/>
      <c r="P270" s="7"/>
      <c r="Q270" s="9"/>
      <c r="R270" s="9"/>
      <c r="S270" s="9"/>
      <c r="T270" s="9"/>
      <c r="U270" s="9"/>
      <c r="V270" s="9"/>
      <c r="W270" s="9"/>
      <c r="X270" s="23"/>
      <c r="Y270" s="23"/>
      <c r="Z270" s="23"/>
      <c r="AA270" s="23"/>
      <c r="AB270" s="9"/>
      <c r="AC270" s="9" t="str">
        <f>IFERROR(__xludf.DUMMYFUNCTION("""COMPUTED_VALUE"""),"Oriental King")</f>
        <v>Oriental King</v>
      </c>
      <c r="AD270" s="25"/>
      <c r="AE270" s="25" t="str">
        <f t="shared" si="5"/>
        <v/>
      </c>
      <c r="AF270" s="23">
        <f t="shared" si="4"/>
        <v>1</v>
      </c>
      <c r="AG270" s="23" t="str">
        <f t="shared" si="6"/>
        <v/>
      </c>
      <c r="AH270" s="9"/>
      <c r="AI270" s="9"/>
    </row>
    <row r="271" ht="15.75" customHeight="1">
      <c r="B271" s="9"/>
      <c r="C271" s="9"/>
      <c r="D271" s="9"/>
      <c r="E271" s="5" t="s">
        <v>386</v>
      </c>
      <c r="F271" s="6">
        <v>86240.0</v>
      </c>
      <c r="G271" s="6">
        <v>63000.0</v>
      </c>
      <c r="H271" s="5" t="s">
        <v>72</v>
      </c>
      <c r="I271" s="5" t="s">
        <v>73</v>
      </c>
      <c r="J271" s="17"/>
      <c r="K271" s="5">
        <v>1098975.0</v>
      </c>
      <c r="L271" s="17"/>
      <c r="M271" s="18"/>
      <c r="N271" s="5" t="b">
        <v>0</v>
      </c>
      <c r="O271" s="19"/>
      <c r="P271" s="7"/>
      <c r="Q271" s="9"/>
      <c r="R271" s="9"/>
      <c r="S271" s="9"/>
      <c r="T271" s="9"/>
      <c r="U271" s="9"/>
      <c r="V271" s="9"/>
      <c r="W271" s="9"/>
      <c r="X271" s="23"/>
      <c r="Y271" s="23"/>
      <c r="Z271" s="23"/>
      <c r="AA271" s="23"/>
      <c r="AB271" s="9"/>
      <c r="AC271" s="9" t="str">
        <f>IFERROR(__xludf.DUMMYFUNCTION("""COMPUTED_VALUE"""),"Pacific Binzhou")</f>
        <v>Pacific Binzhou</v>
      </c>
      <c r="AD271" s="25"/>
      <c r="AE271" s="25" t="str">
        <f t="shared" si="5"/>
        <v/>
      </c>
      <c r="AF271" s="23">
        <f t="shared" si="4"/>
        <v>1</v>
      </c>
      <c r="AG271" s="23" t="str">
        <f t="shared" si="6"/>
        <v/>
      </c>
      <c r="AH271" s="9"/>
      <c r="AI271" s="9"/>
    </row>
    <row r="272" ht="15.75" customHeight="1">
      <c r="B272" s="9"/>
      <c r="C272" s="9"/>
      <c r="D272" s="9"/>
      <c r="E272" s="5" t="s">
        <v>387</v>
      </c>
      <c r="F272" s="6">
        <v>88000.0</v>
      </c>
      <c r="G272" s="6">
        <v>58045.0</v>
      </c>
      <c r="H272" s="5" t="s">
        <v>20</v>
      </c>
      <c r="I272" s="5" t="s">
        <v>21</v>
      </c>
      <c r="J272" s="5">
        <v>6.36022844E8</v>
      </c>
      <c r="K272" s="5">
        <v>9987550.0</v>
      </c>
      <c r="L272" s="5" t="s">
        <v>388</v>
      </c>
      <c r="M272" s="35">
        <v>46148.0</v>
      </c>
      <c r="N272" s="5" t="b">
        <v>1</v>
      </c>
      <c r="O272" s="19"/>
      <c r="P272" s="7"/>
      <c r="Q272" s="9"/>
      <c r="R272" s="9"/>
      <c r="S272" s="9"/>
      <c r="T272" s="9"/>
      <c r="U272" s="9"/>
      <c r="V272" s="9"/>
      <c r="W272" s="9"/>
      <c r="X272" s="23"/>
      <c r="Y272" s="23"/>
      <c r="Z272" s="23"/>
      <c r="AA272" s="23"/>
      <c r="AB272" s="9"/>
      <c r="AC272" s="9" t="str">
        <f>IFERROR(__xludf.DUMMYFUNCTION("""COMPUTED_VALUE"""),"Pacific Dongying")</f>
        <v>Pacific Dongying</v>
      </c>
      <c r="AD272" s="25"/>
      <c r="AE272" s="25" t="str">
        <f t="shared" si="5"/>
        <v/>
      </c>
      <c r="AF272" s="23">
        <f t="shared" si="4"/>
        <v>1</v>
      </c>
      <c r="AG272" s="23">
        <f t="shared" si="6"/>
        <v>1</v>
      </c>
      <c r="AH272" s="9"/>
      <c r="AI272" s="9"/>
    </row>
    <row r="273" ht="15.75" customHeight="1">
      <c r="B273" s="9"/>
      <c r="C273" s="9"/>
      <c r="D273" s="9"/>
      <c r="E273" s="5" t="s">
        <v>389</v>
      </c>
      <c r="F273" s="6">
        <v>83269.0</v>
      </c>
      <c r="G273" s="6">
        <v>54450.0</v>
      </c>
      <c r="H273" s="5" t="s">
        <v>26</v>
      </c>
      <c r="I273" s="5" t="s">
        <v>21</v>
      </c>
      <c r="J273" s="5">
        <v>4.19001387E8</v>
      </c>
      <c r="K273" s="5">
        <v>9307750.0</v>
      </c>
      <c r="L273" s="5" t="s">
        <v>390</v>
      </c>
      <c r="M273" s="38">
        <v>46132.875</v>
      </c>
      <c r="N273" s="5" t="b">
        <v>0</v>
      </c>
      <c r="O273" s="19"/>
      <c r="P273" s="7"/>
      <c r="Q273" s="9"/>
      <c r="R273" s="9"/>
      <c r="S273" s="9"/>
      <c r="T273" s="9"/>
      <c r="U273" s="9"/>
      <c r="V273" s="9"/>
      <c r="W273" s="9"/>
      <c r="X273" s="23"/>
      <c r="Y273" s="23"/>
      <c r="Z273" s="23"/>
      <c r="AA273" s="23"/>
      <c r="AB273" s="9"/>
      <c r="AC273" s="9" t="str">
        <f>IFERROR(__xludf.DUMMYFUNCTION("""COMPUTED_VALUE"""),"Pacific Hong Kong")</f>
        <v>Pacific Hong Kong</v>
      </c>
      <c r="AD273" s="25"/>
      <c r="AE273" s="25" t="str">
        <f t="shared" si="5"/>
        <v/>
      </c>
      <c r="AF273" s="23">
        <f t="shared" si="4"/>
        <v>1</v>
      </c>
      <c r="AG273" s="23">
        <f t="shared" si="6"/>
        <v>1</v>
      </c>
      <c r="AH273" s="9"/>
      <c r="AI273" s="9"/>
    </row>
    <row r="274" ht="15.75" customHeight="1">
      <c r="B274" s="9"/>
      <c r="C274" s="9"/>
      <c r="D274" s="9"/>
      <c r="E274" s="5" t="s">
        <v>391</v>
      </c>
      <c r="F274" s="6">
        <v>84124.0</v>
      </c>
      <c r="G274" s="6">
        <v>51747.0</v>
      </c>
      <c r="H274" s="5" t="s">
        <v>26</v>
      </c>
      <c r="I274" s="5" t="s">
        <v>21</v>
      </c>
      <c r="J274" s="5">
        <v>5.38012251E8</v>
      </c>
      <c r="K274" s="5">
        <v>9726061.0</v>
      </c>
      <c r="L274" s="5" t="s">
        <v>38</v>
      </c>
      <c r="M274" s="35">
        <v>46166.00069444445</v>
      </c>
      <c r="N274" s="5" t="b">
        <v>0</v>
      </c>
      <c r="O274" s="19"/>
      <c r="P274" s="7"/>
      <c r="Q274" s="9"/>
      <c r="R274" s="9"/>
      <c r="S274" s="9"/>
      <c r="T274" s="9"/>
      <c r="U274" s="9"/>
      <c r="V274" s="9"/>
      <c r="W274" s="9"/>
      <c r="X274" s="23"/>
      <c r="Y274" s="23"/>
      <c r="Z274" s="23"/>
      <c r="AA274" s="23"/>
      <c r="AB274" s="9"/>
      <c r="AC274" s="9" t="str">
        <f>IFERROR(__xludf.DUMMYFUNCTION("""COMPUTED_VALUE"""),"Pacific Qingdao")</f>
        <v>Pacific Qingdao</v>
      </c>
      <c r="AD274" s="25"/>
      <c r="AE274" s="25" t="str">
        <f t="shared" si="5"/>
        <v/>
      </c>
      <c r="AF274" s="23">
        <f t="shared" si="4"/>
        <v>1</v>
      </c>
      <c r="AG274" s="23">
        <f t="shared" si="6"/>
        <v>1</v>
      </c>
      <c r="AH274" s="9"/>
      <c r="AI274" s="9"/>
    </row>
    <row r="275" ht="15.75" customHeight="1">
      <c r="B275" s="9"/>
      <c r="C275" s="9"/>
      <c r="D275" s="9"/>
      <c r="E275" s="5" t="s">
        <v>392</v>
      </c>
      <c r="F275" s="6">
        <v>81605.0</v>
      </c>
      <c r="G275" s="6">
        <v>54490.0</v>
      </c>
      <c r="H275" s="5" t="s">
        <v>20</v>
      </c>
      <c r="I275" s="5" t="s">
        <v>21</v>
      </c>
      <c r="J275" s="5">
        <v>4.19001357E8</v>
      </c>
      <c r="K275" s="5">
        <v>9307762.0</v>
      </c>
      <c r="L275" s="5" t="s">
        <v>370</v>
      </c>
      <c r="M275" s="35">
        <v>46132.25</v>
      </c>
      <c r="N275" s="5" t="b">
        <v>1</v>
      </c>
      <c r="O275" s="19"/>
      <c r="P275" s="7"/>
      <c r="Q275" s="9"/>
      <c r="R275" s="9"/>
      <c r="S275" s="9"/>
      <c r="T275" s="9"/>
      <c r="U275" s="9"/>
      <c r="V275" s="9"/>
      <c r="W275" s="9"/>
      <c r="X275" s="23"/>
      <c r="Y275" s="23"/>
      <c r="Z275" s="23"/>
      <c r="AA275" s="23"/>
      <c r="AB275" s="9"/>
      <c r="AC275" s="9" t="str">
        <f>IFERROR(__xludf.DUMMYFUNCTION("""COMPUTED_VALUE"""),"Pacific Rizhao")</f>
        <v>Pacific Rizhao</v>
      </c>
      <c r="AD275" s="25"/>
      <c r="AE275" s="25" t="str">
        <f t="shared" si="5"/>
        <v/>
      </c>
      <c r="AF275" s="23">
        <f t="shared" si="4"/>
        <v>1</v>
      </c>
      <c r="AG275" s="23" t="str">
        <f t="shared" si="6"/>
        <v/>
      </c>
      <c r="AH275" s="9"/>
      <c r="AI275" s="9"/>
    </row>
    <row r="276" ht="15.75" customHeight="1">
      <c r="B276" s="9"/>
      <c r="C276" s="9"/>
      <c r="D276" s="9"/>
      <c r="E276" s="5" t="s">
        <v>393</v>
      </c>
      <c r="F276" s="6">
        <v>84000.0</v>
      </c>
      <c r="G276" s="6">
        <v>54675.0</v>
      </c>
      <c r="H276" s="5" t="s">
        <v>26</v>
      </c>
      <c r="I276" s="5" t="s">
        <v>21</v>
      </c>
      <c r="J276" s="5">
        <v>3.74797E8</v>
      </c>
      <c r="K276" s="5">
        <v>9754824.0</v>
      </c>
      <c r="L276" s="5" t="s">
        <v>43</v>
      </c>
      <c r="M276" s="35">
        <v>46132.208333333336</v>
      </c>
      <c r="N276" s="5" t="b">
        <v>0</v>
      </c>
      <c r="O276" s="19"/>
      <c r="P276" s="7"/>
      <c r="Q276" s="9"/>
      <c r="R276" s="9"/>
      <c r="S276" s="9"/>
      <c r="T276" s="9"/>
      <c r="U276" s="9"/>
      <c r="V276" s="9"/>
      <c r="W276" s="9"/>
      <c r="X276" s="23"/>
      <c r="Y276" s="23"/>
      <c r="Z276" s="23"/>
      <c r="AA276" s="23"/>
      <c r="AB276" s="9"/>
      <c r="AC276" s="9" t="str">
        <f>IFERROR(__xludf.DUMMYFUNCTION("""COMPUTED_VALUE"""),"Pacific Shanghai")</f>
        <v>Pacific Shanghai</v>
      </c>
      <c r="AD276" s="25"/>
      <c r="AE276" s="25" t="str">
        <f t="shared" si="5"/>
        <v/>
      </c>
      <c r="AF276" s="23">
        <f t="shared" si="4"/>
        <v>1</v>
      </c>
      <c r="AG276" s="23">
        <f t="shared" si="6"/>
        <v>1</v>
      </c>
      <c r="AH276" s="9"/>
      <c r="AI276" s="9"/>
    </row>
    <row r="277" ht="15.75" customHeight="1">
      <c r="B277" s="9"/>
      <c r="C277" s="9"/>
      <c r="D277" s="9"/>
      <c r="E277" s="5" t="s">
        <v>394</v>
      </c>
      <c r="F277" s="6">
        <v>90000.0</v>
      </c>
      <c r="G277" s="6">
        <v>57847.0</v>
      </c>
      <c r="H277" s="5" t="s">
        <v>20</v>
      </c>
      <c r="I277" s="5" t="s">
        <v>21</v>
      </c>
      <c r="J277" s="5">
        <v>2.284067E8</v>
      </c>
      <c r="K277" s="5">
        <v>9904091.0</v>
      </c>
      <c r="L277" s="17"/>
      <c r="M277" s="53"/>
      <c r="N277" s="5" t="b">
        <v>1</v>
      </c>
      <c r="O277" s="19"/>
      <c r="P277" s="7"/>
      <c r="Q277" s="9"/>
      <c r="R277" s="9"/>
      <c r="S277" s="9"/>
      <c r="T277" s="9"/>
      <c r="U277" s="9"/>
      <c r="V277" s="9"/>
      <c r="W277" s="9"/>
      <c r="X277" s="23"/>
      <c r="Y277" s="23"/>
      <c r="Z277" s="23"/>
      <c r="AA277" s="23"/>
      <c r="AB277" s="9"/>
      <c r="AC277" s="9" t="str">
        <f>IFERROR(__xludf.DUMMYFUNCTION("""COMPUTED_VALUE"""),"Pacific Voyager")</f>
        <v>Pacific Voyager</v>
      </c>
      <c r="AD277" s="25"/>
      <c r="AE277" s="25" t="str">
        <f t="shared" si="5"/>
        <v/>
      </c>
      <c r="AF277" s="23">
        <f t="shared" si="4"/>
        <v>1</v>
      </c>
      <c r="AG277" s="23">
        <f t="shared" si="6"/>
        <v>1</v>
      </c>
      <c r="AH277" s="9"/>
      <c r="AI277" s="9"/>
    </row>
    <row r="278" ht="15.75" customHeight="1">
      <c r="B278" s="9"/>
      <c r="C278" s="9"/>
      <c r="D278" s="9"/>
      <c r="E278" s="5" t="s">
        <v>395</v>
      </c>
      <c r="F278" s="6">
        <v>80200.0</v>
      </c>
      <c r="G278" s="6">
        <v>53010.0</v>
      </c>
      <c r="H278" s="5" t="s">
        <v>20</v>
      </c>
      <c r="I278" s="5" t="s">
        <v>21</v>
      </c>
      <c r="J278" s="5">
        <v>5.2512106E8</v>
      </c>
      <c r="K278" s="5">
        <v>9454010.0</v>
      </c>
      <c r="L278" s="5" t="s">
        <v>289</v>
      </c>
      <c r="M278" s="35">
        <v>46140.416666666664</v>
      </c>
      <c r="N278" s="5" t="b">
        <v>1</v>
      </c>
      <c r="O278" s="19"/>
      <c r="P278" s="7"/>
      <c r="Q278" s="9"/>
      <c r="R278" s="9"/>
      <c r="S278" s="9"/>
      <c r="T278" s="9"/>
      <c r="U278" s="9"/>
      <c r="V278" s="9"/>
      <c r="W278" s="9"/>
      <c r="X278" s="23"/>
      <c r="Y278" s="23"/>
      <c r="Z278" s="23"/>
      <c r="AA278" s="23"/>
      <c r="AB278" s="9"/>
      <c r="AC278" s="9" t="str">
        <f>IFERROR(__xludf.DUMMYFUNCTION("""COMPUTED_VALUE"""),"Pacific Weihai")</f>
        <v>Pacific Weihai</v>
      </c>
      <c r="AD278" s="25"/>
      <c r="AE278" s="25" t="str">
        <f t="shared" si="5"/>
        <v/>
      </c>
      <c r="AF278" s="23">
        <f t="shared" si="4"/>
        <v>1</v>
      </c>
      <c r="AG278" s="23">
        <f t="shared" si="6"/>
        <v>1</v>
      </c>
      <c r="AH278" s="9"/>
      <c r="AI278" s="9"/>
    </row>
    <row r="279" ht="15.75" customHeight="1">
      <c r="B279" s="9"/>
      <c r="C279" s="9"/>
      <c r="D279" s="9"/>
      <c r="E279" s="5" t="s">
        <v>396</v>
      </c>
      <c r="F279" s="6">
        <v>84000.0</v>
      </c>
      <c r="G279" s="6">
        <v>53999.0</v>
      </c>
      <c r="H279" s="5" t="s">
        <v>20</v>
      </c>
      <c r="I279" s="5" t="s">
        <v>21</v>
      </c>
      <c r="J279" s="5">
        <v>5.38007028E8</v>
      </c>
      <c r="K279" s="5">
        <v>9735787.0</v>
      </c>
      <c r="L279" s="5" t="s">
        <v>397</v>
      </c>
      <c r="M279" s="38">
        <v>46164.333333333336</v>
      </c>
      <c r="N279" s="5" t="b">
        <v>1</v>
      </c>
      <c r="O279" s="19"/>
      <c r="P279" s="7"/>
      <c r="Q279" s="9"/>
      <c r="R279" s="9"/>
      <c r="S279" s="9"/>
      <c r="T279" s="9"/>
      <c r="U279" s="9"/>
      <c r="V279" s="9"/>
      <c r="W279" s="9"/>
      <c r="X279" s="23"/>
      <c r="Y279" s="23"/>
      <c r="Z279" s="23"/>
      <c r="AA279" s="23"/>
      <c r="AB279" s="9"/>
      <c r="AC279" s="9" t="str">
        <f>IFERROR(__xludf.DUMMYFUNCTION("""COMPUTED_VALUE"""),"Pacific Yantai")</f>
        <v>Pacific Yantai</v>
      </c>
      <c r="AD279" s="25"/>
      <c r="AE279" s="25" t="str">
        <f t="shared" si="5"/>
        <v/>
      </c>
      <c r="AF279" s="23">
        <f t="shared" si="4"/>
        <v>1</v>
      </c>
      <c r="AG279" s="23">
        <f t="shared" si="6"/>
        <v>1</v>
      </c>
      <c r="AH279" s="9"/>
      <c r="AI279" s="9"/>
    </row>
    <row r="280" ht="15.75" customHeight="1">
      <c r="B280" s="9"/>
      <c r="C280" s="9"/>
      <c r="D280" s="9"/>
      <c r="E280" s="5" t="s">
        <v>398</v>
      </c>
      <c r="F280" s="6">
        <v>93000.0</v>
      </c>
      <c r="G280" s="6">
        <v>59800.0</v>
      </c>
      <c r="H280" s="5" t="s">
        <v>72</v>
      </c>
      <c r="I280" s="5" t="s">
        <v>73</v>
      </c>
      <c r="J280" s="17"/>
      <c r="K280" s="5">
        <v>1039618.0</v>
      </c>
      <c r="L280" s="17"/>
      <c r="M280" s="18"/>
      <c r="N280" s="5" t="b">
        <v>0</v>
      </c>
      <c r="O280" s="19"/>
      <c r="P280" s="7"/>
      <c r="Q280" s="9"/>
      <c r="R280" s="9"/>
      <c r="S280" s="9"/>
      <c r="T280" s="9"/>
      <c r="U280" s="9"/>
      <c r="V280" s="9"/>
      <c r="W280" s="9"/>
      <c r="X280" s="23"/>
      <c r="Y280" s="23"/>
      <c r="Z280" s="23"/>
      <c r="AA280" s="23"/>
      <c r="AB280" s="9"/>
      <c r="AC280" s="9" t="str">
        <f>IFERROR(__xludf.DUMMYFUNCTION("""COMPUTED_VALUE"""),"Pacificator")</f>
        <v>Pacificator</v>
      </c>
      <c r="AD280" s="25"/>
      <c r="AE280" s="25" t="str">
        <f t="shared" si="5"/>
        <v/>
      </c>
      <c r="AF280" s="23">
        <f t="shared" si="4"/>
        <v>1</v>
      </c>
      <c r="AG280" s="23" t="str">
        <f t="shared" si="6"/>
        <v/>
      </c>
      <c r="AH280" s="9"/>
      <c r="AI280" s="9"/>
    </row>
    <row r="281" ht="15.75" customHeight="1">
      <c r="B281" s="9"/>
      <c r="C281" s="9"/>
      <c r="D281" s="9"/>
      <c r="E281" s="5" t="s">
        <v>399</v>
      </c>
      <c r="F281" s="6">
        <v>93000.0</v>
      </c>
      <c r="G281" s="6">
        <v>59800.0</v>
      </c>
      <c r="H281" s="5" t="s">
        <v>72</v>
      </c>
      <c r="I281" s="5" t="s">
        <v>73</v>
      </c>
      <c r="J281" s="17"/>
      <c r="K281" s="5">
        <v>1039620.0</v>
      </c>
      <c r="L281" s="17"/>
      <c r="M281" s="18"/>
      <c r="N281" s="5" t="b">
        <v>0</v>
      </c>
      <c r="O281" s="19"/>
      <c r="P281" s="7"/>
      <c r="Q281" s="9"/>
      <c r="R281" s="9"/>
      <c r="S281" s="9"/>
      <c r="T281" s="9"/>
      <c r="U281" s="9"/>
      <c r="V281" s="9"/>
      <c r="W281" s="9"/>
      <c r="X281" s="23"/>
      <c r="Y281" s="23"/>
      <c r="Z281" s="23"/>
      <c r="AA281" s="23"/>
      <c r="AB281" s="9"/>
      <c r="AC281" s="9" t="str">
        <f>IFERROR(__xludf.DUMMYFUNCTION("""COMPUTED_VALUE"""),"Parthia")</f>
        <v>Parthia</v>
      </c>
      <c r="AD281" s="25"/>
      <c r="AE281" s="25" t="str">
        <f t="shared" si="5"/>
        <v/>
      </c>
      <c r="AF281" s="23">
        <f t="shared" si="4"/>
        <v>1</v>
      </c>
      <c r="AG281" s="23" t="str">
        <f t="shared" si="6"/>
        <v/>
      </c>
      <c r="AH281" s="9"/>
      <c r="AI281" s="9"/>
    </row>
    <row r="282" ht="15.75" customHeight="1">
      <c r="B282" s="9"/>
      <c r="C282" s="9"/>
      <c r="D282" s="9"/>
      <c r="E282" s="5" t="s">
        <v>400</v>
      </c>
      <c r="F282" s="6">
        <v>90000.0</v>
      </c>
      <c r="G282" s="6">
        <v>63500.0</v>
      </c>
      <c r="H282" s="5" t="s">
        <v>72</v>
      </c>
      <c r="I282" s="5" t="s">
        <v>73</v>
      </c>
      <c r="J282" s="17"/>
      <c r="K282" s="5">
        <v>1088009.0</v>
      </c>
      <c r="L282" s="17"/>
      <c r="M282" s="18"/>
      <c r="N282" s="5" t="b">
        <v>0</v>
      </c>
      <c r="O282" s="19"/>
      <c r="P282" s="7"/>
      <c r="Q282" s="9"/>
      <c r="R282" s="9"/>
      <c r="S282" s="9"/>
      <c r="T282" s="9"/>
      <c r="U282" s="9"/>
      <c r="V282" s="9"/>
      <c r="W282" s="9"/>
      <c r="X282" s="23"/>
      <c r="Y282" s="23"/>
      <c r="Z282" s="23"/>
      <c r="AA282" s="23"/>
      <c r="AB282" s="9"/>
      <c r="AC282" s="9" t="str">
        <f>IFERROR(__xludf.DUMMYFUNCTION("""COMPUTED_VALUE"""),"Pertamina Gas 1")</f>
        <v>Pertamina Gas 1</v>
      </c>
      <c r="AD282" s="25"/>
      <c r="AE282" s="25" t="str">
        <f t="shared" si="5"/>
        <v/>
      </c>
      <c r="AF282" s="23">
        <f t="shared" si="4"/>
        <v>1</v>
      </c>
      <c r="AG282" s="23" t="str">
        <f t="shared" si="6"/>
        <v/>
      </c>
      <c r="AH282" s="9"/>
      <c r="AI282" s="9"/>
    </row>
    <row r="283" ht="15.75" customHeight="1">
      <c r="B283" s="9"/>
      <c r="C283" s="9"/>
      <c r="D283" s="9"/>
      <c r="E283" s="5" t="s">
        <v>401</v>
      </c>
      <c r="F283" s="6">
        <v>86000.0</v>
      </c>
      <c r="G283" s="6">
        <v>51269.0</v>
      </c>
      <c r="H283" s="5" t="s">
        <v>20</v>
      </c>
      <c r="I283" s="5" t="s">
        <v>21</v>
      </c>
      <c r="J283" s="5">
        <v>6.36022279E8</v>
      </c>
      <c r="K283" s="5">
        <v>9941221.0</v>
      </c>
      <c r="L283" s="5" t="s">
        <v>402</v>
      </c>
      <c r="M283" s="38">
        <v>46132.125</v>
      </c>
      <c r="N283" s="5" t="b">
        <v>1</v>
      </c>
      <c r="O283" s="19"/>
      <c r="P283" s="7"/>
      <c r="Q283" s="9"/>
      <c r="R283" s="9"/>
      <c r="S283" s="9"/>
      <c r="T283" s="9"/>
      <c r="U283" s="9"/>
      <c r="V283" s="9"/>
      <c r="W283" s="9"/>
      <c r="X283" s="23"/>
      <c r="Y283" s="23"/>
      <c r="Z283" s="23"/>
      <c r="AA283" s="23"/>
      <c r="AB283" s="9"/>
      <c r="AC283" s="9" t="str">
        <f>IFERROR(__xludf.DUMMYFUNCTION("""COMPUTED_VALUE"""),"Pertamina Gas 2")</f>
        <v>Pertamina Gas 2</v>
      </c>
      <c r="AD283" s="25"/>
      <c r="AE283" s="25" t="str">
        <f t="shared" si="5"/>
        <v/>
      </c>
      <c r="AF283" s="23">
        <f t="shared" si="4"/>
        <v>1</v>
      </c>
      <c r="AG283" s="23">
        <f t="shared" si="6"/>
        <v>1</v>
      </c>
      <c r="AH283" s="9"/>
      <c r="AI283" s="9"/>
    </row>
    <row r="284" ht="15.75" customHeight="1">
      <c r="B284" s="9"/>
      <c r="C284" s="9"/>
      <c r="D284" s="9"/>
      <c r="E284" s="5" t="s">
        <v>403</v>
      </c>
      <c r="F284" s="6">
        <v>91000.0</v>
      </c>
      <c r="G284" s="6">
        <v>58272.0</v>
      </c>
      <c r="H284" s="5" t="s">
        <v>26</v>
      </c>
      <c r="I284" s="5" t="s">
        <v>21</v>
      </c>
      <c r="J284" s="5">
        <v>5.38009826E8</v>
      </c>
      <c r="K284" s="5">
        <v>9932581.0</v>
      </c>
      <c r="L284" s="5" t="s">
        <v>38</v>
      </c>
      <c r="M284" s="35">
        <v>46132.486805555556</v>
      </c>
      <c r="N284" s="5" t="b">
        <v>0</v>
      </c>
      <c r="O284" s="19"/>
      <c r="P284" s="7"/>
      <c r="Q284" s="9"/>
      <c r="R284" s="9"/>
      <c r="S284" s="9"/>
      <c r="T284" s="9"/>
      <c r="U284" s="9"/>
      <c r="V284" s="9"/>
      <c r="W284" s="9"/>
      <c r="X284" s="23"/>
      <c r="Y284" s="23"/>
      <c r="Z284" s="23"/>
      <c r="AA284" s="23"/>
      <c r="AB284" s="9"/>
      <c r="AC284" s="9" t="str">
        <f>IFERROR(__xludf.DUMMYFUNCTION("""COMPUTED_VALUE"""),"Pertamina Gas Amaryllis")</f>
        <v>Pertamina Gas Amaryllis</v>
      </c>
      <c r="AD284" s="25"/>
      <c r="AE284" s="25" t="str">
        <f t="shared" si="5"/>
        <v/>
      </c>
      <c r="AF284" s="23">
        <f t="shared" si="4"/>
        <v>1</v>
      </c>
      <c r="AG284" s="23">
        <f t="shared" si="6"/>
        <v>1</v>
      </c>
      <c r="AH284" s="9"/>
      <c r="AI284" s="9"/>
    </row>
    <row r="285" ht="15.75" customHeight="1">
      <c r="B285" s="9"/>
      <c r="C285" s="9"/>
      <c r="D285" s="9"/>
      <c r="E285" s="5" t="s">
        <v>404</v>
      </c>
      <c r="F285" s="6">
        <v>78488.0</v>
      </c>
      <c r="G285" s="6">
        <v>50667.0</v>
      </c>
      <c r="H285" s="5" t="s">
        <v>26</v>
      </c>
      <c r="I285" s="5" t="s">
        <v>21</v>
      </c>
      <c r="J285" s="5">
        <v>6.47553031E8</v>
      </c>
      <c r="K285" s="5">
        <v>9008108.0</v>
      </c>
      <c r="L285" s="5" t="s">
        <v>160</v>
      </c>
      <c r="M285" s="35">
        <v>46145.583333333336</v>
      </c>
      <c r="N285" s="5" t="b">
        <v>0</v>
      </c>
      <c r="O285" s="19"/>
      <c r="P285" s="7"/>
      <c r="Q285" s="9"/>
      <c r="R285" s="9"/>
      <c r="S285" s="9"/>
      <c r="T285" s="9"/>
      <c r="U285" s="9"/>
      <c r="V285" s="9"/>
      <c r="W285" s="9"/>
      <c r="X285" s="23"/>
      <c r="Y285" s="23"/>
      <c r="Z285" s="23"/>
      <c r="AA285" s="23"/>
      <c r="AB285" s="9"/>
      <c r="AC285" s="9" t="str">
        <f>IFERROR(__xludf.DUMMYFUNCTION("""COMPUTED_VALUE"""),"Pertamina Gas Bergenia")</f>
        <v>Pertamina Gas Bergenia</v>
      </c>
      <c r="AD285" s="25"/>
      <c r="AE285" s="25" t="str">
        <f t="shared" si="5"/>
        <v/>
      </c>
      <c r="AF285" s="23">
        <f t="shared" si="4"/>
        <v>1</v>
      </c>
      <c r="AG285" s="23" t="str">
        <f t="shared" si="6"/>
        <v/>
      </c>
      <c r="AH285" s="9"/>
      <c r="AI285" s="9"/>
    </row>
    <row r="286" ht="15.75" customHeight="1">
      <c r="B286" s="9"/>
      <c r="C286" s="9"/>
      <c r="D286" s="9"/>
      <c r="E286" s="5" t="s">
        <v>405</v>
      </c>
      <c r="F286" s="6">
        <v>87000.0</v>
      </c>
      <c r="G286" s="6">
        <v>55000.0</v>
      </c>
      <c r="H286" s="5" t="s">
        <v>72</v>
      </c>
      <c r="I286" s="5" t="s">
        <v>73</v>
      </c>
      <c r="J286" s="17"/>
      <c r="K286" s="5">
        <v>1027421.0</v>
      </c>
      <c r="L286" s="17"/>
      <c r="M286" s="18"/>
      <c r="N286" s="5" t="b">
        <v>0</v>
      </c>
      <c r="O286" s="19"/>
      <c r="P286" s="7"/>
      <c r="Q286" s="9"/>
      <c r="R286" s="9"/>
      <c r="S286" s="9"/>
      <c r="T286" s="9"/>
      <c r="U286" s="9"/>
      <c r="V286" s="9"/>
      <c r="W286" s="9"/>
      <c r="X286" s="23"/>
      <c r="Y286" s="23"/>
      <c r="Z286" s="23"/>
      <c r="AA286" s="23"/>
      <c r="AB286" s="9"/>
      <c r="AC286" s="9" t="str">
        <f>IFERROR(__xludf.DUMMYFUNCTION("""COMPUTED_VALUE"""),"Pertamina Gas Caspia")</f>
        <v>Pertamina Gas Caspia</v>
      </c>
      <c r="AD286" s="25"/>
      <c r="AE286" s="25" t="str">
        <f t="shared" si="5"/>
        <v/>
      </c>
      <c r="AF286" s="23">
        <f t="shared" si="4"/>
        <v>1</v>
      </c>
      <c r="AG286" s="23" t="str">
        <f t="shared" si="6"/>
        <v/>
      </c>
      <c r="AH286" s="9"/>
      <c r="AI286" s="9"/>
    </row>
    <row r="287" ht="15.75" customHeight="1">
      <c r="B287" s="9"/>
      <c r="C287" s="9"/>
      <c r="D287" s="9"/>
      <c r="E287" s="5" t="s">
        <v>406</v>
      </c>
      <c r="F287" s="6">
        <v>86700.0</v>
      </c>
      <c r="G287" s="6">
        <v>55000.0</v>
      </c>
      <c r="H287" s="5" t="s">
        <v>72</v>
      </c>
      <c r="I287" s="5" t="s">
        <v>73</v>
      </c>
      <c r="J287" s="17"/>
      <c r="K287" s="5">
        <v>1071018.0</v>
      </c>
      <c r="L287" s="17"/>
      <c r="M287" s="53"/>
      <c r="N287" s="5" t="b">
        <v>0</v>
      </c>
      <c r="O287" s="19"/>
      <c r="P287" s="7"/>
      <c r="Q287" s="9"/>
      <c r="R287" s="9"/>
      <c r="S287" s="9"/>
      <c r="T287" s="9"/>
      <c r="U287" s="9"/>
      <c r="V287" s="9"/>
      <c r="W287" s="9"/>
      <c r="X287" s="23"/>
      <c r="Y287" s="23"/>
      <c r="Z287" s="23"/>
      <c r="AA287" s="23"/>
      <c r="AB287" s="9"/>
      <c r="AC287" s="9" t="str">
        <f>IFERROR(__xludf.DUMMYFUNCTION("""COMPUTED_VALUE"""),"Pertamina Gas Dahlia")</f>
        <v>Pertamina Gas Dahlia</v>
      </c>
      <c r="AD287" s="25"/>
      <c r="AE287" s="25" t="str">
        <f t="shared" si="5"/>
        <v/>
      </c>
      <c r="AF287" s="23">
        <f t="shared" si="4"/>
        <v>1</v>
      </c>
      <c r="AG287" s="23" t="str">
        <f t="shared" si="6"/>
        <v/>
      </c>
      <c r="AH287" s="9"/>
      <c r="AI287" s="9"/>
    </row>
    <row r="288" ht="15.75" customHeight="1">
      <c r="B288" s="9"/>
      <c r="C288" s="9"/>
      <c r="D288" s="9"/>
      <c r="E288" s="5" t="s">
        <v>407</v>
      </c>
      <c r="F288" s="6">
        <v>84000.0</v>
      </c>
      <c r="G288" s="6">
        <v>54557.0</v>
      </c>
      <c r="H288" s="5" t="s">
        <v>20</v>
      </c>
      <c r="I288" s="5" t="s">
        <v>21</v>
      </c>
      <c r="J288" s="5">
        <v>5.38011491E8</v>
      </c>
      <c r="K288" s="5">
        <v>9699995.0</v>
      </c>
      <c r="L288" s="5" t="s">
        <v>358</v>
      </c>
      <c r="M288" s="35">
        <v>46134.75</v>
      </c>
      <c r="N288" s="5" t="b">
        <v>1</v>
      </c>
      <c r="O288" s="19"/>
      <c r="P288" s="7"/>
      <c r="Q288" s="9"/>
      <c r="R288" s="9"/>
      <c r="S288" s="9"/>
      <c r="T288" s="9"/>
      <c r="U288" s="9"/>
      <c r="V288" s="9"/>
      <c r="W288" s="9"/>
      <c r="X288" s="23"/>
      <c r="Y288" s="23"/>
      <c r="Z288" s="23"/>
      <c r="AA288" s="23"/>
      <c r="AB288" s="9"/>
      <c r="AC288" s="9" t="str">
        <f>IFERROR(__xludf.DUMMYFUNCTION("""COMPUTED_VALUE"""),"Pertamina Gas Tulip")</f>
        <v>Pertamina Gas Tulip</v>
      </c>
      <c r="AD288" s="25"/>
      <c r="AE288" s="25" t="str">
        <f t="shared" si="5"/>
        <v/>
      </c>
      <c r="AF288" s="23">
        <f t="shared" si="4"/>
        <v>1</v>
      </c>
      <c r="AG288" s="23">
        <f t="shared" si="6"/>
        <v>1</v>
      </c>
      <c r="AH288" s="9"/>
      <c r="AI288" s="9"/>
    </row>
    <row r="289" ht="15.75" customHeight="1">
      <c r="B289" s="9"/>
      <c r="C289" s="9"/>
      <c r="D289" s="9"/>
      <c r="E289" s="5" t="s">
        <v>408</v>
      </c>
      <c r="F289" s="6">
        <v>89000.0</v>
      </c>
      <c r="G289" s="6">
        <v>56419.0</v>
      </c>
      <c r="H289" s="5" t="s">
        <v>20</v>
      </c>
      <c r="I289" s="5" t="s">
        <v>21</v>
      </c>
      <c r="J289" s="5">
        <v>6.36022842E8</v>
      </c>
      <c r="K289" s="5">
        <v>9984716.0</v>
      </c>
      <c r="L289" s="5" t="s">
        <v>190</v>
      </c>
      <c r="M289" s="35">
        <v>46140.291666666664</v>
      </c>
      <c r="N289" s="5" t="b">
        <v>1</v>
      </c>
      <c r="O289" s="19"/>
      <c r="P289" s="7"/>
      <c r="Q289" s="9"/>
      <c r="R289" s="9"/>
      <c r="S289" s="9"/>
      <c r="T289" s="9"/>
      <c r="U289" s="9"/>
      <c r="V289" s="9"/>
      <c r="W289" s="9"/>
      <c r="X289" s="23"/>
      <c r="Y289" s="23"/>
      <c r="Z289" s="23"/>
      <c r="AA289" s="23"/>
      <c r="AB289" s="9"/>
      <c r="AC289" s="9" t="str">
        <f>IFERROR(__xludf.DUMMYFUNCTION("""COMPUTED_VALUE"""),"Phoenix Gaia")</f>
        <v>Phoenix Gaia</v>
      </c>
      <c r="AD289" s="25"/>
      <c r="AE289" s="25" t="str">
        <f t="shared" si="5"/>
        <v/>
      </c>
      <c r="AF289" s="23">
        <f t="shared" si="4"/>
        <v>1</v>
      </c>
      <c r="AG289" s="23">
        <f t="shared" si="6"/>
        <v>1</v>
      </c>
      <c r="AH289" s="9"/>
      <c r="AI289" s="9"/>
    </row>
    <row r="290" ht="15.0" customHeight="1">
      <c r="B290" s="9"/>
      <c r="C290" s="9"/>
      <c r="D290" s="9"/>
      <c r="E290" s="5" t="s">
        <v>409</v>
      </c>
      <c r="F290" s="6">
        <v>80595.0</v>
      </c>
      <c r="G290" s="6">
        <v>58591.0</v>
      </c>
      <c r="H290" s="5" t="s">
        <v>26</v>
      </c>
      <c r="I290" s="5" t="s">
        <v>21</v>
      </c>
      <c r="J290" s="5">
        <v>3.54453E8</v>
      </c>
      <c r="K290" s="5">
        <v>9249049.0</v>
      </c>
      <c r="L290" s="17"/>
      <c r="M290" s="18"/>
      <c r="N290" s="5" t="b">
        <v>0</v>
      </c>
      <c r="O290" s="19"/>
      <c r="P290" s="7"/>
      <c r="Q290" s="9"/>
      <c r="R290" s="9"/>
      <c r="S290" s="9"/>
      <c r="T290" s="9"/>
      <c r="U290" s="9"/>
      <c r="V290" s="9"/>
      <c r="W290" s="9"/>
      <c r="X290" s="23"/>
      <c r="Y290" s="23"/>
      <c r="Z290" s="23"/>
      <c r="AA290" s="23"/>
      <c r="AB290" s="9"/>
      <c r="AC290" s="9" t="str">
        <f>IFERROR(__xludf.DUMMYFUNCTION("""COMPUTED_VALUE"""),"Phoenix Harmonia")</f>
        <v>Phoenix Harmonia</v>
      </c>
      <c r="AD290" s="25"/>
      <c r="AE290" s="25" t="str">
        <f t="shared" si="5"/>
        <v/>
      </c>
      <c r="AF290" s="23">
        <f t="shared" si="4"/>
        <v>1</v>
      </c>
      <c r="AG290" s="23">
        <f t="shared" si="6"/>
        <v>1</v>
      </c>
      <c r="AH290" s="9"/>
      <c r="AI290" s="9"/>
    </row>
    <row r="291" ht="15.75" customHeight="1">
      <c r="B291" s="9"/>
      <c r="C291" s="9"/>
      <c r="D291" s="9"/>
      <c r="E291" s="5" t="s">
        <v>410</v>
      </c>
      <c r="F291" s="6">
        <v>91000.0</v>
      </c>
      <c r="G291" s="6">
        <v>59350.0</v>
      </c>
      <c r="H291" s="5" t="s">
        <v>20</v>
      </c>
      <c r="I291" s="5" t="s">
        <v>21</v>
      </c>
      <c r="J291" s="5">
        <v>5.38009827E8</v>
      </c>
      <c r="K291" s="5">
        <v>9932608.0</v>
      </c>
      <c r="L291" s="5" t="s">
        <v>277</v>
      </c>
      <c r="M291" s="35">
        <v>46132.625</v>
      </c>
      <c r="N291" s="5" t="b">
        <v>1</v>
      </c>
      <c r="O291" s="19"/>
      <c r="P291" s="7"/>
      <c r="Q291" s="9"/>
      <c r="R291" s="9"/>
      <c r="S291" s="9"/>
      <c r="T291" s="9"/>
      <c r="U291" s="9"/>
      <c r="V291" s="9"/>
      <c r="W291" s="9"/>
      <c r="X291" s="23"/>
      <c r="Y291" s="23"/>
      <c r="Z291" s="23"/>
      <c r="AA291" s="23"/>
      <c r="AB291" s="9"/>
      <c r="AC291" s="9" t="str">
        <f>IFERROR(__xludf.DUMMYFUNCTION("""COMPUTED_VALUE"""),"Pinza")</f>
        <v>Pinza</v>
      </c>
      <c r="AD291" s="25"/>
      <c r="AE291" s="25" t="str">
        <f t="shared" si="5"/>
        <v/>
      </c>
      <c r="AF291" s="23">
        <f t="shared" si="4"/>
        <v>1</v>
      </c>
      <c r="AG291" s="23">
        <f t="shared" si="6"/>
        <v>1</v>
      </c>
      <c r="AH291" s="9"/>
      <c r="AI291" s="9"/>
    </row>
    <row r="292" ht="15.75" customHeight="1">
      <c r="B292" s="9"/>
      <c r="C292" s="9"/>
      <c r="D292" s="9"/>
      <c r="E292" s="5" t="s">
        <v>411</v>
      </c>
      <c r="F292" s="6">
        <v>84000.0</v>
      </c>
      <c r="G292" s="6">
        <v>54000.0</v>
      </c>
      <c r="H292" s="5" t="s">
        <v>26</v>
      </c>
      <c r="I292" s="5" t="s">
        <v>21</v>
      </c>
      <c r="J292" s="5">
        <v>3.52001822E8</v>
      </c>
      <c r="K292" s="5">
        <v>9933444.0</v>
      </c>
      <c r="L292" s="5" t="s">
        <v>101</v>
      </c>
      <c r="M292" s="35">
        <v>46145.708333333336</v>
      </c>
      <c r="N292" s="5" t="b">
        <v>0</v>
      </c>
      <c r="O292" s="19"/>
      <c r="P292" s="7"/>
      <c r="Q292" s="9"/>
      <c r="R292" s="9"/>
      <c r="S292" s="9"/>
      <c r="T292" s="9"/>
      <c r="U292" s="9"/>
      <c r="V292" s="9"/>
      <c r="W292" s="9"/>
      <c r="X292" s="23"/>
      <c r="Y292" s="23"/>
      <c r="Z292" s="23"/>
      <c r="AA292" s="23"/>
      <c r="AB292" s="9"/>
      <c r="AC292" s="9" t="str">
        <f>IFERROR(__xludf.DUMMYFUNCTION("""COMPUTED_VALUE"""),"Pointis")</f>
        <v>Pointis</v>
      </c>
      <c r="AD292" s="25"/>
      <c r="AE292" s="25" t="str">
        <f t="shared" si="5"/>
        <v/>
      </c>
      <c r="AF292" s="23">
        <f t="shared" si="4"/>
        <v>1</v>
      </c>
      <c r="AG292" s="23">
        <f t="shared" si="6"/>
        <v>1</v>
      </c>
      <c r="AH292" s="9"/>
      <c r="AI292" s="9"/>
    </row>
    <row r="293" ht="15.75" customHeight="1">
      <c r="B293" s="9"/>
      <c r="C293" s="9"/>
      <c r="D293" s="9"/>
      <c r="E293" s="5" t="s">
        <v>412</v>
      </c>
      <c r="F293" s="6">
        <v>83000.0</v>
      </c>
      <c r="G293" s="6">
        <v>55115.0</v>
      </c>
      <c r="H293" s="5" t="s">
        <v>20</v>
      </c>
      <c r="I293" s="5" t="s">
        <v>21</v>
      </c>
      <c r="J293" s="5">
        <v>4.312E8</v>
      </c>
      <c r="K293" s="5">
        <v>9795672.0</v>
      </c>
      <c r="L293" s="5" t="s">
        <v>101</v>
      </c>
      <c r="M293" s="38">
        <v>46136.875</v>
      </c>
      <c r="N293" s="5" t="b">
        <v>1</v>
      </c>
      <c r="O293" s="19"/>
      <c r="P293" s="7"/>
      <c r="Q293" s="9"/>
      <c r="R293" s="9"/>
      <c r="S293" s="9"/>
      <c r="T293" s="9"/>
      <c r="U293" s="9"/>
      <c r="V293" s="9"/>
      <c r="W293" s="9"/>
      <c r="X293" s="23"/>
      <c r="Y293" s="23"/>
      <c r="Z293" s="23"/>
      <c r="AA293" s="23"/>
      <c r="AB293" s="9"/>
      <c r="AC293" s="9" t="str">
        <f>IFERROR(__xludf.DUMMYFUNCTION("""COMPUTED_VALUE"""),"Prima Energy")</f>
        <v>Prima Energy</v>
      </c>
      <c r="AD293" s="25"/>
      <c r="AE293" s="25" t="str">
        <f t="shared" si="5"/>
        <v/>
      </c>
      <c r="AF293" s="23">
        <f t="shared" si="4"/>
        <v>1</v>
      </c>
      <c r="AG293" s="23">
        <f t="shared" si="6"/>
        <v>1</v>
      </c>
      <c r="AH293" s="9"/>
      <c r="AI293" s="9"/>
    </row>
    <row r="294" ht="15.75" customHeight="1">
      <c r="B294" s="9"/>
      <c r="C294" s="9"/>
      <c r="D294" s="9"/>
      <c r="E294" s="5" t="s">
        <v>413</v>
      </c>
      <c r="F294" s="6">
        <v>83000.0</v>
      </c>
      <c r="G294" s="6">
        <v>55076.0</v>
      </c>
      <c r="H294" s="5" t="s">
        <v>26</v>
      </c>
      <c r="I294" s="5" t="s">
        <v>21</v>
      </c>
      <c r="J294" s="5">
        <v>3.74773E8</v>
      </c>
      <c r="K294" s="5">
        <v>9773234.0</v>
      </c>
      <c r="L294" s="5" t="s">
        <v>43</v>
      </c>
      <c r="M294" s="38">
        <v>46145.625</v>
      </c>
      <c r="N294" s="5" t="b">
        <v>0</v>
      </c>
      <c r="O294" s="19"/>
      <c r="P294" s="7"/>
      <c r="Q294" s="9"/>
      <c r="R294" s="9"/>
      <c r="S294" s="9"/>
      <c r="T294" s="9"/>
      <c r="U294" s="9"/>
      <c r="V294" s="9"/>
      <c r="W294" s="9"/>
      <c r="X294" s="23"/>
      <c r="Y294" s="23"/>
      <c r="Z294" s="23"/>
      <c r="AA294" s="23"/>
      <c r="AB294" s="9"/>
      <c r="AC294" s="9" t="str">
        <f>IFERROR(__xludf.DUMMYFUNCTION("""COMPUTED_VALUE"""),"Pyxis Alfa")</f>
        <v>Pyxis Alfa</v>
      </c>
      <c r="AD294" s="25"/>
      <c r="AE294" s="25" t="str">
        <f t="shared" si="5"/>
        <v/>
      </c>
      <c r="AF294" s="23">
        <f t="shared" si="4"/>
        <v>1</v>
      </c>
      <c r="AG294" s="23">
        <f t="shared" si="6"/>
        <v>1</v>
      </c>
      <c r="AH294" s="9"/>
      <c r="AI294" s="9"/>
    </row>
    <row r="295" ht="15.75" customHeight="1">
      <c r="B295" s="9"/>
      <c r="C295" s="9"/>
      <c r="D295" s="9"/>
      <c r="E295" s="5" t="s">
        <v>414</v>
      </c>
      <c r="F295" s="6">
        <v>83000.0</v>
      </c>
      <c r="G295" s="6">
        <v>55133.0</v>
      </c>
      <c r="H295" s="5" t="s">
        <v>20</v>
      </c>
      <c r="I295" s="5" t="s">
        <v>21</v>
      </c>
      <c r="J295" s="5">
        <v>3.74192E8</v>
      </c>
      <c r="K295" s="5">
        <v>9723679.0</v>
      </c>
      <c r="L295" s="5" t="s">
        <v>190</v>
      </c>
      <c r="M295" s="35">
        <v>46133.354166666664</v>
      </c>
      <c r="N295" s="5" t="b">
        <v>1</v>
      </c>
      <c r="O295" s="19"/>
      <c r="P295" s="7"/>
      <c r="Q295" s="9"/>
      <c r="R295" s="9"/>
      <c r="S295" s="9"/>
      <c r="T295" s="9"/>
      <c r="U295" s="9"/>
      <c r="V295" s="9"/>
      <c r="W295" s="9"/>
      <c r="X295" s="23"/>
      <c r="Y295" s="23"/>
      <c r="Z295" s="23"/>
      <c r="AA295" s="23"/>
      <c r="AB295" s="9"/>
      <c r="AC295" s="9" t="str">
        <f>IFERROR(__xludf.DUMMYFUNCTION("""COMPUTED_VALUE"""),"Pyxis Pioneer")</f>
        <v>Pyxis Pioneer</v>
      </c>
      <c r="AD295" s="25"/>
      <c r="AE295" s="25" t="str">
        <f t="shared" si="5"/>
        <v/>
      </c>
      <c r="AF295" s="23">
        <f t="shared" si="4"/>
        <v>1</v>
      </c>
      <c r="AG295" s="23">
        <f t="shared" si="6"/>
        <v>1</v>
      </c>
      <c r="AH295" s="9"/>
      <c r="AI295" s="9"/>
    </row>
    <row r="296" ht="15.75" customHeight="1">
      <c r="B296" s="9"/>
      <c r="C296" s="9"/>
      <c r="D296" s="9"/>
      <c r="E296" s="5" t="s">
        <v>415</v>
      </c>
      <c r="F296" s="6">
        <v>91000.0</v>
      </c>
      <c r="G296" s="6">
        <v>59017.0</v>
      </c>
      <c r="H296" s="5" t="s">
        <v>20</v>
      </c>
      <c r="I296" s="5" t="s">
        <v>21</v>
      </c>
      <c r="J296" s="5">
        <v>6.36021162E8</v>
      </c>
      <c r="K296" s="5">
        <v>9938523.0</v>
      </c>
      <c r="L296" s="5" t="s">
        <v>140</v>
      </c>
      <c r="M296" s="35">
        <v>46151.208333333336</v>
      </c>
      <c r="N296" s="5" t="b">
        <v>1</v>
      </c>
      <c r="O296" s="19"/>
      <c r="P296" s="7"/>
      <c r="Q296" s="9"/>
      <c r="R296" s="9"/>
      <c r="S296" s="9"/>
      <c r="T296" s="9"/>
      <c r="U296" s="9"/>
      <c r="V296" s="9"/>
      <c r="W296" s="9"/>
      <c r="X296" s="23"/>
      <c r="Y296" s="23"/>
      <c r="Z296" s="23"/>
      <c r="AA296" s="23"/>
      <c r="AB296" s="9"/>
      <c r="AC296" s="9" t="str">
        <f>IFERROR(__xludf.DUMMYFUNCTION("""COMPUTED_VALUE"""),"Rabdan")</f>
        <v>Rabdan</v>
      </c>
      <c r="AD296" s="25"/>
      <c r="AE296" s="25" t="str">
        <f t="shared" si="5"/>
        <v/>
      </c>
      <c r="AF296" s="23">
        <f t="shared" si="4"/>
        <v>1</v>
      </c>
      <c r="AG296" s="23">
        <f t="shared" si="6"/>
        <v>1</v>
      </c>
      <c r="AH296" s="9"/>
      <c r="AI296" s="9"/>
    </row>
    <row r="297" ht="15.75" customHeight="1">
      <c r="B297" s="9"/>
      <c r="C297" s="9"/>
      <c r="D297" s="9"/>
      <c r="E297" s="5" t="s">
        <v>416</v>
      </c>
      <c r="F297" s="6">
        <v>83000.0</v>
      </c>
      <c r="G297" s="6">
        <v>54893.0</v>
      </c>
      <c r="H297" s="5" t="s">
        <v>20</v>
      </c>
      <c r="I297" s="5" t="s">
        <v>21</v>
      </c>
      <c r="J297" s="5">
        <v>3.5656E8</v>
      </c>
      <c r="K297" s="5">
        <v>9776341.0</v>
      </c>
      <c r="L297" s="5" t="s">
        <v>80</v>
      </c>
      <c r="M297" s="35">
        <v>46134.208333333336</v>
      </c>
      <c r="N297" s="5" t="b">
        <v>1</v>
      </c>
      <c r="O297" s="19"/>
      <c r="P297" s="7"/>
      <c r="Q297" s="9"/>
      <c r="R297" s="9"/>
      <c r="S297" s="9"/>
      <c r="T297" s="9"/>
      <c r="U297" s="9"/>
      <c r="V297" s="9"/>
      <c r="W297" s="9"/>
      <c r="X297" s="23"/>
      <c r="Y297" s="23"/>
      <c r="Z297" s="23"/>
      <c r="AA297" s="23"/>
      <c r="AB297" s="9"/>
      <c r="AC297" s="9" t="str">
        <f>IFERROR(__xludf.DUMMYFUNCTION("""COMPUTED_VALUE"""),"Red Admiral")</f>
        <v>Red Admiral</v>
      </c>
      <c r="AD297" s="25"/>
      <c r="AE297" s="25" t="str">
        <f t="shared" si="5"/>
        <v/>
      </c>
      <c r="AF297" s="23">
        <f t="shared" si="4"/>
        <v>1</v>
      </c>
      <c r="AG297" s="23">
        <f t="shared" si="6"/>
        <v>1</v>
      </c>
      <c r="AH297" s="9"/>
      <c r="AI297" s="9"/>
    </row>
    <row r="298" ht="15.75" customHeight="1">
      <c r="B298" s="9"/>
      <c r="C298" s="9"/>
      <c r="D298" s="9"/>
      <c r="E298" s="5" t="s">
        <v>417</v>
      </c>
      <c r="F298" s="6">
        <v>77330.0</v>
      </c>
      <c r="G298" s="6">
        <v>49999.0</v>
      </c>
      <c r="H298" s="5" t="s">
        <v>20</v>
      </c>
      <c r="I298" s="5" t="s">
        <v>21</v>
      </c>
      <c r="J298" s="5">
        <v>5.64692E8</v>
      </c>
      <c r="K298" s="5">
        <v>9255713.0</v>
      </c>
      <c r="L298" s="5" t="s">
        <v>418</v>
      </c>
      <c r="M298" s="35">
        <v>46166.125</v>
      </c>
      <c r="N298" s="5" t="b">
        <v>1</v>
      </c>
      <c r="O298" s="19"/>
      <c r="P298" s="7"/>
      <c r="Q298" s="9"/>
      <c r="R298" s="9"/>
      <c r="S298" s="9"/>
      <c r="T298" s="9"/>
      <c r="U298" s="9"/>
      <c r="V298" s="9"/>
      <c r="W298" s="9"/>
      <c r="X298" s="23"/>
      <c r="Y298" s="23"/>
      <c r="Z298" s="23"/>
      <c r="AA298" s="23"/>
      <c r="AB298" s="9"/>
      <c r="AC298" s="9" t="str">
        <f>IFERROR(__xludf.DUMMYFUNCTION("""COMPUTED_VALUE"""),"Red Marauder")</f>
        <v>Red Marauder</v>
      </c>
      <c r="AD298" s="25"/>
      <c r="AE298" s="25" t="str">
        <f t="shared" si="5"/>
        <v/>
      </c>
      <c r="AF298" s="23">
        <f t="shared" si="4"/>
        <v>1</v>
      </c>
      <c r="AG298" s="23">
        <f t="shared" si="6"/>
        <v>1</v>
      </c>
      <c r="AH298" s="9"/>
      <c r="AI298" s="9"/>
    </row>
    <row r="299" ht="15.75" customHeight="1">
      <c r="B299" s="9"/>
      <c r="C299" s="9"/>
      <c r="D299" s="9"/>
      <c r="E299" s="5" t="s">
        <v>419</v>
      </c>
      <c r="F299" s="6">
        <v>86700.0</v>
      </c>
      <c r="G299" s="6">
        <v>55000.0</v>
      </c>
      <c r="H299" s="5" t="s">
        <v>26</v>
      </c>
      <c r="I299" s="5" t="s">
        <v>21</v>
      </c>
      <c r="J299" s="5">
        <v>4.31232E8</v>
      </c>
      <c r="K299" s="5">
        <v>9970698.0</v>
      </c>
      <c r="L299" s="17"/>
      <c r="M299" s="18"/>
      <c r="N299" s="5" t="b">
        <v>0</v>
      </c>
      <c r="O299" s="19"/>
      <c r="P299" s="7"/>
      <c r="Q299" s="9"/>
      <c r="R299" s="9"/>
      <c r="S299" s="9"/>
      <c r="T299" s="9"/>
      <c r="U299" s="9"/>
      <c r="V299" s="9"/>
      <c r="W299" s="9"/>
      <c r="X299" s="23"/>
      <c r="Y299" s="23"/>
      <c r="Z299" s="23"/>
      <c r="AA299" s="23"/>
      <c r="AB299" s="9"/>
      <c r="AC299" s="9" t="str">
        <f>IFERROR(__xludf.DUMMYFUNCTION("""COMPUTED_VALUE"""),"Red Rum")</f>
        <v>Red Rum</v>
      </c>
      <c r="AD299" s="25"/>
      <c r="AE299" s="25" t="str">
        <f t="shared" si="5"/>
        <v/>
      </c>
      <c r="AF299" s="23">
        <f t="shared" si="4"/>
        <v>1</v>
      </c>
      <c r="AG299" s="23">
        <f t="shared" si="6"/>
        <v>1</v>
      </c>
      <c r="AH299" s="9"/>
      <c r="AI299" s="9"/>
    </row>
    <row r="300" ht="15.75" customHeight="1">
      <c r="B300" s="9"/>
      <c r="C300" s="9"/>
      <c r="D300" s="9"/>
      <c r="E300" s="5" t="s">
        <v>420</v>
      </c>
      <c r="F300" s="6">
        <v>83000.0</v>
      </c>
      <c r="G300" s="6">
        <v>52000.0</v>
      </c>
      <c r="H300" s="5" t="s">
        <v>20</v>
      </c>
      <c r="I300" s="5" t="s">
        <v>21</v>
      </c>
      <c r="J300" s="5">
        <v>3.53727E8</v>
      </c>
      <c r="K300" s="5">
        <v>9809540.0</v>
      </c>
      <c r="L300" s="5" t="s">
        <v>302</v>
      </c>
      <c r="M300" s="35">
        <v>46141.72986111111</v>
      </c>
      <c r="N300" s="5" t="b">
        <v>1</v>
      </c>
      <c r="O300" s="19"/>
      <c r="P300" s="7"/>
      <c r="Q300" s="9"/>
      <c r="R300" s="9"/>
      <c r="S300" s="9"/>
      <c r="T300" s="9"/>
      <c r="U300" s="9"/>
      <c r="V300" s="9"/>
      <c r="W300" s="9"/>
      <c r="X300" s="23"/>
      <c r="Y300" s="23"/>
      <c r="Z300" s="23"/>
      <c r="AA300" s="23"/>
      <c r="AB300" s="9"/>
      <c r="AC300" s="9" t="str">
        <f>IFERROR(__xludf.DUMMYFUNCTION("""COMPUTED_VALUE"""),"Reference Point")</f>
        <v>Reference Point</v>
      </c>
      <c r="AD300" s="25"/>
      <c r="AE300" s="25" t="str">
        <f t="shared" si="5"/>
        <v/>
      </c>
      <c r="AF300" s="23">
        <f t="shared" si="4"/>
        <v>1</v>
      </c>
      <c r="AG300" s="23">
        <f t="shared" si="6"/>
        <v>1</v>
      </c>
      <c r="AH300" s="9"/>
      <c r="AI300" s="9"/>
    </row>
    <row r="301" ht="15.75" customHeight="1">
      <c r="B301" s="9"/>
      <c r="C301" s="9"/>
      <c r="D301" s="9"/>
      <c r="E301" s="5" t="s">
        <v>421</v>
      </c>
      <c r="F301" s="6">
        <v>83000.0</v>
      </c>
      <c r="G301" s="6">
        <v>52000.0</v>
      </c>
      <c r="H301" s="5" t="s">
        <v>20</v>
      </c>
      <c r="I301" s="5" t="s">
        <v>21</v>
      </c>
      <c r="J301" s="5">
        <v>3.70503E8</v>
      </c>
      <c r="K301" s="5">
        <v>9809552.0</v>
      </c>
      <c r="L301" s="5" t="s">
        <v>422</v>
      </c>
      <c r="M301" s="35">
        <v>46143.5</v>
      </c>
      <c r="N301" s="5" t="b">
        <v>1</v>
      </c>
      <c r="O301" s="19"/>
      <c r="P301" s="7"/>
      <c r="Q301" s="9"/>
      <c r="R301" s="9"/>
      <c r="S301" s="9"/>
      <c r="T301" s="9"/>
      <c r="U301" s="9"/>
      <c r="V301" s="9"/>
      <c r="W301" s="9"/>
      <c r="X301" s="23"/>
      <c r="Y301" s="23"/>
      <c r="Z301" s="23"/>
      <c r="AA301" s="23"/>
      <c r="AB301" s="9"/>
      <c r="AC301" s="9" t="str">
        <f>IFERROR(__xludf.DUMMYFUNCTION("""COMPUTED_VALUE"""),"Reggane")</f>
        <v>Reggane</v>
      </c>
      <c r="AD301" s="25"/>
      <c r="AE301" s="25" t="str">
        <f t="shared" si="5"/>
        <v/>
      </c>
      <c r="AF301" s="23">
        <f t="shared" si="4"/>
        <v>1</v>
      </c>
      <c r="AG301" s="23">
        <f t="shared" si="6"/>
        <v>1</v>
      </c>
      <c r="AH301" s="9"/>
      <c r="AI301" s="9"/>
    </row>
    <row r="302" ht="15.75" customHeight="1">
      <c r="B302" s="9"/>
      <c r="C302" s="9"/>
      <c r="D302" s="9"/>
      <c r="E302" s="5" t="s">
        <v>423</v>
      </c>
      <c r="F302" s="6">
        <v>86000.0</v>
      </c>
      <c r="G302" s="6">
        <v>51269.0</v>
      </c>
      <c r="H302" s="5" t="s">
        <v>20</v>
      </c>
      <c r="I302" s="5" t="s">
        <v>21</v>
      </c>
      <c r="J302" s="5">
        <v>6.36022939E8</v>
      </c>
      <c r="K302" s="5">
        <v>9941233.0</v>
      </c>
      <c r="L302" s="5" t="s">
        <v>190</v>
      </c>
      <c r="M302" s="35">
        <v>46141.041666666664</v>
      </c>
      <c r="N302" s="5" t="b">
        <v>1</v>
      </c>
      <c r="O302" s="19"/>
      <c r="P302" s="7"/>
      <c r="Q302" s="9"/>
      <c r="R302" s="9"/>
      <c r="S302" s="9"/>
      <c r="T302" s="9"/>
      <c r="U302" s="9"/>
      <c r="V302" s="9"/>
      <c r="W302" s="9"/>
      <c r="X302" s="23"/>
      <c r="Y302" s="23"/>
      <c r="Z302" s="23"/>
      <c r="AA302" s="23"/>
      <c r="AB302" s="9"/>
      <c r="AC302" s="9" t="str">
        <f>IFERROR(__xludf.DUMMYFUNCTION("""COMPUTED_VALUE"""),"Roberto")</f>
        <v>Roberto</v>
      </c>
      <c r="AD302" s="25"/>
      <c r="AE302" s="25" t="str">
        <f t="shared" si="5"/>
        <v/>
      </c>
      <c r="AF302" s="23">
        <f t="shared" si="4"/>
        <v>1</v>
      </c>
      <c r="AG302" s="23">
        <f t="shared" si="6"/>
        <v>1</v>
      </c>
      <c r="AH302" s="9"/>
      <c r="AI302" s="9"/>
    </row>
    <row r="303" ht="15.75" customHeight="1">
      <c r="B303" s="9"/>
      <c r="C303" s="9"/>
      <c r="D303" s="9"/>
      <c r="E303" s="5" t="s">
        <v>424</v>
      </c>
      <c r="F303" s="6">
        <v>87000.0</v>
      </c>
      <c r="G303" s="6">
        <v>55000.0</v>
      </c>
      <c r="H303" s="5" t="s">
        <v>26</v>
      </c>
      <c r="I303" s="5" t="s">
        <v>21</v>
      </c>
      <c r="J303" s="5">
        <v>3.52006279E8</v>
      </c>
      <c r="K303" s="5">
        <v>9997191.0</v>
      </c>
      <c r="L303" s="17"/>
      <c r="M303" s="18"/>
      <c r="N303" s="5" t="b">
        <v>0</v>
      </c>
      <c r="O303" s="19"/>
      <c r="P303" s="7"/>
      <c r="Q303" s="9"/>
      <c r="R303" s="9"/>
      <c r="S303" s="9"/>
      <c r="T303" s="9"/>
      <c r="U303" s="9"/>
      <c r="V303" s="9"/>
      <c r="W303" s="9"/>
      <c r="X303" s="23"/>
      <c r="Y303" s="23"/>
      <c r="Z303" s="23"/>
      <c r="AA303" s="23"/>
      <c r="AB303" s="9"/>
      <c r="AC303" s="9" t="str">
        <f>IFERROR(__xludf.DUMMYFUNCTION("""COMPUTED_VALUE"""),"Rosablanche")</f>
        <v>Rosablanche</v>
      </c>
      <c r="AD303" s="25"/>
      <c r="AE303" s="25" t="str">
        <f t="shared" si="5"/>
        <v/>
      </c>
      <c r="AF303" s="23">
        <f t="shared" si="4"/>
        <v>1</v>
      </c>
      <c r="AG303" s="23">
        <f t="shared" si="6"/>
        <v>1</v>
      </c>
      <c r="AH303" s="9"/>
      <c r="AI303" s="9"/>
    </row>
    <row r="304" ht="15.75" customHeight="1">
      <c r="A304" s="9"/>
      <c r="B304" s="9"/>
      <c r="C304" s="9"/>
      <c r="D304" s="9"/>
      <c r="E304" s="5" t="s">
        <v>425</v>
      </c>
      <c r="F304" s="6">
        <v>77321.0</v>
      </c>
      <c r="G304" s="6">
        <v>49999.0</v>
      </c>
      <c r="H304" s="5" t="s">
        <v>26</v>
      </c>
      <c r="I304" s="5" t="s">
        <v>21</v>
      </c>
      <c r="J304" s="5">
        <v>3.70914E8</v>
      </c>
      <c r="K304" s="5">
        <v>9349784.0</v>
      </c>
      <c r="L304" s="5" t="s">
        <v>38</v>
      </c>
      <c r="M304" s="35">
        <v>46163.833333333336</v>
      </c>
      <c r="N304" s="5" t="b">
        <v>0</v>
      </c>
      <c r="O304" s="19"/>
      <c r="P304" s="7"/>
      <c r="Q304" s="9"/>
      <c r="R304" s="9"/>
      <c r="S304" s="9"/>
      <c r="T304" s="9"/>
      <c r="U304" s="9"/>
      <c r="V304" s="9"/>
      <c r="W304" s="9"/>
      <c r="X304" s="23"/>
      <c r="Y304" s="23"/>
      <c r="Z304" s="23"/>
      <c r="AA304" s="23"/>
      <c r="AB304" s="9"/>
      <c r="AC304" s="9" t="str">
        <f>IFERROR(__xludf.DUMMYFUNCTION("""COMPUTED_VALUE"""),"Sakura Gas")</f>
        <v>Sakura Gas</v>
      </c>
      <c r="AD304" s="25"/>
      <c r="AE304" s="25" t="str">
        <f t="shared" si="5"/>
        <v/>
      </c>
      <c r="AF304" s="23">
        <f t="shared" si="4"/>
        <v>1</v>
      </c>
      <c r="AG304" s="23">
        <f t="shared" si="6"/>
        <v>1</v>
      </c>
      <c r="AH304" s="9"/>
      <c r="AI304" s="9"/>
    </row>
    <row r="305" ht="15.75" customHeight="1">
      <c r="A305" s="9"/>
      <c r="B305" s="9"/>
      <c r="C305" s="9"/>
      <c r="D305" s="9"/>
      <c r="E305" s="5" t="s">
        <v>426</v>
      </c>
      <c r="F305" s="6">
        <v>84300.0</v>
      </c>
      <c r="G305" s="6">
        <v>55231.0</v>
      </c>
      <c r="H305" s="5" t="s">
        <v>20</v>
      </c>
      <c r="I305" s="5" t="s">
        <v>21</v>
      </c>
      <c r="J305" s="5">
        <v>5.38010617E8</v>
      </c>
      <c r="K305" s="5">
        <v>9943516.0</v>
      </c>
      <c r="L305" s="5" t="s">
        <v>427</v>
      </c>
      <c r="M305" s="35">
        <v>46145.958333333336</v>
      </c>
      <c r="N305" s="5" t="b">
        <v>1</v>
      </c>
      <c r="O305" s="19"/>
      <c r="P305" s="7"/>
      <c r="Q305" s="9"/>
      <c r="R305" s="9"/>
      <c r="S305" s="9"/>
      <c r="T305" s="9"/>
      <c r="U305" s="9"/>
      <c r="V305" s="9"/>
      <c r="W305" s="9"/>
      <c r="X305" s="23"/>
      <c r="Y305" s="23"/>
      <c r="Z305" s="23"/>
      <c r="AA305" s="23"/>
      <c r="AB305" s="9"/>
      <c r="AC305" s="9" t="str">
        <f>IFERROR(__xludf.DUMMYFUNCTION("""COMPUTED_VALUE"""),"Sansovino")</f>
        <v>Sansovino</v>
      </c>
      <c r="AD305" s="25"/>
      <c r="AE305" s="25" t="str">
        <f t="shared" si="5"/>
        <v/>
      </c>
      <c r="AF305" s="23">
        <f t="shared" si="4"/>
        <v>1</v>
      </c>
      <c r="AG305" s="23">
        <f t="shared" si="6"/>
        <v>1</v>
      </c>
      <c r="AH305" s="9"/>
      <c r="AI305" s="9"/>
    </row>
    <row r="306" ht="15.75" customHeight="1">
      <c r="A306" s="9"/>
      <c r="B306" s="9"/>
      <c r="C306" s="9"/>
      <c r="D306" s="9"/>
      <c r="E306" s="5" t="s">
        <v>428</v>
      </c>
      <c r="F306" s="6">
        <v>79334.0</v>
      </c>
      <c r="G306" s="6">
        <v>49996.0</v>
      </c>
      <c r="H306" s="5" t="s">
        <v>26</v>
      </c>
      <c r="I306" s="5" t="s">
        <v>21</v>
      </c>
      <c r="J306" s="5">
        <v>4.772236E8</v>
      </c>
      <c r="K306" s="5">
        <v>9264908.0</v>
      </c>
      <c r="L306" s="5" t="s">
        <v>160</v>
      </c>
      <c r="M306" s="35">
        <v>46132.5</v>
      </c>
      <c r="N306" s="5" t="b">
        <v>0</v>
      </c>
      <c r="O306" s="19"/>
      <c r="P306" s="7"/>
      <c r="Q306" s="9"/>
      <c r="R306" s="9"/>
      <c r="S306" s="9"/>
      <c r="T306" s="9"/>
      <c r="U306" s="9"/>
      <c r="V306" s="9"/>
      <c r="W306" s="9"/>
      <c r="X306" s="23"/>
      <c r="Y306" s="23"/>
      <c r="Z306" s="23"/>
      <c r="AA306" s="23"/>
      <c r="AB306" s="9"/>
      <c r="AC306" s="9" t="str">
        <f>IFERROR(__xludf.DUMMYFUNCTION("""COMPUTED_VALUE"""),"Secreto")</f>
        <v>Secreto</v>
      </c>
      <c r="AD306" s="25"/>
      <c r="AE306" s="25" t="str">
        <f t="shared" si="5"/>
        <v/>
      </c>
      <c r="AF306" s="23">
        <f t="shared" si="4"/>
        <v>1</v>
      </c>
      <c r="AG306" s="23" t="str">
        <f t="shared" si="6"/>
        <v/>
      </c>
      <c r="AH306" s="9"/>
      <c r="AI306" s="9"/>
    </row>
    <row r="307" ht="15.75" customHeight="1">
      <c r="A307" s="9"/>
      <c r="B307" s="9"/>
      <c r="C307" s="9"/>
      <c r="D307" s="9"/>
      <c r="E307" s="5" t="s">
        <v>429</v>
      </c>
      <c r="F307" s="6">
        <v>87000.0</v>
      </c>
      <c r="G307" s="6">
        <v>55000.0</v>
      </c>
      <c r="H307" s="5" t="s">
        <v>26</v>
      </c>
      <c r="I307" s="5" t="s">
        <v>21</v>
      </c>
      <c r="J307" s="5">
        <v>3.5200579E8</v>
      </c>
      <c r="K307" s="5">
        <v>9980150.0</v>
      </c>
      <c r="L307" s="5" t="s">
        <v>38</v>
      </c>
      <c r="M307" s="35">
        <v>46133.0</v>
      </c>
      <c r="N307" s="5" t="b">
        <v>0</v>
      </c>
      <c r="O307" s="19"/>
      <c r="P307" s="7"/>
      <c r="Q307" s="9"/>
      <c r="R307" s="9"/>
      <c r="S307" s="9"/>
      <c r="T307" s="9"/>
      <c r="U307" s="9"/>
      <c r="V307" s="9"/>
      <c r="W307" s="9"/>
      <c r="X307" s="23"/>
      <c r="Y307" s="23"/>
      <c r="Z307" s="23"/>
      <c r="AA307" s="23"/>
      <c r="AB307" s="9"/>
      <c r="AC307" s="9" t="str">
        <f>IFERROR(__xludf.DUMMYFUNCTION("""COMPUTED_VALUE"""),"Shaamit")</f>
        <v>Shaamit</v>
      </c>
      <c r="AD307" s="25"/>
      <c r="AE307" s="25" t="str">
        <f t="shared" si="5"/>
        <v/>
      </c>
      <c r="AF307" s="23">
        <f t="shared" si="4"/>
        <v>1</v>
      </c>
      <c r="AG307" s="23">
        <f t="shared" si="6"/>
        <v>1</v>
      </c>
      <c r="AH307" s="9"/>
      <c r="AI307" s="9"/>
    </row>
    <row r="308" ht="15.75" customHeight="1">
      <c r="A308" s="9"/>
      <c r="B308" s="9"/>
      <c r="C308" s="9"/>
      <c r="D308" s="9"/>
      <c r="E308" s="5" t="s">
        <v>430</v>
      </c>
      <c r="F308" s="6">
        <v>84000.0</v>
      </c>
      <c r="G308" s="6">
        <v>55091.0</v>
      </c>
      <c r="H308" s="5" t="s">
        <v>26</v>
      </c>
      <c r="I308" s="5" t="s">
        <v>21</v>
      </c>
      <c r="J308" s="5">
        <v>3.52001447E8</v>
      </c>
      <c r="K308" s="5">
        <v>9929209.0</v>
      </c>
      <c r="L308" s="5" t="s">
        <v>38</v>
      </c>
      <c r="M308" s="35">
        <v>46131.833333333336</v>
      </c>
      <c r="N308" s="5" t="b">
        <v>0</v>
      </c>
      <c r="O308" s="19"/>
      <c r="P308" s="7"/>
      <c r="Q308" s="9"/>
      <c r="R308" s="9"/>
      <c r="S308" s="9"/>
      <c r="T308" s="9"/>
      <c r="U308" s="9"/>
      <c r="V308" s="9"/>
      <c r="W308" s="9"/>
      <c r="X308" s="23"/>
      <c r="Y308" s="23"/>
      <c r="Z308" s="23"/>
      <c r="AA308" s="23"/>
      <c r="AB308" s="9"/>
      <c r="AC308" s="9" t="str">
        <f>IFERROR(__xludf.DUMMYFUNCTION("""COMPUTED_VALUE"""),"Shergar")</f>
        <v>Shergar</v>
      </c>
      <c r="AD308" s="25"/>
      <c r="AE308" s="25" t="str">
        <f t="shared" si="5"/>
        <v/>
      </c>
      <c r="AF308" s="23">
        <f t="shared" si="4"/>
        <v>1</v>
      </c>
      <c r="AG308" s="23">
        <f t="shared" si="6"/>
        <v>1</v>
      </c>
      <c r="AH308" s="9"/>
      <c r="AI308" s="9"/>
    </row>
    <row r="309" ht="15.75" customHeight="1">
      <c r="A309" s="9"/>
      <c r="B309" s="9"/>
      <c r="C309" s="9"/>
      <c r="D309" s="9"/>
      <c r="E309" s="5" t="s">
        <v>431</v>
      </c>
      <c r="F309" s="6">
        <v>77367.0</v>
      </c>
      <c r="G309" s="6">
        <v>49999.0</v>
      </c>
      <c r="H309" s="5" t="s">
        <v>26</v>
      </c>
      <c r="I309" s="5" t="s">
        <v>21</v>
      </c>
      <c r="J309" s="5">
        <v>3.57261E8</v>
      </c>
      <c r="K309" s="5">
        <v>9249336.0</v>
      </c>
      <c r="L309" s="5" t="s">
        <v>432</v>
      </c>
      <c r="M309" s="38">
        <v>46133.125</v>
      </c>
      <c r="N309" s="5" t="b">
        <v>0</v>
      </c>
      <c r="O309" s="19"/>
      <c r="P309" s="7"/>
      <c r="Q309" s="9"/>
      <c r="R309" s="9"/>
      <c r="S309" s="9"/>
      <c r="T309" s="9"/>
      <c r="U309" s="9"/>
      <c r="V309" s="9"/>
      <c r="W309" s="9"/>
      <c r="X309" s="23"/>
      <c r="Y309" s="23"/>
      <c r="Z309" s="23"/>
      <c r="AA309" s="23"/>
      <c r="AB309" s="9"/>
      <c r="AC309" s="9" t="str">
        <f>IFERROR(__xludf.DUMMYFUNCTION("""COMPUTED_VALUE"""),"Silvio")</f>
        <v>Silvio</v>
      </c>
      <c r="AD309" s="25"/>
      <c r="AE309" s="25" t="str">
        <f t="shared" si="5"/>
        <v/>
      </c>
      <c r="AF309" s="23">
        <f t="shared" si="4"/>
        <v>1</v>
      </c>
      <c r="AG309" s="23">
        <f t="shared" si="6"/>
        <v>1</v>
      </c>
      <c r="AH309" s="9"/>
      <c r="AI309" s="9"/>
    </row>
    <row r="310" ht="15.75" customHeight="1">
      <c r="A310" s="9"/>
      <c r="B310" s="9"/>
      <c r="C310" s="9"/>
      <c r="D310" s="9"/>
      <c r="E310" s="5" t="s">
        <v>433</v>
      </c>
      <c r="F310" s="6">
        <v>93000.0</v>
      </c>
      <c r="G310" s="6">
        <v>60000.0</v>
      </c>
      <c r="H310" s="5" t="s">
        <v>26</v>
      </c>
      <c r="I310" s="5" t="s">
        <v>21</v>
      </c>
      <c r="J310" s="5">
        <v>5.632009E8</v>
      </c>
      <c r="K310" s="5">
        <v>9941441.0</v>
      </c>
      <c r="L310" s="5" t="s">
        <v>38</v>
      </c>
      <c r="M310" s="35">
        <v>46163.625</v>
      </c>
      <c r="N310" s="5" t="b">
        <v>0</v>
      </c>
      <c r="O310" s="19"/>
      <c r="P310" s="7"/>
      <c r="Q310" s="9"/>
      <c r="R310" s="9"/>
      <c r="S310" s="9"/>
      <c r="T310" s="9"/>
      <c r="U310" s="9"/>
      <c r="V310" s="9"/>
      <c r="W310" s="9"/>
      <c r="X310" s="23"/>
      <c r="Y310" s="23"/>
      <c r="Z310" s="23"/>
      <c r="AA310" s="23"/>
      <c r="AB310" s="9"/>
      <c r="AC310" s="9" t="str">
        <f>IFERROR(__xludf.DUMMYFUNCTION("""COMPUTED_VALUE"""),"Sinndar")</f>
        <v>Sinndar</v>
      </c>
      <c r="AD310" s="25"/>
      <c r="AE310" s="25" t="str">
        <f t="shared" si="5"/>
        <v/>
      </c>
      <c r="AF310" s="23">
        <f t="shared" si="4"/>
        <v>1</v>
      </c>
      <c r="AG310" s="23">
        <f t="shared" si="6"/>
        <v>1</v>
      </c>
      <c r="AH310" s="9"/>
      <c r="AI310" s="9"/>
    </row>
    <row r="311" ht="15.75" customHeight="1">
      <c r="A311" s="9"/>
      <c r="B311" s="9"/>
      <c r="C311" s="9"/>
      <c r="D311" s="9"/>
      <c r="E311" s="5" t="s">
        <v>434</v>
      </c>
      <c r="F311" s="6">
        <v>84000.0</v>
      </c>
      <c r="G311" s="6">
        <v>51668.0</v>
      </c>
      <c r="H311" s="5" t="s">
        <v>20</v>
      </c>
      <c r="I311" s="5" t="s">
        <v>21</v>
      </c>
      <c r="J311" s="5">
        <v>5.38010974E8</v>
      </c>
      <c r="K311" s="5">
        <v>9694622.0</v>
      </c>
      <c r="L311" s="5" t="s">
        <v>80</v>
      </c>
      <c r="M311" s="35">
        <v>46136.00069444445</v>
      </c>
      <c r="N311" s="5" t="b">
        <v>1</v>
      </c>
      <c r="O311" s="19"/>
      <c r="P311" s="7"/>
      <c r="Q311" s="9"/>
      <c r="R311" s="9"/>
      <c r="S311" s="9"/>
      <c r="T311" s="9"/>
      <c r="U311" s="9"/>
      <c r="V311" s="9"/>
      <c r="W311" s="9"/>
      <c r="X311" s="23"/>
      <c r="Y311" s="23"/>
      <c r="Z311" s="23"/>
      <c r="AA311" s="23"/>
      <c r="AB311" s="9"/>
      <c r="AC311" s="9" t="str">
        <f>IFERROR(__xludf.DUMMYFUNCTION("""COMPUTED_VALUE"""),"Sobaek Explorer")</f>
        <v>Sobaek Explorer</v>
      </c>
      <c r="AD311" s="25"/>
      <c r="AE311" s="25" t="str">
        <f t="shared" si="5"/>
        <v/>
      </c>
      <c r="AF311" s="23">
        <f t="shared" si="4"/>
        <v>1</v>
      </c>
      <c r="AG311" s="23">
        <f t="shared" si="6"/>
        <v>1</v>
      </c>
      <c r="AH311" s="9"/>
      <c r="AI311" s="9"/>
    </row>
    <row r="312" ht="15.75" customHeight="1">
      <c r="A312" s="9"/>
      <c r="B312" s="9"/>
      <c r="C312" s="9"/>
      <c r="D312" s="9"/>
      <c r="E312" s="5" t="s">
        <v>435</v>
      </c>
      <c r="F312" s="6">
        <v>84597.0</v>
      </c>
      <c r="G312" s="6">
        <v>54634.0</v>
      </c>
      <c r="H312" s="5" t="s">
        <v>26</v>
      </c>
      <c r="I312" s="5" t="s">
        <v>21</v>
      </c>
      <c r="J312" s="5">
        <v>5.38005631E8</v>
      </c>
      <c r="K312" s="5">
        <v>9354935.0</v>
      </c>
      <c r="L312" s="17"/>
      <c r="M312" s="18"/>
      <c r="N312" s="5" t="b">
        <v>0</v>
      </c>
      <c r="O312" s="19"/>
      <c r="P312" s="7"/>
      <c r="Q312" s="9"/>
      <c r="R312" s="9"/>
      <c r="S312" s="9"/>
      <c r="T312" s="9"/>
      <c r="U312" s="9"/>
      <c r="V312" s="9"/>
      <c r="W312" s="9"/>
      <c r="X312" s="23"/>
      <c r="Y312" s="23"/>
      <c r="Z312" s="23"/>
      <c r="AA312" s="23"/>
      <c r="AB312" s="9"/>
      <c r="AC312" s="9" t="str">
        <f>IFERROR(__xludf.DUMMYFUNCTION("""COMPUTED_VALUE"""),"Sumire Gas")</f>
        <v>Sumire Gas</v>
      </c>
      <c r="AD312" s="25"/>
      <c r="AE312" s="25" t="str">
        <f t="shared" si="5"/>
        <v/>
      </c>
      <c r="AF312" s="23">
        <f t="shared" si="4"/>
        <v>1</v>
      </c>
      <c r="AG312" s="23" t="str">
        <f t="shared" si="6"/>
        <v/>
      </c>
      <c r="AH312" s="9"/>
      <c r="AI312" s="9"/>
    </row>
    <row r="313" ht="15.75" customHeight="1">
      <c r="A313" s="9"/>
      <c r="B313" s="9"/>
      <c r="C313" s="9"/>
      <c r="D313" s="9"/>
      <c r="E313" s="5" t="s">
        <v>436</v>
      </c>
      <c r="F313" s="6">
        <v>93000.0</v>
      </c>
      <c r="G313" s="6">
        <v>62000.0</v>
      </c>
      <c r="H313" s="5" t="s">
        <v>26</v>
      </c>
      <c r="I313" s="5" t="s">
        <v>21</v>
      </c>
      <c r="J313" s="5">
        <v>5.632082E8</v>
      </c>
      <c r="K313" s="5">
        <v>9941453.0</v>
      </c>
      <c r="L313" s="5" t="s">
        <v>38</v>
      </c>
      <c r="M313" s="35">
        <v>46135.75</v>
      </c>
      <c r="N313" s="5" t="b">
        <v>0</v>
      </c>
      <c r="O313" s="19"/>
      <c r="P313" s="7"/>
      <c r="Q313" s="9"/>
      <c r="R313" s="9"/>
      <c r="S313" s="9"/>
      <c r="T313" s="9"/>
      <c r="U313" s="9"/>
      <c r="V313" s="9"/>
      <c r="W313" s="9"/>
      <c r="X313" s="23"/>
      <c r="Y313" s="23"/>
      <c r="Z313" s="23"/>
      <c r="AA313" s="23"/>
      <c r="AB313" s="9"/>
      <c r="AC313" s="9" t="str">
        <f>IFERROR(__xludf.DUMMYFUNCTION("""COMPUTED_VALUE"""),"Summit River")</f>
        <v>Summit River</v>
      </c>
      <c r="AD313" s="25"/>
      <c r="AE313" s="25" t="str">
        <f t="shared" si="5"/>
        <v/>
      </c>
      <c r="AF313" s="23">
        <f t="shared" si="4"/>
        <v>1</v>
      </c>
      <c r="AG313" s="23">
        <f t="shared" si="6"/>
        <v>1</v>
      </c>
      <c r="AH313" s="9"/>
      <c r="AI313" s="9"/>
    </row>
    <row r="314" ht="15.75" customHeight="1">
      <c r="A314" s="9"/>
      <c r="B314" s="9"/>
      <c r="C314" s="9"/>
      <c r="D314" s="9"/>
      <c r="E314" s="5" t="s">
        <v>437</v>
      </c>
      <c r="F314" s="6">
        <v>82411.0</v>
      </c>
      <c r="G314" s="6">
        <v>53716.0</v>
      </c>
      <c r="H314" s="5" t="s">
        <v>20</v>
      </c>
      <c r="I314" s="5" t="s">
        <v>21</v>
      </c>
      <c r="J314" s="5">
        <v>4.31648E8</v>
      </c>
      <c r="K314" s="5">
        <v>9800491.0</v>
      </c>
      <c r="L314" s="5" t="s">
        <v>251</v>
      </c>
      <c r="M314" s="38">
        <v>46142.041666666664</v>
      </c>
      <c r="N314" s="5" t="b">
        <v>1</v>
      </c>
      <c r="O314" s="19"/>
      <c r="P314" s="7"/>
      <c r="Q314" s="9"/>
      <c r="R314" s="9"/>
      <c r="S314" s="9"/>
      <c r="T314" s="9"/>
      <c r="U314" s="9"/>
      <c r="V314" s="9"/>
      <c r="W314" s="9"/>
      <c r="X314" s="23"/>
      <c r="Y314" s="23"/>
      <c r="Z314" s="23"/>
      <c r="AA314" s="23"/>
      <c r="AB314" s="9"/>
      <c r="AC314" s="9" t="str">
        <f>IFERROR(__xludf.DUMMYFUNCTION("""COMPUTED_VALUE"""),"Sunny Bright")</f>
        <v>Sunny Bright</v>
      </c>
      <c r="AD314" s="25"/>
      <c r="AE314" s="25" t="str">
        <f t="shared" si="5"/>
        <v/>
      </c>
      <c r="AF314" s="23">
        <f t="shared" si="4"/>
        <v>1</v>
      </c>
      <c r="AG314" s="23">
        <f t="shared" si="6"/>
        <v>1</v>
      </c>
      <c r="AH314" s="9"/>
      <c r="AI314" s="9"/>
    </row>
    <row r="315" ht="15.75" customHeight="1">
      <c r="A315" s="9"/>
      <c r="B315" s="9"/>
      <c r="C315" s="9"/>
      <c r="D315" s="9"/>
      <c r="E315" s="5" t="s">
        <v>438</v>
      </c>
      <c r="F315" s="6">
        <v>73882.0</v>
      </c>
      <c r="G315" s="6">
        <v>49242.0</v>
      </c>
      <c r="H315" s="5" t="s">
        <v>66</v>
      </c>
      <c r="I315" s="5" t="s">
        <v>21</v>
      </c>
      <c r="J315" s="5">
        <v>6.03927E8</v>
      </c>
      <c r="K315" s="5">
        <v>9031519.0</v>
      </c>
      <c r="L315" s="5" t="s">
        <v>439</v>
      </c>
      <c r="M315" s="35">
        <v>46133.75</v>
      </c>
      <c r="N315" s="5" t="b">
        <v>1</v>
      </c>
      <c r="O315" s="19"/>
      <c r="P315" s="7"/>
      <c r="Q315" s="9"/>
      <c r="R315" s="9"/>
      <c r="S315" s="9"/>
      <c r="T315" s="9"/>
      <c r="U315" s="9"/>
      <c r="V315" s="9"/>
      <c r="W315" s="9"/>
      <c r="X315" s="23"/>
      <c r="Y315" s="23"/>
      <c r="Z315" s="23"/>
      <c r="AA315" s="23"/>
      <c r="AB315" s="9"/>
      <c r="AC315" s="9" t="str">
        <f>IFERROR(__xludf.DUMMYFUNCTION("""COMPUTED_VALUE"""),"Sunny Joy")</f>
        <v>Sunny Joy</v>
      </c>
      <c r="AD315" s="25"/>
      <c r="AE315" s="25" t="str">
        <f t="shared" si="5"/>
        <v/>
      </c>
      <c r="AF315" s="23">
        <f t="shared" si="4"/>
        <v>1</v>
      </c>
      <c r="AG315" s="23" t="str">
        <f t="shared" si="6"/>
        <v/>
      </c>
      <c r="AH315" s="9"/>
      <c r="AI315" s="9"/>
    </row>
    <row r="316" ht="15.75" customHeight="1">
      <c r="A316" s="9"/>
      <c r="B316" s="9"/>
      <c r="C316" s="9"/>
      <c r="D316" s="9"/>
      <c r="E316" s="5" t="s">
        <v>440</v>
      </c>
      <c r="F316" s="6">
        <v>80000.0</v>
      </c>
      <c r="G316" s="6">
        <v>50513.0</v>
      </c>
      <c r="H316" s="5" t="s">
        <v>26</v>
      </c>
      <c r="I316" s="5" t="s">
        <v>21</v>
      </c>
      <c r="J316" s="5">
        <v>6.3602088E8</v>
      </c>
      <c r="K316" s="5">
        <v>9847425.0</v>
      </c>
      <c r="L316" s="17"/>
      <c r="M316" s="53"/>
      <c r="N316" s="5" t="b">
        <v>0</v>
      </c>
      <c r="O316" s="19"/>
      <c r="P316" s="7"/>
      <c r="Q316" s="9"/>
      <c r="R316" s="9"/>
      <c r="S316" s="9"/>
      <c r="T316" s="9"/>
      <c r="U316" s="9"/>
      <c r="V316" s="9"/>
      <c r="W316" s="9"/>
      <c r="X316" s="23"/>
      <c r="Y316" s="23"/>
      <c r="Z316" s="23"/>
      <c r="AA316" s="23"/>
      <c r="AB316" s="9"/>
      <c r="AC316" s="9" t="str">
        <f>IFERROR(__xludf.DUMMYFUNCTION("""COMPUTED_VALUE"""),"Sunny Vista")</f>
        <v>Sunny Vista</v>
      </c>
      <c r="AD316" s="25"/>
      <c r="AE316" s="25" t="str">
        <f t="shared" si="5"/>
        <v/>
      </c>
      <c r="AF316" s="23">
        <f t="shared" si="4"/>
        <v>1</v>
      </c>
      <c r="AG316" s="23">
        <f t="shared" si="6"/>
        <v>1</v>
      </c>
      <c r="AH316" s="9"/>
      <c r="AI316" s="9"/>
    </row>
    <row r="317" ht="15.75" customHeight="1">
      <c r="A317" s="9"/>
      <c r="B317" s="9"/>
      <c r="C317" s="9"/>
      <c r="D317" s="9"/>
      <c r="E317" s="5" t="s">
        <v>441</v>
      </c>
      <c r="F317" s="6">
        <v>78484.0</v>
      </c>
      <c r="G317" s="6">
        <v>49996.0</v>
      </c>
      <c r="H317" s="5" t="s">
        <v>20</v>
      </c>
      <c r="I317" s="5" t="s">
        <v>21</v>
      </c>
      <c r="J317" s="5">
        <v>6.11000112E8</v>
      </c>
      <c r="K317" s="5">
        <v>8818219.0</v>
      </c>
      <c r="L317" s="5" t="s">
        <v>59</v>
      </c>
      <c r="M317" s="35">
        <v>46132.0</v>
      </c>
      <c r="N317" s="5" t="b">
        <v>1</v>
      </c>
      <c r="O317" s="19"/>
      <c r="P317" s="7"/>
      <c r="Q317" s="9"/>
      <c r="R317" s="9"/>
      <c r="S317" s="9"/>
      <c r="T317" s="9"/>
      <c r="U317" s="9"/>
      <c r="V317" s="9"/>
      <c r="W317" s="9"/>
      <c r="X317" s="23"/>
      <c r="Y317" s="23"/>
      <c r="Z317" s="23"/>
      <c r="AA317" s="23"/>
      <c r="AB317" s="9"/>
      <c r="AC317" s="9" t="str">
        <f>IFERROR(__xludf.DUMMYFUNCTION("""COMPUTED_VALUE"""),"Sunstar")</f>
        <v>Sunstar</v>
      </c>
      <c r="AD317" s="25"/>
      <c r="AE317" s="25" t="str">
        <f t="shared" si="5"/>
        <v/>
      </c>
      <c r="AF317" s="23">
        <f t="shared" si="4"/>
        <v>1</v>
      </c>
      <c r="AG317" s="23" t="str">
        <f t="shared" si="6"/>
        <v/>
      </c>
      <c r="AH317" s="9"/>
      <c r="AI317" s="9"/>
    </row>
    <row r="318" ht="15.75" customHeight="1">
      <c r="A318" s="9"/>
      <c r="B318" s="9"/>
      <c r="C318" s="9"/>
      <c r="D318" s="9"/>
      <c r="E318" s="5" t="s">
        <v>442</v>
      </c>
      <c r="F318" s="6">
        <v>86700.0</v>
      </c>
      <c r="G318" s="6">
        <v>55000.0</v>
      </c>
      <c r="H318" s="5" t="s">
        <v>20</v>
      </c>
      <c r="I318" s="5" t="s">
        <v>21</v>
      </c>
      <c r="J318" s="5">
        <v>5.38011891E8</v>
      </c>
      <c r="K318" s="5">
        <v>9997189.0</v>
      </c>
      <c r="L318" s="5" t="s">
        <v>277</v>
      </c>
      <c r="M318" s="38">
        <v>46132.666666666664</v>
      </c>
      <c r="N318" s="5" t="b">
        <v>1</v>
      </c>
      <c r="O318" s="19"/>
      <c r="P318" s="7"/>
      <c r="Q318" s="9"/>
      <c r="R318" s="9"/>
      <c r="S318" s="9"/>
      <c r="T318" s="9"/>
      <c r="U318" s="9"/>
      <c r="V318" s="9"/>
      <c r="W318" s="9"/>
      <c r="X318" s="23"/>
      <c r="Y318" s="23"/>
      <c r="Z318" s="23"/>
      <c r="AA318" s="23"/>
      <c r="AB318" s="9"/>
      <c r="AC318" s="9" t="str">
        <f>IFERROR(__xludf.DUMMYFUNCTION("""COMPUTED_VALUE"""),"Surya Veerya")</f>
        <v>Surya Veerya</v>
      </c>
      <c r="AD318" s="25"/>
      <c r="AE318" s="25" t="str">
        <f t="shared" si="5"/>
        <v/>
      </c>
      <c r="AF318" s="23">
        <f t="shared" si="4"/>
        <v>1</v>
      </c>
      <c r="AG318" s="23">
        <f t="shared" si="6"/>
        <v>1</v>
      </c>
      <c r="AH318" s="9"/>
      <c r="AI318" s="9"/>
    </row>
    <row r="319" ht="15.75" customHeight="1">
      <c r="A319" s="9"/>
      <c r="B319" s="9"/>
      <c r="C319" s="9"/>
      <c r="D319" s="9"/>
      <c r="E319" s="5" t="s">
        <v>443</v>
      </c>
      <c r="F319" s="6">
        <v>86000.0</v>
      </c>
      <c r="G319" s="6">
        <v>51497.0</v>
      </c>
      <c r="H319" s="5" t="s">
        <v>26</v>
      </c>
      <c r="I319" s="5" t="s">
        <v>21</v>
      </c>
      <c r="J319" s="5">
        <v>5.38011502E8</v>
      </c>
      <c r="K319" s="5">
        <v>1024572.0</v>
      </c>
      <c r="L319" s="5" t="s">
        <v>43</v>
      </c>
      <c r="M319" s="35">
        <v>46133.75</v>
      </c>
      <c r="N319" s="5" t="b">
        <v>0</v>
      </c>
      <c r="O319" s="19"/>
      <c r="P319" s="7"/>
      <c r="Q319" s="9"/>
      <c r="R319" s="9"/>
      <c r="S319" s="9"/>
      <c r="T319" s="9"/>
      <c r="U319" s="9"/>
      <c r="V319" s="9"/>
      <c r="W319" s="9"/>
      <c r="X319" s="23"/>
      <c r="Y319" s="23"/>
      <c r="Z319" s="23"/>
      <c r="AA319" s="23"/>
      <c r="AB319" s="9"/>
      <c r="AC319" s="9" t="str">
        <f>IFERROR(__xludf.DUMMYFUNCTION("""COMPUTED_VALUE"""),"Taebaek")</f>
        <v>Taebaek</v>
      </c>
      <c r="AD319" s="25"/>
      <c r="AE319" s="25" t="str">
        <f t="shared" si="5"/>
        <v/>
      </c>
      <c r="AF319" s="23">
        <f t="shared" si="4"/>
        <v>1</v>
      </c>
      <c r="AG319" s="23">
        <f t="shared" si="6"/>
        <v>1</v>
      </c>
      <c r="AH319" s="9"/>
      <c r="AI319" s="9"/>
    </row>
    <row r="320" ht="15.75" customHeight="1">
      <c r="A320" s="9"/>
      <c r="B320" s="9"/>
      <c r="C320" s="9"/>
      <c r="D320" s="9"/>
      <c r="E320" s="5" t="s">
        <v>444</v>
      </c>
      <c r="F320" s="6">
        <v>91000.0</v>
      </c>
      <c r="G320" s="6">
        <v>59017.0</v>
      </c>
      <c r="H320" s="5" t="s">
        <v>20</v>
      </c>
      <c r="I320" s="5" t="s">
        <v>21</v>
      </c>
      <c r="J320" s="5">
        <v>6.36021163E8</v>
      </c>
      <c r="K320" s="5">
        <v>9938535.0</v>
      </c>
      <c r="L320" s="5" t="s">
        <v>445</v>
      </c>
      <c r="M320" s="35">
        <v>46132.791666666664</v>
      </c>
      <c r="N320" s="5" t="b">
        <v>1</v>
      </c>
      <c r="O320" s="19"/>
      <c r="P320" s="7"/>
      <c r="Q320" s="9"/>
      <c r="R320" s="9"/>
      <c r="S320" s="9"/>
      <c r="T320" s="9"/>
      <c r="U320" s="9"/>
      <c r="V320" s="9"/>
      <c r="W320" s="9"/>
      <c r="X320" s="23"/>
      <c r="Y320" s="23"/>
      <c r="Z320" s="23"/>
      <c r="AA320" s="23"/>
      <c r="AB320" s="9"/>
      <c r="AC320" s="9" t="str">
        <f>IFERROR(__xludf.DUMMYFUNCTION("""COMPUTED_VALUE"""),"Tethys")</f>
        <v>Tethys</v>
      </c>
      <c r="AD320" s="25"/>
      <c r="AE320" s="25" t="str">
        <f t="shared" si="5"/>
        <v/>
      </c>
      <c r="AF320" s="23">
        <f t="shared" si="4"/>
        <v>1</v>
      </c>
      <c r="AG320" s="23">
        <f t="shared" si="6"/>
        <v>1</v>
      </c>
      <c r="AH320" s="9"/>
      <c r="AI320" s="9"/>
    </row>
    <row r="321" ht="15.75" customHeight="1">
      <c r="A321" s="9"/>
      <c r="B321" s="9"/>
      <c r="C321" s="9"/>
      <c r="D321" s="9"/>
      <c r="E321" s="5" t="s">
        <v>446</v>
      </c>
      <c r="F321" s="6">
        <v>78874.0</v>
      </c>
      <c r="G321" s="6">
        <v>49999.0</v>
      </c>
      <c r="H321" s="5" t="s">
        <v>26</v>
      </c>
      <c r="I321" s="5" t="s">
        <v>21</v>
      </c>
      <c r="J321" s="5">
        <v>4.772278E8</v>
      </c>
      <c r="K321" s="5">
        <v>9206396.0</v>
      </c>
      <c r="L321" s="5" t="s">
        <v>447</v>
      </c>
      <c r="M321" s="35">
        <v>46133.416666666664</v>
      </c>
      <c r="N321" s="5" t="b">
        <v>0</v>
      </c>
      <c r="O321" s="19"/>
      <c r="P321" s="7"/>
      <c r="Q321" s="9"/>
      <c r="R321" s="9"/>
      <c r="S321" s="9"/>
      <c r="T321" s="9"/>
      <c r="U321" s="9"/>
      <c r="V321" s="9"/>
      <c r="W321" s="9"/>
      <c r="X321" s="23"/>
      <c r="Y321" s="23"/>
      <c r="Z321" s="23"/>
      <c r="AA321" s="23"/>
      <c r="AB321" s="9"/>
      <c r="AC321" s="9" t="str">
        <f>IFERROR(__xludf.DUMMYFUNCTION("""COMPUTED_VALUE"""),"Tinos I")</f>
        <v>Tinos I</v>
      </c>
      <c r="AD321" s="25"/>
      <c r="AE321" s="25" t="str">
        <f t="shared" si="5"/>
        <v/>
      </c>
      <c r="AF321" s="23">
        <f t="shared" si="4"/>
        <v>1</v>
      </c>
      <c r="AG321" s="23" t="str">
        <f t="shared" si="6"/>
        <v/>
      </c>
      <c r="AH321" s="9"/>
      <c r="AI321" s="9"/>
    </row>
    <row r="322" ht="15.75" customHeight="1">
      <c r="A322" s="9"/>
      <c r="B322" s="9"/>
      <c r="C322" s="9"/>
      <c r="D322" s="9"/>
      <c r="E322" s="5" t="s">
        <v>448</v>
      </c>
      <c r="F322" s="6">
        <v>78374.0</v>
      </c>
      <c r="G322" s="6">
        <v>56875.0</v>
      </c>
      <c r="H322" s="5" t="s">
        <v>26</v>
      </c>
      <c r="I322" s="5" t="s">
        <v>21</v>
      </c>
      <c r="J322" s="5">
        <v>3.52002974E8</v>
      </c>
      <c r="K322" s="5">
        <v>8910897.0</v>
      </c>
      <c r="L322" s="5" t="s">
        <v>160</v>
      </c>
      <c r="M322" s="35">
        <v>46143.75</v>
      </c>
      <c r="N322" s="5" t="b">
        <v>0</v>
      </c>
      <c r="O322" s="19"/>
      <c r="P322" s="7"/>
      <c r="Q322" s="9"/>
      <c r="R322" s="9"/>
      <c r="S322" s="9"/>
      <c r="T322" s="9"/>
      <c r="U322" s="9"/>
      <c r="V322" s="9"/>
      <c r="W322" s="9"/>
      <c r="X322" s="23"/>
      <c r="Y322" s="23"/>
      <c r="Z322" s="23"/>
      <c r="AA322" s="23"/>
      <c r="AB322" s="9"/>
      <c r="AC322" s="9" t="str">
        <f>IFERROR(__xludf.DUMMYFUNCTION("""COMPUTED_VALUE"""),"Tp Perseverance")</f>
        <v>Tp Perseverance</v>
      </c>
      <c r="AD322" s="25"/>
      <c r="AE322" s="25" t="str">
        <f t="shared" si="5"/>
        <v/>
      </c>
      <c r="AF322" s="23">
        <f t="shared" si="4"/>
        <v>1</v>
      </c>
      <c r="AG322" s="23" t="str">
        <f t="shared" si="6"/>
        <v/>
      </c>
      <c r="AH322" s="9"/>
      <c r="AI322" s="9"/>
    </row>
    <row r="323" ht="15.75" customHeight="1">
      <c r="A323" s="9"/>
      <c r="B323" s="9"/>
      <c r="C323" s="9"/>
      <c r="D323" s="9"/>
      <c r="E323" s="5" t="s">
        <v>449</v>
      </c>
      <c r="F323" s="6">
        <v>75203.0</v>
      </c>
      <c r="G323" s="6">
        <v>49412.0</v>
      </c>
      <c r="H323" s="5" t="s">
        <v>66</v>
      </c>
      <c r="I323" s="5" t="s">
        <v>21</v>
      </c>
      <c r="J323" s="5">
        <v>5.67419E8</v>
      </c>
      <c r="K323" s="5">
        <v>9006679.0</v>
      </c>
      <c r="L323" s="17"/>
      <c r="M323" s="18"/>
      <c r="N323" s="5" t="b">
        <v>1</v>
      </c>
      <c r="O323" s="19"/>
      <c r="P323" s="7"/>
      <c r="Q323" s="9"/>
      <c r="R323" s="9"/>
      <c r="S323" s="9"/>
      <c r="T323" s="9"/>
      <c r="U323" s="9"/>
      <c r="V323" s="9"/>
      <c r="W323" s="9"/>
      <c r="X323" s="23"/>
      <c r="Y323" s="23"/>
      <c r="Z323" s="23"/>
      <c r="AA323" s="23"/>
      <c r="AB323" s="9"/>
      <c r="AC323" s="9" t="str">
        <f>IFERROR(__xludf.DUMMYFUNCTION("""COMPUTED_VALUE"""),"Tp Tenacity")</f>
        <v>Tp Tenacity</v>
      </c>
      <c r="AD323" s="25"/>
      <c r="AE323" s="25" t="str">
        <f t="shared" si="5"/>
        <v/>
      </c>
      <c r="AF323" s="23">
        <f t="shared" si="4"/>
        <v>1</v>
      </c>
      <c r="AG323" s="23" t="str">
        <f t="shared" si="6"/>
        <v/>
      </c>
      <c r="AH323" s="9"/>
      <c r="AI323" s="9"/>
    </row>
    <row r="324" ht="15.75" customHeight="1">
      <c r="A324" s="9"/>
      <c r="B324" s="9"/>
      <c r="C324" s="9"/>
      <c r="D324" s="9"/>
      <c r="E324" s="5" t="s">
        <v>450</v>
      </c>
      <c r="F324" s="6">
        <v>76959.0</v>
      </c>
      <c r="G324" s="6">
        <v>56945.0</v>
      </c>
      <c r="H324" s="5" t="s">
        <v>66</v>
      </c>
      <c r="I324" s="5" t="s">
        <v>21</v>
      </c>
      <c r="J324" s="5">
        <v>5.67591E8</v>
      </c>
      <c r="K324" s="5">
        <v>8910902.0</v>
      </c>
      <c r="L324" s="17"/>
      <c r="M324" s="18"/>
      <c r="N324" s="5" t="b">
        <v>1</v>
      </c>
      <c r="O324" s="19"/>
      <c r="P324" s="7"/>
      <c r="Q324" s="9"/>
      <c r="R324" s="9"/>
      <c r="S324" s="9"/>
      <c r="T324" s="9"/>
      <c r="U324" s="9"/>
      <c r="V324" s="9"/>
      <c r="W324" s="9"/>
      <c r="X324" s="23"/>
      <c r="Y324" s="23"/>
      <c r="Z324" s="23"/>
      <c r="AA324" s="23"/>
      <c r="AB324" s="9"/>
      <c r="AC324" s="9" t="str">
        <f>IFERROR(__xludf.DUMMYFUNCTION("""COMPUTED_VALUE"""),"Tsubaki")</f>
        <v>Tsubaki</v>
      </c>
      <c r="AD324" s="25"/>
      <c r="AE324" s="25" t="str">
        <f t="shared" si="5"/>
        <v/>
      </c>
      <c r="AF324" s="23">
        <f t="shared" si="4"/>
        <v>1</v>
      </c>
      <c r="AG324" s="23" t="str">
        <f t="shared" si="6"/>
        <v/>
      </c>
      <c r="AH324" s="9"/>
      <c r="AI324" s="9"/>
    </row>
    <row r="325" ht="15.75" customHeight="1">
      <c r="A325" s="9"/>
      <c r="B325" s="9"/>
      <c r="C325" s="9"/>
      <c r="D325" s="9"/>
      <c r="E325" s="5" t="s">
        <v>451</v>
      </c>
      <c r="F325" s="6">
        <v>86000.0</v>
      </c>
      <c r="G325" s="6">
        <v>51497.0</v>
      </c>
      <c r="H325" s="5" t="s">
        <v>20</v>
      </c>
      <c r="I325" s="5" t="s">
        <v>21</v>
      </c>
      <c r="J325" s="5">
        <v>5.38011501E8</v>
      </c>
      <c r="K325" s="5">
        <v>1024584.0</v>
      </c>
      <c r="L325" s="5" t="s">
        <v>289</v>
      </c>
      <c r="M325" s="35">
        <v>46133.583333333336</v>
      </c>
      <c r="N325" s="5" t="b">
        <v>1</v>
      </c>
      <c r="O325" s="19"/>
      <c r="P325" s="7"/>
      <c r="Q325" s="9"/>
      <c r="R325" s="9"/>
      <c r="S325" s="9"/>
      <c r="T325" s="9"/>
      <c r="U325" s="9"/>
      <c r="V325" s="9"/>
      <c r="W325" s="9"/>
      <c r="X325" s="23"/>
      <c r="Y325" s="23"/>
      <c r="Z325" s="23"/>
      <c r="AA325" s="23"/>
      <c r="AB325" s="9"/>
      <c r="AC325" s="9" t="str">
        <f>IFERROR(__xludf.DUMMYFUNCTION("""COMPUTED_VALUE"""),"Umm Laqhab")</f>
        <v>Umm Laqhab</v>
      </c>
      <c r="AD325" s="25"/>
      <c r="AE325" s="25" t="str">
        <f t="shared" si="5"/>
        <v/>
      </c>
      <c r="AF325" s="23">
        <f t="shared" si="4"/>
        <v>1</v>
      </c>
      <c r="AG325" s="23">
        <f t="shared" si="6"/>
        <v>1</v>
      </c>
      <c r="AH325" s="9"/>
      <c r="AI325" s="9"/>
    </row>
    <row r="326" ht="15.75" customHeight="1">
      <c r="A326" s="9"/>
      <c r="B326" s="9"/>
      <c r="C326" s="9"/>
      <c r="D326" s="9"/>
      <c r="E326" s="5" t="s">
        <v>452</v>
      </c>
      <c r="F326" s="6">
        <v>88000.0</v>
      </c>
      <c r="G326" s="6">
        <v>56044.0</v>
      </c>
      <c r="H326" s="5" t="s">
        <v>26</v>
      </c>
      <c r="I326" s="5" t="s">
        <v>21</v>
      </c>
      <c r="J326" s="5">
        <v>6.36022847E8</v>
      </c>
      <c r="K326" s="5">
        <v>9984704.0</v>
      </c>
      <c r="L326" s="17"/>
      <c r="M326" s="18"/>
      <c r="N326" s="5" t="b">
        <v>0</v>
      </c>
      <c r="O326" s="19"/>
      <c r="P326" s="7"/>
      <c r="Q326" s="9"/>
      <c r="R326" s="9"/>
      <c r="S326" s="9"/>
      <c r="T326" s="9"/>
      <c r="U326" s="9"/>
      <c r="V326" s="9"/>
      <c r="W326" s="9"/>
      <c r="X326" s="23"/>
      <c r="Y326" s="23"/>
      <c r="Z326" s="23"/>
      <c r="AA326" s="23"/>
      <c r="AB326" s="9"/>
      <c r="AC326" s="9" t="str">
        <f>IFERROR(__xludf.DUMMYFUNCTION("""COMPUTED_VALUE"""),"Vallee Blanche")</f>
        <v>Vallee Blanche</v>
      </c>
      <c r="AD326" s="25"/>
      <c r="AE326" s="25" t="str">
        <f t="shared" si="5"/>
        <v/>
      </c>
      <c r="AF326" s="23">
        <f t="shared" si="4"/>
        <v>1</v>
      </c>
      <c r="AG326" s="23">
        <f t="shared" si="6"/>
        <v>1</v>
      </c>
      <c r="AH326" s="9"/>
      <c r="AI326" s="9"/>
    </row>
    <row r="327" ht="15.75" customHeight="1">
      <c r="A327" s="9"/>
      <c r="B327" s="9"/>
      <c r="C327" s="9"/>
      <c r="D327" s="9"/>
      <c r="E327" s="5" t="s">
        <v>453</v>
      </c>
      <c r="F327" s="6">
        <v>81629.0</v>
      </c>
      <c r="G327" s="6">
        <v>54804.0</v>
      </c>
      <c r="H327" s="5" t="s">
        <v>20</v>
      </c>
      <c r="I327" s="5" t="s">
        <v>21</v>
      </c>
      <c r="J327" s="5">
        <v>3.7247E8</v>
      </c>
      <c r="K327" s="5">
        <v>9415648.0</v>
      </c>
      <c r="L327" s="17"/>
      <c r="M327" s="18"/>
      <c r="N327" s="5" t="b">
        <v>1</v>
      </c>
      <c r="O327" s="19"/>
      <c r="P327" s="7"/>
      <c r="Q327" s="9"/>
      <c r="R327" s="9"/>
      <c r="S327" s="9"/>
      <c r="T327" s="9"/>
      <c r="U327" s="9"/>
      <c r="V327" s="9"/>
      <c r="W327" s="9"/>
      <c r="X327" s="23"/>
      <c r="Y327" s="23"/>
      <c r="Z327" s="23"/>
      <c r="AA327" s="23"/>
      <c r="AB327" s="9"/>
      <c r="AC327" s="9" t="str">
        <f>IFERROR(__xludf.DUMMYFUNCTION("""COMPUTED_VALUE"""),"Vega Sage")</f>
        <v>Vega Sage</v>
      </c>
      <c r="AD327" s="25"/>
      <c r="AE327" s="25" t="str">
        <f t="shared" si="5"/>
        <v/>
      </c>
      <c r="AF327" s="23">
        <f t="shared" si="4"/>
        <v>1</v>
      </c>
      <c r="AG327" s="23">
        <f t="shared" si="6"/>
        <v>1</v>
      </c>
      <c r="AH327" s="9"/>
      <c r="AI327" s="9"/>
    </row>
    <row r="328" ht="15.75" customHeight="1">
      <c r="A328" s="9"/>
      <c r="B328" s="9"/>
      <c r="C328" s="9"/>
      <c r="D328" s="9"/>
      <c r="E328" s="5" t="s">
        <v>454</v>
      </c>
      <c r="F328" s="6">
        <v>73879.0</v>
      </c>
      <c r="G328" s="6">
        <v>49701.0</v>
      </c>
      <c r="H328" s="5" t="s">
        <v>20</v>
      </c>
      <c r="I328" s="5" t="s">
        <v>21</v>
      </c>
      <c r="J328" s="5">
        <v>3.52001324E8</v>
      </c>
      <c r="K328" s="5">
        <v>8818207.0</v>
      </c>
      <c r="L328" s="5" t="s">
        <v>455</v>
      </c>
      <c r="M328" s="35">
        <v>46137.166666666664</v>
      </c>
      <c r="N328" s="5" t="b">
        <v>1</v>
      </c>
      <c r="O328" s="19"/>
      <c r="P328" s="7"/>
      <c r="Q328" s="9"/>
      <c r="R328" s="9"/>
      <c r="S328" s="9"/>
      <c r="T328" s="9"/>
      <c r="U328" s="9"/>
      <c r="V328" s="9"/>
      <c r="W328" s="9"/>
      <c r="X328" s="23"/>
      <c r="Y328" s="23"/>
      <c r="Z328" s="23"/>
      <c r="AA328" s="23"/>
      <c r="AB328" s="9"/>
      <c r="AC328" s="9" t="str">
        <f>IFERROR(__xludf.DUMMYFUNCTION("""COMPUTED_VALUE"""),"Vega Sea")</f>
        <v>Vega Sea</v>
      </c>
      <c r="AD328" s="25"/>
      <c r="AE328" s="25" t="str">
        <f t="shared" si="5"/>
        <v/>
      </c>
      <c r="AF328" s="23">
        <f t="shared" si="4"/>
        <v>1</v>
      </c>
      <c r="AG328" s="23" t="str">
        <f t="shared" si="6"/>
        <v/>
      </c>
      <c r="AH328" s="9"/>
      <c r="AI328" s="9"/>
    </row>
    <row r="329" ht="15.75" customHeight="1">
      <c r="A329" s="9"/>
      <c r="B329" s="9"/>
      <c r="C329" s="9"/>
      <c r="D329" s="9"/>
      <c r="E329" s="5" t="s">
        <v>456</v>
      </c>
      <c r="F329" s="6">
        <v>78549.0</v>
      </c>
      <c r="G329" s="6">
        <v>53003.0</v>
      </c>
      <c r="H329" s="5" t="s">
        <v>26</v>
      </c>
      <c r="I329" s="5" t="s">
        <v>21</v>
      </c>
      <c r="J329" s="5">
        <v>3.70313E8</v>
      </c>
      <c r="K329" s="5">
        <v>9534810.0</v>
      </c>
      <c r="L329" s="5" t="s">
        <v>89</v>
      </c>
      <c r="M329" s="38">
        <v>46133.291666666664</v>
      </c>
      <c r="N329" s="5" t="b">
        <v>0</v>
      </c>
      <c r="O329" s="19"/>
      <c r="P329" s="7"/>
      <c r="Q329" s="9"/>
      <c r="R329" s="9"/>
      <c r="S329" s="9"/>
      <c r="T329" s="9"/>
      <c r="U329" s="9"/>
      <c r="V329" s="9"/>
      <c r="W329" s="9"/>
      <c r="X329" s="23"/>
      <c r="Y329" s="23"/>
      <c r="Z329" s="23"/>
      <c r="AA329" s="23"/>
      <c r="AB329" s="9"/>
      <c r="AC329" s="9" t="str">
        <f>IFERROR(__xludf.DUMMYFUNCTION("""COMPUTED_VALUE"""),"Vega Sky")</f>
        <v>Vega Sky</v>
      </c>
      <c r="AD329" s="25"/>
      <c r="AE329" s="25" t="str">
        <f t="shared" si="5"/>
        <v/>
      </c>
      <c r="AF329" s="23">
        <f t="shared" si="4"/>
        <v>1</v>
      </c>
      <c r="AG329" s="23">
        <f t="shared" si="6"/>
        <v>1</v>
      </c>
      <c r="AH329" s="9"/>
      <c r="AI329" s="9"/>
    </row>
    <row r="330" ht="15.75" customHeight="1">
      <c r="A330" s="9"/>
      <c r="B330" s="9"/>
      <c r="C330" s="9"/>
      <c r="D330" s="9"/>
      <c r="E330" s="5" t="s">
        <v>457</v>
      </c>
      <c r="F330" s="6">
        <v>82200.0</v>
      </c>
      <c r="G330" s="6">
        <v>53503.0</v>
      </c>
      <c r="H330" s="5" t="s">
        <v>26</v>
      </c>
      <c r="I330" s="5" t="s">
        <v>21</v>
      </c>
      <c r="J330" s="5">
        <v>4.19001302E8</v>
      </c>
      <c r="K330" s="5">
        <v>9232503.0</v>
      </c>
      <c r="L330" s="5" t="s">
        <v>285</v>
      </c>
      <c r="M330" s="35">
        <v>46133.375</v>
      </c>
      <c r="N330" s="5" t="b">
        <v>0</v>
      </c>
      <c r="O330" s="19"/>
      <c r="P330" s="7"/>
      <c r="Q330" s="9"/>
      <c r="R330" s="9"/>
      <c r="S330" s="9"/>
      <c r="T330" s="9"/>
      <c r="U330" s="9"/>
      <c r="V330" s="9"/>
      <c r="W330" s="9"/>
      <c r="X330" s="23"/>
      <c r="Y330" s="23"/>
      <c r="Z330" s="23"/>
      <c r="AA330" s="23"/>
      <c r="AB330" s="9"/>
      <c r="AC330" s="9" t="str">
        <f>IFERROR(__xludf.DUMMYFUNCTION("""COMPUTED_VALUE"""),"Vega Song")</f>
        <v>Vega Song</v>
      </c>
      <c r="AD330" s="25"/>
      <c r="AE330" s="25" t="str">
        <f t="shared" si="5"/>
        <v/>
      </c>
      <c r="AF330" s="23">
        <f t="shared" si="4"/>
        <v>1</v>
      </c>
      <c r="AG330" s="23" t="str">
        <f t="shared" si="6"/>
        <v/>
      </c>
      <c r="AH330" s="9"/>
      <c r="AI330" s="9"/>
    </row>
    <row r="331" ht="15.75" customHeight="1">
      <c r="A331" s="9"/>
      <c r="B331" s="9"/>
      <c r="C331" s="9"/>
      <c r="D331" s="9"/>
      <c r="E331" s="5" t="s">
        <v>458</v>
      </c>
      <c r="F331" s="6">
        <v>84000.0</v>
      </c>
      <c r="G331" s="6">
        <v>51668.0</v>
      </c>
      <c r="H331" s="5" t="s">
        <v>20</v>
      </c>
      <c r="I331" s="5" t="s">
        <v>21</v>
      </c>
      <c r="J331" s="5">
        <v>2.19654E8</v>
      </c>
      <c r="K331" s="5">
        <v>9694634.0</v>
      </c>
      <c r="L331" s="17"/>
      <c r="M331" s="18"/>
      <c r="N331" s="5" t="b">
        <v>1</v>
      </c>
      <c r="O331" s="19"/>
      <c r="P331" s="7"/>
      <c r="Q331" s="9"/>
      <c r="R331" s="9"/>
      <c r="S331" s="9"/>
      <c r="T331" s="9"/>
      <c r="U331" s="9"/>
      <c r="V331" s="9"/>
      <c r="W331" s="9"/>
      <c r="X331" s="23"/>
      <c r="Y331" s="23"/>
      <c r="Z331" s="23"/>
      <c r="AA331" s="23"/>
      <c r="AB331" s="9"/>
      <c r="AC331" s="9" t="str">
        <f>IFERROR(__xludf.DUMMYFUNCTION("""COMPUTED_VALUE"""),"Vega Star")</f>
        <v>Vega Star</v>
      </c>
      <c r="AD331" s="25"/>
      <c r="AE331" s="25" t="str">
        <f t="shared" si="5"/>
        <v/>
      </c>
      <c r="AF331" s="23">
        <f t="shared" si="4"/>
        <v>1</v>
      </c>
      <c r="AG331" s="23">
        <f t="shared" si="6"/>
        <v>1</v>
      </c>
      <c r="AH331" s="9"/>
      <c r="AI331" s="9"/>
    </row>
    <row r="332" ht="15.75" customHeight="1">
      <c r="A332" s="9"/>
      <c r="B332" s="9"/>
      <c r="C332" s="9"/>
      <c r="D332" s="9"/>
      <c r="E332" s="5" t="s">
        <v>459</v>
      </c>
      <c r="F332" s="6">
        <v>78502.0</v>
      </c>
      <c r="G332" s="6">
        <v>49849.0</v>
      </c>
      <c r="H332" s="5" t="s">
        <v>20</v>
      </c>
      <c r="I332" s="5" t="s">
        <v>21</v>
      </c>
      <c r="J332" s="5">
        <v>6.03924E8</v>
      </c>
      <c r="K332" s="5">
        <v>9115303.0</v>
      </c>
      <c r="L332" s="17"/>
      <c r="M332" s="53"/>
      <c r="N332" s="5" t="b">
        <v>1</v>
      </c>
      <c r="O332" s="19"/>
      <c r="P332" s="7"/>
      <c r="Q332" s="9"/>
      <c r="R332" s="9"/>
      <c r="S332" s="9"/>
      <c r="T332" s="9"/>
      <c r="U332" s="9"/>
      <c r="V332" s="9"/>
      <c r="W332" s="9"/>
      <c r="X332" s="23"/>
      <c r="Y332" s="23"/>
      <c r="Z332" s="23"/>
      <c r="AA332" s="23"/>
      <c r="AB332" s="9"/>
      <c r="AC332" s="9" t="str">
        <f>IFERROR(__xludf.DUMMYFUNCTION("""COMPUTED_VALUE"""),"Vega Sun")</f>
        <v>Vega Sun</v>
      </c>
      <c r="AD332" s="25"/>
      <c r="AE332" s="25" t="str">
        <f t="shared" si="5"/>
        <v/>
      </c>
      <c r="AF332" s="23">
        <f t="shared" si="4"/>
        <v>1</v>
      </c>
      <c r="AG332" s="23" t="str">
        <f t="shared" si="6"/>
        <v/>
      </c>
      <c r="AH332" s="9"/>
      <c r="AI332" s="9"/>
    </row>
    <row r="333" ht="15.75" customHeight="1">
      <c r="A333" s="9"/>
      <c r="B333" s="9"/>
      <c r="C333" s="9"/>
      <c r="D333" s="9"/>
      <c r="E333" s="5" t="s">
        <v>460</v>
      </c>
      <c r="F333" s="6">
        <v>91000.0</v>
      </c>
      <c r="G333" s="6">
        <v>62500.0</v>
      </c>
      <c r="H333" s="5" t="s">
        <v>26</v>
      </c>
      <c r="I333" s="5" t="s">
        <v>21</v>
      </c>
      <c r="J333" s="5">
        <v>6.36022368E8</v>
      </c>
      <c r="K333" s="5">
        <v>9933779.0</v>
      </c>
      <c r="L333" s="5" t="s">
        <v>127</v>
      </c>
      <c r="M333" s="35">
        <v>46140.791666666664</v>
      </c>
      <c r="N333" s="5" t="b">
        <v>0</v>
      </c>
      <c r="O333" s="19"/>
      <c r="P333" s="7"/>
      <c r="Q333" s="9"/>
      <c r="R333" s="9"/>
      <c r="S333" s="9"/>
      <c r="T333" s="9"/>
      <c r="U333" s="9"/>
      <c r="V333" s="9"/>
      <c r="W333" s="9"/>
      <c r="X333" s="23"/>
      <c r="Y333" s="23"/>
      <c r="Z333" s="23"/>
      <c r="AA333" s="23"/>
      <c r="AB333" s="9"/>
      <c r="AC333" s="9" t="str">
        <f>IFERROR(__xludf.DUMMYFUNCTION("""COMPUTED_VALUE"""),"Victoria Lyra")</f>
        <v>Victoria Lyra</v>
      </c>
      <c r="AD333" s="25"/>
      <c r="AE333" s="25" t="str">
        <f t="shared" si="5"/>
        <v/>
      </c>
      <c r="AF333" s="23">
        <f t="shared" si="4"/>
        <v>1</v>
      </c>
      <c r="AG333" s="23">
        <f t="shared" si="6"/>
        <v>1</v>
      </c>
      <c r="AH333" s="9"/>
      <c r="AI333" s="9"/>
    </row>
    <row r="334" ht="15.75" customHeight="1">
      <c r="A334" s="9"/>
      <c r="B334" s="9"/>
      <c r="C334" s="9"/>
      <c r="D334" s="9"/>
      <c r="E334" s="5" t="s">
        <v>461</v>
      </c>
      <c r="F334" s="6">
        <v>86000.0</v>
      </c>
      <c r="G334" s="6">
        <v>51269.0</v>
      </c>
      <c r="H334" s="5" t="s">
        <v>20</v>
      </c>
      <c r="I334" s="5" t="s">
        <v>21</v>
      </c>
      <c r="J334" s="5">
        <v>6.3602294E8</v>
      </c>
      <c r="K334" s="5">
        <v>9941245.0</v>
      </c>
      <c r="L334" s="5" t="s">
        <v>101</v>
      </c>
      <c r="M334" s="35">
        <v>46134.958333333336</v>
      </c>
      <c r="N334" s="5" t="b">
        <v>1</v>
      </c>
      <c r="O334" s="19"/>
      <c r="P334" s="7"/>
      <c r="Q334" s="9"/>
      <c r="R334" s="9"/>
      <c r="S334" s="9"/>
      <c r="T334" s="9"/>
      <c r="U334" s="9"/>
      <c r="V334" s="9"/>
      <c r="W334" s="9"/>
      <c r="X334" s="23"/>
      <c r="Y334" s="23"/>
      <c r="Z334" s="23"/>
      <c r="AA334" s="23"/>
      <c r="AB334" s="9"/>
      <c r="AC334" s="9" t="str">
        <f>IFERROR(__xludf.DUMMYFUNCTION("""COMPUTED_VALUE"""),"Vishvakarmaa")</f>
        <v>Vishvakarmaa</v>
      </c>
      <c r="AD334" s="25"/>
      <c r="AE334" s="25" t="str">
        <f t="shared" si="5"/>
        <v/>
      </c>
      <c r="AF334" s="23">
        <f t="shared" si="4"/>
        <v>1</v>
      </c>
      <c r="AG334" s="23">
        <f t="shared" si="6"/>
        <v>1</v>
      </c>
      <c r="AH334" s="9"/>
      <c r="AI334" s="9"/>
    </row>
    <row r="335" ht="15.75" customHeight="1">
      <c r="A335" s="9"/>
      <c r="B335" s="9"/>
      <c r="C335" s="9"/>
      <c r="D335" s="9"/>
      <c r="E335" s="5" t="s">
        <v>462</v>
      </c>
      <c r="F335" s="6">
        <v>86000.0</v>
      </c>
      <c r="G335" s="6">
        <v>55231.0</v>
      </c>
      <c r="H335" s="5" t="s">
        <v>26</v>
      </c>
      <c r="I335" s="5" t="s">
        <v>21</v>
      </c>
      <c r="J335" s="5">
        <v>5.38010751E8</v>
      </c>
      <c r="K335" s="5">
        <v>9943528.0</v>
      </c>
      <c r="L335" s="5" t="s">
        <v>101</v>
      </c>
      <c r="M335" s="38">
        <v>46133.5</v>
      </c>
      <c r="N335" s="5" t="b">
        <v>0</v>
      </c>
      <c r="O335" s="19"/>
      <c r="P335" s="7"/>
      <c r="Q335" s="9"/>
      <c r="R335" s="9"/>
      <c r="S335" s="9"/>
      <c r="T335" s="9"/>
      <c r="U335" s="9"/>
      <c r="V335" s="9"/>
      <c r="W335" s="9"/>
      <c r="X335" s="23"/>
      <c r="Y335" s="23"/>
      <c r="Z335" s="23"/>
      <c r="AA335" s="23"/>
      <c r="AB335" s="9"/>
      <c r="AC335" s="9" t="str">
        <f>IFERROR(__xludf.DUMMYFUNCTION("""COMPUTED_VALUE"""),"White Cliffs")</f>
        <v>White Cliffs</v>
      </c>
      <c r="AD335" s="25"/>
      <c r="AE335" s="25" t="str">
        <f t="shared" si="5"/>
        <v/>
      </c>
      <c r="AF335" s="23">
        <f t="shared" si="4"/>
        <v>1</v>
      </c>
      <c r="AG335" s="23">
        <f t="shared" si="6"/>
        <v>1</v>
      </c>
      <c r="AH335" s="9"/>
      <c r="AI335" s="9"/>
    </row>
    <row r="336" ht="15.75" customHeight="1">
      <c r="A336" s="9"/>
      <c r="B336" s="9"/>
      <c r="C336" s="9"/>
      <c r="D336" s="9"/>
      <c r="E336" s="5" t="s">
        <v>463</v>
      </c>
      <c r="F336" s="6">
        <v>82200.0</v>
      </c>
      <c r="G336" s="6">
        <v>54052.0</v>
      </c>
      <c r="H336" s="5" t="s">
        <v>20</v>
      </c>
      <c r="I336" s="5" t="s">
        <v>21</v>
      </c>
      <c r="J336" s="5">
        <v>3.51236E8</v>
      </c>
      <c r="K336" s="5">
        <v>9800506.0</v>
      </c>
      <c r="L336" s="5" t="s">
        <v>464</v>
      </c>
      <c r="M336" s="35">
        <v>46134.038194444445</v>
      </c>
      <c r="N336" s="5" t="b">
        <v>1</v>
      </c>
      <c r="O336" s="19"/>
      <c r="P336" s="7"/>
      <c r="Q336" s="9"/>
      <c r="R336" s="9"/>
      <c r="S336" s="9"/>
      <c r="T336" s="9"/>
      <c r="U336" s="9"/>
      <c r="V336" s="9"/>
      <c r="W336" s="9"/>
      <c r="X336" s="23"/>
      <c r="Y336" s="23"/>
      <c r="Z336" s="23"/>
      <c r="AA336" s="23"/>
      <c r="AB336" s="9"/>
      <c r="AC336" s="9" t="str">
        <f>IFERROR(__xludf.DUMMYFUNCTION("""COMPUTED_VALUE"""),"Yuhsan")</f>
        <v>Yuhsan</v>
      </c>
      <c r="AD336" s="25"/>
      <c r="AE336" s="25" t="str">
        <f t="shared" si="5"/>
        <v/>
      </c>
      <c r="AF336" s="23">
        <f t="shared" si="4"/>
        <v>1</v>
      </c>
      <c r="AG336" s="23">
        <f t="shared" si="6"/>
        <v>1</v>
      </c>
      <c r="AH336" s="9"/>
      <c r="AI336" s="9"/>
    </row>
    <row r="337" ht="15.75" customHeight="1">
      <c r="A337" s="9"/>
      <c r="B337" s="9"/>
      <c r="C337" s="9"/>
      <c r="D337" s="9"/>
      <c r="E337" s="5" t="s">
        <v>465</v>
      </c>
      <c r="F337" s="6">
        <v>84000.0</v>
      </c>
      <c r="G337" s="6">
        <v>54312.0</v>
      </c>
      <c r="H337" s="5" t="s">
        <v>20</v>
      </c>
      <c r="I337" s="5" t="s">
        <v>21</v>
      </c>
      <c r="J337" s="5">
        <v>3.54737E8</v>
      </c>
      <c r="K337" s="5">
        <v>9749788.0</v>
      </c>
      <c r="L337" s="5" t="s">
        <v>106</v>
      </c>
      <c r="M337" s="35">
        <v>46171.00069444445</v>
      </c>
      <c r="N337" s="5" t="b">
        <v>1</v>
      </c>
      <c r="O337" s="19"/>
      <c r="P337" s="7"/>
      <c r="Q337" s="9"/>
      <c r="R337" s="9"/>
      <c r="S337" s="9"/>
      <c r="T337" s="9"/>
      <c r="U337" s="9"/>
      <c r="V337" s="9"/>
      <c r="W337" s="9"/>
      <c r="X337" s="23"/>
      <c r="Y337" s="23"/>
      <c r="Z337" s="23"/>
      <c r="AA337" s="23"/>
      <c r="AB337" s="9"/>
      <c r="AC337" s="9" t="str">
        <f>IFERROR(__xludf.DUMMYFUNCTION("""COMPUTED_VALUE"""),"Yuyo")</f>
        <v>Yuyo</v>
      </c>
      <c r="AD337" s="25"/>
      <c r="AE337" s="25" t="str">
        <f t="shared" si="5"/>
        <v/>
      </c>
      <c r="AF337" s="23">
        <f t="shared" si="4"/>
        <v>1</v>
      </c>
      <c r="AG337" s="23">
        <f t="shared" si="6"/>
        <v>1</v>
      </c>
      <c r="AH337" s="9"/>
      <c r="AI337" s="9"/>
    </row>
    <row r="338" ht="15.75" customHeight="1">
      <c r="A338" s="9"/>
      <c r="B338" s="9"/>
      <c r="C338" s="9"/>
      <c r="D338" s="9"/>
      <c r="E338" s="5" t="s">
        <v>466</v>
      </c>
      <c r="F338" s="6">
        <v>83270.0</v>
      </c>
      <c r="G338" s="6">
        <v>54490.0</v>
      </c>
      <c r="H338" s="5" t="s">
        <v>20</v>
      </c>
      <c r="I338" s="5" t="s">
        <v>21</v>
      </c>
      <c r="J338" s="5">
        <v>5.7400539E8</v>
      </c>
      <c r="K338" s="5">
        <v>9307736.0</v>
      </c>
      <c r="L338" s="5" t="s">
        <v>154</v>
      </c>
      <c r="M338" s="35">
        <v>46144.8125</v>
      </c>
      <c r="N338" s="5" t="b">
        <v>1</v>
      </c>
      <c r="O338" s="19"/>
      <c r="P338" s="7"/>
      <c r="Q338" s="9"/>
      <c r="R338" s="9"/>
      <c r="S338" s="9"/>
      <c r="T338" s="9"/>
      <c r="U338" s="9"/>
      <c r="V338" s="9"/>
      <c r="W338" s="9"/>
      <c r="X338" s="23"/>
      <c r="Y338" s="23"/>
      <c r="Z338" s="23"/>
      <c r="AA338" s="23"/>
      <c r="AB338" s="9"/>
      <c r="AC338" s="9" t="str">
        <f>IFERROR(__xludf.DUMMYFUNCTION("""COMPUTED_VALUE"""),"Yuyo Spirits")</f>
        <v>Yuyo Spirits</v>
      </c>
      <c r="AD338" s="25"/>
      <c r="AE338" s="25" t="str">
        <f t="shared" si="5"/>
        <v/>
      </c>
      <c r="AF338" s="23">
        <f t="shared" si="4"/>
        <v>1</v>
      </c>
      <c r="AG338" s="23" t="str">
        <f t="shared" si="6"/>
        <v/>
      </c>
      <c r="AH338" s="9"/>
      <c r="AI338" s="9"/>
    </row>
    <row r="339" ht="15.75" customHeight="1">
      <c r="A339" s="9"/>
      <c r="B339" s="9"/>
      <c r="C339" s="9"/>
      <c r="D339" s="9"/>
      <c r="E339" s="5" t="s">
        <v>467</v>
      </c>
      <c r="F339" s="6">
        <v>84597.0</v>
      </c>
      <c r="G339" s="6">
        <v>54975.0</v>
      </c>
      <c r="H339" s="5" t="s">
        <v>26</v>
      </c>
      <c r="I339" s="5" t="s">
        <v>21</v>
      </c>
      <c r="J339" s="5">
        <v>5.7400571E8</v>
      </c>
      <c r="K339" s="5">
        <v>9350288.0</v>
      </c>
      <c r="L339" s="5" t="s">
        <v>160</v>
      </c>
      <c r="M339" s="35">
        <v>46132.625</v>
      </c>
      <c r="N339" s="5" t="b">
        <v>0</v>
      </c>
      <c r="O339" s="19"/>
      <c r="P339" s="7"/>
      <c r="Q339" s="9"/>
      <c r="R339" s="9"/>
      <c r="S339" s="9"/>
      <c r="T339" s="9"/>
      <c r="U339" s="9"/>
      <c r="V339" s="9"/>
      <c r="W339" s="9"/>
      <c r="X339" s="23"/>
      <c r="Y339" s="23"/>
      <c r="Z339" s="23"/>
      <c r="AA339" s="23"/>
      <c r="AB339" s="9"/>
      <c r="AC339" s="9" t="str">
        <f>IFERROR(__xludf.DUMMYFUNCTION("""COMPUTED_VALUE"""),"Zakher")</f>
        <v>Zakher</v>
      </c>
      <c r="AD339" s="25"/>
      <c r="AE339" s="25" t="str">
        <f t="shared" si="5"/>
        <v/>
      </c>
      <c r="AF339" s="23">
        <f t="shared" si="4"/>
        <v>1</v>
      </c>
      <c r="AG339" s="23">
        <f t="shared" si="6"/>
        <v>1</v>
      </c>
      <c r="AH339" s="9"/>
      <c r="AI339" s="9"/>
    </row>
    <row r="340" ht="15.75" customHeight="1">
      <c r="A340" s="9"/>
      <c r="B340" s="9"/>
      <c r="C340" s="9"/>
      <c r="D340" s="9"/>
      <c r="E340" s="5" t="s">
        <v>468</v>
      </c>
      <c r="F340" s="6">
        <v>84614.0</v>
      </c>
      <c r="G340" s="6">
        <v>54691.0</v>
      </c>
      <c r="H340" s="5" t="s">
        <v>26</v>
      </c>
      <c r="I340" s="5" t="s">
        <v>21</v>
      </c>
      <c r="J340" s="5">
        <v>6.36024958E8</v>
      </c>
      <c r="K340" s="5">
        <v>9350604.0</v>
      </c>
      <c r="L340" s="17"/>
      <c r="M340" s="18"/>
      <c r="N340" s="5" t="b">
        <v>0</v>
      </c>
      <c r="O340" s="19"/>
      <c r="P340" s="7"/>
      <c r="Q340" s="9"/>
      <c r="R340" s="9"/>
      <c r="S340" s="9"/>
      <c r="T340" s="9"/>
      <c r="U340" s="9"/>
      <c r="V340" s="9"/>
      <c r="W340" s="9"/>
      <c r="X340" s="23"/>
      <c r="Y340" s="23"/>
      <c r="Z340" s="23"/>
      <c r="AA340" s="23"/>
      <c r="AB340" s="9"/>
      <c r="AC340" s="9" t="str">
        <f>IFERROR(__xludf.DUMMYFUNCTION("""COMPUTED_VALUE"""),"Zante Gas")</f>
        <v>Zante Gas</v>
      </c>
      <c r="AD340" s="25"/>
      <c r="AE340" s="25" t="str">
        <f t="shared" si="5"/>
        <v/>
      </c>
      <c r="AF340" s="23">
        <f t="shared" si="4"/>
        <v>1</v>
      </c>
      <c r="AG340" s="23">
        <f t="shared" si="6"/>
        <v>1</v>
      </c>
      <c r="AH340" s="9"/>
      <c r="AI340" s="9"/>
    </row>
    <row r="341" ht="15.75" customHeight="1">
      <c r="A341" s="9"/>
      <c r="B341" s="9"/>
      <c r="C341" s="9"/>
      <c r="D341" s="9"/>
      <c r="E341" s="5" t="s">
        <v>469</v>
      </c>
      <c r="F341" s="6">
        <v>82303.0</v>
      </c>
      <c r="G341" s="6">
        <v>54517.0</v>
      </c>
      <c r="H341" s="5" t="s">
        <v>26</v>
      </c>
      <c r="I341" s="5" t="s">
        <v>21</v>
      </c>
      <c r="J341" s="5">
        <v>3.70653E8</v>
      </c>
      <c r="K341" s="5">
        <v>9388687.0</v>
      </c>
      <c r="L341" s="5" t="s">
        <v>265</v>
      </c>
      <c r="M341" s="35">
        <v>46134.666666666664</v>
      </c>
      <c r="N341" s="5" t="b">
        <v>0</v>
      </c>
      <c r="O341" s="19"/>
      <c r="P341" s="7"/>
      <c r="Q341" s="9"/>
      <c r="R341" s="9"/>
      <c r="S341" s="9"/>
      <c r="T341" s="9"/>
      <c r="U341" s="9"/>
      <c r="V341" s="9"/>
      <c r="W341" s="9"/>
      <c r="X341" s="23"/>
      <c r="Y341" s="23"/>
      <c r="Z341" s="23"/>
      <c r="AA341" s="23"/>
      <c r="AB341" s="9"/>
      <c r="AC341" s="9" t="str">
        <f>IFERROR(__xludf.DUMMYFUNCTION("""COMPUTED_VALUE"""),"Sansovino")</f>
        <v>Sansovino</v>
      </c>
      <c r="AD341" s="25"/>
      <c r="AE341" s="25" t="str">
        <f t="shared" si="5"/>
        <v/>
      </c>
      <c r="AF341" s="23">
        <f t="shared" si="4"/>
        <v>1</v>
      </c>
      <c r="AG341" s="23">
        <f t="shared" si="6"/>
        <v>1</v>
      </c>
      <c r="AH341" s="9"/>
      <c r="AI341" s="9"/>
    </row>
    <row r="342" ht="15.75" customHeight="1">
      <c r="A342" s="9"/>
      <c r="B342" s="9"/>
      <c r="C342" s="9"/>
      <c r="D342" s="9"/>
      <c r="E342" s="5" t="s">
        <v>470</v>
      </c>
      <c r="F342" s="6">
        <v>78888.0</v>
      </c>
      <c r="G342" s="6">
        <v>49999.0</v>
      </c>
      <c r="H342" s="5" t="s">
        <v>26</v>
      </c>
      <c r="I342" s="5" t="s">
        <v>21</v>
      </c>
      <c r="J342" s="5">
        <v>5.11101444E8</v>
      </c>
      <c r="K342" s="5">
        <v>9194969.0</v>
      </c>
      <c r="L342" s="5" t="s">
        <v>46</v>
      </c>
      <c r="M342" s="35">
        <v>46131.875</v>
      </c>
      <c r="N342" s="5" t="b">
        <v>0</v>
      </c>
      <c r="O342" s="19"/>
      <c r="P342" s="7"/>
      <c r="Q342" s="9"/>
      <c r="R342" s="9"/>
      <c r="S342" s="9"/>
      <c r="T342" s="9"/>
      <c r="U342" s="9"/>
      <c r="V342" s="9"/>
      <c r="W342" s="9"/>
      <c r="X342" s="23"/>
      <c r="Y342" s="23"/>
      <c r="Z342" s="23"/>
      <c r="AA342" s="23"/>
      <c r="AB342" s="9"/>
      <c r="AC342" s="9" t="str">
        <f>IFERROR(__xludf.DUMMYFUNCTION("""COMPUTED_VALUE"""),"Secreto")</f>
        <v>Secreto</v>
      </c>
      <c r="AD342" s="25"/>
      <c r="AE342" s="25" t="str">
        <f t="shared" si="5"/>
        <v/>
      </c>
      <c r="AF342" s="23">
        <f t="shared" si="4"/>
        <v>1</v>
      </c>
      <c r="AG342" s="23" t="str">
        <f t="shared" si="6"/>
        <v/>
      </c>
      <c r="AH342" s="9"/>
      <c r="AI342" s="9"/>
    </row>
    <row r="343" ht="15.75" customHeight="1">
      <c r="A343" s="9"/>
      <c r="B343" s="9"/>
      <c r="C343" s="9"/>
      <c r="D343" s="9"/>
      <c r="E343" s="5" t="s">
        <v>471</v>
      </c>
      <c r="F343" s="6">
        <v>91000.0</v>
      </c>
      <c r="G343" s="6">
        <v>62000.0</v>
      </c>
      <c r="H343" s="5" t="s">
        <v>26</v>
      </c>
      <c r="I343" s="5" t="s">
        <v>21</v>
      </c>
      <c r="J343" s="5">
        <v>6.36021172E8</v>
      </c>
      <c r="K343" s="5">
        <v>9555008.0</v>
      </c>
      <c r="L343" s="5" t="s">
        <v>43</v>
      </c>
      <c r="M343" s="35">
        <v>46140.00069444445</v>
      </c>
      <c r="N343" s="5" t="b">
        <v>0</v>
      </c>
      <c r="O343" s="19"/>
      <c r="P343" s="7"/>
      <c r="Q343" s="9"/>
      <c r="R343" s="9"/>
      <c r="S343" s="9"/>
      <c r="T343" s="9"/>
      <c r="U343" s="9"/>
      <c r="V343" s="9"/>
      <c r="W343" s="9"/>
      <c r="X343" s="23"/>
      <c r="Y343" s="23"/>
      <c r="Z343" s="23"/>
      <c r="AA343" s="23"/>
      <c r="AB343" s="9"/>
      <c r="AC343" s="9" t="str">
        <f>IFERROR(__xludf.DUMMYFUNCTION("""COMPUTED_VALUE"""),"Shaamit")</f>
        <v>Shaamit</v>
      </c>
      <c r="AD343" s="25"/>
      <c r="AE343" s="25" t="str">
        <f t="shared" si="5"/>
        <v/>
      </c>
      <c r="AF343" s="23">
        <f t="shared" si="4"/>
        <v>1</v>
      </c>
      <c r="AG343" s="23">
        <f t="shared" si="6"/>
        <v>1</v>
      </c>
      <c r="AH343" s="9"/>
      <c r="AI343" s="9"/>
    </row>
    <row r="344" ht="15.75" customHeight="1">
      <c r="A344" s="9"/>
      <c r="B344" s="9"/>
      <c r="C344" s="9"/>
      <c r="D344" s="9"/>
      <c r="E344" s="5" t="s">
        <v>472</v>
      </c>
      <c r="F344" s="6">
        <v>84000.0</v>
      </c>
      <c r="G344" s="6">
        <v>54520.0</v>
      </c>
      <c r="H344" s="5" t="s">
        <v>26</v>
      </c>
      <c r="I344" s="5" t="s">
        <v>21</v>
      </c>
      <c r="J344" s="5">
        <v>4.771376E8</v>
      </c>
      <c r="K344" s="5">
        <v>9763813.0</v>
      </c>
      <c r="L344" s="5" t="s">
        <v>89</v>
      </c>
      <c r="M344" s="35">
        <v>46133.5</v>
      </c>
      <c r="N344" s="5" t="b">
        <v>0</v>
      </c>
      <c r="O344" s="19"/>
      <c r="P344" s="7"/>
      <c r="Q344" s="9"/>
      <c r="R344" s="9"/>
      <c r="S344" s="9"/>
      <c r="T344" s="9"/>
      <c r="U344" s="9"/>
      <c r="V344" s="9"/>
      <c r="W344" s="9"/>
      <c r="X344" s="23"/>
      <c r="Y344" s="23"/>
      <c r="Z344" s="23"/>
      <c r="AA344" s="23"/>
      <c r="AB344" s="9"/>
      <c r="AC344" s="9" t="str">
        <f>IFERROR(__xludf.DUMMYFUNCTION("""COMPUTED_VALUE"""),"Shergar")</f>
        <v>Shergar</v>
      </c>
      <c r="AD344" s="25"/>
      <c r="AE344" s="25" t="str">
        <f t="shared" si="5"/>
        <v/>
      </c>
      <c r="AF344" s="23">
        <f t="shared" si="4"/>
        <v>1</v>
      </c>
      <c r="AG344" s="23">
        <f t="shared" si="6"/>
        <v>1</v>
      </c>
      <c r="AH344" s="9"/>
      <c r="AI344" s="9"/>
    </row>
    <row r="345" ht="15.75" customHeight="1">
      <c r="A345" s="9"/>
      <c r="B345" s="9"/>
      <c r="C345" s="9"/>
      <c r="D345" s="9"/>
      <c r="E345" s="5" t="s">
        <v>473</v>
      </c>
      <c r="F345" s="6">
        <v>84000.0</v>
      </c>
      <c r="G345" s="6">
        <v>54373.0</v>
      </c>
      <c r="H345" s="5" t="s">
        <v>20</v>
      </c>
      <c r="I345" s="5" t="s">
        <v>21</v>
      </c>
      <c r="J345" s="5">
        <v>4.771129E8</v>
      </c>
      <c r="K345" s="5">
        <v>9804253.0</v>
      </c>
      <c r="L345" s="5" t="s">
        <v>95</v>
      </c>
      <c r="M345" s="35">
        <v>46162.375</v>
      </c>
      <c r="N345" s="5" t="b">
        <v>1</v>
      </c>
      <c r="O345" s="19"/>
      <c r="P345" s="7"/>
      <c r="Q345" s="9"/>
      <c r="R345" s="9"/>
      <c r="S345" s="9"/>
      <c r="T345" s="9"/>
      <c r="U345" s="9"/>
      <c r="V345" s="9"/>
      <c r="W345" s="9"/>
      <c r="X345" s="23"/>
      <c r="Y345" s="23"/>
      <c r="Z345" s="23"/>
      <c r="AA345" s="23"/>
      <c r="AB345" s="9"/>
      <c r="AC345" s="9" t="str">
        <f>IFERROR(__xludf.DUMMYFUNCTION("""COMPUTED_VALUE"""),"Silvio")</f>
        <v>Silvio</v>
      </c>
      <c r="AD345" s="25"/>
      <c r="AE345" s="25" t="str">
        <f t="shared" si="5"/>
        <v/>
      </c>
      <c r="AF345" s="23">
        <f>IF(ISERROR(VLOOKUP(#REF!,$E$2:$F$600,2, FALSE)),1,"")</f>
        <v>1</v>
      </c>
      <c r="AG345" s="23">
        <f t="shared" si="6"/>
        <v>1</v>
      </c>
      <c r="AH345" s="9"/>
      <c r="AI345" s="9"/>
    </row>
    <row r="346" ht="15.75" customHeight="1">
      <c r="A346" s="9"/>
      <c r="B346" s="9"/>
      <c r="C346" s="9"/>
      <c r="D346" s="9"/>
      <c r="E346" s="5" t="s">
        <v>474</v>
      </c>
      <c r="F346" s="6">
        <v>78488.0</v>
      </c>
      <c r="G346" s="6">
        <v>50748.0</v>
      </c>
      <c r="H346" s="5" t="s">
        <v>66</v>
      </c>
      <c r="I346" s="5" t="s">
        <v>21</v>
      </c>
      <c r="J346" s="5">
        <v>3.52478E8</v>
      </c>
      <c r="K346" s="5">
        <v>8902371.0</v>
      </c>
      <c r="L346" s="17"/>
      <c r="M346" s="18"/>
      <c r="N346" s="5" t="b">
        <v>1</v>
      </c>
      <c r="O346" s="19"/>
      <c r="P346" s="7"/>
      <c r="Q346" s="9"/>
      <c r="R346" s="9"/>
      <c r="S346" s="9"/>
      <c r="T346" s="9"/>
      <c r="U346" s="9"/>
      <c r="V346" s="9"/>
      <c r="W346" s="9"/>
      <c r="X346" s="23"/>
      <c r="Y346" s="23"/>
      <c r="Z346" s="23"/>
      <c r="AA346" s="23"/>
      <c r="AB346" s="9"/>
      <c r="AC346" s="9" t="str">
        <f>IFERROR(__xludf.DUMMYFUNCTION("""COMPUTED_VALUE"""),"Sinndar")</f>
        <v>Sinndar</v>
      </c>
      <c r="AD346" s="25"/>
      <c r="AE346" s="25" t="str">
        <f t="shared" si="5"/>
        <v/>
      </c>
      <c r="AF346" s="23">
        <f t="shared" ref="AF346:AF399" si="7">IF(ISERROR(VLOOKUP(Y345,$E$2:$F$600,2, FALSE)),1,"")</f>
        <v>1</v>
      </c>
      <c r="AG346" s="23" t="str">
        <f t="shared" si="6"/>
        <v/>
      </c>
      <c r="AH346" s="9"/>
      <c r="AI346" s="9"/>
    </row>
    <row r="347" ht="15.75" customHeight="1">
      <c r="A347" s="9"/>
      <c r="B347" s="9"/>
      <c r="C347" s="9"/>
      <c r="D347" s="9"/>
      <c r="E347" s="5" t="s">
        <v>475</v>
      </c>
      <c r="F347" s="6">
        <v>84000.0</v>
      </c>
      <c r="G347" s="6">
        <v>54747.0</v>
      </c>
      <c r="H347" s="5" t="s">
        <v>20</v>
      </c>
      <c r="I347" s="5" t="s">
        <v>21</v>
      </c>
      <c r="J347" s="5">
        <v>4.775841E8</v>
      </c>
      <c r="K347" s="5">
        <v>9743734.0</v>
      </c>
      <c r="L347" s="5" t="s">
        <v>251</v>
      </c>
      <c r="M347" s="35">
        <v>46145.5</v>
      </c>
      <c r="N347" s="5" t="b">
        <v>1</v>
      </c>
      <c r="O347" s="19"/>
      <c r="P347" s="7"/>
      <c r="Q347" s="9"/>
      <c r="R347" s="9"/>
      <c r="S347" s="9"/>
      <c r="T347" s="9"/>
      <c r="U347" s="9"/>
      <c r="V347" s="9"/>
      <c r="W347" s="9"/>
      <c r="X347" s="23"/>
      <c r="Y347" s="23"/>
      <c r="Z347" s="23"/>
      <c r="AA347" s="23"/>
      <c r="AB347" s="9"/>
      <c r="AC347" s="9" t="str">
        <f>IFERROR(__xludf.DUMMYFUNCTION("""COMPUTED_VALUE"""),"Sobaek Explorer")</f>
        <v>Sobaek Explorer</v>
      </c>
      <c r="AD347" s="25"/>
      <c r="AE347" s="25" t="str">
        <f t="shared" si="5"/>
        <v/>
      </c>
      <c r="AF347" s="23">
        <f t="shared" si="7"/>
        <v>1</v>
      </c>
      <c r="AG347" s="23">
        <f t="shared" si="6"/>
        <v>1</v>
      </c>
      <c r="AH347" s="9"/>
      <c r="AI347" s="9"/>
    </row>
    <row r="348" ht="15.75" customHeight="1">
      <c r="A348" s="9"/>
      <c r="B348" s="9"/>
      <c r="C348" s="9"/>
      <c r="D348" s="9"/>
      <c r="E348" s="5" t="s">
        <v>476</v>
      </c>
      <c r="F348" s="6">
        <v>84000.0</v>
      </c>
      <c r="G348" s="6">
        <v>54747.0</v>
      </c>
      <c r="H348" s="5" t="s">
        <v>26</v>
      </c>
      <c r="I348" s="5" t="s">
        <v>21</v>
      </c>
      <c r="J348" s="5">
        <v>4.776209E8</v>
      </c>
      <c r="K348" s="5">
        <v>9743722.0</v>
      </c>
      <c r="L348" s="5" t="s">
        <v>101</v>
      </c>
      <c r="M348" s="35">
        <v>46146.25</v>
      </c>
      <c r="N348" s="5" t="b">
        <v>0</v>
      </c>
      <c r="O348" s="19"/>
      <c r="P348" s="7"/>
      <c r="Q348" s="9"/>
      <c r="R348" s="9"/>
      <c r="S348" s="9"/>
      <c r="T348" s="9"/>
      <c r="U348" s="9"/>
      <c r="V348" s="9"/>
      <c r="W348" s="9"/>
      <c r="X348" s="23"/>
      <c r="Y348" s="23"/>
      <c r="Z348" s="23"/>
      <c r="AA348" s="23"/>
      <c r="AB348" s="9"/>
      <c r="AC348" s="9" t="str">
        <f>IFERROR(__xludf.DUMMYFUNCTION("""COMPUTED_VALUE"""),"Sumire Gas")</f>
        <v>Sumire Gas</v>
      </c>
      <c r="AD348" s="25"/>
      <c r="AE348" s="25" t="str">
        <f t="shared" si="5"/>
        <v/>
      </c>
      <c r="AF348" s="23">
        <f t="shared" si="7"/>
        <v>1</v>
      </c>
      <c r="AG348" s="23">
        <f t="shared" si="6"/>
        <v>1</v>
      </c>
      <c r="AH348" s="9"/>
      <c r="AI348" s="9"/>
    </row>
    <row r="349" ht="15.75" customHeight="1">
      <c r="A349" s="9"/>
      <c r="B349" s="9"/>
      <c r="C349" s="9"/>
      <c r="D349" s="9"/>
      <c r="E349" s="5" t="s">
        <v>477</v>
      </c>
      <c r="F349" s="6">
        <v>84000.0</v>
      </c>
      <c r="G349" s="6">
        <v>54747.0</v>
      </c>
      <c r="H349" s="5" t="s">
        <v>26</v>
      </c>
      <c r="I349" s="5" t="s">
        <v>21</v>
      </c>
      <c r="J349" s="5">
        <v>4.770359E8</v>
      </c>
      <c r="K349" s="5">
        <v>9778478.0</v>
      </c>
      <c r="L349" s="5" t="s">
        <v>134</v>
      </c>
      <c r="M349" s="35">
        <v>46169.0</v>
      </c>
      <c r="N349" s="5" t="b">
        <v>0</v>
      </c>
      <c r="O349" s="19"/>
      <c r="P349" s="7"/>
      <c r="Q349" s="9"/>
      <c r="R349" s="9"/>
      <c r="S349" s="9"/>
      <c r="T349" s="9"/>
      <c r="U349" s="9"/>
      <c r="V349" s="9"/>
      <c r="W349" s="9"/>
      <c r="X349" s="23"/>
      <c r="Y349" s="23"/>
      <c r="Z349" s="23"/>
      <c r="AA349" s="23"/>
      <c r="AB349" s="9"/>
      <c r="AC349" s="9" t="str">
        <f>IFERROR(__xludf.DUMMYFUNCTION("""COMPUTED_VALUE"""),"Summit River")</f>
        <v>Summit River</v>
      </c>
      <c r="AD349" s="25"/>
      <c r="AE349" s="25" t="str">
        <f t="shared" si="5"/>
        <v/>
      </c>
      <c r="AF349" s="23">
        <f t="shared" si="7"/>
        <v>1</v>
      </c>
      <c r="AG349" s="23">
        <f t="shared" si="6"/>
        <v>1</v>
      </c>
      <c r="AH349" s="9"/>
      <c r="AI349" s="9"/>
    </row>
    <row r="350" ht="15.75" customHeight="1">
      <c r="A350" s="9"/>
      <c r="B350" s="9"/>
      <c r="C350" s="9"/>
      <c r="D350" s="9"/>
      <c r="E350" s="5" t="s">
        <v>478</v>
      </c>
      <c r="F350" s="6">
        <v>84000.0</v>
      </c>
      <c r="G350" s="6">
        <v>53992.0</v>
      </c>
      <c r="H350" s="5" t="s">
        <v>20</v>
      </c>
      <c r="I350" s="5" t="s">
        <v>21</v>
      </c>
      <c r="J350" s="5">
        <v>4.771297E8</v>
      </c>
      <c r="K350" s="5">
        <v>9739953.0</v>
      </c>
      <c r="L350" s="5" t="s">
        <v>95</v>
      </c>
      <c r="M350" s="35">
        <v>46157.75</v>
      </c>
      <c r="N350" s="5" t="b">
        <v>1</v>
      </c>
      <c r="O350" s="19"/>
      <c r="P350" s="7"/>
      <c r="Q350" s="9"/>
      <c r="R350" s="9"/>
      <c r="S350" s="9"/>
      <c r="T350" s="9"/>
      <c r="U350" s="9"/>
      <c r="V350" s="9"/>
      <c r="W350" s="9"/>
      <c r="X350" s="23"/>
      <c r="Y350" s="23"/>
      <c r="Z350" s="23"/>
      <c r="AA350" s="23"/>
      <c r="AB350" s="9"/>
      <c r="AC350" s="9" t="str">
        <f>IFERROR(__xludf.DUMMYFUNCTION("""COMPUTED_VALUE"""),"Sunny Bright")</f>
        <v>Sunny Bright</v>
      </c>
      <c r="AD350" s="25"/>
      <c r="AE350" s="25" t="str">
        <f t="shared" si="5"/>
        <v/>
      </c>
      <c r="AF350" s="23">
        <f t="shared" si="7"/>
        <v>1</v>
      </c>
      <c r="AG350" s="23">
        <f t="shared" si="6"/>
        <v>1</v>
      </c>
      <c r="AH350" s="9"/>
      <c r="AI350" s="9"/>
    </row>
    <row r="351" ht="15.75" customHeight="1">
      <c r="A351" s="9"/>
      <c r="B351" s="9"/>
      <c r="C351" s="9"/>
      <c r="D351" s="9"/>
      <c r="E351" s="5" t="s">
        <v>479</v>
      </c>
      <c r="F351" s="6">
        <v>84000.0</v>
      </c>
      <c r="G351" s="6">
        <v>53999.0</v>
      </c>
      <c r="H351" s="5" t="s">
        <v>26</v>
      </c>
      <c r="I351" s="5" t="s">
        <v>21</v>
      </c>
      <c r="J351" s="5">
        <v>6.3602527E8</v>
      </c>
      <c r="K351" s="5">
        <v>9739989.0</v>
      </c>
      <c r="L351" s="5" t="s">
        <v>38</v>
      </c>
      <c r="M351" s="35">
        <v>46136.041666666664</v>
      </c>
      <c r="N351" s="5" t="b">
        <v>0</v>
      </c>
      <c r="O351" s="19"/>
      <c r="P351" s="7"/>
      <c r="Q351" s="9"/>
      <c r="R351" s="9"/>
      <c r="S351" s="9"/>
      <c r="T351" s="9"/>
      <c r="U351" s="9"/>
      <c r="V351" s="9"/>
      <c r="W351" s="9"/>
      <c r="X351" s="23"/>
      <c r="Y351" s="23"/>
      <c r="Z351" s="23"/>
      <c r="AA351" s="23"/>
      <c r="AB351" s="9"/>
      <c r="AC351" s="9" t="str">
        <f>IFERROR(__xludf.DUMMYFUNCTION("""COMPUTED_VALUE"""),"Sunny Joy")</f>
        <v>Sunny Joy</v>
      </c>
      <c r="AD351" s="25"/>
      <c r="AE351" s="25" t="str">
        <f t="shared" si="5"/>
        <v/>
      </c>
      <c r="AF351" s="23">
        <f t="shared" si="7"/>
        <v>1</v>
      </c>
      <c r="AG351" s="23">
        <f t="shared" si="6"/>
        <v>1</v>
      </c>
      <c r="AH351" s="9"/>
      <c r="AI351" s="9"/>
    </row>
    <row r="352" ht="15.75" customHeight="1">
      <c r="A352" s="9"/>
      <c r="B352" s="9"/>
      <c r="C352" s="9"/>
      <c r="D352" s="9"/>
      <c r="E352" s="5" t="s">
        <v>480</v>
      </c>
      <c r="F352" s="6">
        <v>84000.0</v>
      </c>
      <c r="G352" s="6">
        <v>54747.0</v>
      </c>
      <c r="H352" s="5" t="s">
        <v>20</v>
      </c>
      <c r="I352" s="5" t="s">
        <v>21</v>
      </c>
      <c r="J352" s="5">
        <v>4.770451E8</v>
      </c>
      <c r="K352" s="5">
        <v>9778480.0</v>
      </c>
      <c r="L352" s="5" t="s">
        <v>283</v>
      </c>
      <c r="M352" s="38">
        <v>46132.708333333336</v>
      </c>
      <c r="N352" s="5" t="b">
        <v>1</v>
      </c>
      <c r="O352" s="19"/>
      <c r="P352" s="7"/>
      <c r="Q352" s="9"/>
      <c r="R352" s="9"/>
      <c r="S352" s="9"/>
      <c r="T352" s="9"/>
      <c r="U352" s="9"/>
      <c r="V352" s="9"/>
      <c r="W352" s="9"/>
      <c r="X352" s="23"/>
      <c r="Y352" s="23"/>
      <c r="Z352" s="23"/>
      <c r="AA352" s="23"/>
      <c r="AB352" s="9"/>
      <c r="AC352" s="9" t="str">
        <f>IFERROR(__xludf.DUMMYFUNCTION("""COMPUTED_VALUE"""),"Sunny Vista")</f>
        <v>Sunny Vista</v>
      </c>
      <c r="AD352" s="25"/>
      <c r="AE352" s="25" t="str">
        <f t="shared" si="5"/>
        <v/>
      </c>
      <c r="AF352" s="23">
        <f t="shared" si="7"/>
        <v>1</v>
      </c>
      <c r="AG352" s="23">
        <f t="shared" si="6"/>
        <v>1</v>
      </c>
      <c r="AH352" s="9"/>
      <c r="AI352" s="9"/>
    </row>
    <row r="353" ht="15.75" customHeight="1">
      <c r="A353" s="9"/>
      <c r="B353" s="9"/>
      <c r="C353" s="9"/>
      <c r="D353" s="9"/>
      <c r="E353" s="5" t="s">
        <v>481</v>
      </c>
      <c r="F353" s="6">
        <v>87000.0</v>
      </c>
      <c r="G353" s="6">
        <v>55885.0</v>
      </c>
      <c r="H353" s="5" t="s">
        <v>20</v>
      </c>
      <c r="I353" s="5" t="s">
        <v>21</v>
      </c>
      <c r="J353" s="5">
        <v>3.11001674E8</v>
      </c>
      <c r="K353" s="5">
        <v>9996032.0</v>
      </c>
      <c r="L353" s="5" t="s">
        <v>101</v>
      </c>
      <c r="M353" s="35">
        <v>46132.875</v>
      </c>
      <c r="N353" s="5" t="b">
        <v>1</v>
      </c>
      <c r="O353" s="19"/>
      <c r="P353" s="7"/>
      <c r="Q353" s="9"/>
      <c r="R353" s="9"/>
      <c r="S353" s="9"/>
      <c r="T353" s="9"/>
      <c r="U353" s="9"/>
      <c r="V353" s="9"/>
      <c r="W353" s="9"/>
      <c r="X353" s="23"/>
      <c r="Y353" s="23"/>
      <c r="Z353" s="23"/>
      <c r="AA353" s="23"/>
      <c r="AB353" s="9"/>
      <c r="AC353" s="9" t="str">
        <f>IFERROR(__xludf.DUMMYFUNCTION("""COMPUTED_VALUE"""),"Sunstar")</f>
        <v>Sunstar</v>
      </c>
      <c r="AD353" s="25"/>
      <c r="AE353" s="25" t="str">
        <f t="shared" si="5"/>
        <v/>
      </c>
      <c r="AF353" s="23">
        <f t="shared" si="7"/>
        <v>1</v>
      </c>
      <c r="AG353" s="23">
        <f t="shared" si="6"/>
        <v>1</v>
      </c>
      <c r="AH353" s="9"/>
      <c r="AI353" s="9"/>
    </row>
    <row r="354" ht="15.75" customHeight="1">
      <c r="A354" s="9"/>
      <c r="B354" s="9"/>
      <c r="C354" s="9"/>
      <c r="D354" s="9"/>
      <c r="E354" s="5" t="s">
        <v>482</v>
      </c>
      <c r="F354" s="6">
        <v>84000.0</v>
      </c>
      <c r="G354" s="6">
        <v>54747.0</v>
      </c>
      <c r="H354" s="5" t="s">
        <v>20</v>
      </c>
      <c r="I354" s="5" t="s">
        <v>21</v>
      </c>
      <c r="J354" s="5">
        <v>4.770277E8</v>
      </c>
      <c r="K354" s="5">
        <v>9739977.0</v>
      </c>
      <c r="L354" s="5" t="s">
        <v>140</v>
      </c>
      <c r="M354" s="35">
        <v>46144.791666666664</v>
      </c>
      <c r="N354" s="5" t="b">
        <v>1</v>
      </c>
      <c r="O354" s="19"/>
      <c r="P354" s="7"/>
      <c r="Q354" s="9"/>
      <c r="R354" s="9"/>
      <c r="S354" s="9"/>
      <c r="T354" s="9"/>
      <c r="U354" s="9"/>
      <c r="V354" s="9"/>
      <c r="W354" s="9"/>
      <c r="X354" s="23"/>
      <c r="Y354" s="23"/>
      <c r="Z354" s="23"/>
      <c r="AA354" s="23"/>
      <c r="AB354" s="9"/>
      <c r="AC354" s="9" t="str">
        <f>IFERROR(__xludf.DUMMYFUNCTION("""COMPUTED_VALUE"""),"Surya Veerya")</f>
        <v>Surya Veerya</v>
      </c>
      <c r="AD354" s="25"/>
      <c r="AE354" s="25" t="str">
        <f t="shared" si="5"/>
        <v/>
      </c>
      <c r="AF354" s="23">
        <f t="shared" si="7"/>
        <v>1</v>
      </c>
      <c r="AG354" s="23">
        <f t="shared" si="6"/>
        <v>1</v>
      </c>
      <c r="AH354" s="9"/>
      <c r="AI354" s="9"/>
    </row>
    <row r="355" ht="15.75" customHeight="1">
      <c r="A355" s="9"/>
      <c r="B355" s="9"/>
      <c r="C355" s="9"/>
      <c r="D355" s="9"/>
      <c r="E355" s="5" t="s">
        <v>483</v>
      </c>
      <c r="F355" s="6">
        <v>84000.0</v>
      </c>
      <c r="G355" s="6">
        <v>53999.0</v>
      </c>
      <c r="H355" s="5" t="s">
        <v>20</v>
      </c>
      <c r="I355" s="5" t="s">
        <v>21</v>
      </c>
      <c r="J355" s="5">
        <v>4.771298E8</v>
      </c>
      <c r="K355" s="5">
        <v>9739965.0</v>
      </c>
      <c r="L355" s="5" t="s">
        <v>232</v>
      </c>
      <c r="M355" s="35">
        <v>46168.569444444445</v>
      </c>
      <c r="N355" s="5" t="b">
        <v>1</v>
      </c>
      <c r="O355" s="19"/>
      <c r="P355" s="7"/>
      <c r="Q355" s="9"/>
      <c r="R355" s="9"/>
      <c r="S355" s="9"/>
      <c r="T355" s="9"/>
      <c r="U355" s="9"/>
      <c r="V355" s="9"/>
      <c r="W355" s="9"/>
      <c r="X355" s="23"/>
      <c r="Y355" s="23"/>
      <c r="Z355" s="23"/>
      <c r="AA355" s="23"/>
      <c r="AB355" s="9"/>
      <c r="AC355" s="9" t="str">
        <f>IFERROR(__xludf.DUMMYFUNCTION("""COMPUTED_VALUE"""),"Taebaek")</f>
        <v>Taebaek</v>
      </c>
      <c r="AD355" s="25"/>
      <c r="AE355" s="25" t="str">
        <f t="shared" si="5"/>
        <v/>
      </c>
      <c r="AF355" s="23">
        <f t="shared" si="7"/>
        <v>1</v>
      </c>
      <c r="AG355" s="23">
        <f t="shared" si="6"/>
        <v>1</v>
      </c>
      <c r="AH355" s="9"/>
      <c r="AI355" s="9"/>
    </row>
    <row r="356" ht="15.75" customHeight="1">
      <c r="A356" s="9"/>
      <c r="B356" s="9"/>
      <c r="C356" s="9"/>
      <c r="D356" s="9"/>
      <c r="E356" s="5" t="s">
        <v>484</v>
      </c>
      <c r="F356" s="6">
        <v>90000.0</v>
      </c>
      <c r="G356" s="6">
        <v>58995.0</v>
      </c>
      <c r="H356" s="5" t="s">
        <v>20</v>
      </c>
      <c r="I356" s="5" t="s">
        <v>21</v>
      </c>
      <c r="J356" s="5">
        <v>6.3602107E8</v>
      </c>
      <c r="K356" s="5">
        <v>9938511.0</v>
      </c>
      <c r="L356" s="17"/>
      <c r="M356" s="18"/>
      <c r="N356" s="5" t="b">
        <v>1</v>
      </c>
      <c r="O356" s="19"/>
      <c r="P356" s="7"/>
      <c r="Q356" s="9"/>
      <c r="R356" s="9"/>
      <c r="S356" s="9"/>
      <c r="T356" s="9"/>
      <c r="U356" s="9"/>
      <c r="V356" s="9"/>
      <c r="W356" s="9"/>
      <c r="X356" s="23"/>
      <c r="Y356" s="23"/>
      <c r="Z356" s="23"/>
      <c r="AA356" s="23"/>
      <c r="AB356" s="9"/>
      <c r="AC356" s="9" t="str">
        <f>IFERROR(__xludf.DUMMYFUNCTION("""COMPUTED_VALUE"""),"Tethys")</f>
        <v>Tethys</v>
      </c>
      <c r="AD356" s="25"/>
      <c r="AE356" s="25" t="str">
        <f t="shared" si="5"/>
        <v/>
      </c>
      <c r="AF356" s="23">
        <f t="shared" si="7"/>
        <v>1</v>
      </c>
      <c r="AG356" s="23">
        <f t="shared" si="6"/>
        <v>1</v>
      </c>
      <c r="AH356" s="9"/>
      <c r="AI356" s="9"/>
    </row>
    <row r="357" ht="15.75" customHeight="1">
      <c r="A357" s="9"/>
      <c r="B357" s="9"/>
      <c r="C357" s="9"/>
      <c r="D357" s="9"/>
      <c r="E357" s="5" t="s">
        <v>485</v>
      </c>
      <c r="F357" s="6">
        <v>78500.0</v>
      </c>
      <c r="G357" s="6">
        <v>51096.0</v>
      </c>
      <c r="H357" s="5" t="s">
        <v>26</v>
      </c>
      <c r="I357" s="5" t="s">
        <v>21</v>
      </c>
      <c r="J357" s="5">
        <v>5.630275E8</v>
      </c>
      <c r="K357" s="5">
        <v>9790220.0</v>
      </c>
      <c r="L357" s="5" t="s">
        <v>101</v>
      </c>
      <c r="M357" s="35">
        <v>46151.5</v>
      </c>
      <c r="N357" s="5" t="b">
        <v>0</v>
      </c>
      <c r="O357" s="19"/>
      <c r="P357" s="7"/>
      <c r="Q357" s="9"/>
      <c r="R357" s="9"/>
      <c r="S357" s="9"/>
      <c r="T357" s="9"/>
      <c r="U357" s="9"/>
      <c r="V357" s="9"/>
      <c r="W357" s="9"/>
      <c r="X357" s="23"/>
      <c r="Y357" s="23"/>
      <c r="Z357" s="23"/>
      <c r="AA357" s="23"/>
      <c r="AB357" s="9"/>
      <c r="AC357" s="9" t="str">
        <f>IFERROR(__xludf.DUMMYFUNCTION("""COMPUTED_VALUE"""),"Tinos I")</f>
        <v>Tinos I</v>
      </c>
      <c r="AD357" s="25"/>
      <c r="AE357" s="25" t="str">
        <f t="shared" si="5"/>
        <v/>
      </c>
      <c r="AF357" s="23">
        <f t="shared" si="7"/>
        <v>1</v>
      </c>
      <c r="AG357" s="23">
        <f t="shared" si="6"/>
        <v>1</v>
      </c>
      <c r="AH357" s="9"/>
      <c r="AI357" s="9"/>
    </row>
    <row r="358" ht="15.75" customHeight="1">
      <c r="A358" s="9"/>
      <c r="B358" s="9"/>
      <c r="C358" s="9"/>
      <c r="D358" s="9"/>
      <c r="E358" s="5" t="s">
        <v>486</v>
      </c>
      <c r="F358" s="6">
        <v>77105.0</v>
      </c>
      <c r="G358" s="6">
        <v>53488.0</v>
      </c>
      <c r="H358" s="5" t="s">
        <v>26</v>
      </c>
      <c r="I358" s="5" t="s">
        <v>21</v>
      </c>
      <c r="J358" s="5">
        <v>3.57223E8</v>
      </c>
      <c r="K358" s="5">
        <v>9195494.0</v>
      </c>
      <c r="L358" s="17"/>
      <c r="M358" s="18"/>
      <c r="N358" s="5" t="b">
        <v>0</v>
      </c>
      <c r="O358" s="19"/>
      <c r="P358" s="7"/>
      <c r="Q358" s="9"/>
      <c r="R358" s="9"/>
      <c r="S358" s="9"/>
      <c r="T358" s="9"/>
      <c r="U358" s="9"/>
      <c r="V358" s="9"/>
      <c r="W358" s="9"/>
      <c r="X358" s="23"/>
      <c r="Y358" s="23"/>
      <c r="Z358" s="23"/>
      <c r="AA358" s="23"/>
      <c r="AB358" s="9"/>
      <c r="AC358" s="9" t="str">
        <f>IFERROR(__xludf.DUMMYFUNCTION("""COMPUTED_VALUE"""),"Tp Perseverance")</f>
        <v>Tp Perseverance</v>
      </c>
      <c r="AD358" s="25"/>
      <c r="AE358" s="25" t="str">
        <f t="shared" si="5"/>
        <v/>
      </c>
      <c r="AF358" s="23">
        <f t="shared" si="7"/>
        <v>1</v>
      </c>
      <c r="AG358" s="23" t="str">
        <f t="shared" si="6"/>
        <v/>
      </c>
      <c r="AH358" s="9"/>
      <c r="AI358" s="9"/>
    </row>
    <row r="359" ht="15.75" customHeight="1">
      <c r="A359" s="9"/>
      <c r="B359" s="9"/>
      <c r="C359" s="9"/>
      <c r="D359" s="9"/>
      <c r="E359" s="5" t="s">
        <v>487</v>
      </c>
      <c r="F359" s="6">
        <v>84000.0</v>
      </c>
      <c r="G359" s="6">
        <v>50500.0</v>
      </c>
      <c r="H359" s="5" t="s">
        <v>26</v>
      </c>
      <c r="I359" s="5" t="s">
        <v>21</v>
      </c>
      <c r="J359" s="5">
        <v>5.25008084E8</v>
      </c>
      <c r="K359" s="5">
        <v>9643348.0</v>
      </c>
      <c r="L359" s="5" t="s">
        <v>52</v>
      </c>
      <c r="M359" s="35">
        <v>46162.75</v>
      </c>
      <c r="N359" s="5" t="b">
        <v>0</v>
      </c>
      <c r="O359" s="19"/>
      <c r="P359" s="7"/>
      <c r="Q359" s="9"/>
      <c r="R359" s="9"/>
      <c r="S359" s="9"/>
      <c r="T359" s="9"/>
      <c r="U359" s="9"/>
      <c r="V359" s="9"/>
      <c r="W359" s="9"/>
      <c r="X359" s="23"/>
      <c r="Y359" s="23"/>
      <c r="Z359" s="23"/>
      <c r="AA359" s="23"/>
      <c r="AB359" s="9"/>
      <c r="AC359" s="9" t="str">
        <f>IFERROR(__xludf.DUMMYFUNCTION("""COMPUTED_VALUE"""),"Tp Tenacity")</f>
        <v>Tp Tenacity</v>
      </c>
      <c r="AD359" s="25"/>
      <c r="AE359" s="25" t="str">
        <f t="shared" si="5"/>
        <v/>
      </c>
      <c r="AF359" s="23">
        <f t="shared" si="7"/>
        <v>1</v>
      </c>
      <c r="AG359" s="23">
        <f t="shared" si="6"/>
        <v>1</v>
      </c>
      <c r="AH359" s="9"/>
      <c r="AI359" s="9"/>
    </row>
    <row r="360" ht="15.75" customHeight="1">
      <c r="A360" s="9"/>
      <c r="B360" s="9"/>
      <c r="C360" s="9"/>
      <c r="D360" s="9"/>
      <c r="E360" s="5" t="s">
        <v>488</v>
      </c>
      <c r="F360" s="6">
        <v>84000.0</v>
      </c>
      <c r="G360" s="6">
        <v>54683.0</v>
      </c>
      <c r="H360" s="5" t="s">
        <v>26</v>
      </c>
      <c r="I360" s="5" t="s">
        <v>21</v>
      </c>
      <c r="J360" s="5">
        <v>5.25008121E8</v>
      </c>
      <c r="K360" s="5">
        <v>9685217.0</v>
      </c>
      <c r="L360" s="5" t="s">
        <v>52</v>
      </c>
      <c r="M360" s="35">
        <v>46132.486805555556</v>
      </c>
      <c r="N360" s="5" t="b">
        <v>0</v>
      </c>
      <c r="O360" s="19"/>
      <c r="P360" s="7"/>
      <c r="Q360" s="9"/>
      <c r="R360" s="9"/>
      <c r="S360" s="9"/>
      <c r="T360" s="9"/>
      <c r="U360" s="9"/>
      <c r="V360" s="9"/>
      <c r="W360" s="9"/>
      <c r="X360" s="23"/>
      <c r="Y360" s="23"/>
      <c r="Z360" s="23"/>
      <c r="AA360" s="23"/>
      <c r="AB360" s="9"/>
      <c r="AC360" s="9" t="str">
        <f>IFERROR(__xludf.DUMMYFUNCTION("""COMPUTED_VALUE"""),"Tsubaki")</f>
        <v>Tsubaki</v>
      </c>
      <c r="AD360" s="25"/>
      <c r="AE360" s="25" t="str">
        <f t="shared" si="5"/>
        <v/>
      </c>
      <c r="AF360" s="23">
        <f t="shared" si="7"/>
        <v>1</v>
      </c>
      <c r="AG360" s="23">
        <f t="shared" si="6"/>
        <v>1</v>
      </c>
      <c r="AH360" s="9"/>
      <c r="AI360" s="9"/>
    </row>
    <row r="361" ht="15.75" customHeight="1">
      <c r="A361" s="9"/>
      <c r="B361" s="9"/>
      <c r="C361" s="9"/>
      <c r="D361" s="9"/>
      <c r="E361" s="5" t="s">
        <v>489</v>
      </c>
      <c r="F361" s="6">
        <v>90000.0</v>
      </c>
      <c r="G361" s="6">
        <v>54000.0</v>
      </c>
      <c r="H361" s="5" t="s">
        <v>20</v>
      </c>
      <c r="I361" s="5" t="s">
        <v>21</v>
      </c>
      <c r="J361" s="5">
        <v>3.52002389E8</v>
      </c>
      <c r="K361" s="5">
        <v>9895317.0</v>
      </c>
      <c r="L361" s="5" t="s">
        <v>80</v>
      </c>
      <c r="M361" s="35">
        <v>46147.5</v>
      </c>
      <c r="N361" s="5" t="b">
        <v>1</v>
      </c>
      <c r="O361" s="19"/>
      <c r="P361" s="7"/>
      <c r="Q361" s="9"/>
      <c r="R361" s="9"/>
      <c r="S361" s="9"/>
      <c r="T361" s="9"/>
      <c r="U361" s="9"/>
      <c r="V361" s="9"/>
      <c r="W361" s="9"/>
      <c r="X361" s="23"/>
      <c r="Y361" s="23"/>
      <c r="Z361" s="23"/>
      <c r="AA361" s="23"/>
      <c r="AB361" s="9"/>
      <c r="AC361" s="9" t="str">
        <f>IFERROR(__xludf.DUMMYFUNCTION("""COMPUTED_VALUE"""),"Umm Laqhab")</f>
        <v>Umm Laqhab</v>
      </c>
      <c r="AD361" s="25"/>
      <c r="AE361" s="25" t="str">
        <f t="shared" si="5"/>
        <v/>
      </c>
      <c r="AF361" s="23">
        <f t="shared" si="7"/>
        <v>1</v>
      </c>
      <c r="AG361" s="23">
        <f t="shared" si="6"/>
        <v>1</v>
      </c>
      <c r="AH361" s="9"/>
      <c r="AI361" s="9"/>
    </row>
    <row r="362" ht="15.75" customHeight="1">
      <c r="A362" s="9"/>
      <c r="B362" s="9"/>
      <c r="C362" s="9"/>
      <c r="D362" s="9"/>
      <c r="E362" s="5" t="s">
        <v>490</v>
      </c>
      <c r="F362" s="6">
        <v>91000.0</v>
      </c>
      <c r="G362" s="6">
        <v>58971.0</v>
      </c>
      <c r="H362" s="5" t="s">
        <v>20</v>
      </c>
      <c r="I362" s="5" t="s">
        <v>21</v>
      </c>
      <c r="J362" s="5">
        <v>6.3602118E8</v>
      </c>
      <c r="K362" s="5">
        <v>9943920.0</v>
      </c>
      <c r="L362" s="17"/>
      <c r="M362" s="18"/>
      <c r="N362" s="5" t="b">
        <v>1</v>
      </c>
      <c r="O362" s="19"/>
      <c r="P362" s="7"/>
      <c r="Q362" s="9"/>
      <c r="R362" s="9"/>
      <c r="S362" s="9"/>
      <c r="T362" s="9"/>
      <c r="U362" s="9"/>
      <c r="V362" s="9"/>
      <c r="W362" s="9"/>
      <c r="X362" s="23"/>
      <c r="Y362" s="23"/>
      <c r="Z362" s="23"/>
      <c r="AA362" s="23"/>
      <c r="AB362" s="9"/>
      <c r="AC362" s="9" t="str">
        <f>IFERROR(__xludf.DUMMYFUNCTION("""COMPUTED_VALUE"""),"Vallee Blanche")</f>
        <v>Vallee Blanche</v>
      </c>
      <c r="AD362" s="25"/>
      <c r="AE362" s="25" t="str">
        <f t="shared" si="5"/>
        <v/>
      </c>
      <c r="AF362" s="23">
        <f t="shared" si="7"/>
        <v>1</v>
      </c>
      <c r="AG362" s="23">
        <f t="shared" si="6"/>
        <v>1</v>
      </c>
      <c r="AH362" s="9"/>
      <c r="AI362" s="9"/>
    </row>
    <row r="363" ht="15.75" customHeight="1">
      <c r="A363" s="9"/>
      <c r="B363" s="9"/>
      <c r="C363" s="9"/>
      <c r="D363" s="9"/>
      <c r="E363" s="5" t="s">
        <v>491</v>
      </c>
      <c r="F363" s="6">
        <v>91000.0</v>
      </c>
      <c r="G363" s="6">
        <v>62500.0</v>
      </c>
      <c r="H363" s="5" t="s">
        <v>20</v>
      </c>
      <c r="I363" s="5" t="s">
        <v>21</v>
      </c>
      <c r="J363" s="5">
        <v>3.52003541E8</v>
      </c>
      <c r="K363" s="5">
        <v>9937062.0</v>
      </c>
      <c r="L363" s="5" t="s">
        <v>492</v>
      </c>
      <c r="M363" s="38">
        <v>46147.666666666664</v>
      </c>
      <c r="N363" s="5" t="b">
        <v>1</v>
      </c>
      <c r="O363" s="19"/>
      <c r="P363" s="7"/>
      <c r="Q363" s="9"/>
      <c r="R363" s="9"/>
      <c r="S363" s="9"/>
      <c r="T363" s="9"/>
      <c r="U363" s="9"/>
      <c r="V363" s="9"/>
      <c r="W363" s="9"/>
      <c r="X363" s="23"/>
      <c r="Y363" s="23"/>
      <c r="Z363" s="23"/>
      <c r="AA363" s="23"/>
      <c r="AB363" s="9"/>
      <c r="AC363" s="9" t="str">
        <f>IFERROR(__xludf.DUMMYFUNCTION("""COMPUTED_VALUE"""),"Vega Sage")</f>
        <v>Vega Sage</v>
      </c>
      <c r="AD363" s="25"/>
      <c r="AE363" s="25" t="str">
        <f t="shared" si="5"/>
        <v/>
      </c>
      <c r="AF363" s="23">
        <f t="shared" si="7"/>
        <v>1</v>
      </c>
      <c r="AG363" s="23">
        <f t="shared" si="6"/>
        <v>1</v>
      </c>
      <c r="AH363" s="9"/>
      <c r="AI363" s="9"/>
    </row>
    <row r="364" ht="15.75" customHeight="1">
      <c r="A364" s="9"/>
      <c r="B364" s="9"/>
      <c r="C364" s="9"/>
      <c r="D364" s="9"/>
      <c r="E364" s="5" t="s">
        <v>493</v>
      </c>
      <c r="F364" s="6">
        <v>91000.0</v>
      </c>
      <c r="G364" s="6">
        <v>62500.0</v>
      </c>
      <c r="H364" s="5" t="s">
        <v>20</v>
      </c>
      <c r="I364" s="5" t="s">
        <v>21</v>
      </c>
      <c r="J364" s="5">
        <v>3.5200354E8</v>
      </c>
      <c r="K364" s="5">
        <v>9937074.0</v>
      </c>
      <c r="L364" s="5" t="s">
        <v>494</v>
      </c>
      <c r="M364" s="35">
        <v>46131.916666666664</v>
      </c>
      <c r="N364" s="5" t="b">
        <v>1</v>
      </c>
      <c r="O364" s="19"/>
      <c r="P364" s="7"/>
      <c r="Q364" s="9"/>
      <c r="R364" s="9"/>
      <c r="S364" s="9"/>
      <c r="T364" s="9"/>
      <c r="U364" s="9"/>
      <c r="V364" s="9"/>
      <c r="W364" s="9"/>
      <c r="X364" s="23"/>
      <c r="Y364" s="23"/>
      <c r="Z364" s="23"/>
      <c r="AA364" s="23"/>
      <c r="AB364" s="9"/>
      <c r="AC364" s="9" t="str">
        <f>IFERROR(__xludf.DUMMYFUNCTION("""COMPUTED_VALUE"""),"Vega Sea")</f>
        <v>Vega Sea</v>
      </c>
      <c r="AD364" s="25"/>
      <c r="AE364" s="25" t="str">
        <f t="shared" si="5"/>
        <v/>
      </c>
      <c r="AF364" s="23">
        <f t="shared" si="7"/>
        <v>1</v>
      </c>
      <c r="AG364" s="23">
        <f t="shared" si="6"/>
        <v>1</v>
      </c>
      <c r="AH364" s="9"/>
      <c r="AI364" s="9"/>
    </row>
    <row r="365" ht="15.75" customHeight="1">
      <c r="A365" s="9"/>
      <c r="B365" s="9"/>
      <c r="C365" s="9"/>
      <c r="D365" s="9"/>
      <c r="E365" s="5" t="s">
        <v>495</v>
      </c>
      <c r="F365" s="6">
        <v>86000.0</v>
      </c>
      <c r="G365" s="6">
        <v>58956.0</v>
      </c>
      <c r="H365" s="5" t="s">
        <v>26</v>
      </c>
      <c r="I365" s="5" t="s">
        <v>21</v>
      </c>
      <c r="J365" s="5">
        <v>6.36021164E8</v>
      </c>
      <c r="K365" s="5">
        <v>9940320.0</v>
      </c>
      <c r="L365" s="5" t="s">
        <v>43</v>
      </c>
      <c r="M365" s="35">
        <v>46136.75</v>
      </c>
      <c r="N365" s="5" t="b">
        <v>0</v>
      </c>
      <c r="O365" s="19"/>
      <c r="P365" s="7"/>
      <c r="Q365" s="9"/>
      <c r="R365" s="9"/>
      <c r="S365" s="9"/>
      <c r="T365" s="9"/>
      <c r="U365" s="9"/>
      <c r="V365" s="9"/>
      <c r="W365" s="9"/>
      <c r="X365" s="23"/>
      <c r="Y365" s="23"/>
      <c r="Z365" s="23"/>
      <c r="AA365" s="23"/>
      <c r="AB365" s="9"/>
      <c r="AC365" s="9" t="str">
        <f>IFERROR(__xludf.DUMMYFUNCTION("""COMPUTED_VALUE"""),"Vega Sky")</f>
        <v>Vega Sky</v>
      </c>
      <c r="AD365" s="25"/>
      <c r="AE365" s="25" t="str">
        <f t="shared" si="5"/>
        <v/>
      </c>
      <c r="AF365" s="23">
        <f t="shared" si="7"/>
        <v>1</v>
      </c>
      <c r="AG365" s="23">
        <f t="shared" si="6"/>
        <v>1</v>
      </c>
      <c r="AH365" s="9"/>
      <c r="AI365" s="9"/>
    </row>
    <row r="366" ht="15.75" customHeight="1">
      <c r="A366" s="9"/>
      <c r="B366" s="9"/>
      <c r="C366" s="9"/>
      <c r="D366" s="9"/>
      <c r="E366" s="5" t="s">
        <v>496</v>
      </c>
      <c r="F366" s="6">
        <v>82200.0</v>
      </c>
      <c r="G366" s="6">
        <v>53928.0</v>
      </c>
      <c r="H366" s="5" t="s">
        <v>26</v>
      </c>
      <c r="I366" s="5" t="s">
        <v>21</v>
      </c>
      <c r="J366" s="5">
        <v>5.630998E8</v>
      </c>
      <c r="K366" s="5">
        <v>9850367.0</v>
      </c>
      <c r="L366" s="5" t="s">
        <v>38</v>
      </c>
      <c r="M366" s="35">
        <v>46153.958333333336</v>
      </c>
      <c r="N366" s="5" t="b">
        <v>0</v>
      </c>
      <c r="O366" s="19"/>
      <c r="P366" s="7"/>
      <c r="Q366" s="9"/>
      <c r="R366" s="9"/>
      <c r="S366" s="9"/>
      <c r="T366" s="9"/>
      <c r="U366" s="9"/>
      <c r="V366" s="9"/>
      <c r="W366" s="9"/>
      <c r="X366" s="23"/>
      <c r="Y366" s="23"/>
      <c r="Z366" s="23"/>
      <c r="AA366" s="23"/>
      <c r="AB366" s="9"/>
      <c r="AC366" s="9" t="str">
        <f>IFERROR(__xludf.DUMMYFUNCTION("""COMPUTED_VALUE"""),"Vega Song")</f>
        <v>Vega Song</v>
      </c>
      <c r="AD366" s="25"/>
      <c r="AE366" s="25" t="str">
        <f t="shared" si="5"/>
        <v/>
      </c>
      <c r="AF366" s="23">
        <f t="shared" si="7"/>
        <v>1</v>
      </c>
      <c r="AG366" s="23">
        <f t="shared" si="6"/>
        <v>1</v>
      </c>
      <c r="AH366" s="9"/>
      <c r="AI366" s="9"/>
    </row>
    <row r="367" ht="15.75" customHeight="1">
      <c r="A367" s="9"/>
      <c r="B367" s="9"/>
      <c r="C367" s="9"/>
      <c r="D367" s="9"/>
      <c r="E367" s="5" t="s">
        <v>497</v>
      </c>
      <c r="F367" s="6">
        <v>87000.0</v>
      </c>
      <c r="G367" s="6">
        <v>56711.0</v>
      </c>
      <c r="H367" s="5" t="s">
        <v>26</v>
      </c>
      <c r="I367" s="5" t="s">
        <v>21</v>
      </c>
      <c r="J367" s="5">
        <v>3.52002825E8</v>
      </c>
      <c r="K367" s="5">
        <v>9947483.0</v>
      </c>
      <c r="L367" s="5" t="s">
        <v>101</v>
      </c>
      <c r="M367" s="35">
        <v>46132.486805555556</v>
      </c>
      <c r="N367" s="5" t="b">
        <v>0</v>
      </c>
      <c r="O367" s="19"/>
      <c r="P367" s="7"/>
      <c r="Q367" s="9"/>
      <c r="R367" s="9"/>
      <c r="S367" s="9"/>
      <c r="T367" s="9"/>
      <c r="U367" s="9"/>
      <c r="V367" s="9"/>
      <c r="W367" s="9"/>
      <c r="X367" s="23"/>
      <c r="Y367" s="23"/>
      <c r="Z367" s="23"/>
      <c r="AA367" s="23"/>
      <c r="AB367" s="9"/>
      <c r="AC367" s="9" t="str">
        <f>IFERROR(__xludf.DUMMYFUNCTION("""COMPUTED_VALUE"""),"Vega Star")</f>
        <v>Vega Star</v>
      </c>
      <c r="AD367" s="25"/>
      <c r="AE367" s="25" t="str">
        <f t="shared" si="5"/>
        <v/>
      </c>
      <c r="AF367" s="23">
        <f t="shared" si="7"/>
        <v>1</v>
      </c>
      <c r="AG367" s="23">
        <f t="shared" si="6"/>
        <v>1</v>
      </c>
      <c r="AH367" s="9"/>
      <c r="AI367" s="9"/>
    </row>
    <row r="368" ht="15.75" customHeight="1">
      <c r="A368" s="9"/>
      <c r="B368" s="9"/>
      <c r="C368" s="9"/>
      <c r="D368" s="9"/>
      <c r="E368" s="5" t="s">
        <v>498</v>
      </c>
      <c r="F368" s="6">
        <v>80738.0</v>
      </c>
      <c r="G368" s="6">
        <v>54985.0</v>
      </c>
      <c r="H368" s="5" t="s">
        <v>26</v>
      </c>
      <c r="I368" s="5" t="s">
        <v>21</v>
      </c>
      <c r="J368" s="5">
        <v>3.5200222E8</v>
      </c>
      <c r="K368" s="5">
        <v>9354612.0</v>
      </c>
      <c r="L368" s="5" t="s">
        <v>103</v>
      </c>
      <c r="M368" s="35">
        <v>46133.520833333336</v>
      </c>
      <c r="N368" s="5" t="b">
        <v>0</v>
      </c>
      <c r="O368" s="19"/>
      <c r="P368" s="7"/>
      <c r="Q368" s="9"/>
      <c r="R368" s="9"/>
      <c r="S368" s="9"/>
      <c r="T368" s="9"/>
      <c r="U368" s="9"/>
      <c r="V368" s="9"/>
      <c r="W368" s="9"/>
      <c r="X368" s="23"/>
      <c r="Y368" s="23"/>
      <c r="Z368" s="23"/>
      <c r="AA368" s="23"/>
      <c r="AB368" s="9"/>
      <c r="AC368" s="9" t="str">
        <f>IFERROR(__xludf.DUMMYFUNCTION("""COMPUTED_VALUE"""),"Vega Sun")</f>
        <v>Vega Sun</v>
      </c>
      <c r="AD368" s="25"/>
      <c r="AE368" s="25" t="str">
        <f t="shared" si="5"/>
        <v/>
      </c>
      <c r="AF368" s="23">
        <f t="shared" si="7"/>
        <v>1</v>
      </c>
      <c r="AG368" s="23" t="str">
        <f t="shared" si="6"/>
        <v/>
      </c>
      <c r="AH368" s="9"/>
      <c r="AI368" s="9"/>
    </row>
    <row r="369" ht="15.75" customHeight="1">
      <c r="A369" s="9"/>
      <c r="B369" s="9"/>
      <c r="C369" s="9"/>
      <c r="D369" s="9"/>
      <c r="E369" s="5" t="s">
        <v>499</v>
      </c>
      <c r="F369" s="6">
        <v>80701.0</v>
      </c>
      <c r="G369" s="6">
        <v>58691.0</v>
      </c>
      <c r="H369" s="5" t="s">
        <v>26</v>
      </c>
      <c r="I369" s="5" t="s">
        <v>21</v>
      </c>
      <c r="J369" s="5">
        <v>4.19001655E8</v>
      </c>
      <c r="K369" s="5">
        <v>9315680.0</v>
      </c>
      <c r="L369" s="5" t="s">
        <v>500</v>
      </c>
      <c r="M369" s="35">
        <v>46133.375</v>
      </c>
      <c r="N369" s="5" t="b">
        <v>0</v>
      </c>
      <c r="O369" s="19"/>
      <c r="P369" s="7"/>
      <c r="Q369" s="9"/>
      <c r="R369" s="9"/>
      <c r="S369" s="9"/>
      <c r="T369" s="9"/>
      <c r="U369" s="9"/>
      <c r="V369" s="9"/>
      <c r="W369" s="9"/>
      <c r="X369" s="23"/>
      <c r="Y369" s="23"/>
      <c r="Z369" s="23"/>
      <c r="AA369" s="23"/>
      <c r="AB369" s="9"/>
      <c r="AC369" s="9" t="str">
        <f>IFERROR(__xludf.DUMMYFUNCTION("""COMPUTED_VALUE"""),"Victoria Lyra")</f>
        <v>Victoria Lyra</v>
      </c>
      <c r="AD369" s="25"/>
      <c r="AE369" s="25" t="str">
        <f t="shared" si="5"/>
        <v/>
      </c>
      <c r="AF369" s="23">
        <f t="shared" si="7"/>
        <v>1</v>
      </c>
      <c r="AG369" s="23" t="str">
        <f t="shared" si="6"/>
        <v/>
      </c>
      <c r="AH369" s="9"/>
      <c r="AI369" s="9"/>
    </row>
    <row r="370" ht="15.75" customHeight="1">
      <c r="A370" s="9"/>
      <c r="B370" s="9"/>
      <c r="C370" s="9"/>
      <c r="D370" s="9"/>
      <c r="E370" s="5" t="s">
        <v>501</v>
      </c>
      <c r="F370" s="6">
        <v>78700.0</v>
      </c>
      <c r="G370" s="6">
        <v>51202.0</v>
      </c>
      <c r="H370" s="5" t="s">
        <v>26</v>
      </c>
      <c r="I370" s="5" t="s">
        <v>21</v>
      </c>
      <c r="J370" s="5">
        <v>5.630439E8</v>
      </c>
      <c r="K370" s="5">
        <v>9790232.0</v>
      </c>
      <c r="L370" s="5" t="s">
        <v>101</v>
      </c>
      <c r="M370" s="38">
        <v>46140.625</v>
      </c>
      <c r="N370" s="5" t="b">
        <v>0</v>
      </c>
      <c r="O370" s="19"/>
      <c r="P370" s="7"/>
      <c r="Q370" s="9"/>
      <c r="R370" s="9"/>
      <c r="S370" s="9"/>
      <c r="T370" s="9"/>
      <c r="U370" s="9"/>
      <c r="V370" s="9"/>
      <c r="W370" s="9"/>
      <c r="X370" s="23"/>
      <c r="Y370" s="23"/>
      <c r="Z370" s="23"/>
      <c r="AA370" s="23"/>
      <c r="AB370" s="9"/>
      <c r="AC370" s="9" t="str">
        <f>IFERROR(__xludf.DUMMYFUNCTION("""COMPUTED_VALUE"""),"Vishvakarmaa")</f>
        <v>Vishvakarmaa</v>
      </c>
      <c r="AD370" s="25"/>
      <c r="AE370" s="25" t="str">
        <f t="shared" si="5"/>
        <v/>
      </c>
      <c r="AF370" s="23">
        <f t="shared" si="7"/>
        <v>1</v>
      </c>
      <c r="AG370" s="23">
        <f t="shared" si="6"/>
        <v>1</v>
      </c>
      <c r="AH370" s="9"/>
      <c r="AI370" s="9"/>
    </row>
    <row r="371" ht="15.75" customHeight="1">
      <c r="A371" s="9"/>
      <c r="B371" s="9"/>
      <c r="C371" s="9"/>
      <c r="D371" s="9"/>
      <c r="E371" s="5" t="s">
        <v>502</v>
      </c>
      <c r="F371" s="6">
        <v>84000.0</v>
      </c>
      <c r="G371" s="6">
        <v>53991.0</v>
      </c>
      <c r="H371" s="5" t="s">
        <v>26</v>
      </c>
      <c r="I371" s="5" t="s">
        <v>21</v>
      </c>
      <c r="J371" s="5">
        <v>6.36021773E8</v>
      </c>
      <c r="K371" s="5">
        <v>9719410.0</v>
      </c>
      <c r="L371" s="17"/>
      <c r="M371" s="18"/>
      <c r="N371" s="5" t="b">
        <v>0</v>
      </c>
      <c r="O371" s="19"/>
      <c r="P371" s="7"/>
      <c r="Q371" s="9"/>
      <c r="R371" s="9"/>
      <c r="S371" s="9"/>
      <c r="T371" s="9"/>
      <c r="U371" s="9"/>
      <c r="V371" s="9"/>
      <c r="W371" s="9"/>
      <c r="X371" s="23"/>
      <c r="Y371" s="23"/>
      <c r="Z371" s="23"/>
      <c r="AA371" s="23"/>
      <c r="AB371" s="9"/>
      <c r="AC371" s="9" t="str">
        <f>IFERROR(__xludf.DUMMYFUNCTION("""COMPUTED_VALUE"""),"White Cliffs")</f>
        <v>White Cliffs</v>
      </c>
      <c r="AD371" s="25"/>
      <c r="AE371" s="25" t="str">
        <f t="shared" si="5"/>
        <v/>
      </c>
      <c r="AF371" s="23">
        <f t="shared" si="7"/>
        <v>1</v>
      </c>
      <c r="AG371" s="23">
        <f t="shared" si="6"/>
        <v>1</v>
      </c>
      <c r="AH371" s="9"/>
      <c r="AI371" s="9"/>
    </row>
    <row r="372" ht="15.75" customHeight="1">
      <c r="A372" s="9"/>
      <c r="B372" s="9"/>
      <c r="C372" s="9"/>
      <c r="D372" s="9"/>
      <c r="E372" s="5" t="s">
        <v>503</v>
      </c>
      <c r="F372" s="6">
        <v>82200.0</v>
      </c>
      <c r="G372" s="6">
        <v>53556.0</v>
      </c>
      <c r="H372" s="5" t="s">
        <v>26</v>
      </c>
      <c r="I372" s="5" t="s">
        <v>21</v>
      </c>
      <c r="J372" s="5">
        <v>5.25119194E8</v>
      </c>
      <c r="K372" s="5">
        <v>9232515.0</v>
      </c>
      <c r="L372" s="17"/>
      <c r="M372" s="18"/>
      <c r="N372" s="5" t="b">
        <v>0</v>
      </c>
      <c r="O372" s="19"/>
      <c r="P372" s="7"/>
      <c r="Q372" s="9"/>
      <c r="R372" s="9"/>
      <c r="S372" s="9"/>
      <c r="T372" s="9"/>
      <c r="U372" s="9"/>
      <c r="V372" s="9"/>
      <c r="W372" s="9"/>
      <c r="X372" s="23"/>
      <c r="Y372" s="23"/>
      <c r="Z372" s="23"/>
      <c r="AA372" s="23"/>
      <c r="AB372" s="9"/>
      <c r="AC372" s="9" t="str">
        <f>IFERROR(__xludf.DUMMYFUNCTION("""COMPUTED_VALUE"""),"Yuhsan")</f>
        <v>Yuhsan</v>
      </c>
      <c r="AD372" s="25"/>
      <c r="AE372" s="25" t="str">
        <f t="shared" si="5"/>
        <v/>
      </c>
      <c r="AF372" s="23">
        <f t="shared" si="7"/>
        <v>1</v>
      </c>
      <c r="AG372" s="23">
        <f t="shared" si="6"/>
        <v>1</v>
      </c>
      <c r="AH372" s="9"/>
      <c r="AI372" s="9"/>
    </row>
    <row r="373" ht="15.75" customHeight="1">
      <c r="A373" s="9"/>
      <c r="B373" s="9"/>
      <c r="C373" s="9"/>
      <c r="D373" s="9"/>
      <c r="E373" s="5" t="s">
        <v>504</v>
      </c>
      <c r="F373" s="6">
        <v>78539.0</v>
      </c>
      <c r="G373" s="6">
        <v>56885.0</v>
      </c>
      <c r="H373" s="5" t="s">
        <v>26</v>
      </c>
      <c r="I373" s="5" t="s">
        <v>21</v>
      </c>
      <c r="J373" s="5">
        <v>6.50000169E8</v>
      </c>
      <c r="K373" s="5">
        <v>9002491.0</v>
      </c>
      <c r="L373" s="5" t="s">
        <v>95</v>
      </c>
      <c r="M373" s="35">
        <v>46134.5</v>
      </c>
      <c r="N373" s="5" t="b">
        <v>0</v>
      </c>
      <c r="O373" s="19"/>
      <c r="P373" s="7"/>
      <c r="Q373" s="9"/>
      <c r="R373" s="9"/>
      <c r="S373" s="9"/>
      <c r="T373" s="9"/>
      <c r="U373" s="9"/>
      <c r="V373" s="9"/>
      <c r="W373" s="9"/>
      <c r="X373" s="23"/>
      <c r="Y373" s="23"/>
      <c r="Z373" s="23"/>
      <c r="AA373" s="23"/>
      <c r="AB373" s="9"/>
      <c r="AC373" s="9" t="str">
        <f>IFERROR(__xludf.DUMMYFUNCTION("""COMPUTED_VALUE"""),"Yuyo")</f>
        <v>Yuyo</v>
      </c>
      <c r="AD373" s="25"/>
      <c r="AE373" s="25" t="str">
        <f t="shared" si="5"/>
        <v/>
      </c>
      <c r="AF373" s="23">
        <f t="shared" si="7"/>
        <v>1</v>
      </c>
      <c r="AG373" s="23" t="str">
        <f t="shared" si="6"/>
        <v/>
      </c>
      <c r="AH373" s="9"/>
      <c r="AI373" s="9"/>
    </row>
    <row r="374" ht="15.75" customHeight="1">
      <c r="A374" s="9"/>
      <c r="B374" s="9"/>
      <c r="C374" s="9"/>
      <c r="D374" s="9"/>
      <c r="E374" s="5" t="s">
        <v>505</v>
      </c>
      <c r="F374" s="6">
        <v>82200.0</v>
      </c>
      <c r="G374" s="6">
        <v>54140.0</v>
      </c>
      <c r="H374" s="5" t="s">
        <v>26</v>
      </c>
      <c r="I374" s="5" t="s">
        <v>21</v>
      </c>
      <c r="J374" s="5">
        <v>5.630199E8</v>
      </c>
      <c r="K374" s="5">
        <v>9765457.0</v>
      </c>
      <c r="L374" s="17"/>
      <c r="M374" s="18"/>
      <c r="N374" s="5" t="b">
        <v>0</v>
      </c>
      <c r="O374" s="19"/>
      <c r="P374" s="7"/>
      <c r="Q374" s="9"/>
      <c r="R374" s="9"/>
      <c r="S374" s="9"/>
      <c r="T374" s="9"/>
      <c r="U374" s="9"/>
      <c r="V374" s="9"/>
      <c r="W374" s="9"/>
      <c r="X374" s="23"/>
      <c r="Y374" s="23"/>
      <c r="Z374" s="23"/>
      <c r="AA374" s="23"/>
      <c r="AB374" s="9"/>
      <c r="AC374" s="9" t="str">
        <f>IFERROR(__xludf.DUMMYFUNCTION("""COMPUTED_VALUE"""),"Yuyo Spirits")</f>
        <v>Yuyo Spirits</v>
      </c>
      <c r="AD374" s="25"/>
      <c r="AE374" s="25" t="str">
        <f t="shared" si="5"/>
        <v/>
      </c>
      <c r="AF374" s="23">
        <f t="shared" si="7"/>
        <v>1</v>
      </c>
      <c r="AG374" s="23">
        <f t="shared" si="6"/>
        <v>1</v>
      </c>
      <c r="AH374" s="9"/>
      <c r="AI374" s="9"/>
    </row>
    <row r="375" ht="15.75" customHeight="1">
      <c r="A375" s="9"/>
      <c r="B375" s="9"/>
      <c r="C375" s="9"/>
      <c r="D375" s="9"/>
      <c r="E375" s="5" t="s">
        <v>506</v>
      </c>
      <c r="F375" s="6">
        <v>82200.0</v>
      </c>
      <c r="G375" s="6">
        <v>53928.0</v>
      </c>
      <c r="H375" s="5" t="s">
        <v>26</v>
      </c>
      <c r="I375" s="5" t="s">
        <v>21</v>
      </c>
      <c r="J375" s="5">
        <v>5.630801E8</v>
      </c>
      <c r="K375" s="5">
        <v>9792747.0</v>
      </c>
      <c r="L375" s="5" t="s">
        <v>38</v>
      </c>
      <c r="M375" s="35">
        <v>46148.208333333336</v>
      </c>
      <c r="N375" s="5" t="b">
        <v>0</v>
      </c>
      <c r="O375" s="19"/>
      <c r="P375" s="7"/>
      <c r="Q375" s="9"/>
      <c r="R375" s="9"/>
      <c r="S375" s="9"/>
      <c r="T375" s="9"/>
      <c r="U375" s="9"/>
      <c r="V375" s="9"/>
      <c r="W375" s="9"/>
      <c r="X375" s="23"/>
      <c r="Y375" s="23"/>
      <c r="Z375" s="23"/>
      <c r="AA375" s="23"/>
      <c r="AB375" s="9"/>
      <c r="AC375" s="9" t="str">
        <f>IFERROR(__xludf.DUMMYFUNCTION("""COMPUTED_VALUE"""),"Zakher")</f>
        <v>Zakher</v>
      </c>
      <c r="AD375" s="25"/>
      <c r="AE375" s="25" t="str">
        <f t="shared" si="5"/>
        <v/>
      </c>
      <c r="AF375" s="23">
        <f t="shared" si="7"/>
        <v>1</v>
      </c>
      <c r="AG375" s="23">
        <f t="shared" si="6"/>
        <v>1</v>
      </c>
      <c r="AH375" s="9"/>
      <c r="AI375" s="9"/>
    </row>
    <row r="376" ht="15.75" customHeight="1">
      <c r="A376" s="9"/>
      <c r="B376" s="9"/>
      <c r="C376" s="9"/>
      <c r="D376" s="9"/>
      <c r="E376" s="5" t="s">
        <v>507</v>
      </c>
      <c r="F376" s="6">
        <v>78921.0</v>
      </c>
      <c r="G376" s="6">
        <v>49999.0</v>
      </c>
      <c r="H376" s="5" t="s">
        <v>26</v>
      </c>
      <c r="I376" s="5" t="s">
        <v>21</v>
      </c>
      <c r="J376" s="5">
        <v>3.52003912E8</v>
      </c>
      <c r="K376" s="5">
        <v>9225342.0</v>
      </c>
      <c r="L376" s="5" t="s">
        <v>59</v>
      </c>
      <c r="M376" s="35">
        <v>46133.25</v>
      </c>
      <c r="N376" s="5" t="b">
        <v>0</v>
      </c>
      <c r="O376" s="19"/>
      <c r="P376" s="7"/>
      <c r="Q376" s="9"/>
      <c r="R376" s="9"/>
      <c r="S376" s="9"/>
      <c r="T376" s="9"/>
      <c r="U376" s="9"/>
      <c r="V376" s="9"/>
      <c r="W376" s="9"/>
      <c r="X376" s="23"/>
      <c r="Y376" s="23"/>
      <c r="Z376" s="23"/>
      <c r="AA376" s="23"/>
      <c r="AB376" s="9"/>
      <c r="AC376" s="9" t="str">
        <f>IFERROR(__xludf.DUMMYFUNCTION("""COMPUTED_VALUE"""),"Zante Gas")</f>
        <v>Zante Gas</v>
      </c>
      <c r="AD376" s="25"/>
      <c r="AE376" s="25" t="str">
        <f t="shared" si="5"/>
        <v/>
      </c>
      <c r="AF376" s="23">
        <f t="shared" si="7"/>
        <v>1</v>
      </c>
      <c r="AG376" s="23" t="str">
        <f t="shared" si="6"/>
        <v/>
      </c>
      <c r="AH376" s="9"/>
      <c r="AI376" s="9"/>
    </row>
    <row r="377" ht="15.75" customHeight="1">
      <c r="A377" s="9"/>
      <c r="B377" s="9"/>
      <c r="C377" s="9"/>
      <c r="D377" s="9"/>
      <c r="E377" s="5" t="s">
        <v>508</v>
      </c>
      <c r="F377" s="6">
        <v>86000.0</v>
      </c>
      <c r="G377" s="6">
        <v>55145.0</v>
      </c>
      <c r="H377" s="5" t="s">
        <v>26</v>
      </c>
      <c r="I377" s="5" t="s">
        <v>21</v>
      </c>
      <c r="J377" s="5">
        <v>6.36021497E8</v>
      </c>
      <c r="K377" s="5">
        <v>9916836.0</v>
      </c>
      <c r="L377" s="5" t="s">
        <v>160</v>
      </c>
      <c r="M377" s="35">
        <v>46132.75</v>
      </c>
      <c r="N377" s="5" t="b">
        <v>0</v>
      </c>
      <c r="O377" s="19"/>
      <c r="P377" s="7"/>
      <c r="Q377" s="9"/>
      <c r="R377" s="9"/>
      <c r="S377" s="9"/>
      <c r="T377" s="9"/>
      <c r="U377" s="9"/>
      <c r="V377" s="9"/>
      <c r="W377" s="9"/>
      <c r="X377" s="23"/>
      <c r="Y377" s="23"/>
      <c r="Z377" s="23"/>
      <c r="AA377" s="23"/>
      <c r="AB377" s="9"/>
      <c r="AC377" s="9"/>
      <c r="AD377" s="25"/>
      <c r="AE377" s="25" t="str">
        <f t="shared" si="5"/>
        <v/>
      </c>
      <c r="AF377" s="23">
        <f t="shared" si="7"/>
        <v>1</v>
      </c>
      <c r="AG377" s="23">
        <f t="shared" si="6"/>
        <v>1</v>
      </c>
      <c r="AH377" s="9"/>
      <c r="AI377" s="9"/>
    </row>
    <row r="378" ht="15.75" customHeight="1">
      <c r="A378" s="9"/>
      <c r="B378" s="9"/>
      <c r="C378" s="9"/>
      <c r="D378" s="9"/>
      <c r="E378" s="5" t="s">
        <v>509</v>
      </c>
      <c r="F378" s="6">
        <v>79538.0</v>
      </c>
      <c r="G378" s="6">
        <v>49995.0</v>
      </c>
      <c r="H378" s="5" t="s">
        <v>20</v>
      </c>
      <c r="I378" s="5" t="s">
        <v>21</v>
      </c>
      <c r="J378" s="5">
        <v>6.32001122E8</v>
      </c>
      <c r="K378" s="5">
        <v>9223540.0</v>
      </c>
      <c r="L378" s="5" t="s">
        <v>510</v>
      </c>
      <c r="M378" s="35">
        <v>46150.541666666664</v>
      </c>
      <c r="N378" s="5" t="b">
        <v>1</v>
      </c>
      <c r="O378" s="19"/>
      <c r="P378" s="7"/>
      <c r="Q378" s="9"/>
      <c r="R378" s="9"/>
      <c r="S378" s="9"/>
      <c r="T378" s="9"/>
      <c r="U378" s="9"/>
      <c r="V378" s="9"/>
      <c r="W378" s="9"/>
      <c r="X378" s="23"/>
      <c r="Y378" s="23"/>
      <c r="Z378" s="23"/>
      <c r="AA378" s="23"/>
      <c r="AB378" s="9"/>
      <c r="AC378" s="9"/>
      <c r="AD378" s="25"/>
      <c r="AE378" s="25" t="str">
        <f t="shared" si="5"/>
        <v/>
      </c>
      <c r="AF378" s="23">
        <f t="shared" si="7"/>
        <v>1</v>
      </c>
      <c r="AG378" s="23" t="str">
        <f t="shared" si="6"/>
        <v/>
      </c>
      <c r="AH378" s="9"/>
      <c r="AI378" s="9"/>
    </row>
    <row r="379" ht="15.75" customHeight="1">
      <c r="A379" s="9"/>
      <c r="B379" s="9"/>
      <c r="C379" s="9"/>
      <c r="D379" s="9"/>
      <c r="E379" s="5" t="s">
        <v>511</v>
      </c>
      <c r="F379" s="6">
        <v>84000.0</v>
      </c>
      <c r="G379" s="6">
        <v>53914.0</v>
      </c>
      <c r="H379" s="5" t="s">
        <v>26</v>
      </c>
      <c r="I379" s="5" t="s">
        <v>21</v>
      </c>
      <c r="J379" s="5">
        <v>3.52980766E8</v>
      </c>
      <c r="K379" s="5">
        <v>9903140.0</v>
      </c>
      <c r="L379" s="5" t="s">
        <v>38</v>
      </c>
      <c r="M379" s="35">
        <v>46136.5</v>
      </c>
      <c r="N379" s="5" t="b">
        <v>0</v>
      </c>
      <c r="O379" s="19"/>
      <c r="P379" s="7"/>
      <c r="Q379" s="9"/>
      <c r="R379" s="9"/>
      <c r="S379" s="9"/>
      <c r="T379" s="9"/>
      <c r="U379" s="9"/>
      <c r="V379" s="9"/>
      <c r="W379" s="9"/>
      <c r="X379" s="23"/>
      <c r="Y379" s="23"/>
      <c r="Z379" s="23"/>
      <c r="AA379" s="23"/>
      <c r="AB379" s="9"/>
      <c r="AC379" s="9"/>
      <c r="AD379" s="25"/>
      <c r="AE379" s="25" t="str">
        <f t="shared" si="5"/>
        <v/>
      </c>
      <c r="AF379" s="23">
        <f t="shared" si="7"/>
        <v>1</v>
      </c>
      <c r="AG379" s="23">
        <f t="shared" si="6"/>
        <v>1</v>
      </c>
      <c r="AH379" s="9"/>
      <c r="AI379" s="9"/>
    </row>
    <row r="380" ht="15.75" customHeight="1">
      <c r="A380" s="9"/>
      <c r="B380" s="9"/>
      <c r="C380" s="9"/>
      <c r="D380" s="9"/>
      <c r="E380" s="5" t="s">
        <v>512</v>
      </c>
      <c r="F380" s="6">
        <v>84000.0</v>
      </c>
      <c r="G380" s="6">
        <v>54000.0</v>
      </c>
      <c r="H380" s="5" t="s">
        <v>26</v>
      </c>
      <c r="I380" s="5" t="s">
        <v>21</v>
      </c>
      <c r="J380" s="5">
        <v>5.631006E8</v>
      </c>
      <c r="K380" s="5">
        <v>9839739.0</v>
      </c>
      <c r="L380" s="5" t="s">
        <v>43</v>
      </c>
      <c r="M380" s="35">
        <v>46160.25</v>
      </c>
      <c r="N380" s="5" t="b">
        <v>0</v>
      </c>
      <c r="O380" s="19"/>
      <c r="P380" s="23"/>
      <c r="Q380" s="9"/>
      <c r="R380" s="9"/>
      <c r="S380" s="9"/>
      <c r="T380" s="9"/>
      <c r="U380" s="9"/>
      <c r="V380" s="9"/>
      <c r="W380" s="9"/>
      <c r="X380" s="23"/>
      <c r="Y380" s="23"/>
      <c r="Z380" s="23"/>
      <c r="AA380" s="23"/>
      <c r="AB380" s="9"/>
      <c r="AC380" s="9"/>
      <c r="AD380" s="25"/>
      <c r="AE380" s="25" t="str">
        <f t="shared" si="5"/>
        <v/>
      </c>
      <c r="AF380" s="23">
        <f t="shared" si="7"/>
        <v>1</v>
      </c>
      <c r="AG380" s="23">
        <f t="shared" si="6"/>
        <v>1</v>
      </c>
      <c r="AH380" s="9"/>
      <c r="AI380" s="9"/>
    </row>
    <row r="381" ht="15.75" customHeight="1">
      <c r="A381" s="9"/>
      <c r="B381" s="9"/>
      <c r="C381" s="9"/>
      <c r="D381" s="9"/>
      <c r="E381" s="5" t="s">
        <v>513</v>
      </c>
      <c r="F381" s="6">
        <v>84000.0</v>
      </c>
      <c r="G381" s="6">
        <v>54000.0</v>
      </c>
      <c r="H381" s="5" t="s">
        <v>20</v>
      </c>
      <c r="I381" s="5" t="s">
        <v>21</v>
      </c>
      <c r="J381" s="5">
        <v>5.630976E8</v>
      </c>
      <c r="K381" s="5">
        <v>9832793.0</v>
      </c>
      <c r="L381" s="5" t="s">
        <v>154</v>
      </c>
      <c r="M381" s="35">
        <v>46141.75</v>
      </c>
      <c r="N381" s="5" t="b">
        <v>1</v>
      </c>
      <c r="O381" s="19"/>
      <c r="P381" s="23"/>
      <c r="Q381" s="9"/>
      <c r="R381" s="9"/>
      <c r="S381" s="9"/>
      <c r="T381" s="9"/>
      <c r="U381" s="9"/>
      <c r="V381" s="9"/>
      <c r="W381" s="9"/>
      <c r="X381" s="23"/>
      <c r="Y381" s="23"/>
      <c r="Z381" s="23"/>
      <c r="AA381" s="23"/>
      <c r="AB381" s="9"/>
      <c r="AC381" s="9"/>
      <c r="AD381" s="25"/>
      <c r="AE381" s="25" t="str">
        <f t="shared" si="5"/>
        <v/>
      </c>
      <c r="AF381" s="23">
        <f t="shared" si="7"/>
        <v>1</v>
      </c>
      <c r="AG381" s="23">
        <f t="shared" si="6"/>
        <v>1</v>
      </c>
      <c r="AH381" s="9"/>
      <c r="AI381" s="9"/>
    </row>
    <row r="382" ht="15.75" customHeight="1">
      <c r="A382" s="9"/>
      <c r="B382" s="9"/>
      <c r="C382" s="9"/>
      <c r="D382" s="9"/>
      <c r="E382" s="5" t="s">
        <v>514</v>
      </c>
      <c r="F382" s="6">
        <v>84000.0</v>
      </c>
      <c r="G382" s="6">
        <v>54000.0</v>
      </c>
      <c r="H382" s="5" t="s">
        <v>20</v>
      </c>
      <c r="I382" s="5" t="s">
        <v>21</v>
      </c>
      <c r="J382" s="5">
        <v>5.630918E8</v>
      </c>
      <c r="K382" s="5">
        <v>9832808.0</v>
      </c>
      <c r="L382" s="5" t="s">
        <v>124</v>
      </c>
      <c r="M382" s="35">
        <v>46133.1875</v>
      </c>
      <c r="N382" s="5" t="b">
        <v>1</v>
      </c>
      <c r="O382" s="19"/>
      <c r="P382" s="23"/>
      <c r="Q382" s="9"/>
      <c r="R382" s="9"/>
      <c r="S382" s="9"/>
      <c r="T382" s="9"/>
      <c r="U382" s="9"/>
      <c r="V382" s="9"/>
      <c r="W382" s="9"/>
      <c r="X382" s="23"/>
      <c r="Y382" s="23"/>
      <c r="Z382" s="23"/>
      <c r="AA382" s="23"/>
      <c r="AB382" s="9"/>
      <c r="AC382" s="9"/>
      <c r="AD382" s="25"/>
      <c r="AE382" s="25" t="str">
        <f t="shared" si="5"/>
        <v/>
      </c>
      <c r="AF382" s="23">
        <f t="shared" si="7"/>
        <v>1</v>
      </c>
      <c r="AG382" s="23">
        <f t="shared" si="6"/>
        <v>1</v>
      </c>
      <c r="AH382" s="9"/>
      <c r="AI382" s="9"/>
    </row>
    <row r="383" ht="15.75" customHeight="1">
      <c r="A383" s="9"/>
      <c r="B383" s="9"/>
      <c r="C383" s="9"/>
      <c r="D383" s="9"/>
      <c r="E383" s="5" t="s">
        <v>515</v>
      </c>
      <c r="F383" s="6">
        <v>84358.0</v>
      </c>
      <c r="G383" s="6">
        <v>54592.0</v>
      </c>
      <c r="H383" s="5" t="s">
        <v>20</v>
      </c>
      <c r="I383" s="5" t="s">
        <v>21</v>
      </c>
      <c r="J383" s="5">
        <v>6.36011212E8</v>
      </c>
      <c r="K383" s="5">
        <v>9176357.0</v>
      </c>
      <c r="L383" s="5" t="s">
        <v>154</v>
      </c>
      <c r="M383" s="38">
        <v>46156.5</v>
      </c>
      <c r="N383" s="5" t="b">
        <v>1</v>
      </c>
      <c r="O383" s="19"/>
      <c r="P383" s="23"/>
      <c r="Q383" s="9"/>
      <c r="R383" s="9"/>
      <c r="S383" s="9"/>
      <c r="T383" s="9"/>
      <c r="U383" s="9"/>
      <c r="V383" s="9"/>
      <c r="W383" s="9"/>
      <c r="X383" s="23"/>
      <c r="Y383" s="23"/>
      <c r="Z383" s="23"/>
      <c r="AA383" s="23"/>
      <c r="AB383" s="9"/>
      <c r="AC383" s="9"/>
      <c r="AD383" s="25"/>
      <c r="AE383" s="25" t="str">
        <f t="shared" si="5"/>
        <v/>
      </c>
      <c r="AF383" s="23">
        <f t="shared" si="7"/>
        <v>1</v>
      </c>
      <c r="AG383" s="23">
        <f t="shared" si="6"/>
        <v>1</v>
      </c>
      <c r="AH383" s="9"/>
      <c r="AI383" s="9"/>
    </row>
    <row r="384" ht="15.75" customHeight="1">
      <c r="A384" s="9"/>
      <c r="B384" s="9"/>
      <c r="C384" s="9"/>
      <c r="D384" s="9"/>
      <c r="E384" s="5" t="s">
        <v>516</v>
      </c>
      <c r="F384" s="6">
        <v>78593.0</v>
      </c>
      <c r="G384" s="6">
        <v>53100.0</v>
      </c>
      <c r="H384" s="5" t="s">
        <v>26</v>
      </c>
      <c r="I384" s="5" t="s">
        <v>21</v>
      </c>
      <c r="J384" s="5">
        <v>4.19001727E8</v>
      </c>
      <c r="K384" s="5">
        <v>9377793.0</v>
      </c>
      <c r="L384" s="5" t="s">
        <v>517</v>
      </c>
      <c r="M384" s="35">
        <v>46133.625</v>
      </c>
      <c r="N384" s="5" t="b">
        <v>0</v>
      </c>
      <c r="O384" s="19"/>
      <c r="P384" s="23"/>
      <c r="Q384" s="9"/>
      <c r="R384" s="9"/>
      <c r="S384" s="9"/>
      <c r="T384" s="9"/>
      <c r="U384" s="9"/>
      <c r="V384" s="9"/>
      <c r="W384" s="9"/>
      <c r="X384" s="23"/>
      <c r="Y384" s="23"/>
      <c r="Z384" s="23"/>
      <c r="AA384" s="23"/>
      <c r="AB384" s="9"/>
      <c r="AC384" s="9"/>
      <c r="AD384" s="25"/>
      <c r="AE384" s="25" t="str">
        <f t="shared" si="5"/>
        <v/>
      </c>
      <c r="AF384" s="23">
        <f t="shared" si="7"/>
        <v>1</v>
      </c>
      <c r="AG384" s="23" t="str">
        <f t="shared" si="6"/>
        <v/>
      </c>
      <c r="AH384" s="9"/>
      <c r="AI384" s="9"/>
    </row>
    <row r="385" ht="15.75" customHeight="1">
      <c r="A385" s="9"/>
      <c r="B385" s="9"/>
      <c r="C385" s="9"/>
      <c r="D385" s="9"/>
      <c r="E385" s="5" t="s">
        <v>518</v>
      </c>
      <c r="F385" s="6">
        <v>84000.0</v>
      </c>
      <c r="G385" s="6">
        <v>54000.0</v>
      </c>
      <c r="H385" s="5" t="s">
        <v>26</v>
      </c>
      <c r="I385" s="5" t="s">
        <v>21</v>
      </c>
      <c r="J385" s="5">
        <v>5.630977E8</v>
      </c>
      <c r="K385" s="5">
        <v>9839727.0</v>
      </c>
      <c r="L385" s="5" t="s">
        <v>101</v>
      </c>
      <c r="M385" s="38">
        <v>46148.708333333336</v>
      </c>
      <c r="N385" s="5" t="b">
        <v>0</v>
      </c>
      <c r="O385" s="19"/>
      <c r="P385" s="23"/>
      <c r="Q385" s="9"/>
      <c r="R385" s="9"/>
      <c r="S385" s="9"/>
      <c r="T385" s="9"/>
      <c r="U385" s="9"/>
      <c r="V385" s="9"/>
      <c r="W385" s="9"/>
      <c r="X385" s="23"/>
      <c r="Y385" s="23"/>
      <c r="Z385" s="23"/>
      <c r="AA385" s="23"/>
      <c r="AB385" s="9"/>
      <c r="AC385" s="9"/>
      <c r="AD385" s="25"/>
      <c r="AE385" s="25" t="str">
        <f t="shared" si="5"/>
        <v/>
      </c>
      <c r="AF385" s="23">
        <f t="shared" si="7"/>
        <v>1</v>
      </c>
      <c r="AG385" s="23">
        <f t="shared" si="6"/>
        <v>1</v>
      </c>
      <c r="AH385" s="9"/>
      <c r="AI385" s="9"/>
    </row>
    <row r="386" ht="15.75" customHeight="1">
      <c r="A386" s="9"/>
      <c r="B386" s="9"/>
      <c r="C386" s="9"/>
      <c r="D386" s="9"/>
      <c r="E386" s="5" t="s">
        <v>519</v>
      </c>
      <c r="F386" s="6">
        <v>78551.0</v>
      </c>
      <c r="G386" s="6">
        <v>56745.0</v>
      </c>
      <c r="H386" s="5" t="s">
        <v>26</v>
      </c>
      <c r="I386" s="5" t="s">
        <v>21</v>
      </c>
      <c r="J386" s="5">
        <v>4.772122E8</v>
      </c>
      <c r="K386" s="5">
        <v>9193733.0</v>
      </c>
      <c r="L386" s="17"/>
      <c r="M386" s="18"/>
      <c r="N386" s="5" t="b">
        <v>0</v>
      </c>
      <c r="O386" s="19"/>
      <c r="P386" s="23"/>
      <c r="Q386" s="9"/>
      <c r="R386" s="9"/>
      <c r="S386" s="9"/>
      <c r="T386" s="9"/>
      <c r="U386" s="9"/>
      <c r="V386" s="9"/>
      <c r="W386" s="9"/>
      <c r="X386" s="23"/>
      <c r="Y386" s="23"/>
      <c r="Z386" s="23"/>
      <c r="AA386" s="23"/>
      <c r="AB386" s="9"/>
      <c r="AC386" s="9"/>
      <c r="AD386" s="25"/>
      <c r="AE386" s="25" t="str">
        <f t="shared" si="5"/>
        <v/>
      </c>
      <c r="AF386" s="23">
        <f t="shared" si="7"/>
        <v>1</v>
      </c>
      <c r="AG386" s="23" t="str">
        <f t="shared" si="6"/>
        <v/>
      </c>
      <c r="AH386" s="9"/>
      <c r="AI386" s="9"/>
    </row>
    <row r="387" ht="15.75" customHeight="1">
      <c r="A387" s="9"/>
      <c r="B387" s="9"/>
      <c r="C387" s="9"/>
      <c r="D387" s="9"/>
      <c r="E387" s="5" t="s">
        <v>520</v>
      </c>
      <c r="F387" s="6">
        <v>88000.0</v>
      </c>
      <c r="G387" s="6">
        <v>60000.0</v>
      </c>
      <c r="H387" s="5" t="s">
        <v>20</v>
      </c>
      <c r="I387" s="5" t="s">
        <v>21</v>
      </c>
      <c r="J387" s="5">
        <v>6.36023948E8</v>
      </c>
      <c r="K387" s="5">
        <v>9987081.0</v>
      </c>
      <c r="L387" s="5" t="s">
        <v>101</v>
      </c>
      <c r="M387" s="38">
        <v>46133.25</v>
      </c>
      <c r="N387" s="5" t="b">
        <v>1</v>
      </c>
      <c r="O387" s="19"/>
      <c r="P387" s="23"/>
      <c r="Q387" s="9"/>
      <c r="R387" s="9"/>
      <c r="S387" s="9"/>
      <c r="T387" s="9"/>
      <c r="U387" s="9"/>
      <c r="V387" s="9"/>
      <c r="W387" s="9"/>
      <c r="X387" s="23"/>
      <c r="Y387" s="23"/>
      <c r="Z387" s="23"/>
      <c r="AA387" s="23"/>
      <c r="AB387" s="9"/>
      <c r="AC387" s="9"/>
      <c r="AD387" s="25"/>
      <c r="AE387" s="25" t="str">
        <f t="shared" si="5"/>
        <v/>
      </c>
      <c r="AF387" s="23">
        <f t="shared" si="7"/>
        <v>1</v>
      </c>
      <c r="AG387" s="23">
        <f t="shared" si="6"/>
        <v>1</v>
      </c>
      <c r="AH387" s="9"/>
      <c r="AI387" s="9"/>
    </row>
    <row r="388" ht="15.75" customHeight="1">
      <c r="A388" s="9"/>
      <c r="B388" s="9"/>
      <c r="C388" s="9"/>
      <c r="D388" s="9"/>
      <c r="E388" s="5" t="s">
        <v>521</v>
      </c>
      <c r="F388" s="6">
        <v>80803.0</v>
      </c>
      <c r="G388" s="6">
        <v>53999.0</v>
      </c>
      <c r="H388" s="5" t="s">
        <v>26</v>
      </c>
      <c r="I388" s="5" t="s">
        <v>21</v>
      </c>
      <c r="J388" s="5">
        <v>4.19002053E8</v>
      </c>
      <c r="K388" s="5">
        <v>9359478.0</v>
      </c>
      <c r="L388" s="5" t="s">
        <v>522</v>
      </c>
      <c r="M388" s="35">
        <v>46133.6125</v>
      </c>
      <c r="N388" s="5" t="b">
        <v>0</v>
      </c>
      <c r="O388" s="19"/>
      <c r="P388" s="23"/>
      <c r="Q388" s="9"/>
      <c r="R388" s="9"/>
      <c r="S388" s="9"/>
      <c r="T388" s="9"/>
      <c r="U388" s="9"/>
      <c r="V388" s="9"/>
      <c r="W388" s="9"/>
      <c r="X388" s="23"/>
      <c r="Y388" s="23"/>
      <c r="Z388" s="23"/>
      <c r="AA388" s="23"/>
      <c r="AB388" s="9"/>
      <c r="AC388" s="9"/>
      <c r="AD388" s="25"/>
      <c r="AE388" s="25" t="str">
        <f t="shared" si="5"/>
        <v/>
      </c>
      <c r="AF388" s="23">
        <f t="shared" si="7"/>
        <v>1</v>
      </c>
      <c r="AG388" s="23" t="str">
        <f t="shared" si="6"/>
        <v/>
      </c>
      <c r="AH388" s="9"/>
      <c r="AI388" s="9"/>
    </row>
    <row r="389" ht="15.75" customHeight="1">
      <c r="A389" s="9"/>
      <c r="B389" s="9"/>
      <c r="C389" s="9"/>
      <c r="D389" s="9"/>
      <c r="E389" s="5" t="s">
        <v>523</v>
      </c>
      <c r="F389" s="6">
        <v>83385.0</v>
      </c>
      <c r="G389" s="6">
        <v>55214.0</v>
      </c>
      <c r="H389" s="5" t="s">
        <v>26</v>
      </c>
      <c r="I389" s="5" t="s">
        <v>21</v>
      </c>
      <c r="J389" s="5">
        <v>3.54957E8</v>
      </c>
      <c r="K389" s="5">
        <v>9629873.0</v>
      </c>
      <c r="L389" s="5" t="s">
        <v>101</v>
      </c>
      <c r="M389" s="35">
        <v>46141.916666666664</v>
      </c>
      <c r="N389" s="5" t="b">
        <v>0</v>
      </c>
      <c r="O389" s="19"/>
      <c r="P389" s="23"/>
      <c r="Q389" s="9"/>
      <c r="R389" s="9"/>
      <c r="S389" s="9"/>
      <c r="T389" s="9"/>
      <c r="U389" s="9"/>
      <c r="V389" s="9"/>
      <c r="W389" s="9"/>
      <c r="X389" s="23"/>
      <c r="Y389" s="23"/>
      <c r="Z389" s="23"/>
      <c r="AA389" s="23"/>
      <c r="AB389" s="9"/>
      <c r="AC389" s="9"/>
      <c r="AD389" s="25"/>
      <c r="AE389" s="25" t="str">
        <f t="shared" si="5"/>
        <v/>
      </c>
      <c r="AF389" s="23">
        <f t="shared" si="7"/>
        <v>1</v>
      </c>
      <c r="AG389" s="23">
        <f t="shared" si="6"/>
        <v>1</v>
      </c>
      <c r="AH389" s="9"/>
      <c r="AI389" s="9"/>
    </row>
    <row r="390" ht="15.75" customHeight="1">
      <c r="A390" s="9"/>
      <c r="B390" s="9"/>
      <c r="C390" s="9"/>
      <c r="D390" s="9"/>
      <c r="E390" s="5" t="s">
        <v>524</v>
      </c>
      <c r="F390" s="6">
        <v>73869.0</v>
      </c>
      <c r="G390" s="6">
        <v>49301.0</v>
      </c>
      <c r="H390" s="5" t="s">
        <v>20</v>
      </c>
      <c r="I390" s="5" t="s">
        <v>21</v>
      </c>
      <c r="J390" s="5">
        <v>6.47553028E8</v>
      </c>
      <c r="K390" s="5">
        <v>8912546.0</v>
      </c>
      <c r="L390" s="5" t="s">
        <v>525</v>
      </c>
      <c r="M390" s="35">
        <v>46138.0</v>
      </c>
      <c r="N390" s="5" t="b">
        <v>1</v>
      </c>
      <c r="O390" s="19"/>
      <c r="P390" s="23"/>
      <c r="Q390" s="9"/>
      <c r="R390" s="9"/>
      <c r="S390" s="9"/>
      <c r="T390" s="9"/>
      <c r="U390" s="9"/>
      <c r="V390" s="9"/>
      <c r="W390" s="9"/>
      <c r="X390" s="23"/>
      <c r="Y390" s="23"/>
      <c r="Z390" s="23"/>
      <c r="AA390" s="23"/>
      <c r="AB390" s="9"/>
      <c r="AC390" s="9"/>
      <c r="AD390" s="25"/>
      <c r="AE390" s="25" t="str">
        <f t="shared" si="5"/>
        <v/>
      </c>
      <c r="AF390" s="23">
        <f t="shared" si="7"/>
        <v>1</v>
      </c>
      <c r="AG390" s="23" t="str">
        <f t="shared" si="6"/>
        <v/>
      </c>
      <c r="AH390" s="9"/>
      <c r="AI390" s="9"/>
    </row>
    <row r="391" ht="15.75" customHeight="1">
      <c r="A391" s="9"/>
      <c r="B391" s="9"/>
      <c r="C391" s="9"/>
      <c r="D391" s="9"/>
      <c r="E391" s="5" t="s">
        <v>526</v>
      </c>
      <c r="F391" s="6">
        <v>84000.0</v>
      </c>
      <c r="G391" s="6">
        <v>54481.0</v>
      </c>
      <c r="H391" s="5" t="s">
        <v>26</v>
      </c>
      <c r="I391" s="5" t="s">
        <v>21</v>
      </c>
      <c r="J391" s="5">
        <v>5.6596E8</v>
      </c>
      <c r="K391" s="5">
        <v>9734525.0</v>
      </c>
      <c r="L391" s="5" t="s">
        <v>101</v>
      </c>
      <c r="M391" s="38">
        <v>46137.541666666664</v>
      </c>
      <c r="N391" s="5" t="b">
        <v>0</v>
      </c>
      <c r="O391" s="19"/>
      <c r="P391" s="23"/>
      <c r="Q391" s="9"/>
      <c r="R391" s="9"/>
      <c r="S391" s="9"/>
      <c r="T391" s="9"/>
      <c r="U391" s="9"/>
      <c r="V391" s="9"/>
      <c r="W391" s="9"/>
      <c r="X391" s="23"/>
      <c r="Y391" s="23"/>
      <c r="Z391" s="23"/>
      <c r="AA391" s="23"/>
      <c r="AB391" s="9"/>
      <c r="AC391" s="9"/>
      <c r="AD391" s="25"/>
      <c r="AE391" s="25" t="str">
        <f t="shared" si="5"/>
        <v/>
      </c>
      <c r="AF391" s="23">
        <f t="shared" si="7"/>
        <v>1</v>
      </c>
      <c r="AG391" s="23">
        <f t="shared" si="6"/>
        <v>1</v>
      </c>
      <c r="AH391" s="9"/>
      <c r="AI391" s="9"/>
    </row>
    <row r="392" ht="15.75" customHeight="1">
      <c r="A392" s="9"/>
      <c r="B392" s="9"/>
      <c r="C392" s="9"/>
      <c r="D392" s="9"/>
      <c r="E392" s="5" t="s">
        <v>527</v>
      </c>
      <c r="F392" s="6">
        <v>82423.0</v>
      </c>
      <c r="G392" s="6">
        <v>54784.0</v>
      </c>
      <c r="H392" s="5" t="s">
        <v>66</v>
      </c>
      <c r="I392" s="5" t="s">
        <v>21</v>
      </c>
      <c r="J392" s="5">
        <v>5.38005632E8</v>
      </c>
      <c r="K392" s="5">
        <v>9350599.0</v>
      </c>
      <c r="L392" s="17"/>
      <c r="M392" s="18"/>
      <c r="N392" s="5" t="b">
        <v>1</v>
      </c>
      <c r="O392" s="19"/>
      <c r="P392" s="23"/>
      <c r="Q392" s="9"/>
      <c r="R392" s="9"/>
      <c r="S392" s="9"/>
      <c r="T392" s="9"/>
      <c r="U392" s="9"/>
      <c r="V392" s="9"/>
      <c r="W392" s="9"/>
      <c r="X392" s="23"/>
      <c r="Y392" s="23"/>
      <c r="Z392" s="23"/>
      <c r="AA392" s="23"/>
      <c r="AB392" s="9"/>
      <c r="AC392" s="9"/>
      <c r="AD392" s="25"/>
      <c r="AE392" s="25" t="str">
        <f t="shared" si="5"/>
        <v/>
      </c>
      <c r="AF392" s="23">
        <f t="shared" si="7"/>
        <v>1</v>
      </c>
      <c r="AG392" s="23" t="str">
        <f t="shared" si="6"/>
        <v/>
      </c>
      <c r="AH392" s="9"/>
      <c r="AI392" s="9"/>
    </row>
    <row r="393" ht="15.75" customHeight="1">
      <c r="A393" s="9"/>
      <c r="B393" s="9"/>
      <c r="C393" s="9"/>
      <c r="D393" s="9"/>
      <c r="E393" s="5" t="s">
        <v>528</v>
      </c>
      <c r="F393" s="6">
        <v>75353.0</v>
      </c>
      <c r="G393" s="6">
        <v>49345.0</v>
      </c>
      <c r="H393" s="5" t="s">
        <v>26</v>
      </c>
      <c r="I393" s="5" t="s">
        <v>21</v>
      </c>
      <c r="J393" s="5">
        <v>6.1349E8</v>
      </c>
      <c r="K393" s="5">
        <v>9000883.0</v>
      </c>
      <c r="L393" s="5" t="s">
        <v>46</v>
      </c>
      <c r="M393" s="35">
        <v>46137.75</v>
      </c>
      <c r="N393" s="5" t="b">
        <v>0</v>
      </c>
      <c r="O393" s="19"/>
      <c r="P393" s="23"/>
      <c r="Q393" s="9"/>
      <c r="R393" s="9"/>
      <c r="S393" s="9"/>
      <c r="T393" s="9"/>
      <c r="U393" s="9"/>
      <c r="V393" s="9"/>
      <c r="W393" s="9"/>
      <c r="X393" s="23"/>
      <c r="Y393" s="23"/>
      <c r="Z393" s="23"/>
      <c r="AA393" s="23"/>
      <c r="AB393" s="9"/>
      <c r="AC393" s="9"/>
      <c r="AD393" s="25"/>
      <c r="AE393" s="25" t="str">
        <f t="shared" si="5"/>
        <v/>
      </c>
      <c r="AF393" s="23">
        <f t="shared" si="7"/>
        <v>1</v>
      </c>
      <c r="AG393" s="23" t="str">
        <f t="shared" si="6"/>
        <v/>
      </c>
      <c r="AH393" s="9"/>
      <c r="AI393" s="9"/>
    </row>
    <row r="394" ht="15.75" customHeight="1">
      <c r="A394" s="9"/>
      <c r="B394" s="9"/>
      <c r="C394" s="9"/>
      <c r="D394" s="9"/>
      <c r="E394" s="5" t="s">
        <v>529</v>
      </c>
      <c r="F394" s="6">
        <v>80138.0</v>
      </c>
      <c r="G394" s="6">
        <v>53293.0</v>
      </c>
      <c r="H394" s="5" t="s">
        <v>20</v>
      </c>
      <c r="I394" s="5" t="s">
        <v>21</v>
      </c>
      <c r="J394" s="5">
        <v>3.1100193E8</v>
      </c>
      <c r="K394" s="5">
        <v>9377781.0</v>
      </c>
      <c r="L394" s="5" t="s">
        <v>530</v>
      </c>
      <c r="M394" s="38">
        <v>46135.833333333336</v>
      </c>
      <c r="N394" s="5" t="b">
        <v>1</v>
      </c>
      <c r="O394" s="19"/>
      <c r="P394" s="23"/>
      <c r="Q394" s="9"/>
      <c r="R394" s="9"/>
      <c r="S394" s="9"/>
      <c r="T394" s="9"/>
      <c r="U394" s="9"/>
      <c r="V394" s="9"/>
      <c r="W394" s="9"/>
      <c r="X394" s="23"/>
      <c r="Y394" s="23"/>
      <c r="Z394" s="23"/>
      <c r="AA394" s="9"/>
      <c r="AB394" s="9"/>
      <c r="AC394" s="9"/>
      <c r="AD394" s="25"/>
      <c r="AE394" s="25" t="str">
        <f t="shared" si="5"/>
        <v/>
      </c>
      <c r="AF394" s="23">
        <f t="shared" si="7"/>
        <v>1</v>
      </c>
      <c r="AG394" s="23" t="str">
        <f t="shared" si="6"/>
        <v/>
      </c>
      <c r="AH394" s="9"/>
      <c r="AI394" s="9"/>
    </row>
    <row r="395" ht="15.75" customHeight="1">
      <c r="A395" s="9"/>
      <c r="B395" s="9"/>
      <c r="C395" s="9"/>
      <c r="D395" s="9"/>
      <c r="E395" s="5" t="s">
        <v>531</v>
      </c>
      <c r="F395" s="6">
        <v>84000.0</v>
      </c>
      <c r="G395" s="6">
        <v>54603.0</v>
      </c>
      <c r="H395" s="5" t="s">
        <v>26</v>
      </c>
      <c r="I395" s="5" t="s">
        <v>21</v>
      </c>
      <c r="J395" s="5">
        <v>5.63853E8</v>
      </c>
      <c r="K395" s="5">
        <v>9726102.0</v>
      </c>
      <c r="L395" s="5" t="s">
        <v>101</v>
      </c>
      <c r="M395" s="35">
        <v>46147.00069444445</v>
      </c>
      <c r="N395" s="5" t="b">
        <v>0</v>
      </c>
      <c r="O395" s="19"/>
      <c r="P395" s="23"/>
      <c r="Q395" s="9"/>
      <c r="R395" s="9"/>
      <c r="S395" s="9"/>
      <c r="T395" s="9"/>
      <c r="U395" s="9"/>
      <c r="V395" s="9"/>
      <c r="W395" s="9"/>
      <c r="X395" s="23"/>
      <c r="Y395" s="23"/>
      <c r="Z395" s="23"/>
      <c r="AA395" s="9"/>
      <c r="AB395" s="9"/>
      <c r="AC395" s="9"/>
      <c r="AD395" s="25"/>
      <c r="AE395" s="25" t="str">
        <f t="shared" si="5"/>
        <v/>
      </c>
      <c r="AF395" s="23">
        <f t="shared" si="7"/>
        <v>1</v>
      </c>
      <c r="AG395" s="23">
        <f t="shared" si="6"/>
        <v>1</v>
      </c>
      <c r="AH395" s="9"/>
      <c r="AI395" s="9"/>
    </row>
    <row r="396" ht="15.75" customHeight="1">
      <c r="A396" s="9"/>
      <c r="B396" s="9"/>
      <c r="C396" s="9"/>
      <c r="D396" s="9"/>
      <c r="E396" s="5" t="s">
        <v>532</v>
      </c>
      <c r="F396" s="6">
        <v>84000.0</v>
      </c>
      <c r="G396" s="6">
        <v>54596.0</v>
      </c>
      <c r="H396" s="5" t="s">
        <v>26</v>
      </c>
      <c r="I396" s="5" t="s">
        <v>21</v>
      </c>
      <c r="J396" s="5">
        <v>5.65943E8</v>
      </c>
      <c r="K396" s="5">
        <v>9726114.0</v>
      </c>
      <c r="L396" s="5" t="s">
        <v>145</v>
      </c>
      <c r="M396" s="35">
        <v>46132.291666666664</v>
      </c>
      <c r="N396" s="5" t="b">
        <v>0</v>
      </c>
      <c r="O396" s="19"/>
      <c r="P396" s="23"/>
      <c r="Q396" s="9"/>
      <c r="R396" s="9"/>
      <c r="S396" s="9"/>
      <c r="T396" s="9"/>
      <c r="U396" s="9"/>
      <c r="V396" s="9"/>
      <c r="W396" s="9"/>
      <c r="X396" s="23"/>
      <c r="Y396" s="23"/>
      <c r="Z396" s="23"/>
      <c r="AA396" s="9"/>
      <c r="AB396" s="9"/>
      <c r="AC396" s="9"/>
      <c r="AD396" s="25"/>
      <c r="AE396" s="25" t="str">
        <f t="shared" si="5"/>
        <v/>
      </c>
      <c r="AF396" s="23">
        <f t="shared" si="7"/>
        <v>1</v>
      </c>
      <c r="AG396" s="23">
        <f t="shared" si="6"/>
        <v>1</v>
      </c>
      <c r="AH396" s="9"/>
      <c r="AI396" s="9"/>
    </row>
    <row r="397" ht="15.75" customHeight="1">
      <c r="A397" s="9"/>
      <c r="B397" s="9"/>
      <c r="C397" s="9"/>
      <c r="D397" s="9"/>
      <c r="E397" s="5" t="s">
        <v>533</v>
      </c>
      <c r="F397" s="6">
        <v>84000.0</v>
      </c>
      <c r="G397" s="6">
        <v>51700.0</v>
      </c>
      <c r="H397" s="5" t="s">
        <v>26</v>
      </c>
      <c r="I397" s="5" t="s">
        <v>21</v>
      </c>
      <c r="J397" s="5">
        <v>5.65355E8</v>
      </c>
      <c r="K397" s="5">
        <v>9726073.0</v>
      </c>
      <c r="L397" s="5" t="s">
        <v>52</v>
      </c>
      <c r="M397" s="35">
        <v>46150.625</v>
      </c>
      <c r="N397" s="5" t="b">
        <v>0</v>
      </c>
      <c r="O397" s="19"/>
      <c r="P397" s="23"/>
      <c r="Q397" s="9"/>
      <c r="R397" s="9"/>
      <c r="S397" s="9"/>
      <c r="T397" s="9"/>
      <c r="U397" s="9"/>
      <c r="V397" s="9"/>
      <c r="W397" s="9"/>
      <c r="X397" s="23"/>
      <c r="Y397" s="23"/>
      <c r="Z397" s="23"/>
      <c r="AA397" s="9"/>
      <c r="AB397" s="9"/>
      <c r="AC397" s="9"/>
      <c r="AD397" s="25"/>
      <c r="AE397" s="25" t="str">
        <f t="shared" si="5"/>
        <v/>
      </c>
      <c r="AF397" s="23">
        <f t="shared" si="7"/>
        <v>1</v>
      </c>
      <c r="AG397" s="23">
        <f t="shared" si="6"/>
        <v>1</v>
      </c>
      <c r="AH397" s="9"/>
      <c r="AI397" s="9"/>
    </row>
    <row r="398" ht="15.75" customHeight="1">
      <c r="A398" s="9"/>
      <c r="B398" s="9"/>
      <c r="C398" s="9"/>
      <c r="D398" s="9"/>
      <c r="E398" s="5" t="s">
        <v>534</v>
      </c>
      <c r="F398" s="6">
        <v>80770.0</v>
      </c>
      <c r="G398" s="6">
        <v>53999.0</v>
      </c>
      <c r="H398" s="5" t="s">
        <v>26</v>
      </c>
      <c r="I398" s="5" t="s">
        <v>21</v>
      </c>
      <c r="J398" s="5">
        <v>4.19002052E8</v>
      </c>
      <c r="K398" s="5">
        <v>9356892.0</v>
      </c>
      <c r="L398" s="17"/>
      <c r="M398" s="18"/>
      <c r="N398" s="5" t="b">
        <v>0</v>
      </c>
      <c r="O398" s="19"/>
      <c r="P398" s="23"/>
      <c r="Q398" s="9"/>
      <c r="R398" s="9"/>
      <c r="S398" s="9"/>
      <c r="T398" s="9"/>
      <c r="U398" s="9"/>
      <c r="V398" s="9"/>
      <c r="W398" s="9"/>
      <c r="X398" s="23"/>
      <c r="Y398" s="23"/>
      <c r="Z398" s="23"/>
      <c r="AA398" s="9"/>
      <c r="AB398" s="9"/>
      <c r="AC398" s="9"/>
      <c r="AD398" s="25"/>
      <c r="AE398" s="25" t="str">
        <f t="shared" si="5"/>
        <v/>
      </c>
      <c r="AF398" s="23">
        <f t="shared" si="7"/>
        <v>1</v>
      </c>
      <c r="AG398" s="23" t="str">
        <f t="shared" si="6"/>
        <v/>
      </c>
      <c r="AH398" s="9"/>
      <c r="AI398" s="9"/>
    </row>
    <row r="399" ht="15.75" customHeight="1">
      <c r="A399" s="9"/>
      <c r="B399" s="9"/>
      <c r="C399" s="9"/>
      <c r="D399" s="9"/>
      <c r="E399" s="5" t="s">
        <v>535</v>
      </c>
      <c r="F399" s="6">
        <v>78901.0</v>
      </c>
      <c r="G399" s="6">
        <v>49999.0</v>
      </c>
      <c r="H399" s="5" t="s">
        <v>26</v>
      </c>
      <c r="I399" s="5" t="s">
        <v>21</v>
      </c>
      <c r="J399" s="5">
        <v>6.03928E8</v>
      </c>
      <c r="K399" s="5">
        <v>9397080.0</v>
      </c>
      <c r="L399" s="5" t="s">
        <v>46</v>
      </c>
      <c r="M399" s="38">
        <v>46135.791666666664</v>
      </c>
      <c r="N399" s="5" t="b">
        <v>0</v>
      </c>
      <c r="O399" s="7"/>
      <c r="P399" s="23"/>
      <c r="Q399" s="9"/>
      <c r="R399" s="9"/>
      <c r="S399" s="9"/>
      <c r="T399" s="9"/>
      <c r="U399" s="9"/>
      <c r="V399" s="9"/>
      <c r="W399" s="9"/>
      <c r="X399" s="23"/>
      <c r="Y399" s="23"/>
      <c r="Z399" s="23"/>
      <c r="AA399" s="9"/>
      <c r="AB399" s="9"/>
      <c r="AC399" s="9"/>
      <c r="AD399" s="25"/>
      <c r="AE399" s="25" t="str">
        <f t="shared" si="5"/>
        <v/>
      </c>
      <c r="AF399" s="23">
        <f t="shared" si="7"/>
        <v>1</v>
      </c>
      <c r="AG399" s="23" t="str">
        <f t="shared" si="6"/>
        <v/>
      </c>
      <c r="AH399" s="9"/>
      <c r="AI399" s="9"/>
    </row>
    <row r="400" ht="15.75" customHeight="1">
      <c r="A400" s="9"/>
      <c r="B400" s="9"/>
      <c r="C400" s="9"/>
      <c r="D400" s="9"/>
      <c r="E400" s="5" t="s">
        <v>536</v>
      </c>
      <c r="F400" s="6">
        <v>84000.0</v>
      </c>
      <c r="G400" s="6">
        <v>54576.0</v>
      </c>
      <c r="H400" s="5" t="s">
        <v>66</v>
      </c>
      <c r="I400" s="5" t="s">
        <v>21</v>
      </c>
      <c r="J400" s="5">
        <v>5.65404E8</v>
      </c>
      <c r="K400" s="5">
        <v>9722223.0</v>
      </c>
      <c r="L400" s="5" t="s">
        <v>537</v>
      </c>
      <c r="M400" s="38">
        <v>46141.5</v>
      </c>
      <c r="N400" s="5" t="b">
        <v>1</v>
      </c>
      <c r="O400" s="7"/>
      <c r="P400" s="23"/>
      <c r="Q400" s="9"/>
      <c r="R400" s="9"/>
      <c r="S400" s="9"/>
      <c r="T400" s="9"/>
      <c r="U400" s="9"/>
      <c r="V400" s="9"/>
      <c r="W400" s="9"/>
      <c r="X400" s="9"/>
      <c r="Y400" s="9"/>
      <c r="Z400" s="23"/>
      <c r="AA400" s="9"/>
      <c r="AB400" s="9"/>
      <c r="AC400" s="9"/>
      <c r="AD400" s="25"/>
      <c r="AE400" s="25" t="str">
        <f t="shared" si="5"/>
        <v/>
      </c>
      <c r="AF400" s="23">
        <f t="shared" ref="AF400:AF424" si="8">IF(ISERROR(VLOOKUP(Y400,$E$2:$F$600,2, FALSE)),1,"")</f>
        <v>1</v>
      </c>
      <c r="AG400" s="23">
        <f t="shared" si="6"/>
        <v>1</v>
      </c>
      <c r="AH400" s="9"/>
      <c r="AI400" s="9"/>
    </row>
    <row r="401" ht="15.75" customHeight="1">
      <c r="A401" s="9"/>
      <c r="B401" s="9"/>
      <c r="C401" s="9"/>
      <c r="D401" s="9"/>
      <c r="E401" s="5" t="s">
        <v>538</v>
      </c>
      <c r="F401" s="6">
        <v>84000.0</v>
      </c>
      <c r="G401" s="6">
        <v>54596.0</v>
      </c>
      <c r="H401" s="5" t="s">
        <v>20</v>
      </c>
      <c r="I401" s="5" t="s">
        <v>21</v>
      </c>
      <c r="J401" s="5">
        <v>5.65962E8</v>
      </c>
      <c r="K401" s="5">
        <v>9726126.0</v>
      </c>
      <c r="L401" s="5" t="s">
        <v>183</v>
      </c>
      <c r="M401" s="38">
        <v>46154.166666666664</v>
      </c>
      <c r="N401" s="5" t="b">
        <v>1</v>
      </c>
      <c r="O401" s="7"/>
      <c r="P401" s="23"/>
      <c r="Q401" s="9"/>
      <c r="R401" s="9"/>
      <c r="S401" s="9"/>
      <c r="T401" s="9"/>
      <c r="U401" s="9"/>
      <c r="V401" s="9"/>
      <c r="W401" s="9"/>
      <c r="X401" s="9"/>
      <c r="Y401" s="9"/>
      <c r="Z401" s="23"/>
      <c r="AA401" s="9"/>
      <c r="AB401" s="9"/>
      <c r="AC401" s="9"/>
      <c r="AD401" s="25"/>
      <c r="AE401" s="25" t="str">
        <f t="shared" si="5"/>
        <v/>
      </c>
      <c r="AF401" s="23">
        <f t="shared" si="8"/>
        <v>1</v>
      </c>
      <c r="AG401" s="23">
        <f t="shared" si="6"/>
        <v>1</v>
      </c>
      <c r="AH401" s="9"/>
      <c r="AI401" s="9"/>
    </row>
    <row r="402" ht="15.75" customHeight="1">
      <c r="A402" s="9"/>
      <c r="B402" s="9"/>
      <c r="C402" s="9"/>
      <c r="D402" s="9"/>
      <c r="E402" s="5" t="s">
        <v>539</v>
      </c>
      <c r="F402" s="6">
        <v>80874.0</v>
      </c>
      <c r="G402" s="6">
        <v>53194.0</v>
      </c>
      <c r="H402" s="5" t="s">
        <v>26</v>
      </c>
      <c r="I402" s="5" t="s">
        <v>21</v>
      </c>
      <c r="J402" s="5">
        <v>6.03913E8</v>
      </c>
      <c r="K402" s="5">
        <v>9282106.0</v>
      </c>
      <c r="L402" s="5" t="s">
        <v>160</v>
      </c>
      <c r="M402" s="35">
        <v>46132.75</v>
      </c>
      <c r="N402" s="5" t="b">
        <v>0</v>
      </c>
      <c r="O402" s="7"/>
      <c r="P402" s="23"/>
      <c r="Q402" s="9"/>
      <c r="R402" s="9"/>
      <c r="S402" s="9"/>
      <c r="T402" s="9"/>
      <c r="U402" s="9"/>
      <c r="V402" s="9"/>
      <c r="W402" s="9"/>
      <c r="X402" s="9"/>
      <c r="Y402" s="9"/>
      <c r="Z402" s="23"/>
      <c r="AA402" s="9"/>
      <c r="AB402" s="9"/>
      <c r="AC402" s="9"/>
      <c r="AD402" s="25"/>
      <c r="AE402" s="25" t="str">
        <f t="shared" si="5"/>
        <v/>
      </c>
      <c r="AF402" s="23">
        <f t="shared" si="8"/>
        <v>1</v>
      </c>
      <c r="AG402" s="23" t="str">
        <f t="shared" si="6"/>
        <v/>
      </c>
      <c r="AH402" s="9"/>
      <c r="AI402" s="9"/>
    </row>
    <row r="403" ht="15.75" customHeight="1">
      <c r="A403" s="9"/>
      <c r="B403" s="9"/>
      <c r="C403" s="9"/>
      <c r="D403" s="9"/>
      <c r="E403" s="5" t="s">
        <v>540</v>
      </c>
      <c r="F403" s="6">
        <v>86000.0</v>
      </c>
      <c r="G403" s="6">
        <v>50912.0</v>
      </c>
      <c r="H403" s="5" t="s">
        <v>20</v>
      </c>
      <c r="I403" s="5" t="s">
        <v>21</v>
      </c>
      <c r="J403" s="5">
        <v>6.36023912E8</v>
      </c>
      <c r="K403" s="5">
        <v>9958274.0</v>
      </c>
      <c r="L403" s="5" t="s">
        <v>190</v>
      </c>
      <c r="M403" s="38">
        <v>46146.083333333336</v>
      </c>
      <c r="N403" s="5" t="b">
        <v>1</v>
      </c>
      <c r="O403" s="7"/>
      <c r="P403" s="23"/>
      <c r="Q403" s="9"/>
      <c r="R403" s="9"/>
      <c r="S403" s="9"/>
      <c r="T403" s="9"/>
      <c r="U403" s="9"/>
      <c r="V403" s="9"/>
      <c r="W403" s="9"/>
      <c r="X403" s="9"/>
      <c r="Y403" s="9"/>
      <c r="Z403" s="23"/>
      <c r="AA403" s="9"/>
      <c r="AB403" s="9"/>
      <c r="AC403" s="9"/>
      <c r="AD403" s="25"/>
      <c r="AE403" s="25" t="str">
        <f t="shared" si="5"/>
        <v/>
      </c>
      <c r="AF403" s="23">
        <f t="shared" si="8"/>
        <v>1</v>
      </c>
      <c r="AG403" s="23">
        <f t="shared" si="6"/>
        <v>1</v>
      </c>
      <c r="AH403" s="9"/>
      <c r="AI403" s="9"/>
    </row>
    <row r="404" ht="15.75" customHeight="1">
      <c r="A404" s="9"/>
      <c r="B404" s="9"/>
      <c r="C404" s="9"/>
      <c r="D404" s="9"/>
      <c r="E404" s="5" t="s">
        <v>541</v>
      </c>
      <c r="F404" s="6">
        <v>84333.0</v>
      </c>
      <c r="G404" s="6">
        <v>54826.0</v>
      </c>
      <c r="H404" s="5" t="s">
        <v>20</v>
      </c>
      <c r="I404" s="5" t="s">
        <v>21</v>
      </c>
      <c r="J404" s="5">
        <v>3.52004527E8</v>
      </c>
      <c r="K404" s="5">
        <v>9208227.0</v>
      </c>
      <c r="L404" s="5" t="s">
        <v>67</v>
      </c>
      <c r="M404" s="35">
        <v>46139.333333333336</v>
      </c>
      <c r="N404" s="5" t="b">
        <v>1</v>
      </c>
      <c r="O404" s="7"/>
      <c r="P404" s="23"/>
      <c r="Q404" s="9"/>
      <c r="R404" s="9"/>
      <c r="S404" s="9"/>
      <c r="T404" s="9"/>
      <c r="U404" s="9"/>
      <c r="V404" s="9"/>
      <c r="W404" s="9"/>
      <c r="X404" s="9"/>
      <c r="Y404" s="9"/>
      <c r="Z404" s="23"/>
      <c r="AA404" s="9"/>
      <c r="AB404" s="9"/>
      <c r="AC404" s="9"/>
      <c r="AD404" s="25"/>
      <c r="AE404" s="25" t="str">
        <f t="shared" si="5"/>
        <v/>
      </c>
      <c r="AF404" s="23">
        <f t="shared" si="8"/>
        <v>1</v>
      </c>
      <c r="AG404" s="23" t="str">
        <f t="shared" si="6"/>
        <v/>
      </c>
      <c r="AH404" s="9"/>
      <c r="AI404" s="9"/>
    </row>
    <row r="405" ht="15.75" customHeight="1">
      <c r="A405" s="9"/>
      <c r="B405" s="9"/>
      <c r="C405" s="9"/>
      <c r="D405" s="9"/>
      <c r="E405" s="5" t="s">
        <v>542</v>
      </c>
      <c r="F405" s="6">
        <v>82200.0</v>
      </c>
      <c r="G405" s="6">
        <v>54243.0</v>
      </c>
      <c r="H405" s="5" t="s">
        <v>26</v>
      </c>
      <c r="I405" s="5" t="s">
        <v>21</v>
      </c>
      <c r="J405" s="5">
        <v>4.31571E8</v>
      </c>
      <c r="K405" s="5">
        <v>9723681.0</v>
      </c>
      <c r="L405" s="5" t="s">
        <v>38</v>
      </c>
      <c r="M405" s="38">
        <v>46163.354166666664</v>
      </c>
      <c r="N405" s="5" t="b">
        <v>0</v>
      </c>
      <c r="O405" s="7"/>
      <c r="P405" s="23"/>
      <c r="Q405" s="9"/>
      <c r="R405" s="9"/>
      <c r="S405" s="9"/>
      <c r="T405" s="9"/>
      <c r="U405" s="9"/>
      <c r="V405" s="9"/>
      <c r="W405" s="9"/>
      <c r="X405" s="9"/>
      <c r="Y405" s="9"/>
      <c r="Z405" s="23"/>
      <c r="AA405" s="9"/>
      <c r="AB405" s="9"/>
      <c r="AC405" s="9"/>
      <c r="AD405" s="25"/>
      <c r="AE405" s="25" t="str">
        <f t="shared" si="5"/>
        <v/>
      </c>
      <c r="AF405" s="23">
        <f t="shared" si="8"/>
        <v>1</v>
      </c>
      <c r="AG405" s="23">
        <f t="shared" si="6"/>
        <v>1</v>
      </c>
      <c r="AH405" s="9"/>
      <c r="AI405" s="9"/>
    </row>
    <row r="406" ht="15.75" customHeight="1">
      <c r="A406" s="9"/>
      <c r="B406" s="9"/>
      <c r="C406" s="9"/>
      <c r="D406" s="9"/>
      <c r="E406" s="5" t="s">
        <v>543</v>
      </c>
      <c r="F406" s="6">
        <v>78566.0</v>
      </c>
      <c r="G406" s="6">
        <v>52991.0</v>
      </c>
      <c r="H406" s="5" t="s">
        <v>20</v>
      </c>
      <c r="I406" s="5" t="s">
        <v>21</v>
      </c>
      <c r="J406" s="5">
        <v>3.70163E8</v>
      </c>
      <c r="K406" s="5">
        <v>9369461.0</v>
      </c>
      <c r="L406" s="5" t="s">
        <v>418</v>
      </c>
      <c r="M406" s="35">
        <v>46157.583333333336</v>
      </c>
      <c r="N406" s="5" t="b">
        <v>1</v>
      </c>
      <c r="O406" s="7"/>
      <c r="P406" s="23"/>
      <c r="Q406" s="9"/>
      <c r="R406" s="9"/>
      <c r="S406" s="9"/>
      <c r="T406" s="9"/>
      <c r="U406" s="9"/>
      <c r="V406" s="9"/>
      <c r="W406" s="9"/>
      <c r="X406" s="9"/>
      <c r="Y406" s="9"/>
      <c r="Z406" s="9"/>
      <c r="AA406" s="9"/>
      <c r="AB406" s="9"/>
      <c r="AC406" s="9"/>
      <c r="AD406" s="25"/>
      <c r="AE406" s="25" t="str">
        <f t="shared" si="5"/>
        <v/>
      </c>
      <c r="AF406" s="23">
        <f t="shared" si="8"/>
        <v>1</v>
      </c>
      <c r="AG406" s="23">
        <f t="shared" si="6"/>
        <v>1</v>
      </c>
      <c r="AH406" s="9"/>
      <c r="AI406" s="9"/>
    </row>
    <row r="407" ht="15.75" customHeight="1">
      <c r="A407" s="9"/>
      <c r="B407" s="9"/>
      <c r="C407" s="9"/>
      <c r="D407" s="9"/>
      <c r="E407" s="5" t="s">
        <v>544</v>
      </c>
      <c r="F407" s="6">
        <v>77340.0</v>
      </c>
      <c r="G407" s="6">
        <v>49999.0</v>
      </c>
      <c r="H407" s="5" t="s">
        <v>20</v>
      </c>
      <c r="I407" s="5" t="s">
        <v>21</v>
      </c>
      <c r="J407" s="5">
        <v>4.31653E8</v>
      </c>
      <c r="K407" s="5">
        <v>9287948.0</v>
      </c>
      <c r="L407" s="5" t="s">
        <v>545</v>
      </c>
      <c r="M407" s="38">
        <v>46154.479166666664</v>
      </c>
      <c r="N407" s="5" t="b">
        <v>1</v>
      </c>
      <c r="O407" s="7"/>
      <c r="P407" s="23"/>
      <c r="Q407" s="9"/>
      <c r="R407" s="9"/>
      <c r="S407" s="9"/>
      <c r="T407" s="9"/>
      <c r="U407" s="9"/>
      <c r="V407" s="9"/>
      <c r="W407" s="9"/>
      <c r="X407" s="9"/>
      <c r="Y407" s="9"/>
      <c r="Z407" s="9"/>
      <c r="AA407" s="9"/>
      <c r="AB407" s="9"/>
      <c r="AC407" s="9"/>
      <c r="AD407" s="25"/>
      <c r="AE407" s="25" t="str">
        <f t="shared" si="5"/>
        <v/>
      </c>
      <c r="AF407" s="23">
        <f t="shared" si="8"/>
        <v>1</v>
      </c>
      <c r="AG407" s="23">
        <f t="shared" si="6"/>
        <v>1</v>
      </c>
      <c r="AH407" s="9"/>
      <c r="AI407" s="9"/>
    </row>
    <row r="408" ht="15.75" customHeight="1">
      <c r="A408" s="9"/>
      <c r="B408" s="9"/>
      <c r="C408" s="9"/>
      <c r="D408" s="9"/>
      <c r="E408" s="5" t="s">
        <v>546</v>
      </c>
      <c r="F408" s="6">
        <v>77297.0</v>
      </c>
      <c r="G408" s="6">
        <v>49999.0</v>
      </c>
      <c r="H408" s="5" t="s">
        <v>66</v>
      </c>
      <c r="I408" s="5" t="s">
        <v>21</v>
      </c>
      <c r="J408" s="5">
        <v>3.5695E8</v>
      </c>
      <c r="K408" s="5">
        <v>9206384.0</v>
      </c>
      <c r="L408" s="5" t="s">
        <v>547</v>
      </c>
      <c r="M408" s="38">
        <v>46132.486805555556</v>
      </c>
      <c r="N408" s="5" t="b">
        <v>1</v>
      </c>
      <c r="O408" s="7"/>
      <c r="P408" s="23"/>
      <c r="Q408" s="9"/>
      <c r="R408" s="9"/>
      <c r="S408" s="9"/>
      <c r="T408" s="9"/>
      <c r="U408" s="9"/>
      <c r="V408" s="9"/>
      <c r="W408" s="9"/>
      <c r="X408" s="9"/>
      <c r="Y408" s="9"/>
      <c r="Z408" s="9"/>
      <c r="AA408" s="9"/>
      <c r="AB408" s="9"/>
      <c r="AC408" s="9"/>
      <c r="AD408" s="25"/>
      <c r="AE408" s="25" t="str">
        <f t="shared" si="5"/>
        <v/>
      </c>
      <c r="AF408" s="23">
        <f t="shared" si="8"/>
        <v>1</v>
      </c>
      <c r="AG408" s="23">
        <f t="shared" si="6"/>
        <v>1</v>
      </c>
      <c r="AH408" s="9"/>
      <c r="AI408" s="9"/>
    </row>
    <row r="409" ht="15.75" customHeight="1">
      <c r="A409" s="9"/>
      <c r="B409" s="9"/>
      <c r="C409" s="9"/>
      <c r="D409" s="9"/>
      <c r="E409" s="5" t="s">
        <v>548</v>
      </c>
      <c r="F409" s="6">
        <v>83332.0</v>
      </c>
      <c r="G409" s="6">
        <v>55154.0</v>
      </c>
      <c r="H409" s="5" t="s">
        <v>26</v>
      </c>
      <c r="I409" s="5" t="s">
        <v>21</v>
      </c>
      <c r="J409" s="5">
        <v>4.3123E8</v>
      </c>
      <c r="K409" s="5">
        <v>9607758.0</v>
      </c>
      <c r="L409" s="5" t="s">
        <v>134</v>
      </c>
      <c r="M409" s="35">
        <v>46152.0</v>
      </c>
      <c r="N409" s="5" t="b">
        <v>0</v>
      </c>
      <c r="O409" s="7"/>
      <c r="P409" s="23"/>
      <c r="Q409" s="9"/>
      <c r="R409" s="9"/>
      <c r="S409" s="9"/>
      <c r="T409" s="9"/>
      <c r="U409" s="9"/>
      <c r="V409" s="9"/>
      <c r="W409" s="9"/>
      <c r="X409" s="9"/>
      <c r="Y409" s="9"/>
      <c r="Z409" s="9"/>
      <c r="AA409" s="9"/>
      <c r="AB409" s="9"/>
      <c r="AC409" s="9"/>
      <c r="AD409" s="25"/>
      <c r="AE409" s="25" t="str">
        <f t="shared" si="5"/>
        <v/>
      </c>
      <c r="AF409" s="23">
        <f t="shared" si="8"/>
        <v>1</v>
      </c>
      <c r="AG409" s="23">
        <f t="shared" si="6"/>
        <v>1</v>
      </c>
      <c r="AH409" s="9"/>
      <c r="AI409" s="9"/>
    </row>
    <row r="410" ht="15.75" customHeight="1">
      <c r="A410" s="9"/>
      <c r="B410" s="9"/>
      <c r="C410" s="9"/>
      <c r="D410" s="9"/>
      <c r="E410" s="5" t="s">
        <v>549</v>
      </c>
      <c r="F410" s="6">
        <v>84000.0</v>
      </c>
      <c r="G410" s="6">
        <v>54505.0</v>
      </c>
      <c r="H410" s="5" t="s">
        <v>20</v>
      </c>
      <c r="I410" s="5" t="s">
        <v>21</v>
      </c>
      <c r="J410" s="5">
        <v>5.66013E8</v>
      </c>
      <c r="K410" s="5">
        <v>9734513.0</v>
      </c>
      <c r="L410" s="5" t="s">
        <v>232</v>
      </c>
      <c r="M410" s="35">
        <v>46161.24513888889</v>
      </c>
      <c r="N410" s="5" t="b">
        <v>1</v>
      </c>
      <c r="O410" s="7"/>
      <c r="P410" s="23"/>
      <c r="Q410" s="9"/>
      <c r="R410" s="9"/>
      <c r="S410" s="9"/>
      <c r="T410" s="9"/>
      <c r="U410" s="9"/>
      <c r="V410" s="9"/>
      <c r="W410" s="9"/>
      <c r="X410" s="9"/>
      <c r="Y410" s="9"/>
      <c r="Z410" s="9"/>
      <c r="AA410" s="9"/>
      <c r="AB410" s="9"/>
      <c r="AC410" s="9"/>
      <c r="AD410" s="25"/>
      <c r="AE410" s="25" t="str">
        <f t="shared" si="5"/>
        <v/>
      </c>
      <c r="AF410" s="23">
        <f t="shared" si="8"/>
        <v>1</v>
      </c>
      <c r="AG410" s="23">
        <f t="shared" si="6"/>
        <v>1</v>
      </c>
      <c r="AH410" s="9"/>
      <c r="AI410" s="9"/>
    </row>
    <row r="411" ht="15.75" customHeight="1">
      <c r="A411" s="9"/>
      <c r="B411" s="9"/>
      <c r="C411" s="9"/>
      <c r="D411" s="9"/>
      <c r="E411" s="5" t="s">
        <v>550</v>
      </c>
      <c r="F411" s="6">
        <v>80186.0</v>
      </c>
      <c r="G411" s="6">
        <v>53067.0</v>
      </c>
      <c r="H411" s="5" t="s">
        <v>20</v>
      </c>
      <c r="I411" s="5" t="s">
        <v>21</v>
      </c>
      <c r="J411" s="5">
        <v>6.36020799E8</v>
      </c>
      <c r="K411" s="5">
        <v>9405887.0</v>
      </c>
      <c r="L411" s="5" t="s">
        <v>551</v>
      </c>
      <c r="M411" s="38">
        <v>46132.0</v>
      </c>
      <c r="N411" s="5" t="b">
        <v>1</v>
      </c>
      <c r="O411" s="7"/>
      <c r="P411" s="23"/>
      <c r="Q411" s="9"/>
      <c r="R411" s="9"/>
      <c r="S411" s="9"/>
      <c r="T411" s="9"/>
      <c r="U411" s="9"/>
      <c r="V411" s="9"/>
      <c r="W411" s="9"/>
      <c r="X411" s="9"/>
      <c r="Y411" s="9"/>
      <c r="Z411" s="9"/>
      <c r="AA411" s="9"/>
      <c r="AB411" s="9"/>
      <c r="AC411" s="9"/>
      <c r="AD411" s="25"/>
      <c r="AE411" s="25" t="str">
        <f t="shared" si="5"/>
        <v/>
      </c>
      <c r="AF411" s="23">
        <f t="shared" si="8"/>
        <v>1</v>
      </c>
      <c r="AG411" s="23">
        <f t="shared" si="6"/>
        <v>1</v>
      </c>
      <c r="AH411" s="9"/>
      <c r="AI411" s="9"/>
    </row>
    <row r="412" ht="15.75" customHeight="1">
      <c r="A412" s="9"/>
      <c r="B412" s="9"/>
      <c r="C412" s="9"/>
      <c r="D412" s="9"/>
      <c r="E412" s="5" t="s">
        <v>552</v>
      </c>
      <c r="F412" s="6">
        <v>86000.0</v>
      </c>
      <c r="G412" s="6">
        <v>50912.0</v>
      </c>
      <c r="H412" s="5" t="s">
        <v>20</v>
      </c>
      <c r="I412" s="5" t="s">
        <v>21</v>
      </c>
      <c r="J412" s="5">
        <v>5.632996E8</v>
      </c>
      <c r="K412" s="5">
        <v>9958262.0</v>
      </c>
      <c r="L412" s="5" t="s">
        <v>101</v>
      </c>
      <c r="M412" s="35">
        <v>46133.958333333336</v>
      </c>
      <c r="N412" s="5" t="b">
        <v>1</v>
      </c>
      <c r="O412" s="7"/>
      <c r="P412" s="23"/>
      <c r="Q412" s="9"/>
      <c r="R412" s="9"/>
      <c r="S412" s="9"/>
      <c r="T412" s="9"/>
      <c r="U412" s="9"/>
      <c r="V412" s="9"/>
      <c r="W412" s="9"/>
      <c r="X412" s="9"/>
      <c r="Y412" s="9"/>
      <c r="Z412" s="9"/>
      <c r="AA412" s="9"/>
      <c r="AB412" s="9"/>
      <c r="AC412" s="9"/>
      <c r="AD412" s="25"/>
      <c r="AE412" s="25" t="str">
        <f t="shared" si="5"/>
        <v/>
      </c>
      <c r="AF412" s="23">
        <f t="shared" si="8"/>
        <v>1</v>
      </c>
      <c r="AG412" s="23">
        <f t="shared" si="6"/>
        <v>1</v>
      </c>
      <c r="AH412" s="9"/>
      <c r="AI412" s="9"/>
    </row>
    <row r="413" ht="15.75" customHeight="1">
      <c r="A413" s="9"/>
      <c r="B413" s="9"/>
      <c r="C413" s="9"/>
      <c r="D413" s="9"/>
      <c r="E413" s="5" t="s">
        <v>553</v>
      </c>
      <c r="F413" s="6">
        <v>78614.0</v>
      </c>
      <c r="G413" s="6">
        <v>53208.0</v>
      </c>
      <c r="H413" s="5" t="s">
        <v>26</v>
      </c>
      <c r="I413" s="5" t="s">
        <v>21</v>
      </c>
      <c r="J413" s="5">
        <v>3.52002154E8</v>
      </c>
      <c r="K413" s="5">
        <v>9290270.0</v>
      </c>
      <c r="L413" s="17"/>
      <c r="M413" s="18"/>
      <c r="N413" s="5" t="b">
        <v>0</v>
      </c>
      <c r="O413" s="7"/>
      <c r="P413" s="23"/>
      <c r="Q413" s="9"/>
      <c r="R413" s="9"/>
      <c r="S413" s="9"/>
      <c r="T413" s="9"/>
      <c r="U413" s="9"/>
      <c r="V413" s="9"/>
      <c r="W413" s="9"/>
      <c r="X413" s="9"/>
      <c r="Y413" s="9"/>
      <c r="Z413" s="9"/>
      <c r="AA413" s="9"/>
      <c r="AB413" s="9"/>
      <c r="AC413" s="9"/>
      <c r="AD413" s="25"/>
      <c r="AE413" s="25" t="str">
        <f t="shared" si="5"/>
        <v/>
      </c>
      <c r="AF413" s="23">
        <f t="shared" si="8"/>
        <v>1</v>
      </c>
      <c r="AG413" s="23" t="str">
        <f t="shared" si="6"/>
        <v/>
      </c>
      <c r="AH413" s="9"/>
      <c r="AI413" s="9"/>
    </row>
    <row r="414" ht="15.75" customHeight="1">
      <c r="A414" s="9"/>
      <c r="B414" s="9"/>
      <c r="C414" s="9"/>
      <c r="D414" s="9"/>
      <c r="E414" s="5" t="s">
        <v>554</v>
      </c>
      <c r="F414" s="6">
        <v>82000.0</v>
      </c>
      <c r="G414" s="6">
        <v>54901.0</v>
      </c>
      <c r="H414" s="5" t="s">
        <v>26</v>
      </c>
      <c r="I414" s="5" t="s">
        <v>21</v>
      </c>
      <c r="J414" s="5">
        <v>3.52005658E8</v>
      </c>
      <c r="K414" s="5">
        <v>9625152.0</v>
      </c>
      <c r="L414" s="5" t="s">
        <v>555</v>
      </c>
      <c r="M414" s="35">
        <v>46134.583333333336</v>
      </c>
      <c r="N414" s="5" t="b">
        <v>0</v>
      </c>
      <c r="O414" s="7"/>
      <c r="P414" s="23"/>
      <c r="Q414" s="9"/>
      <c r="R414" s="9"/>
      <c r="S414" s="9"/>
      <c r="T414" s="9"/>
      <c r="U414" s="9"/>
      <c r="V414" s="9"/>
      <c r="W414" s="9"/>
      <c r="X414" s="9"/>
      <c r="Y414" s="9"/>
      <c r="Z414" s="9"/>
      <c r="AA414" s="9"/>
      <c r="AB414" s="9"/>
      <c r="AC414" s="9"/>
      <c r="AD414" s="25"/>
      <c r="AE414" s="25" t="str">
        <f t="shared" si="5"/>
        <v/>
      </c>
      <c r="AF414" s="23">
        <f t="shared" si="8"/>
        <v>1</v>
      </c>
      <c r="AG414" s="23">
        <f t="shared" si="6"/>
        <v>1</v>
      </c>
      <c r="AH414" s="9"/>
      <c r="AI414" s="9"/>
    </row>
    <row r="415" ht="15.75" customHeight="1">
      <c r="A415" s="9"/>
      <c r="B415" s="9"/>
      <c r="C415" s="9"/>
      <c r="D415" s="9"/>
      <c r="E415" s="5" t="s">
        <v>556</v>
      </c>
      <c r="F415" s="6">
        <v>76882.0</v>
      </c>
      <c r="G415" s="6">
        <v>49708.0</v>
      </c>
      <c r="H415" s="5" t="s">
        <v>26</v>
      </c>
      <c r="I415" s="5" t="s">
        <v>21</v>
      </c>
      <c r="J415" s="5">
        <v>3.57862E8</v>
      </c>
      <c r="K415" s="5">
        <v>9127033.0</v>
      </c>
      <c r="L415" s="5" t="s">
        <v>160</v>
      </c>
      <c r="M415" s="35">
        <v>46132.75</v>
      </c>
      <c r="N415" s="5" t="b">
        <v>0</v>
      </c>
      <c r="O415" s="7"/>
      <c r="P415" s="23"/>
      <c r="Q415" s="9"/>
      <c r="R415" s="9"/>
      <c r="S415" s="9"/>
      <c r="T415" s="9"/>
      <c r="U415" s="9"/>
      <c r="V415" s="9"/>
      <c r="W415" s="9"/>
      <c r="X415" s="9"/>
      <c r="Y415" s="9"/>
      <c r="Z415" s="9"/>
      <c r="AA415" s="9"/>
      <c r="AB415" s="9"/>
      <c r="AC415" s="9"/>
      <c r="AD415" s="25"/>
      <c r="AE415" s="25" t="str">
        <f t="shared" si="5"/>
        <v/>
      </c>
      <c r="AF415" s="23">
        <f t="shared" si="8"/>
        <v>1</v>
      </c>
      <c r="AG415" s="23" t="str">
        <f t="shared" si="6"/>
        <v/>
      </c>
      <c r="AH415" s="9"/>
      <c r="AI415" s="9"/>
    </row>
    <row r="416" ht="15.75" customHeight="1">
      <c r="A416" s="9"/>
      <c r="B416" s="9"/>
      <c r="C416" s="9"/>
      <c r="D416" s="9"/>
      <c r="E416" s="5" t="s">
        <v>557</v>
      </c>
      <c r="F416" s="6">
        <v>93000.0</v>
      </c>
      <c r="G416" s="6">
        <v>58032.0</v>
      </c>
      <c r="H416" s="5" t="s">
        <v>26</v>
      </c>
      <c r="I416" s="5" t="s">
        <v>21</v>
      </c>
      <c r="J416" s="5">
        <v>3.52003638E8</v>
      </c>
      <c r="K416" s="5">
        <v>9969821.0</v>
      </c>
      <c r="L416" s="17"/>
      <c r="M416" s="18"/>
      <c r="N416" s="5" t="b">
        <v>0</v>
      </c>
      <c r="O416" s="7"/>
      <c r="P416" s="23"/>
      <c r="Q416" s="9"/>
      <c r="R416" s="9"/>
      <c r="S416" s="9"/>
      <c r="T416" s="9"/>
      <c r="U416" s="9"/>
      <c r="V416" s="9"/>
      <c r="W416" s="9"/>
      <c r="X416" s="9"/>
      <c r="Y416" s="9"/>
      <c r="Z416" s="9"/>
      <c r="AA416" s="9"/>
      <c r="AB416" s="9"/>
      <c r="AC416" s="9"/>
      <c r="AD416" s="25"/>
      <c r="AE416" s="25" t="str">
        <f t="shared" si="5"/>
        <v/>
      </c>
      <c r="AF416" s="23">
        <f t="shared" si="8"/>
        <v>1</v>
      </c>
      <c r="AG416" s="23">
        <f t="shared" si="6"/>
        <v>1</v>
      </c>
      <c r="AH416" s="9"/>
      <c r="AI416" s="9"/>
    </row>
    <row r="417" ht="15.75" customHeight="1">
      <c r="A417" s="9"/>
      <c r="B417" s="9"/>
      <c r="C417" s="9"/>
      <c r="D417" s="9"/>
      <c r="E417" s="5" t="s">
        <v>558</v>
      </c>
      <c r="F417" s="6">
        <v>84000.0</v>
      </c>
      <c r="G417" s="6">
        <v>54669.0</v>
      </c>
      <c r="H417" s="5" t="s">
        <v>26</v>
      </c>
      <c r="I417" s="5" t="s">
        <v>21</v>
      </c>
      <c r="J417" s="5">
        <v>2.59127E8</v>
      </c>
      <c r="K417" s="5">
        <v>9730139.0</v>
      </c>
      <c r="L417" s="5" t="s">
        <v>127</v>
      </c>
      <c r="M417" s="38">
        <v>46132.25</v>
      </c>
      <c r="N417" s="5" t="b">
        <v>0</v>
      </c>
      <c r="O417" s="7"/>
      <c r="P417" s="23"/>
      <c r="Q417" s="9"/>
      <c r="R417" s="9"/>
      <c r="S417" s="9"/>
      <c r="T417" s="9"/>
      <c r="U417" s="9"/>
      <c r="V417" s="9"/>
      <c r="W417" s="9"/>
      <c r="X417" s="9"/>
      <c r="Y417" s="9"/>
      <c r="Z417" s="9"/>
      <c r="AA417" s="9"/>
      <c r="AB417" s="9"/>
      <c r="AC417" s="9"/>
      <c r="AD417" s="25"/>
      <c r="AE417" s="25" t="str">
        <f t="shared" si="5"/>
        <v/>
      </c>
      <c r="AF417" s="23">
        <f t="shared" si="8"/>
        <v>1</v>
      </c>
      <c r="AG417" s="23">
        <f t="shared" si="6"/>
        <v>1</v>
      </c>
      <c r="AH417" s="9"/>
      <c r="AI417" s="9"/>
    </row>
    <row r="418" ht="15.75" customHeight="1">
      <c r="A418" s="9"/>
      <c r="B418" s="9"/>
      <c r="C418" s="9"/>
      <c r="D418" s="9"/>
      <c r="E418" s="5" t="s">
        <v>559</v>
      </c>
      <c r="F418" s="6">
        <v>84000.0</v>
      </c>
      <c r="G418" s="6">
        <v>54593.0</v>
      </c>
      <c r="H418" s="5" t="s">
        <v>26</v>
      </c>
      <c r="I418" s="5" t="s">
        <v>21</v>
      </c>
      <c r="J418" s="5">
        <v>2.59156E8</v>
      </c>
      <c r="K418" s="5">
        <v>9762118.0</v>
      </c>
      <c r="L418" s="5" t="s">
        <v>52</v>
      </c>
      <c r="M418" s="38">
        <v>46132.041666666664</v>
      </c>
      <c r="N418" s="5" t="b">
        <v>0</v>
      </c>
      <c r="O418" s="7"/>
      <c r="P418" s="23"/>
      <c r="Q418" s="9"/>
      <c r="R418" s="9"/>
      <c r="S418" s="9"/>
      <c r="T418" s="9"/>
      <c r="U418" s="9"/>
      <c r="V418" s="9"/>
      <c r="W418" s="9"/>
      <c r="X418" s="9"/>
      <c r="Y418" s="9"/>
      <c r="Z418" s="9"/>
      <c r="AA418" s="9"/>
      <c r="AB418" s="9"/>
      <c r="AC418" s="9"/>
      <c r="AD418" s="25"/>
      <c r="AE418" s="25" t="str">
        <f t="shared" si="5"/>
        <v/>
      </c>
      <c r="AF418" s="23">
        <f t="shared" si="8"/>
        <v>1</v>
      </c>
      <c r="AG418" s="23">
        <f t="shared" si="6"/>
        <v>1</v>
      </c>
      <c r="AH418" s="9"/>
      <c r="AI418" s="9"/>
    </row>
    <row r="419" ht="15.75" customHeight="1">
      <c r="A419" s="9"/>
      <c r="B419" s="9"/>
      <c r="C419" s="9"/>
      <c r="D419" s="9"/>
      <c r="E419" s="5" t="s">
        <v>560</v>
      </c>
      <c r="F419" s="6">
        <v>89348.0</v>
      </c>
      <c r="G419" s="6">
        <v>53940.0</v>
      </c>
      <c r="H419" s="5" t="s">
        <v>26</v>
      </c>
      <c r="I419" s="5" t="s">
        <v>21</v>
      </c>
      <c r="J419" s="5">
        <v>5.38010118E8</v>
      </c>
      <c r="K419" s="5">
        <v>9940978.0</v>
      </c>
      <c r="L419" s="5" t="s">
        <v>561</v>
      </c>
      <c r="M419" s="38">
        <v>46135.5</v>
      </c>
      <c r="N419" s="5" t="b">
        <v>0</v>
      </c>
      <c r="O419" s="7"/>
      <c r="P419" s="23"/>
      <c r="Q419" s="9"/>
      <c r="R419" s="9"/>
      <c r="S419" s="9"/>
      <c r="T419" s="9"/>
      <c r="U419" s="9"/>
      <c r="V419" s="9"/>
      <c r="W419" s="9"/>
      <c r="X419" s="9"/>
      <c r="Y419" s="9"/>
      <c r="Z419" s="9"/>
      <c r="AA419" s="9"/>
      <c r="AB419" s="9"/>
      <c r="AC419" s="9"/>
      <c r="AD419" s="25"/>
      <c r="AE419" s="25" t="str">
        <f t="shared" si="5"/>
        <v/>
      </c>
      <c r="AF419" s="23">
        <f t="shared" si="8"/>
        <v>1</v>
      </c>
      <c r="AG419" s="23">
        <f t="shared" si="6"/>
        <v>1</v>
      </c>
      <c r="AH419" s="9"/>
      <c r="AI419" s="9"/>
    </row>
    <row r="420" ht="15.75" customHeight="1">
      <c r="A420" s="9"/>
      <c r="B420" s="9"/>
      <c r="C420" s="9"/>
      <c r="D420" s="9"/>
      <c r="E420" s="5" t="s">
        <v>562</v>
      </c>
      <c r="F420" s="6">
        <v>75382.0</v>
      </c>
      <c r="G420" s="6">
        <v>49618.0</v>
      </c>
      <c r="H420" s="5" t="s">
        <v>26</v>
      </c>
      <c r="I420" s="5" t="s">
        <v>21</v>
      </c>
      <c r="J420" s="5">
        <v>6.13467106E8</v>
      </c>
      <c r="K420" s="5">
        <v>8912558.0</v>
      </c>
      <c r="L420" s="5" t="s">
        <v>563</v>
      </c>
      <c r="M420" s="38">
        <v>46132.375</v>
      </c>
      <c r="N420" s="5" t="b">
        <v>0</v>
      </c>
      <c r="O420" s="7"/>
      <c r="P420" s="23"/>
      <c r="Q420" s="9"/>
      <c r="R420" s="9"/>
      <c r="S420" s="9"/>
      <c r="T420" s="9"/>
      <c r="U420" s="9"/>
      <c r="V420" s="9"/>
      <c r="W420" s="9"/>
      <c r="X420" s="9"/>
      <c r="Y420" s="9"/>
      <c r="Z420" s="9"/>
      <c r="AA420" s="9"/>
      <c r="AB420" s="9"/>
      <c r="AC420" s="9"/>
      <c r="AD420" s="25"/>
      <c r="AE420" s="25" t="str">
        <f t="shared" si="5"/>
        <v/>
      </c>
      <c r="AF420" s="23">
        <f t="shared" si="8"/>
        <v>1</v>
      </c>
      <c r="AG420" s="23" t="str">
        <f t="shared" si="6"/>
        <v/>
      </c>
      <c r="AH420" s="9"/>
      <c r="AI420" s="9"/>
    </row>
    <row r="421" ht="15.75" customHeight="1">
      <c r="A421" s="9"/>
      <c r="B421" s="9"/>
      <c r="C421" s="9"/>
      <c r="D421" s="9"/>
      <c r="E421" s="5" t="s">
        <v>564</v>
      </c>
      <c r="F421" s="6">
        <v>80771.0</v>
      </c>
      <c r="G421" s="6">
        <v>54538.0</v>
      </c>
      <c r="H421" s="5" t="s">
        <v>20</v>
      </c>
      <c r="I421" s="5" t="s">
        <v>21</v>
      </c>
      <c r="J421" s="5">
        <v>5.38005256E8</v>
      </c>
      <c r="K421" s="5">
        <v>9359454.0</v>
      </c>
      <c r="L421" s="5" t="s">
        <v>154</v>
      </c>
      <c r="M421" s="38">
        <v>46161.104166666664</v>
      </c>
      <c r="N421" s="5" t="b">
        <v>1</v>
      </c>
      <c r="O421" s="7"/>
      <c r="P421" s="23"/>
      <c r="Q421" s="9"/>
      <c r="R421" s="9"/>
      <c r="S421" s="9"/>
      <c r="T421" s="9"/>
      <c r="U421" s="9"/>
      <c r="V421" s="9"/>
      <c r="W421" s="9"/>
      <c r="X421" s="9"/>
      <c r="Y421" s="9"/>
      <c r="Z421" s="9"/>
      <c r="AA421" s="9"/>
      <c r="AB421" s="9"/>
      <c r="AC421" s="9"/>
      <c r="AD421" s="25"/>
      <c r="AE421" s="25" t="str">
        <f t="shared" si="5"/>
        <v/>
      </c>
      <c r="AF421" s="23">
        <f t="shared" si="8"/>
        <v>1</v>
      </c>
      <c r="AG421" s="23">
        <f t="shared" si="6"/>
        <v>1</v>
      </c>
      <c r="AH421" s="9"/>
      <c r="AI421" s="9"/>
    </row>
    <row r="422" ht="15.75" customHeight="1">
      <c r="A422" s="9"/>
      <c r="B422" s="9"/>
      <c r="C422" s="9"/>
      <c r="D422" s="9"/>
      <c r="E422" s="5" t="s">
        <v>565</v>
      </c>
      <c r="F422" s="6">
        <v>84614.0</v>
      </c>
      <c r="G422" s="6">
        <v>54707.0</v>
      </c>
      <c r="H422" s="5" t="s">
        <v>26</v>
      </c>
      <c r="I422" s="5" t="s">
        <v>21</v>
      </c>
      <c r="J422" s="5">
        <v>3.14188E8</v>
      </c>
      <c r="K422" s="5">
        <v>9370537.0</v>
      </c>
      <c r="L422" s="17"/>
      <c r="M422" s="53"/>
      <c r="N422" s="5" t="b">
        <v>0</v>
      </c>
      <c r="O422" s="7"/>
      <c r="P422" s="23"/>
      <c r="Q422" s="9"/>
      <c r="R422" s="9"/>
      <c r="S422" s="9"/>
      <c r="T422" s="9"/>
      <c r="U422" s="9"/>
      <c r="V422" s="9"/>
      <c r="W422" s="9"/>
      <c r="X422" s="9"/>
      <c r="Y422" s="9"/>
      <c r="Z422" s="9"/>
      <c r="AA422" s="9"/>
      <c r="AB422" s="9"/>
      <c r="AC422" s="9"/>
      <c r="AD422" s="25"/>
      <c r="AE422" s="25" t="str">
        <f t="shared" si="5"/>
        <v/>
      </c>
      <c r="AF422" s="23">
        <f t="shared" si="8"/>
        <v>1</v>
      </c>
      <c r="AG422" s="23" t="str">
        <f t="shared" si="6"/>
        <v/>
      </c>
      <c r="AH422" s="9"/>
      <c r="AI422" s="9"/>
    </row>
    <row r="423" ht="15.75" customHeight="1">
      <c r="A423" s="9"/>
      <c r="B423" s="9"/>
      <c r="C423" s="9"/>
      <c r="D423" s="9"/>
      <c r="E423" s="5" t="s">
        <v>566</v>
      </c>
      <c r="F423" s="6">
        <v>88000.0</v>
      </c>
      <c r="G423" s="6">
        <v>60000.0</v>
      </c>
      <c r="H423" s="5" t="s">
        <v>26</v>
      </c>
      <c r="I423" s="5" t="s">
        <v>21</v>
      </c>
      <c r="J423" s="5">
        <v>6.36023949E8</v>
      </c>
      <c r="K423" s="5">
        <v>9987093.0</v>
      </c>
      <c r="L423" s="5" t="s">
        <v>38</v>
      </c>
      <c r="M423" s="38">
        <v>46147.625</v>
      </c>
      <c r="N423" s="5" t="b">
        <v>0</v>
      </c>
      <c r="O423" s="7"/>
      <c r="P423" s="23"/>
      <c r="Q423" s="9"/>
      <c r="R423" s="9"/>
      <c r="S423" s="9"/>
      <c r="T423" s="9"/>
      <c r="U423" s="9"/>
      <c r="V423" s="9"/>
      <c r="W423" s="9"/>
      <c r="X423" s="9"/>
      <c r="Y423" s="9"/>
      <c r="Z423" s="9"/>
      <c r="AA423" s="9"/>
      <c r="AB423" s="9"/>
      <c r="AC423" s="9"/>
      <c r="AD423" s="25"/>
      <c r="AE423" s="25" t="str">
        <f t="shared" si="5"/>
        <v/>
      </c>
      <c r="AF423" s="23">
        <f t="shared" si="8"/>
        <v>1</v>
      </c>
      <c r="AG423" s="23">
        <f t="shared" si="6"/>
        <v>1</v>
      </c>
      <c r="AH423" s="9"/>
      <c r="AI423" s="9"/>
    </row>
    <row r="424" ht="15.75" customHeight="1">
      <c r="A424" s="9"/>
      <c r="B424" s="9"/>
      <c r="C424" s="9"/>
      <c r="D424" s="9"/>
      <c r="E424" s="5" t="s">
        <v>567</v>
      </c>
      <c r="F424" s="6">
        <v>84000.0</v>
      </c>
      <c r="G424" s="6">
        <v>55075.0</v>
      </c>
      <c r="H424" s="5" t="s">
        <v>20</v>
      </c>
      <c r="I424" s="5" t="s">
        <v>21</v>
      </c>
      <c r="J424" s="5">
        <v>6.36024433E8</v>
      </c>
      <c r="K424" s="5">
        <v>9849277.0</v>
      </c>
      <c r="L424" s="5" t="s">
        <v>568</v>
      </c>
      <c r="M424" s="55">
        <v>46133.125</v>
      </c>
      <c r="N424" s="5" t="b">
        <v>1</v>
      </c>
      <c r="O424" s="7"/>
      <c r="P424" s="23"/>
      <c r="Q424" s="9"/>
      <c r="R424" s="9"/>
      <c r="S424" s="9"/>
      <c r="T424" s="9"/>
      <c r="U424" s="9"/>
      <c r="V424" s="9"/>
      <c r="W424" s="9"/>
      <c r="X424" s="9"/>
      <c r="Y424" s="9"/>
      <c r="Z424" s="9"/>
      <c r="AA424" s="9"/>
      <c r="AB424" s="9"/>
      <c r="AC424" s="9"/>
      <c r="AD424" s="25"/>
      <c r="AE424" s="25" t="str">
        <f t="shared" si="5"/>
        <v/>
      </c>
      <c r="AF424" s="23">
        <f t="shared" si="8"/>
        <v>1</v>
      </c>
      <c r="AG424" s="23">
        <f t="shared" si="6"/>
        <v>1</v>
      </c>
      <c r="AH424" s="9"/>
      <c r="AI424" s="9"/>
    </row>
    <row r="425" ht="15.75" customHeight="1">
      <c r="A425" s="9"/>
      <c r="B425" s="9"/>
      <c r="C425" s="9"/>
      <c r="D425" s="9"/>
      <c r="E425" s="5" t="s">
        <v>569</v>
      </c>
      <c r="F425" s="6">
        <v>80000.0</v>
      </c>
      <c r="G425" s="6">
        <v>50591.0</v>
      </c>
      <c r="H425" s="5" t="s">
        <v>26</v>
      </c>
      <c r="I425" s="5" t="s">
        <v>21</v>
      </c>
      <c r="J425" s="5">
        <v>6.36018849E8</v>
      </c>
      <c r="K425" s="5">
        <v>9793234.0</v>
      </c>
      <c r="L425" s="5" t="s">
        <v>101</v>
      </c>
      <c r="M425" s="35">
        <v>46146.541666666664</v>
      </c>
      <c r="N425" s="5" t="b">
        <v>0</v>
      </c>
      <c r="O425" s="7"/>
      <c r="P425" s="23"/>
      <c r="Q425" s="9"/>
      <c r="R425" s="9"/>
      <c r="S425" s="9"/>
      <c r="T425" s="9"/>
      <c r="U425" s="9"/>
      <c r="V425" s="9"/>
      <c r="W425" s="9"/>
      <c r="X425" s="9"/>
      <c r="Y425" s="9"/>
      <c r="Z425" s="9"/>
      <c r="AA425" s="9"/>
      <c r="AB425" s="9"/>
      <c r="AC425" s="9"/>
      <c r="AD425" s="25"/>
      <c r="AE425" s="25">
        <f t="shared" ref="AE425:AE500" si="9">IF(E425="","", IF(F425&gt;93000,1,0))</f>
        <v>0</v>
      </c>
      <c r="AF425" s="23" t="s">
        <v>570</v>
      </c>
      <c r="AG425" s="9"/>
      <c r="AH425" s="9"/>
      <c r="AI425" s="9"/>
    </row>
    <row r="426" ht="15.75" customHeight="1">
      <c r="A426" s="9"/>
      <c r="B426" s="9"/>
      <c r="C426" s="9"/>
      <c r="D426" s="9"/>
      <c r="E426" s="5" t="s">
        <v>571</v>
      </c>
      <c r="F426" s="6">
        <v>84000.0</v>
      </c>
      <c r="G426" s="6">
        <v>55065.0</v>
      </c>
      <c r="H426" s="5" t="s">
        <v>20</v>
      </c>
      <c r="I426" s="5" t="s">
        <v>21</v>
      </c>
      <c r="J426" s="5">
        <v>6.36024434E8</v>
      </c>
      <c r="K426" s="5">
        <v>9849289.0</v>
      </c>
      <c r="L426" s="5" t="s">
        <v>124</v>
      </c>
      <c r="M426" s="55">
        <v>46162.00069444445</v>
      </c>
      <c r="N426" s="5" t="b">
        <v>1</v>
      </c>
      <c r="O426" s="7"/>
      <c r="P426" s="23"/>
      <c r="Q426" s="9"/>
      <c r="R426" s="9"/>
      <c r="S426" s="9"/>
      <c r="T426" s="9"/>
      <c r="U426" s="9"/>
      <c r="V426" s="9"/>
      <c r="W426" s="9"/>
      <c r="X426" s="9"/>
      <c r="Y426" s="9"/>
      <c r="Z426" s="9"/>
      <c r="AA426" s="9"/>
      <c r="AB426" s="9"/>
      <c r="AC426" s="9"/>
      <c r="AD426" s="25"/>
      <c r="AE426" s="25">
        <f t="shared" si="9"/>
        <v>0</v>
      </c>
      <c r="AF426" s="23" t="s">
        <v>570</v>
      </c>
      <c r="AG426" s="9"/>
      <c r="AH426" s="9"/>
      <c r="AI426" s="9"/>
    </row>
    <row r="427" ht="15.75" customHeight="1">
      <c r="A427" s="9"/>
      <c r="B427" s="9"/>
      <c r="C427" s="9"/>
      <c r="D427" s="9"/>
      <c r="E427" s="5" t="s">
        <v>572</v>
      </c>
      <c r="F427" s="6">
        <v>84000.0</v>
      </c>
      <c r="G427" s="6">
        <v>50591.0</v>
      </c>
      <c r="H427" s="5" t="s">
        <v>26</v>
      </c>
      <c r="I427" s="5" t="s">
        <v>21</v>
      </c>
      <c r="J427" s="5">
        <v>6.36018926E8</v>
      </c>
      <c r="K427" s="5">
        <v>9793260.0</v>
      </c>
      <c r="L427" s="5" t="s">
        <v>38</v>
      </c>
      <c r="M427" s="55">
        <v>46137.708333333336</v>
      </c>
      <c r="N427" s="5" t="b">
        <v>0</v>
      </c>
      <c r="O427" s="7"/>
      <c r="P427" s="23"/>
      <c r="Q427" s="9"/>
      <c r="R427" s="9"/>
      <c r="S427" s="9"/>
      <c r="T427" s="9"/>
      <c r="U427" s="9"/>
      <c r="V427" s="9"/>
      <c r="W427" s="9"/>
      <c r="X427" s="9"/>
      <c r="Y427" s="9"/>
      <c r="Z427" s="9"/>
      <c r="AA427" s="9"/>
      <c r="AB427" s="9"/>
      <c r="AC427" s="9"/>
      <c r="AD427" s="25"/>
      <c r="AE427" s="25">
        <f t="shared" si="9"/>
        <v>0</v>
      </c>
      <c r="AF427" s="23" t="s">
        <v>570</v>
      </c>
      <c r="AG427" s="9"/>
      <c r="AH427" s="9"/>
      <c r="AI427" s="9"/>
    </row>
    <row r="428" ht="15.75" customHeight="1">
      <c r="A428" s="9"/>
      <c r="B428" s="9"/>
      <c r="C428" s="9"/>
      <c r="D428" s="9"/>
      <c r="E428" s="5" t="s">
        <v>573</v>
      </c>
      <c r="F428" s="6">
        <v>78700.0</v>
      </c>
      <c r="G428" s="6">
        <v>50591.0</v>
      </c>
      <c r="H428" s="5" t="s">
        <v>26</v>
      </c>
      <c r="I428" s="5" t="s">
        <v>21</v>
      </c>
      <c r="J428" s="5">
        <v>6.36018848E8</v>
      </c>
      <c r="K428" s="5">
        <v>9793246.0</v>
      </c>
      <c r="L428" s="5" t="s">
        <v>38</v>
      </c>
      <c r="M428" s="38">
        <v>46132.958333333336</v>
      </c>
      <c r="N428" s="5" t="b">
        <v>0</v>
      </c>
      <c r="O428" s="7"/>
      <c r="P428" s="23"/>
      <c r="Q428" s="9"/>
      <c r="R428" s="9"/>
      <c r="S428" s="9"/>
      <c r="T428" s="9"/>
      <c r="U428" s="9"/>
      <c r="V428" s="9"/>
      <c r="W428" s="9"/>
      <c r="X428" s="9"/>
      <c r="Y428" s="9"/>
      <c r="Z428" s="9"/>
      <c r="AA428" s="9"/>
      <c r="AB428" s="9"/>
      <c r="AC428" s="9"/>
      <c r="AD428" s="25"/>
      <c r="AE428" s="25">
        <f t="shared" si="9"/>
        <v>0</v>
      </c>
      <c r="AF428" s="23" t="s">
        <v>570</v>
      </c>
      <c r="AG428" s="9"/>
      <c r="AH428" s="9"/>
      <c r="AI428" s="9"/>
    </row>
    <row r="429" ht="15.75" customHeight="1">
      <c r="A429" s="9"/>
      <c r="B429" s="9"/>
      <c r="C429" s="9"/>
      <c r="D429" s="9"/>
      <c r="E429" s="5" t="s">
        <v>574</v>
      </c>
      <c r="F429" s="6">
        <v>78700.0</v>
      </c>
      <c r="G429" s="6">
        <v>50591.0</v>
      </c>
      <c r="H429" s="5" t="s">
        <v>20</v>
      </c>
      <c r="I429" s="5" t="s">
        <v>21</v>
      </c>
      <c r="J429" s="5">
        <v>6.36018925E8</v>
      </c>
      <c r="K429" s="5">
        <v>9793258.0</v>
      </c>
      <c r="L429" s="5" t="s">
        <v>388</v>
      </c>
      <c r="M429" s="38">
        <v>46148.458333333336</v>
      </c>
      <c r="N429" s="5" t="b">
        <v>1</v>
      </c>
      <c r="O429" s="7"/>
      <c r="P429" s="23"/>
      <c r="Q429" s="9"/>
      <c r="R429" s="9"/>
      <c r="S429" s="9"/>
      <c r="T429" s="9"/>
      <c r="U429" s="9"/>
      <c r="V429" s="9"/>
      <c r="W429" s="9"/>
      <c r="X429" s="9"/>
      <c r="Y429" s="9"/>
      <c r="Z429" s="9"/>
      <c r="AA429" s="9"/>
      <c r="AB429" s="9"/>
      <c r="AC429" s="9"/>
      <c r="AD429" s="25"/>
      <c r="AE429" s="25">
        <f t="shared" si="9"/>
        <v>0</v>
      </c>
      <c r="AF429" s="23" t="s">
        <v>570</v>
      </c>
      <c r="AG429" s="9"/>
      <c r="AH429" s="9"/>
      <c r="AI429" s="9"/>
    </row>
    <row r="430" ht="15.75" customHeight="1">
      <c r="A430" s="9"/>
      <c r="B430" s="9"/>
      <c r="C430" s="9"/>
      <c r="D430" s="9"/>
      <c r="E430" s="5" t="s">
        <v>575</v>
      </c>
      <c r="F430" s="6">
        <v>80623.0</v>
      </c>
      <c r="G430" s="6">
        <v>58677.0</v>
      </c>
      <c r="H430" s="5" t="s">
        <v>26</v>
      </c>
      <c r="I430" s="5" t="s">
        <v>21</v>
      </c>
      <c r="J430" s="5">
        <v>5.25114108E8</v>
      </c>
      <c r="K430" s="5">
        <v>9347516.0</v>
      </c>
      <c r="L430" s="5" t="s">
        <v>52</v>
      </c>
      <c r="M430" s="55">
        <v>46152.625</v>
      </c>
      <c r="N430" s="5" t="b">
        <v>0</v>
      </c>
      <c r="O430" s="7"/>
      <c r="P430" s="23"/>
      <c r="Q430" s="9"/>
      <c r="R430" s="9"/>
      <c r="S430" s="9"/>
      <c r="T430" s="9"/>
      <c r="U430" s="9"/>
      <c r="V430" s="9"/>
      <c r="W430" s="9"/>
      <c r="X430" s="9"/>
      <c r="Y430" s="9"/>
      <c r="Z430" s="9"/>
      <c r="AA430" s="9"/>
      <c r="AB430" s="9"/>
      <c r="AC430" s="9"/>
      <c r="AD430" s="25"/>
      <c r="AE430" s="25">
        <f t="shared" si="9"/>
        <v>0</v>
      </c>
      <c r="AF430" s="23" t="s">
        <v>570</v>
      </c>
      <c r="AG430" s="9"/>
      <c r="AH430" s="9"/>
      <c r="AI430" s="9"/>
    </row>
    <row r="431" ht="15.75" customHeight="1">
      <c r="A431" s="9"/>
      <c r="B431" s="9"/>
      <c r="C431" s="9"/>
      <c r="D431" s="9"/>
      <c r="E431" s="5" t="s">
        <v>576</v>
      </c>
      <c r="F431" s="6">
        <v>75684.0</v>
      </c>
      <c r="G431" s="6">
        <v>55361.0</v>
      </c>
      <c r="H431" s="5" t="s">
        <v>66</v>
      </c>
      <c r="I431" s="5" t="s">
        <v>21</v>
      </c>
      <c r="J431" s="5">
        <v>3.71368E8</v>
      </c>
      <c r="K431" s="5">
        <v>7420089.0</v>
      </c>
      <c r="L431" s="17"/>
      <c r="M431" s="53"/>
      <c r="N431" s="5" t="b">
        <v>1</v>
      </c>
      <c r="O431" s="7"/>
      <c r="P431" s="23"/>
      <c r="Q431" s="9"/>
      <c r="R431" s="9"/>
      <c r="S431" s="9"/>
      <c r="T431" s="9"/>
      <c r="U431" s="9"/>
      <c r="V431" s="9"/>
      <c r="W431" s="9"/>
      <c r="X431" s="9"/>
      <c r="Y431" s="9"/>
      <c r="Z431" s="9"/>
      <c r="AA431" s="9"/>
      <c r="AB431" s="9"/>
      <c r="AC431" s="9"/>
      <c r="AD431" s="25"/>
      <c r="AE431" s="25">
        <f t="shared" si="9"/>
        <v>0</v>
      </c>
      <c r="AF431" s="23" t="s">
        <v>570</v>
      </c>
      <c r="AG431" s="9"/>
      <c r="AH431" s="9"/>
      <c r="AI431" s="9"/>
    </row>
    <row r="432" ht="15.75" customHeight="1">
      <c r="A432" s="9"/>
      <c r="B432" s="9"/>
      <c r="C432" s="9"/>
      <c r="D432" s="9"/>
      <c r="E432" s="5" t="s">
        <v>577</v>
      </c>
      <c r="F432" s="6">
        <v>80793.0</v>
      </c>
      <c r="G432" s="6">
        <v>58560.0</v>
      </c>
      <c r="H432" s="5" t="s">
        <v>20</v>
      </c>
      <c r="I432" s="5" t="s">
        <v>21</v>
      </c>
      <c r="J432" s="5">
        <v>5.38010314E8</v>
      </c>
      <c r="K432" s="5">
        <v>9387750.0</v>
      </c>
      <c r="L432" s="5" t="s">
        <v>494</v>
      </c>
      <c r="M432" s="55">
        <v>46133.5</v>
      </c>
      <c r="N432" s="5" t="b">
        <v>1</v>
      </c>
      <c r="O432" s="7"/>
      <c r="P432" s="23"/>
      <c r="Q432" s="9"/>
      <c r="R432" s="9"/>
      <c r="S432" s="9"/>
      <c r="T432" s="9"/>
      <c r="U432" s="9"/>
      <c r="V432" s="9"/>
      <c r="W432" s="9"/>
      <c r="X432" s="9"/>
      <c r="Y432" s="9"/>
      <c r="Z432" s="9"/>
      <c r="AA432" s="9"/>
      <c r="AB432" s="9"/>
      <c r="AC432" s="9"/>
      <c r="AD432" s="25"/>
      <c r="AE432" s="25">
        <f t="shared" si="9"/>
        <v>0</v>
      </c>
      <c r="AF432" s="23" t="s">
        <v>570</v>
      </c>
      <c r="AG432" s="9"/>
      <c r="AH432" s="9"/>
      <c r="AI432" s="9"/>
    </row>
    <row r="433" ht="15.75" customHeight="1">
      <c r="A433" s="9"/>
      <c r="B433" s="9"/>
      <c r="C433" s="9"/>
      <c r="D433" s="9"/>
      <c r="E433" s="5" t="s">
        <v>578</v>
      </c>
      <c r="F433" s="6">
        <v>84000.0</v>
      </c>
      <c r="G433" s="6">
        <v>53971.0</v>
      </c>
      <c r="H433" s="5" t="s">
        <v>20</v>
      </c>
      <c r="I433" s="5" t="s">
        <v>21</v>
      </c>
      <c r="J433" s="5">
        <v>3.71513E8</v>
      </c>
      <c r="K433" s="5">
        <v>9902172.0</v>
      </c>
      <c r="L433" s="5" t="s">
        <v>95</v>
      </c>
      <c r="M433" s="55">
        <v>46133.5</v>
      </c>
      <c r="N433" s="5" t="b">
        <v>1</v>
      </c>
      <c r="O433" s="7"/>
      <c r="P433" s="23"/>
      <c r="Q433" s="9"/>
      <c r="R433" s="9"/>
      <c r="S433" s="9"/>
      <c r="T433" s="9"/>
      <c r="U433" s="9"/>
      <c r="V433" s="9"/>
      <c r="W433" s="9"/>
      <c r="X433" s="9"/>
      <c r="Y433" s="9"/>
      <c r="Z433" s="9"/>
      <c r="AA433" s="9"/>
      <c r="AB433" s="9"/>
      <c r="AC433" s="9"/>
      <c r="AD433" s="25"/>
      <c r="AE433" s="25">
        <f t="shared" si="9"/>
        <v>0</v>
      </c>
      <c r="AF433" s="23" t="s">
        <v>570</v>
      </c>
      <c r="AG433" s="9"/>
      <c r="AH433" s="9"/>
      <c r="AI433" s="9"/>
    </row>
    <row r="434" ht="15.75" customHeight="1">
      <c r="A434" s="9"/>
      <c r="B434" s="9"/>
      <c r="C434" s="9"/>
      <c r="D434" s="9"/>
      <c r="E434" s="5" t="s">
        <v>579</v>
      </c>
      <c r="F434" s="6">
        <v>74080.0</v>
      </c>
      <c r="G434" s="6">
        <v>49353.0</v>
      </c>
      <c r="H434" s="5" t="s">
        <v>26</v>
      </c>
      <c r="I434" s="5" t="s">
        <v>21</v>
      </c>
      <c r="J434" s="5">
        <v>6.32001092E8</v>
      </c>
      <c r="K434" s="5">
        <v>9052331.0</v>
      </c>
      <c r="L434" s="17"/>
      <c r="M434" s="56"/>
      <c r="N434" s="5" t="b">
        <v>0</v>
      </c>
      <c r="O434" s="7"/>
      <c r="P434" s="23"/>
      <c r="Q434" s="9"/>
      <c r="R434" s="9"/>
      <c r="S434" s="9"/>
      <c r="T434" s="9"/>
      <c r="U434" s="9"/>
      <c r="V434" s="9"/>
      <c r="W434" s="9"/>
      <c r="X434" s="9"/>
      <c r="Y434" s="9"/>
      <c r="Z434" s="9"/>
      <c r="AA434" s="9"/>
      <c r="AB434" s="9"/>
      <c r="AC434" s="9"/>
      <c r="AD434" s="25"/>
      <c r="AE434" s="25">
        <f t="shared" si="9"/>
        <v>0</v>
      </c>
      <c r="AF434" s="23" t="s">
        <v>570</v>
      </c>
      <c r="AG434" s="9"/>
      <c r="AH434" s="9"/>
      <c r="AI434" s="9"/>
    </row>
    <row r="435" ht="15.75" customHeight="1">
      <c r="A435" s="9"/>
      <c r="B435" s="9"/>
      <c r="C435" s="9"/>
      <c r="D435" s="9"/>
      <c r="E435" s="5" t="s">
        <v>580</v>
      </c>
      <c r="F435" s="6">
        <v>76916.0</v>
      </c>
      <c r="G435" s="6">
        <v>50357.0</v>
      </c>
      <c r="H435" s="5" t="s">
        <v>66</v>
      </c>
      <c r="I435" s="5" t="s">
        <v>21</v>
      </c>
      <c r="J435" s="5">
        <v>3.06212E8</v>
      </c>
      <c r="K435" s="5">
        <v>9007386.0</v>
      </c>
      <c r="L435" s="17"/>
      <c r="M435" s="53"/>
      <c r="N435" s="5" t="b">
        <v>1</v>
      </c>
      <c r="O435" s="7"/>
      <c r="P435" s="23"/>
      <c r="Q435" s="9"/>
      <c r="R435" s="9"/>
      <c r="S435" s="9"/>
      <c r="T435" s="9"/>
      <c r="U435" s="9"/>
      <c r="V435" s="9"/>
      <c r="W435" s="9"/>
      <c r="X435" s="9"/>
      <c r="Y435" s="9"/>
      <c r="Z435" s="9"/>
      <c r="AA435" s="9"/>
      <c r="AB435" s="9"/>
      <c r="AC435" s="9"/>
      <c r="AD435" s="25"/>
      <c r="AE435" s="25">
        <f t="shared" si="9"/>
        <v>0</v>
      </c>
      <c r="AF435" s="23" t="s">
        <v>570</v>
      </c>
      <c r="AG435" s="9"/>
      <c r="AH435" s="9"/>
      <c r="AI435" s="9"/>
    </row>
    <row r="436" ht="15.75" customHeight="1">
      <c r="A436" s="9"/>
      <c r="B436" s="9"/>
      <c r="C436" s="9"/>
      <c r="D436" s="9"/>
      <c r="E436" s="5" t="s">
        <v>581</v>
      </c>
      <c r="F436" s="6">
        <v>77351.0</v>
      </c>
      <c r="G436" s="6">
        <v>49999.0</v>
      </c>
      <c r="H436" s="5" t="s">
        <v>20</v>
      </c>
      <c r="I436" s="5" t="s">
        <v>21</v>
      </c>
      <c r="J436" s="5">
        <v>3.53812E8</v>
      </c>
      <c r="K436" s="5">
        <v>9238272.0</v>
      </c>
      <c r="L436" s="5" t="s">
        <v>40</v>
      </c>
      <c r="M436" s="38">
        <v>46133.0</v>
      </c>
      <c r="N436" s="5" t="b">
        <v>1</v>
      </c>
      <c r="O436" s="7"/>
      <c r="P436" s="23"/>
      <c r="Q436" s="9"/>
      <c r="R436" s="9"/>
      <c r="S436" s="9"/>
      <c r="T436" s="9"/>
      <c r="U436" s="9"/>
      <c r="V436" s="9"/>
      <c r="W436" s="9"/>
      <c r="X436" s="9"/>
      <c r="Y436" s="9"/>
      <c r="Z436" s="9"/>
      <c r="AA436" s="9"/>
      <c r="AB436" s="9"/>
      <c r="AC436" s="9"/>
      <c r="AD436" s="25"/>
      <c r="AE436" s="25">
        <f t="shared" si="9"/>
        <v>0</v>
      </c>
      <c r="AF436" s="23" t="s">
        <v>570</v>
      </c>
      <c r="AG436" s="9"/>
      <c r="AH436" s="9"/>
      <c r="AI436" s="9"/>
    </row>
    <row r="437" ht="15.75" customHeight="1">
      <c r="A437" s="9"/>
      <c r="B437" s="9"/>
      <c r="C437" s="9"/>
      <c r="D437" s="9"/>
      <c r="E437" s="5" t="s">
        <v>582</v>
      </c>
      <c r="F437" s="6">
        <v>77338.0</v>
      </c>
      <c r="G437" s="6">
        <v>49999.0</v>
      </c>
      <c r="H437" s="5" t="s">
        <v>20</v>
      </c>
      <c r="I437" s="5" t="s">
        <v>21</v>
      </c>
      <c r="J437" s="5">
        <v>3.7123E8</v>
      </c>
      <c r="K437" s="5">
        <v>9322657.0</v>
      </c>
      <c r="L437" s="5" t="s">
        <v>95</v>
      </c>
      <c r="M437" s="38">
        <v>46142.00069444445</v>
      </c>
      <c r="N437" s="5" t="b">
        <v>1</v>
      </c>
      <c r="O437" s="7"/>
      <c r="P437" s="23"/>
      <c r="Q437" s="9"/>
      <c r="R437" s="9"/>
      <c r="S437" s="9"/>
      <c r="T437" s="9"/>
      <c r="U437" s="9"/>
      <c r="V437" s="9"/>
      <c r="W437" s="9"/>
      <c r="X437" s="9"/>
      <c r="Y437" s="9"/>
      <c r="Z437" s="9"/>
      <c r="AA437" s="9"/>
      <c r="AB437" s="9"/>
      <c r="AC437" s="9"/>
      <c r="AD437" s="25"/>
      <c r="AE437" s="25">
        <f t="shared" si="9"/>
        <v>0</v>
      </c>
      <c r="AF437" s="23" t="s">
        <v>570</v>
      </c>
      <c r="AG437" s="9"/>
      <c r="AH437" s="9"/>
      <c r="AI437" s="9"/>
    </row>
    <row r="438" ht="15.75" customHeight="1">
      <c r="A438" s="9"/>
      <c r="B438" s="9"/>
      <c r="C438" s="9"/>
      <c r="D438" s="9"/>
      <c r="E438" s="5" t="s">
        <v>583</v>
      </c>
      <c r="F438" s="6">
        <v>77324.0</v>
      </c>
      <c r="G438" s="6">
        <v>49999.0</v>
      </c>
      <c r="H438" s="5" t="s">
        <v>20</v>
      </c>
      <c r="I438" s="5" t="s">
        <v>21</v>
      </c>
      <c r="J438" s="5">
        <v>3.57117E8</v>
      </c>
      <c r="K438" s="5">
        <v>9395501.0</v>
      </c>
      <c r="L438" s="5" t="s">
        <v>154</v>
      </c>
      <c r="M438" s="38">
        <v>46162.333333333336</v>
      </c>
      <c r="N438" s="5" t="b">
        <v>1</v>
      </c>
      <c r="O438" s="7"/>
      <c r="P438" s="23"/>
      <c r="Q438" s="9"/>
      <c r="R438" s="9"/>
      <c r="S438" s="9"/>
      <c r="T438" s="9"/>
      <c r="U438" s="9"/>
      <c r="V438" s="9"/>
      <c r="W438" s="9"/>
      <c r="X438" s="9"/>
      <c r="Y438" s="9"/>
      <c r="Z438" s="9"/>
      <c r="AA438" s="9"/>
      <c r="AB438" s="9"/>
      <c r="AC438" s="9"/>
      <c r="AD438" s="25"/>
      <c r="AE438" s="25">
        <f t="shared" si="9"/>
        <v>0</v>
      </c>
      <c r="AF438" s="23" t="s">
        <v>570</v>
      </c>
      <c r="AG438" s="9"/>
      <c r="AH438" s="9"/>
      <c r="AI438" s="9"/>
    </row>
    <row r="439" ht="15.75" customHeight="1">
      <c r="A439" s="9"/>
      <c r="B439" s="9"/>
      <c r="C439" s="9"/>
      <c r="D439" s="9"/>
      <c r="E439" s="5" t="s">
        <v>584</v>
      </c>
      <c r="F439" s="6">
        <v>86000.0</v>
      </c>
      <c r="G439" s="6">
        <v>55211.0</v>
      </c>
      <c r="H439" s="5" t="s">
        <v>26</v>
      </c>
      <c r="I439" s="5" t="s">
        <v>21</v>
      </c>
      <c r="J439" s="5">
        <v>6.36021496E8</v>
      </c>
      <c r="K439" s="5">
        <v>9916824.0</v>
      </c>
      <c r="L439" s="5" t="s">
        <v>43</v>
      </c>
      <c r="M439" s="38">
        <v>46132.486805555556</v>
      </c>
      <c r="N439" s="5" t="b">
        <v>0</v>
      </c>
      <c r="O439" s="7"/>
      <c r="P439" s="23"/>
      <c r="Q439" s="9"/>
      <c r="R439" s="9"/>
      <c r="S439" s="9"/>
      <c r="T439" s="9"/>
      <c r="U439" s="9"/>
      <c r="V439" s="9"/>
      <c r="W439" s="9"/>
      <c r="X439" s="9"/>
      <c r="Y439" s="9"/>
      <c r="Z439" s="9"/>
      <c r="AA439" s="9"/>
      <c r="AB439" s="9"/>
      <c r="AC439" s="9"/>
      <c r="AD439" s="25"/>
      <c r="AE439" s="25">
        <f t="shared" si="9"/>
        <v>0</v>
      </c>
      <c r="AF439" s="23" t="s">
        <v>570</v>
      </c>
      <c r="AG439" s="9"/>
      <c r="AH439" s="9"/>
      <c r="AI439" s="9"/>
    </row>
    <row r="440" ht="15.75" customHeight="1">
      <c r="A440" s="9"/>
      <c r="B440" s="9"/>
      <c r="C440" s="9"/>
      <c r="D440" s="9"/>
      <c r="E440" s="5" t="s">
        <v>585</v>
      </c>
      <c r="F440" s="6">
        <v>88000.0</v>
      </c>
      <c r="G440" s="6">
        <v>58045.0</v>
      </c>
      <c r="H440" s="5" t="s">
        <v>26</v>
      </c>
      <c r="I440" s="5" t="s">
        <v>21</v>
      </c>
      <c r="J440" s="5">
        <v>6.36022848E8</v>
      </c>
      <c r="K440" s="5">
        <v>9987562.0</v>
      </c>
      <c r="L440" s="5" t="s">
        <v>134</v>
      </c>
      <c r="M440" s="55">
        <v>46150.0</v>
      </c>
      <c r="N440" s="5" t="b">
        <v>0</v>
      </c>
      <c r="O440" s="7"/>
      <c r="P440" s="23"/>
      <c r="Q440" s="9"/>
      <c r="R440" s="9"/>
      <c r="S440" s="9"/>
      <c r="T440" s="9"/>
      <c r="U440" s="9"/>
      <c r="V440" s="9"/>
      <c r="W440" s="9"/>
      <c r="X440" s="9"/>
      <c r="Y440" s="9"/>
      <c r="Z440" s="9"/>
      <c r="AA440" s="9"/>
      <c r="AB440" s="9"/>
      <c r="AC440" s="9"/>
      <c r="AD440" s="25"/>
      <c r="AE440" s="25">
        <f t="shared" si="9"/>
        <v>0</v>
      </c>
      <c r="AF440" s="23" t="s">
        <v>570</v>
      </c>
      <c r="AG440" s="9"/>
      <c r="AH440" s="9"/>
      <c r="AI440" s="9"/>
    </row>
    <row r="441" ht="15.75" customHeight="1">
      <c r="A441" s="9"/>
      <c r="B441" s="9"/>
      <c r="C441" s="9"/>
      <c r="D441" s="9"/>
      <c r="E441" s="5" t="s">
        <v>586</v>
      </c>
      <c r="F441" s="6">
        <v>78503.0</v>
      </c>
      <c r="G441" s="6">
        <v>50400.0</v>
      </c>
      <c r="H441" s="5" t="s">
        <v>66</v>
      </c>
      <c r="I441" s="5" t="s">
        <v>21</v>
      </c>
      <c r="J441" s="5">
        <v>6.20800045E8</v>
      </c>
      <c r="K441" s="5">
        <v>9041655.0</v>
      </c>
      <c r="L441" s="17"/>
      <c r="M441" s="53"/>
      <c r="N441" s="5" t="b">
        <v>1</v>
      </c>
      <c r="O441" s="7"/>
      <c r="P441" s="23"/>
      <c r="Q441" s="9"/>
      <c r="R441" s="9"/>
      <c r="S441" s="9"/>
      <c r="T441" s="9"/>
      <c r="U441" s="9"/>
      <c r="V441" s="9"/>
      <c r="W441" s="9"/>
      <c r="X441" s="9"/>
      <c r="Y441" s="9"/>
      <c r="Z441" s="9"/>
      <c r="AA441" s="9"/>
      <c r="AB441" s="9"/>
      <c r="AC441" s="9"/>
      <c r="AD441" s="25"/>
      <c r="AE441" s="25">
        <f t="shared" si="9"/>
        <v>0</v>
      </c>
      <c r="AF441" s="23" t="s">
        <v>570</v>
      </c>
      <c r="AG441" s="9"/>
      <c r="AH441" s="9"/>
      <c r="AI441" s="9"/>
    </row>
    <row r="442" ht="15.75" customHeight="1">
      <c r="A442" s="9"/>
      <c r="B442" s="9"/>
      <c r="C442" s="9"/>
      <c r="D442" s="9"/>
      <c r="E442" s="5" t="s">
        <v>587</v>
      </c>
      <c r="F442" s="6">
        <v>78900.0</v>
      </c>
      <c r="G442" s="6">
        <v>49999.0</v>
      </c>
      <c r="H442" s="5" t="s">
        <v>26</v>
      </c>
      <c r="I442" s="5" t="s">
        <v>21</v>
      </c>
      <c r="J442" s="5">
        <v>3.74994E8</v>
      </c>
      <c r="K442" s="5">
        <v>9317298.0</v>
      </c>
      <c r="L442" s="5" t="s">
        <v>95</v>
      </c>
      <c r="M442" s="55">
        <v>46132.75</v>
      </c>
      <c r="N442" s="5" t="b">
        <v>0</v>
      </c>
      <c r="O442" s="7"/>
      <c r="P442" s="23"/>
      <c r="Q442" s="9"/>
      <c r="R442" s="9"/>
      <c r="S442" s="9"/>
      <c r="T442" s="9"/>
      <c r="U442" s="9"/>
      <c r="V442" s="9"/>
      <c r="W442" s="9"/>
      <c r="X442" s="9"/>
      <c r="Y442" s="9"/>
      <c r="Z442" s="9"/>
      <c r="AA442" s="9"/>
      <c r="AB442" s="9"/>
      <c r="AC442" s="9"/>
      <c r="AD442" s="25"/>
      <c r="AE442" s="25">
        <f t="shared" si="9"/>
        <v>0</v>
      </c>
      <c r="AF442" s="23" t="s">
        <v>570</v>
      </c>
      <c r="AG442" s="9"/>
      <c r="AH442" s="9"/>
      <c r="AI442" s="9"/>
    </row>
    <row r="443" ht="15.75" customHeight="1">
      <c r="A443" s="9"/>
      <c r="B443" s="9"/>
      <c r="C443" s="9"/>
      <c r="D443" s="9"/>
      <c r="E443" s="57" t="s">
        <v>526</v>
      </c>
      <c r="F443" s="58">
        <v>84000.0</v>
      </c>
      <c r="G443" s="58">
        <v>54481.0</v>
      </c>
      <c r="H443" s="57" t="s">
        <v>26</v>
      </c>
      <c r="I443" s="57" t="s">
        <v>21</v>
      </c>
      <c r="J443" s="57">
        <v>5.6596E8</v>
      </c>
      <c r="K443" s="57">
        <v>9734525.0</v>
      </c>
      <c r="L443" s="57" t="s">
        <v>101</v>
      </c>
      <c r="M443" s="59">
        <v>46137.666666666664</v>
      </c>
      <c r="N443" s="60" t="b">
        <v>0</v>
      </c>
      <c r="O443" s="7"/>
      <c r="P443" s="23"/>
      <c r="Q443" s="9"/>
      <c r="R443" s="9"/>
      <c r="S443" s="9"/>
      <c r="T443" s="9"/>
      <c r="U443" s="9"/>
      <c r="V443" s="9"/>
      <c r="W443" s="9"/>
      <c r="X443" s="9"/>
      <c r="Y443" s="9"/>
      <c r="Z443" s="9"/>
      <c r="AA443" s="9"/>
      <c r="AB443" s="9"/>
      <c r="AC443" s="9"/>
      <c r="AD443" s="25"/>
      <c r="AE443" s="25">
        <f t="shared" si="9"/>
        <v>0</v>
      </c>
      <c r="AF443" s="23" t="s">
        <v>570</v>
      </c>
      <c r="AG443" s="9"/>
      <c r="AH443" s="9"/>
      <c r="AI443" s="9"/>
    </row>
    <row r="444" ht="15.75" customHeight="1">
      <c r="A444" s="9"/>
      <c r="B444" s="9"/>
      <c r="C444" s="9"/>
      <c r="D444" s="9"/>
      <c r="E444" s="57" t="s">
        <v>527</v>
      </c>
      <c r="F444" s="58">
        <v>82423.0</v>
      </c>
      <c r="G444" s="58">
        <v>54784.0</v>
      </c>
      <c r="H444" s="57" t="s">
        <v>66</v>
      </c>
      <c r="I444" s="57" t="s">
        <v>21</v>
      </c>
      <c r="J444" s="57">
        <v>5.38005632E8</v>
      </c>
      <c r="K444" s="57">
        <v>9350599.0</v>
      </c>
      <c r="L444" s="61"/>
      <c r="M444" s="62"/>
      <c r="N444" s="60" t="b">
        <v>1</v>
      </c>
      <c r="O444" s="7"/>
      <c r="P444" s="23"/>
      <c r="Q444" s="9"/>
      <c r="R444" s="9"/>
      <c r="S444" s="9"/>
      <c r="T444" s="9"/>
      <c r="U444" s="9"/>
      <c r="V444" s="9"/>
      <c r="W444" s="9"/>
      <c r="X444" s="9"/>
      <c r="Y444" s="9"/>
      <c r="Z444" s="9"/>
      <c r="AA444" s="9"/>
      <c r="AB444" s="9"/>
      <c r="AC444" s="9"/>
      <c r="AD444" s="25"/>
      <c r="AE444" s="25">
        <f t="shared" si="9"/>
        <v>0</v>
      </c>
      <c r="AF444" s="23" t="s">
        <v>570</v>
      </c>
      <c r="AG444" s="9"/>
      <c r="AH444" s="9"/>
      <c r="AI444" s="9"/>
    </row>
    <row r="445" ht="15.75" customHeight="1">
      <c r="A445" s="9"/>
      <c r="B445" s="9"/>
      <c r="C445" s="9"/>
      <c r="D445" s="9"/>
      <c r="E445" s="57" t="s">
        <v>528</v>
      </c>
      <c r="F445" s="58">
        <v>75353.0</v>
      </c>
      <c r="G445" s="58">
        <v>49345.0</v>
      </c>
      <c r="H445" s="57" t="s">
        <v>26</v>
      </c>
      <c r="I445" s="57" t="s">
        <v>21</v>
      </c>
      <c r="J445" s="57">
        <v>6.1349E8</v>
      </c>
      <c r="K445" s="57">
        <v>9000883.0</v>
      </c>
      <c r="L445" s="57" t="s">
        <v>46</v>
      </c>
      <c r="M445" s="59">
        <v>46137.75</v>
      </c>
      <c r="N445" s="60" t="b">
        <v>0</v>
      </c>
      <c r="O445" s="7"/>
      <c r="P445" s="23"/>
      <c r="Q445" s="9"/>
      <c r="R445" s="9"/>
      <c r="S445" s="9"/>
      <c r="T445" s="9"/>
      <c r="U445" s="9"/>
      <c r="V445" s="9"/>
      <c r="W445" s="9"/>
      <c r="X445" s="9"/>
      <c r="Y445" s="9"/>
      <c r="Z445" s="9"/>
      <c r="AA445" s="9"/>
      <c r="AB445" s="9"/>
      <c r="AC445" s="9"/>
      <c r="AD445" s="25"/>
      <c r="AE445" s="25">
        <f t="shared" si="9"/>
        <v>0</v>
      </c>
      <c r="AF445" s="23" t="s">
        <v>570</v>
      </c>
      <c r="AG445" s="9"/>
      <c r="AH445" s="9"/>
      <c r="AI445" s="9"/>
    </row>
    <row r="446" ht="15.75" customHeight="1">
      <c r="A446" s="9"/>
      <c r="B446" s="9"/>
      <c r="C446" s="9"/>
      <c r="D446" s="9"/>
      <c r="E446" s="57" t="s">
        <v>529</v>
      </c>
      <c r="F446" s="58">
        <v>80138.0</v>
      </c>
      <c r="G446" s="58">
        <v>53293.0</v>
      </c>
      <c r="H446" s="57" t="s">
        <v>26</v>
      </c>
      <c r="I446" s="57" t="s">
        <v>21</v>
      </c>
      <c r="J446" s="57">
        <v>3.1100193E8</v>
      </c>
      <c r="K446" s="57">
        <v>9377781.0</v>
      </c>
      <c r="L446" s="61"/>
      <c r="M446" s="63"/>
      <c r="N446" s="60" t="b">
        <v>0</v>
      </c>
      <c r="O446" s="7"/>
      <c r="P446" s="23"/>
      <c r="Q446" s="9"/>
      <c r="R446" s="9"/>
      <c r="S446" s="9"/>
      <c r="T446" s="9"/>
      <c r="U446" s="9"/>
      <c r="V446" s="9"/>
      <c r="W446" s="9"/>
      <c r="X446" s="9"/>
      <c r="Y446" s="9"/>
      <c r="Z446" s="9"/>
      <c r="AA446" s="9"/>
      <c r="AB446" s="9"/>
      <c r="AC446" s="9"/>
      <c r="AD446" s="25"/>
      <c r="AE446" s="25">
        <f t="shared" si="9"/>
        <v>0</v>
      </c>
      <c r="AF446" s="23" t="s">
        <v>570</v>
      </c>
      <c r="AG446" s="9"/>
      <c r="AH446" s="9"/>
      <c r="AI446" s="9"/>
    </row>
    <row r="447" ht="15.75" customHeight="1">
      <c r="A447" s="9"/>
      <c r="B447" s="9"/>
      <c r="C447" s="9"/>
      <c r="D447" s="9"/>
      <c r="E447" s="57" t="s">
        <v>531</v>
      </c>
      <c r="F447" s="58">
        <v>84000.0</v>
      </c>
      <c r="G447" s="58">
        <v>54603.0</v>
      </c>
      <c r="H447" s="57" t="s">
        <v>26</v>
      </c>
      <c r="I447" s="57" t="s">
        <v>21</v>
      </c>
      <c r="J447" s="57">
        <v>5.63853E8</v>
      </c>
      <c r="K447" s="57">
        <v>9726102.0</v>
      </c>
      <c r="L447" s="57" t="s">
        <v>145</v>
      </c>
      <c r="M447" s="59">
        <v>46125.375</v>
      </c>
      <c r="N447" s="60" t="b">
        <v>0</v>
      </c>
      <c r="O447" s="7"/>
      <c r="P447" s="23"/>
      <c r="Q447" s="9"/>
      <c r="R447" s="9"/>
      <c r="S447" s="9"/>
      <c r="T447" s="9"/>
      <c r="U447" s="9"/>
      <c r="V447" s="9"/>
      <c r="W447" s="9"/>
      <c r="X447" s="9"/>
      <c r="Y447" s="9"/>
      <c r="Z447" s="9"/>
      <c r="AA447" s="9"/>
      <c r="AB447" s="9"/>
      <c r="AC447" s="9"/>
      <c r="AD447" s="25"/>
      <c r="AE447" s="25">
        <f t="shared" si="9"/>
        <v>0</v>
      </c>
      <c r="AF447" s="23" t="s">
        <v>570</v>
      </c>
      <c r="AG447" s="9"/>
      <c r="AH447" s="9"/>
      <c r="AI447" s="9"/>
    </row>
    <row r="448" ht="15.75" customHeight="1">
      <c r="A448" s="9"/>
      <c r="B448" s="9"/>
      <c r="C448" s="9"/>
      <c r="D448" s="9"/>
      <c r="E448" s="57" t="s">
        <v>588</v>
      </c>
      <c r="F448" s="58">
        <v>93000.0</v>
      </c>
      <c r="G448" s="58">
        <v>59800.0</v>
      </c>
      <c r="H448" s="57" t="s">
        <v>72</v>
      </c>
      <c r="I448" s="57" t="s">
        <v>73</v>
      </c>
      <c r="K448" s="57">
        <v>1017139.0</v>
      </c>
      <c r="L448" s="61"/>
      <c r="M448" s="62"/>
      <c r="N448" s="60" t="b">
        <v>0</v>
      </c>
      <c r="O448" s="7"/>
      <c r="P448" s="23"/>
      <c r="Q448" s="9"/>
      <c r="R448" s="9"/>
      <c r="S448" s="9"/>
      <c r="T448" s="9"/>
      <c r="U448" s="9"/>
      <c r="V448" s="9"/>
      <c r="W448" s="9"/>
      <c r="X448" s="9"/>
      <c r="Y448" s="9"/>
      <c r="Z448" s="9"/>
      <c r="AA448" s="9"/>
      <c r="AB448" s="9"/>
      <c r="AC448" s="9"/>
      <c r="AD448" s="25"/>
      <c r="AE448" s="25">
        <f t="shared" si="9"/>
        <v>0</v>
      </c>
      <c r="AF448" s="23" t="s">
        <v>570</v>
      </c>
      <c r="AG448" s="9"/>
      <c r="AH448" s="9"/>
      <c r="AI448" s="9"/>
    </row>
    <row r="449" ht="15.75" customHeight="1">
      <c r="A449" s="9"/>
      <c r="B449" s="9"/>
      <c r="C449" s="9"/>
      <c r="D449" s="9"/>
      <c r="E449" s="57" t="s">
        <v>532</v>
      </c>
      <c r="F449" s="58">
        <v>84000.0</v>
      </c>
      <c r="G449" s="58">
        <v>54596.0</v>
      </c>
      <c r="H449" s="57" t="s">
        <v>26</v>
      </c>
      <c r="I449" s="57" t="s">
        <v>21</v>
      </c>
      <c r="J449" s="57">
        <v>5.65943E8</v>
      </c>
      <c r="K449" s="57">
        <v>9726114.0</v>
      </c>
      <c r="L449" s="61"/>
      <c r="M449" s="64"/>
      <c r="N449" s="60" t="b">
        <v>0</v>
      </c>
      <c r="O449" s="7"/>
      <c r="P449" s="23"/>
      <c r="Q449" s="9"/>
      <c r="R449" s="9"/>
      <c r="S449" s="9"/>
      <c r="T449" s="9"/>
      <c r="U449" s="9"/>
      <c r="V449" s="9"/>
      <c r="W449" s="9"/>
      <c r="X449" s="9"/>
      <c r="Y449" s="9"/>
      <c r="Z449" s="9"/>
      <c r="AA449" s="9"/>
      <c r="AB449" s="9"/>
      <c r="AC449" s="9"/>
      <c r="AD449" s="25"/>
      <c r="AE449" s="25">
        <f t="shared" si="9"/>
        <v>0</v>
      </c>
      <c r="AF449" s="23" t="s">
        <v>570</v>
      </c>
      <c r="AG449" s="9"/>
      <c r="AH449" s="9"/>
      <c r="AI449" s="9"/>
    </row>
    <row r="450" ht="15.75" customHeight="1">
      <c r="A450" s="9"/>
      <c r="B450" s="9"/>
      <c r="C450" s="9"/>
      <c r="D450" s="9"/>
      <c r="E450" s="57" t="s">
        <v>533</v>
      </c>
      <c r="F450" s="58">
        <v>84000.0</v>
      </c>
      <c r="G450" s="58">
        <v>51700.0</v>
      </c>
      <c r="H450" s="57" t="s">
        <v>26</v>
      </c>
      <c r="I450" s="57" t="s">
        <v>21</v>
      </c>
      <c r="J450" s="57">
        <v>5.65355E8</v>
      </c>
      <c r="K450" s="57">
        <v>9726073.0</v>
      </c>
      <c r="L450" s="57" t="s">
        <v>52</v>
      </c>
      <c r="M450" s="65">
        <v>46150.625</v>
      </c>
      <c r="N450" s="60" t="b">
        <v>0</v>
      </c>
      <c r="O450" s="7"/>
      <c r="P450" s="23"/>
      <c r="Q450" s="9"/>
      <c r="R450" s="9"/>
      <c r="S450" s="9"/>
      <c r="T450" s="9"/>
      <c r="U450" s="9"/>
      <c r="V450" s="9"/>
      <c r="W450" s="9"/>
      <c r="X450" s="9"/>
      <c r="Y450" s="9"/>
      <c r="Z450" s="9"/>
      <c r="AA450" s="9"/>
      <c r="AB450" s="9"/>
      <c r="AC450" s="9"/>
      <c r="AD450" s="25"/>
      <c r="AE450" s="25">
        <f t="shared" si="9"/>
        <v>0</v>
      </c>
      <c r="AF450" s="23" t="s">
        <v>570</v>
      </c>
      <c r="AG450" s="9"/>
      <c r="AH450" s="9"/>
      <c r="AI450" s="9"/>
    </row>
    <row r="451" ht="15.75" customHeight="1">
      <c r="A451" s="9"/>
      <c r="B451" s="9"/>
      <c r="C451" s="9"/>
      <c r="D451" s="9"/>
      <c r="E451" s="57" t="s">
        <v>534</v>
      </c>
      <c r="F451" s="58">
        <v>80770.0</v>
      </c>
      <c r="G451" s="58">
        <v>53999.0</v>
      </c>
      <c r="H451" s="57" t="s">
        <v>26</v>
      </c>
      <c r="I451" s="57" t="s">
        <v>21</v>
      </c>
      <c r="J451" s="57">
        <v>4.19002052E8</v>
      </c>
      <c r="K451" s="57">
        <v>9356892.0</v>
      </c>
      <c r="L451" s="61"/>
      <c r="M451" s="63"/>
      <c r="N451" s="60" t="b">
        <v>0</v>
      </c>
      <c r="O451" s="7"/>
      <c r="P451" s="23"/>
      <c r="Q451" s="9"/>
      <c r="R451" s="9"/>
      <c r="S451" s="9"/>
      <c r="T451" s="9"/>
      <c r="U451" s="9"/>
      <c r="V451" s="9"/>
      <c r="W451" s="9"/>
      <c r="X451" s="9"/>
      <c r="Y451" s="9"/>
      <c r="Z451" s="9"/>
      <c r="AA451" s="9"/>
      <c r="AB451" s="9"/>
      <c r="AC451" s="9"/>
      <c r="AD451" s="25"/>
      <c r="AE451" s="25">
        <f t="shared" si="9"/>
        <v>0</v>
      </c>
      <c r="AF451" s="23" t="s">
        <v>570</v>
      </c>
      <c r="AG451" s="9"/>
      <c r="AH451" s="9"/>
      <c r="AI451" s="9"/>
    </row>
    <row r="452" ht="15.75" customHeight="1">
      <c r="A452" s="9"/>
      <c r="B452" s="9"/>
      <c r="C452" s="9"/>
      <c r="D452" s="9"/>
      <c r="E452" s="57" t="s">
        <v>535</v>
      </c>
      <c r="F452" s="58">
        <v>78901.0</v>
      </c>
      <c r="G452" s="58">
        <v>49999.0</v>
      </c>
      <c r="H452" s="57" t="s">
        <v>26</v>
      </c>
      <c r="I452" s="57" t="s">
        <v>21</v>
      </c>
      <c r="J452" s="57">
        <v>6.03928E8</v>
      </c>
      <c r="K452" s="57">
        <v>9397080.0</v>
      </c>
      <c r="L452" s="57" t="s">
        <v>46</v>
      </c>
      <c r="M452" s="59">
        <v>46135.791666666664</v>
      </c>
      <c r="N452" s="60" t="b">
        <v>0</v>
      </c>
      <c r="O452" s="7"/>
      <c r="P452" s="23"/>
      <c r="Q452" s="9"/>
      <c r="R452" s="9"/>
      <c r="S452" s="9"/>
      <c r="T452" s="9"/>
      <c r="U452" s="9"/>
      <c r="V452" s="9"/>
      <c r="W452" s="9"/>
      <c r="X452" s="9"/>
      <c r="Y452" s="9"/>
      <c r="Z452" s="9"/>
      <c r="AA452" s="9"/>
      <c r="AB452" s="9"/>
      <c r="AC452" s="9"/>
      <c r="AD452" s="25"/>
      <c r="AE452" s="25">
        <f t="shared" si="9"/>
        <v>0</v>
      </c>
      <c r="AF452" s="23" t="s">
        <v>570</v>
      </c>
      <c r="AG452" s="9"/>
      <c r="AH452" s="9"/>
      <c r="AI452" s="9"/>
    </row>
    <row r="453" ht="15.75" customHeight="1">
      <c r="A453" s="9"/>
      <c r="B453" s="9"/>
      <c r="C453" s="9"/>
      <c r="D453" s="9"/>
      <c r="E453" s="57" t="s">
        <v>536</v>
      </c>
      <c r="F453" s="58">
        <v>84000.0</v>
      </c>
      <c r="G453" s="58">
        <v>54576.0</v>
      </c>
      <c r="H453" s="57" t="s">
        <v>66</v>
      </c>
      <c r="I453" s="57" t="s">
        <v>21</v>
      </c>
      <c r="J453" s="57">
        <v>5.65404E8</v>
      </c>
      <c r="K453" s="57">
        <v>9722223.0</v>
      </c>
      <c r="L453" s="57" t="s">
        <v>537</v>
      </c>
      <c r="M453" s="66">
        <v>46127.5</v>
      </c>
      <c r="N453" s="60" t="b">
        <v>1</v>
      </c>
      <c r="O453" s="7"/>
      <c r="P453" s="23"/>
      <c r="Q453" s="9"/>
      <c r="R453" s="9"/>
      <c r="S453" s="9"/>
      <c r="T453" s="9"/>
      <c r="U453" s="9"/>
      <c r="V453" s="9"/>
      <c r="W453" s="9"/>
      <c r="X453" s="9"/>
      <c r="Y453" s="9"/>
      <c r="Z453" s="9"/>
      <c r="AA453" s="9"/>
      <c r="AB453" s="9"/>
      <c r="AC453" s="9"/>
      <c r="AD453" s="25"/>
      <c r="AE453" s="25">
        <f t="shared" si="9"/>
        <v>0</v>
      </c>
      <c r="AF453" s="23" t="s">
        <v>570</v>
      </c>
      <c r="AG453" s="9"/>
      <c r="AH453" s="9"/>
      <c r="AI453" s="9"/>
    </row>
    <row r="454" ht="15.75" customHeight="1">
      <c r="A454" s="9"/>
      <c r="B454" s="9"/>
      <c r="C454" s="9"/>
      <c r="D454" s="9"/>
      <c r="E454" s="57" t="s">
        <v>538</v>
      </c>
      <c r="F454" s="58">
        <v>84000.0</v>
      </c>
      <c r="G454" s="58">
        <v>54596.0</v>
      </c>
      <c r="H454" s="57" t="s">
        <v>20</v>
      </c>
      <c r="I454" s="57" t="s">
        <v>21</v>
      </c>
      <c r="J454" s="57">
        <v>5.65962E8</v>
      </c>
      <c r="K454" s="57">
        <v>9726126.0</v>
      </c>
      <c r="L454" s="57" t="s">
        <v>101</v>
      </c>
      <c r="M454" s="59">
        <v>46126.0</v>
      </c>
      <c r="N454" s="60" t="b">
        <v>1</v>
      </c>
      <c r="O454" s="7"/>
      <c r="P454" s="23"/>
      <c r="Q454" s="9"/>
      <c r="R454" s="9"/>
      <c r="S454" s="9"/>
      <c r="T454" s="9"/>
      <c r="U454" s="9"/>
      <c r="V454" s="9"/>
      <c r="W454" s="9"/>
      <c r="X454" s="9"/>
      <c r="Y454" s="9"/>
      <c r="Z454" s="9"/>
      <c r="AA454" s="9"/>
      <c r="AB454" s="9"/>
      <c r="AC454" s="9"/>
      <c r="AD454" s="25"/>
      <c r="AE454" s="25">
        <f t="shared" si="9"/>
        <v>0</v>
      </c>
      <c r="AF454" s="23" t="s">
        <v>570</v>
      </c>
      <c r="AG454" s="9"/>
      <c r="AH454" s="9"/>
      <c r="AI454" s="9"/>
    </row>
    <row r="455" ht="15.75" customHeight="1">
      <c r="A455" s="9"/>
      <c r="B455" s="9"/>
      <c r="C455" s="9"/>
      <c r="D455" s="9"/>
      <c r="E455" s="57" t="s">
        <v>539</v>
      </c>
      <c r="F455" s="58">
        <v>80874.0</v>
      </c>
      <c r="G455" s="58">
        <v>53194.0</v>
      </c>
      <c r="H455" s="57" t="s">
        <v>26</v>
      </c>
      <c r="I455" s="57" t="s">
        <v>21</v>
      </c>
      <c r="J455" s="57">
        <v>6.03913E8</v>
      </c>
      <c r="K455" s="57">
        <v>9282106.0</v>
      </c>
      <c r="L455" s="57" t="s">
        <v>160</v>
      </c>
      <c r="M455" s="65">
        <v>46125.5</v>
      </c>
      <c r="N455" s="60" t="b">
        <v>0</v>
      </c>
      <c r="O455" s="7"/>
      <c r="P455" s="23"/>
      <c r="Q455" s="9"/>
      <c r="R455" s="9"/>
      <c r="S455" s="9"/>
      <c r="T455" s="9"/>
      <c r="U455" s="9"/>
      <c r="V455" s="9"/>
      <c r="W455" s="9"/>
      <c r="X455" s="9"/>
      <c r="Y455" s="9"/>
      <c r="Z455" s="9"/>
      <c r="AA455" s="9"/>
      <c r="AB455" s="9"/>
      <c r="AC455" s="9"/>
      <c r="AD455" s="25"/>
      <c r="AE455" s="25">
        <f t="shared" si="9"/>
        <v>0</v>
      </c>
      <c r="AF455" s="23" t="s">
        <v>570</v>
      </c>
      <c r="AG455" s="9"/>
      <c r="AH455" s="9"/>
      <c r="AI455" s="9"/>
    </row>
    <row r="456" ht="15.75" customHeight="1">
      <c r="A456" s="9"/>
      <c r="B456" s="9"/>
      <c r="C456" s="9"/>
      <c r="D456" s="9"/>
      <c r="E456" s="57" t="s">
        <v>540</v>
      </c>
      <c r="F456" s="58">
        <v>86000.0</v>
      </c>
      <c r="G456" s="58">
        <v>50912.0</v>
      </c>
      <c r="H456" s="57" t="s">
        <v>20</v>
      </c>
      <c r="I456" s="57" t="s">
        <v>21</v>
      </c>
      <c r="J456" s="57">
        <v>6.36023912E8</v>
      </c>
      <c r="K456" s="57">
        <v>9958274.0</v>
      </c>
      <c r="L456" s="57" t="s">
        <v>190</v>
      </c>
      <c r="M456" s="59">
        <v>46146.083333333336</v>
      </c>
      <c r="N456" s="60" t="b">
        <v>1</v>
      </c>
      <c r="O456" s="7"/>
      <c r="P456" s="23"/>
      <c r="Q456" s="9"/>
      <c r="R456" s="9"/>
      <c r="S456" s="9"/>
      <c r="T456" s="9"/>
      <c r="U456" s="9"/>
      <c r="V456" s="9"/>
      <c r="W456" s="9"/>
      <c r="X456" s="9"/>
      <c r="Y456" s="9"/>
      <c r="Z456" s="9"/>
      <c r="AA456" s="9"/>
      <c r="AB456" s="9"/>
      <c r="AC456" s="9"/>
      <c r="AD456" s="25"/>
      <c r="AE456" s="25">
        <f t="shared" si="9"/>
        <v>0</v>
      </c>
      <c r="AF456" s="23" t="s">
        <v>570</v>
      </c>
      <c r="AG456" s="9"/>
      <c r="AH456" s="9"/>
      <c r="AI456" s="9"/>
    </row>
    <row r="457" ht="15.75" customHeight="1">
      <c r="A457" s="9"/>
      <c r="B457" s="9"/>
      <c r="C457" s="9"/>
      <c r="D457" s="9"/>
      <c r="E457" s="57" t="s">
        <v>541</v>
      </c>
      <c r="F457" s="58">
        <v>84333.0</v>
      </c>
      <c r="G457" s="58">
        <v>54826.0</v>
      </c>
      <c r="H457" s="57" t="s">
        <v>20</v>
      </c>
      <c r="I457" s="57" t="s">
        <v>21</v>
      </c>
      <c r="J457" s="57">
        <v>3.52004527E8</v>
      </c>
      <c r="K457" s="57">
        <v>9208227.0</v>
      </c>
      <c r="L457" s="57" t="s">
        <v>67</v>
      </c>
      <c r="M457" s="59">
        <v>46139.333333333336</v>
      </c>
      <c r="N457" s="60" t="b">
        <v>1</v>
      </c>
      <c r="O457" s="7"/>
      <c r="P457" s="23"/>
      <c r="Q457" s="9"/>
      <c r="R457" s="9"/>
      <c r="S457" s="9"/>
      <c r="T457" s="9"/>
      <c r="U457" s="9"/>
      <c r="V457" s="9"/>
      <c r="W457" s="9"/>
      <c r="X457" s="9"/>
      <c r="Y457" s="9"/>
      <c r="Z457" s="9"/>
      <c r="AA457" s="9"/>
      <c r="AB457" s="9"/>
      <c r="AC457" s="9"/>
      <c r="AD457" s="25"/>
      <c r="AE457" s="25">
        <f t="shared" si="9"/>
        <v>0</v>
      </c>
      <c r="AF457" s="23" t="s">
        <v>570</v>
      </c>
      <c r="AG457" s="9"/>
      <c r="AH457" s="9"/>
      <c r="AI457" s="9"/>
    </row>
    <row r="458" ht="15.75" customHeight="1">
      <c r="A458" s="9"/>
      <c r="B458" s="9"/>
      <c r="C458" s="9"/>
      <c r="D458" s="9"/>
      <c r="E458" s="57" t="s">
        <v>542</v>
      </c>
      <c r="F458" s="58">
        <v>82200.0</v>
      </c>
      <c r="G458" s="58">
        <v>54243.0</v>
      </c>
      <c r="H458" s="57" t="s">
        <v>26</v>
      </c>
      <c r="I458" s="57" t="s">
        <v>21</v>
      </c>
      <c r="J458" s="57">
        <v>4.31571E8</v>
      </c>
      <c r="K458" s="57">
        <v>9723681.0</v>
      </c>
      <c r="L458" s="57" t="s">
        <v>95</v>
      </c>
      <c r="M458" s="65">
        <v>46127.5</v>
      </c>
      <c r="N458" s="60" t="b">
        <v>0</v>
      </c>
      <c r="O458" s="7"/>
      <c r="P458" s="23"/>
      <c r="Q458" s="9"/>
      <c r="R458" s="9"/>
      <c r="S458" s="9"/>
      <c r="T458" s="9"/>
      <c r="U458" s="9"/>
      <c r="V458" s="9"/>
      <c r="W458" s="9"/>
      <c r="X458" s="9"/>
      <c r="Y458" s="9"/>
      <c r="Z458" s="9"/>
      <c r="AA458" s="9"/>
      <c r="AB458" s="9"/>
      <c r="AC458" s="9"/>
      <c r="AD458" s="25"/>
      <c r="AE458" s="25">
        <f t="shared" si="9"/>
        <v>0</v>
      </c>
      <c r="AF458" s="23" t="s">
        <v>570</v>
      </c>
      <c r="AG458" s="9"/>
      <c r="AH458" s="9"/>
      <c r="AI458" s="9"/>
    </row>
    <row r="459" ht="15.75" customHeight="1">
      <c r="A459" s="9"/>
      <c r="B459" s="9"/>
      <c r="C459" s="9"/>
      <c r="D459" s="9"/>
      <c r="E459" s="57" t="s">
        <v>543</v>
      </c>
      <c r="F459" s="58">
        <v>78566.0</v>
      </c>
      <c r="G459" s="58">
        <v>52991.0</v>
      </c>
      <c r="H459" s="57" t="s">
        <v>20</v>
      </c>
      <c r="I459" s="57" t="s">
        <v>21</v>
      </c>
      <c r="J459" s="57">
        <v>3.70163E8</v>
      </c>
      <c r="K459" s="57">
        <v>9369461.0</v>
      </c>
      <c r="L459" s="57" t="s">
        <v>589</v>
      </c>
      <c r="M459" s="59">
        <v>46126.00069444445</v>
      </c>
      <c r="N459" s="60" t="b">
        <v>1</v>
      </c>
      <c r="O459" s="7"/>
      <c r="P459" s="23"/>
      <c r="Q459" s="9"/>
      <c r="R459" s="9"/>
      <c r="S459" s="9"/>
      <c r="T459" s="9"/>
      <c r="U459" s="9"/>
      <c r="V459" s="9"/>
      <c r="W459" s="9"/>
      <c r="X459" s="9"/>
      <c r="Y459" s="9"/>
      <c r="Z459" s="9"/>
      <c r="AA459" s="9"/>
      <c r="AB459" s="9"/>
      <c r="AC459" s="9"/>
      <c r="AD459" s="25"/>
      <c r="AE459" s="25">
        <f t="shared" si="9"/>
        <v>0</v>
      </c>
      <c r="AF459" s="23" t="s">
        <v>570</v>
      </c>
      <c r="AG459" s="9"/>
      <c r="AH459" s="9"/>
      <c r="AI459" s="9"/>
    </row>
    <row r="460" ht="15.75" customHeight="1">
      <c r="A460" s="9"/>
      <c r="B460" s="9"/>
      <c r="C460" s="9"/>
      <c r="D460" s="9"/>
      <c r="E460" s="57" t="s">
        <v>544</v>
      </c>
      <c r="F460" s="58">
        <v>77340.0</v>
      </c>
      <c r="G460" s="58">
        <v>49999.0</v>
      </c>
      <c r="H460" s="57" t="s">
        <v>20</v>
      </c>
      <c r="I460" s="57" t="s">
        <v>21</v>
      </c>
      <c r="J460" s="57">
        <v>4.31653E8</v>
      </c>
      <c r="K460" s="57">
        <v>9287948.0</v>
      </c>
      <c r="L460" s="57" t="s">
        <v>101</v>
      </c>
      <c r="M460" s="59">
        <v>46125.9375</v>
      </c>
      <c r="N460" s="60" t="b">
        <v>1</v>
      </c>
      <c r="O460" s="7"/>
      <c r="P460" s="23"/>
      <c r="Q460" s="9"/>
      <c r="R460" s="9"/>
      <c r="S460" s="9"/>
      <c r="T460" s="9"/>
      <c r="U460" s="9"/>
      <c r="V460" s="9"/>
      <c r="W460" s="9"/>
      <c r="X460" s="9"/>
      <c r="Y460" s="9"/>
      <c r="Z460" s="9"/>
      <c r="AA460" s="9"/>
      <c r="AB460" s="9"/>
      <c r="AC460" s="9"/>
      <c r="AD460" s="25"/>
      <c r="AE460" s="25">
        <f t="shared" si="9"/>
        <v>0</v>
      </c>
      <c r="AF460" s="23" t="s">
        <v>570</v>
      </c>
      <c r="AG460" s="9"/>
      <c r="AH460" s="9"/>
      <c r="AI460" s="9"/>
    </row>
    <row r="461" ht="15.75" customHeight="1">
      <c r="A461" s="9"/>
      <c r="B461" s="9"/>
      <c r="C461" s="9"/>
      <c r="D461" s="9"/>
      <c r="E461" s="57" t="s">
        <v>546</v>
      </c>
      <c r="F461" s="58">
        <v>77297.0</v>
      </c>
      <c r="G461" s="58">
        <v>49999.0</v>
      </c>
      <c r="H461" s="57" t="s">
        <v>66</v>
      </c>
      <c r="I461" s="57" t="s">
        <v>21</v>
      </c>
      <c r="J461" s="57">
        <v>3.5695E8</v>
      </c>
      <c r="K461" s="57">
        <v>9206384.0</v>
      </c>
      <c r="L461" s="61"/>
      <c r="M461" s="64"/>
      <c r="N461" s="60" t="b">
        <v>1</v>
      </c>
      <c r="O461" s="7"/>
      <c r="P461" s="23"/>
      <c r="Q461" s="9"/>
      <c r="R461" s="9"/>
      <c r="S461" s="9"/>
      <c r="T461" s="9"/>
      <c r="U461" s="9"/>
      <c r="V461" s="9"/>
      <c r="W461" s="9"/>
      <c r="X461" s="9"/>
      <c r="Y461" s="9"/>
      <c r="Z461" s="9"/>
      <c r="AA461" s="9"/>
      <c r="AB461" s="9"/>
      <c r="AC461" s="9"/>
      <c r="AD461" s="25"/>
      <c r="AE461" s="25">
        <f t="shared" si="9"/>
        <v>0</v>
      </c>
      <c r="AF461" s="23" t="s">
        <v>570</v>
      </c>
      <c r="AG461" s="9"/>
      <c r="AH461" s="9"/>
      <c r="AI461" s="9"/>
    </row>
    <row r="462" ht="15.75" customHeight="1">
      <c r="A462" s="9"/>
      <c r="B462" s="9"/>
      <c r="C462" s="9"/>
      <c r="D462" s="9"/>
      <c r="E462" s="57" t="s">
        <v>548</v>
      </c>
      <c r="F462" s="58">
        <v>83332.0</v>
      </c>
      <c r="G462" s="58">
        <v>55154.0</v>
      </c>
      <c r="H462" s="57" t="s">
        <v>20</v>
      </c>
      <c r="I462" s="57" t="s">
        <v>21</v>
      </c>
      <c r="J462" s="57">
        <v>4.3123E8</v>
      </c>
      <c r="K462" s="57">
        <v>9607758.0</v>
      </c>
      <c r="L462" s="57" t="s">
        <v>358</v>
      </c>
      <c r="M462" s="59">
        <v>46129.125</v>
      </c>
      <c r="N462" s="60" t="b">
        <v>1</v>
      </c>
      <c r="O462" s="7"/>
      <c r="P462" s="23"/>
      <c r="Q462" s="9"/>
      <c r="R462" s="9"/>
      <c r="S462" s="9"/>
      <c r="T462" s="9"/>
      <c r="U462" s="9"/>
      <c r="V462" s="9"/>
      <c r="W462" s="9"/>
      <c r="X462" s="9"/>
      <c r="Y462" s="9"/>
      <c r="Z462" s="9"/>
      <c r="AA462" s="9"/>
      <c r="AB462" s="9"/>
      <c r="AC462" s="9"/>
      <c r="AD462" s="25"/>
      <c r="AE462" s="25">
        <f t="shared" si="9"/>
        <v>0</v>
      </c>
      <c r="AF462" s="23" t="s">
        <v>570</v>
      </c>
      <c r="AG462" s="9"/>
      <c r="AH462" s="9"/>
      <c r="AI462" s="9"/>
    </row>
    <row r="463" ht="15.75" customHeight="1">
      <c r="A463" s="9"/>
      <c r="B463" s="9"/>
      <c r="C463" s="9"/>
      <c r="D463" s="9"/>
      <c r="E463" s="57" t="s">
        <v>549</v>
      </c>
      <c r="F463" s="58">
        <v>84000.0</v>
      </c>
      <c r="G463" s="58">
        <v>54505.0</v>
      </c>
      <c r="H463" s="57" t="s">
        <v>590</v>
      </c>
      <c r="I463" s="57" t="s">
        <v>21</v>
      </c>
      <c r="J463" s="57">
        <v>5.66013E8</v>
      </c>
      <c r="K463" s="57">
        <v>9734513.0</v>
      </c>
      <c r="L463" s="57" t="s">
        <v>38</v>
      </c>
      <c r="M463" s="65">
        <v>46125.67013888889</v>
      </c>
      <c r="N463" s="60" t="b">
        <v>0</v>
      </c>
      <c r="O463" s="7"/>
      <c r="P463" s="23"/>
      <c r="Q463" s="9"/>
      <c r="R463" s="9"/>
      <c r="S463" s="9"/>
      <c r="T463" s="9"/>
      <c r="U463" s="9"/>
      <c r="V463" s="9"/>
      <c r="W463" s="9"/>
      <c r="X463" s="9"/>
      <c r="Y463" s="9"/>
      <c r="Z463" s="9"/>
      <c r="AA463" s="9"/>
      <c r="AB463" s="9"/>
      <c r="AC463" s="9"/>
      <c r="AD463" s="25"/>
      <c r="AE463" s="25">
        <f t="shared" si="9"/>
        <v>0</v>
      </c>
      <c r="AF463" s="23" t="s">
        <v>570</v>
      </c>
      <c r="AG463" s="9"/>
      <c r="AH463" s="9"/>
      <c r="AI463" s="9"/>
    </row>
    <row r="464" ht="15.75" customHeight="1">
      <c r="A464" s="9"/>
      <c r="B464" s="9"/>
      <c r="C464" s="9"/>
      <c r="D464" s="9"/>
      <c r="E464" s="57" t="s">
        <v>550</v>
      </c>
      <c r="F464" s="58">
        <v>80186.0</v>
      </c>
      <c r="G464" s="58">
        <v>53067.0</v>
      </c>
      <c r="H464" s="57" t="s">
        <v>26</v>
      </c>
      <c r="I464" s="57" t="s">
        <v>21</v>
      </c>
      <c r="J464" s="57">
        <v>6.36020799E8</v>
      </c>
      <c r="K464" s="57">
        <v>9405887.0</v>
      </c>
      <c r="L464" s="57" t="s">
        <v>38</v>
      </c>
      <c r="M464" s="59">
        <v>46127.833333333336</v>
      </c>
      <c r="N464" s="60" t="b">
        <v>0</v>
      </c>
      <c r="O464" s="7"/>
      <c r="P464" s="23"/>
      <c r="Q464" s="9"/>
      <c r="R464" s="9"/>
      <c r="S464" s="9"/>
      <c r="T464" s="9"/>
      <c r="U464" s="9"/>
      <c r="V464" s="9"/>
      <c r="W464" s="9"/>
      <c r="X464" s="9"/>
      <c r="Y464" s="9"/>
      <c r="Z464" s="9"/>
      <c r="AA464" s="9"/>
      <c r="AB464" s="9"/>
      <c r="AC464" s="9"/>
      <c r="AD464" s="25"/>
      <c r="AE464" s="25">
        <f t="shared" si="9"/>
        <v>0</v>
      </c>
      <c r="AF464" s="23" t="s">
        <v>570</v>
      </c>
      <c r="AG464" s="9"/>
      <c r="AH464" s="9"/>
      <c r="AI464" s="9"/>
    </row>
    <row r="465" ht="15.75" customHeight="1">
      <c r="A465" s="9"/>
      <c r="B465" s="9"/>
      <c r="C465" s="9"/>
      <c r="D465" s="9"/>
      <c r="E465" s="57" t="s">
        <v>552</v>
      </c>
      <c r="F465" s="58">
        <v>86000.0</v>
      </c>
      <c r="G465" s="58">
        <v>50912.0</v>
      </c>
      <c r="H465" s="57" t="s">
        <v>26</v>
      </c>
      <c r="I465" s="57" t="s">
        <v>21</v>
      </c>
      <c r="J465" s="57">
        <v>5.632996E8</v>
      </c>
      <c r="K465" s="57">
        <v>9958262.0</v>
      </c>
      <c r="L465" s="57" t="s">
        <v>38</v>
      </c>
      <c r="M465" s="65">
        <v>46124.791666666664</v>
      </c>
      <c r="N465" s="60" t="b">
        <v>0</v>
      </c>
      <c r="O465" s="7"/>
      <c r="P465" s="23"/>
      <c r="Q465" s="9"/>
      <c r="R465" s="9"/>
      <c r="S465" s="9"/>
      <c r="T465" s="9"/>
      <c r="U465" s="9"/>
      <c r="V465" s="9"/>
      <c r="W465" s="9"/>
      <c r="X465" s="9"/>
      <c r="Y465" s="9"/>
      <c r="Z465" s="9"/>
      <c r="AA465" s="9"/>
      <c r="AB465" s="9"/>
      <c r="AC465" s="9"/>
      <c r="AD465" s="25"/>
      <c r="AE465" s="25">
        <f t="shared" si="9"/>
        <v>0</v>
      </c>
      <c r="AF465" s="23" t="s">
        <v>570</v>
      </c>
      <c r="AG465" s="9"/>
      <c r="AH465" s="9"/>
      <c r="AI465" s="9"/>
    </row>
    <row r="466" ht="15.75" customHeight="1">
      <c r="A466" s="9"/>
      <c r="B466" s="9"/>
      <c r="C466" s="9"/>
      <c r="D466" s="9"/>
      <c r="E466" s="57" t="s">
        <v>553</v>
      </c>
      <c r="F466" s="58">
        <v>78614.0</v>
      </c>
      <c r="G466" s="58">
        <v>53208.0</v>
      </c>
      <c r="H466" s="57" t="s">
        <v>26</v>
      </c>
      <c r="I466" s="57" t="s">
        <v>21</v>
      </c>
      <c r="J466" s="57">
        <v>3.52002154E8</v>
      </c>
      <c r="K466" s="57">
        <v>9290270.0</v>
      </c>
      <c r="L466" s="57" t="s">
        <v>591</v>
      </c>
      <c r="M466" s="59">
        <v>46124.75</v>
      </c>
      <c r="N466" s="60" t="b">
        <v>0</v>
      </c>
      <c r="O466" s="7"/>
      <c r="P466" s="23"/>
      <c r="Q466" s="9"/>
      <c r="R466" s="9"/>
      <c r="S466" s="9"/>
      <c r="T466" s="9"/>
      <c r="U466" s="9"/>
      <c r="V466" s="9"/>
      <c r="W466" s="9"/>
      <c r="X466" s="9"/>
      <c r="Y466" s="9"/>
      <c r="Z466" s="9"/>
      <c r="AA466" s="9"/>
      <c r="AB466" s="9"/>
      <c r="AC466" s="9"/>
      <c r="AD466" s="25"/>
      <c r="AE466" s="25">
        <f t="shared" si="9"/>
        <v>0</v>
      </c>
      <c r="AF466" s="23" t="s">
        <v>570</v>
      </c>
      <c r="AG466" s="9"/>
      <c r="AH466" s="9"/>
      <c r="AI466" s="9"/>
    </row>
    <row r="467" ht="15.75" customHeight="1">
      <c r="A467" s="9"/>
      <c r="B467" s="9"/>
      <c r="C467" s="9"/>
      <c r="D467" s="9"/>
      <c r="E467" s="57" t="s">
        <v>592</v>
      </c>
      <c r="F467" s="58">
        <v>88000.0</v>
      </c>
      <c r="G467" s="58">
        <v>63968.0</v>
      </c>
      <c r="H467" s="57" t="s">
        <v>72</v>
      </c>
      <c r="I467" s="57" t="s">
        <v>73</v>
      </c>
      <c r="K467" s="57">
        <v>1033963.0</v>
      </c>
      <c r="L467" s="61"/>
      <c r="M467" s="62"/>
      <c r="N467" s="60" t="b">
        <v>0</v>
      </c>
      <c r="O467" s="7"/>
      <c r="P467" s="23"/>
      <c r="Q467" s="9"/>
      <c r="R467" s="9"/>
      <c r="S467" s="9"/>
      <c r="T467" s="9"/>
      <c r="U467" s="9"/>
      <c r="V467" s="9"/>
      <c r="W467" s="9"/>
      <c r="X467" s="9"/>
      <c r="Y467" s="9"/>
      <c r="Z467" s="9"/>
      <c r="AA467" s="9"/>
      <c r="AB467" s="9"/>
      <c r="AC467" s="9"/>
      <c r="AD467" s="25"/>
      <c r="AE467" s="25">
        <f t="shared" si="9"/>
        <v>0</v>
      </c>
      <c r="AF467" s="23" t="s">
        <v>570</v>
      </c>
      <c r="AG467" s="9"/>
      <c r="AH467" s="9"/>
      <c r="AI467" s="9"/>
    </row>
    <row r="468" ht="15.75" customHeight="1">
      <c r="A468" s="9"/>
      <c r="B468" s="9"/>
      <c r="C468" s="9"/>
      <c r="D468" s="9"/>
      <c r="E468" s="57" t="s">
        <v>593</v>
      </c>
      <c r="F468" s="58">
        <v>88000.0</v>
      </c>
      <c r="G468" s="58">
        <v>63968.0</v>
      </c>
      <c r="H468" s="57" t="s">
        <v>72</v>
      </c>
      <c r="I468" s="57" t="s">
        <v>73</v>
      </c>
      <c r="K468" s="57">
        <v>1033975.0</v>
      </c>
      <c r="L468" s="61"/>
      <c r="M468" s="62"/>
      <c r="N468" s="60" t="b">
        <v>0</v>
      </c>
      <c r="O468" s="7"/>
      <c r="P468" s="23"/>
      <c r="Q468" s="9"/>
      <c r="R468" s="9"/>
      <c r="S468" s="9"/>
      <c r="T468" s="9"/>
      <c r="U468" s="9"/>
      <c r="V468" s="9"/>
      <c r="W468" s="9"/>
      <c r="X468" s="9"/>
      <c r="Y468" s="9"/>
      <c r="Z468" s="9"/>
      <c r="AA468" s="9"/>
      <c r="AB468" s="9"/>
      <c r="AC468" s="9"/>
      <c r="AD468" s="25"/>
      <c r="AE468" s="25">
        <f t="shared" si="9"/>
        <v>0</v>
      </c>
      <c r="AF468" s="23" t="s">
        <v>570</v>
      </c>
      <c r="AG468" s="9"/>
      <c r="AH468" s="9"/>
      <c r="AI468" s="9"/>
    </row>
    <row r="469" ht="15.75" customHeight="1">
      <c r="A469" s="9"/>
      <c r="B469" s="9"/>
      <c r="C469" s="9"/>
      <c r="D469" s="9"/>
      <c r="E469" s="57" t="s">
        <v>594</v>
      </c>
      <c r="F469" s="58">
        <v>93000.0</v>
      </c>
      <c r="G469" s="58">
        <v>65000.0</v>
      </c>
      <c r="H469" s="57" t="s">
        <v>72</v>
      </c>
      <c r="I469" s="57" t="s">
        <v>73</v>
      </c>
      <c r="K469" s="57">
        <v>1041142.0</v>
      </c>
      <c r="L469" s="61"/>
      <c r="M469" s="62"/>
      <c r="N469" s="60" t="b">
        <v>0</v>
      </c>
      <c r="O469" s="7"/>
      <c r="P469" s="23"/>
      <c r="Q469" s="9"/>
      <c r="R469" s="9"/>
      <c r="S469" s="9"/>
      <c r="T469" s="9"/>
      <c r="U469" s="9"/>
      <c r="V469" s="9"/>
      <c r="W469" s="9"/>
      <c r="X469" s="9"/>
      <c r="Y469" s="9"/>
      <c r="Z469" s="9"/>
      <c r="AA469" s="9"/>
      <c r="AB469" s="9"/>
      <c r="AC469" s="9"/>
      <c r="AD469" s="25"/>
      <c r="AE469" s="25">
        <f t="shared" si="9"/>
        <v>0</v>
      </c>
      <c r="AF469" s="23" t="s">
        <v>570</v>
      </c>
      <c r="AG469" s="9"/>
      <c r="AH469" s="9"/>
      <c r="AI469" s="9"/>
    </row>
    <row r="470" ht="15.75" customHeight="1">
      <c r="A470" s="9"/>
      <c r="B470" s="9"/>
      <c r="C470" s="9"/>
      <c r="D470" s="9"/>
      <c r="E470" s="57" t="s">
        <v>595</v>
      </c>
      <c r="F470" s="58">
        <v>93000.0</v>
      </c>
      <c r="G470" s="58">
        <v>65000.0</v>
      </c>
      <c r="H470" s="57" t="s">
        <v>72</v>
      </c>
      <c r="I470" s="57" t="s">
        <v>73</v>
      </c>
      <c r="K470" s="57">
        <v>1041154.0</v>
      </c>
      <c r="L470" s="61"/>
      <c r="M470" s="62"/>
      <c r="N470" s="60" t="b">
        <v>0</v>
      </c>
      <c r="O470" s="7"/>
      <c r="P470" s="23"/>
      <c r="Q470" s="9"/>
      <c r="R470" s="9"/>
      <c r="S470" s="9"/>
      <c r="T470" s="9"/>
      <c r="U470" s="9"/>
      <c r="V470" s="9"/>
      <c r="W470" s="9"/>
      <c r="X470" s="9"/>
      <c r="Y470" s="9"/>
      <c r="Z470" s="9"/>
      <c r="AA470" s="9"/>
      <c r="AB470" s="9"/>
      <c r="AC470" s="9"/>
      <c r="AD470" s="25"/>
      <c r="AE470" s="25">
        <f t="shared" si="9"/>
        <v>0</v>
      </c>
      <c r="AF470" s="23" t="s">
        <v>570</v>
      </c>
      <c r="AG470" s="9"/>
      <c r="AH470" s="9"/>
      <c r="AI470" s="9"/>
    </row>
    <row r="471" ht="15.75" customHeight="1">
      <c r="A471" s="9"/>
      <c r="B471" s="9"/>
      <c r="C471" s="9"/>
      <c r="D471" s="9"/>
      <c r="E471" s="57" t="s">
        <v>554</v>
      </c>
      <c r="F471" s="58">
        <v>82000.0</v>
      </c>
      <c r="G471" s="58">
        <v>54901.0</v>
      </c>
      <c r="H471" s="57" t="s">
        <v>26</v>
      </c>
      <c r="I471" s="57" t="s">
        <v>21</v>
      </c>
      <c r="J471" s="57">
        <v>3.52005658E8</v>
      </c>
      <c r="K471" s="57">
        <v>9625152.0</v>
      </c>
      <c r="L471" s="57" t="s">
        <v>555</v>
      </c>
      <c r="M471" s="59">
        <v>46134.583333333336</v>
      </c>
      <c r="N471" s="60" t="b">
        <v>0</v>
      </c>
      <c r="O471" s="7"/>
      <c r="P471" s="23"/>
      <c r="Q471" s="9"/>
      <c r="R471" s="9"/>
      <c r="S471" s="9"/>
      <c r="T471" s="9"/>
      <c r="U471" s="9"/>
      <c r="V471" s="9"/>
      <c r="W471" s="9"/>
      <c r="X471" s="9"/>
      <c r="Y471" s="9"/>
      <c r="Z471" s="9"/>
      <c r="AA471" s="9"/>
      <c r="AB471" s="9"/>
      <c r="AC471" s="9"/>
      <c r="AD471" s="25"/>
      <c r="AE471" s="25">
        <f t="shared" si="9"/>
        <v>0</v>
      </c>
      <c r="AF471" s="23" t="s">
        <v>570</v>
      </c>
      <c r="AG471" s="9"/>
      <c r="AH471" s="9"/>
      <c r="AI471" s="9"/>
    </row>
    <row r="472" ht="15.75" customHeight="1">
      <c r="A472" s="9"/>
      <c r="B472" s="9"/>
      <c r="C472" s="9"/>
      <c r="D472" s="9"/>
      <c r="E472" s="57" t="s">
        <v>556</v>
      </c>
      <c r="F472" s="58">
        <v>76882.0</v>
      </c>
      <c r="G472" s="58">
        <v>49708.0</v>
      </c>
      <c r="H472" s="57" t="s">
        <v>26</v>
      </c>
      <c r="I472" s="57" t="s">
        <v>21</v>
      </c>
      <c r="J472" s="57">
        <v>3.57862E8</v>
      </c>
      <c r="K472" s="57">
        <v>9127033.0</v>
      </c>
      <c r="L472" s="57" t="s">
        <v>160</v>
      </c>
      <c r="M472" s="65">
        <v>46127.416666666664</v>
      </c>
      <c r="N472" s="60" t="b">
        <v>0</v>
      </c>
      <c r="O472" s="7"/>
      <c r="P472" s="23"/>
      <c r="Q472" s="9"/>
      <c r="R472" s="9"/>
      <c r="S472" s="9"/>
      <c r="T472" s="9"/>
      <c r="U472" s="9"/>
      <c r="V472" s="9"/>
      <c r="W472" s="9"/>
      <c r="X472" s="9"/>
      <c r="Y472" s="9"/>
      <c r="Z472" s="9"/>
      <c r="AA472" s="9"/>
      <c r="AB472" s="9"/>
      <c r="AC472" s="9"/>
      <c r="AD472" s="25"/>
      <c r="AE472" s="25">
        <f t="shared" si="9"/>
        <v>0</v>
      </c>
      <c r="AF472" s="23" t="s">
        <v>570</v>
      </c>
      <c r="AG472" s="9"/>
      <c r="AH472" s="9"/>
      <c r="AI472" s="9"/>
    </row>
    <row r="473" ht="15.75" customHeight="1">
      <c r="A473" s="9"/>
      <c r="B473" s="9"/>
      <c r="C473" s="9"/>
      <c r="D473" s="9"/>
      <c r="E473" s="57" t="s">
        <v>557</v>
      </c>
      <c r="F473" s="58">
        <v>93000.0</v>
      </c>
      <c r="G473" s="58">
        <v>58032.0</v>
      </c>
      <c r="H473" s="57" t="s">
        <v>26</v>
      </c>
      <c r="I473" s="57" t="s">
        <v>21</v>
      </c>
      <c r="J473" s="57">
        <v>3.52003638E8</v>
      </c>
      <c r="K473" s="57">
        <v>9969821.0</v>
      </c>
      <c r="L473" s="61"/>
      <c r="M473" s="62"/>
      <c r="N473" s="60" t="b">
        <v>0</v>
      </c>
      <c r="O473" s="7"/>
      <c r="P473" s="23"/>
      <c r="Q473" s="9"/>
      <c r="R473" s="9"/>
      <c r="S473" s="9"/>
      <c r="T473" s="9"/>
      <c r="U473" s="9"/>
      <c r="V473" s="9"/>
      <c r="W473" s="9"/>
      <c r="X473" s="9"/>
      <c r="Y473" s="9"/>
      <c r="Z473" s="9"/>
      <c r="AA473" s="9"/>
      <c r="AB473" s="9"/>
      <c r="AC473" s="9"/>
      <c r="AD473" s="25"/>
      <c r="AE473" s="25">
        <f t="shared" si="9"/>
        <v>0</v>
      </c>
      <c r="AF473" s="23" t="s">
        <v>570</v>
      </c>
      <c r="AG473" s="9"/>
      <c r="AH473" s="9"/>
      <c r="AI473" s="9"/>
    </row>
    <row r="474" ht="15.75" customHeight="1">
      <c r="A474" s="9"/>
      <c r="B474" s="9"/>
      <c r="C474" s="9"/>
      <c r="D474" s="9"/>
      <c r="E474" s="57" t="s">
        <v>558</v>
      </c>
      <c r="F474" s="58">
        <v>84000.0</v>
      </c>
      <c r="G474" s="58">
        <v>54669.0</v>
      </c>
      <c r="H474" s="57" t="s">
        <v>26</v>
      </c>
      <c r="I474" s="57" t="s">
        <v>21</v>
      </c>
      <c r="J474" s="57">
        <v>2.59127E8</v>
      </c>
      <c r="K474" s="57">
        <v>9730139.0</v>
      </c>
      <c r="L474" s="57" t="s">
        <v>127</v>
      </c>
      <c r="M474" s="65">
        <v>46131.875</v>
      </c>
      <c r="N474" s="60" t="b">
        <v>0</v>
      </c>
      <c r="O474" s="7"/>
      <c r="P474" s="23"/>
      <c r="Q474" s="9"/>
      <c r="R474" s="9"/>
      <c r="S474" s="9"/>
      <c r="T474" s="9"/>
      <c r="U474" s="9"/>
      <c r="V474" s="9"/>
      <c r="W474" s="9"/>
      <c r="X474" s="9"/>
      <c r="Y474" s="9"/>
      <c r="Z474" s="9"/>
      <c r="AA474" s="9"/>
      <c r="AB474" s="9"/>
      <c r="AC474" s="9"/>
      <c r="AD474" s="25"/>
      <c r="AE474" s="25">
        <f t="shared" si="9"/>
        <v>0</v>
      </c>
      <c r="AF474" s="23" t="s">
        <v>570</v>
      </c>
      <c r="AG474" s="9"/>
      <c r="AH474" s="9"/>
      <c r="AI474" s="9"/>
    </row>
    <row r="475" ht="15.75" customHeight="1">
      <c r="A475" s="9"/>
      <c r="B475" s="9"/>
      <c r="C475" s="9"/>
      <c r="D475" s="9"/>
      <c r="E475" s="57" t="s">
        <v>559</v>
      </c>
      <c r="F475" s="58">
        <v>84000.0</v>
      </c>
      <c r="G475" s="58">
        <v>54593.0</v>
      </c>
      <c r="H475" s="57" t="s">
        <v>26</v>
      </c>
      <c r="I475" s="57" t="s">
        <v>21</v>
      </c>
      <c r="J475" s="57">
        <v>2.59156E8</v>
      </c>
      <c r="K475" s="57">
        <v>9762118.0</v>
      </c>
      <c r="L475" s="57" t="s">
        <v>52</v>
      </c>
      <c r="M475" s="59">
        <v>46132.041666666664</v>
      </c>
      <c r="N475" s="60" t="b">
        <v>0</v>
      </c>
      <c r="O475" s="7"/>
      <c r="P475" s="23"/>
      <c r="Q475" s="9"/>
      <c r="R475" s="9"/>
      <c r="S475" s="9"/>
      <c r="T475" s="9"/>
      <c r="U475" s="9"/>
      <c r="V475" s="9"/>
      <c r="W475" s="9"/>
      <c r="X475" s="9"/>
      <c r="Y475" s="9"/>
      <c r="Z475" s="9"/>
      <c r="AA475" s="9"/>
      <c r="AB475" s="9"/>
      <c r="AC475" s="9"/>
      <c r="AD475" s="25"/>
      <c r="AE475" s="25">
        <f t="shared" si="9"/>
        <v>0</v>
      </c>
      <c r="AF475" s="23" t="s">
        <v>570</v>
      </c>
      <c r="AG475" s="9"/>
      <c r="AH475" s="9"/>
      <c r="AI475" s="9"/>
    </row>
    <row r="476" ht="15.75" customHeight="1">
      <c r="A476" s="9"/>
      <c r="B476" s="9"/>
      <c r="C476" s="9"/>
      <c r="D476" s="9"/>
      <c r="E476" s="57" t="s">
        <v>560</v>
      </c>
      <c r="F476" s="58">
        <v>89348.0</v>
      </c>
      <c r="G476" s="58">
        <v>53940.0</v>
      </c>
      <c r="H476" s="57" t="s">
        <v>26</v>
      </c>
      <c r="I476" s="57" t="s">
        <v>21</v>
      </c>
      <c r="J476" s="57">
        <v>5.38010118E8</v>
      </c>
      <c r="K476" s="57">
        <v>9940978.0</v>
      </c>
      <c r="L476" s="57" t="s">
        <v>134</v>
      </c>
      <c r="M476" s="59">
        <v>46148.0</v>
      </c>
      <c r="N476" s="60" t="b">
        <v>0</v>
      </c>
      <c r="O476" s="7"/>
      <c r="P476" s="23"/>
      <c r="Q476" s="9"/>
      <c r="R476" s="9"/>
      <c r="S476" s="9"/>
      <c r="T476" s="9"/>
      <c r="U476" s="9"/>
      <c r="V476" s="9"/>
      <c r="W476" s="9"/>
      <c r="X476" s="9"/>
      <c r="Y476" s="9"/>
      <c r="Z476" s="9"/>
      <c r="AA476" s="9"/>
      <c r="AB476" s="9"/>
      <c r="AC476" s="9"/>
      <c r="AD476" s="25"/>
      <c r="AE476" s="25">
        <f t="shared" si="9"/>
        <v>0</v>
      </c>
      <c r="AF476" s="23" t="s">
        <v>570</v>
      </c>
      <c r="AG476" s="9"/>
      <c r="AH476" s="9"/>
      <c r="AI476" s="9"/>
    </row>
    <row r="477" ht="15.75" customHeight="1">
      <c r="A477" s="9"/>
      <c r="B477" s="9"/>
      <c r="C477" s="9"/>
      <c r="D477" s="9"/>
      <c r="E477" s="57" t="s">
        <v>562</v>
      </c>
      <c r="F477" s="58">
        <v>75382.0</v>
      </c>
      <c r="G477" s="58">
        <v>49618.0</v>
      </c>
      <c r="H477" s="57" t="s">
        <v>26</v>
      </c>
      <c r="I477" s="57" t="s">
        <v>21</v>
      </c>
      <c r="J477" s="57">
        <v>6.13467106E8</v>
      </c>
      <c r="K477" s="57">
        <v>8912558.0</v>
      </c>
      <c r="L477" s="57" t="s">
        <v>563</v>
      </c>
      <c r="M477" s="59">
        <v>46125.125</v>
      </c>
      <c r="N477" s="60" t="b">
        <v>0</v>
      </c>
      <c r="O477" s="7"/>
      <c r="P477" s="23"/>
      <c r="Q477" s="9"/>
      <c r="R477" s="9"/>
      <c r="S477" s="9"/>
      <c r="T477" s="9"/>
      <c r="U477" s="9"/>
      <c r="V477" s="9"/>
      <c r="W477" s="9"/>
      <c r="X477" s="9"/>
      <c r="Y477" s="9"/>
      <c r="Z477" s="9"/>
      <c r="AA477" s="9"/>
      <c r="AB477" s="9"/>
      <c r="AC477" s="9"/>
      <c r="AD477" s="25"/>
      <c r="AE477" s="25">
        <f t="shared" si="9"/>
        <v>0</v>
      </c>
      <c r="AF477" s="23" t="s">
        <v>570</v>
      </c>
      <c r="AG477" s="9"/>
      <c r="AH477" s="9"/>
      <c r="AI477" s="9"/>
    </row>
    <row r="478" ht="15.75" customHeight="1">
      <c r="A478" s="9"/>
      <c r="B478" s="9"/>
      <c r="C478" s="9"/>
      <c r="D478" s="9"/>
      <c r="E478" s="57" t="s">
        <v>564</v>
      </c>
      <c r="F478" s="58">
        <v>80771.0</v>
      </c>
      <c r="G478" s="58">
        <v>54538.0</v>
      </c>
      <c r="H478" s="57" t="s">
        <v>20</v>
      </c>
      <c r="I478" s="57" t="s">
        <v>21</v>
      </c>
      <c r="J478" s="57">
        <v>5.38005256E8</v>
      </c>
      <c r="K478" s="57">
        <v>9359454.0</v>
      </c>
      <c r="L478" s="57" t="s">
        <v>154</v>
      </c>
      <c r="M478" s="59">
        <v>46161.104166666664</v>
      </c>
      <c r="N478" s="60" t="b">
        <v>1</v>
      </c>
      <c r="O478" s="7"/>
      <c r="P478" s="23"/>
      <c r="Q478" s="9"/>
      <c r="R478" s="9"/>
      <c r="S478" s="9"/>
      <c r="T478" s="9"/>
      <c r="U478" s="9"/>
      <c r="V478" s="9"/>
      <c r="W478" s="9"/>
      <c r="X478" s="9"/>
      <c r="Y478" s="9"/>
      <c r="Z478" s="9"/>
      <c r="AA478" s="9"/>
      <c r="AB478" s="9"/>
      <c r="AC478" s="9"/>
      <c r="AD478" s="25"/>
      <c r="AE478" s="25">
        <f t="shared" si="9"/>
        <v>0</v>
      </c>
      <c r="AF478" s="23" t="s">
        <v>570</v>
      </c>
      <c r="AG478" s="9"/>
      <c r="AH478" s="9"/>
      <c r="AI478" s="9"/>
    </row>
    <row r="479" ht="15.75" customHeight="1">
      <c r="A479" s="9"/>
      <c r="B479" s="9"/>
      <c r="C479" s="9"/>
      <c r="D479" s="9"/>
      <c r="E479" s="57" t="s">
        <v>565</v>
      </c>
      <c r="F479" s="58">
        <v>84614.0</v>
      </c>
      <c r="G479" s="58">
        <v>54707.0</v>
      </c>
      <c r="H479" s="57" t="s">
        <v>26</v>
      </c>
      <c r="I479" s="57" t="s">
        <v>21</v>
      </c>
      <c r="J479" s="57">
        <v>3.14188E8</v>
      </c>
      <c r="K479" s="57">
        <v>9370537.0</v>
      </c>
      <c r="L479" s="61"/>
      <c r="M479" s="63"/>
      <c r="N479" s="60" t="b">
        <v>0</v>
      </c>
      <c r="O479" s="7"/>
      <c r="P479" s="23"/>
      <c r="Q479" s="9"/>
      <c r="R479" s="9"/>
      <c r="S479" s="9"/>
      <c r="T479" s="9"/>
      <c r="U479" s="9"/>
      <c r="V479" s="9"/>
      <c r="W479" s="9"/>
      <c r="X479" s="9"/>
      <c r="Y479" s="9"/>
      <c r="Z479" s="9"/>
      <c r="AA479" s="9"/>
      <c r="AB479" s="9"/>
      <c r="AC479" s="9"/>
      <c r="AD479" s="25"/>
      <c r="AE479" s="25">
        <f t="shared" si="9"/>
        <v>0</v>
      </c>
      <c r="AF479" s="23" t="s">
        <v>570</v>
      </c>
      <c r="AG479" s="9"/>
      <c r="AH479" s="9"/>
      <c r="AI479" s="9"/>
    </row>
    <row r="480" ht="15.75" customHeight="1">
      <c r="A480" s="9"/>
      <c r="B480" s="9"/>
      <c r="C480" s="9"/>
      <c r="D480" s="9"/>
      <c r="E480" s="57" t="s">
        <v>566</v>
      </c>
      <c r="F480" s="58">
        <v>88000.0</v>
      </c>
      <c r="G480" s="58">
        <v>60000.0</v>
      </c>
      <c r="H480" s="57" t="s">
        <v>26</v>
      </c>
      <c r="I480" s="57" t="s">
        <v>21</v>
      </c>
      <c r="J480" s="57">
        <v>6.36023949E8</v>
      </c>
      <c r="K480" s="57">
        <v>9987093.0</v>
      </c>
      <c r="L480" s="57" t="s">
        <v>38</v>
      </c>
      <c r="M480" s="59">
        <v>46147.708333333336</v>
      </c>
      <c r="N480" s="60" t="b">
        <v>0</v>
      </c>
      <c r="O480" s="7"/>
      <c r="P480" s="23"/>
      <c r="Q480" s="9"/>
      <c r="R480" s="9"/>
      <c r="S480" s="9"/>
      <c r="T480" s="9"/>
      <c r="U480" s="9"/>
      <c r="V480" s="9"/>
      <c r="W480" s="9"/>
      <c r="X480" s="9"/>
      <c r="Y480" s="9"/>
      <c r="Z480" s="9"/>
      <c r="AA480" s="9"/>
      <c r="AB480" s="9"/>
      <c r="AC480" s="9"/>
      <c r="AD480" s="25"/>
      <c r="AE480" s="25">
        <f t="shared" si="9"/>
        <v>0</v>
      </c>
      <c r="AF480" s="23" t="s">
        <v>570</v>
      </c>
      <c r="AG480" s="9"/>
      <c r="AH480" s="9"/>
      <c r="AI480" s="9"/>
    </row>
    <row r="481" ht="15.75" customHeight="1">
      <c r="A481" s="9"/>
      <c r="B481" s="9"/>
      <c r="C481" s="9"/>
      <c r="D481" s="9"/>
      <c r="E481" s="57" t="s">
        <v>567</v>
      </c>
      <c r="F481" s="58">
        <v>84000.0</v>
      </c>
      <c r="G481" s="58">
        <v>55075.0</v>
      </c>
      <c r="H481" s="57" t="s">
        <v>20</v>
      </c>
      <c r="I481" s="57" t="s">
        <v>21</v>
      </c>
      <c r="J481" s="57">
        <v>6.36024433E8</v>
      </c>
      <c r="K481" s="57">
        <v>9849277.0</v>
      </c>
      <c r="L481" s="57" t="s">
        <v>568</v>
      </c>
      <c r="M481" s="59">
        <v>46133.125</v>
      </c>
      <c r="N481" s="60" t="b">
        <v>1</v>
      </c>
      <c r="O481" s="7"/>
      <c r="P481" s="23"/>
      <c r="Q481" s="9"/>
      <c r="R481" s="9"/>
      <c r="S481" s="9"/>
      <c r="T481" s="9"/>
      <c r="U481" s="9"/>
      <c r="V481" s="9"/>
      <c r="W481" s="9"/>
      <c r="X481" s="9"/>
      <c r="Y481" s="9"/>
      <c r="Z481" s="9"/>
      <c r="AA481" s="9"/>
      <c r="AB481" s="9"/>
      <c r="AC481" s="9"/>
      <c r="AD481" s="25"/>
      <c r="AE481" s="25">
        <f t="shared" si="9"/>
        <v>0</v>
      </c>
      <c r="AF481" s="23" t="s">
        <v>570</v>
      </c>
      <c r="AG481" s="9"/>
      <c r="AH481" s="9"/>
      <c r="AI481" s="9"/>
    </row>
    <row r="482" ht="15.75" customHeight="1">
      <c r="A482" s="9"/>
      <c r="B482" s="9"/>
      <c r="C482" s="9"/>
      <c r="D482" s="9"/>
      <c r="E482" s="57" t="s">
        <v>569</v>
      </c>
      <c r="F482" s="58">
        <v>80000.0</v>
      </c>
      <c r="G482" s="58">
        <v>50591.0</v>
      </c>
      <c r="H482" s="57" t="s">
        <v>26</v>
      </c>
      <c r="I482" s="57" t="s">
        <v>21</v>
      </c>
      <c r="J482" s="57">
        <v>6.36018849E8</v>
      </c>
      <c r="K482" s="57">
        <v>9793234.0</v>
      </c>
      <c r="L482" s="57" t="s">
        <v>101</v>
      </c>
      <c r="M482" s="65">
        <v>46147.0</v>
      </c>
      <c r="N482" s="60" t="b">
        <v>0</v>
      </c>
      <c r="O482" s="7"/>
      <c r="P482" s="23"/>
      <c r="Q482" s="9"/>
      <c r="R482" s="9"/>
      <c r="S482" s="9"/>
      <c r="T482" s="9"/>
      <c r="U482" s="9"/>
      <c r="V482" s="9"/>
      <c r="W482" s="9"/>
      <c r="X482" s="9"/>
      <c r="Y482" s="9"/>
      <c r="Z482" s="9"/>
      <c r="AA482" s="9"/>
      <c r="AB482" s="9"/>
      <c r="AC482" s="9"/>
      <c r="AD482" s="25"/>
      <c r="AE482" s="25">
        <f t="shared" si="9"/>
        <v>0</v>
      </c>
      <c r="AF482" s="23" t="s">
        <v>570</v>
      </c>
      <c r="AG482" s="9"/>
      <c r="AH482" s="9"/>
      <c r="AI482" s="9"/>
    </row>
    <row r="483" ht="15.75" customHeight="1">
      <c r="A483" s="9"/>
      <c r="B483" s="9"/>
      <c r="C483" s="9"/>
      <c r="D483" s="9"/>
      <c r="E483" s="57" t="s">
        <v>571</v>
      </c>
      <c r="F483" s="58">
        <v>84000.0</v>
      </c>
      <c r="G483" s="58">
        <v>55065.0</v>
      </c>
      <c r="H483" s="57" t="s">
        <v>26</v>
      </c>
      <c r="I483" s="57" t="s">
        <v>21</v>
      </c>
      <c r="J483" s="57">
        <v>6.36024434E8</v>
      </c>
      <c r="K483" s="57">
        <v>9849289.0</v>
      </c>
      <c r="L483" s="57" t="s">
        <v>38</v>
      </c>
      <c r="M483" s="59">
        <v>46124.62847222222</v>
      </c>
      <c r="N483" s="60" t="b">
        <v>0</v>
      </c>
      <c r="O483" s="7"/>
      <c r="P483" s="23"/>
      <c r="Q483" s="9"/>
      <c r="R483" s="9"/>
      <c r="S483" s="9"/>
      <c r="T483" s="9"/>
      <c r="U483" s="9"/>
      <c r="V483" s="9"/>
      <c r="W483" s="9"/>
      <c r="X483" s="9"/>
      <c r="Y483" s="9"/>
      <c r="Z483" s="9"/>
      <c r="AA483" s="9"/>
      <c r="AB483" s="9"/>
      <c r="AC483" s="9"/>
      <c r="AD483" s="25"/>
      <c r="AE483" s="25">
        <f t="shared" si="9"/>
        <v>0</v>
      </c>
      <c r="AF483" s="23" t="s">
        <v>570</v>
      </c>
      <c r="AG483" s="9"/>
      <c r="AH483" s="9"/>
      <c r="AI483" s="9"/>
    </row>
    <row r="484" ht="15.75" customHeight="1">
      <c r="A484" s="9"/>
      <c r="B484" s="9"/>
      <c r="C484" s="9"/>
      <c r="D484" s="9"/>
      <c r="E484" s="57" t="s">
        <v>572</v>
      </c>
      <c r="F484" s="58">
        <v>84000.0</v>
      </c>
      <c r="G484" s="58">
        <v>50591.0</v>
      </c>
      <c r="H484" s="57" t="s">
        <v>26</v>
      </c>
      <c r="I484" s="57" t="s">
        <v>21</v>
      </c>
      <c r="J484" s="57">
        <v>6.36018926E8</v>
      </c>
      <c r="K484" s="57">
        <v>9793260.0</v>
      </c>
      <c r="L484" s="57" t="s">
        <v>38</v>
      </c>
      <c r="M484" s="59">
        <v>46137.708333333336</v>
      </c>
      <c r="N484" s="60" t="b">
        <v>0</v>
      </c>
      <c r="O484" s="7"/>
      <c r="P484" s="23"/>
      <c r="Q484" s="9"/>
      <c r="R484" s="9"/>
      <c r="S484" s="9"/>
      <c r="T484" s="9"/>
      <c r="U484" s="9"/>
      <c r="V484" s="9"/>
      <c r="W484" s="9"/>
      <c r="X484" s="9"/>
      <c r="Y484" s="9"/>
      <c r="Z484" s="9"/>
      <c r="AA484" s="9"/>
      <c r="AB484" s="9"/>
      <c r="AC484" s="9"/>
      <c r="AD484" s="25"/>
      <c r="AE484" s="25">
        <f t="shared" si="9"/>
        <v>0</v>
      </c>
      <c r="AF484" s="23" t="s">
        <v>570</v>
      </c>
      <c r="AG484" s="9"/>
      <c r="AH484" s="9"/>
      <c r="AI484" s="9"/>
    </row>
    <row r="485" ht="15.75" customHeight="1">
      <c r="A485" s="9"/>
      <c r="B485" s="9"/>
      <c r="C485" s="9"/>
      <c r="D485" s="9"/>
      <c r="E485" s="57" t="s">
        <v>573</v>
      </c>
      <c r="F485" s="58">
        <v>78700.0</v>
      </c>
      <c r="G485" s="58">
        <v>50591.0</v>
      </c>
      <c r="H485" s="57" t="s">
        <v>590</v>
      </c>
      <c r="I485" s="57" t="s">
        <v>21</v>
      </c>
      <c r="J485" s="57">
        <v>6.36018848E8</v>
      </c>
      <c r="K485" s="57">
        <v>9793246.0</v>
      </c>
      <c r="L485" s="57" t="s">
        <v>101</v>
      </c>
      <c r="M485" s="59">
        <v>46126.875</v>
      </c>
      <c r="N485" s="60" t="b">
        <v>0</v>
      </c>
      <c r="O485" s="7"/>
      <c r="P485" s="23"/>
      <c r="Q485" s="9"/>
      <c r="R485" s="9"/>
      <c r="S485" s="9"/>
      <c r="T485" s="9"/>
      <c r="U485" s="9"/>
      <c r="V485" s="9"/>
      <c r="W485" s="9"/>
      <c r="X485" s="9"/>
      <c r="Y485" s="9"/>
      <c r="Z485" s="9"/>
      <c r="AA485" s="9"/>
      <c r="AB485" s="9"/>
      <c r="AC485" s="9"/>
      <c r="AD485" s="25"/>
      <c r="AE485" s="25">
        <f t="shared" si="9"/>
        <v>0</v>
      </c>
      <c r="AF485" s="23" t="s">
        <v>570</v>
      </c>
      <c r="AG485" s="9"/>
      <c r="AH485" s="9"/>
      <c r="AI485" s="9"/>
    </row>
    <row r="486" ht="15.75" customHeight="1">
      <c r="A486" s="9"/>
      <c r="B486" s="9"/>
      <c r="C486" s="9"/>
      <c r="D486" s="9"/>
      <c r="E486" s="57" t="s">
        <v>574</v>
      </c>
      <c r="F486" s="58">
        <v>78700.0</v>
      </c>
      <c r="G486" s="58">
        <v>50591.0</v>
      </c>
      <c r="H486" s="57" t="s">
        <v>20</v>
      </c>
      <c r="I486" s="57" t="s">
        <v>21</v>
      </c>
      <c r="J486" s="57">
        <v>6.36018925E8</v>
      </c>
      <c r="K486" s="57">
        <v>9793258.0</v>
      </c>
      <c r="L486" s="57" t="s">
        <v>388</v>
      </c>
      <c r="M486" s="65">
        <v>46148.458333333336</v>
      </c>
      <c r="N486" s="60" t="b">
        <v>1</v>
      </c>
      <c r="O486" s="7"/>
      <c r="P486" s="23"/>
      <c r="Q486" s="9"/>
      <c r="R486" s="9"/>
      <c r="S486" s="9"/>
      <c r="T486" s="9"/>
      <c r="U486" s="9"/>
      <c r="V486" s="9"/>
      <c r="W486" s="9"/>
      <c r="X486" s="9"/>
      <c r="Y486" s="9"/>
      <c r="Z486" s="9"/>
      <c r="AA486" s="9"/>
      <c r="AB486" s="9"/>
      <c r="AC486" s="9"/>
      <c r="AD486" s="25"/>
      <c r="AE486" s="25">
        <f t="shared" si="9"/>
        <v>0</v>
      </c>
      <c r="AF486" s="23" t="s">
        <v>570</v>
      </c>
      <c r="AG486" s="9"/>
      <c r="AH486" s="9"/>
      <c r="AI486" s="9"/>
    </row>
    <row r="487" ht="15.75" customHeight="1">
      <c r="A487" s="9"/>
      <c r="B487" s="9"/>
      <c r="C487" s="9"/>
      <c r="D487" s="9"/>
      <c r="E487" s="57" t="s">
        <v>575</v>
      </c>
      <c r="F487" s="58">
        <v>80623.0</v>
      </c>
      <c r="G487" s="58">
        <v>58677.0</v>
      </c>
      <c r="H487" s="57" t="s">
        <v>26</v>
      </c>
      <c r="I487" s="57" t="s">
        <v>21</v>
      </c>
      <c r="J487" s="57">
        <v>5.25114108E8</v>
      </c>
      <c r="K487" s="57">
        <v>9347516.0</v>
      </c>
      <c r="L487" s="57" t="s">
        <v>52</v>
      </c>
      <c r="M487" s="65">
        <v>46152.625</v>
      </c>
      <c r="N487" s="60" t="b">
        <v>0</v>
      </c>
      <c r="O487" s="7"/>
      <c r="P487" s="23"/>
      <c r="Q487" s="9"/>
      <c r="R487" s="9"/>
      <c r="S487" s="9"/>
      <c r="T487" s="9"/>
      <c r="U487" s="9"/>
      <c r="V487" s="9"/>
      <c r="W487" s="9"/>
      <c r="X487" s="9"/>
      <c r="Y487" s="9"/>
      <c r="Z487" s="9"/>
      <c r="AA487" s="9"/>
      <c r="AB487" s="9"/>
      <c r="AC487" s="9"/>
      <c r="AD487" s="25"/>
      <c r="AE487" s="25">
        <f t="shared" si="9"/>
        <v>0</v>
      </c>
      <c r="AF487" s="23" t="s">
        <v>570</v>
      </c>
      <c r="AG487" s="9"/>
      <c r="AH487" s="9"/>
      <c r="AI487" s="9"/>
    </row>
    <row r="488" ht="15.75" customHeight="1">
      <c r="A488" s="9"/>
      <c r="B488" s="9"/>
      <c r="C488" s="9"/>
      <c r="D488" s="9"/>
      <c r="E488" s="57" t="s">
        <v>576</v>
      </c>
      <c r="F488" s="58">
        <v>75684.0</v>
      </c>
      <c r="G488" s="58">
        <v>55361.0</v>
      </c>
      <c r="H488" s="57" t="s">
        <v>66</v>
      </c>
      <c r="I488" s="57" t="s">
        <v>21</v>
      </c>
      <c r="J488" s="57">
        <v>3.71368E8</v>
      </c>
      <c r="K488" s="57">
        <v>7420089.0</v>
      </c>
      <c r="L488" s="61"/>
      <c r="M488" s="62"/>
      <c r="N488" s="60" t="b">
        <v>1</v>
      </c>
      <c r="O488" s="7"/>
      <c r="P488" s="23"/>
      <c r="Q488" s="9"/>
      <c r="R488" s="9"/>
      <c r="S488" s="9"/>
      <c r="T488" s="9"/>
      <c r="U488" s="9"/>
      <c r="V488" s="9"/>
      <c r="W488" s="9"/>
      <c r="X488" s="9"/>
      <c r="Y488" s="9"/>
      <c r="Z488" s="9"/>
      <c r="AA488" s="9"/>
      <c r="AB488" s="9"/>
      <c r="AC488" s="9"/>
      <c r="AD488" s="25"/>
      <c r="AE488" s="25">
        <f t="shared" si="9"/>
        <v>0</v>
      </c>
      <c r="AF488" s="23" t="s">
        <v>570</v>
      </c>
      <c r="AG488" s="9"/>
      <c r="AH488" s="9"/>
      <c r="AI488" s="9"/>
    </row>
    <row r="489" ht="15.75" customHeight="1">
      <c r="A489" s="9"/>
      <c r="B489" s="9"/>
      <c r="C489" s="9"/>
      <c r="D489" s="9"/>
      <c r="E489" s="57" t="s">
        <v>577</v>
      </c>
      <c r="F489" s="58">
        <v>80793.0</v>
      </c>
      <c r="G489" s="58">
        <v>58560.0</v>
      </c>
      <c r="H489" s="57" t="s">
        <v>20</v>
      </c>
      <c r="I489" s="57" t="s">
        <v>21</v>
      </c>
      <c r="J489" s="57">
        <v>5.38010314E8</v>
      </c>
      <c r="K489" s="57">
        <v>9387750.0</v>
      </c>
      <c r="L489" s="57" t="s">
        <v>494</v>
      </c>
      <c r="M489" s="65">
        <v>46126.625</v>
      </c>
      <c r="N489" s="60" t="b">
        <v>1</v>
      </c>
      <c r="O489" s="7"/>
      <c r="P489" s="23"/>
      <c r="Q489" s="9"/>
      <c r="R489" s="9"/>
      <c r="S489" s="9"/>
      <c r="T489" s="9"/>
      <c r="U489" s="9"/>
      <c r="V489" s="9"/>
      <c r="W489" s="9"/>
      <c r="X489" s="9"/>
      <c r="Y489" s="9"/>
      <c r="Z489" s="9"/>
      <c r="AA489" s="9"/>
      <c r="AB489" s="9"/>
      <c r="AC489" s="9"/>
      <c r="AD489" s="25"/>
      <c r="AE489" s="25">
        <f t="shared" si="9"/>
        <v>0</v>
      </c>
      <c r="AF489" s="23" t="s">
        <v>570</v>
      </c>
      <c r="AG489" s="9"/>
      <c r="AH489" s="9"/>
      <c r="AI489" s="9"/>
    </row>
    <row r="490" ht="15.75" customHeight="1">
      <c r="A490" s="9"/>
      <c r="B490" s="9"/>
      <c r="C490" s="9"/>
      <c r="D490" s="9"/>
      <c r="E490" s="57" t="s">
        <v>578</v>
      </c>
      <c r="F490" s="58">
        <v>84000.0</v>
      </c>
      <c r="G490" s="58">
        <v>53971.0</v>
      </c>
      <c r="H490" s="57" t="s">
        <v>20</v>
      </c>
      <c r="I490" s="57" t="s">
        <v>21</v>
      </c>
      <c r="J490" s="57">
        <v>3.71513E8</v>
      </c>
      <c r="K490" s="57">
        <v>9902172.0</v>
      </c>
      <c r="L490" s="57" t="s">
        <v>95</v>
      </c>
      <c r="M490" s="65">
        <v>46133.5</v>
      </c>
      <c r="N490" s="60" t="b">
        <v>1</v>
      </c>
      <c r="O490" s="7"/>
      <c r="P490" s="23"/>
      <c r="Q490" s="9"/>
      <c r="R490" s="9"/>
      <c r="S490" s="9"/>
      <c r="T490" s="9"/>
      <c r="U490" s="9"/>
      <c r="V490" s="9"/>
      <c r="W490" s="9"/>
      <c r="X490" s="9"/>
      <c r="Y490" s="9"/>
      <c r="Z490" s="9"/>
      <c r="AA490" s="9"/>
      <c r="AB490" s="9"/>
      <c r="AC490" s="9"/>
      <c r="AD490" s="25"/>
      <c r="AE490" s="25">
        <f t="shared" si="9"/>
        <v>0</v>
      </c>
      <c r="AF490" s="23" t="s">
        <v>570</v>
      </c>
      <c r="AG490" s="9"/>
      <c r="AH490" s="9"/>
      <c r="AI490" s="9"/>
    </row>
    <row r="491" ht="15.75" customHeight="1">
      <c r="A491" s="9"/>
      <c r="B491" s="9"/>
      <c r="C491" s="9"/>
      <c r="D491" s="9"/>
      <c r="E491" s="57" t="s">
        <v>579</v>
      </c>
      <c r="F491" s="58">
        <v>74080.0</v>
      </c>
      <c r="G491" s="58">
        <v>49353.0</v>
      </c>
      <c r="H491" s="57" t="s">
        <v>26</v>
      </c>
      <c r="I491" s="57" t="s">
        <v>21</v>
      </c>
      <c r="J491" s="57">
        <v>6.32001092E8</v>
      </c>
      <c r="K491" s="57">
        <v>9052331.0</v>
      </c>
      <c r="L491" s="57" t="s">
        <v>46</v>
      </c>
      <c r="M491" s="65">
        <v>46124.75</v>
      </c>
      <c r="N491" s="60" t="b">
        <v>0</v>
      </c>
      <c r="O491" s="7"/>
      <c r="P491" s="23"/>
      <c r="Q491" s="9"/>
      <c r="R491" s="9"/>
      <c r="S491" s="9"/>
      <c r="T491" s="9"/>
      <c r="U491" s="9"/>
      <c r="V491" s="9"/>
      <c r="W491" s="9"/>
      <c r="X491" s="9"/>
      <c r="Y491" s="9"/>
      <c r="Z491" s="9"/>
      <c r="AA491" s="9"/>
      <c r="AB491" s="9"/>
      <c r="AC491" s="9"/>
      <c r="AD491" s="25"/>
      <c r="AE491" s="25">
        <f t="shared" si="9"/>
        <v>0</v>
      </c>
      <c r="AF491" s="23" t="s">
        <v>570</v>
      </c>
      <c r="AG491" s="9"/>
      <c r="AH491" s="9"/>
      <c r="AI491" s="9"/>
    </row>
    <row r="492" ht="15.75" customHeight="1">
      <c r="A492" s="9"/>
      <c r="B492" s="9"/>
      <c r="C492" s="9"/>
      <c r="D492" s="9"/>
      <c r="E492" s="57" t="s">
        <v>580</v>
      </c>
      <c r="F492" s="58">
        <v>76916.0</v>
      </c>
      <c r="G492" s="58">
        <v>50357.0</v>
      </c>
      <c r="H492" s="57" t="s">
        <v>66</v>
      </c>
      <c r="I492" s="57" t="s">
        <v>21</v>
      </c>
      <c r="J492" s="57">
        <v>3.06212E8</v>
      </c>
      <c r="K492" s="57">
        <v>9007386.0</v>
      </c>
      <c r="L492" s="61"/>
      <c r="M492" s="62"/>
      <c r="N492" s="60" t="b">
        <v>1</v>
      </c>
      <c r="O492" s="7"/>
      <c r="P492" s="23"/>
      <c r="Q492" s="9"/>
      <c r="R492" s="9"/>
      <c r="S492" s="9"/>
      <c r="T492" s="9"/>
      <c r="U492" s="9"/>
      <c r="V492" s="9"/>
      <c r="W492" s="9"/>
      <c r="X492" s="9"/>
      <c r="Y492" s="9"/>
      <c r="Z492" s="9"/>
      <c r="AA492" s="9"/>
      <c r="AB492" s="9"/>
      <c r="AC492" s="9"/>
      <c r="AD492" s="25"/>
      <c r="AE492" s="25">
        <f t="shared" si="9"/>
        <v>0</v>
      </c>
      <c r="AF492" s="23" t="s">
        <v>570</v>
      </c>
      <c r="AG492" s="9"/>
      <c r="AH492" s="9"/>
      <c r="AI492" s="9"/>
    </row>
    <row r="493" ht="15.75" customHeight="1">
      <c r="A493" s="9"/>
      <c r="B493" s="9"/>
      <c r="C493" s="9"/>
      <c r="D493" s="9"/>
      <c r="E493" s="57" t="s">
        <v>581</v>
      </c>
      <c r="F493" s="58">
        <v>77351.0</v>
      </c>
      <c r="G493" s="58">
        <v>49999.0</v>
      </c>
      <c r="H493" s="57" t="s">
        <v>26</v>
      </c>
      <c r="I493" s="57" t="s">
        <v>21</v>
      </c>
      <c r="J493" s="57">
        <v>3.53812E8</v>
      </c>
      <c r="K493" s="57">
        <v>9238272.0</v>
      </c>
      <c r="L493" s="61"/>
      <c r="M493" s="64"/>
      <c r="N493" s="60" t="b">
        <v>0</v>
      </c>
      <c r="O493" s="7"/>
      <c r="P493" s="23"/>
      <c r="Q493" s="9"/>
      <c r="R493" s="9"/>
      <c r="S493" s="9"/>
      <c r="T493" s="9"/>
      <c r="U493" s="9"/>
      <c r="V493" s="9"/>
      <c r="W493" s="9"/>
      <c r="X493" s="9"/>
      <c r="Y493" s="9"/>
      <c r="Z493" s="9"/>
      <c r="AA493" s="9"/>
      <c r="AB493" s="9"/>
      <c r="AC493" s="9"/>
      <c r="AD493" s="25"/>
      <c r="AE493" s="25">
        <f t="shared" si="9"/>
        <v>0</v>
      </c>
      <c r="AF493" s="23" t="s">
        <v>570</v>
      </c>
      <c r="AG493" s="9"/>
      <c r="AH493" s="9"/>
      <c r="AI493" s="9"/>
    </row>
    <row r="494" ht="15.75" customHeight="1">
      <c r="A494" s="9"/>
      <c r="B494" s="9"/>
      <c r="C494" s="9"/>
      <c r="D494" s="9"/>
      <c r="E494" s="57" t="s">
        <v>582</v>
      </c>
      <c r="F494" s="58">
        <v>77338.0</v>
      </c>
      <c r="G494" s="58">
        <v>49999.0</v>
      </c>
      <c r="H494" s="57" t="s">
        <v>590</v>
      </c>
      <c r="I494" s="57" t="s">
        <v>21</v>
      </c>
      <c r="J494" s="57">
        <v>3.7123E8</v>
      </c>
      <c r="K494" s="57">
        <v>9322657.0</v>
      </c>
      <c r="L494" s="57" t="s">
        <v>95</v>
      </c>
      <c r="M494" s="65">
        <v>46142.00069444445</v>
      </c>
      <c r="N494" s="60" t="b">
        <v>1</v>
      </c>
      <c r="O494" s="7"/>
      <c r="P494" s="23"/>
      <c r="Q494" s="9"/>
      <c r="R494" s="9"/>
      <c r="S494" s="9"/>
      <c r="T494" s="9"/>
      <c r="U494" s="9"/>
      <c r="V494" s="9"/>
      <c r="W494" s="9"/>
      <c r="X494" s="9"/>
      <c r="Y494" s="9"/>
      <c r="Z494" s="9"/>
      <c r="AA494" s="9"/>
      <c r="AB494" s="9"/>
      <c r="AC494" s="9"/>
      <c r="AD494" s="25"/>
      <c r="AE494" s="25">
        <f t="shared" si="9"/>
        <v>0</v>
      </c>
      <c r="AF494" s="23" t="s">
        <v>570</v>
      </c>
      <c r="AG494" s="9"/>
      <c r="AH494" s="9"/>
      <c r="AI494" s="9"/>
    </row>
    <row r="495" ht="15.75" customHeight="1">
      <c r="A495" s="9"/>
      <c r="B495" s="9"/>
      <c r="C495" s="9"/>
      <c r="D495" s="9"/>
      <c r="E495" s="57" t="s">
        <v>583</v>
      </c>
      <c r="F495" s="58">
        <v>77324.0</v>
      </c>
      <c r="G495" s="58">
        <v>49999.0</v>
      </c>
      <c r="H495" s="57" t="s">
        <v>20</v>
      </c>
      <c r="I495" s="57" t="s">
        <v>21</v>
      </c>
      <c r="J495" s="57">
        <v>3.57117E8</v>
      </c>
      <c r="K495" s="57">
        <v>9395501.0</v>
      </c>
      <c r="L495" s="57" t="s">
        <v>154</v>
      </c>
      <c r="M495" s="66">
        <v>46162.041666666664</v>
      </c>
      <c r="N495" s="60" t="b">
        <v>1</v>
      </c>
      <c r="O495" s="7"/>
      <c r="P495" s="23"/>
      <c r="Q495" s="9"/>
      <c r="R495" s="9"/>
      <c r="S495" s="9"/>
      <c r="T495" s="9"/>
      <c r="U495" s="9"/>
      <c r="V495" s="9"/>
      <c r="W495" s="9"/>
      <c r="X495" s="9"/>
      <c r="Y495" s="9"/>
      <c r="Z495" s="9"/>
      <c r="AA495" s="9"/>
      <c r="AB495" s="9"/>
      <c r="AC495" s="9"/>
      <c r="AD495" s="25"/>
      <c r="AE495" s="25">
        <f t="shared" si="9"/>
        <v>0</v>
      </c>
      <c r="AF495" s="23" t="s">
        <v>570</v>
      </c>
      <c r="AG495" s="9"/>
      <c r="AH495" s="9"/>
      <c r="AI495" s="9"/>
    </row>
    <row r="496" ht="15.75" customHeight="1">
      <c r="A496" s="9"/>
      <c r="B496" s="9"/>
      <c r="C496" s="9"/>
      <c r="D496" s="9"/>
      <c r="E496" s="57" t="s">
        <v>584</v>
      </c>
      <c r="F496" s="58">
        <v>86000.0</v>
      </c>
      <c r="G496" s="58">
        <v>55211.0</v>
      </c>
      <c r="H496" s="57" t="s">
        <v>26</v>
      </c>
      <c r="I496" s="57" t="s">
        <v>21</v>
      </c>
      <c r="J496" s="57">
        <v>6.36021496E8</v>
      </c>
      <c r="K496" s="57">
        <v>9916824.0</v>
      </c>
      <c r="L496" s="57" t="s">
        <v>38</v>
      </c>
      <c r="M496" s="59">
        <v>46128.458333333336</v>
      </c>
      <c r="N496" s="60" t="b">
        <v>0</v>
      </c>
      <c r="O496" s="7"/>
      <c r="P496" s="23"/>
      <c r="Q496" s="9"/>
      <c r="R496" s="9"/>
      <c r="S496" s="9"/>
      <c r="T496" s="9"/>
      <c r="U496" s="9"/>
      <c r="V496" s="9"/>
      <c r="W496" s="9"/>
      <c r="X496" s="9"/>
      <c r="Y496" s="9"/>
      <c r="Z496" s="9"/>
      <c r="AA496" s="9"/>
      <c r="AB496" s="9"/>
      <c r="AC496" s="9"/>
      <c r="AD496" s="25"/>
      <c r="AE496" s="25">
        <f t="shared" si="9"/>
        <v>0</v>
      </c>
      <c r="AF496" s="23" t="s">
        <v>570</v>
      </c>
      <c r="AG496" s="9"/>
      <c r="AH496" s="9"/>
      <c r="AI496" s="9"/>
    </row>
    <row r="497" ht="15.75" customHeight="1">
      <c r="A497" s="9"/>
      <c r="B497" s="9"/>
      <c r="C497" s="9"/>
      <c r="D497" s="9"/>
      <c r="E497" s="57" t="s">
        <v>585</v>
      </c>
      <c r="F497" s="58">
        <v>88000.0</v>
      </c>
      <c r="G497" s="58">
        <v>58045.0</v>
      </c>
      <c r="H497" s="57" t="s">
        <v>26</v>
      </c>
      <c r="I497" s="57" t="s">
        <v>21</v>
      </c>
      <c r="J497" s="57">
        <v>6.36022848E8</v>
      </c>
      <c r="K497" s="57">
        <v>9987562.0</v>
      </c>
      <c r="L497" s="57" t="s">
        <v>134</v>
      </c>
      <c r="M497" s="59">
        <v>46150.0</v>
      </c>
      <c r="N497" s="60" t="b">
        <v>0</v>
      </c>
      <c r="O497" s="7"/>
      <c r="P497" s="23"/>
      <c r="Q497" s="9"/>
      <c r="R497" s="9"/>
      <c r="S497" s="9"/>
      <c r="T497" s="9"/>
      <c r="U497" s="9"/>
      <c r="V497" s="9"/>
      <c r="W497" s="9"/>
      <c r="X497" s="9"/>
      <c r="Y497" s="9"/>
      <c r="Z497" s="9"/>
      <c r="AA497" s="9"/>
      <c r="AB497" s="9"/>
      <c r="AC497" s="9"/>
      <c r="AD497" s="25"/>
      <c r="AE497" s="25">
        <f t="shared" si="9"/>
        <v>0</v>
      </c>
      <c r="AF497" s="23" t="s">
        <v>570</v>
      </c>
      <c r="AG497" s="9"/>
      <c r="AH497" s="9"/>
      <c r="AI497" s="9"/>
    </row>
    <row r="498" ht="15.75" customHeight="1">
      <c r="A498" s="9"/>
      <c r="B498" s="9"/>
      <c r="C498" s="9"/>
      <c r="D498" s="9"/>
      <c r="E498" s="57" t="s">
        <v>586</v>
      </c>
      <c r="F498" s="58">
        <v>78503.0</v>
      </c>
      <c r="G498" s="58">
        <v>50400.0</v>
      </c>
      <c r="H498" s="57" t="s">
        <v>66</v>
      </c>
      <c r="I498" s="57" t="s">
        <v>21</v>
      </c>
      <c r="J498" s="57">
        <v>6.20800045E8</v>
      </c>
      <c r="K498" s="57">
        <v>9041655.0</v>
      </c>
      <c r="L498" s="61"/>
      <c r="M498" s="64"/>
      <c r="N498" s="60" t="b">
        <v>1</v>
      </c>
      <c r="O498" s="7"/>
      <c r="P498" s="23"/>
      <c r="Q498" s="9"/>
      <c r="R498" s="9"/>
      <c r="S498" s="9"/>
      <c r="T498" s="9"/>
      <c r="U498" s="9"/>
      <c r="V498" s="9"/>
      <c r="W498" s="9"/>
      <c r="X498" s="9"/>
      <c r="Y498" s="9"/>
      <c r="Z498" s="9"/>
      <c r="AA498" s="9"/>
      <c r="AB498" s="9"/>
      <c r="AC498" s="9"/>
      <c r="AD498" s="25"/>
      <c r="AE498" s="25">
        <f t="shared" si="9"/>
        <v>0</v>
      </c>
      <c r="AF498" s="23" t="s">
        <v>570</v>
      </c>
      <c r="AG498" s="9"/>
      <c r="AH498" s="9"/>
      <c r="AI498" s="9"/>
    </row>
    <row r="499" ht="15.75" customHeight="1">
      <c r="A499" s="9"/>
      <c r="B499" s="9"/>
      <c r="C499" s="9"/>
      <c r="D499" s="9"/>
      <c r="E499" s="57" t="s">
        <v>587</v>
      </c>
      <c r="F499" s="58">
        <v>78900.0</v>
      </c>
      <c r="G499" s="58">
        <v>49999.0</v>
      </c>
      <c r="H499" s="57" t="s">
        <v>26</v>
      </c>
      <c r="I499" s="57" t="s">
        <v>21</v>
      </c>
      <c r="J499" s="57">
        <v>3.74994E8</v>
      </c>
      <c r="K499" s="57">
        <v>9317298.0</v>
      </c>
      <c r="L499" s="57" t="s">
        <v>95</v>
      </c>
      <c r="M499" s="65">
        <v>46125.5</v>
      </c>
      <c r="N499" s="60" t="b">
        <v>0</v>
      </c>
      <c r="O499" s="7"/>
      <c r="P499" s="23"/>
      <c r="Q499" s="9"/>
      <c r="R499" s="9"/>
      <c r="S499" s="9"/>
      <c r="T499" s="9"/>
      <c r="U499" s="9"/>
      <c r="V499" s="9"/>
      <c r="W499" s="9"/>
      <c r="X499" s="9"/>
      <c r="Y499" s="9"/>
      <c r="Z499" s="9"/>
      <c r="AA499" s="9"/>
      <c r="AB499" s="9"/>
      <c r="AC499" s="9"/>
      <c r="AD499" s="25"/>
      <c r="AE499" s="25">
        <f t="shared" si="9"/>
        <v>0</v>
      </c>
      <c r="AF499" s="23" t="s">
        <v>570</v>
      </c>
      <c r="AG499" s="9"/>
      <c r="AH499" s="9"/>
      <c r="AI499" s="9"/>
    </row>
    <row r="500" ht="15.75" customHeight="1">
      <c r="A500" s="9"/>
      <c r="B500" s="9"/>
      <c r="C500" s="9"/>
      <c r="D500" s="9"/>
      <c r="E500" s="57"/>
      <c r="F500" s="58"/>
      <c r="G500" s="58"/>
      <c r="H500" s="57"/>
      <c r="I500" s="57"/>
      <c r="J500" s="57"/>
      <c r="K500" s="57"/>
      <c r="L500" s="57"/>
      <c r="M500" s="59"/>
      <c r="N500" s="60"/>
      <c r="O500" s="7"/>
      <c r="P500" s="23"/>
      <c r="Q500" s="9"/>
      <c r="R500" s="9"/>
      <c r="S500" s="9"/>
      <c r="T500" s="9"/>
      <c r="U500" s="9"/>
      <c r="V500" s="9"/>
      <c r="W500" s="9"/>
      <c r="X500" s="9"/>
      <c r="Y500" s="9"/>
      <c r="Z500" s="9"/>
      <c r="AA500" s="9"/>
      <c r="AB500" s="9"/>
      <c r="AC500" s="9"/>
      <c r="AD500" s="25"/>
      <c r="AE500" s="25" t="str">
        <f t="shared" si="9"/>
        <v/>
      </c>
      <c r="AF500" s="23" t="s">
        <v>570</v>
      </c>
      <c r="AG500" s="9"/>
      <c r="AH500" s="9"/>
      <c r="AI500" s="9"/>
    </row>
    <row r="501" ht="15.75" customHeight="1">
      <c r="A501" s="9"/>
      <c r="B501" s="9"/>
      <c r="C501" s="9"/>
      <c r="D501" s="9"/>
      <c r="E501" s="57"/>
      <c r="F501" s="58"/>
      <c r="G501" s="58"/>
      <c r="H501" s="57"/>
      <c r="I501" s="57"/>
      <c r="J501" s="57"/>
      <c r="K501" s="57"/>
      <c r="L501" s="57"/>
      <c r="M501" s="59"/>
      <c r="N501" s="60"/>
      <c r="O501" s="7"/>
      <c r="P501" s="23"/>
      <c r="Q501" s="9"/>
      <c r="R501" s="9"/>
      <c r="S501" s="9"/>
      <c r="T501" s="9"/>
      <c r="U501" s="9"/>
      <c r="V501" s="9"/>
      <c r="W501" s="9"/>
      <c r="X501" s="9"/>
      <c r="Y501" s="9"/>
      <c r="Z501" s="9"/>
      <c r="AA501" s="9"/>
      <c r="AB501" s="9"/>
      <c r="AC501" s="9"/>
      <c r="AD501" s="25"/>
      <c r="AE501" s="25"/>
      <c r="AF501" s="9"/>
      <c r="AG501" s="9"/>
      <c r="AH501" s="9"/>
      <c r="AI501" s="9"/>
    </row>
    <row r="502" ht="15.75" customHeight="1">
      <c r="A502" s="9"/>
      <c r="B502" s="9"/>
      <c r="C502" s="9"/>
      <c r="D502" s="9"/>
      <c r="E502" s="57"/>
      <c r="F502" s="58"/>
      <c r="G502" s="58"/>
      <c r="H502" s="57"/>
      <c r="I502" s="57"/>
      <c r="J502" s="57"/>
      <c r="K502" s="57"/>
      <c r="L502" s="57"/>
      <c r="M502" s="65"/>
      <c r="N502" s="60"/>
      <c r="O502" s="7"/>
      <c r="P502" s="23"/>
      <c r="Q502" s="9"/>
      <c r="R502" s="9"/>
      <c r="S502" s="9"/>
      <c r="T502" s="9"/>
      <c r="U502" s="9"/>
      <c r="V502" s="9"/>
      <c r="W502" s="9"/>
      <c r="X502" s="9"/>
      <c r="Y502" s="9"/>
      <c r="Z502" s="9"/>
      <c r="AA502" s="9"/>
      <c r="AB502" s="9"/>
      <c r="AC502" s="9"/>
      <c r="AD502" s="25"/>
      <c r="AE502" s="25"/>
      <c r="AF502" s="9"/>
      <c r="AG502" s="9"/>
      <c r="AH502" s="9"/>
      <c r="AI502" s="9"/>
    </row>
    <row r="503" ht="15.75" customHeight="1">
      <c r="A503" s="9"/>
      <c r="B503" s="9"/>
      <c r="C503" s="9"/>
      <c r="D503" s="9"/>
      <c r="E503" s="57"/>
      <c r="F503" s="58"/>
      <c r="G503" s="58"/>
      <c r="H503" s="57"/>
      <c r="I503" s="57"/>
      <c r="J503" s="57"/>
      <c r="K503" s="57"/>
      <c r="L503" s="61"/>
      <c r="M503" s="62"/>
      <c r="N503" s="60"/>
      <c r="O503" s="7"/>
      <c r="P503" s="23"/>
      <c r="Q503" s="9"/>
      <c r="R503" s="9"/>
      <c r="S503" s="9"/>
      <c r="T503" s="9"/>
      <c r="U503" s="9"/>
      <c r="V503" s="9"/>
      <c r="W503" s="9"/>
      <c r="X503" s="9"/>
      <c r="Y503" s="9"/>
      <c r="Z503" s="9"/>
      <c r="AA503" s="9"/>
      <c r="AB503" s="9"/>
      <c r="AC503" s="9"/>
      <c r="AD503" s="25"/>
      <c r="AE503" s="25"/>
      <c r="AF503" s="9"/>
      <c r="AG503" s="9"/>
      <c r="AH503" s="9"/>
      <c r="AI503" s="9"/>
    </row>
    <row r="504" ht="15.75" customHeight="1">
      <c r="A504" s="9"/>
      <c r="B504" s="9"/>
      <c r="C504" s="9"/>
      <c r="D504" s="9"/>
      <c r="E504" s="57"/>
      <c r="F504" s="58"/>
      <c r="G504" s="58"/>
      <c r="H504" s="57"/>
      <c r="I504" s="57"/>
      <c r="J504" s="57"/>
      <c r="K504" s="57"/>
      <c r="L504" s="57"/>
      <c r="M504" s="66"/>
      <c r="N504" s="60"/>
      <c r="O504" s="7"/>
      <c r="P504" s="23"/>
      <c r="Q504" s="9"/>
      <c r="R504" s="9"/>
      <c r="S504" s="9"/>
      <c r="T504" s="9"/>
      <c r="U504" s="9"/>
      <c r="V504" s="9"/>
      <c r="W504" s="9"/>
      <c r="X504" s="9"/>
      <c r="Y504" s="9"/>
      <c r="Z504" s="9"/>
      <c r="AA504" s="9"/>
      <c r="AB504" s="9"/>
      <c r="AC504" s="9"/>
      <c r="AD504" s="25"/>
      <c r="AE504" s="25"/>
      <c r="AF504" s="9"/>
      <c r="AG504" s="9"/>
      <c r="AH504" s="9"/>
      <c r="AI504" s="9"/>
    </row>
    <row r="505" ht="15.75" customHeight="1">
      <c r="A505" s="9"/>
      <c r="B505" s="9"/>
      <c r="C505" s="9"/>
      <c r="D505" s="9"/>
      <c r="E505" s="57"/>
      <c r="F505" s="58"/>
      <c r="G505" s="58"/>
      <c r="H505" s="57"/>
      <c r="I505" s="57"/>
      <c r="J505" s="57"/>
      <c r="K505" s="57"/>
      <c r="L505" s="57"/>
      <c r="M505" s="59"/>
      <c r="N505" s="60"/>
      <c r="O505" s="7"/>
      <c r="P505" s="23"/>
      <c r="Q505" s="9"/>
      <c r="R505" s="9"/>
      <c r="S505" s="9"/>
      <c r="T505" s="9"/>
      <c r="U505" s="9"/>
      <c r="V505" s="9"/>
      <c r="W505" s="9"/>
      <c r="X505" s="9"/>
      <c r="Y505" s="9"/>
      <c r="Z505" s="9"/>
      <c r="AA505" s="9"/>
      <c r="AB505" s="9"/>
      <c r="AC505" s="9"/>
      <c r="AD505" s="25"/>
      <c r="AE505" s="25"/>
      <c r="AF505" s="9"/>
      <c r="AG505" s="9"/>
      <c r="AH505" s="9"/>
      <c r="AI505" s="9"/>
    </row>
    <row r="506" ht="15.75" customHeight="1">
      <c r="A506" s="9"/>
      <c r="B506" s="9"/>
      <c r="C506" s="9"/>
      <c r="D506" s="9"/>
      <c r="E506" s="57"/>
      <c r="F506" s="58"/>
      <c r="G506" s="58"/>
      <c r="H506" s="57"/>
      <c r="I506" s="57"/>
      <c r="J506" s="57"/>
      <c r="K506" s="57"/>
      <c r="L506" s="57"/>
      <c r="M506" s="59"/>
      <c r="N506" s="60"/>
      <c r="O506" s="7"/>
      <c r="P506" s="23"/>
      <c r="Q506" s="9"/>
      <c r="R506" s="9"/>
      <c r="S506" s="9"/>
      <c r="T506" s="9"/>
      <c r="U506" s="9"/>
      <c r="V506" s="9"/>
      <c r="W506" s="9"/>
      <c r="X506" s="9"/>
      <c r="Y506" s="9"/>
      <c r="Z506" s="9"/>
      <c r="AA506" s="9"/>
      <c r="AB506" s="9"/>
      <c r="AC506" s="9"/>
      <c r="AD506" s="25"/>
      <c r="AE506" s="25"/>
      <c r="AF506" s="9"/>
      <c r="AG506" s="9"/>
      <c r="AH506" s="9"/>
      <c r="AI506" s="9"/>
    </row>
    <row r="507" ht="15.75" customHeight="1">
      <c r="A507" s="9"/>
      <c r="B507" s="9"/>
      <c r="C507" s="9"/>
      <c r="D507" s="9"/>
      <c r="E507" s="57"/>
      <c r="F507" s="58"/>
      <c r="G507" s="58"/>
      <c r="H507" s="57"/>
      <c r="I507" s="57"/>
      <c r="J507" s="57"/>
      <c r="K507" s="57"/>
      <c r="L507" s="57"/>
      <c r="M507" s="65"/>
      <c r="N507" s="60"/>
      <c r="O507" s="7"/>
      <c r="P507" s="23"/>
      <c r="Q507" s="9"/>
      <c r="R507" s="9"/>
      <c r="S507" s="9"/>
      <c r="T507" s="9"/>
      <c r="U507" s="9"/>
      <c r="V507" s="9"/>
      <c r="W507" s="9"/>
      <c r="X507" s="9"/>
      <c r="Y507" s="9"/>
      <c r="Z507" s="9"/>
      <c r="AA507" s="9"/>
      <c r="AB507" s="9"/>
      <c r="AC507" s="9"/>
      <c r="AD507" s="25"/>
      <c r="AE507" s="25"/>
      <c r="AF507" s="9"/>
      <c r="AG507" s="9"/>
      <c r="AH507" s="9"/>
      <c r="AI507" s="9"/>
    </row>
    <row r="508" ht="15.75" customHeight="1">
      <c r="A508" s="9"/>
      <c r="B508" s="9"/>
      <c r="C508" s="9"/>
      <c r="D508" s="9"/>
      <c r="E508" s="57"/>
      <c r="F508" s="58"/>
      <c r="G508" s="58"/>
      <c r="H508" s="57"/>
      <c r="I508" s="57"/>
      <c r="J508" s="57"/>
      <c r="K508" s="57"/>
      <c r="L508" s="57"/>
      <c r="M508" s="65"/>
      <c r="N508" s="60"/>
      <c r="O508" s="7"/>
      <c r="P508" s="23"/>
      <c r="Q508" s="9"/>
      <c r="R508" s="9"/>
      <c r="S508" s="9"/>
      <c r="T508" s="9"/>
      <c r="U508" s="9"/>
      <c r="V508" s="9"/>
      <c r="W508" s="9"/>
      <c r="X508" s="9"/>
      <c r="Y508" s="9"/>
      <c r="Z508" s="9"/>
      <c r="AA508" s="9"/>
      <c r="AB508" s="9"/>
      <c r="AC508" s="9"/>
      <c r="AD508" s="25"/>
      <c r="AE508" s="25"/>
      <c r="AF508" s="9"/>
      <c r="AG508" s="9"/>
      <c r="AH508" s="9"/>
      <c r="AI508" s="9"/>
    </row>
    <row r="509" ht="15.75" customHeight="1">
      <c r="A509" s="9"/>
      <c r="B509" s="9"/>
      <c r="C509" s="9"/>
      <c r="D509" s="9"/>
      <c r="E509" s="57"/>
      <c r="F509" s="58"/>
      <c r="G509" s="58"/>
      <c r="H509" s="57"/>
      <c r="I509" s="57"/>
      <c r="J509" s="57"/>
      <c r="K509" s="57"/>
      <c r="L509" s="57"/>
      <c r="M509" s="65"/>
      <c r="N509" s="60"/>
      <c r="O509" s="7"/>
      <c r="P509" s="23"/>
      <c r="Q509" s="9"/>
      <c r="R509" s="9"/>
      <c r="S509" s="9"/>
      <c r="T509" s="9"/>
      <c r="U509" s="9"/>
      <c r="V509" s="9"/>
      <c r="W509" s="9"/>
      <c r="X509" s="9"/>
      <c r="Y509" s="9"/>
      <c r="Z509" s="9"/>
      <c r="AA509" s="9"/>
      <c r="AB509" s="9"/>
      <c r="AC509" s="9"/>
      <c r="AD509" s="25"/>
      <c r="AE509" s="25"/>
      <c r="AF509" s="9"/>
      <c r="AG509" s="9"/>
      <c r="AH509" s="9"/>
      <c r="AI509" s="9"/>
    </row>
    <row r="510" ht="15.75" customHeight="1">
      <c r="A510" s="9"/>
      <c r="B510" s="9"/>
      <c r="C510" s="9"/>
      <c r="D510" s="9"/>
      <c r="E510" s="57"/>
      <c r="F510" s="58"/>
      <c r="G510" s="58"/>
      <c r="H510" s="57"/>
      <c r="I510" s="57"/>
      <c r="J510" s="57"/>
      <c r="K510" s="57"/>
      <c r="L510" s="57"/>
      <c r="M510" s="59"/>
      <c r="N510" s="60"/>
      <c r="O510" s="7"/>
      <c r="P510" s="23"/>
      <c r="Q510" s="9"/>
      <c r="R510" s="9"/>
      <c r="S510" s="9"/>
      <c r="T510" s="9"/>
      <c r="U510" s="9"/>
      <c r="V510" s="9"/>
      <c r="W510" s="9"/>
      <c r="X510" s="9"/>
      <c r="Y510" s="9"/>
      <c r="Z510" s="9"/>
      <c r="AA510" s="9"/>
      <c r="AB510" s="9"/>
      <c r="AC510" s="9"/>
      <c r="AD510" s="25"/>
      <c r="AE510" s="25"/>
      <c r="AF510" s="9"/>
      <c r="AG510" s="9"/>
      <c r="AH510" s="9"/>
      <c r="AI510" s="9"/>
    </row>
    <row r="511" ht="15.75" customHeight="1">
      <c r="A511" s="9"/>
      <c r="B511" s="9"/>
      <c r="C511" s="9"/>
      <c r="D511" s="9"/>
      <c r="E511" s="57"/>
      <c r="F511" s="58"/>
      <c r="G511" s="58"/>
      <c r="H511" s="57"/>
      <c r="I511" s="57"/>
      <c r="J511" s="57"/>
      <c r="K511" s="57"/>
      <c r="L511" s="57"/>
      <c r="M511" s="65"/>
      <c r="N511" s="60"/>
      <c r="O511" s="7"/>
      <c r="P511" s="23"/>
      <c r="Q511" s="9"/>
      <c r="R511" s="9"/>
      <c r="S511" s="9"/>
      <c r="T511" s="9"/>
      <c r="U511" s="9"/>
      <c r="V511" s="9"/>
      <c r="W511" s="9"/>
      <c r="X511" s="9"/>
      <c r="Y511" s="9"/>
      <c r="Z511" s="9"/>
      <c r="AA511" s="9"/>
      <c r="AB511" s="9"/>
      <c r="AC511" s="9"/>
      <c r="AD511" s="25"/>
      <c r="AE511" s="25"/>
      <c r="AF511" s="9"/>
      <c r="AG511" s="9"/>
      <c r="AH511" s="9"/>
      <c r="AI511" s="9"/>
    </row>
    <row r="512" ht="15.75" customHeight="1">
      <c r="A512" s="9"/>
      <c r="B512" s="9"/>
      <c r="C512" s="9"/>
      <c r="D512" s="9"/>
      <c r="E512" s="57"/>
      <c r="F512" s="58"/>
      <c r="G512" s="58"/>
      <c r="H512" s="57"/>
      <c r="I512" s="57"/>
      <c r="J512" s="57"/>
      <c r="K512" s="57"/>
      <c r="L512" s="57"/>
      <c r="M512" s="59"/>
      <c r="N512" s="60"/>
      <c r="O512" s="7"/>
      <c r="P512" s="23"/>
      <c r="Q512" s="9"/>
      <c r="R512" s="9"/>
      <c r="S512" s="9"/>
      <c r="T512" s="9"/>
      <c r="U512" s="9"/>
      <c r="V512" s="9"/>
      <c r="W512" s="9"/>
      <c r="X512" s="9"/>
      <c r="Y512" s="9"/>
      <c r="Z512" s="9"/>
      <c r="AA512" s="9"/>
      <c r="AB512" s="9"/>
      <c r="AC512" s="9"/>
      <c r="AD512" s="25"/>
      <c r="AE512" s="25"/>
      <c r="AF512" s="9"/>
      <c r="AG512" s="9"/>
      <c r="AH512" s="9"/>
      <c r="AI512" s="9"/>
    </row>
    <row r="513" ht="15.75" customHeight="1">
      <c r="A513" s="9"/>
      <c r="B513" s="9"/>
      <c r="C513" s="9"/>
      <c r="D513" s="9"/>
      <c r="E513" s="57"/>
      <c r="F513" s="58"/>
      <c r="G513" s="58"/>
      <c r="H513" s="57"/>
      <c r="I513" s="57"/>
      <c r="J513" s="57"/>
      <c r="K513" s="57"/>
      <c r="L513" s="57"/>
      <c r="M513" s="65"/>
      <c r="N513" s="60"/>
      <c r="O513" s="7"/>
      <c r="P513" s="23"/>
      <c r="Q513" s="9"/>
      <c r="R513" s="9"/>
      <c r="S513" s="9"/>
      <c r="T513" s="9"/>
      <c r="U513" s="9"/>
      <c r="V513" s="9"/>
      <c r="W513" s="9"/>
      <c r="X513" s="9"/>
      <c r="Y513" s="9"/>
      <c r="Z513" s="9"/>
      <c r="AA513" s="9"/>
      <c r="AB513" s="9"/>
      <c r="AC513" s="9"/>
      <c r="AD513" s="25"/>
      <c r="AE513" s="25"/>
      <c r="AF513" s="9"/>
      <c r="AG513" s="9"/>
      <c r="AH513" s="9"/>
      <c r="AI513" s="9"/>
    </row>
    <row r="514" ht="15.75" customHeight="1">
      <c r="A514" s="9"/>
      <c r="B514" s="9"/>
      <c r="C514" s="9"/>
      <c r="D514" s="9"/>
      <c r="E514" s="57"/>
      <c r="F514" s="58"/>
      <c r="G514" s="58"/>
      <c r="H514" s="57"/>
      <c r="I514" s="57"/>
      <c r="J514" s="57"/>
      <c r="K514" s="57"/>
      <c r="L514" s="61"/>
      <c r="M514" s="64"/>
      <c r="N514" s="60"/>
      <c r="O514" s="7"/>
      <c r="P514" s="23"/>
      <c r="Q514" s="9"/>
      <c r="R514" s="9"/>
      <c r="S514" s="9"/>
      <c r="T514" s="9"/>
      <c r="U514" s="9"/>
      <c r="V514" s="9"/>
      <c r="W514" s="9"/>
      <c r="X514" s="9"/>
      <c r="Y514" s="9"/>
      <c r="Z514" s="9"/>
      <c r="AA514" s="9"/>
      <c r="AB514" s="9"/>
      <c r="AC514" s="9"/>
      <c r="AD514" s="25"/>
      <c r="AE514" s="25"/>
      <c r="AF514" s="9"/>
      <c r="AG514" s="9"/>
      <c r="AH514" s="9"/>
      <c r="AI514" s="9"/>
    </row>
    <row r="515" ht="15.75" customHeight="1">
      <c r="A515" s="9"/>
      <c r="B515" s="9"/>
      <c r="C515" s="9"/>
      <c r="D515" s="9"/>
      <c r="E515" s="57"/>
      <c r="F515" s="58"/>
      <c r="G515" s="58"/>
      <c r="H515" s="57"/>
      <c r="I515" s="57"/>
      <c r="J515" s="57"/>
      <c r="K515" s="57"/>
      <c r="L515" s="61"/>
      <c r="M515" s="62"/>
      <c r="N515" s="60"/>
      <c r="O515" s="7"/>
      <c r="P515" s="23"/>
      <c r="Q515" s="9"/>
      <c r="R515" s="9"/>
      <c r="S515" s="9"/>
      <c r="T515" s="9"/>
      <c r="U515" s="9"/>
      <c r="V515" s="9"/>
      <c r="W515" s="9"/>
      <c r="X515" s="9"/>
      <c r="Y515" s="9"/>
      <c r="Z515" s="9"/>
      <c r="AA515" s="9"/>
      <c r="AB515" s="9"/>
      <c r="AC515" s="9"/>
      <c r="AD515" s="25"/>
      <c r="AE515" s="25"/>
      <c r="AF515" s="9"/>
      <c r="AG515" s="9"/>
      <c r="AH515" s="9"/>
      <c r="AI515" s="9"/>
    </row>
    <row r="516" ht="15.75" customHeight="1">
      <c r="A516" s="9"/>
      <c r="B516" s="9"/>
      <c r="C516" s="9"/>
      <c r="D516" s="9"/>
      <c r="E516" s="57"/>
      <c r="F516" s="58"/>
      <c r="G516" s="58"/>
      <c r="H516" s="57"/>
      <c r="I516" s="57"/>
      <c r="J516" s="57"/>
      <c r="K516" s="57"/>
      <c r="L516" s="57"/>
      <c r="M516" s="59"/>
      <c r="N516" s="60"/>
      <c r="O516" s="7"/>
      <c r="P516" s="23"/>
      <c r="Q516" s="9"/>
      <c r="R516" s="9"/>
      <c r="S516" s="9"/>
      <c r="T516" s="9"/>
      <c r="U516" s="9"/>
      <c r="V516" s="9"/>
      <c r="W516" s="9"/>
      <c r="X516" s="9"/>
      <c r="Y516" s="9"/>
      <c r="Z516" s="9"/>
      <c r="AA516" s="9"/>
      <c r="AB516" s="9"/>
      <c r="AC516" s="9"/>
      <c r="AD516" s="25"/>
      <c r="AE516" s="25"/>
      <c r="AF516" s="9"/>
      <c r="AG516" s="9"/>
      <c r="AH516" s="9"/>
      <c r="AI516" s="9"/>
    </row>
    <row r="517" ht="15.75" customHeight="1">
      <c r="A517" s="9"/>
      <c r="B517" s="9"/>
      <c r="C517" s="9"/>
      <c r="D517" s="9"/>
      <c r="E517" s="57"/>
      <c r="F517" s="58"/>
      <c r="G517" s="58"/>
      <c r="H517" s="57"/>
      <c r="I517" s="57"/>
      <c r="J517" s="57"/>
      <c r="K517" s="57"/>
      <c r="L517" s="57"/>
      <c r="M517" s="59"/>
      <c r="N517" s="60"/>
      <c r="O517" s="7"/>
      <c r="P517" s="23"/>
      <c r="Q517" s="9"/>
      <c r="R517" s="9"/>
      <c r="S517" s="9"/>
      <c r="T517" s="9"/>
      <c r="U517" s="9"/>
      <c r="V517" s="9"/>
      <c r="W517" s="9"/>
      <c r="X517" s="9"/>
      <c r="Y517" s="9"/>
      <c r="Z517" s="9"/>
      <c r="AA517" s="9"/>
      <c r="AB517" s="9"/>
      <c r="AC517" s="9"/>
      <c r="AD517" s="25"/>
      <c r="AE517" s="25"/>
      <c r="AF517" s="9"/>
      <c r="AG517" s="9"/>
      <c r="AH517" s="9"/>
      <c r="AI517" s="9"/>
    </row>
    <row r="518" ht="15.75" customHeight="1">
      <c r="A518" s="9"/>
      <c r="B518" s="9"/>
      <c r="C518" s="9"/>
      <c r="D518" s="9"/>
      <c r="E518" s="57"/>
      <c r="F518" s="58"/>
      <c r="G518" s="58"/>
      <c r="H518" s="57"/>
      <c r="I518" s="57"/>
      <c r="J518" s="57"/>
      <c r="K518" s="57"/>
      <c r="L518" s="61"/>
      <c r="M518" s="62"/>
      <c r="N518" s="60"/>
      <c r="O518" s="7"/>
      <c r="P518" s="23"/>
      <c r="Q518" s="9"/>
      <c r="R518" s="9"/>
      <c r="S518" s="9"/>
      <c r="T518" s="9"/>
      <c r="U518" s="9"/>
      <c r="V518" s="9"/>
      <c r="W518" s="9"/>
      <c r="X518" s="9"/>
      <c r="Y518" s="9"/>
      <c r="Z518" s="9"/>
      <c r="AA518" s="9"/>
      <c r="AB518" s="9"/>
      <c r="AC518" s="9"/>
      <c r="AD518" s="25"/>
      <c r="AE518" s="25"/>
      <c r="AF518" s="9"/>
      <c r="AG518" s="9"/>
      <c r="AH518" s="9"/>
      <c r="AI518" s="9"/>
    </row>
    <row r="519" ht="15.75" customHeight="1">
      <c r="A519" s="9"/>
      <c r="B519" s="9"/>
      <c r="C519" s="9"/>
      <c r="D519" s="9"/>
      <c r="E519" s="57"/>
      <c r="F519" s="58"/>
      <c r="G519" s="58"/>
      <c r="H519" s="57"/>
      <c r="I519" s="57"/>
      <c r="J519" s="57"/>
      <c r="K519" s="57"/>
      <c r="L519" s="57"/>
      <c r="M519" s="65"/>
      <c r="N519" s="60"/>
      <c r="O519" s="7"/>
      <c r="P519" s="23"/>
      <c r="Q519" s="9"/>
      <c r="R519" s="9"/>
      <c r="S519" s="9"/>
      <c r="T519" s="9"/>
      <c r="U519" s="9"/>
      <c r="V519" s="9"/>
      <c r="W519" s="9"/>
      <c r="X519" s="9"/>
      <c r="Y519" s="9"/>
      <c r="Z519" s="9"/>
      <c r="AA519" s="9"/>
      <c r="AB519" s="9"/>
      <c r="AC519" s="9"/>
      <c r="AD519" s="25"/>
      <c r="AE519" s="25"/>
      <c r="AF519" s="9"/>
      <c r="AG519" s="9"/>
      <c r="AH519" s="9"/>
      <c r="AI519" s="9"/>
    </row>
    <row r="520" ht="15.75" customHeight="1">
      <c r="A520" s="9"/>
      <c r="B520" s="9"/>
      <c r="C520" s="9"/>
      <c r="D520" s="9"/>
      <c r="E520" s="57"/>
      <c r="F520" s="58"/>
      <c r="G520" s="58"/>
      <c r="H520" s="57"/>
      <c r="I520" s="57"/>
      <c r="J520" s="57"/>
      <c r="K520" s="57"/>
      <c r="L520" s="57"/>
      <c r="M520" s="65"/>
      <c r="N520" s="60"/>
      <c r="O520" s="7"/>
      <c r="P520" s="23"/>
      <c r="Q520" s="9"/>
      <c r="R520" s="9"/>
      <c r="S520" s="9"/>
      <c r="T520" s="9"/>
      <c r="U520" s="9"/>
      <c r="V520" s="9"/>
      <c r="W520" s="9"/>
      <c r="X520" s="9"/>
      <c r="Y520" s="9"/>
      <c r="Z520" s="9"/>
      <c r="AA520" s="9"/>
      <c r="AB520" s="9"/>
      <c r="AC520" s="9"/>
      <c r="AD520" s="25"/>
      <c r="AE520" s="25"/>
      <c r="AF520" s="9"/>
      <c r="AG520" s="9"/>
      <c r="AH520" s="9"/>
      <c r="AI520" s="9"/>
    </row>
    <row r="521" ht="15.75" customHeight="1">
      <c r="A521" s="9"/>
      <c r="B521" s="9"/>
      <c r="C521" s="9"/>
      <c r="D521" s="9"/>
      <c r="E521" s="57"/>
      <c r="F521" s="58"/>
      <c r="G521" s="58"/>
      <c r="H521" s="57"/>
      <c r="I521" s="57"/>
      <c r="J521" s="57"/>
      <c r="K521" s="57"/>
      <c r="L521" s="61"/>
      <c r="M521" s="64"/>
      <c r="N521" s="60"/>
      <c r="O521" s="7"/>
      <c r="P521" s="23"/>
      <c r="Q521" s="9"/>
      <c r="R521" s="9"/>
      <c r="S521" s="9"/>
      <c r="T521" s="9"/>
      <c r="U521" s="9"/>
      <c r="V521" s="9"/>
      <c r="W521" s="9"/>
      <c r="X521" s="9"/>
      <c r="Y521" s="9"/>
      <c r="Z521" s="9"/>
      <c r="AA521" s="9"/>
      <c r="AB521" s="9"/>
      <c r="AC521" s="9"/>
      <c r="AD521" s="25"/>
      <c r="AE521" s="25"/>
      <c r="AF521" s="9"/>
      <c r="AG521" s="9"/>
      <c r="AH521" s="9"/>
      <c r="AI521" s="9"/>
    </row>
    <row r="522" ht="15.75" customHeight="1">
      <c r="A522" s="9"/>
      <c r="B522" s="9"/>
      <c r="C522" s="9"/>
      <c r="D522" s="9"/>
      <c r="E522" s="57"/>
      <c r="F522" s="58"/>
      <c r="G522" s="58"/>
      <c r="H522" s="57"/>
      <c r="I522" s="57"/>
      <c r="J522" s="57"/>
      <c r="K522" s="57"/>
      <c r="L522" s="57"/>
      <c r="M522" s="65"/>
      <c r="N522" s="60"/>
      <c r="O522" s="7"/>
      <c r="P522" s="23"/>
      <c r="Q522" s="9"/>
      <c r="R522" s="9"/>
      <c r="S522" s="9"/>
      <c r="T522" s="9"/>
      <c r="U522" s="9"/>
      <c r="V522" s="9"/>
      <c r="W522" s="9"/>
      <c r="X522" s="9"/>
      <c r="Y522" s="9"/>
      <c r="Z522" s="9"/>
      <c r="AA522" s="9"/>
      <c r="AB522" s="9"/>
      <c r="AC522" s="9"/>
      <c r="AD522" s="25"/>
      <c r="AE522" s="25"/>
      <c r="AF522" s="9"/>
      <c r="AG522" s="9"/>
      <c r="AH522" s="9"/>
      <c r="AI522" s="9"/>
    </row>
    <row r="523" ht="15.75" customHeight="1">
      <c r="A523" s="9"/>
      <c r="B523" s="9"/>
      <c r="C523" s="9"/>
      <c r="D523" s="9"/>
      <c r="E523" s="57"/>
      <c r="F523" s="58"/>
      <c r="G523" s="58"/>
      <c r="H523" s="57"/>
      <c r="I523" s="57"/>
      <c r="J523" s="57"/>
      <c r="K523" s="57"/>
      <c r="L523" s="57"/>
      <c r="M523" s="59"/>
      <c r="N523" s="60"/>
      <c r="O523" s="7"/>
      <c r="P523" s="23"/>
      <c r="Q523" s="9"/>
      <c r="R523" s="9"/>
      <c r="S523" s="9"/>
      <c r="T523" s="9"/>
      <c r="U523" s="9"/>
      <c r="V523" s="9"/>
      <c r="W523" s="9"/>
      <c r="X523" s="9"/>
      <c r="Y523" s="9"/>
      <c r="Z523" s="9"/>
      <c r="AA523" s="9"/>
      <c r="AB523" s="9"/>
      <c r="AC523" s="9"/>
      <c r="AD523" s="25"/>
      <c r="AE523" s="25"/>
      <c r="AF523" s="9"/>
      <c r="AG523" s="9"/>
      <c r="AH523" s="9"/>
      <c r="AI523" s="9"/>
    </row>
    <row r="524" ht="15.75" customHeight="1">
      <c r="A524" s="9"/>
      <c r="B524" s="9"/>
      <c r="C524" s="9"/>
      <c r="D524" s="9"/>
      <c r="E524" s="57"/>
      <c r="F524" s="58"/>
      <c r="G524" s="58"/>
      <c r="H524" s="57"/>
      <c r="I524" s="57"/>
      <c r="J524" s="57"/>
      <c r="K524" s="57"/>
      <c r="L524" s="57"/>
      <c r="M524" s="59"/>
      <c r="N524" s="60"/>
      <c r="O524" s="7"/>
      <c r="P524" s="23"/>
      <c r="Q524" s="9"/>
      <c r="R524" s="9"/>
      <c r="S524" s="9"/>
      <c r="T524" s="9"/>
      <c r="U524" s="9"/>
      <c r="V524" s="9"/>
      <c r="W524" s="9"/>
      <c r="X524" s="9"/>
      <c r="Y524" s="9"/>
      <c r="Z524" s="9"/>
      <c r="AA524" s="9"/>
      <c r="AB524" s="9"/>
      <c r="AC524" s="9"/>
      <c r="AD524" s="25"/>
      <c r="AE524" s="25"/>
      <c r="AF524" s="9"/>
      <c r="AG524" s="9"/>
      <c r="AH524" s="9"/>
      <c r="AI524" s="9"/>
    </row>
    <row r="525" ht="15.75" customHeight="1">
      <c r="A525" s="9"/>
      <c r="B525" s="9"/>
      <c r="C525" s="9"/>
      <c r="D525" s="9"/>
      <c r="E525" s="57"/>
      <c r="F525" s="58"/>
      <c r="G525" s="58"/>
      <c r="H525" s="57"/>
      <c r="I525" s="57"/>
      <c r="J525" s="57"/>
      <c r="K525" s="57"/>
      <c r="L525" s="57"/>
      <c r="M525" s="59"/>
      <c r="N525" s="60"/>
      <c r="O525" s="7"/>
      <c r="P525" s="23"/>
      <c r="Q525" s="9"/>
      <c r="R525" s="9"/>
      <c r="S525" s="9"/>
      <c r="T525" s="9"/>
      <c r="U525" s="9"/>
      <c r="V525" s="9"/>
      <c r="W525" s="9"/>
      <c r="X525" s="9"/>
      <c r="Y525" s="9"/>
      <c r="Z525" s="9"/>
      <c r="AA525" s="9"/>
      <c r="AB525" s="9"/>
      <c r="AC525" s="9"/>
      <c r="AD525" s="25"/>
      <c r="AE525" s="25"/>
      <c r="AF525" s="9"/>
      <c r="AG525" s="9"/>
      <c r="AH525" s="9"/>
      <c r="AI525" s="9"/>
    </row>
    <row r="526" ht="15.75" customHeight="1">
      <c r="A526" s="9"/>
      <c r="B526" s="9"/>
      <c r="C526" s="9"/>
      <c r="D526" s="9"/>
      <c r="E526" s="57"/>
      <c r="F526" s="58"/>
      <c r="G526" s="58"/>
      <c r="H526" s="57"/>
      <c r="I526" s="57"/>
      <c r="J526" s="57"/>
      <c r="K526" s="57"/>
      <c r="L526" s="57"/>
      <c r="M526" s="65"/>
      <c r="N526" s="60"/>
      <c r="O526" s="7"/>
      <c r="P526" s="23"/>
      <c r="Q526" s="9"/>
      <c r="R526" s="9"/>
      <c r="S526" s="9"/>
      <c r="T526" s="9"/>
      <c r="U526" s="9"/>
      <c r="V526" s="9"/>
      <c r="W526" s="9"/>
      <c r="X526" s="9"/>
      <c r="Y526" s="9"/>
      <c r="Z526" s="9"/>
      <c r="AA526" s="9"/>
      <c r="AB526" s="9"/>
      <c r="AC526" s="9"/>
      <c r="AD526" s="25"/>
      <c r="AE526" s="25"/>
      <c r="AF526" s="9"/>
      <c r="AG526" s="9"/>
      <c r="AH526" s="9"/>
      <c r="AI526" s="9"/>
    </row>
    <row r="527" ht="15.75" customHeight="1">
      <c r="A527" s="9"/>
      <c r="B527" s="9"/>
      <c r="C527" s="9"/>
      <c r="D527" s="9"/>
      <c r="E527" s="57"/>
      <c r="F527" s="58"/>
      <c r="G527" s="58"/>
      <c r="H527" s="57"/>
      <c r="I527" s="57"/>
      <c r="J527" s="57"/>
      <c r="K527" s="57"/>
      <c r="L527" s="57"/>
      <c r="M527" s="59"/>
      <c r="N527" s="60"/>
      <c r="O527" s="7"/>
      <c r="P527" s="23"/>
      <c r="Q527" s="9"/>
      <c r="R527" s="9"/>
      <c r="S527" s="9"/>
      <c r="T527" s="9"/>
      <c r="U527" s="9"/>
      <c r="V527" s="9"/>
      <c r="W527" s="9"/>
      <c r="X527" s="9"/>
      <c r="Y527" s="9"/>
      <c r="Z527" s="9"/>
      <c r="AA527" s="9"/>
      <c r="AB527" s="9"/>
      <c r="AC527" s="9"/>
      <c r="AD527" s="25"/>
      <c r="AE527" s="25"/>
      <c r="AF527" s="9"/>
      <c r="AG527" s="9"/>
      <c r="AH527" s="9"/>
      <c r="AI527" s="9"/>
    </row>
    <row r="528" ht="15.75" customHeight="1">
      <c r="A528" s="9"/>
      <c r="B528" s="9"/>
      <c r="C528" s="9"/>
      <c r="D528" s="9"/>
      <c r="E528" s="57"/>
      <c r="F528" s="58"/>
      <c r="G528" s="58"/>
      <c r="H528" s="57"/>
      <c r="I528" s="57"/>
      <c r="J528" s="57"/>
      <c r="K528" s="57"/>
      <c r="L528" s="57"/>
      <c r="M528" s="66"/>
      <c r="N528" s="60"/>
      <c r="O528" s="7"/>
      <c r="P528" s="23"/>
      <c r="Q528" s="9"/>
      <c r="R528" s="9"/>
      <c r="S528" s="9"/>
      <c r="T528" s="9"/>
      <c r="U528" s="9"/>
      <c r="V528" s="9"/>
      <c r="W528" s="9"/>
      <c r="X528" s="9"/>
      <c r="Y528" s="9"/>
      <c r="Z528" s="9"/>
      <c r="AA528" s="9"/>
      <c r="AB528" s="9"/>
      <c r="AC528" s="9"/>
      <c r="AD528" s="25"/>
      <c r="AE528" s="25"/>
      <c r="AF528" s="9"/>
      <c r="AG528" s="9"/>
      <c r="AH528" s="9"/>
      <c r="AI528" s="9"/>
    </row>
    <row r="529" ht="15.75" customHeight="1">
      <c r="A529" s="9"/>
      <c r="B529" s="9"/>
      <c r="C529" s="9"/>
      <c r="D529" s="9"/>
      <c r="E529" s="57"/>
      <c r="F529" s="58"/>
      <c r="G529" s="58"/>
      <c r="H529" s="57"/>
      <c r="I529" s="57"/>
      <c r="J529" s="57"/>
      <c r="K529" s="57"/>
      <c r="L529" s="57"/>
      <c r="M529" s="65"/>
      <c r="N529" s="60"/>
      <c r="O529" s="7"/>
      <c r="P529" s="23"/>
      <c r="Q529" s="9"/>
      <c r="R529" s="9"/>
      <c r="S529" s="9"/>
      <c r="T529" s="9"/>
      <c r="U529" s="9"/>
      <c r="V529" s="9"/>
      <c r="W529" s="9"/>
      <c r="X529" s="9"/>
      <c r="Y529" s="9"/>
      <c r="Z529" s="9"/>
      <c r="AA529" s="9"/>
      <c r="AB529" s="9"/>
      <c r="AC529" s="9"/>
      <c r="AD529" s="25"/>
      <c r="AE529" s="25"/>
      <c r="AF529" s="9"/>
      <c r="AG529" s="9"/>
      <c r="AH529" s="9"/>
      <c r="AI529" s="9"/>
    </row>
    <row r="530" ht="15.75" customHeight="1">
      <c r="A530" s="9"/>
      <c r="B530" s="9"/>
      <c r="C530" s="9"/>
      <c r="D530" s="9"/>
      <c r="E530" s="57"/>
      <c r="F530" s="58"/>
      <c r="G530" s="58"/>
      <c r="H530" s="57"/>
      <c r="I530" s="57"/>
      <c r="J530" s="57"/>
      <c r="K530" s="57"/>
      <c r="L530" s="61"/>
      <c r="M530" s="62"/>
      <c r="N530" s="60"/>
      <c r="O530" s="7"/>
      <c r="P530" s="23"/>
      <c r="Q530" s="9"/>
      <c r="R530" s="9"/>
      <c r="S530" s="9"/>
      <c r="T530" s="9"/>
      <c r="U530" s="9"/>
      <c r="V530" s="9"/>
      <c r="W530" s="9"/>
      <c r="X530" s="9"/>
      <c r="Y530" s="9"/>
      <c r="Z530" s="9"/>
      <c r="AA530" s="9"/>
      <c r="AB530" s="9"/>
      <c r="AC530" s="9"/>
      <c r="AD530" s="25"/>
      <c r="AE530" s="25"/>
      <c r="AF530" s="9"/>
      <c r="AG530" s="9"/>
      <c r="AH530" s="9"/>
      <c r="AI530" s="9"/>
    </row>
    <row r="531" ht="15.75" customHeight="1">
      <c r="A531" s="9"/>
      <c r="B531" s="9"/>
      <c r="C531" s="9"/>
      <c r="D531" s="9"/>
      <c r="E531" s="57"/>
      <c r="F531" s="58"/>
      <c r="G531" s="58"/>
      <c r="H531" s="57"/>
      <c r="I531" s="57"/>
      <c r="J531" s="57"/>
      <c r="K531" s="57"/>
      <c r="L531" s="61"/>
      <c r="M531" s="62"/>
      <c r="N531" s="60"/>
      <c r="O531" s="7"/>
      <c r="P531" s="23"/>
      <c r="Q531" s="9"/>
      <c r="R531" s="9"/>
      <c r="S531" s="9"/>
      <c r="T531" s="9"/>
      <c r="U531" s="9"/>
      <c r="V531" s="9"/>
      <c r="W531" s="9"/>
      <c r="X531" s="9"/>
      <c r="Y531" s="9"/>
      <c r="Z531" s="9"/>
      <c r="AA531" s="9"/>
      <c r="AB531" s="9"/>
      <c r="AC531" s="9"/>
      <c r="AD531" s="25"/>
      <c r="AE531" s="25"/>
      <c r="AF531" s="9"/>
      <c r="AG531" s="9"/>
      <c r="AH531" s="9"/>
      <c r="AI531" s="9"/>
    </row>
    <row r="532" ht="15.75" customHeight="1">
      <c r="A532" s="9"/>
      <c r="B532" s="9"/>
      <c r="C532" s="9"/>
      <c r="D532" s="9"/>
      <c r="E532" s="57"/>
      <c r="F532" s="58"/>
      <c r="G532" s="58"/>
      <c r="H532" s="57"/>
      <c r="I532" s="57"/>
      <c r="J532" s="57"/>
      <c r="K532" s="57"/>
      <c r="L532" s="57"/>
      <c r="M532" s="59"/>
      <c r="N532" s="60"/>
      <c r="O532" s="7"/>
      <c r="P532" s="23"/>
      <c r="Q532" s="9"/>
      <c r="R532" s="9"/>
      <c r="S532" s="9"/>
      <c r="T532" s="9"/>
      <c r="U532" s="9"/>
      <c r="V532" s="9"/>
      <c r="W532" s="9"/>
      <c r="X532" s="9"/>
      <c r="Y532" s="9"/>
      <c r="Z532" s="9"/>
      <c r="AA532" s="9"/>
      <c r="AB532" s="9"/>
      <c r="AC532" s="9"/>
      <c r="AD532" s="25"/>
      <c r="AE532" s="25"/>
      <c r="AF532" s="9"/>
      <c r="AG532" s="9"/>
      <c r="AH532" s="9"/>
      <c r="AI532" s="9"/>
    </row>
    <row r="533" ht="15.75" customHeight="1">
      <c r="A533" s="9"/>
      <c r="B533" s="9"/>
      <c r="C533" s="9"/>
      <c r="D533" s="9"/>
      <c r="E533" s="57"/>
      <c r="F533" s="58"/>
      <c r="G533" s="58"/>
      <c r="H533" s="57"/>
      <c r="I533" s="57"/>
      <c r="J533" s="57"/>
      <c r="K533" s="57"/>
      <c r="L533" s="57"/>
      <c r="M533" s="59"/>
      <c r="N533" s="60"/>
      <c r="O533" s="7"/>
      <c r="P533" s="23"/>
      <c r="Q533" s="9"/>
      <c r="R533" s="9"/>
      <c r="S533" s="9"/>
      <c r="T533" s="9"/>
      <c r="U533" s="9"/>
      <c r="V533" s="9"/>
      <c r="W533" s="9"/>
      <c r="X533" s="9"/>
      <c r="Y533" s="9"/>
      <c r="Z533" s="9"/>
      <c r="AA533" s="9"/>
      <c r="AB533" s="9"/>
      <c r="AC533" s="9"/>
      <c r="AD533" s="25"/>
      <c r="AE533" s="25"/>
      <c r="AF533" s="9"/>
      <c r="AG533" s="9"/>
      <c r="AH533" s="9"/>
      <c r="AI533" s="9"/>
    </row>
    <row r="534" ht="15.75" customHeight="1">
      <c r="A534" s="9"/>
      <c r="B534" s="9"/>
      <c r="C534" s="9"/>
      <c r="D534" s="9"/>
      <c r="E534" s="57"/>
      <c r="F534" s="58"/>
      <c r="G534" s="58"/>
      <c r="H534" s="57"/>
      <c r="I534" s="57"/>
      <c r="J534" s="57"/>
      <c r="K534" s="57"/>
      <c r="L534" s="57"/>
      <c r="M534" s="66"/>
      <c r="N534" s="60"/>
      <c r="O534" s="7"/>
      <c r="P534" s="23"/>
      <c r="Q534" s="9"/>
      <c r="R534" s="9"/>
      <c r="S534" s="9"/>
      <c r="T534" s="9"/>
      <c r="U534" s="9"/>
      <c r="V534" s="9"/>
      <c r="W534" s="9"/>
      <c r="X534" s="9"/>
      <c r="Y534" s="9"/>
      <c r="Z534" s="9"/>
      <c r="AA534" s="9"/>
      <c r="AB534" s="9"/>
      <c r="AC534" s="9"/>
      <c r="AD534" s="25"/>
      <c r="AE534" s="25"/>
      <c r="AF534" s="9"/>
      <c r="AG534" s="9"/>
      <c r="AH534" s="9"/>
      <c r="AI534" s="9"/>
    </row>
    <row r="535" ht="15.75" customHeight="1">
      <c r="A535" s="9"/>
      <c r="B535" s="9"/>
      <c r="C535" s="9"/>
      <c r="D535" s="9"/>
      <c r="E535" s="57"/>
      <c r="F535" s="58"/>
      <c r="G535" s="58"/>
      <c r="H535" s="57"/>
      <c r="I535" s="57"/>
      <c r="J535" s="57"/>
      <c r="K535" s="57"/>
      <c r="L535" s="57"/>
      <c r="M535" s="59"/>
      <c r="N535" s="60"/>
      <c r="O535" s="7"/>
      <c r="P535" s="23"/>
      <c r="Q535" s="9"/>
      <c r="R535" s="9"/>
      <c r="S535" s="9"/>
      <c r="T535" s="9"/>
      <c r="U535" s="9"/>
      <c r="V535" s="9"/>
      <c r="W535" s="9"/>
      <c r="X535" s="9"/>
      <c r="Y535" s="9"/>
      <c r="Z535" s="9"/>
      <c r="AA535" s="9"/>
      <c r="AB535" s="9"/>
      <c r="AC535" s="9"/>
      <c r="AD535" s="25"/>
      <c r="AE535" s="25"/>
      <c r="AF535" s="9"/>
      <c r="AG535" s="9"/>
      <c r="AH535" s="9"/>
      <c r="AI535" s="9"/>
    </row>
    <row r="536" ht="15.75" customHeight="1">
      <c r="A536" s="9"/>
      <c r="B536" s="9"/>
      <c r="C536" s="9"/>
      <c r="D536" s="9"/>
      <c r="E536" s="57"/>
      <c r="F536" s="58"/>
      <c r="G536" s="58"/>
      <c r="H536" s="57"/>
      <c r="I536" s="57"/>
      <c r="J536" s="57"/>
      <c r="K536" s="57"/>
      <c r="L536" s="57"/>
      <c r="M536" s="65"/>
      <c r="N536" s="60"/>
      <c r="O536" s="7"/>
      <c r="P536" s="23"/>
      <c r="Q536" s="9"/>
      <c r="R536" s="9"/>
      <c r="S536" s="9"/>
      <c r="T536" s="9"/>
      <c r="U536" s="9"/>
      <c r="V536" s="9"/>
      <c r="W536" s="9"/>
      <c r="X536" s="9"/>
      <c r="Y536" s="9"/>
      <c r="Z536" s="9"/>
      <c r="AA536" s="9"/>
      <c r="AB536" s="9"/>
      <c r="AC536" s="9"/>
      <c r="AD536" s="25"/>
      <c r="AE536" s="25"/>
      <c r="AF536" s="9"/>
      <c r="AG536" s="9"/>
      <c r="AH536" s="9"/>
      <c r="AI536" s="9"/>
    </row>
    <row r="537" ht="15.75" customHeight="1">
      <c r="A537" s="9"/>
      <c r="B537" s="9"/>
      <c r="C537" s="9"/>
      <c r="D537" s="9"/>
      <c r="E537" s="57"/>
      <c r="F537" s="58"/>
      <c r="G537" s="58"/>
      <c r="H537" s="57"/>
      <c r="I537" s="57"/>
      <c r="J537" s="57"/>
      <c r="K537" s="57"/>
      <c r="L537" s="57"/>
      <c r="M537" s="59"/>
      <c r="N537" s="60"/>
      <c r="O537" s="7"/>
      <c r="P537" s="23"/>
      <c r="Q537" s="9"/>
      <c r="R537" s="9"/>
      <c r="S537" s="9"/>
      <c r="T537" s="9"/>
      <c r="U537" s="9"/>
      <c r="V537" s="9"/>
      <c r="W537" s="9"/>
      <c r="X537" s="9"/>
      <c r="Y537" s="9"/>
      <c r="Z537" s="9"/>
      <c r="AA537" s="9"/>
      <c r="AB537" s="9"/>
      <c r="AC537" s="9"/>
      <c r="AD537" s="25"/>
      <c r="AE537" s="25"/>
      <c r="AF537" s="9"/>
      <c r="AG537" s="9"/>
      <c r="AH537" s="9"/>
      <c r="AI537" s="9"/>
    </row>
    <row r="538" ht="15.75" customHeight="1">
      <c r="A538" s="9"/>
      <c r="B538" s="9"/>
      <c r="C538" s="9"/>
      <c r="D538" s="9"/>
      <c r="E538" s="57"/>
      <c r="F538" s="58"/>
      <c r="G538" s="58"/>
      <c r="H538" s="57"/>
      <c r="I538" s="57"/>
      <c r="J538" s="57"/>
      <c r="K538" s="57"/>
      <c r="L538" s="57"/>
      <c r="M538" s="59"/>
      <c r="N538" s="60"/>
      <c r="O538" s="7"/>
      <c r="P538" s="23"/>
      <c r="Q538" s="9"/>
      <c r="R538" s="9"/>
      <c r="S538" s="9"/>
      <c r="T538" s="9"/>
      <c r="U538" s="9"/>
      <c r="V538" s="9"/>
      <c r="W538" s="9"/>
      <c r="X538" s="9"/>
      <c r="Y538" s="9"/>
      <c r="Z538" s="9"/>
      <c r="AA538" s="9"/>
      <c r="AB538" s="9"/>
      <c r="AC538" s="9"/>
      <c r="AD538" s="25"/>
      <c r="AE538" s="25"/>
      <c r="AF538" s="9"/>
      <c r="AG538" s="9"/>
      <c r="AH538" s="9"/>
      <c r="AI538" s="9"/>
    </row>
    <row r="539" ht="15.75" customHeight="1">
      <c r="A539" s="9"/>
      <c r="B539" s="9"/>
      <c r="C539" s="9"/>
      <c r="D539" s="9"/>
      <c r="E539" s="57"/>
      <c r="F539" s="58"/>
      <c r="G539" s="58"/>
      <c r="H539" s="57"/>
      <c r="I539" s="57"/>
      <c r="J539" s="57"/>
      <c r="K539" s="57"/>
      <c r="L539" s="61"/>
      <c r="M539" s="64"/>
      <c r="N539" s="60"/>
      <c r="O539" s="7"/>
      <c r="P539" s="23"/>
      <c r="Q539" s="9"/>
      <c r="R539" s="9"/>
      <c r="S539" s="9"/>
      <c r="T539" s="9"/>
      <c r="U539" s="9"/>
      <c r="V539" s="9"/>
      <c r="W539" s="9"/>
      <c r="X539" s="9"/>
      <c r="Y539" s="9"/>
      <c r="Z539" s="9"/>
      <c r="AA539" s="9"/>
      <c r="AB539" s="9"/>
      <c r="AC539" s="9"/>
      <c r="AD539" s="25"/>
      <c r="AE539" s="25"/>
      <c r="AF539" s="9"/>
      <c r="AG539" s="9"/>
      <c r="AH539" s="9"/>
      <c r="AI539" s="9"/>
    </row>
    <row r="540" ht="15.75" customHeight="1">
      <c r="A540" s="9"/>
      <c r="B540" s="9"/>
      <c r="C540" s="9"/>
      <c r="D540" s="9"/>
      <c r="E540" s="57"/>
      <c r="F540" s="58"/>
      <c r="G540" s="58"/>
      <c r="H540" s="57"/>
      <c r="I540" s="57"/>
      <c r="J540" s="57"/>
      <c r="K540" s="57"/>
      <c r="L540" s="57"/>
      <c r="M540" s="59"/>
      <c r="N540" s="60"/>
      <c r="O540" s="7"/>
      <c r="P540" s="23"/>
      <c r="Q540" s="9"/>
      <c r="R540" s="9"/>
      <c r="S540" s="9"/>
      <c r="T540" s="9"/>
      <c r="U540" s="9"/>
      <c r="V540" s="9"/>
      <c r="W540" s="9"/>
      <c r="X540" s="9"/>
      <c r="Y540" s="9"/>
      <c r="Z540" s="9"/>
      <c r="AA540" s="9"/>
      <c r="AB540" s="9"/>
      <c r="AC540" s="9"/>
      <c r="AD540" s="25"/>
      <c r="AE540" s="25"/>
      <c r="AF540" s="9"/>
      <c r="AG540" s="9"/>
      <c r="AH540" s="9"/>
      <c r="AI540" s="9"/>
    </row>
    <row r="541" ht="15.75" customHeight="1">
      <c r="A541" s="9"/>
      <c r="B541" s="9"/>
      <c r="C541" s="9"/>
      <c r="D541" s="9"/>
      <c r="E541" s="57"/>
      <c r="F541" s="58"/>
      <c r="G541" s="58"/>
      <c r="H541" s="57"/>
      <c r="I541" s="57"/>
      <c r="J541" s="57"/>
      <c r="K541" s="57"/>
      <c r="L541" s="57"/>
      <c r="M541" s="65"/>
      <c r="N541" s="60"/>
      <c r="O541" s="7"/>
      <c r="P541" s="23"/>
      <c r="Q541" s="9"/>
      <c r="R541" s="9"/>
      <c r="S541" s="9"/>
      <c r="T541" s="9"/>
      <c r="U541" s="9"/>
      <c r="V541" s="9"/>
      <c r="W541" s="9"/>
      <c r="X541" s="9"/>
      <c r="Y541" s="9"/>
      <c r="Z541" s="9"/>
      <c r="AA541" s="9"/>
      <c r="AB541" s="9"/>
      <c r="AC541" s="9"/>
      <c r="AD541" s="25"/>
      <c r="AE541" s="25"/>
      <c r="AF541" s="9"/>
      <c r="AG541" s="9"/>
      <c r="AH541" s="9"/>
      <c r="AI541" s="9"/>
    </row>
    <row r="542" ht="15.75" customHeight="1">
      <c r="A542" s="9"/>
      <c r="B542" s="9"/>
      <c r="C542" s="9"/>
      <c r="D542" s="9"/>
      <c r="E542" s="57"/>
      <c r="F542" s="58"/>
      <c r="G542" s="58"/>
      <c r="H542" s="57"/>
      <c r="I542" s="57"/>
      <c r="J542" s="57"/>
      <c r="K542" s="57"/>
      <c r="L542" s="57"/>
      <c r="M542" s="59"/>
      <c r="N542" s="60"/>
      <c r="O542" s="7"/>
      <c r="P542" s="23"/>
      <c r="Q542" s="9"/>
      <c r="R542" s="9"/>
      <c r="S542" s="9"/>
      <c r="T542" s="9"/>
      <c r="U542" s="9"/>
      <c r="V542" s="9"/>
      <c r="W542" s="9"/>
      <c r="X542" s="9"/>
      <c r="Y542" s="9"/>
      <c r="Z542" s="9"/>
      <c r="AA542" s="9"/>
      <c r="AB542" s="9"/>
      <c r="AC542" s="9"/>
      <c r="AD542" s="25"/>
      <c r="AE542" s="25"/>
      <c r="AF542" s="9"/>
      <c r="AG542" s="9"/>
      <c r="AH542" s="9"/>
      <c r="AI542" s="9"/>
    </row>
    <row r="543" ht="15.75" customHeight="1">
      <c r="A543" s="9"/>
      <c r="B543" s="9"/>
      <c r="C543" s="9"/>
      <c r="D543" s="9"/>
      <c r="E543" s="57"/>
      <c r="F543" s="58"/>
      <c r="G543" s="58"/>
      <c r="H543" s="57"/>
      <c r="I543" s="57"/>
      <c r="J543" s="57"/>
      <c r="K543" s="57"/>
      <c r="L543" s="57"/>
      <c r="M543" s="59"/>
      <c r="N543" s="60"/>
      <c r="O543" s="7"/>
      <c r="P543" s="23"/>
      <c r="Q543" s="9"/>
      <c r="R543" s="9"/>
      <c r="S543" s="9"/>
      <c r="T543" s="9"/>
      <c r="U543" s="9"/>
      <c r="V543" s="9"/>
      <c r="W543" s="9"/>
      <c r="X543" s="9"/>
      <c r="Y543" s="9"/>
      <c r="Z543" s="9"/>
      <c r="AA543" s="9"/>
      <c r="AB543" s="9"/>
      <c r="AC543" s="9"/>
      <c r="AD543" s="25"/>
      <c r="AE543" s="25"/>
      <c r="AF543" s="9"/>
      <c r="AG543" s="9"/>
      <c r="AH543" s="9"/>
      <c r="AI543" s="9"/>
    </row>
    <row r="544" ht="15.75" customHeight="1">
      <c r="A544" s="9"/>
      <c r="B544" s="9"/>
      <c r="C544" s="9"/>
      <c r="D544" s="9"/>
      <c r="E544" s="57"/>
      <c r="F544" s="58"/>
      <c r="G544" s="58"/>
      <c r="H544" s="57"/>
      <c r="I544" s="57"/>
      <c r="J544" s="57"/>
      <c r="K544" s="57"/>
      <c r="L544" s="57"/>
      <c r="M544" s="65"/>
      <c r="N544" s="60"/>
      <c r="O544" s="7"/>
      <c r="P544" s="23"/>
      <c r="Q544" s="9"/>
      <c r="R544" s="9"/>
      <c r="S544" s="9"/>
      <c r="T544" s="9"/>
      <c r="U544" s="9"/>
      <c r="V544" s="9"/>
      <c r="W544" s="9"/>
      <c r="X544" s="9"/>
      <c r="Y544" s="9"/>
      <c r="Z544" s="9"/>
      <c r="AA544" s="9"/>
      <c r="AB544" s="9"/>
      <c r="AC544" s="9"/>
      <c r="AD544" s="25"/>
      <c r="AE544" s="25"/>
      <c r="AF544" s="9"/>
      <c r="AG544" s="9"/>
      <c r="AH544" s="9"/>
      <c r="AI544" s="9"/>
    </row>
    <row r="545" ht="15.75" customHeight="1">
      <c r="A545" s="9"/>
      <c r="B545" s="9"/>
      <c r="C545" s="9"/>
      <c r="D545" s="9"/>
      <c r="E545" s="57"/>
      <c r="F545" s="58"/>
      <c r="G545" s="58"/>
      <c r="H545" s="57"/>
      <c r="I545" s="57"/>
      <c r="J545" s="57"/>
      <c r="K545" s="57"/>
      <c r="L545" s="61"/>
      <c r="M545" s="62"/>
      <c r="N545" s="60"/>
      <c r="O545" s="7"/>
      <c r="P545" s="23"/>
      <c r="Q545" s="9"/>
      <c r="R545" s="9"/>
      <c r="S545" s="9"/>
      <c r="T545" s="9"/>
      <c r="U545" s="9"/>
      <c r="V545" s="9"/>
      <c r="W545" s="9"/>
      <c r="X545" s="9"/>
      <c r="Y545" s="9"/>
      <c r="Z545" s="9"/>
      <c r="AA545" s="9"/>
      <c r="AB545" s="9"/>
      <c r="AC545" s="9"/>
      <c r="AD545" s="25"/>
      <c r="AE545" s="25"/>
      <c r="AF545" s="9"/>
      <c r="AG545" s="9"/>
      <c r="AH545" s="9"/>
      <c r="AI545" s="9"/>
    </row>
    <row r="546" ht="15.75" customHeight="1">
      <c r="A546" s="9"/>
      <c r="B546" s="9"/>
      <c r="C546" s="9"/>
      <c r="D546" s="9"/>
      <c r="E546" s="57"/>
      <c r="F546" s="58"/>
      <c r="G546" s="58"/>
      <c r="H546" s="57"/>
      <c r="I546" s="57"/>
      <c r="J546" s="57"/>
      <c r="K546" s="57"/>
      <c r="L546" s="57"/>
      <c r="M546" s="59"/>
      <c r="N546" s="60"/>
      <c r="O546" s="7"/>
      <c r="P546" s="23"/>
      <c r="Q546" s="9"/>
      <c r="R546" s="9"/>
      <c r="S546" s="9"/>
      <c r="T546" s="9"/>
      <c r="U546" s="9"/>
      <c r="V546" s="9"/>
      <c r="W546" s="9"/>
      <c r="X546" s="9"/>
      <c r="Y546" s="9"/>
      <c r="Z546" s="9"/>
      <c r="AA546" s="9"/>
      <c r="AB546" s="9"/>
      <c r="AC546" s="9"/>
      <c r="AD546" s="25"/>
      <c r="AE546" s="25"/>
      <c r="AF546" s="9"/>
      <c r="AG546" s="9"/>
      <c r="AH546" s="9"/>
      <c r="AI546" s="9"/>
    </row>
    <row r="547" ht="15.75" customHeight="1">
      <c r="A547" s="9"/>
      <c r="B547" s="9"/>
      <c r="C547" s="9"/>
      <c r="D547" s="9"/>
      <c r="E547" s="67"/>
      <c r="F547" s="68"/>
      <c r="G547" s="68"/>
      <c r="H547" s="69"/>
      <c r="I547" s="69"/>
      <c r="J547" s="69"/>
      <c r="K547" s="69"/>
      <c r="L547" s="69"/>
      <c r="M547" s="69"/>
      <c r="N547" s="69"/>
      <c r="O547" s="7"/>
      <c r="P547" s="23"/>
      <c r="Q547" s="9"/>
      <c r="R547" s="9"/>
      <c r="S547" s="9"/>
      <c r="T547" s="9"/>
      <c r="U547" s="9"/>
      <c r="V547" s="9"/>
      <c r="W547" s="9"/>
      <c r="X547" s="9"/>
      <c r="Y547" s="9"/>
      <c r="Z547" s="9"/>
      <c r="AA547" s="9"/>
      <c r="AB547" s="9"/>
      <c r="AC547" s="9"/>
      <c r="AD547" s="25"/>
      <c r="AE547" s="25"/>
      <c r="AF547" s="9"/>
      <c r="AG547" s="9"/>
      <c r="AH547" s="9"/>
      <c r="AI547" s="9"/>
    </row>
    <row r="548" ht="15.75" customHeight="1">
      <c r="A548" s="9"/>
      <c r="B548" s="9"/>
      <c r="C548" s="9"/>
      <c r="D548" s="9"/>
      <c r="E548" s="67"/>
      <c r="F548" s="68"/>
      <c r="G548" s="68"/>
      <c r="H548" s="69"/>
      <c r="I548" s="69"/>
      <c r="J548" s="69"/>
      <c r="K548" s="69"/>
      <c r="L548" s="69"/>
      <c r="M548" s="70"/>
      <c r="N548" s="69"/>
      <c r="O548" s="7"/>
      <c r="P548" s="23"/>
      <c r="Q548" s="9"/>
      <c r="R548" s="9"/>
      <c r="S548" s="9"/>
      <c r="T548" s="9"/>
      <c r="U548" s="9"/>
      <c r="V548" s="9"/>
      <c r="W548" s="9"/>
      <c r="X548" s="9"/>
      <c r="Y548" s="9"/>
      <c r="Z548" s="9"/>
      <c r="AA548" s="9"/>
      <c r="AB548" s="9"/>
      <c r="AC548" s="9"/>
      <c r="AD548" s="25"/>
      <c r="AE548" s="25"/>
      <c r="AF548" s="9"/>
      <c r="AG548" s="9"/>
      <c r="AH548" s="9"/>
      <c r="AI548" s="9"/>
    </row>
    <row r="549" ht="15.75" customHeight="1">
      <c r="A549" s="9"/>
      <c r="B549" s="9"/>
      <c r="C549" s="9"/>
      <c r="D549" s="9"/>
      <c r="E549" s="67"/>
      <c r="F549" s="68"/>
      <c r="G549" s="68"/>
      <c r="H549" s="69"/>
      <c r="I549" s="69"/>
      <c r="J549" s="69"/>
      <c r="K549" s="69"/>
      <c r="L549" s="69"/>
      <c r="M549" s="71"/>
      <c r="N549" s="69"/>
      <c r="O549" s="7"/>
      <c r="P549" s="23"/>
      <c r="Q549" s="9"/>
      <c r="R549" s="9"/>
      <c r="S549" s="9"/>
      <c r="T549" s="9"/>
      <c r="U549" s="9"/>
      <c r="V549" s="9"/>
      <c r="W549" s="9"/>
      <c r="X549" s="9"/>
      <c r="Y549" s="9"/>
      <c r="Z549" s="9"/>
      <c r="AA549" s="9"/>
      <c r="AB549" s="9"/>
      <c r="AC549" s="9"/>
      <c r="AD549" s="25"/>
      <c r="AE549" s="25"/>
      <c r="AF549" s="9"/>
      <c r="AG549" s="9"/>
      <c r="AH549" s="9"/>
      <c r="AI549" s="9"/>
    </row>
    <row r="550" ht="15.75" customHeight="1">
      <c r="A550" s="9"/>
      <c r="B550" s="9"/>
      <c r="C550" s="9"/>
      <c r="D550" s="9"/>
      <c r="E550" s="67"/>
      <c r="F550" s="68"/>
      <c r="G550" s="68"/>
      <c r="H550" s="69"/>
      <c r="I550" s="69"/>
      <c r="J550" s="69"/>
      <c r="K550" s="69"/>
      <c r="L550" s="69"/>
      <c r="M550" s="70"/>
      <c r="N550" s="69"/>
      <c r="O550" s="7"/>
      <c r="P550" s="23"/>
      <c r="Q550" s="9"/>
      <c r="R550" s="9"/>
      <c r="S550" s="9"/>
      <c r="T550" s="9"/>
      <c r="U550" s="9"/>
      <c r="V550" s="9"/>
      <c r="W550" s="9"/>
      <c r="X550" s="9"/>
      <c r="Y550" s="9"/>
      <c r="Z550" s="9"/>
      <c r="AA550" s="9"/>
      <c r="AB550" s="9"/>
      <c r="AC550" s="9"/>
      <c r="AD550" s="25"/>
      <c r="AE550" s="25"/>
      <c r="AF550" s="9"/>
      <c r="AG550" s="9"/>
      <c r="AH550" s="9"/>
      <c r="AI550" s="9"/>
    </row>
    <row r="551" ht="15.75" customHeight="1">
      <c r="A551" s="9"/>
      <c r="B551" s="9"/>
      <c r="C551" s="9"/>
      <c r="D551" s="9"/>
      <c r="E551" s="67"/>
      <c r="F551" s="68"/>
      <c r="G551" s="68"/>
      <c r="H551" s="69"/>
      <c r="I551" s="69"/>
      <c r="J551" s="69"/>
      <c r="K551" s="69"/>
      <c r="L551" s="69"/>
      <c r="M551" s="71"/>
      <c r="N551" s="69"/>
      <c r="O551" s="7"/>
      <c r="P551" s="23"/>
      <c r="Q551" s="9"/>
      <c r="R551" s="9"/>
      <c r="S551" s="9"/>
      <c r="T551" s="9"/>
      <c r="U551" s="9"/>
      <c r="V551" s="9"/>
      <c r="W551" s="9"/>
      <c r="X551" s="9"/>
      <c r="Y551" s="9"/>
      <c r="Z551" s="9"/>
      <c r="AA551" s="9"/>
      <c r="AB551" s="9"/>
      <c r="AC551" s="9"/>
      <c r="AD551" s="25"/>
      <c r="AE551" s="25"/>
      <c r="AF551" s="9"/>
      <c r="AG551" s="9"/>
      <c r="AH551" s="9"/>
      <c r="AI551" s="9"/>
    </row>
    <row r="552" ht="15.75" customHeight="1">
      <c r="A552" s="9"/>
      <c r="B552" s="9"/>
      <c r="C552" s="9"/>
      <c r="D552" s="9"/>
      <c r="E552" s="67"/>
      <c r="F552" s="68"/>
      <c r="G552" s="68"/>
      <c r="H552" s="69"/>
      <c r="I552" s="69"/>
      <c r="J552" s="69"/>
      <c r="K552" s="69"/>
      <c r="L552" s="69"/>
      <c r="M552" s="70"/>
      <c r="N552" s="69"/>
      <c r="O552" s="7"/>
      <c r="P552" s="23"/>
      <c r="Q552" s="9"/>
      <c r="R552" s="9"/>
      <c r="S552" s="9"/>
      <c r="T552" s="9"/>
      <c r="U552" s="9"/>
      <c r="V552" s="9"/>
      <c r="W552" s="9"/>
      <c r="X552" s="9"/>
      <c r="Y552" s="9"/>
      <c r="Z552" s="9"/>
      <c r="AA552" s="9"/>
      <c r="AB552" s="9"/>
      <c r="AC552" s="9"/>
      <c r="AD552" s="25"/>
      <c r="AE552" s="25"/>
      <c r="AF552" s="9"/>
      <c r="AG552" s="9"/>
      <c r="AH552" s="9"/>
      <c r="AI552" s="9"/>
    </row>
    <row r="553" ht="15.75" customHeight="1">
      <c r="A553" s="9"/>
      <c r="B553" s="9"/>
      <c r="C553" s="9"/>
      <c r="D553" s="9"/>
      <c r="E553" s="67"/>
      <c r="F553" s="68"/>
      <c r="G553" s="68"/>
      <c r="H553" s="69"/>
      <c r="I553" s="69"/>
      <c r="J553" s="69"/>
      <c r="K553" s="69"/>
      <c r="L553" s="69"/>
      <c r="M553" s="71"/>
      <c r="N553" s="69"/>
      <c r="O553" s="7"/>
      <c r="P553" s="23"/>
      <c r="Q553" s="9"/>
      <c r="R553" s="9"/>
      <c r="S553" s="9"/>
      <c r="T553" s="9"/>
      <c r="U553" s="9"/>
      <c r="V553" s="9"/>
      <c r="W553" s="9"/>
      <c r="X553" s="9"/>
      <c r="Y553" s="9"/>
      <c r="Z553" s="9"/>
      <c r="AA553" s="9"/>
      <c r="AB553" s="9"/>
      <c r="AC553" s="9"/>
      <c r="AD553" s="25"/>
      <c r="AE553" s="25"/>
      <c r="AF553" s="9"/>
      <c r="AG553" s="9"/>
      <c r="AH553" s="9"/>
      <c r="AI553" s="9"/>
    </row>
    <row r="554" ht="15.75" customHeight="1">
      <c r="A554" s="9"/>
      <c r="B554" s="9"/>
      <c r="C554" s="9"/>
      <c r="D554" s="9"/>
      <c r="E554" s="67"/>
      <c r="F554" s="68"/>
      <c r="G554" s="68"/>
      <c r="H554" s="69"/>
      <c r="I554" s="69"/>
      <c r="J554" s="69"/>
      <c r="K554" s="69"/>
      <c r="L554" s="69"/>
      <c r="M554" s="70"/>
      <c r="N554" s="69"/>
      <c r="O554" s="7"/>
      <c r="P554" s="23"/>
      <c r="Q554" s="9"/>
      <c r="R554" s="9"/>
      <c r="S554" s="9"/>
      <c r="T554" s="9"/>
      <c r="U554" s="9"/>
      <c r="V554" s="9"/>
      <c r="W554" s="9"/>
      <c r="X554" s="9"/>
      <c r="Y554" s="9"/>
      <c r="Z554" s="9"/>
      <c r="AA554" s="9"/>
      <c r="AB554" s="9"/>
      <c r="AC554" s="9"/>
      <c r="AD554" s="25"/>
      <c r="AE554" s="25"/>
      <c r="AF554" s="9"/>
      <c r="AG554" s="9"/>
      <c r="AH554" s="9"/>
      <c r="AI554" s="9"/>
    </row>
    <row r="555" ht="15.75" customHeight="1">
      <c r="A555" s="9"/>
      <c r="B555" s="9"/>
      <c r="C555" s="9"/>
      <c r="D555" s="9"/>
      <c r="E555" s="67"/>
      <c r="F555" s="68"/>
      <c r="G555" s="68"/>
      <c r="H555" s="69"/>
      <c r="I555" s="69"/>
      <c r="J555" s="69"/>
      <c r="K555" s="69"/>
      <c r="L555" s="69"/>
      <c r="M555" s="70"/>
      <c r="N555" s="69"/>
      <c r="O555" s="7"/>
      <c r="P555" s="23"/>
      <c r="Q555" s="9"/>
      <c r="R555" s="9"/>
      <c r="S555" s="9"/>
      <c r="T555" s="9"/>
      <c r="U555" s="9"/>
      <c r="V555" s="9"/>
      <c r="W555" s="9"/>
      <c r="X555" s="9"/>
      <c r="Y555" s="9"/>
      <c r="Z555" s="9"/>
      <c r="AA555" s="9"/>
      <c r="AB555" s="9"/>
      <c r="AC555" s="9"/>
      <c r="AD555" s="25"/>
      <c r="AE555" s="25"/>
      <c r="AF555" s="9"/>
      <c r="AG555" s="9"/>
      <c r="AH555" s="9"/>
      <c r="AI555" s="9"/>
    </row>
    <row r="556" ht="15.75" customHeight="1">
      <c r="A556" s="9"/>
      <c r="B556" s="9"/>
      <c r="C556" s="9"/>
      <c r="D556" s="9"/>
      <c r="E556" s="67"/>
      <c r="F556" s="68"/>
      <c r="G556" s="68"/>
      <c r="H556" s="69"/>
      <c r="I556" s="69"/>
      <c r="J556" s="69"/>
      <c r="K556" s="69"/>
      <c r="L556" s="69"/>
      <c r="M556" s="70"/>
      <c r="N556" s="69"/>
      <c r="O556" s="7"/>
      <c r="P556" s="23"/>
      <c r="Q556" s="9"/>
      <c r="R556" s="9"/>
      <c r="S556" s="9"/>
      <c r="T556" s="9"/>
      <c r="U556" s="9"/>
      <c r="V556" s="9"/>
      <c r="W556" s="9"/>
      <c r="X556" s="9"/>
      <c r="Y556" s="9"/>
      <c r="Z556" s="9"/>
      <c r="AA556" s="9"/>
      <c r="AB556" s="9"/>
      <c r="AC556" s="9"/>
      <c r="AD556" s="25"/>
      <c r="AE556" s="25"/>
      <c r="AF556" s="9"/>
      <c r="AG556" s="9"/>
      <c r="AH556" s="9"/>
      <c r="AI556" s="9"/>
    </row>
    <row r="557" ht="15.75" customHeight="1">
      <c r="A557" s="9"/>
      <c r="B557" s="9"/>
      <c r="C557" s="9"/>
      <c r="D557" s="9"/>
      <c r="E557" s="67"/>
      <c r="F557" s="68"/>
      <c r="G557" s="68"/>
      <c r="H557" s="69"/>
      <c r="I557" s="69"/>
      <c r="J557" s="69"/>
      <c r="K557" s="69"/>
      <c r="L557" s="69"/>
      <c r="M557" s="70"/>
      <c r="N557" s="69"/>
      <c r="O557" s="7"/>
      <c r="P557" s="23"/>
      <c r="Q557" s="9"/>
      <c r="R557" s="9"/>
      <c r="S557" s="9"/>
      <c r="T557" s="9"/>
      <c r="U557" s="9"/>
      <c r="V557" s="9"/>
      <c r="W557" s="9"/>
      <c r="X557" s="9"/>
      <c r="Y557" s="9"/>
      <c r="Z557" s="9"/>
      <c r="AA557" s="9"/>
      <c r="AB557" s="9"/>
      <c r="AC557" s="9"/>
      <c r="AD557" s="25"/>
      <c r="AE557" s="25"/>
      <c r="AF557" s="9"/>
      <c r="AG557" s="9"/>
      <c r="AH557" s="9"/>
      <c r="AI557" s="9"/>
    </row>
    <row r="558" ht="15.75" customHeight="1">
      <c r="A558" s="9"/>
      <c r="B558" s="9"/>
      <c r="C558" s="9"/>
      <c r="D558" s="9"/>
      <c r="E558" s="67"/>
      <c r="F558" s="68"/>
      <c r="G558" s="68"/>
      <c r="H558" s="69"/>
      <c r="I558" s="69"/>
      <c r="J558" s="69"/>
      <c r="K558" s="69"/>
      <c r="L558" s="69"/>
      <c r="M558" s="69"/>
      <c r="N558" s="69"/>
      <c r="O558" s="7"/>
      <c r="P558" s="23"/>
      <c r="Q558" s="9"/>
      <c r="R558" s="9"/>
      <c r="S558" s="9"/>
      <c r="T558" s="9"/>
      <c r="U558" s="9"/>
      <c r="V558" s="9"/>
      <c r="W558" s="9"/>
      <c r="X558" s="9"/>
      <c r="Y558" s="9"/>
      <c r="Z558" s="9"/>
      <c r="AA558" s="9"/>
      <c r="AB558" s="9"/>
      <c r="AC558" s="9"/>
      <c r="AD558" s="25"/>
      <c r="AE558" s="25"/>
      <c r="AF558" s="9"/>
      <c r="AG558" s="9"/>
      <c r="AH558" s="9"/>
      <c r="AI558" s="9"/>
    </row>
    <row r="559" ht="15.75" customHeight="1">
      <c r="A559" s="9"/>
      <c r="B559" s="9"/>
      <c r="C559" s="9"/>
      <c r="D559" s="9"/>
      <c r="E559" s="67"/>
      <c r="F559" s="68"/>
      <c r="G559" s="68"/>
      <c r="H559" s="69"/>
      <c r="I559" s="69"/>
      <c r="J559" s="69"/>
      <c r="K559" s="69"/>
      <c r="L559" s="69"/>
      <c r="M559" s="69"/>
      <c r="N559" s="69"/>
      <c r="O559" s="7"/>
      <c r="P559" s="23"/>
      <c r="Q559" s="9"/>
      <c r="R559" s="9"/>
      <c r="S559" s="9"/>
      <c r="T559" s="9"/>
      <c r="U559" s="9"/>
      <c r="V559" s="9"/>
      <c r="W559" s="9"/>
      <c r="X559" s="9"/>
      <c r="Y559" s="9"/>
      <c r="Z559" s="9"/>
      <c r="AA559" s="9"/>
      <c r="AB559" s="9"/>
      <c r="AC559" s="9"/>
      <c r="AD559" s="25"/>
      <c r="AE559" s="25"/>
      <c r="AF559" s="9"/>
      <c r="AG559" s="9"/>
      <c r="AH559" s="9"/>
      <c r="AI559" s="9"/>
    </row>
    <row r="560" ht="15.75" customHeight="1">
      <c r="A560" s="9"/>
      <c r="B560" s="9"/>
      <c r="C560" s="9"/>
      <c r="D560" s="9"/>
      <c r="E560" s="67"/>
      <c r="F560" s="68"/>
      <c r="G560" s="68"/>
      <c r="H560" s="69"/>
      <c r="I560" s="69"/>
      <c r="J560" s="69"/>
      <c r="K560" s="69"/>
      <c r="L560" s="69"/>
      <c r="M560" s="69"/>
      <c r="N560" s="69"/>
      <c r="O560" s="7"/>
      <c r="P560" s="23"/>
      <c r="Q560" s="9"/>
      <c r="R560" s="9"/>
      <c r="S560" s="9"/>
      <c r="T560" s="9"/>
      <c r="U560" s="9"/>
      <c r="V560" s="9"/>
      <c r="W560" s="9"/>
      <c r="X560" s="9"/>
      <c r="Y560" s="9"/>
      <c r="Z560" s="9"/>
      <c r="AA560" s="9"/>
      <c r="AB560" s="9"/>
      <c r="AC560" s="9"/>
      <c r="AD560" s="25"/>
      <c r="AE560" s="25"/>
      <c r="AF560" s="9"/>
      <c r="AG560" s="9"/>
      <c r="AH560" s="9"/>
      <c r="AI560" s="9"/>
    </row>
    <row r="561" ht="15.75" customHeight="1">
      <c r="A561" s="9"/>
      <c r="B561" s="9"/>
      <c r="C561" s="9"/>
      <c r="D561" s="9"/>
      <c r="E561" s="67"/>
      <c r="F561" s="68"/>
      <c r="G561" s="68"/>
      <c r="H561" s="69"/>
      <c r="I561" s="69"/>
      <c r="J561" s="69"/>
      <c r="K561" s="69"/>
      <c r="L561" s="69"/>
      <c r="M561" s="70"/>
      <c r="N561" s="69"/>
      <c r="O561" s="7"/>
      <c r="P561" s="23"/>
      <c r="Q561" s="9"/>
      <c r="R561" s="9"/>
      <c r="S561" s="9"/>
      <c r="T561" s="9"/>
      <c r="U561" s="9"/>
      <c r="V561" s="9"/>
      <c r="W561" s="9"/>
      <c r="X561" s="9"/>
      <c r="Y561" s="9"/>
      <c r="Z561" s="9"/>
      <c r="AA561" s="9"/>
      <c r="AB561" s="9"/>
      <c r="AC561" s="9"/>
      <c r="AD561" s="25"/>
      <c r="AE561" s="25"/>
      <c r="AF561" s="9"/>
      <c r="AG561" s="9"/>
      <c r="AH561" s="9"/>
      <c r="AI561" s="9"/>
    </row>
    <row r="562" ht="15.75" customHeight="1">
      <c r="A562" s="9"/>
      <c r="B562" s="9"/>
      <c r="C562" s="9"/>
      <c r="D562" s="9"/>
      <c r="E562" s="67"/>
      <c r="F562" s="68"/>
      <c r="G562" s="68"/>
      <c r="H562" s="69"/>
      <c r="I562" s="69"/>
      <c r="J562" s="69"/>
      <c r="K562" s="69"/>
      <c r="L562" s="69"/>
      <c r="M562" s="70"/>
      <c r="N562" s="69"/>
      <c r="O562" s="7"/>
      <c r="P562" s="23"/>
      <c r="Q562" s="9"/>
      <c r="R562" s="9"/>
      <c r="S562" s="9"/>
      <c r="T562" s="9"/>
      <c r="U562" s="9"/>
      <c r="V562" s="9"/>
      <c r="W562" s="9"/>
      <c r="X562" s="9"/>
      <c r="Y562" s="9"/>
      <c r="Z562" s="9"/>
      <c r="AA562" s="9"/>
      <c r="AB562" s="9"/>
      <c r="AC562" s="9"/>
      <c r="AD562" s="25"/>
      <c r="AE562" s="25"/>
      <c r="AF562" s="9"/>
      <c r="AG562" s="9"/>
      <c r="AH562" s="9"/>
      <c r="AI562" s="9"/>
    </row>
    <row r="563" ht="15.75" customHeight="1">
      <c r="A563" s="9"/>
      <c r="B563" s="9"/>
      <c r="C563" s="9"/>
      <c r="D563" s="9"/>
      <c r="E563" s="67"/>
      <c r="F563" s="68"/>
      <c r="G563" s="68"/>
      <c r="H563" s="69"/>
      <c r="I563" s="69"/>
      <c r="J563" s="69"/>
      <c r="K563" s="69"/>
      <c r="L563" s="69"/>
      <c r="M563" s="69"/>
      <c r="N563" s="69"/>
      <c r="O563" s="7"/>
      <c r="P563" s="23"/>
      <c r="Q563" s="9"/>
      <c r="R563" s="9"/>
      <c r="S563" s="9"/>
      <c r="T563" s="9"/>
      <c r="U563" s="9"/>
      <c r="V563" s="9"/>
      <c r="W563" s="9"/>
      <c r="X563" s="9"/>
      <c r="Y563" s="9"/>
      <c r="Z563" s="9"/>
      <c r="AA563" s="9"/>
      <c r="AB563" s="9"/>
      <c r="AC563" s="9"/>
      <c r="AD563" s="25"/>
      <c r="AE563" s="25"/>
      <c r="AF563" s="9"/>
      <c r="AG563" s="9"/>
      <c r="AH563" s="9"/>
      <c r="AI563" s="9"/>
    </row>
    <row r="564" ht="15.75" customHeight="1">
      <c r="A564" s="9"/>
      <c r="B564" s="9"/>
      <c r="C564" s="9"/>
      <c r="D564" s="9"/>
      <c r="E564" s="67"/>
      <c r="F564" s="68"/>
      <c r="G564" s="68"/>
      <c r="H564" s="69"/>
      <c r="I564" s="69"/>
      <c r="J564" s="69"/>
      <c r="K564" s="69"/>
      <c r="L564" s="69"/>
      <c r="M564" s="71"/>
      <c r="N564" s="69"/>
      <c r="O564" s="7"/>
      <c r="P564" s="23"/>
      <c r="Q564" s="9"/>
      <c r="R564" s="9"/>
      <c r="S564" s="9"/>
      <c r="T564" s="9"/>
      <c r="U564" s="9"/>
      <c r="V564" s="9"/>
      <c r="W564" s="9"/>
      <c r="X564" s="9"/>
      <c r="Y564" s="9"/>
      <c r="Z564" s="9"/>
      <c r="AA564" s="9"/>
      <c r="AB564" s="9"/>
      <c r="AC564" s="9"/>
      <c r="AD564" s="25"/>
      <c r="AE564" s="25"/>
      <c r="AF564" s="9"/>
      <c r="AG564" s="9"/>
      <c r="AH564" s="9"/>
      <c r="AI564" s="9"/>
    </row>
    <row r="565" ht="15.75" customHeight="1">
      <c r="A565" s="9"/>
      <c r="B565" s="9"/>
      <c r="C565" s="9"/>
      <c r="D565" s="9"/>
      <c r="E565" s="67"/>
      <c r="F565" s="68"/>
      <c r="G565" s="68"/>
      <c r="H565" s="69"/>
      <c r="I565" s="69"/>
      <c r="J565" s="69"/>
      <c r="K565" s="69"/>
      <c r="L565" s="69"/>
      <c r="M565" s="70"/>
      <c r="N565" s="69"/>
      <c r="O565" s="7"/>
      <c r="P565" s="23"/>
      <c r="Q565" s="9"/>
      <c r="R565" s="9"/>
      <c r="S565" s="9"/>
      <c r="T565" s="9"/>
      <c r="U565" s="9"/>
      <c r="V565" s="9"/>
      <c r="W565" s="9"/>
      <c r="X565" s="9"/>
      <c r="Y565" s="9"/>
      <c r="Z565" s="9"/>
      <c r="AA565" s="9"/>
      <c r="AB565" s="9"/>
      <c r="AC565" s="9"/>
      <c r="AD565" s="25"/>
      <c r="AE565" s="25"/>
      <c r="AF565" s="9"/>
      <c r="AG565" s="9"/>
      <c r="AH565" s="9"/>
      <c r="AI565" s="9"/>
    </row>
    <row r="566" ht="15.75" customHeight="1">
      <c r="A566" s="9"/>
      <c r="B566" s="9"/>
      <c r="C566" s="9"/>
      <c r="D566" s="9"/>
      <c r="E566" s="67"/>
      <c r="F566" s="68"/>
      <c r="G566" s="68"/>
      <c r="H566" s="69"/>
      <c r="I566" s="69"/>
      <c r="J566" s="69"/>
      <c r="K566" s="69"/>
      <c r="L566" s="69"/>
      <c r="M566" s="70"/>
      <c r="N566" s="69"/>
      <c r="O566" s="7"/>
      <c r="P566" s="23"/>
      <c r="Q566" s="9"/>
      <c r="R566" s="9"/>
      <c r="S566" s="9"/>
      <c r="T566" s="9"/>
      <c r="U566" s="9"/>
      <c r="V566" s="9"/>
      <c r="W566" s="9"/>
      <c r="X566" s="9"/>
      <c r="Y566" s="9"/>
      <c r="Z566" s="9"/>
      <c r="AA566" s="9"/>
      <c r="AB566" s="9"/>
      <c r="AC566" s="9"/>
      <c r="AD566" s="25"/>
      <c r="AE566" s="25"/>
      <c r="AF566" s="9"/>
      <c r="AG566" s="9"/>
      <c r="AH566" s="9"/>
      <c r="AI566" s="9"/>
    </row>
    <row r="567" ht="15.75" customHeight="1">
      <c r="A567" s="9"/>
      <c r="B567" s="9"/>
      <c r="C567" s="9"/>
      <c r="D567" s="9"/>
      <c r="E567" s="67"/>
      <c r="F567" s="68"/>
      <c r="G567" s="68"/>
      <c r="H567" s="69"/>
      <c r="I567" s="69"/>
      <c r="J567" s="69"/>
      <c r="K567" s="69"/>
      <c r="L567" s="69"/>
      <c r="M567" s="70"/>
      <c r="N567" s="69"/>
      <c r="O567" s="7"/>
      <c r="P567" s="23"/>
      <c r="Q567" s="9"/>
      <c r="R567" s="9"/>
      <c r="S567" s="9"/>
      <c r="T567" s="9"/>
      <c r="U567" s="9"/>
      <c r="V567" s="9"/>
      <c r="W567" s="9"/>
      <c r="X567" s="9"/>
      <c r="Y567" s="9"/>
      <c r="Z567" s="9"/>
      <c r="AA567" s="9"/>
      <c r="AB567" s="9"/>
      <c r="AC567" s="9"/>
      <c r="AD567" s="25"/>
      <c r="AE567" s="25"/>
      <c r="AF567" s="9"/>
      <c r="AG567" s="9"/>
      <c r="AH567" s="9"/>
      <c r="AI567" s="9"/>
    </row>
    <row r="568" ht="15.75" customHeight="1">
      <c r="A568" s="9"/>
      <c r="B568" s="9"/>
      <c r="C568" s="9"/>
      <c r="D568" s="9"/>
      <c r="E568" s="67"/>
      <c r="F568" s="68"/>
      <c r="G568" s="68"/>
      <c r="H568" s="69"/>
      <c r="I568" s="69"/>
      <c r="J568" s="69"/>
      <c r="K568" s="69"/>
      <c r="L568" s="69"/>
      <c r="M568" s="71"/>
      <c r="N568" s="69"/>
      <c r="O568" s="7"/>
      <c r="P568" s="23"/>
      <c r="Q568" s="9"/>
      <c r="R568" s="9"/>
      <c r="S568" s="9"/>
      <c r="T568" s="9"/>
      <c r="U568" s="9"/>
      <c r="V568" s="9"/>
      <c r="W568" s="9"/>
      <c r="X568" s="9"/>
      <c r="Y568" s="9"/>
      <c r="Z568" s="9"/>
      <c r="AA568" s="9"/>
      <c r="AB568" s="9"/>
      <c r="AC568" s="9"/>
      <c r="AD568" s="25"/>
      <c r="AE568" s="25"/>
      <c r="AF568" s="9"/>
      <c r="AG568" s="9"/>
      <c r="AH568" s="9"/>
      <c r="AI568" s="9"/>
    </row>
    <row r="569" ht="15.75" customHeight="1">
      <c r="A569" s="9"/>
      <c r="B569" s="9"/>
      <c r="C569" s="9"/>
      <c r="D569" s="9"/>
      <c r="E569" s="67"/>
      <c r="F569" s="68"/>
      <c r="G569" s="68"/>
      <c r="H569" s="69"/>
      <c r="I569" s="69"/>
      <c r="J569" s="69"/>
      <c r="K569" s="69"/>
      <c r="L569" s="69"/>
      <c r="M569" s="70"/>
      <c r="N569" s="69"/>
      <c r="O569" s="7"/>
      <c r="P569" s="23"/>
      <c r="Q569" s="9"/>
      <c r="R569" s="9"/>
      <c r="S569" s="9"/>
      <c r="T569" s="9"/>
      <c r="U569" s="9"/>
      <c r="V569" s="9"/>
      <c r="W569" s="9"/>
      <c r="X569" s="9"/>
      <c r="Y569" s="9"/>
      <c r="Z569" s="9"/>
      <c r="AA569" s="9"/>
      <c r="AB569" s="9"/>
      <c r="AC569" s="9"/>
      <c r="AD569" s="25"/>
      <c r="AE569" s="25"/>
      <c r="AF569" s="9"/>
      <c r="AG569" s="9"/>
      <c r="AH569" s="9"/>
      <c r="AI569" s="9"/>
    </row>
    <row r="570" ht="15.75" customHeight="1">
      <c r="A570" s="9"/>
      <c r="B570" s="9"/>
      <c r="C570" s="9"/>
      <c r="D570" s="9"/>
      <c r="E570" s="67"/>
      <c r="F570" s="68"/>
      <c r="G570" s="68"/>
      <c r="H570" s="69"/>
      <c r="I570" s="69"/>
      <c r="J570" s="69"/>
      <c r="K570" s="69"/>
      <c r="L570" s="69"/>
      <c r="M570" s="70"/>
      <c r="N570" s="69"/>
      <c r="O570" s="7"/>
      <c r="P570" s="23"/>
      <c r="Q570" s="9"/>
      <c r="R570" s="9"/>
      <c r="S570" s="9"/>
      <c r="T570" s="9"/>
      <c r="U570" s="9"/>
      <c r="V570" s="9"/>
      <c r="W570" s="9"/>
      <c r="X570" s="9"/>
      <c r="Y570" s="9"/>
      <c r="Z570" s="9"/>
      <c r="AA570" s="9"/>
      <c r="AB570" s="9"/>
      <c r="AC570" s="9"/>
      <c r="AD570" s="25"/>
      <c r="AE570" s="25"/>
      <c r="AF570" s="9"/>
      <c r="AG570" s="9"/>
      <c r="AH570" s="9"/>
      <c r="AI570" s="9"/>
    </row>
    <row r="571" ht="15.75" customHeight="1">
      <c r="A571" s="9"/>
      <c r="B571" s="9"/>
      <c r="C571" s="9"/>
      <c r="D571" s="9"/>
      <c r="E571" s="67"/>
      <c r="F571" s="68"/>
      <c r="G571" s="68"/>
      <c r="H571" s="69"/>
      <c r="I571" s="69"/>
      <c r="J571" s="69"/>
      <c r="K571" s="69"/>
      <c r="L571" s="69"/>
      <c r="M571" s="70"/>
      <c r="N571" s="69"/>
      <c r="O571" s="7"/>
      <c r="P571" s="23"/>
      <c r="Q571" s="9"/>
      <c r="R571" s="9"/>
      <c r="S571" s="9"/>
      <c r="T571" s="9"/>
      <c r="U571" s="9"/>
      <c r="V571" s="9"/>
      <c r="W571" s="9"/>
      <c r="X571" s="9"/>
      <c r="Y571" s="9"/>
      <c r="Z571" s="9"/>
      <c r="AA571" s="9"/>
      <c r="AB571" s="9"/>
      <c r="AC571" s="9"/>
      <c r="AD571" s="25"/>
      <c r="AE571" s="25"/>
      <c r="AF571" s="9"/>
      <c r="AG571" s="9"/>
      <c r="AH571" s="9"/>
      <c r="AI571" s="9"/>
    </row>
    <row r="572" ht="15.75" customHeight="1">
      <c r="A572" s="9"/>
      <c r="B572" s="9"/>
      <c r="C572" s="9"/>
      <c r="D572" s="9"/>
      <c r="E572" s="67"/>
      <c r="F572" s="68"/>
      <c r="G572" s="68"/>
      <c r="H572" s="69"/>
      <c r="I572" s="69"/>
      <c r="J572" s="69"/>
      <c r="K572" s="69"/>
      <c r="L572" s="69"/>
      <c r="M572" s="70"/>
      <c r="N572" s="69"/>
      <c r="O572" s="7"/>
      <c r="P572" s="23"/>
      <c r="Q572" s="9"/>
      <c r="R572" s="9"/>
      <c r="S572" s="9"/>
      <c r="T572" s="9"/>
      <c r="U572" s="9"/>
      <c r="V572" s="9"/>
      <c r="W572" s="9"/>
      <c r="X572" s="9"/>
      <c r="Y572" s="9"/>
      <c r="Z572" s="9"/>
      <c r="AA572" s="9"/>
      <c r="AB572" s="9"/>
      <c r="AC572" s="9"/>
      <c r="AD572" s="25"/>
      <c r="AE572" s="25"/>
      <c r="AF572" s="9"/>
      <c r="AG572" s="9"/>
      <c r="AH572" s="9"/>
      <c r="AI572" s="9"/>
    </row>
    <row r="573" ht="15.75" customHeight="1">
      <c r="A573" s="9"/>
      <c r="B573" s="9"/>
      <c r="C573" s="9"/>
      <c r="D573" s="9"/>
      <c r="E573" s="67"/>
      <c r="F573" s="68"/>
      <c r="G573" s="68"/>
      <c r="H573" s="69"/>
      <c r="I573" s="69"/>
      <c r="J573" s="69"/>
      <c r="K573" s="69"/>
      <c r="L573" s="69"/>
      <c r="M573" s="69"/>
      <c r="N573" s="69"/>
      <c r="O573" s="7"/>
      <c r="P573" s="23"/>
      <c r="Q573" s="9"/>
      <c r="R573" s="9"/>
      <c r="S573" s="9"/>
      <c r="T573" s="9"/>
      <c r="U573" s="9"/>
      <c r="V573" s="9"/>
      <c r="W573" s="9"/>
      <c r="X573" s="9"/>
      <c r="Y573" s="9"/>
      <c r="Z573" s="9"/>
      <c r="AA573" s="9"/>
      <c r="AB573" s="9"/>
      <c r="AC573" s="9"/>
      <c r="AD573" s="25"/>
      <c r="AE573" s="25"/>
      <c r="AF573" s="9"/>
      <c r="AG573" s="9"/>
      <c r="AH573" s="9"/>
      <c r="AI573" s="9"/>
    </row>
    <row r="574" ht="15.75" customHeight="1">
      <c r="A574" s="9"/>
      <c r="B574" s="9"/>
      <c r="C574" s="9"/>
      <c r="D574" s="9"/>
      <c r="E574" s="67"/>
      <c r="F574" s="68"/>
      <c r="G574" s="68"/>
      <c r="H574" s="69"/>
      <c r="I574" s="69"/>
      <c r="J574" s="69"/>
      <c r="K574" s="69"/>
      <c r="L574" s="69"/>
      <c r="M574" s="70"/>
      <c r="N574" s="69"/>
      <c r="O574" s="7"/>
      <c r="P574" s="23"/>
      <c r="Q574" s="9"/>
      <c r="R574" s="9"/>
      <c r="S574" s="9"/>
      <c r="T574" s="9"/>
      <c r="U574" s="9"/>
      <c r="V574" s="9"/>
      <c r="W574" s="9"/>
      <c r="X574" s="9"/>
      <c r="Y574" s="9"/>
      <c r="Z574" s="9"/>
      <c r="AA574" s="9"/>
      <c r="AB574" s="9"/>
      <c r="AC574" s="9"/>
      <c r="AD574" s="25"/>
      <c r="AE574" s="25"/>
      <c r="AF574" s="9"/>
      <c r="AG574" s="9"/>
      <c r="AH574" s="9"/>
      <c r="AI574" s="9"/>
    </row>
    <row r="575" ht="15.75" customHeight="1">
      <c r="A575" s="9"/>
      <c r="B575" s="9"/>
      <c r="C575" s="9"/>
      <c r="D575" s="9"/>
      <c r="E575" s="67"/>
      <c r="F575" s="68"/>
      <c r="G575" s="68"/>
      <c r="H575" s="69"/>
      <c r="I575" s="69"/>
      <c r="J575" s="69"/>
      <c r="K575" s="69"/>
      <c r="L575" s="69"/>
      <c r="M575" s="69"/>
      <c r="N575" s="69"/>
      <c r="O575" s="7"/>
      <c r="P575" s="23"/>
      <c r="Q575" s="9"/>
      <c r="R575" s="9"/>
      <c r="S575" s="9"/>
      <c r="T575" s="9"/>
      <c r="U575" s="9"/>
      <c r="V575" s="9"/>
      <c r="W575" s="9"/>
      <c r="X575" s="9"/>
      <c r="Y575" s="9"/>
      <c r="Z575" s="9"/>
      <c r="AA575" s="9"/>
      <c r="AB575" s="9"/>
      <c r="AC575" s="9"/>
      <c r="AD575" s="25"/>
      <c r="AE575" s="25"/>
      <c r="AF575" s="9"/>
      <c r="AG575" s="9"/>
      <c r="AH575" s="9"/>
      <c r="AI575" s="9"/>
    </row>
    <row r="576" ht="15.75" customHeight="1">
      <c r="A576" s="9"/>
      <c r="B576" s="9"/>
      <c r="C576" s="9"/>
      <c r="D576" s="9"/>
      <c r="E576" s="67"/>
      <c r="F576" s="68"/>
      <c r="G576" s="68"/>
      <c r="H576" s="69"/>
      <c r="I576" s="69"/>
      <c r="J576" s="69"/>
      <c r="K576" s="69"/>
      <c r="L576" s="69"/>
      <c r="M576" s="69"/>
      <c r="N576" s="69"/>
      <c r="O576" s="7"/>
      <c r="P576" s="23"/>
      <c r="Q576" s="9"/>
      <c r="R576" s="9"/>
      <c r="S576" s="9"/>
      <c r="T576" s="9"/>
      <c r="U576" s="9"/>
      <c r="V576" s="9"/>
      <c r="W576" s="9"/>
      <c r="X576" s="9"/>
      <c r="Y576" s="9"/>
      <c r="Z576" s="9"/>
      <c r="AA576" s="9"/>
      <c r="AB576" s="9"/>
      <c r="AC576" s="9"/>
      <c r="AD576" s="25"/>
      <c r="AE576" s="25"/>
      <c r="AF576" s="9"/>
      <c r="AG576" s="9"/>
      <c r="AH576" s="9"/>
      <c r="AI576" s="9"/>
    </row>
    <row r="577" ht="15.75" customHeight="1">
      <c r="A577" s="9"/>
      <c r="B577" s="9"/>
      <c r="C577" s="9"/>
      <c r="D577" s="9"/>
      <c r="E577" s="67"/>
      <c r="F577" s="68"/>
      <c r="G577" s="68"/>
      <c r="H577" s="69"/>
      <c r="I577" s="69"/>
      <c r="J577" s="69"/>
      <c r="K577" s="69"/>
      <c r="L577" s="69"/>
      <c r="M577" s="70"/>
      <c r="N577" s="69"/>
      <c r="O577" s="7"/>
      <c r="P577" s="23"/>
      <c r="Q577" s="9"/>
      <c r="R577" s="9"/>
      <c r="S577" s="9"/>
      <c r="T577" s="9"/>
      <c r="U577" s="9"/>
      <c r="V577" s="9"/>
      <c r="W577" s="9"/>
      <c r="X577" s="9"/>
      <c r="Y577" s="9"/>
      <c r="Z577" s="9"/>
      <c r="AA577" s="9"/>
      <c r="AB577" s="9"/>
      <c r="AC577" s="9"/>
      <c r="AD577" s="25"/>
      <c r="AE577" s="25"/>
      <c r="AF577" s="9"/>
      <c r="AG577" s="9"/>
      <c r="AH577" s="9"/>
      <c r="AI577" s="9"/>
    </row>
    <row r="578" ht="15.75" customHeight="1">
      <c r="A578" s="9"/>
      <c r="B578" s="9"/>
      <c r="C578" s="9"/>
      <c r="D578" s="9"/>
      <c r="E578" s="67"/>
      <c r="F578" s="68"/>
      <c r="G578" s="68"/>
      <c r="H578" s="69"/>
      <c r="I578" s="69"/>
      <c r="J578" s="69"/>
      <c r="K578" s="69"/>
      <c r="L578" s="69"/>
      <c r="M578" s="70"/>
      <c r="N578" s="69"/>
      <c r="O578" s="7"/>
      <c r="P578" s="23"/>
      <c r="Q578" s="9"/>
      <c r="R578" s="9"/>
      <c r="S578" s="9"/>
      <c r="T578" s="9"/>
      <c r="U578" s="9"/>
      <c r="V578" s="9"/>
      <c r="W578" s="9"/>
      <c r="X578" s="9"/>
      <c r="Y578" s="9"/>
      <c r="Z578" s="9"/>
      <c r="AA578" s="9"/>
      <c r="AB578" s="9"/>
      <c r="AC578" s="9"/>
      <c r="AD578" s="25"/>
      <c r="AE578" s="25"/>
      <c r="AF578" s="9"/>
      <c r="AG578" s="9"/>
      <c r="AH578" s="9"/>
      <c r="AI578" s="9"/>
    </row>
    <row r="579" ht="15.75" customHeight="1">
      <c r="A579" s="9"/>
      <c r="B579" s="9"/>
      <c r="C579" s="9"/>
      <c r="D579" s="9"/>
      <c r="E579" s="67"/>
      <c r="F579" s="68"/>
      <c r="G579" s="68"/>
      <c r="H579" s="69"/>
      <c r="I579" s="69"/>
      <c r="J579" s="69"/>
      <c r="K579" s="69"/>
      <c r="L579" s="69"/>
      <c r="M579" s="70"/>
      <c r="N579" s="69"/>
      <c r="O579" s="7"/>
      <c r="P579" s="23"/>
      <c r="Q579" s="9"/>
      <c r="R579" s="9"/>
      <c r="S579" s="9"/>
      <c r="T579" s="9"/>
      <c r="U579" s="9"/>
      <c r="V579" s="9"/>
      <c r="W579" s="9"/>
      <c r="X579" s="9"/>
      <c r="Y579" s="9"/>
      <c r="Z579" s="9"/>
      <c r="AA579" s="9"/>
      <c r="AB579" s="9"/>
      <c r="AC579" s="9"/>
      <c r="AD579" s="25"/>
      <c r="AE579" s="25"/>
      <c r="AF579" s="9"/>
      <c r="AG579" s="9"/>
      <c r="AH579" s="9"/>
      <c r="AI579" s="9"/>
    </row>
    <row r="580" ht="15.75" customHeight="1">
      <c r="A580" s="9"/>
      <c r="B580" s="9"/>
      <c r="C580" s="9"/>
      <c r="D580" s="9"/>
      <c r="E580" s="67"/>
      <c r="F580" s="68"/>
      <c r="G580" s="68"/>
      <c r="H580" s="69"/>
      <c r="I580" s="69"/>
      <c r="J580" s="69"/>
      <c r="K580" s="69"/>
      <c r="L580" s="69"/>
      <c r="M580" s="70"/>
      <c r="N580" s="69"/>
      <c r="O580" s="7"/>
      <c r="P580" s="23"/>
      <c r="Q580" s="9"/>
      <c r="R580" s="9"/>
      <c r="S580" s="9"/>
      <c r="T580" s="9"/>
      <c r="U580" s="9"/>
      <c r="V580" s="9"/>
      <c r="W580" s="9"/>
      <c r="X580" s="9"/>
      <c r="Y580" s="9"/>
      <c r="Z580" s="9"/>
      <c r="AA580" s="9"/>
      <c r="AB580" s="9"/>
      <c r="AC580" s="9"/>
      <c r="AD580" s="25"/>
      <c r="AE580" s="25"/>
      <c r="AF580" s="9"/>
      <c r="AG580" s="9"/>
      <c r="AH580" s="9"/>
      <c r="AI580" s="9"/>
    </row>
    <row r="581" ht="15.75" customHeight="1">
      <c r="A581" s="9"/>
      <c r="B581" s="9"/>
      <c r="C581" s="9"/>
      <c r="D581" s="9"/>
      <c r="E581" s="67"/>
      <c r="F581" s="68"/>
      <c r="G581" s="68"/>
      <c r="H581" s="69"/>
      <c r="I581" s="69"/>
      <c r="J581" s="69"/>
      <c r="K581" s="69"/>
      <c r="L581" s="69"/>
      <c r="M581" s="69"/>
      <c r="N581" s="69"/>
      <c r="O581" s="7"/>
      <c r="P581" s="23"/>
      <c r="Q581" s="9"/>
      <c r="R581" s="9"/>
      <c r="S581" s="9"/>
      <c r="T581" s="9"/>
      <c r="U581" s="9"/>
      <c r="V581" s="9"/>
      <c r="W581" s="9"/>
      <c r="X581" s="9"/>
      <c r="Y581" s="9"/>
      <c r="Z581" s="9"/>
      <c r="AA581" s="9"/>
      <c r="AB581" s="9"/>
      <c r="AC581" s="9"/>
      <c r="AD581" s="25"/>
      <c r="AE581" s="25"/>
      <c r="AF581" s="9"/>
      <c r="AG581" s="9"/>
      <c r="AH581" s="9"/>
      <c r="AI581" s="9"/>
    </row>
    <row r="582" ht="15.75" customHeight="1">
      <c r="A582" s="9"/>
      <c r="B582" s="9"/>
      <c r="C582" s="9"/>
      <c r="D582" s="9"/>
      <c r="E582" s="67"/>
      <c r="F582" s="68"/>
      <c r="G582" s="68"/>
      <c r="H582" s="69"/>
      <c r="I582" s="69"/>
      <c r="J582" s="69"/>
      <c r="K582" s="69"/>
      <c r="L582" s="69"/>
      <c r="M582" s="69"/>
      <c r="N582" s="69"/>
      <c r="O582" s="7"/>
      <c r="P582" s="23"/>
      <c r="Q582" s="9"/>
      <c r="R582" s="9"/>
      <c r="S582" s="9"/>
      <c r="T582" s="9"/>
      <c r="U582" s="9"/>
      <c r="V582" s="9"/>
      <c r="W582" s="9"/>
      <c r="X582" s="9"/>
      <c r="Y582" s="9"/>
      <c r="Z582" s="9"/>
      <c r="AA582" s="9"/>
      <c r="AB582" s="9"/>
      <c r="AC582" s="9"/>
      <c r="AD582" s="25"/>
      <c r="AE582" s="25"/>
      <c r="AF582" s="9"/>
      <c r="AG582" s="9"/>
      <c r="AH582" s="9"/>
      <c r="AI582" s="9"/>
    </row>
    <row r="583" ht="15.75" customHeight="1">
      <c r="A583" s="9"/>
      <c r="B583" s="9"/>
      <c r="C583" s="9"/>
      <c r="D583" s="9"/>
      <c r="E583" s="67"/>
      <c r="F583" s="68"/>
      <c r="G583" s="68"/>
      <c r="H583" s="69"/>
      <c r="I583" s="69"/>
      <c r="J583" s="69"/>
      <c r="K583" s="69"/>
      <c r="L583" s="69"/>
      <c r="M583" s="69"/>
      <c r="N583" s="69"/>
      <c r="O583" s="7"/>
      <c r="P583" s="23"/>
      <c r="Q583" s="9"/>
      <c r="R583" s="9"/>
      <c r="S583" s="9"/>
      <c r="T583" s="9"/>
      <c r="U583" s="9"/>
      <c r="V583" s="9"/>
      <c r="W583" s="9"/>
      <c r="X583" s="9"/>
      <c r="Y583" s="9"/>
      <c r="Z583" s="9"/>
      <c r="AA583" s="9"/>
      <c r="AB583" s="9"/>
      <c r="AC583" s="9"/>
      <c r="AD583" s="25"/>
      <c r="AE583" s="25"/>
      <c r="AF583" s="9"/>
      <c r="AG583" s="9"/>
      <c r="AH583" s="9"/>
      <c r="AI583" s="9"/>
    </row>
    <row r="584" ht="15.75" customHeight="1">
      <c r="A584" s="9"/>
      <c r="B584" s="9"/>
      <c r="C584" s="9"/>
      <c r="D584" s="9"/>
      <c r="E584" s="67"/>
      <c r="F584" s="68"/>
      <c r="G584" s="68"/>
      <c r="H584" s="69"/>
      <c r="I584" s="69"/>
      <c r="J584" s="69"/>
      <c r="K584" s="69"/>
      <c r="L584" s="69"/>
      <c r="M584" s="70"/>
      <c r="N584" s="69"/>
      <c r="O584" s="7"/>
      <c r="P584" s="23"/>
      <c r="Q584" s="9"/>
      <c r="R584" s="9"/>
      <c r="S584" s="9"/>
      <c r="T584" s="9"/>
      <c r="U584" s="9"/>
      <c r="V584" s="9"/>
      <c r="W584" s="9"/>
      <c r="X584" s="9"/>
      <c r="Y584" s="9"/>
      <c r="Z584" s="9"/>
      <c r="AA584" s="9"/>
      <c r="AB584" s="9"/>
      <c r="AC584" s="9"/>
      <c r="AD584" s="25"/>
      <c r="AE584" s="25"/>
      <c r="AF584" s="9"/>
      <c r="AG584" s="9"/>
      <c r="AH584" s="9"/>
      <c r="AI584" s="9"/>
    </row>
    <row r="585" ht="15.75" customHeight="1">
      <c r="A585" s="9"/>
      <c r="B585" s="9"/>
      <c r="C585" s="9"/>
      <c r="D585" s="9"/>
      <c r="E585" s="67"/>
      <c r="F585" s="68"/>
      <c r="G585" s="68"/>
      <c r="H585" s="69"/>
      <c r="I585" s="69"/>
      <c r="J585" s="69"/>
      <c r="K585" s="69"/>
      <c r="L585" s="69"/>
      <c r="M585" s="70"/>
      <c r="N585" s="69"/>
      <c r="O585" s="7"/>
      <c r="P585" s="23"/>
      <c r="Q585" s="9"/>
      <c r="R585" s="9"/>
      <c r="S585" s="9"/>
      <c r="T585" s="9"/>
      <c r="U585" s="9"/>
      <c r="V585" s="9"/>
      <c r="W585" s="9"/>
      <c r="X585" s="9"/>
      <c r="Y585" s="9"/>
      <c r="Z585" s="9"/>
      <c r="AA585" s="9"/>
      <c r="AB585" s="9"/>
      <c r="AC585" s="9"/>
      <c r="AD585" s="25"/>
      <c r="AE585" s="25"/>
      <c r="AF585" s="9"/>
      <c r="AG585" s="9"/>
      <c r="AH585" s="9"/>
      <c r="AI585" s="9"/>
    </row>
    <row r="586" ht="15.75" customHeight="1">
      <c r="A586" s="9"/>
      <c r="B586" s="9"/>
      <c r="C586" s="9"/>
      <c r="D586" s="9"/>
      <c r="E586" s="67"/>
      <c r="F586" s="68"/>
      <c r="G586" s="68"/>
      <c r="H586" s="69"/>
      <c r="I586" s="69"/>
      <c r="J586" s="69"/>
      <c r="K586" s="69"/>
      <c r="L586" s="69"/>
      <c r="M586" s="70"/>
      <c r="N586" s="69"/>
      <c r="O586" s="7"/>
      <c r="P586" s="23"/>
      <c r="Q586" s="9"/>
      <c r="R586" s="9"/>
      <c r="S586" s="9"/>
      <c r="T586" s="9"/>
      <c r="U586" s="9"/>
      <c r="V586" s="9"/>
      <c r="W586" s="9"/>
      <c r="X586" s="9"/>
      <c r="Y586" s="9"/>
      <c r="Z586" s="9"/>
      <c r="AA586" s="9"/>
      <c r="AB586" s="9"/>
      <c r="AC586" s="9"/>
      <c r="AD586" s="25"/>
      <c r="AE586" s="25"/>
      <c r="AF586" s="9"/>
      <c r="AG586" s="9"/>
      <c r="AH586" s="9"/>
      <c r="AI586" s="9"/>
    </row>
    <row r="587" ht="15.75" customHeight="1">
      <c r="A587" s="9"/>
      <c r="B587" s="9"/>
      <c r="C587" s="9"/>
      <c r="D587" s="9"/>
      <c r="E587" s="67"/>
      <c r="F587" s="68"/>
      <c r="G587" s="68"/>
      <c r="H587" s="69"/>
      <c r="I587" s="69"/>
      <c r="J587" s="69"/>
      <c r="K587" s="69"/>
      <c r="L587" s="69"/>
      <c r="M587" s="69"/>
      <c r="N587" s="69"/>
      <c r="O587" s="7"/>
      <c r="P587" s="23"/>
      <c r="Q587" s="9"/>
      <c r="R587" s="9"/>
      <c r="S587" s="9"/>
      <c r="T587" s="9"/>
      <c r="U587" s="9"/>
      <c r="V587" s="9"/>
      <c r="W587" s="9"/>
      <c r="X587" s="9"/>
      <c r="Y587" s="9"/>
      <c r="Z587" s="9"/>
      <c r="AA587" s="9"/>
      <c r="AB587" s="9"/>
      <c r="AC587" s="9"/>
      <c r="AD587" s="25"/>
      <c r="AE587" s="25"/>
      <c r="AF587" s="9"/>
      <c r="AG587" s="9"/>
      <c r="AH587" s="9"/>
      <c r="AI587" s="9"/>
    </row>
    <row r="588" ht="15.75" customHeight="1">
      <c r="A588" s="9"/>
      <c r="B588" s="9"/>
      <c r="C588" s="9"/>
      <c r="D588" s="9"/>
      <c r="E588" s="67"/>
      <c r="F588" s="68"/>
      <c r="G588" s="68"/>
      <c r="H588" s="69"/>
      <c r="I588" s="69"/>
      <c r="J588" s="69"/>
      <c r="K588" s="69"/>
      <c r="L588" s="69"/>
      <c r="M588" s="69"/>
      <c r="N588" s="69"/>
      <c r="O588" s="7"/>
      <c r="P588" s="23"/>
      <c r="Q588" s="9"/>
      <c r="R588" s="9"/>
      <c r="S588" s="9"/>
      <c r="T588" s="9"/>
      <c r="U588" s="9"/>
      <c r="V588" s="9"/>
      <c r="W588" s="9"/>
      <c r="X588" s="9"/>
      <c r="Y588" s="9"/>
      <c r="Z588" s="9"/>
      <c r="AA588" s="9"/>
      <c r="AB588" s="9"/>
      <c r="AC588" s="9"/>
      <c r="AD588" s="25"/>
      <c r="AE588" s="25"/>
      <c r="AF588" s="9"/>
      <c r="AG588" s="9"/>
      <c r="AH588" s="9"/>
      <c r="AI588" s="9"/>
    </row>
    <row r="589" ht="15.75" customHeight="1">
      <c r="A589" s="9"/>
      <c r="B589" s="9"/>
      <c r="C589" s="9"/>
      <c r="D589" s="9"/>
      <c r="E589" s="67"/>
      <c r="F589" s="68"/>
      <c r="G589" s="68"/>
      <c r="H589" s="69"/>
      <c r="I589" s="69"/>
      <c r="J589" s="69"/>
      <c r="K589" s="69"/>
      <c r="L589" s="69"/>
      <c r="M589" s="70"/>
      <c r="N589" s="69"/>
      <c r="O589" s="7"/>
      <c r="P589" s="23"/>
      <c r="Q589" s="9"/>
      <c r="R589" s="9"/>
      <c r="S589" s="9"/>
      <c r="T589" s="9"/>
      <c r="U589" s="9"/>
      <c r="V589" s="9"/>
      <c r="W589" s="9"/>
      <c r="X589" s="9"/>
      <c r="Y589" s="9"/>
      <c r="Z589" s="9"/>
      <c r="AA589" s="9"/>
      <c r="AB589" s="9"/>
      <c r="AC589" s="9"/>
      <c r="AD589" s="25"/>
      <c r="AE589" s="25"/>
      <c r="AF589" s="9"/>
      <c r="AG589" s="9"/>
      <c r="AH589" s="9"/>
      <c r="AI589" s="9"/>
    </row>
    <row r="590" ht="15.75" customHeight="1">
      <c r="A590" s="9"/>
      <c r="B590" s="9"/>
      <c r="C590" s="9"/>
      <c r="D590" s="9"/>
      <c r="E590" s="67"/>
      <c r="F590" s="68"/>
      <c r="G590" s="68"/>
      <c r="H590" s="69"/>
      <c r="I590" s="69"/>
      <c r="J590" s="69"/>
      <c r="K590" s="69"/>
      <c r="L590" s="69"/>
      <c r="M590" s="69"/>
      <c r="N590" s="69"/>
      <c r="O590" s="7"/>
      <c r="P590" s="23"/>
      <c r="Q590" s="9"/>
      <c r="R590" s="9"/>
      <c r="S590" s="9"/>
      <c r="T590" s="9"/>
      <c r="U590" s="9"/>
      <c r="V590" s="9"/>
      <c r="W590" s="9"/>
      <c r="X590" s="9"/>
      <c r="Y590" s="9"/>
      <c r="Z590" s="9"/>
      <c r="AA590" s="9"/>
      <c r="AB590" s="9"/>
      <c r="AC590" s="9"/>
      <c r="AD590" s="25"/>
      <c r="AE590" s="25"/>
      <c r="AF590" s="9"/>
      <c r="AG590" s="9"/>
      <c r="AH590" s="9"/>
      <c r="AI590" s="9"/>
    </row>
    <row r="591" ht="15.75" customHeight="1">
      <c r="A591" s="9"/>
      <c r="B591" s="9"/>
      <c r="C591" s="9"/>
      <c r="D591" s="9"/>
      <c r="E591" s="67"/>
      <c r="F591" s="68"/>
      <c r="G591" s="68"/>
      <c r="H591" s="69"/>
      <c r="I591" s="69"/>
      <c r="J591" s="69"/>
      <c r="K591" s="69"/>
      <c r="L591" s="69"/>
      <c r="M591" s="70"/>
      <c r="N591" s="69"/>
      <c r="O591" s="7"/>
      <c r="P591" s="23"/>
      <c r="Q591" s="9"/>
      <c r="R591" s="9"/>
      <c r="S591" s="9"/>
      <c r="T591" s="9"/>
      <c r="U591" s="9"/>
      <c r="V591" s="9"/>
      <c r="W591" s="9"/>
      <c r="X591" s="9"/>
      <c r="Y591" s="9"/>
      <c r="Z591" s="9"/>
      <c r="AA591" s="9"/>
      <c r="AB591" s="9"/>
      <c r="AC591" s="9"/>
      <c r="AD591" s="25"/>
      <c r="AE591" s="25"/>
      <c r="AF591" s="9"/>
      <c r="AG591" s="9"/>
      <c r="AH591" s="9"/>
      <c r="AI591" s="9"/>
    </row>
    <row r="592" ht="15.75" customHeight="1">
      <c r="A592" s="9"/>
      <c r="B592" s="9"/>
      <c r="C592" s="9"/>
      <c r="D592" s="9"/>
      <c r="E592" s="67"/>
      <c r="F592" s="68"/>
      <c r="G592" s="68"/>
      <c r="H592" s="69"/>
      <c r="I592" s="69"/>
      <c r="J592" s="69"/>
      <c r="K592" s="69"/>
      <c r="L592" s="69"/>
      <c r="M592" s="69"/>
      <c r="N592" s="69"/>
      <c r="O592" s="7"/>
      <c r="P592" s="23"/>
      <c r="Q592" s="9"/>
      <c r="R592" s="9"/>
      <c r="S592" s="9"/>
      <c r="T592" s="9"/>
      <c r="U592" s="9"/>
      <c r="V592" s="9"/>
      <c r="W592" s="9"/>
      <c r="X592" s="9"/>
      <c r="Y592" s="9"/>
      <c r="Z592" s="9"/>
      <c r="AA592" s="9"/>
      <c r="AB592" s="9"/>
      <c r="AC592" s="9"/>
      <c r="AD592" s="25"/>
      <c r="AE592" s="25"/>
      <c r="AF592" s="9"/>
      <c r="AG592" s="9"/>
      <c r="AH592" s="9"/>
      <c r="AI592" s="9"/>
    </row>
    <row r="593" ht="15.75" customHeight="1">
      <c r="A593" s="9"/>
      <c r="B593" s="9"/>
      <c r="C593" s="9"/>
      <c r="D593" s="9"/>
      <c r="E593" s="67"/>
      <c r="F593" s="68"/>
      <c r="G593" s="68"/>
      <c r="H593" s="69"/>
      <c r="I593" s="69"/>
      <c r="J593" s="69"/>
      <c r="K593" s="69"/>
      <c r="L593" s="69"/>
      <c r="M593" s="70"/>
      <c r="N593" s="69"/>
      <c r="O593" s="7"/>
      <c r="P593" s="23"/>
      <c r="Q593" s="9"/>
      <c r="R593" s="9"/>
      <c r="S593" s="9"/>
      <c r="T593" s="9"/>
      <c r="U593" s="9"/>
      <c r="V593" s="9"/>
      <c r="W593" s="9"/>
      <c r="X593" s="9"/>
      <c r="Y593" s="9"/>
      <c r="Z593" s="9"/>
      <c r="AA593" s="9"/>
      <c r="AB593" s="9"/>
      <c r="AC593" s="9"/>
      <c r="AD593" s="25"/>
      <c r="AE593" s="25"/>
      <c r="AF593" s="9"/>
      <c r="AG593" s="9"/>
      <c r="AH593" s="9"/>
      <c r="AI593" s="9"/>
    </row>
    <row r="594" ht="15.75" customHeight="1">
      <c r="A594" s="9"/>
      <c r="B594" s="9"/>
      <c r="C594" s="9"/>
      <c r="D594" s="9"/>
      <c r="E594" s="67"/>
      <c r="F594" s="68"/>
      <c r="G594" s="68"/>
      <c r="H594" s="69"/>
      <c r="I594" s="69"/>
      <c r="J594" s="69"/>
      <c r="K594" s="69"/>
      <c r="L594" s="69"/>
      <c r="M594" s="70"/>
      <c r="N594" s="69"/>
      <c r="O594" s="7"/>
      <c r="P594" s="23"/>
      <c r="Q594" s="9"/>
      <c r="R594" s="9"/>
      <c r="S594" s="9"/>
      <c r="T594" s="9"/>
      <c r="U594" s="9"/>
      <c r="V594" s="9"/>
      <c r="W594" s="9"/>
      <c r="X594" s="9"/>
      <c r="Y594" s="9"/>
      <c r="Z594" s="9"/>
      <c r="AA594" s="9"/>
      <c r="AB594" s="9"/>
      <c r="AC594" s="9"/>
      <c r="AD594" s="25"/>
      <c r="AE594" s="25"/>
      <c r="AF594" s="9"/>
      <c r="AG594" s="9"/>
      <c r="AH594" s="9"/>
      <c r="AI594" s="9"/>
    </row>
    <row r="595" ht="15.75" customHeight="1">
      <c r="A595" s="9"/>
      <c r="B595" s="9"/>
      <c r="C595" s="9"/>
      <c r="D595" s="9"/>
      <c r="E595" s="67"/>
      <c r="F595" s="68"/>
      <c r="G595" s="68"/>
      <c r="H595" s="69"/>
      <c r="I595" s="69"/>
      <c r="J595" s="69"/>
      <c r="K595" s="69"/>
      <c r="L595" s="69"/>
      <c r="M595" s="69"/>
      <c r="N595" s="69"/>
      <c r="O595" s="7"/>
      <c r="P595" s="23"/>
      <c r="Q595" s="9"/>
      <c r="R595" s="9"/>
      <c r="S595" s="9"/>
      <c r="T595" s="9"/>
      <c r="U595" s="9"/>
      <c r="V595" s="9"/>
      <c r="W595" s="9"/>
      <c r="X595" s="9"/>
      <c r="Y595" s="9"/>
      <c r="Z595" s="9"/>
      <c r="AA595" s="9"/>
      <c r="AB595" s="9"/>
      <c r="AC595" s="9"/>
      <c r="AD595" s="25"/>
      <c r="AE595" s="25"/>
      <c r="AF595" s="9"/>
      <c r="AG595" s="9"/>
      <c r="AH595" s="9"/>
      <c r="AI595" s="9"/>
    </row>
    <row r="596" ht="15.75" customHeight="1">
      <c r="A596" s="9"/>
      <c r="B596" s="9"/>
      <c r="C596" s="9"/>
      <c r="D596" s="9"/>
      <c r="E596" s="67"/>
      <c r="F596" s="68"/>
      <c r="G596" s="68"/>
      <c r="H596" s="69"/>
      <c r="I596" s="69"/>
      <c r="J596" s="69"/>
      <c r="K596" s="69"/>
      <c r="L596" s="69"/>
      <c r="M596" s="71"/>
      <c r="N596" s="69"/>
      <c r="O596" s="7"/>
      <c r="P596" s="23"/>
      <c r="Q596" s="9"/>
      <c r="R596" s="9"/>
      <c r="S596" s="9"/>
      <c r="T596" s="9"/>
      <c r="U596" s="9"/>
      <c r="V596" s="9"/>
      <c r="W596" s="9"/>
      <c r="X596" s="9"/>
      <c r="Y596" s="9"/>
      <c r="Z596" s="9"/>
      <c r="AA596" s="9"/>
      <c r="AB596" s="9"/>
      <c r="AC596" s="9"/>
      <c r="AD596" s="25"/>
      <c r="AE596" s="25"/>
      <c r="AF596" s="9"/>
      <c r="AG596" s="9"/>
      <c r="AH596" s="9"/>
      <c r="AI596" s="9"/>
    </row>
    <row r="597" ht="15.75" customHeight="1">
      <c r="A597" s="9"/>
      <c r="B597" s="9"/>
      <c r="C597" s="9"/>
      <c r="D597" s="9"/>
      <c r="E597" s="67"/>
      <c r="F597" s="68"/>
      <c r="G597" s="68"/>
      <c r="H597" s="69"/>
      <c r="I597" s="69"/>
      <c r="J597" s="69"/>
      <c r="K597" s="69"/>
      <c r="L597" s="69"/>
      <c r="M597" s="70"/>
      <c r="N597" s="69"/>
      <c r="O597" s="7"/>
      <c r="P597" s="23"/>
      <c r="Q597" s="9"/>
      <c r="R597" s="9"/>
      <c r="S597" s="9"/>
      <c r="T597" s="9"/>
      <c r="U597" s="9"/>
      <c r="V597" s="9"/>
      <c r="W597" s="9"/>
      <c r="X597" s="9"/>
      <c r="Y597" s="9"/>
      <c r="Z597" s="9"/>
      <c r="AA597" s="9"/>
      <c r="AB597" s="9"/>
      <c r="AC597" s="9"/>
      <c r="AD597" s="25"/>
      <c r="AE597" s="25"/>
      <c r="AF597" s="9"/>
      <c r="AG597" s="9"/>
      <c r="AH597" s="9"/>
      <c r="AI597" s="9"/>
    </row>
    <row r="598" ht="15.75" customHeight="1">
      <c r="A598" s="9"/>
      <c r="B598" s="9"/>
      <c r="C598" s="9"/>
      <c r="D598" s="9"/>
      <c r="E598" s="67"/>
      <c r="F598" s="68"/>
      <c r="G598" s="68"/>
      <c r="H598" s="69"/>
      <c r="I598" s="69"/>
      <c r="J598" s="69"/>
      <c r="K598" s="69"/>
      <c r="L598" s="69"/>
      <c r="M598" s="71"/>
      <c r="N598" s="69"/>
      <c r="O598" s="7"/>
      <c r="P598" s="23"/>
      <c r="Q598" s="9"/>
      <c r="R598" s="9"/>
      <c r="S598" s="9"/>
      <c r="T598" s="9"/>
      <c r="U598" s="9"/>
      <c r="V598" s="9"/>
      <c r="W598" s="9"/>
      <c r="X598" s="9"/>
      <c r="Y598" s="9"/>
      <c r="Z598" s="9"/>
      <c r="AA598" s="9"/>
      <c r="AB598" s="9"/>
      <c r="AC598" s="9"/>
      <c r="AD598" s="25"/>
      <c r="AE598" s="25"/>
      <c r="AF598" s="9"/>
      <c r="AG598" s="9"/>
      <c r="AH598" s="9"/>
      <c r="AI598" s="9"/>
    </row>
    <row r="599" ht="15.75" customHeight="1">
      <c r="A599" s="9"/>
      <c r="B599" s="9"/>
      <c r="C599" s="9"/>
      <c r="D599" s="9"/>
      <c r="E599" s="67"/>
      <c r="F599" s="68"/>
      <c r="G599" s="68"/>
      <c r="H599" s="69"/>
      <c r="I599" s="69"/>
      <c r="J599" s="69"/>
      <c r="K599" s="69"/>
      <c r="L599" s="69"/>
      <c r="M599" s="70"/>
      <c r="N599" s="69"/>
      <c r="O599" s="7"/>
      <c r="P599" s="23"/>
      <c r="Q599" s="9"/>
      <c r="R599" s="9"/>
      <c r="S599" s="9"/>
      <c r="T599" s="9"/>
      <c r="U599" s="9"/>
      <c r="V599" s="9"/>
      <c r="W599" s="9"/>
      <c r="X599" s="9"/>
      <c r="Y599" s="9"/>
      <c r="Z599" s="9"/>
      <c r="AA599" s="9"/>
      <c r="AB599" s="9"/>
      <c r="AC599" s="9"/>
      <c r="AD599" s="25"/>
      <c r="AE599" s="25"/>
      <c r="AF599" s="9"/>
      <c r="AG599" s="9"/>
      <c r="AH599" s="9"/>
      <c r="AI599" s="9"/>
    </row>
    <row r="600" ht="15.75" customHeight="1">
      <c r="A600" s="9"/>
      <c r="B600" s="9"/>
      <c r="C600" s="9"/>
      <c r="D600" s="9"/>
      <c r="E600" s="67"/>
      <c r="F600" s="68"/>
      <c r="G600" s="68"/>
      <c r="H600" s="69"/>
      <c r="I600" s="69"/>
      <c r="J600" s="69"/>
      <c r="K600" s="69"/>
      <c r="L600" s="69"/>
      <c r="M600" s="70"/>
      <c r="N600" s="69"/>
      <c r="O600" s="7"/>
      <c r="P600" s="23"/>
      <c r="Q600" s="9"/>
      <c r="R600" s="9"/>
      <c r="S600" s="9"/>
      <c r="T600" s="9"/>
      <c r="U600" s="9"/>
      <c r="V600" s="9"/>
      <c r="W600" s="9"/>
      <c r="X600" s="9"/>
      <c r="Y600" s="9"/>
      <c r="Z600" s="9"/>
      <c r="AA600" s="9"/>
      <c r="AB600" s="9"/>
      <c r="AC600" s="9"/>
      <c r="AD600" s="25"/>
      <c r="AE600" s="25"/>
      <c r="AF600" s="9"/>
      <c r="AG600" s="9"/>
      <c r="AH600" s="9"/>
      <c r="AI600" s="9"/>
    </row>
    <row r="601" ht="15.75" customHeight="1">
      <c r="A601" s="9"/>
      <c r="B601" s="9"/>
      <c r="C601" s="9"/>
      <c r="D601" s="9"/>
      <c r="E601" s="67"/>
      <c r="F601" s="68"/>
      <c r="G601" s="68"/>
      <c r="H601" s="69"/>
      <c r="I601" s="69"/>
      <c r="J601" s="69"/>
      <c r="K601" s="69"/>
      <c r="L601" s="69"/>
      <c r="M601" s="70"/>
      <c r="N601" s="69"/>
      <c r="O601" s="7"/>
      <c r="P601" s="23"/>
      <c r="Q601" s="9"/>
      <c r="R601" s="9"/>
      <c r="S601" s="9"/>
      <c r="T601" s="9"/>
      <c r="U601" s="9"/>
      <c r="V601" s="9"/>
      <c r="W601" s="9"/>
      <c r="X601" s="9"/>
      <c r="Y601" s="9"/>
      <c r="Z601" s="9"/>
      <c r="AA601" s="9"/>
      <c r="AB601" s="9"/>
      <c r="AC601" s="9"/>
      <c r="AD601" s="25"/>
      <c r="AE601" s="25"/>
      <c r="AF601" s="9"/>
      <c r="AG601" s="9"/>
      <c r="AH601" s="9"/>
      <c r="AI601" s="9"/>
    </row>
    <row r="602" ht="15.75" customHeight="1">
      <c r="A602" s="9"/>
      <c r="B602" s="9"/>
      <c r="C602" s="9"/>
      <c r="D602" s="9"/>
      <c r="E602" s="67"/>
      <c r="F602" s="68"/>
      <c r="G602" s="68"/>
      <c r="H602" s="69"/>
      <c r="I602" s="69"/>
      <c r="J602" s="69"/>
      <c r="K602" s="69"/>
      <c r="L602" s="69"/>
      <c r="M602" s="70"/>
      <c r="N602" s="69"/>
      <c r="O602" s="7"/>
      <c r="P602" s="23"/>
      <c r="Q602" s="9"/>
      <c r="R602" s="9"/>
      <c r="S602" s="9"/>
      <c r="T602" s="9"/>
      <c r="U602" s="9"/>
      <c r="V602" s="9"/>
      <c r="W602" s="9"/>
      <c r="X602" s="9"/>
      <c r="Y602" s="9"/>
      <c r="Z602" s="9"/>
      <c r="AA602" s="9"/>
      <c r="AB602" s="9"/>
      <c r="AC602" s="9"/>
      <c r="AD602" s="25"/>
      <c r="AE602" s="25"/>
      <c r="AF602" s="9"/>
      <c r="AG602" s="9"/>
      <c r="AH602" s="9"/>
      <c r="AI602" s="9"/>
    </row>
    <row r="603" ht="15.75" customHeight="1">
      <c r="A603" s="9"/>
      <c r="B603" s="9"/>
      <c r="C603" s="9"/>
      <c r="D603" s="9"/>
      <c r="E603" s="67"/>
      <c r="F603" s="68"/>
      <c r="G603" s="68"/>
      <c r="H603" s="69"/>
      <c r="I603" s="69"/>
      <c r="J603" s="69"/>
      <c r="K603" s="69"/>
      <c r="L603" s="69"/>
      <c r="M603" s="69"/>
      <c r="N603" s="69"/>
      <c r="O603" s="7"/>
      <c r="P603" s="23"/>
      <c r="Q603" s="9"/>
      <c r="R603" s="9"/>
      <c r="S603" s="9"/>
      <c r="T603" s="9"/>
      <c r="U603" s="9"/>
      <c r="V603" s="9"/>
      <c r="W603" s="9"/>
      <c r="X603" s="9"/>
      <c r="Y603" s="9"/>
      <c r="Z603" s="9"/>
      <c r="AA603" s="9"/>
      <c r="AB603" s="9"/>
      <c r="AC603" s="9"/>
      <c r="AD603" s="25"/>
      <c r="AE603" s="25"/>
      <c r="AF603" s="9"/>
      <c r="AG603" s="9"/>
      <c r="AH603" s="9"/>
      <c r="AI603" s="9"/>
    </row>
    <row r="604" ht="15.75" customHeight="1">
      <c r="A604" s="9"/>
      <c r="B604" s="9"/>
      <c r="C604" s="9"/>
      <c r="D604" s="9"/>
      <c r="E604" s="67"/>
      <c r="F604" s="68"/>
      <c r="G604" s="68"/>
      <c r="H604" s="69"/>
      <c r="I604" s="69"/>
      <c r="J604" s="69"/>
      <c r="K604" s="69"/>
      <c r="L604" s="69"/>
      <c r="M604" s="71"/>
      <c r="N604" s="69"/>
      <c r="O604" s="7"/>
      <c r="P604" s="23"/>
      <c r="Q604" s="9"/>
      <c r="R604" s="9"/>
      <c r="S604" s="9"/>
      <c r="T604" s="9"/>
      <c r="U604" s="9"/>
      <c r="V604" s="9"/>
      <c r="W604" s="9"/>
      <c r="X604" s="9"/>
      <c r="Y604" s="9"/>
      <c r="Z604" s="9"/>
      <c r="AA604" s="9"/>
      <c r="AB604" s="9"/>
      <c r="AC604" s="9"/>
      <c r="AD604" s="25"/>
      <c r="AE604" s="25"/>
      <c r="AF604" s="9"/>
      <c r="AG604" s="9"/>
      <c r="AH604" s="9"/>
      <c r="AI604" s="9"/>
    </row>
    <row r="605" ht="15.75" customHeight="1">
      <c r="A605" s="9"/>
      <c r="B605" s="9"/>
      <c r="C605" s="9"/>
      <c r="D605" s="9"/>
      <c r="E605" s="67"/>
      <c r="F605" s="68"/>
      <c r="G605" s="68"/>
      <c r="H605" s="69"/>
      <c r="I605" s="69"/>
      <c r="J605" s="69"/>
      <c r="K605" s="69"/>
      <c r="L605" s="69"/>
      <c r="M605" s="70"/>
      <c r="N605" s="69"/>
      <c r="O605" s="7"/>
      <c r="P605" s="23"/>
      <c r="Q605" s="9"/>
      <c r="R605" s="9"/>
      <c r="S605" s="9"/>
      <c r="T605" s="9"/>
      <c r="U605" s="9"/>
      <c r="V605" s="9"/>
      <c r="W605" s="9"/>
      <c r="X605" s="9"/>
      <c r="Y605" s="9"/>
      <c r="Z605" s="9"/>
      <c r="AA605" s="9"/>
      <c r="AB605" s="9"/>
      <c r="AC605" s="9"/>
      <c r="AD605" s="25"/>
      <c r="AE605" s="25"/>
      <c r="AF605" s="9"/>
      <c r="AG605" s="9"/>
      <c r="AH605" s="9"/>
      <c r="AI605" s="9"/>
    </row>
    <row r="606" ht="15.75" customHeight="1">
      <c r="A606" s="9"/>
      <c r="B606" s="9"/>
      <c r="C606" s="9"/>
      <c r="D606" s="9"/>
      <c r="E606" s="67"/>
      <c r="F606" s="68"/>
      <c r="G606" s="68"/>
      <c r="H606" s="69"/>
      <c r="I606" s="69"/>
      <c r="J606" s="69"/>
      <c r="K606" s="69"/>
      <c r="L606" s="69"/>
      <c r="M606" s="70"/>
      <c r="N606" s="69"/>
      <c r="O606" s="7"/>
      <c r="P606" s="23"/>
      <c r="Q606" s="9"/>
      <c r="R606" s="9"/>
      <c r="S606" s="9"/>
      <c r="T606" s="9"/>
      <c r="U606" s="9"/>
      <c r="V606" s="9"/>
      <c r="W606" s="9"/>
      <c r="X606" s="9"/>
      <c r="Y606" s="9"/>
      <c r="Z606" s="9"/>
      <c r="AA606" s="9"/>
      <c r="AB606" s="9"/>
      <c r="AC606" s="9"/>
      <c r="AD606" s="25"/>
      <c r="AE606" s="25"/>
      <c r="AF606" s="9"/>
      <c r="AG606" s="9"/>
      <c r="AH606" s="9"/>
      <c r="AI606" s="9"/>
    </row>
    <row r="607" ht="15.75" customHeight="1">
      <c r="A607" s="9"/>
      <c r="B607" s="9"/>
      <c r="C607" s="9"/>
      <c r="D607" s="9"/>
      <c r="E607" s="67"/>
      <c r="F607" s="68"/>
      <c r="G607" s="68"/>
      <c r="H607" s="69"/>
      <c r="I607" s="69"/>
      <c r="J607" s="69"/>
      <c r="K607" s="69"/>
      <c r="L607" s="69"/>
      <c r="M607" s="70"/>
      <c r="N607" s="69"/>
      <c r="O607" s="7"/>
      <c r="P607" s="23"/>
      <c r="Q607" s="9"/>
      <c r="R607" s="9"/>
      <c r="S607" s="9"/>
      <c r="T607" s="9"/>
      <c r="U607" s="9"/>
      <c r="V607" s="9"/>
      <c r="W607" s="9"/>
      <c r="X607" s="9"/>
      <c r="Y607" s="9"/>
      <c r="Z607" s="9"/>
      <c r="AA607" s="9"/>
      <c r="AB607" s="9"/>
      <c r="AC607" s="9"/>
      <c r="AD607" s="25"/>
      <c r="AE607" s="25"/>
      <c r="AF607" s="9"/>
      <c r="AG607" s="9"/>
      <c r="AH607" s="9"/>
      <c r="AI607" s="9"/>
    </row>
    <row r="608" ht="15.75" customHeight="1">
      <c r="A608" s="9"/>
      <c r="B608" s="9"/>
      <c r="C608" s="9"/>
      <c r="D608" s="9"/>
      <c r="E608" s="67"/>
      <c r="F608" s="68"/>
      <c r="G608" s="68"/>
      <c r="H608" s="69"/>
      <c r="I608" s="69"/>
      <c r="J608" s="69"/>
      <c r="K608" s="69"/>
      <c r="L608" s="69"/>
      <c r="M608" s="69"/>
      <c r="N608" s="69"/>
      <c r="O608" s="7"/>
      <c r="P608" s="23"/>
      <c r="Q608" s="9"/>
      <c r="R608" s="9"/>
      <c r="S608" s="9"/>
      <c r="T608" s="9"/>
      <c r="U608" s="9"/>
      <c r="V608" s="9"/>
      <c r="W608" s="9"/>
      <c r="X608" s="9"/>
      <c r="Y608" s="9"/>
      <c r="Z608" s="9"/>
      <c r="AA608" s="9"/>
      <c r="AB608" s="9"/>
      <c r="AC608" s="9"/>
      <c r="AD608" s="25"/>
      <c r="AE608" s="25"/>
      <c r="AF608" s="9"/>
      <c r="AG608" s="9"/>
      <c r="AH608" s="9"/>
      <c r="AI608" s="9"/>
    </row>
    <row r="609" ht="15.75" customHeight="1">
      <c r="A609" s="9"/>
      <c r="B609" s="9"/>
      <c r="C609" s="9"/>
      <c r="D609" s="9"/>
      <c r="E609" s="67"/>
      <c r="F609" s="68"/>
      <c r="G609" s="68"/>
      <c r="H609" s="69"/>
      <c r="I609" s="69"/>
      <c r="J609" s="69"/>
      <c r="K609" s="69"/>
      <c r="L609" s="69"/>
      <c r="M609" s="71"/>
      <c r="N609" s="69"/>
      <c r="O609" s="7"/>
      <c r="P609" s="23"/>
      <c r="Q609" s="9"/>
      <c r="R609" s="9"/>
      <c r="S609" s="9"/>
      <c r="T609" s="9"/>
      <c r="U609" s="9"/>
      <c r="V609" s="9"/>
      <c r="W609" s="9"/>
      <c r="X609" s="9"/>
      <c r="Y609" s="9"/>
      <c r="Z609" s="9"/>
      <c r="AA609" s="9"/>
      <c r="AB609" s="9"/>
      <c r="AC609" s="9"/>
      <c r="AD609" s="25"/>
      <c r="AE609" s="25"/>
      <c r="AF609" s="9"/>
      <c r="AG609" s="9"/>
      <c r="AH609" s="9"/>
      <c r="AI609" s="9"/>
    </row>
    <row r="610" ht="15.75" customHeight="1">
      <c r="A610" s="9"/>
      <c r="B610" s="9"/>
      <c r="C610" s="9"/>
      <c r="D610" s="9"/>
      <c r="E610" s="67"/>
      <c r="F610" s="68"/>
      <c r="G610" s="68"/>
      <c r="H610" s="69"/>
      <c r="I610" s="69"/>
      <c r="J610" s="69"/>
      <c r="K610" s="69"/>
      <c r="L610" s="69"/>
      <c r="M610" s="69"/>
      <c r="N610" s="69"/>
      <c r="O610" s="7"/>
      <c r="P610" s="23"/>
      <c r="Q610" s="9"/>
      <c r="R610" s="9"/>
      <c r="S610" s="9"/>
      <c r="T610" s="9"/>
      <c r="U610" s="9"/>
      <c r="V610" s="9"/>
      <c r="W610" s="9"/>
      <c r="X610" s="9"/>
      <c r="Y610" s="9"/>
      <c r="Z610" s="9"/>
      <c r="AA610" s="9"/>
      <c r="AB610" s="9"/>
      <c r="AC610" s="9"/>
      <c r="AD610" s="25"/>
      <c r="AE610" s="25"/>
      <c r="AF610" s="9"/>
      <c r="AG610" s="9"/>
      <c r="AH610" s="9"/>
      <c r="AI610" s="9"/>
    </row>
    <row r="611" ht="15.75" customHeight="1">
      <c r="A611" s="9"/>
      <c r="B611" s="9"/>
      <c r="C611" s="9"/>
      <c r="D611" s="9"/>
      <c r="E611" s="67"/>
      <c r="F611" s="68"/>
      <c r="G611" s="68"/>
      <c r="H611" s="69"/>
      <c r="I611" s="69"/>
      <c r="J611" s="69"/>
      <c r="K611" s="69"/>
      <c r="L611" s="69"/>
      <c r="M611" s="69"/>
      <c r="N611" s="69"/>
      <c r="O611" s="7"/>
      <c r="P611" s="23"/>
      <c r="Q611" s="9"/>
      <c r="R611" s="9"/>
      <c r="S611" s="9"/>
      <c r="T611" s="9"/>
      <c r="U611" s="9"/>
      <c r="V611" s="9"/>
      <c r="W611" s="9"/>
      <c r="X611" s="9"/>
      <c r="Y611" s="9"/>
      <c r="Z611" s="9"/>
      <c r="AA611" s="9"/>
      <c r="AB611" s="9"/>
      <c r="AC611" s="9"/>
      <c r="AD611" s="25"/>
      <c r="AE611" s="25"/>
      <c r="AF611" s="9"/>
      <c r="AG611" s="9"/>
      <c r="AH611" s="9"/>
      <c r="AI611" s="9"/>
    </row>
    <row r="612" ht="15.75" customHeight="1">
      <c r="A612" s="9"/>
      <c r="B612" s="9"/>
      <c r="C612" s="9"/>
      <c r="D612" s="9"/>
      <c r="E612" s="67"/>
      <c r="F612" s="68"/>
      <c r="G612" s="68"/>
      <c r="H612" s="69"/>
      <c r="I612" s="69"/>
      <c r="J612" s="69"/>
      <c r="K612" s="69"/>
      <c r="L612" s="69"/>
      <c r="M612" s="70"/>
      <c r="N612" s="69"/>
      <c r="O612" s="7"/>
      <c r="P612" s="23"/>
      <c r="Q612" s="9"/>
      <c r="R612" s="9"/>
      <c r="S612" s="9"/>
      <c r="T612" s="9"/>
      <c r="U612" s="9"/>
      <c r="V612" s="9"/>
      <c r="W612" s="9"/>
      <c r="X612" s="9"/>
      <c r="Y612" s="9"/>
      <c r="Z612" s="9"/>
      <c r="AA612" s="9"/>
      <c r="AB612" s="9"/>
      <c r="AC612" s="9"/>
      <c r="AD612" s="25"/>
      <c r="AE612" s="25"/>
      <c r="AF612" s="9"/>
      <c r="AG612" s="9"/>
      <c r="AH612" s="9"/>
      <c r="AI612" s="9"/>
    </row>
    <row r="613" ht="15.75" customHeight="1">
      <c r="A613" s="9"/>
      <c r="B613" s="9"/>
      <c r="C613" s="9"/>
      <c r="D613" s="9"/>
      <c r="E613" s="67"/>
      <c r="F613" s="68"/>
      <c r="G613" s="68"/>
      <c r="H613" s="69"/>
      <c r="I613" s="69"/>
      <c r="J613" s="69"/>
      <c r="K613" s="69"/>
      <c r="L613" s="69"/>
      <c r="M613" s="71"/>
      <c r="N613" s="69"/>
      <c r="O613" s="7"/>
      <c r="P613" s="23"/>
      <c r="Q613" s="9"/>
      <c r="R613" s="9"/>
      <c r="S613" s="9"/>
      <c r="T613" s="9"/>
      <c r="U613" s="9"/>
      <c r="V613" s="9"/>
      <c r="W613" s="9"/>
      <c r="X613" s="9"/>
      <c r="Y613" s="9"/>
      <c r="Z613" s="9"/>
      <c r="AA613" s="9"/>
      <c r="AB613" s="9"/>
      <c r="AC613" s="9"/>
      <c r="AD613" s="25"/>
      <c r="AE613" s="25"/>
      <c r="AF613" s="9"/>
      <c r="AG613" s="9"/>
      <c r="AH613" s="9"/>
      <c r="AI613" s="9"/>
    </row>
    <row r="614" ht="15.75" customHeight="1">
      <c r="A614" s="9"/>
      <c r="B614" s="9"/>
      <c r="C614" s="9"/>
      <c r="D614" s="9"/>
      <c r="E614" s="67"/>
      <c r="F614" s="68"/>
      <c r="G614" s="68"/>
      <c r="H614" s="69"/>
      <c r="I614" s="69"/>
      <c r="J614" s="69"/>
      <c r="K614" s="69"/>
      <c r="L614" s="69"/>
      <c r="M614" s="70"/>
      <c r="N614" s="69"/>
      <c r="O614" s="7"/>
      <c r="P614" s="23"/>
      <c r="Q614" s="9"/>
      <c r="R614" s="9"/>
      <c r="S614" s="9"/>
      <c r="T614" s="9"/>
      <c r="U614" s="9"/>
      <c r="V614" s="9"/>
      <c r="W614" s="9"/>
      <c r="X614" s="9"/>
      <c r="Y614" s="9"/>
      <c r="Z614" s="9"/>
      <c r="AA614" s="9"/>
      <c r="AB614" s="9"/>
      <c r="AC614" s="9"/>
      <c r="AD614" s="25"/>
      <c r="AE614" s="25"/>
      <c r="AF614" s="9"/>
      <c r="AG614" s="9"/>
      <c r="AH614" s="9"/>
      <c r="AI614" s="9"/>
    </row>
    <row r="615" ht="15.75" customHeight="1">
      <c r="A615" s="9"/>
      <c r="B615" s="9"/>
      <c r="C615" s="9"/>
      <c r="D615" s="9"/>
      <c r="E615" s="67"/>
      <c r="F615" s="68"/>
      <c r="G615" s="68"/>
      <c r="H615" s="69"/>
      <c r="I615" s="69"/>
      <c r="J615" s="69"/>
      <c r="K615" s="69"/>
      <c r="L615" s="69"/>
      <c r="M615" s="70"/>
      <c r="N615" s="69"/>
      <c r="O615" s="7"/>
      <c r="P615" s="23"/>
      <c r="Q615" s="9"/>
      <c r="R615" s="9"/>
      <c r="S615" s="9"/>
      <c r="T615" s="9"/>
      <c r="U615" s="9"/>
      <c r="V615" s="9"/>
      <c r="W615" s="9"/>
      <c r="X615" s="9"/>
      <c r="Y615" s="9"/>
      <c r="Z615" s="9"/>
      <c r="AA615" s="9"/>
      <c r="AB615" s="9"/>
      <c r="AC615" s="9"/>
      <c r="AD615" s="25"/>
      <c r="AE615" s="25"/>
      <c r="AF615" s="9"/>
      <c r="AG615" s="9"/>
      <c r="AH615" s="9"/>
      <c r="AI615" s="9"/>
    </row>
    <row r="616" ht="15.75" customHeight="1">
      <c r="A616" s="9"/>
      <c r="B616" s="9"/>
      <c r="C616" s="9"/>
      <c r="D616" s="9"/>
      <c r="E616" s="67"/>
      <c r="F616" s="68"/>
      <c r="G616" s="68"/>
      <c r="H616" s="69"/>
      <c r="I616" s="69"/>
      <c r="J616" s="69"/>
      <c r="K616" s="69"/>
      <c r="L616" s="69"/>
      <c r="M616" s="69"/>
      <c r="N616" s="69"/>
      <c r="O616" s="7"/>
      <c r="P616" s="23"/>
      <c r="Q616" s="9"/>
      <c r="R616" s="9"/>
      <c r="S616" s="9"/>
      <c r="T616" s="9"/>
      <c r="U616" s="9"/>
      <c r="V616" s="9"/>
      <c r="W616" s="9"/>
      <c r="X616" s="9"/>
      <c r="Y616" s="9"/>
      <c r="Z616" s="9"/>
      <c r="AA616" s="9"/>
      <c r="AB616" s="9"/>
      <c r="AC616" s="9"/>
      <c r="AD616" s="25"/>
      <c r="AE616" s="25"/>
      <c r="AF616" s="9"/>
      <c r="AG616" s="9"/>
      <c r="AH616" s="9"/>
      <c r="AI616" s="9"/>
    </row>
    <row r="617" ht="15.75" customHeight="1">
      <c r="A617" s="9"/>
      <c r="B617" s="9"/>
      <c r="C617" s="9"/>
      <c r="D617" s="9"/>
      <c r="E617" s="67"/>
      <c r="F617" s="68"/>
      <c r="G617" s="68"/>
      <c r="H617" s="69"/>
      <c r="I617" s="69"/>
      <c r="J617" s="69"/>
      <c r="K617" s="69"/>
      <c r="L617" s="69"/>
      <c r="M617" s="69"/>
      <c r="N617" s="69"/>
      <c r="O617" s="7"/>
      <c r="P617" s="23"/>
      <c r="Q617" s="9"/>
      <c r="R617" s="9"/>
      <c r="S617" s="9"/>
      <c r="T617" s="9"/>
      <c r="U617" s="9"/>
      <c r="V617" s="9"/>
      <c r="W617" s="9"/>
      <c r="X617" s="9"/>
      <c r="Y617" s="9"/>
      <c r="Z617" s="9"/>
      <c r="AA617" s="9"/>
      <c r="AB617" s="9"/>
      <c r="AC617" s="9"/>
      <c r="AD617" s="25"/>
      <c r="AE617" s="25"/>
      <c r="AF617" s="9"/>
      <c r="AG617" s="9"/>
      <c r="AH617" s="9"/>
      <c r="AI617" s="9"/>
    </row>
    <row r="618" ht="15.75" customHeight="1">
      <c r="A618" s="9"/>
      <c r="B618" s="9"/>
      <c r="C618" s="9"/>
      <c r="D618" s="9"/>
      <c r="E618" s="67"/>
      <c r="F618" s="68"/>
      <c r="G618" s="68"/>
      <c r="H618" s="69"/>
      <c r="I618" s="69"/>
      <c r="J618" s="69"/>
      <c r="K618" s="69"/>
      <c r="L618" s="69"/>
      <c r="M618" s="70"/>
      <c r="N618" s="69"/>
      <c r="O618" s="7"/>
      <c r="P618" s="23"/>
      <c r="Q618" s="9"/>
      <c r="R618" s="9"/>
      <c r="S618" s="9"/>
      <c r="T618" s="9"/>
      <c r="U618" s="9"/>
      <c r="V618" s="9"/>
      <c r="W618" s="9"/>
      <c r="X618" s="9"/>
      <c r="Y618" s="9"/>
      <c r="Z618" s="9"/>
      <c r="AA618" s="9"/>
      <c r="AB618" s="9"/>
      <c r="AC618" s="9"/>
      <c r="AD618" s="25"/>
      <c r="AE618" s="25"/>
      <c r="AF618" s="9"/>
      <c r="AG618" s="9"/>
      <c r="AH618" s="9"/>
      <c r="AI618" s="9"/>
    </row>
    <row r="619" ht="15.75" customHeight="1">
      <c r="A619" s="9"/>
      <c r="B619" s="9"/>
      <c r="C619" s="9"/>
      <c r="D619" s="9"/>
      <c r="E619" s="67"/>
      <c r="F619" s="68"/>
      <c r="G619" s="68"/>
      <c r="H619" s="69"/>
      <c r="I619" s="69"/>
      <c r="J619" s="69"/>
      <c r="K619" s="69"/>
      <c r="L619" s="69"/>
      <c r="M619" s="70"/>
      <c r="N619" s="69"/>
      <c r="O619" s="7"/>
      <c r="P619" s="23"/>
      <c r="Q619" s="9"/>
      <c r="R619" s="9"/>
      <c r="S619" s="9"/>
      <c r="T619" s="9"/>
      <c r="U619" s="9"/>
      <c r="V619" s="9"/>
      <c r="W619" s="9"/>
      <c r="X619" s="9"/>
      <c r="Y619" s="9"/>
      <c r="Z619" s="9"/>
      <c r="AA619" s="9"/>
      <c r="AB619" s="9"/>
      <c r="AC619" s="9"/>
      <c r="AD619" s="25"/>
      <c r="AE619" s="25"/>
      <c r="AF619" s="9"/>
      <c r="AG619" s="9"/>
      <c r="AH619" s="9"/>
      <c r="AI619" s="9"/>
    </row>
    <row r="620" ht="15.75" customHeight="1">
      <c r="A620" s="9"/>
      <c r="B620" s="9"/>
      <c r="C620" s="9"/>
      <c r="D620" s="9"/>
      <c r="E620" s="67"/>
      <c r="F620" s="68"/>
      <c r="G620" s="68"/>
      <c r="H620" s="69"/>
      <c r="I620" s="69"/>
      <c r="J620" s="69"/>
      <c r="K620" s="69"/>
      <c r="L620" s="69"/>
      <c r="M620" s="70"/>
      <c r="N620" s="69"/>
      <c r="O620" s="7"/>
      <c r="P620" s="23"/>
      <c r="Q620" s="9"/>
      <c r="R620" s="9"/>
      <c r="S620" s="9"/>
      <c r="T620" s="9"/>
      <c r="U620" s="9"/>
      <c r="V620" s="9"/>
      <c r="W620" s="9"/>
      <c r="X620" s="9"/>
      <c r="Y620" s="9"/>
      <c r="Z620" s="9"/>
      <c r="AA620" s="9"/>
      <c r="AB620" s="9"/>
      <c r="AC620" s="9"/>
      <c r="AD620" s="25"/>
      <c r="AE620" s="25"/>
      <c r="AF620" s="9"/>
      <c r="AG620" s="9"/>
      <c r="AH620" s="9"/>
      <c r="AI620" s="9"/>
    </row>
    <row r="621" ht="15.75" customHeight="1">
      <c r="A621" s="9"/>
      <c r="B621" s="9"/>
      <c r="C621" s="9"/>
      <c r="D621" s="9"/>
      <c r="E621" s="67"/>
      <c r="F621" s="68"/>
      <c r="G621" s="68"/>
      <c r="H621" s="69"/>
      <c r="I621" s="69"/>
      <c r="J621" s="69"/>
      <c r="K621" s="69"/>
      <c r="L621" s="69"/>
      <c r="M621" s="70"/>
      <c r="N621" s="69"/>
      <c r="O621" s="7"/>
      <c r="P621" s="23"/>
      <c r="Q621" s="9"/>
      <c r="R621" s="9"/>
      <c r="S621" s="9"/>
      <c r="T621" s="9"/>
      <c r="U621" s="9"/>
      <c r="V621" s="9"/>
      <c r="W621" s="9"/>
      <c r="X621" s="9"/>
      <c r="Y621" s="9"/>
      <c r="Z621" s="9"/>
      <c r="AA621" s="9"/>
      <c r="AB621" s="9"/>
      <c r="AC621" s="9"/>
      <c r="AD621" s="25"/>
      <c r="AE621" s="25"/>
      <c r="AF621" s="9"/>
      <c r="AG621" s="9"/>
      <c r="AH621" s="9"/>
      <c r="AI621" s="9"/>
    </row>
    <row r="622" ht="15.75" customHeight="1">
      <c r="A622" s="9"/>
      <c r="B622" s="9"/>
      <c r="C622" s="9"/>
      <c r="D622" s="9"/>
      <c r="E622" s="67"/>
      <c r="F622" s="68"/>
      <c r="G622" s="68"/>
      <c r="H622" s="69"/>
      <c r="I622" s="69"/>
      <c r="J622" s="69"/>
      <c r="K622" s="69"/>
      <c r="L622" s="69"/>
      <c r="M622" s="69"/>
      <c r="N622" s="69"/>
      <c r="O622" s="7"/>
      <c r="P622" s="23"/>
      <c r="Q622" s="9"/>
      <c r="R622" s="9"/>
      <c r="S622" s="9"/>
      <c r="T622" s="9"/>
      <c r="U622" s="9"/>
      <c r="V622" s="9"/>
      <c r="W622" s="9"/>
      <c r="X622" s="9"/>
      <c r="Y622" s="9"/>
      <c r="Z622" s="9"/>
      <c r="AA622" s="9"/>
      <c r="AB622" s="9"/>
      <c r="AC622" s="9"/>
      <c r="AD622" s="25"/>
      <c r="AE622" s="25"/>
      <c r="AF622" s="9"/>
      <c r="AG622" s="9"/>
      <c r="AH622" s="9"/>
      <c r="AI622" s="9"/>
    </row>
    <row r="623" ht="15.75" customHeight="1">
      <c r="A623" s="9"/>
      <c r="B623" s="9"/>
      <c r="C623" s="9"/>
      <c r="D623" s="9"/>
      <c r="E623" s="67"/>
      <c r="F623" s="68"/>
      <c r="G623" s="68"/>
      <c r="H623" s="69"/>
      <c r="I623" s="69"/>
      <c r="J623" s="69"/>
      <c r="K623" s="69"/>
      <c r="L623" s="69"/>
      <c r="M623" s="70"/>
      <c r="N623" s="69"/>
      <c r="O623" s="7"/>
      <c r="P623" s="23"/>
      <c r="Q623" s="9"/>
      <c r="R623" s="9"/>
      <c r="S623" s="9"/>
      <c r="T623" s="9"/>
      <c r="U623" s="9"/>
      <c r="V623" s="9"/>
      <c r="W623" s="9"/>
      <c r="X623" s="9"/>
      <c r="Y623" s="9"/>
      <c r="Z623" s="9"/>
      <c r="AA623" s="9"/>
      <c r="AB623" s="9"/>
      <c r="AC623" s="9"/>
      <c r="AD623" s="25"/>
      <c r="AE623" s="25"/>
      <c r="AF623" s="9"/>
      <c r="AG623" s="9"/>
      <c r="AH623" s="9"/>
      <c r="AI623" s="9"/>
    </row>
    <row r="624" ht="15.75" customHeight="1">
      <c r="A624" s="9"/>
      <c r="B624" s="9"/>
      <c r="C624" s="9"/>
      <c r="D624" s="9"/>
      <c r="E624" s="67"/>
      <c r="F624" s="68"/>
      <c r="G624" s="68"/>
      <c r="H624" s="69"/>
      <c r="I624" s="69"/>
      <c r="J624" s="69"/>
      <c r="K624" s="69"/>
      <c r="L624" s="69"/>
      <c r="M624" s="70"/>
      <c r="N624" s="69"/>
      <c r="O624" s="7"/>
      <c r="P624" s="23"/>
      <c r="Q624" s="9"/>
      <c r="R624" s="9"/>
      <c r="S624" s="9"/>
      <c r="T624" s="9"/>
      <c r="U624" s="9"/>
      <c r="V624" s="9"/>
      <c r="W624" s="9"/>
      <c r="X624" s="9"/>
      <c r="Y624" s="9"/>
      <c r="Z624" s="9"/>
      <c r="AA624" s="9"/>
      <c r="AB624" s="9"/>
      <c r="AC624" s="9"/>
      <c r="AD624" s="25"/>
      <c r="AE624" s="25"/>
      <c r="AF624" s="9"/>
      <c r="AG624" s="9"/>
      <c r="AH624" s="9"/>
      <c r="AI624" s="9"/>
    </row>
    <row r="625" ht="15.75" customHeight="1">
      <c r="A625" s="9"/>
      <c r="B625" s="9"/>
      <c r="C625" s="9"/>
      <c r="D625" s="9"/>
      <c r="E625" s="67"/>
      <c r="F625" s="68"/>
      <c r="G625" s="68"/>
      <c r="H625" s="69"/>
      <c r="I625" s="69"/>
      <c r="J625" s="69"/>
      <c r="K625" s="69"/>
      <c r="L625" s="69"/>
      <c r="M625" s="70"/>
      <c r="N625" s="69"/>
      <c r="O625" s="7"/>
      <c r="P625" s="23"/>
      <c r="Q625" s="9"/>
      <c r="R625" s="9"/>
      <c r="S625" s="9"/>
      <c r="T625" s="9"/>
      <c r="U625" s="9"/>
      <c r="V625" s="9"/>
      <c r="W625" s="9"/>
      <c r="X625" s="9"/>
      <c r="Y625" s="9"/>
      <c r="Z625" s="9"/>
      <c r="AA625" s="9"/>
      <c r="AB625" s="9"/>
      <c r="AC625" s="9"/>
      <c r="AD625" s="25"/>
      <c r="AE625" s="25"/>
      <c r="AF625" s="9"/>
      <c r="AG625" s="9"/>
      <c r="AH625" s="9"/>
      <c r="AI625" s="9"/>
    </row>
    <row r="626" ht="15.75" customHeight="1">
      <c r="A626" s="9"/>
      <c r="B626" s="9"/>
      <c r="C626" s="9"/>
      <c r="D626" s="9"/>
      <c r="E626" s="67"/>
      <c r="F626" s="68"/>
      <c r="G626" s="68"/>
      <c r="H626" s="69"/>
      <c r="I626" s="69"/>
      <c r="J626" s="69"/>
      <c r="K626" s="69"/>
      <c r="L626" s="69"/>
      <c r="M626" s="70"/>
      <c r="N626" s="69"/>
      <c r="O626" s="7"/>
      <c r="P626" s="23"/>
      <c r="Q626" s="9"/>
      <c r="R626" s="9"/>
      <c r="S626" s="9"/>
      <c r="T626" s="9"/>
      <c r="U626" s="9"/>
      <c r="V626" s="9"/>
      <c r="W626" s="9"/>
      <c r="X626" s="9"/>
      <c r="Y626" s="9"/>
      <c r="Z626" s="9"/>
      <c r="AA626" s="9"/>
      <c r="AB626" s="9"/>
      <c r="AC626" s="9"/>
      <c r="AD626" s="25"/>
      <c r="AE626" s="25"/>
      <c r="AF626" s="9"/>
      <c r="AG626" s="9"/>
      <c r="AH626" s="9"/>
      <c r="AI626" s="9"/>
    </row>
    <row r="627" ht="15.75" customHeight="1">
      <c r="A627" s="9"/>
      <c r="B627" s="9"/>
      <c r="C627" s="9"/>
      <c r="D627" s="9"/>
      <c r="E627" s="67"/>
      <c r="F627" s="68"/>
      <c r="G627" s="68"/>
      <c r="H627" s="69"/>
      <c r="I627" s="69"/>
      <c r="J627" s="69"/>
      <c r="K627" s="69"/>
      <c r="L627" s="69"/>
      <c r="M627" s="70"/>
      <c r="N627" s="69"/>
      <c r="O627" s="7"/>
      <c r="P627" s="23"/>
      <c r="Q627" s="9"/>
      <c r="R627" s="9"/>
      <c r="S627" s="9"/>
      <c r="T627" s="9"/>
      <c r="U627" s="9"/>
      <c r="V627" s="9"/>
      <c r="W627" s="9"/>
      <c r="X627" s="9"/>
      <c r="Y627" s="9"/>
      <c r="Z627" s="9"/>
      <c r="AA627" s="9"/>
      <c r="AB627" s="9"/>
      <c r="AC627" s="9"/>
      <c r="AD627" s="25"/>
      <c r="AE627" s="25"/>
      <c r="AF627" s="9"/>
      <c r="AG627" s="9"/>
      <c r="AH627" s="9"/>
      <c r="AI627" s="9"/>
    </row>
    <row r="628" ht="15.75" customHeight="1">
      <c r="A628" s="9"/>
      <c r="B628" s="9"/>
      <c r="C628" s="9"/>
      <c r="D628" s="9"/>
      <c r="E628" s="67"/>
      <c r="F628" s="68"/>
      <c r="G628" s="68"/>
      <c r="H628" s="69"/>
      <c r="I628" s="69"/>
      <c r="J628" s="69"/>
      <c r="K628" s="69"/>
      <c r="L628" s="69"/>
      <c r="M628" s="70"/>
      <c r="N628" s="69"/>
      <c r="O628" s="7"/>
      <c r="P628" s="23"/>
      <c r="Q628" s="9"/>
      <c r="R628" s="9"/>
      <c r="S628" s="9"/>
      <c r="T628" s="9"/>
      <c r="U628" s="9"/>
      <c r="V628" s="9"/>
      <c r="W628" s="9"/>
      <c r="X628" s="9"/>
      <c r="Y628" s="9"/>
      <c r="Z628" s="9"/>
      <c r="AA628" s="9"/>
      <c r="AB628" s="9"/>
      <c r="AC628" s="9"/>
      <c r="AD628" s="25"/>
      <c r="AE628" s="25"/>
      <c r="AF628" s="9"/>
      <c r="AG628" s="9"/>
      <c r="AH628" s="9"/>
      <c r="AI628" s="9"/>
    </row>
    <row r="629" ht="15.75" customHeight="1">
      <c r="A629" s="9"/>
      <c r="B629" s="9"/>
      <c r="C629" s="9"/>
      <c r="D629" s="9"/>
      <c r="E629" s="67"/>
      <c r="F629" s="68"/>
      <c r="G629" s="68"/>
      <c r="H629" s="69"/>
      <c r="I629" s="69"/>
      <c r="J629" s="69"/>
      <c r="K629" s="69"/>
      <c r="L629" s="69"/>
      <c r="M629" s="70"/>
      <c r="N629" s="69"/>
      <c r="O629" s="7"/>
      <c r="P629" s="23"/>
      <c r="Q629" s="9"/>
      <c r="R629" s="9"/>
      <c r="S629" s="9"/>
      <c r="T629" s="9"/>
      <c r="U629" s="9"/>
      <c r="V629" s="9"/>
      <c r="W629" s="9"/>
      <c r="X629" s="9"/>
      <c r="Y629" s="9"/>
      <c r="Z629" s="9"/>
      <c r="AA629" s="9"/>
      <c r="AB629" s="9"/>
      <c r="AC629" s="9"/>
      <c r="AD629" s="25"/>
      <c r="AE629" s="25"/>
      <c r="AF629" s="9"/>
      <c r="AG629" s="9"/>
      <c r="AH629" s="9"/>
      <c r="AI629" s="9"/>
    </row>
    <row r="630" ht="15.75" customHeight="1">
      <c r="A630" s="9"/>
      <c r="B630" s="9"/>
      <c r="C630" s="9"/>
      <c r="D630" s="9"/>
      <c r="E630" s="67"/>
      <c r="F630" s="68"/>
      <c r="G630" s="68"/>
      <c r="H630" s="69"/>
      <c r="I630" s="69"/>
      <c r="J630" s="69"/>
      <c r="K630" s="69"/>
      <c r="L630" s="69"/>
      <c r="M630" s="70"/>
      <c r="N630" s="69"/>
      <c r="O630" s="7"/>
      <c r="P630" s="23"/>
      <c r="Q630" s="9"/>
      <c r="R630" s="9"/>
      <c r="S630" s="9"/>
      <c r="T630" s="9"/>
      <c r="U630" s="9"/>
      <c r="V630" s="9"/>
      <c r="W630" s="9"/>
      <c r="X630" s="9"/>
      <c r="Y630" s="9"/>
      <c r="Z630" s="9"/>
      <c r="AA630" s="9"/>
      <c r="AB630" s="9"/>
      <c r="AC630" s="9"/>
      <c r="AD630" s="25"/>
      <c r="AE630" s="25"/>
      <c r="AF630" s="9"/>
      <c r="AG630" s="9"/>
      <c r="AH630" s="9"/>
      <c r="AI630" s="9"/>
    </row>
    <row r="631" ht="15.75" customHeight="1">
      <c r="A631" s="9"/>
      <c r="B631" s="9"/>
      <c r="C631" s="9"/>
      <c r="D631" s="9"/>
      <c r="E631" s="67"/>
      <c r="F631" s="68"/>
      <c r="G631" s="68"/>
      <c r="H631" s="69"/>
      <c r="I631" s="69"/>
      <c r="J631" s="69"/>
      <c r="K631" s="69"/>
      <c r="L631" s="69"/>
      <c r="M631" s="70"/>
      <c r="N631" s="69"/>
      <c r="O631" s="7"/>
      <c r="P631" s="23"/>
      <c r="Q631" s="9"/>
      <c r="R631" s="9"/>
      <c r="S631" s="9"/>
      <c r="T631" s="9"/>
      <c r="U631" s="9"/>
      <c r="V631" s="9"/>
      <c r="W631" s="9"/>
      <c r="X631" s="9"/>
      <c r="Y631" s="9"/>
      <c r="Z631" s="9"/>
      <c r="AA631" s="9"/>
      <c r="AB631" s="9"/>
      <c r="AC631" s="9"/>
      <c r="AD631" s="25"/>
      <c r="AE631" s="25"/>
      <c r="AF631" s="9"/>
      <c r="AG631" s="9"/>
      <c r="AH631" s="9"/>
      <c r="AI631" s="9"/>
    </row>
    <row r="632" ht="15.75" customHeight="1">
      <c r="A632" s="9"/>
      <c r="B632" s="9"/>
      <c r="C632" s="9"/>
      <c r="D632" s="9"/>
      <c r="E632" s="67"/>
      <c r="F632" s="68"/>
      <c r="G632" s="68"/>
      <c r="H632" s="69"/>
      <c r="I632" s="69"/>
      <c r="J632" s="69"/>
      <c r="K632" s="69"/>
      <c r="L632" s="69"/>
      <c r="M632" s="70"/>
      <c r="N632" s="69"/>
      <c r="O632" s="7"/>
      <c r="P632" s="23"/>
      <c r="Q632" s="9"/>
      <c r="R632" s="9"/>
      <c r="S632" s="9"/>
      <c r="T632" s="9"/>
      <c r="U632" s="9"/>
      <c r="V632" s="9"/>
      <c r="W632" s="9"/>
      <c r="X632" s="9"/>
      <c r="Y632" s="9"/>
      <c r="Z632" s="9"/>
      <c r="AA632" s="9"/>
      <c r="AB632" s="9"/>
      <c r="AC632" s="9"/>
      <c r="AD632" s="25"/>
      <c r="AE632" s="25"/>
      <c r="AF632" s="9"/>
      <c r="AG632" s="9"/>
      <c r="AH632" s="9"/>
      <c r="AI632" s="9"/>
    </row>
    <row r="633" ht="15.75" customHeight="1">
      <c r="A633" s="9"/>
      <c r="B633" s="9"/>
      <c r="C633" s="9"/>
      <c r="D633" s="9"/>
      <c r="E633" s="67"/>
      <c r="F633" s="68"/>
      <c r="G633" s="68"/>
      <c r="H633" s="69"/>
      <c r="I633" s="69"/>
      <c r="J633" s="69"/>
      <c r="K633" s="69"/>
      <c r="L633" s="69"/>
      <c r="M633" s="70"/>
      <c r="N633" s="69"/>
      <c r="O633" s="7"/>
      <c r="P633" s="23"/>
      <c r="Q633" s="9"/>
      <c r="R633" s="9"/>
      <c r="S633" s="9"/>
      <c r="T633" s="9"/>
      <c r="U633" s="9"/>
      <c r="V633" s="9"/>
      <c r="W633" s="9"/>
      <c r="X633" s="9"/>
      <c r="Y633" s="9"/>
      <c r="Z633" s="9"/>
      <c r="AA633" s="9"/>
      <c r="AB633" s="9"/>
      <c r="AC633" s="9"/>
      <c r="AD633" s="25"/>
      <c r="AE633" s="25"/>
      <c r="AF633" s="9"/>
      <c r="AG633" s="9"/>
      <c r="AH633" s="9"/>
      <c r="AI633" s="9"/>
    </row>
    <row r="634" ht="15.75" customHeight="1">
      <c r="A634" s="9"/>
      <c r="B634" s="9"/>
      <c r="C634" s="9"/>
      <c r="D634" s="9"/>
      <c r="E634" s="67"/>
      <c r="F634" s="68"/>
      <c r="G634" s="68"/>
      <c r="H634" s="69"/>
      <c r="I634" s="69"/>
      <c r="J634" s="69"/>
      <c r="K634" s="69"/>
      <c r="L634" s="69"/>
      <c r="M634" s="70"/>
      <c r="N634" s="69"/>
      <c r="O634" s="7"/>
      <c r="P634" s="23"/>
      <c r="Q634" s="9"/>
      <c r="R634" s="9"/>
      <c r="S634" s="9"/>
      <c r="T634" s="9"/>
      <c r="U634" s="9"/>
      <c r="V634" s="9"/>
      <c r="W634" s="9"/>
      <c r="X634" s="9"/>
      <c r="Y634" s="9"/>
      <c r="Z634" s="9"/>
      <c r="AA634" s="9"/>
      <c r="AB634" s="9"/>
      <c r="AC634" s="9"/>
      <c r="AD634" s="25"/>
      <c r="AE634" s="25"/>
      <c r="AF634" s="9"/>
      <c r="AG634" s="9"/>
      <c r="AH634" s="9"/>
      <c r="AI634" s="9"/>
    </row>
    <row r="635" ht="15.75" customHeight="1">
      <c r="A635" s="9"/>
      <c r="B635" s="9"/>
      <c r="C635" s="9"/>
      <c r="D635" s="9"/>
      <c r="E635" s="67"/>
      <c r="F635" s="68"/>
      <c r="G635" s="68"/>
      <c r="H635" s="69"/>
      <c r="I635" s="69"/>
      <c r="J635" s="69"/>
      <c r="K635" s="69"/>
      <c r="L635" s="69"/>
      <c r="M635" s="71"/>
      <c r="N635" s="69"/>
      <c r="O635" s="7"/>
      <c r="P635" s="23"/>
      <c r="Q635" s="9"/>
      <c r="R635" s="9"/>
      <c r="S635" s="9"/>
      <c r="T635" s="9"/>
      <c r="U635" s="9"/>
      <c r="V635" s="9"/>
      <c r="W635" s="9"/>
      <c r="X635" s="9"/>
      <c r="Y635" s="9"/>
      <c r="Z635" s="9"/>
      <c r="AA635" s="9"/>
      <c r="AB635" s="9"/>
      <c r="AC635" s="9"/>
      <c r="AD635" s="25"/>
      <c r="AE635" s="25"/>
      <c r="AF635" s="9"/>
      <c r="AG635" s="9"/>
      <c r="AH635" s="9"/>
      <c r="AI635" s="9"/>
    </row>
    <row r="636" ht="15.75" customHeight="1">
      <c r="A636" s="9"/>
      <c r="B636" s="9"/>
      <c r="C636" s="9"/>
      <c r="D636" s="9"/>
      <c r="E636" s="67"/>
      <c r="F636" s="68"/>
      <c r="G636" s="68"/>
      <c r="H636" s="69"/>
      <c r="I636" s="69"/>
      <c r="J636" s="69"/>
      <c r="K636" s="69"/>
      <c r="L636" s="69"/>
      <c r="M636" s="70"/>
      <c r="N636" s="69"/>
      <c r="O636" s="7"/>
      <c r="P636" s="23"/>
      <c r="Q636" s="9"/>
      <c r="R636" s="9"/>
      <c r="S636" s="9"/>
      <c r="T636" s="9"/>
      <c r="U636" s="9"/>
      <c r="V636" s="9"/>
      <c r="W636" s="9"/>
      <c r="X636" s="9"/>
      <c r="Y636" s="9"/>
      <c r="Z636" s="9"/>
      <c r="AA636" s="9"/>
      <c r="AB636" s="9"/>
      <c r="AC636" s="9"/>
      <c r="AD636" s="25"/>
      <c r="AE636" s="25"/>
      <c r="AF636" s="9"/>
      <c r="AG636" s="9"/>
      <c r="AH636" s="9"/>
      <c r="AI636" s="9"/>
    </row>
    <row r="637" ht="15.75" customHeight="1">
      <c r="A637" s="9"/>
      <c r="B637" s="9"/>
      <c r="C637" s="9"/>
      <c r="D637" s="9"/>
      <c r="E637" s="67"/>
      <c r="F637" s="68"/>
      <c r="G637" s="68"/>
      <c r="H637" s="69"/>
      <c r="I637" s="69"/>
      <c r="J637" s="69"/>
      <c r="K637" s="69"/>
      <c r="L637" s="69"/>
      <c r="M637" s="70"/>
      <c r="N637" s="69"/>
      <c r="O637" s="7"/>
      <c r="P637" s="23"/>
      <c r="Q637" s="9"/>
      <c r="R637" s="9"/>
      <c r="S637" s="9"/>
      <c r="T637" s="9"/>
      <c r="U637" s="9"/>
      <c r="V637" s="9"/>
      <c r="W637" s="9"/>
      <c r="X637" s="9"/>
      <c r="Y637" s="9"/>
      <c r="Z637" s="9"/>
      <c r="AA637" s="9"/>
      <c r="AB637" s="9"/>
      <c r="AC637" s="9"/>
      <c r="AD637" s="25"/>
      <c r="AE637" s="25"/>
      <c r="AF637" s="9"/>
      <c r="AG637" s="9"/>
      <c r="AH637" s="9"/>
      <c r="AI637" s="9"/>
    </row>
    <row r="638" ht="15.75" customHeight="1">
      <c r="A638" s="9"/>
      <c r="B638" s="9"/>
      <c r="C638" s="9"/>
      <c r="D638" s="9"/>
      <c r="E638" s="67"/>
      <c r="F638" s="68"/>
      <c r="G638" s="68"/>
      <c r="H638" s="69"/>
      <c r="I638" s="69"/>
      <c r="J638" s="69"/>
      <c r="K638" s="69"/>
      <c r="L638" s="69"/>
      <c r="M638" s="70"/>
      <c r="N638" s="69"/>
      <c r="O638" s="7"/>
      <c r="P638" s="23"/>
      <c r="Q638" s="9"/>
      <c r="R638" s="9"/>
      <c r="S638" s="9"/>
      <c r="T638" s="9"/>
      <c r="U638" s="9"/>
      <c r="V638" s="9"/>
      <c r="W638" s="9"/>
      <c r="X638" s="9"/>
      <c r="Y638" s="9"/>
      <c r="Z638" s="9"/>
      <c r="AA638" s="9"/>
      <c r="AB638" s="9"/>
      <c r="AC638" s="9"/>
      <c r="AD638" s="25"/>
      <c r="AE638" s="25"/>
      <c r="AF638" s="9"/>
      <c r="AG638" s="9"/>
      <c r="AH638" s="9"/>
      <c r="AI638" s="9"/>
    </row>
    <row r="639" ht="15.75" customHeight="1">
      <c r="A639" s="9"/>
      <c r="B639" s="9"/>
      <c r="C639" s="9"/>
      <c r="D639" s="9"/>
      <c r="E639" s="67"/>
      <c r="F639" s="68"/>
      <c r="G639" s="68"/>
      <c r="H639" s="69"/>
      <c r="I639" s="69"/>
      <c r="J639" s="69"/>
      <c r="K639" s="69"/>
      <c r="L639" s="69"/>
      <c r="M639" s="70"/>
      <c r="N639" s="69"/>
      <c r="O639" s="7"/>
      <c r="P639" s="23"/>
      <c r="Q639" s="9"/>
      <c r="R639" s="9"/>
      <c r="S639" s="9"/>
      <c r="T639" s="9"/>
      <c r="U639" s="9"/>
      <c r="V639" s="9"/>
      <c r="W639" s="9"/>
      <c r="X639" s="9"/>
      <c r="Y639" s="9"/>
      <c r="Z639" s="9"/>
      <c r="AA639" s="9"/>
      <c r="AB639" s="9"/>
      <c r="AC639" s="9"/>
      <c r="AD639" s="25"/>
      <c r="AE639" s="25"/>
      <c r="AF639" s="9"/>
      <c r="AG639" s="9"/>
      <c r="AH639" s="9"/>
      <c r="AI639" s="9"/>
    </row>
    <row r="640" ht="15.75" customHeight="1">
      <c r="A640" s="9"/>
      <c r="B640" s="9"/>
      <c r="C640" s="9"/>
      <c r="D640" s="9"/>
      <c r="E640" s="67"/>
      <c r="F640" s="68"/>
      <c r="G640" s="68"/>
      <c r="H640" s="69"/>
      <c r="I640" s="69"/>
      <c r="J640" s="69"/>
      <c r="K640" s="69"/>
      <c r="L640" s="69"/>
      <c r="M640" s="70"/>
      <c r="N640" s="69"/>
      <c r="O640" s="7"/>
      <c r="P640" s="23"/>
      <c r="Q640" s="9"/>
      <c r="R640" s="9"/>
      <c r="S640" s="9"/>
      <c r="T640" s="9"/>
      <c r="U640" s="9"/>
      <c r="V640" s="9"/>
      <c r="W640" s="9"/>
      <c r="X640" s="9"/>
      <c r="Y640" s="9"/>
      <c r="Z640" s="9"/>
      <c r="AA640" s="9"/>
      <c r="AB640" s="9"/>
      <c r="AC640" s="9"/>
      <c r="AD640" s="25"/>
      <c r="AE640" s="25"/>
      <c r="AF640" s="9"/>
      <c r="AG640" s="9"/>
      <c r="AH640" s="9"/>
      <c r="AI640" s="9"/>
    </row>
    <row r="641" ht="15.75" customHeight="1">
      <c r="A641" s="9"/>
      <c r="B641" s="9"/>
      <c r="C641" s="9"/>
      <c r="D641" s="9"/>
      <c r="E641" s="67"/>
      <c r="F641" s="68"/>
      <c r="G641" s="68"/>
      <c r="H641" s="69"/>
      <c r="I641" s="69"/>
      <c r="J641" s="69"/>
      <c r="K641" s="69"/>
      <c r="L641" s="69"/>
      <c r="M641" s="70"/>
      <c r="N641" s="69"/>
      <c r="O641" s="7"/>
      <c r="P641" s="23"/>
      <c r="Q641" s="9"/>
      <c r="R641" s="9"/>
      <c r="S641" s="9"/>
      <c r="T641" s="9"/>
      <c r="U641" s="9"/>
      <c r="V641" s="9"/>
      <c r="W641" s="9"/>
      <c r="X641" s="9"/>
      <c r="Y641" s="9"/>
      <c r="Z641" s="9"/>
      <c r="AA641" s="9"/>
      <c r="AB641" s="9"/>
      <c r="AC641" s="9"/>
      <c r="AD641" s="25"/>
      <c r="AE641" s="25"/>
      <c r="AF641" s="9"/>
      <c r="AG641" s="9"/>
      <c r="AH641" s="9"/>
      <c r="AI641" s="9"/>
    </row>
    <row r="642" ht="15.75" customHeight="1">
      <c r="A642" s="9"/>
      <c r="B642" s="9"/>
      <c r="C642" s="9"/>
      <c r="D642" s="9"/>
      <c r="E642" s="67"/>
      <c r="F642" s="68"/>
      <c r="G642" s="68"/>
      <c r="H642" s="69"/>
      <c r="I642" s="69"/>
      <c r="J642" s="69"/>
      <c r="K642" s="69"/>
      <c r="L642" s="69"/>
      <c r="M642" s="69"/>
      <c r="N642" s="69"/>
      <c r="O642" s="7"/>
      <c r="P642" s="23"/>
      <c r="Q642" s="9"/>
      <c r="R642" s="9"/>
      <c r="S642" s="9"/>
      <c r="T642" s="9"/>
      <c r="U642" s="9"/>
      <c r="V642" s="9"/>
      <c r="W642" s="9"/>
      <c r="X642" s="9"/>
      <c r="Y642" s="9"/>
      <c r="Z642" s="9"/>
      <c r="AA642" s="9"/>
      <c r="AB642" s="9"/>
      <c r="AC642" s="9"/>
      <c r="AD642" s="25"/>
      <c r="AE642" s="25"/>
      <c r="AF642" s="9"/>
      <c r="AG642" s="9"/>
      <c r="AH642" s="9"/>
      <c r="AI642" s="9"/>
    </row>
    <row r="643" ht="15.75" customHeight="1">
      <c r="A643" s="9"/>
      <c r="B643" s="9"/>
      <c r="C643" s="9"/>
      <c r="D643" s="9"/>
      <c r="E643" s="67"/>
      <c r="F643" s="68"/>
      <c r="G643" s="68"/>
      <c r="H643" s="69"/>
      <c r="I643" s="69"/>
      <c r="J643" s="69"/>
      <c r="K643" s="69"/>
      <c r="L643" s="69"/>
      <c r="M643" s="70"/>
      <c r="N643" s="69"/>
      <c r="O643" s="7"/>
      <c r="P643" s="23"/>
      <c r="Q643" s="9"/>
      <c r="R643" s="9"/>
      <c r="S643" s="9"/>
      <c r="T643" s="9"/>
      <c r="U643" s="9"/>
      <c r="V643" s="9"/>
      <c r="W643" s="9"/>
      <c r="X643" s="9"/>
      <c r="Y643" s="9"/>
      <c r="Z643" s="9"/>
      <c r="AA643" s="9"/>
      <c r="AB643" s="9"/>
      <c r="AC643" s="9"/>
      <c r="AD643" s="25"/>
      <c r="AE643" s="25"/>
      <c r="AF643" s="9"/>
      <c r="AG643" s="9"/>
      <c r="AH643" s="9"/>
      <c r="AI643" s="9"/>
    </row>
    <row r="644" ht="15.75" customHeight="1">
      <c r="A644" s="9"/>
      <c r="B644" s="9"/>
      <c r="C644" s="9"/>
      <c r="D644" s="9"/>
      <c r="E644" s="67"/>
      <c r="F644" s="68"/>
      <c r="G644" s="68"/>
      <c r="H644" s="69"/>
      <c r="I644" s="69"/>
      <c r="J644" s="69"/>
      <c r="K644" s="69"/>
      <c r="L644" s="69"/>
      <c r="M644" s="70"/>
      <c r="N644" s="69"/>
      <c r="O644" s="7"/>
      <c r="P644" s="23"/>
      <c r="Q644" s="9"/>
      <c r="R644" s="9"/>
      <c r="S644" s="9"/>
      <c r="T644" s="9"/>
      <c r="U644" s="9"/>
      <c r="V644" s="9"/>
      <c r="W644" s="9"/>
      <c r="X644" s="9"/>
      <c r="Y644" s="9"/>
      <c r="Z644" s="9"/>
      <c r="AA644" s="9"/>
      <c r="AB644" s="9"/>
      <c r="AC644" s="9"/>
      <c r="AD644" s="25"/>
      <c r="AE644" s="25"/>
      <c r="AF644" s="9"/>
      <c r="AG644" s="9"/>
      <c r="AH644" s="9"/>
      <c r="AI644" s="9"/>
    </row>
    <row r="645" ht="15.75" customHeight="1">
      <c r="A645" s="9"/>
      <c r="B645" s="9"/>
      <c r="C645" s="9"/>
      <c r="D645" s="9"/>
      <c r="E645" s="67"/>
      <c r="F645" s="68"/>
      <c r="G645" s="68"/>
      <c r="H645" s="69"/>
      <c r="I645" s="69"/>
      <c r="J645" s="69"/>
      <c r="K645" s="69"/>
      <c r="L645" s="69"/>
      <c r="M645" s="69"/>
      <c r="N645" s="69"/>
      <c r="O645" s="7"/>
      <c r="P645" s="23"/>
      <c r="Q645" s="9"/>
      <c r="R645" s="9"/>
      <c r="S645" s="9"/>
      <c r="T645" s="9"/>
      <c r="U645" s="9"/>
      <c r="V645" s="9"/>
      <c r="W645" s="9"/>
      <c r="X645" s="9"/>
      <c r="Y645" s="9"/>
      <c r="Z645" s="9"/>
      <c r="AA645" s="9"/>
      <c r="AB645" s="9"/>
      <c r="AC645" s="9"/>
      <c r="AD645" s="25"/>
      <c r="AE645" s="25"/>
      <c r="AF645" s="9"/>
      <c r="AG645" s="9"/>
      <c r="AH645" s="9"/>
      <c r="AI645" s="9"/>
    </row>
    <row r="646" ht="15.75" customHeight="1">
      <c r="A646" s="9"/>
      <c r="B646" s="9"/>
      <c r="C646" s="9"/>
      <c r="D646" s="9"/>
      <c r="E646" s="67"/>
      <c r="F646" s="68"/>
      <c r="G646" s="68"/>
      <c r="H646" s="69"/>
      <c r="I646" s="69"/>
      <c r="J646" s="69"/>
      <c r="K646" s="69"/>
      <c r="L646" s="69"/>
      <c r="M646" s="70"/>
      <c r="N646" s="69"/>
      <c r="O646" s="7"/>
      <c r="P646" s="23"/>
      <c r="Q646" s="9"/>
      <c r="R646" s="9"/>
      <c r="S646" s="9"/>
      <c r="T646" s="9"/>
      <c r="U646" s="9"/>
      <c r="V646" s="9"/>
      <c r="W646" s="9"/>
      <c r="X646" s="9"/>
      <c r="Y646" s="9"/>
      <c r="Z646" s="9"/>
      <c r="AA646" s="9"/>
      <c r="AB646" s="9"/>
      <c r="AC646" s="9"/>
      <c r="AD646" s="25"/>
      <c r="AE646" s="25"/>
      <c r="AF646" s="9"/>
      <c r="AG646" s="9"/>
      <c r="AH646" s="9"/>
      <c r="AI646" s="9"/>
    </row>
    <row r="647" ht="15.75" customHeight="1">
      <c r="A647" s="9"/>
      <c r="B647" s="9"/>
      <c r="C647" s="9"/>
      <c r="D647" s="9"/>
      <c r="E647" s="67"/>
      <c r="F647" s="68"/>
      <c r="G647" s="68"/>
      <c r="H647" s="69"/>
      <c r="I647" s="69"/>
      <c r="J647" s="69"/>
      <c r="K647" s="69"/>
      <c r="L647" s="69"/>
      <c r="M647" s="70"/>
      <c r="N647" s="69"/>
      <c r="O647" s="7"/>
      <c r="P647" s="23"/>
      <c r="Q647" s="9"/>
      <c r="R647" s="9"/>
      <c r="S647" s="9"/>
      <c r="T647" s="9"/>
      <c r="U647" s="9"/>
      <c r="V647" s="9"/>
      <c r="W647" s="9"/>
      <c r="X647" s="9"/>
      <c r="Y647" s="9"/>
      <c r="Z647" s="9"/>
      <c r="AA647" s="9"/>
      <c r="AB647" s="9"/>
      <c r="AC647" s="9"/>
      <c r="AD647" s="25"/>
      <c r="AE647" s="25"/>
      <c r="AF647" s="9"/>
      <c r="AG647" s="9"/>
      <c r="AH647" s="9"/>
      <c r="AI647" s="9"/>
    </row>
    <row r="648" ht="15.75" customHeight="1">
      <c r="A648" s="9"/>
      <c r="B648" s="9"/>
      <c r="C648" s="9"/>
      <c r="D648" s="9"/>
      <c r="E648" s="67"/>
      <c r="F648" s="68"/>
      <c r="G648" s="68"/>
      <c r="H648" s="69"/>
      <c r="I648" s="69"/>
      <c r="J648" s="69"/>
      <c r="K648" s="69"/>
      <c r="L648" s="69"/>
      <c r="M648" s="71"/>
      <c r="N648" s="69"/>
      <c r="O648" s="7"/>
      <c r="P648" s="23"/>
      <c r="Q648" s="9"/>
      <c r="R648" s="9"/>
      <c r="S648" s="9"/>
      <c r="T648" s="9"/>
      <c r="U648" s="9"/>
      <c r="V648" s="9"/>
      <c r="W648" s="9"/>
      <c r="X648" s="9"/>
      <c r="Y648" s="9"/>
      <c r="Z648" s="9"/>
      <c r="AA648" s="9"/>
      <c r="AB648" s="9"/>
      <c r="AC648" s="9"/>
      <c r="AD648" s="25"/>
      <c r="AE648" s="25"/>
      <c r="AF648" s="9"/>
      <c r="AG648" s="9"/>
      <c r="AH648" s="9"/>
      <c r="AI648" s="9"/>
    </row>
    <row r="649" ht="15.75" customHeight="1">
      <c r="A649" s="9"/>
      <c r="B649" s="9"/>
      <c r="C649" s="9"/>
      <c r="D649" s="9"/>
      <c r="E649" s="67"/>
      <c r="F649" s="68"/>
      <c r="G649" s="68"/>
      <c r="H649" s="69"/>
      <c r="I649" s="69"/>
      <c r="J649" s="69"/>
      <c r="K649" s="69"/>
      <c r="L649" s="69"/>
      <c r="M649" s="70"/>
      <c r="N649" s="69"/>
      <c r="O649" s="7"/>
      <c r="P649" s="23"/>
      <c r="Q649" s="9"/>
      <c r="R649" s="9"/>
      <c r="S649" s="9"/>
      <c r="T649" s="9"/>
      <c r="U649" s="9"/>
      <c r="V649" s="9"/>
      <c r="W649" s="9"/>
      <c r="X649" s="9"/>
      <c r="Y649" s="9"/>
      <c r="Z649" s="9"/>
      <c r="AA649" s="9"/>
      <c r="AB649" s="9"/>
      <c r="AC649" s="9"/>
      <c r="AD649" s="25"/>
      <c r="AE649" s="25"/>
      <c r="AF649" s="9"/>
      <c r="AG649" s="9"/>
      <c r="AH649" s="9"/>
      <c r="AI649" s="9"/>
    </row>
    <row r="650" ht="15.75" customHeight="1">
      <c r="A650" s="9"/>
      <c r="B650" s="9"/>
      <c r="C650" s="9"/>
      <c r="D650" s="9"/>
      <c r="E650" s="67"/>
      <c r="F650" s="68"/>
      <c r="G650" s="68"/>
      <c r="H650" s="69"/>
      <c r="I650" s="69"/>
      <c r="J650" s="69"/>
      <c r="K650" s="69"/>
      <c r="L650" s="69"/>
      <c r="M650" s="70"/>
      <c r="N650" s="69"/>
      <c r="O650" s="7"/>
      <c r="P650" s="23"/>
      <c r="Q650" s="9"/>
      <c r="R650" s="9"/>
      <c r="S650" s="9"/>
      <c r="T650" s="9"/>
      <c r="U650" s="9"/>
      <c r="V650" s="9"/>
      <c r="W650" s="9"/>
      <c r="X650" s="9"/>
      <c r="Y650" s="9"/>
      <c r="Z650" s="9"/>
      <c r="AA650" s="9"/>
      <c r="AB650" s="9"/>
      <c r="AC650" s="9"/>
      <c r="AD650" s="25"/>
      <c r="AE650" s="25"/>
      <c r="AF650" s="9"/>
      <c r="AG650" s="9"/>
      <c r="AH650" s="9"/>
      <c r="AI650" s="9"/>
    </row>
    <row r="651" ht="15.75" customHeight="1">
      <c r="A651" s="9"/>
      <c r="B651" s="9"/>
      <c r="C651" s="9"/>
      <c r="D651" s="9"/>
      <c r="E651" s="67"/>
      <c r="F651" s="68"/>
      <c r="G651" s="68"/>
      <c r="H651" s="69"/>
      <c r="I651" s="69"/>
      <c r="J651" s="69"/>
      <c r="K651" s="69"/>
      <c r="L651" s="69"/>
      <c r="M651" s="70"/>
      <c r="N651" s="69"/>
      <c r="O651" s="7"/>
      <c r="P651" s="23"/>
      <c r="Q651" s="9"/>
      <c r="R651" s="9"/>
      <c r="S651" s="9"/>
      <c r="T651" s="9"/>
      <c r="U651" s="9"/>
      <c r="V651" s="9"/>
      <c r="W651" s="9"/>
      <c r="X651" s="9"/>
      <c r="Y651" s="9"/>
      <c r="Z651" s="9"/>
      <c r="AA651" s="9"/>
      <c r="AB651" s="9"/>
      <c r="AC651" s="9"/>
      <c r="AD651" s="25"/>
      <c r="AE651" s="25"/>
      <c r="AF651" s="9"/>
      <c r="AG651" s="9"/>
      <c r="AH651" s="9"/>
      <c r="AI651" s="9"/>
    </row>
    <row r="652" ht="15.75" customHeight="1">
      <c r="A652" s="9"/>
      <c r="B652" s="9"/>
      <c r="C652" s="9"/>
      <c r="D652" s="9"/>
      <c r="E652" s="67"/>
      <c r="F652" s="68"/>
      <c r="G652" s="68"/>
      <c r="H652" s="69"/>
      <c r="I652" s="69"/>
      <c r="J652" s="69"/>
      <c r="K652" s="69"/>
      <c r="L652" s="69"/>
      <c r="M652" s="70"/>
      <c r="N652" s="69"/>
      <c r="O652" s="7"/>
      <c r="P652" s="23"/>
      <c r="Q652" s="9"/>
      <c r="R652" s="9"/>
      <c r="S652" s="9"/>
      <c r="T652" s="9"/>
      <c r="U652" s="9"/>
      <c r="V652" s="9"/>
      <c r="W652" s="9"/>
      <c r="X652" s="9"/>
      <c r="Y652" s="9"/>
      <c r="Z652" s="9"/>
      <c r="AA652" s="9"/>
      <c r="AB652" s="9"/>
      <c r="AC652" s="9"/>
      <c r="AD652" s="25"/>
      <c r="AE652" s="25"/>
      <c r="AF652" s="9"/>
      <c r="AG652" s="9"/>
      <c r="AH652" s="9"/>
      <c r="AI652" s="9"/>
    </row>
    <row r="653" ht="15.75" customHeight="1">
      <c r="A653" s="9"/>
      <c r="B653" s="9"/>
      <c r="C653" s="9"/>
      <c r="D653" s="9"/>
      <c r="E653" s="67"/>
      <c r="F653" s="68"/>
      <c r="G653" s="68"/>
      <c r="H653" s="69"/>
      <c r="I653" s="69"/>
      <c r="J653" s="69"/>
      <c r="K653" s="69"/>
      <c r="L653" s="69"/>
      <c r="M653" s="70"/>
      <c r="N653" s="69"/>
      <c r="O653" s="7"/>
      <c r="P653" s="23"/>
      <c r="Q653" s="9"/>
      <c r="R653" s="9"/>
      <c r="S653" s="9"/>
      <c r="T653" s="9"/>
      <c r="U653" s="9"/>
      <c r="V653" s="9"/>
      <c r="W653" s="9"/>
      <c r="X653" s="9"/>
      <c r="Y653" s="9"/>
      <c r="Z653" s="9"/>
      <c r="AA653" s="9"/>
      <c r="AB653" s="9"/>
      <c r="AC653" s="9"/>
      <c r="AD653" s="25"/>
      <c r="AE653" s="25"/>
      <c r="AF653" s="9"/>
      <c r="AG653" s="9"/>
      <c r="AH653" s="9"/>
      <c r="AI653" s="9"/>
    </row>
    <row r="654" ht="15.75" customHeight="1">
      <c r="A654" s="9"/>
      <c r="B654" s="9"/>
      <c r="C654" s="9"/>
      <c r="D654" s="9"/>
      <c r="E654" s="67"/>
      <c r="F654" s="68"/>
      <c r="G654" s="68"/>
      <c r="H654" s="69"/>
      <c r="I654" s="69"/>
      <c r="J654" s="69"/>
      <c r="K654" s="69"/>
      <c r="L654" s="69"/>
      <c r="M654" s="69"/>
      <c r="N654" s="69"/>
      <c r="O654" s="7"/>
      <c r="P654" s="23"/>
      <c r="Q654" s="9"/>
      <c r="R654" s="9"/>
      <c r="S654" s="9"/>
      <c r="T654" s="9"/>
      <c r="U654" s="9"/>
      <c r="V654" s="9"/>
      <c r="W654" s="9"/>
      <c r="X654" s="9"/>
      <c r="Y654" s="9"/>
      <c r="Z654" s="9"/>
      <c r="AA654" s="9"/>
      <c r="AB654" s="9"/>
      <c r="AC654" s="9"/>
      <c r="AD654" s="25"/>
      <c r="AE654" s="25"/>
      <c r="AF654" s="9"/>
      <c r="AG654" s="9"/>
      <c r="AH654" s="9"/>
      <c r="AI654" s="9"/>
    </row>
    <row r="655" ht="15.75" customHeight="1">
      <c r="A655" s="9"/>
      <c r="B655" s="9"/>
      <c r="C655" s="9"/>
      <c r="D655" s="9"/>
      <c r="E655" s="67"/>
      <c r="F655" s="68"/>
      <c r="G655" s="68"/>
      <c r="H655" s="69"/>
      <c r="I655" s="69"/>
      <c r="J655" s="69"/>
      <c r="K655" s="69"/>
      <c r="L655" s="69"/>
      <c r="M655" s="70"/>
      <c r="N655" s="69"/>
      <c r="O655" s="7"/>
      <c r="P655" s="23"/>
      <c r="Q655" s="9"/>
      <c r="R655" s="9"/>
      <c r="S655" s="9"/>
      <c r="T655" s="9"/>
      <c r="U655" s="9"/>
      <c r="V655" s="9"/>
      <c r="W655" s="9"/>
      <c r="X655" s="9"/>
      <c r="Y655" s="9"/>
      <c r="Z655" s="9"/>
      <c r="AA655" s="9"/>
      <c r="AB655" s="9"/>
      <c r="AC655" s="9"/>
      <c r="AD655" s="25"/>
      <c r="AE655" s="25"/>
      <c r="AF655" s="9"/>
      <c r="AG655" s="9"/>
      <c r="AH655" s="9"/>
      <c r="AI655" s="9"/>
    </row>
    <row r="656" ht="15.75" customHeight="1">
      <c r="A656" s="9"/>
      <c r="B656" s="9"/>
      <c r="C656" s="9"/>
      <c r="D656" s="9"/>
      <c r="E656" s="67"/>
      <c r="F656" s="68"/>
      <c r="G656" s="68"/>
      <c r="H656" s="69"/>
      <c r="I656" s="69"/>
      <c r="J656" s="69"/>
      <c r="K656" s="69"/>
      <c r="L656" s="69"/>
      <c r="M656" s="70"/>
      <c r="N656" s="69"/>
      <c r="O656" s="7"/>
      <c r="P656" s="23"/>
      <c r="Q656" s="9"/>
      <c r="R656" s="9"/>
      <c r="S656" s="9"/>
      <c r="T656" s="9"/>
      <c r="U656" s="9"/>
      <c r="V656" s="9"/>
      <c r="W656" s="9"/>
      <c r="X656" s="9"/>
      <c r="Y656" s="9"/>
      <c r="Z656" s="9"/>
      <c r="AA656" s="9"/>
      <c r="AB656" s="9"/>
      <c r="AC656" s="9"/>
      <c r="AD656" s="25"/>
      <c r="AE656" s="25"/>
      <c r="AF656" s="9"/>
      <c r="AG656" s="9"/>
      <c r="AH656" s="9"/>
      <c r="AI656" s="9"/>
    </row>
    <row r="657" ht="15.75" customHeight="1">
      <c r="A657" s="9"/>
      <c r="B657" s="9"/>
      <c r="C657" s="9"/>
      <c r="D657" s="9"/>
      <c r="E657" s="67"/>
      <c r="F657" s="68"/>
      <c r="G657" s="68"/>
      <c r="H657" s="69"/>
      <c r="I657" s="69"/>
      <c r="J657" s="69"/>
      <c r="K657" s="69"/>
      <c r="L657" s="69"/>
      <c r="M657" s="70"/>
      <c r="N657" s="69"/>
      <c r="O657" s="7"/>
      <c r="P657" s="23"/>
      <c r="Q657" s="9"/>
      <c r="R657" s="9"/>
      <c r="S657" s="9"/>
      <c r="T657" s="9"/>
      <c r="U657" s="9"/>
      <c r="V657" s="9"/>
      <c r="W657" s="9"/>
      <c r="X657" s="9"/>
      <c r="Y657" s="9"/>
      <c r="Z657" s="9"/>
      <c r="AA657" s="9"/>
      <c r="AB657" s="9"/>
      <c r="AC657" s="9"/>
      <c r="AD657" s="25"/>
      <c r="AE657" s="25"/>
      <c r="AF657" s="9"/>
      <c r="AG657" s="9"/>
      <c r="AH657" s="9"/>
      <c r="AI657" s="9"/>
    </row>
    <row r="658" ht="15.75" customHeight="1">
      <c r="A658" s="9"/>
      <c r="B658" s="9"/>
      <c r="C658" s="9"/>
      <c r="D658" s="9"/>
      <c r="E658" s="67"/>
      <c r="F658" s="68"/>
      <c r="G658" s="68"/>
      <c r="H658" s="69"/>
      <c r="I658" s="69"/>
      <c r="J658" s="69"/>
      <c r="K658" s="69"/>
      <c r="L658" s="69"/>
      <c r="M658" s="69"/>
      <c r="N658" s="69"/>
      <c r="O658" s="7"/>
      <c r="P658" s="23"/>
      <c r="Q658" s="9"/>
      <c r="R658" s="9"/>
      <c r="S658" s="9"/>
      <c r="T658" s="9"/>
      <c r="U658" s="9"/>
      <c r="V658" s="9"/>
      <c r="W658" s="9"/>
      <c r="X658" s="9"/>
      <c r="Y658" s="9"/>
      <c r="Z658" s="9"/>
      <c r="AA658" s="9"/>
      <c r="AB658" s="9"/>
      <c r="AC658" s="9"/>
      <c r="AD658" s="25"/>
      <c r="AE658" s="25"/>
      <c r="AF658" s="9"/>
      <c r="AG658" s="9"/>
      <c r="AH658" s="9"/>
      <c r="AI658" s="9"/>
    </row>
    <row r="659" ht="15.75" customHeight="1">
      <c r="A659" s="9"/>
      <c r="B659" s="9"/>
      <c r="C659" s="9"/>
      <c r="D659" s="9"/>
      <c r="E659" s="67"/>
      <c r="F659" s="68"/>
      <c r="G659" s="68"/>
      <c r="H659" s="69"/>
      <c r="I659" s="69"/>
      <c r="J659" s="69"/>
      <c r="K659" s="69"/>
      <c r="L659" s="69"/>
      <c r="M659" s="70"/>
      <c r="N659" s="69"/>
      <c r="O659" s="7"/>
      <c r="P659" s="23"/>
      <c r="Q659" s="9"/>
      <c r="R659" s="9"/>
      <c r="S659" s="9"/>
      <c r="T659" s="9"/>
      <c r="U659" s="9"/>
      <c r="V659" s="9"/>
      <c r="W659" s="9"/>
      <c r="X659" s="9"/>
      <c r="Y659" s="9"/>
      <c r="Z659" s="9"/>
      <c r="AA659" s="9"/>
      <c r="AB659" s="9"/>
      <c r="AC659" s="9"/>
      <c r="AD659" s="25"/>
      <c r="AE659" s="25"/>
      <c r="AF659" s="9"/>
      <c r="AG659" s="9"/>
      <c r="AH659" s="9"/>
      <c r="AI659" s="9"/>
    </row>
    <row r="660" ht="15.75" customHeight="1">
      <c r="A660" s="9"/>
      <c r="B660" s="9"/>
      <c r="C660" s="9"/>
      <c r="D660" s="9"/>
      <c r="E660" s="67"/>
      <c r="F660" s="68"/>
      <c r="G660" s="68"/>
      <c r="H660" s="69"/>
      <c r="I660" s="69"/>
      <c r="J660" s="69"/>
      <c r="K660" s="69"/>
      <c r="L660" s="69"/>
      <c r="M660" s="69"/>
      <c r="N660" s="69"/>
      <c r="O660" s="7"/>
      <c r="P660" s="23"/>
      <c r="Q660" s="9"/>
      <c r="R660" s="9"/>
      <c r="S660" s="9"/>
      <c r="T660" s="9"/>
      <c r="U660" s="9"/>
      <c r="V660" s="9"/>
      <c r="W660" s="9"/>
      <c r="X660" s="9"/>
      <c r="Y660" s="9"/>
      <c r="Z660" s="9"/>
      <c r="AA660" s="9"/>
      <c r="AB660" s="9"/>
      <c r="AC660" s="9"/>
      <c r="AD660" s="25"/>
      <c r="AE660" s="25"/>
      <c r="AF660" s="9"/>
      <c r="AG660" s="9"/>
      <c r="AH660" s="9"/>
      <c r="AI660" s="9"/>
    </row>
    <row r="661" ht="15.75" customHeight="1">
      <c r="A661" s="9"/>
      <c r="B661" s="9"/>
      <c r="C661" s="9"/>
      <c r="D661" s="9"/>
      <c r="E661" s="67"/>
      <c r="F661" s="68"/>
      <c r="G661" s="68"/>
      <c r="H661" s="69"/>
      <c r="I661" s="69"/>
      <c r="J661" s="69"/>
      <c r="K661" s="69"/>
      <c r="L661" s="69"/>
      <c r="M661" s="70"/>
      <c r="N661" s="69"/>
      <c r="O661" s="7"/>
      <c r="P661" s="23"/>
      <c r="Q661" s="9"/>
      <c r="R661" s="9"/>
      <c r="S661" s="9"/>
      <c r="T661" s="9"/>
      <c r="U661" s="9"/>
      <c r="V661" s="9"/>
      <c r="W661" s="9"/>
      <c r="X661" s="9"/>
      <c r="Y661" s="9"/>
      <c r="Z661" s="9"/>
      <c r="AA661" s="9"/>
      <c r="AB661" s="9"/>
      <c r="AC661" s="9"/>
      <c r="AD661" s="25"/>
      <c r="AE661" s="25"/>
      <c r="AF661" s="9"/>
      <c r="AG661" s="9"/>
      <c r="AH661" s="9"/>
      <c r="AI661" s="9"/>
    </row>
    <row r="662" ht="15.75" customHeight="1">
      <c r="A662" s="9"/>
      <c r="B662" s="9"/>
      <c r="C662" s="9"/>
      <c r="D662" s="9"/>
      <c r="E662" s="67"/>
      <c r="F662" s="68"/>
      <c r="G662" s="68"/>
      <c r="H662" s="69"/>
      <c r="I662" s="69"/>
      <c r="J662" s="69"/>
      <c r="K662" s="69"/>
      <c r="L662" s="69"/>
      <c r="M662" s="69"/>
      <c r="N662" s="69"/>
      <c r="O662" s="7"/>
      <c r="P662" s="23"/>
      <c r="Q662" s="9"/>
      <c r="R662" s="9"/>
      <c r="S662" s="9"/>
      <c r="T662" s="9"/>
      <c r="U662" s="9"/>
      <c r="V662" s="9"/>
      <c r="W662" s="9"/>
      <c r="X662" s="9"/>
      <c r="Y662" s="9"/>
      <c r="Z662" s="9"/>
      <c r="AA662" s="9"/>
      <c r="AB662" s="9"/>
      <c r="AC662" s="9"/>
      <c r="AD662" s="25"/>
      <c r="AE662" s="25"/>
      <c r="AF662" s="9"/>
      <c r="AG662" s="9"/>
      <c r="AH662" s="9"/>
      <c r="AI662" s="9"/>
    </row>
    <row r="663" ht="15.75" customHeight="1">
      <c r="A663" s="9"/>
      <c r="B663" s="9"/>
      <c r="C663" s="9"/>
      <c r="D663" s="9"/>
      <c r="E663" s="67"/>
      <c r="F663" s="68"/>
      <c r="G663" s="68"/>
      <c r="H663" s="69"/>
      <c r="I663" s="69"/>
      <c r="J663" s="69"/>
      <c r="K663" s="69"/>
      <c r="L663" s="69"/>
      <c r="M663" s="70"/>
      <c r="N663" s="69"/>
      <c r="O663" s="7"/>
      <c r="P663" s="23"/>
      <c r="Q663" s="9"/>
      <c r="R663" s="9"/>
      <c r="S663" s="9"/>
      <c r="T663" s="9"/>
      <c r="U663" s="9"/>
      <c r="V663" s="9"/>
      <c r="W663" s="9"/>
      <c r="X663" s="9"/>
      <c r="Y663" s="9"/>
      <c r="Z663" s="9"/>
      <c r="AA663" s="9"/>
      <c r="AB663" s="9"/>
      <c r="AC663" s="9"/>
      <c r="AD663" s="25"/>
      <c r="AE663" s="25"/>
      <c r="AF663" s="9"/>
      <c r="AG663" s="9"/>
      <c r="AH663" s="9"/>
      <c r="AI663" s="9"/>
    </row>
    <row r="664" ht="15.75" customHeight="1">
      <c r="A664" s="9"/>
      <c r="B664" s="9"/>
      <c r="C664" s="9"/>
      <c r="D664" s="9"/>
      <c r="E664" s="67"/>
      <c r="F664" s="68"/>
      <c r="G664" s="68"/>
      <c r="H664" s="69"/>
      <c r="I664" s="69"/>
      <c r="J664" s="69"/>
      <c r="K664" s="69"/>
      <c r="L664" s="69"/>
      <c r="M664" s="70"/>
      <c r="N664" s="69"/>
      <c r="O664" s="7"/>
      <c r="P664" s="23"/>
      <c r="Q664" s="9"/>
      <c r="R664" s="9"/>
      <c r="S664" s="9"/>
      <c r="T664" s="9"/>
      <c r="U664" s="9"/>
      <c r="V664" s="9"/>
      <c r="W664" s="9"/>
      <c r="X664" s="9"/>
      <c r="Y664" s="9"/>
      <c r="Z664" s="9"/>
      <c r="AA664" s="9"/>
      <c r="AB664" s="9"/>
      <c r="AC664" s="9"/>
      <c r="AD664" s="25"/>
      <c r="AE664" s="25"/>
      <c r="AF664" s="9"/>
      <c r="AG664" s="9"/>
      <c r="AH664" s="9"/>
      <c r="AI664" s="9"/>
    </row>
    <row r="665" ht="15.75" customHeight="1">
      <c r="A665" s="9"/>
      <c r="B665" s="9"/>
      <c r="C665" s="9"/>
      <c r="D665" s="9"/>
      <c r="E665" s="67"/>
      <c r="F665" s="68"/>
      <c r="G665" s="68"/>
      <c r="H665" s="69"/>
      <c r="I665" s="69"/>
      <c r="J665" s="69"/>
      <c r="K665" s="69"/>
      <c r="L665" s="69"/>
      <c r="M665" s="70"/>
      <c r="N665" s="69"/>
      <c r="O665" s="7"/>
      <c r="P665" s="23"/>
      <c r="Q665" s="9"/>
      <c r="R665" s="9"/>
      <c r="S665" s="9"/>
      <c r="T665" s="9"/>
      <c r="U665" s="9"/>
      <c r="V665" s="9"/>
      <c r="W665" s="9"/>
      <c r="X665" s="9"/>
      <c r="Y665" s="9"/>
      <c r="Z665" s="9"/>
      <c r="AA665" s="9"/>
      <c r="AB665" s="9"/>
      <c r="AC665" s="9"/>
      <c r="AD665" s="25"/>
      <c r="AE665" s="25"/>
      <c r="AF665" s="9"/>
      <c r="AG665" s="9"/>
      <c r="AH665" s="9"/>
      <c r="AI665" s="9"/>
    </row>
    <row r="666" ht="15.75" customHeight="1">
      <c r="A666" s="9"/>
      <c r="B666" s="9"/>
      <c r="C666" s="9"/>
      <c r="D666" s="9"/>
      <c r="E666" s="67"/>
      <c r="F666" s="68"/>
      <c r="G666" s="68"/>
      <c r="H666" s="69"/>
      <c r="I666" s="69"/>
      <c r="J666" s="69"/>
      <c r="K666" s="69"/>
      <c r="L666" s="69"/>
      <c r="M666" s="70"/>
      <c r="N666" s="69"/>
      <c r="O666" s="7"/>
      <c r="P666" s="23"/>
      <c r="Q666" s="9"/>
      <c r="R666" s="9"/>
      <c r="S666" s="9"/>
      <c r="T666" s="9"/>
      <c r="U666" s="9"/>
      <c r="V666" s="9"/>
      <c r="W666" s="9"/>
      <c r="X666" s="9"/>
      <c r="Y666" s="9"/>
      <c r="Z666" s="9"/>
      <c r="AA666" s="9"/>
      <c r="AB666" s="9"/>
      <c r="AC666" s="9"/>
      <c r="AD666" s="25"/>
      <c r="AE666" s="25"/>
      <c r="AF666" s="9"/>
      <c r="AG666" s="9"/>
      <c r="AH666" s="9"/>
      <c r="AI666" s="9"/>
    </row>
    <row r="667" ht="15.75" customHeight="1">
      <c r="A667" s="9"/>
      <c r="B667" s="9"/>
      <c r="C667" s="9"/>
      <c r="D667" s="9"/>
      <c r="E667" s="67"/>
      <c r="F667" s="68"/>
      <c r="G667" s="68"/>
      <c r="H667" s="69"/>
      <c r="I667" s="69"/>
      <c r="J667" s="69"/>
      <c r="K667" s="69"/>
      <c r="L667" s="69"/>
      <c r="M667" s="70"/>
      <c r="N667" s="69"/>
      <c r="O667" s="7"/>
      <c r="P667" s="23"/>
      <c r="Q667" s="9"/>
      <c r="R667" s="9"/>
      <c r="S667" s="9"/>
      <c r="T667" s="9"/>
      <c r="U667" s="9"/>
      <c r="V667" s="9"/>
      <c r="W667" s="9"/>
      <c r="X667" s="9"/>
      <c r="Y667" s="9"/>
      <c r="Z667" s="9"/>
      <c r="AA667" s="9"/>
      <c r="AB667" s="9"/>
      <c r="AC667" s="9"/>
      <c r="AD667" s="25"/>
      <c r="AE667" s="25"/>
      <c r="AF667" s="9"/>
      <c r="AG667" s="9"/>
      <c r="AH667" s="9"/>
      <c r="AI667" s="9"/>
    </row>
    <row r="668" ht="15.75" customHeight="1">
      <c r="A668" s="9"/>
      <c r="B668" s="9"/>
      <c r="C668" s="9"/>
      <c r="D668" s="9"/>
      <c r="E668" s="67"/>
      <c r="F668" s="68"/>
      <c r="G668" s="68"/>
      <c r="H668" s="69"/>
      <c r="I668" s="69"/>
      <c r="J668" s="69"/>
      <c r="K668" s="69"/>
      <c r="L668" s="69"/>
      <c r="M668" s="69"/>
      <c r="N668" s="69"/>
      <c r="O668" s="7"/>
      <c r="P668" s="23"/>
      <c r="Q668" s="9"/>
      <c r="R668" s="9"/>
      <c r="S668" s="9"/>
      <c r="T668" s="9"/>
      <c r="U668" s="9"/>
      <c r="V668" s="9"/>
      <c r="W668" s="9"/>
      <c r="X668" s="9"/>
      <c r="Y668" s="9"/>
      <c r="Z668" s="9"/>
      <c r="AA668" s="9"/>
      <c r="AB668" s="9"/>
      <c r="AC668" s="9"/>
      <c r="AD668" s="25"/>
      <c r="AE668" s="25"/>
      <c r="AF668" s="9"/>
      <c r="AG668" s="9"/>
      <c r="AH668" s="9"/>
      <c r="AI668" s="9"/>
    </row>
    <row r="669" ht="15.75" customHeight="1">
      <c r="A669" s="9"/>
      <c r="B669" s="9"/>
      <c r="C669" s="9"/>
      <c r="D669" s="9"/>
      <c r="E669" s="67"/>
      <c r="F669" s="68"/>
      <c r="G669" s="68"/>
      <c r="H669" s="69"/>
      <c r="I669" s="69"/>
      <c r="J669" s="69"/>
      <c r="K669" s="69"/>
      <c r="L669" s="69"/>
      <c r="M669" s="69"/>
      <c r="N669" s="69"/>
      <c r="O669" s="7"/>
      <c r="P669" s="23"/>
      <c r="Q669" s="9"/>
      <c r="R669" s="9"/>
      <c r="S669" s="9"/>
      <c r="T669" s="9"/>
      <c r="U669" s="9"/>
      <c r="V669" s="9"/>
      <c r="W669" s="9"/>
      <c r="X669" s="9"/>
      <c r="Y669" s="9"/>
      <c r="Z669" s="9"/>
      <c r="AA669" s="9"/>
      <c r="AB669" s="9"/>
      <c r="AC669" s="9"/>
      <c r="AD669" s="25"/>
      <c r="AE669" s="25"/>
      <c r="AF669" s="9"/>
      <c r="AG669" s="9"/>
      <c r="AH669" s="9"/>
      <c r="AI669" s="9"/>
    </row>
    <row r="670" ht="15.75" customHeight="1">
      <c r="A670" s="9"/>
      <c r="B670" s="9"/>
      <c r="C670" s="9"/>
      <c r="D670" s="9"/>
      <c r="E670" s="67"/>
      <c r="F670" s="68"/>
      <c r="G670" s="68"/>
      <c r="H670" s="69"/>
      <c r="I670" s="69"/>
      <c r="J670" s="69"/>
      <c r="K670" s="69"/>
      <c r="L670" s="69"/>
      <c r="M670" s="70"/>
      <c r="N670" s="69"/>
      <c r="O670" s="7"/>
      <c r="P670" s="23"/>
      <c r="Q670" s="9"/>
      <c r="R670" s="9"/>
      <c r="S670" s="9"/>
      <c r="T670" s="9"/>
      <c r="U670" s="9"/>
      <c r="V670" s="9"/>
      <c r="W670" s="9"/>
      <c r="X670" s="9"/>
      <c r="Y670" s="9"/>
      <c r="Z670" s="9"/>
      <c r="AA670" s="9"/>
      <c r="AB670" s="9"/>
      <c r="AC670" s="9"/>
      <c r="AD670" s="25"/>
      <c r="AE670" s="25"/>
      <c r="AF670" s="9"/>
      <c r="AG670" s="9"/>
      <c r="AH670" s="9"/>
      <c r="AI670" s="9"/>
    </row>
    <row r="671" ht="15.75" customHeight="1">
      <c r="A671" s="9"/>
      <c r="B671" s="9"/>
      <c r="C671" s="9"/>
      <c r="D671" s="9"/>
      <c r="E671" s="67"/>
      <c r="F671" s="68"/>
      <c r="G671" s="68"/>
      <c r="H671" s="69"/>
      <c r="I671" s="69"/>
      <c r="J671" s="69"/>
      <c r="K671" s="69"/>
      <c r="L671" s="69"/>
      <c r="M671" s="69"/>
      <c r="N671" s="69"/>
      <c r="O671" s="7"/>
      <c r="P671" s="23"/>
      <c r="Q671" s="9"/>
      <c r="R671" s="9"/>
      <c r="S671" s="9"/>
      <c r="T671" s="9"/>
      <c r="U671" s="9"/>
      <c r="V671" s="9"/>
      <c r="W671" s="9"/>
      <c r="X671" s="9"/>
      <c r="Y671" s="9"/>
      <c r="Z671" s="9"/>
      <c r="AA671" s="9"/>
      <c r="AB671" s="9"/>
      <c r="AC671" s="9"/>
      <c r="AD671" s="25"/>
      <c r="AE671" s="25"/>
      <c r="AF671" s="9"/>
      <c r="AG671" s="9"/>
      <c r="AH671" s="9"/>
      <c r="AI671" s="9"/>
    </row>
    <row r="672" ht="15.75" customHeight="1">
      <c r="A672" s="9"/>
      <c r="B672" s="9"/>
      <c r="C672" s="9"/>
      <c r="D672" s="9"/>
      <c r="E672" s="67"/>
      <c r="F672" s="68"/>
      <c r="G672" s="68"/>
      <c r="H672" s="69"/>
      <c r="I672" s="69"/>
      <c r="J672" s="69"/>
      <c r="K672" s="69"/>
      <c r="L672" s="69"/>
      <c r="M672" s="69"/>
      <c r="N672" s="69"/>
      <c r="O672" s="7"/>
      <c r="P672" s="23"/>
      <c r="Q672" s="9"/>
      <c r="R672" s="9"/>
      <c r="S672" s="9"/>
      <c r="T672" s="9"/>
      <c r="U672" s="9"/>
      <c r="V672" s="9"/>
      <c r="W672" s="9"/>
      <c r="X672" s="9"/>
      <c r="Y672" s="9"/>
      <c r="Z672" s="9"/>
      <c r="AA672" s="9"/>
      <c r="AB672" s="9"/>
      <c r="AC672" s="9"/>
      <c r="AD672" s="25"/>
      <c r="AE672" s="25"/>
      <c r="AF672" s="9"/>
      <c r="AG672" s="9"/>
      <c r="AH672" s="9"/>
      <c r="AI672" s="9"/>
    </row>
    <row r="673" ht="15.75" customHeight="1">
      <c r="A673" s="9"/>
      <c r="B673" s="9"/>
      <c r="C673" s="9"/>
      <c r="D673" s="9"/>
      <c r="E673" s="67"/>
      <c r="F673" s="68"/>
      <c r="G673" s="68"/>
      <c r="H673" s="69"/>
      <c r="I673" s="69"/>
      <c r="J673" s="69"/>
      <c r="K673" s="69"/>
      <c r="L673" s="69"/>
      <c r="M673" s="70"/>
      <c r="N673" s="69"/>
      <c r="O673" s="7"/>
      <c r="P673" s="23"/>
      <c r="Q673" s="9"/>
      <c r="R673" s="9"/>
      <c r="S673" s="9"/>
      <c r="T673" s="9"/>
      <c r="U673" s="9"/>
      <c r="V673" s="9"/>
      <c r="W673" s="9"/>
      <c r="X673" s="9"/>
      <c r="Y673" s="9"/>
      <c r="Z673" s="9"/>
      <c r="AA673" s="9"/>
      <c r="AB673" s="9"/>
      <c r="AC673" s="9"/>
      <c r="AD673" s="25"/>
      <c r="AE673" s="25"/>
      <c r="AF673" s="9"/>
      <c r="AG673" s="9"/>
      <c r="AH673" s="9"/>
      <c r="AI673" s="9"/>
    </row>
    <row r="674" ht="15.75" customHeight="1">
      <c r="A674" s="9"/>
      <c r="B674" s="9"/>
      <c r="C674" s="9"/>
      <c r="D674" s="9"/>
      <c r="E674" s="67"/>
      <c r="F674" s="68"/>
      <c r="G674" s="68"/>
      <c r="H674" s="69"/>
      <c r="I674" s="69"/>
      <c r="J674" s="69"/>
      <c r="K674" s="69"/>
      <c r="L674" s="69"/>
      <c r="M674" s="70"/>
      <c r="N674" s="69"/>
      <c r="O674" s="7"/>
      <c r="P674" s="23"/>
      <c r="Q674" s="9"/>
      <c r="R674" s="9"/>
      <c r="S674" s="9"/>
      <c r="T674" s="9"/>
      <c r="U674" s="9"/>
      <c r="V674" s="9"/>
      <c r="W674" s="9"/>
      <c r="X674" s="9"/>
      <c r="Y674" s="9"/>
      <c r="Z674" s="9"/>
      <c r="AA674" s="9"/>
      <c r="AB674" s="9"/>
      <c r="AC674" s="9"/>
      <c r="AD674" s="25"/>
      <c r="AE674" s="25"/>
      <c r="AF674" s="9"/>
      <c r="AG674" s="9"/>
      <c r="AH674" s="9"/>
      <c r="AI674" s="9"/>
    </row>
    <row r="675" ht="15.75" customHeight="1">
      <c r="A675" s="9"/>
      <c r="B675" s="9"/>
      <c r="C675" s="9"/>
      <c r="D675" s="9"/>
      <c r="E675" s="67"/>
      <c r="F675" s="68"/>
      <c r="G675" s="68"/>
      <c r="H675" s="69"/>
      <c r="I675" s="69"/>
      <c r="J675" s="69"/>
      <c r="K675" s="69"/>
      <c r="L675" s="69"/>
      <c r="M675" s="69"/>
      <c r="N675" s="69"/>
      <c r="O675" s="7"/>
      <c r="P675" s="23"/>
      <c r="Q675" s="9"/>
      <c r="R675" s="9"/>
      <c r="S675" s="9"/>
      <c r="T675" s="9"/>
      <c r="U675" s="9"/>
      <c r="V675" s="9"/>
      <c r="W675" s="9"/>
      <c r="X675" s="9"/>
      <c r="Y675" s="9"/>
      <c r="Z675" s="9"/>
      <c r="AA675" s="9"/>
      <c r="AB675" s="9"/>
      <c r="AC675" s="9"/>
      <c r="AD675" s="25"/>
      <c r="AE675" s="25"/>
      <c r="AF675" s="9"/>
      <c r="AG675" s="9"/>
      <c r="AH675" s="9"/>
      <c r="AI675" s="9"/>
    </row>
    <row r="676" ht="15.75" customHeight="1">
      <c r="A676" s="9"/>
      <c r="B676" s="9"/>
      <c r="C676" s="9"/>
      <c r="D676" s="9"/>
      <c r="E676" s="67"/>
      <c r="F676" s="68"/>
      <c r="G676" s="68"/>
      <c r="H676" s="69"/>
      <c r="I676" s="69"/>
      <c r="J676" s="69"/>
      <c r="K676" s="69"/>
      <c r="L676" s="69"/>
      <c r="M676" s="70"/>
      <c r="N676" s="69"/>
      <c r="O676" s="7"/>
      <c r="P676" s="23"/>
      <c r="Q676" s="9"/>
      <c r="R676" s="9"/>
      <c r="S676" s="9"/>
      <c r="T676" s="9"/>
      <c r="U676" s="9"/>
      <c r="V676" s="9"/>
      <c r="W676" s="9"/>
      <c r="X676" s="9"/>
      <c r="Y676" s="9"/>
      <c r="Z676" s="9"/>
      <c r="AA676" s="9"/>
      <c r="AB676" s="9"/>
      <c r="AC676" s="9"/>
      <c r="AD676" s="25"/>
      <c r="AE676" s="25"/>
      <c r="AF676" s="9"/>
      <c r="AG676" s="9"/>
      <c r="AH676" s="9"/>
      <c r="AI676" s="9"/>
    </row>
    <row r="677" ht="15.75" customHeight="1">
      <c r="A677" s="9"/>
      <c r="B677" s="9"/>
      <c r="C677" s="9"/>
      <c r="D677" s="9"/>
      <c r="E677" s="67"/>
      <c r="F677" s="68"/>
      <c r="G677" s="68"/>
      <c r="H677" s="69"/>
      <c r="I677" s="69"/>
      <c r="J677" s="69"/>
      <c r="K677" s="69"/>
      <c r="L677" s="69"/>
      <c r="M677" s="70"/>
      <c r="N677" s="69"/>
      <c r="O677" s="7"/>
      <c r="P677" s="23"/>
      <c r="Q677" s="9"/>
      <c r="R677" s="9"/>
      <c r="S677" s="9"/>
      <c r="T677" s="9"/>
      <c r="U677" s="9"/>
      <c r="V677" s="9"/>
      <c r="W677" s="9"/>
      <c r="X677" s="9"/>
      <c r="Y677" s="9"/>
      <c r="Z677" s="9"/>
      <c r="AA677" s="9"/>
      <c r="AB677" s="9"/>
      <c r="AC677" s="9"/>
      <c r="AD677" s="25"/>
      <c r="AE677" s="25"/>
      <c r="AF677" s="9"/>
      <c r="AG677" s="9"/>
      <c r="AH677" s="9"/>
      <c r="AI677" s="9"/>
    </row>
    <row r="678" ht="15.75" customHeight="1">
      <c r="A678" s="9"/>
      <c r="B678" s="9"/>
      <c r="C678" s="9"/>
      <c r="D678" s="9"/>
      <c r="E678" s="67"/>
      <c r="F678" s="68"/>
      <c r="G678" s="68"/>
      <c r="H678" s="69"/>
      <c r="I678" s="69"/>
      <c r="J678" s="69"/>
      <c r="K678" s="69"/>
      <c r="L678" s="69"/>
      <c r="M678" s="69"/>
      <c r="N678" s="69"/>
      <c r="O678" s="7"/>
      <c r="P678" s="23"/>
      <c r="Q678" s="9"/>
      <c r="R678" s="9"/>
      <c r="S678" s="9"/>
      <c r="T678" s="9"/>
      <c r="U678" s="9"/>
      <c r="V678" s="9"/>
      <c r="W678" s="9"/>
      <c r="X678" s="9"/>
      <c r="Y678" s="9"/>
      <c r="Z678" s="9"/>
      <c r="AA678" s="9"/>
      <c r="AB678" s="9"/>
      <c r="AC678" s="9"/>
      <c r="AD678" s="25"/>
      <c r="AE678" s="25"/>
      <c r="AF678" s="9"/>
      <c r="AG678" s="9"/>
      <c r="AH678" s="9"/>
      <c r="AI678" s="9"/>
    </row>
    <row r="679" ht="15.75" customHeight="1">
      <c r="A679" s="9"/>
      <c r="B679" s="9"/>
      <c r="C679" s="9"/>
      <c r="D679" s="9"/>
      <c r="E679" s="67"/>
      <c r="F679" s="68"/>
      <c r="G679" s="68"/>
      <c r="H679" s="69"/>
      <c r="I679" s="69"/>
      <c r="J679" s="69"/>
      <c r="K679" s="69"/>
      <c r="L679" s="69"/>
      <c r="M679" s="70"/>
      <c r="N679" s="69"/>
      <c r="O679" s="7"/>
      <c r="P679" s="23"/>
      <c r="Q679" s="9"/>
      <c r="R679" s="9"/>
      <c r="S679" s="9"/>
      <c r="T679" s="9"/>
      <c r="U679" s="9"/>
      <c r="V679" s="9"/>
      <c r="W679" s="9"/>
      <c r="X679" s="9"/>
      <c r="Y679" s="9"/>
      <c r="Z679" s="9"/>
      <c r="AA679" s="9"/>
      <c r="AB679" s="9"/>
      <c r="AC679" s="9"/>
      <c r="AD679" s="25"/>
      <c r="AE679" s="25"/>
      <c r="AF679" s="9"/>
      <c r="AG679" s="9"/>
      <c r="AH679" s="9"/>
      <c r="AI679" s="9"/>
    </row>
    <row r="680" ht="15.75" customHeight="1">
      <c r="A680" s="9"/>
      <c r="B680" s="9"/>
      <c r="C680" s="9"/>
      <c r="D680" s="9"/>
      <c r="E680" s="67"/>
      <c r="F680" s="68"/>
      <c r="G680" s="68"/>
      <c r="H680" s="69"/>
      <c r="I680" s="69"/>
      <c r="J680" s="69"/>
      <c r="K680" s="69"/>
      <c r="L680" s="69"/>
      <c r="M680" s="70"/>
      <c r="N680" s="69"/>
      <c r="O680" s="7"/>
      <c r="P680" s="23"/>
      <c r="Q680" s="9"/>
      <c r="R680" s="9"/>
      <c r="S680" s="9"/>
      <c r="T680" s="9"/>
      <c r="U680" s="9"/>
      <c r="V680" s="9"/>
      <c r="W680" s="9"/>
      <c r="X680" s="9"/>
      <c r="Y680" s="9"/>
      <c r="Z680" s="9"/>
      <c r="AA680" s="9"/>
      <c r="AB680" s="9"/>
      <c r="AC680" s="9"/>
      <c r="AD680" s="25"/>
      <c r="AE680" s="25"/>
      <c r="AF680" s="9"/>
      <c r="AG680" s="9"/>
      <c r="AH680" s="9"/>
      <c r="AI680" s="9"/>
    </row>
    <row r="681" ht="15.75" customHeight="1">
      <c r="A681" s="9"/>
      <c r="B681" s="9"/>
      <c r="C681" s="9"/>
      <c r="D681" s="9"/>
      <c r="E681" s="67"/>
      <c r="F681" s="68"/>
      <c r="G681" s="68"/>
      <c r="H681" s="69"/>
      <c r="I681" s="69"/>
      <c r="J681" s="69"/>
      <c r="K681" s="69"/>
      <c r="L681" s="69"/>
      <c r="M681" s="70"/>
      <c r="N681" s="69"/>
      <c r="O681" s="7"/>
      <c r="P681" s="23"/>
      <c r="Q681" s="9"/>
      <c r="R681" s="9"/>
      <c r="S681" s="9"/>
      <c r="T681" s="9"/>
      <c r="U681" s="9"/>
      <c r="V681" s="9"/>
      <c r="W681" s="9"/>
      <c r="X681" s="9"/>
      <c r="Y681" s="9"/>
      <c r="Z681" s="9"/>
      <c r="AA681" s="9"/>
      <c r="AB681" s="9"/>
      <c r="AC681" s="9"/>
      <c r="AD681" s="25"/>
      <c r="AE681" s="25"/>
      <c r="AF681" s="9"/>
      <c r="AG681" s="9"/>
      <c r="AH681" s="9"/>
      <c r="AI681" s="9"/>
    </row>
    <row r="682" ht="15.75" customHeight="1">
      <c r="A682" s="9"/>
      <c r="B682" s="9"/>
      <c r="C682" s="9"/>
      <c r="D682" s="9"/>
      <c r="E682" s="67"/>
      <c r="F682" s="68"/>
      <c r="G682" s="68"/>
      <c r="H682" s="69"/>
      <c r="I682" s="69"/>
      <c r="J682" s="69"/>
      <c r="K682" s="69"/>
      <c r="L682" s="69"/>
      <c r="M682" s="70"/>
      <c r="N682" s="69"/>
      <c r="O682" s="7"/>
      <c r="P682" s="23"/>
      <c r="Q682" s="9"/>
      <c r="R682" s="9"/>
      <c r="S682" s="9"/>
      <c r="T682" s="9"/>
      <c r="U682" s="9"/>
      <c r="V682" s="9"/>
      <c r="W682" s="9"/>
      <c r="X682" s="9"/>
      <c r="Y682" s="9"/>
      <c r="Z682" s="9"/>
      <c r="AA682" s="9"/>
      <c r="AB682" s="9"/>
      <c r="AC682" s="9"/>
      <c r="AD682" s="25"/>
      <c r="AE682" s="25"/>
      <c r="AF682" s="9"/>
      <c r="AG682" s="9"/>
      <c r="AH682" s="9"/>
      <c r="AI682" s="9"/>
    </row>
    <row r="683" ht="15.75" customHeight="1">
      <c r="A683" s="9"/>
      <c r="B683" s="9"/>
      <c r="C683" s="9"/>
      <c r="D683" s="9"/>
      <c r="E683" s="67"/>
      <c r="F683" s="68"/>
      <c r="G683" s="68"/>
      <c r="H683" s="69"/>
      <c r="I683" s="69"/>
      <c r="J683" s="69"/>
      <c r="K683" s="69"/>
      <c r="L683" s="69"/>
      <c r="M683" s="71"/>
      <c r="N683" s="69"/>
      <c r="O683" s="7"/>
      <c r="P683" s="23"/>
      <c r="Q683" s="9"/>
      <c r="R683" s="9"/>
      <c r="S683" s="9"/>
      <c r="T683" s="9"/>
      <c r="U683" s="9"/>
      <c r="V683" s="9"/>
      <c r="W683" s="9"/>
      <c r="X683" s="9"/>
      <c r="Y683" s="9"/>
      <c r="Z683" s="9"/>
      <c r="AA683" s="9"/>
      <c r="AB683" s="9"/>
      <c r="AC683" s="9"/>
      <c r="AD683" s="25"/>
      <c r="AE683" s="25"/>
      <c r="AF683" s="9"/>
      <c r="AG683" s="9"/>
      <c r="AH683" s="9"/>
      <c r="AI683" s="9"/>
    </row>
    <row r="684" ht="15.75" customHeight="1">
      <c r="A684" s="9"/>
      <c r="B684" s="9"/>
      <c r="C684" s="9"/>
      <c r="D684" s="9"/>
      <c r="E684" s="67"/>
      <c r="F684" s="68"/>
      <c r="G684" s="68"/>
      <c r="H684" s="69"/>
      <c r="I684" s="69"/>
      <c r="J684" s="69"/>
      <c r="K684" s="69"/>
      <c r="L684" s="69"/>
      <c r="M684" s="71"/>
      <c r="N684" s="69"/>
      <c r="O684" s="7"/>
      <c r="P684" s="23"/>
      <c r="Q684" s="9"/>
      <c r="R684" s="9"/>
      <c r="S684" s="9"/>
      <c r="T684" s="9"/>
      <c r="U684" s="9"/>
      <c r="V684" s="9"/>
      <c r="W684" s="9"/>
      <c r="X684" s="9"/>
      <c r="Y684" s="9"/>
      <c r="Z684" s="9"/>
      <c r="AA684" s="9"/>
      <c r="AB684" s="9"/>
      <c r="AC684" s="9"/>
      <c r="AD684" s="25"/>
      <c r="AE684" s="25"/>
      <c r="AF684" s="9"/>
      <c r="AG684" s="9"/>
      <c r="AH684" s="9"/>
      <c r="AI684" s="9"/>
    </row>
    <row r="685" ht="15.75" customHeight="1">
      <c r="A685" s="9"/>
      <c r="B685" s="9"/>
      <c r="C685" s="9"/>
      <c r="D685" s="9"/>
      <c r="E685" s="67"/>
      <c r="F685" s="68"/>
      <c r="G685" s="68"/>
      <c r="H685" s="69"/>
      <c r="I685" s="69"/>
      <c r="J685" s="69"/>
      <c r="K685" s="69"/>
      <c r="L685" s="69"/>
      <c r="M685" s="70"/>
      <c r="N685" s="69"/>
      <c r="O685" s="7"/>
      <c r="P685" s="23"/>
      <c r="Q685" s="9"/>
      <c r="R685" s="9"/>
      <c r="S685" s="9"/>
      <c r="T685" s="9"/>
      <c r="U685" s="9"/>
      <c r="V685" s="9"/>
      <c r="W685" s="9"/>
      <c r="X685" s="9"/>
      <c r="Y685" s="9"/>
      <c r="Z685" s="9"/>
      <c r="AA685" s="9"/>
      <c r="AB685" s="9"/>
      <c r="AC685" s="9"/>
      <c r="AD685" s="25"/>
      <c r="AE685" s="25"/>
      <c r="AF685" s="9"/>
      <c r="AG685" s="9"/>
      <c r="AH685" s="9"/>
      <c r="AI685" s="9"/>
    </row>
    <row r="686" ht="15.75" customHeight="1">
      <c r="A686" s="9"/>
      <c r="B686" s="9"/>
      <c r="C686" s="9"/>
      <c r="D686" s="9"/>
      <c r="E686" s="67"/>
      <c r="F686" s="68"/>
      <c r="G686" s="68"/>
      <c r="H686" s="69"/>
      <c r="I686" s="69"/>
      <c r="J686" s="69"/>
      <c r="K686" s="69"/>
      <c r="L686" s="69"/>
      <c r="M686" s="71"/>
      <c r="N686" s="69"/>
      <c r="O686" s="7"/>
      <c r="P686" s="23"/>
      <c r="Q686" s="9"/>
      <c r="R686" s="9"/>
      <c r="S686" s="9"/>
      <c r="T686" s="9"/>
      <c r="U686" s="9"/>
      <c r="V686" s="9"/>
      <c r="W686" s="9"/>
      <c r="X686" s="9"/>
      <c r="Y686" s="9"/>
      <c r="Z686" s="9"/>
      <c r="AA686" s="9"/>
      <c r="AB686" s="9"/>
      <c r="AC686" s="9"/>
      <c r="AD686" s="25"/>
      <c r="AE686" s="25"/>
      <c r="AF686" s="9"/>
      <c r="AG686" s="9"/>
      <c r="AH686" s="9"/>
      <c r="AI686" s="9"/>
    </row>
    <row r="687" ht="15.75" customHeight="1">
      <c r="A687" s="9"/>
      <c r="B687" s="9"/>
      <c r="C687" s="9"/>
      <c r="D687" s="9"/>
      <c r="E687" s="67"/>
      <c r="F687" s="68"/>
      <c r="G687" s="68"/>
      <c r="H687" s="69"/>
      <c r="I687" s="69"/>
      <c r="J687" s="69"/>
      <c r="K687" s="69"/>
      <c r="L687" s="69"/>
      <c r="M687" s="70"/>
      <c r="N687" s="69"/>
      <c r="O687" s="7"/>
      <c r="P687" s="23"/>
      <c r="Q687" s="9"/>
      <c r="R687" s="9"/>
      <c r="S687" s="9"/>
      <c r="T687" s="9"/>
      <c r="U687" s="9"/>
      <c r="V687" s="9"/>
      <c r="W687" s="9"/>
      <c r="X687" s="9"/>
      <c r="Y687" s="9"/>
      <c r="Z687" s="9"/>
      <c r="AA687" s="9"/>
      <c r="AB687" s="9"/>
      <c r="AC687" s="9"/>
      <c r="AD687" s="25"/>
      <c r="AE687" s="25"/>
      <c r="AF687" s="9"/>
      <c r="AG687" s="9"/>
      <c r="AH687" s="9"/>
      <c r="AI687" s="9"/>
    </row>
    <row r="688" ht="15.75" customHeight="1">
      <c r="A688" s="9"/>
      <c r="B688" s="9"/>
      <c r="C688" s="9"/>
      <c r="D688" s="9"/>
      <c r="E688" s="67"/>
      <c r="F688" s="68"/>
      <c r="G688" s="68"/>
      <c r="H688" s="69"/>
      <c r="I688" s="69"/>
      <c r="J688" s="69"/>
      <c r="K688" s="69"/>
      <c r="L688" s="69"/>
      <c r="M688" s="69"/>
      <c r="N688" s="69"/>
      <c r="O688" s="7"/>
      <c r="P688" s="23"/>
      <c r="Q688" s="9"/>
      <c r="R688" s="9"/>
      <c r="S688" s="9"/>
      <c r="T688" s="9"/>
      <c r="U688" s="9"/>
      <c r="V688" s="9"/>
      <c r="W688" s="9"/>
      <c r="X688" s="9"/>
      <c r="Y688" s="9"/>
      <c r="Z688" s="9"/>
      <c r="AA688" s="9"/>
      <c r="AB688" s="9"/>
      <c r="AC688" s="9"/>
      <c r="AD688" s="25"/>
      <c r="AE688" s="25"/>
      <c r="AF688" s="9"/>
      <c r="AG688" s="9"/>
      <c r="AH688" s="9"/>
      <c r="AI688" s="9"/>
    </row>
    <row r="689" ht="15.75" customHeight="1">
      <c r="A689" s="9"/>
      <c r="B689" s="9"/>
      <c r="C689" s="9"/>
      <c r="D689" s="9"/>
      <c r="E689" s="67"/>
      <c r="F689" s="68"/>
      <c r="G689" s="68"/>
      <c r="H689" s="69"/>
      <c r="I689" s="69"/>
      <c r="J689" s="69"/>
      <c r="K689" s="69"/>
      <c r="L689" s="69"/>
      <c r="M689" s="70"/>
      <c r="N689" s="69"/>
      <c r="O689" s="7"/>
      <c r="P689" s="23"/>
      <c r="Q689" s="9"/>
      <c r="R689" s="9"/>
      <c r="S689" s="9"/>
      <c r="T689" s="9"/>
      <c r="U689" s="9"/>
      <c r="V689" s="9"/>
      <c r="W689" s="9"/>
      <c r="X689" s="9"/>
      <c r="Y689" s="9"/>
      <c r="Z689" s="9"/>
      <c r="AA689" s="9"/>
      <c r="AB689" s="9"/>
      <c r="AC689" s="9"/>
      <c r="AD689" s="25"/>
      <c r="AE689" s="25"/>
      <c r="AF689" s="9"/>
      <c r="AG689" s="9"/>
      <c r="AH689" s="9"/>
      <c r="AI689" s="9"/>
    </row>
    <row r="690" ht="15.75" customHeight="1">
      <c r="A690" s="9"/>
      <c r="B690" s="9"/>
      <c r="C690" s="9"/>
      <c r="D690" s="9"/>
      <c r="E690" s="67"/>
      <c r="F690" s="68"/>
      <c r="G690" s="68"/>
      <c r="H690" s="69"/>
      <c r="I690" s="69"/>
      <c r="J690" s="69"/>
      <c r="K690" s="69"/>
      <c r="L690" s="69"/>
      <c r="M690" s="70"/>
      <c r="N690" s="69"/>
      <c r="O690" s="7"/>
      <c r="P690" s="23"/>
      <c r="Q690" s="9"/>
      <c r="R690" s="9"/>
      <c r="S690" s="9"/>
      <c r="T690" s="9"/>
      <c r="U690" s="9"/>
      <c r="V690" s="9"/>
      <c r="W690" s="9"/>
      <c r="X690" s="9"/>
      <c r="Y690" s="9"/>
      <c r="Z690" s="9"/>
      <c r="AA690" s="9"/>
      <c r="AB690" s="9"/>
      <c r="AC690" s="9"/>
      <c r="AD690" s="25"/>
      <c r="AE690" s="25"/>
      <c r="AF690" s="9"/>
      <c r="AG690" s="9"/>
      <c r="AH690" s="9"/>
      <c r="AI690" s="9"/>
    </row>
    <row r="691" ht="15.75" customHeight="1">
      <c r="A691" s="9"/>
      <c r="B691" s="9"/>
      <c r="C691" s="9"/>
      <c r="D691" s="9"/>
      <c r="E691" s="67"/>
      <c r="F691" s="68"/>
      <c r="G691" s="68"/>
      <c r="H691" s="69"/>
      <c r="I691" s="69"/>
      <c r="J691" s="69"/>
      <c r="K691" s="69"/>
      <c r="L691" s="69"/>
      <c r="M691" s="70"/>
      <c r="N691" s="69"/>
      <c r="O691" s="7"/>
      <c r="P691" s="23"/>
      <c r="Q691" s="9"/>
      <c r="R691" s="9"/>
      <c r="S691" s="9"/>
      <c r="T691" s="9"/>
      <c r="U691" s="9"/>
      <c r="V691" s="9"/>
      <c r="W691" s="9"/>
      <c r="X691" s="9"/>
      <c r="Y691" s="9"/>
      <c r="Z691" s="9"/>
      <c r="AA691" s="9"/>
      <c r="AB691" s="9"/>
      <c r="AC691" s="9"/>
      <c r="AD691" s="25"/>
      <c r="AE691" s="25"/>
      <c r="AF691" s="9"/>
      <c r="AG691" s="9"/>
      <c r="AH691" s="9"/>
      <c r="AI691" s="9"/>
    </row>
    <row r="692" ht="15.75" customHeight="1">
      <c r="A692" s="9"/>
      <c r="B692" s="9"/>
      <c r="C692" s="9"/>
      <c r="D692" s="9"/>
      <c r="E692" s="67"/>
      <c r="F692" s="68"/>
      <c r="G692" s="68"/>
      <c r="H692" s="69"/>
      <c r="I692" s="69"/>
      <c r="J692" s="69"/>
      <c r="K692" s="69"/>
      <c r="L692" s="69"/>
      <c r="M692" s="70"/>
      <c r="N692" s="69"/>
      <c r="O692" s="7"/>
      <c r="P692" s="23"/>
      <c r="Q692" s="9"/>
      <c r="R692" s="9"/>
      <c r="S692" s="9"/>
      <c r="T692" s="9"/>
      <c r="U692" s="9"/>
      <c r="V692" s="9"/>
      <c r="W692" s="9"/>
      <c r="X692" s="9"/>
      <c r="Y692" s="9"/>
      <c r="Z692" s="9"/>
      <c r="AA692" s="9"/>
      <c r="AB692" s="9"/>
      <c r="AC692" s="9"/>
      <c r="AD692" s="25"/>
      <c r="AE692" s="25"/>
      <c r="AF692" s="9"/>
      <c r="AG692" s="9"/>
      <c r="AH692" s="9"/>
      <c r="AI692" s="9"/>
    </row>
    <row r="693" ht="15.75" customHeight="1">
      <c r="A693" s="9"/>
      <c r="B693" s="9"/>
      <c r="C693" s="9"/>
      <c r="D693" s="9"/>
      <c r="E693" s="67"/>
      <c r="F693" s="68"/>
      <c r="G693" s="68"/>
      <c r="H693" s="69"/>
      <c r="I693" s="69"/>
      <c r="J693" s="69"/>
      <c r="K693" s="69"/>
      <c r="L693" s="69"/>
      <c r="M693" s="69"/>
      <c r="N693" s="69"/>
      <c r="O693" s="7"/>
      <c r="P693" s="23"/>
      <c r="Q693" s="9"/>
      <c r="R693" s="9"/>
      <c r="S693" s="9"/>
      <c r="T693" s="9"/>
      <c r="U693" s="9"/>
      <c r="V693" s="9"/>
      <c r="W693" s="9"/>
      <c r="X693" s="9"/>
      <c r="Y693" s="9"/>
      <c r="Z693" s="9"/>
      <c r="AA693" s="9"/>
      <c r="AB693" s="9"/>
      <c r="AC693" s="9"/>
      <c r="AD693" s="25"/>
      <c r="AE693" s="25"/>
      <c r="AF693" s="9"/>
      <c r="AG693" s="9"/>
      <c r="AH693" s="9"/>
      <c r="AI693" s="9"/>
    </row>
    <row r="694" ht="15.75" customHeight="1">
      <c r="A694" s="9"/>
      <c r="B694" s="9"/>
      <c r="C694" s="9"/>
      <c r="D694" s="9"/>
      <c r="E694" s="67"/>
      <c r="F694" s="68"/>
      <c r="G694" s="68"/>
      <c r="H694" s="69"/>
      <c r="I694" s="69"/>
      <c r="J694" s="69"/>
      <c r="K694" s="69"/>
      <c r="L694" s="69"/>
      <c r="M694" s="70"/>
      <c r="N694" s="69"/>
      <c r="O694" s="7"/>
      <c r="P694" s="23"/>
      <c r="Q694" s="9"/>
      <c r="R694" s="9"/>
      <c r="S694" s="9"/>
      <c r="T694" s="9"/>
      <c r="U694" s="9"/>
      <c r="V694" s="9"/>
      <c r="W694" s="9"/>
      <c r="X694" s="9"/>
      <c r="Y694" s="9"/>
      <c r="Z694" s="9"/>
      <c r="AA694" s="9"/>
      <c r="AB694" s="9"/>
      <c r="AC694" s="9"/>
      <c r="AD694" s="25"/>
      <c r="AE694" s="25"/>
      <c r="AF694" s="9"/>
      <c r="AG694" s="9"/>
      <c r="AH694" s="9"/>
      <c r="AI694" s="9"/>
    </row>
    <row r="695" ht="15.75" customHeight="1">
      <c r="A695" s="9"/>
      <c r="B695" s="9"/>
      <c r="C695" s="9"/>
      <c r="D695" s="9"/>
      <c r="E695" s="67"/>
      <c r="F695" s="68"/>
      <c r="G695" s="68"/>
      <c r="H695" s="69"/>
      <c r="I695" s="69"/>
      <c r="J695" s="69"/>
      <c r="K695" s="69"/>
      <c r="L695" s="69"/>
      <c r="M695" s="70"/>
      <c r="N695" s="69"/>
      <c r="O695" s="7"/>
      <c r="P695" s="23"/>
      <c r="Q695" s="9"/>
      <c r="R695" s="9"/>
      <c r="S695" s="9"/>
      <c r="T695" s="9"/>
      <c r="U695" s="9"/>
      <c r="V695" s="9"/>
      <c r="W695" s="9"/>
      <c r="X695" s="9"/>
      <c r="Y695" s="9"/>
      <c r="Z695" s="9"/>
      <c r="AA695" s="9"/>
      <c r="AB695" s="9"/>
      <c r="AC695" s="9"/>
      <c r="AD695" s="25"/>
      <c r="AE695" s="25"/>
      <c r="AF695" s="9"/>
      <c r="AG695" s="9"/>
      <c r="AH695" s="9"/>
      <c r="AI695" s="9"/>
    </row>
    <row r="696" ht="15.75" customHeight="1">
      <c r="A696" s="9"/>
      <c r="B696" s="9"/>
      <c r="C696" s="9"/>
      <c r="D696" s="9"/>
      <c r="E696" s="67"/>
      <c r="F696" s="68"/>
      <c r="G696" s="68"/>
      <c r="H696" s="69"/>
      <c r="I696" s="69"/>
      <c r="J696" s="69"/>
      <c r="K696" s="69"/>
      <c r="L696" s="69"/>
      <c r="M696" s="71"/>
      <c r="N696" s="69"/>
      <c r="O696" s="7"/>
      <c r="P696" s="23"/>
      <c r="Q696" s="9"/>
      <c r="R696" s="9"/>
      <c r="S696" s="9"/>
      <c r="T696" s="9"/>
      <c r="U696" s="9"/>
      <c r="V696" s="9"/>
      <c r="W696" s="9"/>
      <c r="X696" s="9"/>
      <c r="Y696" s="9"/>
      <c r="Z696" s="9"/>
      <c r="AA696" s="9"/>
      <c r="AB696" s="9"/>
      <c r="AC696" s="9"/>
      <c r="AD696" s="25"/>
      <c r="AE696" s="25"/>
      <c r="AF696" s="9"/>
      <c r="AG696" s="9"/>
      <c r="AH696" s="9"/>
      <c r="AI696" s="9"/>
    </row>
    <row r="697" ht="15.75" customHeight="1">
      <c r="A697" s="9"/>
      <c r="B697" s="9"/>
      <c r="C697" s="9"/>
      <c r="D697" s="9"/>
      <c r="E697" s="67"/>
      <c r="F697" s="68"/>
      <c r="G697" s="68"/>
      <c r="H697" s="69"/>
      <c r="I697" s="69"/>
      <c r="J697" s="69"/>
      <c r="K697" s="69"/>
      <c r="L697" s="69"/>
      <c r="M697" s="70"/>
      <c r="N697" s="69"/>
      <c r="O697" s="7"/>
      <c r="P697" s="23"/>
      <c r="Q697" s="9"/>
      <c r="R697" s="9"/>
      <c r="S697" s="9"/>
      <c r="T697" s="9"/>
      <c r="U697" s="9"/>
      <c r="V697" s="9"/>
      <c r="W697" s="9"/>
      <c r="X697" s="9"/>
      <c r="Y697" s="9"/>
      <c r="Z697" s="9"/>
      <c r="AA697" s="9"/>
      <c r="AB697" s="9"/>
      <c r="AC697" s="9"/>
      <c r="AD697" s="25"/>
      <c r="AE697" s="25"/>
      <c r="AF697" s="9"/>
      <c r="AG697" s="9"/>
      <c r="AH697" s="9"/>
      <c r="AI697" s="9"/>
    </row>
    <row r="698" ht="15.75" customHeight="1">
      <c r="A698" s="9"/>
      <c r="B698" s="9"/>
      <c r="C698" s="9"/>
      <c r="D698" s="9"/>
      <c r="E698" s="67"/>
      <c r="F698" s="68"/>
      <c r="G698" s="68"/>
      <c r="H698" s="69"/>
      <c r="I698" s="69"/>
      <c r="J698" s="69"/>
      <c r="K698" s="69"/>
      <c r="L698" s="69"/>
      <c r="M698" s="69"/>
      <c r="N698" s="69"/>
      <c r="O698" s="7"/>
      <c r="P698" s="23"/>
      <c r="Q698" s="9"/>
      <c r="R698" s="9"/>
      <c r="S698" s="9"/>
      <c r="T698" s="9"/>
      <c r="U698" s="9"/>
      <c r="V698" s="9"/>
      <c r="W698" s="9"/>
      <c r="X698" s="9"/>
      <c r="Y698" s="9"/>
      <c r="Z698" s="9"/>
      <c r="AA698" s="9"/>
      <c r="AB698" s="9"/>
      <c r="AC698" s="9"/>
      <c r="AD698" s="25"/>
      <c r="AE698" s="25"/>
      <c r="AF698" s="9"/>
      <c r="AG698" s="9"/>
      <c r="AH698" s="9"/>
      <c r="AI698" s="9"/>
    </row>
    <row r="699" ht="15.75" customHeight="1">
      <c r="A699" s="9"/>
      <c r="B699" s="9"/>
      <c r="C699" s="9"/>
      <c r="D699" s="9"/>
      <c r="E699" s="67"/>
      <c r="F699" s="68"/>
      <c r="G699" s="68"/>
      <c r="H699" s="69"/>
      <c r="I699" s="69"/>
      <c r="J699" s="69"/>
      <c r="K699" s="69"/>
      <c r="L699" s="69"/>
      <c r="M699" s="70"/>
      <c r="N699" s="69"/>
      <c r="O699" s="7"/>
      <c r="P699" s="23"/>
      <c r="Q699" s="9"/>
      <c r="R699" s="9"/>
      <c r="S699" s="9"/>
      <c r="T699" s="9"/>
      <c r="U699" s="9"/>
      <c r="V699" s="9"/>
      <c r="W699" s="9"/>
      <c r="X699" s="9"/>
      <c r="Y699" s="9"/>
      <c r="Z699" s="9"/>
      <c r="AA699" s="9"/>
      <c r="AB699" s="9"/>
      <c r="AC699" s="9"/>
      <c r="AD699" s="25"/>
      <c r="AE699" s="25"/>
      <c r="AF699" s="9"/>
      <c r="AG699" s="9"/>
      <c r="AH699" s="9"/>
      <c r="AI699" s="9"/>
    </row>
    <row r="700" ht="15.75" customHeight="1">
      <c r="A700" s="9"/>
      <c r="B700" s="9"/>
      <c r="C700" s="9"/>
      <c r="D700" s="9"/>
      <c r="E700" s="67"/>
      <c r="F700" s="68"/>
      <c r="G700" s="68"/>
      <c r="H700" s="69"/>
      <c r="I700" s="69"/>
      <c r="J700" s="69"/>
      <c r="K700" s="69"/>
      <c r="L700" s="69"/>
      <c r="M700" s="69"/>
      <c r="N700" s="69"/>
      <c r="O700" s="7"/>
      <c r="P700" s="23"/>
      <c r="Q700" s="9"/>
      <c r="R700" s="9"/>
      <c r="S700" s="9"/>
      <c r="T700" s="9"/>
      <c r="U700" s="9"/>
      <c r="V700" s="9"/>
      <c r="W700" s="9"/>
      <c r="X700" s="9"/>
      <c r="Y700" s="9"/>
      <c r="Z700" s="9"/>
      <c r="AA700" s="9"/>
      <c r="AB700" s="9"/>
      <c r="AC700" s="9"/>
      <c r="AD700" s="25"/>
      <c r="AE700" s="25"/>
      <c r="AF700" s="9"/>
      <c r="AG700" s="9"/>
      <c r="AH700" s="9"/>
      <c r="AI700" s="9"/>
    </row>
    <row r="701" ht="15.75" customHeight="1">
      <c r="A701" s="9"/>
      <c r="B701" s="9"/>
      <c r="C701" s="9"/>
      <c r="D701" s="9"/>
      <c r="E701" s="67"/>
      <c r="F701" s="68"/>
      <c r="G701" s="68"/>
      <c r="H701" s="69"/>
      <c r="I701" s="69"/>
      <c r="J701" s="69"/>
      <c r="K701" s="69"/>
      <c r="L701" s="69"/>
      <c r="M701" s="69"/>
      <c r="N701" s="69"/>
      <c r="O701" s="7"/>
      <c r="P701" s="23"/>
      <c r="Q701" s="9"/>
      <c r="R701" s="9"/>
      <c r="S701" s="9"/>
      <c r="T701" s="9"/>
      <c r="U701" s="9"/>
      <c r="V701" s="9"/>
      <c r="W701" s="9"/>
      <c r="X701" s="9"/>
      <c r="Y701" s="9"/>
      <c r="Z701" s="9"/>
      <c r="AA701" s="9"/>
      <c r="AB701" s="9"/>
      <c r="AC701" s="9"/>
      <c r="AD701" s="25"/>
      <c r="AE701" s="25"/>
      <c r="AF701" s="9"/>
      <c r="AG701" s="9"/>
      <c r="AH701" s="9"/>
      <c r="AI701" s="9"/>
    </row>
    <row r="702" ht="15.75" customHeight="1">
      <c r="A702" s="9"/>
      <c r="B702" s="9"/>
      <c r="C702" s="9"/>
      <c r="D702" s="9"/>
      <c r="E702" s="67"/>
      <c r="F702" s="68"/>
      <c r="G702" s="68"/>
      <c r="H702" s="69"/>
      <c r="I702" s="69"/>
      <c r="J702" s="69"/>
      <c r="K702" s="69"/>
      <c r="L702" s="69"/>
      <c r="M702" s="70"/>
      <c r="N702" s="69"/>
      <c r="O702" s="7"/>
      <c r="P702" s="23"/>
      <c r="Q702" s="9"/>
      <c r="R702" s="9"/>
      <c r="S702" s="9"/>
      <c r="T702" s="9"/>
      <c r="U702" s="9"/>
      <c r="V702" s="9"/>
      <c r="W702" s="9"/>
      <c r="X702" s="9"/>
      <c r="Y702" s="9"/>
      <c r="Z702" s="9"/>
      <c r="AA702" s="9"/>
      <c r="AB702" s="9"/>
      <c r="AC702" s="9"/>
      <c r="AD702" s="25"/>
      <c r="AE702" s="25"/>
      <c r="AF702" s="9"/>
      <c r="AG702" s="9"/>
      <c r="AH702" s="9"/>
      <c r="AI702" s="9"/>
    </row>
    <row r="703" ht="15.75" customHeight="1">
      <c r="A703" s="9"/>
      <c r="B703" s="9"/>
      <c r="C703" s="9"/>
      <c r="D703" s="9"/>
      <c r="E703" s="67"/>
      <c r="F703" s="68"/>
      <c r="G703" s="68"/>
      <c r="H703" s="69"/>
      <c r="I703" s="69"/>
      <c r="J703" s="69"/>
      <c r="K703" s="69"/>
      <c r="L703" s="69"/>
      <c r="M703" s="69"/>
      <c r="N703" s="69"/>
      <c r="O703" s="7"/>
      <c r="P703" s="23"/>
      <c r="Q703" s="9"/>
      <c r="R703" s="9"/>
      <c r="S703" s="9"/>
      <c r="T703" s="9"/>
      <c r="U703" s="9"/>
      <c r="V703" s="9"/>
      <c r="W703" s="9"/>
      <c r="X703" s="9"/>
      <c r="Y703" s="9"/>
      <c r="Z703" s="9"/>
      <c r="AA703" s="9"/>
      <c r="AB703" s="9"/>
      <c r="AC703" s="9"/>
      <c r="AD703" s="25"/>
      <c r="AE703" s="25"/>
      <c r="AF703" s="9"/>
      <c r="AG703" s="9"/>
      <c r="AH703" s="9"/>
      <c r="AI703" s="9"/>
    </row>
    <row r="704" ht="15.75" customHeight="1">
      <c r="A704" s="9"/>
      <c r="B704" s="9"/>
      <c r="C704" s="9"/>
      <c r="D704" s="9"/>
      <c r="E704" s="67"/>
      <c r="F704" s="68"/>
      <c r="G704" s="68"/>
      <c r="H704" s="69"/>
      <c r="I704" s="69"/>
      <c r="J704" s="69"/>
      <c r="K704" s="69"/>
      <c r="L704" s="69"/>
      <c r="M704" s="70"/>
      <c r="N704" s="69"/>
      <c r="O704" s="7"/>
      <c r="P704" s="23"/>
      <c r="Q704" s="9"/>
      <c r="R704" s="9"/>
      <c r="S704" s="9"/>
      <c r="T704" s="9"/>
      <c r="U704" s="9"/>
      <c r="V704" s="9"/>
      <c r="W704" s="9"/>
      <c r="X704" s="9"/>
      <c r="Y704" s="9"/>
      <c r="Z704" s="9"/>
      <c r="AA704" s="9"/>
      <c r="AB704" s="9"/>
      <c r="AC704" s="9"/>
      <c r="AD704" s="25"/>
      <c r="AE704" s="25"/>
      <c r="AF704" s="9"/>
      <c r="AG704" s="9"/>
      <c r="AH704" s="9"/>
      <c r="AI704" s="9"/>
    </row>
    <row r="705" ht="15.75" customHeight="1">
      <c r="A705" s="9"/>
      <c r="B705" s="9"/>
      <c r="C705" s="9"/>
      <c r="D705" s="9"/>
      <c r="E705" s="67"/>
      <c r="F705" s="68"/>
      <c r="G705" s="68"/>
      <c r="H705" s="69"/>
      <c r="I705" s="69"/>
      <c r="J705" s="69"/>
      <c r="K705" s="69"/>
      <c r="L705" s="69"/>
      <c r="M705" s="70"/>
      <c r="N705" s="69"/>
      <c r="O705" s="7"/>
      <c r="P705" s="23"/>
      <c r="Q705" s="9"/>
      <c r="R705" s="9"/>
      <c r="S705" s="9"/>
      <c r="T705" s="9"/>
      <c r="U705" s="9"/>
      <c r="V705" s="9"/>
      <c r="W705" s="9"/>
      <c r="X705" s="9"/>
      <c r="Y705" s="9"/>
      <c r="Z705" s="9"/>
      <c r="AA705" s="9"/>
      <c r="AB705" s="9"/>
      <c r="AC705" s="9"/>
      <c r="AD705" s="25"/>
      <c r="AE705" s="25"/>
      <c r="AF705" s="9"/>
      <c r="AG705" s="9"/>
      <c r="AH705" s="9"/>
      <c r="AI705" s="9"/>
    </row>
    <row r="706" ht="15.75" customHeight="1">
      <c r="A706" s="9"/>
      <c r="B706" s="9"/>
      <c r="C706" s="9"/>
      <c r="D706" s="9"/>
      <c r="E706" s="67"/>
      <c r="F706" s="68"/>
      <c r="G706" s="68"/>
      <c r="H706" s="69"/>
      <c r="I706" s="69"/>
      <c r="J706" s="69"/>
      <c r="K706" s="69"/>
      <c r="L706" s="69"/>
      <c r="M706" s="70"/>
      <c r="N706" s="69"/>
      <c r="O706" s="7"/>
      <c r="P706" s="23"/>
      <c r="Q706" s="9"/>
      <c r="R706" s="9"/>
      <c r="S706" s="9"/>
      <c r="T706" s="9"/>
      <c r="U706" s="9"/>
      <c r="V706" s="9"/>
      <c r="W706" s="9"/>
      <c r="X706" s="9"/>
      <c r="Y706" s="9"/>
      <c r="Z706" s="9"/>
      <c r="AA706" s="9"/>
      <c r="AB706" s="9"/>
      <c r="AC706" s="9"/>
      <c r="AD706" s="25"/>
      <c r="AE706" s="25"/>
      <c r="AF706" s="9"/>
      <c r="AG706" s="9"/>
      <c r="AH706" s="9"/>
      <c r="AI706" s="9"/>
    </row>
    <row r="707" ht="15.75" customHeight="1">
      <c r="A707" s="9"/>
      <c r="B707" s="9"/>
      <c r="C707" s="9"/>
      <c r="D707" s="9"/>
      <c r="E707" s="67"/>
      <c r="F707" s="68"/>
      <c r="G707" s="68"/>
      <c r="H707" s="69"/>
      <c r="I707" s="69"/>
      <c r="J707" s="69"/>
      <c r="K707" s="69"/>
      <c r="L707" s="69"/>
      <c r="M707" s="70"/>
      <c r="N707" s="69"/>
      <c r="O707" s="7"/>
      <c r="P707" s="23"/>
      <c r="Q707" s="9"/>
      <c r="R707" s="9"/>
      <c r="S707" s="9"/>
      <c r="T707" s="9"/>
      <c r="U707" s="9"/>
      <c r="V707" s="9"/>
      <c r="W707" s="9"/>
      <c r="X707" s="9"/>
      <c r="Y707" s="9"/>
      <c r="Z707" s="9"/>
      <c r="AA707" s="9"/>
      <c r="AB707" s="9"/>
      <c r="AC707" s="9"/>
      <c r="AD707" s="25"/>
      <c r="AE707" s="25"/>
      <c r="AF707" s="9"/>
      <c r="AG707" s="9"/>
      <c r="AH707" s="9"/>
      <c r="AI707" s="9"/>
    </row>
    <row r="708" ht="15.75" customHeight="1">
      <c r="A708" s="9"/>
      <c r="B708" s="9"/>
      <c r="C708" s="9"/>
      <c r="D708" s="9"/>
      <c r="E708" s="67"/>
      <c r="F708" s="68"/>
      <c r="G708" s="68"/>
      <c r="H708" s="69"/>
      <c r="I708" s="69"/>
      <c r="J708" s="69"/>
      <c r="K708" s="69"/>
      <c r="L708" s="69"/>
      <c r="M708" s="69"/>
      <c r="N708" s="69"/>
      <c r="O708" s="7"/>
      <c r="P708" s="23"/>
      <c r="Q708" s="9"/>
      <c r="R708" s="9"/>
      <c r="S708" s="9"/>
      <c r="T708" s="9"/>
      <c r="U708" s="9"/>
      <c r="V708" s="9"/>
      <c r="W708" s="9"/>
      <c r="X708" s="9"/>
      <c r="Y708" s="9"/>
      <c r="Z708" s="9"/>
      <c r="AA708" s="9"/>
      <c r="AB708" s="9"/>
      <c r="AC708" s="9"/>
      <c r="AD708" s="25"/>
      <c r="AE708" s="25"/>
      <c r="AF708" s="9"/>
      <c r="AG708" s="9"/>
      <c r="AH708" s="9"/>
      <c r="AI708" s="9"/>
    </row>
    <row r="709" ht="15.75" customHeight="1">
      <c r="A709" s="9"/>
      <c r="B709" s="9"/>
      <c r="C709" s="9"/>
      <c r="D709" s="9"/>
      <c r="E709" s="67"/>
      <c r="F709" s="68"/>
      <c r="G709" s="68"/>
      <c r="H709" s="69"/>
      <c r="I709" s="69"/>
      <c r="J709" s="69"/>
      <c r="K709" s="69"/>
      <c r="L709" s="69"/>
      <c r="M709" s="70"/>
      <c r="N709" s="69"/>
      <c r="O709" s="7"/>
      <c r="P709" s="23"/>
      <c r="Q709" s="9"/>
      <c r="R709" s="9"/>
      <c r="S709" s="9"/>
      <c r="T709" s="9"/>
      <c r="U709" s="9"/>
      <c r="V709" s="9"/>
      <c r="W709" s="9"/>
      <c r="X709" s="9"/>
      <c r="Y709" s="9"/>
      <c r="Z709" s="9"/>
      <c r="AA709" s="9"/>
      <c r="AB709" s="9"/>
      <c r="AC709" s="9"/>
      <c r="AD709" s="25"/>
      <c r="AE709" s="25"/>
      <c r="AF709" s="9"/>
      <c r="AG709" s="9"/>
      <c r="AH709" s="9"/>
      <c r="AI709" s="9"/>
    </row>
    <row r="710" ht="15.75" customHeight="1">
      <c r="A710" s="9"/>
      <c r="B710" s="9"/>
      <c r="C710" s="9"/>
      <c r="D710" s="9"/>
      <c r="E710" s="67"/>
      <c r="F710" s="68"/>
      <c r="G710" s="68"/>
      <c r="H710" s="69"/>
      <c r="I710" s="69"/>
      <c r="J710" s="69"/>
      <c r="K710" s="69"/>
      <c r="L710" s="69"/>
      <c r="M710" s="69"/>
      <c r="N710" s="69"/>
      <c r="O710" s="7"/>
      <c r="P710" s="23"/>
      <c r="Q710" s="9"/>
      <c r="R710" s="9"/>
      <c r="S710" s="9"/>
      <c r="T710" s="9"/>
      <c r="U710" s="9"/>
      <c r="V710" s="9"/>
      <c r="W710" s="9"/>
      <c r="X710" s="9"/>
      <c r="Y710" s="9"/>
      <c r="Z710" s="9"/>
      <c r="AA710" s="9"/>
      <c r="AB710" s="9"/>
      <c r="AC710" s="9"/>
      <c r="AD710" s="25"/>
      <c r="AE710" s="25"/>
      <c r="AF710" s="9"/>
      <c r="AG710" s="9"/>
      <c r="AH710" s="9"/>
      <c r="AI710" s="9"/>
    </row>
    <row r="711" ht="15.75" customHeight="1">
      <c r="A711" s="9"/>
      <c r="B711" s="9"/>
      <c r="C711" s="9"/>
      <c r="D711" s="9"/>
      <c r="E711" s="67"/>
      <c r="F711" s="68"/>
      <c r="G711" s="68"/>
      <c r="H711" s="69"/>
      <c r="I711" s="69"/>
      <c r="J711" s="69"/>
      <c r="K711" s="69"/>
      <c r="L711" s="69"/>
      <c r="M711" s="69"/>
      <c r="N711" s="69"/>
      <c r="O711" s="7"/>
      <c r="P711" s="23"/>
      <c r="Q711" s="9"/>
      <c r="R711" s="9"/>
      <c r="S711" s="9"/>
      <c r="T711" s="9"/>
      <c r="U711" s="9"/>
      <c r="V711" s="9"/>
      <c r="W711" s="9"/>
      <c r="X711" s="9"/>
      <c r="Y711" s="9"/>
      <c r="Z711" s="9"/>
      <c r="AA711" s="9"/>
      <c r="AB711" s="9"/>
      <c r="AC711" s="9"/>
      <c r="AD711" s="25"/>
      <c r="AE711" s="25"/>
      <c r="AF711" s="9"/>
      <c r="AG711" s="9"/>
      <c r="AH711" s="9"/>
      <c r="AI711" s="9"/>
    </row>
    <row r="712" ht="15.75" customHeight="1">
      <c r="A712" s="9"/>
      <c r="B712" s="9"/>
      <c r="C712" s="9"/>
      <c r="D712" s="9"/>
      <c r="E712" s="67"/>
      <c r="F712" s="68"/>
      <c r="G712" s="68"/>
      <c r="H712" s="69"/>
      <c r="I712" s="69"/>
      <c r="J712" s="69"/>
      <c r="K712" s="69"/>
      <c r="L712" s="69"/>
      <c r="M712" s="70"/>
      <c r="N712" s="69"/>
      <c r="O712" s="7"/>
      <c r="P712" s="23"/>
      <c r="Q712" s="9"/>
      <c r="R712" s="9"/>
      <c r="S712" s="9"/>
      <c r="T712" s="9"/>
      <c r="U712" s="9"/>
      <c r="V712" s="9"/>
      <c r="W712" s="9"/>
      <c r="X712" s="9"/>
      <c r="Y712" s="9"/>
      <c r="Z712" s="9"/>
      <c r="AA712" s="9"/>
      <c r="AB712" s="9"/>
      <c r="AC712" s="9"/>
      <c r="AD712" s="25"/>
      <c r="AE712" s="25"/>
      <c r="AF712" s="9"/>
      <c r="AG712" s="9"/>
      <c r="AH712" s="9"/>
      <c r="AI712" s="9"/>
    </row>
    <row r="713" ht="15.75" customHeight="1">
      <c r="A713" s="9"/>
      <c r="B713" s="9"/>
      <c r="C713" s="9"/>
      <c r="D713" s="9"/>
      <c r="E713" s="67"/>
      <c r="F713" s="68"/>
      <c r="G713" s="68"/>
      <c r="H713" s="69"/>
      <c r="I713" s="69"/>
      <c r="J713" s="69"/>
      <c r="K713" s="69"/>
      <c r="L713" s="69"/>
      <c r="M713" s="70"/>
      <c r="N713" s="69"/>
      <c r="O713" s="7"/>
      <c r="P713" s="23"/>
      <c r="Q713" s="9"/>
      <c r="R713" s="9"/>
      <c r="S713" s="9"/>
      <c r="T713" s="9"/>
      <c r="U713" s="9"/>
      <c r="V713" s="9"/>
      <c r="W713" s="9"/>
      <c r="X713" s="9"/>
      <c r="Y713" s="9"/>
      <c r="Z713" s="9"/>
      <c r="AA713" s="9"/>
      <c r="AB713" s="9"/>
      <c r="AC713" s="9"/>
      <c r="AD713" s="25"/>
      <c r="AE713" s="25"/>
      <c r="AF713" s="9"/>
      <c r="AG713" s="9"/>
      <c r="AH713" s="9"/>
      <c r="AI713" s="9"/>
    </row>
    <row r="714" ht="15.75" customHeight="1">
      <c r="A714" s="9"/>
      <c r="B714" s="9"/>
      <c r="C714" s="9"/>
      <c r="D714" s="9"/>
      <c r="E714" s="67"/>
      <c r="F714" s="68"/>
      <c r="G714" s="68"/>
      <c r="H714" s="69"/>
      <c r="I714" s="69"/>
      <c r="J714" s="69"/>
      <c r="K714" s="69"/>
      <c r="L714" s="69"/>
      <c r="M714" s="71"/>
      <c r="N714" s="69"/>
      <c r="O714" s="7"/>
      <c r="P714" s="23"/>
      <c r="Q714" s="9"/>
      <c r="R714" s="9"/>
      <c r="S714" s="9"/>
      <c r="T714" s="9"/>
      <c r="U714" s="9"/>
      <c r="V714" s="9"/>
      <c r="W714" s="9"/>
      <c r="X714" s="9"/>
      <c r="Y714" s="9"/>
      <c r="Z714" s="9"/>
      <c r="AA714" s="9"/>
      <c r="AB714" s="9"/>
      <c r="AC714" s="9"/>
      <c r="AD714" s="25"/>
      <c r="AE714" s="25"/>
      <c r="AF714" s="9"/>
      <c r="AG714" s="9"/>
      <c r="AH714" s="9"/>
      <c r="AI714" s="9"/>
    </row>
    <row r="715" ht="15.75" customHeight="1">
      <c r="A715" s="9"/>
      <c r="B715" s="9"/>
      <c r="C715" s="9"/>
      <c r="D715" s="9"/>
      <c r="E715" s="67"/>
      <c r="F715" s="68"/>
      <c r="G715" s="68"/>
      <c r="H715" s="69"/>
      <c r="I715" s="69"/>
      <c r="J715" s="69"/>
      <c r="K715" s="69"/>
      <c r="L715" s="69"/>
      <c r="M715" s="70"/>
      <c r="N715" s="69"/>
      <c r="O715" s="7"/>
      <c r="P715" s="23"/>
      <c r="Q715" s="9"/>
      <c r="R715" s="9"/>
      <c r="S715" s="9"/>
      <c r="T715" s="9"/>
      <c r="U715" s="9"/>
      <c r="V715" s="9"/>
      <c r="W715" s="9"/>
      <c r="X715" s="9"/>
      <c r="Y715" s="9"/>
      <c r="Z715" s="9"/>
      <c r="AA715" s="9"/>
      <c r="AB715" s="9"/>
      <c r="AC715" s="9"/>
      <c r="AD715" s="25"/>
      <c r="AE715" s="25"/>
      <c r="AF715" s="9"/>
      <c r="AG715" s="9"/>
      <c r="AH715" s="9"/>
      <c r="AI715" s="9"/>
    </row>
    <row r="716" ht="15.75" customHeight="1">
      <c r="A716" s="9"/>
      <c r="B716" s="9"/>
      <c r="C716" s="9"/>
      <c r="D716" s="9"/>
      <c r="E716" s="67"/>
      <c r="F716" s="68"/>
      <c r="G716" s="68"/>
      <c r="H716" s="69"/>
      <c r="I716" s="69"/>
      <c r="J716" s="69"/>
      <c r="K716" s="69"/>
      <c r="L716" s="69"/>
      <c r="M716" s="70"/>
      <c r="N716" s="69"/>
      <c r="O716" s="7"/>
      <c r="P716" s="23"/>
      <c r="Q716" s="9"/>
      <c r="R716" s="9"/>
      <c r="S716" s="9"/>
      <c r="T716" s="9"/>
      <c r="U716" s="9"/>
      <c r="V716" s="9"/>
      <c r="W716" s="9"/>
      <c r="X716" s="9"/>
      <c r="Y716" s="9"/>
      <c r="Z716" s="9"/>
      <c r="AA716" s="9"/>
      <c r="AB716" s="9"/>
      <c r="AC716" s="9"/>
      <c r="AD716" s="25"/>
      <c r="AE716" s="25"/>
      <c r="AF716" s="9"/>
      <c r="AG716" s="9"/>
      <c r="AH716" s="9"/>
      <c r="AI716" s="9"/>
    </row>
    <row r="717" ht="15.75" customHeight="1">
      <c r="A717" s="9"/>
      <c r="B717" s="9"/>
      <c r="C717" s="9"/>
      <c r="D717" s="9"/>
      <c r="E717" s="67"/>
      <c r="F717" s="68"/>
      <c r="G717" s="68"/>
      <c r="H717" s="69"/>
      <c r="I717" s="69"/>
      <c r="J717" s="69"/>
      <c r="K717" s="69"/>
      <c r="L717" s="69"/>
      <c r="M717" s="71"/>
      <c r="N717" s="69"/>
      <c r="O717" s="7"/>
      <c r="P717" s="23"/>
      <c r="Q717" s="9"/>
      <c r="R717" s="9"/>
      <c r="S717" s="9"/>
      <c r="T717" s="9"/>
      <c r="U717" s="9"/>
      <c r="V717" s="9"/>
      <c r="W717" s="9"/>
      <c r="X717" s="9"/>
      <c r="Y717" s="9"/>
      <c r="Z717" s="9"/>
      <c r="AA717" s="9"/>
      <c r="AB717" s="9"/>
      <c r="AC717" s="9"/>
      <c r="AD717" s="25"/>
      <c r="AE717" s="25"/>
      <c r="AF717" s="9"/>
      <c r="AG717" s="9"/>
      <c r="AH717" s="9"/>
      <c r="AI717" s="9"/>
    </row>
    <row r="718" ht="15.75" customHeight="1">
      <c r="A718" s="9"/>
      <c r="B718" s="9"/>
      <c r="C718" s="9"/>
      <c r="D718" s="9"/>
      <c r="E718" s="67"/>
      <c r="F718" s="68"/>
      <c r="G718" s="68"/>
      <c r="H718" s="69"/>
      <c r="I718" s="69"/>
      <c r="J718" s="69"/>
      <c r="K718" s="69"/>
      <c r="L718" s="69"/>
      <c r="M718" s="69"/>
      <c r="N718" s="69"/>
      <c r="O718" s="7"/>
      <c r="P718" s="23"/>
      <c r="Q718" s="9"/>
      <c r="R718" s="9"/>
      <c r="S718" s="9"/>
      <c r="T718" s="9"/>
      <c r="U718" s="9"/>
      <c r="V718" s="9"/>
      <c r="W718" s="9"/>
      <c r="X718" s="9"/>
      <c r="Y718" s="9"/>
      <c r="Z718" s="9"/>
      <c r="AA718" s="9"/>
      <c r="AB718" s="9"/>
      <c r="AC718" s="9"/>
      <c r="AD718" s="25"/>
      <c r="AE718" s="25"/>
      <c r="AF718" s="9"/>
      <c r="AG718" s="9"/>
      <c r="AH718" s="9"/>
      <c r="AI718" s="9"/>
    </row>
    <row r="719" ht="15.75" customHeight="1">
      <c r="A719" s="9"/>
      <c r="B719" s="9"/>
      <c r="C719" s="9"/>
      <c r="D719" s="9"/>
      <c r="E719" s="67"/>
      <c r="F719" s="68"/>
      <c r="G719" s="68"/>
      <c r="H719" s="69"/>
      <c r="I719" s="69"/>
      <c r="J719" s="69"/>
      <c r="K719" s="69"/>
      <c r="L719" s="69"/>
      <c r="M719" s="70"/>
      <c r="N719" s="69"/>
      <c r="O719" s="7"/>
      <c r="P719" s="23"/>
      <c r="Q719" s="9"/>
      <c r="R719" s="9"/>
      <c r="S719" s="9"/>
      <c r="T719" s="9"/>
      <c r="U719" s="9"/>
      <c r="V719" s="9"/>
      <c r="W719" s="9"/>
      <c r="X719" s="9"/>
      <c r="Y719" s="9"/>
      <c r="Z719" s="9"/>
      <c r="AA719" s="9"/>
      <c r="AB719" s="9"/>
      <c r="AC719" s="9"/>
      <c r="AD719" s="25"/>
      <c r="AE719" s="25"/>
      <c r="AF719" s="9"/>
      <c r="AG719" s="9"/>
      <c r="AH719" s="9"/>
      <c r="AI719" s="9"/>
    </row>
    <row r="720" ht="15.75" customHeight="1">
      <c r="A720" s="9"/>
      <c r="B720" s="9"/>
      <c r="C720" s="9"/>
      <c r="D720" s="9"/>
      <c r="E720" s="67"/>
      <c r="F720" s="68"/>
      <c r="G720" s="68"/>
      <c r="H720" s="69"/>
      <c r="I720" s="69"/>
      <c r="J720" s="69"/>
      <c r="K720" s="69"/>
      <c r="L720" s="69"/>
      <c r="M720" s="69"/>
      <c r="N720" s="69"/>
      <c r="O720" s="7"/>
      <c r="P720" s="23"/>
      <c r="Q720" s="9"/>
      <c r="R720" s="9"/>
      <c r="S720" s="9"/>
      <c r="T720" s="9"/>
      <c r="U720" s="9"/>
      <c r="V720" s="9"/>
      <c r="W720" s="9"/>
      <c r="X720" s="9"/>
      <c r="Y720" s="9"/>
      <c r="Z720" s="9"/>
      <c r="AA720" s="9"/>
      <c r="AB720" s="9"/>
      <c r="AC720" s="9"/>
      <c r="AD720" s="25"/>
      <c r="AE720" s="25"/>
      <c r="AF720" s="9"/>
      <c r="AG720" s="9"/>
      <c r="AH720" s="9"/>
      <c r="AI720" s="9"/>
    </row>
    <row r="721" ht="15.75" customHeight="1">
      <c r="A721" s="9"/>
      <c r="B721" s="9"/>
      <c r="C721" s="9"/>
      <c r="D721" s="9"/>
      <c r="E721" s="67"/>
      <c r="F721" s="68"/>
      <c r="G721" s="68"/>
      <c r="H721" s="69"/>
      <c r="I721" s="69"/>
      <c r="J721" s="69"/>
      <c r="K721" s="69"/>
      <c r="L721" s="69"/>
      <c r="M721" s="70"/>
      <c r="N721" s="69"/>
      <c r="O721" s="7"/>
      <c r="P721" s="23"/>
      <c r="Q721" s="9"/>
      <c r="R721" s="9"/>
      <c r="S721" s="9"/>
      <c r="T721" s="9"/>
      <c r="U721" s="9"/>
      <c r="V721" s="9"/>
      <c r="W721" s="9"/>
      <c r="X721" s="9"/>
      <c r="Y721" s="9"/>
      <c r="Z721" s="9"/>
      <c r="AA721" s="9"/>
      <c r="AB721" s="9"/>
      <c r="AC721" s="9"/>
      <c r="AD721" s="25"/>
      <c r="AE721" s="25"/>
      <c r="AF721" s="9"/>
      <c r="AG721" s="9"/>
      <c r="AH721" s="9"/>
      <c r="AI721" s="9"/>
    </row>
    <row r="722" ht="15.75" customHeight="1">
      <c r="A722" s="9"/>
      <c r="B722" s="9"/>
      <c r="C722" s="9"/>
      <c r="D722" s="9"/>
      <c r="E722" s="67"/>
      <c r="F722" s="68"/>
      <c r="G722" s="68"/>
      <c r="H722" s="69"/>
      <c r="I722" s="69"/>
      <c r="J722" s="69"/>
      <c r="K722" s="69"/>
      <c r="L722" s="69"/>
      <c r="M722" s="70"/>
      <c r="N722" s="69"/>
      <c r="O722" s="7"/>
      <c r="P722" s="23"/>
      <c r="Q722" s="9"/>
      <c r="R722" s="9"/>
      <c r="S722" s="9"/>
      <c r="T722" s="9"/>
      <c r="U722" s="9"/>
      <c r="V722" s="9"/>
      <c r="W722" s="9"/>
      <c r="X722" s="9"/>
      <c r="Y722" s="9"/>
      <c r="Z722" s="9"/>
      <c r="AA722" s="9"/>
      <c r="AB722" s="9"/>
      <c r="AC722" s="9"/>
      <c r="AD722" s="25"/>
      <c r="AE722" s="25"/>
      <c r="AF722" s="9"/>
      <c r="AG722" s="9"/>
      <c r="AH722" s="9"/>
      <c r="AI722" s="9"/>
    </row>
    <row r="723" ht="15.75" customHeight="1">
      <c r="A723" s="9"/>
      <c r="B723" s="9"/>
      <c r="C723" s="9"/>
      <c r="D723" s="9"/>
      <c r="E723" s="67"/>
      <c r="F723" s="68"/>
      <c r="G723" s="68"/>
      <c r="H723" s="69"/>
      <c r="I723" s="69"/>
      <c r="J723" s="69"/>
      <c r="K723" s="69"/>
      <c r="L723" s="69"/>
      <c r="M723" s="69"/>
      <c r="N723" s="69"/>
      <c r="O723" s="7"/>
      <c r="P723" s="23"/>
      <c r="Q723" s="9"/>
      <c r="R723" s="9"/>
      <c r="S723" s="9"/>
      <c r="T723" s="9"/>
      <c r="U723" s="9"/>
      <c r="V723" s="9"/>
      <c r="W723" s="9"/>
      <c r="X723" s="9"/>
      <c r="Y723" s="9"/>
      <c r="Z723" s="9"/>
      <c r="AA723" s="9"/>
      <c r="AB723" s="9"/>
      <c r="AC723" s="9"/>
      <c r="AD723" s="25"/>
      <c r="AE723" s="25"/>
      <c r="AF723" s="9"/>
      <c r="AG723" s="9"/>
      <c r="AH723" s="9"/>
      <c r="AI723" s="9"/>
    </row>
    <row r="724" ht="15.75" customHeight="1">
      <c r="A724" s="9"/>
      <c r="B724" s="9"/>
      <c r="C724" s="9"/>
      <c r="D724" s="9"/>
      <c r="E724" s="67"/>
      <c r="F724" s="68"/>
      <c r="G724" s="68"/>
      <c r="H724" s="69"/>
      <c r="I724" s="69"/>
      <c r="J724" s="69"/>
      <c r="K724" s="69"/>
      <c r="L724" s="69"/>
      <c r="M724" s="69"/>
      <c r="N724" s="69"/>
      <c r="O724" s="7"/>
      <c r="P724" s="23"/>
      <c r="Q724" s="9"/>
      <c r="R724" s="9"/>
      <c r="S724" s="9"/>
      <c r="T724" s="9"/>
      <c r="U724" s="9"/>
      <c r="V724" s="9"/>
      <c r="W724" s="9"/>
      <c r="X724" s="9"/>
      <c r="Y724" s="9"/>
      <c r="Z724" s="9"/>
      <c r="AA724" s="9"/>
      <c r="AB724" s="9"/>
      <c r="AC724" s="9"/>
      <c r="AD724" s="25"/>
      <c r="AE724" s="25"/>
      <c r="AF724" s="9"/>
      <c r="AG724" s="9"/>
      <c r="AH724" s="9"/>
      <c r="AI724" s="9"/>
    </row>
    <row r="725" ht="15.75" customHeight="1">
      <c r="A725" s="9"/>
      <c r="B725" s="9"/>
      <c r="C725" s="9"/>
      <c r="D725" s="9"/>
      <c r="E725" s="67"/>
      <c r="F725" s="68"/>
      <c r="G725" s="68"/>
      <c r="H725" s="69"/>
      <c r="I725" s="69"/>
      <c r="J725" s="69"/>
      <c r="K725" s="69"/>
      <c r="L725" s="69"/>
      <c r="M725" s="71"/>
      <c r="N725" s="69"/>
      <c r="O725" s="7"/>
      <c r="P725" s="23"/>
      <c r="Q725" s="9"/>
      <c r="R725" s="9"/>
      <c r="S725" s="9"/>
      <c r="T725" s="9"/>
      <c r="U725" s="9"/>
      <c r="V725" s="9"/>
      <c r="W725" s="9"/>
      <c r="X725" s="9"/>
      <c r="Y725" s="9"/>
      <c r="Z725" s="9"/>
      <c r="AA725" s="9"/>
      <c r="AB725" s="9"/>
      <c r="AC725" s="9"/>
      <c r="AD725" s="25"/>
      <c r="AE725" s="25"/>
      <c r="AF725" s="9"/>
      <c r="AG725" s="9"/>
      <c r="AH725" s="9"/>
      <c r="AI725" s="9"/>
    </row>
    <row r="726" ht="15.75" customHeight="1">
      <c r="A726" s="9"/>
      <c r="B726" s="9"/>
      <c r="C726" s="9"/>
      <c r="D726" s="9"/>
      <c r="E726" s="67"/>
      <c r="F726" s="68"/>
      <c r="G726" s="68"/>
      <c r="H726" s="69"/>
      <c r="I726" s="69"/>
      <c r="J726" s="69"/>
      <c r="K726" s="69"/>
      <c r="L726" s="69"/>
      <c r="M726" s="70"/>
      <c r="N726" s="69"/>
      <c r="O726" s="7"/>
      <c r="P726" s="23"/>
      <c r="Q726" s="9"/>
      <c r="R726" s="9"/>
      <c r="S726" s="9"/>
      <c r="T726" s="9"/>
      <c r="U726" s="9"/>
      <c r="V726" s="9"/>
      <c r="W726" s="9"/>
      <c r="X726" s="9"/>
      <c r="Y726" s="9"/>
      <c r="Z726" s="9"/>
      <c r="AA726" s="9"/>
      <c r="AB726" s="9"/>
      <c r="AC726" s="9"/>
      <c r="AD726" s="25"/>
      <c r="AE726" s="25"/>
      <c r="AF726" s="9"/>
      <c r="AG726" s="9"/>
      <c r="AH726" s="9"/>
      <c r="AI726" s="9"/>
    </row>
    <row r="727" ht="15.75" customHeight="1">
      <c r="A727" s="9"/>
      <c r="B727" s="9"/>
      <c r="C727" s="9"/>
      <c r="D727" s="9"/>
      <c r="E727" s="67"/>
      <c r="F727" s="68"/>
      <c r="G727" s="68"/>
      <c r="H727" s="69"/>
      <c r="I727" s="69"/>
      <c r="J727" s="69"/>
      <c r="K727" s="69"/>
      <c r="L727" s="69"/>
      <c r="M727" s="69"/>
      <c r="N727" s="69"/>
      <c r="O727" s="7"/>
      <c r="P727" s="23"/>
      <c r="Q727" s="9"/>
      <c r="R727" s="9"/>
      <c r="S727" s="9"/>
      <c r="T727" s="9"/>
      <c r="U727" s="9"/>
      <c r="V727" s="9"/>
      <c r="W727" s="9"/>
      <c r="X727" s="9"/>
      <c r="Y727" s="9"/>
      <c r="Z727" s="9"/>
      <c r="AA727" s="9"/>
      <c r="AB727" s="9"/>
      <c r="AC727" s="9"/>
      <c r="AD727" s="25"/>
      <c r="AE727" s="25"/>
      <c r="AF727" s="9"/>
      <c r="AG727" s="9"/>
      <c r="AH727" s="9"/>
      <c r="AI727" s="9"/>
    </row>
    <row r="728" ht="15.75" customHeight="1">
      <c r="A728" s="9"/>
      <c r="B728" s="9"/>
      <c r="C728" s="9"/>
      <c r="D728" s="9"/>
      <c r="E728" s="67"/>
      <c r="F728" s="68"/>
      <c r="G728" s="68"/>
      <c r="H728" s="69"/>
      <c r="I728" s="69"/>
      <c r="J728" s="69"/>
      <c r="K728" s="69"/>
      <c r="L728" s="69"/>
      <c r="M728" s="70"/>
      <c r="N728" s="69"/>
      <c r="O728" s="7"/>
      <c r="P728" s="23"/>
      <c r="Q728" s="9"/>
      <c r="R728" s="9"/>
      <c r="S728" s="9"/>
      <c r="T728" s="9"/>
      <c r="U728" s="9"/>
      <c r="V728" s="9"/>
      <c r="W728" s="9"/>
      <c r="X728" s="9"/>
      <c r="Y728" s="9"/>
      <c r="Z728" s="9"/>
      <c r="AA728" s="9"/>
      <c r="AB728" s="9"/>
      <c r="AC728" s="9"/>
      <c r="AD728" s="25"/>
      <c r="AE728" s="25"/>
      <c r="AF728" s="9"/>
      <c r="AG728" s="9"/>
      <c r="AH728" s="9"/>
      <c r="AI728" s="9"/>
    </row>
    <row r="729" ht="15.75" customHeight="1">
      <c r="A729" s="9"/>
      <c r="B729" s="9"/>
      <c r="C729" s="9"/>
      <c r="D729" s="9"/>
      <c r="E729" s="67"/>
      <c r="F729" s="68"/>
      <c r="G729" s="68"/>
      <c r="H729" s="69"/>
      <c r="I729" s="69"/>
      <c r="J729" s="69"/>
      <c r="K729" s="69"/>
      <c r="L729" s="69"/>
      <c r="M729" s="69"/>
      <c r="N729" s="69"/>
      <c r="O729" s="7"/>
      <c r="P729" s="23"/>
      <c r="Q729" s="9"/>
      <c r="R729" s="9"/>
      <c r="S729" s="9"/>
      <c r="T729" s="9"/>
      <c r="U729" s="9"/>
      <c r="V729" s="9"/>
      <c r="W729" s="9"/>
      <c r="X729" s="9"/>
      <c r="Y729" s="9"/>
      <c r="Z729" s="9"/>
      <c r="AA729" s="9"/>
      <c r="AB729" s="9"/>
      <c r="AC729" s="9"/>
      <c r="AD729" s="25"/>
      <c r="AE729" s="25"/>
      <c r="AF729" s="9"/>
      <c r="AG729" s="9"/>
      <c r="AH729" s="9"/>
      <c r="AI729" s="9"/>
    </row>
    <row r="730" ht="15.75" customHeight="1">
      <c r="A730" s="9"/>
      <c r="B730" s="9"/>
      <c r="C730" s="9"/>
      <c r="D730" s="9"/>
      <c r="E730" s="67"/>
      <c r="F730" s="68"/>
      <c r="G730" s="68"/>
      <c r="H730" s="69"/>
      <c r="I730" s="69"/>
      <c r="J730" s="69"/>
      <c r="K730" s="69"/>
      <c r="L730" s="69"/>
      <c r="M730" s="70"/>
      <c r="N730" s="69"/>
      <c r="O730" s="7"/>
      <c r="P730" s="23"/>
      <c r="Q730" s="9"/>
      <c r="R730" s="9"/>
      <c r="S730" s="9"/>
      <c r="T730" s="9"/>
      <c r="U730" s="9"/>
      <c r="V730" s="9"/>
      <c r="W730" s="9"/>
      <c r="X730" s="9"/>
      <c r="Y730" s="9"/>
      <c r="Z730" s="9"/>
      <c r="AA730" s="9"/>
      <c r="AB730" s="9"/>
      <c r="AC730" s="9"/>
      <c r="AD730" s="25"/>
      <c r="AE730" s="25"/>
      <c r="AF730" s="9"/>
      <c r="AG730" s="9"/>
      <c r="AH730" s="9"/>
      <c r="AI730" s="9"/>
    </row>
    <row r="731" ht="15.75" customHeight="1">
      <c r="A731" s="9"/>
      <c r="B731" s="9"/>
      <c r="C731" s="9"/>
      <c r="D731" s="9"/>
      <c r="E731" s="67"/>
      <c r="F731" s="68"/>
      <c r="G731" s="68"/>
      <c r="H731" s="69"/>
      <c r="I731" s="69"/>
      <c r="J731" s="69"/>
      <c r="K731" s="69"/>
      <c r="L731" s="69"/>
      <c r="M731" s="69"/>
      <c r="N731" s="69"/>
      <c r="O731" s="7"/>
      <c r="P731" s="23"/>
      <c r="Q731" s="9"/>
      <c r="R731" s="9"/>
      <c r="S731" s="9"/>
      <c r="T731" s="9"/>
      <c r="U731" s="9"/>
      <c r="V731" s="9"/>
      <c r="W731" s="9"/>
      <c r="X731" s="9"/>
      <c r="Y731" s="9"/>
      <c r="Z731" s="9"/>
      <c r="AA731" s="9"/>
      <c r="AB731" s="9"/>
      <c r="AC731" s="9"/>
      <c r="AD731" s="25"/>
      <c r="AE731" s="25"/>
      <c r="AF731" s="9"/>
      <c r="AG731" s="9"/>
      <c r="AH731" s="9"/>
      <c r="AI731" s="9"/>
    </row>
    <row r="732" ht="15.75" customHeight="1">
      <c r="A732" s="9"/>
      <c r="B732" s="9"/>
      <c r="C732" s="9"/>
      <c r="D732" s="9"/>
      <c r="E732" s="67"/>
      <c r="F732" s="68"/>
      <c r="G732" s="68"/>
      <c r="H732" s="69"/>
      <c r="I732" s="69"/>
      <c r="J732" s="69"/>
      <c r="K732" s="69"/>
      <c r="L732" s="69"/>
      <c r="M732" s="70"/>
      <c r="N732" s="69"/>
      <c r="O732" s="7"/>
      <c r="P732" s="23"/>
      <c r="Q732" s="9"/>
      <c r="R732" s="9"/>
      <c r="S732" s="9"/>
      <c r="T732" s="9"/>
      <c r="U732" s="9"/>
      <c r="V732" s="9"/>
      <c r="W732" s="9"/>
      <c r="X732" s="9"/>
      <c r="Y732" s="9"/>
      <c r="Z732" s="9"/>
      <c r="AA732" s="9"/>
      <c r="AB732" s="9"/>
      <c r="AC732" s="9"/>
      <c r="AD732" s="25"/>
      <c r="AE732" s="25"/>
      <c r="AF732" s="9"/>
      <c r="AG732" s="9"/>
      <c r="AH732" s="9"/>
      <c r="AI732" s="9"/>
    </row>
    <row r="733" ht="15.75" customHeight="1">
      <c r="A733" s="9"/>
      <c r="B733" s="9"/>
      <c r="C733" s="9"/>
      <c r="D733" s="9"/>
      <c r="E733" s="67"/>
      <c r="F733" s="68"/>
      <c r="G733" s="68"/>
      <c r="H733" s="69"/>
      <c r="I733" s="69"/>
      <c r="J733" s="69"/>
      <c r="K733" s="69"/>
      <c r="L733" s="69"/>
      <c r="M733" s="70"/>
      <c r="N733" s="69"/>
      <c r="O733" s="7"/>
      <c r="P733" s="23"/>
      <c r="Q733" s="9"/>
      <c r="R733" s="9"/>
      <c r="S733" s="9"/>
      <c r="T733" s="9"/>
      <c r="U733" s="9"/>
      <c r="V733" s="9"/>
      <c r="W733" s="9"/>
      <c r="X733" s="9"/>
      <c r="Y733" s="9"/>
      <c r="Z733" s="9"/>
      <c r="AA733" s="9"/>
      <c r="AB733" s="9"/>
      <c r="AC733" s="9"/>
      <c r="AD733" s="25"/>
      <c r="AE733" s="25"/>
      <c r="AF733" s="9"/>
      <c r="AG733" s="9"/>
      <c r="AH733" s="9"/>
      <c r="AI733" s="9"/>
    </row>
    <row r="734" ht="15.75" customHeight="1">
      <c r="A734" s="9"/>
      <c r="B734" s="9"/>
      <c r="C734" s="9"/>
      <c r="D734" s="9"/>
      <c r="E734" s="67"/>
      <c r="F734" s="68"/>
      <c r="G734" s="68"/>
      <c r="H734" s="69"/>
      <c r="I734" s="69"/>
      <c r="J734" s="69"/>
      <c r="K734" s="69"/>
      <c r="L734" s="69"/>
      <c r="M734" s="70"/>
      <c r="N734" s="69"/>
      <c r="O734" s="7"/>
      <c r="P734" s="23"/>
      <c r="Q734" s="9"/>
      <c r="R734" s="9"/>
      <c r="S734" s="9"/>
      <c r="T734" s="9"/>
      <c r="U734" s="9"/>
      <c r="V734" s="9"/>
      <c r="W734" s="9"/>
      <c r="X734" s="9"/>
      <c r="Y734" s="9"/>
      <c r="Z734" s="9"/>
      <c r="AA734" s="9"/>
      <c r="AB734" s="9"/>
      <c r="AC734" s="9"/>
      <c r="AD734" s="25"/>
      <c r="AE734" s="25"/>
      <c r="AF734" s="9"/>
      <c r="AG734" s="9"/>
      <c r="AH734" s="9"/>
      <c r="AI734" s="9"/>
    </row>
    <row r="735" ht="15.75" customHeight="1">
      <c r="A735" s="9"/>
      <c r="B735" s="9"/>
      <c r="C735" s="9"/>
      <c r="D735" s="9"/>
      <c r="E735" s="67"/>
      <c r="F735" s="68"/>
      <c r="G735" s="68"/>
      <c r="H735" s="69"/>
      <c r="I735" s="69"/>
      <c r="J735" s="69"/>
      <c r="K735" s="69"/>
      <c r="L735" s="69"/>
      <c r="M735" s="70"/>
      <c r="N735" s="69"/>
      <c r="O735" s="7"/>
      <c r="P735" s="23"/>
      <c r="Q735" s="9"/>
      <c r="R735" s="9"/>
      <c r="S735" s="9"/>
      <c r="T735" s="9"/>
      <c r="U735" s="9"/>
      <c r="V735" s="9"/>
      <c r="W735" s="9"/>
      <c r="X735" s="9"/>
      <c r="Y735" s="9"/>
      <c r="Z735" s="9"/>
      <c r="AA735" s="9"/>
      <c r="AB735" s="9"/>
      <c r="AC735" s="9"/>
      <c r="AD735" s="25"/>
      <c r="AE735" s="25"/>
      <c r="AF735" s="9"/>
      <c r="AG735" s="9"/>
      <c r="AH735" s="9"/>
      <c r="AI735" s="9"/>
    </row>
    <row r="736" ht="15.75" customHeight="1">
      <c r="A736" s="9"/>
      <c r="B736" s="9"/>
      <c r="C736" s="9"/>
      <c r="D736" s="9"/>
      <c r="E736" s="67"/>
      <c r="F736" s="68"/>
      <c r="G736" s="68"/>
      <c r="H736" s="69"/>
      <c r="I736" s="69"/>
      <c r="J736" s="69"/>
      <c r="K736" s="69"/>
      <c r="L736" s="69"/>
      <c r="M736" s="70"/>
      <c r="N736" s="69"/>
      <c r="O736" s="7"/>
      <c r="P736" s="23"/>
      <c r="Q736" s="9"/>
      <c r="R736" s="9"/>
      <c r="S736" s="9"/>
      <c r="T736" s="9"/>
      <c r="U736" s="9"/>
      <c r="V736" s="9"/>
      <c r="W736" s="9"/>
      <c r="X736" s="9"/>
      <c r="Y736" s="9"/>
      <c r="Z736" s="9"/>
      <c r="AA736" s="9"/>
      <c r="AB736" s="9"/>
      <c r="AC736" s="9"/>
      <c r="AD736" s="25"/>
      <c r="AE736" s="25"/>
      <c r="AF736" s="9"/>
      <c r="AG736" s="9"/>
      <c r="AH736" s="9"/>
      <c r="AI736" s="9"/>
    </row>
    <row r="737" ht="15.75" customHeight="1">
      <c r="A737" s="9"/>
      <c r="B737" s="9"/>
      <c r="C737" s="9"/>
      <c r="D737" s="9"/>
      <c r="E737" s="67"/>
      <c r="F737" s="68"/>
      <c r="G737" s="68"/>
      <c r="H737" s="69"/>
      <c r="I737" s="69"/>
      <c r="J737" s="69"/>
      <c r="K737" s="69"/>
      <c r="L737" s="69"/>
      <c r="M737" s="70"/>
      <c r="N737" s="69"/>
      <c r="O737" s="7"/>
      <c r="P737" s="23"/>
      <c r="Q737" s="9"/>
      <c r="R737" s="9"/>
      <c r="S737" s="9"/>
      <c r="T737" s="9"/>
      <c r="U737" s="9"/>
      <c r="V737" s="9"/>
      <c r="W737" s="9"/>
      <c r="X737" s="9"/>
      <c r="Y737" s="9"/>
      <c r="Z737" s="9"/>
      <c r="AA737" s="9"/>
      <c r="AB737" s="9"/>
      <c r="AC737" s="9"/>
      <c r="AD737" s="25"/>
      <c r="AE737" s="25"/>
      <c r="AF737" s="9"/>
      <c r="AG737" s="9"/>
      <c r="AH737" s="9"/>
      <c r="AI737" s="9"/>
    </row>
    <row r="738" ht="15.75" customHeight="1">
      <c r="A738" s="9"/>
      <c r="B738" s="9"/>
      <c r="C738" s="9"/>
      <c r="D738" s="9"/>
      <c r="E738" s="67"/>
      <c r="F738" s="68"/>
      <c r="G738" s="68"/>
      <c r="H738" s="69"/>
      <c r="I738" s="69"/>
      <c r="J738" s="69"/>
      <c r="K738" s="69"/>
      <c r="L738" s="69"/>
      <c r="M738" s="70"/>
      <c r="N738" s="69"/>
      <c r="O738" s="7"/>
      <c r="P738" s="23"/>
      <c r="Q738" s="9"/>
      <c r="R738" s="9"/>
      <c r="S738" s="9"/>
      <c r="T738" s="9"/>
      <c r="U738" s="9"/>
      <c r="V738" s="9"/>
      <c r="W738" s="9"/>
      <c r="X738" s="9"/>
      <c r="Y738" s="9"/>
      <c r="Z738" s="9"/>
      <c r="AA738" s="9"/>
      <c r="AB738" s="9"/>
      <c r="AC738" s="9"/>
      <c r="AD738" s="25"/>
      <c r="AE738" s="25"/>
      <c r="AF738" s="9"/>
      <c r="AG738" s="9"/>
      <c r="AH738" s="9"/>
      <c r="AI738" s="9"/>
    </row>
    <row r="739" ht="15.75" customHeight="1">
      <c r="A739" s="9"/>
      <c r="B739" s="9"/>
      <c r="C739" s="9"/>
      <c r="D739" s="9"/>
      <c r="E739" s="67"/>
      <c r="F739" s="68"/>
      <c r="G739" s="68"/>
      <c r="H739" s="69"/>
      <c r="I739" s="69"/>
      <c r="J739" s="69"/>
      <c r="K739" s="69"/>
      <c r="L739" s="69"/>
      <c r="M739" s="70"/>
      <c r="N739" s="69"/>
      <c r="O739" s="7"/>
      <c r="P739" s="23"/>
      <c r="Q739" s="9"/>
      <c r="R739" s="9"/>
      <c r="S739" s="9"/>
      <c r="T739" s="9"/>
      <c r="U739" s="9"/>
      <c r="V739" s="9"/>
      <c r="W739" s="9"/>
      <c r="X739" s="9"/>
      <c r="Y739" s="9"/>
      <c r="Z739" s="9"/>
      <c r="AA739" s="9"/>
      <c r="AB739" s="9"/>
      <c r="AC739" s="9"/>
      <c r="AD739" s="25"/>
      <c r="AE739" s="25"/>
      <c r="AF739" s="9"/>
      <c r="AG739" s="9"/>
      <c r="AH739" s="9"/>
      <c r="AI739" s="9"/>
    </row>
    <row r="740" ht="15.75" customHeight="1">
      <c r="A740" s="9"/>
      <c r="B740" s="9"/>
      <c r="C740" s="9"/>
      <c r="D740" s="9"/>
      <c r="E740" s="67"/>
      <c r="F740" s="68"/>
      <c r="G740" s="68"/>
      <c r="H740" s="69"/>
      <c r="I740" s="69"/>
      <c r="J740" s="69"/>
      <c r="K740" s="69"/>
      <c r="L740" s="69"/>
      <c r="M740" s="70"/>
      <c r="N740" s="69"/>
      <c r="O740" s="23"/>
      <c r="P740" s="23"/>
      <c r="Q740" s="9"/>
      <c r="R740" s="9"/>
      <c r="S740" s="9"/>
      <c r="T740" s="9"/>
      <c r="U740" s="9"/>
      <c r="V740" s="9"/>
      <c r="W740" s="9"/>
      <c r="X740" s="9"/>
      <c r="Y740" s="9"/>
      <c r="Z740" s="9"/>
      <c r="AA740" s="9"/>
      <c r="AB740" s="9"/>
      <c r="AC740" s="9"/>
      <c r="AD740" s="25"/>
      <c r="AE740" s="25"/>
      <c r="AF740" s="9"/>
      <c r="AG740" s="9"/>
      <c r="AH740" s="9"/>
      <c r="AI740" s="9"/>
    </row>
    <row r="741" ht="15.75" customHeight="1">
      <c r="A741" s="9"/>
      <c r="B741" s="9"/>
      <c r="C741" s="9"/>
      <c r="D741" s="9"/>
      <c r="E741" s="67"/>
      <c r="F741" s="68"/>
      <c r="G741" s="68"/>
      <c r="H741" s="69"/>
      <c r="I741" s="69"/>
      <c r="J741" s="69"/>
      <c r="K741" s="69"/>
      <c r="L741" s="69"/>
      <c r="M741" s="70"/>
      <c r="N741" s="69"/>
      <c r="O741" s="23"/>
      <c r="P741" s="23"/>
      <c r="Q741" s="9"/>
      <c r="R741" s="9"/>
      <c r="S741" s="9"/>
      <c r="T741" s="9"/>
      <c r="U741" s="9"/>
      <c r="V741" s="9"/>
      <c r="W741" s="9"/>
      <c r="X741" s="9"/>
      <c r="Y741" s="9"/>
      <c r="Z741" s="9"/>
      <c r="AA741" s="9"/>
      <c r="AB741" s="9"/>
      <c r="AC741" s="9"/>
      <c r="AD741" s="25"/>
      <c r="AE741" s="25"/>
      <c r="AF741" s="9"/>
      <c r="AG741" s="9"/>
      <c r="AH741" s="9"/>
      <c r="AI741" s="9"/>
    </row>
    <row r="742" ht="15.75" customHeight="1">
      <c r="A742" s="9"/>
      <c r="B742" s="9"/>
      <c r="C742" s="9"/>
      <c r="D742" s="9"/>
      <c r="E742" s="67"/>
      <c r="F742" s="68"/>
      <c r="G742" s="68"/>
      <c r="H742" s="69"/>
      <c r="I742" s="69"/>
      <c r="J742" s="69"/>
      <c r="K742" s="69"/>
      <c r="L742" s="69"/>
      <c r="M742" s="70"/>
      <c r="N742" s="69"/>
      <c r="O742" s="23"/>
      <c r="P742" s="23"/>
      <c r="Q742" s="9"/>
      <c r="R742" s="9"/>
      <c r="S742" s="9"/>
      <c r="T742" s="9"/>
      <c r="U742" s="9"/>
      <c r="V742" s="9"/>
      <c r="W742" s="9"/>
      <c r="X742" s="9"/>
      <c r="Y742" s="9"/>
      <c r="Z742" s="9"/>
      <c r="AA742" s="9"/>
      <c r="AB742" s="9"/>
      <c r="AC742" s="9"/>
      <c r="AD742" s="25"/>
      <c r="AE742" s="25"/>
      <c r="AF742" s="9"/>
      <c r="AG742" s="9"/>
      <c r="AH742" s="9"/>
      <c r="AI742" s="9"/>
    </row>
    <row r="743" ht="15.75" customHeight="1">
      <c r="A743" s="9"/>
      <c r="B743" s="9"/>
      <c r="C743" s="9"/>
      <c r="D743" s="9"/>
      <c r="E743" s="67"/>
      <c r="F743" s="68"/>
      <c r="G743" s="68"/>
      <c r="H743" s="69"/>
      <c r="I743" s="69"/>
      <c r="J743" s="69"/>
      <c r="K743" s="69"/>
      <c r="L743" s="69"/>
      <c r="M743" s="70"/>
      <c r="N743" s="69"/>
      <c r="O743" s="23"/>
      <c r="P743" s="23"/>
      <c r="Q743" s="9"/>
      <c r="R743" s="9"/>
      <c r="S743" s="9"/>
      <c r="T743" s="9"/>
      <c r="U743" s="9"/>
      <c r="V743" s="9"/>
      <c r="W743" s="9"/>
      <c r="X743" s="9"/>
      <c r="Y743" s="9"/>
      <c r="Z743" s="9"/>
      <c r="AA743" s="9"/>
      <c r="AB743" s="9"/>
      <c r="AC743" s="9"/>
      <c r="AD743" s="25"/>
      <c r="AE743" s="25"/>
      <c r="AF743" s="9"/>
      <c r="AG743" s="9"/>
      <c r="AH743" s="9"/>
      <c r="AI743" s="9"/>
    </row>
    <row r="744" ht="15.75" customHeight="1">
      <c r="A744" s="9"/>
      <c r="B744" s="9"/>
      <c r="C744" s="9"/>
      <c r="D744" s="9"/>
      <c r="E744" s="67"/>
      <c r="F744" s="68"/>
      <c r="G744" s="68"/>
      <c r="H744" s="69"/>
      <c r="I744" s="69"/>
      <c r="J744" s="69"/>
      <c r="K744" s="69"/>
      <c r="L744" s="69"/>
      <c r="M744" s="70"/>
      <c r="N744" s="69"/>
      <c r="O744" s="23"/>
      <c r="P744" s="23"/>
      <c r="Q744" s="9"/>
      <c r="R744" s="9"/>
      <c r="S744" s="9"/>
      <c r="T744" s="9"/>
      <c r="U744" s="9"/>
      <c r="V744" s="9"/>
      <c r="W744" s="9"/>
      <c r="X744" s="9"/>
      <c r="Y744" s="9"/>
      <c r="Z744" s="9"/>
      <c r="AA744" s="9"/>
      <c r="AB744" s="9"/>
      <c r="AC744" s="9"/>
      <c r="AD744" s="25"/>
      <c r="AE744" s="25"/>
      <c r="AF744" s="9"/>
      <c r="AG744" s="9"/>
      <c r="AH744" s="9"/>
      <c r="AI744" s="9"/>
    </row>
    <row r="745" ht="15.75" customHeight="1">
      <c r="A745" s="9"/>
      <c r="B745" s="9"/>
      <c r="C745" s="9"/>
      <c r="D745" s="9"/>
      <c r="E745" s="67"/>
      <c r="F745" s="68"/>
      <c r="G745" s="68"/>
      <c r="H745" s="69"/>
      <c r="I745" s="69"/>
      <c r="J745" s="69"/>
      <c r="K745" s="69"/>
      <c r="L745" s="69"/>
      <c r="M745" s="70"/>
      <c r="N745" s="69"/>
      <c r="O745" s="23"/>
      <c r="P745" s="23"/>
      <c r="Q745" s="9"/>
      <c r="R745" s="9"/>
      <c r="S745" s="9"/>
      <c r="T745" s="9"/>
      <c r="U745" s="9"/>
      <c r="V745" s="9"/>
      <c r="W745" s="9"/>
      <c r="X745" s="9"/>
      <c r="Y745" s="9"/>
      <c r="Z745" s="9"/>
      <c r="AA745" s="9"/>
      <c r="AB745" s="9"/>
      <c r="AC745" s="9"/>
      <c r="AD745" s="25"/>
      <c r="AE745" s="25"/>
      <c r="AF745" s="9"/>
      <c r="AG745" s="9"/>
      <c r="AH745" s="9"/>
      <c r="AI745" s="9"/>
    </row>
    <row r="746" ht="15.75" customHeight="1">
      <c r="A746" s="9"/>
      <c r="B746" s="9"/>
      <c r="C746" s="9"/>
      <c r="D746" s="9"/>
      <c r="E746" s="67"/>
      <c r="F746" s="68"/>
      <c r="G746" s="68"/>
      <c r="H746" s="69"/>
      <c r="I746" s="69"/>
      <c r="J746" s="69"/>
      <c r="K746" s="69"/>
      <c r="L746" s="69"/>
      <c r="M746" s="69"/>
      <c r="N746" s="69"/>
      <c r="O746" s="23"/>
      <c r="P746" s="23"/>
      <c r="Q746" s="9"/>
      <c r="R746" s="9"/>
      <c r="S746" s="9"/>
      <c r="T746" s="9"/>
      <c r="U746" s="9"/>
      <c r="V746" s="9"/>
      <c r="W746" s="9"/>
      <c r="X746" s="9"/>
      <c r="Y746" s="9"/>
      <c r="Z746" s="9"/>
      <c r="AA746" s="9"/>
      <c r="AB746" s="9"/>
      <c r="AC746" s="9"/>
      <c r="AD746" s="25"/>
      <c r="AE746" s="25"/>
      <c r="AF746" s="9"/>
      <c r="AG746" s="9"/>
      <c r="AH746" s="9"/>
      <c r="AI746" s="9"/>
    </row>
    <row r="747" ht="15.75" customHeight="1">
      <c r="A747" s="9"/>
      <c r="B747" s="9"/>
      <c r="C747" s="9"/>
      <c r="D747" s="9"/>
      <c r="E747" s="67"/>
      <c r="F747" s="68"/>
      <c r="G747" s="68"/>
      <c r="H747" s="69"/>
      <c r="I747" s="69"/>
      <c r="J747" s="69"/>
      <c r="K747" s="69"/>
      <c r="L747" s="69"/>
      <c r="M747" s="70"/>
      <c r="N747" s="69"/>
      <c r="O747" s="23"/>
      <c r="P747" s="23"/>
      <c r="Q747" s="9"/>
      <c r="R747" s="9"/>
      <c r="S747" s="9"/>
      <c r="T747" s="9"/>
      <c r="U747" s="9"/>
      <c r="V747" s="9"/>
      <c r="W747" s="9"/>
      <c r="X747" s="9"/>
      <c r="Y747" s="9"/>
      <c r="Z747" s="9"/>
      <c r="AA747" s="9"/>
      <c r="AB747" s="9"/>
      <c r="AC747" s="9"/>
      <c r="AD747" s="25"/>
      <c r="AE747" s="25"/>
      <c r="AF747" s="9"/>
      <c r="AG747" s="9"/>
      <c r="AH747" s="9"/>
      <c r="AI747" s="9"/>
    </row>
    <row r="748" ht="15.75" customHeight="1">
      <c r="A748" s="9"/>
      <c r="B748" s="9"/>
      <c r="C748" s="9"/>
      <c r="D748" s="9"/>
      <c r="E748" s="67"/>
      <c r="F748" s="68"/>
      <c r="G748" s="68"/>
      <c r="H748" s="69"/>
      <c r="I748" s="69"/>
      <c r="J748" s="69"/>
      <c r="K748" s="69"/>
      <c r="L748" s="69"/>
      <c r="M748" s="69"/>
      <c r="N748" s="69"/>
      <c r="O748" s="23"/>
      <c r="P748" s="23"/>
      <c r="Q748" s="9"/>
      <c r="R748" s="9"/>
      <c r="S748" s="9"/>
      <c r="T748" s="9"/>
      <c r="U748" s="9"/>
      <c r="V748" s="9"/>
      <c r="W748" s="9"/>
      <c r="X748" s="9"/>
      <c r="Y748" s="9"/>
      <c r="Z748" s="9"/>
      <c r="AA748" s="9"/>
      <c r="AB748" s="9"/>
      <c r="AC748" s="9"/>
      <c r="AD748" s="25"/>
      <c r="AE748" s="25"/>
      <c r="AF748" s="9"/>
      <c r="AG748" s="9"/>
      <c r="AH748" s="9"/>
      <c r="AI748" s="9"/>
    </row>
    <row r="749" ht="15.75" customHeight="1">
      <c r="A749" s="9"/>
      <c r="B749" s="9"/>
      <c r="C749" s="9"/>
      <c r="D749" s="9"/>
      <c r="E749" s="67"/>
      <c r="F749" s="68"/>
      <c r="G749" s="68"/>
      <c r="H749" s="69"/>
      <c r="I749" s="69"/>
      <c r="J749" s="69"/>
      <c r="K749" s="69"/>
      <c r="L749" s="69"/>
      <c r="M749" s="71"/>
      <c r="N749" s="69"/>
      <c r="O749" s="23"/>
      <c r="P749" s="23"/>
      <c r="Q749" s="9"/>
      <c r="R749" s="9"/>
      <c r="S749" s="9"/>
      <c r="T749" s="9"/>
      <c r="U749" s="9"/>
      <c r="V749" s="9"/>
      <c r="W749" s="9"/>
      <c r="X749" s="9"/>
      <c r="Y749" s="9"/>
      <c r="Z749" s="9"/>
      <c r="AA749" s="9"/>
      <c r="AB749" s="9"/>
      <c r="AC749" s="9"/>
      <c r="AD749" s="25"/>
      <c r="AE749" s="25"/>
      <c r="AF749" s="9"/>
      <c r="AG749" s="9"/>
      <c r="AH749" s="9"/>
      <c r="AI749" s="9"/>
    </row>
    <row r="750" ht="15.75" customHeight="1">
      <c r="A750" s="9"/>
      <c r="B750" s="9"/>
      <c r="C750" s="9"/>
      <c r="D750" s="9"/>
      <c r="E750" s="67"/>
      <c r="F750" s="68"/>
      <c r="G750" s="68"/>
      <c r="H750" s="69"/>
      <c r="I750" s="69"/>
      <c r="J750" s="69"/>
      <c r="K750" s="69"/>
      <c r="L750" s="69"/>
      <c r="M750" s="70"/>
      <c r="N750" s="69"/>
      <c r="O750" s="23"/>
      <c r="P750" s="23"/>
      <c r="Q750" s="9"/>
      <c r="R750" s="9"/>
      <c r="S750" s="9"/>
      <c r="T750" s="9"/>
      <c r="U750" s="9"/>
      <c r="V750" s="9"/>
      <c r="W750" s="9"/>
      <c r="X750" s="9"/>
      <c r="Y750" s="9"/>
      <c r="Z750" s="9"/>
      <c r="AA750" s="9"/>
      <c r="AB750" s="9"/>
      <c r="AC750" s="9"/>
      <c r="AD750" s="25"/>
      <c r="AE750" s="25"/>
      <c r="AF750" s="9"/>
      <c r="AG750" s="9"/>
      <c r="AH750" s="9"/>
      <c r="AI750" s="9"/>
    </row>
    <row r="751" ht="15.75" customHeight="1">
      <c r="A751" s="9"/>
      <c r="B751" s="9"/>
      <c r="C751" s="9"/>
      <c r="D751" s="9"/>
      <c r="E751" s="67"/>
      <c r="F751" s="68"/>
      <c r="G751" s="68"/>
      <c r="H751" s="69"/>
      <c r="I751" s="69"/>
      <c r="J751" s="69"/>
      <c r="K751" s="69"/>
      <c r="L751" s="69"/>
      <c r="M751" s="70"/>
      <c r="N751" s="69"/>
      <c r="O751" s="23"/>
      <c r="P751" s="23"/>
      <c r="Q751" s="9"/>
      <c r="R751" s="9"/>
      <c r="S751" s="9"/>
      <c r="T751" s="9"/>
      <c r="U751" s="9"/>
      <c r="V751" s="9"/>
      <c r="W751" s="9"/>
      <c r="X751" s="9"/>
      <c r="Y751" s="9"/>
      <c r="Z751" s="9"/>
      <c r="AA751" s="9"/>
      <c r="AB751" s="9"/>
      <c r="AC751" s="9"/>
      <c r="AD751" s="25"/>
      <c r="AE751" s="25"/>
      <c r="AF751" s="9"/>
      <c r="AG751" s="9"/>
      <c r="AH751" s="9"/>
      <c r="AI751" s="9"/>
    </row>
    <row r="752" ht="15.75" customHeight="1">
      <c r="A752" s="9"/>
      <c r="B752" s="9"/>
      <c r="C752" s="9"/>
      <c r="D752" s="9"/>
      <c r="E752" s="67"/>
      <c r="F752" s="68"/>
      <c r="G752" s="68"/>
      <c r="H752" s="69"/>
      <c r="I752" s="69"/>
      <c r="J752" s="69"/>
      <c r="K752" s="69"/>
      <c r="L752" s="69"/>
      <c r="M752" s="70"/>
      <c r="N752" s="69"/>
      <c r="O752" s="23"/>
      <c r="P752" s="23"/>
      <c r="Q752" s="9"/>
      <c r="R752" s="9"/>
      <c r="S752" s="9"/>
      <c r="T752" s="9"/>
      <c r="U752" s="9"/>
      <c r="V752" s="9"/>
      <c r="W752" s="9"/>
      <c r="X752" s="9"/>
      <c r="Y752" s="9"/>
      <c r="Z752" s="9"/>
      <c r="AA752" s="9"/>
      <c r="AB752" s="9"/>
      <c r="AC752" s="9"/>
      <c r="AD752" s="25"/>
      <c r="AE752" s="25"/>
      <c r="AF752" s="9"/>
      <c r="AG752" s="9"/>
      <c r="AH752" s="9"/>
      <c r="AI752" s="9"/>
    </row>
    <row r="753" ht="15.75" customHeight="1">
      <c r="A753" s="9"/>
      <c r="B753" s="9"/>
      <c r="C753" s="9"/>
      <c r="D753" s="9"/>
      <c r="E753" s="67"/>
      <c r="F753" s="68"/>
      <c r="G753" s="68"/>
      <c r="H753" s="69"/>
      <c r="I753" s="69"/>
      <c r="J753" s="69"/>
      <c r="K753" s="69"/>
      <c r="L753" s="69"/>
      <c r="M753" s="70"/>
      <c r="N753" s="69"/>
      <c r="O753" s="23"/>
      <c r="P753" s="23"/>
      <c r="Q753" s="9"/>
      <c r="R753" s="9"/>
      <c r="S753" s="9"/>
      <c r="T753" s="9"/>
      <c r="U753" s="9"/>
      <c r="V753" s="9"/>
      <c r="W753" s="9"/>
      <c r="X753" s="9"/>
      <c r="Y753" s="9"/>
      <c r="Z753" s="9"/>
      <c r="AA753" s="9"/>
      <c r="AB753" s="9"/>
      <c r="AC753" s="9"/>
      <c r="AD753" s="25"/>
      <c r="AE753" s="25"/>
      <c r="AF753" s="9"/>
      <c r="AG753" s="9"/>
      <c r="AH753" s="9"/>
      <c r="AI753" s="9"/>
    </row>
    <row r="754" ht="15.75" customHeight="1">
      <c r="A754" s="9"/>
      <c r="B754" s="9"/>
      <c r="C754" s="9"/>
      <c r="D754" s="9"/>
      <c r="E754" s="67"/>
      <c r="F754" s="68"/>
      <c r="G754" s="68"/>
      <c r="H754" s="69"/>
      <c r="I754" s="69"/>
      <c r="J754" s="69"/>
      <c r="K754" s="69"/>
      <c r="L754" s="69"/>
      <c r="M754" s="71"/>
      <c r="N754" s="69"/>
      <c r="O754" s="23"/>
      <c r="P754" s="23"/>
      <c r="Q754" s="9"/>
      <c r="R754" s="9"/>
      <c r="S754" s="9"/>
      <c r="T754" s="9"/>
      <c r="U754" s="9"/>
      <c r="V754" s="9"/>
      <c r="W754" s="9"/>
      <c r="X754" s="9"/>
      <c r="Y754" s="9"/>
      <c r="Z754" s="9"/>
      <c r="AA754" s="9"/>
      <c r="AB754" s="9"/>
      <c r="AC754" s="9"/>
      <c r="AD754" s="25"/>
      <c r="AE754" s="25"/>
      <c r="AF754" s="9"/>
      <c r="AG754" s="9"/>
      <c r="AH754" s="9"/>
      <c r="AI754" s="9"/>
    </row>
    <row r="755" ht="15.75" customHeight="1">
      <c r="A755" s="9"/>
      <c r="B755" s="9"/>
      <c r="C755" s="9"/>
      <c r="D755" s="9"/>
      <c r="E755" s="67"/>
      <c r="F755" s="68"/>
      <c r="G755" s="68"/>
      <c r="H755" s="69"/>
      <c r="I755" s="69"/>
      <c r="J755" s="69"/>
      <c r="K755" s="69"/>
      <c r="L755" s="69"/>
      <c r="M755" s="70"/>
      <c r="N755" s="69"/>
      <c r="O755" s="23"/>
      <c r="P755" s="23"/>
      <c r="Q755" s="9"/>
      <c r="R755" s="9"/>
      <c r="S755" s="9"/>
      <c r="T755" s="9"/>
      <c r="U755" s="9"/>
      <c r="V755" s="9"/>
      <c r="W755" s="9"/>
      <c r="X755" s="9"/>
      <c r="Y755" s="9"/>
      <c r="Z755" s="9"/>
      <c r="AA755" s="9"/>
      <c r="AB755" s="9"/>
      <c r="AC755" s="9"/>
      <c r="AD755" s="25"/>
      <c r="AE755" s="25"/>
      <c r="AF755" s="9"/>
      <c r="AG755" s="9"/>
      <c r="AH755" s="9"/>
      <c r="AI755" s="9"/>
    </row>
    <row r="756" ht="15.75" customHeight="1">
      <c r="A756" s="9"/>
      <c r="B756" s="9"/>
      <c r="C756" s="9"/>
      <c r="D756" s="9"/>
      <c r="E756" s="67"/>
      <c r="F756" s="68"/>
      <c r="G756" s="68"/>
      <c r="H756" s="69"/>
      <c r="I756" s="69"/>
      <c r="J756" s="69"/>
      <c r="K756" s="69"/>
      <c r="L756" s="69"/>
      <c r="M756" s="71"/>
      <c r="N756" s="69"/>
      <c r="O756" s="23"/>
      <c r="P756" s="23"/>
      <c r="Q756" s="9"/>
      <c r="R756" s="9"/>
      <c r="S756" s="9"/>
      <c r="T756" s="9"/>
      <c r="U756" s="9"/>
      <c r="V756" s="9"/>
      <c r="W756" s="9"/>
      <c r="X756" s="9"/>
      <c r="Y756" s="9"/>
      <c r="Z756" s="9"/>
      <c r="AA756" s="9"/>
      <c r="AB756" s="9"/>
      <c r="AC756" s="9"/>
      <c r="AD756" s="25"/>
      <c r="AE756" s="25"/>
      <c r="AF756" s="9"/>
      <c r="AG756" s="9"/>
      <c r="AH756" s="9"/>
      <c r="AI756" s="9"/>
    </row>
    <row r="757" ht="15.75" customHeight="1">
      <c r="A757" s="9"/>
      <c r="B757" s="9"/>
      <c r="C757" s="9"/>
      <c r="D757" s="9"/>
      <c r="E757" s="67"/>
      <c r="F757" s="68"/>
      <c r="G757" s="68"/>
      <c r="H757" s="69"/>
      <c r="I757" s="69"/>
      <c r="J757" s="69"/>
      <c r="K757" s="69"/>
      <c r="L757" s="69"/>
      <c r="M757" s="69"/>
      <c r="N757" s="69"/>
      <c r="O757" s="23"/>
      <c r="P757" s="23"/>
      <c r="Q757" s="9"/>
      <c r="R757" s="9"/>
      <c r="S757" s="9"/>
      <c r="T757" s="9"/>
      <c r="U757" s="9"/>
      <c r="V757" s="9"/>
      <c r="W757" s="9"/>
      <c r="X757" s="9"/>
      <c r="Y757" s="9"/>
      <c r="Z757" s="9"/>
      <c r="AA757" s="9"/>
      <c r="AB757" s="9"/>
      <c r="AC757" s="9"/>
      <c r="AD757" s="25"/>
      <c r="AE757" s="25"/>
      <c r="AF757" s="9"/>
      <c r="AG757" s="9"/>
      <c r="AH757" s="9"/>
      <c r="AI757" s="9"/>
    </row>
    <row r="758" ht="15.75" customHeight="1">
      <c r="A758" s="9"/>
      <c r="B758" s="9"/>
      <c r="C758" s="9"/>
      <c r="D758" s="9"/>
      <c r="E758" s="67"/>
      <c r="F758" s="68"/>
      <c r="G758" s="68"/>
      <c r="H758" s="69"/>
      <c r="I758" s="69"/>
      <c r="J758" s="69"/>
      <c r="K758" s="69"/>
      <c r="L758" s="69"/>
      <c r="M758" s="70"/>
      <c r="N758" s="69"/>
      <c r="O758" s="23"/>
      <c r="P758" s="23"/>
      <c r="Q758" s="9"/>
      <c r="R758" s="9"/>
      <c r="S758" s="9"/>
      <c r="T758" s="9"/>
      <c r="U758" s="9"/>
      <c r="V758" s="9"/>
      <c r="W758" s="9"/>
      <c r="X758" s="9"/>
      <c r="Y758" s="9"/>
      <c r="Z758" s="9"/>
      <c r="AA758" s="9"/>
      <c r="AB758" s="9"/>
      <c r="AC758" s="9"/>
      <c r="AD758" s="25"/>
      <c r="AE758" s="25"/>
      <c r="AF758" s="9"/>
      <c r="AG758" s="9"/>
      <c r="AH758" s="9"/>
      <c r="AI758" s="9"/>
    </row>
    <row r="759" ht="15.75" customHeight="1">
      <c r="A759" s="9"/>
      <c r="B759" s="9"/>
      <c r="C759" s="9"/>
      <c r="D759" s="9"/>
      <c r="E759" s="67"/>
      <c r="F759" s="68"/>
      <c r="G759" s="68"/>
      <c r="H759" s="69"/>
      <c r="I759" s="69"/>
      <c r="J759" s="69"/>
      <c r="K759" s="69"/>
      <c r="L759" s="69"/>
      <c r="M759" s="70"/>
      <c r="N759" s="69"/>
      <c r="O759" s="23"/>
      <c r="P759" s="23"/>
      <c r="Q759" s="9"/>
      <c r="R759" s="9"/>
      <c r="S759" s="9"/>
      <c r="T759" s="9"/>
      <c r="U759" s="9"/>
      <c r="V759" s="9"/>
      <c r="W759" s="9"/>
      <c r="X759" s="9"/>
      <c r="Y759" s="9"/>
      <c r="Z759" s="9"/>
      <c r="AA759" s="9"/>
      <c r="AB759" s="9"/>
      <c r="AC759" s="9"/>
      <c r="AD759" s="25"/>
      <c r="AE759" s="25"/>
      <c r="AF759" s="9"/>
      <c r="AG759" s="9"/>
      <c r="AH759" s="9"/>
      <c r="AI759" s="9"/>
    </row>
    <row r="760" ht="15.75" customHeight="1">
      <c r="A760" s="9"/>
      <c r="B760" s="9"/>
      <c r="C760" s="9"/>
      <c r="D760" s="9"/>
      <c r="E760" s="67"/>
      <c r="F760" s="68"/>
      <c r="G760" s="68"/>
      <c r="H760" s="69"/>
      <c r="I760" s="69"/>
      <c r="J760" s="69"/>
      <c r="K760" s="69"/>
      <c r="L760" s="69"/>
      <c r="M760" s="70"/>
      <c r="N760" s="69"/>
      <c r="O760" s="23"/>
      <c r="P760" s="23"/>
      <c r="Q760" s="9"/>
      <c r="R760" s="9"/>
      <c r="S760" s="9"/>
      <c r="T760" s="9"/>
      <c r="U760" s="9"/>
      <c r="V760" s="9"/>
      <c r="W760" s="9"/>
      <c r="X760" s="9"/>
      <c r="Y760" s="9"/>
      <c r="Z760" s="9"/>
      <c r="AA760" s="9"/>
      <c r="AB760" s="9"/>
      <c r="AC760" s="9"/>
      <c r="AD760" s="25"/>
      <c r="AE760" s="25"/>
      <c r="AF760" s="9"/>
      <c r="AG760" s="9"/>
      <c r="AH760" s="9"/>
      <c r="AI760" s="9"/>
    </row>
    <row r="761" ht="15.75" customHeight="1">
      <c r="A761" s="9"/>
      <c r="B761" s="9"/>
      <c r="C761" s="9"/>
      <c r="D761" s="9"/>
      <c r="E761" s="67"/>
      <c r="F761" s="68"/>
      <c r="G761" s="68"/>
      <c r="H761" s="69"/>
      <c r="I761" s="69"/>
      <c r="J761" s="69"/>
      <c r="K761" s="69"/>
      <c r="L761" s="69"/>
      <c r="M761" s="69"/>
      <c r="N761" s="69"/>
      <c r="O761" s="23"/>
      <c r="P761" s="23"/>
      <c r="Q761" s="9"/>
      <c r="R761" s="9"/>
      <c r="S761" s="9"/>
      <c r="T761" s="9"/>
      <c r="U761" s="9"/>
      <c r="V761" s="9"/>
      <c r="W761" s="9"/>
      <c r="X761" s="9"/>
      <c r="Y761" s="9"/>
      <c r="Z761" s="9"/>
      <c r="AA761" s="9"/>
      <c r="AB761" s="9"/>
      <c r="AC761" s="9"/>
      <c r="AD761" s="25"/>
      <c r="AE761" s="25"/>
      <c r="AF761" s="9"/>
      <c r="AG761" s="9"/>
      <c r="AH761" s="9"/>
      <c r="AI761" s="9"/>
    </row>
    <row r="762" ht="15.75" customHeight="1">
      <c r="A762" s="9"/>
      <c r="B762" s="9"/>
      <c r="C762" s="9"/>
      <c r="D762" s="9"/>
      <c r="E762" s="67"/>
      <c r="F762" s="68"/>
      <c r="G762" s="68"/>
      <c r="H762" s="69"/>
      <c r="I762" s="69"/>
      <c r="J762" s="69"/>
      <c r="K762" s="69"/>
      <c r="L762" s="69"/>
      <c r="M762" s="69"/>
      <c r="N762" s="69"/>
      <c r="O762" s="23"/>
      <c r="P762" s="23"/>
      <c r="Q762" s="9"/>
      <c r="R762" s="9"/>
      <c r="S762" s="9"/>
      <c r="T762" s="9"/>
      <c r="U762" s="9"/>
      <c r="V762" s="9"/>
      <c r="W762" s="9"/>
      <c r="X762" s="9"/>
      <c r="Y762" s="9"/>
      <c r="Z762" s="9"/>
      <c r="AA762" s="9"/>
      <c r="AB762" s="9"/>
      <c r="AC762" s="9"/>
      <c r="AD762" s="25"/>
      <c r="AE762" s="25"/>
      <c r="AF762" s="9"/>
      <c r="AG762" s="9"/>
      <c r="AH762" s="9"/>
      <c r="AI762" s="9"/>
    </row>
    <row r="763" ht="15.75" customHeight="1">
      <c r="A763" s="9"/>
      <c r="B763" s="9"/>
      <c r="C763" s="9"/>
      <c r="D763" s="9"/>
      <c r="E763" s="67"/>
      <c r="F763" s="68"/>
      <c r="G763" s="68"/>
      <c r="H763" s="69"/>
      <c r="I763" s="69"/>
      <c r="J763" s="69"/>
      <c r="K763" s="69"/>
      <c r="L763" s="69"/>
      <c r="M763" s="70"/>
      <c r="N763" s="69"/>
      <c r="O763" s="23"/>
      <c r="P763" s="23"/>
      <c r="Q763" s="9"/>
      <c r="R763" s="9"/>
      <c r="S763" s="9"/>
      <c r="T763" s="9"/>
      <c r="U763" s="9"/>
      <c r="V763" s="9"/>
      <c r="W763" s="9"/>
      <c r="X763" s="9"/>
      <c r="Y763" s="9"/>
      <c r="Z763" s="9"/>
      <c r="AA763" s="9"/>
      <c r="AB763" s="9"/>
      <c r="AC763" s="9"/>
      <c r="AD763" s="25"/>
      <c r="AE763" s="25"/>
      <c r="AF763" s="9"/>
      <c r="AG763" s="9"/>
      <c r="AH763" s="9"/>
      <c r="AI763" s="9"/>
    </row>
    <row r="764" ht="15.75" customHeight="1">
      <c r="A764" s="9"/>
      <c r="B764" s="9"/>
      <c r="C764" s="9"/>
      <c r="D764" s="9"/>
      <c r="E764" s="67"/>
      <c r="F764" s="68"/>
      <c r="G764" s="68"/>
      <c r="H764" s="69"/>
      <c r="I764" s="69"/>
      <c r="J764" s="69"/>
      <c r="K764" s="69"/>
      <c r="L764" s="69"/>
      <c r="M764" s="70"/>
      <c r="N764" s="69"/>
      <c r="O764" s="23"/>
      <c r="P764" s="23"/>
      <c r="Q764" s="9"/>
      <c r="R764" s="9"/>
      <c r="S764" s="9"/>
      <c r="T764" s="9"/>
      <c r="U764" s="9"/>
      <c r="V764" s="9"/>
      <c r="W764" s="9"/>
      <c r="X764" s="9"/>
      <c r="Y764" s="9"/>
      <c r="Z764" s="9"/>
      <c r="AA764" s="9"/>
      <c r="AB764" s="9"/>
      <c r="AC764" s="9"/>
      <c r="AD764" s="25"/>
      <c r="AE764" s="25"/>
      <c r="AF764" s="9"/>
      <c r="AG764" s="9"/>
      <c r="AH764" s="9"/>
      <c r="AI764" s="9"/>
    </row>
    <row r="765" ht="15.75" customHeight="1">
      <c r="A765" s="9"/>
      <c r="B765" s="9"/>
      <c r="C765" s="9"/>
      <c r="D765" s="9"/>
      <c r="E765" s="67"/>
      <c r="F765" s="68"/>
      <c r="G765" s="68"/>
      <c r="H765" s="69"/>
      <c r="I765" s="69"/>
      <c r="J765" s="69"/>
      <c r="K765" s="69"/>
      <c r="L765" s="69"/>
      <c r="M765" s="70"/>
      <c r="N765" s="69"/>
      <c r="O765" s="23"/>
      <c r="P765" s="23"/>
      <c r="Q765" s="9"/>
      <c r="R765" s="9"/>
      <c r="S765" s="9"/>
      <c r="T765" s="9"/>
      <c r="U765" s="9"/>
      <c r="V765" s="9"/>
      <c r="W765" s="9"/>
      <c r="X765" s="9"/>
      <c r="Y765" s="9"/>
      <c r="Z765" s="9"/>
      <c r="AA765" s="9"/>
      <c r="AB765" s="9"/>
      <c r="AC765" s="9"/>
      <c r="AD765" s="25"/>
      <c r="AE765" s="25"/>
      <c r="AF765" s="9"/>
      <c r="AG765" s="9"/>
      <c r="AH765" s="9"/>
      <c r="AI765" s="9"/>
    </row>
    <row r="766" ht="15.75" customHeight="1">
      <c r="A766" s="9"/>
      <c r="B766" s="9"/>
      <c r="C766" s="9"/>
      <c r="D766" s="9"/>
      <c r="E766" s="67"/>
      <c r="F766" s="68"/>
      <c r="G766" s="68"/>
      <c r="H766" s="69"/>
      <c r="I766" s="69"/>
      <c r="J766" s="69"/>
      <c r="K766" s="69"/>
      <c r="L766" s="69"/>
      <c r="M766" s="70"/>
      <c r="N766" s="69"/>
      <c r="O766" s="23"/>
      <c r="P766" s="23"/>
      <c r="Q766" s="9"/>
      <c r="R766" s="9"/>
      <c r="S766" s="9"/>
      <c r="T766" s="9"/>
      <c r="U766" s="9"/>
      <c r="V766" s="9"/>
      <c r="W766" s="9"/>
      <c r="X766" s="9"/>
      <c r="Y766" s="9"/>
      <c r="Z766" s="9"/>
      <c r="AA766" s="9"/>
      <c r="AB766" s="9"/>
      <c r="AC766" s="9"/>
      <c r="AD766" s="25"/>
      <c r="AE766" s="25"/>
      <c r="AF766" s="9"/>
      <c r="AG766" s="9"/>
      <c r="AH766" s="9"/>
      <c r="AI766" s="9"/>
    </row>
    <row r="767" ht="15.75" customHeight="1">
      <c r="A767" s="9"/>
      <c r="B767" s="9"/>
      <c r="C767" s="9"/>
      <c r="D767" s="9"/>
      <c r="E767" s="67"/>
      <c r="F767" s="68"/>
      <c r="G767" s="68"/>
      <c r="H767" s="69"/>
      <c r="I767" s="69"/>
      <c r="J767" s="69"/>
      <c r="K767" s="69"/>
      <c r="L767" s="69"/>
      <c r="M767" s="69"/>
      <c r="N767" s="69"/>
      <c r="O767" s="23"/>
      <c r="P767" s="23"/>
      <c r="Q767" s="9"/>
      <c r="R767" s="9"/>
      <c r="S767" s="9"/>
      <c r="T767" s="9"/>
      <c r="U767" s="9"/>
      <c r="V767" s="9"/>
      <c r="W767" s="9"/>
      <c r="X767" s="9"/>
      <c r="Y767" s="9"/>
      <c r="Z767" s="9"/>
      <c r="AA767" s="9"/>
      <c r="AB767" s="9"/>
      <c r="AC767" s="9"/>
      <c r="AD767" s="25"/>
      <c r="AE767" s="25"/>
      <c r="AF767" s="9"/>
      <c r="AG767" s="9"/>
      <c r="AH767" s="9"/>
      <c r="AI767" s="9"/>
    </row>
    <row r="768" ht="15.75" customHeight="1">
      <c r="A768" s="9"/>
      <c r="B768" s="9"/>
      <c r="C768" s="9"/>
      <c r="D768" s="9"/>
      <c r="E768" s="67"/>
      <c r="F768" s="68"/>
      <c r="G768" s="68"/>
      <c r="H768" s="69"/>
      <c r="I768" s="69"/>
      <c r="J768" s="69"/>
      <c r="K768" s="69"/>
      <c r="L768" s="69"/>
      <c r="M768" s="70"/>
      <c r="N768" s="69"/>
      <c r="O768" s="23"/>
      <c r="P768" s="23"/>
      <c r="Q768" s="9"/>
      <c r="R768" s="9"/>
      <c r="S768" s="9"/>
      <c r="T768" s="9"/>
      <c r="U768" s="9"/>
      <c r="V768" s="9"/>
      <c r="W768" s="9"/>
      <c r="X768" s="9"/>
      <c r="Y768" s="9"/>
      <c r="Z768" s="9"/>
      <c r="AA768" s="9"/>
      <c r="AB768" s="9"/>
      <c r="AC768" s="9"/>
      <c r="AD768" s="25"/>
      <c r="AE768" s="25"/>
      <c r="AF768" s="9"/>
      <c r="AG768" s="9"/>
      <c r="AH768" s="9"/>
      <c r="AI768" s="9"/>
    </row>
    <row r="769" ht="15.75" customHeight="1">
      <c r="A769" s="9"/>
      <c r="B769" s="9"/>
      <c r="C769" s="9"/>
      <c r="D769" s="9"/>
      <c r="E769" s="67"/>
      <c r="F769" s="68"/>
      <c r="G769" s="68"/>
      <c r="H769" s="69"/>
      <c r="I769" s="69"/>
      <c r="J769" s="69"/>
      <c r="K769" s="69"/>
      <c r="L769" s="69"/>
      <c r="M769" s="70"/>
      <c r="N769" s="69"/>
      <c r="O769" s="23"/>
      <c r="P769" s="23"/>
      <c r="Q769" s="9"/>
      <c r="R769" s="9"/>
      <c r="S769" s="9"/>
      <c r="T769" s="9"/>
      <c r="U769" s="9"/>
      <c r="V769" s="9"/>
      <c r="W769" s="9"/>
      <c r="X769" s="9"/>
      <c r="Y769" s="9"/>
      <c r="Z769" s="9"/>
      <c r="AA769" s="9"/>
      <c r="AB769" s="9"/>
      <c r="AC769" s="9"/>
      <c r="AD769" s="25"/>
      <c r="AE769" s="25"/>
      <c r="AF769" s="9"/>
      <c r="AG769" s="9"/>
      <c r="AH769" s="9"/>
      <c r="AI769" s="9"/>
    </row>
    <row r="770" ht="15.75" customHeight="1">
      <c r="A770" s="9"/>
      <c r="B770" s="9"/>
      <c r="C770" s="9"/>
      <c r="D770" s="9"/>
      <c r="E770" s="67"/>
      <c r="F770" s="68"/>
      <c r="G770" s="68"/>
      <c r="H770" s="69"/>
      <c r="I770" s="69"/>
      <c r="J770" s="69"/>
      <c r="K770" s="69"/>
      <c r="L770" s="69"/>
      <c r="M770" s="70"/>
      <c r="N770" s="69"/>
      <c r="O770" s="23"/>
      <c r="P770" s="23"/>
      <c r="Q770" s="9"/>
      <c r="R770" s="9"/>
      <c r="S770" s="9"/>
      <c r="T770" s="9"/>
      <c r="U770" s="9"/>
      <c r="V770" s="9"/>
      <c r="W770" s="9"/>
      <c r="X770" s="9"/>
      <c r="Y770" s="9"/>
      <c r="Z770" s="9"/>
      <c r="AA770" s="9"/>
      <c r="AB770" s="9"/>
      <c r="AC770" s="9"/>
      <c r="AD770" s="25"/>
      <c r="AE770" s="25"/>
      <c r="AF770" s="9"/>
      <c r="AG770" s="9"/>
      <c r="AH770" s="9"/>
      <c r="AI770" s="9"/>
    </row>
    <row r="771" ht="15.75" customHeight="1">
      <c r="A771" s="9"/>
      <c r="B771" s="9"/>
      <c r="C771" s="9"/>
      <c r="D771" s="9"/>
      <c r="E771" s="67"/>
      <c r="F771" s="68"/>
      <c r="G771" s="68"/>
      <c r="H771" s="69"/>
      <c r="I771" s="69"/>
      <c r="J771" s="69"/>
      <c r="K771" s="69"/>
      <c r="L771" s="69"/>
      <c r="M771" s="70"/>
      <c r="N771" s="69"/>
      <c r="O771" s="23"/>
      <c r="P771" s="23"/>
      <c r="Q771" s="9"/>
      <c r="R771" s="9"/>
      <c r="S771" s="9"/>
      <c r="T771" s="9"/>
      <c r="U771" s="9"/>
      <c r="V771" s="9"/>
      <c r="W771" s="9"/>
      <c r="X771" s="9"/>
      <c r="Y771" s="9"/>
      <c r="Z771" s="9"/>
      <c r="AA771" s="9"/>
      <c r="AB771" s="9"/>
      <c r="AC771" s="9"/>
      <c r="AD771" s="25"/>
      <c r="AE771" s="25"/>
      <c r="AF771" s="9"/>
      <c r="AG771" s="9"/>
      <c r="AH771" s="9"/>
      <c r="AI771" s="9"/>
    </row>
    <row r="772" ht="15.75" customHeight="1">
      <c r="A772" s="9"/>
      <c r="B772" s="9"/>
      <c r="C772" s="9"/>
      <c r="D772" s="9"/>
      <c r="E772" s="67"/>
      <c r="F772" s="68"/>
      <c r="G772" s="68"/>
      <c r="H772" s="69"/>
      <c r="I772" s="69"/>
      <c r="J772" s="69"/>
      <c r="K772" s="69"/>
      <c r="L772" s="69"/>
      <c r="M772" s="70"/>
      <c r="N772" s="69"/>
      <c r="O772" s="23"/>
      <c r="P772" s="23"/>
      <c r="Q772" s="9"/>
      <c r="R772" s="9"/>
      <c r="S772" s="9"/>
      <c r="T772" s="9"/>
      <c r="U772" s="9"/>
      <c r="V772" s="9"/>
      <c r="W772" s="9"/>
      <c r="X772" s="9"/>
      <c r="Y772" s="9"/>
      <c r="Z772" s="9"/>
      <c r="AA772" s="9"/>
      <c r="AB772" s="9"/>
      <c r="AC772" s="9"/>
      <c r="AD772" s="25"/>
      <c r="AE772" s="25"/>
      <c r="AF772" s="9"/>
      <c r="AG772" s="9"/>
      <c r="AH772" s="9"/>
      <c r="AI772" s="9"/>
    </row>
    <row r="773" ht="15.75" customHeight="1">
      <c r="A773" s="9"/>
      <c r="B773" s="9"/>
      <c r="C773" s="9"/>
      <c r="D773" s="9"/>
      <c r="E773" s="67"/>
      <c r="F773" s="68"/>
      <c r="G773" s="68"/>
      <c r="H773" s="69"/>
      <c r="I773" s="69"/>
      <c r="J773" s="69"/>
      <c r="K773" s="69"/>
      <c r="L773" s="69"/>
      <c r="M773" s="70"/>
      <c r="N773" s="69"/>
      <c r="O773" s="23"/>
      <c r="P773" s="23"/>
      <c r="Q773" s="9"/>
      <c r="R773" s="9"/>
      <c r="S773" s="9"/>
      <c r="T773" s="9"/>
      <c r="U773" s="9"/>
      <c r="V773" s="9"/>
      <c r="W773" s="9"/>
      <c r="X773" s="9"/>
      <c r="Y773" s="9"/>
      <c r="Z773" s="9"/>
      <c r="AA773" s="9"/>
      <c r="AB773" s="9"/>
      <c r="AC773" s="9"/>
      <c r="AD773" s="25"/>
      <c r="AE773" s="25"/>
      <c r="AF773" s="9"/>
      <c r="AG773" s="9"/>
      <c r="AH773" s="9"/>
      <c r="AI773" s="9"/>
    </row>
    <row r="774" ht="15.75" customHeight="1">
      <c r="A774" s="9"/>
      <c r="B774" s="9"/>
      <c r="C774" s="9"/>
      <c r="D774" s="9"/>
      <c r="E774" s="67"/>
      <c r="F774" s="68"/>
      <c r="G774" s="68"/>
      <c r="H774" s="69"/>
      <c r="I774" s="69"/>
      <c r="J774" s="69"/>
      <c r="K774" s="69"/>
      <c r="L774" s="69"/>
      <c r="M774" s="70"/>
      <c r="N774" s="69"/>
      <c r="O774" s="23"/>
      <c r="P774" s="23"/>
      <c r="Q774" s="9"/>
      <c r="R774" s="9"/>
      <c r="S774" s="9"/>
      <c r="T774" s="9"/>
      <c r="U774" s="9"/>
      <c r="V774" s="9"/>
      <c r="W774" s="9"/>
      <c r="X774" s="9"/>
      <c r="Y774" s="9"/>
      <c r="Z774" s="9"/>
      <c r="AA774" s="9"/>
      <c r="AB774" s="9"/>
      <c r="AC774" s="9"/>
      <c r="AD774" s="25"/>
      <c r="AE774" s="25"/>
      <c r="AF774" s="9"/>
      <c r="AG774" s="9"/>
      <c r="AH774" s="9"/>
      <c r="AI774" s="9"/>
    </row>
    <row r="775" ht="15.75" customHeight="1">
      <c r="A775" s="9"/>
      <c r="B775" s="9"/>
      <c r="C775" s="9"/>
      <c r="D775" s="9"/>
      <c r="E775" s="67"/>
      <c r="F775" s="68"/>
      <c r="G775" s="68"/>
      <c r="H775" s="69"/>
      <c r="I775" s="69"/>
      <c r="J775" s="69"/>
      <c r="K775" s="69"/>
      <c r="L775" s="69"/>
      <c r="M775" s="70"/>
      <c r="N775" s="69"/>
      <c r="O775" s="23"/>
      <c r="P775" s="23"/>
      <c r="Q775" s="9"/>
      <c r="R775" s="9"/>
      <c r="S775" s="9"/>
      <c r="T775" s="9"/>
      <c r="U775" s="9"/>
      <c r="V775" s="9"/>
      <c r="W775" s="9"/>
      <c r="X775" s="9"/>
      <c r="Y775" s="9"/>
      <c r="Z775" s="9"/>
      <c r="AA775" s="9"/>
      <c r="AB775" s="9"/>
      <c r="AC775" s="9"/>
      <c r="AD775" s="25"/>
      <c r="AE775" s="25"/>
      <c r="AF775" s="9"/>
      <c r="AG775" s="9"/>
      <c r="AH775" s="9"/>
      <c r="AI775" s="9"/>
    </row>
    <row r="776" ht="15.75" customHeight="1">
      <c r="A776" s="9"/>
      <c r="B776" s="9"/>
      <c r="C776" s="9"/>
      <c r="D776" s="9"/>
      <c r="E776" s="67"/>
      <c r="F776" s="68"/>
      <c r="G776" s="68"/>
      <c r="H776" s="69"/>
      <c r="I776" s="69"/>
      <c r="J776" s="69"/>
      <c r="K776" s="69"/>
      <c r="L776" s="69"/>
      <c r="M776" s="70"/>
      <c r="N776" s="69"/>
      <c r="O776" s="23"/>
      <c r="P776" s="23"/>
      <c r="Q776" s="9"/>
      <c r="R776" s="9"/>
      <c r="S776" s="9"/>
      <c r="T776" s="9"/>
      <c r="U776" s="9"/>
      <c r="V776" s="9"/>
      <c r="W776" s="9"/>
      <c r="X776" s="9"/>
      <c r="Y776" s="9"/>
      <c r="Z776" s="9"/>
      <c r="AA776" s="9"/>
      <c r="AB776" s="9"/>
      <c r="AC776" s="9"/>
      <c r="AD776" s="25"/>
      <c r="AE776" s="25"/>
      <c r="AF776" s="9"/>
      <c r="AG776" s="9"/>
      <c r="AH776" s="9"/>
      <c r="AI776" s="9"/>
    </row>
    <row r="777" ht="15.75" customHeight="1">
      <c r="A777" s="9"/>
      <c r="B777" s="9"/>
      <c r="C777" s="9"/>
      <c r="D777" s="9"/>
      <c r="E777" s="67"/>
      <c r="F777" s="68"/>
      <c r="G777" s="68"/>
      <c r="H777" s="69"/>
      <c r="I777" s="69"/>
      <c r="J777" s="69"/>
      <c r="K777" s="69"/>
      <c r="L777" s="69"/>
      <c r="M777" s="70"/>
      <c r="N777" s="69"/>
      <c r="O777" s="23"/>
      <c r="P777" s="23"/>
      <c r="Q777" s="9"/>
      <c r="R777" s="9"/>
      <c r="S777" s="9"/>
      <c r="T777" s="9"/>
      <c r="U777" s="9"/>
      <c r="V777" s="9"/>
      <c r="W777" s="9"/>
      <c r="X777" s="9"/>
      <c r="Y777" s="9"/>
      <c r="Z777" s="9"/>
      <c r="AA777" s="9"/>
      <c r="AB777" s="9"/>
      <c r="AC777" s="9"/>
      <c r="AD777" s="25"/>
      <c r="AE777" s="25"/>
      <c r="AF777" s="9"/>
      <c r="AG777" s="9"/>
      <c r="AH777" s="9"/>
      <c r="AI777" s="9"/>
    </row>
    <row r="778" ht="15.75" customHeight="1">
      <c r="A778" s="9"/>
      <c r="B778" s="9"/>
      <c r="C778" s="9"/>
      <c r="D778" s="9"/>
      <c r="E778" s="67"/>
      <c r="F778" s="68"/>
      <c r="G778" s="68"/>
      <c r="H778" s="69"/>
      <c r="I778" s="69"/>
      <c r="J778" s="69"/>
      <c r="K778" s="69"/>
      <c r="L778" s="69"/>
      <c r="M778" s="70"/>
      <c r="N778" s="69"/>
      <c r="O778" s="23"/>
      <c r="P778" s="23"/>
      <c r="Q778" s="9"/>
      <c r="R778" s="9"/>
      <c r="S778" s="9"/>
      <c r="T778" s="9"/>
      <c r="U778" s="9"/>
      <c r="V778" s="9"/>
      <c r="W778" s="9"/>
      <c r="X778" s="9"/>
      <c r="Y778" s="9"/>
      <c r="Z778" s="9"/>
      <c r="AA778" s="9"/>
      <c r="AB778" s="9"/>
      <c r="AC778" s="9"/>
      <c r="AD778" s="25"/>
      <c r="AE778" s="25"/>
      <c r="AF778" s="9"/>
      <c r="AG778" s="9"/>
      <c r="AH778" s="9"/>
      <c r="AI778" s="9"/>
    </row>
    <row r="779" ht="15.75" customHeight="1">
      <c r="A779" s="9"/>
      <c r="B779" s="9"/>
      <c r="C779" s="9"/>
      <c r="D779" s="9"/>
      <c r="E779" s="67"/>
      <c r="F779" s="68"/>
      <c r="G779" s="68"/>
      <c r="H779" s="69"/>
      <c r="I779" s="69"/>
      <c r="J779" s="69"/>
      <c r="K779" s="69"/>
      <c r="L779" s="69"/>
      <c r="M779" s="70"/>
      <c r="N779" s="69"/>
      <c r="O779" s="23"/>
      <c r="P779" s="23"/>
      <c r="Q779" s="9"/>
      <c r="R779" s="9"/>
      <c r="S779" s="9"/>
      <c r="T779" s="9"/>
      <c r="U779" s="9"/>
      <c r="V779" s="9"/>
      <c r="W779" s="9"/>
      <c r="X779" s="9"/>
      <c r="Y779" s="9"/>
      <c r="Z779" s="9"/>
      <c r="AA779" s="9"/>
      <c r="AB779" s="9"/>
      <c r="AC779" s="9"/>
      <c r="AD779" s="25"/>
      <c r="AE779" s="25"/>
      <c r="AF779" s="9"/>
      <c r="AG779" s="9"/>
      <c r="AH779" s="9"/>
      <c r="AI779" s="9"/>
    </row>
    <row r="780" ht="15.75" customHeight="1">
      <c r="A780" s="9"/>
      <c r="B780" s="9"/>
      <c r="C780" s="9"/>
      <c r="D780" s="9"/>
      <c r="E780" s="67"/>
      <c r="F780" s="68"/>
      <c r="G780" s="68"/>
      <c r="H780" s="69"/>
      <c r="I780" s="69"/>
      <c r="J780" s="69"/>
      <c r="K780" s="69"/>
      <c r="L780" s="69"/>
      <c r="M780" s="70"/>
      <c r="N780" s="69"/>
      <c r="O780" s="23"/>
      <c r="P780" s="23"/>
      <c r="Q780" s="9"/>
      <c r="R780" s="9"/>
      <c r="S780" s="9"/>
      <c r="T780" s="9"/>
      <c r="U780" s="9"/>
      <c r="V780" s="9"/>
      <c r="W780" s="9"/>
      <c r="X780" s="9"/>
      <c r="Y780" s="9"/>
      <c r="Z780" s="9"/>
      <c r="AA780" s="9"/>
      <c r="AB780" s="9"/>
      <c r="AC780" s="9"/>
      <c r="AD780" s="25"/>
      <c r="AE780" s="25"/>
      <c r="AF780" s="9"/>
      <c r="AG780" s="9"/>
      <c r="AH780" s="9"/>
      <c r="AI780" s="9"/>
    </row>
    <row r="781" ht="15.75" customHeight="1">
      <c r="A781" s="9"/>
      <c r="B781" s="9"/>
      <c r="C781" s="9"/>
      <c r="D781" s="9"/>
      <c r="E781" s="67"/>
      <c r="F781" s="68"/>
      <c r="G781" s="68"/>
      <c r="H781" s="69"/>
      <c r="I781" s="69"/>
      <c r="J781" s="69"/>
      <c r="K781" s="69"/>
      <c r="L781" s="69"/>
      <c r="M781" s="70"/>
      <c r="N781" s="69"/>
      <c r="O781" s="23"/>
      <c r="P781" s="23"/>
      <c r="Q781" s="9"/>
      <c r="R781" s="9"/>
      <c r="S781" s="9"/>
      <c r="T781" s="9"/>
      <c r="U781" s="9"/>
      <c r="V781" s="9"/>
      <c r="W781" s="9"/>
      <c r="X781" s="9"/>
      <c r="Y781" s="9"/>
      <c r="Z781" s="9"/>
      <c r="AA781" s="9"/>
      <c r="AB781" s="9"/>
      <c r="AC781" s="9"/>
      <c r="AD781" s="25"/>
      <c r="AE781" s="25"/>
      <c r="AF781" s="9"/>
      <c r="AG781" s="9"/>
      <c r="AH781" s="9"/>
      <c r="AI781" s="9"/>
    </row>
    <row r="782" ht="15.75" customHeight="1">
      <c r="A782" s="9"/>
      <c r="B782" s="9"/>
      <c r="C782" s="9"/>
      <c r="D782" s="9"/>
      <c r="E782" s="67"/>
      <c r="F782" s="68"/>
      <c r="G782" s="68"/>
      <c r="H782" s="69"/>
      <c r="I782" s="69"/>
      <c r="J782" s="69"/>
      <c r="K782" s="69"/>
      <c r="L782" s="69"/>
      <c r="M782" s="70"/>
      <c r="N782" s="69"/>
      <c r="O782" s="23"/>
      <c r="P782" s="23"/>
      <c r="Q782" s="9"/>
      <c r="R782" s="9"/>
      <c r="S782" s="9"/>
      <c r="T782" s="9"/>
      <c r="U782" s="9"/>
      <c r="V782" s="9"/>
      <c r="W782" s="9"/>
      <c r="X782" s="9"/>
      <c r="Y782" s="9"/>
      <c r="Z782" s="9"/>
      <c r="AA782" s="9"/>
      <c r="AB782" s="9"/>
      <c r="AC782" s="9"/>
      <c r="AD782" s="25"/>
      <c r="AE782" s="25"/>
      <c r="AF782" s="9"/>
      <c r="AG782" s="9"/>
      <c r="AH782" s="9"/>
      <c r="AI782" s="9"/>
    </row>
    <row r="783" ht="15.75" customHeight="1">
      <c r="A783" s="9"/>
      <c r="B783" s="9"/>
      <c r="C783" s="9"/>
      <c r="D783" s="9"/>
      <c r="E783" s="67"/>
      <c r="F783" s="68"/>
      <c r="G783" s="68"/>
      <c r="H783" s="69"/>
      <c r="I783" s="69"/>
      <c r="J783" s="69"/>
      <c r="K783" s="69"/>
      <c r="L783" s="69"/>
      <c r="M783" s="70"/>
      <c r="N783" s="69"/>
      <c r="O783" s="23"/>
      <c r="P783" s="23"/>
      <c r="Q783" s="9"/>
      <c r="R783" s="9"/>
      <c r="S783" s="9"/>
      <c r="T783" s="9"/>
      <c r="U783" s="9"/>
      <c r="V783" s="9"/>
      <c r="W783" s="9"/>
      <c r="X783" s="9"/>
      <c r="Y783" s="9"/>
      <c r="Z783" s="9"/>
      <c r="AA783" s="9"/>
      <c r="AB783" s="9"/>
      <c r="AC783" s="9"/>
      <c r="AD783" s="25"/>
      <c r="AE783" s="25"/>
      <c r="AF783" s="9"/>
      <c r="AG783" s="9"/>
      <c r="AH783" s="9"/>
      <c r="AI783" s="9"/>
    </row>
    <row r="784" ht="15.75" customHeight="1">
      <c r="A784" s="9"/>
      <c r="B784" s="9"/>
      <c r="C784" s="9"/>
      <c r="D784" s="9"/>
      <c r="E784" s="67"/>
      <c r="F784" s="68"/>
      <c r="G784" s="68"/>
      <c r="H784" s="69"/>
      <c r="I784" s="69"/>
      <c r="J784" s="69"/>
      <c r="K784" s="69"/>
      <c r="L784" s="69"/>
      <c r="M784" s="69"/>
      <c r="N784" s="69"/>
      <c r="O784" s="23"/>
      <c r="P784" s="23"/>
      <c r="Q784" s="9"/>
      <c r="R784" s="9"/>
      <c r="S784" s="9"/>
      <c r="T784" s="9"/>
      <c r="U784" s="9"/>
      <c r="V784" s="9"/>
      <c r="W784" s="9"/>
      <c r="X784" s="9"/>
      <c r="Y784" s="9"/>
      <c r="Z784" s="9"/>
      <c r="AA784" s="9"/>
      <c r="AB784" s="9"/>
      <c r="AC784" s="9"/>
      <c r="AD784" s="25"/>
      <c r="AE784" s="25"/>
      <c r="AF784" s="9"/>
      <c r="AG784" s="9"/>
      <c r="AH784" s="9"/>
      <c r="AI784" s="9"/>
    </row>
    <row r="785" ht="15.75" customHeight="1">
      <c r="A785" s="9"/>
      <c r="B785" s="9"/>
      <c r="C785" s="9"/>
      <c r="D785" s="9"/>
      <c r="E785" s="67"/>
      <c r="F785" s="68"/>
      <c r="G785" s="68"/>
      <c r="H785" s="69"/>
      <c r="I785" s="69"/>
      <c r="J785" s="69"/>
      <c r="K785" s="69"/>
      <c r="L785" s="69"/>
      <c r="M785" s="70"/>
      <c r="N785" s="69"/>
      <c r="O785" s="23"/>
      <c r="P785" s="23"/>
      <c r="Q785" s="9"/>
      <c r="R785" s="9"/>
      <c r="S785" s="9"/>
      <c r="T785" s="9"/>
      <c r="U785" s="9"/>
      <c r="V785" s="9"/>
      <c r="W785" s="9"/>
      <c r="X785" s="9"/>
      <c r="Y785" s="9"/>
      <c r="Z785" s="9"/>
      <c r="AA785" s="9"/>
      <c r="AB785" s="9"/>
      <c r="AC785" s="9"/>
      <c r="AD785" s="25"/>
      <c r="AE785" s="25"/>
      <c r="AF785" s="9"/>
      <c r="AG785" s="9"/>
      <c r="AH785" s="9"/>
      <c r="AI785" s="9"/>
    </row>
    <row r="786" ht="15.75" customHeight="1">
      <c r="A786" s="9"/>
      <c r="B786" s="9"/>
      <c r="C786" s="9"/>
      <c r="D786" s="9"/>
      <c r="E786" s="67"/>
      <c r="F786" s="68"/>
      <c r="G786" s="68"/>
      <c r="H786" s="69"/>
      <c r="I786" s="69"/>
      <c r="J786" s="69"/>
      <c r="K786" s="69"/>
      <c r="L786" s="69"/>
      <c r="M786" s="70"/>
      <c r="N786" s="69"/>
      <c r="O786" s="23"/>
      <c r="P786" s="23"/>
      <c r="Q786" s="9"/>
      <c r="R786" s="9"/>
      <c r="S786" s="9"/>
      <c r="T786" s="9"/>
      <c r="U786" s="9"/>
      <c r="V786" s="9"/>
      <c r="W786" s="9"/>
      <c r="X786" s="9"/>
      <c r="Y786" s="9"/>
      <c r="Z786" s="9"/>
      <c r="AA786" s="9"/>
      <c r="AB786" s="9"/>
      <c r="AC786" s="9"/>
      <c r="AD786" s="25"/>
      <c r="AE786" s="25"/>
      <c r="AF786" s="9"/>
      <c r="AG786" s="9"/>
      <c r="AH786" s="9"/>
      <c r="AI786" s="9"/>
    </row>
    <row r="787" ht="15.75" customHeight="1">
      <c r="A787" s="9"/>
      <c r="B787" s="9"/>
      <c r="C787" s="9"/>
      <c r="D787" s="9"/>
      <c r="E787" s="67"/>
      <c r="F787" s="68"/>
      <c r="G787" s="68"/>
      <c r="H787" s="69"/>
      <c r="I787" s="69"/>
      <c r="J787" s="69"/>
      <c r="K787" s="69"/>
      <c r="L787" s="69"/>
      <c r="M787" s="69"/>
      <c r="N787" s="69"/>
      <c r="O787" s="23"/>
      <c r="P787" s="23"/>
      <c r="Q787" s="9"/>
      <c r="R787" s="9"/>
      <c r="S787" s="9"/>
      <c r="T787" s="9"/>
      <c r="U787" s="9"/>
      <c r="V787" s="9"/>
      <c r="W787" s="9"/>
      <c r="X787" s="9"/>
      <c r="Y787" s="9"/>
      <c r="Z787" s="9"/>
      <c r="AA787" s="9"/>
      <c r="AB787" s="9"/>
      <c r="AC787" s="9"/>
      <c r="AD787" s="25"/>
      <c r="AE787" s="25"/>
      <c r="AF787" s="9"/>
      <c r="AG787" s="9"/>
      <c r="AH787" s="9"/>
      <c r="AI787" s="9"/>
    </row>
    <row r="788" ht="15.75" customHeight="1">
      <c r="A788" s="9"/>
      <c r="B788" s="9"/>
      <c r="C788" s="9"/>
      <c r="D788" s="9"/>
      <c r="E788" s="67"/>
      <c r="F788" s="68"/>
      <c r="G788" s="68"/>
      <c r="H788" s="69"/>
      <c r="I788" s="69"/>
      <c r="J788" s="69"/>
      <c r="K788" s="69"/>
      <c r="L788" s="69"/>
      <c r="M788" s="70"/>
      <c r="N788" s="69"/>
      <c r="O788" s="23"/>
      <c r="P788" s="23"/>
      <c r="Q788" s="9"/>
      <c r="R788" s="9"/>
      <c r="S788" s="9"/>
      <c r="T788" s="9"/>
      <c r="U788" s="9"/>
      <c r="V788" s="9"/>
      <c r="W788" s="9"/>
      <c r="X788" s="9"/>
      <c r="Y788" s="9"/>
      <c r="Z788" s="9"/>
      <c r="AA788" s="9"/>
      <c r="AB788" s="9"/>
      <c r="AC788" s="9"/>
      <c r="AD788" s="25"/>
      <c r="AE788" s="25"/>
      <c r="AF788" s="9"/>
      <c r="AG788" s="9"/>
      <c r="AH788" s="9"/>
      <c r="AI788" s="9"/>
    </row>
    <row r="789" ht="15.75" customHeight="1">
      <c r="A789" s="9"/>
      <c r="B789" s="9"/>
      <c r="C789" s="9"/>
      <c r="D789" s="9"/>
      <c r="E789" s="67"/>
      <c r="F789" s="68"/>
      <c r="G789" s="68"/>
      <c r="H789" s="69"/>
      <c r="I789" s="69"/>
      <c r="J789" s="69"/>
      <c r="K789" s="69"/>
      <c r="L789" s="69"/>
      <c r="M789" s="70"/>
      <c r="N789" s="69"/>
      <c r="O789" s="23"/>
      <c r="P789" s="23"/>
      <c r="Q789" s="9"/>
      <c r="R789" s="9"/>
      <c r="S789" s="9"/>
      <c r="T789" s="9"/>
      <c r="U789" s="9"/>
      <c r="V789" s="9"/>
      <c r="W789" s="9"/>
      <c r="X789" s="9"/>
      <c r="Y789" s="9"/>
      <c r="Z789" s="9"/>
      <c r="AA789" s="9"/>
      <c r="AB789" s="9"/>
      <c r="AC789" s="9"/>
      <c r="AD789" s="25"/>
      <c r="AE789" s="25"/>
      <c r="AF789" s="9"/>
      <c r="AG789" s="9"/>
      <c r="AH789" s="9"/>
      <c r="AI789" s="9"/>
    </row>
    <row r="790" ht="15.75" customHeight="1">
      <c r="A790" s="9"/>
      <c r="B790" s="9"/>
      <c r="C790" s="9"/>
      <c r="D790" s="9"/>
      <c r="E790" s="67"/>
      <c r="F790" s="68"/>
      <c r="G790" s="68"/>
      <c r="H790" s="69"/>
      <c r="I790" s="69"/>
      <c r="J790" s="69"/>
      <c r="K790" s="69"/>
      <c r="L790" s="69"/>
      <c r="M790" s="70"/>
      <c r="N790" s="69"/>
      <c r="O790" s="23"/>
      <c r="P790" s="23"/>
      <c r="Q790" s="9"/>
      <c r="R790" s="9"/>
      <c r="S790" s="9"/>
      <c r="T790" s="9"/>
      <c r="U790" s="9"/>
      <c r="V790" s="9"/>
      <c r="W790" s="9"/>
      <c r="X790" s="9"/>
      <c r="Y790" s="9"/>
      <c r="Z790" s="9"/>
      <c r="AA790" s="9"/>
      <c r="AB790" s="9"/>
      <c r="AC790" s="9"/>
      <c r="AD790" s="25"/>
      <c r="AE790" s="25"/>
      <c r="AF790" s="9"/>
      <c r="AG790" s="9"/>
      <c r="AH790" s="9"/>
      <c r="AI790" s="9"/>
    </row>
    <row r="791" ht="15.75" customHeight="1">
      <c r="A791" s="9"/>
      <c r="B791" s="9"/>
      <c r="C791" s="9"/>
      <c r="D791" s="9"/>
      <c r="E791" s="67"/>
      <c r="F791" s="68"/>
      <c r="G791" s="68"/>
      <c r="H791" s="69"/>
      <c r="I791" s="69"/>
      <c r="J791" s="69"/>
      <c r="K791" s="69"/>
      <c r="L791" s="69"/>
      <c r="M791" s="71"/>
      <c r="N791" s="69"/>
      <c r="O791" s="23"/>
      <c r="P791" s="23"/>
      <c r="Q791" s="9"/>
      <c r="R791" s="9"/>
      <c r="S791" s="9"/>
      <c r="T791" s="9"/>
      <c r="U791" s="9"/>
      <c r="V791" s="9"/>
      <c r="W791" s="9"/>
      <c r="X791" s="9"/>
      <c r="Y791" s="9"/>
      <c r="Z791" s="9"/>
      <c r="AA791" s="9"/>
      <c r="AB791" s="9"/>
      <c r="AC791" s="9"/>
      <c r="AD791" s="25"/>
      <c r="AE791" s="25"/>
      <c r="AF791" s="9"/>
      <c r="AG791" s="9"/>
      <c r="AH791" s="9"/>
      <c r="AI791" s="9"/>
    </row>
    <row r="792" ht="15.75" customHeight="1">
      <c r="A792" s="9"/>
      <c r="B792" s="9"/>
      <c r="C792" s="9"/>
      <c r="D792" s="9"/>
      <c r="E792" s="67"/>
      <c r="F792" s="68"/>
      <c r="G792" s="68"/>
      <c r="H792" s="69"/>
      <c r="I792" s="69"/>
      <c r="J792" s="69"/>
      <c r="K792" s="69"/>
      <c r="L792" s="69"/>
      <c r="M792" s="70"/>
      <c r="N792" s="69"/>
      <c r="O792" s="23"/>
      <c r="P792" s="23"/>
      <c r="Q792" s="9"/>
      <c r="R792" s="9"/>
      <c r="S792" s="9"/>
      <c r="T792" s="9"/>
      <c r="U792" s="9"/>
      <c r="V792" s="9"/>
      <c r="W792" s="9"/>
      <c r="X792" s="9"/>
      <c r="Y792" s="9"/>
      <c r="Z792" s="9"/>
      <c r="AA792" s="9"/>
      <c r="AB792" s="9"/>
      <c r="AC792" s="9"/>
      <c r="AD792" s="25"/>
      <c r="AE792" s="25"/>
      <c r="AF792" s="9"/>
      <c r="AG792" s="9"/>
      <c r="AH792" s="9"/>
      <c r="AI792" s="9"/>
    </row>
    <row r="793" ht="15.75" customHeight="1">
      <c r="A793" s="9"/>
      <c r="B793" s="9"/>
      <c r="C793" s="9"/>
      <c r="D793" s="9"/>
      <c r="E793" s="67"/>
      <c r="F793" s="68"/>
      <c r="G793" s="68"/>
      <c r="H793" s="69"/>
      <c r="I793" s="69"/>
      <c r="J793" s="69"/>
      <c r="K793" s="69"/>
      <c r="L793" s="69"/>
      <c r="M793" s="71"/>
      <c r="N793" s="69"/>
      <c r="O793" s="23"/>
      <c r="P793" s="23"/>
      <c r="Q793" s="9"/>
      <c r="R793" s="9"/>
      <c r="S793" s="9"/>
      <c r="T793" s="9"/>
      <c r="U793" s="9"/>
      <c r="V793" s="9"/>
      <c r="W793" s="9"/>
      <c r="X793" s="9"/>
      <c r="Y793" s="9"/>
      <c r="Z793" s="9"/>
      <c r="AA793" s="9"/>
      <c r="AB793" s="9"/>
      <c r="AC793" s="9"/>
      <c r="AD793" s="25"/>
      <c r="AE793" s="25"/>
      <c r="AF793" s="9"/>
      <c r="AG793" s="9"/>
      <c r="AH793" s="9"/>
      <c r="AI793" s="9"/>
    </row>
    <row r="794" ht="15.75" customHeight="1">
      <c r="A794" s="9"/>
      <c r="B794" s="9"/>
      <c r="C794" s="9"/>
      <c r="D794" s="9"/>
      <c r="E794" s="67"/>
      <c r="F794" s="68"/>
      <c r="G794" s="68"/>
      <c r="H794" s="69"/>
      <c r="I794" s="69"/>
      <c r="J794" s="69"/>
      <c r="K794" s="69"/>
      <c r="L794" s="69"/>
      <c r="M794" s="70"/>
      <c r="N794" s="69"/>
      <c r="O794" s="23"/>
      <c r="P794" s="23"/>
      <c r="Q794" s="9"/>
      <c r="R794" s="9"/>
      <c r="S794" s="9"/>
      <c r="T794" s="9"/>
      <c r="U794" s="9"/>
      <c r="V794" s="9"/>
      <c r="W794" s="9"/>
      <c r="X794" s="9"/>
      <c r="Y794" s="9"/>
      <c r="Z794" s="9"/>
      <c r="AA794" s="9"/>
      <c r="AB794" s="9"/>
      <c r="AC794" s="9"/>
      <c r="AD794" s="25"/>
      <c r="AE794" s="25"/>
      <c r="AF794" s="9"/>
      <c r="AG794" s="9"/>
      <c r="AH794" s="9"/>
      <c r="AI794" s="9"/>
    </row>
    <row r="795" ht="15.75" customHeight="1">
      <c r="A795" s="9"/>
      <c r="B795" s="9"/>
      <c r="C795" s="9"/>
      <c r="D795" s="9"/>
      <c r="E795" s="67"/>
      <c r="F795" s="68"/>
      <c r="G795" s="68"/>
      <c r="H795" s="69"/>
      <c r="I795" s="69"/>
      <c r="J795" s="69"/>
      <c r="K795" s="69"/>
      <c r="L795" s="69"/>
      <c r="M795" s="69"/>
      <c r="N795" s="69"/>
      <c r="O795" s="23"/>
      <c r="P795" s="23"/>
      <c r="Q795" s="9"/>
      <c r="R795" s="9"/>
      <c r="S795" s="9"/>
      <c r="T795" s="9"/>
      <c r="U795" s="9"/>
      <c r="V795" s="9"/>
      <c r="W795" s="9"/>
      <c r="X795" s="9"/>
      <c r="Y795" s="9"/>
      <c r="Z795" s="9"/>
      <c r="AA795" s="9"/>
      <c r="AB795" s="9"/>
      <c r="AC795" s="9"/>
      <c r="AD795" s="25"/>
      <c r="AE795" s="25"/>
      <c r="AF795" s="9"/>
      <c r="AG795" s="9"/>
      <c r="AH795" s="9"/>
      <c r="AI795" s="9"/>
    </row>
    <row r="796" ht="15.75" customHeight="1">
      <c r="A796" s="9"/>
      <c r="B796" s="9"/>
      <c r="C796" s="9"/>
      <c r="D796" s="9"/>
      <c r="E796" s="67"/>
      <c r="F796" s="68"/>
      <c r="G796" s="68"/>
      <c r="H796" s="69"/>
      <c r="I796" s="69"/>
      <c r="J796" s="69"/>
      <c r="K796" s="69"/>
      <c r="L796" s="69"/>
      <c r="M796" s="69"/>
      <c r="N796" s="69"/>
      <c r="O796" s="23"/>
      <c r="P796" s="23"/>
      <c r="Q796" s="9"/>
      <c r="R796" s="9"/>
      <c r="S796" s="9"/>
      <c r="T796" s="9"/>
      <c r="U796" s="9"/>
      <c r="V796" s="9"/>
      <c r="W796" s="9"/>
      <c r="X796" s="9"/>
      <c r="Y796" s="9"/>
      <c r="Z796" s="9"/>
      <c r="AA796" s="9"/>
      <c r="AB796" s="9"/>
      <c r="AC796" s="9"/>
      <c r="AD796" s="25"/>
      <c r="AE796" s="25"/>
      <c r="AF796" s="9"/>
      <c r="AG796" s="9"/>
      <c r="AH796" s="9"/>
      <c r="AI796" s="9"/>
    </row>
    <row r="797" ht="15.75" customHeight="1">
      <c r="A797" s="9"/>
      <c r="B797" s="9"/>
      <c r="C797" s="9"/>
      <c r="D797" s="9"/>
      <c r="E797" s="67"/>
      <c r="F797" s="68"/>
      <c r="G797" s="68"/>
      <c r="H797" s="69"/>
      <c r="I797" s="69"/>
      <c r="J797" s="69"/>
      <c r="K797" s="69"/>
      <c r="L797" s="69"/>
      <c r="M797" s="69"/>
      <c r="N797" s="69"/>
      <c r="O797" s="23"/>
      <c r="P797" s="23"/>
      <c r="Q797" s="9"/>
      <c r="R797" s="9"/>
      <c r="S797" s="9"/>
      <c r="T797" s="9"/>
      <c r="U797" s="9"/>
      <c r="V797" s="9"/>
      <c r="W797" s="9"/>
      <c r="X797" s="9"/>
      <c r="Y797" s="9"/>
      <c r="Z797" s="9"/>
      <c r="AA797" s="9"/>
      <c r="AB797" s="9"/>
      <c r="AC797" s="9"/>
      <c r="AD797" s="25"/>
      <c r="AE797" s="25"/>
      <c r="AF797" s="9"/>
      <c r="AG797" s="9"/>
      <c r="AH797" s="9"/>
      <c r="AI797" s="9"/>
    </row>
    <row r="798" ht="15.75" customHeight="1">
      <c r="A798" s="9"/>
      <c r="B798" s="9"/>
      <c r="C798" s="9"/>
      <c r="D798" s="9"/>
      <c r="E798" s="67"/>
      <c r="F798" s="68"/>
      <c r="G798" s="68"/>
      <c r="H798" s="69"/>
      <c r="I798" s="69"/>
      <c r="J798" s="69"/>
      <c r="K798" s="69"/>
      <c r="L798" s="69"/>
      <c r="M798" s="69"/>
      <c r="N798" s="69"/>
      <c r="O798" s="23"/>
      <c r="P798" s="23"/>
      <c r="Q798" s="9"/>
      <c r="R798" s="9"/>
      <c r="S798" s="9"/>
      <c r="T798" s="9"/>
      <c r="U798" s="9"/>
      <c r="V798" s="9"/>
      <c r="W798" s="9"/>
      <c r="X798" s="9"/>
      <c r="Y798" s="9"/>
      <c r="Z798" s="9"/>
      <c r="AA798" s="9"/>
      <c r="AB798" s="9"/>
      <c r="AC798" s="9"/>
      <c r="AD798" s="25"/>
      <c r="AE798" s="25"/>
      <c r="AF798" s="9"/>
      <c r="AG798" s="9"/>
      <c r="AH798" s="9"/>
      <c r="AI798" s="9"/>
    </row>
    <row r="799" ht="15.75" customHeight="1">
      <c r="A799" s="9"/>
      <c r="B799" s="9"/>
      <c r="C799" s="9"/>
      <c r="D799" s="9"/>
      <c r="E799" s="67"/>
      <c r="F799" s="68"/>
      <c r="G799" s="68"/>
      <c r="H799" s="69"/>
      <c r="I799" s="69"/>
      <c r="J799" s="69"/>
      <c r="K799" s="69"/>
      <c r="L799" s="69"/>
      <c r="M799" s="69"/>
      <c r="N799" s="69"/>
      <c r="O799" s="23"/>
      <c r="P799" s="23"/>
      <c r="Q799" s="9"/>
      <c r="R799" s="9"/>
      <c r="S799" s="9"/>
      <c r="T799" s="9"/>
      <c r="U799" s="9"/>
      <c r="V799" s="9"/>
      <c r="W799" s="9"/>
      <c r="X799" s="9"/>
      <c r="Y799" s="9"/>
      <c r="Z799" s="9"/>
      <c r="AA799" s="9"/>
      <c r="AB799" s="9"/>
      <c r="AC799" s="9"/>
      <c r="AD799" s="25"/>
      <c r="AE799" s="25"/>
      <c r="AF799" s="9"/>
      <c r="AG799" s="9"/>
      <c r="AH799" s="9"/>
      <c r="AI799" s="9"/>
    </row>
    <row r="800" ht="15.75" customHeight="1">
      <c r="A800" s="9"/>
      <c r="B800" s="9"/>
      <c r="C800" s="9"/>
      <c r="D800" s="9"/>
      <c r="E800" s="67"/>
      <c r="F800" s="68"/>
      <c r="G800" s="68"/>
      <c r="H800" s="69"/>
      <c r="I800" s="69"/>
      <c r="J800" s="69"/>
      <c r="K800" s="69"/>
      <c r="L800" s="69"/>
      <c r="M800" s="69"/>
      <c r="N800" s="69"/>
      <c r="O800" s="23"/>
      <c r="P800" s="23"/>
      <c r="Q800" s="9"/>
      <c r="R800" s="9"/>
      <c r="S800" s="9"/>
      <c r="T800" s="9"/>
      <c r="U800" s="9"/>
      <c r="V800" s="9"/>
      <c r="W800" s="9"/>
      <c r="X800" s="9"/>
      <c r="Y800" s="9"/>
      <c r="Z800" s="9"/>
      <c r="AA800" s="9"/>
      <c r="AB800" s="9"/>
      <c r="AC800" s="9"/>
      <c r="AD800" s="25"/>
      <c r="AE800" s="25"/>
      <c r="AF800" s="9"/>
      <c r="AG800" s="9"/>
      <c r="AH800" s="9"/>
      <c r="AI800" s="9"/>
    </row>
    <row r="801" ht="15.75" customHeight="1">
      <c r="A801" s="9"/>
      <c r="B801" s="9"/>
      <c r="C801" s="9"/>
      <c r="D801" s="9"/>
      <c r="E801" s="67"/>
      <c r="F801" s="68"/>
      <c r="G801" s="68"/>
      <c r="H801" s="69"/>
      <c r="I801" s="69"/>
      <c r="J801" s="69"/>
      <c r="K801" s="69"/>
      <c r="L801" s="69"/>
      <c r="M801" s="69"/>
      <c r="N801" s="69"/>
      <c r="O801" s="23"/>
      <c r="P801" s="23"/>
      <c r="Q801" s="9"/>
      <c r="R801" s="9"/>
      <c r="S801" s="9"/>
      <c r="T801" s="9"/>
      <c r="U801" s="9"/>
      <c r="V801" s="9"/>
      <c r="W801" s="9"/>
      <c r="X801" s="9"/>
      <c r="Y801" s="9"/>
      <c r="Z801" s="9"/>
      <c r="AA801" s="9"/>
      <c r="AB801" s="9"/>
      <c r="AC801" s="9"/>
      <c r="AD801" s="25"/>
      <c r="AE801" s="25"/>
      <c r="AF801" s="9"/>
      <c r="AG801" s="9"/>
      <c r="AH801" s="9"/>
      <c r="AI801" s="9"/>
    </row>
    <row r="802" ht="15.75" customHeight="1">
      <c r="A802" s="9"/>
      <c r="B802" s="9"/>
      <c r="C802" s="9"/>
      <c r="D802" s="9"/>
      <c r="E802" s="67"/>
      <c r="F802" s="68"/>
      <c r="G802" s="68"/>
      <c r="H802" s="69"/>
      <c r="I802" s="69"/>
      <c r="J802" s="69"/>
      <c r="K802" s="69"/>
      <c r="L802" s="69"/>
      <c r="M802" s="69"/>
      <c r="N802" s="69"/>
      <c r="O802" s="23"/>
      <c r="P802" s="23"/>
      <c r="Q802" s="9"/>
      <c r="R802" s="9"/>
      <c r="S802" s="9"/>
      <c r="T802" s="9"/>
      <c r="U802" s="9"/>
      <c r="V802" s="9"/>
      <c r="W802" s="9"/>
      <c r="X802" s="9"/>
      <c r="Y802" s="9"/>
      <c r="Z802" s="9"/>
      <c r="AA802" s="9"/>
      <c r="AB802" s="9"/>
      <c r="AC802" s="9"/>
      <c r="AD802" s="25"/>
      <c r="AE802" s="25"/>
      <c r="AF802" s="9"/>
      <c r="AG802" s="9"/>
      <c r="AH802" s="9"/>
      <c r="AI802" s="9"/>
    </row>
    <row r="803" ht="15.75" customHeight="1">
      <c r="A803" s="9"/>
      <c r="B803" s="9"/>
      <c r="C803" s="9"/>
      <c r="D803" s="9"/>
      <c r="E803" s="67"/>
      <c r="F803" s="68"/>
      <c r="G803" s="68"/>
      <c r="H803" s="69"/>
      <c r="I803" s="69"/>
      <c r="J803" s="69"/>
      <c r="K803" s="69"/>
      <c r="L803" s="69"/>
      <c r="M803" s="69"/>
      <c r="N803" s="69"/>
      <c r="O803" s="23"/>
      <c r="P803" s="23"/>
      <c r="Q803" s="9"/>
      <c r="R803" s="9"/>
      <c r="S803" s="9"/>
      <c r="T803" s="9"/>
      <c r="U803" s="9"/>
      <c r="V803" s="9"/>
      <c r="W803" s="9"/>
      <c r="X803" s="9"/>
      <c r="Y803" s="9"/>
      <c r="Z803" s="9"/>
      <c r="AA803" s="9"/>
      <c r="AB803" s="9"/>
      <c r="AC803" s="9"/>
      <c r="AD803" s="25"/>
      <c r="AE803" s="25"/>
      <c r="AF803" s="9"/>
      <c r="AG803" s="9"/>
      <c r="AH803" s="9"/>
      <c r="AI803" s="9"/>
    </row>
    <row r="804" ht="15.75" customHeight="1">
      <c r="A804" s="9"/>
      <c r="B804" s="9"/>
      <c r="C804" s="9"/>
      <c r="D804" s="9"/>
      <c r="E804" s="67"/>
      <c r="F804" s="68"/>
      <c r="G804" s="68"/>
      <c r="H804" s="69"/>
      <c r="I804" s="69"/>
      <c r="J804" s="69"/>
      <c r="K804" s="69"/>
      <c r="L804" s="69"/>
      <c r="M804" s="69"/>
      <c r="N804" s="69"/>
      <c r="O804" s="23"/>
      <c r="P804" s="23"/>
      <c r="Q804" s="9"/>
      <c r="R804" s="9"/>
      <c r="S804" s="9"/>
      <c r="T804" s="9"/>
      <c r="U804" s="9"/>
      <c r="V804" s="9"/>
      <c r="W804" s="9"/>
      <c r="X804" s="9"/>
      <c r="Y804" s="9"/>
      <c r="Z804" s="9"/>
      <c r="AA804" s="9"/>
      <c r="AB804" s="9"/>
      <c r="AC804" s="9"/>
      <c r="AD804" s="25"/>
      <c r="AE804" s="25"/>
      <c r="AF804" s="9"/>
      <c r="AG804" s="9"/>
      <c r="AH804" s="9"/>
      <c r="AI804" s="9"/>
    </row>
    <row r="805" ht="15.75" customHeight="1">
      <c r="A805" s="9"/>
      <c r="B805" s="9"/>
      <c r="C805" s="9"/>
      <c r="D805" s="9"/>
      <c r="E805" s="67"/>
      <c r="F805" s="68"/>
      <c r="G805" s="68"/>
      <c r="H805" s="69"/>
      <c r="I805" s="69"/>
      <c r="J805" s="69"/>
      <c r="K805" s="69"/>
      <c r="L805" s="69"/>
      <c r="M805" s="69"/>
      <c r="N805" s="69"/>
      <c r="O805" s="23"/>
      <c r="P805" s="23"/>
      <c r="Q805" s="9"/>
      <c r="R805" s="9"/>
      <c r="S805" s="9"/>
      <c r="T805" s="9"/>
      <c r="U805" s="9"/>
      <c r="V805" s="9"/>
      <c r="W805" s="9"/>
      <c r="X805" s="9"/>
      <c r="Y805" s="9"/>
      <c r="Z805" s="9"/>
      <c r="AA805" s="9"/>
      <c r="AB805" s="9"/>
      <c r="AC805" s="9"/>
      <c r="AD805" s="25"/>
      <c r="AE805" s="25"/>
      <c r="AF805" s="9"/>
      <c r="AG805" s="9"/>
      <c r="AH805" s="9"/>
      <c r="AI805" s="9"/>
    </row>
    <row r="806" ht="15.75" customHeight="1">
      <c r="A806" s="9"/>
      <c r="B806" s="9"/>
      <c r="C806" s="9"/>
      <c r="D806" s="9"/>
      <c r="E806" s="67"/>
      <c r="F806" s="68"/>
      <c r="G806" s="68"/>
      <c r="H806" s="69"/>
      <c r="I806" s="69"/>
      <c r="J806" s="69"/>
      <c r="K806" s="69"/>
      <c r="L806" s="69"/>
      <c r="M806" s="70"/>
      <c r="N806" s="69"/>
      <c r="O806" s="23"/>
      <c r="P806" s="23"/>
      <c r="Q806" s="9"/>
      <c r="R806" s="9"/>
      <c r="S806" s="9"/>
      <c r="T806" s="9"/>
      <c r="U806" s="9"/>
      <c r="V806" s="9"/>
      <c r="W806" s="9"/>
      <c r="X806" s="9"/>
      <c r="Y806" s="9"/>
      <c r="Z806" s="9"/>
      <c r="AA806" s="9"/>
      <c r="AB806" s="9"/>
      <c r="AC806" s="9"/>
      <c r="AD806" s="25"/>
      <c r="AE806" s="25"/>
      <c r="AF806" s="9"/>
      <c r="AG806" s="9"/>
      <c r="AH806" s="9"/>
      <c r="AI806" s="9"/>
    </row>
    <row r="807" ht="15.75" customHeight="1">
      <c r="A807" s="9"/>
      <c r="B807" s="9"/>
      <c r="C807" s="9"/>
      <c r="D807" s="9"/>
      <c r="E807" s="67"/>
      <c r="F807" s="68"/>
      <c r="G807" s="68"/>
      <c r="H807" s="69"/>
      <c r="I807" s="69"/>
      <c r="J807" s="69"/>
      <c r="K807" s="69"/>
      <c r="L807" s="69"/>
      <c r="M807" s="70"/>
      <c r="N807" s="69"/>
      <c r="O807" s="23"/>
      <c r="P807" s="23"/>
      <c r="Q807" s="9"/>
      <c r="R807" s="9"/>
      <c r="S807" s="9"/>
      <c r="T807" s="9"/>
      <c r="U807" s="9"/>
      <c r="V807" s="9"/>
      <c r="W807" s="9"/>
      <c r="X807" s="9"/>
      <c r="Y807" s="9"/>
      <c r="Z807" s="9"/>
      <c r="AA807" s="9"/>
      <c r="AB807" s="9"/>
      <c r="AC807" s="9"/>
      <c r="AD807" s="25"/>
      <c r="AE807" s="25"/>
      <c r="AF807" s="9"/>
      <c r="AG807" s="9"/>
      <c r="AH807" s="9"/>
      <c r="AI807" s="9"/>
    </row>
    <row r="808" ht="15.75" customHeight="1">
      <c r="A808" s="9"/>
      <c r="B808" s="9"/>
      <c r="C808" s="9"/>
      <c r="D808" s="9"/>
      <c r="E808" s="67"/>
      <c r="F808" s="68"/>
      <c r="G808" s="68"/>
      <c r="H808" s="69"/>
      <c r="I808" s="69"/>
      <c r="J808" s="69"/>
      <c r="K808" s="69"/>
      <c r="L808" s="69"/>
      <c r="M808" s="70"/>
      <c r="N808" s="69"/>
      <c r="O808" s="23"/>
      <c r="P808" s="23"/>
      <c r="Q808" s="9"/>
      <c r="R808" s="9"/>
      <c r="S808" s="9"/>
      <c r="T808" s="9"/>
      <c r="U808" s="9"/>
      <c r="V808" s="9"/>
      <c r="W808" s="9"/>
      <c r="X808" s="9"/>
      <c r="Y808" s="9"/>
      <c r="Z808" s="9"/>
      <c r="AA808" s="9"/>
      <c r="AB808" s="9"/>
      <c r="AC808" s="9"/>
      <c r="AD808" s="25"/>
      <c r="AE808" s="25"/>
      <c r="AF808" s="9"/>
      <c r="AG808" s="9"/>
      <c r="AH808" s="9"/>
      <c r="AI808" s="9"/>
    </row>
    <row r="809" ht="15.75" customHeight="1">
      <c r="A809" s="9"/>
      <c r="B809" s="9"/>
      <c r="C809" s="9"/>
      <c r="D809" s="9"/>
      <c r="E809" s="67"/>
      <c r="F809" s="68"/>
      <c r="G809" s="68"/>
      <c r="H809" s="69"/>
      <c r="I809" s="69"/>
      <c r="J809" s="69"/>
      <c r="K809" s="69"/>
      <c r="L809" s="69"/>
      <c r="M809" s="70"/>
      <c r="N809" s="69"/>
      <c r="O809" s="23"/>
      <c r="P809" s="23"/>
      <c r="Q809" s="9"/>
      <c r="R809" s="9"/>
      <c r="S809" s="9"/>
      <c r="T809" s="9"/>
      <c r="U809" s="9"/>
      <c r="V809" s="9"/>
      <c r="W809" s="9"/>
      <c r="X809" s="9"/>
      <c r="Y809" s="9"/>
      <c r="Z809" s="9"/>
      <c r="AA809" s="9"/>
      <c r="AB809" s="9"/>
      <c r="AC809" s="9"/>
      <c r="AD809" s="25"/>
      <c r="AE809" s="25"/>
      <c r="AF809" s="9"/>
      <c r="AG809" s="9"/>
      <c r="AH809" s="9"/>
      <c r="AI809" s="9"/>
    </row>
    <row r="810" ht="15.75" customHeight="1">
      <c r="A810" s="9"/>
      <c r="B810" s="9"/>
      <c r="C810" s="9"/>
      <c r="D810" s="9"/>
      <c r="E810" s="67"/>
      <c r="F810" s="68"/>
      <c r="G810" s="68"/>
      <c r="H810" s="69"/>
      <c r="I810" s="69"/>
      <c r="J810" s="69"/>
      <c r="K810" s="69"/>
      <c r="L810" s="69"/>
      <c r="M810" s="70"/>
      <c r="N810" s="69"/>
      <c r="O810" s="23"/>
      <c r="P810" s="23"/>
      <c r="Q810" s="9"/>
      <c r="R810" s="9"/>
      <c r="S810" s="9"/>
      <c r="T810" s="9"/>
      <c r="U810" s="9"/>
      <c r="V810" s="9"/>
      <c r="W810" s="9"/>
      <c r="X810" s="9"/>
      <c r="Y810" s="9"/>
      <c r="Z810" s="9"/>
      <c r="AA810" s="9"/>
      <c r="AB810" s="9"/>
      <c r="AC810" s="9"/>
      <c r="AD810" s="25"/>
      <c r="AE810" s="25"/>
      <c r="AF810" s="9"/>
      <c r="AG810" s="9"/>
      <c r="AH810" s="9"/>
      <c r="AI810" s="9"/>
    </row>
    <row r="811" ht="15.75" customHeight="1">
      <c r="A811" s="9"/>
      <c r="B811" s="9"/>
      <c r="C811" s="9"/>
      <c r="D811" s="9"/>
      <c r="E811" s="67"/>
      <c r="F811" s="68"/>
      <c r="G811" s="68"/>
      <c r="H811" s="69"/>
      <c r="I811" s="69"/>
      <c r="J811" s="69"/>
      <c r="K811" s="69"/>
      <c r="L811" s="69"/>
      <c r="M811" s="70"/>
      <c r="N811" s="69"/>
      <c r="O811" s="23"/>
      <c r="P811" s="23"/>
      <c r="Q811" s="9"/>
      <c r="R811" s="9"/>
      <c r="S811" s="9"/>
      <c r="T811" s="9"/>
      <c r="U811" s="9"/>
      <c r="V811" s="9"/>
      <c r="W811" s="9"/>
      <c r="X811" s="9"/>
      <c r="Y811" s="9"/>
      <c r="Z811" s="9"/>
      <c r="AA811" s="9"/>
      <c r="AB811" s="9"/>
      <c r="AC811" s="9"/>
      <c r="AD811" s="25"/>
      <c r="AE811" s="25"/>
      <c r="AF811" s="9"/>
      <c r="AG811" s="9"/>
      <c r="AH811" s="9"/>
      <c r="AI811" s="9"/>
    </row>
    <row r="812" ht="15.75" customHeight="1">
      <c r="A812" s="9"/>
      <c r="B812" s="9"/>
      <c r="C812" s="9"/>
      <c r="D812" s="9"/>
      <c r="E812" s="67"/>
      <c r="F812" s="68"/>
      <c r="G812" s="68"/>
      <c r="H812" s="69"/>
      <c r="I812" s="69"/>
      <c r="J812" s="69"/>
      <c r="K812" s="69"/>
      <c r="L812" s="69"/>
      <c r="M812" s="70"/>
      <c r="N812" s="69"/>
      <c r="O812" s="23"/>
      <c r="P812" s="23"/>
      <c r="Q812" s="9"/>
      <c r="R812" s="9"/>
      <c r="S812" s="9"/>
      <c r="T812" s="9"/>
      <c r="U812" s="9"/>
      <c r="V812" s="9"/>
      <c r="W812" s="9"/>
      <c r="X812" s="9"/>
      <c r="Y812" s="9"/>
      <c r="Z812" s="9"/>
      <c r="AA812" s="9"/>
      <c r="AB812" s="9"/>
      <c r="AC812" s="9"/>
      <c r="AD812" s="25"/>
      <c r="AE812" s="25"/>
      <c r="AF812" s="9"/>
      <c r="AG812" s="9"/>
      <c r="AH812" s="9"/>
      <c r="AI812" s="9"/>
    </row>
    <row r="813" ht="15.75" customHeight="1">
      <c r="A813" s="9"/>
      <c r="B813" s="9"/>
      <c r="C813" s="9"/>
      <c r="D813" s="9"/>
      <c r="E813" s="67"/>
      <c r="F813" s="68"/>
      <c r="G813" s="68"/>
      <c r="H813" s="69"/>
      <c r="I813" s="69"/>
      <c r="J813" s="69"/>
      <c r="K813" s="69"/>
      <c r="L813" s="69"/>
      <c r="M813" s="70"/>
      <c r="N813" s="69"/>
      <c r="O813" s="23"/>
      <c r="P813" s="23"/>
      <c r="Q813" s="9"/>
      <c r="R813" s="9"/>
      <c r="S813" s="9"/>
      <c r="T813" s="9"/>
      <c r="U813" s="9"/>
      <c r="V813" s="9"/>
      <c r="W813" s="9"/>
      <c r="X813" s="9"/>
      <c r="Y813" s="9"/>
      <c r="Z813" s="9"/>
      <c r="AA813" s="9"/>
      <c r="AB813" s="9"/>
      <c r="AC813" s="9"/>
      <c r="AD813" s="25"/>
      <c r="AE813" s="25"/>
      <c r="AF813" s="9"/>
      <c r="AG813" s="9"/>
      <c r="AH813" s="9"/>
      <c r="AI813" s="9"/>
    </row>
    <row r="814" ht="15.75" customHeight="1">
      <c r="A814" s="9"/>
      <c r="B814" s="9"/>
      <c r="C814" s="9"/>
      <c r="D814" s="9"/>
      <c r="E814" s="67"/>
      <c r="F814" s="68"/>
      <c r="G814" s="68"/>
      <c r="H814" s="69"/>
      <c r="I814" s="69"/>
      <c r="J814" s="69"/>
      <c r="K814" s="69"/>
      <c r="L814" s="69"/>
      <c r="M814" s="70"/>
      <c r="N814" s="69"/>
      <c r="O814" s="23"/>
      <c r="P814" s="23"/>
      <c r="Q814" s="9"/>
      <c r="R814" s="9"/>
      <c r="S814" s="9"/>
      <c r="T814" s="9"/>
      <c r="U814" s="9"/>
      <c r="V814" s="9"/>
      <c r="W814" s="9"/>
      <c r="X814" s="9"/>
      <c r="Y814" s="9"/>
      <c r="Z814" s="9"/>
      <c r="AA814" s="9"/>
      <c r="AB814" s="9"/>
      <c r="AC814" s="9"/>
      <c r="AD814" s="25"/>
      <c r="AE814" s="25"/>
      <c r="AF814" s="9"/>
      <c r="AG814" s="9"/>
      <c r="AH814" s="9"/>
      <c r="AI814" s="9"/>
    </row>
    <row r="815" ht="15.75" customHeight="1">
      <c r="A815" s="9"/>
      <c r="B815" s="9"/>
      <c r="C815" s="9"/>
      <c r="D815" s="9"/>
      <c r="E815" s="67"/>
      <c r="F815" s="68"/>
      <c r="G815" s="68"/>
      <c r="H815" s="69"/>
      <c r="I815" s="69"/>
      <c r="J815" s="69"/>
      <c r="K815" s="69"/>
      <c r="L815" s="69"/>
      <c r="M815" s="70"/>
      <c r="N815" s="69"/>
      <c r="O815" s="23"/>
      <c r="P815" s="23"/>
      <c r="Q815" s="9"/>
      <c r="R815" s="9"/>
      <c r="S815" s="9"/>
      <c r="T815" s="9"/>
      <c r="U815" s="9"/>
      <c r="V815" s="9"/>
      <c r="W815" s="9"/>
      <c r="X815" s="9"/>
      <c r="Y815" s="9"/>
      <c r="Z815" s="9"/>
      <c r="AA815" s="9"/>
      <c r="AB815" s="9"/>
      <c r="AC815" s="9"/>
      <c r="AD815" s="25"/>
      <c r="AE815" s="25"/>
      <c r="AF815" s="9"/>
      <c r="AG815" s="9"/>
      <c r="AH815" s="9"/>
      <c r="AI815" s="9"/>
    </row>
    <row r="816" ht="15.75" customHeight="1">
      <c r="A816" s="9"/>
      <c r="B816" s="9"/>
      <c r="C816" s="9"/>
      <c r="D816" s="9"/>
      <c r="E816" s="67"/>
      <c r="F816" s="68"/>
      <c r="G816" s="68"/>
      <c r="H816" s="69"/>
      <c r="I816" s="69"/>
      <c r="J816" s="69"/>
      <c r="K816" s="69"/>
      <c r="L816" s="69"/>
      <c r="M816" s="70"/>
      <c r="N816" s="69"/>
      <c r="O816" s="23"/>
      <c r="P816" s="23"/>
      <c r="Q816" s="9"/>
      <c r="R816" s="9"/>
      <c r="S816" s="9"/>
      <c r="T816" s="9"/>
      <c r="U816" s="9"/>
      <c r="V816" s="9"/>
      <c r="W816" s="9"/>
      <c r="X816" s="9"/>
      <c r="Y816" s="9"/>
      <c r="Z816" s="9"/>
      <c r="AA816" s="9"/>
      <c r="AB816" s="9"/>
      <c r="AC816" s="9"/>
      <c r="AD816" s="25"/>
      <c r="AE816" s="25"/>
      <c r="AF816" s="9"/>
      <c r="AG816" s="9"/>
      <c r="AH816" s="9"/>
      <c r="AI816" s="9"/>
    </row>
    <row r="817" ht="15.75" customHeight="1">
      <c r="A817" s="9"/>
      <c r="B817" s="9"/>
      <c r="C817" s="9"/>
      <c r="D817" s="9"/>
      <c r="E817" s="67"/>
      <c r="F817" s="68"/>
      <c r="G817" s="68"/>
      <c r="H817" s="69"/>
      <c r="I817" s="69"/>
      <c r="J817" s="69"/>
      <c r="K817" s="69"/>
      <c r="L817" s="69"/>
      <c r="M817" s="69"/>
      <c r="N817" s="69"/>
      <c r="O817" s="23"/>
      <c r="P817" s="23"/>
      <c r="Q817" s="9"/>
      <c r="R817" s="9"/>
      <c r="S817" s="9"/>
      <c r="T817" s="9"/>
      <c r="U817" s="9"/>
      <c r="V817" s="9"/>
      <c r="W817" s="9"/>
      <c r="X817" s="9"/>
      <c r="Y817" s="9"/>
      <c r="Z817" s="9"/>
      <c r="AA817" s="9"/>
      <c r="AB817" s="9"/>
      <c r="AC817" s="9"/>
      <c r="AD817" s="25"/>
      <c r="AE817" s="25"/>
      <c r="AF817" s="9"/>
      <c r="AG817" s="9"/>
      <c r="AH817" s="9"/>
      <c r="AI817" s="9"/>
    </row>
    <row r="818" ht="15.75" customHeight="1">
      <c r="A818" s="9"/>
      <c r="B818" s="9"/>
      <c r="C818" s="9"/>
      <c r="D818" s="9"/>
      <c r="E818" s="67"/>
      <c r="F818" s="68"/>
      <c r="G818" s="68"/>
      <c r="H818" s="69"/>
      <c r="I818" s="69"/>
      <c r="J818" s="69"/>
      <c r="K818" s="69"/>
      <c r="L818" s="69"/>
      <c r="M818" s="69"/>
      <c r="N818" s="69"/>
      <c r="O818" s="23"/>
      <c r="P818" s="23"/>
      <c r="Q818" s="9"/>
      <c r="R818" s="9"/>
      <c r="S818" s="9"/>
      <c r="T818" s="9"/>
      <c r="U818" s="9"/>
      <c r="V818" s="9"/>
      <c r="W818" s="9"/>
      <c r="X818" s="9"/>
      <c r="Y818" s="9"/>
      <c r="Z818" s="9"/>
      <c r="AA818" s="9"/>
      <c r="AB818" s="9"/>
      <c r="AC818" s="9"/>
      <c r="AD818" s="25"/>
      <c r="AE818" s="25"/>
      <c r="AF818" s="9"/>
      <c r="AG818" s="9"/>
      <c r="AH818" s="9"/>
      <c r="AI818" s="9"/>
    </row>
    <row r="819" ht="15.75" customHeight="1">
      <c r="A819" s="9"/>
      <c r="B819" s="9"/>
      <c r="C819" s="9"/>
      <c r="D819" s="9"/>
      <c r="E819" s="67"/>
      <c r="F819" s="68"/>
      <c r="G819" s="68"/>
      <c r="H819" s="69"/>
      <c r="I819" s="69"/>
      <c r="J819" s="69"/>
      <c r="K819" s="69"/>
      <c r="L819" s="69"/>
      <c r="M819" s="70"/>
      <c r="N819" s="69"/>
      <c r="O819" s="23"/>
      <c r="P819" s="23"/>
      <c r="Q819" s="9"/>
      <c r="R819" s="9"/>
      <c r="S819" s="9"/>
      <c r="T819" s="9"/>
      <c r="U819" s="9"/>
      <c r="V819" s="9"/>
      <c r="W819" s="9"/>
      <c r="X819" s="9"/>
      <c r="Y819" s="9"/>
      <c r="Z819" s="9"/>
      <c r="AA819" s="9"/>
      <c r="AB819" s="9"/>
      <c r="AC819" s="9"/>
      <c r="AD819" s="25"/>
      <c r="AE819" s="25"/>
      <c r="AF819" s="9"/>
      <c r="AG819" s="9"/>
      <c r="AH819" s="9"/>
      <c r="AI819" s="9"/>
    </row>
    <row r="820" ht="15.75" customHeight="1">
      <c r="A820" s="9"/>
      <c r="B820" s="9"/>
      <c r="C820" s="9"/>
      <c r="D820" s="9"/>
      <c r="E820" s="67"/>
      <c r="F820" s="68"/>
      <c r="G820" s="68"/>
      <c r="H820" s="69"/>
      <c r="I820" s="69"/>
      <c r="J820" s="69"/>
      <c r="K820" s="69"/>
      <c r="L820" s="69"/>
      <c r="M820" s="69"/>
      <c r="N820" s="69"/>
      <c r="O820" s="23"/>
      <c r="P820" s="23"/>
      <c r="Q820" s="9"/>
      <c r="R820" s="9"/>
      <c r="S820" s="9"/>
      <c r="T820" s="9"/>
      <c r="U820" s="9"/>
      <c r="V820" s="9"/>
      <c r="W820" s="9"/>
      <c r="X820" s="9"/>
      <c r="Y820" s="9"/>
      <c r="Z820" s="9"/>
      <c r="AA820" s="9"/>
      <c r="AB820" s="9"/>
      <c r="AC820" s="9"/>
      <c r="AD820" s="25"/>
      <c r="AE820" s="25"/>
      <c r="AF820" s="9"/>
      <c r="AG820" s="9"/>
      <c r="AH820" s="9"/>
      <c r="AI820" s="9"/>
    </row>
    <row r="821" ht="15.75" customHeight="1">
      <c r="A821" s="9"/>
      <c r="B821" s="9"/>
      <c r="C821" s="9"/>
      <c r="D821" s="9"/>
      <c r="E821" s="67"/>
      <c r="F821" s="68"/>
      <c r="G821" s="68"/>
      <c r="H821" s="69"/>
      <c r="I821" s="69"/>
      <c r="J821" s="69"/>
      <c r="K821" s="69"/>
      <c r="L821" s="69"/>
      <c r="M821" s="69"/>
      <c r="N821" s="69"/>
      <c r="O821" s="23"/>
      <c r="P821" s="23"/>
      <c r="Q821" s="9"/>
      <c r="R821" s="9"/>
      <c r="S821" s="9"/>
      <c r="T821" s="9"/>
      <c r="U821" s="9"/>
      <c r="V821" s="9"/>
      <c r="W821" s="9"/>
      <c r="X821" s="9"/>
      <c r="Y821" s="9"/>
      <c r="Z821" s="9"/>
      <c r="AA821" s="9"/>
      <c r="AB821" s="9"/>
      <c r="AC821" s="9"/>
      <c r="AD821" s="25"/>
      <c r="AE821" s="25"/>
      <c r="AF821" s="9"/>
      <c r="AG821" s="9"/>
      <c r="AH821" s="9"/>
      <c r="AI821" s="9"/>
    </row>
    <row r="822" ht="15.75" customHeight="1">
      <c r="A822" s="9"/>
      <c r="B822" s="9"/>
      <c r="C822" s="9"/>
      <c r="D822" s="9"/>
      <c r="E822" s="67"/>
      <c r="F822" s="68"/>
      <c r="G822" s="68"/>
      <c r="H822" s="69"/>
      <c r="I822" s="69"/>
      <c r="J822" s="69"/>
      <c r="K822" s="69"/>
      <c r="L822" s="69"/>
      <c r="M822" s="69"/>
      <c r="N822" s="69"/>
      <c r="O822" s="23"/>
      <c r="P822" s="23"/>
      <c r="Q822" s="9"/>
      <c r="R822" s="9"/>
      <c r="S822" s="9"/>
      <c r="T822" s="9"/>
      <c r="U822" s="9"/>
      <c r="V822" s="9"/>
      <c r="W822" s="9"/>
      <c r="X822" s="9"/>
      <c r="Y822" s="9"/>
      <c r="Z822" s="9"/>
      <c r="AA822" s="9"/>
      <c r="AB822" s="9"/>
      <c r="AC822" s="9"/>
      <c r="AD822" s="25"/>
      <c r="AE822" s="25"/>
      <c r="AF822" s="9"/>
      <c r="AG822" s="9"/>
      <c r="AH822" s="9"/>
      <c r="AI822" s="9"/>
    </row>
    <row r="823" ht="15.75" customHeight="1">
      <c r="A823" s="9"/>
      <c r="B823" s="9"/>
      <c r="C823" s="9"/>
      <c r="D823" s="9"/>
      <c r="E823" s="67"/>
      <c r="F823" s="68"/>
      <c r="G823" s="68"/>
      <c r="H823" s="69"/>
      <c r="I823" s="69"/>
      <c r="J823" s="69"/>
      <c r="K823" s="69"/>
      <c r="L823" s="69"/>
      <c r="M823" s="69"/>
      <c r="N823" s="69"/>
      <c r="O823" s="23"/>
      <c r="P823" s="23"/>
      <c r="Q823" s="9"/>
      <c r="R823" s="9"/>
      <c r="S823" s="9"/>
      <c r="T823" s="9"/>
      <c r="U823" s="9"/>
      <c r="V823" s="9"/>
      <c r="W823" s="9"/>
      <c r="X823" s="9"/>
      <c r="Y823" s="9"/>
      <c r="Z823" s="9"/>
      <c r="AA823" s="9"/>
      <c r="AB823" s="9"/>
      <c r="AC823" s="9"/>
      <c r="AD823" s="25"/>
      <c r="AE823" s="25"/>
      <c r="AF823" s="9"/>
      <c r="AG823" s="9"/>
      <c r="AH823" s="9"/>
      <c r="AI823" s="9"/>
    </row>
    <row r="824" ht="15.75" customHeight="1">
      <c r="A824" s="9"/>
      <c r="B824" s="9"/>
      <c r="C824" s="9"/>
      <c r="D824" s="9"/>
      <c r="E824" s="67"/>
      <c r="F824" s="68"/>
      <c r="G824" s="68"/>
      <c r="H824" s="69"/>
      <c r="I824" s="69"/>
      <c r="J824" s="69"/>
      <c r="K824" s="69"/>
      <c r="L824" s="69"/>
      <c r="M824" s="69"/>
      <c r="N824" s="69"/>
      <c r="O824" s="23"/>
      <c r="P824" s="23"/>
      <c r="Q824" s="9"/>
      <c r="R824" s="9"/>
      <c r="S824" s="9"/>
      <c r="T824" s="9"/>
      <c r="U824" s="9"/>
      <c r="V824" s="9"/>
      <c r="W824" s="9"/>
      <c r="X824" s="9"/>
      <c r="Y824" s="9"/>
      <c r="Z824" s="9"/>
      <c r="AA824" s="9"/>
      <c r="AB824" s="9"/>
      <c r="AC824" s="9"/>
      <c r="AD824" s="25"/>
      <c r="AE824" s="25"/>
      <c r="AF824" s="9"/>
      <c r="AG824" s="9"/>
      <c r="AH824" s="9"/>
      <c r="AI824" s="9"/>
    </row>
    <row r="825" ht="15.75" customHeight="1">
      <c r="A825" s="9"/>
      <c r="B825" s="9"/>
      <c r="C825" s="9"/>
      <c r="D825" s="9"/>
      <c r="E825" s="67"/>
      <c r="F825" s="68"/>
      <c r="G825" s="68"/>
      <c r="H825" s="69"/>
      <c r="I825" s="69"/>
      <c r="J825" s="69"/>
      <c r="K825" s="69"/>
      <c r="L825" s="69"/>
      <c r="M825" s="70"/>
      <c r="N825" s="69"/>
      <c r="O825" s="23"/>
      <c r="P825" s="23"/>
      <c r="Q825" s="9"/>
      <c r="R825" s="9"/>
      <c r="S825" s="9"/>
      <c r="T825" s="9"/>
      <c r="U825" s="9"/>
      <c r="V825" s="9"/>
      <c r="W825" s="9"/>
      <c r="X825" s="9"/>
      <c r="Y825" s="9"/>
      <c r="Z825" s="9"/>
      <c r="AA825" s="9"/>
      <c r="AB825" s="9"/>
      <c r="AC825" s="9"/>
      <c r="AD825" s="25"/>
      <c r="AE825" s="25"/>
      <c r="AF825" s="9"/>
      <c r="AG825" s="9"/>
      <c r="AH825" s="9"/>
      <c r="AI825" s="9"/>
    </row>
    <row r="826" ht="15.75" customHeight="1">
      <c r="A826" s="9"/>
      <c r="B826" s="9"/>
      <c r="C826" s="9"/>
      <c r="D826" s="9"/>
      <c r="E826" s="67"/>
      <c r="F826" s="68"/>
      <c r="G826" s="68"/>
      <c r="H826" s="69"/>
      <c r="I826" s="69"/>
      <c r="J826" s="69"/>
      <c r="K826" s="69"/>
      <c r="L826" s="69"/>
      <c r="M826" s="69"/>
      <c r="N826" s="69"/>
      <c r="O826" s="23"/>
      <c r="P826" s="23"/>
      <c r="Q826" s="9"/>
      <c r="R826" s="9"/>
      <c r="S826" s="9"/>
      <c r="T826" s="9"/>
      <c r="U826" s="9"/>
      <c r="V826" s="9"/>
      <c r="W826" s="9"/>
      <c r="X826" s="9"/>
      <c r="Y826" s="9"/>
      <c r="Z826" s="9"/>
      <c r="AA826" s="9"/>
      <c r="AB826" s="9"/>
      <c r="AC826" s="9"/>
      <c r="AD826" s="25"/>
      <c r="AE826" s="25"/>
      <c r="AF826" s="9"/>
      <c r="AG826" s="9"/>
      <c r="AH826" s="9"/>
      <c r="AI826" s="9"/>
    </row>
    <row r="827" ht="15.75" customHeight="1">
      <c r="A827" s="9"/>
      <c r="B827" s="9"/>
      <c r="C827" s="9"/>
      <c r="D827" s="9"/>
      <c r="E827" s="67"/>
      <c r="F827" s="68"/>
      <c r="G827" s="68"/>
      <c r="H827" s="69"/>
      <c r="I827" s="69"/>
      <c r="J827" s="69"/>
      <c r="K827" s="69"/>
      <c r="L827" s="69"/>
      <c r="M827" s="70"/>
      <c r="N827" s="69"/>
      <c r="O827" s="23"/>
      <c r="P827" s="23"/>
      <c r="Q827" s="9"/>
      <c r="R827" s="9"/>
      <c r="S827" s="9"/>
      <c r="T827" s="9"/>
      <c r="U827" s="9"/>
      <c r="V827" s="9"/>
      <c r="W827" s="9"/>
      <c r="X827" s="9"/>
      <c r="Y827" s="9"/>
      <c r="Z827" s="9"/>
      <c r="AA827" s="9"/>
      <c r="AB827" s="9"/>
      <c r="AC827" s="9"/>
      <c r="AD827" s="25"/>
      <c r="AE827" s="25"/>
      <c r="AF827" s="9"/>
      <c r="AG827" s="9"/>
      <c r="AH827" s="9"/>
      <c r="AI827" s="9"/>
    </row>
    <row r="828" ht="15.75" customHeight="1">
      <c r="A828" s="9"/>
      <c r="B828" s="9"/>
      <c r="C828" s="9"/>
      <c r="D828" s="9"/>
      <c r="E828" s="67"/>
      <c r="F828" s="68"/>
      <c r="G828" s="68"/>
      <c r="H828" s="69"/>
      <c r="I828" s="69"/>
      <c r="J828" s="69"/>
      <c r="K828" s="69"/>
      <c r="L828" s="69"/>
      <c r="M828" s="69"/>
      <c r="N828" s="69"/>
      <c r="O828" s="23"/>
      <c r="P828" s="23"/>
      <c r="Q828" s="9"/>
      <c r="R828" s="9"/>
      <c r="S828" s="9"/>
      <c r="T828" s="9"/>
      <c r="U828" s="9"/>
      <c r="V828" s="9"/>
      <c r="W828" s="9"/>
      <c r="X828" s="9"/>
      <c r="Y828" s="9"/>
      <c r="Z828" s="9"/>
      <c r="AA828" s="9"/>
      <c r="AB828" s="9"/>
      <c r="AC828" s="9"/>
      <c r="AD828" s="25"/>
      <c r="AE828" s="25"/>
      <c r="AF828" s="9"/>
      <c r="AG828" s="9"/>
      <c r="AH828" s="9"/>
      <c r="AI828" s="9"/>
    </row>
    <row r="829" ht="15.75" customHeight="1">
      <c r="A829" s="9"/>
      <c r="B829" s="9"/>
      <c r="C829" s="9"/>
      <c r="D829" s="9"/>
      <c r="E829" s="67"/>
      <c r="F829" s="68"/>
      <c r="G829" s="68"/>
      <c r="H829" s="69"/>
      <c r="I829" s="69"/>
      <c r="J829" s="69"/>
      <c r="K829" s="69"/>
      <c r="L829" s="69"/>
      <c r="M829" s="69"/>
      <c r="N829" s="69"/>
      <c r="O829" s="23"/>
      <c r="P829" s="23"/>
      <c r="Q829" s="9"/>
      <c r="R829" s="9"/>
      <c r="S829" s="9"/>
      <c r="T829" s="9"/>
      <c r="U829" s="9"/>
      <c r="V829" s="9"/>
      <c r="W829" s="9"/>
      <c r="X829" s="9"/>
      <c r="Y829" s="9"/>
      <c r="Z829" s="9"/>
      <c r="AA829" s="9"/>
      <c r="AB829" s="9"/>
      <c r="AC829" s="9"/>
      <c r="AD829" s="25"/>
      <c r="AE829" s="25"/>
      <c r="AF829" s="9"/>
      <c r="AG829" s="9"/>
      <c r="AH829" s="9"/>
      <c r="AI829" s="9"/>
    </row>
    <row r="830" ht="15.75" customHeight="1">
      <c r="A830" s="9"/>
      <c r="B830" s="9"/>
      <c r="C830" s="9"/>
      <c r="D830" s="9"/>
      <c r="E830" s="67"/>
      <c r="F830" s="68"/>
      <c r="G830" s="68"/>
      <c r="H830" s="69"/>
      <c r="I830" s="69"/>
      <c r="J830" s="69"/>
      <c r="K830" s="69"/>
      <c r="L830" s="69"/>
      <c r="M830" s="70"/>
      <c r="N830" s="69"/>
      <c r="O830" s="23"/>
      <c r="P830" s="23"/>
      <c r="Q830" s="9"/>
      <c r="R830" s="9"/>
      <c r="S830" s="9"/>
      <c r="T830" s="9"/>
      <c r="U830" s="9"/>
      <c r="V830" s="9"/>
      <c r="W830" s="9"/>
      <c r="X830" s="9"/>
      <c r="Y830" s="9"/>
      <c r="Z830" s="9"/>
      <c r="AA830" s="9"/>
      <c r="AB830" s="9"/>
      <c r="AC830" s="9"/>
      <c r="AD830" s="25"/>
      <c r="AE830" s="25"/>
      <c r="AF830" s="9"/>
      <c r="AG830" s="9"/>
      <c r="AH830" s="9"/>
      <c r="AI830" s="9"/>
    </row>
    <row r="831" ht="15.75" customHeight="1">
      <c r="A831" s="9"/>
      <c r="B831" s="9"/>
      <c r="C831" s="9"/>
      <c r="D831" s="9"/>
      <c r="E831" s="67"/>
      <c r="F831" s="68"/>
      <c r="G831" s="68"/>
      <c r="H831" s="69"/>
      <c r="I831" s="69"/>
      <c r="J831" s="69"/>
      <c r="K831" s="69"/>
      <c r="L831" s="69"/>
      <c r="M831" s="70"/>
      <c r="N831" s="69"/>
      <c r="O831" s="23"/>
      <c r="P831" s="23"/>
      <c r="Q831" s="9"/>
      <c r="R831" s="9"/>
      <c r="S831" s="9"/>
      <c r="T831" s="9"/>
      <c r="U831" s="9"/>
      <c r="V831" s="9"/>
      <c r="W831" s="9"/>
      <c r="X831" s="9"/>
      <c r="Y831" s="9"/>
      <c r="Z831" s="9"/>
      <c r="AA831" s="9"/>
      <c r="AB831" s="9"/>
      <c r="AC831" s="9"/>
      <c r="AD831" s="25"/>
      <c r="AE831" s="25"/>
      <c r="AF831" s="9"/>
      <c r="AG831" s="9"/>
      <c r="AH831" s="9"/>
      <c r="AI831" s="9"/>
    </row>
    <row r="832" ht="15.75" customHeight="1">
      <c r="A832" s="9"/>
      <c r="B832" s="9"/>
      <c r="C832" s="9"/>
      <c r="D832" s="9"/>
      <c r="E832" s="67"/>
      <c r="F832" s="68"/>
      <c r="G832" s="68"/>
      <c r="H832" s="69"/>
      <c r="I832" s="69"/>
      <c r="J832" s="69"/>
      <c r="K832" s="69"/>
      <c r="L832" s="69"/>
      <c r="M832" s="70"/>
      <c r="N832" s="69"/>
      <c r="O832" s="23"/>
      <c r="P832" s="23"/>
      <c r="Q832" s="9"/>
      <c r="R832" s="9"/>
      <c r="S832" s="9"/>
      <c r="T832" s="9"/>
      <c r="U832" s="9"/>
      <c r="V832" s="9"/>
      <c r="W832" s="9"/>
      <c r="X832" s="9"/>
      <c r="Y832" s="9"/>
      <c r="Z832" s="9"/>
      <c r="AA832" s="9"/>
      <c r="AB832" s="9"/>
      <c r="AC832" s="9"/>
      <c r="AD832" s="25"/>
      <c r="AE832" s="25"/>
      <c r="AF832" s="9"/>
      <c r="AG832" s="9"/>
      <c r="AH832" s="9"/>
      <c r="AI832" s="9"/>
    </row>
    <row r="833" ht="15.75" customHeight="1">
      <c r="A833" s="9"/>
      <c r="B833" s="9"/>
      <c r="C833" s="9"/>
      <c r="D833" s="9"/>
      <c r="E833" s="67"/>
      <c r="F833" s="68"/>
      <c r="G833" s="68"/>
      <c r="H833" s="69"/>
      <c r="I833" s="69"/>
      <c r="J833" s="69"/>
      <c r="K833" s="69"/>
      <c r="L833" s="69"/>
      <c r="M833" s="70"/>
      <c r="N833" s="69"/>
      <c r="O833" s="23"/>
      <c r="P833" s="23"/>
      <c r="Q833" s="9"/>
      <c r="R833" s="9"/>
      <c r="S833" s="9"/>
      <c r="T833" s="9"/>
      <c r="U833" s="9"/>
      <c r="V833" s="9"/>
      <c r="W833" s="9"/>
      <c r="X833" s="9"/>
      <c r="Y833" s="9"/>
      <c r="Z833" s="9"/>
      <c r="AA833" s="9"/>
      <c r="AB833" s="9"/>
      <c r="AC833" s="9"/>
      <c r="AD833" s="25"/>
      <c r="AE833" s="25"/>
      <c r="AF833" s="9"/>
      <c r="AG833" s="9"/>
      <c r="AH833" s="9"/>
      <c r="AI833" s="9"/>
    </row>
    <row r="834" ht="15.75" customHeight="1">
      <c r="A834" s="9"/>
      <c r="B834" s="9"/>
      <c r="C834" s="9"/>
      <c r="D834" s="9"/>
      <c r="E834" s="67"/>
      <c r="F834" s="68"/>
      <c r="G834" s="68"/>
      <c r="H834" s="69"/>
      <c r="I834" s="69"/>
      <c r="J834" s="69"/>
      <c r="K834" s="69"/>
      <c r="L834" s="69"/>
      <c r="M834" s="70"/>
      <c r="N834" s="69"/>
      <c r="O834" s="23"/>
      <c r="P834" s="23"/>
      <c r="Q834" s="9"/>
      <c r="R834" s="9"/>
      <c r="S834" s="9"/>
      <c r="T834" s="9"/>
      <c r="U834" s="9"/>
      <c r="V834" s="9"/>
      <c r="W834" s="9"/>
      <c r="X834" s="9"/>
      <c r="Y834" s="9"/>
      <c r="Z834" s="9"/>
      <c r="AA834" s="9"/>
      <c r="AB834" s="9"/>
      <c r="AC834" s="9"/>
      <c r="AD834" s="25"/>
      <c r="AE834" s="25"/>
      <c r="AF834" s="9"/>
      <c r="AG834" s="9"/>
      <c r="AH834" s="9"/>
      <c r="AI834" s="9"/>
    </row>
    <row r="835" ht="15.75" customHeight="1">
      <c r="A835" s="9"/>
      <c r="B835" s="9"/>
      <c r="C835" s="9"/>
      <c r="D835" s="9"/>
      <c r="E835" s="67"/>
      <c r="F835" s="68"/>
      <c r="G835" s="68"/>
      <c r="H835" s="69"/>
      <c r="I835" s="69"/>
      <c r="J835" s="69"/>
      <c r="K835" s="69"/>
      <c r="L835" s="69"/>
      <c r="M835" s="70"/>
      <c r="N835" s="69"/>
      <c r="O835" s="23"/>
      <c r="P835" s="23"/>
      <c r="Q835" s="9"/>
      <c r="R835" s="9"/>
      <c r="S835" s="9"/>
      <c r="T835" s="9"/>
      <c r="U835" s="9"/>
      <c r="V835" s="9"/>
      <c r="W835" s="9"/>
      <c r="X835" s="9"/>
      <c r="Y835" s="9"/>
      <c r="Z835" s="9"/>
      <c r="AA835" s="9"/>
      <c r="AB835" s="9"/>
      <c r="AC835" s="9"/>
      <c r="AD835" s="25"/>
      <c r="AE835" s="25"/>
      <c r="AF835" s="9"/>
      <c r="AG835" s="9"/>
      <c r="AH835" s="9"/>
      <c r="AI835" s="9"/>
    </row>
    <row r="836" ht="15.75" customHeight="1">
      <c r="A836" s="9"/>
      <c r="B836" s="9"/>
      <c r="C836" s="9"/>
      <c r="D836" s="9"/>
      <c r="E836" s="67"/>
      <c r="F836" s="68"/>
      <c r="G836" s="68"/>
      <c r="H836" s="69"/>
      <c r="I836" s="69"/>
      <c r="J836" s="69"/>
      <c r="K836" s="69"/>
      <c r="L836" s="69"/>
      <c r="M836" s="69"/>
      <c r="N836" s="69"/>
      <c r="O836" s="23"/>
      <c r="P836" s="23"/>
      <c r="Q836" s="9"/>
      <c r="R836" s="9"/>
      <c r="S836" s="9"/>
      <c r="T836" s="9"/>
      <c r="U836" s="9"/>
      <c r="V836" s="9"/>
      <c r="W836" s="9"/>
      <c r="X836" s="9"/>
      <c r="Y836" s="9"/>
      <c r="Z836" s="9"/>
      <c r="AA836" s="9"/>
      <c r="AB836" s="9"/>
      <c r="AC836" s="9"/>
      <c r="AD836" s="25"/>
      <c r="AE836" s="25"/>
      <c r="AF836" s="9"/>
      <c r="AG836" s="9"/>
      <c r="AH836" s="9"/>
      <c r="AI836" s="9"/>
    </row>
    <row r="837" ht="15.75" customHeight="1">
      <c r="A837" s="9"/>
      <c r="B837" s="9"/>
      <c r="C837" s="9"/>
      <c r="D837" s="9"/>
      <c r="E837" s="67"/>
      <c r="F837" s="68"/>
      <c r="G837" s="68"/>
      <c r="H837" s="69"/>
      <c r="I837" s="69"/>
      <c r="J837" s="69"/>
      <c r="K837" s="69"/>
      <c r="L837" s="69"/>
      <c r="M837" s="70"/>
      <c r="N837" s="69"/>
      <c r="O837" s="23"/>
      <c r="P837" s="23"/>
      <c r="Q837" s="9"/>
      <c r="R837" s="9"/>
      <c r="S837" s="9"/>
      <c r="T837" s="9"/>
      <c r="U837" s="9"/>
      <c r="V837" s="9"/>
      <c r="W837" s="9"/>
      <c r="X837" s="9"/>
      <c r="Y837" s="9"/>
      <c r="Z837" s="9"/>
      <c r="AA837" s="9"/>
      <c r="AB837" s="9"/>
      <c r="AC837" s="9"/>
      <c r="AD837" s="25"/>
      <c r="AE837" s="25"/>
      <c r="AF837" s="9"/>
      <c r="AG837" s="9"/>
      <c r="AH837" s="9"/>
      <c r="AI837" s="9"/>
    </row>
    <row r="838" ht="15.75" customHeight="1">
      <c r="A838" s="9"/>
      <c r="B838" s="9"/>
      <c r="C838" s="9"/>
      <c r="D838" s="9"/>
      <c r="E838" s="67"/>
      <c r="F838" s="68"/>
      <c r="G838" s="68"/>
      <c r="H838" s="69"/>
      <c r="I838" s="69"/>
      <c r="J838" s="69"/>
      <c r="K838" s="69"/>
      <c r="L838" s="69"/>
      <c r="M838" s="70"/>
      <c r="N838" s="69"/>
      <c r="O838" s="23"/>
      <c r="P838" s="23"/>
      <c r="Q838" s="9"/>
      <c r="R838" s="9"/>
      <c r="S838" s="9"/>
      <c r="T838" s="9"/>
      <c r="U838" s="9"/>
      <c r="V838" s="9"/>
      <c r="W838" s="9"/>
      <c r="X838" s="9"/>
      <c r="Y838" s="9"/>
      <c r="Z838" s="9"/>
      <c r="AA838" s="9"/>
      <c r="AB838" s="9"/>
      <c r="AC838" s="9"/>
      <c r="AD838" s="25"/>
      <c r="AE838" s="25"/>
      <c r="AF838" s="9"/>
      <c r="AG838" s="9"/>
      <c r="AH838" s="9"/>
      <c r="AI838" s="9"/>
    </row>
    <row r="839" ht="15.75" customHeight="1">
      <c r="A839" s="9"/>
      <c r="B839" s="9"/>
      <c r="C839" s="9"/>
      <c r="D839" s="9"/>
      <c r="E839" s="67"/>
      <c r="F839" s="68"/>
      <c r="G839" s="68"/>
      <c r="H839" s="69"/>
      <c r="I839" s="69"/>
      <c r="J839" s="69"/>
      <c r="K839" s="69"/>
      <c r="L839" s="69"/>
      <c r="M839" s="70"/>
      <c r="N839" s="69"/>
      <c r="O839" s="23"/>
      <c r="P839" s="23"/>
      <c r="Q839" s="9"/>
      <c r="R839" s="9"/>
      <c r="S839" s="9"/>
      <c r="T839" s="9"/>
      <c r="U839" s="9"/>
      <c r="V839" s="9"/>
      <c r="W839" s="9"/>
      <c r="X839" s="9"/>
      <c r="Y839" s="9"/>
      <c r="Z839" s="9"/>
      <c r="AA839" s="9"/>
      <c r="AB839" s="9"/>
      <c r="AC839" s="9"/>
      <c r="AD839" s="25"/>
      <c r="AE839" s="25"/>
      <c r="AF839" s="9"/>
      <c r="AG839" s="9"/>
      <c r="AH839" s="9"/>
      <c r="AI839" s="9"/>
    </row>
    <row r="840" ht="15.75" customHeight="1">
      <c r="A840" s="9"/>
      <c r="B840" s="9"/>
      <c r="C840" s="9"/>
      <c r="D840" s="9"/>
      <c r="E840" s="67"/>
      <c r="F840" s="68"/>
      <c r="G840" s="68"/>
      <c r="H840" s="69"/>
      <c r="I840" s="69"/>
      <c r="J840" s="69"/>
      <c r="K840" s="69"/>
      <c r="L840" s="69"/>
      <c r="M840" s="69"/>
      <c r="N840" s="69"/>
      <c r="O840" s="23"/>
      <c r="P840" s="23"/>
      <c r="Q840" s="9"/>
      <c r="R840" s="9"/>
      <c r="S840" s="9"/>
      <c r="T840" s="9"/>
      <c r="U840" s="9"/>
      <c r="V840" s="9"/>
      <c r="W840" s="9"/>
      <c r="X840" s="9"/>
      <c r="Y840" s="9"/>
      <c r="Z840" s="9"/>
      <c r="AA840" s="9"/>
      <c r="AB840" s="9"/>
      <c r="AC840" s="9"/>
      <c r="AD840" s="25"/>
      <c r="AE840" s="25"/>
      <c r="AF840" s="9"/>
      <c r="AG840" s="9"/>
      <c r="AH840" s="9"/>
      <c r="AI840" s="9"/>
    </row>
    <row r="841" ht="15.75" customHeight="1">
      <c r="A841" s="9"/>
      <c r="B841" s="9"/>
      <c r="C841" s="9"/>
      <c r="D841" s="9"/>
      <c r="E841" s="67"/>
      <c r="F841" s="68"/>
      <c r="G841" s="68"/>
      <c r="H841" s="69"/>
      <c r="I841" s="69"/>
      <c r="J841" s="69"/>
      <c r="K841" s="69"/>
      <c r="L841" s="69"/>
      <c r="M841" s="70"/>
      <c r="N841" s="69"/>
      <c r="O841" s="23"/>
      <c r="P841" s="23"/>
      <c r="Q841" s="9"/>
      <c r="R841" s="9"/>
      <c r="S841" s="9"/>
      <c r="T841" s="9"/>
      <c r="U841" s="9"/>
      <c r="V841" s="9"/>
      <c r="W841" s="9"/>
      <c r="X841" s="9"/>
      <c r="Y841" s="9"/>
      <c r="Z841" s="9"/>
      <c r="AA841" s="9"/>
      <c r="AB841" s="9"/>
      <c r="AC841" s="9"/>
      <c r="AD841" s="25"/>
      <c r="AE841" s="25"/>
      <c r="AF841" s="9"/>
      <c r="AG841" s="9"/>
      <c r="AH841" s="9"/>
      <c r="AI841" s="9"/>
    </row>
    <row r="842" ht="15.75" customHeight="1">
      <c r="A842" s="9"/>
      <c r="B842" s="9"/>
      <c r="C842" s="9"/>
      <c r="D842" s="9"/>
      <c r="E842" s="67"/>
      <c r="F842" s="68"/>
      <c r="G842" s="68"/>
      <c r="H842" s="69"/>
      <c r="I842" s="69"/>
      <c r="J842" s="69"/>
      <c r="K842" s="69"/>
      <c r="L842" s="69"/>
      <c r="M842" s="71"/>
      <c r="N842" s="69"/>
      <c r="O842" s="23"/>
      <c r="P842" s="23"/>
      <c r="Q842" s="9"/>
      <c r="R842" s="9"/>
      <c r="S842" s="9"/>
      <c r="T842" s="9"/>
      <c r="U842" s="9"/>
      <c r="V842" s="9"/>
      <c r="W842" s="9"/>
      <c r="X842" s="9"/>
      <c r="Y842" s="9"/>
      <c r="Z842" s="9"/>
      <c r="AA842" s="9"/>
      <c r="AB842" s="9"/>
      <c r="AC842" s="9"/>
      <c r="AD842" s="25"/>
      <c r="AE842" s="25"/>
      <c r="AF842" s="9"/>
      <c r="AG842" s="9"/>
      <c r="AH842" s="9"/>
      <c r="AI842" s="9"/>
    </row>
    <row r="843" ht="15.75" customHeight="1">
      <c r="A843" s="9"/>
      <c r="B843" s="9"/>
      <c r="C843" s="9"/>
      <c r="D843" s="9"/>
      <c r="E843" s="67"/>
      <c r="F843" s="68"/>
      <c r="G843" s="68"/>
      <c r="H843" s="69"/>
      <c r="I843" s="69"/>
      <c r="J843" s="69"/>
      <c r="K843" s="69"/>
      <c r="L843" s="69"/>
      <c r="M843" s="70"/>
      <c r="N843" s="69"/>
      <c r="O843" s="23"/>
      <c r="P843" s="23"/>
      <c r="Q843" s="9"/>
      <c r="R843" s="9"/>
      <c r="S843" s="9"/>
      <c r="T843" s="9"/>
      <c r="U843" s="9"/>
      <c r="V843" s="9"/>
      <c r="W843" s="9"/>
      <c r="X843" s="9"/>
      <c r="Y843" s="9"/>
      <c r="Z843" s="9"/>
      <c r="AA843" s="9"/>
      <c r="AB843" s="9"/>
      <c r="AC843" s="9"/>
      <c r="AD843" s="25"/>
      <c r="AE843" s="25"/>
      <c r="AF843" s="9"/>
      <c r="AG843" s="9"/>
      <c r="AH843" s="9"/>
      <c r="AI843" s="9"/>
    </row>
    <row r="844" ht="15.75" customHeight="1">
      <c r="A844" s="9"/>
      <c r="B844" s="9"/>
      <c r="C844" s="9"/>
      <c r="D844" s="9"/>
      <c r="E844" s="67"/>
      <c r="F844" s="68"/>
      <c r="G844" s="68"/>
      <c r="H844" s="69"/>
      <c r="I844" s="69"/>
      <c r="J844" s="69"/>
      <c r="K844" s="69"/>
      <c r="L844" s="69"/>
      <c r="M844" s="69"/>
      <c r="N844" s="69"/>
      <c r="O844" s="23"/>
      <c r="P844" s="23"/>
      <c r="Q844" s="9"/>
      <c r="R844" s="9"/>
      <c r="S844" s="9"/>
      <c r="T844" s="9"/>
      <c r="U844" s="9"/>
      <c r="V844" s="9"/>
      <c r="W844" s="9"/>
      <c r="X844" s="9"/>
      <c r="Y844" s="9"/>
      <c r="Z844" s="9"/>
      <c r="AA844" s="9"/>
      <c r="AB844" s="9"/>
      <c r="AC844" s="9"/>
      <c r="AD844" s="25"/>
      <c r="AE844" s="25"/>
      <c r="AF844" s="9"/>
      <c r="AG844" s="9"/>
      <c r="AH844" s="9"/>
      <c r="AI844" s="9"/>
    </row>
    <row r="845" ht="15.75" customHeight="1">
      <c r="A845" s="9"/>
      <c r="B845" s="9"/>
      <c r="C845" s="9"/>
      <c r="D845" s="9"/>
      <c r="E845" s="67"/>
      <c r="F845" s="68"/>
      <c r="G845" s="68"/>
      <c r="H845" s="69"/>
      <c r="I845" s="69"/>
      <c r="J845" s="69"/>
      <c r="K845" s="69"/>
      <c r="L845" s="69"/>
      <c r="M845" s="69"/>
      <c r="N845" s="69"/>
      <c r="O845" s="23"/>
      <c r="P845" s="23"/>
      <c r="Q845" s="9"/>
      <c r="R845" s="9"/>
      <c r="S845" s="9"/>
      <c r="T845" s="9"/>
      <c r="U845" s="9"/>
      <c r="V845" s="9"/>
      <c r="W845" s="9"/>
      <c r="X845" s="9"/>
      <c r="Y845" s="9"/>
      <c r="Z845" s="9"/>
      <c r="AA845" s="9"/>
      <c r="AB845" s="9"/>
      <c r="AC845" s="9"/>
      <c r="AD845" s="25"/>
      <c r="AE845" s="25"/>
      <c r="AF845" s="9"/>
      <c r="AG845" s="9"/>
      <c r="AH845" s="9"/>
      <c r="AI845" s="9"/>
    </row>
    <row r="846" ht="15.75" customHeight="1">
      <c r="A846" s="9"/>
      <c r="B846" s="9"/>
      <c r="C846" s="9"/>
      <c r="D846" s="9"/>
      <c r="E846" s="67"/>
      <c r="F846" s="68"/>
      <c r="G846" s="68"/>
      <c r="H846" s="69"/>
      <c r="I846" s="69"/>
      <c r="J846" s="69"/>
      <c r="K846" s="69"/>
      <c r="L846" s="69"/>
      <c r="M846" s="70"/>
      <c r="N846" s="69"/>
      <c r="O846" s="23"/>
      <c r="P846" s="23"/>
      <c r="Q846" s="9"/>
      <c r="R846" s="9"/>
      <c r="S846" s="9"/>
      <c r="T846" s="9"/>
      <c r="U846" s="9"/>
      <c r="V846" s="9"/>
      <c r="W846" s="9"/>
      <c r="X846" s="9"/>
      <c r="Y846" s="9"/>
      <c r="Z846" s="9"/>
      <c r="AA846" s="9"/>
      <c r="AB846" s="9"/>
      <c r="AC846" s="9"/>
      <c r="AD846" s="25"/>
      <c r="AE846" s="25"/>
      <c r="AF846" s="9"/>
      <c r="AG846" s="9"/>
      <c r="AH846" s="9"/>
      <c r="AI846" s="9"/>
    </row>
    <row r="847" ht="15.75" customHeight="1">
      <c r="A847" s="9"/>
      <c r="B847" s="9"/>
      <c r="C847" s="9"/>
      <c r="D847" s="9"/>
      <c r="E847" s="67"/>
      <c r="F847" s="68"/>
      <c r="G847" s="68"/>
      <c r="H847" s="69"/>
      <c r="I847" s="69"/>
      <c r="J847" s="69"/>
      <c r="K847" s="69"/>
      <c r="L847" s="69"/>
      <c r="M847" s="70"/>
      <c r="N847" s="69"/>
      <c r="O847" s="23"/>
      <c r="P847" s="23"/>
      <c r="Q847" s="9"/>
      <c r="R847" s="9"/>
      <c r="S847" s="9"/>
      <c r="T847" s="9"/>
      <c r="U847" s="9"/>
      <c r="V847" s="9"/>
      <c r="W847" s="9"/>
      <c r="X847" s="9"/>
      <c r="Y847" s="9"/>
      <c r="Z847" s="9"/>
      <c r="AA847" s="9"/>
      <c r="AB847" s="9"/>
      <c r="AC847" s="9"/>
      <c r="AD847" s="25"/>
      <c r="AE847" s="25"/>
      <c r="AF847" s="9"/>
      <c r="AG847" s="9"/>
      <c r="AH847" s="9"/>
      <c r="AI847" s="9"/>
    </row>
    <row r="848" ht="15.75" customHeight="1">
      <c r="A848" s="9"/>
      <c r="B848" s="9"/>
      <c r="C848" s="9"/>
      <c r="D848" s="9"/>
      <c r="E848" s="67"/>
      <c r="F848" s="68"/>
      <c r="G848" s="68"/>
      <c r="H848" s="69"/>
      <c r="I848" s="69"/>
      <c r="J848" s="69"/>
      <c r="K848" s="69"/>
      <c r="L848" s="69"/>
      <c r="M848" s="70"/>
      <c r="N848" s="69"/>
      <c r="O848" s="23"/>
      <c r="P848" s="23"/>
      <c r="Q848" s="9"/>
      <c r="R848" s="9"/>
      <c r="S848" s="9"/>
      <c r="T848" s="9"/>
      <c r="U848" s="9"/>
      <c r="V848" s="9"/>
      <c r="W848" s="9"/>
      <c r="X848" s="9"/>
      <c r="Y848" s="9"/>
      <c r="Z848" s="9"/>
      <c r="AA848" s="9"/>
      <c r="AB848" s="9"/>
      <c r="AC848" s="9"/>
      <c r="AD848" s="25"/>
      <c r="AE848" s="25"/>
      <c r="AF848" s="9"/>
      <c r="AG848" s="9"/>
      <c r="AH848" s="9"/>
      <c r="AI848" s="9"/>
    </row>
    <row r="849" ht="15.75" customHeight="1">
      <c r="A849" s="9"/>
      <c r="B849" s="9"/>
      <c r="C849" s="9"/>
      <c r="D849" s="9"/>
      <c r="E849" s="67"/>
      <c r="F849" s="68"/>
      <c r="G849" s="68"/>
      <c r="H849" s="69"/>
      <c r="I849" s="69"/>
      <c r="J849" s="69"/>
      <c r="K849" s="69"/>
      <c r="L849" s="69"/>
      <c r="M849" s="70"/>
      <c r="N849" s="69"/>
      <c r="O849" s="23"/>
      <c r="P849" s="23"/>
      <c r="Q849" s="9"/>
      <c r="R849" s="9"/>
      <c r="S849" s="9"/>
      <c r="T849" s="9"/>
      <c r="U849" s="9"/>
      <c r="V849" s="9"/>
      <c r="W849" s="9"/>
      <c r="X849" s="9"/>
      <c r="Y849" s="9"/>
      <c r="Z849" s="9"/>
      <c r="AA849" s="9"/>
      <c r="AB849" s="9"/>
      <c r="AC849" s="9"/>
      <c r="AD849" s="25"/>
      <c r="AE849" s="25"/>
      <c r="AF849" s="9"/>
      <c r="AG849" s="9"/>
      <c r="AH849" s="9"/>
      <c r="AI849" s="9"/>
    </row>
    <row r="850" ht="15.75" customHeight="1">
      <c r="A850" s="9"/>
      <c r="B850" s="9"/>
      <c r="C850" s="9"/>
      <c r="D850" s="9"/>
      <c r="E850" s="67"/>
      <c r="F850" s="68"/>
      <c r="G850" s="68"/>
      <c r="H850" s="69"/>
      <c r="I850" s="69"/>
      <c r="J850" s="69"/>
      <c r="K850" s="69"/>
      <c r="L850" s="69"/>
      <c r="M850" s="69"/>
      <c r="N850" s="69"/>
      <c r="O850" s="23"/>
      <c r="P850" s="23"/>
      <c r="Q850" s="9"/>
      <c r="R850" s="9"/>
      <c r="S850" s="9"/>
      <c r="T850" s="9"/>
      <c r="U850" s="9"/>
      <c r="V850" s="9"/>
      <c r="W850" s="9"/>
      <c r="X850" s="9"/>
      <c r="Y850" s="9"/>
      <c r="Z850" s="9"/>
      <c r="AA850" s="9"/>
      <c r="AB850" s="9"/>
      <c r="AC850" s="9"/>
      <c r="AD850" s="25"/>
      <c r="AE850" s="25"/>
      <c r="AF850" s="9"/>
      <c r="AG850" s="9"/>
      <c r="AH850" s="9"/>
      <c r="AI850" s="9"/>
    </row>
    <row r="851" ht="15.75" customHeight="1">
      <c r="A851" s="9"/>
      <c r="B851" s="9"/>
      <c r="C851" s="9"/>
      <c r="D851" s="9"/>
      <c r="E851" s="67"/>
      <c r="F851" s="68"/>
      <c r="G851" s="68"/>
      <c r="H851" s="69"/>
      <c r="I851" s="69"/>
      <c r="J851" s="69"/>
      <c r="K851" s="69"/>
      <c r="L851" s="69"/>
      <c r="M851" s="69"/>
      <c r="N851" s="69"/>
      <c r="O851" s="23"/>
      <c r="P851" s="23"/>
      <c r="Q851" s="9"/>
      <c r="R851" s="9"/>
      <c r="S851" s="9"/>
      <c r="T851" s="9"/>
      <c r="U851" s="9"/>
      <c r="V851" s="9"/>
      <c r="W851" s="9"/>
      <c r="X851" s="9"/>
      <c r="Y851" s="9"/>
      <c r="Z851" s="9"/>
      <c r="AA851" s="9"/>
      <c r="AB851" s="9"/>
      <c r="AC851" s="9"/>
      <c r="AD851" s="25"/>
      <c r="AE851" s="25"/>
      <c r="AF851" s="9"/>
      <c r="AG851" s="9"/>
      <c r="AH851" s="9"/>
      <c r="AI851" s="9"/>
    </row>
    <row r="852" ht="15.75" customHeight="1">
      <c r="A852" s="9"/>
      <c r="B852" s="9"/>
      <c r="C852" s="9"/>
      <c r="D852" s="9"/>
      <c r="E852" s="67"/>
      <c r="F852" s="68"/>
      <c r="G852" s="68"/>
      <c r="H852" s="69"/>
      <c r="I852" s="69"/>
      <c r="J852" s="69"/>
      <c r="K852" s="69"/>
      <c r="L852" s="69"/>
      <c r="M852" s="70"/>
      <c r="N852" s="69"/>
      <c r="O852" s="23"/>
      <c r="P852" s="23"/>
      <c r="Q852" s="9"/>
      <c r="R852" s="9"/>
      <c r="S852" s="9"/>
      <c r="T852" s="9"/>
      <c r="U852" s="9"/>
      <c r="V852" s="9"/>
      <c r="W852" s="9"/>
      <c r="X852" s="9"/>
      <c r="Y852" s="9"/>
      <c r="Z852" s="9"/>
      <c r="AA852" s="9"/>
      <c r="AB852" s="9"/>
      <c r="AC852" s="9"/>
      <c r="AD852" s="25"/>
      <c r="AE852" s="25"/>
      <c r="AF852" s="9"/>
      <c r="AG852" s="9"/>
      <c r="AH852" s="9"/>
      <c r="AI852" s="9"/>
    </row>
    <row r="853" ht="15.75" customHeight="1">
      <c r="A853" s="9"/>
      <c r="B853" s="9"/>
      <c r="C853" s="9"/>
      <c r="D853" s="9"/>
      <c r="E853" s="67"/>
      <c r="F853" s="68"/>
      <c r="G853" s="68"/>
      <c r="H853" s="69"/>
      <c r="I853" s="69"/>
      <c r="J853" s="69"/>
      <c r="K853" s="69"/>
      <c r="L853" s="69"/>
      <c r="M853" s="69"/>
      <c r="N853" s="69"/>
      <c r="O853" s="23"/>
      <c r="P853" s="23"/>
      <c r="Q853" s="9"/>
      <c r="R853" s="9"/>
      <c r="S853" s="9"/>
      <c r="T853" s="9"/>
      <c r="U853" s="9"/>
      <c r="V853" s="9"/>
      <c r="W853" s="9"/>
      <c r="X853" s="9"/>
      <c r="Y853" s="9"/>
      <c r="Z853" s="9"/>
      <c r="AA853" s="9"/>
      <c r="AB853" s="9"/>
      <c r="AC853" s="9"/>
      <c r="AD853" s="25"/>
      <c r="AE853" s="25"/>
      <c r="AF853" s="9"/>
      <c r="AG853" s="9"/>
      <c r="AH853" s="9"/>
      <c r="AI853" s="9"/>
    </row>
    <row r="854" ht="15.75" customHeight="1">
      <c r="A854" s="9"/>
      <c r="B854" s="9"/>
      <c r="C854" s="9"/>
      <c r="D854" s="9"/>
      <c r="E854" s="67"/>
      <c r="F854" s="68"/>
      <c r="G854" s="68"/>
      <c r="H854" s="69"/>
      <c r="I854" s="69"/>
      <c r="J854" s="69"/>
      <c r="K854" s="69"/>
      <c r="L854" s="69"/>
      <c r="M854" s="71"/>
      <c r="N854" s="69"/>
      <c r="O854" s="23"/>
      <c r="P854" s="23"/>
      <c r="Q854" s="9"/>
      <c r="R854" s="9"/>
      <c r="S854" s="9"/>
      <c r="T854" s="9"/>
      <c r="U854" s="9"/>
      <c r="V854" s="9"/>
      <c r="W854" s="9"/>
      <c r="X854" s="9"/>
      <c r="Y854" s="9"/>
      <c r="Z854" s="9"/>
      <c r="AA854" s="9"/>
      <c r="AB854" s="9"/>
      <c r="AC854" s="9"/>
      <c r="AD854" s="25"/>
      <c r="AE854" s="25"/>
      <c r="AF854" s="9"/>
      <c r="AG854" s="9"/>
      <c r="AH854" s="9"/>
      <c r="AI854" s="9"/>
    </row>
    <row r="855" ht="15.75" customHeight="1">
      <c r="A855" s="9"/>
      <c r="B855" s="9"/>
      <c r="C855" s="9"/>
      <c r="D855" s="9"/>
      <c r="E855" s="67"/>
      <c r="F855" s="68"/>
      <c r="G855" s="68"/>
      <c r="H855" s="69"/>
      <c r="I855" s="69"/>
      <c r="J855" s="69"/>
      <c r="K855" s="69"/>
      <c r="L855" s="69"/>
      <c r="M855" s="69"/>
      <c r="N855" s="69"/>
      <c r="O855" s="23"/>
      <c r="P855" s="23"/>
      <c r="Q855" s="9"/>
      <c r="R855" s="9"/>
      <c r="S855" s="9"/>
      <c r="T855" s="9"/>
      <c r="U855" s="9"/>
      <c r="V855" s="9"/>
      <c r="W855" s="9"/>
      <c r="X855" s="9"/>
      <c r="Y855" s="9"/>
      <c r="Z855" s="9"/>
      <c r="AA855" s="9"/>
      <c r="AB855" s="9"/>
      <c r="AC855" s="9"/>
      <c r="AD855" s="25"/>
      <c r="AE855" s="25"/>
      <c r="AF855" s="9"/>
      <c r="AG855" s="9"/>
      <c r="AH855" s="9"/>
      <c r="AI855" s="9"/>
    </row>
    <row r="856" ht="15.75" customHeight="1">
      <c r="A856" s="9"/>
      <c r="B856" s="9"/>
      <c r="C856" s="9"/>
      <c r="D856" s="9"/>
      <c r="E856" s="67"/>
      <c r="F856" s="68"/>
      <c r="G856" s="68"/>
      <c r="H856" s="69"/>
      <c r="I856" s="69"/>
      <c r="J856" s="69"/>
      <c r="K856" s="69"/>
      <c r="L856" s="69"/>
      <c r="M856" s="70"/>
      <c r="N856" s="69"/>
      <c r="O856" s="23"/>
      <c r="P856" s="23"/>
      <c r="Q856" s="9"/>
      <c r="R856" s="9"/>
      <c r="S856" s="9"/>
      <c r="T856" s="9"/>
      <c r="U856" s="9"/>
      <c r="V856" s="9"/>
      <c r="W856" s="9"/>
      <c r="X856" s="9"/>
      <c r="Y856" s="9"/>
      <c r="Z856" s="9"/>
      <c r="AA856" s="9"/>
      <c r="AB856" s="9"/>
      <c r="AC856" s="9"/>
      <c r="AD856" s="25"/>
      <c r="AE856" s="25"/>
      <c r="AF856" s="9"/>
      <c r="AG856" s="9"/>
      <c r="AH856" s="9"/>
      <c r="AI856" s="9"/>
    </row>
    <row r="857" ht="15.75" customHeight="1">
      <c r="A857" s="9"/>
      <c r="B857" s="9"/>
      <c r="C857" s="9"/>
      <c r="D857" s="9"/>
      <c r="E857" s="67"/>
      <c r="F857" s="68"/>
      <c r="G857" s="68"/>
      <c r="H857" s="69"/>
      <c r="I857" s="69"/>
      <c r="J857" s="69"/>
      <c r="K857" s="69"/>
      <c r="L857" s="69"/>
      <c r="M857" s="70"/>
      <c r="N857" s="69"/>
      <c r="O857" s="23"/>
      <c r="P857" s="23"/>
      <c r="Q857" s="9"/>
      <c r="R857" s="9"/>
      <c r="S857" s="9"/>
      <c r="T857" s="9"/>
      <c r="U857" s="9"/>
      <c r="V857" s="9"/>
      <c r="W857" s="9"/>
      <c r="X857" s="9"/>
      <c r="Y857" s="9"/>
      <c r="Z857" s="9"/>
      <c r="AA857" s="9"/>
      <c r="AB857" s="9"/>
      <c r="AC857" s="9"/>
      <c r="AD857" s="25"/>
      <c r="AE857" s="25"/>
      <c r="AF857" s="9"/>
      <c r="AG857" s="9"/>
      <c r="AH857" s="9"/>
      <c r="AI857" s="9"/>
    </row>
    <row r="858" ht="15.75" customHeight="1">
      <c r="A858" s="9"/>
      <c r="B858" s="9"/>
      <c r="C858" s="9"/>
      <c r="D858" s="9"/>
      <c r="E858" s="67"/>
      <c r="F858" s="68"/>
      <c r="G858" s="68"/>
      <c r="H858" s="69"/>
      <c r="I858" s="69"/>
      <c r="J858" s="69"/>
      <c r="K858" s="69"/>
      <c r="L858" s="69"/>
      <c r="M858" s="69"/>
      <c r="N858" s="69"/>
      <c r="O858" s="23"/>
      <c r="P858" s="23"/>
      <c r="Q858" s="9"/>
      <c r="R858" s="9"/>
      <c r="S858" s="9"/>
      <c r="T858" s="9"/>
      <c r="U858" s="9"/>
      <c r="V858" s="9"/>
      <c r="W858" s="9"/>
      <c r="X858" s="9"/>
      <c r="Y858" s="9"/>
      <c r="Z858" s="9"/>
      <c r="AA858" s="9"/>
      <c r="AB858" s="9"/>
      <c r="AC858" s="9"/>
      <c r="AD858" s="25"/>
      <c r="AE858" s="25"/>
      <c r="AF858" s="9"/>
      <c r="AG858" s="9"/>
      <c r="AH858" s="9"/>
      <c r="AI858" s="9"/>
    </row>
    <row r="859" ht="15.75" customHeight="1">
      <c r="A859" s="9"/>
      <c r="B859" s="9"/>
      <c r="C859" s="9"/>
      <c r="D859" s="9"/>
      <c r="E859" s="67"/>
      <c r="F859" s="68"/>
      <c r="G859" s="68"/>
      <c r="H859" s="69"/>
      <c r="I859" s="69"/>
      <c r="J859" s="69"/>
      <c r="K859" s="69"/>
      <c r="L859" s="69"/>
      <c r="M859" s="70"/>
      <c r="N859" s="69"/>
      <c r="O859" s="23"/>
      <c r="P859" s="23"/>
      <c r="Q859" s="9"/>
      <c r="R859" s="9"/>
      <c r="S859" s="9"/>
      <c r="T859" s="9"/>
      <c r="U859" s="9"/>
      <c r="V859" s="9"/>
      <c r="W859" s="9"/>
      <c r="X859" s="9"/>
      <c r="Y859" s="9"/>
      <c r="Z859" s="9"/>
      <c r="AA859" s="9"/>
      <c r="AB859" s="9"/>
      <c r="AC859" s="9"/>
      <c r="AD859" s="25"/>
      <c r="AE859" s="25"/>
      <c r="AF859" s="9"/>
      <c r="AG859" s="9"/>
      <c r="AH859" s="9"/>
      <c r="AI859" s="9"/>
    </row>
    <row r="860" ht="15.75" customHeight="1">
      <c r="A860" s="9"/>
      <c r="B860" s="9"/>
      <c r="C860" s="9"/>
      <c r="D860" s="9"/>
      <c r="E860" s="67"/>
      <c r="F860" s="68"/>
      <c r="G860" s="68"/>
      <c r="H860" s="69"/>
      <c r="I860" s="69"/>
      <c r="J860" s="69"/>
      <c r="K860" s="69"/>
      <c r="L860" s="69"/>
      <c r="M860" s="70"/>
      <c r="N860" s="69"/>
      <c r="O860" s="23"/>
      <c r="P860" s="23"/>
      <c r="Q860" s="9"/>
      <c r="R860" s="9"/>
      <c r="S860" s="9"/>
      <c r="T860" s="9"/>
      <c r="U860" s="9"/>
      <c r="V860" s="9"/>
      <c r="W860" s="9"/>
      <c r="X860" s="9"/>
      <c r="Y860" s="9"/>
      <c r="Z860" s="9"/>
      <c r="AA860" s="9"/>
      <c r="AB860" s="9"/>
      <c r="AC860" s="9"/>
      <c r="AD860" s="25"/>
      <c r="AE860" s="25"/>
      <c r="AF860" s="9"/>
      <c r="AG860" s="9"/>
      <c r="AH860" s="9"/>
      <c r="AI860" s="9"/>
    </row>
    <row r="861" ht="15.75" customHeight="1">
      <c r="A861" s="9"/>
      <c r="B861" s="9"/>
      <c r="C861" s="9"/>
      <c r="D861" s="9"/>
      <c r="E861" s="67"/>
      <c r="F861" s="68"/>
      <c r="G861" s="68"/>
      <c r="H861" s="69"/>
      <c r="I861" s="69"/>
      <c r="J861" s="69"/>
      <c r="K861" s="69"/>
      <c r="L861" s="69"/>
      <c r="M861" s="70"/>
      <c r="N861" s="69"/>
      <c r="O861" s="23"/>
      <c r="P861" s="23"/>
      <c r="Q861" s="9"/>
      <c r="R861" s="9"/>
      <c r="S861" s="9"/>
      <c r="T861" s="9"/>
      <c r="U861" s="9"/>
      <c r="V861" s="9"/>
      <c r="W861" s="9"/>
      <c r="X861" s="9"/>
      <c r="Y861" s="9"/>
      <c r="Z861" s="9"/>
      <c r="AA861" s="9"/>
      <c r="AB861" s="9"/>
      <c r="AC861" s="9"/>
      <c r="AD861" s="25"/>
      <c r="AE861" s="25"/>
      <c r="AF861" s="9"/>
      <c r="AG861" s="9"/>
      <c r="AH861" s="9"/>
      <c r="AI861" s="9"/>
    </row>
    <row r="862" ht="15.75" customHeight="1">
      <c r="A862" s="9"/>
      <c r="B862" s="9"/>
      <c r="C862" s="9"/>
      <c r="D862" s="9"/>
      <c r="E862" s="67"/>
      <c r="F862" s="68"/>
      <c r="G862" s="68"/>
      <c r="H862" s="69"/>
      <c r="I862" s="69"/>
      <c r="J862" s="69"/>
      <c r="K862" s="69"/>
      <c r="L862" s="69"/>
      <c r="M862" s="69"/>
      <c r="N862" s="69"/>
      <c r="O862" s="23"/>
      <c r="P862" s="23"/>
      <c r="Q862" s="9"/>
      <c r="R862" s="9"/>
      <c r="S862" s="9"/>
      <c r="T862" s="9"/>
      <c r="U862" s="9"/>
      <c r="V862" s="9"/>
      <c r="W862" s="9"/>
      <c r="X862" s="9"/>
      <c r="Y862" s="9"/>
      <c r="Z862" s="9"/>
      <c r="AA862" s="9"/>
      <c r="AB862" s="9"/>
      <c r="AC862" s="9"/>
      <c r="AD862" s="25"/>
      <c r="AE862" s="25"/>
      <c r="AF862" s="9"/>
      <c r="AG862" s="9"/>
      <c r="AH862" s="9"/>
      <c r="AI862" s="9"/>
    </row>
    <row r="863" ht="15.75" customHeight="1">
      <c r="A863" s="9"/>
      <c r="B863" s="9"/>
      <c r="C863" s="9"/>
      <c r="D863" s="9"/>
      <c r="E863" s="67"/>
      <c r="F863" s="68"/>
      <c r="G863" s="68"/>
      <c r="H863" s="69"/>
      <c r="I863" s="69"/>
      <c r="J863" s="69"/>
      <c r="K863" s="69"/>
      <c r="L863" s="69"/>
      <c r="M863" s="70"/>
      <c r="N863" s="69"/>
      <c r="O863" s="23"/>
      <c r="P863" s="23"/>
      <c r="Q863" s="9"/>
      <c r="R863" s="9"/>
      <c r="S863" s="9"/>
      <c r="T863" s="9"/>
      <c r="U863" s="9"/>
      <c r="V863" s="9"/>
      <c r="W863" s="9"/>
      <c r="X863" s="9"/>
      <c r="Y863" s="9"/>
      <c r="Z863" s="9"/>
      <c r="AA863" s="9"/>
      <c r="AB863" s="9"/>
      <c r="AC863" s="9"/>
      <c r="AD863" s="25"/>
      <c r="AE863" s="25"/>
      <c r="AF863" s="9"/>
      <c r="AG863" s="9"/>
      <c r="AH863" s="9"/>
      <c r="AI863" s="9"/>
    </row>
    <row r="864" ht="15.75" customHeight="1">
      <c r="A864" s="9"/>
      <c r="B864" s="9"/>
      <c r="C864" s="9"/>
      <c r="D864" s="9"/>
      <c r="E864" s="67"/>
      <c r="F864" s="68"/>
      <c r="G864" s="68"/>
      <c r="H864" s="69"/>
      <c r="I864" s="69"/>
      <c r="J864" s="69"/>
      <c r="K864" s="69"/>
      <c r="L864" s="69"/>
      <c r="M864" s="70"/>
      <c r="N864" s="69"/>
      <c r="O864" s="23"/>
      <c r="P864" s="23"/>
      <c r="Q864" s="9"/>
      <c r="R864" s="9"/>
      <c r="S864" s="9"/>
      <c r="T864" s="9"/>
      <c r="U864" s="9"/>
      <c r="V864" s="9"/>
      <c r="W864" s="9"/>
      <c r="X864" s="9"/>
      <c r="Y864" s="9"/>
      <c r="Z864" s="9"/>
      <c r="AA864" s="9"/>
      <c r="AB864" s="9"/>
      <c r="AC864" s="9"/>
      <c r="AD864" s="25"/>
      <c r="AE864" s="25"/>
      <c r="AF864" s="9"/>
      <c r="AG864" s="9"/>
      <c r="AH864" s="9"/>
      <c r="AI864" s="9"/>
    </row>
    <row r="865" ht="15.75" customHeight="1">
      <c r="A865" s="9"/>
      <c r="B865" s="9"/>
      <c r="C865" s="9"/>
      <c r="D865" s="9"/>
      <c r="E865" s="67"/>
      <c r="F865" s="68"/>
      <c r="G865" s="68"/>
      <c r="H865" s="69"/>
      <c r="I865" s="69"/>
      <c r="J865" s="69"/>
      <c r="K865" s="69"/>
      <c r="L865" s="69"/>
      <c r="M865" s="69"/>
      <c r="N865" s="69"/>
      <c r="O865" s="23"/>
      <c r="P865" s="23"/>
      <c r="Q865" s="9"/>
      <c r="R865" s="9"/>
      <c r="S865" s="9"/>
      <c r="T865" s="9"/>
      <c r="U865" s="9"/>
      <c r="V865" s="9"/>
      <c r="W865" s="9"/>
      <c r="X865" s="9"/>
      <c r="Y865" s="9"/>
      <c r="Z865" s="9"/>
      <c r="AA865" s="9"/>
      <c r="AB865" s="9"/>
      <c r="AC865" s="9"/>
      <c r="AD865" s="25"/>
      <c r="AE865" s="25"/>
      <c r="AF865" s="9"/>
      <c r="AG865" s="9"/>
      <c r="AH865" s="9"/>
      <c r="AI865" s="9"/>
    </row>
    <row r="866" ht="15.75" customHeight="1">
      <c r="A866" s="9"/>
      <c r="B866" s="9"/>
      <c r="C866" s="9"/>
      <c r="D866" s="9"/>
      <c r="E866" s="67"/>
      <c r="F866" s="68"/>
      <c r="G866" s="68"/>
      <c r="H866" s="69"/>
      <c r="I866" s="69"/>
      <c r="J866" s="69"/>
      <c r="K866" s="69"/>
      <c r="L866" s="69"/>
      <c r="M866" s="69"/>
      <c r="N866" s="69"/>
      <c r="O866" s="23"/>
      <c r="P866" s="23"/>
      <c r="Q866" s="9"/>
      <c r="R866" s="9"/>
      <c r="S866" s="9"/>
      <c r="T866" s="9"/>
      <c r="U866" s="9"/>
      <c r="V866" s="9"/>
      <c r="W866" s="9"/>
      <c r="X866" s="9"/>
      <c r="Y866" s="9"/>
      <c r="Z866" s="9"/>
      <c r="AA866" s="9"/>
      <c r="AB866" s="9"/>
      <c r="AC866" s="9"/>
      <c r="AD866" s="25"/>
      <c r="AE866" s="25"/>
      <c r="AF866" s="9"/>
      <c r="AG866" s="9"/>
      <c r="AH866" s="9"/>
      <c r="AI866" s="9"/>
    </row>
    <row r="867" ht="15.75" customHeight="1">
      <c r="A867" s="9"/>
      <c r="B867" s="9"/>
      <c r="C867" s="9"/>
      <c r="D867" s="9"/>
      <c r="E867" s="67"/>
      <c r="F867" s="68"/>
      <c r="G867" s="68"/>
      <c r="H867" s="69"/>
      <c r="I867" s="69"/>
      <c r="J867" s="69"/>
      <c r="K867" s="69"/>
      <c r="L867" s="69"/>
      <c r="M867" s="70"/>
      <c r="N867" s="69"/>
      <c r="O867" s="23"/>
      <c r="P867" s="23"/>
      <c r="Q867" s="9"/>
      <c r="R867" s="9"/>
      <c r="S867" s="9"/>
      <c r="T867" s="9"/>
      <c r="U867" s="9"/>
      <c r="V867" s="9"/>
      <c r="W867" s="9"/>
      <c r="X867" s="9"/>
      <c r="Y867" s="9"/>
      <c r="Z867" s="9"/>
      <c r="AA867" s="9"/>
      <c r="AB867" s="9"/>
      <c r="AC867" s="9"/>
      <c r="AD867" s="25"/>
      <c r="AE867" s="25"/>
      <c r="AF867" s="9"/>
      <c r="AG867" s="9"/>
      <c r="AH867" s="9"/>
      <c r="AI867" s="9"/>
    </row>
    <row r="868" ht="15.75" customHeight="1">
      <c r="A868" s="9"/>
      <c r="B868" s="9"/>
      <c r="C868" s="9"/>
      <c r="D868" s="9"/>
      <c r="E868" s="67"/>
      <c r="F868" s="68"/>
      <c r="G868" s="68"/>
      <c r="H868" s="69"/>
      <c r="I868" s="69"/>
      <c r="J868" s="69"/>
      <c r="K868" s="69"/>
      <c r="L868" s="69"/>
      <c r="M868" s="70"/>
      <c r="N868" s="69"/>
      <c r="O868" s="23"/>
      <c r="P868" s="23"/>
      <c r="Q868" s="9"/>
      <c r="R868" s="9"/>
      <c r="S868" s="9"/>
      <c r="T868" s="9"/>
      <c r="U868" s="9"/>
      <c r="V868" s="9"/>
      <c r="W868" s="9"/>
      <c r="X868" s="9"/>
      <c r="Y868" s="9"/>
      <c r="Z868" s="9"/>
      <c r="AA868" s="9"/>
      <c r="AB868" s="9"/>
      <c r="AC868" s="9"/>
      <c r="AD868" s="25"/>
      <c r="AE868" s="25"/>
      <c r="AF868" s="9"/>
      <c r="AG868" s="9"/>
      <c r="AH868" s="9"/>
      <c r="AI868" s="9"/>
    </row>
    <row r="869" ht="15.75" customHeight="1">
      <c r="A869" s="9"/>
      <c r="B869" s="9"/>
      <c r="C869" s="9"/>
      <c r="D869" s="9"/>
      <c r="E869" s="67"/>
      <c r="F869" s="68"/>
      <c r="G869" s="68"/>
      <c r="H869" s="69"/>
      <c r="I869" s="69"/>
      <c r="J869" s="69"/>
      <c r="K869" s="69"/>
      <c r="L869" s="69"/>
      <c r="M869" s="70"/>
      <c r="N869" s="69"/>
      <c r="O869" s="23"/>
      <c r="P869" s="23"/>
      <c r="Q869" s="9"/>
      <c r="R869" s="9"/>
      <c r="S869" s="9"/>
      <c r="T869" s="9"/>
      <c r="U869" s="9"/>
      <c r="V869" s="9"/>
      <c r="W869" s="9"/>
      <c r="X869" s="9"/>
      <c r="Y869" s="9"/>
      <c r="Z869" s="9"/>
      <c r="AA869" s="9"/>
      <c r="AB869" s="9"/>
      <c r="AC869" s="9"/>
      <c r="AD869" s="25"/>
      <c r="AE869" s="25"/>
      <c r="AF869" s="9"/>
      <c r="AG869" s="9"/>
      <c r="AH869" s="9"/>
      <c r="AI869" s="9"/>
    </row>
    <row r="870" ht="15.75" customHeight="1">
      <c r="A870" s="9"/>
      <c r="B870" s="9"/>
      <c r="C870" s="9"/>
      <c r="D870" s="9"/>
      <c r="E870" s="67"/>
      <c r="F870" s="68"/>
      <c r="G870" s="68"/>
      <c r="H870" s="69"/>
      <c r="I870" s="69"/>
      <c r="J870" s="69"/>
      <c r="K870" s="69"/>
      <c r="L870" s="69"/>
      <c r="M870" s="69"/>
      <c r="N870" s="69"/>
      <c r="O870" s="23"/>
      <c r="P870" s="23"/>
      <c r="Q870" s="9"/>
      <c r="R870" s="9"/>
      <c r="S870" s="9"/>
      <c r="T870" s="9"/>
      <c r="U870" s="9"/>
      <c r="V870" s="9"/>
      <c r="W870" s="9"/>
      <c r="X870" s="9"/>
      <c r="Y870" s="9"/>
      <c r="Z870" s="9"/>
      <c r="AA870" s="9"/>
      <c r="AB870" s="9"/>
      <c r="AC870" s="9"/>
      <c r="AD870" s="25"/>
      <c r="AE870" s="25"/>
      <c r="AF870" s="9"/>
      <c r="AG870" s="9"/>
      <c r="AH870" s="9"/>
      <c r="AI870" s="9"/>
    </row>
    <row r="871" ht="15.75" customHeight="1">
      <c r="A871" s="9"/>
      <c r="B871" s="9"/>
      <c r="C871" s="9"/>
      <c r="D871" s="9"/>
      <c r="E871" s="67"/>
      <c r="F871" s="68"/>
      <c r="G871" s="68"/>
      <c r="H871" s="69"/>
      <c r="I871" s="69"/>
      <c r="J871" s="69"/>
      <c r="K871" s="69"/>
      <c r="L871" s="69"/>
      <c r="M871" s="70"/>
      <c r="N871" s="69"/>
      <c r="O871" s="23"/>
      <c r="P871" s="23"/>
      <c r="Q871" s="9"/>
      <c r="R871" s="9"/>
      <c r="S871" s="9"/>
      <c r="T871" s="9"/>
      <c r="U871" s="9"/>
      <c r="V871" s="9"/>
      <c r="W871" s="9"/>
      <c r="X871" s="9"/>
      <c r="Y871" s="9"/>
      <c r="Z871" s="9"/>
      <c r="AA871" s="9"/>
      <c r="AB871" s="9"/>
      <c r="AC871" s="9"/>
      <c r="AD871" s="25"/>
      <c r="AE871" s="25"/>
      <c r="AF871" s="9"/>
      <c r="AG871" s="9"/>
      <c r="AH871" s="9"/>
      <c r="AI871" s="9"/>
    </row>
    <row r="872" ht="15.75" customHeight="1">
      <c r="A872" s="9"/>
      <c r="B872" s="9"/>
      <c r="C872" s="9"/>
      <c r="D872" s="9"/>
      <c r="E872" s="67"/>
      <c r="F872" s="68"/>
      <c r="G872" s="68"/>
      <c r="H872" s="69"/>
      <c r="I872" s="69"/>
      <c r="J872" s="69"/>
      <c r="K872" s="69"/>
      <c r="L872" s="69"/>
      <c r="M872" s="70"/>
      <c r="N872" s="69"/>
      <c r="O872" s="23"/>
      <c r="P872" s="23"/>
      <c r="Q872" s="9"/>
      <c r="R872" s="9"/>
      <c r="S872" s="9"/>
      <c r="T872" s="9"/>
      <c r="U872" s="9"/>
      <c r="V872" s="9"/>
      <c r="W872" s="9"/>
      <c r="X872" s="9"/>
      <c r="Y872" s="9"/>
      <c r="Z872" s="9"/>
      <c r="AA872" s="9"/>
      <c r="AB872" s="9"/>
      <c r="AC872" s="9"/>
      <c r="AD872" s="25"/>
      <c r="AE872" s="25"/>
      <c r="AF872" s="9"/>
      <c r="AG872" s="9"/>
      <c r="AH872" s="9"/>
      <c r="AI872" s="9"/>
    </row>
    <row r="873" ht="15.75" customHeight="1">
      <c r="A873" s="9"/>
      <c r="B873" s="9"/>
      <c r="C873" s="9"/>
      <c r="D873" s="9"/>
      <c r="E873" s="67"/>
      <c r="F873" s="68"/>
      <c r="G873" s="68"/>
      <c r="H873" s="69"/>
      <c r="I873" s="69"/>
      <c r="J873" s="69"/>
      <c r="K873" s="69"/>
      <c r="L873" s="69"/>
      <c r="M873" s="70"/>
      <c r="N873" s="69"/>
      <c r="O873" s="23"/>
      <c r="P873" s="23"/>
      <c r="Q873" s="9"/>
      <c r="R873" s="9"/>
      <c r="S873" s="9"/>
      <c r="T873" s="9"/>
      <c r="U873" s="9"/>
      <c r="V873" s="9"/>
      <c r="W873" s="9"/>
      <c r="X873" s="9"/>
      <c r="Y873" s="9"/>
      <c r="Z873" s="9"/>
      <c r="AA873" s="9"/>
      <c r="AB873" s="9"/>
      <c r="AC873" s="9"/>
      <c r="AD873" s="25"/>
      <c r="AE873" s="25"/>
      <c r="AF873" s="9"/>
      <c r="AG873" s="9"/>
      <c r="AH873" s="9"/>
      <c r="AI873" s="9"/>
    </row>
    <row r="874" ht="15.75" customHeight="1">
      <c r="A874" s="9"/>
      <c r="B874" s="9"/>
      <c r="C874" s="9"/>
      <c r="D874" s="9"/>
      <c r="E874" s="67"/>
      <c r="F874" s="68"/>
      <c r="G874" s="68"/>
      <c r="H874" s="69"/>
      <c r="I874" s="69"/>
      <c r="J874" s="69"/>
      <c r="K874" s="69"/>
      <c r="L874" s="69"/>
      <c r="M874" s="70"/>
      <c r="N874" s="69"/>
      <c r="O874" s="23"/>
      <c r="P874" s="23"/>
      <c r="Q874" s="9"/>
      <c r="R874" s="9"/>
      <c r="S874" s="9"/>
      <c r="T874" s="9"/>
      <c r="U874" s="9"/>
      <c r="V874" s="9"/>
      <c r="W874" s="9"/>
      <c r="X874" s="9"/>
      <c r="Y874" s="9"/>
      <c r="Z874" s="9"/>
      <c r="AA874" s="9"/>
      <c r="AB874" s="9"/>
      <c r="AC874" s="9"/>
      <c r="AD874" s="25"/>
      <c r="AE874" s="25"/>
      <c r="AF874" s="9"/>
      <c r="AG874" s="9"/>
      <c r="AH874" s="9"/>
      <c r="AI874" s="9"/>
    </row>
    <row r="875" ht="15.75" customHeight="1">
      <c r="A875" s="9"/>
      <c r="B875" s="9"/>
      <c r="C875" s="9"/>
      <c r="D875" s="9"/>
      <c r="E875" s="67"/>
      <c r="F875" s="68"/>
      <c r="G875" s="68"/>
      <c r="H875" s="69"/>
      <c r="I875" s="69"/>
      <c r="J875" s="69"/>
      <c r="K875" s="69"/>
      <c r="L875" s="69"/>
      <c r="M875" s="69"/>
      <c r="N875" s="69"/>
      <c r="O875" s="23"/>
      <c r="P875" s="23"/>
      <c r="Q875" s="9"/>
      <c r="R875" s="9"/>
      <c r="S875" s="9"/>
      <c r="T875" s="9"/>
      <c r="U875" s="9"/>
      <c r="V875" s="9"/>
      <c r="W875" s="9"/>
      <c r="X875" s="9"/>
      <c r="Y875" s="9"/>
      <c r="Z875" s="9"/>
      <c r="AA875" s="9"/>
      <c r="AB875" s="9"/>
      <c r="AC875" s="9"/>
      <c r="AD875" s="25"/>
      <c r="AE875" s="25"/>
      <c r="AF875" s="9"/>
      <c r="AG875" s="9"/>
      <c r="AH875" s="9"/>
      <c r="AI875" s="9"/>
    </row>
    <row r="876" ht="15.75" customHeight="1">
      <c r="A876" s="9"/>
      <c r="B876" s="9"/>
      <c r="C876" s="9"/>
      <c r="D876" s="9"/>
      <c r="E876" s="67"/>
      <c r="F876" s="68"/>
      <c r="G876" s="68"/>
      <c r="H876" s="69"/>
      <c r="I876" s="69"/>
      <c r="J876" s="69"/>
      <c r="K876" s="69"/>
      <c r="L876" s="69"/>
      <c r="M876" s="70"/>
      <c r="N876" s="69"/>
      <c r="O876" s="23"/>
      <c r="P876" s="23"/>
      <c r="Q876" s="9"/>
      <c r="R876" s="9"/>
      <c r="S876" s="9"/>
      <c r="T876" s="9"/>
      <c r="U876" s="9"/>
      <c r="V876" s="9"/>
      <c r="W876" s="9"/>
      <c r="X876" s="9"/>
      <c r="Y876" s="9"/>
      <c r="Z876" s="9"/>
      <c r="AA876" s="9"/>
      <c r="AB876" s="9"/>
      <c r="AC876" s="9"/>
      <c r="AD876" s="25"/>
      <c r="AE876" s="25"/>
      <c r="AF876" s="9"/>
      <c r="AG876" s="9"/>
      <c r="AH876" s="9"/>
      <c r="AI876" s="9"/>
    </row>
    <row r="877" ht="15.75" customHeight="1">
      <c r="A877" s="9"/>
      <c r="B877" s="9"/>
      <c r="C877" s="9"/>
      <c r="D877" s="9"/>
      <c r="E877" s="67"/>
      <c r="F877" s="68"/>
      <c r="G877" s="68"/>
      <c r="H877" s="69"/>
      <c r="I877" s="69"/>
      <c r="J877" s="69"/>
      <c r="K877" s="69"/>
      <c r="L877" s="69"/>
      <c r="M877" s="71"/>
      <c r="N877" s="69"/>
      <c r="O877" s="23"/>
      <c r="P877" s="23"/>
      <c r="Q877" s="9"/>
      <c r="R877" s="9"/>
      <c r="S877" s="9"/>
      <c r="T877" s="9"/>
      <c r="U877" s="9"/>
      <c r="V877" s="9"/>
      <c r="W877" s="9"/>
      <c r="X877" s="9"/>
      <c r="Y877" s="9"/>
      <c r="Z877" s="9"/>
      <c r="AA877" s="9"/>
      <c r="AB877" s="9"/>
      <c r="AC877" s="9"/>
      <c r="AD877" s="25"/>
      <c r="AE877" s="25"/>
      <c r="AF877" s="9"/>
      <c r="AG877" s="9"/>
      <c r="AH877" s="9"/>
      <c r="AI877" s="9"/>
    </row>
    <row r="878" ht="15.75" customHeight="1">
      <c r="A878" s="9"/>
      <c r="B878" s="9"/>
      <c r="C878" s="9"/>
      <c r="D878" s="9"/>
      <c r="E878" s="67"/>
      <c r="F878" s="68"/>
      <c r="G878" s="68"/>
      <c r="H878" s="69"/>
      <c r="I878" s="69"/>
      <c r="J878" s="69"/>
      <c r="K878" s="69"/>
      <c r="L878" s="69"/>
      <c r="M878" s="71"/>
      <c r="N878" s="69"/>
      <c r="O878" s="23"/>
      <c r="P878" s="23"/>
      <c r="Q878" s="9"/>
      <c r="R878" s="9"/>
      <c r="S878" s="9"/>
      <c r="T878" s="9"/>
      <c r="U878" s="9"/>
      <c r="V878" s="9"/>
      <c r="W878" s="9"/>
      <c r="X878" s="9"/>
      <c r="Y878" s="9"/>
      <c r="Z878" s="9"/>
      <c r="AA878" s="9"/>
      <c r="AB878" s="9"/>
      <c r="AC878" s="9"/>
      <c r="AD878" s="25"/>
      <c r="AE878" s="25"/>
      <c r="AF878" s="9"/>
      <c r="AG878" s="9"/>
      <c r="AH878" s="9"/>
      <c r="AI878" s="9"/>
    </row>
    <row r="879" ht="15.75" customHeight="1">
      <c r="A879" s="9"/>
      <c r="B879" s="9"/>
      <c r="C879" s="9"/>
      <c r="D879" s="9"/>
      <c r="E879" s="67"/>
      <c r="F879" s="68"/>
      <c r="G879" s="68"/>
      <c r="H879" s="69"/>
      <c r="I879" s="69"/>
      <c r="J879" s="69"/>
      <c r="K879" s="69"/>
      <c r="L879" s="69"/>
      <c r="M879" s="69"/>
      <c r="N879" s="69"/>
      <c r="O879" s="23"/>
      <c r="P879" s="23"/>
      <c r="Q879" s="9"/>
      <c r="R879" s="9"/>
      <c r="S879" s="9"/>
      <c r="T879" s="9"/>
      <c r="U879" s="9"/>
      <c r="V879" s="9"/>
      <c r="W879" s="9"/>
      <c r="X879" s="9"/>
      <c r="Y879" s="9"/>
      <c r="Z879" s="9"/>
      <c r="AA879" s="9"/>
      <c r="AB879" s="9"/>
      <c r="AC879" s="9"/>
      <c r="AD879" s="25"/>
      <c r="AE879" s="25"/>
      <c r="AF879" s="9"/>
      <c r="AG879" s="9"/>
      <c r="AH879" s="9"/>
      <c r="AI879" s="9"/>
    </row>
    <row r="880" ht="15.75" customHeight="1">
      <c r="A880" s="9"/>
      <c r="B880" s="9"/>
      <c r="C880" s="9"/>
      <c r="D880" s="9"/>
      <c r="E880" s="67"/>
      <c r="F880" s="68"/>
      <c r="G880" s="68"/>
      <c r="H880" s="69"/>
      <c r="I880" s="69"/>
      <c r="J880" s="69"/>
      <c r="K880" s="69"/>
      <c r="L880" s="69"/>
      <c r="M880" s="70"/>
      <c r="N880" s="69"/>
      <c r="O880" s="23"/>
      <c r="P880" s="23"/>
      <c r="Q880" s="9"/>
      <c r="R880" s="9"/>
      <c r="S880" s="9"/>
      <c r="T880" s="9"/>
      <c r="U880" s="9"/>
      <c r="V880" s="9"/>
      <c r="W880" s="9"/>
      <c r="X880" s="9"/>
      <c r="Y880" s="9"/>
      <c r="Z880" s="9"/>
      <c r="AA880" s="9"/>
      <c r="AB880" s="9"/>
      <c r="AC880" s="9"/>
      <c r="AD880" s="25"/>
      <c r="AE880" s="25"/>
      <c r="AF880" s="9"/>
      <c r="AG880" s="9"/>
      <c r="AH880" s="9"/>
      <c r="AI880" s="9"/>
    </row>
    <row r="881" ht="15.75" customHeight="1">
      <c r="A881" s="9"/>
      <c r="B881" s="9"/>
      <c r="C881" s="9"/>
      <c r="D881" s="9"/>
      <c r="E881" s="67"/>
      <c r="F881" s="68"/>
      <c r="G881" s="68"/>
      <c r="H881" s="69"/>
      <c r="I881" s="69"/>
      <c r="J881" s="69"/>
      <c r="K881" s="69"/>
      <c r="L881" s="69"/>
      <c r="M881" s="70"/>
      <c r="N881" s="69"/>
      <c r="O881" s="23"/>
      <c r="P881" s="23"/>
      <c r="Q881" s="9"/>
      <c r="R881" s="9"/>
      <c r="S881" s="9"/>
      <c r="T881" s="9"/>
      <c r="U881" s="9"/>
      <c r="V881" s="9"/>
      <c r="W881" s="9"/>
      <c r="X881" s="9"/>
      <c r="Y881" s="9"/>
      <c r="Z881" s="9"/>
      <c r="AA881" s="9"/>
      <c r="AB881" s="9"/>
      <c r="AC881" s="9"/>
      <c r="AD881" s="25"/>
      <c r="AE881" s="25"/>
      <c r="AF881" s="9"/>
      <c r="AG881" s="9"/>
      <c r="AH881" s="9"/>
      <c r="AI881" s="9"/>
    </row>
    <row r="882" ht="15.75" customHeight="1">
      <c r="A882" s="9"/>
      <c r="B882" s="9"/>
      <c r="C882" s="9"/>
      <c r="D882" s="9"/>
      <c r="E882" s="67"/>
      <c r="F882" s="68"/>
      <c r="G882" s="68"/>
      <c r="H882" s="69"/>
      <c r="I882" s="69"/>
      <c r="J882" s="69"/>
      <c r="K882" s="69"/>
      <c r="L882" s="69"/>
      <c r="M882" s="70"/>
      <c r="N882" s="69"/>
      <c r="O882" s="23"/>
      <c r="P882" s="23"/>
      <c r="Q882" s="9"/>
      <c r="R882" s="9"/>
      <c r="S882" s="9"/>
      <c r="T882" s="9"/>
      <c r="U882" s="9"/>
      <c r="V882" s="9"/>
      <c r="W882" s="9"/>
      <c r="X882" s="9"/>
      <c r="Y882" s="9"/>
      <c r="Z882" s="9"/>
      <c r="AA882" s="9"/>
      <c r="AB882" s="9"/>
      <c r="AC882" s="9"/>
      <c r="AD882" s="25"/>
      <c r="AE882" s="25"/>
      <c r="AF882" s="9"/>
      <c r="AG882" s="9"/>
      <c r="AH882" s="9"/>
      <c r="AI882" s="9"/>
    </row>
    <row r="883" ht="15.75" customHeight="1">
      <c r="A883" s="9"/>
      <c r="B883" s="9"/>
      <c r="C883" s="9"/>
      <c r="D883" s="9"/>
      <c r="E883" s="67"/>
      <c r="F883" s="68"/>
      <c r="G883" s="68"/>
      <c r="H883" s="69"/>
      <c r="I883" s="69"/>
      <c r="J883" s="69"/>
      <c r="K883" s="69"/>
      <c r="L883" s="69"/>
      <c r="M883" s="69"/>
      <c r="N883" s="69"/>
      <c r="O883" s="23"/>
      <c r="P883" s="23"/>
      <c r="Q883" s="9"/>
      <c r="R883" s="9"/>
      <c r="S883" s="9"/>
      <c r="T883" s="9"/>
      <c r="U883" s="9"/>
      <c r="V883" s="9"/>
      <c r="W883" s="9"/>
      <c r="X883" s="9"/>
      <c r="Y883" s="9"/>
      <c r="Z883" s="9"/>
      <c r="AA883" s="9"/>
      <c r="AB883" s="9"/>
      <c r="AC883" s="9"/>
      <c r="AD883" s="25"/>
      <c r="AE883" s="25"/>
      <c r="AF883" s="9"/>
      <c r="AG883" s="9"/>
      <c r="AH883" s="9"/>
      <c r="AI883" s="9"/>
    </row>
    <row r="884" ht="15.75" customHeight="1">
      <c r="A884" s="9"/>
      <c r="B884" s="9"/>
      <c r="C884" s="9"/>
      <c r="D884" s="9"/>
      <c r="E884" s="67"/>
      <c r="F884" s="68"/>
      <c r="G884" s="68"/>
      <c r="H884" s="69"/>
      <c r="I884" s="69"/>
      <c r="J884" s="69"/>
      <c r="K884" s="69"/>
      <c r="L884" s="69"/>
      <c r="M884" s="70"/>
      <c r="N884" s="69"/>
      <c r="O884" s="23"/>
      <c r="P884" s="23"/>
      <c r="Q884" s="9"/>
      <c r="R884" s="9"/>
      <c r="S884" s="9"/>
      <c r="T884" s="9"/>
      <c r="U884" s="9"/>
      <c r="V884" s="9"/>
      <c r="W884" s="9"/>
      <c r="X884" s="9"/>
      <c r="Y884" s="9"/>
      <c r="Z884" s="9"/>
      <c r="AA884" s="9"/>
      <c r="AB884" s="9"/>
      <c r="AC884" s="9"/>
      <c r="AD884" s="25"/>
      <c r="AE884" s="25"/>
      <c r="AF884" s="9"/>
      <c r="AG884" s="9"/>
      <c r="AH884" s="9"/>
      <c r="AI884" s="9"/>
    </row>
    <row r="885" ht="15.75" customHeight="1">
      <c r="A885" s="9"/>
      <c r="B885" s="9"/>
      <c r="C885" s="9"/>
      <c r="D885" s="9"/>
      <c r="E885" s="67"/>
      <c r="F885" s="68"/>
      <c r="G885" s="68"/>
      <c r="H885" s="69"/>
      <c r="I885" s="69"/>
      <c r="J885" s="69"/>
      <c r="K885" s="69"/>
      <c r="L885" s="69"/>
      <c r="M885" s="69"/>
      <c r="N885" s="69"/>
      <c r="O885" s="23"/>
      <c r="P885" s="23"/>
      <c r="Q885" s="9"/>
      <c r="R885" s="9"/>
      <c r="S885" s="9"/>
      <c r="T885" s="9"/>
      <c r="U885" s="9"/>
      <c r="V885" s="9"/>
      <c r="W885" s="9"/>
      <c r="X885" s="9"/>
      <c r="Y885" s="9"/>
      <c r="Z885" s="9"/>
      <c r="AA885" s="9"/>
      <c r="AB885" s="9"/>
      <c r="AC885" s="9"/>
      <c r="AD885" s="25"/>
      <c r="AE885" s="25"/>
      <c r="AF885" s="9"/>
      <c r="AG885" s="9"/>
      <c r="AH885" s="9"/>
      <c r="AI885" s="9"/>
    </row>
    <row r="886" ht="15.75" customHeight="1">
      <c r="A886" s="9"/>
      <c r="B886" s="9"/>
      <c r="C886" s="9"/>
      <c r="D886" s="9"/>
      <c r="E886" s="67"/>
      <c r="F886" s="68"/>
      <c r="G886" s="68"/>
      <c r="H886" s="69"/>
      <c r="I886" s="69"/>
      <c r="J886" s="69"/>
      <c r="K886" s="69"/>
      <c r="L886" s="69"/>
      <c r="M886" s="70"/>
      <c r="N886" s="69"/>
      <c r="O886" s="23"/>
      <c r="P886" s="23"/>
      <c r="Q886" s="9"/>
      <c r="R886" s="9"/>
      <c r="S886" s="9"/>
      <c r="T886" s="9"/>
      <c r="U886" s="9"/>
      <c r="V886" s="9"/>
      <c r="W886" s="9"/>
      <c r="X886" s="9"/>
      <c r="Y886" s="9"/>
      <c r="Z886" s="9"/>
      <c r="AA886" s="9"/>
      <c r="AB886" s="9"/>
      <c r="AC886" s="9"/>
      <c r="AD886" s="25"/>
      <c r="AE886" s="25"/>
      <c r="AF886" s="9"/>
      <c r="AG886" s="9"/>
      <c r="AH886" s="9"/>
      <c r="AI886" s="9"/>
    </row>
    <row r="887" ht="15.75" customHeight="1">
      <c r="A887" s="9"/>
      <c r="B887" s="9"/>
      <c r="C887" s="9"/>
      <c r="D887" s="9"/>
      <c r="E887" s="67"/>
      <c r="F887" s="68"/>
      <c r="G887" s="68"/>
      <c r="H887" s="69"/>
      <c r="I887" s="69"/>
      <c r="J887" s="69"/>
      <c r="K887" s="69"/>
      <c r="L887" s="69"/>
      <c r="M887" s="70"/>
      <c r="N887" s="69"/>
      <c r="O887" s="23"/>
      <c r="P887" s="23"/>
      <c r="Q887" s="9"/>
      <c r="R887" s="9"/>
      <c r="S887" s="9"/>
      <c r="T887" s="9"/>
      <c r="U887" s="9"/>
      <c r="V887" s="9"/>
      <c r="W887" s="9"/>
      <c r="X887" s="9"/>
      <c r="Y887" s="9"/>
      <c r="Z887" s="9"/>
      <c r="AA887" s="9"/>
      <c r="AB887" s="9"/>
      <c r="AC887" s="9"/>
      <c r="AD887" s="25"/>
      <c r="AE887" s="25"/>
      <c r="AF887" s="9"/>
      <c r="AG887" s="9"/>
      <c r="AH887" s="9"/>
      <c r="AI887" s="9"/>
    </row>
    <row r="888" ht="15.75" customHeight="1">
      <c r="A888" s="9"/>
      <c r="B888" s="9"/>
      <c r="C888" s="9"/>
      <c r="D888" s="9"/>
      <c r="E888" s="67"/>
      <c r="F888" s="68"/>
      <c r="G888" s="68"/>
      <c r="H888" s="69"/>
      <c r="I888" s="69"/>
      <c r="J888" s="69"/>
      <c r="K888" s="69"/>
      <c r="L888" s="69"/>
      <c r="M888" s="69"/>
      <c r="N888" s="69"/>
      <c r="O888" s="23"/>
      <c r="P888" s="23"/>
      <c r="Q888" s="9"/>
      <c r="R888" s="9"/>
      <c r="S888" s="9"/>
      <c r="T888" s="9"/>
      <c r="U888" s="9"/>
      <c r="V888" s="9"/>
      <c r="W888" s="9"/>
      <c r="X888" s="9"/>
      <c r="Y888" s="9"/>
      <c r="Z888" s="9"/>
      <c r="AA888" s="9"/>
      <c r="AB888" s="9"/>
      <c r="AC888" s="9"/>
      <c r="AD888" s="25"/>
      <c r="AE888" s="25"/>
      <c r="AF888" s="9"/>
      <c r="AG888" s="9"/>
      <c r="AH888" s="9"/>
      <c r="AI888" s="9"/>
    </row>
    <row r="889" ht="15.75" customHeight="1">
      <c r="A889" s="9"/>
      <c r="B889" s="9"/>
      <c r="C889" s="9"/>
      <c r="D889" s="9"/>
      <c r="E889" s="67"/>
      <c r="F889" s="68"/>
      <c r="G889" s="68"/>
      <c r="H889" s="69"/>
      <c r="I889" s="69"/>
      <c r="J889" s="69"/>
      <c r="K889" s="69"/>
      <c r="L889" s="69"/>
      <c r="M889" s="70"/>
      <c r="N889" s="69"/>
      <c r="O889" s="23"/>
      <c r="P889" s="23"/>
      <c r="Q889" s="9"/>
      <c r="R889" s="9"/>
      <c r="S889" s="9"/>
      <c r="T889" s="9"/>
      <c r="U889" s="9"/>
      <c r="V889" s="9"/>
      <c r="W889" s="9"/>
      <c r="X889" s="9"/>
      <c r="Y889" s="9"/>
      <c r="Z889" s="9"/>
      <c r="AA889" s="9"/>
      <c r="AB889" s="9"/>
      <c r="AC889" s="9"/>
      <c r="AD889" s="25"/>
      <c r="AE889" s="25"/>
      <c r="AF889" s="9"/>
      <c r="AG889" s="9"/>
      <c r="AH889" s="9"/>
      <c r="AI889" s="9"/>
    </row>
    <row r="890" ht="15.75" customHeight="1">
      <c r="A890" s="9"/>
      <c r="B890" s="9"/>
      <c r="C890" s="9"/>
      <c r="D890" s="9"/>
      <c r="E890" s="67"/>
      <c r="F890" s="68"/>
      <c r="G890" s="68"/>
      <c r="H890" s="69"/>
      <c r="I890" s="69"/>
      <c r="J890" s="69"/>
      <c r="K890" s="69"/>
      <c r="L890" s="69"/>
      <c r="M890" s="70"/>
      <c r="N890" s="69"/>
      <c r="O890" s="23"/>
      <c r="P890" s="23"/>
      <c r="Q890" s="9"/>
      <c r="R890" s="9"/>
      <c r="S890" s="9"/>
      <c r="T890" s="9"/>
      <c r="U890" s="9"/>
      <c r="V890" s="9"/>
      <c r="W890" s="9"/>
      <c r="X890" s="9"/>
      <c r="Y890" s="9"/>
      <c r="Z890" s="9"/>
      <c r="AA890" s="9"/>
      <c r="AB890" s="9"/>
      <c r="AC890" s="9"/>
      <c r="AD890" s="25"/>
      <c r="AE890" s="25"/>
      <c r="AF890" s="9"/>
      <c r="AG890" s="9"/>
      <c r="AH890" s="9"/>
      <c r="AI890" s="9"/>
    </row>
    <row r="891" ht="15.75" customHeight="1">
      <c r="A891" s="9"/>
      <c r="B891" s="9"/>
      <c r="C891" s="9"/>
      <c r="D891" s="9"/>
      <c r="E891" s="67"/>
      <c r="F891" s="68"/>
      <c r="G891" s="68"/>
      <c r="H891" s="69"/>
      <c r="I891" s="69"/>
      <c r="J891" s="69"/>
      <c r="K891" s="69"/>
      <c r="L891" s="69"/>
      <c r="M891" s="70"/>
      <c r="N891" s="69"/>
      <c r="O891" s="23"/>
      <c r="P891" s="23"/>
      <c r="Q891" s="9"/>
      <c r="R891" s="9"/>
      <c r="S891" s="9"/>
      <c r="T891" s="9"/>
      <c r="U891" s="9"/>
      <c r="V891" s="9"/>
      <c r="W891" s="9"/>
      <c r="X891" s="9"/>
      <c r="Y891" s="9"/>
      <c r="Z891" s="9"/>
      <c r="AA891" s="9"/>
      <c r="AB891" s="9"/>
      <c r="AC891" s="9"/>
      <c r="AD891" s="25"/>
      <c r="AE891" s="25"/>
      <c r="AF891" s="9"/>
      <c r="AG891" s="9"/>
      <c r="AH891" s="9"/>
      <c r="AI891" s="9"/>
    </row>
    <row r="892" ht="15.75" customHeight="1">
      <c r="A892" s="9"/>
      <c r="B892" s="9"/>
      <c r="C892" s="9"/>
      <c r="D892" s="9"/>
      <c r="E892" s="67"/>
      <c r="F892" s="68"/>
      <c r="G892" s="68"/>
      <c r="H892" s="69"/>
      <c r="I892" s="69"/>
      <c r="J892" s="69"/>
      <c r="K892" s="69"/>
      <c r="L892" s="69"/>
      <c r="M892" s="70"/>
      <c r="N892" s="69"/>
      <c r="O892" s="23"/>
      <c r="P892" s="23"/>
      <c r="Q892" s="9"/>
      <c r="R892" s="9"/>
      <c r="S892" s="9"/>
      <c r="T892" s="9"/>
      <c r="U892" s="9"/>
      <c r="V892" s="9"/>
      <c r="W892" s="9"/>
      <c r="X892" s="9"/>
      <c r="Y892" s="9"/>
      <c r="Z892" s="9"/>
      <c r="AA892" s="9"/>
      <c r="AB892" s="9"/>
      <c r="AC892" s="9"/>
      <c r="AD892" s="25"/>
      <c r="AE892" s="25"/>
      <c r="AF892" s="9"/>
      <c r="AG892" s="9"/>
      <c r="AH892" s="9"/>
      <c r="AI892" s="9"/>
    </row>
    <row r="893" ht="15.75" customHeight="1">
      <c r="A893" s="9"/>
      <c r="B893" s="9"/>
      <c r="C893" s="9"/>
      <c r="D893" s="9"/>
      <c r="E893" s="67"/>
      <c r="F893" s="68"/>
      <c r="G893" s="68"/>
      <c r="H893" s="69"/>
      <c r="I893" s="69"/>
      <c r="J893" s="69"/>
      <c r="K893" s="69"/>
      <c r="L893" s="69"/>
      <c r="M893" s="69"/>
      <c r="N893" s="69"/>
      <c r="O893" s="23"/>
      <c r="P893" s="23"/>
      <c r="Q893" s="9"/>
      <c r="R893" s="9"/>
      <c r="S893" s="9"/>
      <c r="T893" s="9"/>
      <c r="U893" s="9"/>
      <c r="V893" s="9"/>
      <c r="W893" s="9"/>
      <c r="X893" s="9"/>
      <c r="Y893" s="9"/>
      <c r="Z893" s="9"/>
      <c r="AA893" s="9"/>
      <c r="AB893" s="9"/>
      <c r="AC893" s="9"/>
      <c r="AD893" s="25"/>
      <c r="AE893" s="25"/>
      <c r="AF893" s="9"/>
      <c r="AG893" s="9"/>
      <c r="AH893" s="9"/>
      <c r="AI893" s="9"/>
    </row>
    <row r="894" ht="15.75" customHeight="1">
      <c r="A894" s="9"/>
      <c r="B894" s="9"/>
      <c r="C894" s="9"/>
      <c r="D894" s="9"/>
      <c r="E894" s="67"/>
      <c r="F894" s="68"/>
      <c r="G894" s="68"/>
      <c r="H894" s="69"/>
      <c r="I894" s="69"/>
      <c r="J894" s="69"/>
      <c r="K894" s="69"/>
      <c r="L894" s="69"/>
      <c r="M894" s="70"/>
      <c r="N894" s="69"/>
      <c r="O894" s="23"/>
      <c r="P894" s="23"/>
      <c r="Q894" s="9"/>
      <c r="R894" s="9"/>
      <c r="S894" s="9"/>
      <c r="T894" s="9"/>
      <c r="U894" s="9"/>
      <c r="V894" s="9"/>
      <c r="W894" s="9"/>
      <c r="X894" s="9"/>
      <c r="Y894" s="9"/>
      <c r="Z894" s="9"/>
      <c r="AA894" s="9"/>
      <c r="AB894" s="9"/>
      <c r="AC894" s="9"/>
      <c r="AD894" s="25"/>
      <c r="AE894" s="25"/>
      <c r="AF894" s="9"/>
      <c r="AG894" s="9"/>
      <c r="AH894" s="9"/>
      <c r="AI894" s="9"/>
    </row>
    <row r="895" ht="15.75" customHeight="1">
      <c r="A895" s="9"/>
      <c r="B895" s="9"/>
      <c r="C895" s="9"/>
      <c r="D895" s="9"/>
      <c r="E895" s="67"/>
      <c r="F895" s="68"/>
      <c r="G895" s="68"/>
      <c r="H895" s="69"/>
      <c r="I895" s="69"/>
      <c r="J895" s="69"/>
      <c r="K895" s="69"/>
      <c r="L895" s="69"/>
      <c r="M895" s="70"/>
      <c r="N895" s="69"/>
      <c r="O895" s="23"/>
      <c r="P895" s="23"/>
      <c r="Q895" s="9"/>
      <c r="R895" s="9"/>
      <c r="S895" s="9"/>
      <c r="T895" s="9"/>
      <c r="U895" s="9"/>
      <c r="V895" s="9"/>
      <c r="W895" s="9"/>
      <c r="X895" s="9"/>
      <c r="Y895" s="9"/>
      <c r="Z895" s="9"/>
      <c r="AA895" s="9"/>
      <c r="AB895" s="9"/>
      <c r="AC895" s="9"/>
      <c r="AD895" s="25"/>
      <c r="AE895" s="25"/>
      <c r="AF895" s="9"/>
      <c r="AG895" s="9"/>
      <c r="AH895" s="9"/>
      <c r="AI895" s="9"/>
    </row>
    <row r="896" ht="15.75" customHeight="1">
      <c r="A896" s="9"/>
      <c r="B896" s="9"/>
      <c r="C896" s="9"/>
      <c r="D896" s="9"/>
      <c r="E896" s="67"/>
      <c r="F896" s="68"/>
      <c r="G896" s="68"/>
      <c r="H896" s="69"/>
      <c r="I896" s="69"/>
      <c r="J896" s="69"/>
      <c r="K896" s="69"/>
      <c r="L896" s="69"/>
      <c r="M896" s="69"/>
      <c r="N896" s="69"/>
      <c r="O896" s="23"/>
      <c r="P896" s="23"/>
      <c r="Q896" s="9"/>
      <c r="R896" s="9"/>
      <c r="S896" s="9"/>
      <c r="T896" s="9"/>
      <c r="U896" s="9"/>
      <c r="V896" s="9"/>
      <c r="W896" s="9"/>
      <c r="X896" s="9"/>
      <c r="Y896" s="9"/>
      <c r="Z896" s="9"/>
      <c r="AA896" s="9"/>
      <c r="AB896" s="9"/>
      <c r="AC896" s="9"/>
      <c r="AD896" s="25"/>
      <c r="AE896" s="25"/>
      <c r="AF896" s="9"/>
      <c r="AG896" s="9"/>
      <c r="AH896" s="9"/>
      <c r="AI896" s="9"/>
    </row>
    <row r="897" ht="15.75" customHeight="1">
      <c r="A897" s="9"/>
      <c r="B897" s="9"/>
      <c r="C897" s="9"/>
      <c r="D897" s="9"/>
      <c r="E897" s="67"/>
      <c r="F897" s="68"/>
      <c r="G897" s="68"/>
      <c r="H897" s="69"/>
      <c r="I897" s="69"/>
      <c r="J897" s="69"/>
      <c r="K897" s="69"/>
      <c r="L897" s="69"/>
      <c r="M897" s="70"/>
      <c r="N897" s="69"/>
      <c r="O897" s="23"/>
      <c r="P897" s="23"/>
      <c r="Q897" s="9"/>
      <c r="R897" s="9"/>
      <c r="S897" s="9"/>
      <c r="T897" s="9"/>
      <c r="U897" s="9"/>
      <c r="V897" s="9"/>
      <c r="W897" s="9"/>
      <c r="X897" s="9"/>
      <c r="Y897" s="9"/>
      <c r="Z897" s="9"/>
      <c r="AA897" s="9"/>
      <c r="AB897" s="9"/>
      <c r="AC897" s="9"/>
      <c r="AD897" s="25"/>
      <c r="AE897" s="25"/>
      <c r="AF897" s="9"/>
      <c r="AG897" s="9"/>
      <c r="AH897" s="9"/>
      <c r="AI897" s="9"/>
    </row>
    <row r="898" ht="15.75" customHeight="1">
      <c r="A898" s="9"/>
      <c r="B898" s="9"/>
      <c r="C898" s="9"/>
      <c r="D898" s="9"/>
      <c r="E898" s="67"/>
      <c r="F898" s="68"/>
      <c r="G898" s="68"/>
      <c r="H898" s="69"/>
      <c r="I898" s="69"/>
      <c r="J898" s="69"/>
      <c r="K898" s="69"/>
      <c r="L898" s="69"/>
      <c r="M898" s="70"/>
      <c r="N898" s="69"/>
      <c r="O898" s="23"/>
      <c r="P898" s="23"/>
      <c r="Q898" s="9"/>
      <c r="R898" s="9"/>
      <c r="S898" s="9"/>
      <c r="T898" s="9"/>
      <c r="U898" s="9"/>
      <c r="V898" s="9"/>
      <c r="W898" s="9"/>
      <c r="X898" s="9"/>
      <c r="Y898" s="9"/>
      <c r="Z898" s="9"/>
      <c r="AA898" s="9"/>
      <c r="AB898" s="9"/>
      <c r="AC898" s="9"/>
      <c r="AD898" s="25"/>
      <c r="AE898" s="25"/>
      <c r="AF898" s="9"/>
      <c r="AG898" s="9"/>
      <c r="AH898" s="9"/>
      <c r="AI898" s="9"/>
    </row>
    <row r="899" ht="15.75" customHeight="1">
      <c r="A899" s="9"/>
      <c r="B899" s="9"/>
      <c r="C899" s="9"/>
      <c r="D899" s="9"/>
      <c r="E899" s="67"/>
      <c r="F899" s="68"/>
      <c r="G899" s="68"/>
      <c r="H899" s="69"/>
      <c r="I899" s="69"/>
      <c r="J899" s="69"/>
      <c r="K899" s="69"/>
      <c r="L899" s="69"/>
      <c r="M899" s="70"/>
      <c r="N899" s="69"/>
      <c r="O899" s="23"/>
      <c r="P899" s="23"/>
      <c r="Q899" s="9"/>
      <c r="R899" s="9"/>
      <c r="S899" s="9"/>
      <c r="T899" s="9"/>
      <c r="U899" s="9"/>
      <c r="V899" s="9"/>
      <c r="W899" s="9"/>
      <c r="X899" s="9"/>
      <c r="Y899" s="9"/>
      <c r="Z899" s="9"/>
      <c r="AA899" s="9"/>
      <c r="AB899" s="9"/>
      <c r="AC899" s="9"/>
      <c r="AD899" s="25"/>
      <c r="AE899" s="25"/>
      <c r="AF899" s="9"/>
      <c r="AG899" s="9"/>
      <c r="AH899" s="9"/>
      <c r="AI899" s="9"/>
    </row>
    <row r="900" ht="15.75" customHeight="1">
      <c r="A900" s="9"/>
      <c r="B900" s="9"/>
      <c r="C900" s="9"/>
      <c r="D900" s="9"/>
      <c r="E900" s="67"/>
      <c r="F900" s="68"/>
      <c r="G900" s="68"/>
      <c r="H900" s="69"/>
      <c r="I900" s="69"/>
      <c r="J900" s="69"/>
      <c r="K900" s="69"/>
      <c r="L900" s="69"/>
      <c r="M900" s="70"/>
      <c r="N900" s="69"/>
      <c r="O900" s="23"/>
      <c r="P900" s="23"/>
      <c r="Q900" s="9"/>
      <c r="R900" s="9"/>
      <c r="S900" s="9"/>
      <c r="T900" s="9"/>
      <c r="U900" s="9"/>
      <c r="V900" s="9"/>
      <c r="W900" s="9"/>
      <c r="X900" s="9"/>
      <c r="Y900" s="9"/>
      <c r="Z900" s="9"/>
      <c r="AA900" s="9"/>
      <c r="AB900" s="9"/>
      <c r="AC900" s="9"/>
      <c r="AD900" s="25"/>
      <c r="AE900" s="25"/>
      <c r="AF900" s="9"/>
      <c r="AG900" s="9"/>
      <c r="AH900" s="9"/>
      <c r="AI900" s="9"/>
    </row>
    <row r="901" ht="15.75" customHeight="1">
      <c r="A901" s="9"/>
      <c r="B901" s="9"/>
      <c r="C901" s="9"/>
      <c r="D901" s="9"/>
      <c r="E901" s="67"/>
      <c r="F901" s="68"/>
      <c r="G901" s="68"/>
      <c r="H901" s="69"/>
      <c r="I901" s="69"/>
      <c r="J901" s="69"/>
      <c r="K901" s="69"/>
      <c r="L901" s="69"/>
      <c r="M901" s="70"/>
      <c r="N901" s="69"/>
      <c r="O901" s="23"/>
      <c r="P901" s="23"/>
      <c r="Q901" s="9"/>
      <c r="R901" s="9"/>
      <c r="S901" s="9"/>
      <c r="T901" s="9"/>
      <c r="U901" s="9"/>
      <c r="V901" s="9"/>
      <c r="W901" s="9"/>
      <c r="X901" s="9"/>
      <c r="Y901" s="9"/>
      <c r="Z901" s="9"/>
      <c r="AA901" s="9"/>
      <c r="AB901" s="9"/>
      <c r="AC901" s="9"/>
      <c r="AD901" s="25"/>
      <c r="AE901" s="25"/>
      <c r="AF901" s="9"/>
      <c r="AG901" s="9"/>
      <c r="AH901" s="9"/>
      <c r="AI901" s="9"/>
    </row>
    <row r="902" ht="15.75" customHeight="1">
      <c r="A902" s="9"/>
      <c r="B902" s="9"/>
      <c r="C902" s="9"/>
      <c r="D902" s="9"/>
      <c r="E902" s="67"/>
      <c r="F902" s="68"/>
      <c r="G902" s="68"/>
      <c r="H902" s="69"/>
      <c r="I902" s="69"/>
      <c r="J902" s="69"/>
      <c r="K902" s="69"/>
      <c r="L902" s="69"/>
      <c r="M902" s="70"/>
      <c r="N902" s="69"/>
      <c r="O902" s="23"/>
      <c r="P902" s="23"/>
      <c r="Q902" s="9"/>
      <c r="R902" s="9"/>
      <c r="S902" s="9"/>
      <c r="T902" s="9"/>
      <c r="U902" s="9"/>
      <c r="V902" s="9"/>
      <c r="W902" s="9"/>
      <c r="X902" s="9"/>
      <c r="Y902" s="9"/>
      <c r="Z902" s="9"/>
      <c r="AA902" s="9"/>
      <c r="AB902" s="9"/>
      <c r="AC902" s="9"/>
      <c r="AD902" s="25"/>
      <c r="AE902" s="25"/>
      <c r="AF902" s="9"/>
      <c r="AG902" s="9"/>
      <c r="AH902" s="9"/>
      <c r="AI902" s="9"/>
    </row>
    <row r="903" ht="15.75" customHeight="1">
      <c r="A903" s="9"/>
      <c r="B903" s="9"/>
      <c r="C903" s="9"/>
      <c r="D903" s="9"/>
      <c r="E903" s="67"/>
      <c r="F903" s="68"/>
      <c r="G903" s="68"/>
      <c r="H903" s="69"/>
      <c r="I903" s="69"/>
      <c r="J903" s="69"/>
      <c r="K903" s="69"/>
      <c r="L903" s="69"/>
      <c r="M903" s="69"/>
      <c r="N903" s="69"/>
      <c r="O903" s="23"/>
      <c r="P903" s="23"/>
      <c r="Q903" s="9"/>
      <c r="R903" s="9"/>
      <c r="S903" s="9"/>
      <c r="T903" s="9"/>
      <c r="U903" s="9"/>
      <c r="V903" s="9"/>
      <c r="W903" s="9"/>
      <c r="X903" s="9"/>
      <c r="Y903" s="9"/>
      <c r="Z903" s="9"/>
      <c r="AA903" s="9"/>
      <c r="AB903" s="9"/>
      <c r="AC903" s="9"/>
      <c r="AD903" s="25"/>
      <c r="AE903" s="25"/>
      <c r="AF903" s="9"/>
      <c r="AG903" s="9"/>
      <c r="AH903" s="9"/>
      <c r="AI903" s="9"/>
    </row>
    <row r="904" ht="15.75" customHeight="1">
      <c r="A904" s="9"/>
      <c r="B904" s="9"/>
      <c r="C904" s="9"/>
      <c r="D904" s="9"/>
      <c r="E904" s="67"/>
      <c r="F904" s="68"/>
      <c r="G904" s="68"/>
      <c r="H904" s="69"/>
      <c r="I904" s="69"/>
      <c r="J904" s="69"/>
      <c r="K904" s="69"/>
      <c r="L904" s="69"/>
      <c r="M904" s="69"/>
      <c r="N904" s="69"/>
      <c r="O904" s="23"/>
      <c r="P904" s="23"/>
      <c r="Q904" s="9"/>
      <c r="R904" s="9"/>
      <c r="S904" s="9"/>
      <c r="T904" s="9"/>
      <c r="U904" s="9"/>
      <c r="V904" s="9"/>
      <c r="W904" s="9"/>
      <c r="X904" s="9"/>
      <c r="Y904" s="9"/>
      <c r="Z904" s="9"/>
      <c r="AA904" s="9"/>
      <c r="AB904" s="9"/>
      <c r="AC904" s="9"/>
      <c r="AD904" s="25"/>
      <c r="AE904" s="25"/>
      <c r="AF904" s="9"/>
      <c r="AG904" s="9"/>
      <c r="AH904" s="9"/>
      <c r="AI904" s="9"/>
    </row>
    <row r="905" ht="15.75" customHeight="1">
      <c r="A905" s="9"/>
      <c r="B905" s="9"/>
      <c r="C905" s="9"/>
      <c r="D905" s="9"/>
      <c r="E905" s="67"/>
      <c r="F905" s="68"/>
      <c r="G905" s="68"/>
      <c r="H905" s="69"/>
      <c r="I905" s="69"/>
      <c r="J905" s="69"/>
      <c r="K905" s="69"/>
      <c r="L905" s="69"/>
      <c r="M905" s="70"/>
      <c r="N905" s="69"/>
      <c r="O905" s="23"/>
      <c r="P905" s="23"/>
      <c r="Q905" s="9"/>
      <c r="R905" s="9"/>
      <c r="S905" s="9"/>
      <c r="T905" s="9"/>
      <c r="U905" s="9"/>
      <c r="V905" s="9"/>
      <c r="W905" s="9"/>
      <c r="X905" s="9"/>
      <c r="Y905" s="9"/>
      <c r="Z905" s="9"/>
      <c r="AA905" s="9"/>
      <c r="AB905" s="9"/>
      <c r="AC905" s="9"/>
      <c r="AD905" s="25"/>
      <c r="AE905" s="25"/>
      <c r="AF905" s="9"/>
      <c r="AG905" s="9"/>
      <c r="AH905" s="9"/>
      <c r="AI905" s="9"/>
    </row>
    <row r="906" ht="15.75" customHeight="1">
      <c r="A906" s="9"/>
      <c r="B906" s="9"/>
      <c r="C906" s="9"/>
      <c r="D906" s="9"/>
      <c r="E906" s="67"/>
      <c r="F906" s="68"/>
      <c r="G906" s="68"/>
      <c r="H906" s="69"/>
      <c r="I906" s="69"/>
      <c r="J906" s="69"/>
      <c r="K906" s="69"/>
      <c r="L906" s="69"/>
      <c r="M906" s="69"/>
      <c r="N906" s="69"/>
      <c r="O906" s="23"/>
      <c r="P906" s="23"/>
      <c r="Q906" s="9"/>
      <c r="R906" s="9"/>
      <c r="S906" s="9"/>
      <c r="T906" s="9"/>
      <c r="U906" s="9"/>
      <c r="V906" s="9"/>
      <c r="W906" s="9"/>
      <c r="X906" s="9"/>
      <c r="Y906" s="9"/>
      <c r="Z906" s="9"/>
      <c r="AA906" s="9"/>
      <c r="AB906" s="9"/>
      <c r="AC906" s="9"/>
      <c r="AD906" s="25"/>
      <c r="AE906" s="25"/>
      <c r="AF906" s="9"/>
      <c r="AG906" s="9"/>
      <c r="AH906" s="9"/>
      <c r="AI906" s="9"/>
    </row>
    <row r="907" ht="15.75" customHeight="1">
      <c r="A907" s="9"/>
      <c r="B907" s="9"/>
      <c r="C907" s="9"/>
      <c r="D907" s="9"/>
      <c r="E907" s="67"/>
      <c r="F907" s="68"/>
      <c r="G907" s="68"/>
      <c r="H907" s="69"/>
      <c r="I907" s="69"/>
      <c r="J907" s="69"/>
      <c r="K907" s="69"/>
      <c r="L907" s="69"/>
      <c r="M907" s="69"/>
      <c r="N907" s="69"/>
      <c r="O907" s="23"/>
      <c r="P907" s="23"/>
      <c r="Q907" s="9"/>
      <c r="R907" s="9"/>
      <c r="S907" s="9"/>
      <c r="T907" s="9"/>
      <c r="U907" s="9"/>
      <c r="V907" s="9"/>
      <c r="W907" s="9"/>
      <c r="X907" s="9"/>
      <c r="Y907" s="9"/>
      <c r="Z907" s="9"/>
      <c r="AA907" s="9"/>
      <c r="AB907" s="9"/>
      <c r="AC907" s="9"/>
      <c r="AD907" s="25"/>
      <c r="AE907" s="25"/>
      <c r="AF907" s="9"/>
      <c r="AG907" s="9"/>
      <c r="AH907" s="9"/>
      <c r="AI907" s="9"/>
    </row>
    <row r="908" ht="15.75" customHeight="1">
      <c r="A908" s="9"/>
      <c r="B908" s="9"/>
      <c r="C908" s="9"/>
      <c r="D908" s="9"/>
      <c r="E908" s="67"/>
      <c r="F908" s="68"/>
      <c r="G908" s="68"/>
      <c r="H908" s="69"/>
      <c r="I908" s="69"/>
      <c r="J908" s="69"/>
      <c r="K908" s="69"/>
      <c r="L908" s="69"/>
      <c r="M908" s="70"/>
      <c r="N908" s="69"/>
      <c r="O908" s="23"/>
      <c r="P908" s="23"/>
      <c r="Q908" s="9"/>
      <c r="R908" s="9"/>
      <c r="S908" s="9"/>
      <c r="T908" s="9"/>
      <c r="U908" s="9"/>
      <c r="V908" s="9"/>
      <c r="W908" s="9"/>
      <c r="X908" s="9"/>
      <c r="Y908" s="9"/>
      <c r="Z908" s="9"/>
      <c r="AA908" s="9"/>
      <c r="AB908" s="9"/>
      <c r="AC908" s="9"/>
      <c r="AD908" s="25"/>
      <c r="AE908" s="25"/>
      <c r="AF908" s="9"/>
      <c r="AG908" s="9"/>
      <c r="AH908" s="9"/>
      <c r="AI908" s="9"/>
    </row>
    <row r="909" ht="15.75" customHeight="1">
      <c r="A909" s="9"/>
      <c r="B909" s="9"/>
      <c r="C909" s="9"/>
      <c r="D909" s="9"/>
      <c r="E909" s="67"/>
      <c r="F909" s="68"/>
      <c r="G909" s="68"/>
      <c r="H909" s="69"/>
      <c r="I909" s="69"/>
      <c r="J909" s="69"/>
      <c r="K909" s="69"/>
      <c r="L909" s="69"/>
      <c r="M909" s="69"/>
      <c r="N909" s="69"/>
      <c r="O909" s="23"/>
      <c r="P909" s="23"/>
      <c r="Q909" s="9"/>
      <c r="R909" s="9"/>
      <c r="S909" s="9"/>
      <c r="T909" s="9"/>
      <c r="U909" s="9"/>
      <c r="V909" s="9"/>
      <c r="W909" s="9"/>
      <c r="X909" s="9"/>
      <c r="Y909" s="9"/>
      <c r="Z909" s="9"/>
      <c r="AA909" s="9"/>
      <c r="AB909" s="9"/>
      <c r="AC909" s="9"/>
      <c r="AD909" s="25"/>
      <c r="AE909" s="25"/>
      <c r="AF909" s="9"/>
      <c r="AG909" s="9"/>
      <c r="AH909" s="9"/>
      <c r="AI909" s="9"/>
    </row>
    <row r="910" ht="15.75" customHeight="1">
      <c r="A910" s="9"/>
      <c r="B910" s="9"/>
      <c r="C910" s="9"/>
      <c r="D910" s="9"/>
      <c r="E910" s="67"/>
      <c r="F910" s="68"/>
      <c r="G910" s="68"/>
      <c r="H910" s="69"/>
      <c r="I910" s="69"/>
      <c r="J910" s="69"/>
      <c r="K910" s="69"/>
      <c r="L910" s="69"/>
      <c r="M910" s="69"/>
      <c r="N910" s="69"/>
      <c r="O910" s="23"/>
      <c r="P910" s="23"/>
      <c r="Q910" s="9"/>
      <c r="R910" s="9"/>
      <c r="S910" s="9"/>
      <c r="T910" s="9"/>
      <c r="U910" s="9"/>
      <c r="V910" s="9"/>
      <c r="W910" s="9"/>
      <c r="X910" s="9"/>
      <c r="Y910" s="9"/>
      <c r="Z910" s="9"/>
      <c r="AA910" s="9"/>
      <c r="AB910" s="9"/>
      <c r="AC910" s="9"/>
      <c r="AD910" s="25"/>
      <c r="AE910" s="25"/>
      <c r="AF910" s="9"/>
      <c r="AG910" s="9"/>
      <c r="AH910" s="9"/>
      <c r="AI910" s="9"/>
    </row>
    <row r="911" ht="15.75" customHeight="1">
      <c r="A911" s="9"/>
      <c r="B911" s="9"/>
      <c r="C911" s="9"/>
      <c r="D911" s="9"/>
      <c r="E911" s="67"/>
      <c r="F911" s="68"/>
      <c r="G911" s="68"/>
      <c r="H911" s="69"/>
      <c r="I911" s="69"/>
      <c r="J911" s="69"/>
      <c r="K911" s="69"/>
      <c r="L911" s="69"/>
      <c r="M911" s="69"/>
      <c r="N911" s="69"/>
      <c r="O911" s="23"/>
      <c r="P911" s="23"/>
      <c r="Q911" s="9"/>
      <c r="R911" s="9"/>
      <c r="S911" s="9"/>
      <c r="T911" s="9"/>
      <c r="U911" s="9"/>
      <c r="V911" s="9"/>
      <c r="W911" s="9"/>
      <c r="X911" s="9"/>
      <c r="Y911" s="9"/>
      <c r="Z911" s="9"/>
      <c r="AA911" s="9"/>
      <c r="AB911" s="9"/>
      <c r="AC911" s="9"/>
      <c r="AD911" s="25"/>
      <c r="AE911" s="25"/>
      <c r="AF911" s="9"/>
      <c r="AG911" s="9"/>
      <c r="AH911" s="9"/>
      <c r="AI911" s="9"/>
    </row>
    <row r="912" ht="15.75" customHeight="1">
      <c r="A912" s="9"/>
      <c r="B912" s="9"/>
      <c r="C912" s="9"/>
      <c r="D912" s="9"/>
      <c r="E912" s="67"/>
      <c r="F912" s="68"/>
      <c r="G912" s="68"/>
      <c r="H912" s="69"/>
      <c r="I912" s="69"/>
      <c r="J912" s="69"/>
      <c r="K912" s="69"/>
      <c r="L912" s="69"/>
      <c r="M912" s="70"/>
      <c r="N912" s="69"/>
      <c r="O912" s="23"/>
      <c r="P912" s="23"/>
      <c r="Q912" s="9"/>
      <c r="R912" s="9"/>
      <c r="S912" s="9"/>
      <c r="T912" s="9"/>
      <c r="U912" s="9"/>
      <c r="V912" s="9"/>
      <c r="W912" s="9"/>
      <c r="X912" s="9"/>
      <c r="Y912" s="9"/>
      <c r="Z912" s="9"/>
      <c r="AA912" s="9"/>
      <c r="AB912" s="9"/>
      <c r="AC912" s="9"/>
      <c r="AD912" s="25"/>
      <c r="AE912" s="25"/>
      <c r="AF912" s="9"/>
      <c r="AG912" s="9"/>
      <c r="AH912" s="9"/>
      <c r="AI912" s="9"/>
    </row>
    <row r="913" ht="15.75" customHeight="1">
      <c r="A913" s="9"/>
      <c r="B913" s="9"/>
      <c r="C913" s="9"/>
      <c r="D913" s="9"/>
      <c r="E913" s="67"/>
      <c r="F913" s="68"/>
      <c r="G913" s="68"/>
      <c r="H913" s="69"/>
      <c r="I913" s="69"/>
      <c r="J913" s="69"/>
      <c r="K913" s="69"/>
      <c r="L913" s="69"/>
      <c r="M913" s="70"/>
      <c r="N913" s="69"/>
      <c r="O913" s="23"/>
      <c r="P913" s="23"/>
      <c r="Q913" s="9"/>
      <c r="R913" s="9"/>
      <c r="S913" s="9"/>
      <c r="T913" s="9"/>
      <c r="U913" s="9"/>
      <c r="V913" s="9"/>
      <c r="W913" s="9"/>
      <c r="X913" s="9"/>
      <c r="Y913" s="9"/>
      <c r="Z913" s="9"/>
      <c r="AA913" s="9"/>
      <c r="AB913" s="9"/>
      <c r="AC913" s="9"/>
      <c r="AD913" s="25"/>
      <c r="AE913" s="25"/>
      <c r="AF913" s="9"/>
      <c r="AG913" s="9"/>
      <c r="AH913" s="9"/>
      <c r="AI913" s="9"/>
    </row>
    <row r="914" ht="15.75" customHeight="1">
      <c r="A914" s="9"/>
      <c r="B914" s="9"/>
      <c r="C914" s="9"/>
      <c r="D914" s="9"/>
      <c r="E914" s="67"/>
      <c r="F914" s="68"/>
      <c r="G914" s="68"/>
      <c r="H914" s="69"/>
      <c r="I914" s="69"/>
      <c r="J914" s="69"/>
      <c r="K914" s="69"/>
      <c r="L914" s="69"/>
      <c r="M914" s="70"/>
      <c r="N914" s="69"/>
      <c r="O914" s="23"/>
      <c r="P914" s="23"/>
      <c r="Q914" s="9"/>
      <c r="R914" s="9"/>
      <c r="S914" s="9"/>
      <c r="T914" s="9"/>
      <c r="U914" s="9"/>
      <c r="V914" s="9"/>
      <c r="W914" s="9"/>
      <c r="X914" s="9"/>
      <c r="Y914" s="9"/>
      <c r="Z914" s="9"/>
      <c r="AA914" s="9"/>
      <c r="AB914" s="9"/>
      <c r="AC914" s="9"/>
      <c r="AD914" s="25"/>
      <c r="AE914" s="25"/>
      <c r="AF914" s="9"/>
      <c r="AG914" s="9"/>
      <c r="AH914" s="9"/>
      <c r="AI914" s="9"/>
    </row>
    <row r="915" ht="15.75" customHeight="1">
      <c r="A915" s="9"/>
      <c r="B915" s="9"/>
      <c r="C915" s="9"/>
      <c r="D915" s="9"/>
      <c r="E915" s="67"/>
      <c r="F915" s="68"/>
      <c r="G915" s="68"/>
      <c r="H915" s="69"/>
      <c r="I915" s="69"/>
      <c r="J915" s="69"/>
      <c r="K915" s="69"/>
      <c r="L915" s="69"/>
      <c r="M915" s="70"/>
      <c r="N915" s="69"/>
      <c r="O915" s="23"/>
      <c r="P915" s="23"/>
      <c r="Q915" s="9"/>
      <c r="R915" s="9"/>
      <c r="S915" s="9"/>
      <c r="T915" s="9"/>
      <c r="U915" s="9"/>
      <c r="V915" s="9"/>
      <c r="W915" s="9"/>
      <c r="X915" s="9"/>
      <c r="Y915" s="9"/>
      <c r="Z915" s="9"/>
      <c r="AA915" s="9"/>
      <c r="AB915" s="9"/>
      <c r="AC915" s="9"/>
      <c r="AD915" s="25"/>
      <c r="AE915" s="25"/>
      <c r="AF915" s="9"/>
      <c r="AG915" s="9"/>
      <c r="AH915" s="9"/>
      <c r="AI915" s="9"/>
    </row>
    <row r="916" ht="15.75" customHeight="1">
      <c r="A916" s="9"/>
      <c r="B916" s="9"/>
      <c r="C916" s="9"/>
      <c r="D916" s="9"/>
      <c r="E916" s="67"/>
      <c r="F916" s="68"/>
      <c r="G916" s="68"/>
      <c r="H916" s="69"/>
      <c r="I916" s="69"/>
      <c r="J916" s="69"/>
      <c r="K916" s="69"/>
      <c r="L916" s="69"/>
      <c r="M916" s="70"/>
      <c r="N916" s="69"/>
      <c r="O916" s="23"/>
      <c r="P916" s="23"/>
      <c r="Q916" s="9"/>
      <c r="R916" s="9"/>
      <c r="S916" s="9"/>
      <c r="T916" s="9"/>
      <c r="U916" s="9"/>
      <c r="V916" s="9"/>
      <c r="W916" s="9"/>
      <c r="X916" s="9"/>
      <c r="Y916" s="9"/>
      <c r="Z916" s="9"/>
      <c r="AA916" s="9"/>
      <c r="AB916" s="9"/>
      <c r="AC916" s="9"/>
      <c r="AD916" s="25"/>
      <c r="AE916" s="25"/>
      <c r="AF916" s="9"/>
      <c r="AG916" s="9"/>
      <c r="AH916" s="9"/>
      <c r="AI916" s="9"/>
    </row>
    <row r="917" ht="15.75" customHeight="1">
      <c r="A917" s="9"/>
      <c r="B917" s="9"/>
      <c r="C917" s="9"/>
      <c r="D917" s="9"/>
      <c r="E917" s="67"/>
      <c r="F917" s="68"/>
      <c r="G917" s="68"/>
      <c r="H917" s="69"/>
      <c r="I917" s="69"/>
      <c r="J917" s="69"/>
      <c r="K917" s="69"/>
      <c r="L917" s="69"/>
      <c r="M917" s="70"/>
      <c r="N917" s="69"/>
      <c r="O917" s="23"/>
      <c r="P917" s="23"/>
      <c r="Q917" s="9"/>
      <c r="R917" s="9"/>
      <c r="S917" s="9"/>
      <c r="T917" s="9"/>
      <c r="U917" s="9"/>
      <c r="V917" s="9"/>
      <c r="W917" s="9"/>
      <c r="X917" s="9"/>
      <c r="Y917" s="9"/>
      <c r="Z917" s="9"/>
      <c r="AA917" s="9"/>
      <c r="AB917" s="9"/>
      <c r="AC917" s="9"/>
      <c r="AD917" s="25"/>
      <c r="AE917" s="25"/>
      <c r="AF917" s="9"/>
      <c r="AG917" s="9"/>
      <c r="AH917" s="9"/>
      <c r="AI917" s="9"/>
    </row>
    <row r="918" ht="15.75" customHeight="1">
      <c r="A918" s="9"/>
      <c r="B918" s="9"/>
      <c r="C918" s="9"/>
      <c r="D918" s="9"/>
      <c r="E918" s="67"/>
      <c r="F918" s="68"/>
      <c r="G918" s="68"/>
      <c r="H918" s="69"/>
      <c r="I918" s="69"/>
      <c r="J918" s="69"/>
      <c r="K918" s="69"/>
      <c r="L918" s="69"/>
      <c r="M918" s="70"/>
      <c r="N918" s="69"/>
      <c r="O918" s="23"/>
      <c r="P918" s="23"/>
      <c r="Q918" s="9"/>
      <c r="R918" s="9"/>
      <c r="S918" s="9"/>
      <c r="T918" s="9"/>
      <c r="U918" s="9"/>
      <c r="V918" s="9"/>
      <c r="W918" s="9"/>
      <c r="X918" s="9"/>
      <c r="Y918" s="9"/>
      <c r="Z918" s="9"/>
      <c r="AA918" s="9"/>
      <c r="AB918" s="9"/>
      <c r="AC918" s="9"/>
      <c r="AD918" s="25"/>
      <c r="AE918" s="25"/>
      <c r="AF918" s="9"/>
      <c r="AG918" s="9"/>
      <c r="AH918" s="9"/>
      <c r="AI918" s="9"/>
    </row>
    <row r="919" ht="15.75" customHeight="1">
      <c r="A919" s="9"/>
      <c r="B919" s="9"/>
      <c r="C919" s="9"/>
      <c r="D919" s="9"/>
      <c r="E919" s="67"/>
      <c r="F919" s="68"/>
      <c r="G919" s="68"/>
      <c r="H919" s="69"/>
      <c r="I919" s="69"/>
      <c r="J919" s="69"/>
      <c r="K919" s="69"/>
      <c r="L919" s="69"/>
      <c r="M919" s="69"/>
      <c r="N919" s="69"/>
      <c r="O919" s="23"/>
      <c r="P919" s="23"/>
      <c r="Q919" s="9"/>
      <c r="R919" s="9"/>
      <c r="S919" s="9"/>
      <c r="T919" s="9"/>
      <c r="U919" s="9"/>
      <c r="V919" s="9"/>
      <c r="W919" s="9"/>
      <c r="X919" s="9"/>
      <c r="Y919" s="9"/>
      <c r="Z919" s="9"/>
      <c r="AA919" s="9"/>
      <c r="AB919" s="9"/>
      <c r="AC919" s="9"/>
      <c r="AD919" s="25"/>
      <c r="AE919" s="25"/>
      <c r="AF919" s="9"/>
      <c r="AG919" s="9"/>
      <c r="AH919" s="9"/>
      <c r="AI919" s="9"/>
    </row>
    <row r="920" ht="15.75" customHeight="1">
      <c r="A920" s="9"/>
      <c r="B920" s="9"/>
      <c r="C920" s="9"/>
      <c r="D920" s="9"/>
      <c r="E920" s="67"/>
      <c r="F920" s="68"/>
      <c r="G920" s="68"/>
      <c r="H920" s="69"/>
      <c r="I920" s="69"/>
      <c r="J920" s="69"/>
      <c r="K920" s="69"/>
      <c r="L920" s="69"/>
      <c r="M920" s="70"/>
      <c r="N920" s="69"/>
      <c r="O920" s="23"/>
      <c r="P920" s="23"/>
      <c r="Q920" s="9"/>
      <c r="R920" s="9"/>
      <c r="S920" s="9"/>
      <c r="T920" s="9"/>
      <c r="U920" s="9"/>
      <c r="V920" s="9"/>
      <c r="W920" s="9"/>
      <c r="X920" s="9"/>
      <c r="Y920" s="9"/>
      <c r="Z920" s="9"/>
      <c r="AA920" s="9"/>
      <c r="AB920" s="9"/>
      <c r="AC920" s="9"/>
      <c r="AD920" s="25"/>
      <c r="AE920" s="25"/>
      <c r="AF920" s="9"/>
      <c r="AG920" s="9"/>
      <c r="AH920" s="9"/>
      <c r="AI920" s="9"/>
    </row>
    <row r="921" ht="15.75" customHeight="1">
      <c r="A921" s="9"/>
      <c r="B921" s="9"/>
      <c r="C921" s="9"/>
      <c r="D921" s="9"/>
      <c r="E921" s="67"/>
      <c r="F921" s="68"/>
      <c r="G921" s="68"/>
      <c r="H921" s="69"/>
      <c r="I921" s="69"/>
      <c r="J921" s="69"/>
      <c r="K921" s="69"/>
      <c r="L921" s="69"/>
      <c r="M921" s="69"/>
      <c r="N921" s="69"/>
      <c r="O921" s="23"/>
      <c r="P921" s="23"/>
      <c r="Q921" s="9"/>
      <c r="R921" s="9"/>
      <c r="S921" s="9"/>
      <c r="T921" s="9"/>
      <c r="U921" s="9"/>
      <c r="V921" s="9"/>
      <c r="W921" s="9"/>
      <c r="X921" s="9"/>
      <c r="Y921" s="9"/>
      <c r="Z921" s="9"/>
      <c r="AA921" s="9"/>
      <c r="AB921" s="9"/>
      <c r="AC921" s="9"/>
      <c r="AD921" s="25"/>
      <c r="AE921" s="25"/>
      <c r="AF921" s="9"/>
      <c r="AG921" s="9"/>
      <c r="AH921" s="9"/>
      <c r="AI921" s="9"/>
    </row>
    <row r="922" ht="15.75" customHeight="1">
      <c r="A922" s="9"/>
      <c r="B922" s="9"/>
      <c r="C922" s="9"/>
      <c r="D922" s="9"/>
      <c r="E922" s="67"/>
      <c r="F922" s="68"/>
      <c r="G922" s="68"/>
      <c r="H922" s="69"/>
      <c r="I922" s="69"/>
      <c r="J922" s="69"/>
      <c r="K922" s="69"/>
      <c r="L922" s="69"/>
      <c r="M922" s="69"/>
      <c r="N922" s="69"/>
      <c r="O922" s="23"/>
      <c r="P922" s="23"/>
      <c r="Q922" s="9"/>
      <c r="R922" s="9"/>
      <c r="S922" s="9"/>
      <c r="T922" s="9"/>
      <c r="U922" s="9"/>
      <c r="V922" s="9"/>
      <c r="W922" s="9"/>
      <c r="X922" s="9"/>
      <c r="Y922" s="9"/>
      <c r="Z922" s="9"/>
      <c r="AA922" s="9"/>
      <c r="AB922" s="9"/>
      <c r="AC922" s="9"/>
      <c r="AD922" s="25"/>
      <c r="AE922" s="25"/>
      <c r="AF922" s="9"/>
      <c r="AG922" s="9"/>
      <c r="AH922" s="9"/>
      <c r="AI922" s="9"/>
    </row>
    <row r="923" ht="15.75" customHeight="1">
      <c r="A923" s="9"/>
      <c r="B923" s="9"/>
      <c r="C923" s="9"/>
      <c r="D923" s="9"/>
      <c r="E923" s="67"/>
      <c r="F923" s="68"/>
      <c r="G923" s="68"/>
      <c r="H923" s="69"/>
      <c r="I923" s="69"/>
      <c r="J923" s="69"/>
      <c r="K923" s="69"/>
      <c r="L923" s="69"/>
      <c r="M923" s="69"/>
      <c r="N923" s="69"/>
      <c r="O923" s="23"/>
      <c r="P923" s="23"/>
      <c r="Q923" s="9"/>
      <c r="R923" s="9"/>
      <c r="S923" s="9"/>
      <c r="T923" s="9"/>
      <c r="U923" s="9"/>
      <c r="V923" s="9"/>
      <c r="W923" s="9"/>
      <c r="X923" s="9"/>
      <c r="Y923" s="9"/>
      <c r="Z923" s="9"/>
      <c r="AA923" s="9"/>
      <c r="AB923" s="9"/>
      <c r="AC923" s="9"/>
      <c r="AD923" s="25"/>
      <c r="AE923" s="25"/>
      <c r="AF923" s="9"/>
      <c r="AG923" s="9"/>
      <c r="AH923" s="9"/>
      <c r="AI923" s="9"/>
    </row>
    <row r="924" ht="15.75" customHeight="1">
      <c r="A924" s="9"/>
      <c r="B924" s="9"/>
      <c r="C924" s="9"/>
      <c r="D924" s="9"/>
      <c r="E924" s="67"/>
      <c r="F924" s="68"/>
      <c r="G924" s="68"/>
      <c r="H924" s="69"/>
      <c r="I924" s="69"/>
      <c r="J924" s="69"/>
      <c r="K924" s="69"/>
      <c r="L924" s="69"/>
      <c r="M924" s="70"/>
      <c r="N924" s="69"/>
      <c r="O924" s="23"/>
      <c r="P924" s="23"/>
      <c r="Q924" s="9"/>
      <c r="R924" s="9"/>
      <c r="S924" s="9"/>
      <c r="T924" s="9"/>
      <c r="U924" s="9"/>
      <c r="V924" s="9"/>
      <c r="W924" s="9"/>
      <c r="X924" s="9"/>
      <c r="Y924" s="9"/>
      <c r="Z924" s="9"/>
      <c r="AA924" s="9"/>
      <c r="AB924" s="9"/>
      <c r="AC924" s="9"/>
      <c r="AD924" s="25"/>
      <c r="AE924" s="25"/>
      <c r="AF924" s="9"/>
      <c r="AG924" s="9"/>
      <c r="AH924" s="9"/>
      <c r="AI924" s="9"/>
    </row>
    <row r="925" ht="15.75" customHeight="1">
      <c r="A925" s="9"/>
      <c r="B925" s="9"/>
      <c r="C925" s="9"/>
      <c r="D925" s="9"/>
      <c r="E925" s="67"/>
      <c r="F925" s="68"/>
      <c r="G925" s="68"/>
      <c r="H925" s="69"/>
      <c r="I925" s="69"/>
      <c r="J925" s="69"/>
      <c r="K925" s="69"/>
      <c r="L925" s="69"/>
      <c r="M925" s="69"/>
      <c r="N925" s="69"/>
      <c r="O925" s="23"/>
      <c r="P925" s="23"/>
      <c r="Q925" s="9"/>
      <c r="R925" s="9"/>
      <c r="S925" s="9"/>
      <c r="T925" s="9"/>
      <c r="U925" s="9"/>
      <c r="V925" s="9"/>
      <c r="W925" s="9"/>
      <c r="X925" s="9"/>
      <c r="Y925" s="9"/>
      <c r="Z925" s="9"/>
      <c r="AA925" s="9"/>
      <c r="AB925" s="9"/>
      <c r="AC925" s="9"/>
      <c r="AD925" s="25"/>
      <c r="AE925" s="25"/>
      <c r="AF925" s="9"/>
      <c r="AG925" s="9"/>
      <c r="AH925" s="9"/>
      <c r="AI925" s="9"/>
    </row>
    <row r="926" ht="15.75" customHeight="1">
      <c r="A926" s="9"/>
      <c r="B926" s="9"/>
      <c r="C926" s="9"/>
      <c r="D926" s="9"/>
      <c r="E926" s="67"/>
      <c r="F926" s="68"/>
      <c r="G926" s="68"/>
      <c r="H926" s="69"/>
      <c r="I926" s="69"/>
      <c r="J926" s="69"/>
      <c r="K926" s="69"/>
      <c r="L926" s="69"/>
      <c r="M926" s="70"/>
      <c r="N926" s="69"/>
      <c r="O926" s="23"/>
      <c r="P926" s="23"/>
      <c r="Q926" s="9"/>
      <c r="R926" s="9"/>
      <c r="S926" s="9"/>
      <c r="T926" s="9"/>
      <c r="U926" s="9"/>
      <c r="V926" s="9"/>
      <c r="W926" s="9"/>
      <c r="X926" s="9"/>
      <c r="Y926" s="9"/>
      <c r="Z926" s="9"/>
      <c r="AA926" s="9"/>
      <c r="AB926" s="9"/>
      <c r="AC926" s="9"/>
      <c r="AD926" s="25"/>
      <c r="AE926" s="25"/>
      <c r="AF926" s="9"/>
      <c r="AG926" s="9"/>
      <c r="AH926" s="9"/>
      <c r="AI926" s="9"/>
    </row>
    <row r="927" ht="15.75" customHeight="1">
      <c r="A927" s="9"/>
      <c r="B927" s="9"/>
      <c r="C927" s="9"/>
      <c r="D927" s="9"/>
      <c r="E927" s="67"/>
      <c r="F927" s="68"/>
      <c r="G927" s="68"/>
      <c r="H927" s="69"/>
      <c r="I927" s="69"/>
      <c r="J927" s="69"/>
      <c r="K927" s="69"/>
      <c r="L927" s="69"/>
      <c r="M927" s="69"/>
      <c r="N927" s="69"/>
      <c r="O927" s="23"/>
      <c r="P927" s="23"/>
      <c r="Q927" s="9"/>
      <c r="R927" s="9"/>
      <c r="S927" s="9"/>
      <c r="T927" s="9"/>
      <c r="U927" s="9"/>
      <c r="V927" s="9"/>
      <c r="W927" s="9"/>
      <c r="X927" s="9"/>
      <c r="Y927" s="9"/>
      <c r="Z927" s="9"/>
      <c r="AA927" s="9"/>
      <c r="AB927" s="9"/>
      <c r="AC927" s="9"/>
      <c r="AD927" s="25"/>
      <c r="AE927" s="25"/>
      <c r="AF927" s="9"/>
      <c r="AG927" s="9"/>
      <c r="AH927" s="9"/>
      <c r="AI927" s="9"/>
    </row>
    <row r="928" ht="15.75" customHeight="1">
      <c r="A928" s="9"/>
      <c r="B928" s="9"/>
      <c r="C928" s="9"/>
      <c r="D928" s="9"/>
      <c r="E928" s="67"/>
      <c r="F928" s="68"/>
      <c r="G928" s="68"/>
      <c r="H928" s="69"/>
      <c r="I928" s="69"/>
      <c r="J928" s="69"/>
      <c r="K928" s="69"/>
      <c r="L928" s="69"/>
      <c r="M928" s="69"/>
      <c r="N928" s="69"/>
      <c r="O928" s="23"/>
      <c r="P928" s="23"/>
      <c r="Q928" s="9"/>
      <c r="R928" s="9"/>
      <c r="S928" s="9"/>
      <c r="T928" s="9"/>
      <c r="U928" s="9"/>
      <c r="V928" s="9"/>
      <c r="W928" s="9"/>
      <c r="X928" s="9"/>
      <c r="Y928" s="9"/>
      <c r="Z928" s="9"/>
      <c r="AA928" s="9"/>
      <c r="AB928" s="9"/>
      <c r="AC928" s="9"/>
      <c r="AD928" s="25"/>
      <c r="AE928" s="25"/>
      <c r="AF928" s="9"/>
      <c r="AG928" s="9"/>
      <c r="AH928" s="9"/>
      <c r="AI928" s="9"/>
    </row>
    <row r="929" ht="15.75" customHeight="1">
      <c r="A929" s="9"/>
      <c r="B929" s="9"/>
      <c r="C929" s="9"/>
      <c r="D929" s="9"/>
      <c r="E929" s="67"/>
      <c r="F929" s="68"/>
      <c r="G929" s="68"/>
      <c r="H929" s="69"/>
      <c r="I929" s="69"/>
      <c r="J929" s="69"/>
      <c r="K929" s="69"/>
      <c r="L929" s="69"/>
      <c r="M929" s="70"/>
      <c r="N929" s="69"/>
      <c r="O929" s="23"/>
      <c r="P929" s="23"/>
      <c r="Q929" s="9"/>
      <c r="R929" s="9"/>
      <c r="S929" s="9"/>
      <c r="T929" s="9"/>
      <c r="U929" s="9"/>
      <c r="V929" s="9"/>
      <c r="W929" s="9"/>
      <c r="X929" s="9"/>
      <c r="Y929" s="9"/>
      <c r="Z929" s="9"/>
      <c r="AA929" s="9"/>
      <c r="AB929" s="9"/>
      <c r="AC929" s="9"/>
      <c r="AD929" s="25"/>
      <c r="AE929" s="25"/>
      <c r="AF929" s="9"/>
      <c r="AG929" s="9"/>
      <c r="AH929" s="9"/>
      <c r="AI929" s="9"/>
    </row>
    <row r="930" ht="15.75" customHeight="1">
      <c r="A930" s="9"/>
      <c r="B930" s="9"/>
      <c r="C930" s="9"/>
      <c r="D930" s="9"/>
      <c r="E930" s="67"/>
      <c r="F930" s="68"/>
      <c r="G930" s="68"/>
      <c r="H930" s="69"/>
      <c r="I930" s="69"/>
      <c r="J930" s="69"/>
      <c r="K930" s="69"/>
      <c r="L930" s="69"/>
      <c r="M930" s="70"/>
      <c r="N930" s="69"/>
      <c r="O930" s="23"/>
      <c r="P930" s="23"/>
      <c r="Q930" s="9"/>
      <c r="R930" s="9"/>
      <c r="S930" s="9"/>
      <c r="T930" s="9"/>
      <c r="U930" s="9"/>
      <c r="V930" s="9"/>
      <c r="W930" s="9"/>
      <c r="X930" s="9"/>
      <c r="Y930" s="9"/>
      <c r="Z930" s="9"/>
      <c r="AA930" s="9"/>
      <c r="AB930" s="9"/>
      <c r="AC930" s="9"/>
      <c r="AD930" s="25"/>
      <c r="AE930" s="25"/>
      <c r="AF930" s="9"/>
      <c r="AG930" s="9"/>
      <c r="AH930" s="9"/>
      <c r="AI930" s="9"/>
    </row>
    <row r="931" ht="15.75" customHeight="1">
      <c r="A931" s="9"/>
      <c r="B931" s="9"/>
      <c r="C931" s="9"/>
      <c r="D931" s="9"/>
      <c r="E931" s="67"/>
      <c r="F931" s="68"/>
      <c r="G931" s="68"/>
      <c r="H931" s="69"/>
      <c r="I931" s="69"/>
      <c r="J931" s="69"/>
      <c r="K931" s="69"/>
      <c r="L931" s="69"/>
      <c r="M931" s="70"/>
      <c r="N931" s="69"/>
      <c r="O931" s="23"/>
      <c r="P931" s="23"/>
      <c r="Q931" s="9"/>
      <c r="R931" s="9"/>
      <c r="S931" s="9"/>
      <c r="T931" s="9"/>
      <c r="U931" s="9"/>
      <c r="V931" s="9"/>
      <c r="W931" s="9"/>
      <c r="X931" s="9"/>
      <c r="Y931" s="9"/>
      <c r="Z931" s="9"/>
      <c r="AA931" s="9"/>
      <c r="AB931" s="9"/>
      <c r="AC931" s="9"/>
      <c r="AD931" s="25"/>
      <c r="AE931" s="25"/>
      <c r="AF931" s="9"/>
      <c r="AG931" s="9"/>
      <c r="AH931" s="9"/>
      <c r="AI931" s="9"/>
    </row>
    <row r="932" ht="15.75" customHeight="1">
      <c r="A932" s="9"/>
      <c r="B932" s="9"/>
      <c r="C932" s="9"/>
      <c r="D932" s="9"/>
      <c r="E932" s="67"/>
      <c r="F932" s="68"/>
      <c r="G932" s="68"/>
      <c r="H932" s="69"/>
      <c r="I932" s="69"/>
      <c r="J932" s="69"/>
      <c r="K932" s="69"/>
      <c r="L932" s="69"/>
      <c r="M932" s="70"/>
      <c r="N932" s="69"/>
      <c r="O932" s="23"/>
      <c r="P932" s="23"/>
      <c r="Q932" s="9"/>
      <c r="R932" s="9"/>
      <c r="S932" s="9"/>
      <c r="T932" s="9"/>
      <c r="U932" s="9"/>
      <c r="V932" s="9"/>
      <c r="W932" s="9"/>
      <c r="X932" s="9"/>
      <c r="Y932" s="9"/>
      <c r="Z932" s="9"/>
      <c r="AA932" s="9"/>
      <c r="AB932" s="9"/>
      <c r="AC932" s="9"/>
      <c r="AD932" s="25"/>
      <c r="AE932" s="25"/>
      <c r="AF932" s="9"/>
      <c r="AG932" s="9"/>
      <c r="AH932" s="9"/>
      <c r="AI932" s="9"/>
    </row>
    <row r="933" ht="15.75" customHeight="1">
      <c r="A933" s="9"/>
      <c r="B933" s="9"/>
      <c r="C933" s="9"/>
      <c r="D933" s="9"/>
      <c r="E933" s="67"/>
      <c r="F933" s="68"/>
      <c r="G933" s="68"/>
      <c r="H933" s="69"/>
      <c r="I933" s="69"/>
      <c r="J933" s="69"/>
      <c r="K933" s="69"/>
      <c r="L933" s="69"/>
      <c r="M933" s="70"/>
      <c r="N933" s="69"/>
      <c r="O933" s="23"/>
      <c r="P933" s="23"/>
      <c r="Q933" s="9"/>
      <c r="R933" s="9"/>
      <c r="S933" s="9"/>
      <c r="T933" s="9"/>
      <c r="U933" s="9"/>
      <c r="V933" s="9"/>
      <c r="W933" s="9"/>
      <c r="X933" s="9"/>
      <c r="Y933" s="9"/>
      <c r="Z933" s="9"/>
      <c r="AA933" s="9"/>
      <c r="AB933" s="9"/>
      <c r="AC933" s="9"/>
      <c r="AD933" s="25"/>
      <c r="AE933" s="25"/>
      <c r="AF933" s="9"/>
      <c r="AG933" s="9"/>
      <c r="AH933" s="9"/>
      <c r="AI933" s="9"/>
    </row>
    <row r="934" ht="15.75" customHeight="1">
      <c r="A934" s="9"/>
      <c r="B934" s="9"/>
      <c r="C934" s="9"/>
      <c r="D934" s="9"/>
      <c r="E934" s="67"/>
      <c r="F934" s="68"/>
      <c r="G934" s="68"/>
      <c r="H934" s="69"/>
      <c r="I934" s="69"/>
      <c r="J934" s="69"/>
      <c r="K934" s="69"/>
      <c r="L934" s="69"/>
      <c r="M934" s="70"/>
      <c r="N934" s="69"/>
      <c r="O934" s="23"/>
      <c r="P934" s="23"/>
      <c r="Q934" s="9"/>
      <c r="R934" s="9"/>
      <c r="S934" s="9"/>
      <c r="T934" s="9"/>
      <c r="U934" s="9"/>
      <c r="V934" s="9"/>
      <c r="W934" s="9"/>
      <c r="X934" s="9"/>
      <c r="Y934" s="9"/>
      <c r="Z934" s="9"/>
      <c r="AA934" s="9"/>
      <c r="AB934" s="9"/>
      <c r="AC934" s="9"/>
      <c r="AD934" s="25"/>
      <c r="AE934" s="25"/>
      <c r="AF934" s="9"/>
      <c r="AG934" s="9"/>
      <c r="AH934" s="9"/>
      <c r="AI934" s="9"/>
    </row>
    <row r="935" ht="15.75" customHeight="1">
      <c r="A935" s="9"/>
      <c r="B935" s="9"/>
      <c r="C935" s="9"/>
      <c r="D935" s="9"/>
      <c r="E935" s="67"/>
      <c r="F935" s="68"/>
      <c r="G935" s="68"/>
      <c r="H935" s="69"/>
      <c r="I935" s="69"/>
      <c r="J935" s="69"/>
      <c r="K935" s="69"/>
      <c r="L935" s="69"/>
      <c r="M935" s="70"/>
      <c r="N935" s="69"/>
      <c r="O935" s="23"/>
      <c r="P935" s="23"/>
      <c r="Q935" s="9"/>
      <c r="R935" s="9"/>
      <c r="S935" s="9"/>
      <c r="T935" s="9"/>
      <c r="U935" s="9"/>
      <c r="V935" s="9"/>
      <c r="W935" s="9"/>
      <c r="X935" s="9"/>
      <c r="Y935" s="9"/>
      <c r="Z935" s="9"/>
      <c r="AA935" s="9"/>
      <c r="AB935" s="9"/>
      <c r="AC935" s="9"/>
      <c r="AD935" s="25"/>
      <c r="AE935" s="25"/>
      <c r="AF935" s="9"/>
      <c r="AG935" s="9"/>
      <c r="AH935" s="9"/>
      <c r="AI935" s="9"/>
    </row>
    <row r="936" ht="15.75" customHeight="1">
      <c r="A936" s="9"/>
      <c r="B936" s="9"/>
      <c r="C936" s="9"/>
      <c r="D936" s="9"/>
      <c r="E936" s="67"/>
      <c r="F936" s="68"/>
      <c r="G936" s="68"/>
      <c r="H936" s="69"/>
      <c r="I936" s="69"/>
      <c r="J936" s="69"/>
      <c r="K936" s="69"/>
      <c r="L936" s="69"/>
      <c r="M936" s="70"/>
      <c r="N936" s="69"/>
      <c r="O936" s="23"/>
      <c r="P936" s="23"/>
      <c r="Q936" s="9"/>
      <c r="R936" s="9"/>
      <c r="S936" s="9"/>
      <c r="T936" s="9"/>
      <c r="U936" s="9"/>
      <c r="V936" s="9"/>
      <c r="W936" s="9"/>
      <c r="X936" s="9"/>
      <c r="Y936" s="9"/>
      <c r="Z936" s="9"/>
      <c r="AA936" s="9"/>
      <c r="AB936" s="9"/>
      <c r="AC936" s="9"/>
      <c r="AD936" s="25"/>
      <c r="AE936" s="25"/>
      <c r="AF936" s="9"/>
      <c r="AG936" s="9"/>
      <c r="AH936" s="9"/>
      <c r="AI936" s="9"/>
    </row>
    <row r="937" ht="15.75" customHeight="1">
      <c r="A937" s="9"/>
      <c r="B937" s="9"/>
      <c r="C937" s="9"/>
      <c r="D937" s="9"/>
      <c r="E937" s="67"/>
      <c r="F937" s="68"/>
      <c r="G937" s="68"/>
      <c r="H937" s="69"/>
      <c r="I937" s="69"/>
      <c r="J937" s="69"/>
      <c r="K937" s="69"/>
      <c r="L937" s="69"/>
      <c r="M937" s="70"/>
      <c r="N937" s="69"/>
      <c r="O937" s="23"/>
      <c r="P937" s="23"/>
      <c r="Q937" s="9"/>
      <c r="R937" s="9"/>
      <c r="S937" s="9"/>
      <c r="T937" s="9"/>
      <c r="U937" s="9"/>
      <c r="V937" s="9"/>
      <c r="W937" s="9"/>
      <c r="X937" s="9"/>
      <c r="Y937" s="9"/>
      <c r="Z937" s="9"/>
      <c r="AA937" s="9"/>
      <c r="AB937" s="9"/>
      <c r="AC937" s="9"/>
      <c r="AD937" s="25"/>
      <c r="AE937" s="25"/>
      <c r="AF937" s="9"/>
      <c r="AG937" s="9"/>
      <c r="AH937" s="9"/>
      <c r="AI937" s="9"/>
    </row>
    <row r="938" ht="15.75" customHeight="1">
      <c r="A938" s="9"/>
      <c r="B938" s="9"/>
      <c r="C938" s="9"/>
      <c r="D938" s="9"/>
      <c r="E938" s="67"/>
      <c r="F938" s="68"/>
      <c r="G938" s="68"/>
      <c r="H938" s="69"/>
      <c r="I938" s="69"/>
      <c r="J938" s="69"/>
      <c r="K938" s="69"/>
      <c r="L938" s="69"/>
      <c r="M938" s="70"/>
      <c r="N938" s="69"/>
      <c r="O938" s="23"/>
      <c r="P938" s="23"/>
      <c r="Q938" s="9"/>
      <c r="R938" s="9"/>
      <c r="S938" s="9"/>
      <c r="T938" s="9"/>
      <c r="U938" s="9"/>
      <c r="V938" s="9"/>
      <c r="W938" s="9"/>
      <c r="X938" s="9"/>
      <c r="Y938" s="9"/>
      <c r="Z938" s="9"/>
      <c r="AA938" s="9"/>
      <c r="AB938" s="9"/>
      <c r="AC938" s="9"/>
      <c r="AD938" s="25"/>
      <c r="AE938" s="25"/>
      <c r="AF938" s="9"/>
      <c r="AG938" s="9"/>
      <c r="AH938" s="9"/>
      <c r="AI938" s="9"/>
    </row>
    <row r="939" ht="15.75" customHeight="1">
      <c r="A939" s="9"/>
      <c r="B939" s="9"/>
      <c r="C939" s="9"/>
      <c r="D939" s="9"/>
      <c r="E939" s="67"/>
      <c r="F939" s="68"/>
      <c r="G939" s="68"/>
      <c r="H939" s="69"/>
      <c r="I939" s="69"/>
      <c r="J939" s="69"/>
      <c r="K939" s="69"/>
      <c r="L939" s="69"/>
      <c r="M939" s="69"/>
      <c r="N939" s="69"/>
      <c r="O939" s="23"/>
      <c r="P939" s="23"/>
      <c r="Q939" s="9"/>
      <c r="R939" s="9"/>
      <c r="S939" s="9"/>
      <c r="T939" s="9"/>
      <c r="U939" s="9"/>
      <c r="V939" s="9"/>
      <c r="W939" s="9"/>
      <c r="X939" s="9"/>
      <c r="Y939" s="9"/>
      <c r="Z939" s="9"/>
      <c r="AA939" s="9"/>
      <c r="AB939" s="9"/>
      <c r="AC939" s="9"/>
      <c r="AD939" s="25"/>
      <c r="AE939" s="25"/>
      <c r="AF939" s="9"/>
      <c r="AG939" s="9"/>
      <c r="AH939" s="9"/>
      <c r="AI939" s="9"/>
    </row>
    <row r="940" ht="15.75" customHeight="1">
      <c r="A940" s="9"/>
      <c r="B940" s="9"/>
      <c r="C940" s="9"/>
      <c r="D940" s="9"/>
      <c r="E940" s="67"/>
      <c r="F940" s="68"/>
      <c r="G940" s="68"/>
      <c r="H940" s="69"/>
      <c r="I940" s="69"/>
      <c r="J940" s="69"/>
      <c r="K940" s="69"/>
      <c r="L940" s="69"/>
      <c r="M940" s="70"/>
      <c r="N940" s="69"/>
      <c r="O940" s="23"/>
      <c r="P940" s="23"/>
      <c r="Q940" s="9"/>
      <c r="R940" s="9"/>
      <c r="S940" s="9"/>
      <c r="T940" s="9"/>
      <c r="U940" s="9"/>
      <c r="V940" s="9"/>
      <c r="W940" s="9"/>
      <c r="X940" s="9"/>
      <c r="Y940" s="9"/>
      <c r="Z940" s="9"/>
      <c r="AA940" s="9"/>
      <c r="AB940" s="9"/>
      <c r="AC940" s="9"/>
      <c r="AD940" s="25"/>
      <c r="AE940" s="25"/>
      <c r="AF940" s="9"/>
      <c r="AG940" s="9"/>
      <c r="AH940" s="9"/>
      <c r="AI940" s="9"/>
    </row>
    <row r="941" ht="15.75" customHeight="1">
      <c r="A941" s="9"/>
      <c r="B941" s="9"/>
      <c r="C941" s="9"/>
      <c r="D941" s="9"/>
      <c r="E941" s="67"/>
      <c r="F941" s="68"/>
      <c r="G941" s="68"/>
      <c r="H941" s="69"/>
      <c r="I941" s="69"/>
      <c r="J941" s="69"/>
      <c r="K941" s="69"/>
      <c r="L941" s="69"/>
      <c r="M941" s="70"/>
      <c r="N941" s="69"/>
      <c r="O941" s="23"/>
      <c r="P941" s="23"/>
      <c r="Q941" s="9"/>
      <c r="R941" s="9"/>
      <c r="S941" s="9"/>
      <c r="T941" s="9"/>
      <c r="U941" s="9"/>
      <c r="V941" s="9"/>
      <c r="W941" s="9"/>
      <c r="X941" s="9"/>
      <c r="Y941" s="9"/>
      <c r="Z941" s="9"/>
      <c r="AA941" s="9"/>
      <c r="AB941" s="9"/>
      <c r="AC941" s="9"/>
      <c r="AD941" s="25"/>
      <c r="AE941" s="25"/>
      <c r="AF941" s="9"/>
      <c r="AG941" s="9"/>
      <c r="AH941" s="9"/>
      <c r="AI941" s="9"/>
    </row>
    <row r="942" ht="15.75" customHeight="1">
      <c r="A942" s="9"/>
      <c r="B942" s="9"/>
      <c r="C942" s="9"/>
      <c r="D942" s="9"/>
      <c r="E942" s="67"/>
      <c r="F942" s="68"/>
      <c r="G942" s="68"/>
      <c r="H942" s="69"/>
      <c r="I942" s="69"/>
      <c r="J942" s="69"/>
      <c r="K942" s="69"/>
      <c r="L942" s="69"/>
      <c r="M942" s="69"/>
      <c r="N942" s="69"/>
      <c r="O942" s="23"/>
      <c r="P942" s="23"/>
      <c r="Q942" s="9"/>
      <c r="R942" s="9"/>
      <c r="S942" s="9"/>
      <c r="T942" s="9"/>
      <c r="U942" s="9"/>
      <c r="V942" s="9"/>
      <c r="W942" s="9"/>
      <c r="X942" s="9"/>
      <c r="Y942" s="9"/>
      <c r="Z942" s="9"/>
      <c r="AA942" s="9"/>
      <c r="AB942" s="9"/>
      <c r="AC942" s="9"/>
      <c r="AD942" s="25"/>
      <c r="AE942" s="25"/>
      <c r="AF942" s="9"/>
      <c r="AG942" s="9"/>
      <c r="AH942" s="9"/>
      <c r="AI942" s="9"/>
    </row>
    <row r="943" ht="15.75" customHeight="1">
      <c r="A943" s="9"/>
      <c r="B943" s="9"/>
      <c r="C943" s="9"/>
      <c r="D943" s="9"/>
      <c r="E943" s="67"/>
      <c r="F943" s="68"/>
      <c r="G943" s="68"/>
      <c r="H943" s="69"/>
      <c r="I943" s="69"/>
      <c r="J943" s="69"/>
      <c r="K943" s="69"/>
      <c r="L943" s="69"/>
      <c r="M943" s="70"/>
      <c r="N943" s="69"/>
      <c r="O943" s="23"/>
      <c r="P943" s="23"/>
      <c r="Q943" s="9"/>
      <c r="R943" s="9"/>
      <c r="S943" s="9"/>
      <c r="T943" s="9"/>
      <c r="U943" s="9"/>
      <c r="V943" s="9"/>
      <c r="W943" s="9"/>
      <c r="X943" s="9"/>
      <c r="Y943" s="9"/>
      <c r="Z943" s="9"/>
      <c r="AA943" s="9"/>
      <c r="AB943" s="9"/>
      <c r="AC943" s="9"/>
      <c r="AD943" s="25"/>
      <c r="AE943" s="25"/>
      <c r="AF943" s="9"/>
      <c r="AG943" s="9"/>
      <c r="AH943" s="9"/>
      <c r="AI943" s="9"/>
    </row>
    <row r="944" ht="15.75" customHeight="1">
      <c r="A944" s="9"/>
      <c r="B944" s="9"/>
      <c r="C944" s="9"/>
      <c r="D944" s="9"/>
      <c r="E944" s="67"/>
      <c r="F944" s="68"/>
      <c r="G944" s="68"/>
      <c r="H944" s="69"/>
      <c r="I944" s="69"/>
      <c r="J944" s="69"/>
      <c r="K944" s="69"/>
      <c r="L944" s="69"/>
      <c r="M944" s="70"/>
      <c r="N944" s="69"/>
      <c r="O944" s="23"/>
      <c r="P944" s="23"/>
      <c r="Q944" s="9"/>
      <c r="R944" s="9"/>
      <c r="S944" s="9"/>
      <c r="T944" s="9"/>
      <c r="U944" s="9"/>
      <c r="V944" s="9"/>
      <c r="W944" s="9"/>
      <c r="X944" s="9"/>
      <c r="Y944" s="9"/>
      <c r="Z944" s="9"/>
      <c r="AA944" s="9"/>
      <c r="AB944" s="9"/>
      <c r="AC944" s="9"/>
      <c r="AD944" s="25"/>
      <c r="AE944" s="25"/>
      <c r="AF944" s="9"/>
      <c r="AG944" s="9"/>
      <c r="AH944" s="9"/>
      <c r="AI944" s="9"/>
    </row>
    <row r="945" ht="15.75" customHeight="1">
      <c r="A945" s="9"/>
      <c r="B945" s="9"/>
      <c r="C945" s="9"/>
      <c r="D945" s="9"/>
      <c r="E945" s="67"/>
      <c r="F945" s="68"/>
      <c r="G945" s="68"/>
      <c r="H945" s="69"/>
      <c r="I945" s="69"/>
      <c r="J945" s="69"/>
      <c r="K945" s="69"/>
      <c r="L945" s="69"/>
      <c r="M945" s="70"/>
      <c r="N945" s="69"/>
      <c r="O945" s="23"/>
      <c r="P945" s="23"/>
      <c r="Q945" s="9"/>
      <c r="R945" s="9"/>
      <c r="S945" s="9"/>
      <c r="T945" s="9"/>
      <c r="U945" s="9"/>
      <c r="V945" s="9"/>
      <c r="W945" s="9"/>
      <c r="X945" s="9"/>
      <c r="Y945" s="9"/>
      <c r="Z945" s="9"/>
      <c r="AA945" s="9"/>
      <c r="AB945" s="9"/>
      <c r="AC945" s="9"/>
      <c r="AD945" s="25"/>
      <c r="AE945" s="25"/>
      <c r="AF945" s="9"/>
      <c r="AG945" s="9"/>
      <c r="AH945" s="9"/>
      <c r="AI945" s="9"/>
    </row>
    <row r="946" ht="15.75" customHeight="1">
      <c r="A946" s="9"/>
      <c r="B946" s="9"/>
      <c r="C946" s="9"/>
      <c r="D946" s="9"/>
      <c r="E946" s="67"/>
      <c r="F946" s="68"/>
      <c r="G946" s="68"/>
      <c r="H946" s="69"/>
      <c r="I946" s="69"/>
      <c r="J946" s="69"/>
      <c r="K946" s="69"/>
      <c r="L946" s="69"/>
      <c r="M946" s="70"/>
      <c r="N946" s="69"/>
      <c r="O946" s="23"/>
      <c r="P946" s="23"/>
      <c r="Q946" s="9"/>
      <c r="R946" s="9"/>
      <c r="S946" s="9"/>
      <c r="T946" s="9"/>
      <c r="U946" s="9"/>
      <c r="V946" s="9"/>
      <c r="W946" s="9"/>
      <c r="X946" s="9"/>
      <c r="Y946" s="9"/>
      <c r="Z946" s="9"/>
      <c r="AA946" s="9"/>
      <c r="AB946" s="9"/>
      <c r="AC946" s="9"/>
      <c r="AD946" s="25"/>
      <c r="AE946" s="25"/>
      <c r="AF946" s="9"/>
      <c r="AG946" s="9"/>
      <c r="AH946" s="9"/>
      <c r="AI946" s="9"/>
    </row>
    <row r="947" ht="15.75" customHeight="1">
      <c r="A947" s="9"/>
      <c r="B947" s="9"/>
      <c r="C947" s="9"/>
      <c r="D947" s="9"/>
      <c r="E947" s="67"/>
      <c r="F947" s="68"/>
      <c r="G947" s="68"/>
      <c r="H947" s="69"/>
      <c r="I947" s="69"/>
      <c r="J947" s="69"/>
      <c r="K947" s="69"/>
      <c r="L947" s="69"/>
      <c r="M947" s="70"/>
      <c r="N947" s="69"/>
      <c r="O947" s="23"/>
      <c r="P947" s="23"/>
      <c r="Q947" s="9"/>
      <c r="R947" s="9"/>
      <c r="S947" s="9"/>
      <c r="T947" s="9"/>
      <c r="U947" s="9"/>
      <c r="V947" s="9"/>
      <c r="W947" s="9"/>
      <c r="X947" s="9"/>
      <c r="Y947" s="9"/>
      <c r="Z947" s="9"/>
      <c r="AA947" s="9"/>
      <c r="AB947" s="9"/>
      <c r="AC947" s="9"/>
      <c r="AD947" s="25"/>
      <c r="AE947" s="25"/>
      <c r="AF947" s="9"/>
      <c r="AG947" s="9"/>
      <c r="AH947" s="9"/>
      <c r="AI947" s="9"/>
    </row>
    <row r="948" ht="15.75" customHeight="1">
      <c r="A948" s="9"/>
      <c r="B948" s="9"/>
      <c r="C948" s="9"/>
      <c r="D948" s="9"/>
      <c r="E948" s="67"/>
      <c r="F948" s="68"/>
      <c r="G948" s="68"/>
      <c r="H948" s="69"/>
      <c r="I948" s="69"/>
      <c r="J948" s="69"/>
      <c r="K948" s="69"/>
      <c r="L948" s="69"/>
      <c r="M948" s="70"/>
      <c r="N948" s="69"/>
      <c r="O948" s="23"/>
      <c r="P948" s="23"/>
      <c r="Q948" s="9"/>
      <c r="R948" s="9"/>
      <c r="S948" s="9"/>
      <c r="T948" s="9"/>
      <c r="U948" s="9"/>
      <c r="V948" s="9"/>
      <c r="W948" s="9"/>
      <c r="X948" s="9"/>
      <c r="Y948" s="9"/>
      <c r="Z948" s="9"/>
      <c r="AA948" s="9"/>
      <c r="AB948" s="9"/>
      <c r="AC948" s="9"/>
      <c r="AD948" s="25"/>
      <c r="AE948" s="25"/>
      <c r="AF948" s="9"/>
      <c r="AG948" s="9"/>
      <c r="AH948" s="9"/>
      <c r="AI948" s="9"/>
    </row>
    <row r="949" ht="15.75" customHeight="1">
      <c r="A949" s="9"/>
      <c r="B949" s="9"/>
      <c r="C949" s="9"/>
      <c r="D949" s="9"/>
      <c r="E949" s="67"/>
      <c r="F949" s="68"/>
      <c r="G949" s="68"/>
      <c r="H949" s="69"/>
      <c r="I949" s="69"/>
      <c r="J949" s="69"/>
      <c r="K949" s="69"/>
      <c r="L949" s="69"/>
      <c r="M949" s="71"/>
      <c r="N949" s="69"/>
      <c r="O949" s="23"/>
      <c r="P949" s="23"/>
      <c r="Q949" s="9"/>
      <c r="R949" s="9"/>
      <c r="S949" s="9"/>
      <c r="T949" s="9"/>
      <c r="U949" s="9"/>
      <c r="V949" s="9"/>
      <c r="W949" s="9"/>
      <c r="X949" s="9"/>
      <c r="Y949" s="9"/>
      <c r="Z949" s="9"/>
      <c r="AA949" s="9"/>
      <c r="AB949" s="9"/>
      <c r="AC949" s="9"/>
      <c r="AD949" s="25"/>
      <c r="AE949" s="25"/>
      <c r="AF949" s="9"/>
      <c r="AG949" s="9"/>
      <c r="AH949" s="9"/>
      <c r="AI949" s="9"/>
    </row>
    <row r="950" ht="15.75" customHeight="1">
      <c r="A950" s="9"/>
      <c r="B950" s="9"/>
      <c r="C950" s="9"/>
      <c r="D950" s="9"/>
      <c r="E950" s="67"/>
      <c r="F950" s="68"/>
      <c r="G950" s="68"/>
      <c r="H950" s="69"/>
      <c r="I950" s="69"/>
      <c r="J950" s="69"/>
      <c r="K950" s="69"/>
      <c r="L950" s="69"/>
      <c r="M950" s="69"/>
      <c r="N950" s="69"/>
      <c r="O950" s="23"/>
      <c r="P950" s="23"/>
      <c r="Q950" s="9"/>
      <c r="R950" s="9"/>
      <c r="S950" s="9"/>
      <c r="T950" s="9"/>
      <c r="U950" s="9"/>
      <c r="V950" s="9"/>
      <c r="W950" s="9"/>
      <c r="X950" s="9"/>
      <c r="Y950" s="9"/>
      <c r="Z950" s="9"/>
      <c r="AA950" s="9"/>
      <c r="AB950" s="9"/>
      <c r="AC950" s="9"/>
      <c r="AD950" s="25"/>
      <c r="AE950" s="25"/>
      <c r="AF950" s="9"/>
      <c r="AG950" s="9"/>
      <c r="AH950" s="9"/>
      <c r="AI950" s="9"/>
    </row>
    <row r="951" ht="15.75" customHeight="1">
      <c r="A951" s="9"/>
      <c r="B951" s="9"/>
      <c r="C951" s="9"/>
      <c r="D951" s="9"/>
      <c r="E951" s="67"/>
      <c r="F951" s="68"/>
      <c r="G951" s="68"/>
      <c r="H951" s="69"/>
      <c r="I951" s="69"/>
      <c r="J951" s="69"/>
      <c r="K951" s="69"/>
      <c r="L951" s="69"/>
      <c r="M951" s="70"/>
      <c r="N951" s="69"/>
      <c r="O951" s="23"/>
      <c r="P951" s="23"/>
      <c r="Q951" s="9"/>
      <c r="R951" s="9"/>
      <c r="S951" s="9"/>
      <c r="T951" s="9"/>
      <c r="U951" s="9"/>
      <c r="V951" s="9"/>
      <c r="W951" s="9"/>
      <c r="X951" s="9"/>
      <c r="Y951" s="9"/>
      <c r="Z951" s="9"/>
      <c r="AA951" s="9"/>
      <c r="AB951" s="9"/>
      <c r="AC951" s="9"/>
      <c r="AD951" s="25"/>
      <c r="AE951" s="25"/>
      <c r="AF951" s="9"/>
      <c r="AG951" s="9"/>
      <c r="AH951" s="9"/>
      <c r="AI951" s="9"/>
    </row>
    <row r="952" ht="15.75" customHeight="1">
      <c r="A952" s="9"/>
      <c r="B952" s="9"/>
      <c r="C952" s="9"/>
      <c r="D952" s="9"/>
      <c r="E952" s="67"/>
      <c r="F952" s="68"/>
      <c r="G952" s="68"/>
      <c r="H952" s="69"/>
      <c r="I952" s="69"/>
      <c r="J952" s="69"/>
      <c r="K952" s="69"/>
      <c r="L952" s="69"/>
      <c r="M952" s="70"/>
      <c r="N952" s="69"/>
      <c r="O952" s="23"/>
      <c r="P952" s="23"/>
      <c r="Q952" s="9"/>
      <c r="R952" s="9"/>
      <c r="S952" s="9"/>
      <c r="T952" s="9"/>
      <c r="U952" s="9"/>
      <c r="V952" s="9"/>
      <c r="W952" s="9"/>
      <c r="X952" s="9"/>
      <c r="Y952" s="9"/>
      <c r="Z952" s="9"/>
      <c r="AA952" s="9"/>
      <c r="AB952" s="9"/>
      <c r="AC952" s="9"/>
      <c r="AD952" s="25"/>
      <c r="AE952" s="25"/>
      <c r="AF952" s="9"/>
      <c r="AG952" s="9"/>
      <c r="AH952" s="9"/>
      <c r="AI952" s="9"/>
    </row>
    <row r="953" ht="15.75" customHeight="1">
      <c r="A953" s="9"/>
      <c r="B953" s="9"/>
      <c r="C953" s="9"/>
      <c r="D953" s="9"/>
      <c r="E953" s="67"/>
      <c r="F953" s="68"/>
      <c r="G953" s="68"/>
      <c r="H953" s="69"/>
      <c r="I953" s="69"/>
      <c r="J953" s="69"/>
      <c r="K953" s="69"/>
      <c r="L953" s="69"/>
      <c r="M953" s="70"/>
      <c r="N953" s="69"/>
      <c r="O953" s="23"/>
      <c r="P953" s="23"/>
      <c r="Q953" s="9"/>
      <c r="R953" s="9"/>
      <c r="S953" s="9"/>
      <c r="T953" s="9"/>
      <c r="U953" s="9"/>
      <c r="V953" s="9"/>
      <c r="W953" s="9"/>
      <c r="X953" s="9"/>
      <c r="Y953" s="9"/>
      <c r="Z953" s="9"/>
      <c r="AA953" s="9"/>
      <c r="AB953" s="9"/>
      <c r="AC953" s="9"/>
      <c r="AD953" s="25"/>
      <c r="AE953" s="25"/>
      <c r="AF953" s="9"/>
      <c r="AG953" s="9"/>
      <c r="AH953" s="9"/>
      <c r="AI953" s="9"/>
    </row>
    <row r="954" ht="15.75" customHeight="1">
      <c r="A954" s="9"/>
      <c r="B954" s="9"/>
      <c r="C954" s="9"/>
      <c r="D954" s="9"/>
      <c r="E954" s="67"/>
      <c r="F954" s="68"/>
      <c r="G954" s="68"/>
      <c r="H954" s="69"/>
      <c r="I954" s="69"/>
      <c r="J954" s="69"/>
      <c r="K954" s="69"/>
      <c r="L954" s="69"/>
      <c r="M954" s="71"/>
      <c r="N954" s="69"/>
      <c r="O954" s="23"/>
      <c r="P954" s="23"/>
      <c r="Q954" s="9"/>
      <c r="R954" s="9"/>
      <c r="S954" s="9"/>
      <c r="T954" s="9"/>
      <c r="U954" s="9"/>
      <c r="V954" s="9"/>
      <c r="W954" s="9"/>
      <c r="X954" s="9"/>
      <c r="Y954" s="9"/>
      <c r="Z954" s="9"/>
      <c r="AA954" s="9"/>
      <c r="AB954" s="9"/>
      <c r="AC954" s="9"/>
      <c r="AD954" s="25"/>
      <c r="AE954" s="25"/>
      <c r="AF954" s="9"/>
      <c r="AG954" s="9"/>
      <c r="AH954" s="9"/>
      <c r="AI954" s="9"/>
    </row>
    <row r="955" ht="15.75" customHeight="1">
      <c r="A955" s="9"/>
      <c r="B955" s="9"/>
      <c r="C955" s="9"/>
      <c r="D955" s="9"/>
      <c r="E955" s="67"/>
      <c r="F955" s="68"/>
      <c r="G955" s="68"/>
      <c r="H955" s="69"/>
      <c r="I955" s="69"/>
      <c r="J955" s="69"/>
      <c r="K955" s="69"/>
      <c r="L955" s="69"/>
      <c r="M955" s="69"/>
      <c r="N955" s="69"/>
      <c r="O955" s="23"/>
      <c r="P955" s="23"/>
      <c r="Q955" s="9"/>
      <c r="R955" s="9"/>
      <c r="S955" s="9"/>
      <c r="T955" s="9"/>
      <c r="U955" s="9"/>
      <c r="V955" s="9"/>
      <c r="W955" s="9"/>
      <c r="X955" s="9"/>
      <c r="Y955" s="9"/>
      <c r="Z955" s="9"/>
      <c r="AA955" s="9"/>
      <c r="AB955" s="9"/>
      <c r="AC955" s="9"/>
      <c r="AD955" s="25"/>
      <c r="AE955" s="25"/>
      <c r="AF955" s="9"/>
      <c r="AG955" s="9"/>
      <c r="AH955" s="9"/>
      <c r="AI955" s="9"/>
    </row>
    <row r="956" ht="15.75" customHeight="1">
      <c r="A956" s="9"/>
      <c r="B956" s="9"/>
      <c r="C956" s="9"/>
      <c r="D956" s="9"/>
      <c r="E956" s="67"/>
      <c r="F956" s="68"/>
      <c r="G956" s="68"/>
      <c r="H956" s="69"/>
      <c r="I956" s="69"/>
      <c r="J956" s="69"/>
      <c r="K956" s="69"/>
      <c r="L956" s="69"/>
      <c r="M956" s="69"/>
      <c r="N956" s="69"/>
      <c r="O956" s="23"/>
      <c r="P956" s="23"/>
      <c r="Q956" s="9"/>
      <c r="R956" s="9"/>
      <c r="S956" s="9"/>
      <c r="T956" s="9"/>
      <c r="U956" s="9"/>
      <c r="V956" s="9"/>
      <c r="W956" s="9"/>
      <c r="X956" s="9"/>
      <c r="Y956" s="9"/>
      <c r="Z956" s="9"/>
      <c r="AA956" s="9"/>
      <c r="AB956" s="9"/>
      <c r="AC956" s="9"/>
      <c r="AD956" s="25"/>
      <c r="AE956" s="25"/>
      <c r="AF956" s="9"/>
      <c r="AG956" s="9"/>
      <c r="AH956" s="9"/>
      <c r="AI956" s="9"/>
    </row>
    <row r="957" ht="15.75" customHeight="1">
      <c r="A957" s="9"/>
      <c r="B957" s="9"/>
      <c r="C957" s="9"/>
      <c r="D957" s="9"/>
      <c r="E957" s="67"/>
      <c r="F957" s="68"/>
      <c r="G957" s="68"/>
      <c r="H957" s="69"/>
      <c r="I957" s="69"/>
      <c r="J957" s="69"/>
      <c r="K957" s="69"/>
      <c r="L957" s="69"/>
      <c r="M957" s="71"/>
      <c r="N957" s="69"/>
      <c r="O957" s="23"/>
      <c r="P957" s="23"/>
      <c r="Q957" s="9"/>
      <c r="R957" s="9"/>
      <c r="S957" s="9"/>
      <c r="T957" s="9"/>
      <c r="U957" s="9"/>
      <c r="V957" s="9"/>
      <c r="W957" s="9"/>
      <c r="X957" s="9"/>
      <c r="Y957" s="9"/>
      <c r="Z957" s="9"/>
      <c r="AA957" s="9"/>
      <c r="AB957" s="9"/>
      <c r="AC957" s="9"/>
      <c r="AD957" s="25"/>
      <c r="AE957" s="25"/>
      <c r="AF957" s="9"/>
      <c r="AG957" s="9"/>
      <c r="AH957" s="9"/>
      <c r="AI957" s="9"/>
    </row>
    <row r="958" ht="15.75" customHeight="1">
      <c r="A958" s="9"/>
      <c r="B958" s="9"/>
      <c r="C958" s="9"/>
      <c r="D958" s="9"/>
      <c r="E958" s="67"/>
      <c r="F958" s="68"/>
      <c r="G958" s="68"/>
      <c r="H958" s="69"/>
      <c r="I958" s="69"/>
      <c r="J958" s="69"/>
      <c r="K958" s="69"/>
      <c r="L958" s="69"/>
      <c r="M958" s="69"/>
      <c r="N958" s="69"/>
      <c r="O958" s="23"/>
      <c r="P958" s="23"/>
      <c r="Q958" s="9"/>
      <c r="R958" s="9"/>
      <c r="S958" s="9"/>
      <c r="T958" s="9"/>
      <c r="U958" s="9"/>
      <c r="V958" s="9"/>
      <c r="W958" s="9"/>
      <c r="X958" s="9"/>
      <c r="Y958" s="9"/>
      <c r="Z958" s="9"/>
      <c r="AA958" s="9"/>
      <c r="AB958" s="9"/>
      <c r="AC958" s="9"/>
      <c r="AD958" s="25"/>
      <c r="AE958" s="25"/>
      <c r="AF958" s="9"/>
      <c r="AG958" s="9"/>
      <c r="AH958" s="9"/>
      <c r="AI958" s="9"/>
    </row>
    <row r="959" ht="15.75" customHeight="1">
      <c r="A959" s="9"/>
      <c r="B959" s="9"/>
      <c r="C959" s="9"/>
      <c r="D959" s="9"/>
      <c r="E959" s="67"/>
      <c r="F959" s="68"/>
      <c r="G959" s="68"/>
      <c r="H959" s="69"/>
      <c r="I959" s="69"/>
      <c r="J959" s="69"/>
      <c r="K959" s="69"/>
      <c r="L959" s="69"/>
      <c r="M959" s="71"/>
      <c r="N959" s="69"/>
      <c r="O959" s="23"/>
      <c r="P959" s="23"/>
      <c r="Q959" s="9"/>
      <c r="R959" s="9"/>
      <c r="S959" s="9"/>
      <c r="T959" s="9"/>
      <c r="U959" s="9"/>
      <c r="V959" s="9"/>
      <c r="W959" s="9"/>
      <c r="X959" s="9"/>
      <c r="Y959" s="9"/>
      <c r="Z959" s="9"/>
      <c r="AA959" s="9"/>
      <c r="AB959" s="9"/>
      <c r="AC959" s="9"/>
      <c r="AD959" s="25"/>
      <c r="AE959" s="25"/>
      <c r="AF959" s="9"/>
      <c r="AG959" s="9"/>
      <c r="AH959" s="9"/>
      <c r="AI959" s="9"/>
    </row>
    <row r="960" ht="15.75" customHeight="1">
      <c r="A960" s="9"/>
      <c r="B960" s="9"/>
      <c r="C960" s="9"/>
      <c r="D960" s="9"/>
      <c r="E960" s="67"/>
      <c r="F960" s="68"/>
      <c r="G960" s="68"/>
      <c r="H960" s="69"/>
      <c r="I960" s="69"/>
      <c r="J960" s="69"/>
      <c r="K960" s="69"/>
      <c r="L960" s="69"/>
      <c r="M960" s="70"/>
      <c r="N960" s="69"/>
      <c r="O960" s="23"/>
      <c r="P960" s="23"/>
      <c r="Q960" s="9"/>
      <c r="R960" s="9"/>
      <c r="S960" s="9"/>
      <c r="T960" s="9"/>
      <c r="U960" s="9"/>
      <c r="V960" s="9"/>
      <c r="W960" s="9"/>
      <c r="X960" s="9"/>
      <c r="Y960" s="9"/>
      <c r="Z960" s="9"/>
      <c r="AA960" s="9"/>
      <c r="AB960" s="9"/>
      <c r="AC960" s="9"/>
      <c r="AD960" s="25"/>
      <c r="AE960" s="25"/>
      <c r="AF960" s="9"/>
      <c r="AG960" s="9"/>
      <c r="AH960" s="9"/>
      <c r="AI960" s="9"/>
    </row>
    <row r="961" ht="15.75" customHeight="1">
      <c r="A961" s="9"/>
      <c r="B961" s="9"/>
      <c r="C961" s="9"/>
      <c r="D961" s="9"/>
      <c r="E961" s="67"/>
      <c r="F961" s="68"/>
      <c r="G961" s="68"/>
      <c r="H961" s="69"/>
      <c r="I961" s="69"/>
      <c r="J961" s="69"/>
      <c r="K961" s="69"/>
      <c r="L961" s="69"/>
      <c r="M961" s="70"/>
      <c r="N961" s="69"/>
      <c r="O961" s="23"/>
      <c r="P961" s="23"/>
      <c r="Q961" s="9"/>
      <c r="R961" s="9"/>
      <c r="S961" s="9"/>
      <c r="T961" s="9"/>
      <c r="U961" s="9"/>
      <c r="V961" s="9"/>
      <c r="W961" s="9"/>
      <c r="X961" s="9"/>
      <c r="Y961" s="9"/>
      <c r="Z961" s="9"/>
      <c r="AA961" s="9"/>
      <c r="AB961" s="9"/>
      <c r="AC961" s="9"/>
      <c r="AD961" s="25"/>
      <c r="AE961" s="25"/>
      <c r="AF961" s="9"/>
      <c r="AG961" s="9"/>
      <c r="AH961" s="9"/>
      <c r="AI961" s="9"/>
    </row>
    <row r="962" ht="15.75" customHeight="1">
      <c r="A962" s="9"/>
      <c r="B962" s="9"/>
      <c r="C962" s="9"/>
      <c r="D962" s="9"/>
      <c r="E962" s="67"/>
      <c r="F962" s="68"/>
      <c r="G962" s="68"/>
      <c r="H962" s="69"/>
      <c r="I962" s="69"/>
      <c r="J962" s="69"/>
      <c r="K962" s="69"/>
      <c r="L962" s="69"/>
      <c r="M962" s="70"/>
      <c r="N962" s="69"/>
      <c r="O962" s="23"/>
      <c r="P962" s="23"/>
      <c r="Q962" s="9"/>
      <c r="R962" s="9"/>
      <c r="S962" s="9"/>
      <c r="T962" s="9"/>
      <c r="U962" s="9"/>
      <c r="V962" s="9"/>
      <c r="W962" s="9"/>
      <c r="X962" s="9"/>
      <c r="Y962" s="9"/>
      <c r="Z962" s="9"/>
      <c r="AA962" s="9"/>
      <c r="AB962" s="9"/>
      <c r="AC962" s="9"/>
      <c r="AD962" s="25"/>
      <c r="AE962" s="25"/>
      <c r="AF962" s="9"/>
      <c r="AG962" s="9"/>
      <c r="AH962" s="9"/>
      <c r="AI962" s="9"/>
    </row>
    <row r="963" ht="15.75" customHeight="1">
      <c r="A963" s="9"/>
      <c r="B963" s="9"/>
      <c r="C963" s="9"/>
      <c r="D963" s="9"/>
      <c r="E963" s="67"/>
      <c r="F963" s="68"/>
      <c r="G963" s="68"/>
      <c r="H963" s="69"/>
      <c r="I963" s="69"/>
      <c r="J963" s="69"/>
      <c r="K963" s="69"/>
      <c r="L963" s="69"/>
      <c r="M963" s="70"/>
      <c r="N963" s="69"/>
      <c r="O963" s="23"/>
      <c r="P963" s="23"/>
      <c r="Q963" s="9"/>
      <c r="R963" s="9"/>
      <c r="S963" s="9"/>
      <c r="T963" s="9"/>
      <c r="U963" s="9"/>
      <c r="V963" s="9"/>
      <c r="W963" s="9"/>
      <c r="X963" s="9"/>
      <c r="Y963" s="9"/>
      <c r="Z963" s="9"/>
      <c r="AA963" s="9"/>
      <c r="AB963" s="9"/>
      <c r="AC963" s="9"/>
      <c r="AD963" s="25"/>
      <c r="AE963" s="25"/>
      <c r="AF963" s="9"/>
      <c r="AG963" s="9"/>
      <c r="AH963" s="9"/>
      <c r="AI963" s="9"/>
    </row>
    <row r="964" ht="15.75" customHeight="1">
      <c r="A964" s="9"/>
      <c r="B964" s="9"/>
      <c r="C964" s="9"/>
      <c r="D964" s="9"/>
      <c r="E964" s="67"/>
      <c r="F964" s="68"/>
      <c r="G964" s="68"/>
      <c r="H964" s="69"/>
      <c r="I964" s="69"/>
      <c r="J964" s="69"/>
      <c r="K964" s="69"/>
      <c r="L964" s="69"/>
      <c r="M964" s="70"/>
      <c r="N964" s="69"/>
      <c r="O964" s="23"/>
      <c r="P964" s="23"/>
      <c r="Q964" s="9"/>
      <c r="R964" s="9"/>
      <c r="S964" s="9"/>
      <c r="T964" s="9"/>
      <c r="U964" s="9"/>
      <c r="V964" s="9"/>
      <c r="W964" s="9"/>
      <c r="X964" s="9"/>
      <c r="Y964" s="9"/>
      <c r="Z964" s="9"/>
      <c r="AA964" s="9"/>
      <c r="AB964" s="9"/>
      <c r="AC964" s="9"/>
      <c r="AD964" s="25"/>
      <c r="AE964" s="25"/>
      <c r="AF964" s="9"/>
      <c r="AG964" s="9"/>
      <c r="AH964" s="9"/>
      <c r="AI964" s="9"/>
    </row>
    <row r="965" ht="15.75" customHeight="1">
      <c r="A965" s="9"/>
      <c r="B965" s="9"/>
      <c r="C965" s="9"/>
      <c r="D965" s="9"/>
      <c r="E965" s="67"/>
      <c r="F965" s="68"/>
      <c r="G965" s="68"/>
      <c r="H965" s="69"/>
      <c r="I965" s="69"/>
      <c r="J965" s="69"/>
      <c r="K965" s="69"/>
      <c r="L965" s="69"/>
      <c r="M965" s="70"/>
      <c r="N965" s="69"/>
      <c r="O965" s="23"/>
      <c r="P965" s="23"/>
      <c r="Q965" s="9"/>
      <c r="R965" s="9"/>
      <c r="S965" s="9"/>
      <c r="T965" s="9"/>
      <c r="U965" s="9"/>
      <c r="V965" s="9"/>
      <c r="W965" s="9"/>
      <c r="X965" s="9"/>
      <c r="Y965" s="9"/>
      <c r="Z965" s="9"/>
      <c r="AA965" s="9"/>
      <c r="AB965" s="9"/>
      <c r="AC965" s="9"/>
      <c r="AD965" s="25"/>
      <c r="AE965" s="25"/>
      <c r="AF965" s="9"/>
      <c r="AG965" s="9"/>
      <c r="AH965" s="9"/>
      <c r="AI965" s="9"/>
    </row>
    <row r="966" ht="15.75" customHeight="1">
      <c r="A966" s="9"/>
      <c r="B966" s="9"/>
      <c r="C966" s="9"/>
      <c r="D966" s="9"/>
      <c r="E966" s="67"/>
      <c r="F966" s="68"/>
      <c r="G966" s="68"/>
      <c r="H966" s="69"/>
      <c r="I966" s="69"/>
      <c r="J966" s="69"/>
      <c r="K966" s="69"/>
      <c r="L966" s="69"/>
      <c r="M966" s="70"/>
      <c r="N966" s="69"/>
      <c r="O966" s="23"/>
      <c r="P966" s="23"/>
      <c r="Q966" s="9"/>
      <c r="R966" s="9"/>
      <c r="S966" s="9"/>
      <c r="T966" s="9"/>
      <c r="U966" s="9"/>
      <c r="V966" s="9"/>
      <c r="W966" s="9"/>
      <c r="X966" s="9"/>
      <c r="Y966" s="9"/>
      <c r="Z966" s="9"/>
      <c r="AA966" s="9"/>
      <c r="AB966" s="9"/>
      <c r="AC966" s="9"/>
      <c r="AD966" s="25"/>
      <c r="AE966" s="25"/>
      <c r="AF966" s="9"/>
      <c r="AG966" s="9"/>
      <c r="AH966" s="9"/>
      <c r="AI966" s="9"/>
    </row>
    <row r="967" ht="15.75" customHeight="1">
      <c r="A967" s="9"/>
      <c r="B967" s="9"/>
      <c r="C967" s="9"/>
      <c r="D967" s="9"/>
      <c r="E967" s="67"/>
      <c r="F967" s="68"/>
      <c r="G967" s="68"/>
      <c r="H967" s="69"/>
      <c r="I967" s="69"/>
      <c r="J967" s="69"/>
      <c r="K967" s="69"/>
      <c r="L967" s="69"/>
      <c r="M967" s="70"/>
      <c r="N967" s="69"/>
      <c r="O967" s="23"/>
      <c r="P967" s="23"/>
      <c r="Q967" s="9"/>
      <c r="R967" s="9"/>
      <c r="S967" s="9"/>
      <c r="T967" s="9"/>
      <c r="U967" s="9"/>
      <c r="V967" s="9"/>
      <c r="W967" s="9"/>
      <c r="X967" s="9"/>
      <c r="Y967" s="9"/>
      <c r="Z967" s="9"/>
      <c r="AA967" s="9"/>
      <c r="AB967" s="9"/>
      <c r="AC967" s="9"/>
      <c r="AD967" s="25"/>
      <c r="AE967" s="25"/>
      <c r="AF967" s="9"/>
      <c r="AG967" s="9"/>
      <c r="AH967" s="9"/>
      <c r="AI967" s="9"/>
    </row>
    <row r="968" ht="15.75" customHeight="1">
      <c r="A968" s="9"/>
      <c r="B968" s="9"/>
      <c r="C968" s="9"/>
      <c r="D968" s="9"/>
      <c r="E968" s="67"/>
      <c r="F968" s="68"/>
      <c r="G968" s="68"/>
      <c r="H968" s="69"/>
      <c r="I968" s="69"/>
      <c r="J968" s="69"/>
      <c r="K968" s="69"/>
      <c r="L968" s="69"/>
      <c r="M968" s="69"/>
      <c r="N968" s="69"/>
      <c r="O968" s="23"/>
      <c r="P968" s="23"/>
      <c r="Q968" s="9"/>
      <c r="R968" s="9"/>
      <c r="S968" s="9"/>
      <c r="T968" s="9"/>
      <c r="U968" s="9"/>
      <c r="V968" s="9"/>
      <c r="W968" s="9"/>
      <c r="X968" s="9"/>
      <c r="Y968" s="9"/>
      <c r="Z968" s="9"/>
      <c r="AA968" s="9"/>
      <c r="AB968" s="9"/>
      <c r="AC968" s="9"/>
      <c r="AD968" s="25"/>
      <c r="AE968" s="25"/>
      <c r="AF968" s="9"/>
      <c r="AG968" s="9"/>
      <c r="AH968" s="9"/>
      <c r="AI968" s="9"/>
    </row>
    <row r="969" ht="15.75" customHeight="1">
      <c r="A969" s="9"/>
      <c r="B969" s="9"/>
      <c r="C969" s="9"/>
      <c r="D969" s="9"/>
      <c r="E969" s="67"/>
      <c r="F969" s="68"/>
      <c r="G969" s="68"/>
      <c r="H969" s="69"/>
      <c r="I969" s="69"/>
      <c r="J969" s="69"/>
      <c r="K969" s="69"/>
      <c r="L969" s="69"/>
      <c r="M969" s="69"/>
      <c r="N969" s="69"/>
      <c r="O969" s="23"/>
      <c r="P969" s="23"/>
      <c r="Q969" s="9"/>
      <c r="R969" s="9"/>
      <c r="S969" s="9"/>
      <c r="T969" s="9"/>
      <c r="U969" s="9"/>
      <c r="V969" s="9"/>
      <c r="W969" s="9"/>
      <c r="X969" s="9"/>
      <c r="Y969" s="9"/>
      <c r="Z969" s="9"/>
      <c r="AA969" s="9"/>
      <c r="AB969" s="9"/>
      <c r="AC969" s="9"/>
      <c r="AD969" s="25"/>
      <c r="AE969" s="25"/>
      <c r="AF969" s="9"/>
      <c r="AG969" s="9"/>
      <c r="AH969" s="9"/>
      <c r="AI969" s="9"/>
    </row>
    <row r="970" ht="15.75" customHeight="1">
      <c r="A970" s="9"/>
      <c r="B970" s="9"/>
      <c r="C970" s="9"/>
      <c r="D970" s="9"/>
      <c r="E970" s="67"/>
      <c r="F970" s="68"/>
      <c r="G970" s="68"/>
      <c r="H970" s="69"/>
      <c r="I970" s="69"/>
      <c r="J970" s="69"/>
      <c r="K970" s="69"/>
      <c r="L970" s="69"/>
      <c r="M970" s="69"/>
      <c r="N970" s="69"/>
      <c r="O970" s="23"/>
      <c r="P970" s="23"/>
      <c r="Q970" s="9"/>
      <c r="R970" s="9"/>
      <c r="S970" s="9"/>
      <c r="T970" s="9"/>
      <c r="U970" s="9"/>
      <c r="V970" s="9"/>
      <c r="W970" s="9"/>
      <c r="X970" s="9"/>
      <c r="Y970" s="9"/>
      <c r="Z970" s="9"/>
      <c r="AA970" s="9"/>
      <c r="AB970" s="9"/>
      <c r="AC970" s="9"/>
      <c r="AD970" s="25"/>
      <c r="AE970" s="25"/>
      <c r="AF970" s="9"/>
      <c r="AG970" s="9"/>
      <c r="AH970" s="9"/>
      <c r="AI970" s="9"/>
    </row>
    <row r="971" ht="15.75" customHeight="1">
      <c r="A971" s="9"/>
      <c r="B971" s="9"/>
      <c r="C971" s="9"/>
      <c r="D971" s="9"/>
      <c r="E971" s="67"/>
      <c r="F971" s="68"/>
      <c r="G971" s="68"/>
      <c r="H971" s="69"/>
      <c r="I971" s="69"/>
      <c r="J971" s="69"/>
      <c r="K971" s="69"/>
      <c r="L971" s="69"/>
      <c r="M971" s="69"/>
      <c r="N971" s="69"/>
      <c r="O971" s="23"/>
      <c r="P971" s="23"/>
      <c r="Q971" s="9"/>
      <c r="R971" s="9"/>
      <c r="S971" s="9"/>
      <c r="T971" s="9"/>
      <c r="U971" s="9"/>
      <c r="V971" s="9"/>
      <c r="W971" s="9"/>
      <c r="X971" s="9"/>
      <c r="Y971" s="9"/>
      <c r="Z971" s="9"/>
      <c r="AA971" s="9"/>
      <c r="AB971" s="9"/>
      <c r="AC971" s="9"/>
      <c r="AD971" s="25"/>
      <c r="AE971" s="25"/>
      <c r="AF971" s="9"/>
      <c r="AG971" s="9"/>
      <c r="AH971" s="9"/>
      <c r="AI971" s="9"/>
    </row>
    <row r="972" ht="15.75" customHeight="1">
      <c r="A972" s="9"/>
      <c r="B972" s="9"/>
      <c r="C972" s="9"/>
      <c r="D972" s="9"/>
      <c r="E972" s="67"/>
      <c r="F972" s="68"/>
      <c r="G972" s="68"/>
      <c r="H972" s="69"/>
      <c r="I972" s="69"/>
      <c r="J972" s="69"/>
      <c r="K972" s="69"/>
      <c r="L972" s="69"/>
      <c r="M972" s="70"/>
      <c r="N972" s="69"/>
      <c r="O972" s="23"/>
      <c r="P972" s="23"/>
      <c r="Q972" s="9"/>
      <c r="R972" s="9"/>
      <c r="S972" s="9"/>
      <c r="T972" s="9"/>
      <c r="U972" s="9"/>
      <c r="V972" s="9"/>
      <c r="W972" s="9"/>
      <c r="X972" s="9"/>
      <c r="Y972" s="9"/>
      <c r="Z972" s="9"/>
      <c r="AA972" s="9"/>
      <c r="AB972" s="9"/>
      <c r="AC972" s="9"/>
      <c r="AD972" s="25"/>
      <c r="AE972" s="25"/>
      <c r="AF972" s="9"/>
      <c r="AG972" s="9"/>
      <c r="AH972" s="9"/>
      <c r="AI972" s="9"/>
    </row>
    <row r="973" ht="15.75" customHeight="1">
      <c r="A973" s="9"/>
      <c r="B973" s="9"/>
      <c r="C973" s="9"/>
      <c r="D973" s="9"/>
      <c r="E973" s="67"/>
      <c r="F973" s="68"/>
      <c r="G973" s="68"/>
      <c r="H973" s="69"/>
      <c r="I973" s="69"/>
      <c r="J973" s="69"/>
      <c r="K973" s="69"/>
      <c r="L973" s="69"/>
      <c r="M973" s="70"/>
      <c r="N973" s="69"/>
      <c r="O973" s="23"/>
      <c r="P973" s="23"/>
      <c r="Q973" s="9"/>
      <c r="R973" s="9"/>
      <c r="S973" s="9"/>
      <c r="T973" s="9"/>
      <c r="U973" s="9"/>
      <c r="V973" s="9"/>
      <c r="W973" s="9"/>
      <c r="X973" s="9"/>
      <c r="Y973" s="9"/>
      <c r="Z973" s="9"/>
      <c r="AA973" s="9"/>
      <c r="AB973" s="9"/>
      <c r="AC973" s="9"/>
      <c r="AD973" s="25"/>
      <c r="AE973" s="25"/>
      <c r="AF973" s="9"/>
      <c r="AG973" s="9"/>
      <c r="AH973" s="9"/>
      <c r="AI973" s="9"/>
    </row>
    <row r="974" ht="15.75" customHeight="1">
      <c r="A974" s="9"/>
      <c r="B974" s="9"/>
      <c r="C974" s="9"/>
      <c r="D974" s="9"/>
      <c r="E974" s="67"/>
      <c r="F974" s="68"/>
      <c r="G974" s="68"/>
      <c r="H974" s="69"/>
      <c r="I974" s="69"/>
      <c r="J974" s="69"/>
      <c r="K974" s="69"/>
      <c r="L974" s="69"/>
      <c r="M974" s="69"/>
      <c r="N974" s="69"/>
      <c r="O974" s="23"/>
      <c r="P974" s="23"/>
      <c r="Q974" s="9"/>
      <c r="R974" s="9"/>
      <c r="S974" s="9"/>
      <c r="T974" s="9"/>
      <c r="U974" s="9"/>
      <c r="V974" s="9"/>
      <c r="W974" s="9"/>
      <c r="X974" s="9"/>
      <c r="Y974" s="9"/>
      <c r="Z974" s="9"/>
      <c r="AA974" s="9"/>
      <c r="AB974" s="9"/>
      <c r="AC974" s="9"/>
      <c r="AD974" s="25"/>
      <c r="AE974" s="25"/>
      <c r="AF974" s="9"/>
      <c r="AG974" s="9"/>
      <c r="AH974" s="9"/>
      <c r="AI974" s="9"/>
    </row>
    <row r="975" ht="15.75" customHeight="1">
      <c r="A975" s="9"/>
      <c r="B975" s="9"/>
      <c r="C975" s="9"/>
      <c r="D975" s="9"/>
      <c r="E975" s="67"/>
      <c r="F975" s="68"/>
      <c r="G975" s="68"/>
      <c r="H975" s="69"/>
      <c r="I975" s="69"/>
      <c r="J975" s="69"/>
      <c r="K975" s="69"/>
      <c r="L975" s="69"/>
      <c r="M975" s="71"/>
      <c r="N975" s="69"/>
      <c r="O975" s="23"/>
      <c r="P975" s="23"/>
      <c r="Q975" s="9"/>
      <c r="R975" s="9"/>
      <c r="S975" s="9"/>
      <c r="T975" s="9"/>
      <c r="U975" s="9"/>
      <c r="V975" s="9"/>
      <c r="W975" s="9"/>
      <c r="X975" s="9"/>
      <c r="Y975" s="9"/>
      <c r="Z975" s="9"/>
      <c r="AA975" s="9"/>
      <c r="AB975" s="9"/>
      <c r="AC975" s="9"/>
      <c r="AD975" s="25"/>
      <c r="AE975" s="25"/>
      <c r="AF975" s="9"/>
      <c r="AG975" s="9"/>
      <c r="AH975" s="9"/>
      <c r="AI975" s="9"/>
    </row>
    <row r="976" ht="15.75" customHeight="1">
      <c r="A976" s="9"/>
      <c r="B976" s="9"/>
      <c r="C976" s="9"/>
      <c r="D976" s="9"/>
      <c r="E976" s="67"/>
      <c r="F976" s="68"/>
      <c r="G976" s="68"/>
      <c r="H976" s="69"/>
      <c r="I976" s="69"/>
      <c r="J976" s="69"/>
      <c r="K976" s="69"/>
      <c r="L976" s="69"/>
      <c r="M976" s="71"/>
      <c r="N976" s="69"/>
      <c r="O976" s="23"/>
      <c r="P976" s="23"/>
      <c r="Q976" s="9"/>
      <c r="R976" s="9"/>
      <c r="S976" s="9"/>
      <c r="T976" s="9"/>
      <c r="U976" s="9"/>
      <c r="V976" s="9"/>
      <c r="W976" s="9"/>
      <c r="X976" s="9"/>
      <c r="Y976" s="9"/>
      <c r="Z976" s="9"/>
      <c r="AA976" s="9"/>
      <c r="AB976" s="9"/>
      <c r="AC976" s="9"/>
      <c r="AD976" s="25"/>
      <c r="AE976" s="25"/>
      <c r="AF976" s="9"/>
      <c r="AG976" s="9"/>
      <c r="AH976" s="9"/>
      <c r="AI976" s="9"/>
    </row>
    <row r="977" ht="15.75" customHeight="1">
      <c r="A977" s="9"/>
      <c r="B977" s="9"/>
      <c r="C977" s="9"/>
      <c r="D977" s="9"/>
      <c r="E977" s="67"/>
      <c r="F977" s="68"/>
      <c r="G977" s="68"/>
      <c r="H977" s="69"/>
      <c r="I977" s="69"/>
      <c r="J977" s="69"/>
      <c r="K977" s="69"/>
      <c r="L977" s="69"/>
      <c r="M977" s="70"/>
      <c r="N977" s="69"/>
      <c r="O977" s="23"/>
      <c r="P977" s="23"/>
      <c r="Q977" s="9"/>
      <c r="R977" s="9"/>
      <c r="S977" s="9"/>
      <c r="T977" s="9"/>
      <c r="U977" s="9"/>
      <c r="V977" s="9"/>
      <c r="W977" s="9"/>
      <c r="X977" s="9"/>
      <c r="Y977" s="9"/>
      <c r="Z977" s="9"/>
      <c r="AA977" s="9"/>
      <c r="AB977" s="9"/>
      <c r="AC977" s="9"/>
      <c r="AD977" s="25"/>
      <c r="AE977" s="25"/>
      <c r="AF977" s="9"/>
      <c r="AG977" s="9"/>
      <c r="AH977" s="9"/>
      <c r="AI977" s="9"/>
    </row>
    <row r="978" ht="15.75" customHeight="1">
      <c r="A978" s="9"/>
      <c r="B978" s="9"/>
      <c r="C978" s="9"/>
      <c r="D978" s="9"/>
      <c r="E978" s="67"/>
      <c r="F978" s="68"/>
      <c r="G978" s="68"/>
      <c r="H978" s="69"/>
      <c r="I978" s="69"/>
      <c r="J978" s="69"/>
      <c r="K978" s="69"/>
      <c r="L978" s="69"/>
      <c r="M978" s="71"/>
      <c r="N978" s="69"/>
      <c r="O978" s="23"/>
      <c r="P978" s="23"/>
      <c r="Q978" s="9"/>
      <c r="R978" s="9"/>
      <c r="S978" s="9"/>
      <c r="T978" s="9"/>
      <c r="U978" s="9"/>
      <c r="V978" s="9"/>
      <c r="W978" s="9"/>
      <c r="X978" s="9"/>
      <c r="Y978" s="9"/>
      <c r="Z978" s="9"/>
      <c r="AA978" s="9"/>
      <c r="AB978" s="9"/>
      <c r="AC978" s="9"/>
      <c r="AD978" s="25"/>
      <c r="AE978" s="25"/>
      <c r="AF978" s="9"/>
      <c r="AG978" s="9"/>
      <c r="AH978" s="9"/>
      <c r="AI978" s="9"/>
    </row>
    <row r="979" ht="15.75" customHeight="1">
      <c r="A979" s="9"/>
      <c r="B979" s="9"/>
      <c r="C979" s="9"/>
      <c r="D979" s="9"/>
      <c r="E979" s="67"/>
      <c r="F979" s="68"/>
      <c r="G979" s="68"/>
      <c r="H979" s="69"/>
      <c r="I979" s="69"/>
      <c r="J979" s="69"/>
      <c r="K979" s="69"/>
      <c r="L979" s="69"/>
      <c r="M979" s="70"/>
      <c r="N979" s="69"/>
      <c r="O979" s="23"/>
      <c r="P979" s="23"/>
      <c r="Q979" s="9"/>
      <c r="R979" s="9"/>
      <c r="S979" s="9"/>
      <c r="T979" s="9"/>
      <c r="U979" s="9"/>
      <c r="V979" s="9"/>
      <c r="W979" s="9"/>
      <c r="X979" s="9"/>
      <c r="Y979" s="9"/>
      <c r="Z979" s="9"/>
      <c r="AA979" s="9"/>
      <c r="AB979" s="9"/>
      <c r="AC979" s="9"/>
      <c r="AD979" s="25"/>
      <c r="AE979" s="25"/>
      <c r="AF979" s="9"/>
      <c r="AG979" s="9"/>
      <c r="AH979" s="9"/>
      <c r="AI979" s="9"/>
    </row>
    <row r="980" ht="15.75" customHeight="1">
      <c r="A980" s="9"/>
      <c r="B980" s="9"/>
      <c r="C980" s="9"/>
      <c r="D980" s="9"/>
      <c r="E980" s="67"/>
      <c r="F980" s="68"/>
      <c r="G980" s="68"/>
      <c r="H980" s="69"/>
      <c r="I980" s="69"/>
      <c r="J980" s="69"/>
      <c r="K980" s="69"/>
      <c r="L980" s="69"/>
      <c r="M980" s="71"/>
      <c r="N980" s="69"/>
      <c r="O980" s="23"/>
      <c r="P980" s="23"/>
      <c r="Q980" s="9"/>
      <c r="R980" s="9"/>
      <c r="S980" s="9"/>
      <c r="T980" s="9"/>
      <c r="U980" s="9"/>
      <c r="V980" s="9"/>
      <c r="W980" s="9"/>
      <c r="X980" s="9"/>
      <c r="Y980" s="9"/>
      <c r="Z980" s="9"/>
      <c r="AA980" s="9"/>
      <c r="AB980" s="9"/>
      <c r="AC980" s="9"/>
      <c r="AD980" s="25"/>
      <c r="AE980" s="25"/>
      <c r="AF980" s="9"/>
      <c r="AG980" s="9"/>
      <c r="AH980" s="9"/>
      <c r="AI980" s="9"/>
    </row>
    <row r="981" ht="15.75" customHeight="1">
      <c r="A981" s="9"/>
      <c r="B981" s="9"/>
      <c r="C981" s="9"/>
      <c r="D981" s="9"/>
      <c r="E981" s="67"/>
      <c r="F981" s="68"/>
      <c r="G981" s="68"/>
      <c r="H981" s="69"/>
      <c r="I981" s="69"/>
      <c r="J981" s="69"/>
      <c r="K981" s="69"/>
      <c r="L981" s="69"/>
      <c r="M981" s="71"/>
      <c r="N981" s="69"/>
      <c r="O981" s="23"/>
      <c r="P981" s="23"/>
      <c r="Q981" s="9"/>
      <c r="R981" s="9"/>
      <c r="S981" s="9"/>
      <c r="T981" s="9"/>
      <c r="U981" s="9"/>
      <c r="V981" s="9"/>
      <c r="W981" s="9"/>
      <c r="X981" s="9"/>
      <c r="Y981" s="9"/>
      <c r="Z981" s="9"/>
      <c r="AA981" s="9"/>
      <c r="AB981" s="9"/>
      <c r="AC981" s="9"/>
      <c r="AD981" s="25"/>
      <c r="AE981" s="25"/>
      <c r="AF981" s="9"/>
      <c r="AG981" s="9"/>
      <c r="AH981" s="9"/>
      <c r="AI981" s="9"/>
    </row>
    <row r="982" ht="15.75" customHeight="1">
      <c r="A982" s="9"/>
      <c r="B982" s="9"/>
      <c r="C982" s="9"/>
      <c r="D982" s="9"/>
      <c r="E982" s="67"/>
      <c r="F982" s="68"/>
      <c r="G982" s="68"/>
      <c r="H982" s="69"/>
      <c r="I982" s="69"/>
      <c r="J982" s="69"/>
      <c r="K982" s="69"/>
      <c r="L982" s="69"/>
      <c r="M982" s="70"/>
      <c r="N982" s="69"/>
      <c r="O982" s="23"/>
      <c r="P982" s="23"/>
      <c r="Q982" s="9"/>
      <c r="R982" s="9"/>
      <c r="S982" s="9"/>
      <c r="T982" s="9"/>
      <c r="U982" s="9"/>
      <c r="V982" s="9"/>
      <c r="W982" s="9"/>
      <c r="X982" s="9"/>
      <c r="Y982" s="9"/>
      <c r="Z982" s="9"/>
      <c r="AA982" s="9"/>
      <c r="AB982" s="9"/>
      <c r="AC982" s="9"/>
      <c r="AD982" s="25"/>
      <c r="AE982" s="25"/>
      <c r="AF982" s="9"/>
      <c r="AG982" s="9"/>
      <c r="AH982" s="9"/>
      <c r="AI982" s="9"/>
    </row>
    <row r="983" ht="15.75" customHeight="1">
      <c r="A983" s="9"/>
      <c r="B983" s="9"/>
      <c r="C983" s="9"/>
      <c r="D983" s="9"/>
      <c r="E983" s="67"/>
      <c r="F983" s="68"/>
      <c r="G983" s="68"/>
      <c r="H983" s="69"/>
      <c r="I983" s="69"/>
      <c r="J983" s="69"/>
      <c r="K983" s="69"/>
      <c r="L983" s="69"/>
      <c r="M983" s="70"/>
      <c r="N983" s="69"/>
      <c r="O983" s="23"/>
      <c r="P983" s="23"/>
      <c r="Q983" s="9"/>
      <c r="R983" s="9"/>
      <c r="S983" s="9"/>
      <c r="T983" s="9"/>
      <c r="U983" s="9"/>
      <c r="V983" s="9"/>
      <c r="W983" s="9"/>
      <c r="X983" s="9"/>
      <c r="Y983" s="9"/>
      <c r="Z983" s="9"/>
      <c r="AA983" s="9"/>
      <c r="AB983" s="9"/>
      <c r="AC983" s="9"/>
      <c r="AD983" s="25"/>
      <c r="AE983" s="25"/>
      <c r="AF983" s="9"/>
      <c r="AG983" s="9"/>
      <c r="AH983" s="9"/>
      <c r="AI983" s="9"/>
    </row>
    <row r="984" ht="15.75" customHeight="1">
      <c r="A984" s="9"/>
      <c r="B984" s="9"/>
      <c r="C984" s="9"/>
      <c r="D984" s="9"/>
      <c r="E984" s="67"/>
      <c r="F984" s="68"/>
      <c r="G984" s="68"/>
      <c r="H984" s="69"/>
      <c r="I984" s="69"/>
      <c r="J984" s="69"/>
      <c r="K984" s="69"/>
      <c r="L984" s="69"/>
      <c r="M984" s="70"/>
      <c r="N984" s="69"/>
      <c r="O984" s="23"/>
      <c r="P984" s="23"/>
      <c r="Q984" s="9"/>
      <c r="R984" s="9"/>
      <c r="S984" s="9"/>
      <c r="T984" s="9"/>
      <c r="U984" s="9"/>
      <c r="V984" s="9"/>
      <c r="W984" s="9"/>
      <c r="X984" s="9"/>
      <c r="Y984" s="9"/>
      <c r="Z984" s="9"/>
      <c r="AA984" s="9"/>
      <c r="AB984" s="9"/>
      <c r="AC984" s="9"/>
      <c r="AD984" s="25"/>
      <c r="AE984" s="25"/>
      <c r="AF984" s="9"/>
      <c r="AG984" s="9"/>
      <c r="AH984" s="9"/>
      <c r="AI984" s="9"/>
    </row>
    <row r="985" ht="15.75" customHeight="1">
      <c r="A985" s="9"/>
      <c r="B985" s="9"/>
      <c r="C985" s="9"/>
      <c r="D985" s="9"/>
      <c r="E985" s="67"/>
      <c r="F985" s="68"/>
      <c r="G985" s="68"/>
      <c r="H985" s="69"/>
      <c r="I985" s="69"/>
      <c r="J985" s="69"/>
      <c r="K985" s="69"/>
      <c r="L985" s="69"/>
      <c r="M985" s="69"/>
      <c r="N985" s="69"/>
      <c r="O985" s="23"/>
      <c r="P985" s="23"/>
      <c r="Q985" s="9"/>
      <c r="R985" s="9"/>
      <c r="S985" s="9"/>
      <c r="T985" s="9"/>
      <c r="U985" s="9"/>
      <c r="V985" s="9"/>
      <c r="W985" s="9"/>
      <c r="X985" s="9"/>
      <c r="Y985" s="9"/>
      <c r="Z985" s="9"/>
      <c r="AA985" s="9"/>
      <c r="AB985" s="9"/>
      <c r="AC985" s="9"/>
      <c r="AD985" s="25"/>
      <c r="AE985" s="25"/>
      <c r="AF985" s="9"/>
      <c r="AG985" s="9"/>
      <c r="AH985" s="9"/>
      <c r="AI985" s="9"/>
    </row>
    <row r="986" ht="15.75" customHeight="1">
      <c r="A986" s="9"/>
      <c r="B986" s="9"/>
      <c r="C986" s="9"/>
      <c r="D986" s="9"/>
      <c r="E986" s="67"/>
      <c r="F986" s="68"/>
      <c r="G986" s="68"/>
      <c r="H986" s="69"/>
      <c r="I986" s="69"/>
      <c r="J986" s="69"/>
      <c r="K986" s="69"/>
      <c r="L986" s="69"/>
      <c r="M986" s="70"/>
      <c r="N986" s="69"/>
      <c r="O986" s="23"/>
      <c r="P986" s="23"/>
      <c r="Q986" s="9"/>
      <c r="R986" s="9"/>
      <c r="S986" s="9"/>
      <c r="T986" s="9"/>
      <c r="U986" s="9"/>
      <c r="V986" s="9"/>
      <c r="W986" s="9"/>
      <c r="X986" s="9"/>
      <c r="Y986" s="9"/>
      <c r="Z986" s="9"/>
      <c r="AA986" s="9"/>
      <c r="AB986" s="9"/>
      <c r="AC986" s="9"/>
      <c r="AD986" s="25"/>
      <c r="AE986" s="25"/>
      <c r="AF986" s="9"/>
      <c r="AG986" s="9"/>
      <c r="AH986" s="9"/>
      <c r="AI986" s="9"/>
    </row>
    <row r="987" ht="15.75" customHeight="1">
      <c r="A987" s="9"/>
      <c r="B987" s="9"/>
      <c r="C987" s="9"/>
      <c r="D987" s="9"/>
      <c r="E987" s="67"/>
      <c r="F987" s="68"/>
      <c r="G987" s="68"/>
      <c r="H987" s="69"/>
      <c r="I987" s="69"/>
      <c r="J987" s="69"/>
      <c r="K987" s="69"/>
      <c r="L987" s="69"/>
      <c r="M987" s="70"/>
      <c r="N987" s="69"/>
      <c r="O987" s="23"/>
      <c r="P987" s="23"/>
      <c r="Q987" s="9"/>
      <c r="R987" s="9"/>
      <c r="S987" s="9"/>
      <c r="T987" s="9"/>
      <c r="U987" s="9"/>
      <c r="V987" s="9"/>
      <c r="W987" s="9"/>
      <c r="X987" s="9"/>
      <c r="Y987" s="9"/>
      <c r="Z987" s="9"/>
      <c r="AA987" s="9"/>
      <c r="AB987" s="9"/>
      <c r="AC987" s="9"/>
      <c r="AD987" s="25"/>
      <c r="AE987" s="25"/>
      <c r="AF987" s="9"/>
      <c r="AG987" s="9"/>
      <c r="AH987" s="9"/>
      <c r="AI987" s="9"/>
    </row>
    <row r="988" ht="15.75" customHeight="1">
      <c r="A988" s="9"/>
      <c r="B988" s="9"/>
      <c r="C988" s="9"/>
      <c r="D988" s="9"/>
      <c r="E988" s="67"/>
      <c r="F988" s="68"/>
      <c r="G988" s="68"/>
      <c r="H988" s="69"/>
      <c r="I988" s="69"/>
      <c r="J988" s="69"/>
      <c r="K988" s="69"/>
      <c r="L988" s="69"/>
      <c r="M988" s="69"/>
      <c r="N988" s="69"/>
      <c r="O988" s="23"/>
      <c r="P988" s="23"/>
      <c r="Q988" s="9"/>
      <c r="R988" s="9"/>
      <c r="S988" s="9"/>
      <c r="T988" s="9"/>
      <c r="U988" s="9"/>
      <c r="V988" s="9"/>
      <c r="W988" s="9"/>
      <c r="X988" s="9"/>
      <c r="Y988" s="9"/>
      <c r="Z988" s="9"/>
      <c r="AA988" s="9"/>
      <c r="AB988" s="9"/>
      <c r="AC988" s="9"/>
      <c r="AD988" s="25"/>
      <c r="AE988" s="25"/>
      <c r="AF988" s="9"/>
      <c r="AG988" s="9"/>
      <c r="AH988" s="9"/>
      <c r="AI988" s="9"/>
    </row>
    <row r="989" ht="15.75" customHeight="1">
      <c r="A989" s="9"/>
      <c r="B989" s="9"/>
      <c r="C989" s="9"/>
      <c r="D989" s="9"/>
      <c r="E989" s="67"/>
      <c r="F989" s="68"/>
      <c r="G989" s="68"/>
      <c r="H989" s="69"/>
      <c r="I989" s="69"/>
      <c r="J989" s="69"/>
      <c r="K989" s="69"/>
      <c r="L989" s="69"/>
      <c r="M989" s="71"/>
      <c r="N989" s="69"/>
      <c r="O989" s="23"/>
      <c r="P989" s="23"/>
      <c r="Q989" s="9"/>
      <c r="R989" s="9"/>
      <c r="S989" s="9"/>
      <c r="T989" s="9"/>
      <c r="U989" s="9"/>
      <c r="V989" s="9"/>
      <c r="W989" s="9"/>
      <c r="X989" s="9"/>
      <c r="Y989" s="9"/>
      <c r="Z989" s="9"/>
      <c r="AA989" s="9"/>
      <c r="AB989" s="9"/>
      <c r="AC989" s="9"/>
      <c r="AD989" s="25"/>
      <c r="AE989" s="25"/>
      <c r="AF989" s="9"/>
      <c r="AG989" s="9"/>
      <c r="AH989" s="9"/>
      <c r="AI989" s="9"/>
    </row>
    <row r="990" ht="15.75" customHeight="1">
      <c r="A990" s="9"/>
      <c r="B990" s="9"/>
      <c r="C990" s="9"/>
      <c r="D990" s="9"/>
      <c r="E990" s="67"/>
      <c r="F990" s="68"/>
      <c r="G990" s="68"/>
      <c r="H990" s="69"/>
      <c r="I990" s="69"/>
      <c r="J990" s="69"/>
      <c r="K990" s="69"/>
      <c r="L990" s="69"/>
      <c r="M990" s="71"/>
      <c r="N990" s="69"/>
      <c r="O990" s="23"/>
      <c r="P990" s="23"/>
      <c r="Q990" s="9"/>
      <c r="R990" s="9"/>
      <c r="S990" s="9"/>
      <c r="T990" s="9"/>
      <c r="U990" s="9"/>
      <c r="V990" s="9"/>
      <c r="W990" s="9"/>
      <c r="X990" s="9"/>
      <c r="Y990" s="9"/>
      <c r="Z990" s="9"/>
      <c r="AA990" s="9"/>
      <c r="AB990" s="9"/>
      <c r="AC990" s="9"/>
      <c r="AD990" s="25"/>
      <c r="AE990" s="25"/>
      <c r="AF990" s="9"/>
      <c r="AG990" s="9"/>
      <c r="AH990" s="9"/>
      <c r="AI990" s="9"/>
    </row>
    <row r="991" ht="15.75" customHeight="1">
      <c r="A991" s="9"/>
      <c r="B991" s="9"/>
      <c r="C991" s="9"/>
      <c r="D991" s="9"/>
      <c r="E991" s="67"/>
      <c r="F991" s="68"/>
      <c r="G991" s="68"/>
      <c r="H991" s="69"/>
      <c r="I991" s="69"/>
      <c r="J991" s="69"/>
      <c r="K991" s="69"/>
      <c r="L991" s="69"/>
      <c r="M991" s="69"/>
      <c r="N991" s="69"/>
      <c r="O991" s="23"/>
      <c r="P991" s="23"/>
      <c r="Q991" s="9"/>
      <c r="R991" s="9"/>
      <c r="S991" s="9"/>
      <c r="T991" s="9"/>
      <c r="U991" s="9"/>
      <c r="V991" s="9"/>
      <c r="W991" s="9"/>
      <c r="X991" s="9"/>
      <c r="Y991" s="9"/>
      <c r="Z991" s="9"/>
      <c r="AA991" s="9"/>
      <c r="AB991" s="9"/>
      <c r="AC991" s="9"/>
      <c r="AD991" s="25"/>
      <c r="AE991" s="25"/>
      <c r="AF991" s="9"/>
      <c r="AG991" s="9"/>
      <c r="AH991" s="9"/>
      <c r="AI991" s="9"/>
    </row>
    <row r="992" ht="15.75" customHeight="1">
      <c r="A992" s="9"/>
      <c r="B992" s="9"/>
      <c r="C992" s="9"/>
      <c r="D992" s="9"/>
      <c r="E992" s="67"/>
      <c r="F992" s="68"/>
      <c r="G992" s="68"/>
      <c r="H992" s="69"/>
      <c r="I992" s="69"/>
      <c r="J992" s="69"/>
      <c r="K992" s="69"/>
      <c r="L992" s="69"/>
      <c r="M992" s="69"/>
      <c r="N992" s="69"/>
      <c r="O992" s="23"/>
      <c r="P992" s="23"/>
      <c r="Q992" s="9"/>
      <c r="R992" s="9"/>
      <c r="S992" s="9"/>
      <c r="T992" s="9"/>
      <c r="U992" s="9"/>
      <c r="V992" s="9"/>
      <c r="W992" s="9"/>
      <c r="X992" s="9"/>
      <c r="Y992" s="9"/>
      <c r="Z992" s="9"/>
      <c r="AA992" s="9"/>
      <c r="AB992" s="9"/>
      <c r="AC992" s="9"/>
      <c r="AD992" s="25"/>
      <c r="AE992" s="25"/>
      <c r="AF992" s="9"/>
      <c r="AG992" s="9"/>
      <c r="AH992" s="9"/>
      <c r="AI992" s="9"/>
    </row>
    <row r="993" ht="15.75" customHeight="1">
      <c r="A993" s="9"/>
      <c r="B993" s="9"/>
      <c r="C993" s="9"/>
      <c r="D993" s="9"/>
      <c r="E993" s="67"/>
      <c r="F993" s="68"/>
      <c r="G993" s="68"/>
      <c r="H993" s="69"/>
      <c r="I993" s="69"/>
      <c r="J993" s="69"/>
      <c r="K993" s="69"/>
      <c r="L993" s="69"/>
      <c r="M993" s="70"/>
      <c r="N993" s="69"/>
      <c r="O993" s="23"/>
      <c r="P993" s="23"/>
      <c r="Q993" s="9"/>
      <c r="R993" s="9"/>
      <c r="S993" s="9"/>
      <c r="T993" s="9"/>
      <c r="U993" s="9"/>
      <c r="V993" s="9"/>
      <c r="W993" s="9"/>
      <c r="X993" s="9"/>
      <c r="Y993" s="9"/>
      <c r="Z993" s="9"/>
      <c r="AA993" s="9"/>
      <c r="AB993" s="9"/>
      <c r="AC993" s="9"/>
      <c r="AD993" s="25"/>
      <c r="AE993" s="25"/>
      <c r="AF993" s="9"/>
      <c r="AG993" s="9"/>
      <c r="AH993" s="9"/>
      <c r="AI993" s="9"/>
    </row>
    <row r="994" ht="15.75" customHeight="1">
      <c r="A994" s="9"/>
      <c r="B994" s="9"/>
      <c r="C994" s="9"/>
      <c r="D994" s="9"/>
      <c r="E994" s="67"/>
      <c r="F994" s="68"/>
      <c r="G994" s="68"/>
      <c r="H994" s="69"/>
      <c r="I994" s="69"/>
      <c r="J994" s="69"/>
      <c r="K994" s="69"/>
      <c r="L994" s="69"/>
      <c r="M994" s="70"/>
      <c r="N994" s="69"/>
      <c r="O994" s="23"/>
      <c r="P994" s="23"/>
      <c r="Q994" s="9"/>
      <c r="R994" s="9"/>
      <c r="S994" s="9"/>
      <c r="T994" s="9"/>
      <c r="U994" s="9"/>
      <c r="V994" s="9"/>
      <c r="W994" s="9"/>
      <c r="X994" s="9"/>
      <c r="Y994" s="9"/>
      <c r="Z994" s="9"/>
      <c r="AA994" s="9"/>
      <c r="AB994" s="9"/>
      <c r="AC994" s="9"/>
      <c r="AD994" s="25"/>
      <c r="AE994" s="25"/>
      <c r="AF994" s="9"/>
      <c r="AG994" s="9"/>
      <c r="AH994" s="9"/>
      <c r="AI994" s="9"/>
    </row>
    <row r="995" ht="15.75" customHeight="1">
      <c r="A995" s="9"/>
      <c r="B995" s="9"/>
      <c r="C995" s="9"/>
      <c r="D995" s="9"/>
      <c r="E995" s="67"/>
      <c r="F995" s="68"/>
      <c r="G995" s="68"/>
      <c r="H995" s="69"/>
      <c r="I995" s="69"/>
      <c r="J995" s="69"/>
      <c r="K995" s="69"/>
      <c r="L995" s="69"/>
      <c r="M995" s="69"/>
      <c r="N995" s="69"/>
      <c r="O995" s="23"/>
      <c r="P995" s="23"/>
      <c r="Q995" s="9"/>
      <c r="R995" s="9"/>
      <c r="S995" s="9"/>
      <c r="T995" s="9"/>
      <c r="U995" s="9"/>
      <c r="V995" s="9"/>
      <c r="W995" s="9"/>
      <c r="X995" s="9"/>
      <c r="Y995" s="9"/>
      <c r="Z995" s="9"/>
      <c r="AA995" s="9"/>
      <c r="AB995" s="9"/>
      <c r="AC995" s="9"/>
      <c r="AD995" s="25"/>
      <c r="AE995" s="25"/>
      <c r="AF995" s="9"/>
      <c r="AG995" s="9"/>
      <c r="AH995" s="9"/>
      <c r="AI995" s="9"/>
    </row>
    <row r="996" ht="15.75" customHeight="1">
      <c r="A996" s="9"/>
      <c r="B996" s="9"/>
      <c r="C996" s="9"/>
      <c r="D996" s="9"/>
      <c r="E996" s="67"/>
      <c r="F996" s="68"/>
      <c r="G996" s="68"/>
      <c r="H996" s="69"/>
      <c r="I996" s="69"/>
      <c r="J996" s="69"/>
      <c r="K996" s="69"/>
      <c r="L996" s="69"/>
      <c r="M996" s="69"/>
      <c r="N996" s="69"/>
      <c r="O996" s="23"/>
      <c r="P996" s="23"/>
      <c r="Q996" s="9"/>
      <c r="R996" s="9"/>
      <c r="S996" s="9"/>
      <c r="T996" s="9"/>
      <c r="U996" s="9"/>
      <c r="V996" s="9"/>
      <c r="W996" s="9"/>
      <c r="X996" s="9"/>
      <c r="Y996" s="9"/>
      <c r="Z996" s="9"/>
      <c r="AA996" s="9"/>
      <c r="AB996" s="9"/>
      <c r="AC996" s="9"/>
      <c r="AD996" s="25"/>
      <c r="AE996" s="25"/>
      <c r="AF996" s="9"/>
      <c r="AG996" s="9"/>
      <c r="AH996" s="9"/>
      <c r="AI996" s="9"/>
    </row>
    <row r="997" ht="15.75" customHeight="1">
      <c r="A997" s="9"/>
      <c r="B997" s="9"/>
      <c r="C997" s="9"/>
      <c r="D997" s="9"/>
      <c r="E997" s="67"/>
      <c r="F997" s="68"/>
      <c r="G997" s="68"/>
      <c r="H997" s="69"/>
      <c r="I997" s="69"/>
      <c r="J997" s="69"/>
      <c r="K997" s="69"/>
      <c r="L997" s="69"/>
      <c r="M997" s="70"/>
      <c r="N997" s="69"/>
      <c r="O997" s="23"/>
      <c r="P997" s="23"/>
      <c r="Q997" s="9"/>
      <c r="R997" s="9"/>
      <c r="S997" s="9"/>
      <c r="T997" s="9"/>
      <c r="U997" s="9"/>
      <c r="V997" s="9"/>
      <c r="W997" s="9"/>
      <c r="X997" s="9"/>
      <c r="Y997" s="9"/>
      <c r="Z997" s="9"/>
      <c r="AA997" s="9"/>
      <c r="AB997" s="9"/>
      <c r="AC997" s="9"/>
      <c r="AD997" s="25"/>
      <c r="AE997" s="25"/>
      <c r="AF997" s="9"/>
      <c r="AG997" s="9"/>
      <c r="AH997" s="9"/>
      <c r="AI997" s="9"/>
    </row>
    <row r="998" ht="15.75" customHeight="1">
      <c r="A998" s="9"/>
      <c r="B998" s="9"/>
      <c r="C998" s="9"/>
      <c r="D998" s="9"/>
      <c r="E998" s="67"/>
      <c r="F998" s="68"/>
      <c r="G998" s="68"/>
      <c r="H998" s="69"/>
      <c r="I998" s="69"/>
      <c r="J998" s="69"/>
      <c r="K998" s="69"/>
      <c r="L998" s="69"/>
      <c r="M998" s="70"/>
      <c r="N998" s="69"/>
      <c r="O998" s="23"/>
      <c r="P998" s="23"/>
      <c r="Q998" s="9"/>
      <c r="R998" s="9"/>
      <c r="S998" s="9"/>
      <c r="T998" s="9"/>
      <c r="U998" s="9"/>
      <c r="V998" s="9"/>
      <c r="W998" s="9"/>
      <c r="X998" s="9"/>
      <c r="Y998" s="9"/>
      <c r="Z998" s="9"/>
      <c r="AA998" s="9"/>
      <c r="AB998" s="9"/>
      <c r="AC998" s="9"/>
      <c r="AD998" s="25"/>
      <c r="AE998" s="25"/>
      <c r="AF998" s="9"/>
      <c r="AG998" s="9"/>
      <c r="AH998" s="9"/>
      <c r="AI998" s="9"/>
    </row>
    <row r="999" ht="15.75" customHeight="1">
      <c r="A999" s="9"/>
      <c r="B999" s="9"/>
      <c r="C999" s="9"/>
      <c r="D999" s="9"/>
      <c r="E999" s="67"/>
      <c r="F999" s="68"/>
      <c r="G999" s="68"/>
      <c r="H999" s="69"/>
      <c r="I999" s="69"/>
      <c r="J999" s="69"/>
      <c r="K999" s="69"/>
      <c r="L999" s="69"/>
      <c r="M999" s="70"/>
      <c r="N999" s="69"/>
      <c r="O999" s="23"/>
      <c r="P999" s="23"/>
      <c r="Q999" s="9"/>
      <c r="R999" s="9"/>
      <c r="S999" s="9"/>
      <c r="T999" s="9"/>
      <c r="U999" s="9"/>
      <c r="V999" s="9"/>
      <c r="W999" s="9"/>
      <c r="X999" s="9"/>
      <c r="Y999" s="9"/>
      <c r="Z999" s="9"/>
      <c r="AA999" s="9"/>
      <c r="AB999" s="9"/>
      <c r="AC999" s="9"/>
      <c r="AD999" s="25"/>
      <c r="AE999" s="25"/>
      <c r="AF999" s="9"/>
      <c r="AG999" s="9"/>
      <c r="AH999" s="9"/>
      <c r="AI999" s="9"/>
    </row>
    <row r="1000" ht="15.75" customHeight="1">
      <c r="A1000" s="9"/>
      <c r="B1000" s="9"/>
      <c r="C1000" s="9"/>
      <c r="D1000" s="9"/>
      <c r="E1000" s="67"/>
      <c r="F1000" s="68"/>
      <c r="G1000" s="68"/>
      <c r="H1000" s="69"/>
      <c r="I1000" s="69"/>
      <c r="J1000" s="69"/>
      <c r="K1000" s="69"/>
      <c r="L1000" s="69"/>
      <c r="M1000" s="70"/>
      <c r="N1000" s="69"/>
      <c r="O1000" s="23"/>
      <c r="P1000" s="23"/>
      <c r="Q1000" s="9"/>
      <c r="R1000" s="9"/>
      <c r="S1000" s="9"/>
      <c r="T1000" s="9"/>
      <c r="U1000" s="9"/>
      <c r="V1000" s="9"/>
      <c r="W1000" s="9"/>
      <c r="X1000" s="9"/>
      <c r="Y1000" s="9"/>
      <c r="Z1000" s="9"/>
      <c r="AA1000" s="9"/>
      <c r="AB1000" s="9"/>
      <c r="AC1000" s="9"/>
      <c r="AD1000" s="25"/>
      <c r="AE1000" s="25"/>
      <c r="AF1000" s="9"/>
      <c r="AG1000" s="9"/>
      <c r="AH1000" s="9"/>
      <c r="AI1000" s="9"/>
    </row>
    <row r="1001" ht="15.75" customHeight="1">
      <c r="A1001" s="9"/>
      <c r="B1001" s="9"/>
      <c r="C1001" s="9"/>
      <c r="D1001" s="9"/>
      <c r="E1001" s="67"/>
      <c r="F1001" s="68"/>
      <c r="G1001" s="68"/>
      <c r="H1001" s="69"/>
      <c r="I1001" s="69"/>
      <c r="J1001" s="69"/>
      <c r="K1001" s="69"/>
      <c r="L1001" s="69"/>
      <c r="M1001" s="71"/>
      <c r="N1001" s="69"/>
      <c r="O1001" s="23"/>
      <c r="P1001" s="23"/>
      <c r="Q1001" s="9"/>
      <c r="R1001" s="9"/>
      <c r="S1001" s="9"/>
      <c r="T1001" s="9"/>
      <c r="U1001" s="9"/>
      <c r="V1001" s="9"/>
      <c r="W1001" s="9"/>
      <c r="X1001" s="9"/>
      <c r="Y1001" s="9"/>
      <c r="Z1001" s="9"/>
      <c r="AA1001" s="9"/>
      <c r="AB1001" s="9"/>
      <c r="AC1001" s="9"/>
      <c r="AD1001" s="25"/>
      <c r="AE1001" s="25"/>
      <c r="AF1001" s="9"/>
      <c r="AG1001" s="9"/>
      <c r="AH1001" s="9"/>
      <c r="AI1001" s="9"/>
    </row>
    <row r="1002" ht="15.75" customHeight="1">
      <c r="A1002" s="9"/>
      <c r="B1002" s="9"/>
      <c r="C1002" s="9"/>
      <c r="D1002" s="9"/>
      <c r="E1002" s="67"/>
      <c r="F1002" s="68"/>
      <c r="G1002" s="68"/>
      <c r="H1002" s="69"/>
      <c r="I1002" s="69"/>
      <c r="J1002" s="69"/>
      <c r="K1002" s="69"/>
      <c r="L1002" s="69"/>
      <c r="M1002" s="71"/>
      <c r="N1002" s="69"/>
      <c r="O1002" s="23"/>
      <c r="P1002" s="23"/>
      <c r="Q1002" s="9"/>
      <c r="R1002" s="9"/>
      <c r="S1002" s="9"/>
      <c r="T1002" s="9"/>
      <c r="U1002" s="9"/>
      <c r="V1002" s="9"/>
      <c r="W1002" s="9"/>
      <c r="X1002" s="9"/>
      <c r="Y1002" s="9"/>
      <c r="Z1002" s="9"/>
      <c r="AA1002" s="9"/>
      <c r="AB1002" s="9"/>
      <c r="AC1002" s="9"/>
      <c r="AD1002" s="25"/>
      <c r="AE1002" s="25"/>
      <c r="AF1002" s="9"/>
      <c r="AG1002" s="9"/>
      <c r="AH1002" s="9"/>
      <c r="AI1002" s="9"/>
    </row>
    <row r="1003" ht="15.75" customHeight="1">
      <c r="A1003" s="9"/>
      <c r="B1003" s="9"/>
      <c r="C1003" s="9"/>
      <c r="D1003" s="9"/>
      <c r="E1003" s="67"/>
      <c r="F1003" s="68"/>
      <c r="G1003" s="68"/>
      <c r="H1003" s="69"/>
      <c r="I1003" s="69"/>
      <c r="J1003" s="69"/>
      <c r="K1003" s="69"/>
      <c r="L1003" s="69"/>
      <c r="M1003" s="71"/>
      <c r="N1003" s="69"/>
      <c r="O1003" s="23"/>
      <c r="P1003" s="23"/>
      <c r="Q1003" s="9"/>
      <c r="R1003" s="9"/>
      <c r="S1003" s="9"/>
      <c r="T1003" s="9"/>
      <c r="U1003" s="9"/>
      <c r="V1003" s="9"/>
      <c r="W1003" s="9"/>
      <c r="X1003" s="9"/>
      <c r="Y1003" s="9"/>
      <c r="Z1003" s="9"/>
      <c r="AA1003" s="9"/>
      <c r="AB1003" s="9"/>
      <c r="AC1003" s="9"/>
      <c r="AD1003" s="25"/>
      <c r="AE1003" s="25"/>
      <c r="AF1003" s="9"/>
      <c r="AG1003" s="9"/>
      <c r="AH1003" s="9"/>
      <c r="AI1003" s="9"/>
    </row>
    <row r="1004" ht="15.75" customHeight="1">
      <c r="A1004" s="9"/>
      <c r="B1004" s="9"/>
      <c r="C1004" s="9"/>
      <c r="D1004" s="9"/>
      <c r="E1004" s="67"/>
      <c r="F1004" s="68"/>
      <c r="G1004" s="68"/>
      <c r="H1004" s="69"/>
      <c r="I1004" s="69"/>
      <c r="J1004" s="69"/>
      <c r="K1004" s="69"/>
      <c r="L1004" s="69"/>
      <c r="M1004" s="69"/>
      <c r="N1004" s="69"/>
      <c r="O1004" s="23"/>
      <c r="P1004" s="23"/>
      <c r="Q1004" s="9"/>
      <c r="R1004" s="9"/>
      <c r="S1004" s="9"/>
      <c r="T1004" s="9"/>
      <c r="U1004" s="9"/>
      <c r="V1004" s="9"/>
      <c r="W1004" s="9"/>
      <c r="X1004" s="9"/>
      <c r="Y1004" s="9"/>
      <c r="Z1004" s="9"/>
      <c r="AA1004" s="9"/>
      <c r="AB1004" s="9"/>
      <c r="AC1004" s="9"/>
      <c r="AD1004" s="25"/>
      <c r="AE1004" s="25"/>
      <c r="AF1004" s="9"/>
      <c r="AG1004" s="9"/>
      <c r="AH1004" s="9"/>
      <c r="AI1004" s="9"/>
    </row>
    <row r="1005" ht="15.75" customHeight="1">
      <c r="A1005" s="9"/>
      <c r="B1005" s="9"/>
      <c r="C1005" s="9"/>
      <c r="D1005" s="9"/>
      <c r="E1005" s="67"/>
      <c r="F1005" s="68"/>
      <c r="G1005" s="68"/>
      <c r="H1005" s="69"/>
      <c r="I1005" s="69"/>
      <c r="J1005" s="69"/>
      <c r="K1005" s="69"/>
      <c r="L1005" s="69"/>
      <c r="M1005" s="70"/>
      <c r="N1005" s="69"/>
      <c r="O1005" s="23"/>
      <c r="P1005" s="23"/>
      <c r="Q1005" s="9"/>
      <c r="R1005" s="9"/>
      <c r="S1005" s="9"/>
      <c r="T1005" s="9"/>
      <c r="U1005" s="9"/>
      <c r="V1005" s="9"/>
      <c r="W1005" s="9"/>
      <c r="X1005" s="9"/>
      <c r="Y1005" s="9"/>
      <c r="Z1005" s="9"/>
      <c r="AA1005" s="9"/>
      <c r="AB1005" s="9"/>
      <c r="AC1005" s="9"/>
      <c r="AD1005" s="25"/>
      <c r="AE1005" s="25"/>
      <c r="AF1005" s="9"/>
      <c r="AG1005" s="9"/>
      <c r="AH1005" s="9"/>
      <c r="AI1005" s="9"/>
    </row>
    <row r="1006" ht="15.75" customHeight="1">
      <c r="A1006" s="9"/>
      <c r="B1006" s="9"/>
      <c r="C1006" s="9"/>
      <c r="D1006" s="9"/>
      <c r="E1006" s="67"/>
      <c r="F1006" s="68"/>
      <c r="G1006" s="68"/>
      <c r="H1006" s="69"/>
      <c r="I1006" s="69"/>
      <c r="J1006" s="69"/>
      <c r="K1006" s="69"/>
      <c r="L1006" s="69"/>
      <c r="M1006" s="70"/>
      <c r="N1006" s="69"/>
      <c r="O1006" s="23"/>
      <c r="P1006" s="23"/>
      <c r="Q1006" s="9"/>
      <c r="R1006" s="9"/>
      <c r="S1006" s="9"/>
      <c r="T1006" s="9"/>
      <c r="U1006" s="9"/>
      <c r="V1006" s="9"/>
      <c r="W1006" s="9"/>
      <c r="X1006" s="9"/>
      <c r="Y1006" s="9"/>
      <c r="Z1006" s="9"/>
      <c r="AA1006" s="9"/>
      <c r="AB1006" s="9"/>
      <c r="AC1006" s="9"/>
      <c r="AD1006" s="25"/>
      <c r="AE1006" s="25"/>
      <c r="AF1006" s="9"/>
      <c r="AG1006" s="9"/>
      <c r="AH1006" s="9"/>
      <c r="AI1006" s="9"/>
    </row>
    <row r="1007" ht="15.75" customHeight="1">
      <c r="A1007" s="9"/>
      <c r="B1007" s="9"/>
      <c r="C1007" s="9"/>
      <c r="D1007" s="9"/>
      <c r="E1007" s="67"/>
      <c r="F1007" s="68"/>
      <c r="G1007" s="68"/>
      <c r="H1007" s="69"/>
      <c r="I1007" s="69"/>
      <c r="J1007" s="69"/>
      <c r="K1007" s="69"/>
      <c r="L1007" s="69"/>
      <c r="M1007" s="70"/>
      <c r="N1007" s="69"/>
      <c r="O1007" s="23"/>
      <c r="P1007" s="23"/>
      <c r="Q1007" s="9"/>
      <c r="R1007" s="9"/>
      <c r="S1007" s="9"/>
      <c r="T1007" s="9"/>
      <c r="U1007" s="9"/>
      <c r="V1007" s="9"/>
      <c r="W1007" s="9"/>
      <c r="X1007" s="9"/>
      <c r="Y1007" s="9"/>
      <c r="Z1007" s="9"/>
      <c r="AA1007" s="9"/>
      <c r="AB1007" s="9"/>
      <c r="AC1007" s="9"/>
      <c r="AD1007" s="25"/>
      <c r="AE1007" s="25"/>
      <c r="AF1007" s="9"/>
      <c r="AG1007" s="9"/>
      <c r="AH1007" s="9"/>
      <c r="AI1007" s="9"/>
    </row>
    <row r="1008" ht="15.75" customHeight="1">
      <c r="A1008" s="9"/>
      <c r="B1008" s="9"/>
      <c r="C1008" s="9"/>
      <c r="D1008" s="9"/>
      <c r="E1008" s="67"/>
      <c r="F1008" s="68"/>
      <c r="G1008" s="68"/>
      <c r="H1008" s="69"/>
      <c r="I1008" s="69"/>
      <c r="J1008" s="69"/>
      <c r="K1008" s="69"/>
      <c r="L1008" s="69"/>
      <c r="M1008" s="70"/>
      <c r="N1008" s="69"/>
      <c r="O1008" s="23"/>
      <c r="P1008" s="23"/>
      <c r="Q1008" s="9"/>
      <c r="R1008" s="9"/>
      <c r="S1008" s="9"/>
      <c r="T1008" s="9"/>
      <c r="U1008" s="9"/>
      <c r="V1008" s="9"/>
      <c r="W1008" s="9"/>
      <c r="X1008" s="9"/>
      <c r="Y1008" s="9"/>
      <c r="Z1008" s="9"/>
      <c r="AA1008" s="9"/>
      <c r="AB1008" s="9"/>
      <c r="AC1008" s="9"/>
      <c r="AD1008" s="25"/>
      <c r="AE1008" s="25"/>
      <c r="AF1008" s="9"/>
      <c r="AG1008" s="9"/>
      <c r="AH1008" s="9"/>
      <c r="AI1008" s="9"/>
    </row>
    <row r="1009" ht="15.75" customHeight="1">
      <c r="A1009" s="9"/>
      <c r="B1009" s="9"/>
      <c r="C1009" s="9"/>
      <c r="D1009" s="9"/>
      <c r="E1009" s="67"/>
      <c r="F1009" s="68"/>
      <c r="G1009" s="68"/>
      <c r="H1009" s="69"/>
      <c r="I1009" s="69"/>
      <c r="J1009" s="69"/>
      <c r="K1009" s="69"/>
      <c r="L1009" s="69"/>
      <c r="M1009" s="70"/>
      <c r="N1009" s="69"/>
      <c r="O1009" s="23"/>
      <c r="P1009" s="23"/>
      <c r="Q1009" s="9"/>
      <c r="R1009" s="9"/>
      <c r="S1009" s="9"/>
      <c r="T1009" s="9"/>
      <c r="U1009" s="9"/>
      <c r="V1009" s="9"/>
      <c r="W1009" s="9"/>
      <c r="X1009" s="9"/>
      <c r="Y1009" s="9"/>
      <c r="Z1009" s="9"/>
      <c r="AA1009" s="9"/>
      <c r="AB1009" s="9"/>
      <c r="AC1009" s="9"/>
      <c r="AD1009" s="25"/>
      <c r="AE1009" s="25"/>
      <c r="AF1009" s="9"/>
      <c r="AG1009" s="9"/>
      <c r="AH1009" s="9"/>
      <c r="AI1009" s="9"/>
    </row>
    <row r="1010" ht="15.75" customHeight="1">
      <c r="A1010" s="9"/>
      <c r="B1010" s="9"/>
      <c r="C1010" s="9"/>
      <c r="D1010" s="9"/>
      <c r="E1010" s="67"/>
      <c r="F1010" s="68"/>
      <c r="G1010" s="68"/>
      <c r="H1010" s="69"/>
      <c r="I1010" s="69"/>
      <c r="J1010" s="69"/>
      <c r="K1010" s="69"/>
      <c r="L1010" s="69"/>
      <c r="M1010" s="70"/>
      <c r="N1010" s="69"/>
      <c r="O1010" s="23"/>
      <c r="P1010" s="23"/>
      <c r="Q1010" s="9"/>
      <c r="R1010" s="9"/>
      <c r="S1010" s="9"/>
      <c r="T1010" s="9"/>
      <c r="U1010" s="9"/>
      <c r="V1010" s="9"/>
      <c r="W1010" s="9"/>
      <c r="X1010" s="9"/>
      <c r="Y1010" s="9"/>
      <c r="Z1010" s="9"/>
      <c r="AA1010" s="9"/>
      <c r="AB1010" s="9"/>
      <c r="AC1010" s="9"/>
      <c r="AD1010" s="25"/>
      <c r="AE1010" s="25"/>
      <c r="AF1010" s="9"/>
      <c r="AG1010" s="9"/>
      <c r="AH1010" s="9"/>
      <c r="AI1010" s="9"/>
    </row>
    <row r="1011" ht="15.75" customHeight="1">
      <c r="A1011" s="9"/>
      <c r="B1011" s="9"/>
      <c r="C1011" s="9"/>
      <c r="D1011" s="9"/>
      <c r="E1011" s="67"/>
      <c r="F1011" s="68"/>
      <c r="G1011" s="68"/>
      <c r="H1011" s="69"/>
      <c r="I1011" s="69"/>
      <c r="J1011" s="69"/>
      <c r="K1011" s="69"/>
      <c r="L1011" s="69"/>
      <c r="M1011" s="70"/>
      <c r="N1011" s="69"/>
      <c r="O1011" s="23"/>
      <c r="P1011" s="23"/>
      <c r="Q1011" s="9"/>
      <c r="R1011" s="9"/>
      <c r="S1011" s="9"/>
      <c r="T1011" s="9"/>
      <c r="U1011" s="9"/>
      <c r="V1011" s="9"/>
      <c r="W1011" s="9"/>
      <c r="X1011" s="9"/>
      <c r="Y1011" s="9"/>
      <c r="Z1011" s="9"/>
      <c r="AA1011" s="9"/>
      <c r="AB1011" s="9"/>
      <c r="AC1011" s="9"/>
      <c r="AD1011" s="25"/>
      <c r="AE1011" s="25"/>
      <c r="AF1011" s="9"/>
      <c r="AG1011" s="9"/>
      <c r="AH1011" s="9"/>
      <c r="AI1011" s="9"/>
    </row>
    <row r="1012" ht="15.75" customHeight="1">
      <c r="A1012" s="9"/>
      <c r="B1012" s="9"/>
      <c r="C1012" s="9"/>
      <c r="D1012" s="9"/>
      <c r="E1012" s="67"/>
      <c r="F1012" s="68"/>
      <c r="G1012" s="68"/>
      <c r="H1012" s="69"/>
      <c r="I1012" s="69"/>
      <c r="J1012" s="69"/>
      <c r="K1012" s="69"/>
      <c r="L1012" s="69"/>
      <c r="M1012" s="69"/>
      <c r="N1012" s="69"/>
      <c r="O1012" s="23"/>
      <c r="P1012" s="23"/>
      <c r="Q1012" s="9"/>
      <c r="R1012" s="9"/>
      <c r="S1012" s="9"/>
      <c r="T1012" s="9"/>
      <c r="U1012" s="9"/>
      <c r="V1012" s="9"/>
      <c r="W1012" s="9"/>
      <c r="X1012" s="9"/>
      <c r="Y1012" s="9"/>
      <c r="Z1012" s="9"/>
      <c r="AA1012" s="9"/>
      <c r="AB1012" s="9"/>
      <c r="AC1012" s="9"/>
      <c r="AD1012" s="25"/>
      <c r="AE1012" s="25"/>
      <c r="AF1012" s="9"/>
      <c r="AG1012" s="9"/>
      <c r="AH1012" s="9"/>
      <c r="AI1012" s="9"/>
    </row>
    <row r="1013" ht="15.75" customHeight="1">
      <c r="A1013" s="9"/>
      <c r="B1013" s="9"/>
      <c r="C1013" s="9"/>
      <c r="D1013" s="9"/>
      <c r="E1013" s="67"/>
      <c r="F1013" s="68"/>
      <c r="G1013" s="68"/>
      <c r="H1013" s="69"/>
      <c r="I1013" s="69"/>
      <c r="J1013" s="69"/>
      <c r="K1013" s="69"/>
      <c r="L1013" s="69"/>
      <c r="M1013" s="70"/>
      <c r="N1013" s="69"/>
      <c r="O1013" s="23"/>
      <c r="P1013" s="23"/>
      <c r="Q1013" s="9"/>
      <c r="R1013" s="9"/>
      <c r="S1013" s="9"/>
      <c r="T1013" s="9"/>
      <c r="U1013" s="9"/>
      <c r="V1013" s="9"/>
      <c r="W1013" s="9"/>
      <c r="X1013" s="9"/>
      <c r="Y1013" s="9"/>
      <c r="Z1013" s="9"/>
      <c r="AA1013" s="9"/>
      <c r="AB1013" s="9"/>
      <c r="AC1013" s="9"/>
      <c r="AD1013" s="25"/>
      <c r="AE1013" s="25"/>
      <c r="AF1013" s="9"/>
      <c r="AG1013" s="9"/>
      <c r="AH1013" s="9"/>
      <c r="AI1013" s="9"/>
    </row>
    <row r="1014" ht="15.75" customHeight="1">
      <c r="A1014" s="9"/>
      <c r="B1014" s="9"/>
      <c r="C1014" s="9"/>
      <c r="D1014" s="9"/>
      <c r="E1014" s="67"/>
      <c r="F1014" s="68"/>
      <c r="G1014" s="68"/>
      <c r="H1014" s="69"/>
      <c r="I1014" s="69"/>
      <c r="J1014" s="69"/>
      <c r="K1014" s="69"/>
      <c r="L1014" s="69"/>
      <c r="M1014" s="70"/>
      <c r="N1014" s="69"/>
      <c r="O1014" s="23"/>
      <c r="P1014" s="23"/>
      <c r="Q1014" s="9"/>
      <c r="R1014" s="9"/>
      <c r="S1014" s="9"/>
      <c r="T1014" s="9"/>
      <c r="U1014" s="9"/>
      <c r="V1014" s="9"/>
      <c r="W1014" s="9"/>
      <c r="X1014" s="9"/>
      <c r="Y1014" s="9"/>
      <c r="Z1014" s="9"/>
      <c r="AA1014" s="9"/>
      <c r="AB1014" s="9"/>
      <c r="AC1014" s="9"/>
      <c r="AD1014" s="25"/>
      <c r="AE1014" s="25"/>
      <c r="AF1014" s="9"/>
      <c r="AG1014" s="9"/>
      <c r="AH1014" s="9"/>
      <c r="AI1014" s="9"/>
    </row>
    <row r="1015" ht="15.75" customHeight="1">
      <c r="A1015" s="9"/>
      <c r="B1015" s="9"/>
      <c r="C1015" s="9"/>
      <c r="D1015" s="9"/>
      <c r="E1015" s="67"/>
      <c r="F1015" s="68"/>
      <c r="G1015" s="68"/>
      <c r="H1015" s="69"/>
      <c r="I1015" s="69"/>
      <c r="J1015" s="69"/>
      <c r="K1015" s="69"/>
      <c r="L1015" s="69"/>
      <c r="M1015" s="69"/>
      <c r="N1015" s="69"/>
      <c r="O1015" s="23"/>
      <c r="P1015" s="23"/>
      <c r="Q1015" s="9"/>
      <c r="R1015" s="9"/>
      <c r="S1015" s="9"/>
      <c r="T1015" s="9"/>
      <c r="U1015" s="9"/>
      <c r="V1015" s="9"/>
      <c r="W1015" s="9"/>
      <c r="X1015" s="9"/>
      <c r="Y1015" s="9"/>
      <c r="Z1015" s="9"/>
      <c r="AA1015" s="9"/>
      <c r="AB1015" s="9"/>
      <c r="AC1015" s="9"/>
      <c r="AD1015" s="25"/>
      <c r="AE1015" s="25"/>
      <c r="AF1015" s="9"/>
      <c r="AG1015" s="9"/>
      <c r="AH1015" s="9"/>
      <c r="AI1015" s="9"/>
    </row>
    <row r="1016" ht="15.75" customHeight="1">
      <c r="A1016" s="9"/>
      <c r="B1016" s="9"/>
      <c r="C1016" s="9"/>
      <c r="D1016" s="9"/>
      <c r="E1016" s="67"/>
      <c r="F1016" s="68"/>
      <c r="G1016" s="68"/>
      <c r="H1016" s="69"/>
      <c r="I1016" s="69"/>
      <c r="J1016" s="69"/>
      <c r="K1016" s="69"/>
      <c r="L1016" s="69"/>
      <c r="M1016" s="69"/>
      <c r="N1016" s="69"/>
      <c r="O1016" s="23"/>
      <c r="P1016" s="23"/>
      <c r="Q1016" s="9"/>
      <c r="R1016" s="9"/>
      <c r="S1016" s="9"/>
      <c r="T1016" s="9"/>
      <c r="U1016" s="9"/>
      <c r="V1016" s="9"/>
      <c r="W1016" s="9"/>
      <c r="X1016" s="9"/>
      <c r="Y1016" s="9"/>
      <c r="Z1016" s="9"/>
      <c r="AA1016" s="9"/>
      <c r="AB1016" s="9"/>
      <c r="AC1016" s="9"/>
      <c r="AD1016" s="25"/>
      <c r="AE1016" s="25"/>
      <c r="AF1016" s="9"/>
      <c r="AG1016" s="9"/>
      <c r="AH1016" s="9"/>
      <c r="AI1016" s="9"/>
    </row>
    <row r="1017" ht="15.75" customHeight="1">
      <c r="A1017" s="9"/>
      <c r="B1017" s="9"/>
      <c r="C1017" s="9"/>
      <c r="D1017" s="9"/>
      <c r="E1017" s="67"/>
      <c r="F1017" s="68"/>
      <c r="G1017" s="68"/>
      <c r="H1017" s="69"/>
      <c r="I1017" s="69"/>
      <c r="J1017" s="69"/>
      <c r="K1017" s="69"/>
      <c r="L1017" s="69"/>
      <c r="M1017" s="71"/>
      <c r="N1017" s="69"/>
      <c r="O1017" s="23"/>
      <c r="P1017" s="23"/>
      <c r="Q1017" s="9"/>
      <c r="R1017" s="9"/>
      <c r="S1017" s="9"/>
      <c r="T1017" s="9"/>
      <c r="U1017" s="9"/>
      <c r="V1017" s="9"/>
      <c r="W1017" s="9"/>
      <c r="X1017" s="9"/>
      <c r="Y1017" s="9"/>
      <c r="Z1017" s="9"/>
      <c r="AA1017" s="9"/>
      <c r="AB1017" s="9"/>
      <c r="AC1017" s="9"/>
      <c r="AD1017" s="25"/>
      <c r="AE1017" s="25"/>
      <c r="AF1017" s="9"/>
      <c r="AG1017" s="9"/>
      <c r="AH1017" s="9"/>
      <c r="AI1017" s="9"/>
    </row>
    <row r="1018" ht="15.75" customHeight="1">
      <c r="A1018" s="9"/>
      <c r="B1018" s="9"/>
      <c r="C1018" s="9"/>
      <c r="D1018" s="9"/>
      <c r="E1018" s="67"/>
      <c r="F1018" s="68"/>
      <c r="G1018" s="68"/>
      <c r="H1018" s="69"/>
      <c r="I1018" s="69"/>
      <c r="J1018" s="69"/>
      <c r="K1018" s="69"/>
      <c r="L1018" s="69"/>
      <c r="M1018" s="71"/>
      <c r="N1018" s="69"/>
      <c r="O1018" s="23"/>
      <c r="P1018" s="23"/>
      <c r="Q1018" s="9"/>
      <c r="R1018" s="9"/>
      <c r="S1018" s="9"/>
      <c r="T1018" s="9"/>
      <c r="U1018" s="9"/>
      <c r="V1018" s="9"/>
      <c r="W1018" s="9"/>
      <c r="X1018" s="9"/>
      <c r="Y1018" s="9"/>
      <c r="Z1018" s="9"/>
      <c r="AA1018" s="9"/>
      <c r="AB1018" s="9"/>
      <c r="AC1018" s="9"/>
      <c r="AD1018" s="25"/>
      <c r="AE1018" s="25"/>
      <c r="AF1018" s="9"/>
      <c r="AG1018" s="9"/>
      <c r="AH1018" s="9"/>
      <c r="AI1018" s="9"/>
    </row>
    <row r="1019" ht="15.75" customHeight="1">
      <c r="A1019" s="9"/>
      <c r="B1019" s="9"/>
      <c r="C1019" s="9"/>
      <c r="D1019" s="9"/>
      <c r="E1019" s="67"/>
      <c r="F1019" s="68"/>
      <c r="G1019" s="68"/>
      <c r="H1019" s="69"/>
      <c r="I1019" s="69"/>
      <c r="J1019" s="69"/>
      <c r="K1019" s="69"/>
      <c r="L1019" s="69"/>
      <c r="M1019" s="70"/>
      <c r="N1019" s="69"/>
      <c r="O1019" s="23"/>
      <c r="P1019" s="23"/>
      <c r="Q1019" s="9"/>
      <c r="R1019" s="9"/>
      <c r="S1019" s="9"/>
      <c r="T1019" s="9"/>
      <c r="U1019" s="9"/>
      <c r="V1019" s="9"/>
      <c r="W1019" s="9"/>
      <c r="X1019" s="9"/>
      <c r="Y1019" s="9"/>
      <c r="Z1019" s="9"/>
      <c r="AA1019" s="9"/>
      <c r="AB1019" s="9"/>
      <c r="AC1019" s="9"/>
      <c r="AD1019" s="25"/>
      <c r="AE1019" s="25"/>
      <c r="AF1019" s="9"/>
      <c r="AG1019" s="9"/>
      <c r="AH1019" s="9"/>
      <c r="AI1019" s="9"/>
    </row>
    <row r="1020" ht="15.75" customHeight="1">
      <c r="A1020" s="9"/>
      <c r="B1020" s="9"/>
      <c r="C1020" s="9"/>
      <c r="D1020" s="9"/>
      <c r="E1020" s="67"/>
      <c r="F1020" s="68"/>
      <c r="G1020" s="68"/>
      <c r="H1020" s="69"/>
      <c r="I1020" s="69"/>
      <c r="J1020" s="69"/>
      <c r="K1020" s="69"/>
      <c r="L1020" s="69"/>
      <c r="M1020" s="70"/>
      <c r="N1020" s="69"/>
      <c r="O1020" s="23"/>
      <c r="P1020" s="23"/>
      <c r="Q1020" s="9"/>
      <c r="R1020" s="9"/>
      <c r="S1020" s="9"/>
      <c r="T1020" s="9"/>
      <c r="U1020" s="9"/>
      <c r="V1020" s="9"/>
      <c r="W1020" s="9"/>
      <c r="X1020" s="9"/>
      <c r="Y1020" s="9"/>
      <c r="Z1020" s="9"/>
      <c r="AA1020" s="9"/>
      <c r="AB1020" s="9"/>
      <c r="AC1020" s="9"/>
      <c r="AD1020" s="25"/>
      <c r="AE1020" s="25"/>
      <c r="AF1020" s="9"/>
      <c r="AG1020" s="9"/>
      <c r="AH1020" s="9"/>
      <c r="AI1020" s="9"/>
    </row>
    <row r="1021" ht="15.75" customHeight="1">
      <c r="A1021" s="9"/>
      <c r="B1021" s="9"/>
      <c r="C1021" s="9"/>
      <c r="D1021" s="9"/>
      <c r="E1021" s="67"/>
      <c r="F1021" s="68"/>
      <c r="G1021" s="68"/>
      <c r="H1021" s="69"/>
      <c r="I1021" s="69"/>
      <c r="J1021" s="69"/>
      <c r="K1021" s="69"/>
      <c r="L1021" s="69"/>
      <c r="M1021" s="70"/>
      <c r="N1021" s="69"/>
      <c r="O1021" s="23"/>
      <c r="P1021" s="23"/>
      <c r="Q1021" s="9"/>
      <c r="R1021" s="9"/>
      <c r="S1021" s="9"/>
      <c r="T1021" s="9"/>
      <c r="U1021" s="9"/>
      <c r="V1021" s="9"/>
      <c r="W1021" s="9"/>
      <c r="X1021" s="9"/>
      <c r="Y1021" s="9"/>
      <c r="Z1021" s="9"/>
      <c r="AA1021" s="9"/>
      <c r="AB1021" s="9"/>
      <c r="AC1021" s="9"/>
      <c r="AD1021" s="25"/>
      <c r="AE1021" s="25"/>
      <c r="AF1021" s="9"/>
      <c r="AG1021" s="9"/>
      <c r="AH1021" s="9"/>
      <c r="AI1021" s="9"/>
    </row>
    <row r="1022" ht="15.75" customHeight="1">
      <c r="A1022" s="9"/>
      <c r="B1022" s="9"/>
      <c r="C1022" s="9"/>
      <c r="D1022" s="9"/>
      <c r="E1022" s="67"/>
      <c r="F1022" s="68"/>
      <c r="G1022" s="68"/>
      <c r="H1022" s="69"/>
      <c r="I1022" s="69"/>
      <c r="J1022" s="69"/>
      <c r="K1022" s="69"/>
      <c r="L1022" s="69"/>
      <c r="M1022" s="70"/>
      <c r="N1022" s="69"/>
      <c r="O1022" s="23"/>
      <c r="P1022" s="23"/>
      <c r="Q1022" s="9"/>
      <c r="R1022" s="9"/>
      <c r="S1022" s="9"/>
      <c r="T1022" s="9"/>
      <c r="U1022" s="9"/>
      <c r="V1022" s="9"/>
      <c r="W1022" s="9"/>
      <c r="X1022" s="9"/>
      <c r="Y1022" s="9"/>
      <c r="Z1022" s="9"/>
      <c r="AA1022" s="9"/>
      <c r="AB1022" s="9"/>
      <c r="AC1022" s="9"/>
      <c r="AD1022" s="25"/>
      <c r="AE1022" s="25"/>
      <c r="AF1022" s="9"/>
      <c r="AG1022" s="9"/>
      <c r="AH1022" s="9"/>
      <c r="AI1022" s="9"/>
    </row>
    <row r="1023" ht="15.75" customHeight="1">
      <c r="A1023" s="9"/>
      <c r="B1023" s="9"/>
      <c r="C1023" s="9"/>
      <c r="D1023" s="9"/>
      <c r="E1023" s="67"/>
      <c r="F1023" s="68"/>
      <c r="G1023" s="68"/>
      <c r="H1023" s="69"/>
      <c r="I1023" s="69"/>
      <c r="J1023" s="69"/>
      <c r="K1023" s="69"/>
      <c r="L1023" s="69"/>
      <c r="M1023" s="70"/>
      <c r="N1023" s="69"/>
      <c r="O1023" s="23"/>
      <c r="P1023" s="23"/>
      <c r="Q1023" s="9"/>
      <c r="R1023" s="9"/>
      <c r="S1023" s="9"/>
      <c r="T1023" s="9"/>
      <c r="U1023" s="9"/>
      <c r="V1023" s="9"/>
      <c r="W1023" s="9"/>
      <c r="X1023" s="9"/>
      <c r="Y1023" s="9"/>
      <c r="Z1023" s="9"/>
      <c r="AA1023" s="9"/>
      <c r="AB1023" s="9"/>
      <c r="AC1023" s="9"/>
      <c r="AD1023" s="25"/>
      <c r="AE1023" s="25"/>
      <c r="AF1023" s="9"/>
      <c r="AG1023" s="9"/>
      <c r="AH1023" s="9"/>
      <c r="AI1023" s="9"/>
    </row>
    <row r="1024" ht="15.75" customHeight="1">
      <c r="A1024" s="9"/>
      <c r="B1024" s="9"/>
      <c r="C1024" s="9"/>
      <c r="D1024" s="9"/>
      <c r="E1024" s="67"/>
      <c r="F1024" s="68"/>
      <c r="G1024" s="68"/>
      <c r="H1024" s="69"/>
      <c r="I1024" s="69"/>
      <c r="J1024" s="69"/>
      <c r="K1024" s="69"/>
      <c r="L1024" s="69"/>
      <c r="M1024" s="71"/>
      <c r="N1024" s="69"/>
      <c r="O1024" s="23"/>
      <c r="P1024" s="23"/>
      <c r="Q1024" s="9"/>
      <c r="R1024" s="9"/>
      <c r="S1024" s="9"/>
      <c r="T1024" s="9"/>
      <c r="U1024" s="9"/>
      <c r="V1024" s="9"/>
      <c r="W1024" s="9"/>
      <c r="X1024" s="9"/>
      <c r="Y1024" s="9"/>
      <c r="Z1024" s="9"/>
      <c r="AA1024" s="9"/>
      <c r="AB1024" s="9"/>
      <c r="AC1024" s="9"/>
      <c r="AD1024" s="25"/>
      <c r="AE1024" s="25"/>
      <c r="AF1024" s="9"/>
      <c r="AG1024" s="9"/>
      <c r="AH1024" s="9"/>
      <c r="AI1024" s="9"/>
    </row>
    <row r="1025" ht="15.75" customHeight="1">
      <c r="A1025" s="9"/>
      <c r="B1025" s="9"/>
      <c r="C1025" s="9"/>
      <c r="D1025" s="9"/>
      <c r="E1025" s="67"/>
      <c r="F1025" s="68"/>
      <c r="G1025" s="68"/>
      <c r="H1025" s="69"/>
      <c r="I1025" s="69"/>
      <c r="J1025" s="69"/>
      <c r="K1025" s="69"/>
      <c r="L1025" s="69"/>
      <c r="M1025" s="71"/>
      <c r="N1025" s="69"/>
      <c r="O1025" s="23"/>
      <c r="P1025" s="23"/>
      <c r="Q1025" s="9"/>
      <c r="R1025" s="9"/>
      <c r="S1025" s="9"/>
      <c r="T1025" s="9"/>
      <c r="U1025" s="9"/>
      <c r="V1025" s="9"/>
      <c r="W1025" s="9"/>
      <c r="X1025" s="9"/>
      <c r="Y1025" s="9"/>
      <c r="Z1025" s="9"/>
      <c r="AA1025" s="9"/>
      <c r="AB1025" s="9"/>
      <c r="AC1025" s="9"/>
      <c r="AD1025" s="25"/>
      <c r="AE1025" s="25"/>
      <c r="AF1025" s="9"/>
      <c r="AG1025" s="9"/>
      <c r="AH1025" s="9"/>
      <c r="AI1025" s="9"/>
    </row>
    <row r="1026" ht="15.75" customHeight="1">
      <c r="A1026" s="9"/>
      <c r="B1026" s="9"/>
      <c r="C1026" s="9"/>
      <c r="D1026" s="9"/>
      <c r="E1026" s="67"/>
      <c r="F1026" s="68"/>
      <c r="G1026" s="68"/>
      <c r="H1026" s="69"/>
      <c r="I1026" s="69"/>
      <c r="J1026" s="69"/>
      <c r="K1026" s="69"/>
      <c r="L1026" s="69"/>
      <c r="M1026" s="70"/>
      <c r="N1026" s="69"/>
      <c r="O1026" s="23"/>
      <c r="P1026" s="23"/>
      <c r="Q1026" s="9"/>
      <c r="R1026" s="9"/>
      <c r="S1026" s="9"/>
      <c r="T1026" s="9"/>
      <c r="U1026" s="9"/>
      <c r="V1026" s="9"/>
      <c r="W1026" s="9"/>
      <c r="X1026" s="9"/>
      <c r="Y1026" s="9"/>
      <c r="Z1026" s="9"/>
      <c r="AA1026" s="9"/>
      <c r="AB1026" s="9"/>
      <c r="AC1026" s="9"/>
      <c r="AD1026" s="25"/>
      <c r="AE1026" s="25"/>
      <c r="AF1026" s="9"/>
      <c r="AG1026" s="9"/>
      <c r="AH1026" s="9"/>
      <c r="AI1026" s="9"/>
    </row>
    <row r="1027" ht="15.75" customHeight="1">
      <c r="A1027" s="9"/>
      <c r="B1027" s="9"/>
      <c r="C1027" s="9"/>
      <c r="D1027" s="9"/>
      <c r="E1027" s="67"/>
      <c r="F1027" s="68"/>
      <c r="G1027" s="68"/>
      <c r="H1027" s="69"/>
      <c r="I1027" s="69"/>
      <c r="J1027" s="69"/>
      <c r="K1027" s="69"/>
      <c r="L1027" s="69"/>
      <c r="M1027" s="70"/>
      <c r="N1027" s="69"/>
      <c r="O1027" s="23"/>
      <c r="P1027" s="23"/>
      <c r="Q1027" s="9"/>
      <c r="R1027" s="9"/>
      <c r="S1027" s="9"/>
      <c r="T1027" s="9"/>
      <c r="U1027" s="9"/>
      <c r="V1027" s="9"/>
      <c r="W1027" s="9"/>
      <c r="X1027" s="9"/>
      <c r="Y1027" s="9"/>
      <c r="Z1027" s="9"/>
      <c r="AA1027" s="9"/>
      <c r="AB1027" s="9"/>
      <c r="AC1027" s="9"/>
      <c r="AD1027" s="25"/>
      <c r="AE1027" s="25"/>
      <c r="AF1027" s="9"/>
      <c r="AG1027" s="9"/>
      <c r="AH1027" s="9"/>
      <c r="AI1027" s="9"/>
    </row>
    <row r="1028" ht="15.75" customHeight="1">
      <c r="A1028" s="9"/>
      <c r="B1028" s="9"/>
      <c r="C1028" s="9"/>
      <c r="D1028" s="9"/>
      <c r="E1028" s="67"/>
      <c r="F1028" s="68"/>
      <c r="G1028" s="68"/>
      <c r="H1028" s="69"/>
      <c r="I1028" s="69"/>
      <c r="J1028" s="69"/>
      <c r="K1028" s="69"/>
      <c r="L1028" s="69"/>
      <c r="M1028" s="69"/>
      <c r="N1028" s="69"/>
      <c r="O1028" s="23"/>
      <c r="P1028" s="23"/>
      <c r="Q1028" s="9"/>
      <c r="R1028" s="9"/>
      <c r="S1028" s="9"/>
      <c r="T1028" s="9"/>
      <c r="U1028" s="9"/>
      <c r="V1028" s="9"/>
      <c r="W1028" s="9"/>
      <c r="X1028" s="9"/>
      <c r="Y1028" s="9"/>
      <c r="Z1028" s="9"/>
      <c r="AA1028" s="9"/>
      <c r="AB1028" s="9"/>
      <c r="AC1028" s="9"/>
      <c r="AD1028" s="25"/>
      <c r="AE1028" s="25"/>
      <c r="AF1028" s="9"/>
      <c r="AG1028" s="9"/>
      <c r="AH1028" s="9"/>
      <c r="AI1028" s="9"/>
    </row>
    <row r="1029" ht="15.75" customHeight="1">
      <c r="A1029" s="9"/>
      <c r="B1029" s="9"/>
      <c r="C1029" s="9"/>
      <c r="D1029" s="9"/>
      <c r="E1029" s="67"/>
      <c r="F1029" s="68"/>
      <c r="G1029" s="68"/>
      <c r="H1029" s="69"/>
      <c r="I1029" s="69"/>
      <c r="J1029" s="69"/>
      <c r="K1029" s="69"/>
      <c r="L1029" s="69"/>
      <c r="M1029" s="70"/>
      <c r="N1029" s="69"/>
      <c r="O1029" s="23"/>
      <c r="P1029" s="23"/>
      <c r="Q1029" s="9"/>
      <c r="R1029" s="9"/>
      <c r="S1029" s="9"/>
      <c r="T1029" s="9"/>
      <c r="U1029" s="9"/>
      <c r="V1029" s="9"/>
      <c r="W1029" s="9"/>
      <c r="X1029" s="9"/>
      <c r="Y1029" s="9"/>
      <c r="Z1029" s="9"/>
      <c r="AA1029" s="9"/>
      <c r="AB1029" s="9"/>
      <c r="AC1029" s="9"/>
      <c r="AD1029" s="25"/>
      <c r="AE1029" s="25"/>
      <c r="AF1029" s="9"/>
      <c r="AG1029" s="9"/>
      <c r="AH1029" s="9"/>
      <c r="AI1029" s="9"/>
    </row>
    <row r="1030" ht="15.75" customHeight="1">
      <c r="A1030" s="9"/>
      <c r="B1030" s="9"/>
      <c r="C1030" s="9"/>
      <c r="D1030" s="9"/>
      <c r="E1030" s="67"/>
      <c r="F1030" s="68"/>
      <c r="G1030" s="68"/>
      <c r="H1030" s="69"/>
      <c r="I1030" s="69"/>
      <c r="J1030" s="69"/>
      <c r="K1030" s="69"/>
      <c r="L1030" s="69"/>
      <c r="M1030" s="70"/>
      <c r="N1030" s="69"/>
      <c r="O1030" s="23"/>
      <c r="P1030" s="23"/>
      <c r="Q1030" s="9"/>
      <c r="R1030" s="9"/>
      <c r="S1030" s="9"/>
      <c r="T1030" s="9"/>
      <c r="U1030" s="9"/>
      <c r="V1030" s="9"/>
      <c r="W1030" s="9"/>
      <c r="X1030" s="9"/>
      <c r="Y1030" s="9"/>
      <c r="Z1030" s="9"/>
      <c r="AA1030" s="9"/>
      <c r="AB1030" s="9"/>
      <c r="AC1030" s="9"/>
      <c r="AD1030" s="25"/>
      <c r="AE1030" s="25"/>
      <c r="AF1030" s="9"/>
      <c r="AG1030" s="9"/>
      <c r="AH1030" s="9"/>
      <c r="AI1030" s="9"/>
    </row>
    <row r="1031" ht="15.75" customHeight="1">
      <c r="A1031" s="9"/>
      <c r="B1031" s="9"/>
      <c r="C1031" s="9"/>
      <c r="D1031" s="9"/>
      <c r="E1031" s="67"/>
      <c r="F1031" s="68"/>
      <c r="G1031" s="68"/>
      <c r="H1031" s="69"/>
      <c r="I1031" s="69"/>
      <c r="J1031" s="69"/>
      <c r="K1031" s="69"/>
      <c r="L1031" s="69"/>
      <c r="M1031" s="69"/>
      <c r="N1031" s="69"/>
      <c r="O1031" s="23"/>
      <c r="P1031" s="23"/>
      <c r="Q1031" s="9"/>
      <c r="R1031" s="9"/>
      <c r="S1031" s="9"/>
      <c r="T1031" s="9"/>
      <c r="U1031" s="9"/>
      <c r="V1031" s="9"/>
      <c r="W1031" s="9"/>
      <c r="X1031" s="9"/>
      <c r="Y1031" s="9"/>
      <c r="Z1031" s="9"/>
      <c r="AA1031" s="9"/>
      <c r="AB1031" s="9"/>
      <c r="AC1031" s="9"/>
      <c r="AD1031" s="25"/>
      <c r="AE1031" s="25"/>
      <c r="AF1031" s="9"/>
      <c r="AG1031" s="9"/>
      <c r="AH1031" s="9"/>
      <c r="AI1031" s="9"/>
    </row>
    <row r="1032" ht="15.75" customHeight="1">
      <c r="A1032" s="9"/>
      <c r="B1032" s="9"/>
      <c r="C1032" s="9"/>
      <c r="D1032" s="9"/>
      <c r="E1032" s="67"/>
      <c r="F1032" s="68"/>
      <c r="G1032" s="68"/>
      <c r="H1032" s="69"/>
      <c r="I1032" s="69"/>
      <c r="J1032" s="69"/>
      <c r="K1032" s="69"/>
      <c r="L1032" s="69"/>
      <c r="M1032" s="70"/>
      <c r="N1032" s="69"/>
      <c r="O1032" s="23"/>
      <c r="P1032" s="23"/>
      <c r="Q1032" s="9"/>
      <c r="R1032" s="9"/>
      <c r="S1032" s="9"/>
      <c r="T1032" s="9"/>
      <c r="U1032" s="9"/>
      <c r="V1032" s="9"/>
      <c r="W1032" s="9"/>
      <c r="X1032" s="9"/>
      <c r="Y1032" s="9"/>
      <c r="Z1032" s="9"/>
      <c r="AA1032" s="9"/>
      <c r="AB1032" s="9"/>
      <c r="AC1032" s="9"/>
      <c r="AD1032" s="25"/>
      <c r="AE1032" s="25"/>
      <c r="AF1032" s="9"/>
      <c r="AG1032" s="9"/>
      <c r="AH1032" s="9"/>
      <c r="AI1032" s="9"/>
    </row>
    <row r="1033" ht="15.75" customHeight="1">
      <c r="A1033" s="9"/>
      <c r="B1033" s="9"/>
      <c r="C1033" s="9"/>
      <c r="D1033" s="9"/>
      <c r="E1033" s="67"/>
      <c r="F1033" s="68"/>
      <c r="G1033" s="68"/>
      <c r="H1033" s="69"/>
      <c r="I1033" s="69"/>
      <c r="J1033" s="69"/>
      <c r="K1033" s="69"/>
      <c r="L1033" s="69"/>
      <c r="M1033" s="70"/>
      <c r="N1033" s="69"/>
      <c r="O1033" s="23"/>
      <c r="P1033" s="23"/>
      <c r="Q1033" s="9"/>
      <c r="R1033" s="9"/>
      <c r="S1033" s="9"/>
      <c r="T1033" s="9"/>
      <c r="U1033" s="9"/>
      <c r="V1033" s="9"/>
      <c r="W1033" s="9"/>
      <c r="X1033" s="9"/>
      <c r="Y1033" s="9"/>
      <c r="Z1033" s="9"/>
      <c r="AA1033" s="9"/>
      <c r="AB1033" s="9"/>
      <c r="AC1033" s="9"/>
      <c r="AD1033" s="25"/>
      <c r="AE1033" s="25"/>
      <c r="AF1033" s="9"/>
      <c r="AG1033" s="9"/>
      <c r="AH1033" s="9"/>
      <c r="AI1033" s="9"/>
    </row>
    <row r="1034" ht="15.75" customHeight="1">
      <c r="A1034" s="9"/>
      <c r="B1034" s="9"/>
      <c r="C1034" s="9"/>
      <c r="D1034" s="9"/>
      <c r="E1034" s="67"/>
      <c r="F1034" s="68"/>
      <c r="G1034" s="68"/>
      <c r="H1034" s="69"/>
      <c r="I1034" s="69"/>
      <c r="J1034" s="69"/>
      <c r="K1034" s="69"/>
      <c r="L1034" s="69"/>
      <c r="M1034" s="70"/>
      <c r="N1034" s="69"/>
      <c r="O1034" s="23"/>
      <c r="P1034" s="23"/>
      <c r="Q1034" s="9"/>
      <c r="R1034" s="9"/>
      <c r="S1034" s="9"/>
      <c r="T1034" s="9"/>
      <c r="U1034" s="9"/>
      <c r="V1034" s="9"/>
      <c r="W1034" s="9"/>
      <c r="X1034" s="9"/>
      <c r="Y1034" s="9"/>
      <c r="Z1034" s="9"/>
      <c r="AA1034" s="9"/>
      <c r="AB1034" s="9"/>
      <c r="AC1034" s="9"/>
      <c r="AD1034" s="25"/>
      <c r="AE1034" s="25"/>
      <c r="AF1034" s="9"/>
      <c r="AG1034" s="9"/>
      <c r="AH1034" s="9"/>
      <c r="AI1034" s="9"/>
    </row>
    <row r="1035" ht="15.75" customHeight="1">
      <c r="A1035" s="9"/>
      <c r="B1035" s="9"/>
      <c r="C1035" s="9"/>
      <c r="D1035" s="9"/>
      <c r="E1035" s="67"/>
      <c r="F1035" s="68"/>
      <c r="G1035" s="68"/>
      <c r="H1035" s="69"/>
      <c r="I1035" s="69"/>
      <c r="J1035" s="69"/>
      <c r="K1035" s="69"/>
      <c r="L1035" s="69"/>
      <c r="M1035" s="69"/>
      <c r="N1035" s="69"/>
      <c r="O1035" s="23"/>
      <c r="P1035" s="23"/>
      <c r="Q1035" s="9"/>
      <c r="R1035" s="9"/>
      <c r="S1035" s="9"/>
      <c r="T1035" s="9"/>
      <c r="U1035" s="9"/>
      <c r="V1035" s="9"/>
      <c r="W1035" s="9"/>
      <c r="X1035" s="9"/>
      <c r="Y1035" s="9"/>
      <c r="Z1035" s="9"/>
      <c r="AA1035" s="9"/>
      <c r="AB1035" s="9"/>
      <c r="AC1035" s="9"/>
      <c r="AD1035" s="25"/>
      <c r="AE1035" s="25"/>
      <c r="AF1035" s="9"/>
      <c r="AG1035" s="9"/>
      <c r="AH1035" s="9"/>
      <c r="AI1035" s="9"/>
    </row>
    <row r="1036" ht="15.75" customHeight="1">
      <c r="A1036" s="9"/>
      <c r="B1036" s="9"/>
      <c r="C1036" s="9"/>
      <c r="D1036" s="9"/>
      <c r="E1036" s="67"/>
      <c r="F1036" s="68"/>
      <c r="G1036" s="68"/>
      <c r="H1036" s="69"/>
      <c r="I1036" s="69"/>
      <c r="J1036" s="69"/>
      <c r="K1036" s="69"/>
      <c r="L1036" s="69"/>
      <c r="M1036" s="69"/>
      <c r="N1036" s="69"/>
      <c r="O1036" s="23"/>
      <c r="P1036" s="23"/>
      <c r="Q1036" s="9"/>
      <c r="R1036" s="9"/>
      <c r="S1036" s="9"/>
      <c r="T1036" s="9"/>
      <c r="U1036" s="9"/>
      <c r="V1036" s="9"/>
      <c r="W1036" s="9"/>
      <c r="X1036" s="9"/>
      <c r="Y1036" s="9"/>
      <c r="Z1036" s="9"/>
      <c r="AA1036" s="9"/>
      <c r="AB1036" s="9"/>
      <c r="AC1036" s="9"/>
      <c r="AD1036" s="25"/>
      <c r="AE1036" s="25"/>
      <c r="AF1036" s="9"/>
      <c r="AG1036" s="9"/>
      <c r="AH1036" s="9"/>
      <c r="AI1036" s="9"/>
    </row>
    <row r="1037" ht="15.75" customHeight="1">
      <c r="A1037" s="9"/>
      <c r="B1037" s="9"/>
      <c r="C1037" s="9"/>
      <c r="D1037" s="9"/>
      <c r="E1037" s="67"/>
      <c r="F1037" s="68"/>
      <c r="G1037" s="68"/>
      <c r="H1037" s="69"/>
      <c r="I1037" s="69"/>
      <c r="J1037" s="69"/>
      <c r="K1037" s="69"/>
      <c r="L1037" s="69"/>
      <c r="M1037" s="70"/>
      <c r="N1037" s="69"/>
      <c r="O1037" s="23"/>
      <c r="P1037" s="23"/>
      <c r="Q1037" s="9"/>
      <c r="R1037" s="9"/>
      <c r="S1037" s="9"/>
      <c r="T1037" s="9"/>
      <c r="U1037" s="9"/>
      <c r="V1037" s="9"/>
      <c r="W1037" s="9"/>
      <c r="X1037" s="9"/>
      <c r="Y1037" s="9"/>
      <c r="Z1037" s="9"/>
      <c r="AA1037" s="9"/>
      <c r="AB1037" s="9"/>
      <c r="AC1037" s="9"/>
      <c r="AD1037" s="25"/>
      <c r="AE1037" s="25"/>
      <c r="AF1037" s="9"/>
      <c r="AG1037" s="9"/>
      <c r="AH1037" s="9"/>
      <c r="AI1037" s="9"/>
    </row>
    <row r="1038" ht="15.75" customHeight="1">
      <c r="A1038" s="9"/>
      <c r="B1038" s="9"/>
      <c r="C1038" s="9"/>
      <c r="D1038" s="9"/>
      <c r="E1038" s="67"/>
      <c r="F1038" s="68"/>
      <c r="G1038" s="68"/>
      <c r="H1038" s="69"/>
      <c r="I1038" s="69"/>
      <c r="J1038" s="69"/>
      <c r="K1038" s="69"/>
      <c r="L1038" s="69"/>
      <c r="M1038" s="71"/>
      <c r="N1038" s="69"/>
      <c r="O1038" s="23"/>
      <c r="P1038" s="23"/>
      <c r="Q1038" s="9"/>
      <c r="R1038" s="9"/>
      <c r="S1038" s="9"/>
      <c r="T1038" s="9"/>
      <c r="U1038" s="9"/>
      <c r="V1038" s="9"/>
      <c r="W1038" s="9"/>
      <c r="X1038" s="9"/>
      <c r="Y1038" s="9"/>
      <c r="Z1038" s="9"/>
      <c r="AA1038" s="9"/>
      <c r="AB1038" s="9"/>
      <c r="AC1038" s="9"/>
      <c r="AD1038" s="25"/>
      <c r="AE1038" s="25"/>
      <c r="AF1038" s="9"/>
      <c r="AG1038" s="9"/>
      <c r="AH1038" s="9"/>
      <c r="AI1038" s="9"/>
    </row>
    <row r="1039" ht="15.75" customHeight="1">
      <c r="A1039" s="9"/>
      <c r="B1039" s="9"/>
      <c r="C1039" s="9"/>
      <c r="D1039" s="9"/>
      <c r="E1039" s="67"/>
      <c r="F1039" s="68"/>
      <c r="G1039" s="68"/>
      <c r="H1039" s="69"/>
      <c r="I1039" s="69"/>
      <c r="J1039" s="69"/>
      <c r="K1039" s="69"/>
      <c r="L1039" s="69"/>
      <c r="M1039" s="70"/>
      <c r="N1039" s="69"/>
      <c r="O1039" s="23"/>
      <c r="P1039" s="23"/>
      <c r="Q1039" s="9"/>
      <c r="R1039" s="9"/>
      <c r="S1039" s="9"/>
      <c r="T1039" s="9"/>
      <c r="U1039" s="9"/>
      <c r="V1039" s="9"/>
      <c r="W1039" s="9"/>
      <c r="X1039" s="9"/>
      <c r="Y1039" s="9"/>
      <c r="Z1039" s="9"/>
      <c r="AA1039" s="9"/>
      <c r="AB1039" s="9"/>
      <c r="AC1039" s="9"/>
      <c r="AD1039" s="25"/>
      <c r="AE1039" s="25"/>
      <c r="AF1039" s="9"/>
      <c r="AG1039" s="9"/>
      <c r="AH1039" s="9"/>
      <c r="AI1039" s="9"/>
    </row>
    <row r="1040" ht="15.75" customHeight="1">
      <c r="A1040" s="9"/>
      <c r="B1040" s="9"/>
      <c r="C1040" s="9"/>
      <c r="D1040" s="9"/>
      <c r="E1040" s="67"/>
      <c r="F1040" s="68"/>
      <c r="G1040" s="68"/>
      <c r="H1040" s="69"/>
      <c r="I1040" s="69"/>
      <c r="J1040" s="69"/>
      <c r="K1040" s="69"/>
      <c r="L1040" s="69"/>
      <c r="M1040" s="70"/>
      <c r="N1040" s="69"/>
      <c r="O1040" s="23"/>
      <c r="P1040" s="23"/>
      <c r="Q1040" s="9"/>
      <c r="R1040" s="9"/>
      <c r="S1040" s="9"/>
      <c r="T1040" s="9"/>
      <c r="U1040" s="9"/>
      <c r="V1040" s="9"/>
      <c r="W1040" s="9"/>
      <c r="X1040" s="9"/>
      <c r="Y1040" s="9"/>
      <c r="Z1040" s="9"/>
      <c r="AA1040" s="9"/>
      <c r="AB1040" s="9"/>
      <c r="AC1040" s="9"/>
      <c r="AD1040" s="25"/>
      <c r="AE1040" s="25"/>
      <c r="AF1040" s="9"/>
      <c r="AG1040" s="9"/>
      <c r="AH1040" s="9"/>
      <c r="AI1040" s="9"/>
    </row>
    <row r="1041" ht="15.75" customHeight="1">
      <c r="A1041" s="9"/>
      <c r="B1041" s="9"/>
      <c r="C1041" s="9"/>
      <c r="D1041" s="9"/>
      <c r="E1041" s="67"/>
      <c r="F1041" s="68"/>
      <c r="G1041" s="68"/>
      <c r="H1041" s="69"/>
      <c r="I1041" s="69"/>
      <c r="J1041" s="69"/>
      <c r="K1041" s="69"/>
      <c r="L1041" s="69"/>
      <c r="M1041" s="70"/>
      <c r="N1041" s="69"/>
      <c r="O1041" s="23"/>
      <c r="P1041" s="23"/>
      <c r="Q1041" s="9"/>
      <c r="R1041" s="9"/>
      <c r="S1041" s="9"/>
      <c r="T1041" s="9"/>
      <c r="U1041" s="9"/>
      <c r="V1041" s="9"/>
      <c r="W1041" s="9"/>
      <c r="X1041" s="9"/>
      <c r="Y1041" s="9"/>
      <c r="Z1041" s="9"/>
      <c r="AA1041" s="9"/>
      <c r="AB1041" s="9"/>
      <c r="AC1041" s="9"/>
      <c r="AD1041" s="25"/>
      <c r="AE1041" s="25"/>
      <c r="AF1041" s="9"/>
      <c r="AG1041" s="9"/>
      <c r="AH1041" s="9"/>
      <c r="AI1041" s="9"/>
    </row>
    <row r="1042" ht="15.75" customHeight="1">
      <c r="A1042" s="9"/>
      <c r="B1042" s="9"/>
      <c r="C1042" s="9"/>
      <c r="D1042" s="9"/>
      <c r="E1042" s="67"/>
      <c r="F1042" s="68"/>
      <c r="G1042" s="68"/>
      <c r="H1042" s="69"/>
      <c r="I1042" s="69"/>
      <c r="J1042" s="69"/>
      <c r="K1042" s="69"/>
      <c r="L1042" s="69"/>
      <c r="M1042" s="70"/>
      <c r="N1042" s="69"/>
      <c r="O1042" s="23"/>
      <c r="P1042" s="23"/>
      <c r="Q1042" s="9"/>
      <c r="R1042" s="9"/>
      <c r="S1042" s="9"/>
      <c r="T1042" s="9"/>
      <c r="U1042" s="9"/>
      <c r="V1042" s="9"/>
      <c r="W1042" s="9"/>
      <c r="X1042" s="9"/>
      <c r="Y1042" s="9"/>
      <c r="Z1042" s="9"/>
      <c r="AA1042" s="9"/>
      <c r="AB1042" s="9"/>
      <c r="AC1042" s="9"/>
      <c r="AD1042" s="25"/>
      <c r="AE1042" s="25"/>
      <c r="AF1042" s="9"/>
      <c r="AG1042" s="9"/>
      <c r="AH1042" s="9"/>
      <c r="AI1042" s="9"/>
    </row>
    <row r="1043" ht="15.75" customHeight="1">
      <c r="A1043" s="9"/>
      <c r="B1043" s="9"/>
      <c r="C1043" s="9"/>
      <c r="D1043" s="9"/>
      <c r="E1043" s="67"/>
      <c r="F1043" s="68"/>
      <c r="G1043" s="68"/>
      <c r="H1043" s="69"/>
      <c r="I1043" s="69"/>
      <c r="J1043" s="69"/>
      <c r="K1043" s="69"/>
      <c r="L1043" s="69"/>
      <c r="M1043" s="70"/>
      <c r="N1043" s="69"/>
      <c r="O1043" s="23"/>
      <c r="P1043" s="23"/>
      <c r="Q1043" s="9"/>
      <c r="R1043" s="9"/>
      <c r="S1043" s="9"/>
      <c r="T1043" s="9"/>
      <c r="U1043" s="9"/>
      <c r="V1043" s="9"/>
      <c r="W1043" s="9"/>
      <c r="X1043" s="9"/>
      <c r="Y1043" s="9"/>
      <c r="Z1043" s="9"/>
      <c r="AA1043" s="9"/>
      <c r="AB1043" s="9"/>
      <c r="AC1043" s="9"/>
      <c r="AD1043" s="25"/>
      <c r="AE1043" s="25"/>
      <c r="AF1043" s="9"/>
      <c r="AG1043" s="9"/>
      <c r="AH1043" s="9"/>
      <c r="AI1043" s="9"/>
    </row>
    <row r="1044" ht="15.75" customHeight="1">
      <c r="A1044" s="9"/>
      <c r="B1044" s="9"/>
      <c r="C1044" s="9"/>
      <c r="D1044" s="9"/>
      <c r="E1044" s="67"/>
      <c r="F1044" s="68"/>
      <c r="G1044" s="68"/>
      <c r="H1044" s="69"/>
      <c r="I1044" s="69"/>
      <c r="J1044" s="69"/>
      <c r="K1044" s="69"/>
      <c r="L1044" s="69"/>
      <c r="M1044" s="70"/>
      <c r="N1044" s="69"/>
      <c r="O1044" s="23"/>
      <c r="P1044" s="23"/>
      <c r="Q1044" s="9"/>
      <c r="R1044" s="9"/>
      <c r="S1044" s="9"/>
      <c r="T1044" s="9"/>
      <c r="U1044" s="9"/>
      <c r="V1044" s="9"/>
      <c r="W1044" s="9"/>
      <c r="X1044" s="9"/>
      <c r="Y1044" s="9"/>
      <c r="Z1044" s="9"/>
      <c r="AA1044" s="9"/>
      <c r="AB1044" s="9"/>
      <c r="AC1044" s="9"/>
      <c r="AD1044" s="25"/>
      <c r="AE1044" s="25"/>
      <c r="AF1044" s="9"/>
      <c r="AG1044" s="9"/>
      <c r="AH1044" s="9"/>
      <c r="AI1044" s="9"/>
    </row>
    <row r="1045" ht="15.75" customHeight="1">
      <c r="A1045" s="9"/>
      <c r="B1045" s="9"/>
      <c r="C1045" s="9"/>
      <c r="D1045" s="9"/>
      <c r="E1045" s="67"/>
      <c r="F1045" s="68"/>
      <c r="G1045" s="68"/>
      <c r="H1045" s="69"/>
      <c r="I1045" s="69"/>
      <c r="J1045" s="69"/>
      <c r="K1045" s="69"/>
      <c r="L1045" s="69"/>
      <c r="M1045" s="71"/>
      <c r="N1045" s="69"/>
      <c r="O1045" s="23"/>
      <c r="P1045" s="23"/>
      <c r="Q1045" s="9"/>
      <c r="R1045" s="9"/>
      <c r="S1045" s="9"/>
      <c r="T1045" s="9"/>
      <c r="U1045" s="9"/>
      <c r="V1045" s="9"/>
      <c r="W1045" s="9"/>
      <c r="X1045" s="9"/>
      <c r="Y1045" s="9"/>
      <c r="Z1045" s="9"/>
      <c r="AA1045" s="9"/>
      <c r="AB1045" s="9"/>
      <c r="AC1045" s="9"/>
      <c r="AD1045" s="25"/>
      <c r="AE1045" s="25"/>
      <c r="AF1045" s="9"/>
      <c r="AG1045" s="9"/>
      <c r="AH1045" s="9"/>
      <c r="AI1045" s="9"/>
    </row>
    <row r="1046" ht="15.75" customHeight="1">
      <c r="A1046" s="9"/>
      <c r="B1046" s="9"/>
      <c r="C1046" s="9"/>
      <c r="D1046" s="9"/>
      <c r="E1046" s="67"/>
      <c r="F1046" s="68"/>
      <c r="G1046" s="68"/>
      <c r="H1046" s="69"/>
      <c r="I1046" s="69"/>
      <c r="J1046" s="69"/>
      <c r="K1046" s="69"/>
      <c r="L1046" s="69"/>
      <c r="M1046" s="70"/>
      <c r="N1046" s="69"/>
      <c r="O1046" s="23"/>
      <c r="P1046" s="23"/>
      <c r="Q1046" s="9"/>
      <c r="R1046" s="9"/>
      <c r="S1046" s="9"/>
      <c r="T1046" s="9"/>
      <c r="U1046" s="9"/>
      <c r="V1046" s="9"/>
      <c r="W1046" s="9"/>
      <c r="X1046" s="9"/>
      <c r="Y1046" s="9"/>
      <c r="Z1046" s="9"/>
      <c r="AA1046" s="9"/>
      <c r="AB1046" s="9"/>
      <c r="AC1046" s="9"/>
      <c r="AD1046" s="25"/>
      <c r="AE1046" s="25"/>
      <c r="AF1046" s="9"/>
      <c r="AG1046" s="9"/>
      <c r="AH1046" s="9"/>
      <c r="AI1046" s="9"/>
    </row>
    <row r="1047" ht="15.75" customHeight="1">
      <c r="A1047" s="9"/>
      <c r="B1047" s="9"/>
      <c r="C1047" s="9"/>
      <c r="D1047" s="9"/>
      <c r="E1047" s="67"/>
      <c r="F1047" s="68"/>
      <c r="G1047" s="68"/>
      <c r="H1047" s="69"/>
      <c r="I1047" s="69"/>
      <c r="J1047" s="69"/>
      <c r="K1047" s="69"/>
      <c r="L1047" s="69"/>
      <c r="M1047" s="70"/>
      <c r="N1047" s="69"/>
      <c r="O1047" s="23"/>
      <c r="P1047" s="23"/>
      <c r="Q1047" s="9"/>
      <c r="R1047" s="9"/>
      <c r="S1047" s="9"/>
      <c r="T1047" s="9"/>
      <c r="U1047" s="9"/>
      <c r="V1047" s="9"/>
      <c r="W1047" s="9"/>
      <c r="X1047" s="9"/>
      <c r="Y1047" s="9"/>
      <c r="Z1047" s="9"/>
      <c r="AA1047" s="9"/>
      <c r="AB1047" s="9"/>
      <c r="AC1047" s="9"/>
      <c r="AD1047" s="25"/>
      <c r="AE1047" s="25"/>
      <c r="AF1047" s="9"/>
      <c r="AG1047" s="9"/>
      <c r="AH1047" s="9"/>
      <c r="AI1047" s="9"/>
    </row>
    <row r="1048" ht="15.75" customHeight="1">
      <c r="A1048" s="9"/>
      <c r="B1048" s="9"/>
      <c r="C1048" s="9"/>
      <c r="D1048" s="9"/>
      <c r="E1048" s="67"/>
      <c r="F1048" s="68"/>
      <c r="G1048" s="68"/>
      <c r="H1048" s="69"/>
      <c r="I1048" s="69"/>
      <c r="J1048" s="69"/>
      <c r="K1048" s="69"/>
      <c r="L1048" s="69"/>
      <c r="M1048" s="70"/>
      <c r="N1048" s="69"/>
      <c r="O1048" s="23"/>
      <c r="P1048" s="23"/>
      <c r="Q1048" s="9"/>
      <c r="R1048" s="9"/>
      <c r="S1048" s="9"/>
      <c r="T1048" s="9"/>
      <c r="U1048" s="9"/>
      <c r="V1048" s="9"/>
      <c r="W1048" s="9"/>
      <c r="X1048" s="9"/>
      <c r="Y1048" s="9"/>
      <c r="Z1048" s="9"/>
      <c r="AA1048" s="9"/>
      <c r="AB1048" s="9"/>
      <c r="AC1048" s="9"/>
      <c r="AD1048" s="25"/>
      <c r="AE1048" s="25"/>
      <c r="AF1048" s="9"/>
      <c r="AG1048" s="9"/>
      <c r="AH1048" s="9"/>
      <c r="AI1048" s="9"/>
    </row>
    <row r="1049" ht="15.75" customHeight="1">
      <c r="A1049" s="9"/>
      <c r="B1049" s="9"/>
      <c r="C1049" s="9"/>
      <c r="D1049" s="9"/>
      <c r="E1049" s="67"/>
      <c r="F1049" s="68"/>
      <c r="G1049" s="68"/>
      <c r="H1049" s="69"/>
      <c r="I1049" s="69"/>
      <c r="J1049" s="69"/>
      <c r="K1049" s="69"/>
      <c r="L1049" s="69"/>
      <c r="M1049" s="70"/>
      <c r="N1049" s="69"/>
      <c r="O1049" s="23"/>
      <c r="P1049" s="23"/>
      <c r="Q1049" s="9"/>
      <c r="R1049" s="9"/>
      <c r="S1049" s="9"/>
      <c r="T1049" s="9"/>
      <c r="U1049" s="9"/>
      <c r="V1049" s="9"/>
      <c r="W1049" s="9"/>
      <c r="X1049" s="9"/>
      <c r="Y1049" s="9"/>
      <c r="Z1049" s="9"/>
      <c r="AA1049" s="9"/>
      <c r="AB1049" s="9"/>
      <c r="AC1049" s="9"/>
      <c r="AD1049" s="25"/>
      <c r="AE1049" s="25"/>
      <c r="AF1049" s="9"/>
      <c r="AG1049" s="9"/>
      <c r="AH1049" s="9"/>
      <c r="AI1049" s="9"/>
    </row>
    <row r="1050" ht="15.75" customHeight="1">
      <c r="A1050" s="9"/>
      <c r="B1050" s="9"/>
      <c r="C1050" s="9"/>
      <c r="D1050" s="9"/>
      <c r="E1050" s="67"/>
      <c r="F1050" s="68"/>
      <c r="G1050" s="68"/>
      <c r="H1050" s="69"/>
      <c r="I1050" s="69"/>
      <c r="J1050" s="69"/>
      <c r="K1050" s="69"/>
      <c r="L1050" s="69"/>
      <c r="M1050" s="69"/>
      <c r="N1050" s="69"/>
      <c r="O1050" s="23"/>
      <c r="P1050" s="23"/>
      <c r="Q1050" s="9"/>
      <c r="R1050" s="9"/>
      <c r="S1050" s="9"/>
      <c r="T1050" s="9"/>
      <c r="U1050" s="9"/>
      <c r="V1050" s="9"/>
      <c r="W1050" s="9"/>
      <c r="X1050" s="9"/>
      <c r="Y1050" s="9"/>
      <c r="Z1050" s="9"/>
      <c r="AA1050" s="9"/>
      <c r="AB1050" s="9"/>
      <c r="AC1050" s="9"/>
      <c r="AD1050" s="25"/>
      <c r="AE1050" s="25"/>
      <c r="AF1050" s="9"/>
      <c r="AG1050" s="9"/>
      <c r="AH1050" s="9"/>
      <c r="AI1050" s="9"/>
    </row>
    <row r="1051" ht="15.75" customHeight="1">
      <c r="A1051" s="9"/>
      <c r="B1051" s="9"/>
      <c r="C1051" s="9"/>
      <c r="D1051" s="9"/>
      <c r="E1051" s="67"/>
      <c r="F1051" s="68"/>
      <c r="G1051" s="68"/>
      <c r="H1051" s="69"/>
      <c r="I1051" s="69"/>
      <c r="J1051" s="69"/>
      <c r="K1051" s="69"/>
      <c r="L1051" s="69"/>
      <c r="M1051" s="70"/>
      <c r="N1051" s="69"/>
      <c r="O1051" s="23"/>
      <c r="P1051" s="23"/>
      <c r="Q1051" s="9"/>
      <c r="R1051" s="9"/>
      <c r="S1051" s="9"/>
      <c r="T1051" s="9"/>
      <c r="U1051" s="9"/>
      <c r="V1051" s="9"/>
      <c r="W1051" s="9"/>
      <c r="X1051" s="9"/>
      <c r="Y1051" s="9"/>
      <c r="Z1051" s="9"/>
      <c r="AA1051" s="9"/>
      <c r="AB1051" s="9"/>
      <c r="AC1051" s="9"/>
      <c r="AD1051" s="25"/>
      <c r="AE1051" s="25"/>
      <c r="AF1051" s="9"/>
      <c r="AG1051" s="9"/>
      <c r="AH1051" s="9"/>
      <c r="AI1051" s="9"/>
    </row>
    <row r="1052" ht="15.75" customHeight="1">
      <c r="A1052" s="9"/>
      <c r="B1052" s="9"/>
      <c r="C1052" s="9"/>
      <c r="D1052" s="9"/>
      <c r="E1052" s="67"/>
      <c r="F1052" s="68"/>
      <c r="G1052" s="68"/>
      <c r="H1052" s="69"/>
      <c r="I1052" s="69"/>
      <c r="J1052" s="69"/>
      <c r="K1052" s="69"/>
      <c r="L1052" s="69"/>
      <c r="M1052" s="70"/>
      <c r="N1052" s="69"/>
      <c r="O1052" s="23"/>
      <c r="P1052" s="23"/>
      <c r="Q1052" s="9"/>
      <c r="R1052" s="9"/>
      <c r="S1052" s="9"/>
      <c r="T1052" s="9"/>
      <c r="U1052" s="9"/>
      <c r="V1052" s="9"/>
      <c r="W1052" s="9"/>
      <c r="X1052" s="9"/>
      <c r="Y1052" s="9"/>
      <c r="Z1052" s="9"/>
      <c r="AA1052" s="9"/>
      <c r="AB1052" s="9"/>
      <c r="AC1052" s="9"/>
      <c r="AD1052" s="25"/>
      <c r="AE1052" s="25"/>
      <c r="AF1052" s="9"/>
      <c r="AG1052" s="9"/>
      <c r="AH1052" s="9"/>
      <c r="AI1052" s="9"/>
    </row>
    <row r="1053" ht="15.75" customHeight="1">
      <c r="A1053" s="9"/>
      <c r="B1053" s="9"/>
      <c r="C1053" s="9"/>
      <c r="D1053" s="9"/>
      <c r="E1053" s="67"/>
      <c r="F1053" s="68"/>
      <c r="G1053" s="68"/>
      <c r="H1053" s="69"/>
      <c r="I1053" s="69"/>
      <c r="J1053" s="69"/>
      <c r="K1053" s="69"/>
      <c r="L1053" s="69"/>
      <c r="M1053" s="70"/>
      <c r="N1053" s="69"/>
      <c r="O1053" s="23"/>
      <c r="P1053" s="23"/>
      <c r="Q1053" s="9"/>
      <c r="R1053" s="9"/>
      <c r="S1053" s="9"/>
      <c r="T1053" s="9"/>
      <c r="U1053" s="9"/>
      <c r="V1053" s="9"/>
      <c r="W1053" s="9"/>
      <c r="X1053" s="9"/>
      <c r="Y1053" s="9"/>
      <c r="Z1053" s="9"/>
      <c r="AA1053" s="9"/>
      <c r="AB1053" s="9"/>
      <c r="AC1053" s="9"/>
      <c r="AD1053" s="25"/>
      <c r="AE1053" s="25"/>
      <c r="AF1053" s="9"/>
      <c r="AG1053" s="9"/>
      <c r="AH1053" s="9"/>
      <c r="AI1053" s="9"/>
    </row>
    <row r="1054" ht="15.75" customHeight="1">
      <c r="A1054" s="9"/>
      <c r="B1054" s="9"/>
      <c r="C1054" s="9"/>
      <c r="D1054" s="9"/>
      <c r="E1054" s="67"/>
      <c r="F1054" s="68"/>
      <c r="G1054" s="68"/>
      <c r="H1054" s="69"/>
      <c r="I1054" s="69"/>
      <c r="J1054" s="69"/>
      <c r="K1054" s="69"/>
      <c r="L1054" s="69"/>
      <c r="M1054" s="70"/>
      <c r="N1054" s="69"/>
      <c r="O1054" s="23"/>
      <c r="P1054" s="23"/>
      <c r="Q1054" s="9"/>
      <c r="R1054" s="9"/>
      <c r="S1054" s="9"/>
      <c r="T1054" s="9"/>
      <c r="U1054" s="9"/>
      <c r="V1054" s="9"/>
      <c r="W1054" s="9"/>
      <c r="X1054" s="9"/>
      <c r="Y1054" s="9"/>
      <c r="Z1054" s="9"/>
      <c r="AA1054" s="9"/>
      <c r="AB1054" s="9"/>
      <c r="AC1054" s="9"/>
      <c r="AD1054" s="25"/>
      <c r="AE1054" s="25"/>
      <c r="AF1054" s="9"/>
      <c r="AG1054" s="9"/>
      <c r="AH1054" s="9"/>
      <c r="AI1054" s="9"/>
    </row>
    <row r="1055" ht="15.75" customHeight="1">
      <c r="A1055" s="9"/>
      <c r="B1055" s="9"/>
      <c r="C1055" s="9"/>
      <c r="D1055" s="9"/>
      <c r="E1055" s="67"/>
      <c r="F1055" s="68"/>
      <c r="G1055" s="68"/>
      <c r="H1055" s="69"/>
      <c r="I1055" s="69"/>
      <c r="J1055" s="69"/>
      <c r="K1055" s="69"/>
      <c r="L1055" s="69"/>
      <c r="M1055" s="70"/>
      <c r="N1055" s="69"/>
      <c r="O1055" s="23"/>
      <c r="P1055" s="23"/>
      <c r="Q1055" s="9"/>
      <c r="R1055" s="9"/>
      <c r="S1055" s="9"/>
      <c r="T1055" s="9"/>
      <c r="U1055" s="9"/>
      <c r="V1055" s="9"/>
      <c r="W1055" s="9"/>
      <c r="X1055" s="9"/>
      <c r="Y1055" s="9"/>
      <c r="Z1055" s="9"/>
      <c r="AA1055" s="9"/>
      <c r="AB1055" s="9"/>
      <c r="AC1055" s="9"/>
      <c r="AD1055" s="25"/>
      <c r="AE1055" s="25"/>
      <c r="AF1055" s="9"/>
      <c r="AG1055" s="9"/>
      <c r="AH1055" s="9"/>
      <c r="AI1055" s="9"/>
    </row>
    <row r="1056" ht="15.75" customHeight="1">
      <c r="A1056" s="9"/>
      <c r="B1056" s="9"/>
      <c r="C1056" s="9"/>
      <c r="D1056" s="9"/>
      <c r="E1056" s="67"/>
      <c r="F1056" s="68"/>
      <c r="G1056" s="68"/>
      <c r="H1056" s="69"/>
      <c r="I1056" s="69"/>
      <c r="J1056" s="69"/>
      <c r="K1056" s="69"/>
      <c r="L1056" s="69"/>
      <c r="M1056" s="71"/>
      <c r="N1056" s="69"/>
      <c r="O1056" s="23"/>
      <c r="P1056" s="23"/>
      <c r="Q1056" s="9"/>
      <c r="R1056" s="9"/>
      <c r="S1056" s="9"/>
      <c r="T1056" s="9"/>
      <c r="U1056" s="9"/>
      <c r="V1056" s="9"/>
      <c r="W1056" s="9"/>
      <c r="X1056" s="9"/>
      <c r="Y1056" s="9"/>
      <c r="Z1056" s="9"/>
      <c r="AA1056" s="9"/>
      <c r="AB1056" s="9"/>
      <c r="AC1056" s="9"/>
      <c r="AD1056" s="25"/>
      <c r="AE1056" s="25"/>
      <c r="AF1056" s="9"/>
      <c r="AG1056" s="9"/>
      <c r="AH1056" s="9"/>
      <c r="AI1056" s="9"/>
    </row>
    <row r="1057" ht="15.75" customHeight="1">
      <c r="A1057" s="9"/>
      <c r="B1057" s="9"/>
      <c r="C1057" s="9"/>
      <c r="D1057" s="9"/>
      <c r="E1057" s="67"/>
      <c r="F1057" s="68"/>
      <c r="G1057" s="68"/>
      <c r="H1057" s="69"/>
      <c r="I1057" s="69"/>
      <c r="J1057" s="69"/>
      <c r="K1057" s="69"/>
      <c r="L1057" s="69"/>
      <c r="M1057" s="70"/>
      <c r="N1057" s="69"/>
      <c r="O1057" s="23"/>
      <c r="P1057" s="23"/>
      <c r="Q1057" s="9"/>
      <c r="R1057" s="9"/>
      <c r="S1057" s="9"/>
      <c r="T1057" s="9"/>
      <c r="U1057" s="9"/>
      <c r="V1057" s="9"/>
      <c r="W1057" s="9"/>
      <c r="X1057" s="9"/>
      <c r="Y1057" s="9"/>
      <c r="Z1057" s="9"/>
      <c r="AA1057" s="9"/>
      <c r="AB1057" s="9"/>
      <c r="AC1057" s="9"/>
      <c r="AD1057" s="25"/>
      <c r="AE1057" s="25"/>
      <c r="AF1057" s="9"/>
      <c r="AG1057" s="9"/>
      <c r="AH1057" s="9"/>
      <c r="AI1057" s="9"/>
    </row>
    <row r="1058" ht="15.75" customHeight="1">
      <c r="A1058" s="9"/>
      <c r="B1058" s="9"/>
      <c r="C1058" s="9"/>
      <c r="D1058" s="9"/>
      <c r="E1058" s="67"/>
      <c r="F1058" s="68"/>
      <c r="G1058" s="68"/>
      <c r="H1058" s="69"/>
      <c r="I1058" s="69"/>
      <c r="J1058" s="69"/>
      <c r="K1058" s="69"/>
      <c r="L1058" s="69"/>
      <c r="M1058" s="70"/>
      <c r="N1058" s="69"/>
      <c r="O1058" s="23"/>
      <c r="P1058" s="23"/>
      <c r="Q1058" s="9"/>
      <c r="R1058" s="9"/>
      <c r="S1058" s="9"/>
      <c r="T1058" s="9"/>
      <c r="U1058" s="9"/>
      <c r="V1058" s="9"/>
      <c r="W1058" s="9"/>
      <c r="X1058" s="9"/>
      <c r="Y1058" s="9"/>
      <c r="Z1058" s="9"/>
      <c r="AA1058" s="9"/>
      <c r="AB1058" s="9"/>
      <c r="AC1058" s="9"/>
      <c r="AD1058" s="25"/>
      <c r="AE1058" s="25"/>
      <c r="AF1058" s="9"/>
      <c r="AG1058" s="9"/>
      <c r="AH1058" s="9"/>
      <c r="AI1058" s="9"/>
    </row>
    <row r="1059" ht="15.75" customHeight="1">
      <c r="A1059" s="9"/>
      <c r="B1059" s="9"/>
      <c r="C1059" s="9"/>
      <c r="D1059" s="9"/>
      <c r="E1059" s="67"/>
      <c r="F1059" s="68"/>
      <c r="G1059" s="68"/>
      <c r="H1059" s="69"/>
      <c r="I1059" s="69"/>
      <c r="J1059" s="69"/>
      <c r="K1059" s="69"/>
      <c r="L1059" s="69"/>
      <c r="M1059" s="70"/>
      <c r="N1059" s="69"/>
      <c r="O1059" s="23"/>
      <c r="P1059" s="23"/>
      <c r="Q1059" s="9"/>
      <c r="R1059" s="9"/>
      <c r="S1059" s="9"/>
      <c r="T1059" s="9"/>
      <c r="U1059" s="9"/>
      <c r="V1059" s="9"/>
      <c r="W1059" s="9"/>
      <c r="X1059" s="9"/>
      <c r="Y1059" s="9"/>
      <c r="Z1059" s="9"/>
      <c r="AA1059" s="9"/>
      <c r="AB1059" s="9"/>
      <c r="AC1059" s="9"/>
      <c r="AD1059" s="25"/>
      <c r="AE1059" s="25"/>
      <c r="AF1059" s="9"/>
      <c r="AG1059" s="9"/>
      <c r="AH1059" s="9"/>
      <c r="AI1059" s="9"/>
    </row>
    <row r="1060" ht="15.75" customHeight="1">
      <c r="A1060" s="9"/>
      <c r="B1060" s="9"/>
      <c r="C1060" s="9"/>
      <c r="D1060" s="9"/>
      <c r="E1060" s="67"/>
      <c r="F1060" s="68"/>
      <c r="G1060" s="68"/>
      <c r="H1060" s="69"/>
      <c r="I1060" s="69"/>
      <c r="J1060" s="69"/>
      <c r="K1060" s="69"/>
      <c r="L1060" s="69"/>
      <c r="M1060" s="70"/>
      <c r="N1060" s="69"/>
      <c r="O1060" s="23"/>
      <c r="P1060" s="23"/>
      <c r="Q1060" s="9"/>
      <c r="R1060" s="9"/>
      <c r="S1060" s="9"/>
      <c r="T1060" s="9"/>
      <c r="U1060" s="9"/>
      <c r="V1060" s="9"/>
      <c r="W1060" s="9"/>
      <c r="X1060" s="9"/>
      <c r="Y1060" s="9"/>
      <c r="Z1060" s="9"/>
      <c r="AA1060" s="9"/>
      <c r="AB1060" s="9"/>
      <c r="AC1060" s="9"/>
      <c r="AD1060" s="25"/>
      <c r="AE1060" s="25"/>
      <c r="AF1060" s="9"/>
      <c r="AG1060" s="9"/>
      <c r="AH1060" s="9"/>
      <c r="AI1060" s="9"/>
    </row>
    <row r="1061" ht="15.75" customHeight="1">
      <c r="A1061" s="9"/>
      <c r="B1061" s="9"/>
      <c r="C1061" s="9"/>
      <c r="D1061" s="9"/>
      <c r="E1061" s="67"/>
      <c r="F1061" s="68"/>
      <c r="G1061" s="68"/>
      <c r="H1061" s="69"/>
      <c r="I1061" s="69"/>
      <c r="J1061" s="69"/>
      <c r="K1061" s="69"/>
      <c r="L1061" s="69"/>
      <c r="M1061" s="70"/>
      <c r="N1061" s="69"/>
      <c r="O1061" s="23"/>
      <c r="P1061" s="23"/>
      <c r="Q1061" s="9"/>
      <c r="R1061" s="9"/>
      <c r="S1061" s="9"/>
      <c r="T1061" s="9"/>
      <c r="U1061" s="9"/>
      <c r="V1061" s="9"/>
      <c r="W1061" s="9"/>
      <c r="X1061" s="9"/>
      <c r="Y1061" s="9"/>
      <c r="Z1061" s="9"/>
      <c r="AA1061" s="9"/>
      <c r="AB1061" s="9"/>
      <c r="AC1061" s="9"/>
      <c r="AD1061" s="25"/>
      <c r="AE1061" s="25"/>
      <c r="AF1061" s="9"/>
      <c r="AG1061" s="9"/>
      <c r="AH1061" s="9"/>
      <c r="AI1061" s="9"/>
    </row>
    <row r="1062" ht="15.75" customHeight="1">
      <c r="A1062" s="9"/>
      <c r="B1062" s="9"/>
      <c r="C1062" s="9"/>
      <c r="D1062" s="9"/>
      <c r="E1062" s="67"/>
      <c r="F1062" s="68"/>
      <c r="G1062" s="68"/>
      <c r="H1062" s="69"/>
      <c r="I1062" s="69"/>
      <c r="J1062" s="69"/>
      <c r="K1062" s="69"/>
      <c r="L1062" s="69"/>
      <c r="M1062" s="70"/>
      <c r="N1062" s="69"/>
      <c r="O1062" s="23"/>
      <c r="P1062" s="23"/>
      <c r="Q1062" s="9"/>
      <c r="R1062" s="9"/>
      <c r="S1062" s="9"/>
      <c r="T1062" s="9"/>
      <c r="U1062" s="9"/>
      <c r="V1062" s="9"/>
      <c r="W1062" s="9"/>
      <c r="X1062" s="9"/>
      <c r="Y1062" s="9"/>
      <c r="Z1062" s="9"/>
      <c r="AA1062" s="9"/>
      <c r="AB1062" s="9"/>
      <c r="AC1062" s="9"/>
      <c r="AD1062" s="25"/>
      <c r="AE1062" s="25"/>
      <c r="AF1062" s="9"/>
      <c r="AG1062" s="9"/>
      <c r="AH1062" s="9"/>
      <c r="AI1062" s="9"/>
    </row>
    <row r="1063" ht="15.75" customHeight="1">
      <c r="A1063" s="9"/>
      <c r="B1063" s="9"/>
      <c r="C1063" s="9"/>
      <c r="D1063" s="9"/>
      <c r="E1063" s="67"/>
      <c r="F1063" s="68"/>
      <c r="G1063" s="68"/>
      <c r="H1063" s="69"/>
      <c r="I1063" s="69"/>
      <c r="J1063" s="69"/>
      <c r="K1063" s="69"/>
      <c r="L1063" s="69"/>
      <c r="M1063" s="70"/>
      <c r="N1063" s="69"/>
      <c r="O1063" s="23"/>
      <c r="P1063" s="23"/>
      <c r="Q1063" s="9"/>
      <c r="R1063" s="9"/>
      <c r="S1063" s="9"/>
      <c r="T1063" s="9"/>
      <c r="U1063" s="9"/>
      <c r="V1063" s="9"/>
      <c r="W1063" s="9"/>
      <c r="X1063" s="9"/>
      <c r="Y1063" s="9"/>
      <c r="Z1063" s="9"/>
      <c r="AA1063" s="9"/>
      <c r="AB1063" s="9"/>
      <c r="AC1063" s="9"/>
      <c r="AD1063" s="25"/>
      <c r="AE1063" s="25"/>
      <c r="AF1063" s="9"/>
      <c r="AG1063" s="9"/>
      <c r="AH1063" s="9"/>
      <c r="AI1063" s="9"/>
    </row>
    <row r="1064" ht="15.75" customHeight="1">
      <c r="A1064" s="9"/>
      <c r="B1064" s="9"/>
      <c r="C1064" s="9"/>
      <c r="D1064" s="9"/>
      <c r="E1064" s="67"/>
      <c r="F1064" s="68"/>
      <c r="G1064" s="68"/>
      <c r="H1064" s="69"/>
      <c r="I1064" s="69"/>
      <c r="J1064" s="69"/>
      <c r="K1064" s="69"/>
      <c r="L1064" s="69"/>
      <c r="M1064" s="70"/>
      <c r="N1064" s="69"/>
      <c r="O1064" s="23"/>
      <c r="P1064" s="23"/>
      <c r="Q1064" s="9"/>
      <c r="R1064" s="9"/>
      <c r="S1064" s="9"/>
      <c r="T1064" s="9"/>
      <c r="U1064" s="9"/>
      <c r="V1064" s="9"/>
      <c r="W1064" s="9"/>
      <c r="X1064" s="9"/>
      <c r="Y1064" s="9"/>
      <c r="Z1064" s="9"/>
      <c r="AA1064" s="9"/>
      <c r="AB1064" s="9"/>
      <c r="AC1064" s="9"/>
      <c r="AD1064" s="25"/>
      <c r="AE1064" s="25"/>
      <c r="AF1064" s="9"/>
      <c r="AG1064" s="9"/>
      <c r="AH1064" s="9"/>
      <c r="AI1064" s="9"/>
    </row>
    <row r="1065" ht="15.75" customHeight="1">
      <c r="A1065" s="9"/>
      <c r="B1065" s="9"/>
      <c r="C1065" s="9"/>
      <c r="D1065" s="9"/>
      <c r="E1065" s="67"/>
      <c r="F1065" s="68"/>
      <c r="G1065" s="68"/>
      <c r="H1065" s="69"/>
      <c r="I1065" s="69"/>
      <c r="J1065" s="69"/>
      <c r="K1065" s="69"/>
      <c r="L1065" s="69"/>
      <c r="M1065" s="70"/>
      <c r="N1065" s="69"/>
      <c r="O1065" s="23"/>
      <c r="P1065" s="23"/>
      <c r="Q1065" s="9"/>
      <c r="R1065" s="9"/>
      <c r="S1065" s="9"/>
      <c r="T1065" s="9"/>
      <c r="U1065" s="9"/>
      <c r="V1065" s="9"/>
      <c r="W1065" s="9"/>
      <c r="X1065" s="9"/>
      <c r="Y1065" s="9"/>
      <c r="Z1065" s="9"/>
      <c r="AA1065" s="9"/>
      <c r="AB1065" s="9"/>
      <c r="AC1065" s="9"/>
      <c r="AD1065" s="25"/>
      <c r="AE1065" s="25"/>
      <c r="AF1065" s="9"/>
      <c r="AG1065" s="9"/>
      <c r="AH1065" s="9"/>
      <c r="AI1065" s="9"/>
    </row>
    <row r="1066" ht="15.75" customHeight="1">
      <c r="A1066" s="9"/>
      <c r="B1066" s="9"/>
      <c r="C1066" s="9"/>
      <c r="D1066" s="9"/>
      <c r="E1066" s="67"/>
      <c r="F1066" s="68"/>
      <c r="G1066" s="68"/>
      <c r="H1066" s="69"/>
      <c r="I1066" s="69"/>
      <c r="J1066" s="69"/>
      <c r="K1066" s="69"/>
      <c r="L1066" s="69"/>
      <c r="M1066" s="70"/>
      <c r="N1066" s="69"/>
      <c r="O1066" s="23"/>
      <c r="P1066" s="23"/>
      <c r="Q1066" s="9"/>
      <c r="R1066" s="9"/>
      <c r="S1066" s="9"/>
      <c r="T1066" s="9"/>
      <c r="U1066" s="9"/>
      <c r="V1066" s="9"/>
      <c r="W1066" s="9"/>
      <c r="X1066" s="9"/>
      <c r="Y1066" s="9"/>
      <c r="Z1066" s="9"/>
      <c r="AA1066" s="9"/>
      <c r="AB1066" s="9"/>
      <c r="AC1066" s="9"/>
      <c r="AD1066" s="25"/>
      <c r="AE1066" s="25"/>
      <c r="AF1066" s="9"/>
      <c r="AG1066" s="9"/>
      <c r="AH1066" s="9"/>
      <c r="AI1066" s="9"/>
    </row>
    <row r="1067" ht="15.75" customHeight="1">
      <c r="A1067" s="9"/>
      <c r="B1067" s="9"/>
      <c r="C1067" s="9"/>
      <c r="D1067" s="9"/>
      <c r="E1067" s="67"/>
      <c r="F1067" s="68"/>
      <c r="G1067" s="68"/>
      <c r="H1067" s="69"/>
      <c r="I1067" s="69"/>
      <c r="J1067" s="69"/>
      <c r="K1067" s="69"/>
      <c r="L1067" s="69"/>
      <c r="M1067" s="70"/>
      <c r="N1067" s="69"/>
      <c r="O1067" s="23"/>
      <c r="P1067" s="23"/>
      <c r="Q1067" s="9"/>
      <c r="R1067" s="9"/>
      <c r="S1067" s="9"/>
      <c r="T1067" s="9"/>
      <c r="U1067" s="9"/>
      <c r="V1067" s="9"/>
      <c r="W1067" s="9"/>
      <c r="X1067" s="9"/>
      <c r="Y1067" s="9"/>
      <c r="Z1067" s="9"/>
      <c r="AA1067" s="9"/>
      <c r="AB1067" s="9"/>
      <c r="AC1067" s="9"/>
      <c r="AD1067" s="25"/>
      <c r="AE1067" s="25"/>
      <c r="AF1067" s="9"/>
      <c r="AG1067" s="9"/>
      <c r="AH1067" s="9"/>
      <c r="AI1067" s="9"/>
    </row>
    <row r="1068" ht="15.75" customHeight="1">
      <c r="A1068" s="9"/>
      <c r="B1068" s="9"/>
      <c r="C1068" s="9"/>
      <c r="D1068" s="9"/>
      <c r="E1068" s="67"/>
      <c r="F1068" s="68"/>
      <c r="G1068" s="68"/>
      <c r="H1068" s="69"/>
      <c r="I1068" s="69"/>
      <c r="J1068" s="69"/>
      <c r="K1068" s="69"/>
      <c r="L1068" s="69"/>
      <c r="M1068" s="70"/>
      <c r="N1068" s="69"/>
      <c r="O1068" s="23"/>
      <c r="P1068" s="23"/>
      <c r="Q1068" s="9"/>
      <c r="R1068" s="9"/>
      <c r="S1068" s="9"/>
      <c r="T1068" s="9"/>
      <c r="U1068" s="9"/>
      <c r="V1068" s="9"/>
      <c r="W1068" s="9"/>
      <c r="X1068" s="9"/>
      <c r="Y1068" s="9"/>
      <c r="Z1068" s="9"/>
      <c r="AA1068" s="9"/>
      <c r="AB1068" s="9"/>
      <c r="AC1068" s="9"/>
      <c r="AD1068" s="25"/>
      <c r="AE1068" s="25"/>
      <c r="AF1068" s="9"/>
      <c r="AG1068" s="9"/>
      <c r="AH1068" s="9"/>
      <c r="AI1068" s="9"/>
    </row>
    <row r="1069" ht="15.75" customHeight="1">
      <c r="A1069" s="9"/>
      <c r="B1069" s="9"/>
      <c r="C1069" s="9"/>
      <c r="D1069" s="9"/>
      <c r="E1069" s="67"/>
      <c r="F1069" s="68"/>
      <c r="G1069" s="68"/>
      <c r="H1069" s="69"/>
      <c r="I1069" s="69"/>
      <c r="J1069" s="69"/>
      <c r="K1069" s="69"/>
      <c r="L1069" s="69"/>
      <c r="M1069" s="70"/>
      <c r="N1069" s="69"/>
      <c r="O1069" s="23"/>
      <c r="P1069" s="23"/>
      <c r="Q1069" s="9"/>
      <c r="R1069" s="9"/>
      <c r="S1069" s="9"/>
      <c r="T1069" s="9"/>
      <c r="U1069" s="9"/>
      <c r="V1069" s="9"/>
      <c r="W1069" s="9"/>
      <c r="X1069" s="9"/>
      <c r="Y1069" s="9"/>
      <c r="Z1069" s="9"/>
      <c r="AA1069" s="9"/>
      <c r="AB1069" s="9"/>
      <c r="AC1069" s="9"/>
      <c r="AD1069" s="25"/>
      <c r="AE1069" s="25"/>
      <c r="AF1069" s="9"/>
      <c r="AG1069" s="9"/>
      <c r="AH1069" s="9"/>
      <c r="AI1069" s="9"/>
    </row>
    <row r="1070" ht="15.75" customHeight="1">
      <c r="A1070" s="9"/>
      <c r="B1070" s="9"/>
      <c r="C1070" s="9"/>
      <c r="D1070" s="9"/>
      <c r="E1070" s="67"/>
      <c r="F1070" s="68"/>
      <c r="G1070" s="68"/>
      <c r="H1070" s="69"/>
      <c r="I1070" s="69"/>
      <c r="J1070" s="69"/>
      <c r="K1070" s="69"/>
      <c r="L1070" s="69"/>
      <c r="M1070" s="70"/>
      <c r="N1070" s="69"/>
      <c r="O1070" s="23"/>
      <c r="P1070" s="23"/>
      <c r="Q1070" s="9"/>
      <c r="R1070" s="9"/>
      <c r="S1070" s="9"/>
      <c r="T1070" s="9"/>
      <c r="U1070" s="9"/>
      <c r="V1070" s="9"/>
      <c r="W1070" s="9"/>
      <c r="X1070" s="9"/>
      <c r="Y1070" s="9"/>
      <c r="Z1070" s="9"/>
      <c r="AA1070" s="9"/>
      <c r="AB1070" s="9"/>
      <c r="AC1070" s="9"/>
      <c r="AD1070" s="25"/>
      <c r="AE1070" s="25"/>
      <c r="AF1070" s="9"/>
      <c r="AG1070" s="9"/>
      <c r="AH1070" s="9"/>
      <c r="AI1070" s="9"/>
    </row>
    <row r="1071" ht="15.75" customHeight="1">
      <c r="A1071" s="9"/>
      <c r="B1071" s="9"/>
      <c r="C1071" s="9"/>
      <c r="D1071" s="9"/>
      <c r="E1071" s="67"/>
      <c r="F1071" s="68"/>
      <c r="G1071" s="68"/>
      <c r="H1071" s="69"/>
      <c r="I1071" s="69"/>
      <c r="J1071" s="69"/>
      <c r="K1071" s="69"/>
      <c r="L1071" s="69"/>
      <c r="M1071" s="70"/>
      <c r="N1071" s="69"/>
      <c r="O1071" s="23"/>
      <c r="P1071" s="23"/>
      <c r="Q1071" s="9"/>
      <c r="R1071" s="9"/>
      <c r="S1071" s="9"/>
      <c r="T1071" s="9"/>
      <c r="U1071" s="9"/>
      <c r="V1071" s="9"/>
      <c r="W1071" s="9"/>
      <c r="X1071" s="9"/>
      <c r="Y1071" s="9"/>
      <c r="Z1071" s="9"/>
      <c r="AA1071" s="9"/>
      <c r="AB1071" s="9"/>
      <c r="AC1071" s="9"/>
      <c r="AD1071" s="25"/>
      <c r="AE1071" s="25"/>
      <c r="AF1071" s="9"/>
      <c r="AG1071" s="9"/>
      <c r="AH1071" s="9"/>
      <c r="AI1071" s="9"/>
    </row>
    <row r="1072" ht="15.75" customHeight="1">
      <c r="A1072" s="9"/>
      <c r="B1072" s="9"/>
      <c r="C1072" s="9"/>
      <c r="D1072" s="9"/>
      <c r="E1072" s="67"/>
      <c r="F1072" s="68"/>
      <c r="G1072" s="68"/>
      <c r="H1072" s="69"/>
      <c r="I1072" s="69"/>
      <c r="J1072" s="69"/>
      <c r="K1072" s="69"/>
      <c r="L1072" s="69"/>
      <c r="M1072" s="70"/>
      <c r="N1072" s="69"/>
      <c r="O1072" s="23"/>
      <c r="P1072" s="23"/>
      <c r="Q1072" s="9"/>
      <c r="R1072" s="9"/>
      <c r="S1072" s="9"/>
      <c r="T1072" s="9"/>
      <c r="U1072" s="9"/>
      <c r="V1072" s="9"/>
      <c r="W1072" s="9"/>
      <c r="X1072" s="9"/>
      <c r="Y1072" s="9"/>
      <c r="Z1072" s="9"/>
      <c r="AA1072" s="9"/>
      <c r="AB1072" s="9"/>
      <c r="AC1072" s="9"/>
      <c r="AD1072" s="25"/>
      <c r="AE1072" s="25"/>
      <c r="AF1072" s="9"/>
      <c r="AG1072" s="9"/>
      <c r="AH1072" s="9"/>
      <c r="AI1072" s="9"/>
    </row>
    <row r="1073" ht="15.75" customHeight="1">
      <c r="A1073" s="9"/>
      <c r="B1073" s="9"/>
      <c r="C1073" s="9"/>
      <c r="D1073" s="9"/>
      <c r="E1073" s="67"/>
      <c r="F1073" s="68"/>
      <c r="G1073" s="68"/>
      <c r="H1073" s="69"/>
      <c r="I1073" s="69"/>
      <c r="J1073" s="69"/>
      <c r="K1073" s="69"/>
      <c r="L1073" s="69"/>
      <c r="M1073" s="70"/>
      <c r="N1073" s="69"/>
      <c r="O1073" s="23"/>
      <c r="P1073" s="23"/>
      <c r="Q1073" s="9"/>
      <c r="R1073" s="9"/>
      <c r="S1073" s="9"/>
      <c r="T1073" s="9"/>
      <c r="U1073" s="9"/>
      <c r="V1073" s="9"/>
      <c r="W1073" s="9"/>
      <c r="X1073" s="9"/>
      <c r="Y1073" s="9"/>
      <c r="Z1073" s="9"/>
      <c r="AA1073" s="9"/>
      <c r="AB1073" s="9"/>
      <c r="AC1073" s="9"/>
      <c r="AD1073" s="25"/>
      <c r="AE1073" s="25"/>
      <c r="AF1073" s="9"/>
      <c r="AG1073" s="9"/>
      <c r="AH1073" s="9"/>
      <c r="AI1073" s="9"/>
    </row>
    <row r="1074" ht="15.75" customHeight="1">
      <c r="A1074" s="9"/>
      <c r="B1074" s="9"/>
      <c r="C1074" s="9"/>
      <c r="D1074" s="9"/>
      <c r="E1074" s="67"/>
      <c r="F1074" s="68"/>
      <c r="G1074" s="68"/>
      <c r="H1074" s="69"/>
      <c r="I1074" s="69"/>
      <c r="J1074" s="69"/>
      <c r="K1074" s="69"/>
      <c r="L1074" s="69"/>
      <c r="M1074" s="71"/>
      <c r="N1074" s="69"/>
      <c r="O1074" s="23"/>
      <c r="P1074" s="23"/>
      <c r="Q1074" s="9"/>
      <c r="R1074" s="9"/>
      <c r="S1074" s="9"/>
      <c r="T1074" s="9"/>
      <c r="U1074" s="9"/>
      <c r="V1074" s="9"/>
      <c r="W1074" s="9"/>
      <c r="X1074" s="9"/>
      <c r="Y1074" s="9"/>
      <c r="Z1074" s="9"/>
      <c r="AA1074" s="9"/>
      <c r="AB1074" s="9"/>
      <c r="AC1074" s="9"/>
      <c r="AD1074" s="25"/>
      <c r="AE1074" s="25"/>
      <c r="AF1074" s="9"/>
      <c r="AG1074" s="9"/>
      <c r="AH1074" s="9"/>
      <c r="AI1074" s="9"/>
    </row>
    <row r="1075" ht="15.75" customHeight="1">
      <c r="A1075" s="9"/>
      <c r="B1075" s="9"/>
      <c r="C1075" s="9"/>
      <c r="D1075" s="9"/>
      <c r="E1075" s="67"/>
      <c r="F1075" s="68"/>
      <c r="G1075" s="68"/>
      <c r="H1075" s="69"/>
      <c r="I1075" s="69"/>
      <c r="J1075" s="69"/>
      <c r="K1075" s="69"/>
      <c r="L1075" s="69"/>
      <c r="M1075" s="70"/>
      <c r="N1075" s="69"/>
      <c r="O1075" s="23"/>
      <c r="P1075" s="23"/>
      <c r="Q1075" s="9"/>
      <c r="R1075" s="9"/>
      <c r="S1075" s="9"/>
      <c r="T1075" s="9"/>
      <c r="U1075" s="9"/>
      <c r="V1075" s="9"/>
      <c r="W1075" s="9"/>
      <c r="X1075" s="9"/>
      <c r="Y1075" s="9"/>
      <c r="Z1075" s="9"/>
      <c r="AA1075" s="9"/>
      <c r="AB1075" s="9"/>
      <c r="AC1075" s="9"/>
      <c r="AD1075" s="25"/>
      <c r="AE1075" s="25"/>
      <c r="AF1075" s="9"/>
      <c r="AG1075" s="9"/>
      <c r="AH1075" s="9"/>
      <c r="AI1075" s="9"/>
    </row>
    <row r="1076" ht="15.75" customHeight="1">
      <c r="A1076" s="9"/>
      <c r="B1076" s="9"/>
      <c r="C1076" s="9"/>
      <c r="D1076" s="9"/>
      <c r="E1076" s="67"/>
      <c r="F1076" s="68"/>
      <c r="G1076" s="68"/>
      <c r="H1076" s="69"/>
      <c r="I1076" s="69"/>
      <c r="J1076" s="69"/>
      <c r="K1076" s="69"/>
      <c r="L1076" s="69"/>
      <c r="M1076" s="69"/>
      <c r="N1076" s="69"/>
      <c r="O1076" s="23"/>
      <c r="P1076" s="23"/>
      <c r="Q1076" s="9"/>
      <c r="R1076" s="9"/>
      <c r="S1076" s="9"/>
      <c r="T1076" s="9"/>
      <c r="U1076" s="9"/>
      <c r="V1076" s="9"/>
      <c r="W1076" s="9"/>
      <c r="X1076" s="9"/>
      <c r="Y1076" s="9"/>
      <c r="Z1076" s="9"/>
      <c r="AA1076" s="9"/>
      <c r="AB1076" s="9"/>
      <c r="AC1076" s="9"/>
      <c r="AD1076" s="25"/>
      <c r="AE1076" s="25"/>
      <c r="AF1076" s="9"/>
      <c r="AG1076" s="9"/>
      <c r="AH1076" s="9"/>
      <c r="AI1076" s="9"/>
    </row>
    <row r="1077" ht="15.75" customHeight="1">
      <c r="A1077" s="9"/>
      <c r="B1077" s="9"/>
      <c r="C1077" s="9"/>
      <c r="D1077" s="9"/>
      <c r="E1077" s="67"/>
      <c r="F1077" s="68"/>
      <c r="G1077" s="68"/>
      <c r="H1077" s="69"/>
      <c r="I1077" s="69"/>
      <c r="J1077" s="69"/>
      <c r="K1077" s="69"/>
      <c r="L1077" s="69"/>
      <c r="M1077" s="70"/>
      <c r="N1077" s="69"/>
      <c r="O1077" s="23"/>
      <c r="P1077" s="23"/>
      <c r="Q1077" s="9"/>
      <c r="R1077" s="9"/>
      <c r="S1077" s="9"/>
      <c r="T1077" s="9"/>
      <c r="U1077" s="9"/>
      <c r="V1077" s="9"/>
      <c r="W1077" s="9"/>
      <c r="X1077" s="9"/>
      <c r="Y1077" s="9"/>
      <c r="Z1077" s="9"/>
      <c r="AA1077" s="9"/>
      <c r="AB1077" s="9"/>
      <c r="AC1077" s="9"/>
      <c r="AD1077" s="25"/>
      <c r="AE1077" s="25"/>
      <c r="AF1077" s="9"/>
      <c r="AG1077" s="9"/>
      <c r="AH1077" s="9"/>
      <c r="AI1077" s="9"/>
    </row>
    <row r="1078" ht="15.75" customHeight="1">
      <c r="A1078" s="9"/>
      <c r="B1078" s="9"/>
      <c r="C1078" s="9"/>
      <c r="D1078" s="9"/>
      <c r="E1078" s="67"/>
      <c r="F1078" s="68"/>
      <c r="G1078" s="68"/>
      <c r="H1078" s="69"/>
      <c r="I1078" s="69"/>
      <c r="J1078" s="69"/>
      <c r="K1078" s="69"/>
      <c r="L1078" s="69"/>
      <c r="M1078" s="70"/>
      <c r="N1078" s="69"/>
      <c r="O1078" s="23"/>
      <c r="P1078" s="23"/>
      <c r="Q1078" s="9"/>
      <c r="R1078" s="9"/>
      <c r="S1078" s="9"/>
      <c r="T1078" s="9"/>
      <c r="U1078" s="9"/>
      <c r="V1078" s="9"/>
      <c r="W1078" s="9"/>
      <c r="X1078" s="9"/>
      <c r="Y1078" s="9"/>
      <c r="Z1078" s="9"/>
      <c r="AA1078" s="9"/>
      <c r="AB1078" s="9"/>
      <c r="AC1078" s="9"/>
      <c r="AD1078" s="25"/>
      <c r="AE1078" s="25"/>
      <c r="AF1078" s="9"/>
      <c r="AG1078" s="9"/>
      <c r="AH1078" s="9"/>
      <c r="AI1078" s="9"/>
    </row>
    <row r="1079" ht="15.75" customHeight="1">
      <c r="A1079" s="9"/>
      <c r="B1079" s="9"/>
      <c r="C1079" s="9"/>
      <c r="D1079" s="9"/>
      <c r="E1079" s="67"/>
      <c r="F1079" s="68"/>
      <c r="G1079" s="68"/>
      <c r="H1079" s="69"/>
      <c r="I1079" s="69"/>
      <c r="J1079" s="69"/>
      <c r="K1079" s="69"/>
      <c r="L1079" s="69"/>
      <c r="M1079" s="71"/>
      <c r="N1079" s="69"/>
      <c r="O1079" s="23"/>
      <c r="P1079" s="23"/>
      <c r="Q1079" s="9"/>
      <c r="R1079" s="9"/>
      <c r="S1079" s="9"/>
      <c r="T1079" s="9"/>
      <c r="U1079" s="9"/>
      <c r="V1079" s="9"/>
      <c r="W1079" s="9"/>
      <c r="X1079" s="9"/>
      <c r="Y1079" s="9"/>
      <c r="Z1079" s="9"/>
      <c r="AA1079" s="9"/>
      <c r="AB1079" s="9"/>
      <c r="AC1079" s="9"/>
      <c r="AD1079" s="25"/>
      <c r="AE1079" s="25"/>
      <c r="AF1079" s="9"/>
      <c r="AG1079" s="9"/>
      <c r="AH1079" s="9"/>
      <c r="AI1079" s="9"/>
    </row>
    <row r="1080" ht="15.75" customHeight="1">
      <c r="A1080" s="9"/>
      <c r="B1080" s="9"/>
      <c r="C1080" s="9"/>
      <c r="D1080" s="9"/>
      <c r="E1080" s="67"/>
      <c r="F1080" s="68"/>
      <c r="G1080" s="68"/>
      <c r="H1080" s="69"/>
      <c r="I1080" s="69"/>
      <c r="J1080" s="69"/>
      <c r="K1080" s="69"/>
      <c r="L1080" s="69"/>
      <c r="M1080" s="71"/>
      <c r="N1080" s="69"/>
      <c r="O1080" s="23"/>
      <c r="P1080" s="23"/>
      <c r="Q1080" s="9"/>
      <c r="R1080" s="9"/>
      <c r="S1080" s="9"/>
      <c r="T1080" s="9"/>
      <c r="U1080" s="9"/>
      <c r="V1080" s="9"/>
      <c r="W1080" s="9"/>
      <c r="X1080" s="9"/>
      <c r="Y1080" s="9"/>
      <c r="Z1080" s="9"/>
      <c r="AA1080" s="9"/>
      <c r="AB1080" s="9"/>
      <c r="AC1080" s="9"/>
      <c r="AD1080" s="25"/>
      <c r="AE1080" s="25"/>
      <c r="AF1080" s="9"/>
      <c r="AG1080" s="9"/>
      <c r="AH1080" s="9"/>
      <c r="AI1080" s="9"/>
    </row>
    <row r="1081" ht="15.75" customHeight="1">
      <c r="A1081" s="9"/>
      <c r="B1081" s="9"/>
      <c r="C1081" s="9"/>
      <c r="D1081" s="9"/>
      <c r="E1081" s="67"/>
      <c r="F1081" s="68"/>
      <c r="G1081" s="68"/>
      <c r="H1081" s="69"/>
      <c r="I1081" s="69"/>
      <c r="J1081" s="69"/>
      <c r="K1081" s="69"/>
      <c r="L1081" s="69"/>
      <c r="M1081" s="70"/>
      <c r="N1081" s="69"/>
      <c r="O1081" s="23"/>
      <c r="P1081" s="23"/>
      <c r="Q1081" s="9"/>
      <c r="R1081" s="9"/>
      <c r="S1081" s="9"/>
      <c r="T1081" s="9"/>
      <c r="U1081" s="9"/>
      <c r="V1081" s="9"/>
      <c r="W1081" s="9"/>
      <c r="X1081" s="9"/>
      <c r="Y1081" s="9"/>
      <c r="Z1081" s="9"/>
      <c r="AA1081" s="9"/>
      <c r="AB1081" s="9"/>
      <c r="AC1081" s="9"/>
      <c r="AD1081" s="25"/>
      <c r="AE1081" s="25"/>
      <c r="AF1081" s="9"/>
      <c r="AG1081" s="9"/>
      <c r="AH1081" s="9"/>
      <c r="AI1081" s="9"/>
    </row>
    <row r="1082" ht="15.75" customHeight="1">
      <c r="A1082" s="9"/>
      <c r="B1082" s="9"/>
      <c r="C1082" s="9"/>
      <c r="D1082" s="9"/>
      <c r="E1082" s="67"/>
      <c r="F1082" s="68"/>
      <c r="G1082" s="68"/>
      <c r="H1082" s="69"/>
      <c r="I1082" s="69"/>
      <c r="J1082" s="69"/>
      <c r="K1082" s="69"/>
      <c r="L1082" s="69"/>
      <c r="M1082" s="69"/>
      <c r="N1082" s="69"/>
      <c r="O1082" s="23"/>
      <c r="P1082" s="23"/>
      <c r="Q1082" s="9"/>
      <c r="R1082" s="9"/>
      <c r="S1082" s="9"/>
      <c r="T1082" s="9"/>
      <c r="U1082" s="9"/>
      <c r="V1082" s="9"/>
      <c r="W1082" s="9"/>
      <c r="X1082" s="9"/>
      <c r="Y1082" s="9"/>
      <c r="Z1082" s="9"/>
      <c r="AA1082" s="9"/>
      <c r="AB1082" s="9"/>
      <c r="AC1082" s="9"/>
      <c r="AD1082" s="25"/>
      <c r="AE1082" s="25"/>
      <c r="AF1082" s="9"/>
      <c r="AG1082" s="9"/>
      <c r="AH1082" s="9"/>
      <c r="AI1082" s="9"/>
    </row>
    <row r="1083" ht="15.75" customHeight="1">
      <c r="A1083" s="9"/>
      <c r="B1083" s="9"/>
      <c r="C1083" s="9"/>
      <c r="D1083" s="9"/>
      <c r="E1083" s="67"/>
      <c r="F1083" s="68"/>
      <c r="G1083" s="68"/>
      <c r="H1083" s="69"/>
      <c r="I1083" s="69"/>
      <c r="J1083" s="69"/>
      <c r="K1083" s="69"/>
      <c r="L1083" s="69"/>
      <c r="M1083" s="70"/>
      <c r="N1083" s="69"/>
      <c r="O1083" s="23"/>
      <c r="P1083" s="23"/>
      <c r="Q1083" s="9"/>
      <c r="R1083" s="9"/>
      <c r="S1083" s="9"/>
      <c r="T1083" s="9"/>
      <c r="U1083" s="9"/>
      <c r="V1083" s="9"/>
      <c r="W1083" s="9"/>
      <c r="X1083" s="9"/>
      <c r="Y1083" s="9"/>
      <c r="Z1083" s="9"/>
      <c r="AA1083" s="9"/>
      <c r="AB1083" s="9"/>
      <c r="AC1083" s="9"/>
      <c r="AD1083" s="25"/>
      <c r="AE1083" s="25"/>
      <c r="AF1083" s="9"/>
      <c r="AG1083" s="9"/>
      <c r="AH1083" s="9"/>
      <c r="AI1083" s="9"/>
    </row>
    <row r="1084" ht="15.75" customHeight="1">
      <c r="A1084" s="9"/>
      <c r="B1084" s="9"/>
      <c r="C1084" s="9"/>
      <c r="D1084" s="9"/>
      <c r="E1084" s="67"/>
      <c r="F1084" s="68"/>
      <c r="G1084" s="68"/>
      <c r="H1084" s="69"/>
      <c r="I1084" s="69"/>
      <c r="J1084" s="69"/>
      <c r="K1084" s="69"/>
      <c r="L1084" s="69"/>
      <c r="M1084" s="70"/>
      <c r="N1084" s="69"/>
      <c r="O1084" s="23"/>
      <c r="P1084" s="23"/>
      <c r="Q1084" s="9"/>
      <c r="R1084" s="9"/>
      <c r="S1084" s="9"/>
      <c r="T1084" s="9"/>
      <c r="U1084" s="9"/>
      <c r="V1084" s="9"/>
      <c r="W1084" s="9"/>
      <c r="X1084" s="9"/>
      <c r="Y1084" s="9"/>
      <c r="Z1084" s="9"/>
      <c r="AA1084" s="9"/>
      <c r="AB1084" s="9"/>
      <c r="AC1084" s="9"/>
      <c r="AD1084" s="25"/>
      <c r="AE1084" s="25"/>
      <c r="AF1084" s="9"/>
      <c r="AG1084" s="9"/>
      <c r="AH1084" s="9"/>
      <c r="AI1084" s="9"/>
    </row>
    <row r="1085" ht="15.75" customHeight="1">
      <c r="A1085" s="9"/>
      <c r="B1085" s="9"/>
      <c r="C1085" s="9"/>
      <c r="D1085" s="9"/>
      <c r="E1085" s="67"/>
      <c r="F1085" s="68"/>
      <c r="G1085" s="68"/>
      <c r="H1085" s="69"/>
      <c r="I1085" s="69"/>
      <c r="J1085" s="69"/>
      <c r="K1085" s="69"/>
      <c r="L1085" s="69"/>
      <c r="M1085" s="70"/>
      <c r="N1085" s="69"/>
      <c r="O1085" s="23"/>
      <c r="P1085" s="23"/>
      <c r="Q1085" s="9"/>
      <c r="R1085" s="9"/>
      <c r="S1085" s="9"/>
      <c r="T1085" s="9"/>
      <c r="U1085" s="9"/>
      <c r="V1085" s="9"/>
      <c r="W1085" s="9"/>
      <c r="X1085" s="9"/>
      <c r="Y1085" s="9"/>
      <c r="Z1085" s="9"/>
      <c r="AA1085" s="9"/>
      <c r="AB1085" s="9"/>
      <c r="AC1085" s="9"/>
      <c r="AD1085" s="25"/>
      <c r="AE1085" s="25"/>
      <c r="AF1085" s="9"/>
      <c r="AG1085" s="9"/>
      <c r="AH1085" s="9"/>
      <c r="AI1085" s="9"/>
    </row>
    <row r="1086" ht="15.75" customHeight="1">
      <c r="A1086" s="9"/>
      <c r="B1086" s="9"/>
      <c r="C1086" s="9"/>
      <c r="D1086" s="9"/>
      <c r="E1086" s="67"/>
      <c r="F1086" s="68"/>
      <c r="G1086" s="68"/>
      <c r="H1086" s="69"/>
      <c r="I1086" s="69"/>
      <c r="J1086" s="69"/>
      <c r="K1086" s="69"/>
      <c r="L1086" s="69"/>
      <c r="M1086" s="70"/>
      <c r="N1086" s="69"/>
      <c r="O1086" s="23"/>
      <c r="P1086" s="23"/>
      <c r="Q1086" s="9"/>
      <c r="R1086" s="9"/>
      <c r="S1086" s="9"/>
      <c r="T1086" s="9"/>
      <c r="U1086" s="9"/>
      <c r="V1086" s="9"/>
      <c r="W1086" s="9"/>
      <c r="X1086" s="9"/>
      <c r="Y1086" s="9"/>
      <c r="Z1086" s="9"/>
      <c r="AA1086" s="9"/>
      <c r="AB1086" s="9"/>
      <c r="AC1086" s="9"/>
      <c r="AD1086" s="25"/>
      <c r="AE1086" s="25"/>
      <c r="AF1086" s="9"/>
      <c r="AG1086" s="9"/>
      <c r="AH1086" s="9"/>
      <c r="AI1086" s="9"/>
    </row>
    <row r="1087" ht="15.75" customHeight="1">
      <c r="A1087" s="9"/>
      <c r="B1087" s="9"/>
      <c r="C1087" s="9"/>
      <c r="D1087" s="9"/>
      <c r="E1087" s="67"/>
      <c r="F1087" s="68"/>
      <c r="G1087" s="68"/>
      <c r="H1087" s="69"/>
      <c r="I1087" s="69"/>
      <c r="J1087" s="69"/>
      <c r="K1087" s="69"/>
      <c r="L1087" s="69"/>
      <c r="M1087" s="70"/>
      <c r="N1087" s="69"/>
      <c r="O1087" s="23"/>
      <c r="P1087" s="23"/>
      <c r="Q1087" s="9"/>
      <c r="R1087" s="9"/>
      <c r="S1087" s="9"/>
      <c r="T1087" s="9"/>
      <c r="U1087" s="9"/>
      <c r="V1087" s="9"/>
      <c r="W1087" s="9"/>
      <c r="X1087" s="9"/>
      <c r="Y1087" s="9"/>
      <c r="Z1087" s="9"/>
      <c r="AA1087" s="9"/>
      <c r="AB1087" s="9"/>
      <c r="AC1087" s="9"/>
      <c r="AD1087" s="25"/>
      <c r="AE1087" s="25"/>
      <c r="AF1087" s="9"/>
      <c r="AG1087" s="9"/>
      <c r="AH1087" s="9"/>
      <c r="AI1087" s="9"/>
    </row>
    <row r="1088" ht="15.75" customHeight="1">
      <c r="A1088" s="9"/>
      <c r="B1088" s="9"/>
      <c r="C1088" s="9"/>
      <c r="D1088" s="9"/>
      <c r="E1088" s="67"/>
      <c r="F1088" s="68"/>
      <c r="G1088" s="68"/>
      <c r="H1088" s="69"/>
      <c r="I1088" s="69"/>
      <c r="J1088" s="69"/>
      <c r="K1088" s="69"/>
      <c r="L1088" s="69"/>
      <c r="M1088" s="70"/>
      <c r="N1088" s="69"/>
      <c r="O1088" s="23"/>
      <c r="P1088" s="23"/>
      <c r="Q1088" s="9"/>
      <c r="R1088" s="9"/>
      <c r="S1088" s="9"/>
      <c r="T1088" s="9"/>
      <c r="U1088" s="9"/>
      <c r="V1088" s="9"/>
      <c r="W1088" s="9"/>
      <c r="X1088" s="9"/>
      <c r="Y1088" s="9"/>
      <c r="Z1088" s="9"/>
      <c r="AA1088" s="9"/>
      <c r="AB1088" s="9"/>
      <c r="AC1088" s="9"/>
      <c r="AD1088" s="25"/>
      <c r="AE1088" s="25"/>
      <c r="AF1088" s="9"/>
      <c r="AG1088" s="9"/>
      <c r="AH1088" s="9"/>
      <c r="AI1088" s="9"/>
    </row>
    <row r="1089" ht="15.75" customHeight="1">
      <c r="A1089" s="9"/>
      <c r="B1089" s="9"/>
      <c r="C1089" s="9"/>
      <c r="D1089" s="9"/>
      <c r="E1089" s="67"/>
      <c r="F1089" s="68"/>
      <c r="G1089" s="68"/>
      <c r="H1089" s="69"/>
      <c r="I1089" s="69"/>
      <c r="J1089" s="69"/>
      <c r="K1089" s="69"/>
      <c r="L1089" s="69"/>
      <c r="M1089" s="70"/>
      <c r="N1089" s="69"/>
      <c r="O1089" s="23"/>
      <c r="P1089" s="23"/>
      <c r="Q1089" s="9"/>
      <c r="R1089" s="9"/>
      <c r="S1089" s="9"/>
      <c r="T1089" s="9"/>
      <c r="U1089" s="9"/>
      <c r="V1089" s="9"/>
      <c r="W1089" s="9"/>
      <c r="X1089" s="9"/>
      <c r="Y1089" s="9"/>
      <c r="Z1089" s="9"/>
      <c r="AA1089" s="9"/>
      <c r="AB1089" s="9"/>
      <c r="AC1089" s="9"/>
      <c r="AD1089" s="25"/>
      <c r="AE1089" s="25"/>
      <c r="AF1089" s="9"/>
      <c r="AG1089" s="9"/>
      <c r="AH1089" s="9"/>
      <c r="AI1089" s="9"/>
    </row>
    <row r="1090" ht="15.75" customHeight="1">
      <c r="A1090" s="9"/>
      <c r="B1090" s="9"/>
      <c r="C1090" s="9"/>
      <c r="D1090" s="9"/>
      <c r="E1090" s="67"/>
      <c r="F1090" s="68"/>
      <c r="G1090" s="68"/>
      <c r="H1090" s="69"/>
      <c r="I1090" s="69"/>
      <c r="J1090" s="69"/>
      <c r="K1090" s="69"/>
      <c r="L1090" s="69"/>
      <c r="M1090" s="70"/>
      <c r="N1090" s="69"/>
      <c r="O1090" s="23"/>
      <c r="P1090" s="23"/>
      <c r="Q1090" s="9"/>
      <c r="R1090" s="9"/>
      <c r="S1090" s="9"/>
      <c r="T1090" s="9"/>
      <c r="U1090" s="9"/>
      <c r="V1090" s="9"/>
      <c r="W1090" s="9"/>
      <c r="X1090" s="9"/>
      <c r="Y1090" s="9"/>
      <c r="Z1090" s="9"/>
      <c r="AA1090" s="9"/>
      <c r="AB1090" s="9"/>
      <c r="AC1090" s="9"/>
      <c r="AD1090" s="25"/>
      <c r="AE1090" s="25"/>
      <c r="AF1090" s="9"/>
      <c r="AG1090" s="9"/>
      <c r="AH1090" s="9"/>
      <c r="AI1090" s="9"/>
    </row>
    <row r="1091" ht="15.75" customHeight="1">
      <c r="A1091" s="9"/>
      <c r="B1091" s="9"/>
      <c r="C1091" s="9"/>
      <c r="D1091" s="9"/>
      <c r="E1091" s="67"/>
      <c r="F1091" s="68"/>
      <c r="G1091" s="68"/>
      <c r="H1091" s="69"/>
      <c r="I1091" s="69"/>
      <c r="J1091" s="69"/>
      <c r="K1091" s="69"/>
      <c r="L1091" s="69"/>
      <c r="M1091" s="71"/>
      <c r="N1091" s="69"/>
      <c r="O1091" s="23"/>
      <c r="P1091" s="23"/>
      <c r="Q1091" s="9"/>
      <c r="R1091" s="9"/>
      <c r="S1091" s="9"/>
      <c r="T1091" s="9"/>
      <c r="U1091" s="9"/>
      <c r="V1091" s="9"/>
      <c r="W1091" s="9"/>
      <c r="X1091" s="9"/>
      <c r="Y1091" s="9"/>
      <c r="Z1091" s="9"/>
      <c r="AA1091" s="9"/>
      <c r="AB1091" s="9"/>
      <c r="AC1091" s="9"/>
      <c r="AD1091" s="25"/>
      <c r="AE1091" s="25"/>
      <c r="AF1091" s="9"/>
      <c r="AG1091" s="9"/>
      <c r="AH1091" s="9"/>
      <c r="AI1091" s="9"/>
    </row>
    <row r="1092" ht="15.75" customHeight="1">
      <c r="A1092" s="9"/>
      <c r="B1092" s="9"/>
      <c r="C1092" s="9"/>
      <c r="D1092" s="9"/>
      <c r="E1092" s="67"/>
      <c r="F1092" s="68"/>
      <c r="G1092" s="68"/>
      <c r="H1092" s="69"/>
      <c r="I1092" s="69"/>
      <c r="J1092" s="69"/>
      <c r="K1092" s="69"/>
      <c r="L1092" s="69"/>
      <c r="M1092" s="70"/>
      <c r="N1092" s="69"/>
      <c r="O1092" s="23"/>
      <c r="P1092" s="23"/>
      <c r="Q1092" s="9"/>
      <c r="R1092" s="9"/>
      <c r="S1092" s="9"/>
      <c r="T1092" s="9"/>
      <c r="U1092" s="9"/>
      <c r="V1092" s="9"/>
      <c r="W1092" s="9"/>
      <c r="X1092" s="9"/>
      <c r="Y1092" s="9"/>
      <c r="Z1092" s="9"/>
      <c r="AA1092" s="9"/>
      <c r="AB1092" s="9"/>
      <c r="AC1092" s="9"/>
      <c r="AD1092" s="25"/>
      <c r="AE1092" s="25"/>
      <c r="AF1092" s="9"/>
      <c r="AG1092" s="9"/>
      <c r="AH1092" s="9"/>
      <c r="AI1092" s="9"/>
    </row>
    <row r="1093" ht="15.75" customHeight="1">
      <c r="A1093" s="9"/>
      <c r="B1093" s="9"/>
      <c r="C1093" s="9"/>
      <c r="D1093" s="9"/>
      <c r="E1093" s="67"/>
      <c r="F1093" s="68"/>
      <c r="G1093" s="68"/>
      <c r="H1093" s="69"/>
      <c r="I1093" s="69"/>
      <c r="J1093" s="69"/>
      <c r="K1093" s="69"/>
      <c r="L1093" s="69"/>
      <c r="M1093" s="70"/>
      <c r="N1093" s="69"/>
      <c r="O1093" s="23"/>
      <c r="P1093" s="23"/>
      <c r="Q1093" s="9"/>
      <c r="R1093" s="9"/>
      <c r="S1093" s="9"/>
      <c r="T1093" s="9"/>
      <c r="U1093" s="9"/>
      <c r="V1093" s="9"/>
      <c r="W1093" s="9"/>
      <c r="X1093" s="9"/>
      <c r="Y1093" s="9"/>
      <c r="Z1093" s="9"/>
      <c r="AA1093" s="9"/>
      <c r="AB1093" s="9"/>
      <c r="AC1093" s="9"/>
      <c r="AD1093" s="25"/>
      <c r="AE1093" s="25"/>
      <c r="AF1093" s="9"/>
      <c r="AG1093" s="9"/>
      <c r="AH1093" s="9"/>
      <c r="AI1093" s="9"/>
    </row>
    <row r="1094" ht="15.75" customHeight="1">
      <c r="A1094" s="9"/>
      <c r="B1094" s="9"/>
      <c r="C1094" s="9"/>
      <c r="D1094" s="9"/>
      <c r="E1094" s="67"/>
      <c r="F1094" s="68"/>
      <c r="G1094" s="68"/>
      <c r="H1094" s="69"/>
      <c r="I1094" s="69"/>
      <c r="J1094" s="69"/>
      <c r="K1094" s="69"/>
      <c r="L1094" s="69"/>
      <c r="M1094" s="70"/>
      <c r="N1094" s="69"/>
      <c r="O1094" s="23"/>
      <c r="P1094" s="23"/>
      <c r="Q1094" s="9"/>
      <c r="R1094" s="9"/>
      <c r="S1094" s="9"/>
      <c r="T1094" s="9"/>
      <c r="U1094" s="9"/>
      <c r="V1094" s="9"/>
      <c r="W1094" s="9"/>
      <c r="X1094" s="9"/>
      <c r="Y1094" s="9"/>
      <c r="Z1094" s="9"/>
      <c r="AA1094" s="9"/>
      <c r="AB1094" s="9"/>
      <c r="AC1094" s="9"/>
      <c r="AD1094" s="25"/>
      <c r="AE1094" s="25"/>
      <c r="AF1094" s="9"/>
      <c r="AG1094" s="9"/>
      <c r="AH1094" s="9"/>
      <c r="AI1094" s="9"/>
    </row>
    <row r="1095" ht="15.75" customHeight="1">
      <c r="A1095" s="9"/>
      <c r="B1095" s="9"/>
      <c r="C1095" s="9"/>
      <c r="D1095" s="9"/>
      <c r="E1095" s="67"/>
      <c r="F1095" s="68"/>
      <c r="G1095" s="68"/>
      <c r="H1095" s="69"/>
      <c r="I1095" s="69"/>
      <c r="J1095" s="69"/>
      <c r="K1095" s="69"/>
      <c r="L1095" s="69"/>
      <c r="M1095" s="69"/>
      <c r="N1095" s="69"/>
      <c r="O1095" s="23"/>
      <c r="P1095" s="23"/>
      <c r="Q1095" s="9"/>
      <c r="R1095" s="9"/>
      <c r="S1095" s="9"/>
      <c r="T1095" s="9"/>
      <c r="U1095" s="9"/>
      <c r="V1095" s="9"/>
      <c r="W1095" s="9"/>
      <c r="X1095" s="9"/>
      <c r="Y1095" s="9"/>
      <c r="Z1095" s="9"/>
      <c r="AA1095" s="9"/>
      <c r="AB1095" s="9"/>
      <c r="AC1095" s="9"/>
      <c r="AD1095" s="25"/>
      <c r="AE1095" s="25"/>
      <c r="AF1095" s="9"/>
      <c r="AG1095" s="9"/>
      <c r="AH1095" s="9"/>
      <c r="AI1095" s="9"/>
    </row>
    <row r="1096" ht="15.75" customHeight="1">
      <c r="A1096" s="9"/>
      <c r="B1096" s="9"/>
      <c r="C1096" s="9"/>
      <c r="D1096" s="9"/>
      <c r="E1096" s="67"/>
      <c r="F1096" s="68"/>
      <c r="G1096" s="68"/>
      <c r="H1096" s="69"/>
      <c r="I1096" s="69"/>
      <c r="J1096" s="69"/>
      <c r="K1096" s="69"/>
      <c r="L1096" s="69"/>
      <c r="M1096" s="70"/>
      <c r="N1096" s="69"/>
      <c r="O1096" s="23"/>
      <c r="P1096" s="23"/>
      <c r="Q1096" s="9"/>
      <c r="R1096" s="9"/>
      <c r="S1096" s="9"/>
      <c r="T1096" s="9"/>
      <c r="U1096" s="9"/>
      <c r="V1096" s="9"/>
      <c r="W1096" s="9"/>
      <c r="X1096" s="9"/>
      <c r="Y1096" s="9"/>
      <c r="Z1096" s="9"/>
      <c r="AA1096" s="9"/>
      <c r="AB1096" s="9"/>
      <c r="AC1096" s="9"/>
      <c r="AD1096" s="25"/>
      <c r="AE1096" s="25"/>
      <c r="AF1096" s="9"/>
      <c r="AG1096" s="9"/>
      <c r="AH1096" s="9"/>
      <c r="AI1096" s="9"/>
    </row>
    <row r="1097" ht="15.75" customHeight="1">
      <c r="A1097" s="9"/>
      <c r="B1097" s="9"/>
      <c r="C1097" s="9"/>
      <c r="D1097" s="9"/>
      <c r="E1097" s="67"/>
      <c r="F1097" s="68"/>
      <c r="G1097" s="68"/>
      <c r="H1097" s="69"/>
      <c r="I1097" s="69"/>
      <c r="J1097" s="69"/>
      <c r="K1097" s="69"/>
      <c r="L1097" s="69"/>
      <c r="M1097" s="70"/>
      <c r="N1097" s="69"/>
      <c r="O1097" s="23"/>
      <c r="P1097" s="23"/>
      <c r="Q1097" s="9"/>
      <c r="R1097" s="9"/>
      <c r="S1097" s="9"/>
      <c r="T1097" s="9"/>
      <c r="U1097" s="9"/>
      <c r="V1097" s="9"/>
      <c r="W1097" s="9"/>
      <c r="X1097" s="9"/>
      <c r="Y1097" s="9"/>
      <c r="Z1097" s="9"/>
      <c r="AA1097" s="9"/>
      <c r="AB1097" s="9"/>
      <c r="AC1097" s="9"/>
      <c r="AD1097" s="25"/>
      <c r="AE1097" s="25"/>
      <c r="AF1097" s="9"/>
      <c r="AG1097" s="9"/>
      <c r="AH1097" s="9"/>
      <c r="AI1097" s="9"/>
    </row>
    <row r="1098" ht="15.75" customHeight="1">
      <c r="A1098" s="9"/>
      <c r="B1098" s="9"/>
      <c r="C1098" s="9"/>
      <c r="D1098" s="9"/>
      <c r="E1098" s="67"/>
      <c r="F1098" s="68"/>
      <c r="G1098" s="68"/>
      <c r="H1098" s="69"/>
      <c r="I1098" s="69"/>
      <c r="J1098" s="69"/>
      <c r="K1098" s="69"/>
      <c r="L1098" s="69"/>
      <c r="M1098" s="70"/>
      <c r="N1098" s="69"/>
      <c r="O1098" s="23"/>
      <c r="P1098" s="23"/>
      <c r="Q1098" s="9"/>
      <c r="R1098" s="9"/>
      <c r="S1098" s="9"/>
      <c r="T1098" s="9"/>
      <c r="U1098" s="9"/>
      <c r="V1098" s="9"/>
      <c r="W1098" s="9"/>
      <c r="X1098" s="9"/>
      <c r="Y1098" s="9"/>
      <c r="Z1098" s="9"/>
      <c r="AA1098" s="9"/>
      <c r="AB1098" s="9"/>
      <c r="AC1098" s="9"/>
      <c r="AD1098" s="25"/>
      <c r="AE1098" s="25"/>
      <c r="AF1098" s="9"/>
      <c r="AG1098" s="9"/>
      <c r="AH1098" s="9"/>
      <c r="AI1098" s="9"/>
    </row>
    <row r="1099" ht="15.75" customHeight="1">
      <c r="A1099" s="9"/>
      <c r="B1099" s="9"/>
      <c r="C1099" s="9"/>
      <c r="D1099" s="9"/>
      <c r="E1099" s="67"/>
      <c r="F1099" s="68"/>
      <c r="G1099" s="68"/>
      <c r="H1099" s="69"/>
      <c r="I1099" s="69"/>
      <c r="J1099" s="69"/>
      <c r="K1099" s="69"/>
      <c r="L1099" s="69"/>
      <c r="M1099" s="70"/>
      <c r="N1099" s="69"/>
      <c r="O1099" s="23"/>
      <c r="P1099" s="23"/>
      <c r="Q1099" s="9"/>
      <c r="R1099" s="9"/>
      <c r="S1099" s="9"/>
      <c r="T1099" s="9"/>
      <c r="U1099" s="9"/>
      <c r="V1099" s="9"/>
      <c r="W1099" s="9"/>
      <c r="X1099" s="9"/>
      <c r="Y1099" s="9"/>
      <c r="Z1099" s="9"/>
      <c r="AA1099" s="9"/>
      <c r="AB1099" s="9"/>
      <c r="AC1099" s="9"/>
      <c r="AD1099" s="25"/>
      <c r="AE1099" s="25"/>
      <c r="AF1099" s="9"/>
      <c r="AG1099" s="9"/>
      <c r="AH1099" s="9"/>
      <c r="AI1099" s="9"/>
    </row>
    <row r="1100" ht="15.75" customHeight="1">
      <c r="A1100" s="9"/>
      <c r="B1100" s="9"/>
      <c r="C1100" s="9"/>
      <c r="D1100" s="9"/>
      <c r="E1100" s="67"/>
      <c r="F1100" s="68"/>
      <c r="G1100" s="68"/>
      <c r="H1100" s="69"/>
      <c r="I1100" s="69"/>
      <c r="J1100" s="69"/>
      <c r="K1100" s="69"/>
      <c r="L1100" s="69"/>
      <c r="M1100" s="70"/>
      <c r="N1100" s="69"/>
      <c r="O1100" s="23"/>
      <c r="P1100" s="23"/>
      <c r="Q1100" s="9"/>
      <c r="R1100" s="9"/>
      <c r="S1100" s="9"/>
      <c r="T1100" s="9"/>
      <c r="U1100" s="9"/>
      <c r="V1100" s="9"/>
      <c r="W1100" s="9"/>
      <c r="X1100" s="9"/>
      <c r="Y1100" s="9"/>
      <c r="Z1100" s="9"/>
      <c r="AA1100" s="9"/>
      <c r="AB1100" s="9"/>
      <c r="AC1100" s="9"/>
      <c r="AD1100" s="25"/>
      <c r="AE1100" s="25"/>
      <c r="AF1100" s="9"/>
      <c r="AG1100" s="9"/>
      <c r="AH1100" s="9"/>
      <c r="AI1100" s="9"/>
    </row>
    <row r="1101" ht="15.75" customHeight="1">
      <c r="A1101" s="9"/>
      <c r="B1101" s="9"/>
      <c r="C1101" s="9"/>
      <c r="D1101" s="9"/>
      <c r="E1101" s="67"/>
      <c r="F1101" s="68"/>
      <c r="G1101" s="68"/>
      <c r="H1101" s="69"/>
      <c r="I1101" s="69"/>
      <c r="J1101" s="69"/>
      <c r="K1101" s="69"/>
      <c r="L1101" s="69"/>
      <c r="M1101" s="70"/>
      <c r="N1101" s="69"/>
      <c r="O1101" s="23"/>
      <c r="P1101" s="23"/>
      <c r="Q1101" s="9"/>
      <c r="R1101" s="9"/>
      <c r="S1101" s="9"/>
      <c r="T1101" s="9"/>
      <c r="U1101" s="9"/>
      <c r="V1101" s="9"/>
      <c r="W1101" s="9"/>
      <c r="X1101" s="9"/>
      <c r="Y1101" s="9"/>
      <c r="Z1101" s="9"/>
      <c r="AA1101" s="9"/>
      <c r="AB1101" s="9"/>
      <c r="AC1101" s="9"/>
      <c r="AD1101" s="25"/>
      <c r="AE1101" s="25"/>
      <c r="AF1101" s="9"/>
      <c r="AG1101" s="9"/>
      <c r="AH1101" s="9"/>
      <c r="AI1101" s="9"/>
    </row>
    <row r="1102" ht="15.75" customHeight="1">
      <c r="A1102" s="9"/>
      <c r="B1102" s="9"/>
      <c r="C1102" s="9"/>
      <c r="D1102" s="9"/>
      <c r="E1102" s="67"/>
      <c r="F1102" s="68"/>
      <c r="G1102" s="68"/>
      <c r="H1102" s="69"/>
      <c r="I1102" s="69"/>
      <c r="J1102" s="69"/>
      <c r="K1102" s="69"/>
      <c r="L1102" s="69"/>
      <c r="M1102" s="70"/>
      <c r="N1102" s="69"/>
      <c r="O1102" s="23"/>
      <c r="P1102" s="23"/>
      <c r="Q1102" s="9"/>
      <c r="R1102" s="9"/>
      <c r="S1102" s="9"/>
      <c r="T1102" s="9"/>
      <c r="U1102" s="9"/>
      <c r="V1102" s="9"/>
      <c r="W1102" s="9"/>
      <c r="X1102" s="9"/>
      <c r="Y1102" s="9"/>
      <c r="Z1102" s="9"/>
      <c r="AA1102" s="9"/>
      <c r="AB1102" s="9"/>
      <c r="AC1102" s="9"/>
      <c r="AD1102" s="25"/>
      <c r="AE1102" s="25"/>
      <c r="AF1102" s="9"/>
      <c r="AG1102" s="9"/>
      <c r="AH1102" s="9"/>
      <c r="AI1102" s="9"/>
    </row>
    <row r="1103" ht="15.75" customHeight="1">
      <c r="A1103" s="9"/>
      <c r="B1103" s="9"/>
      <c r="C1103" s="9"/>
      <c r="D1103" s="9"/>
      <c r="E1103" s="67"/>
      <c r="F1103" s="68"/>
      <c r="G1103" s="68"/>
      <c r="H1103" s="69"/>
      <c r="I1103" s="69"/>
      <c r="J1103" s="69"/>
      <c r="K1103" s="69"/>
      <c r="L1103" s="69"/>
      <c r="M1103" s="69"/>
      <c r="N1103" s="69"/>
      <c r="O1103" s="23"/>
      <c r="P1103" s="23"/>
      <c r="Q1103" s="9"/>
      <c r="R1103" s="9"/>
      <c r="S1103" s="9"/>
      <c r="T1103" s="9"/>
      <c r="U1103" s="9"/>
      <c r="V1103" s="9"/>
      <c r="W1103" s="9"/>
      <c r="X1103" s="9"/>
      <c r="Y1103" s="9"/>
      <c r="Z1103" s="9"/>
      <c r="AA1103" s="9"/>
      <c r="AB1103" s="9"/>
      <c r="AC1103" s="9"/>
      <c r="AD1103" s="25"/>
      <c r="AE1103" s="25"/>
      <c r="AF1103" s="9"/>
      <c r="AG1103" s="9"/>
      <c r="AH1103" s="9"/>
      <c r="AI1103" s="9"/>
    </row>
    <row r="1104" ht="15.75" customHeight="1">
      <c r="A1104" s="9"/>
      <c r="B1104" s="9"/>
      <c r="C1104" s="9"/>
      <c r="D1104" s="9"/>
      <c r="E1104" s="67"/>
      <c r="F1104" s="68"/>
      <c r="G1104" s="68"/>
      <c r="H1104" s="69"/>
      <c r="I1104" s="69"/>
      <c r="J1104" s="69"/>
      <c r="K1104" s="69"/>
      <c r="L1104" s="69"/>
      <c r="M1104" s="69"/>
      <c r="N1104" s="69"/>
      <c r="O1104" s="23"/>
      <c r="P1104" s="23"/>
      <c r="Q1104" s="9"/>
      <c r="R1104" s="9"/>
      <c r="S1104" s="9"/>
      <c r="T1104" s="9"/>
      <c r="U1104" s="9"/>
      <c r="V1104" s="9"/>
      <c r="W1104" s="9"/>
      <c r="X1104" s="9"/>
      <c r="Y1104" s="9"/>
      <c r="Z1104" s="9"/>
      <c r="AA1104" s="9"/>
      <c r="AB1104" s="9"/>
      <c r="AC1104" s="9"/>
      <c r="AD1104" s="25"/>
      <c r="AE1104" s="25"/>
      <c r="AF1104" s="9"/>
      <c r="AG1104" s="9"/>
      <c r="AH1104" s="9"/>
      <c r="AI1104" s="9"/>
    </row>
    <row r="1105" ht="15.75" customHeight="1">
      <c r="A1105" s="9"/>
      <c r="B1105" s="9"/>
      <c r="C1105" s="9"/>
      <c r="D1105" s="9"/>
      <c r="E1105" s="67"/>
      <c r="F1105" s="68"/>
      <c r="G1105" s="68"/>
      <c r="H1105" s="69"/>
      <c r="I1105" s="69"/>
      <c r="J1105" s="69"/>
      <c r="K1105" s="69"/>
      <c r="L1105" s="69"/>
      <c r="M1105" s="69"/>
      <c r="N1105" s="69"/>
      <c r="O1105" s="23"/>
      <c r="P1105" s="23"/>
      <c r="Q1105" s="9"/>
      <c r="R1105" s="9"/>
      <c r="S1105" s="9"/>
      <c r="T1105" s="9"/>
      <c r="U1105" s="9"/>
      <c r="V1105" s="9"/>
      <c r="W1105" s="9"/>
      <c r="X1105" s="9"/>
      <c r="Y1105" s="9"/>
      <c r="Z1105" s="9"/>
      <c r="AA1105" s="9"/>
      <c r="AB1105" s="9"/>
      <c r="AC1105" s="9"/>
      <c r="AD1105" s="25"/>
      <c r="AE1105" s="25"/>
      <c r="AF1105" s="9"/>
      <c r="AG1105" s="9"/>
      <c r="AH1105" s="9"/>
      <c r="AI1105" s="9"/>
    </row>
    <row r="1106" ht="15.75" customHeight="1">
      <c r="A1106" s="9"/>
      <c r="B1106" s="9"/>
      <c r="C1106" s="9"/>
      <c r="D1106" s="9"/>
      <c r="E1106" s="67"/>
      <c r="F1106" s="68"/>
      <c r="G1106" s="68"/>
      <c r="H1106" s="69"/>
      <c r="I1106" s="69"/>
      <c r="J1106" s="69"/>
      <c r="K1106" s="69"/>
      <c r="L1106" s="69"/>
      <c r="M1106" s="69"/>
      <c r="N1106" s="69"/>
      <c r="O1106" s="23"/>
      <c r="P1106" s="23"/>
      <c r="Q1106" s="9"/>
      <c r="R1106" s="9"/>
      <c r="S1106" s="9"/>
      <c r="T1106" s="9"/>
      <c r="U1106" s="9"/>
      <c r="V1106" s="9"/>
      <c r="W1106" s="9"/>
      <c r="X1106" s="9"/>
      <c r="Y1106" s="9"/>
      <c r="Z1106" s="9"/>
      <c r="AA1106" s="9"/>
      <c r="AB1106" s="9"/>
      <c r="AC1106" s="9"/>
      <c r="AD1106" s="25"/>
      <c r="AE1106" s="25"/>
      <c r="AF1106" s="9"/>
      <c r="AG1106" s="9"/>
      <c r="AH1106" s="9"/>
      <c r="AI1106" s="9"/>
    </row>
    <row r="1107" ht="15.75" customHeight="1">
      <c r="A1107" s="9"/>
      <c r="B1107" s="9"/>
      <c r="C1107" s="9"/>
      <c r="D1107" s="9"/>
      <c r="E1107" s="67"/>
      <c r="F1107" s="68"/>
      <c r="G1107" s="68"/>
      <c r="H1107" s="69"/>
      <c r="I1107" s="69"/>
      <c r="J1107" s="69"/>
      <c r="K1107" s="69"/>
      <c r="L1107" s="69"/>
      <c r="M1107" s="70"/>
      <c r="N1107" s="69"/>
      <c r="O1107" s="23"/>
      <c r="P1107" s="23"/>
      <c r="Q1107" s="9"/>
      <c r="R1107" s="9"/>
      <c r="S1107" s="9"/>
      <c r="T1107" s="9"/>
      <c r="U1107" s="9"/>
      <c r="V1107" s="9"/>
      <c r="W1107" s="9"/>
      <c r="X1107" s="9"/>
      <c r="Y1107" s="9"/>
      <c r="Z1107" s="9"/>
      <c r="AA1107" s="9"/>
      <c r="AB1107" s="9"/>
      <c r="AC1107" s="9"/>
      <c r="AD1107" s="25"/>
      <c r="AE1107" s="25"/>
      <c r="AF1107" s="9"/>
      <c r="AG1107" s="9"/>
      <c r="AH1107" s="9"/>
      <c r="AI1107" s="9"/>
    </row>
    <row r="1108" ht="15.75" customHeight="1">
      <c r="A1108" s="9"/>
      <c r="B1108" s="9"/>
      <c r="C1108" s="9"/>
      <c r="D1108" s="9"/>
      <c r="E1108" s="67"/>
      <c r="F1108" s="68"/>
      <c r="G1108" s="68"/>
      <c r="H1108" s="69"/>
      <c r="I1108" s="69"/>
      <c r="J1108" s="69"/>
      <c r="K1108" s="69"/>
      <c r="L1108" s="69"/>
      <c r="M1108" s="70"/>
      <c r="N1108" s="69"/>
      <c r="O1108" s="23"/>
      <c r="P1108" s="23"/>
      <c r="Q1108" s="9"/>
      <c r="R1108" s="9"/>
      <c r="S1108" s="9"/>
      <c r="T1108" s="9"/>
      <c r="U1108" s="9"/>
      <c r="V1108" s="9"/>
      <c r="W1108" s="9"/>
      <c r="X1108" s="9"/>
      <c r="Y1108" s="9"/>
      <c r="Z1108" s="9"/>
      <c r="AA1108" s="9"/>
      <c r="AB1108" s="9"/>
      <c r="AC1108" s="9"/>
      <c r="AD1108" s="25"/>
      <c r="AE1108" s="25"/>
      <c r="AF1108" s="9"/>
      <c r="AG1108" s="9"/>
      <c r="AH1108" s="9"/>
      <c r="AI1108" s="9"/>
    </row>
    <row r="1109" ht="15.75" customHeight="1">
      <c r="A1109" s="9"/>
      <c r="B1109" s="9"/>
      <c r="C1109" s="9"/>
      <c r="D1109" s="9"/>
      <c r="E1109" s="67"/>
      <c r="F1109" s="68"/>
      <c r="G1109" s="68"/>
      <c r="H1109" s="69"/>
      <c r="I1109" s="69"/>
      <c r="J1109" s="69"/>
      <c r="K1109" s="69"/>
      <c r="L1109" s="69"/>
      <c r="M1109" s="69"/>
      <c r="N1109" s="69"/>
      <c r="O1109" s="23"/>
      <c r="P1109" s="23"/>
      <c r="Q1109" s="9"/>
      <c r="R1109" s="9"/>
      <c r="S1109" s="9"/>
      <c r="T1109" s="9"/>
      <c r="U1109" s="9"/>
      <c r="V1109" s="9"/>
      <c r="W1109" s="9"/>
      <c r="X1109" s="9"/>
      <c r="Y1109" s="9"/>
      <c r="Z1109" s="9"/>
      <c r="AA1109" s="9"/>
      <c r="AB1109" s="9"/>
      <c r="AC1109" s="9"/>
      <c r="AD1109" s="25"/>
      <c r="AE1109" s="25"/>
      <c r="AF1109" s="9"/>
      <c r="AG1109" s="9"/>
      <c r="AH1109" s="9"/>
      <c r="AI1109" s="9"/>
    </row>
    <row r="1110" ht="15.75" customHeight="1">
      <c r="A1110" s="9"/>
      <c r="B1110" s="9"/>
      <c r="C1110" s="9"/>
      <c r="D1110" s="9"/>
      <c r="E1110" s="67"/>
      <c r="F1110" s="68"/>
      <c r="G1110" s="68"/>
      <c r="H1110" s="69"/>
      <c r="I1110" s="69"/>
      <c r="J1110" s="69"/>
      <c r="K1110" s="69"/>
      <c r="L1110" s="69"/>
      <c r="M1110" s="69"/>
      <c r="N1110" s="69"/>
      <c r="O1110" s="23"/>
      <c r="P1110" s="23"/>
      <c r="Q1110" s="9"/>
      <c r="R1110" s="9"/>
      <c r="S1110" s="9"/>
      <c r="T1110" s="9"/>
      <c r="U1110" s="9"/>
      <c r="V1110" s="9"/>
      <c r="W1110" s="9"/>
      <c r="X1110" s="9"/>
      <c r="Y1110" s="9"/>
      <c r="Z1110" s="9"/>
      <c r="AA1110" s="9"/>
      <c r="AB1110" s="9"/>
      <c r="AC1110" s="9"/>
      <c r="AD1110" s="25"/>
      <c r="AE1110" s="25"/>
      <c r="AF1110" s="9"/>
      <c r="AG1110" s="9"/>
      <c r="AH1110" s="9"/>
      <c r="AI1110" s="9"/>
    </row>
    <row r="1111" ht="15.75" customHeight="1">
      <c r="A1111" s="9"/>
      <c r="B1111" s="9"/>
      <c r="C1111" s="9"/>
      <c r="D1111" s="9"/>
      <c r="E1111" s="67"/>
      <c r="F1111" s="68"/>
      <c r="G1111" s="68"/>
      <c r="H1111" s="69"/>
      <c r="I1111" s="69"/>
      <c r="J1111" s="69"/>
      <c r="K1111" s="69"/>
      <c r="L1111" s="69"/>
      <c r="M1111" s="69"/>
      <c r="N1111" s="69"/>
      <c r="O1111" s="23"/>
      <c r="P1111" s="23"/>
      <c r="Q1111" s="9"/>
      <c r="R1111" s="9"/>
      <c r="S1111" s="9"/>
      <c r="T1111" s="9"/>
      <c r="U1111" s="9"/>
      <c r="V1111" s="9"/>
      <c r="W1111" s="9"/>
      <c r="X1111" s="9"/>
      <c r="Y1111" s="9"/>
      <c r="Z1111" s="9"/>
      <c r="AA1111" s="9"/>
      <c r="AB1111" s="9"/>
      <c r="AC1111" s="9"/>
      <c r="AD1111" s="25"/>
      <c r="AE1111" s="25"/>
      <c r="AF1111" s="9"/>
      <c r="AG1111" s="9"/>
      <c r="AH1111" s="9"/>
      <c r="AI1111" s="9"/>
    </row>
    <row r="1112" ht="15.75" customHeight="1">
      <c r="A1112" s="9"/>
      <c r="B1112" s="9"/>
      <c r="C1112" s="9"/>
      <c r="D1112" s="9"/>
      <c r="E1112" s="67"/>
      <c r="F1112" s="68"/>
      <c r="G1112" s="68"/>
      <c r="H1112" s="69"/>
      <c r="I1112" s="69"/>
      <c r="J1112" s="69"/>
      <c r="K1112" s="69"/>
      <c r="L1112" s="69"/>
      <c r="M1112" s="69"/>
      <c r="N1112" s="69"/>
      <c r="O1112" s="23"/>
      <c r="P1112" s="23"/>
      <c r="Q1112" s="9"/>
      <c r="R1112" s="9"/>
      <c r="S1112" s="9"/>
      <c r="T1112" s="9"/>
      <c r="U1112" s="9"/>
      <c r="V1112" s="9"/>
      <c r="W1112" s="9"/>
      <c r="X1112" s="9"/>
      <c r="Y1112" s="9"/>
      <c r="Z1112" s="9"/>
      <c r="AA1112" s="9"/>
      <c r="AB1112" s="9"/>
      <c r="AC1112" s="9"/>
      <c r="AD1112" s="25"/>
      <c r="AE1112" s="25"/>
      <c r="AF1112" s="9"/>
      <c r="AG1112" s="9"/>
      <c r="AH1112" s="9"/>
      <c r="AI1112" s="9"/>
    </row>
    <row r="1113" ht="15.75" customHeight="1">
      <c r="A1113" s="9"/>
      <c r="B1113" s="9"/>
      <c r="C1113" s="9"/>
      <c r="D1113" s="9"/>
      <c r="E1113" s="67"/>
      <c r="F1113" s="68"/>
      <c r="G1113" s="68"/>
      <c r="H1113" s="69"/>
      <c r="I1113" s="69"/>
      <c r="J1113" s="69"/>
      <c r="K1113" s="69"/>
      <c r="L1113" s="69"/>
      <c r="M1113" s="70"/>
      <c r="N1113" s="69"/>
      <c r="O1113" s="23"/>
      <c r="P1113" s="23"/>
      <c r="Q1113" s="9"/>
      <c r="R1113" s="9"/>
      <c r="S1113" s="9"/>
      <c r="T1113" s="9"/>
      <c r="U1113" s="9"/>
      <c r="V1113" s="9"/>
      <c r="W1113" s="9"/>
      <c r="X1113" s="9"/>
      <c r="Y1113" s="9"/>
      <c r="Z1113" s="9"/>
      <c r="AA1113" s="9"/>
      <c r="AB1113" s="9"/>
      <c r="AC1113" s="9"/>
      <c r="AD1113" s="25"/>
      <c r="AE1113" s="25"/>
      <c r="AF1113" s="9"/>
      <c r="AG1113" s="9"/>
      <c r="AH1113" s="9"/>
      <c r="AI1113" s="9"/>
    </row>
    <row r="1114" ht="15.75" customHeight="1">
      <c r="A1114" s="9"/>
      <c r="B1114" s="9"/>
      <c r="C1114" s="9"/>
      <c r="D1114" s="9"/>
      <c r="E1114" s="67"/>
      <c r="F1114" s="68"/>
      <c r="G1114" s="68"/>
      <c r="H1114" s="69"/>
      <c r="I1114" s="69"/>
      <c r="J1114" s="69"/>
      <c r="K1114" s="69"/>
      <c r="L1114" s="69"/>
      <c r="M1114" s="70"/>
      <c r="N1114" s="69"/>
      <c r="O1114" s="23"/>
      <c r="P1114" s="23"/>
      <c r="Q1114" s="9"/>
      <c r="R1114" s="9"/>
      <c r="S1114" s="9"/>
      <c r="T1114" s="9"/>
      <c r="U1114" s="9"/>
      <c r="V1114" s="9"/>
      <c r="W1114" s="9"/>
      <c r="X1114" s="9"/>
      <c r="Y1114" s="9"/>
      <c r="Z1114" s="9"/>
      <c r="AA1114" s="9"/>
      <c r="AB1114" s="9"/>
      <c r="AC1114" s="9"/>
      <c r="AD1114" s="25"/>
      <c r="AE1114" s="25"/>
      <c r="AF1114" s="9"/>
      <c r="AG1114" s="9"/>
      <c r="AH1114" s="9"/>
      <c r="AI1114" s="9"/>
    </row>
    <row r="1115" ht="15.75" customHeight="1">
      <c r="A1115" s="9"/>
      <c r="B1115" s="9"/>
      <c r="C1115" s="9"/>
      <c r="D1115" s="9"/>
      <c r="E1115" s="67"/>
      <c r="F1115" s="68"/>
      <c r="G1115" s="68"/>
      <c r="H1115" s="69"/>
      <c r="I1115" s="69"/>
      <c r="J1115" s="69"/>
      <c r="K1115" s="69"/>
      <c r="L1115" s="69"/>
      <c r="M1115" s="69"/>
      <c r="N1115" s="69"/>
      <c r="O1115" s="23"/>
      <c r="P1115" s="23"/>
      <c r="Q1115" s="9"/>
      <c r="R1115" s="9"/>
      <c r="S1115" s="9"/>
      <c r="T1115" s="9"/>
      <c r="U1115" s="9"/>
      <c r="V1115" s="9"/>
      <c r="W1115" s="9"/>
      <c r="X1115" s="9"/>
      <c r="Y1115" s="9"/>
      <c r="Z1115" s="9"/>
      <c r="AA1115" s="9"/>
      <c r="AB1115" s="9"/>
      <c r="AC1115" s="9"/>
      <c r="AD1115" s="25"/>
      <c r="AE1115" s="25"/>
      <c r="AF1115" s="9"/>
      <c r="AG1115" s="9"/>
      <c r="AH1115" s="9"/>
      <c r="AI1115" s="9"/>
    </row>
    <row r="1116" ht="15.75" customHeight="1">
      <c r="A1116" s="9"/>
      <c r="B1116" s="9"/>
      <c r="C1116" s="9"/>
      <c r="D1116" s="9"/>
      <c r="E1116" s="67"/>
      <c r="F1116" s="68"/>
      <c r="G1116" s="68"/>
      <c r="H1116" s="69"/>
      <c r="I1116" s="69"/>
      <c r="J1116" s="69"/>
      <c r="K1116" s="69"/>
      <c r="L1116" s="69"/>
      <c r="M1116" s="70"/>
      <c r="N1116" s="69"/>
      <c r="O1116" s="23"/>
      <c r="P1116" s="23"/>
      <c r="Q1116" s="9"/>
      <c r="R1116" s="9"/>
      <c r="S1116" s="9"/>
      <c r="T1116" s="9"/>
      <c r="U1116" s="9"/>
      <c r="V1116" s="9"/>
      <c r="W1116" s="9"/>
      <c r="X1116" s="9"/>
      <c r="Y1116" s="9"/>
      <c r="Z1116" s="9"/>
      <c r="AA1116" s="9"/>
      <c r="AB1116" s="9"/>
      <c r="AC1116" s="9"/>
      <c r="AD1116" s="25"/>
      <c r="AE1116" s="25"/>
      <c r="AF1116" s="9"/>
      <c r="AG1116" s="9"/>
      <c r="AH1116" s="9"/>
      <c r="AI1116" s="9"/>
    </row>
    <row r="1117" ht="15.75" customHeight="1">
      <c r="A1117" s="9"/>
      <c r="B1117" s="9"/>
      <c r="C1117" s="9"/>
      <c r="D1117" s="9"/>
      <c r="E1117" s="67"/>
      <c r="F1117" s="68"/>
      <c r="G1117" s="68"/>
      <c r="H1117" s="69"/>
      <c r="I1117" s="69"/>
      <c r="J1117" s="69"/>
      <c r="K1117" s="69"/>
      <c r="L1117" s="69"/>
      <c r="M1117" s="70"/>
      <c r="N1117" s="69"/>
      <c r="O1117" s="23"/>
      <c r="P1117" s="23"/>
      <c r="Q1117" s="9"/>
      <c r="R1117" s="9"/>
      <c r="S1117" s="9"/>
      <c r="T1117" s="9"/>
      <c r="U1117" s="9"/>
      <c r="V1117" s="9"/>
      <c r="W1117" s="9"/>
      <c r="X1117" s="9"/>
      <c r="Y1117" s="9"/>
      <c r="Z1117" s="9"/>
      <c r="AA1117" s="9"/>
      <c r="AB1117" s="9"/>
      <c r="AC1117" s="9"/>
      <c r="AD1117" s="25"/>
      <c r="AE1117" s="25"/>
      <c r="AF1117" s="9"/>
      <c r="AG1117" s="9"/>
      <c r="AH1117" s="9"/>
      <c r="AI1117" s="9"/>
    </row>
    <row r="1118" ht="15.75" customHeight="1">
      <c r="A1118" s="9"/>
      <c r="B1118" s="9"/>
      <c r="C1118" s="9"/>
      <c r="D1118" s="9"/>
      <c r="E1118" s="67"/>
      <c r="F1118" s="68"/>
      <c r="G1118" s="68"/>
      <c r="H1118" s="69"/>
      <c r="I1118" s="69"/>
      <c r="J1118" s="69"/>
      <c r="K1118" s="69"/>
      <c r="L1118" s="69"/>
      <c r="M1118" s="70"/>
      <c r="N1118" s="69"/>
      <c r="O1118" s="23"/>
      <c r="P1118" s="23"/>
      <c r="Q1118" s="9"/>
      <c r="R1118" s="9"/>
      <c r="S1118" s="9"/>
      <c r="T1118" s="9"/>
      <c r="U1118" s="9"/>
      <c r="V1118" s="9"/>
      <c r="W1118" s="9"/>
      <c r="X1118" s="9"/>
      <c r="Y1118" s="9"/>
      <c r="Z1118" s="9"/>
      <c r="AA1118" s="9"/>
      <c r="AB1118" s="9"/>
      <c r="AC1118" s="9"/>
      <c r="AD1118" s="25"/>
      <c r="AE1118" s="25"/>
      <c r="AF1118" s="9"/>
      <c r="AG1118" s="9"/>
      <c r="AH1118" s="9"/>
      <c r="AI1118" s="9"/>
    </row>
    <row r="1119" ht="15.75" customHeight="1">
      <c r="A1119" s="9"/>
      <c r="B1119" s="9"/>
      <c r="C1119" s="9"/>
      <c r="D1119" s="9"/>
      <c r="E1119" s="67"/>
      <c r="F1119" s="68"/>
      <c r="G1119" s="68"/>
      <c r="H1119" s="69"/>
      <c r="I1119" s="69"/>
      <c r="J1119" s="69"/>
      <c r="K1119" s="69"/>
      <c r="L1119" s="69"/>
      <c r="M1119" s="70"/>
      <c r="N1119" s="69"/>
      <c r="O1119" s="23"/>
      <c r="P1119" s="23"/>
      <c r="Q1119" s="9"/>
      <c r="R1119" s="9"/>
      <c r="S1119" s="9"/>
      <c r="T1119" s="9"/>
      <c r="U1119" s="9"/>
      <c r="V1119" s="9"/>
      <c r="W1119" s="9"/>
      <c r="X1119" s="9"/>
      <c r="Y1119" s="9"/>
      <c r="Z1119" s="9"/>
      <c r="AA1119" s="9"/>
      <c r="AB1119" s="9"/>
      <c r="AC1119" s="9"/>
      <c r="AD1119" s="25"/>
      <c r="AE1119" s="25"/>
      <c r="AF1119" s="9"/>
      <c r="AG1119" s="9"/>
      <c r="AH1119" s="9"/>
      <c r="AI1119" s="9"/>
    </row>
    <row r="1120" ht="15.75" customHeight="1">
      <c r="A1120" s="9"/>
      <c r="B1120" s="9"/>
      <c r="C1120" s="9"/>
      <c r="D1120" s="9"/>
      <c r="E1120" s="67"/>
      <c r="F1120" s="68"/>
      <c r="G1120" s="68"/>
      <c r="H1120" s="69"/>
      <c r="I1120" s="69"/>
      <c r="J1120" s="69"/>
      <c r="K1120" s="69"/>
      <c r="L1120" s="69"/>
      <c r="M1120" s="70"/>
      <c r="N1120" s="69"/>
      <c r="O1120" s="23"/>
      <c r="P1120" s="23"/>
      <c r="Q1120" s="9"/>
      <c r="R1120" s="9"/>
      <c r="S1120" s="9"/>
      <c r="T1120" s="9"/>
      <c r="U1120" s="9"/>
      <c r="V1120" s="9"/>
      <c r="W1120" s="9"/>
      <c r="X1120" s="9"/>
      <c r="Y1120" s="9"/>
      <c r="Z1120" s="9"/>
      <c r="AA1120" s="9"/>
      <c r="AB1120" s="9"/>
      <c r="AC1120" s="9"/>
      <c r="AD1120" s="25"/>
      <c r="AE1120" s="25"/>
      <c r="AF1120" s="9"/>
      <c r="AG1120" s="9"/>
      <c r="AH1120" s="9"/>
      <c r="AI1120" s="9"/>
    </row>
    <row r="1121" ht="15.75" customHeight="1">
      <c r="A1121" s="9"/>
      <c r="B1121" s="9"/>
      <c r="C1121" s="9"/>
      <c r="D1121" s="9"/>
      <c r="E1121" s="67"/>
      <c r="F1121" s="68"/>
      <c r="G1121" s="68"/>
      <c r="H1121" s="69"/>
      <c r="I1121" s="69"/>
      <c r="J1121" s="69"/>
      <c r="K1121" s="69"/>
      <c r="L1121" s="69"/>
      <c r="M1121" s="69"/>
      <c r="N1121" s="69"/>
      <c r="O1121" s="23"/>
      <c r="P1121" s="23"/>
      <c r="Q1121" s="9"/>
      <c r="R1121" s="9"/>
      <c r="S1121" s="9"/>
      <c r="T1121" s="9"/>
      <c r="U1121" s="9"/>
      <c r="V1121" s="9"/>
      <c r="W1121" s="9"/>
      <c r="X1121" s="9"/>
      <c r="Y1121" s="9"/>
      <c r="Z1121" s="9"/>
      <c r="AA1121" s="9"/>
      <c r="AB1121" s="9"/>
      <c r="AC1121" s="9"/>
      <c r="AD1121" s="25"/>
      <c r="AE1121" s="25"/>
      <c r="AF1121" s="9"/>
      <c r="AG1121" s="9"/>
      <c r="AH1121" s="9"/>
      <c r="AI1121" s="9"/>
    </row>
    <row r="1122" ht="15.75" customHeight="1">
      <c r="A1122" s="9"/>
      <c r="B1122" s="9"/>
      <c r="C1122" s="9"/>
      <c r="D1122" s="9"/>
      <c r="E1122" s="67"/>
      <c r="F1122" s="68"/>
      <c r="G1122" s="68"/>
      <c r="H1122" s="69"/>
      <c r="I1122" s="69"/>
      <c r="J1122" s="69"/>
      <c r="K1122" s="69"/>
      <c r="L1122" s="69"/>
      <c r="M1122" s="70"/>
      <c r="N1122" s="69"/>
      <c r="O1122" s="23"/>
      <c r="P1122" s="23"/>
      <c r="Q1122" s="9"/>
      <c r="R1122" s="9"/>
      <c r="S1122" s="9"/>
      <c r="T1122" s="9"/>
      <c r="U1122" s="9"/>
      <c r="V1122" s="9"/>
      <c r="W1122" s="9"/>
      <c r="X1122" s="9"/>
      <c r="Y1122" s="9"/>
      <c r="Z1122" s="9"/>
      <c r="AA1122" s="9"/>
      <c r="AB1122" s="9"/>
      <c r="AC1122" s="9"/>
      <c r="AD1122" s="25"/>
      <c r="AE1122" s="25"/>
      <c r="AF1122" s="9"/>
      <c r="AG1122" s="9"/>
      <c r="AH1122" s="9"/>
      <c r="AI1122" s="9"/>
    </row>
    <row r="1123" ht="15.75" customHeight="1">
      <c r="A1123" s="9"/>
      <c r="B1123" s="9"/>
      <c r="C1123" s="9"/>
      <c r="D1123" s="9"/>
      <c r="E1123" s="67"/>
      <c r="F1123" s="68"/>
      <c r="G1123" s="68"/>
      <c r="H1123" s="69"/>
      <c r="I1123" s="69"/>
      <c r="J1123" s="69"/>
      <c r="K1123" s="69"/>
      <c r="L1123" s="69"/>
      <c r="M1123" s="70"/>
      <c r="N1123" s="69"/>
      <c r="O1123" s="23"/>
      <c r="P1123" s="23"/>
      <c r="Q1123" s="9"/>
      <c r="R1123" s="9"/>
      <c r="S1123" s="9"/>
      <c r="T1123" s="9"/>
      <c r="U1123" s="9"/>
      <c r="V1123" s="9"/>
      <c r="W1123" s="9"/>
      <c r="X1123" s="9"/>
      <c r="Y1123" s="9"/>
      <c r="Z1123" s="9"/>
      <c r="AA1123" s="9"/>
      <c r="AB1123" s="9"/>
      <c r="AC1123" s="9"/>
      <c r="AD1123" s="25"/>
      <c r="AE1123" s="25"/>
      <c r="AF1123" s="9"/>
      <c r="AG1123" s="9"/>
      <c r="AH1123" s="9"/>
      <c r="AI1123" s="9"/>
    </row>
    <row r="1124" ht="15.75" customHeight="1">
      <c r="A1124" s="9"/>
      <c r="B1124" s="9"/>
      <c r="C1124" s="9"/>
      <c r="D1124" s="9"/>
      <c r="E1124" s="67"/>
      <c r="F1124" s="68"/>
      <c r="G1124" s="68"/>
      <c r="H1124" s="69"/>
      <c r="I1124" s="69"/>
      <c r="J1124" s="69"/>
      <c r="K1124" s="69"/>
      <c r="L1124" s="69"/>
      <c r="M1124" s="70"/>
      <c r="N1124" s="69"/>
      <c r="O1124" s="23"/>
      <c r="P1124" s="23"/>
      <c r="Q1124" s="9"/>
      <c r="R1124" s="9"/>
      <c r="S1124" s="9"/>
      <c r="T1124" s="9"/>
      <c r="U1124" s="9"/>
      <c r="V1124" s="9"/>
      <c r="W1124" s="9"/>
      <c r="X1124" s="9"/>
      <c r="Y1124" s="9"/>
      <c r="Z1124" s="9"/>
      <c r="AA1124" s="9"/>
      <c r="AB1124" s="9"/>
      <c r="AC1124" s="9"/>
      <c r="AD1124" s="25"/>
      <c r="AE1124" s="25"/>
      <c r="AF1124" s="9"/>
      <c r="AG1124" s="9"/>
      <c r="AH1124" s="9"/>
      <c r="AI1124" s="9"/>
    </row>
    <row r="1125" ht="15.75" customHeight="1">
      <c r="A1125" s="9"/>
      <c r="B1125" s="9"/>
      <c r="C1125" s="9"/>
      <c r="D1125" s="9"/>
      <c r="E1125" s="67"/>
      <c r="F1125" s="68"/>
      <c r="G1125" s="68"/>
      <c r="H1125" s="69"/>
      <c r="I1125" s="69"/>
      <c r="J1125" s="69"/>
      <c r="K1125" s="69"/>
      <c r="L1125" s="69"/>
      <c r="M1125" s="71"/>
      <c r="N1125" s="69"/>
      <c r="O1125" s="23"/>
      <c r="P1125" s="23"/>
      <c r="Q1125" s="9"/>
      <c r="R1125" s="9"/>
      <c r="S1125" s="9"/>
      <c r="T1125" s="9"/>
      <c r="U1125" s="9"/>
      <c r="V1125" s="9"/>
      <c r="W1125" s="9"/>
      <c r="X1125" s="9"/>
      <c r="Y1125" s="9"/>
      <c r="Z1125" s="9"/>
      <c r="AA1125" s="9"/>
      <c r="AB1125" s="9"/>
      <c r="AC1125" s="9"/>
      <c r="AD1125" s="25"/>
      <c r="AE1125" s="25"/>
      <c r="AF1125" s="9"/>
      <c r="AG1125" s="9"/>
      <c r="AH1125" s="9"/>
      <c r="AI1125" s="9"/>
    </row>
    <row r="1126" ht="15.75" customHeight="1">
      <c r="A1126" s="9"/>
      <c r="B1126" s="9"/>
      <c r="C1126" s="9"/>
      <c r="D1126" s="9"/>
      <c r="E1126" s="67"/>
      <c r="F1126" s="68"/>
      <c r="G1126" s="68"/>
      <c r="H1126" s="69"/>
      <c r="I1126" s="69"/>
      <c r="J1126" s="69"/>
      <c r="K1126" s="69"/>
      <c r="L1126" s="69"/>
      <c r="M1126" s="71"/>
      <c r="N1126" s="69"/>
      <c r="O1126" s="23"/>
      <c r="P1126" s="23"/>
      <c r="Q1126" s="9"/>
      <c r="R1126" s="9"/>
      <c r="S1126" s="9"/>
      <c r="T1126" s="9"/>
      <c r="U1126" s="9"/>
      <c r="V1126" s="9"/>
      <c r="W1126" s="9"/>
      <c r="X1126" s="9"/>
      <c r="Y1126" s="9"/>
      <c r="Z1126" s="9"/>
      <c r="AA1126" s="9"/>
      <c r="AB1126" s="9"/>
      <c r="AC1126" s="9"/>
      <c r="AD1126" s="25"/>
      <c r="AE1126" s="25"/>
      <c r="AF1126" s="9"/>
      <c r="AG1126" s="9"/>
      <c r="AH1126" s="9"/>
      <c r="AI1126" s="9"/>
    </row>
    <row r="1127" ht="15.75" customHeight="1">
      <c r="A1127" s="9"/>
      <c r="B1127" s="9"/>
      <c r="C1127" s="9"/>
      <c r="D1127" s="9"/>
      <c r="E1127" s="67"/>
      <c r="F1127" s="68"/>
      <c r="G1127" s="68"/>
      <c r="H1127" s="69"/>
      <c r="I1127" s="69"/>
      <c r="J1127" s="69"/>
      <c r="K1127" s="69"/>
      <c r="L1127" s="69"/>
      <c r="M1127" s="70"/>
      <c r="N1127" s="69"/>
      <c r="O1127" s="23"/>
      <c r="P1127" s="23"/>
      <c r="Q1127" s="9"/>
      <c r="R1127" s="9"/>
      <c r="S1127" s="9"/>
      <c r="T1127" s="9"/>
      <c r="U1127" s="9"/>
      <c r="V1127" s="9"/>
      <c r="W1127" s="9"/>
      <c r="X1127" s="9"/>
      <c r="Y1127" s="9"/>
      <c r="Z1127" s="9"/>
      <c r="AA1127" s="9"/>
      <c r="AB1127" s="9"/>
      <c r="AC1127" s="9"/>
      <c r="AD1127" s="25"/>
      <c r="AE1127" s="25"/>
      <c r="AF1127" s="9"/>
      <c r="AG1127" s="9"/>
      <c r="AH1127" s="9"/>
      <c r="AI1127" s="9"/>
    </row>
    <row r="1128" ht="15.75" customHeight="1">
      <c r="A1128" s="9"/>
      <c r="B1128" s="9"/>
      <c r="C1128" s="9"/>
      <c r="D1128" s="9"/>
      <c r="E1128" s="67"/>
      <c r="F1128" s="68"/>
      <c r="G1128" s="68"/>
      <c r="H1128" s="69"/>
      <c r="I1128" s="69"/>
      <c r="J1128" s="69"/>
      <c r="K1128" s="69"/>
      <c r="L1128" s="69"/>
      <c r="M1128" s="70"/>
      <c r="N1128" s="69"/>
      <c r="O1128" s="23"/>
      <c r="P1128" s="23"/>
      <c r="Q1128" s="9"/>
      <c r="R1128" s="9"/>
      <c r="S1128" s="9"/>
      <c r="T1128" s="9"/>
      <c r="U1128" s="9"/>
      <c r="V1128" s="9"/>
      <c r="W1128" s="9"/>
      <c r="X1128" s="9"/>
      <c r="Y1128" s="9"/>
      <c r="Z1128" s="9"/>
      <c r="AA1128" s="9"/>
      <c r="AB1128" s="9"/>
      <c r="AC1128" s="9"/>
      <c r="AD1128" s="25"/>
      <c r="AE1128" s="25"/>
      <c r="AF1128" s="9"/>
      <c r="AG1128" s="9"/>
      <c r="AH1128" s="9"/>
      <c r="AI1128" s="9"/>
    </row>
    <row r="1129" ht="15.75" customHeight="1">
      <c r="A1129" s="9"/>
      <c r="B1129" s="9"/>
      <c r="C1129" s="9"/>
      <c r="D1129" s="9"/>
      <c r="E1129" s="67"/>
      <c r="F1129" s="68"/>
      <c r="G1129" s="68"/>
      <c r="H1129" s="69"/>
      <c r="I1129" s="69"/>
      <c r="J1129" s="69"/>
      <c r="K1129" s="69"/>
      <c r="L1129" s="69"/>
      <c r="M1129" s="71"/>
      <c r="N1129" s="69"/>
      <c r="O1129" s="23"/>
      <c r="P1129" s="23"/>
      <c r="Q1129" s="9"/>
      <c r="R1129" s="9"/>
      <c r="S1129" s="9"/>
      <c r="T1129" s="9"/>
      <c r="U1129" s="9"/>
      <c r="V1129" s="9"/>
      <c r="W1129" s="9"/>
      <c r="X1129" s="9"/>
      <c r="Y1129" s="9"/>
      <c r="Z1129" s="9"/>
      <c r="AA1129" s="9"/>
      <c r="AB1129" s="9"/>
      <c r="AC1129" s="9"/>
      <c r="AD1129" s="25"/>
      <c r="AE1129" s="25"/>
      <c r="AF1129" s="9"/>
      <c r="AG1129" s="9"/>
      <c r="AH1129" s="9"/>
      <c r="AI1129" s="9"/>
    </row>
    <row r="1130" ht="15.75" customHeight="1">
      <c r="A1130" s="9"/>
      <c r="B1130" s="9"/>
      <c r="C1130" s="9"/>
      <c r="D1130" s="9"/>
      <c r="E1130" s="67"/>
      <c r="F1130" s="68"/>
      <c r="G1130" s="68"/>
      <c r="H1130" s="69"/>
      <c r="I1130" s="69"/>
      <c r="J1130" s="69"/>
      <c r="K1130" s="69"/>
      <c r="L1130" s="69"/>
      <c r="M1130" s="70"/>
      <c r="N1130" s="69"/>
      <c r="O1130" s="23"/>
      <c r="P1130" s="23"/>
      <c r="Q1130" s="9"/>
      <c r="R1130" s="9"/>
      <c r="S1130" s="9"/>
      <c r="T1130" s="9"/>
      <c r="U1130" s="9"/>
      <c r="V1130" s="9"/>
      <c r="W1130" s="9"/>
      <c r="X1130" s="9"/>
      <c r="Y1130" s="9"/>
      <c r="Z1130" s="9"/>
      <c r="AA1130" s="9"/>
      <c r="AB1130" s="9"/>
      <c r="AC1130" s="9"/>
      <c r="AD1130" s="25"/>
      <c r="AE1130" s="25"/>
      <c r="AF1130" s="9"/>
      <c r="AG1130" s="9"/>
      <c r="AH1130" s="9"/>
      <c r="AI1130" s="9"/>
    </row>
    <row r="1131" ht="15.75" customHeight="1">
      <c r="A1131" s="9"/>
      <c r="B1131" s="9"/>
      <c r="C1131" s="9"/>
      <c r="D1131" s="9"/>
      <c r="E1131" s="67"/>
      <c r="F1131" s="68"/>
      <c r="G1131" s="68"/>
      <c r="H1131" s="69"/>
      <c r="I1131" s="69"/>
      <c r="J1131" s="69"/>
      <c r="K1131" s="69"/>
      <c r="L1131" s="69"/>
      <c r="M1131" s="70"/>
      <c r="N1131" s="69"/>
      <c r="O1131" s="23"/>
      <c r="P1131" s="23"/>
      <c r="Q1131" s="9"/>
      <c r="R1131" s="9"/>
      <c r="S1131" s="9"/>
      <c r="T1131" s="9"/>
      <c r="U1131" s="9"/>
      <c r="V1131" s="9"/>
      <c r="W1131" s="9"/>
      <c r="X1131" s="9"/>
      <c r="Y1131" s="9"/>
      <c r="Z1131" s="9"/>
      <c r="AA1131" s="9"/>
      <c r="AB1131" s="9"/>
      <c r="AC1131" s="9"/>
      <c r="AD1131" s="25"/>
      <c r="AE1131" s="25"/>
      <c r="AF1131" s="9"/>
      <c r="AG1131" s="9"/>
      <c r="AH1131" s="9"/>
      <c r="AI1131" s="9"/>
    </row>
    <row r="1132" ht="15.75" customHeight="1">
      <c r="A1132" s="9"/>
      <c r="B1132" s="9"/>
      <c r="C1132" s="9"/>
      <c r="D1132" s="9"/>
      <c r="E1132" s="67"/>
      <c r="F1132" s="68"/>
      <c r="G1132" s="68"/>
      <c r="H1132" s="69"/>
      <c r="I1132" s="69"/>
      <c r="J1132" s="69"/>
      <c r="K1132" s="69"/>
      <c r="L1132" s="69"/>
      <c r="M1132" s="70"/>
      <c r="N1132" s="69"/>
      <c r="O1132" s="23"/>
      <c r="P1132" s="23"/>
      <c r="Q1132" s="9"/>
      <c r="R1132" s="9"/>
      <c r="S1132" s="9"/>
      <c r="T1132" s="9"/>
      <c r="U1132" s="9"/>
      <c r="V1132" s="9"/>
      <c r="W1132" s="9"/>
      <c r="X1132" s="9"/>
      <c r="Y1132" s="9"/>
      <c r="Z1132" s="9"/>
      <c r="AA1132" s="9"/>
      <c r="AB1132" s="9"/>
      <c r="AC1132" s="9"/>
      <c r="AD1132" s="25"/>
      <c r="AE1132" s="25"/>
      <c r="AF1132" s="9"/>
      <c r="AG1132" s="9"/>
      <c r="AH1132" s="9"/>
      <c r="AI1132" s="9"/>
    </row>
    <row r="1133" ht="15.75" customHeight="1">
      <c r="A1133" s="9"/>
      <c r="B1133" s="9"/>
      <c r="C1133" s="9"/>
      <c r="D1133" s="9"/>
      <c r="E1133" s="67"/>
      <c r="F1133" s="68"/>
      <c r="G1133" s="68"/>
      <c r="H1133" s="69"/>
      <c r="I1133" s="69"/>
      <c r="J1133" s="69"/>
      <c r="K1133" s="69"/>
      <c r="L1133" s="69"/>
      <c r="M1133" s="69"/>
      <c r="N1133" s="69"/>
      <c r="O1133" s="23"/>
      <c r="P1133" s="23"/>
      <c r="Q1133" s="9"/>
      <c r="R1133" s="9"/>
      <c r="S1133" s="9"/>
      <c r="T1133" s="9"/>
      <c r="U1133" s="9"/>
      <c r="V1133" s="9"/>
      <c r="W1133" s="9"/>
      <c r="X1133" s="9"/>
      <c r="Y1133" s="9"/>
      <c r="Z1133" s="9"/>
      <c r="AA1133" s="9"/>
      <c r="AB1133" s="9"/>
      <c r="AC1133" s="9"/>
      <c r="AD1133" s="25"/>
      <c r="AE1133" s="25"/>
      <c r="AF1133" s="9"/>
      <c r="AG1133" s="9"/>
      <c r="AH1133" s="9"/>
      <c r="AI1133" s="9"/>
    </row>
    <row r="1134" ht="15.75" customHeight="1">
      <c r="A1134" s="9"/>
      <c r="B1134" s="9"/>
      <c r="C1134" s="9"/>
      <c r="D1134" s="9"/>
      <c r="E1134" s="67"/>
      <c r="F1134" s="68"/>
      <c r="G1134" s="68"/>
      <c r="H1134" s="69"/>
      <c r="I1134" s="69"/>
      <c r="J1134" s="69"/>
      <c r="K1134" s="69"/>
      <c r="L1134" s="69"/>
      <c r="M1134" s="69"/>
      <c r="N1134" s="69"/>
      <c r="O1134" s="23"/>
      <c r="P1134" s="23"/>
      <c r="Q1134" s="9"/>
      <c r="R1134" s="9"/>
      <c r="S1134" s="9"/>
      <c r="T1134" s="9"/>
      <c r="U1134" s="9"/>
      <c r="V1134" s="9"/>
      <c r="W1134" s="9"/>
      <c r="X1134" s="9"/>
      <c r="Y1134" s="9"/>
      <c r="Z1134" s="9"/>
      <c r="AA1134" s="9"/>
      <c r="AB1134" s="9"/>
      <c r="AC1134" s="9"/>
      <c r="AD1134" s="25"/>
      <c r="AE1134" s="25"/>
      <c r="AF1134" s="9"/>
      <c r="AG1134" s="9"/>
      <c r="AH1134" s="9"/>
      <c r="AI1134" s="9"/>
    </row>
    <row r="1135" ht="15.75" customHeight="1">
      <c r="A1135" s="9"/>
      <c r="B1135" s="9"/>
      <c r="C1135" s="9"/>
      <c r="D1135" s="9"/>
      <c r="E1135" s="67"/>
      <c r="F1135" s="68"/>
      <c r="G1135" s="68"/>
      <c r="H1135" s="69"/>
      <c r="I1135" s="69"/>
      <c r="J1135" s="69"/>
      <c r="K1135" s="69"/>
      <c r="L1135" s="69"/>
      <c r="M1135" s="71"/>
      <c r="N1135" s="69"/>
      <c r="O1135" s="23"/>
      <c r="P1135" s="23"/>
      <c r="Q1135" s="9"/>
      <c r="R1135" s="9"/>
      <c r="S1135" s="9"/>
      <c r="T1135" s="9"/>
      <c r="U1135" s="9"/>
      <c r="V1135" s="9"/>
      <c r="W1135" s="9"/>
      <c r="X1135" s="9"/>
      <c r="Y1135" s="9"/>
      <c r="Z1135" s="9"/>
      <c r="AA1135" s="9"/>
      <c r="AB1135" s="9"/>
      <c r="AC1135" s="9"/>
      <c r="AD1135" s="25"/>
      <c r="AE1135" s="25"/>
      <c r="AF1135" s="9"/>
      <c r="AG1135" s="9"/>
      <c r="AH1135" s="9"/>
      <c r="AI1135" s="9"/>
    </row>
    <row r="1136" ht="15.75" customHeight="1">
      <c r="A1136" s="9"/>
      <c r="B1136" s="9"/>
      <c r="C1136" s="9"/>
      <c r="D1136" s="9"/>
      <c r="E1136" s="67"/>
      <c r="F1136" s="68"/>
      <c r="G1136" s="68"/>
      <c r="H1136" s="69"/>
      <c r="I1136" s="69"/>
      <c r="J1136" s="69"/>
      <c r="K1136" s="69"/>
      <c r="L1136" s="69"/>
      <c r="M1136" s="71"/>
      <c r="N1136" s="69"/>
      <c r="O1136" s="23"/>
      <c r="P1136" s="23"/>
      <c r="Q1136" s="9"/>
      <c r="R1136" s="9"/>
      <c r="S1136" s="9"/>
      <c r="T1136" s="9"/>
      <c r="U1136" s="9"/>
      <c r="V1136" s="9"/>
      <c r="W1136" s="9"/>
      <c r="X1136" s="9"/>
      <c r="Y1136" s="9"/>
      <c r="Z1136" s="9"/>
      <c r="AA1136" s="9"/>
      <c r="AB1136" s="9"/>
      <c r="AC1136" s="9"/>
      <c r="AD1136" s="25"/>
      <c r="AE1136" s="25"/>
      <c r="AF1136" s="9"/>
      <c r="AG1136" s="9"/>
      <c r="AH1136" s="9"/>
      <c r="AI1136" s="9"/>
    </row>
    <row r="1137" ht="15.75" customHeight="1">
      <c r="A1137" s="9"/>
      <c r="B1137" s="9"/>
      <c r="C1137" s="9"/>
      <c r="D1137" s="9"/>
      <c r="E1137" s="67"/>
      <c r="F1137" s="68"/>
      <c r="G1137" s="68"/>
      <c r="H1137" s="69"/>
      <c r="I1137" s="69"/>
      <c r="J1137" s="69"/>
      <c r="K1137" s="69"/>
      <c r="L1137" s="69"/>
      <c r="M1137" s="70"/>
      <c r="N1137" s="69"/>
      <c r="O1137" s="23"/>
      <c r="P1137" s="23"/>
      <c r="Q1137" s="9"/>
      <c r="R1137" s="9"/>
      <c r="S1137" s="9"/>
      <c r="T1137" s="9"/>
      <c r="U1137" s="9"/>
      <c r="V1137" s="9"/>
      <c r="W1137" s="9"/>
      <c r="X1137" s="9"/>
      <c r="Y1137" s="9"/>
      <c r="Z1137" s="9"/>
      <c r="AA1137" s="9"/>
      <c r="AB1137" s="9"/>
      <c r="AC1137" s="9"/>
      <c r="AD1137" s="25"/>
      <c r="AE1137" s="25"/>
      <c r="AF1137" s="9"/>
      <c r="AG1137" s="9"/>
      <c r="AH1137" s="9"/>
      <c r="AI1137" s="9"/>
    </row>
    <row r="1138" ht="15.75" customHeight="1">
      <c r="A1138" s="9"/>
      <c r="B1138" s="9"/>
      <c r="C1138" s="9"/>
      <c r="D1138" s="9"/>
      <c r="E1138" s="67"/>
      <c r="F1138" s="68"/>
      <c r="G1138" s="68"/>
      <c r="H1138" s="69"/>
      <c r="I1138" s="69"/>
      <c r="J1138" s="69"/>
      <c r="K1138" s="69"/>
      <c r="L1138" s="69"/>
      <c r="M1138" s="70"/>
      <c r="N1138" s="69"/>
      <c r="O1138" s="23"/>
      <c r="P1138" s="23"/>
      <c r="Q1138" s="9"/>
      <c r="R1138" s="9"/>
      <c r="S1138" s="9"/>
      <c r="T1138" s="9"/>
      <c r="U1138" s="9"/>
      <c r="V1138" s="9"/>
      <c r="W1138" s="9"/>
      <c r="X1138" s="9"/>
      <c r="Y1138" s="9"/>
      <c r="Z1138" s="9"/>
      <c r="AA1138" s="9"/>
      <c r="AB1138" s="9"/>
      <c r="AC1138" s="9"/>
      <c r="AD1138" s="25"/>
      <c r="AE1138" s="25"/>
      <c r="AF1138" s="9"/>
      <c r="AG1138" s="9"/>
      <c r="AH1138" s="9"/>
      <c r="AI1138" s="9"/>
    </row>
    <row r="1139" ht="15.75" customHeight="1">
      <c r="A1139" s="9"/>
      <c r="B1139" s="9"/>
      <c r="C1139" s="9"/>
      <c r="D1139" s="9"/>
      <c r="E1139" s="67"/>
      <c r="F1139" s="68"/>
      <c r="G1139" s="68"/>
      <c r="H1139" s="69"/>
      <c r="I1139" s="69"/>
      <c r="J1139" s="69"/>
      <c r="K1139" s="69"/>
      <c r="L1139" s="69"/>
      <c r="M1139" s="70"/>
      <c r="N1139" s="69"/>
      <c r="O1139" s="23"/>
      <c r="P1139" s="23"/>
      <c r="Q1139" s="9"/>
      <c r="R1139" s="9"/>
      <c r="S1139" s="9"/>
      <c r="T1139" s="9"/>
      <c r="U1139" s="9"/>
      <c r="V1139" s="9"/>
      <c r="W1139" s="9"/>
      <c r="X1139" s="9"/>
      <c r="Y1139" s="9"/>
      <c r="Z1139" s="9"/>
      <c r="AA1139" s="9"/>
      <c r="AB1139" s="9"/>
      <c r="AC1139" s="9"/>
      <c r="AD1139" s="25"/>
      <c r="AE1139" s="25"/>
      <c r="AF1139" s="9"/>
      <c r="AG1139" s="9"/>
      <c r="AH1139" s="9"/>
      <c r="AI1139" s="9"/>
    </row>
    <row r="1140" ht="15.75" customHeight="1">
      <c r="A1140" s="9"/>
      <c r="B1140" s="9"/>
      <c r="C1140" s="9"/>
      <c r="D1140" s="9"/>
      <c r="E1140" s="67"/>
      <c r="F1140" s="68"/>
      <c r="G1140" s="68"/>
      <c r="H1140" s="69"/>
      <c r="I1140" s="69"/>
      <c r="J1140" s="69"/>
      <c r="K1140" s="69"/>
      <c r="L1140" s="69"/>
      <c r="M1140" s="70"/>
      <c r="N1140" s="69"/>
      <c r="O1140" s="23"/>
      <c r="P1140" s="23"/>
      <c r="Q1140" s="9"/>
      <c r="R1140" s="9"/>
      <c r="S1140" s="9"/>
      <c r="T1140" s="9"/>
      <c r="U1140" s="9"/>
      <c r="V1140" s="9"/>
      <c r="W1140" s="9"/>
      <c r="X1140" s="9"/>
      <c r="Y1140" s="9"/>
      <c r="Z1140" s="9"/>
      <c r="AA1140" s="9"/>
      <c r="AB1140" s="9"/>
      <c r="AC1140" s="9"/>
      <c r="AD1140" s="25"/>
      <c r="AE1140" s="25"/>
      <c r="AF1140" s="9"/>
      <c r="AG1140" s="9"/>
      <c r="AH1140" s="9"/>
      <c r="AI1140" s="9"/>
    </row>
    <row r="1141" ht="15.75" customHeight="1">
      <c r="A1141" s="9"/>
      <c r="B1141" s="9"/>
      <c r="C1141" s="9"/>
      <c r="D1141" s="9"/>
      <c r="E1141" s="67"/>
      <c r="F1141" s="68"/>
      <c r="G1141" s="68"/>
      <c r="H1141" s="69"/>
      <c r="I1141" s="69"/>
      <c r="J1141" s="69"/>
      <c r="K1141" s="69"/>
      <c r="L1141" s="69"/>
      <c r="M1141" s="70"/>
      <c r="N1141" s="69"/>
      <c r="O1141" s="23"/>
      <c r="P1141" s="23"/>
      <c r="Q1141" s="9"/>
      <c r="R1141" s="9"/>
      <c r="S1141" s="9"/>
      <c r="T1141" s="9"/>
      <c r="U1141" s="9"/>
      <c r="V1141" s="9"/>
      <c r="W1141" s="9"/>
      <c r="X1141" s="9"/>
      <c r="Y1141" s="9"/>
      <c r="Z1141" s="9"/>
      <c r="AA1141" s="9"/>
      <c r="AB1141" s="9"/>
      <c r="AC1141" s="9"/>
      <c r="AD1141" s="25"/>
      <c r="AE1141" s="25"/>
      <c r="AF1141" s="9"/>
      <c r="AG1141" s="9"/>
      <c r="AH1141" s="9"/>
      <c r="AI1141" s="9"/>
    </row>
    <row r="1142" ht="15.75" customHeight="1">
      <c r="A1142" s="9"/>
      <c r="B1142" s="9"/>
      <c r="C1142" s="9"/>
      <c r="D1142" s="9"/>
      <c r="E1142" s="67"/>
      <c r="F1142" s="68"/>
      <c r="G1142" s="68"/>
      <c r="H1142" s="69"/>
      <c r="I1142" s="69"/>
      <c r="J1142" s="69"/>
      <c r="K1142" s="69"/>
      <c r="L1142" s="69"/>
      <c r="M1142" s="70"/>
      <c r="N1142" s="69"/>
      <c r="O1142" s="23"/>
      <c r="P1142" s="23"/>
      <c r="Q1142" s="9"/>
      <c r="R1142" s="9"/>
      <c r="S1142" s="9"/>
      <c r="T1142" s="9"/>
      <c r="U1142" s="9"/>
      <c r="V1142" s="9"/>
      <c r="W1142" s="9"/>
      <c r="X1142" s="9"/>
      <c r="Y1142" s="9"/>
      <c r="Z1142" s="9"/>
      <c r="AA1142" s="9"/>
      <c r="AB1142" s="9"/>
      <c r="AC1142" s="9"/>
      <c r="AD1142" s="25"/>
      <c r="AE1142" s="25"/>
      <c r="AF1142" s="9"/>
      <c r="AG1142" s="9"/>
      <c r="AH1142" s="9"/>
      <c r="AI1142" s="9"/>
    </row>
    <row r="1143" ht="15.75" customHeight="1">
      <c r="A1143" s="9"/>
      <c r="B1143" s="9"/>
      <c r="C1143" s="9"/>
      <c r="D1143" s="9"/>
      <c r="E1143" s="67"/>
      <c r="F1143" s="68"/>
      <c r="G1143" s="68"/>
      <c r="H1143" s="69"/>
      <c r="I1143" s="69"/>
      <c r="J1143" s="69"/>
      <c r="K1143" s="69"/>
      <c r="L1143" s="69"/>
      <c r="M1143" s="70"/>
      <c r="N1143" s="69"/>
      <c r="O1143" s="23"/>
      <c r="P1143" s="23"/>
      <c r="Q1143" s="9"/>
      <c r="R1143" s="9"/>
      <c r="S1143" s="9"/>
      <c r="T1143" s="9"/>
      <c r="U1143" s="9"/>
      <c r="V1143" s="9"/>
      <c r="W1143" s="9"/>
      <c r="X1143" s="9"/>
      <c r="Y1143" s="9"/>
      <c r="Z1143" s="9"/>
      <c r="AA1143" s="9"/>
      <c r="AB1143" s="9"/>
      <c r="AC1143" s="9"/>
      <c r="AD1143" s="25"/>
      <c r="AE1143" s="25"/>
      <c r="AF1143" s="9"/>
      <c r="AG1143" s="9"/>
      <c r="AH1143" s="9"/>
      <c r="AI1143" s="9"/>
    </row>
    <row r="1144" ht="15.75" customHeight="1">
      <c r="A1144" s="9"/>
      <c r="B1144" s="9"/>
      <c r="C1144" s="9"/>
      <c r="D1144" s="9"/>
      <c r="E1144" s="67"/>
      <c r="F1144" s="68"/>
      <c r="G1144" s="68"/>
      <c r="H1144" s="69"/>
      <c r="I1144" s="69"/>
      <c r="J1144" s="69"/>
      <c r="K1144" s="69"/>
      <c r="L1144" s="69"/>
      <c r="M1144" s="69"/>
      <c r="N1144" s="69"/>
      <c r="O1144" s="23"/>
      <c r="P1144" s="23"/>
      <c r="Q1144" s="9"/>
      <c r="R1144" s="9"/>
      <c r="S1144" s="9"/>
      <c r="T1144" s="9"/>
      <c r="U1144" s="9"/>
      <c r="V1144" s="9"/>
      <c r="W1144" s="9"/>
      <c r="X1144" s="9"/>
      <c r="Y1144" s="9"/>
      <c r="Z1144" s="9"/>
      <c r="AA1144" s="9"/>
      <c r="AB1144" s="9"/>
      <c r="AC1144" s="9"/>
      <c r="AD1144" s="25"/>
      <c r="AE1144" s="25"/>
      <c r="AF1144" s="9"/>
      <c r="AG1144" s="9"/>
      <c r="AH1144" s="9"/>
      <c r="AI1144" s="9"/>
    </row>
    <row r="1145" ht="15.75" customHeight="1">
      <c r="A1145" s="9"/>
      <c r="B1145" s="9"/>
      <c r="C1145" s="9"/>
      <c r="D1145" s="9"/>
      <c r="E1145" s="67"/>
      <c r="F1145" s="68"/>
      <c r="G1145" s="68"/>
      <c r="H1145" s="69"/>
      <c r="I1145" s="69"/>
      <c r="J1145" s="69"/>
      <c r="K1145" s="69"/>
      <c r="L1145" s="69"/>
      <c r="M1145" s="70"/>
      <c r="N1145" s="69"/>
      <c r="O1145" s="23"/>
      <c r="P1145" s="23"/>
      <c r="Q1145" s="9"/>
      <c r="R1145" s="9"/>
      <c r="S1145" s="9"/>
      <c r="T1145" s="9"/>
      <c r="U1145" s="9"/>
      <c r="V1145" s="9"/>
      <c r="W1145" s="9"/>
      <c r="X1145" s="9"/>
      <c r="Y1145" s="9"/>
      <c r="Z1145" s="9"/>
      <c r="AA1145" s="9"/>
      <c r="AB1145" s="9"/>
      <c r="AC1145" s="9"/>
      <c r="AD1145" s="25"/>
      <c r="AE1145" s="25"/>
      <c r="AF1145" s="9"/>
      <c r="AG1145" s="9"/>
      <c r="AH1145" s="9"/>
      <c r="AI1145" s="9"/>
    </row>
    <row r="1146" ht="15.75" customHeight="1">
      <c r="A1146" s="9"/>
      <c r="B1146" s="9"/>
      <c r="C1146" s="9"/>
      <c r="D1146" s="9"/>
      <c r="E1146" s="67"/>
      <c r="F1146" s="68"/>
      <c r="G1146" s="68"/>
      <c r="H1146" s="69"/>
      <c r="I1146" s="69"/>
      <c r="J1146" s="69"/>
      <c r="K1146" s="69"/>
      <c r="L1146" s="69"/>
      <c r="M1146" s="70"/>
      <c r="N1146" s="69"/>
      <c r="O1146" s="23"/>
      <c r="P1146" s="23"/>
      <c r="Q1146" s="9"/>
      <c r="R1146" s="9"/>
      <c r="S1146" s="9"/>
      <c r="T1146" s="9"/>
      <c r="U1146" s="9"/>
      <c r="V1146" s="9"/>
      <c r="W1146" s="9"/>
      <c r="X1146" s="9"/>
      <c r="Y1146" s="9"/>
      <c r="Z1146" s="9"/>
      <c r="AA1146" s="9"/>
      <c r="AB1146" s="9"/>
      <c r="AC1146" s="9"/>
      <c r="AD1146" s="25"/>
      <c r="AE1146" s="25"/>
      <c r="AF1146" s="9"/>
      <c r="AG1146" s="9"/>
      <c r="AH1146" s="9"/>
      <c r="AI1146" s="9"/>
    </row>
    <row r="1147" ht="15.75" customHeight="1">
      <c r="A1147" s="9"/>
      <c r="B1147" s="9"/>
      <c r="C1147" s="9"/>
      <c r="D1147" s="9"/>
      <c r="E1147" s="67"/>
      <c r="F1147" s="68"/>
      <c r="G1147" s="68"/>
      <c r="H1147" s="69"/>
      <c r="I1147" s="69"/>
      <c r="J1147" s="69"/>
      <c r="K1147" s="69"/>
      <c r="L1147" s="69"/>
      <c r="M1147" s="70"/>
      <c r="N1147" s="69"/>
      <c r="O1147" s="23"/>
      <c r="P1147" s="23"/>
      <c r="Q1147" s="9"/>
      <c r="R1147" s="9"/>
      <c r="S1147" s="9"/>
      <c r="T1147" s="9"/>
      <c r="U1147" s="9"/>
      <c r="V1147" s="9"/>
      <c r="W1147" s="9"/>
      <c r="X1147" s="9"/>
      <c r="Y1147" s="9"/>
      <c r="Z1147" s="9"/>
      <c r="AA1147" s="9"/>
      <c r="AB1147" s="9"/>
      <c r="AC1147" s="9"/>
      <c r="AD1147" s="25"/>
      <c r="AE1147" s="25"/>
      <c r="AF1147" s="9"/>
      <c r="AG1147" s="9"/>
      <c r="AH1147" s="9"/>
      <c r="AI1147" s="9"/>
    </row>
    <row r="1148" ht="15.75" customHeight="1">
      <c r="A1148" s="9"/>
      <c r="B1148" s="9"/>
      <c r="C1148" s="9"/>
      <c r="D1148" s="9"/>
      <c r="E1148" s="67"/>
      <c r="F1148" s="68"/>
      <c r="G1148" s="68"/>
      <c r="H1148" s="69"/>
      <c r="I1148" s="69"/>
      <c r="J1148" s="69"/>
      <c r="K1148" s="69"/>
      <c r="L1148" s="69"/>
      <c r="M1148" s="70"/>
      <c r="N1148" s="69"/>
      <c r="O1148" s="23"/>
      <c r="P1148" s="23"/>
      <c r="Q1148" s="9"/>
      <c r="R1148" s="9"/>
      <c r="S1148" s="9"/>
      <c r="T1148" s="9"/>
      <c r="U1148" s="9"/>
      <c r="V1148" s="9"/>
      <c r="W1148" s="9"/>
      <c r="X1148" s="9"/>
      <c r="Y1148" s="9"/>
      <c r="Z1148" s="9"/>
      <c r="AA1148" s="9"/>
      <c r="AB1148" s="9"/>
      <c r="AC1148" s="9"/>
      <c r="AD1148" s="25"/>
      <c r="AE1148" s="25"/>
      <c r="AF1148" s="9"/>
      <c r="AG1148" s="9"/>
      <c r="AH1148" s="9"/>
      <c r="AI1148" s="9"/>
    </row>
    <row r="1149" ht="15.75" customHeight="1">
      <c r="A1149" s="9"/>
      <c r="B1149" s="9"/>
      <c r="C1149" s="9"/>
      <c r="D1149" s="9"/>
      <c r="E1149" s="67"/>
      <c r="F1149" s="68"/>
      <c r="G1149" s="68"/>
      <c r="H1149" s="69"/>
      <c r="I1149" s="69"/>
      <c r="J1149" s="69"/>
      <c r="K1149" s="69"/>
      <c r="L1149" s="69"/>
      <c r="M1149" s="70"/>
      <c r="N1149" s="69"/>
      <c r="O1149" s="23"/>
      <c r="P1149" s="23"/>
      <c r="Q1149" s="9"/>
      <c r="R1149" s="9"/>
      <c r="S1149" s="9"/>
      <c r="T1149" s="9"/>
      <c r="U1149" s="9"/>
      <c r="V1149" s="9"/>
      <c r="W1149" s="9"/>
      <c r="X1149" s="9"/>
      <c r="Y1149" s="9"/>
      <c r="Z1149" s="9"/>
      <c r="AA1149" s="9"/>
      <c r="AB1149" s="9"/>
      <c r="AC1149" s="9"/>
      <c r="AD1149" s="25"/>
      <c r="AE1149" s="25"/>
      <c r="AF1149" s="9"/>
      <c r="AG1149" s="9"/>
      <c r="AH1149" s="9"/>
      <c r="AI1149" s="9"/>
    </row>
    <row r="1150" ht="15.75" customHeight="1">
      <c r="A1150" s="9"/>
      <c r="B1150" s="9"/>
      <c r="C1150" s="9"/>
      <c r="D1150" s="9"/>
      <c r="E1150" s="67"/>
      <c r="F1150" s="68"/>
      <c r="G1150" s="68"/>
      <c r="H1150" s="69"/>
      <c r="I1150" s="69"/>
      <c r="J1150" s="69"/>
      <c r="K1150" s="69"/>
      <c r="L1150" s="69"/>
      <c r="M1150" s="70"/>
      <c r="N1150" s="69"/>
      <c r="O1150" s="23"/>
      <c r="P1150" s="23"/>
      <c r="Q1150" s="9"/>
      <c r="R1150" s="9"/>
      <c r="S1150" s="9"/>
      <c r="T1150" s="9"/>
      <c r="U1150" s="9"/>
      <c r="V1150" s="9"/>
      <c r="W1150" s="9"/>
      <c r="X1150" s="9"/>
      <c r="Y1150" s="9"/>
      <c r="Z1150" s="9"/>
      <c r="AA1150" s="9"/>
      <c r="AB1150" s="9"/>
      <c r="AC1150" s="9"/>
      <c r="AD1150" s="25"/>
      <c r="AE1150" s="25"/>
      <c r="AF1150" s="9"/>
      <c r="AG1150" s="9"/>
      <c r="AH1150" s="9"/>
      <c r="AI1150" s="9"/>
    </row>
    <row r="1151" ht="15.75" customHeight="1">
      <c r="A1151" s="9"/>
      <c r="B1151" s="9"/>
      <c r="C1151" s="9"/>
      <c r="D1151" s="9"/>
      <c r="E1151" s="67"/>
      <c r="F1151" s="68"/>
      <c r="G1151" s="68"/>
      <c r="H1151" s="69"/>
      <c r="I1151" s="69"/>
      <c r="J1151" s="69"/>
      <c r="K1151" s="69"/>
      <c r="L1151" s="69"/>
      <c r="M1151" s="69"/>
      <c r="N1151" s="69"/>
      <c r="O1151" s="23"/>
      <c r="P1151" s="23"/>
      <c r="Q1151" s="9"/>
      <c r="R1151" s="9"/>
      <c r="S1151" s="9"/>
      <c r="T1151" s="9"/>
      <c r="U1151" s="9"/>
      <c r="V1151" s="9"/>
      <c r="W1151" s="9"/>
      <c r="X1151" s="9"/>
      <c r="Y1151" s="9"/>
      <c r="Z1151" s="9"/>
      <c r="AA1151" s="9"/>
      <c r="AB1151" s="9"/>
      <c r="AC1151" s="9"/>
      <c r="AD1151" s="25"/>
      <c r="AE1151" s="25"/>
      <c r="AF1151" s="9"/>
      <c r="AG1151" s="9"/>
      <c r="AH1151" s="9"/>
      <c r="AI1151" s="9"/>
    </row>
    <row r="1152" ht="15.75" customHeight="1">
      <c r="A1152" s="9"/>
      <c r="B1152" s="9"/>
      <c r="C1152" s="9"/>
      <c r="D1152" s="9"/>
      <c r="E1152" s="67"/>
      <c r="F1152" s="68"/>
      <c r="G1152" s="68"/>
      <c r="H1152" s="69"/>
      <c r="I1152" s="69"/>
      <c r="J1152" s="69"/>
      <c r="K1152" s="69"/>
      <c r="L1152" s="69"/>
      <c r="M1152" s="70"/>
      <c r="N1152" s="69"/>
      <c r="O1152" s="23"/>
      <c r="P1152" s="23"/>
      <c r="Q1152" s="9"/>
      <c r="R1152" s="9"/>
      <c r="S1152" s="9"/>
      <c r="T1152" s="9"/>
      <c r="U1152" s="9"/>
      <c r="V1152" s="9"/>
      <c r="W1152" s="9"/>
      <c r="X1152" s="9"/>
      <c r="Y1152" s="9"/>
      <c r="Z1152" s="9"/>
      <c r="AA1152" s="9"/>
      <c r="AB1152" s="9"/>
      <c r="AC1152" s="9"/>
      <c r="AD1152" s="25"/>
      <c r="AE1152" s="25"/>
      <c r="AF1152" s="9"/>
      <c r="AG1152" s="9"/>
      <c r="AH1152" s="9"/>
      <c r="AI1152" s="9"/>
    </row>
    <row r="1153" ht="15.75" customHeight="1">
      <c r="A1153" s="9"/>
      <c r="B1153" s="9"/>
      <c r="C1153" s="9"/>
      <c r="D1153" s="9"/>
      <c r="E1153" s="67"/>
      <c r="F1153" s="68"/>
      <c r="G1153" s="68"/>
      <c r="H1153" s="69"/>
      <c r="I1153" s="69"/>
      <c r="J1153" s="69"/>
      <c r="K1153" s="69"/>
      <c r="L1153" s="69"/>
      <c r="M1153" s="71"/>
      <c r="N1153" s="69"/>
      <c r="O1153" s="23"/>
      <c r="P1153" s="23"/>
      <c r="Q1153" s="9"/>
      <c r="R1153" s="9"/>
      <c r="S1153" s="9"/>
      <c r="T1153" s="9"/>
      <c r="U1153" s="9"/>
      <c r="V1153" s="9"/>
      <c r="W1153" s="9"/>
      <c r="X1153" s="9"/>
      <c r="Y1153" s="9"/>
      <c r="Z1153" s="9"/>
      <c r="AA1153" s="9"/>
      <c r="AB1153" s="9"/>
      <c r="AC1153" s="9"/>
      <c r="AD1153" s="25"/>
      <c r="AE1153" s="25"/>
      <c r="AF1153" s="9"/>
      <c r="AG1153" s="9"/>
      <c r="AH1153" s="9"/>
      <c r="AI1153" s="9"/>
    </row>
    <row r="1154" ht="15.75" customHeight="1">
      <c r="A1154" s="9"/>
      <c r="B1154" s="9"/>
      <c r="C1154" s="9"/>
      <c r="D1154" s="9"/>
      <c r="E1154" s="67"/>
      <c r="F1154" s="68"/>
      <c r="G1154" s="68"/>
      <c r="H1154" s="69"/>
      <c r="I1154" s="69"/>
      <c r="J1154" s="69"/>
      <c r="K1154" s="69"/>
      <c r="L1154" s="69"/>
      <c r="M1154" s="70"/>
      <c r="N1154" s="69"/>
      <c r="O1154" s="23"/>
      <c r="P1154" s="23"/>
      <c r="Q1154" s="9"/>
      <c r="R1154" s="9"/>
      <c r="S1154" s="9"/>
      <c r="T1154" s="9"/>
      <c r="U1154" s="9"/>
      <c r="V1154" s="9"/>
      <c r="W1154" s="9"/>
      <c r="X1154" s="9"/>
      <c r="Y1154" s="9"/>
      <c r="Z1154" s="9"/>
      <c r="AA1154" s="9"/>
      <c r="AB1154" s="9"/>
      <c r="AC1154" s="9"/>
      <c r="AD1154" s="25"/>
      <c r="AE1154" s="25"/>
      <c r="AF1154" s="9"/>
      <c r="AG1154" s="9"/>
      <c r="AH1154" s="9"/>
      <c r="AI1154" s="9"/>
    </row>
    <row r="1155" ht="15.75" customHeight="1">
      <c r="A1155" s="9"/>
      <c r="B1155" s="9"/>
      <c r="C1155" s="9"/>
      <c r="D1155" s="9"/>
      <c r="E1155" s="67"/>
      <c r="F1155" s="68"/>
      <c r="G1155" s="68"/>
      <c r="H1155" s="69"/>
      <c r="I1155" s="69"/>
      <c r="J1155" s="69"/>
      <c r="K1155" s="69"/>
      <c r="L1155" s="69"/>
      <c r="M1155" s="70"/>
      <c r="N1155" s="69"/>
      <c r="O1155" s="23"/>
      <c r="P1155" s="23"/>
      <c r="Q1155" s="9"/>
      <c r="R1155" s="9"/>
      <c r="S1155" s="9"/>
      <c r="T1155" s="9"/>
      <c r="U1155" s="9"/>
      <c r="V1155" s="9"/>
      <c r="W1155" s="9"/>
      <c r="X1155" s="9"/>
      <c r="Y1155" s="9"/>
      <c r="Z1155" s="9"/>
      <c r="AA1155" s="9"/>
      <c r="AB1155" s="9"/>
      <c r="AC1155" s="9"/>
      <c r="AD1155" s="25"/>
      <c r="AE1155" s="25"/>
      <c r="AF1155" s="9"/>
      <c r="AG1155" s="9"/>
      <c r="AH1155" s="9"/>
      <c r="AI1155" s="9"/>
    </row>
    <row r="1156" ht="15.75" customHeight="1">
      <c r="A1156" s="9"/>
      <c r="B1156" s="9"/>
      <c r="C1156" s="9"/>
      <c r="D1156" s="9"/>
      <c r="E1156" s="67"/>
      <c r="F1156" s="68"/>
      <c r="G1156" s="68"/>
      <c r="H1156" s="69"/>
      <c r="I1156" s="69"/>
      <c r="J1156" s="69"/>
      <c r="K1156" s="69"/>
      <c r="L1156" s="69"/>
      <c r="M1156" s="70"/>
      <c r="N1156" s="69"/>
      <c r="O1156" s="23"/>
      <c r="P1156" s="23"/>
      <c r="Q1156" s="9"/>
      <c r="R1156" s="9"/>
      <c r="S1156" s="9"/>
      <c r="T1156" s="9"/>
      <c r="U1156" s="9"/>
      <c r="V1156" s="9"/>
      <c r="W1156" s="9"/>
      <c r="X1156" s="9"/>
      <c r="Y1156" s="9"/>
      <c r="Z1156" s="9"/>
      <c r="AA1156" s="9"/>
      <c r="AB1156" s="9"/>
      <c r="AC1156" s="9"/>
      <c r="AD1156" s="25"/>
      <c r="AE1156" s="25"/>
      <c r="AF1156" s="9"/>
      <c r="AG1156" s="9"/>
      <c r="AH1156" s="9"/>
      <c r="AI1156" s="9"/>
    </row>
    <row r="1157" ht="15.75" customHeight="1">
      <c r="A1157" s="9"/>
      <c r="B1157" s="9"/>
      <c r="C1157" s="9"/>
      <c r="D1157" s="9"/>
      <c r="E1157" s="67"/>
      <c r="F1157" s="68"/>
      <c r="G1157" s="68"/>
      <c r="H1157" s="69"/>
      <c r="I1157" s="69"/>
      <c r="J1157" s="69"/>
      <c r="K1157" s="69"/>
      <c r="L1157" s="69"/>
      <c r="M1157" s="70"/>
      <c r="N1157" s="69"/>
      <c r="O1157" s="23"/>
      <c r="P1157" s="23"/>
      <c r="Q1157" s="9"/>
      <c r="R1157" s="9"/>
      <c r="S1157" s="9"/>
      <c r="T1157" s="9"/>
      <c r="U1157" s="9"/>
      <c r="V1157" s="9"/>
      <c r="W1157" s="9"/>
      <c r="X1157" s="9"/>
      <c r="Y1157" s="9"/>
      <c r="Z1157" s="9"/>
      <c r="AA1157" s="9"/>
      <c r="AB1157" s="9"/>
      <c r="AC1157" s="9"/>
      <c r="AD1157" s="25"/>
      <c r="AE1157" s="25"/>
      <c r="AF1157" s="9"/>
      <c r="AG1157" s="9"/>
      <c r="AH1157" s="9"/>
      <c r="AI1157" s="9"/>
    </row>
    <row r="1158" ht="15.75" customHeight="1">
      <c r="A1158" s="9"/>
      <c r="B1158" s="9"/>
      <c r="C1158" s="9"/>
      <c r="D1158" s="9"/>
      <c r="E1158" s="67"/>
      <c r="F1158" s="68"/>
      <c r="G1158" s="68"/>
      <c r="H1158" s="69"/>
      <c r="I1158" s="69"/>
      <c r="J1158" s="69"/>
      <c r="K1158" s="69"/>
      <c r="L1158" s="69"/>
      <c r="M1158" s="70"/>
      <c r="N1158" s="69"/>
      <c r="O1158" s="23"/>
      <c r="P1158" s="23"/>
      <c r="Q1158" s="9"/>
      <c r="R1158" s="9"/>
      <c r="S1158" s="9"/>
      <c r="T1158" s="9"/>
      <c r="U1158" s="9"/>
      <c r="V1158" s="9"/>
      <c r="W1158" s="9"/>
      <c r="X1158" s="9"/>
      <c r="Y1158" s="9"/>
      <c r="Z1158" s="9"/>
      <c r="AA1158" s="9"/>
      <c r="AB1158" s="9"/>
      <c r="AC1158" s="9"/>
      <c r="AD1158" s="25"/>
      <c r="AE1158" s="25"/>
      <c r="AF1158" s="9"/>
      <c r="AG1158" s="9"/>
      <c r="AH1158" s="9"/>
      <c r="AI1158" s="9"/>
    </row>
    <row r="1159" ht="15.75" customHeight="1">
      <c r="A1159" s="9"/>
      <c r="B1159" s="9"/>
      <c r="C1159" s="9"/>
      <c r="D1159" s="9"/>
      <c r="E1159" s="67"/>
      <c r="F1159" s="68"/>
      <c r="G1159" s="68"/>
      <c r="H1159" s="69"/>
      <c r="I1159" s="69"/>
      <c r="J1159" s="69"/>
      <c r="K1159" s="69"/>
      <c r="L1159" s="69"/>
      <c r="M1159" s="70"/>
      <c r="N1159" s="69"/>
      <c r="O1159" s="23"/>
      <c r="P1159" s="23"/>
      <c r="Q1159" s="9"/>
      <c r="R1159" s="9"/>
      <c r="S1159" s="9"/>
      <c r="T1159" s="9"/>
      <c r="U1159" s="9"/>
      <c r="V1159" s="9"/>
      <c r="W1159" s="9"/>
      <c r="X1159" s="9"/>
      <c r="Y1159" s="9"/>
      <c r="Z1159" s="9"/>
      <c r="AA1159" s="9"/>
      <c r="AB1159" s="9"/>
      <c r="AC1159" s="9"/>
      <c r="AD1159" s="25"/>
      <c r="AE1159" s="25"/>
      <c r="AF1159" s="9"/>
      <c r="AG1159" s="9"/>
      <c r="AH1159" s="9"/>
      <c r="AI1159" s="9"/>
    </row>
    <row r="1160" ht="15.75" customHeight="1">
      <c r="A1160" s="9"/>
      <c r="B1160" s="9"/>
      <c r="C1160" s="9"/>
      <c r="D1160" s="9"/>
      <c r="E1160" s="67"/>
      <c r="F1160" s="68"/>
      <c r="G1160" s="68"/>
      <c r="H1160" s="69"/>
      <c r="I1160" s="69"/>
      <c r="J1160" s="69"/>
      <c r="K1160" s="69"/>
      <c r="L1160" s="69"/>
      <c r="M1160" s="70"/>
      <c r="N1160" s="69"/>
      <c r="O1160" s="23"/>
      <c r="P1160" s="23"/>
      <c r="Q1160" s="9"/>
      <c r="R1160" s="9"/>
      <c r="S1160" s="9"/>
      <c r="T1160" s="9"/>
      <c r="U1160" s="9"/>
      <c r="V1160" s="9"/>
      <c r="W1160" s="9"/>
      <c r="X1160" s="9"/>
      <c r="Y1160" s="9"/>
      <c r="Z1160" s="9"/>
      <c r="AA1160" s="9"/>
      <c r="AB1160" s="9"/>
      <c r="AC1160" s="9"/>
      <c r="AD1160" s="25"/>
      <c r="AE1160" s="25"/>
      <c r="AF1160" s="9"/>
      <c r="AG1160" s="9"/>
      <c r="AH1160" s="9"/>
      <c r="AI1160" s="9"/>
    </row>
    <row r="1161" ht="15.75" customHeight="1">
      <c r="A1161" s="9"/>
      <c r="B1161" s="9"/>
      <c r="C1161" s="9"/>
      <c r="D1161" s="9"/>
      <c r="E1161" s="67"/>
      <c r="F1161" s="68"/>
      <c r="G1161" s="68"/>
      <c r="H1161" s="69"/>
      <c r="I1161" s="69"/>
      <c r="J1161" s="69"/>
      <c r="K1161" s="69"/>
      <c r="L1161" s="69"/>
      <c r="M1161" s="71"/>
      <c r="N1161" s="69"/>
      <c r="O1161" s="23"/>
      <c r="P1161" s="23"/>
      <c r="Q1161" s="9"/>
      <c r="R1161" s="9"/>
      <c r="S1161" s="9"/>
      <c r="T1161" s="9"/>
      <c r="U1161" s="9"/>
      <c r="V1161" s="9"/>
      <c r="W1161" s="9"/>
      <c r="X1161" s="9"/>
      <c r="Y1161" s="9"/>
      <c r="Z1161" s="9"/>
      <c r="AA1161" s="9"/>
      <c r="AB1161" s="9"/>
      <c r="AC1161" s="9"/>
      <c r="AD1161" s="25"/>
      <c r="AE1161" s="25"/>
      <c r="AF1161" s="9"/>
      <c r="AG1161" s="9"/>
      <c r="AH1161" s="9"/>
      <c r="AI1161" s="9"/>
    </row>
    <row r="1162" ht="15.75" customHeight="1">
      <c r="A1162" s="9"/>
      <c r="B1162" s="9"/>
      <c r="C1162" s="9"/>
      <c r="D1162" s="9"/>
      <c r="E1162" s="67"/>
      <c r="F1162" s="68"/>
      <c r="G1162" s="68"/>
      <c r="H1162" s="69"/>
      <c r="I1162" s="69"/>
      <c r="J1162" s="69"/>
      <c r="K1162" s="69"/>
      <c r="L1162" s="69"/>
      <c r="M1162" s="70"/>
      <c r="N1162" s="69"/>
      <c r="O1162" s="23"/>
      <c r="P1162" s="23"/>
      <c r="Q1162" s="9"/>
      <c r="R1162" s="9"/>
      <c r="S1162" s="9"/>
      <c r="T1162" s="9"/>
      <c r="U1162" s="9"/>
      <c r="V1162" s="9"/>
      <c r="W1162" s="9"/>
      <c r="X1162" s="9"/>
      <c r="Y1162" s="9"/>
      <c r="Z1162" s="9"/>
      <c r="AA1162" s="9"/>
      <c r="AB1162" s="9"/>
      <c r="AC1162" s="9"/>
      <c r="AD1162" s="25"/>
      <c r="AE1162" s="25"/>
      <c r="AF1162" s="9"/>
      <c r="AG1162" s="9"/>
      <c r="AH1162" s="9"/>
      <c r="AI1162" s="9"/>
    </row>
    <row r="1163" ht="15.75" customHeight="1">
      <c r="A1163" s="9"/>
      <c r="B1163" s="9"/>
      <c r="C1163" s="9"/>
      <c r="D1163" s="9"/>
      <c r="E1163" s="67"/>
      <c r="F1163" s="68"/>
      <c r="G1163" s="68"/>
      <c r="H1163" s="69"/>
      <c r="I1163" s="69"/>
      <c r="J1163" s="69"/>
      <c r="K1163" s="69"/>
      <c r="L1163" s="69"/>
      <c r="M1163" s="70"/>
      <c r="N1163" s="69"/>
      <c r="O1163" s="23"/>
      <c r="P1163" s="23"/>
      <c r="Q1163" s="9"/>
      <c r="R1163" s="9"/>
      <c r="S1163" s="9"/>
      <c r="T1163" s="9"/>
      <c r="U1163" s="9"/>
      <c r="V1163" s="9"/>
      <c r="W1163" s="9"/>
      <c r="X1163" s="9"/>
      <c r="Y1163" s="9"/>
      <c r="Z1163" s="9"/>
      <c r="AA1163" s="9"/>
      <c r="AB1163" s="9"/>
      <c r="AC1163" s="9"/>
      <c r="AD1163" s="25"/>
      <c r="AE1163" s="25"/>
      <c r="AF1163" s="9"/>
      <c r="AG1163" s="9"/>
      <c r="AH1163" s="9"/>
      <c r="AI1163" s="9"/>
    </row>
    <row r="1164" ht="15.75" customHeight="1">
      <c r="A1164" s="9"/>
      <c r="B1164" s="9"/>
      <c r="C1164" s="9"/>
      <c r="D1164" s="9"/>
      <c r="E1164" s="67"/>
      <c r="F1164" s="68"/>
      <c r="G1164" s="68"/>
      <c r="H1164" s="69"/>
      <c r="I1164" s="69"/>
      <c r="J1164" s="69"/>
      <c r="K1164" s="69"/>
      <c r="L1164" s="69"/>
      <c r="M1164" s="70"/>
      <c r="N1164" s="69"/>
      <c r="O1164" s="23"/>
      <c r="P1164" s="23"/>
      <c r="Q1164" s="9"/>
      <c r="R1164" s="9"/>
      <c r="S1164" s="9"/>
      <c r="T1164" s="9"/>
      <c r="U1164" s="9"/>
      <c r="V1164" s="9"/>
      <c r="W1164" s="9"/>
      <c r="X1164" s="9"/>
      <c r="Y1164" s="9"/>
      <c r="Z1164" s="9"/>
      <c r="AA1164" s="9"/>
      <c r="AB1164" s="9"/>
      <c r="AC1164" s="9"/>
      <c r="AD1164" s="25"/>
      <c r="AE1164" s="25"/>
      <c r="AF1164" s="9"/>
      <c r="AG1164" s="9"/>
      <c r="AH1164" s="9"/>
      <c r="AI1164" s="9"/>
    </row>
    <row r="1165" ht="15.75" customHeight="1">
      <c r="A1165" s="9"/>
      <c r="B1165" s="9"/>
      <c r="C1165" s="9"/>
      <c r="D1165" s="9"/>
      <c r="E1165" s="67"/>
      <c r="F1165" s="68"/>
      <c r="G1165" s="68"/>
      <c r="H1165" s="69"/>
      <c r="I1165" s="69"/>
      <c r="J1165" s="69"/>
      <c r="K1165" s="69"/>
      <c r="L1165" s="69"/>
      <c r="M1165" s="70"/>
      <c r="N1165" s="69"/>
      <c r="O1165" s="23"/>
      <c r="P1165" s="23"/>
      <c r="Q1165" s="9"/>
      <c r="R1165" s="9"/>
      <c r="S1165" s="9"/>
      <c r="T1165" s="9"/>
      <c r="U1165" s="9"/>
      <c r="V1165" s="9"/>
      <c r="W1165" s="9"/>
      <c r="X1165" s="9"/>
      <c r="Y1165" s="9"/>
      <c r="Z1165" s="9"/>
      <c r="AA1165" s="9"/>
      <c r="AB1165" s="9"/>
      <c r="AC1165" s="9"/>
      <c r="AD1165" s="25"/>
      <c r="AE1165" s="25"/>
      <c r="AF1165" s="9"/>
      <c r="AG1165" s="9"/>
      <c r="AH1165" s="9"/>
      <c r="AI1165" s="9"/>
    </row>
    <row r="1166" ht="15.75" customHeight="1">
      <c r="A1166" s="9"/>
      <c r="B1166" s="9"/>
      <c r="C1166" s="9"/>
      <c r="D1166" s="9"/>
      <c r="E1166" s="67"/>
      <c r="F1166" s="68"/>
      <c r="G1166" s="68"/>
      <c r="H1166" s="69"/>
      <c r="I1166" s="69"/>
      <c r="J1166" s="69"/>
      <c r="K1166" s="69"/>
      <c r="L1166" s="69"/>
      <c r="M1166" s="70"/>
      <c r="N1166" s="69"/>
      <c r="O1166" s="23"/>
      <c r="P1166" s="23"/>
      <c r="Q1166" s="9"/>
      <c r="R1166" s="9"/>
      <c r="S1166" s="9"/>
      <c r="T1166" s="9"/>
      <c r="U1166" s="9"/>
      <c r="V1166" s="9"/>
      <c r="W1166" s="9"/>
      <c r="X1166" s="9"/>
      <c r="Y1166" s="9"/>
      <c r="Z1166" s="9"/>
      <c r="AA1166" s="9"/>
      <c r="AB1166" s="9"/>
      <c r="AC1166" s="9"/>
      <c r="AD1166" s="25"/>
      <c r="AE1166" s="25"/>
      <c r="AF1166" s="9"/>
      <c r="AG1166" s="9"/>
      <c r="AH1166" s="9"/>
      <c r="AI1166" s="9"/>
    </row>
    <row r="1167" ht="15.75" customHeight="1">
      <c r="A1167" s="9"/>
      <c r="B1167" s="9"/>
      <c r="C1167" s="9"/>
      <c r="D1167" s="9"/>
      <c r="E1167" s="67"/>
      <c r="F1167" s="68"/>
      <c r="G1167" s="68"/>
      <c r="H1167" s="69"/>
      <c r="I1167" s="69"/>
      <c r="J1167" s="69"/>
      <c r="K1167" s="69"/>
      <c r="L1167" s="69"/>
      <c r="M1167" s="70"/>
      <c r="N1167" s="69"/>
      <c r="O1167" s="23"/>
      <c r="P1167" s="23"/>
      <c r="Q1167" s="9"/>
      <c r="R1167" s="9"/>
      <c r="S1167" s="9"/>
      <c r="T1167" s="9"/>
      <c r="U1167" s="9"/>
      <c r="V1167" s="9"/>
      <c r="W1167" s="9"/>
      <c r="X1167" s="9"/>
      <c r="Y1167" s="9"/>
      <c r="Z1167" s="9"/>
      <c r="AA1167" s="9"/>
      <c r="AB1167" s="9"/>
      <c r="AC1167" s="9"/>
      <c r="AD1167" s="25"/>
      <c r="AE1167" s="25"/>
      <c r="AF1167" s="9"/>
      <c r="AG1167" s="9"/>
      <c r="AH1167" s="9"/>
      <c r="AI1167" s="9"/>
    </row>
    <row r="1168" ht="15.75" customHeight="1">
      <c r="A1168" s="9"/>
      <c r="B1168" s="9"/>
      <c r="C1168" s="9"/>
      <c r="D1168" s="9"/>
      <c r="E1168" s="67"/>
      <c r="F1168" s="68"/>
      <c r="G1168" s="68"/>
      <c r="H1168" s="69"/>
      <c r="I1168" s="69"/>
      <c r="J1168" s="69"/>
      <c r="K1168" s="69"/>
      <c r="L1168" s="69"/>
      <c r="M1168" s="70"/>
      <c r="N1168" s="69"/>
      <c r="O1168" s="23"/>
      <c r="P1168" s="23"/>
      <c r="Q1168" s="9"/>
      <c r="R1168" s="9"/>
      <c r="S1168" s="9"/>
      <c r="T1168" s="9"/>
      <c r="U1168" s="9"/>
      <c r="V1168" s="9"/>
      <c r="W1168" s="9"/>
      <c r="X1168" s="9"/>
      <c r="Y1168" s="9"/>
      <c r="Z1168" s="9"/>
      <c r="AA1168" s="9"/>
      <c r="AB1168" s="9"/>
      <c r="AC1168" s="9"/>
      <c r="AD1168" s="25"/>
      <c r="AE1168" s="25"/>
      <c r="AF1168" s="9"/>
      <c r="AG1168" s="9"/>
      <c r="AH1168" s="9"/>
      <c r="AI1168" s="9"/>
    </row>
    <row r="1169" ht="15.75" customHeight="1">
      <c r="A1169" s="9"/>
      <c r="B1169" s="9"/>
      <c r="C1169" s="9"/>
      <c r="D1169" s="9"/>
      <c r="E1169" s="67"/>
      <c r="F1169" s="68"/>
      <c r="G1169" s="68"/>
      <c r="H1169" s="69"/>
      <c r="I1169" s="69"/>
      <c r="J1169" s="69"/>
      <c r="K1169" s="69"/>
      <c r="L1169" s="69"/>
      <c r="M1169" s="69"/>
      <c r="N1169" s="69"/>
      <c r="O1169" s="23"/>
      <c r="P1169" s="23"/>
      <c r="Q1169" s="9"/>
      <c r="R1169" s="9"/>
      <c r="S1169" s="9"/>
      <c r="T1169" s="9"/>
      <c r="U1169" s="9"/>
      <c r="V1169" s="9"/>
      <c r="W1169" s="9"/>
      <c r="X1169" s="9"/>
      <c r="Y1169" s="9"/>
      <c r="Z1169" s="9"/>
      <c r="AA1169" s="9"/>
      <c r="AB1169" s="9"/>
      <c r="AC1169" s="9"/>
      <c r="AD1169" s="25"/>
      <c r="AE1169" s="25"/>
      <c r="AF1169" s="9"/>
      <c r="AG1169" s="9"/>
      <c r="AH1169" s="9"/>
      <c r="AI1169" s="9"/>
    </row>
    <row r="1170" ht="15.75" customHeight="1">
      <c r="A1170" s="9"/>
      <c r="B1170" s="9"/>
      <c r="C1170" s="9"/>
      <c r="D1170" s="9"/>
      <c r="E1170" s="67"/>
      <c r="F1170" s="68"/>
      <c r="G1170" s="68"/>
      <c r="H1170" s="69"/>
      <c r="I1170" s="69"/>
      <c r="J1170" s="69"/>
      <c r="K1170" s="69"/>
      <c r="L1170" s="69"/>
      <c r="M1170" s="70"/>
      <c r="N1170" s="69"/>
      <c r="O1170" s="23"/>
      <c r="P1170" s="23"/>
      <c r="Q1170" s="9"/>
      <c r="R1170" s="9"/>
      <c r="S1170" s="9"/>
      <c r="T1170" s="9"/>
      <c r="U1170" s="9"/>
      <c r="V1170" s="9"/>
      <c r="W1170" s="9"/>
      <c r="X1170" s="9"/>
      <c r="Y1170" s="9"/>
      <c r="Z1170" s="9"/>
      <c r="AA1170" s="9"/>
      <c r="AB1170" s="9"/>
      <c r="AC1170" s="9"/>
      <c r="AD1170" s="25"/>
      <c r="AE1170" s="25"/>
      <c r="AF1170" s="9"/>
      <c r="AG1170" s="9"/>
      <c r="AH1170" s="9"/>
      <c r="AI1170" s="9"/>
    </row>
    <row r="1171" ht="15.75" customHeight="1">
      <c r="A1171" s="9"/>
      <c r="B1171" s="9"/>
      <c r="C1171" s="9"/>
      <c r="D1171" s="9"/>
      <c r="E1171" s="67"/>
      <c r="F1171" s="68"/>
      <c r="G1171" s="68"/>
      <c r="H1171" s="69"/>
      <c r="I1171" s="69"/>
      <c r="J1171" s="69"/>
      <c r="K1171" s="69"/>
      <c r="L1171" s="69"/>
      <c r="M1171" s="70"/>
      <c r="N1171" s="69"/>
      <c r="O1171" s="23"/>
      <c r="P1171" s="23"/>
      <c r="Q1171" s="9"/>
      <c r="R1171" s="9"/>
      <c r="S1171" s="9"/>
      <c r="T1171" s="9"/>
      <c r="U1171" s="9"/>
      <c r="V1171" s="9"/>
      <c r="W1171" s="9"/>
      <c r="X1171" s="9"/>
      <c r="Y1171" s="9"/>
      <c r="Z1171" s="9"/>
      <c r="AA1171" s="9"/>
      <c r="AB1171" s="9"/>
      <c r="AC1171" s="9"/>
      <c r="AD1171" s="25"/>
      <c r="AE1171" s="25"/>
      <c r="AF1171" s="9"/>
      <c r="AG1171" s="9"/>
      <c r="AH1171" s="9"/>
      <c r="AI1171" s="9"/>
    </row>
    <row r="1172" ht="15.75" customHeight="1">
      <c r="A1172" s="9"/>
      <c r="B1172" s="9"/>
      <c r="C1172" s="9"/>
      <c r="D1172" s="9"/>
      <c r="E1172" s="67"/>
      <c r="F1172" s="68"/>
      <c r="G1172" s="68"/>
      <c r="H1172" s="69"/>
      <c r="I1172" s="69"/>
      <c r="J1172" s="69"/>
      <c r="K1172" s="69"/>
      <c r="L1172" s="69"/>
      <c r="M1172" s="70"/>
      <c r="N1172" s="69"/>
      <c r="O1172" s="23"/>
      <c r="P1172" s="23"/>
      <c r="Q1172" s="9"/>
      <c r="R1172" s="9"/>
      <c r="S1172" s="9"/>
      <c r="T1172" s="9"/>
      <c r="U1172" s="9"/>
      <c r="V1172" s="9"/>
      <c r="W1172" s="9"/>
      <c r="X1172" s="9"/>
      <c r="Y1172" s="9"/>
      <c r="Z1172" s="9"/>
      <c r="AA1172" s="9"/>
      <c r="AB1172" s="9"/>
      <c r="AC1172" s="9"/>
      <c r="AD1172" s="25"/>
      <c r="AE1172" s="25"/>
      <c r="AF1172" s="9"/>
      <c r="AG1172" s="9"/>
      <c r="AH1172" s="9"/>
      <c r="AI1172" s="9"/>
    </row>
    <row r="1173" ht="15.75" customHeight="1">
      <c r="A1173" s="9"/>
      <c r="B1173" s="9"/>
      <c r="C1173" s="9"/>
      <c r="D1173" s="9"/>
      <c r="E1173" s="67"/>
      <c r="F1173" s="68"/>
      <c r="G1173" s="68"/>
      <c r="H1173" s="69"/>
      <c r="I1173" s="69"/>
      <c r="J1173" s="69"/>
      <c r="K1173" s="69"/>
      <c r="L1173" s="69"/>
      <c r="M1173" s="71"/>
      <c r="N1173" s="69"/>
      <c r="O1173" s="23"/>
      <c r="P1173" s="23"/>
      <c r="Q1173" s="9"/>
      <c r="R1173" s="9"/>
      <c r="S1173" s="9"/>
      <c r="T1173" s="9"/>
      <c r="U1173" s="9"/>
      <c r="V1173" s="9"/>
      <c r="W1173" s="9"/>
      <c r="X1173" s="9"/>
      <c r="Y1173" s="9"/>
      <c r="Z1173" s="9"/>
      <c r="AA1173" s="9"/>
      <c r="AB1173" s="9"/>
      <c r="AC1173" s="9"/>
      <c r="AD1173" s="25"/>
      <c r="AE1173" s="25"/>
      <c r="AF1173" s="9"/>
      <c r="AG1173" s="9"/>
      <c r="AH1173" s="9"/>
      <c r="AI1173" s="9"/>
    </row>
    <row r="1174" ht="15.75" customHeight="1">
      <c r="A1174" s="9"/>
      <c r="B1174" s="9"/>
      <c r="C1174" s="9"/>
      <c r="D1174" s="9"/>
      <c r="E1174" s="67"/>
      <c r="F1174" s="68"/>
      <c r="G1174" s="68"/>
      <c r="H1174" s="69"/>
      <c r="I1174" s="69"/>
      <c r="J1174" s="69"/>
      <c r="K1174" s="69"/>
      <c r="L1174" s="69"/>
      <c r="M1174" s="71"/>
      <c r="N1174" s="69"/>
      <c r="O1174" s="23"/>
      <c r="P1174" s="23"/>
      <c r="Q1174" s="9"/>
      <c r="R1174" s="9"/>
      <c r="S1174" s="9"/>
      <c r="T1174" s="9"/>
      <c r="U1174" s="9"/>
      <c r="V1174" s="9"/>
      <c r="W1174" s="9"/>
      <c r="X1174" s="9"/>
      <c r="Y1174" s="9"/>
      <c r="Z1174" s="9"/>
      <c r="AA1174" s="9"/>
      <c r="AB1174" s="9"/>
      <c r="AC1174" s="9"/>
      <c r="AD1174" s="25"/>
      <c r="AE1174" s="25"/>
      <c r="AF1174" s="9"/>
      <c r="AG1174" s="9"/>
      <c r="AH1174" s="9"/>
      <c r="AI1174" s="9"/>
    </row>
    <row r="1175" ht="15.75" customHeight="1">
      <c r="A1175" s="9"/>
      <c r="B1175" s="9"/>
      <c r="C1175" s="9"/>
      <c r="D1175" s="9"/>
      <c r="E1175" s="67"/>
      <c r="F1175" s="68"/>
      <c r="G1175" s="68"/>
      <c r="H1175" s="69"/>
      <c r="I1175" s="69"/>
      <c r="J1175" s="69"/>
      <c r="K1175" s="69"/>
      <c r="L1175" s="69"/>
      <c r="M1175" s="69"/>
      <c r="N1175" s="69"/>
      <c r="O1175" s="23"/>
      <c r="P1175" s="23"/>
      <c r="Q1175" s="9"/>
      <c r="R1175" s="9"/>
      <c r="S1175" s="9"/>
      <c r="T1175" s="9"/>
      <c r="U1175" s="9"/>
      <c r="V1175" s="9"/>
      <c r="W1175" s="9"/>
      <c r="X1175" s="9"/>
      <c r="Y1175" s="9"/>
      <c r="Z1175" s="9"/>
      <c r="AA1175" s="9"/>
      <c r="AB1175" s="9"/>
      <c r="AC1175" s="9"/>
      <c r="AD1175" s="25"/>
      <c r="AE1175" s="25"/>
      <c r="AF1175" s="9"/>
      <c r="AG1175" s="9"/>
      <c r="AH1175" s="9"/>
      <c r="AI1175" s="9"/>
    </row>
    <row r="1176" ht="15.75" customHeight="1">
      <c r="A1176" s="9"/>
      <c r="B1176" s="9"/>
      <c r="C1176" s="9"/>
      <c r="D1176" s="9"/>
      <c r="E1176" s="67"/>
      <c r="F1176" s="68"/>
      <c r="G1176" s="68"/>
      <c r="H1176" s="69"/>
      <c r="I1176" s="69"/>
      <c r="J1176" s="69"/>
      <c r="K1176" s="69"/>
      <c r="L1176" s="69"/>
      <c r="M1176" s="69"/>
      <c r="N1176" s="69"/>
      <c r="O1176" s="23"/>
      <c r="P1176" s="23"/>
      <c r="Q1176" s="9"/>
      <c r="R1176" s="9"/>
      <c r="S1176" s="9"/>
      <c r="T1176" s="9"/>
      <c r="U1176" s="9"/>
      <c r="V1176" s="9"/>
      <c r="W1176" s="9"/>
      <c r="X1176" s="9"/>
      <c r="Y1176" s="9"/>
      <c r="Z1176" s="9"/>
      <c r="AA1176" s="9"/>
      <c r="AB1176" s="9"/>
      <c r="AC1176" s="9"/>
      <c r="AD1176" s="25"/>
      <c r="AE1176" s="25"/>
      <c r="AF1176" s="9"/>
      <c r="AG1176" s="9"/>
      <c r="AH1176" s="9"/>
      <c r="AI1176" s="9"/>
    </row>
    <row r="1177" ht="15.75" customHeight="1">
      <c r="A1177" s="9"/>
      <c r="B1177" s="9"/>
      <c r="C1177" s="9"/>
      <c r="D1177" s="9"/>
      <c r="E1177" s="67"/>
      <c r="F1177" s="68"/>
      <c r="G1177" s="68"/>
      <c r="H1177" s="69"/>
      <c r="I1177" s="69"/>
      <c r="J1177" s="69"/>
      <c r="K1177" s="69"/>
      <c r="L1177" s="69"/>
      <c r="M1177" s="69"/>
      <c r="N1177" s="69"/>
      <c r="O1177" s="23"/>
      <c r="P1177" s="23"/>
      <c r="Q1177" s="9"/>
      <c r="R1177" s="9"/>
      <c r="S1177" s="9"/>
      <c r="T1177" s="9"/>
      <c r="U1177" s="9"/>
      <c r="V1177" s="9"/>
      <c r="W1177" s="9"/>
      <c r="X1177" s="9"/>
      <c r="Y1177" s="9"/>
      <c r="Z1177" s="9"/>
      <c r="AA1177" s="9"/>
      <c r="AB1177" s="9"/>
      <c r="AC1177" s="9"/>
      <c r="AD1177" s="25"/>
      <c r="AE1177" s="25"/>
      <c r="AF1177" s="9"/>
      <c r="AG1177" s="9"/>
      <c r="AH1177" s="9"/>
      <c r="AI1177" s="9"/>
    </row>
    <row r="1178" ht="15.75" customHeight="1">
      <c r="A1178" s="9"/>
      <c r="B1178" s="9"/>
      <c r="C1178" s="9"/>
      <c r="D1178" s="9"/>
      <c r="E1178" s="67"/>
      <c r="F1178" s="68"/>
      <c r="G1178" s="68"/>
      <c r="H1178" s="69"/>
      <c r="I1178" s="69"/>
      <c r="J1178" s="69"/>
      <c r="K1178" s="69"/>
      <c r="L1178" s="69"/>
      <c r="M1178" s="70"/>
      <c r="N1178" s="69"/>
      <c r="O1178" s="23"/>
      <c r="P1178" s="23"/>
      <c r="Q1178" s="9"/>
      <c r="R1178" s="9"/>
      <c r="S1178" s="9"/>
      <c r="T1178" s="9"/>
      <c r="U1178" s="9"/>
      <c r="V1178" s="9"/>
      <c r="W1178" s="9"/>
      <c r="X1178" s="9"/>
      <c r="Y1178" s="9"/>
      <c r="Z1178" s="9"/>
      <c r="AA1178" s="9"/>
      <c r="AB1178" s="9"/>
      <c r="AC1178" s="9"/>
      <c r="AD1178" s="25"/>
      <c r="AE1178" s="25"/>
      <c r="AF1178" s="9"/>
      <c r="AG1178" s="9"/>
      <c r="AH1178" s="9"/>
      <c r="AI1178" s="9"/>
    </row>
    <row r="1179" ht="15.75" customHeight="1">
      <c r="A1179" s="9"/>
      <c r="B1179" s="9"/>
      <c r="C1179" s="9"/>
      <c r="D1179" s="9"/>
      <c r="E1179" s="67"/>
      <c r="F1179" s="68"/>
      <c r="G1179" s="68"/>
      <c r="H1179" s="69"/>
      <c r="I1179" s="69"/>
      <c r="J1179" s="69"/>
      <c r="K1179" s="69"/>
      <c r="L1179" s="69"/>
      <c r="M1179" s="70"/>
      <c r="N1179" s="69"/>
      <c r="O1179" s="23"/>
      <c r="P1179" s="23"/>
      <c r="Q1179" s="9"/>
      <c r="R1179" s="9"/>
      <c r="S1179" s="9"/>
      <c r="T1179" s="9"/>
      <c r="U1179" s="9"/>
      <c r="V1179" s="9"/>
      <c r="W1179" s="9"/>
      <c r="X1179" s="9"/>
      <c r="Y1179" s="9"/>
      <c r="Z1179" s="9"/>
      <c r="AA1179" s="9"/>
      <c r="AB1179" s="9"/>
      <c r="AC1179" s="9"/>
      <c r="AD1179" s="25"/>
      <c r="AE1179" s="25"/>
      <c r="AF1179" s="9"/>
      <c r="AG1179" s="9"/>
      <c r="AH1179" s="9"/>
      <c r="AI1179" s="9"/>
    </row>
    <row r="1180" ht="15.75" customHeight="1">
      <c r="A1180" s="9"/>
      <c r="B1180" s="9"/>
      <c r="C1180" s="9"/>
      <c r="D1180" s="9"/>
      <c r="E1180" s="67"/>
      <c r="F1180" s="68"/>
      <c r="G1180" s="68"/>
      <c r="H1180" s="69"/>
      <c r="I1180" s="69"/>
      <c r="J1180" s="69"/>
      <c r="K1180" s="69"/>
      <c r="L1180" s="69"/>
      <c r="M1180" s="70"/>
      <c r="N1180" s="69"/>
      <c r="O1180" s="23"/>
      <c r="P1180" s="23"/>
      <c r="Q1180" s="9"/>
      <c r="R1180" s="9"/>
      <c r="S1180" s="9"/>
      <c r="T1180" s="9"/>
      <c r="U1180" s="9"/>
      <c r="V1180" s="9"/>
      <c r="W1180" s="9"/>
      <c r="X1180" s="9"/>
      <c r="Y1180" s="9"/>
      <c r="Z1180" s="9"/>
      <c r="AA1180" s="9"/>
      <c r="AB1180" s="9"/>
      <c r="AC1180" s="9"/>
      <c r="AD1180" s="25"/>
      <c r="AE1180" s="25"/>
      <c r="AF1180" s="9"/>
      <c r="AG1180" s="9"/>
      <c r="AH1180" s="9"/>
      <c r="AI1180" s="9"/>
    </row>
    <row r="1181" ht="15.75" customHeight="1">
      <c r="A1181" s="9"/>
      <c r="B1181" s="9"/>
      <c r="C1181" s="9"/>
      <c r="D1181" s="9"/>
      <c r="E1181" s="67"/>
      <c r="F1181" s="68"/>
      <c r="G1181" s="68"/>
      <c r="H1181" s="69"/>
      <c r="I1181" s="69"/>
      <c r="J1181" s="69"/>
      <c r="K1181" s="69"/>
      <c r="L1181" s="69"/>
      <c r="M1181" s="69"/>
      <c r="N1181" s="69"/>
      <c r="O1181" s="23"/>
      <c r="P1181" s="23"/>
      <c r="Q1181" s="9"/>
      <c r="R1181" s="9"/>
      <c r="S1181" s="9"/>
      <c r="T1181" s="9"/>
      <c r="U1181" s="9"/>
      <c r="V1181" s="9"/>
      <c r="W1181" s="9"/>
      <c r="X1181" s="9"/>
      <c r="Y1181" s="9"/>
      <c r="Z1181" s="9"/>
      <c r="AA1181" s="9"/>
      <c r="AB1181" s="9"/>
      <c r="AC1181" s="9"/>
      <c r="AD1181" s="25"/>
      <c r="AE1181" s="25"/>
      <c r="AF1181" s="9"/>
      <c r="AG1181" s="9"/>
      <c r="AH1181" s="9"/>
      <c r="AI1181" s="9"/>
    </row>
    <row r="1182" ht="15.75" customHeight="1">
      <c r="A1182" s="9"/>
      <c r="B1182" s="9"/>
      <c r="C1182" s="9"/>
      <c r="D1182" s="9"/>
      <c r="E1182" s="67"/>
      <c r="F1182" s="68"/>
      <c r="G1182" s="68"/>
      <c r="H1182" s="69"/>
      <c r="I1182" s="69"/>
      <c r="J1182" s="69"/>
      <c r="K1182" s="69"/>
      <c r="L1182" s="69"/>
      <c r="M1182" s="69"/>
      <c r="N1182" s="69"/>
      <c r="O1182" s="23"/>
      <c r="P1182" s="23"/>
      <c r="Q1182" s="9"/>
      <c r="R1182" s="9"/>
      <c r="S1182" s="9"/>
      <c r="T1182" s="9"/>
      <c r="U1182" s="9"/>
      <c r="V1182" s="9"/>
      <c r="W1182" s="9"/>
      <c r="X1182" s="9"/>
      <c r="Y1182" s="9"/>
      <c r="Z1182" s="9"/>
      <c r="AA1182" s="9"/>
      <c r="AB1182" s="9"/>
      <c r="AC1182" s="9"/>
      <c r="AD1182" s="25"/>
      <c r="AE1182" s="25"/>
      <c r="AF1182" s="9"/>
      <c r="AG1182" s="9"/>
      <c r="AH1182" s="9"/>
      <c r="AI1182" s="9"/>
    </row>
    <row r="1183" ht="15.75" customHeight="1">
      <c r="A1183" s="9"/>
      <c r="B1183" s="9"/>
      <c r="C1183" s="9"/>
      <c r="D1183" s="9"/>
      <c r="E1183" s="67"/>
      <c r="F1183" s="68"/>
      <c r="G1183" s="68"/>
      <c r="H1183" s="69"/>
      <c r="I1183" s="69"/>
      <c r="J1183" s="69"/>
      <c r="K1183" s="69"/>
      <c r="L1183" s="69"/>
      <c r="M1183" s="69"/>
      <c r="N1183" s="69"/>
      <c r="O1183" s="23"/>
      <c r="P1183" s="23"/>
      <c r="Q1183" s="9"/>
      <c r="R1183" s="9"/>
      <c r="S1183" s="9"/>
      <c r="T1183" s="9"/>
      <c r="U1183" s="9"/>
      <c r="V1183" s="9"/>
      <c r="W1183" s="9"/>
      <c r="X1183" s="9"/>
      <c r="Y1183" s="9"/>
      <c r="Z1183" s="9"/>
      <c r="AA1183" s="9"/>
      <c r="AB1183" s="9"/>
      <c r="AC1183" s="9"/>
      <c r="AD1183" s="25"/>
      <c r="AE1183" s="25"/>
      <c r="AF1183" s="9"/>
      <c r="AG1183" s="9"/>
      <c r="AH1183" s="9"/>
      <c r="AI1183" s="9"/>
    </row>
    <row r="1184" ht="15.75" customHeight="1">
      <c r="A1184" s="9"/>
      <c r="B1184" s="9"/>
      <c r="C1184" s="9"/>
      <c r="D1184" s="9"/>
      <c r="E1184" s="67"/>
      <c r="F1184" s="68"/>
      <c r="G1184" s="68"/>
      <c r="H1184" s="69"/>
      <c r="I1184" s="69"/>
      <c r="J1184" s="69"/>
      <c r="K1184" s="69"/>
      <c r="L1184" s="69"/>
      <c r="M1184" s="69"/>
      <c r="N1184" s="69"/>
      <c r="O1184" s="23"/>
      <c r="P1184" s="23"/>
      <c r="Q1184" s="9"/>
      <c r="R1184" s="9"/>
      <c r="S1184" s="9"/>
      <c r="T1184" s="9"/>
      <c r="U1184" s="9"/>
      <c r="V1184" s="9"/>
      <c r="W1184" s="9"/>
      <c r="X1184" s="9"/>
      <c r="Y1184" s="9"/>
      <c r="Z1184" s="9"/>
      <c r="AA1184" s="9"/>
      <c r="AB1184" s="9"/>
      <c r="AC1184" s="9"/>
      <c r="AD1184" s="25"/>
      <c r="AE1184" s="25"/>
      <c r="AF1184" s="9"/>
      <c r="AG1184" s="9"/>
      <c r="AH1184" s="9"/>
      <c r="AI1184" s="9"/>
    </row>
    <row r="1185" ht="15.75" customHeight="1">
      <c r="A1185" s="9"/>
      <c r="B1185" s="9"/>
      <c r="C1185" s="9"/>
      <c r="D1185" s="9"/>
      <c r="E1185" s="67"/>
      <c r="F1185" s="68"/>
      <c r="G1185" s="68"/>
      <c r="H1185" s="69"/>
      <c r="I1185" s="69"/>
      <c r="J1185" s="69"/>
      <c r="K1185" s="69"/>
      <c r="L1185" s="69"/>
      <c r="M1185" s="69"/>
      <c r="N1185" s="69"/>
      <c r="O1185" s="23"/>
      <c r="P1185" s="23"/>
      <c r="Q1185" s="9"/>
      <c r="R1185" s="9"/>
      <c r="S1185" s="9"/>
      <c r="T1185" s="9"/>
      <c r="U1185" s="9"/>
      <c r="V1185" s="9"/>
      <c r="W1185" s="9"/>
      <c r="X1185" s="9"/>
      <c r="Y1185" s="9"/>
      <c r="Z1185" s="9"/>
      <c r="AA1185" s="9"/>
      <c r="AB1185" s="9"/>
      <c r="AC1185" s="9"/>
      <c r="AD1185" s="25"/>
      <c r="AE1185" s="25"/>
      <c r="AF1185" s="9"/>
      <c r="AG1185" s="9"/>
      <c r="AH1185" s="9"/>
      <c r="AI1185" s="9"/>
    </row>
    <row r="1186" ht="15.75" customHeight="1">
      <c r="A1186" s="9"/>
      <c r="B1186" s="9"/>
      <c r="C1186" s="9"/>
      <c r="D1186" s="9"/>
      <c r="E1186" s="67"/>
      <c r="F1186" s="68"/>
      <c r="G1186" s="68"/>
      <c r="H1186" s="69"/>
      <c r="I1186" s="69"/>
      <c r="J1186" s="69"/>
      <c r="K1186" s="69"/>
      <c r="L1186" s="69"/>
      <c r="M1186" s="69"/>
      <c r="N1186" s="69"/>
      <c r="O1186" s="23"/>
      <c r="P1186" s="23"/>
      <c r="Q1186" s="9"/>
      <c r="R1186" s="9"/>
      <c r="S1186" s="9"/>
      <c r="T1186" s="9"/>
      <c r="U1186" s="9"/>
      <c r="V1186" s="9"/>
      <c r="W1186" s="9"/>
      <c r="X1186" s="9"/>
      <c r="Y1186" s="9"/>
      <c r="Z1186" s="9"/>
      <c r="AA1186" s="9"/>
      <c r="AB1186" s="9"/>
      <c r="AC1186" s="9"/>
      <c r="AD1186" s="25"/>
      <c r="AE1186" s="25"/>
      <c r="AF1186" s="9"/>
      <c r="AG1186" s="9"/>
      <c r="AH1186" s="9"/>
      <c r="AI1186" s="9"/>
    </row>
    <row r="1187" ht="15.75" customHeight="1">
      <c r="A1187" s="9"/>
      <c r="B1187" s="9"/>
      <c r="C1187" s="9"/>
      <c r="D1187" s="9"/>
      <c r="E1187" s="67"/>
      <c r="F1187" s="68"/>
      <c r="G1187" s="68"/>
      <c r="H1187" s="69"/>
      <c r="I1187" s="69"/>
      <c r="J1187" s="69"/>
      <c r="K1187" s="69"/>
      <c r="L1187" s="69"/>
      <c r="M1187" s="69"/>
      <c r="N1187" s="69"/>
      <c r="O1187" s="23"/>
      <c r="P1187" s="23"/>
      <c r="Q1187" s="9"/>
      <c r="R1187" s="9"/>
      <c r="S1187" s="9"/>
      <c r="T1187" s="9"/>
      <c r="U1187" s="9"/>
      <c r="V1187" s="9"/>
      <c r="W1187" s="9"/>
      <c r="X1187" s="9"/>
      <c r="Y1187" s="9"/>
      <c r="Z1187" s="9"/>
      <c r="AA1187" s="9"/>
      <c r="AB1187" s="9"/>
      <c r="AC1187" s="9"/>
      <c r="AD1187" s="25"/>
      <c r="AE1187" s="25"/>
      <c r="AF1187" s="9"/>
      <c r="AG1187" s="9"/>
      <c r="AH1187" s="9"/>
      <c r="AI1187" s="9"/>
    </row>
    <row r="1188" ht="15.75" customHeight="1">
      <c r="A1188" s="9"/>
      <c r="B1188" s="9"/>
      <c r="C1188" s="9"/>
      <c r="D1188" s="9"/>
      <c r="E1188" s="67"/>
      <c r="F1188" s="68"/>
      <c r="G1188" s="68"/>
      <c r="H1188" s="69"/>
      <c r="I1188" s="69"/>
      <c r="J1188" s="69"/>
      <c r="K1188" s="69"/>
      <c r="L1188" s="69"/>
      <c r="M1188" s="69"/>
      <c r="N1188" s="69"/>
      <c r="O1188" s="23"/>
      <c r="P1188" s="23"/>
      <c r="Q1188" s="9"/>
      <c r="R1188" s="9"/>
      <c r="S1188" s="9"/>
      <c r="T1188" s="9"/>
      <c r="U1188" s="9"/>
      <c r="V1188" s="9"/>
      <c r="W1188" s="9"/>
      <c r="X1188" s="9"/>
      <c r="Y1188" s="9"/>
      <c r="Z1188" s="9"/>
      <c r="AA1188" s="9"/>
      <c r="AB1188" s="9"/>
      <c r="AC1188" s="9"/>
      <c r="AD1188" s="25"/>
      <c r="AE1188" s="25"/>
      <c r="AF1188" s="9"/>
      <c r="AG1188" s="9"/>
      <c r="AH1188" s="9"/>
      <c r="AI1188" s="9"/>
    </row>
    <row r="1189" ht="15.75" customHeight="1">
      <c r="A1189" s="9"/>
      <c r="B1189" s="9"/>
      <c r="C1189" s="9"/>
      <c r="D1189" s="9"/>
      <c r="E1189" s="67"/>
      <c r="F1189" s="68"/>
      <c r="G1189" s="68"/>
      <c r="H1189" s="69"/>
      <c r="I1189" s="69"/>
      <c r="J1189" s="69"/>
      <c r="K1189" s="69"/>
      <c r="L1189" s="69"/>
      <c r="M1189" s="70"/>
      <c r="N1189" s="69"/>
      <c r="O1189" s="23"/>
      <c r="P1189" s="23"/>
      <c r="Q1189" s="9"/>
      <c r="R1189" s="9"/>
      <c r="S1189" s="9"/>
      <c r="T1189" s="9"/>
      <c r="U1189" s="9"/>
      <c r="V1189" s="9"/>
      <c r="W1189" s="9"/>
      <c r="X1189" s="9"/>
      <c r="Y1189" s="9"/>
      <c r="Z1189" s="9"/>
      <c r="AA1189" s="9"/>
      <c r="AB1189" s="9"/>
      <c r="AC1189" s="9"/>
      <c r="AD1189" s="25"/>
      <c r="AE1189" s="25"/>
      <c r="AF1189" s="9"/>
      <c r="AG1189" s="9"/>
      <c r="AH1189" s="9"/>
      <c r="AI1189" s="9"/>
    </row>
    <row r="1190" ht="15.75" customHeight="1">
      <c r="A1190" s="9"/>
      <c r="B1190" s="9"/>
      <c r="C1190" s="9"/>
      <c r="D1190" s="9"/>
      <c r="E1190" s="67"/>
      <c r="F1190" s="68"/>
      <c r="G1190" s="68"/>
      <c r="H1190" s="69"/>
      <c r="I1190" s="69"/>
      <c r="J1190" s="69"/>
      <c r="K1190" s="69"/>
      <c r="L1190" s="69"/>
      <c r="M1190" s="71"/>
      <c r="N1190" s="69"/>
      <c r="O1190" s="23"/>
      <c r="P1190" s="23"/>
      <c r="Q1190" s="9"/>
      <c r="R1190" s="9"/>
      <c r="S1190" s="9"/>
      <c r="T1190" s="9"/>
      <c r="U1190" s="9"/>
      <c r="V1190" s="9"/>
      <c r="W1190" s="9"/>
      <c r="X1190" s="9"/>
      <c r="Y1190" s="9"/>
      <c r="Z1190" s="9"/>
      <c r="AA1190" s="9"/>
      <c r="AB1190" s="9"/>
      <c r="AC1190" s="9"/>
      <c r="AD1190" s="25"/>
      <c r="AE1190" s="25"/>
      <c r="AF1190" s="9"/>
      <c r="AG1190" s="9"/>
      <c r="AH1190" s="9"/>
      <c r="AI1190" s="9"/>
    </row>
    <row r="1191" ht="15.75" customHeight="1">
      <c r="A1191" s="9"/>
      <c r="B1191" s="9"/>
      <c r="C1191" s="9"/>
      <c r="D1191" s="9"/>
      <c r="E1191" s="67"/>
      <c r="F1191" s="68"/>
      <c r="G1191" s="68"/>
      <c r="H1191" s="69"/>
      <c r="I1191" s="69"/>
      <c r="J1191" s="69"/>
      <c r="K1191" s="69"/>
      <c r="L1191" s="69"/>
      <c r="M1191" s="71"/>
      <c r="N1191" s="69"/>
      <c r="O1191" s="23"/>
      <c r="P1191" s="23"/>
      <c r="Q1191" s="9"/>
      <c r="R1191" s="9"/>
      <c r="S1191" s="9"/>
      <c r="T1191" s="9"/>
      <c r="U1191" s="9"/>
      <c r="V1191" s="9"/>
      <c r="W1191" s="9"/>
      <c r="X1191" s="9"/>
      <c r="Y1191" s="9"/>
      <c r="Z1191" s="9"/>
      <c r="AA1191" s="9"/>
      <c r="AB1191" s="9"/>
      <c r="AC1191" s="9"/>
      <c r="AD1191" s="25"/>
      <c r="AE1191" s="25"/>
      <c r="AF1191" s="9"/>
      <c r="AG1191" s="9"/>
      <c r="AH1191" s="9"/>
      <c r="AI1191" s="9"/>
    </row>
    <row r="1192" ht="15.75" customHeight="1">
      <c r="A1192" s="9"/>
      <c r="B1192" s="9"/>
      <c r="C1192" s="9"/>
      <c r="D1192" s="9"/>
      <c r="E1192" s="67"/>
      <c r="F1192" s="68"/>
      <c r="G1192" s="68"/>
      <c r="H1192" s="69"/>
      <c r="I1192" s="69"/>
      <c r="J1192" s="69"/>
      <c r="K1192" s="69"/>
      <c r="L1192" s="69"/>
      <c r="M1192" s="71"/>
      <c r="N1192" s="69"/>
      <c r="O1192" s="23"/>
      <c r="P1192" s="23"/>
      <c r="Q1192" s="9"/>
      <c r="R1192" s="9"/>
      <c r="S1192" s="9"/>
      <c r="T1192" s="9"/>
      <c r="U1192" s="9"/>
      <c r="V1192" s="9"/>
      <c r="W1192" s="9"/>
      <c r="X1192" s="9"/>
      <c r="Y1192" s="9"/>
      <c r="Z1192" s="9"/>
      <c r="AA1192" s="9"/>
      <c r="AB1192" s="9"/>
      <c r="AC1192" s="9"/>
      <c r="AD1192" s="25"/>
      <c r="AE1192" s="25"/>
      <c r="AF1192" s="9"/>
      <c r="AG1192" s="9"/>
      <c r="AH1192" s="9"/>
      <c r="AI1192" s="9"/>
    </row>
    <row r="1193" ht="15.75" customHeight="1">
      <c r="A1193" s="9"/>
      <c r="B1193" s="9"/>
      <c r="C1193" s="9"/>
      <c r="D1193" s="9"/>
      <c r="E1193" s="67"/>
      <c r="F1193" s="68"/>
      <c r="G1193" s="68"/>
      <c r="H1193" s="69"/>
      <c r="I1193" s="69"/>
      <c r="J1193" s="69"/>
      <c r="K1193" s="69"/>
      <c r="L1193" s="69"/>
      <c r="M1193" s="69"/>
      <c r="N1193" s="69"/>
      <c r="O1193" s="23"/>
      <c r="P1193" s="23"/>
      <c r="Q1193" s="9"/>
      <c r="R1193" s="9"/>
      <c r="S1193" s="9"/>
      <c r="T1193" s="9"/>
      <c r="U1193" s="9"/>
      <c r="V1193" s="9"/>
      <c r="W1193" s="9"/>
      <c r="X1193" s="9"/>
      <c r="Y1193" s="9"/>
      <c r="Z1193" s="9"/>
      <c r="AA1193" s="9"/>
      <c r="AB1193" s="9"/>
      <c r="AC1193" s="9"/>
      <c r="AD1193" s="25"/>
      <c r="AE1193" s="25"/>
      <c r="AF1193" s="9"/>
      <c r="AG1193" s="9"/>
      <c r="AH1193" s="9"/>
      <c r="AI1193" s="9"/>
    </row>
    <row r="1194" ht="15.75" customHeight="1">
      <c r="A1194" s="9"/>
      <c r="B1194" s="9"/>
      <c r="C1194" s="9"/>
      <c r="D1194" s="9"/>
      <c r="E1194" s="67"/>
      <c r="F1194" s="68"/>
      <c r="G1194" s="68"/>
      <c r="H1194" s="69"/>
      <c r="I1194" s="69"/>
      <c r="J1194" s="69"/>
      <c r="K1194" s="69"/>
      <c r="L1194" s="69"/>
      <c r="M1194" s="69"/>
      <c r="N1194" s="69"/>
      <c r="O1194" s="23"/>
      <c r="P1194" s="23"/>
      <c r="Q1194" s="9"/>
      <c r="R1194" s="9"/>
      <c r="S1194" s="9"/>
      <c r="T1194" s="9"/>
      <c r="U1194" s="9"/>
      <c r="V1194" s="9"/>
      <c r="W1194" s="9"/>
      <c r="X1194" s="9"/>
      <c r="Y1194" s="9"/>
      <c r="Z1194" s="9"/>
      <c r="AA1194" s="9"/>
      <c r="AB1194" s="9"/>
      <c r="AC1194" s="9"/>
      <c r="AD1194" s="25"/>
      <c r="AE1194" s="25"/>
      <c r="AF1194" s="9"/>
      <c r="AG1194" s="9"/>
      <c r="AH1194" s="9"/>
      <c r="AI1194" s="9"/>
    </row>
    <row r="1195" ht="15.75" customHeight="1">
      <c r="A1195" s="9"/>
      <c r="B1195" s="9"/>
      <c r="C1195" s="9"/>
      <c r="D1195" s="9"/>
      <c r="E1195" s="67"/>
      <c r="F1195" s="68"/>
      <c r="G1195" s="68"/>
      <c r="H1195" s="69"/>
      <c r="I1195" s="69"/>
      <c r="J1195" s="69"/>
      <c r="K1195" s="69"/>
      <c r="L1195" s="69"/>
      <c r="M1195" s="70"/>
      <c r="N1195" s="69"/>
      <c r="O1195" s="23"/>
      <c r="P1195" s="23"/>
      <c r="Q1195" s="9"/>
      <c r="R1195" s="9"/>
      <c r="S1195" s="9"/>
      <c r="T1195" s="9"/>
      <c r="U1195" s="9"/>
      <c r="V1195" s="9"/>
      <c r="W1195" s="9"/>
      <c r="X1195" s="9"/>
      <c r="Y1195" s="9"/>
      <c r="Z1195" s="9"/>
      <c r="AA1195" s="9"/>
      <c r="AB1195" s="9"/>
      <c r="AC1195" s="9"/>
      <c r="AD1195" s="25"/>
      <c r="AE1195" s="25"/>
      <c r="AF1195" s="9"/>
      <c r="AG1195" s="9"/>
      <c r="AH1195" s="9"/>
      <c r="AI1195" s="9"/>
    </row>
    <row r="1196" ht="15.75" customHeight="1">
      <c r="A1196" s="9"/>
      <c r="B1196" s="9"/>
      <c r="C1196" s="9"/>
      <c r="D1196" s="9"/>
      <c r="E1196" s="67"/>
      <c r="F1196" s="68"/>
      <c r="G1196" s="68"/>
      <c r="H1196" s="69"/>
      <c r="I1196" s="69"/>
      <c r="J1196" s="69"/>
      <c r="K1196" s="69"/>
      <c r="L1196" s="69"/>
      <c r="M1196" s="70"/>
      <c r="N1196" s="69"/>
      <c r="O1196" s="23"/>
      <c r="P1196" s="23"/>
      <c r="Q1196" s="9"/>
      <c r="R1196" s="9"/>
      <c r="S1196" s="9"/>
      <c r="T1196" s="9"/>
      <c r="U1196" s="9"/>
      <c r="V1196" s="9"/>
      <c r="W1196" s="9"/>
      <c r="X1196" s="9"/>
      <c r="Y1196" s="9"/>
      <c r="Z1196" s="9"/>
      <c r="AA1196" s="9"/>
      <c r="AB1196" s="9"/>
      <c r="AC1196" s="9"/>
      <c r="AD1196" s="25"/>
      <c r="AE1196" s="25"/>
      <c r="AF1196" s="9"/>
      <c r="AG1196" s="9"/>
      <c r="AH1196" s="9"/>
      <c r="AI1196" s="9"/>
    </row>
    <row r="1197" ht="15.75" customHeight="1">
      <c r="A1197" s="9"/>
      <c r="B1197" s="9"/>
      <c r="C1197" s="9"/>
      <c r="D1197" s="9"/>
      <c r="E1197" s="67"/>
      <c r="F1197" s="68"/>
      <c r="G1197" s="68"/>
      <c r="H1197" s="69"/>
      <c r="I1197" s="69"/>
      <c r="J1197" s="69"/>
      <c r="K1197" s="69"/>
      <c r="L1197" s="69"/>
      <c r="M1197" s="70"/>
      <c r="N1197" s="69"/>
      <c r="O1197" s="23"/>
      <c r="P1197" s="23"/>
      <c r="Q1197" s="9"/>
      <c r="R1197" s="9"/>
      <c r="S1197" s="9"/>
      <c r="T1197" s="9"/>
      <c r="U1197" s="9"/>
      <c r="V1197" s="9"/>
      <c r="W1197" s="9"/>
      <c r="X1197" s="9"/>
      <c r="Y1197" s="9"/>
      <c r="Z1197" s="9"/>
      <c r="AA1197" s="9"/>
      <c r="AB1197" s="9"/>
      <c r="AC1197" s="9"/>
      <c r="AD1197" s="25"/>
      <c r="AE1197" s="25"/>
      <c r="AF1197" s="9"/>
      <c r="AG1197" s="9"/>
      <c r="AH1197" s="9"/>
      <c r="AI1197" s="9"/>
    </row>
    <row r="1198" ht="15.75" customHeight="1">
      <c r="A1198" s="9"/>
      <c r="B1198" s="9"/>
      <c r="C1198" s="9"/>
      <c r="D1198" s="9"/>
      <c r="E1198" s="67"/>
      <c r="F1198" s="68"/>
      <c r="G1198" s="68"/>
      <c r="H1198" s="69"/>
      <c r="I1198" s="69"/>
      <c r="J1198" s="69"/>
      <c r="K1198" s="69"/>
      <c r="L1198" s="69"/>
      <c r="M1198" s="70"/>
      <c r="N1198" s="69"/>
      <c r="O1198" s="23"/>
      <c r="P1198" s="23"/>
      <c r="Q1198" s="9"/>
      <c r="R1198" s="9"/>
      <c r="S1198" s="9"/>
      <c r="T1198" s="9"/>
      <c r="U1198" s="9"/>
      <c r="V1198" s="9"/>
      <c r="W1198" s="9"/>
      <c r="X1198" s="9"/>
      <c r="Y1198" s="9"/>
      <c r="Z1198" s="9"/>
      <c r="AA1198" s="9"/>
      <c r="AB1198" s="9"/>
      <c r="AC1198" s="9"/>
      <c r="AD1198" s="25"/>
      <c r="AE1198" s="25"/>
      <c r="AF1198" s="9"/>
      <c r="AG1198" s="9"/>
      <c r="AH1198" s="9"/>
      <c r="AI1198" s="9"/>
    </row>
    <row r="1199" ht="15.75" customHeight="1">
      <c r="A1199" s="9"/>
      <c r="B1199" s="9"/>
      <c r="C1199" s="9"/>
      <c r="D1199" s="9"/>
      <c r="E1199" s="67"/>
      <c r="F1199" s="68"/>
      <c r="G1199" s="68"/>
      <c r="H1199" s="69"/>
      <c r="I1199" s="69"/>
      <c r="J1199" s="69"/>
      <c r="K1199" s="69"/>
      <c r="L1199" s="69"/>
      <c r="M1199" s="69"/>
      <c r="N1199" s="69"/>
      <c r="O1199" s="23"/>
      <c r="P1199" s="23"/>
      <c r="Q1199" s="9"/>
      <c r="R1199" s="9"/>
      <c r="S1199" s="9"/>
      <c r="T1199" s="9"/>
      <c r="U1199" s="9"/>
      <c r="V1199" s="9"/>
      <c r="W1199" s="9"/>
      <c r="X1199" s="9"/>
      <c r="Y1199" s="9"/>
      <c r="Z1199" s="9"/>
      <c r="AA1199" s="9"/>
      <c r="AB1199" s="9"/>
      <c r="AC1199" s="9"/>
      <c r="AD1199" s="25"/>
      <c r="AE1199" s="25"/>
      <c r="AF1199" s="9"/>
      <c r="AG1199" s="9"/>
      <c r="AH1199" s="9"/>
      <c r="AI1199" s="9"/>
    </row>
    <row r="1200" ht="15.75" customHeight="1">
      <c r="A1200" s="9"/>
      <c r="B1200" s="9"/>
      <c r="C1200" s="9"/>
      <c r="D1200" s="9"/>
      <c r="E1200" s="67"/>
      <c r="F1200" s="68"/>
      <c r="G1200" s="68"/>
      <c r="H1200" s="69"/>
      <c r="I1200" s="69"/>
      <c r="J1200" s="69"/>
      <c r="K1200" s="69"/>
      <c r="L1200" s="69"/>
      <c r="M1200" s="70"/>
      <c r="N1200" s="69"/>
      <c r="O1200" s="23"/>
      <c r="P1200" s="23"/>
      <c r="Q1200" s="9"/>
      <c r="R1200" s="9"/>
      <c r="S1200" s="9"/>
      <c r="T1200" s="9"/>
      <c r="U1200" s="9"/>
      <c r="V1200" s="9"/>
      <c r="W1200" s="9"/>
      <c r="X1200" s="9"/>
      <c r="Y1200" s="9"/>
      <c r="Z1200" s="9"/>
      <c r="AA1200" s="9"/>
      <c r="AB1200" s="9"/>
      <c r="AC1200" s="9"/>
      <c r="AD1200" s="25"/>
      <c r="AE1200" s="25"/>
      <c r="AF1200" s="9"/>
      <c r="AG1200" s="9"/>
      <c r="AH1200" s="9"/>
      <c r="AI1200" s="9"/>
    </row>
    <row r="1201" ht="15.75" customHeight="1">
      <c r="A1201" s="9"/>
      <c r="B1201" s="9"/>
      <c r="C1201" s="9"/>
      <c r="D1201" s="9"/>
      <c r="E1201" s="67"/>
      <c r="F1201" s="68"/>
      <c r="G1201" s="68"/>
      <c r="H1201" s="69"/>
      <c r="I1201" s="69"/>
      <c r="J1201" s="69"/>
      <c r="K1201" s="69"/>
      <c r="L1201" s="69"/>
      <c r="M1201" s="70"/>
      <c r="N1201" s="69"/>
      <c r="O1201" s="23"/>
      <c r="P1201" s="23"/>
      <c r="Q1201" s="9"/>
      <c r="R1201" s="9"/>
      <c r="S1201" s="9"/>
      <c r="T1201" s="9"/>
      <c r="U1201" s="9"/>
      <c r="V1201" s="9"/>
      <c r="W1201" s="9"/>
      <c r="X1201" s="9"/>
      <c r="Y1201" s="9"/>
      <c r="Z1201" s="9"/>
      <c r="AA1201" s="9"/>
      <c r="AB1201" s="9"/>
      <c r="AC1201" s="9"/>
      <c r="AD1201" s="25"/>
      <c r="AE1201" s="25"/>
      <c r="AF1201" s="9"/>
      <c r="AG1201" s="9"/>
      <c r="AH1201" s="9"/>
      <c r="AI1201" s="9"/>
    </row>
    <row r="1202" ht="15.75" customHeight="1">
      <c r="A1202" s="9"/>
      <c r="B1202" s="9"/>
      <c r="C1202" s="9"/>
      <c r="D1202" s="9"/>
      <c r="E1202" s="67"/>
      <c r="F1202" s="68"/>
      <c r="G1202" s="68"/>
      <c r="H1202" s="69"/>
      <c r="I1202" s="69"/>
      <c r="J1202" s="69"/>
      <c r="K1202" s="69"/>
      <c r="L1202" s="69"/>
      <c r="M1202" s="70"/>
      <c r="N1202" s="69"/>
      <c r="O1202" s="23"/>
      <c r="P1202" s="23"/>
      <c r="Q1202" s="9"/>
      <c r="R1202" s="9"/>
      <c r="S1202" s="9"/>
      <c r="T1202" s="9"/>
      <c r="U1202" s="9"/>
      <c r="V1202" s="9"/>
      <c r="W1202" s="9"/>
      <c r="X1202" s="9"/>
      <c r="Y1202" s="9"/>
      <c r="Z1202" s="9"/>
      <c r="AA1202" s="9"/>
      <c r="AB1202" s="9"/>
      <c r="AC1202" s="9"/>
      <c r="AD1202" s="25"/>
      <c r="AE1202" s="25"/>
      <c r="AF1202" s="9"/>
      <c r="AG1202" s="9"/>
      <c r="AH1202" s="9"/>
      <c r="AI1202" s="9"/>
    </row>
    <row r="1203" ht="15.75" customHeight="1">
      <c r="A1203" s="9"/>
      <c r="B1203" s="9"/>
      <c r="C1203" s="9"/>
      <c r="D1203" s="9"/>
      <c r="E1203" s="67"/>
      <c r="F1203" s="68"/>
      <c r="G1203" s="68"/>
      <c r="H1203" s="69"/>
      <c r="I1203" s="69"/>
      <c r="J1203" s="69"/>
      <c r="K1203" s="69"/>
      <c r="L1203" s="69"/>
      <c r="M1203" s="70"/>
      <c r="N1203" s="69"/>
      <c r="O1203" s="23"/>
      <c r="P1203" s="23"/>
      <c r="Q1203" s="9"/>
      <c r="R1203" s="9"/>
      <c r="S1203" s="9"/>
      <c r="T1203" s="9"/>
      <c r="U1203" s="9"/>
      <c r="V1203" s="9"/>
      <c r="W1203" s="9"/>
      <c r="X1203" s="9"/>
      <c r="Y1203" s="9"/>
      <c r="Z1203" s="9"/>
      <c r="AA1203" s="9"/>
      <c r="AB1203" s="9"/>
      <c r="AC1203" s="9"/>
      <c r="AD1203" s="25"/>
      <c r="AE1203" s="25"/>
      <c r="AF1203" s="9"/>
      <c r="AG1203" s="9"/>
      <c r="AH1203" s="9"/>
      <c r="AI1203" s="9"/>
    </row>
    <row r="1204" ht="15.75" customHeight="1">
      <c r="A1204" s="9"/>
      <c r="B1204" s="9"/>
      <c r="C1204" s="9"/>
      <c r="D1204" s="9"/>
      <c r="E1204" s="67"/>
      <c r="F1204" s="68"/>
      <c r="G1204" s="68"/>
      <c r="H1204" s="69"/>
      <c r="I1204" s="69"/>
      <c r="J1204" s="69"/>
      <c r="K1204" s="69"/>
      <c r="L1204" s="69"/>
      <c r="M1204" s="69"/>
      <c r="N1204" s="69"/>
      <c r="O1204" s="23"/>
      <c r="P1204" s="23"/>
      <c r="Q1204" s="9"/>
      <c r="R1204" s="9"/>
      <c r="S1204" s="9"/>
      <c r="T1204" s="9"/>
      <c r="U1204" s="9"/>
      <c r="V1204" s="9"/>
      <c r="W1204" s="9"/>
      <c r="X1204" s="9"/>
      <c r="Y1204" s="9"/>
      <c r="Z1204" s="9"/>
      <c r="AA1204" s="9"/>
      <c r="AB1204" s="9"/>
      <c r="AC1204" s="9"/>
      <c r="AD1204" s="25"/>
      <c r="AE1204" s="25"/>
      <c r="AF1204" s="9"/>
      <c r="AG1204" s="9"/>
      <c r="AH1204" s="9"/>
      <c r="AI1204" s="9"/>
    </row>
    <row r="1205" ht="15.75" customHeight="1">
      <c r="A1205" s="9"/>
      <c r="B1205" s="9"/>
      <c r="C1205" s="9"/>
      <c r="D1205" s="9"/>
      <c r="E1205" s="67"/>
      <c r="F1205" s="68"/>
      <c r="G1205" s="68"/>
      <c r="H1205" s="69"/>
      <c r="I1205" s="69"/>
      <c r="J1205" s="69"/>
      <c r="K1205" s="69"/>
      <c r="L1205" s="69"/>
      <c r="M1205" s="70"/>
      <c r="N1205" s="69"/>
      <c r="O1205" s="23"/>
      <c r="P1205" s="23"/>
      <c r="Q1205" s="9"/>
      <c r="R1205" s="9"/>
      <c r="S1205" s="9"/>
      <c r="T1205" s="9"/>
      <c r="U1205" s="9"/>
      <c r="V1205" s="9"/>
      <c r="W1205" s="9"/>
      <c r="X1205" s="9"/>
      <c r="Y1205" s="9"/>
      <c r="Z1205" s="9"/>
      <c r="AA1205" s="9"/>
      <c r="AB1205" s="9"/>
      <c r="AC1205" s="9"/>
      <c r="AD1205" s="25"/>
      <c r="AE1205" s="25"/>
      <c r="AF1205" s="9"/>
      <c r="AG1205" s="9"/>
      <c r="AH1205" s="9"/>
      <c r="AI1205" s="9"/>
    </row>
    <row r="1206" ht="15.75" customHeight="1">
      <c r="A1206" s="9"/>
      <c r="B1206" s="9"/>
      <c r="C1206" s="9"/>
      <c r="D1206" s="9"/>
      <c r="E1206" s="67"/>
      <c r="F1206" s="68"/>
      <c r="G1206" s="68"/>
      <c r="H1206" s="69"/>
      <c r="I1206" s="69"/>
      <c r="J1206" s="69"/>
      <c r="K1206" s="69"/>
      <c r="L1206" s="69"/>
      <c r="M1206" s="70"/>
      <c r="N1206" s="69"/>
      <c r="O1206" s="23"/>
      <c r="P1206" s="23"/>
      <c r="Q1206" s="9"/>
      <c r="R1206" s="9"/>
      <c r="S1206" s="9"/>
      <c r="T1206" s="9"/>
      <c r="U1206" s="9"/>
      <c r="V1206" s="9"/>
      <c r="W1206" s="9"/>
      <c r="X1206" s="9"/>
      <c r="Y1206" s="9"/>
      <c r="Z1206" s="9"/>
      <c r="AA1206" s="9"/>
      <c r="AB1206" s="9"/>
      <c r="AC1206" s="9"/>
      <c r="AD1206" s="25"/>
      <c r="AE1206" s="25"/>
      <c r="AF1206" s="9"/>
      <c r="AG1206" s="9"/>
      <c r="AH1206" s="9"/>
      <c r="AI1206" s="9"/>
    </row>
    <row r="1207" ht="15.75" customHeight="1">
      <c r="A1207" s="9"/>
      <c r="B1207" s="9"/>
      <c r="C1207" s="9"/>
      <c r="D1207" s="9"/>
      <c r="E1207" s="67"/>
      <c r="F1207" s="68"/>
      <c r="G1207" s="68"/>
      <c r="H1207" s="69"/>
      <c r="I1207" s="69"/>
      <c r="J1207" s="69"/>
      <c r="K1207" s="69"/>
      <c r="L1207" s="69"/>
      <c r="M1207" s="70"/>
      <c r="N1207" s="69"/>
      <c r="O1207" s="23"/>
      <c r="P1207" s="23"/>
      <c r="Q1207" s="9"/>
      <c r="R1207" s="9"/>
      <c r="S1207" s="9"/>
      <c r="T1207" s="9"/>
      <c r="U1207" s="9"/>
      <c r="V1207" s="9"/>
      <c r="W1207" s="9"/>
      <c r="X1207" s="9"/>
      <c r="Y1207" s="9"/>
      <c r="Z1207" s="9"/>
      <c r="AA1207" s="9"/>
      <c r="AB1207" s="9"/>
      <c r="AC1207" s="9"/>
      <c r="AD1207" s="25"/>
      <c r="AE1207" s="25"/>
      <c r="AF1207" s="9"/>
      <c r="AG1207" s="9"/>
      <c r="AH1207" s="9"/>
      <c r="AI1207" s="9"/>
    </row>
    <row r="1208" ht="15.75" customHeight="1">
      <c r="A1208" s="9"/>
      <c r="B1208" s="9"/>
      <c r="C1208" s="9"/>
      <c r="D1208" s="9"/>
      <c r="E1208" s="67"/>
      <c r="F1208" s="68"/>
      <c r="G1208" s="68"/>
      <c r="H1208" s="69"/>
      <c r="I1208" s="69"/>
      <c r="J1208" s="69"/>
      <c r="K1208" s="69"/>
      <c r="L1208" s="69"/>
      <c r="M1208" s="70"/>
      <c r="N1208" s="69"/>
      <c r="O1208" s="23"/>
      <c r="P1208" s="23"/>
      <c r="Q1208" s="9"/>
      <c r="R1208" s="9"/>
      <c r="S1208" s="9"/>
      <c r="T1208" s="9"/>
      <c r="U1208" s="9"/>
      <c r="V1208" s="9"/>
      <c r="W1208" s="9"/>
      <c r="X1208" s="9"/>
      <c r="Y1208" s="9"/>
      <c r="Z1208" s="9"/>
      <c r="AA1208" s="9"/>
      <c r="AB1208" s="9"/>
      <c r="AC1208" s="9"/>
      <c r="AD1208" s="25"/>
      <c r="AE1208" s="25"/>
      <c r="AF1208" s="9"/>
      <c r="AG1208" s="9"/>
      <c r="AH1208" s="9"/>
      <c r="AI1208" s="9"/>
    </row>
    <row r="1209" ht="15.75" customHeight="1">
      <c r="A1209" s="9"/>
      <c r="B1209" s="9"/>
      <c r="C1209" s="9"/>
      <c r="D1209" s="9"/>
      <c r="E1209" s="67"/>
      <c r="F1209" s="68"/>
      <c r="G1209" s="68"/>
      <c r="H1209" s="69"/>
      <c r="I1209" s="69"/>
      <c r="J1209" s="69"/>
      <c r="K1209" s="69"/>
      <c r="L1209" s="69"/>
      <c r="M1209" s="70"/>
      <c r="N1209" s="69"/>
      <c r="O1209" s="23"/>
      <c r="P1209" s="23"/>
      <c r="Q1209" s="9"/>
      <c r="R1209" s="9"/>
      <c r="S1209" s="9"/>
      <c r="T1209" s="9"/>
      <c r="U1209" s="9"/>
      <c r="V1209" s="9"/>
      <c r="W1209" s="9"/>
      <c r="X1209" s="9"/>
      <c r="Y1209" s="9"/>
      <c r="Z1209" s="9"/>
      <c r="AA1209" s="9"/>
      <c r="AB1209" s="9"/>
      <c r="AC1209" s="9"/>
      <c r="AD1209" s="25"/>
      <c r="AE1209" s="25"/>
      <c r="AF1209" s="9"/>
      <c r="AG1209" s="9"/>
      <c r="AH1209" s="9"/>
      <c r="AI1209" s="9"/>
    </row>
    <row r="1210" ht="15.75" customHeight="1">
      <c r="A1210" s="9"/>
      <c r="B1210" s="9"/>
      <c r="C1210" s="9"/>
      <c r="D1210" s="9"/>
      <c r="E1210" s="67"/>
      <c r="F1210" s="68"/>
      <c r="G1210" s="68"/>
      <c r="H1210" s="69"/>
      <c r="I1210" s="69"/>
      <c r="J1210" s="69"/>
      <c r="K1210" s="69"/>
      <c r="L1210" s="69"/>
      <c r="M1210" s="70"/>
      <c r="N1210" s="69"/>
      <c r="O1210" s="23"/>
      <c r="P1210" s="23"/>
      <c r="Q1210" s="9"/>
      <c r="R1210" s="9"/>
      <c r="S1210" s="9"/>
      <c r="T1210" s="9"/>
      <c r="U1210" s="9"/>
      <c r="V1210" s="9"/>
      <c r="W1210" s="9"/>
      <c r="X1210" s="9"/>
      <c r="Y1210" s="9"/>
      <c r="Z1210" s="9"/>
      <c r="AA1210" s="9"/>
      <c r="AB1210" s="9"/>
      <c r="AC1210" s="9"/>
      <c r="AD1210" s="25"/>
      <c r="AE1210" s="25"/>
      <c r="AF1210" s="9"/>
      <c r="AG1210" s="9"/>
      <c r="AH1210" s="9"/>
      <c r="AI1210" s="9"/>
    </row>
    <row r="1211" ht="15.75" customHeight="1">
      <c r="A1211" s="9"/>
      <c r="B1211" s="9"/>
      <c r="C1211" s="9"/>
      <c r="D1211" s="9"/>
      <c r="E1211" s="67"/>
      <c r="F1211" s="68"/>
      <c r="G1211" s="68"/>
      <c r="H1211" s="69"/>
      <c r="I1211" s="69"/>
      <c r="J1211" s="69"/>
      <c r="K1211" s="69"/>
      <c r="L1211" s="69"/>
      <c r="M1211" s="70"/>
      <c r="N1211" s="69"/>
      <c r="O1211" s="23"/>
      <c r="P1211" s="23"/>
      <c r="Q1211" s="9"/>
      <c r="R1211" s="9"/>
      <c r="S1211" s="9"/>
      <c r="T1211" s="9"/>
      <c r="U1211" s="9"/>
      <c r="V1211" s="9"/>
      <c r="W1211" s="9"/>
      <c r="X1211" s="9"/>
      <c r="Y1211" s="9"/>
      <c r="Z1211" s="9"/>
      <c r="AA1211" s="9"/>
      <c r="AB1211" s="9"/>
      <c r="AC1211" s="9"/>
      <c r="AD1211" s="25"/>
      <c r="AE1211" s="25"/>
      <c r="AF1211" s="9"/>
      <c r="AG1211" s="9"/>
      <c r="AH1211" s="9"/>
      <c r="AI1211" s="9"/>
    </row>
    <row r="1212" ht="15.75" customHeight="1">
      <c r="A1212" s="9"/>
      <c r="B1212" s="9"/>
      <c r="C1212" s="9"/>
      <c r="D1212" s="9"/>
      <c r="E1212" s="67"/>
      <c r="F1212" s="68"/>
      <c r="G1212" s="68"/>
      <c r="H1212" s="69"/>
      <c r="I1212" s="69"/>
      <c r="J1212" s="69"/>
      <c r="K1212" s="69"/>
      <c r="L1212" s="69"/>
      <c r="M1212" s="70"/>
      <c r="N1212" s="69"/>
      <c r="O1212" s="23"/>
      <c r="P1212" s="23"/>
      <c r="Q1212" s="9"/>
      <c r="R1212" s="9"/>
      <c r="S1212" s="9"/>
      <c r="T1212" s="9"/>
      <c r="U1212" s="9"/>
      <c r="V1212" s="9"/>
      <c r="W1212" s="9"/>
      <c r="X1212" s="9"/>
      <c r="Y1212" s="9"/>
      <c r="Z1212" s="9"/>
      <c r="AA1212" s="9"/>
      <c r="AB1212" s="9"/>
      <c r="AC1212" s="9"/>
      <c r="AD1212" s="25"/>
      <c r="AE1212" s="25"/>
      <c r="AF1212" s="9"/>
      <c r="AG1212" s="9"/>
      <c r="AH1212" s="9"/>
      <c r="AI1212" s="9"/>
    </row>
    <row r="1213" ht="15.75" customHeight="1">
      <c r="A1213" s="9"/>
      <c r="B1213" s="9"/>
      <c r="C1213" s="9"/>
      <c r="D1213" s="9"/>
      <c r="E1213" s="67"/>
      <c r="F1213" s="68"/>
      <c r="G1213" s="68"/>
      <c r="H1213" s="69"/>
      <c r="I1213" s="69"/>
      <c r="J1213" s="69"/>
      <c r="K1213" s="69"/>
      <c r="L1213" s="69"/>
      <c r="M1213" s="69"/>
      <c r="N1213" s="69"/>
      <c r="O1213" s="23"/>
      <c r="P1213" s="23"/>
      <c r="Q1213" s="9"/>
      <c r="R1213" s="9"/>
      <c r="S1213" s="9"/>
      <c r="T1213" s="9"/>
      <c r="U1213" s="9"/>
      <c r="V1213" s="9"/>
      <c r="W1213" s="9"/>
      <c r="X1213" s="9"/>
      <c r="Y1213" s="9"/>
      <c r="Z1213" s="9"/>
      <c r="AA1213" s="9"/>
      <c r="AB1213" s="9"/>
      <c r="AC1213" s="9"/>
      <c r="AD1213" s="25"/>
      <c r="AE1213" s="25"/>
      <c r="AF1213" s="9"/>
      <c r="AG1213" s="9"/>
      <c r="AH1213" s="9"/>
      <c r="AI1213" s="9"/>
    </row>
    <row r="1214" ht="15.75" customHeight="1">
      <c r="A1214" s="9"/>
      <c r="B1214" s="9"/>
      <c r="C1214" s="9"/>
      <c r="D1214" s="9"/>
      <c r="E1214" s="67"/>
      <c r="F1214" s="68"/>
      <c r="G1214" s="68"/>
      <c r="H1214" s="69"/>
      <c r="I1214" s="69"/>
      <c r="J1214" s="69"/>
      <c r="K1214" s="69"/>
      <c r="L1214" s="69"/>
      <c r="M1214" s="70"/>
      <c r="N1214" s="69"/>
      <c r="O1214" s="23"/>
      <c r="P1214" s="23"/>
      <c r="Q1214" s="9"/>
      <c r="R1214" s="9"/>
      <c r="S1214" s="9"/>
      <c r="T1214" s="9"/>
      <c r="U1214" s="9"/>
      <c r="V1214" s="9"/>
      <c r="W1214" s="9"/>
      <c r="X1214" s="9"/>
      <c r="Y1214" s="9"/>
      <c r="Z1214" s="9"/>
      <c r="AA1214" s="9"/>
      <c r="AB1214" s="9"/>
      <c r="AC1214" s="9"/>
      <c r="AD1214" s="25"/>
      <c r="AE1214" s="25"/>
      <c r="AF1214" s="9"/>
      <c r="AG1214" s="9"/>
      <c r="AH1214" s="9"/>
      <c r="AI1214" s="9"/>
    </row>
    <row r="1215" ht="15.75" customHeight="1">
      <c r="A1215" s="9"/>
      <c r="B1215" s="9"/>
      <c r="C1215" s="9"/>
      <c r="D1215" s="9"/>
      <c r="E1215" s="67"/>
      <c r="F1215" s="68"/>
      <c r="G1215" s="68"/>
      <c r="H1215" s="69"/>
      <c r="I1215" s="69"/>
      <c r="J1215" s="69"/>
      <c r="K1215" s="69"/>
      <c r="L1215" s="69"/>
      <c r="M1215" s="69"/>
      <c r="N1215" s="69"/>
      <c r="O1215" s="23"/>
      <c r="P1215" s="23"/>
      <c r="Q1215" s="9"/>
      <c r="R1215" s="9"/>
      <c r="S1215" s="9"/>
      <c r="T1215" s="9"/>
      <c r="U1215" s="9"/>
      <c r="V1215" s="9"/>
      <c r="W1215" s="9"/>
      <c r="X1215" s="9"/>
      <c r="Y1215" s="9"/>
      <c r="Z1215" s="9"/>
      <c r="AA1215" s="9"/>
      <c r="AB1215" s="9"/>
      <c r="AC1215" s="9"/>
      <c r="AD1215" s="25"/>
      <c r="AE1215" s="25"/>
      <c r="AF1215" s="9"/>
      <c r="AG1215" s="9"/>
      <c r="AH1215" s="9"/>
      <c r="AI1215" s="9"/>
    </row>
    <row r="1216" ht="15.75" customHeight="1">
      <c r="A1216" s="9"/>
      <c r="B1216" s="9"/>
      <c r="C1216" s="9"/>
      <c r="D1216" s="9"/>
      <c r="E1216" s="67"/>
      <c r="F1216" s="68"/>
      <c r="G1216" s="68"/>
      <c r="H1216" s="69"/>
      <c r="I1216" s="69"/>
      <c r="J1216" s="69"/>
      <c r="K1216" s="69"/>
      <c r="L1216" s="69"/>
      <c r="M1216" s="70"/>
      <c r="N1216" s="69"/>
      <c r="O1216" s="23"/>
      <c r="P1216" s="23"/>
      <c r="Q1216" s="9"/>
      <c r="R1216" s="9"/>
      <c r="S1216" s="9"/>
      <c r="T1216" s="9"/>
      <c r="U1216" s="9"/>
      <c r="V1216" s="9"/>
      <c r="W1216" s="9"/>
      <c r="X1216" s="9"/>
      <c r="Y1216" s="9"/>
      <c r="Z1216" s="9"/>
      <c r="AA1216" s="9"/>
      <c r="AB1216" s="9"/>
      <c r="AC1216" s="9"/>
      <c r="AD1216" s="25"/>
      <c r="AE1216" s="25"/>
      <c r="AF1216" s="9"/>
      <c r="AG1216" s="9"/>
      <c r="AH1216" s="9"/>
      <c r="AI1216" s="9"/>
    </row>
    <row r="1217" ht="15.75" customHeight="1">
      <c r="A1217" s="9"/>
      <c r="B1217" s="9"/>
      <c r="C1217" s="9"/>
      <c r="D1217" s="9"/>
      <c r="E1217" s="67"/>
      <c r="F1217" s="68"/>
      <c r="G1217" s="68"/>
      <c r="H1217" s="69"/>
      <c r="I1217" s="69"/>
      <c r="J1217" s="69"/>
      <c r="K1217" s="69"/>
      <c r="L1217" s="69"/>
      <c r="M1217" s="70"/>
      <c r="N1217" s="69"/>
      <c r="O1217" s="23"/>
      <c r="P1217" s="23"/>
      <c r="Q1217" s="9"/>
      <c r="R1217" s="9"/>
      <c r="S1217" s="9"/>
      <c r="T1217" s="9"/>
      <c r="U1217" s="9"/>
      <c r="V1217" s="9"/>
      <c r="W1217" s="9"/>
      <c r="X1217" s="9"/>
      <c r="Y1217" s="9"/>
      <c r="Z1217" s="9"/>
      <c r="AA1217" s="9"/>
      <c r="AB1217" s="9"/>
      <c r="AC1217" s="9"/>
      <c r="AD1217" s="25"/>
      <c r="AE1217" s="25"/>
      <c r="AF1217" s="9"/>
      <c r="AG1217" s="9"/>
      <c r="AH1217" s="9"/>
      <c r="AI1217" s="9"/>
    </row>
    <row r="1218" ht="15.75" customHeight="1">
      <c r="A1218" s="9"/>
      <c r="B1218" s="9"/>
      <c r="C1218" s="9"/>
      <c r="D1218" s="9"/>
      <c r="E1218" s="67"/>
      <c r="F1218" s="68"/>
      <c r="G1218" s="68"/>
      <c r="H1218" s="69"/>
      <c r="I1218" s="69"/>
      <c r="J1218" s="69"/>
      <c r="K1218" s="69"/>
      <c r="L1218" s="69"/>
      <c r="M1218" s="70"/>
      <c r="N1218" s="69"/>
      <c r="O1218" s="23"/>
      <c r="P1218" s="23"/>
      <c r="Q1218" s="9"/>
      <c r="R1218" s="9"/>
      <c r="S1218" s="9"/>
      <c r="T1218" s="9"/>
      <c r="U1218" s="9"/>
      <c r="V1218" s="9"/>
      <c r="W1218" s="9"/>
      <c r="X1218" s="9"/>
      <c r="Y1218" s="9"/>
      <c r="Z1218" s="9"/>
      <c r="AA1218" s="9"/>
      <c r="AB1218" s="9"/>
      <c r="AC1218" s="9"/>
      <c r="AD1218" s="25"/>
      <c r="AE1218" s="25"/>
      <c r="AF1218" s="9"/>
      <c r="AG1218" s="9"/>
      <c r="AH1218" s="9"/>
      <c r="AI1218" s="9"/>
    </row>
    <row r="1219" ht="15.75" customHeight="1">
      <c r="A1219" s="9"/>
      <c r="B1219" s="9"/>
      <c r="C1219" s="9"/>
      <c r="D1219" s="9"/>
      <c r="E1219" s="67"/>
      <c r="F1219" s="68"/>
      <c r="G1219" s="68"/>
      <c r="H1219" s="69"/>
      <c r="I1219" s="69"/>
      <c r="J1219" s="69"/>
      <c r="K1219" s="69"/>
      <c r="L1219" s="69"/>
      <c r="M1219" s="69"/>
      <c r="N1219" s="69"/>
      <c r="O1219" s="23"/>
      <c r="P1219" s="23"/>
      <c r="Q1219" s="9"/>
      <c r="R1219" s="9"/>
      <c r="S1219" s="9"/>
      <c r="T1219" s="9"/>
      <c r="U1219" s="9"/>
      <c r="V1219" s="9"/>
      <c r="W1219" s="9"/>
      <c r="X1219" s="9"/>
      <c r="Y1219" s="9"/>
      <c r="Z1219" s="9"/>
      <c r="AA1219" s="9"/>
      <c r="AB1219" s="9"/>
      <c r="AC1219" s="9"/>
      <c r="AD1219" s="25"/>
      <c r="AE1219" s="25"/>
      <c r="AF1219" s="9"/>
      <c r="AG1219" s="9"/>
      <c r="AH1219" s="9"/>
      <c r="AI1219" s="9"/>
    </row>
    <row r="1220" ht="15.75" customHeight="1">
      <c r="A1220" s="9"/>
      <c r="B1220" s="9"/>
      <c r="C1220" s="9"/>
      <c r="D1220" s="9"/>
      <c r="E1220" s="67"/>
      <c r="F1220" s="68"/>
      <c r="G1220" s="68"/>
      <c r="H1220" s="69"/>
      <c r="I1220" s="69"/>
      <c r="J1220" s="69"/>
      <c r="K1220" s="69"/>
      <c r="L1220" s="69"/>
      <c r="M1220" s="70"/>
      <c r="N1220" s="69"/>
      <c r="O1220" s="23"/>
      <c r="P1220" s="23"/>
      <c r="Q1220" s="9"/>
      <c r="R1220" s="9"/>
      <c r="S1220" s="9"/>
      <c r="T1220" s="9"/>
      <c r="U1220" s="9"/>
      <c r="V1220" s="9"/>
      <c r="W1220" s="9"/>
      <c r="X1220" s="9"/>
      <c r="Y1220" s="9"/>
      <c r="Z1220" s="9"/>
      <c r="AA1220" s="9"/>
      <c r="AB1220" s="9"/>
      <c r="AC1220" s="9"/>
      <c r="AD1220" s="25"/>
      <c r="AE1220" s="25"/>
      <c r="AF1220" s="9"/>
      <c r="AG1220" s="9"/>
      <c r="AH1220" s="9"/>
      <c r="AI1220" s="9"/>
    </row>
    <row r="1221" ht="15.75" customHeight="1">
      <c r="A1221" s="9"/>
      <c r="B1221" s="9"/>
      <c r="C1221" s="9"/>
      <c r="D1221" s="9"/>
      <c r="E1221" s="67"/>
      <c r="F1221" s="68"/>
      <c r="G1221" s="68"/>
      <c r="H1221" s="69"/>
      <c r="I1221" s="69"/>
      <c r="J1221" s="69"/>
      <c r="K1221" s="69"/>
      <c r="L1221" s="69"/>
      <c r="M1221" s="70"/>
      <c r="N1221" s="69"/>
      <c r="O1221" s="23"/>
      <c r="P1221" s="23"/>
      <c r="Q1221" s="9"/>
      <c r="R1221" s="9"/>
      <c r="S1221" s="9"/>
      <c r="T1221" s="9"/>
      <c r="U1221" s="9"/>
      <c r="V1221" s="9"/>
      <c r="W1221" s="9"/>
      <c r="X1221" s="9"/>
      <c r="Y1221" s="9"/>
      <c r="Z1221" s="9"/>
      <c r="AA1221" s="9"/>
      <c r="AB1221" s="9"/>
      <c r="AC1221" s="9"/>
      <c r="AD1221" s="25"/>
      <c r="AE1221" s="25"/>
      <c r="AF1221" s="9"/>
      <c r="AG1221" s="9"/>
      <c r="AH1221" s="9"/>
      <c r="AI1221" s="9"/>
    </row>
    <row r="1222" ht="15.75" customHeight="1">
      <c r="A1222" s="9"/>
      <c r="B1222" s="9"/>
      <c r="C1222" s="9"/>
      <c r="D1222" s="9"/>
      <c r="E1222" s="67"/>
      <c r="F1222" s="68"/>
      <c r="G1222" s="68"/>
      <c r="H1222" s="69"/>
      <c r="I1222" s="69"/>
      <c r="J1222" s="69"/>
      <c r="K1222" s="69"/>
      <c r="L1222" s="69"/>
      <c r="M1222" s="69"/>
      <c r="N1222" s="69"/>
      <c r="O1222" s="23"/>
      <c r="P1222" s="23"/>
      <c r="Q1222" s="9"/>
      <c r="R1222" s="9"/>
      <c r="S1222" s="9"/>
      <c r="T1222" s="9"/>
      <c r="U1222" s="9"/>
      <c r="V1222" s="9"/>
      <c r="W1222" s="9"/>
      <c r="X1222" s="9"/>
      <c r="Y1222" s="9"/>
      <c r="Z1222" s="9"/>
      <c r="AA1222" s="9"/>
      <c r="AB1222" s="9"/>
      <c r="AC1222" s="9"/>
      <c r="AD1222" s="25"/>
      <c r="AE1222" s="25"/>
      <c r="AF1222" s="9"/>
      <c r="AG1222" s="9"/>
      <c r="AH1222" s="9"/>
      <c r="AI1222" s="9"/>
    </row>
    <row r="1223" ht="15.75" customHeight="1">
      <c r="A1223" s="9"/>
      <c r="B1223" s="9"/>
      <c r="C1223" s="9"/>
      <c r="D1223" s="9"/>
      <c r="E1223" s="67"/>
      <c r="F1223" s="68"/>
      <c r="G1223" s="68"/>
      <c r="H1223" s="69"/>
      <c r="I1223" s="69"/>
      <c r="J1223" s="69"/>
      <c r="K1223" s="69"/>
      <c r="L1223" s="69"/>
      <c r="M1223" s="70"/>
      <c r="N1223" s="69"/>
      <c r="O1223" s="23"/>
      <c r="P1223" s="23"/>
      <c r="Q1223" s="9"/>
      <c r="R1223" s="9"/>
      <c r="S1223" s="9"/>
      <c r="T1223" s="9"/>
      <c r="U1223" s="9"/>
      <c r="V1223" s="9"/>
      <c r="W1223" s="9"/>
      <c r="X1223" s="9"/>
      <c r="Y1223" s="9"/>
      <c r="Z1223" s="9"/>
      <c r="AA1223" s="9"/>
      <c r="AB1223" s="9"/>
      <c r="AC1223" s="9"/>
      <c r="AD1223" s="25"/>
      <c r="AE1223" s="25"/>
      <c r="AF1223" s="9"/>
      <c r="AG1223" s="9"/>
      <c r="AH1223" s="9"/>
      <c r="AI1223" s="9"/>
    </row>
    <row r="1224" ht="15.75" customHeight="1">
      <c r="A1224" s="9"/>
      <c r="B1224" s="9"/>
      <c r="C1224" s="9"/>
      <c r="D1224" s="9"/>
      <c r="E1224" s="67"/>
      <c r="F1224" s="68"/>
      <c r="G1224" s="68"/>
      <c r="H1224" s="69"/>
      <c r="I1224" s="69"/>
      <c r="J1224" s="69"/>
      <c r="K1224" s="69"/>
      <c r="L1224" s="69"/>
      <c r="M1224" s="69"/>
      <c r="N1224" s="69"/>
      <c r="O1224" s="23"/>
      <c r="P1224" s="23"/>
      <c r="Q1224" s="9"/>
      <c r="R1224" s="9"/>
      <c r="S1224" s="9"/>
      <c r="T1224" s="9"/>
      <c r="U1224" s="9"/>
      <c r="V1224" s="9"/>
      <c r="W1224" s="9"/>
      <c r="X1224" s="9"/>
      <c r="Y1224" s="9"/>
      <c r="Z1224" s="9"/>
      <c r="AA1224" s="9"/>
      <c r="AB1224" s="9"/>
      <c r="AC1224" s="9"/>
      <c r="AD1224" s="25"/>
      <c r="AE1224" s="25"/>
      <c r="AF1224" s="9"/>
      <c r="AG1224" s="9"/>
      <c r="AH1224" s="9"/>
      <c r="AI1224" s="9"/>
    </row>
    <row r="1225" ht="15.75" customHeight="1">
      <c r="A1225" s="9"/>
      <c r="B1225" s="9"/>
      <c r="C1225" s="9"/>
      <c r="D1225" s="9"/>
      <c r="E1225" s="67"/>
      <c r="F1225" s="68"/>
      <c r="G1225" s="68"/>
      <c r="H1225" s="69"/>
      <c r="I1225" s="69"/>
      <c r="J1225" s="69"/>
      <c r="K1225" s="69"/>
      <c r="L1225" s="69"/>
      <c r="M1225" s="70"/>
      <c r="N1225" s="69"/>
      <c r="O1225" s="23"/>
      <c r="P1225" s="23"/>
      <c r="Q1225" s="9"/>
      <c r="R1225" s="9"/>
      <c r="S1225" s="9"/>
      <c r="T1225" s="9"/>
      <c r="U1225" s="9"/>
      <c r="V1225" s="9"/>
      <c r="W1225" s="9"/>
      <c r="X1225" s="9"/>
      <c r="Y1225" s="9"/>
      <c r="Z1225" s="9"/>
      <c r="AA1225" s="9"/>
      <c r="AB1225" s="9"/>
      <c r="AC1225" s="9"/>
      <c r="AD1225" s="25"/>
      <c r="AE1225" s="25"/>
      <c r="AF1225" s="9"/>
      <c r="AG1225" s="9"/>
      <c r="AH1225" s="9"/>
      <c r="AI1225" s="9"/>
    </row>
    <row r="1226" ht="15.75" customHeight="1">
      <c r="A1226" s="9"/>
      <c r="B1226" s="9"/>
      <c r="C1226" s="9"/>
      <c r="D1226" s="9"/>
      <c r="E1226" s="67"/>
      <c r="F1226" s="68"/>
      <c r="G1226" s="68"/>
      <c r="H1226" s="69"/>
      <c r="I1226" s="69"/>
      <c r="J1226" s="69"/>
      <c r="K1226" s="69"/>
      <c r="L1226" s="69"/>
      <c r="M1226" s="70"/>
      <c r="N1226" s="69"/>
      <c r="O1226" s="23"/>
      <c r="P1226" s="23"/>
      <c r="Q1226" s="9"/>
      <c r="R1226" s="9"/>
      <c r="S1226" s="9"/>
      <c r="T1226" s="9"/>
      <c r="U1226" s="9"/>
      <c r="V1226" s="9"/>
      <c r="W1226" s="9"/>
      <c r="X1226" s="9"/>
      <c r="Y1226" s="9"/>
      <c r="Z1226" s="9"/>
      <c r="AA1226" s="9"/>
      <c r="AB1226" s="9"/>
      <c r="AC1226" s="9"/>
      <c r="AD1226" s="25"/>
      <c r="AE1226" s="25"/>
      <c r="AF1226" s="9"/>
      <c r="AG1226" s="9"/>
      <c r="AH1226" s="9"/>
      <c r="AI1226" s="9"/>
    </row>
    <row r="1227" ht="15.75" customHeight="1">
      <c r="A1227" s="9"/>
      <c r="B1227" s="9"/>
      <c r="C1227" s="9"/>
      <c r="D1227" s="9"/>
      <c r="E1227" s="67"/>
      <c r="F1227" s="68"/>
      <c r="G1227" s="68"/>
      <c r="H1227" s="69"/>
      <c r="I1227" s="69"/>
      <c r="J1227" s="69"/>
      <c r="K1227" s="69"/>
      <c r="L1227" s="69"/>
      <c r="M1227" s="70"/>
      <c r="N1227" s="69"/>
      <c r="O1227" s="23"/>
      <c r="P1227" s="23"/>
      <c r="Q1227" s="9"/>
      <c r="R1227" s="9"/>
      <c r="S1227" s="9"/>
      <c r="T1227" s="9"/>
      <c r="U1227" s="9"/>
      <c r="V1227" s="9"/>
      <c r="W1227" s="9"/>
      <c r="X1227" s="9"/>
      <c r="Y1227" s="9"/>
      <c r="Z1227" s="9"/>
      <c r="AA1227" s="9"/>
      <c r="AB1227" s="9"/>
      <c r="AC1227" s="9"/>
      <c r="AD1227" s="25"/>
      <c r="AE1227" s="25"/>
      <c r="AF1227" s="9"/>
      <c r="AG1227" s="9"/>
      <c r="AH1227" s="9"/>
      <c r="AI1227" s="9"/>
    </row>
    <row r="1228" ht="15.75" customHeight="1">
      <c r="A1228" s="9"/>
      <c r="B1228" s="9"/>
      <c r="C1228" s="9"/>
      <c r="D1228" s="9"/>
      <c r="E1228" s="67"/>
      <c r="F1228" s="68"/>
      <c r="G1228" s="68"/>
      <c r="H1228" s="69"/>
      <c r="I1228" s="69"/>
      <c r="J1228" s="69"/>
      <c r="K1228" s="69"/>
      <c r="L1228" s="69"/>
      <c r="M1228" s="69"/>
      <c r="N1228" s="69"/>
      <c r="O1228" s="23"/>
      <c r="P1228" s="23"/>
      <c r="Q1228" s="9"/>
      <c r="R1228" s="9"/>
      <c r="S1228" s="9"/>
      <c r="T1228" s="9"/>
      <c r="U1228" s="9"/>
      <c r="V1228" s="9"/>
      <c r="W1228" s="9"/>
      <c r="X1228" s="9"/>
      <c r="Y1228" s="9"/>
      <c r="Z1228" s="9"/>
      <c r="AA1228" s="9"/>
      <c r="AB1228" s="9"/>
      <c r="AC1228" s="9"/>
      <c r="AD1228" s="25"/>
      <c r="AE1228" s="25"/>
      <c r="AF1228" s="9"/>
      <c r="AG1228" s="9"/>
      <c r="AH1228" s="9"/>
      <c r="AI1228" s="9"/>
    </row>
    <row r="1229" ht="15.75" customHeight="1">
      <c r="A1229" s="9"/>
      <c r="B1229" s="9"/>
      <c r="C1229" s="9"/>
      <c r="D1229" s="9"/>
      <c r="E1229" s="67"/>
      <c r="F1229" s="68"/>
      <c r="G1229" s="68"/>
      <c r="H1229" s="69"/>
      <c r="I1229" s="69"/>
      <c r="J1229" s="69"/>
      <c r="K1229" s="69"/>
      <c r="L1229" s="69"/>
      <c r="M1229" s="69"/>
      <c r="N1229" s="69"/>
      <c r="O1229" s="23"/>
      <c r="P1229" s="23"/>
      <c r="Q1229" s="9"/>
      <c r="R1229" s="9"/>
      <c r="S1229" s="9"/>
      <c r="T1229" s="9"/>
      <c r="U1229" s="9"/>
      <c r="V1229" s="9"/>
      <c r="W1229" s="9"/>
      <c r="X1229" s="9"/>
      <c r="Y1229" s="9"/>
      <c r="Z1229" s="9"/>
      <c r="AA1229" s="9"/>
      <c r="AB1229" s="9"/>
      <c r="AC1229" s="9"/>
      <c r="AD1229" s="25"/>
      <c r="AE1229" s="25"/>
      <c r="AF1229" s="9"/>
      <c r="AG1229" s="9"/>
      <c r="AH1229" s="9"/>
      <c r="AI1229" s="9"/>
    </row>
    <row r="1230" ht="15.75" customHeight="1">
      <c r="A1230" s="9"/>
      <c r="B1230" s="9"/>
      <c r="C1230" s="9"/>
      <c r="D1230" s="9"/>
      <c r="E1230" s="67"/>
      <c r="F1230" s="68"/>
      <c r="G1230" s="68"/>
      <c r="H1230" s="69"/>
      <c r="I1230" s="69"/>
      <c r="J1230" s="69"/>
      <c r="K1230" s="69"/>
      <c r="L1230" s="69"/>
      <c r="M1230" s="70"/>
      <c r="N1230" s="69"/>
      <c r="O1230" s="23"/>
      <c r="P1230" s="23"/>
      <c r="Q1230" s="9"/>
      <c r="R1230" s="9"/>
      <c r="S1230" s="9"/>
      <c r="T1230" s="9"/>
      <c r="U1230" s="9"/>
      <c r="V1230" s="9"/>
      <c r="W1230" s="9"/>
      <c r="X1230" s="9"/>
      <c r="Y1230" s="9"/>
      <c r="Z1230" s="9"/>
      <c r="AA1230" s="9"/>
      <c r="AB1230" s="9"/>
      <c r="AC1230" s="9"/>
      <c r="AD1230" s="25"/>
      <c r="AE1230" s="25"/>
      <c r="AF1230" s="9"/>
      <c r="AG1230" s="9"/>
      <c r="AH1230" s="9"/>
      <c r="AI1230" s="9"/>
    </row>
    <row r="1231" ht="15.75" customHeight="1">
      <c r="A1231" s="9"/>
      <c r="B1231" s="9"/>
      <c r="C1231" s="9"/>
      <c r="D1231" s="9"/>
      <c r="E1231" s="67"/>
      <c r="F1231" s="68"/>
      <c r="G1231" s="68"/>
      <c r="H1231" s="69"/>
      <c r="I1231" s="69"/>
      <c r="J1231" s="69"/>
      <c r="K1231" s="69"/>
      <c r="L1231" s="69"/>
      <c r="M1231" s="70"/>
      <c r="N1231" s="69"/>
      <c r="O1231" s="23"/>
      <c r="P1231" s="23"/>
      <c r="Q1231" s="9"/>
      <c r="R1231" s="9"/>
      <c r="S1231" s="9"/>
      <c r="T1231" s="9"/>
      <c r="U1231" s="9"/>
      <c r="V1231" s="9"/>
      <c r="W1231" s="9"/>
      <c r="X1231" s="9"/>
      <c r="Y1231" s="9"/>
      <c r="Z1231" s="9"/>
      <c r="AA1231" s="9"/>
      <c r="AB1231" s="9"/>
      <c r="AC1231" s="9"/>
      <c r="AD1231" s="25"/>
      <c r="AE1231" s="25"/>
      <c r="AF1231" s="9"/>
      <c r="AG1231" s="9"/>
      <c r="AH1231" s="9"/>
      <c r="AI1231" s="9"/>
    </row>
    <row r="1232" ht="15.75" customHeight="1">
      <c r="A1232" s="9"/>
      <c r="B1232" s="9"/>
      <c r="C1232" s="9"/>
      <c r="D1232" s="9"/>
      <c r="E1232" s="67"/>
      <c r="F1232" s="68"/>
      <c r="G1232" s="68"/>
      <c r="H1232" s="69"/>
      <c r="I1232" s="69"/>
      <c r="J1232" s="69"/>
      <c r="K1232" s="69"/>
      <c r="L1232" s="69"/>
      <c r="M1232" s="70"/>
      <c r="N1232" s="69"/>
      <c r="O1232" s="23"/>
      <c r="P1232" s="23"/>
      <c r="Q1232" s="9"/>
      <c r="R1232" s="9"/>
      <c r="S1232" s="9"/>
      <c r="T1232" s="9"/>
      <c r="U1232" s="9"/>
      <c r="V1232" s="9"/>
      <c r="W1232" s="9"/>
      <c r="X1232" s="9"/>
      <c r="Y1232" s="9"/>
      <c r="Z1232" s="9"/>
      <c r="AA1232" s="9"/>
      <c r="AB1232" s="9"/>
      <c r="AC1232" s="9"/>
      <c r="AD1232" s="25"/>
      <c r="AE1232" s="25"/>
      <c r="AF1232" s="9"/>
      <c r="AG1232" s="9"/>
      <c r="AH1232" s="9"/>
      <c r="AI1232" s="9"/>
    </row>
    <row r="1233" ht="15.75" customHeight="1">
      <c r="A1233" s="9"/>
      <c r="B1233" s="9"/>
      <c r="C1233" s="9"/>
      <c r="D1233" s="9"/>
      <c r="E1233" s="67"/>
      <c r="F1233" s="68"/>
      <c r="G1233" s="68"/>
      <c r="H1233" s="69"/>
      <c r="I1233" s="69"/>
      <c r="J1233" s="69"/>
      <c r="K1233" s="69"/>
      <c r="L1233" s="69"/>
      <c r="M1233" s="70"/>
      <c r="N1233" s="69"/>
      <c r="O1233" s="23"/>
      <c r="P1233" s="23"/>
      <c r="Q1233" s="9"/>
      <c r="R1233" s="9"/>
      <c r="S1233" s="9"/>
      <c r="T1233" s="9"/>
      <c r="U1233" s="9"/>
      <c r="V1233" s="9"/>
      <c r="W1233" s="9"/>
      <c r="X1233" s="9"/>
      <c r="Y1233" s="9"/>
      <c r="Z1233" s="9"/>
      <c r="AA1233" s="9"/>
      <c r="AB1233" s="9"/>
      <c r="AC1233" s="9"/>
      <c r="AD1233" s="25"/>
      <c r="AE1233" s="25"/>
      <c r="AF1233" s="9"/>
      <c r="AG1233" s="9"/>
      <c r="AH1233" s="9"/>
      <c r="AI1233" s="9"/>
    </row>
    <row r="1234" ht="15.75" customHeight="1">
      <c r="A1234" s="9"/>
      <c r="B1234" s="9"/>
      <c r="C1234" s="9"/>
      <c r="D1234" s="9"/>
      <c r="E1234" s="67"/>
      <c r="F1234" s="68"/>
      <c r="G1234" s="68"/>
      <c r="H1234" s="69"/>
      <c r="I1234" s="69"/>
      <c r="J1234" s="69"/>
      <c r="K1234" s="69"/>
      <c r="L1234" s="69"/>
      <c r="M1234" s="71"/>
      <c r="N1234" s="69"/>
      <c r="O1234" s="23"/>
      <c r="P1234" s="23"/>
      <c r="Q1234" s="9"/>
      <c r="R1234" s="9"/>
      <c r="S1234" s="9"/>
      <c r="T1234" s="9"/>
      <c r="U1234" s="9"/>
      <c r="V1234" s="9"/>
      <c r="W1234" s="9"/>
      <c r="X1234" s="9"/>
      <c r="Y1234" s="9"/>
      <c r="Z1234" s="9"/>
      <c r="AA1234" s="9"/>
      <c r="AB1234" s="9"/>
      <c r="AC1234" s="9"/>
      <c r="AD1234" s="25"/>
      <c r="AE1234" s="25"/>
      <c r="AF1234" s="9"/>
      <c r="AG1234" s="9"/>
      <c r="AH1234" s="9"/>
      <c r="AI1234" s="9"/>
    </row>
    <row r="1235" ht="15.75" customHeight="1">
      <c r="A1235" s="9"/>
      <c r="B1235" s="9"/>
      <c r="C1235" s="9"/>
      <c r="D1235" s="9"/>
      <c r="E1235" s="67"/>
      <c r="F1235" s="68"/>
      <c r="G1235" s="68"/>
      <c r="H1235" s="69"/>
      <c r="I1235" s="69"/>
      <c r="J1235" s="69"/>
      <c r="K1235" s="69"/>
      <c r="L1235" s="69"/>
      <c r="M1235" s="70"/>
      <c r="N1235" s="69"/>
      <c r="O1235" s="23"/>
      <c r="P1235" s="23"/>
      <c r="Q1235" s="9"/>
      <c r="R1235" s="9"/>
      <c r="S1235" s="9"/>
      <c r="T1235" s="9"/>
      <c r="U1235" s="9"/>
      <c r="V1235" s="9"/>
      <c r="W1235" s="9"/>
      <c r="X1235" s="9"/>
      <c r="Y1235" s="9"/>
      <c r="Z1235" s="9"/>
      <c r="AA1235" s="9"/>
      <c r="AB1235" s="9"/>
      <c r="AC1235" s="9"/>
      <c r="AD1235" s="25"/>
      <c r="AE1235" s="25"/>
      <c r="AF1235" s="9"/>
      <c r="AG1235" s="9"/>
      <c r="AH1235" s="9"/>
      <c r="AI1235" s="9"/>
    </row>
    <row r="1236" ht="15.75" customHeight="1">
      <c r="A1236" s="9"/>
      <c r="B1236" s="9"/>
      <c r="C1236" s="9"/>
      <c r="D1236" s="9"/>
      <c r="E1236" s="67"/>
      <c r="F1236" s="68"/>
      <c r="G1236" s="68"/>
      <c r="H1236" s="69"/>
      <c r="I1236" s="69"/>
      <c r="J1236" s="69"/>
      <c r="K1236" s="69"/>
      <c r="L1236" s="69"/>
      <c r="M1236" s="70"/>
      <c r="N1236" s="69"/>
      <c r="O1236" s="23"/>
      <c r="P1236" s="23"/>
      <c r="Q1236" s="9"/>
      <c r="R1236" s="9"/>
      <c r="S1236" s="9"/>
      <c r="T1236" s="9"/>
      <c r="U1236" s="9"/>
      <c r="V1236" s="9"/>
      <c r="W1236" s="9"/>
      <c r="X1236" s="9"/>
      <c r="Y1236" s="9"/>
      <c r="Z1236" s="9"/>
      <c r="AA1236" s="9"/>
      <c r="AB1236" s="9"/>
      <c r="AC1236" s="9"/>
      <c r="AD1236" s="25"/>
      <c r="AE1236" s="25"/>
      <c r="AF1236" s="9"/>
      <c r="AG1236" s="9"/>
      <c r="AH1236" s="9"/>
      <c r="AI1236" s="9"/>
    </row>
    <row r="1237" ht="15.75" customHeight="1">
      <c r="A1237" s="9"/>
      <c r="B1237" s="9"/>
      <c r="C1237" s="9"/>
      <c r="D1237" s="9"/>
      <c r="E1237" s="67"/>
      <c r="F1237" s="68"/>
      <c r="G1237" s="68"/>
      <c r="H1237" s="69"/>
      <c r="I1237" s="69"/>
      <c r="J1237" s="69"/>
      <c r="K1237" s="69"/>
      <c r="L1237" s="69"/>
      <c r="M1237" s="70"/>
      <c r="N1237" s="69"/>
      <c r="O1237" s="23"/>
      <c r="P1237" s="23"/>
      <c r="Q1237" s="9"/>
      <c r="R1237" s="9"/>
      <c r="S1237" s="9"/>
      <c r="T1237" s="9"/>
      <c r="U1237" s="9"/>
      <c r="V1237" s="9"/>
      <c r="W1237" s="9"/>
      <c r="X1237" s="9"/>
      <c r="Y1237" s="9"/>
      <c r="Z1237" s="9"/>
      <c r="AA1237" s="9"/>
      <c r="AB1237" s="9"/>
      <c r="AC1237" s="9"/>
      <c r="AD1237" s="25"/>
      <c r="AE1237" s="25"/>
      <c r="AF1237" s="9"/>
      <c r="AG1237" s="9"/>
      <c r="AH1237" s="9"/>
      <c r="AI1237" s="9"/>
    </row>
    <row r="1238" ht="15.75" customHeight="1">
      <c r="A1238" s="9"/>
      <c r="B1238" s="9"/>
      <c r="C1238" s="9"/>
      <c r="D1238" s="9"/>
      <c r="E1238" s="67"/>
      <c r="F1238" s="68"/>
      <c r="G1238" s="68"/>
      <c r="H1238" s="69"/>
      <c r="I1238" s="69"/>
      <c r="J1238" s="69"/>
      <c r="K1238" s="69"/>
      <c r="L1238" s="69"/>
      <c r="M1238" s="70"/>
      <c r="N1238" s="69"/>
      <c r="O1238" s="23"/>
      <c r="P1238" s="23"/>
      <c r="Q1238" s="9"/>
      <c r="R1238" s="9"/>
      <c r="S1238" s="9"/>
      <c r="T1238" s="9"/>
      <c r="U1238" s="9"/>
      <c r="V1238" s="9"/>
      <c r="W1238" s="9"/>
      <c r="X1238" s="9"/>
      <c r="Y1238" s="9"/>
      <c r="Z1238" s="9"/>
      <c r="AA1238" s="9"/>
      <c r="AB1238" s="9"/>
      <c r="AC1238" s="9"/>
      <c r="AD1238" s="25"/>
      <c r="AE1238" s="25"/>
      <c r="AF1238" s="9"/>
      <c r="AG1238" s="9"/>
      <c r="AH1238" s="9"/>
      <c r="AI1238" s="9"/>
    </row>
    <row r="1239" ht="15.75" customHeight="1">
      <c r="A1239" s="9"/>
      <c r="B1239" s="9"/>
      <c r="C1239" s="9"/>
      <c r="D1239" s="9"/>
      <c r="E1239" s="67"/>
      <c r="F1239" s="68"/>
      <c r="G1239" s="68"/>
      <c r="H1239" s="69"/>
      <c r="I1239" s="69"/>
      <c r="J1239" s="69"/>
      <c r="K1239" s="69"/>
      <c r="L1239" s="69"/>
      <c r="M1239" s="70"/>
      <c r="N1239" s="69"/>
      <c r="O1239" s="23"/>
      <c r="P1239" s="23"/>
      <c r="Q1239" s="9"/>
      <c r="R1239" s="9"/>
      <c r="S1239" s="9"/>
      <c r="T1239" s="9"/>
      <c r="U1239" s="9"/>
      <c r="V1239" s="9"/>
      <c r="W1239" s="9"/>
      <c r="X1239" s="9"/>
      <c r="Y1239" s="9"/>
      <c r="Z1239" s="9"/>
      <c r="AA1239" s="9"/>
      <c r="AB1239" s="9"/>
      <c r="AC1239" s="9"/>
      <c r="AD1239" s="25"/>
      <c r="AE1239" s="25"/>
      <c r="AF1239" s="9"/>
      <c r="AG1239" s="9"/>
      <c r="AH1239" s="9"/>
      <c r="AI1239" s="9"/>
    </row>
    <row r="1240" ht="15.75" customHeight="1">
      <c r="A1240" s="9"/>
      <c r="B1240" s="9"/>
      <c r="C1240" s="9"/>
      <c r="D1240" s="9"/>
      <c r="E1240" s="67"/>
      <c r="F1240" s="68"/>
      <c r="G1240" s="68"/>
      <c r="H1240" s="69"/>
      <c r="I1240" s="69"/>
      <c r="J1240" s="69"/>
      <c r="K1240" s="69"/>
      <c r="L1240" s="69"/>
      <c r="M1240" s="69"/>
      <c r="N1240" s="69"/>
      <c r="O1240" s="23"/>
      <c r="P1240" s="23"/>
      <c r="Q1240" s="9"/>
      <c r="R1240" s="9"/>
      <c r="S1240" s="9"/>
      <c r="T1240" s="9"/>
      <c r="U1240" s="9"/>
      <c r="V1240" s="9"/>
      <c r="W1240" s="9"/>
      <c r="X1240" s="9"/>
      <c r="Y1240" s="9"/>
      <c r="Z1240" s="9"/>
      <c r="AA1240" s="9"/>
      <c r="AB1240" s="9"/>
      <c r="AC1240" s="9"/>
      <c r="AD1240" s="25"/>
      <c r="AE1240" s="25"/>
      <c r="AF1240" s="9"/>
      <c r="AG1240" s="9"/>
      <c r="AH1240" s="9"/>
      <c r="AI1240" s="9"/>
    </row>
    <row r="1241" ht="15.75" customHeight="1">
      <c r="A1241" s="9"/>
      <c r="B1241" s="9"/>
      <c r="C1241" s="9"/>
      <c r="D1241" s="9"/>
      <c r="E1241" s="67"/>
      <c r="F1241" s="68"/>
      <c r="G1241" s="68"/>
      <c r="H1241" s="69"/>
      <c r="I1241" s="69"/>
      <c r="J1241" s="69"/>
      <c r="K1241" s="69"/>
      <c r="L1241" s="69"/>
      <c r="M1241" s="70"/>
      <c r="N1241" s="69"/>
      <c r="O1241" s="23"/>
      <c r="P1241" s="23"/>
      <c r="Q1241" s="9"/>
      <c r="R1241" s="9"/>
      <c r="S1241" s="9"/>
      <c r="T1241" s="9"/>
      <c r="U1241" s="9"/>
      <c r="V1241" s="9"/>
      <c r="W1241" s="9"/>
      <c r="X1241" s="9"/>
      <c r="Y1241" s="9"/>
      <c r="Z1241" s="9"/>
      <c r="AA1241" s="9"/>
      <c r="AB1241" s="9"/>
      <c r="AC1241" s="9"/>
      <c r="AD1241" s="25"/>
      <c r="AE1241" s="25"/>
      <c r="AF1241" s="9"/>
      <c r="AG1241" s="9"/>
      <c r="AH1241" s="9"/>
      <c r="AI1241" s="9"/>
    </row>
    <row r="1242" ht="15.75" customHeight="1">
      <c r="A1242" s="9"/>
      <c r="B1242" s="9"/>
      <c r="C1242" s="9"/>
      <c r="D1242" s="9"/>
      <c r="E1242" s="67"/>
      <c r="F1242" s="68"/>
      <c r="G1242" s="68"/>
      <c r="H1242" s="69"/>
      <c r="I1242" s="69"/>
      <c r="J1242" s="69"/>
      <c r="K1242" s="69"/>
      <c r="L1242" s="69"/>
      <c r="M1242" s="69"/>
      <c r="N1242" s="69"/>
      <c r="O1242" s="23"/>
      <c r="P1242" s="23"/>
      <c r="Q1242" s="9"/>
      <c r="R1242" s="9"/>
      <c r="S1242" s="9"/>
      <c r="T1242" s="9"/>
      <c r="U1242" s="9"/>
      <c r="V1242" s="9"/>
      <c r="W1242" s="9"/>
      <c r="X1242" s="9"/>
      <c r="Y1242" s="9"/>
      <c r="Z1242" s="9"/>
      <c r="AA1242" s="9"/>
      <c r="AB1242" s="9"/>
      <c r="AC1242" s="9"/>
      <c r="AD1242" s="25"/>
      <c r="AE1242" s="25"/>
      <c r="AF1242" s="9"/>
      <c r="AG1242" s="9"/>
      <c r="AH1242" s="9"/>
      <c r="AI1242" s="9"/>
    </row>
    <row r="1243" ht="15.75" customHeight="1">
      <c r="A1243" s="9"/>
      <c r="B1243" s="9"/>
      <c r="C1243" s="9"/>
      <c r="D1243" s="9"/>
      <c r="E1243" s="67"/>
      <c r="F1243" s="68"/>
      <c r="G1243" s="68"/>
      <c r="H1243" s="69"/>
      <c r="I1243" s="69"/>
      <c r="J1243" s="69"/>
      <c r="K1243" s="69"/>
      <c r="L1243" s="69"/>
      <c r="M1243" s="70"/>
      <c r="N1243" s="69"/>
      <c r="O1243" s="23"/>
      <c r="P1243" s="23"/>
      <c r="Q1243" s="9"/>
      <c r="R1243" s="9"/>
      <c r="S1243" s="9"/>
      <c r="T1243" s="9"/>
      <c r="U1243" s="9"/>
      <c r="V1243" s="9"/>
      <c r="W1243" s="9"/>
      <c r="X1243" s="9"/>
      <c r="Y1243" s="9"/>
      <c r="Z1243" s="9"/>
      <c r="AA1243" s="9"/>
      <c r="AB1243" s="9"/>
      <c r="AC1243" s="9"/>
      <c r="AD1243" s="25"/>
      <c r="AE1243" s="25"/>
      <c r="AF1243" s="9"/>
      <c r="AG1243" s="9"/>
      <c r="AH1243" s="9"/>
      <c r="AI1243" s="9"/>
    </row>
    <row r="1244" ht="15.75" customHeight="1">
      <c r="A1244" s="9"/>
      <c r="B1244" s="9"/>
      <c r="C1244" s="9"/>
      <c r="D1244" s="9"/>
      <c r="E1244" s="67"/>
      <c r="F1244" s="68"/>
      <c r="G1244" s="68"/>
      <c r="H1244" s="69"/>
      <c r="I1244" s="69"/>
      <c r="J1244" s="69"/>
      <c r="K1244" s="69"/>
      <c r="L1244" s="69"/>
      <c r="M1244" s="69"/>
      <c r="N1244" s="69"/>
      <c r="O1244" s="23"/>
      <c r="P1244" s="23"/>
      <c r="Q1244" s="9"/>
      <c r="R1244" s="9"/>
      <c r="S1244" s="9"/>
      <c r="T1244" s="9"/>
      <c r="U1244" s="9"/>
      <c r="V1244" s="9"/>
      <c r="W1244" s="9"/>
      <c r="X1244" s="9"/>
      <c r="Y1244" s="9"/>
      <c r="Z1244" s="9"/>
      <c r="AA1244" s="9"/>
      <c r="AB1244" s="9"/>
      <c r="AC1244" s="9"/>
      <c r="AD1244" s="25"/>
      <c r="AE1244" s="25"/>
      <c r="AF1244" s="9"/>
      <c r="AG1244" s="9"/>
      <c r="AH1244" s="9"/>
      <c r="AI1244" s="9"/>
    </row>
    <row r="1245" ht="15.75" customHeight="1">
      <c r="A1245" s="9"/>
      <c r="B1245" s="9"/>
      <c r="C1245" s="9"/>
      <c r="D1245" s="9"/>
      <c r="E1245" s="67"/>
      <c r="F1245" s="68"/>
      <c r="G1245" s="68"/>
      <c r="H1245" s="69"/>
      <c r="I1245" s="69"/>
      <c r="J1245" s="69"/>
      <c r="K1245" s="69"/>
      <c r="L1245" s="69"/>
      <c r="M1245" s="69"/>
      <c r="N1245" s="69"/>
      <c r="O1245" s="23"/>
      <c r="P1245" s="23"/>
      <c r="Q1245" s="9"/>
      <c r="R1245" s="9"/>
      <c r="S1245" s="9"/>
      <c r="T1245" s="9"/>
      <c r="U1245" s="9"/>
      <c r="V1245" s="9"/>
      <c r="W1245" s="9"/>
      <c r="X1245" s="9"/>
      <c r="Y1245" s="9"/>
      <c r="Z1245" s="9"/>
      <c r="AA1245" s="9"/>
      <c r="AB1245" s="9"/>
      <c r="AC1245" s="9"/>
      <c r="AD1245" s="25"/>
      <c r="AE1245" s="25"/>
      <c r="AF1245" s="9"/>
      <c r="AG1245" s="9"/>
      <c r="AH1245" s="9"/>
      <c r="AI1245" s="9"/>
    </row>
    <row r="1246" ht="15.75" customHeight="1">
      <c r="A1246" s="9"/>
      <c r="B1246" s="9"/>
      <c r="C1246" s="9"/>
      <c r="D1246" s="9"/>
      <c r="E1246" s="67"/>
      <c r="F1246" s="68"/>
      <c r="G1246" s="68"/>
      <c r="H1246" s="69"/>
      <c r="I1246" s="69"/>
      <c r="J1246" s="69"/>
      <c r="K1246" s="69"/>
      <c r="L1246" s="69"/>
      <c r="M1246" s="69"/>
      <c r="N1246" s="69"/>
      <c r="O1246" s="23"/>
      <c r="P1246" s="23"/>
      <c r="Q1246" s="9"/>
      <c r="R1246" s="9"/>
      <c r="S1246" s="9"/>
      <c r="T1246" s="9"/>
      <c r="U1246" s="9"/>
      <c r="V1246" s="9"/>
      <c r="W1246" s="9"/>
      <c r="X1246" s="9"/>
      <c r="Y1246" s="9"/>
      <c r="Z1246" s="9"/>
      <c r="AA1246" s="9"/>
      <c r="AB1246" s="9"/>
      <c r="AC1246" s="9"/>
      <c r="AD1246" s="25"/>
      <c r="AE1246" s="25"/>
      <c r="AF1246" s="9"/>
      <c r="AG1246" s="9"/>
      <c r="AH1246" s="9"/>
      <c r="AI1246" s="9"/>
    </row>
    <row r="1247" ht="15.75" customHeight="1">
      <c r="A1247" s="9"/>
      <c r="B1247" s="9"/>
      <c r="C1247" s="9"/>
      <c r="D1247" s="9"/>
      <c r="E1247" s="67"/>
      <c r="F1247" s="68"/>
      <c r="G1247" s="68"/>
      <c r="H1247" s="69"/>
      <c r="I1247" s="69"/>
      <c r="J1247" s="69"/>
      <c r="K1247" s="69"/>
      <c r="L1247" s="69"/>
      <c r="M1247" s="70"/>
      <c r="N1247" s="69"/>
      <c r="O1247" s="23"/>
      <c r="P1247" s="23"/>
      <c r="Q1247" s="9"/>
      <c r="R1247" s="9"/>
      <c r="S1247" s="9"/>
      <c r="T1247" s="9"/>
      <c r="U1247" s="9"/>
      <c r="V1247" s="9"/>
      <c r="W1247" s="9"/>
      <c r="X1247" s="9"/>
      <c r="Y1247" s="9"/>
      <c r="Z1247" s="9"/>
      <c r="AA1247" s="9"/>
      <c r="AB1247" s="9"/>
      <c r="AC1247" s="9"/>
      <c r="AD1247" s="25"/>
      <c r="AE1247" s="25"/>
      <c r="AF1247" s="9"/>
      <c r="AG1247" s="9"/>
      <c r="AH1247" s="9"/>
      <c r="AI1247" s="9"/>
    </row>
    <row r="1248" ht="15.75" customHeight="1">
      <c r="A1248" s="9"/>
      <c r="B1248" s="9"/>
      <c r="C1248" s="9"/>
      <c r="D1248" s="9"/>
      <c r="E1248" s="67"/>
      <c r="F1248" s="68"/>
      <c r="G1248" s="68"/>
      <c r="H1248" s="69"/>
      <c r="I1248" s="69"/>
      <c r="J1248" s="69"/>
      <c r="K1248" s="69"/>
      <c r="L1248" s="69"/>
      <c r="M1248" s="70"/>
      <c r="N1248" s="69"/>
      <c r="O1248" s="23"/>
      <c r="P1248" s="23"/>
      <c r="Q1248" s="9"/>
      <c r="R1248" s="9"/>
      <c r="S1248" s="9"/>
      <c r="T1248" s="9"/>
      <c r="U1248" s="9"/>
      <c r="V1248" s="9"/>
      <c r="W1248" s="9"/>
      <c r="X1248" s="9"/>
      <c r="Y1248" s="9"/>
      <c r="Z1248" s="9"/>
      <c r="AA1248" s="9"/>
      <c r="AB1248" s="9"/>
      <c r="AC1248" s="9"/>
      <c r="AD1248" s="25"/>
      <c r="AE1248" s="25"/>
      <c r="AF1248" s="9"/>
      <c r="AG1248" s="9"/>
      <c r="AH1248" s="9"/>
      <c r="AI1248" s="9"/>
    </row>
    <row r="1249" ht="15.75" customHeight="1">
      <c r="A1249" s="9"/>
      <c r="B1249" s="9"/>
      <c r="C1249" s="9"/>
      <c r="D1249" s="9"/>
      <c r="E1249" s="67"/>
      <c r="F1249" s="68"/>
      <c r="G1249" s="68"/>
      <c r="H1249" s="69"/>
      <c r="I1249" s="69"/>
      <c r="J1249" s="69"/>
      <c r="K1249" s="69"/>
      <c r="L1249" s="69"/>
      <c r="M1249" s="70"/>
      <c r="N1249" s="69"/>
      <c r="O1249" s="23"/>
      <c r="P1249" s="23"/>
      <c r="Q1249" s="9"/>
      <c r="R1249" s="9"/>
      <c r="S1249" s="9"/>
      <c r="T1249" s="9"/>
      <c r="U1249" s="9"/>
      <c r="V1249" s="9"/>
      <c r="W1249" s="9"/>
      <c r="X1249" s="9"/>
      <c r="Y1249" s="9"/>
      <c r="Z1249" s="9"/>
      <c r="AA1249" s="9"/>
      <c r="AB1249" s="9"/>
      <c r="AC1249" s="9"/>
      <c r="AD1249" s="25"/>
      <c r="AE1249" s="25"/>
      <c r="AF1249" s="9"/>
      <c r="AG1249" s="9"/>
      <c r="AH1249" s="9"/>
      <c r="AI1249" s="9"/>
    </row>
    <row r="1250" ht="15.75" customHeight="1">
      <c r="A1250" s="9"/>
      <c r="B1250" s="9"/>
      <c r="C1250" s="9"/>
      <c r="D1250" s="9"/>
      <c r="E1250" s="67"/>
      <c r="F1250" s="68"/>
      <c r="G1250" s="68"/>
      <c r="H1250" s="69"/>
      <c r="I1250" s="69"/>
      <c r="J1250" s="69"/>
      <c r="K1250" s="69"/>
      <c r="L1250" s="69"/>
      <c r="M1250" s="70"/>
      <c r="N1250" s="69"/>
      <c r="O1250" s="23"/>
      <c r="P1250" s="23"/>
      <c r="Q1250" s="9"/>
      <c r="R1250" s="9"/>
      <c r="S1250" s="9"/>
      <c r="T1250" s="9"/>
      <c r="U1250" s="9"/>
      <c r="V1250" s="9"/>
      <c r="W1250" s="9"/>
      <c r="X1250" s="9"/>
      <c r="Y1250" s="9"/>
      <c r="Z1250" s="9"/>
      <c r="AA1250" s="9"/>
      <c r="AB1250" s="9"/>
      <c r="AC1250" s="9"/>
      <c r="AD1250" s="25"/>
      <c r="AE1250" s="25"/>
      <c r="AF1250" s="9"/>
      <c r="AG1250" s="9"/>
      <c r="AH1250" s="9"/>
      <c r="AI1250" s="9"/>
    </row>
    <row r="1251" ht="15.75" customHeight="1">
      <c r="A1251" s="9"/>
      <c r="B1251" s="9"/>
      <c r="C1251" s="9"/>
      <c r="D1251" s="9"/>
      <c r="E1251" s="67"/>
      <c r="F1251" s="68"/>
      <c r="G1251" s="68"/>
      <c r="H1251" s="69"/>
      <c r="I1251" s="69"/>
      <c r="J1251" s="69"/>
      <c r="K1251" s="69"/>
      <c r="L1251" s="69"/>
      <c r="M1251" s="69"/>
      <c r="N1251" s="69"/>
      <c r="O1251" s="23"/>
      <c r="P1251" s="23"/>
      <c r="Q1251" s="9"/>
      <c r="R1251" s="9"/>
      <c r="S1251" s="9"/>
      <c r="T1251" s="9"/>
      <c r="U1251" s="9"/>
      <c r="V1251" s="9"/>
      <c r="W1251" s="9"/>
      <c r="X1251" s="9"/>
      <c r="Y1251" s="9"/>
      <c r="Z1251" s="9"/>
      <c r="AA1251" s="9"/>
      <c r="AB1251" s="9"/>
      <c r="AC1251" s="9"/>
      <c r="AD1251" s="25"/>
      <c r="AE1251" s="25"/>
      <c r="AF1251" s="9"/>
      <c r="AG1251" s="9"/>
      <c r="AH1251" s="9"/>
      <c r="AI1251" s="9"/>
    </row>
    <row r="1252" ht="15.75" customHeight="1">
      <c r="A1252" s="9"/>
      <c r="B1252" s="9"/>
      <c r="C1252" s="9"/>
      <c r="D1252" s="9"/>
      <c r="E1252" s="67"/>
      <c r="F1252" s="68"/>
      <c r="G1252" s="68"/>
      <c r="H1252" s="69"/>
      <c r="I1252" s="69"/>
      <c r="J1252" s="69"/>
      <c r="K1252" s="69"/>
      <c r="L1252" s="69"/>
      <c r="M1252" s="69"/>
      <c r="N1252" s="69"/>
      <c r="O1252" s="23"/>
      <c r="P1252" s="23"/>
      <c r="Q1252" s="9"/>
      <c r="R1252" s="9"/>
      <c r="S1252" s="9"/>
      <c r="T1252" s="9"/>
      <c r="U1252" s="9"/>
      <c r="V1252" s="9"/>
      <c r="W1252" s="9"/>
      <c r="X1252" s="9"/>
      <c r="Y1252" s="9"/>
      <c r="Z1252" s="9"/>
      <c r="AA1252" s="9"/>
      <c r="AB1252" s="9"/>
      <c r="AC1252" s="9"/>
      <c r="AD1252" s="25"/>
      <c r="AE1252" s="25"/>
      <c r="AF1252" s="9"/>
      <c r="AG1252" s="9"/>
      <c r="AH1252" s="9"/>
      <c r="AI1252" s="9"/>
    </row>
    <row r="1253" ht="15.75" customHeight="1">
      <c r="A1253" s="9"/>
      <c r="B1253" s="9"/>
      <c r="C1253" s="9"/>
      <c r="D1253" s="9"/>
      <c r="E1253" s="67"/>
      <c r="F1253" s="68"/>
      <c r="G1253" s="68"/>
      <c r="H1253" s="69"/>
      <c r="I1253" s="69"/>
      <c r="J1253" s="69"/>
      <c r="K1253" s="69"/>
      <c r="L1253" s="69"/>
      <c r="M1253" s="69"/>
      <c r="N1253" s="69"/>
      <c r="O1253" s="23"/>
      <c r="P1253" s="23"/>
      <c r="Q1253" s="9"/>
      <c r="R1253" s="9"/>
      <c r="S1253" s="9"/>
      <c r="T1253" s="9"/>
      <c r="U1253" s="9"/>
      <c r="V1253" s="9"/>
      <c r="W1253" s="9"/>
      <c r="X1253" s="9"/>
      <c r="Y1253" s="9"/>
      <c r="Z1253" s="9"/>
      <c r="AA1253" s="9"/>
      <c r="AB1253" s="9"/>
      <c r="AC1253" s="9"/>
      <c r="AD1253" s="25"/>
      <c r="AE1253" s="25"/>
      <c r="AF1253" s="9"/>
      <c r="AG1253" s="9"/>
      <c r="AH1253" s="9"/>
      <c r="AI1253" s="9"/>
    </row>
    <row r="1254" ht="15.75" customHeight="1">
      <c r="A1254" s="9"/>
      <c r="B1254" s="9"/>
      <c r="C1254" s="9"/>
      <c r="D1254" s="9"/>
      <c r="E1254" s="67"/>
      <c r="F1254" s="68"/>
      <c r="G1254" s="68"/>
      <c r="H1254" s="69"/>
      <c r="I1254" s="69"/>
      <c r="J1254" s="69"/>
      <c r="K1254" s="69"/>
      <c r="L1254" s="69"/>
      <c r="M1254" s="70"/>
      <c r="N1254" s="69"/>
      <c r="O1254" s="23"/>
      <c r="P1254" s="23"/>
      <c r="Q1254" s="9"/>
      <c r="R1254" s="9"/>
      <c r="S1254" s="9"/>
      <c r="T1254" s="9"/>
      <c r="U1254" s="9"/>
      <c r="V1254" s="9"/>
      <c r="W1254" s="9"/>
      <c r="X1254" s="9"/>
      <c r="Y1254" s="9"/>
      <c r="Z1254" s="9"/>
      <c r="AA1254" s="9"/>
      <c r="AB1254" s="9"/>
      <c r="AC1254" s="9"/>
      <c r="AD1254" s="25"/>
      <c r="AE1254" s="25"/>
      <c r="AF1254" s="9"/>
      <c r="AG1254" s="9"/>
      <c r="AH1254" s="9"/>
      <c r="AI1254" s="9"/>
    </row>
    <row r="1255" ht="15.75" customHeight="1">
      <c r="A1255" s="9"/>
      <c r="B1255" s="9"/>
      <c r="C1255" s="9"/>
      <c r="D1255" s="9"/>
      <c r="E1255" s="67"/>
      <c r="F1255" s="68"/>
      <c r="G1255" s="68"/>
      <c r="H1255" s="69"/>
      <c r="I1255" s="69"/>
      <c r="J1255" s="69"/>
      <c r="K1255" s="69"/>
      <c r="L1255" s="69"/>
      <c r="M1255" s="70"/>
      <c r="N1255" s="69"/>
      <c r="O1255" s="23"/>
      <c r="P1255" s="23"/>
      <c r="Q1255" s="9"/>
      <c r="R1255" s="9"/>
      <c r="S1255" s="9"/>
      <c r="T1255" s="9"/>
      <c r="U1255" s="9"/>
      <c r="V1255" s="9"/>
      <c r="W1255" s="9"/>
      <c r="X1255" s="9"/>
      <c r="Y1255" s="9"/>
      <c r="Z1255" s="9"/>
      <c r="AA1255" s="9"/>
      <c r="AB1255" s="9"/>
      <c r="AC1255" s="9"/>
      <c r="AD1255" s="25"/>
      <c r="AE1255" s="25"/>
      <c r="AF1255" s="9"/>
      <c r="AG1255" s="9"/>
      <c r="AH1255" s="9"/>
      <c r="AI1255" s="9"/>
    </row>
    <row r="1256" ht="15.75" customHeight="1">
      <c r="A1256" s="9"/>
      <c r="B1256" s="9"/>
      <c r="C1256" s="9"/>
      <c r="D1256" s="9"/>
      <c r="E1256" s="67"/>
      <c r="F1256" s="68"/>
      <c r="G1256" s="68"/>
      <c r="H1256" s="69"/>
      <c r="I1256" s="69"/>
      <c r="J1256" s="69"/>
      <c r="K1256" s="69"/>
      <c r="L1256" s="69"/>
      <c r="M1256" s="70"/>
      <c r="N1256" s="69"/>
      <c r="O1256" s="23"/>
      <c r="P1256" s="23"/>
      <c r="Q1256" s="9"/>
      <c r="R1256" s="9"/>
      <c r="S1256" s="9"/>
      <c r="T1256" s="9"/>
      <c r="U1256" s="9"/>
      <c r="V1256" s="9"/>
      <c r="W1256" s="9"/>
      <c r="X1256" s="9"/>
      <c r="Y1256" s="9"/>
      <c r="Z1256" s="9"/>
      <c r="AA1256" s="9"/>
      <c r="AB1256" s="9"/>
      <c r="AC1256" s="9"/>
      <c r="AD1256" s="25"/>
      <c r="AE1256" s="25"/>
      <c r="AF1256" s="9"/>
      <c r="AG1256" s="9"/>
      <c r="AH1256" s="9"/>
      <c r="AI1256" s="9"/>
    </row>
    <row r="1257" ht="15.75" customHeight="1">
      <c r="A1257" s="9"/>
      <c r="B1257" s="9"/>
      <c r="C1257" s="9"/>
      <c r="D1257" s="9"/>
      <c r="E1257" s="67"/>
      <c r="F1257" s="68"/>
      <c r="G1257" s="68"/>
      <c r="H1257" s="69"/>
      <c r="I1257" s="69"/>
      <c r="J1257" s="69"/>
      <c r="K1257" s="69"/>
      <c r="L1257" s="69"/>
      <c r="M1257" s="70"/>
      <c r="N1257" s="69"/>
      <c r="O1257" s="23"/>
      <c r="P1257" s="23"/>
      <c r="Q1257" s="9"/>
      <c r="R1257" s="9"/>
      <c r="S1257" s="9"/>
      <c r="T1257" s="9"/>
      <c r="U1257" s="9"/>
      <c r="V1257" s="9"/>
      <c r="W1257" s="9"/>
      <c r="X1257" s="9"/>
      <c r="Y1257" s="9"/>
      <c r="Z1257" s="9"/>
      <c r="AA1257" s="9"/>
      <c r="AB1257" s="9"/>
      <c r="AC1257" s="9"/>
      <c r="AD1257" s="25"/>
      <c r="AE1257" s="25"/>
      <c r="AF1257" s="9"/>
      <c r="AG1257" s="9"/>
      <c r="AH1257" s="9"/>
      <c r="AI1257" s="9"/>
    </row>
    <row r="1258" ht="15.75" customHeight="1">
      <c r="A1258" s="9"/>
      <c r="B1258" s="9"/>
      <c r="C1258" s="9"/>
      <c r="D1258" s="9"/>
      <c r="E1258" s="67"/>
      <c r="F1258" s="68"/>
      <c r="G1258" s="68"/>
      <c r="H1258" s="69"/>
      <c r="I1258" s="69"/>
      <c r="J1258" s="69"/>
      <c r="K1258" s="69"/>
      <c r="L1258" s="69"/>
      <c r="M1258" s="70"/>
      <c r="N1258" s="69"/>
      <c r="O1258" s="23"/>
      <c r="P1258" s="23"/>
      <c r="Q1258" s="9"/>
      <c r="R1258" s="9"/>
      <c r="S1258" s="9"/>
      <c r="T1258" s="9"/>
      <c r="U1258" s="9"/>
      <c r="V1258" s="9"/>
      <c r="W1258" s="9"/>
      <c r="X1258" s="9"/>
      <c r="Y1258" s="9"/>
      <c r="Z1258" s="9"/>
      <c r="AA1258" s="9"/>
      <c r="AB1258" s="9"/>
      <c r="AC1258" s="9"/>
      <c r="AD1258" s="25"/>
      <c r="AE1258" s="25"/>
      <c r="AF1258" s="9"/>
      <c r="AG1258" s="9"/>
      <c r="AH1258" s="9"/>
      <c r="AI1258" s="9"/>
    </row>
    <row r="1259" ht="15.75" customHeight="1">
      <c r="A1259" s="9"/>
      <c r="B1259" s="9"/>
      <c r="C1259" s="9"/>
      <c r="D1259" s="9"/>
      <c r="E1259" s="67"/>
      <c r="F1259" s="68"/>
      <c r="G1259" s="68"/>
      <c r="H1259" s="69"/>
      <c r="I1259" s="69"/>
      <c r="J1259" s="69"/>
      <c r="K1259" s="69"/>
      <c r="L1259" s="69"/>
      <c r="M1259" s="70"/>
      <c r="N1259" s="69"/>
      <c r="O1259" s="23"/>
      <c r="P1259" s="23"/>
      <c r="Q1259" s="9"/>
      <c r="R1259" s="9"/>
      <c r="S1259" s="9"/>
      <c r="T1259" s="9"/>
      <c r="U1259" s="9"/>
      <c r="V1259" s="9"/>
      <c r="W1259" s="9"/>
      <c r="X1259" s="9"/>
      <c r="Y1259" s="9"/>
      <c r="Z1259" s="9"/>
      <c r="AA1259" s="9"/>
      <c r="AB1259" s="9"/>
      <c r="AC1259" s="9"/>
      <c r="AD1259" s="25"/>
      <c r="AE1259" s="25"/>
      <c r="AF1259" s="9"/>
      <c r="AG1259" s="9"/>
      <c r="AH1259" s="9"/>
      <c r="AI1259" s="9"/>
    </row>
    <row r="1260" ht="15.75" customHeight="1">
      <c r="A1260" s="9"/>
      <c r="B1260" s="9"/>
      <c r="C1260" s="9"/>
      <c r="D1260" s="9"/>
      <c r="E1260" s="67"/>
      <c r="F1260" s="68"/>
      <c r="G1260" s="68"/>
      <c r="H1260" s="69"/>
      <c r="I1260" s="69"/>
      <c r="J1260" s="69"/>
      <c r="K1260" s="69"/>
      <c r="L1260" s="69"/>
      <c r="M1260" s="70"/>
      <c r="N1260" s="69"/>
      <c r="O1260" s="23"/>
      <c r="P1260" s="23"/>
      <c r="Q1260" s="9"/>
      <c r="R1260" s="9"/>
      <c r="S1260" s="9"/>
      <c r="T1260" s="9"/>
      <c r="U1260" s="9"/>
      <c r="V1260" s="9"/>
      <c r="W1260" s="9"/>
      <c r="X1260" s="9"/>
      <c r="Y1260" s="9"/>
      <c r="Z1260" s="9"/>
      <c r="AA1260" s="9"/>
      <c r="AB1260" s="9"/>
      <c r="AC1260" s="9"/>
      <c r="AD1260" s="25"/>
      <c r="AE1260" s="25"/>
      <c r="AF1260" s="9"/>
      <c r="AG1260" s="9"/>
      <c r="AH1260" s="9"/>
      <c r="AI1260" s="9"/>
    </row>
    <row r="1261" ht="15.75" customHeight="1">
      <c r="A1261" s="9"/>
      <c r="B1261" s="9"/>
      <c r="C1261" s="9"/>
      <c r="D1261" s="9"/>
      <c r="E1261" s="67"/>
      <c r="F1261" s="68"/>
      <c r="G1261" s="68"/>
      <c r="H1261" s="69"/>
      <c r="I1261" s="69"/>
      <c r="J1261" s="69"/>
      <c r="K1261" s="69"/>
      <c r="L1261" s="69"/>
      <c r="M1261" s="70"/>
      <c r="N1261" s="69"/>
      <c r="O1261" s="23"/>
      <c r="P1261" s="23"/>
      <c r="Q1261" s="9"/>
      <c r="R1261" s="9"/>
      <c r="S1261" s="9"/>
      <c r="T1261" s="9"/>
      <c r="U1261" s="9"/>
      <c r="V1261" s="9"/>
      <c r="W1261" s="9"/>
      <c r="X1261" s="9"/>
      <c r="Y1261" s="9"/>
      <c r="Z1261" s="9"/>
      <c r="AA1261" s="9"/>
      <c r="AB1261" s="9"/>
      <c r="AC1261" s="9"/>
      <c r="AD1261" s="25"/>
      <c r="AE1261" s="25"/>
      <c r="AF1261" s="9"/>
      <c r="AG1261" s="9"/>
      <c r="AH1261" s="9"/>
      <c r="AI1261" s="9"/>
    </row>
    <row r="1262" ht="15.75" customHeight="1">
      <c r="A1262" s="9"/>
      <c r="B1262" s="9"/>
      <c r="C1262" s="9"/>
      <c r="D1262" s="9"/>
      <c r="E1262" s="67"/>
      <c r="F1262" s="68"/>
      <c r="G1262" s="68"/>
      <c r="H1262" s="69"/>
      <c r="I1262" s="69"/>
      <c r="J1262" s="69"/>
      <c r="K1262" s="69"/>
      <c r="L1262" s="69"/>
      <c r="M1262" s="70"/>
      <c r="N1262" s="69"/>
      <c r="O1262" s="23"/>
      <c r="P1262" s="23"/>
      <c r="Q1262" s="9"/>
      <c r="R1262" s="9"/>
      <c r="S1262" s="9"/>
      <c r="T1262" s="9"/>
      <c r="U1262" s="9"/>
      <c r="V1262" s="9"/>
      <c r="W1262" s="9"/>
      <c r="X1262" s="9"/>
      <c r="Y1262" s="9"/>
      <c r="Z1262" s="9"/>
      <c r="AA1262" s="9"/>
      <c r="AB1262" s="9"/>
      <c r="AC1262" s="9"/>
      <c r="AD1262" s="25"/>
      <c r="AE1262" s="25"/>
      <c r="AF1262" s="9"/>
      <c r="AG1262" s="9"/>
      <c r="AH1262" s="9"/>
      <c r="AI1262" s="9"/>
    </row>
    <row r="1263" ht="15.75" customHeight="1">
      <c r="A1263" s="9"/>
      <c r="B1263" s="9"/>
      <c r="C1263" s="9"/>
      <c r="D1263" s="9"/>
      <c r="E1263" s="67"/>
      <c r="F1263" s="68"/>
      <c r="G1263" s="68"/>
      <c r="H1263" s="69"/>
      <c r="I1263" s="69"/>
      <c r="J1263" s="69"/>
      <c r="K1263" s="69"/>
      <c r="L1263" s="69"/>
      <c r="M1263" s="70"/>
      <c r="N1263" s="69"/>
      <c r="O1263" s="23"/>
      <c r="P1263" s="23"/>
      <c r="Q1263" s="9"/>
      <c r="R1263" s="9"/>
      <c r="S1263" s="9"/>
      <c r="T1263" s="9"/>
      <c r="U1263" s="9"/>
      <c r="V1263" s="9"/>
      <c r="W1263" s="9"/>
      <c r="X1263" s="9"/>
      <c r="Y1263" s="9"/>
      <c r="Z1263" s="9"/>
      <c r="AA1263" s="9"/>
      <c r="AB1263" s="9"/>
      <c r="AC1263" s="9"/>
      <c r="AD1263" s="25"/>
      <c r="AE1263" s="25"/>
      <c r="AF1263" s="9"/>
      <c r="AG1263" s="9"/>
      <c r="AH1263" s="9"/>
      <c r="AI1263" s="9"/>
    </row>
    <row r="1264" ht="15.75" customHeight="1">
      <c r="A1264" s="9"/>
      <c r="B1264" s="9"/>
      <c r="C1264" s="9"/>
      <c r="D1264" s="9"/>
      <c r="E1264" s="67"/>
      <c r="F1264" s="68"/>
      <c r="G1264" s="68"/>
      <c r="H1264" s="69"/>
      <c r="I1264" s="69"/>
      <c r="J1264" s="69"/>
      <c r="K1264" s="69"/>
      <c r="L1264" s="69"/>
      <c r="M1264" s="70"/>
      <c r="N1264" s="69"/>
      <c r="O1264" s="23"/>
      <c r="P1264" s="23"/>
      <c r="Q1264" s="9"/>
      <c r="R1264" s="9"/>
      <c r="S1264" s="9"/>
      <c r="T1264" s="9"/>
      <c r="U1264" s="9"/>
      <c r="V1264" s="9"/>
      <c r="W1264" s="9"/>
      <c r="X1264" s="9"/>
      <c r="Y1264" s="9"/>
      <c r="Z1264" s="9"/>
      <c r="AA1264" s="9"/>
      <c r="AB1264" s="9"/>
      <c r="AC1264" s="9"/>
      <c r="AD1264" s="25"/>
      <c r="AE1264" s="25"/>
      <c r="AF1264" s="9"/>
      <c r="AG1264" s="9"/>
      <c r="AH1264" s="9"/>
      <c r="AI1264" s="9"/>
    </row>
    <row r="1265" ht="15.75" customHeight="1">
      <c r="A1265" s="9"/>
      <c r="B1265" s="9"/>
      <c r="C1265" s="9"/>
      <c r="D1265" s="9"/>
      <c r="E1265" s="67"/>
      <c r="F1265" s="68"/>
      <c r="G1265" s="68"/>
      <c r="H1265" s="69"/>
      <c r="I1265" s="69"/>
      <c r="J1265" s="69"/>
      <c r="K1265" s="69"/>
      <c r="L1265" s="69"/>
      <c r="M1265" s="70"/>
      <c r="N1265" s="69"/>
      <c r="O1265" s="23"/>
      <c r="P1265" s="23"/>
      <c r="Q1265" s="9"/>
      <c r="R1265" s="9"/>
      <c r="S1265" s="9"/>
      <c r="T1265" s="9"/>
      <c r="U1265" s="9"/>
      <c r="V1265" s="9"/>
      <c r="W1265" s="9"/>
      <c r="X1265" s="9"/>
      <c r="Y1265" s="9"/>
      <c r="Z1265" s="9"/>
      <c r="AA1265" s="9"/>
      <c r="AB1265" s="9"/>
      <c r="AC1265" s="9"/>
      <c r="AD1265" s="25"/>
      <c r="AE1265" s="25"/>
      <c r="AF1265" s="9"/>
      <c r="AG1265" s="9"/>
      <c r="AH1265" s="9"/>
      <c r="AI1265" s="9"/>
    </row>
    <row r="1266" ht="15.75" customHeight="1">
      <c r="A1266" s="9"/>
      <c r="B1266" s="9"/>
      <c r="C1266" s="9"/>
      <c r="D1266" s="9"/>
      <c r="E1266" s="67"/>
      <c r="F1266" s="68"/>
      <c r="G1266" s="68"/>
      <c r="H1266" s="69"/>
      <c r="I1266" s="69"/>
      <c r="J1266" s="69"/>
      <c r="K1266" s="69"/>
      <c r="L1266" s="69"/>
      <c r="M1266" s="71"/>
      <c r="N1266" s="69"/>
      <c r="O1266" s="23"/>
      <c r="P1266" s="23"/>
      <c r="Q1266" s="9"/>
      <c r="R1266" s="9"/>
      <c r="S1266" s="9"/>
      <c r="T1266" s="9"/>
      <c r="U1266" s="9"/>
      <c r="V1266" s="9"/>
      <c r="W1266" s="9"/>
      <c r="X1266" s="9"/>
      <c r="Y1266" s="9"/>
      <c r="Z1266" s="9"/>
      <c r="AA1266" s="9"/>
      <c r="AB1266" s="9"/>
      <c r="AC1266" s="9"/>
      <c r="AD1266" s="25"/>
      <c r="AE1266" s="25"/>
      <c r="AF1266" s="9"/>
      <c r="AG1266" s="9"/>
      <c r="AH1266" s="9"/>
      <c r="AI1266" s="9"/>
    </row>
    <row r="1267" ht="15.75" customHeight="1">
      <c r="A1267" s="9"/>
      <c r="B1267" s="9"/>
      <c r="C1267" s="9"/>
      <c r="D1267" s="9"/>
      <c r="E1267" s="67"/>
      <c r="F1267" s="68"/>
      <c r="G1267" s="68"/>
      <c r="H1267" s="69"/>
      <c r="I1267" s="69"/>
      <c r="J1267" s="69"/>
      <c r="K1267" s="69"/>
      <c r="L1267" s="69"/>
      <c r="M1267" s="71"/>
      <c r="N1267" s="69"/>
      <c r="O1267" s="23"/>
      <c r="P1267" s="23"/>
      <c r="Q1267" s="9"/>
      <c r="R1267" s="9"/>
      <c r="S1267" s="9"/>
      <c r="T1267" s="9"/>
      <c r="U1267" s="9"/>
      <c r="V1267" s="9"/>
      <c r="W1267" s="9"/>
      <c r="X1267" s="9"/>
      <c r="Y1267" s="9"/>
      <c r="Z1267" s="9"/>
      <c r="AA1267" s="9"/>
      <c r="AB1267" s="9"/>
      <c r="AC1267" s="9"/>
      <c r="AD1267" s="25"/>
      <c r="AE1267" s="25"/>
      <c r="AF1267" s="9"/>
      <c r="AG1267" s="9"/>
      <c r="AH1267" s="9"/>
      <c r="AI1267" s="9"/>
    </row>
    <row r="1268" ht="15.75" customHeight="1">
      <c r="A1268" s="9"/>
      <c r="B1268" s="9"/>
      <c r="C1268" s="9"/>
      <c r="D1268" s="9"/>
      <c r="E1268" s="67"/>
      <c r="F1268" s="68"/>
      <c r="G1268" s="68"/>
      <c r="H1268" s="69"/>
      <c r="I1268" s="69"/>
      <c r="J1268" s="69"/>
      <c r="K1268" s="69"/>
      <c r="L1268" s="69"/>
      <c r="M1268" s="71"/>
      <c r="N1268" s="69"/>
      <c r="O1268" s="23"/>
      <c r="P1268" s="23"/>
      <c r="Q1268" s="9"/>
      <c r="R1268" s="9"/>
      <c r="S1268" s="9"/>
      <c r="T1268" s="9"/>
      <c r="U1268" s="9"/>
      <c r="V1268" s="9"/>
      <c r="W1268" s="9"/>
      <c r="X1268" s="9"/>
      <c r="Y1268" s="9"/>
      <c r="Z1268" s="9"/>
      <c r="AA1268" s="9"/>
      <c r="AB1268" s="9"/>
      <c r="AC1268" s="9"/>
      <c r="AD1268" s="25"/>
      <c r="AE1268" s="25"/>
      <c r="AF1268" s="9"/>
      <c r="AG1268" s="9"/>
      <c r="AH1268" s="9"/>
      <c r="AI1268" s="9"/>
    </row>
    <row r="1269" ht="15.75" customHeight="1">
      <c r="A1269" s="9"/>
      <c r="B1269" s="9"/>
      <c r="C1269" s="9"/>
      <c r="D1269" s="9"/>
      <c r="E1269" s="67"/>
      <c r="F1269" s="68"/>
      <c r="G1269" s="68"/>
      <c r="H1269" s="69"/>
      <c r="I1269" s="69"/>
      <c r="J1269" s="69"/>
      <c r="K1269" s="69"/>
      <c r="L1269" s="69"/>
      <c r="M1269" s="70"/>
      <c r="N1269" s="69"/>
      <c r="O1269" s="23"/>
      <c r="P1269" s="23"/>
      <c r="Q1269" s="9"/>
      <c r="R1269" s="9"/>
      <c r="S1269" s="9"/>
      <c r="T1269" s="9"/>
      <c r="U1269" s="9"/>
      <c r="V1269" s="9"/>
      <c r="W1269" s="9"/>
      <c r="X1269" s="9"/>
      <c r="Y1269" s="9"/>
      <c r="Z1269" s="9"/>
      <c r="AA1269" s="9"/>
      <c r="AB1269" s="9"/>
      <c r="AC1269" s="9"/>
      <c r="AD1269" s="25"/>
      <c r="AE1269" s="25"/>
      <c r="AF1269" s="9"/>
      <c r="AG1269" s="9"/>
      <c r="AH1269" s="9"/>
      <c r="AI1269" s="9"/>
    </row>
    <row r="1270" ht="15.75" customHeight="1">
      <c r="A1270" s="9"/>
      <c r="B1270" s="9"/>
      <c r="C1270" s="9"/>
      <c r="D1270" s="9"/>
      <c r="E1270" s="67"/>
      <c r="F1270" s="68"/>
      <c r="G1270" s="68"/>
      <c r="H1270" s="69"/>
      <c r="I1270" s="69"/>
      <c r="J1270" s="69"/>
      <c r="K1270" s="69"/>
      <c r="L1270" s="69"/>
      <c r="M1270" s="70"/>
      <c r="N1270" s="69"/>
      <c r="O1270" s="23"/>
      <c r="P1270" s="23"/>
      <c r="Q1270" s="9"/>
      <c r="R1270" s="9"/>
      <c r="S1270" s="9"/>
      <c r="T1270" s="9"/>
      <c r="U1270" s="9"/>
      <c r="V1270" s="9"/>
      <c r="W1270" s="9"/>
      <c r="X1270" s="9"/>
      <c r="Y1270" s="9"/>
      <c r="Z1270" s="9"/>
      <c r="AA1270" s="9"/>
      <c r="AB1270" s="9"/>
      <c r="AC1270" s="9"/>
      <c r="AD1270" s="25"/>
      <c r="AE1270" s="25"/>
      <c r="AF1270" s="9"/>
      <c r="AG1270" s="9"/>
      <c r="AH1270" s="9"/>
      <c r="AI1270" s="9"/>
    </row>
    <row r="1271" ht="15.75" customHeight="1">
      <c r="A1271" s="9"/>
      <c r="B1271" s="9"/>
      <c r="C1271" s="9"/>
      <c r="D1271" s="9"/>
      <c r="E1271" s="67"/>
      <c r="F1271" s="68"/>
      <c r="G1271" s="68"/>
      <c r="H1271" s="69"/>
      <c r="I1271" s="69"/>
      <c r="J1271" s="69"/>
      <c r="K1271" s="69"/>
      <c r="L1271" s="69"/>
      <c r="M1271" s="70"/>
      <c r="N1271" s="69"/>
      <c r="O1271" s="23"/>
      <c r="P1271" s="23"/>
      <c r="Q1271" s="9"/>
      <c r="R1271" s="9"/>
      <c r="S1271" s="9"/>
      <c r="T1271" s="9"/>
      <c r="U1271" s="9"/>
      <c r="V1271" s="9"/>
      <c r="W1271" s="9"/>
      <c r="X1271" s="9"/>
      <c r="Y1271" s="9"/>
      <c r="Z1271" s="9"/>
      <c r="AA1271" s="9"/>
      <c r="AB1271" s="9"/>
      <c r="AC1271" s="9"/>
      <c r="AD1271" s="25"/>
      <c r="AE1271" s="25"/>
      <c r="AF1271" s="9"/>
      <c r="AG1271" s="9"/>
      <c r="AH1271" s="9"/>
      <c r="AI1271" s="9"/>
    </row>
    <row r="1272" ht="15.75" customHeight="1">
      <c r="A1272" s="9"/>
      <c r="B1272" s="9"/>
      <c r="C1272" s="9"/>
      <c r="D1272" s="9"/>
      <c r="E1272" s="67"/>
      <c r="F1272" s="68"/>
      <c r="G1272" s="68"/>
      <c r="H1272" s="69"/>
      <c r="I1272" s="69"/>
      <c r="J1272" s="69"/>
      <c r="K1272" s="69"/>
      <c r="L1272" s="69"/>
      <c r="M1272" s="70"/>
      <c r="N1272" s="69"/>
      <c r="O1272" s="23"/>
      <c r="P1272" s="23"/>
      <c r="Q1272" s="9"/>
      <c r="R1272" s="9"/>
      <c r="S1272" s="9"/>
      <c r="T1272" s="9"/>
      <c r="U1272" s="9"/>
      <c r="V1272" s="9"/>
      <c r="W1272" s="9"/>
      <c r="X1272" s="9"/>
      <c r="Y1272" s="9"/>
      <c r="Z1272" s="9"/>
      <c r="AA1272" s="9"/>
      <c r="AB1272" s="9"/>
      <c r="AC1272" s="9"/>
      <c r="AD1272" s="25"/>
      <c r="AE1272" s="25"/>
      <c r="AF1272" s="9"/>
      <c r="AG1272" s="9"/>
      <c r="AH1272" s="9"/>
      <c r="AI1272" s="9"/>
    </row>
    <row r="1273" ht="15.75" customHeight="1">
      <c r="A1273" s="9"/>
      <c r="B1273" s="9"/>
      <c r="C1273" s="9"/>
      <c r="D1273" s="9"/>
      <c r="E1273" s="67"/>
      <c r="F1273" s="68"/>
      <c r="G1273" s="68"/>
      <c r="H1273" s="69"/>
      <c r="I1273" s="69"/>
      <c r="J1273" s="69"/>
      <c r="K1273" s="69"/>
      <c r="L1273" s="69"/>
      <c r="M1273" s="70"/>
      <c r="N1273" s="69"/>
      <c r="O1273" s="23"/>
      <c r="P1273" s="23"/>
      <c r="Q1273" s="9"/>
      <c r="R1273" s="9"/>
      <c r="S1273" s="9"/>
      <c r="T1273" s="9"/>
      <c r="U1273" s="9"/>
      <c r="V1273" s="9"/>
      <c r="W1273" s="9"/>
      <c r="X1273" s="9"/>
      <c r="Y1273" s="9"/>
      <c r="Z1273" s="9"/>
      <c r="AA1273" s="9"/>
      <c r="AB1273" s="9"/>
      <c r="AC1273" s="9"/>
      <c r="AD1273" s="25"/>
      <c r="AE1273" s="25"/>
      <c r="AF1273" s="9"/>
      <c r="AG1273" s="9"/>
      <c r="AH1273" s="9"/>
      <c r="AI1273" s="9"/>
    </row>
    <row r="1274" ht="15.75" customHeight="1">
      <c r="A1274" s="9"/>
      <c r="B1274" s="9"/>
      <c r="C1274" s="9"/>
      <c r="D1274" s="9"/>
      <c r="E1274" s="67"/>
      <c r="F1274" s="68"/>
      <c r="G1274" s="68"/>
      <c r="H1274" s="69"/>
      <c r="I1274" s="69"/>
      <c r="J1274" s="69"/>
      <c r="K1274" s="69"/>
      <c r="L1274" s="69"/>
      <c r="M1274" s="69"/>
      <c r="N1274" s="69"/>
      <c r="O1274" s="23"/>
      <c r="P1274" s="23"/>
      <c r="Q1274" s="9"/>
      <c r="R1274" s="9"/>
      <c r="S1274" s="9"/>
      <c r="T1274" s="9"/>
      <c r="U1274" s="9"/>
      <c r="V1274" s="9"/>
      <c r="W1274" s="9"/>
      <c r="X1274" s="9"/>
      <c r="Y1274" s="9"/>
      <c r="Z1274" s="9"/>
      <c r="AA1274" s="9"/>
      <c r="AB1274" s="9"/>
      <c r="AC1274" s="9"/>
      <c r="AD1274" s="25"/>
      <c r="AE1274" s="25"/>
      <c r="AF1274" s="9"/>
      <c r="AG1274" s="9"/>
      <c r="AH1274" s="9"/>
      <c r="AI1274" s="9"/>
    </row>
    <row r="1275" ht="15.75" customHeight="1">
      <c r="A1275" s="9"/>
      <c r="B1275" s="9"/>
      <c r="C1275" s="9"/>
      <c r="D1275" s="9"/>
      <c r="E1275" s="67"/>
      <c r="F1275" s="68"/>
      <c r="G1275" s="68"/>
      <c r="H1275" s="69"/>
      <c r="I1275" s="69"/>
      <c r="J1275" s="69"/>
      <c r="K1275" s="69"/>
      <c r="L1275" s="69"/>
      <c r="M1275" s="69"/>
      <c r="N1275" s="69"/>
      <c r="O1275" s="23"/>
      <c r="P1275" s="23"/>
      <c r="Q1275" s="9"/>
      <c r="R1275" s="9"/>
      <c r="S1275" s="9"/>
      <c r="T1275" s="9"/>
      <c r="U1275" s="9"/>
      <c r="V1275" s="9"/>
      <c r="W1275" s="9"/>
      <c r="X1275" s="9"/>
      <c r="Y1275" s="9"/>
      <c r="Z1275" s="9"/>
      <c r="AA1275" s="9"/>
      <c r="AB1275" s="9"/>
      <c r="AC1275" s="9"/>
      <c r="AD1275" s="25"/>
      <c r="AE1275" s="25"/>
      <c r="AF1275" s="9"/>
      <c r="AG1275" s="9"/>
      <c r="AH1275" s="9"/>
      <c r="AI1275" s="9"/>
    </row>
    <row r="1276" ht="15.75" customHeight="1">
      <c r="A1276" s="9"/>
      <c r="B1276" s="9"/>
      <c r="C1276" s="9"/>
      <c r="D1276" s="9"/>
      <c r="E1276" s="67"/>
      <c r="F1276" s="68"/>
      <c r="G1276" s="68"/>
      <c r="H1276" s="69"/>
      <c r="I1276" s="69"/>
      <c r="J1276" s="69"/>
      <c r="K1276" s="69"/>
      <c r="L1276" s="69"/>
      <c r="M1276" s="69"/>
      <c r="N1276" s="69"/>
      <c r="O1276" s="23"/>
      <c r="P1276" s="23"/>
      <c r="Q1276" s="9"/>
      <c r="R1276" s="9"/>
      <c r="S1276" s="9"/>
      <c r="T1276" s="9"/>
      <c r="U1276" s="9"/>
      <c r="V1276" s="9"/>
      <c r="W1276" s="9"/>
      <c r="X1276" s="9"/>
      <c r="Y1276" s="9"/>
      <c r="Z1276" s="9"/>
      <c r="AA1276" s="9"/>
      <c r="AB1276" s="9"/>
      <c r="AC1276" s="9"/>
      <c r="AD1276" s="25"/>
      <c r="AE1276" s="25"/>
      <c r="AF1276" s="9"/>
      <c r="AG1276" s="9"/>
      <c r="AH1276" s="9"/>
      <c r="AI1276" s="9"/>
    </row>
    <row r="1277" ht="15.75" customHeight="1">
      <c r="A1277" s="9"/>
      <c r="B1277" s="9"/>
      <c r="C1277" s="9"/>
      <c r="D1277" s="9"/>
      <c r="E1277" s="67"/>
      <c r="F1277" s="68"/>
      <c r="G1277" s="68"/>
      <c r="H1277" s="69"/>
      <c r="I1277" s="69"/>
      <c r="J1277" s="69"/>
      <c r="K1277" s="69"/>
      <c r="L1277" s="69"/>
      <c r="M1277" s="70"/>
      <c r="N1277" s="69"/>
      <c r="O1277" s="23"/>
      <c r="P1277" s="23"/>
      <c r="Q1277" s="9"/>
      <c r="R1277" s="9"/>
      <c r="S1277" s="9"/>
      <c r="T1277" s="9"/>
      <c r="U1277" s="9"/>
      <c r="V1277" s="9"/>
      <c r="W1277" s="9"/>
      <c r="X1277" s="9"/>
      <c r="Y1277" s="9"/>
      <c r="Z1277" s="9"/>
      <c r="AA1277" s="9"/>
      <c r="AB1277" s="9"/>
      <c r="AC1277" s="9"/>
      <c r="AD1277" s="25"/>
      <c r="AE1277" s="25"/>
      <c r="AF1277" s="9"/>
      <c r="AG1277" s="9"/>
      <c r="AH1277" s="9"/>
      <c r="AI1277" s="9"/>
    </row>
    <row r="1278" ht="15.75" customHeight="1">
      <c r="A1278" s="9"/>
      <c r="B1278" s="9"/>
      <c r="C1278" s="9"/>
      <c r="D1278" s="9"/>
      <c r="E1278" s="67"/>
      <c r="F1278" s="68"/>
      <c r="G1278" s="68"/>
      <c r="H1278" s="69"/>
      <c r="I1278" s="69"/>
      <c r="J1278" s="69"/>
      <c r="K1278" s="69"/>
      <c r="L1278" s="69"/>
      <c r="M1278" s="70"/>
      <c r="N1278" s="69"/>
      <c r="O1278" s="23"/>
      <c r="P1278" s="23"/>
      <c r="Q1278" s="9"/>
      <c r="R1278" s="9"/>
      <c r="S1278" s="9"/>
      <c r="T1278" s="9"/>
      <c r="U1278" s="9"/>
      <c r="V1278" s="9"/>
      <c r="W1278" s="9"/>
      <c r="X1278" s="9"/>
      <c r="Y1278" s="9"/>
      <c r="Z1278" s="9"/>
      <c r="AA1278" s="9"/>
      <c r="AB1278" s="9"/>
      <c r="AC1278" s="9"/>
      <c r="AD1278" s="25"/>
      <c r="AE1278" s="25"/>
      <c r="AF1278" s="9"/>
      <c r="AG1278" s="9"/>
      <c r="AH1278" s="9"/>
      <c r="AI1278" s="9"/>
    </row>
    <row r="1279" ht="15.75" customHeight="1">
      <c r="A1279" s="9"/>
      <c r="B1279" s="9"/>
      <c r="C1279" s="9"/>
      <c r="D1279" s="9"/>
      <c r="E1279" s="67"/>
      <c r="F1279" s="68"/>
      <c r="G1279" s="68"/>
      <c r="H1279" s="69"/>
      <c r="I1279" s="69"/>
      <c r="J1279" s="69"/>
      <c r="K1279" s="69"/>
      <c r="L1279" s="69"/>
      <c r="M1279" s="70"/>
      <c r="N1279" s="69"/>
      <c r="O1279" s="23"/>
      <c r="P1279" s="23"/>
      <c r="Q1279" s="9"/>
      <c r="R1279" s="9"/>
      <c r="S1279" s="9"/>
      <c r="T1279" s="9"/>
      <c r="U1279" s="9"/>
      <c r="V1279" s="9"/>
      <c r="W1279" s="9"/>
      <c r="X1279" s="9"/>
      <c r="Y1279" s="9"/>
      <c r="Z1279" s="9"/>
      <c r="AA1279" s="9"/>
      <c r="AB1279" s="9"/>
      <c r="AC1279" s="9"/>
      <c r="AD1279" s="25"/>
      <c r="AE1279" s="25"/>
      <c r="AF1279" s="9"/>
      <c r="AG1279" s="9"/>
      <c r="AH1279" s="9"/>
      <c r="AI1279" s="9"/>
    </row>
    <row r="1280" ht="15.75" customHeight="1">
      <c r="A1280" s="9"/>
      <c r="B1280" s="9"/>
      <c r="C1280" s="9"/>
      <c r="D1280" s="9"/>
      <c r="E1280" s="67"/>
      <c r="F1280" s="68"/>
      <c r="G1280" s="68"/>
      <c r="H1280" s="69"/>
      <c r="I1280" s="69"/>
      <c r="J1280" s="69"/>
      <c r="K1280" s="69"/>
      <c r="L1280" s="69"/>
      <c r="M1280" s="70"/>
      <c r="N1280" s="69"/>
      <c r="O1280" s="23"/>
      <c r="P1280" s="23"/>
      <c r="Q1280" s="9"/>
      <c r="R1280" s="9"/>
      <c r="S1280" s="9"/>
      <c r="T1280" s="9"/>
      <c r="U1280" s="9"/>
      <c r="V1280" s="9"/>
      <c r="W1280" s="9"/>
      <c r="X1280" s="9"/>
      <c r="Y1280" s="9"/>
      <c r="Z1280" s="9"/>
      <c r="AA1280" s="9"/>
      <c r="AB1280" s="9"/>
      <c r="AC1280" s="9"/>
      <c r="AD1280" s="25"/>
      <c r="AE1280" s="25"/>
      <c r="AF1280" s="9"/>
      <c r="AG1280" s="9"/>
      <c r="AH1280" s="9"/>
      <c r="AI1280" s="9"/>
    </row>
    <row r="1281" ht="15.75" customHeight="1">
      <c r="A1281" s="9"/>
      <c r="B1281" s="9"/>
      <c r="C1281" s="9"/>
      <c r="D1281" s="9"/>
      <c r="E1281" s="67"/>
      <c r="F1281" s="68"/>
      <c r="G1281" s="68"/>
      <c r="H1281" s="69"/>
      <c r="I1281" s="69"/>
      <c r="J1281" s="69"/>
      <c r="K1281" s="69"/>
      <c r="L1281" s="69"/>
      <c r="M1281" s="69"/>
      <c r="N1281" s="69"/>
      <c r="O1281" s="23"/>
      <c r="P1281" s="23"/>
      <c r="Q1281" s="9"/>
      <c r="R1281" s="9"/>
      <c r="S1281" s="9"/>
      <c r="T1281" s="9"/>
      <c r="U1281" s="9"/>
      <c r="V1281" s="9"/>
      <c r="W1281" s="9"/>
      <c r="X1281" s="9"/>
      <c r="Y1281" s="9"/>
      <c r="Z1281" s="9"/>
      <c r="AA1281" s="9"/>
      <c r="AB1281" s="9"/>
      <c r="AC1281" s="9"/>
      <c r="AD1281" s="25"/>
      <c r="AE1281" s="25"/>
      <c r="AF1281" s="9"/>
      <c r="AG1281" s="9"/>
      <c r="AH1281" s="9"/>
      <c r="AI1281" s="9"/>
    </row>
    <row r="1282" ht="15.75" customHeight="1">
      <c r="A1282" s="9"/>
      <c r="B1282" s="9"/>
      <c r="C1282" s="9"/>
      <c r="D1282" s="9"/>
      <c r="E1282" s="67"/>
      <c r="F1282" s="68"/>
      <c r="G1282" s="68"/>
      <c r="H1282" s="69"/>
      <c r="I1282" s="69"/>
      <c r="J1282" s="69"/>
      <c r="K1282" s="69"/>
      <c r="L1282" s="69"/>
      <c r="M1282" s="71"/>
      <c r="N1282" s="69"/>
      <c r="O1282" s="23"/>
      <c r="P1282" s="23"/>
      <c r="Q1282" s="9"/>
      <c r="R1282" s="9"/>
      <c r="S1282" s="9"/>
      <c r="T1282" s="9"/>
      <c r="U1282" s="9"/>
      <c r="V1282" s="9"/>
      <c r="W1282" s="9"/>
      <c r="X1282" s="9"/>
      <c r="Y1282" s="9"/>
      <c r="Z1282" s="9"/>
      <c r="AA1282" s="9"/>
      <c r="AB1282" s="9"/>
      <c r="AC1282" s="9"/>
      <c r="AD1282" s="25"/>
      <c r="AE1282" s="25"/>
      <c r="AF1282" s="9"/>
      <c r="AG1282" s="9"/>
      <c r="AH1282" s="9"/>
      <c r="AI1282" s="9"/>
    </row>
    <row r="1283" ht="15.75" customHeight="1">
      <c r="A1283" s="9"/>
      <c r="B1283" s="9"/>
      <c r="C1283" s="9"/>
      <c r="D1283" s="9"/>
      <c r="E1283" s="67"/>
      <c r="F1283" s="68"/>
      <c r="G1283" s="68"/>
      <c r="H1283" s="69"/>
      <c r="I1283" s="69"/>
      <c r="J1283" s="69"/>
      <c r="K1283" s="69"/>
      <c r="L1283" s="69"/>
      <c r="M1283" s="70"/>
      <c r="N1283" s="69"/>
      <c r="O1283" s="23"/>
      <c r="P1283" s="23"/>
      <c r="Q1283" s="9"/>
      <c r="R1283" s="9"/>
      <c r="S1283" s="9"/>
      <c r="T1283" s="9"/>
      <c r="U1283" s="9"/>
      <c r="V1283" s="9"/>
      <c r="W1283" s="9"/>
      <c r="X1283" s="9"/>
      <c r="Y1283" s="9"/>
      <c r="Z1283" s="9"/>
      <c r="AA1283" s="9"/>
      <c r="AB1283" s="9"/>
      <c r="AC1283" s="9"/>
      <c r="AD1283" s="25"/>
      <c r="AE1283" s="25"/>
      <c r="AF1283" s="9"/>
      <c r="AG1283" s="9"/>
      <c r="AH1283" s="9"/>
      <c r="AI1283" s="9"/>
    </row>
    <row r="1284" ht="15.75" customHeight="1">
      <c r="A1284" s="9"/>
      <c r="B1284" s="9"/>
      <c r="C1284" s="9"/>
      <c r="D1284" s="9"/>
      <c r="E1284" s="67"/>
      <c r="F1284" s="68"/>
      <c r="G1284" s="68"/>
      <c r="H1284" s="69"/>
      <c r="I1284" s="69"/>
      <c r="J1284" s="69"/>
      <c r="K1284" s="69"/>
      <c r="L1284" s="69"/>
      <c r="M1284" s="71"/>
      <c r="N1284" s="69"/>
      <c r="O1284" s="23"/>
      <c r="P1284" s="23"/>
      <c r="Q1284" s="9"/>
      <c r="R1284" s="9"/>
      <c r="S1284" s="9"/>
      <c r="T1284" s="9"/>
      <c r="U1284" s="9"/>
      <c r="V1284" s="9"/>
      <c r="W1284" s="9"/>
      <c r="X1284" s="9"/>
      <c r="Y1284" s="9"/>
      <c r="Z1284" s="9"/>
      <c r="AA1284" s="9"/>
      <c r="AB1284" s="9"/>
      <c r="AC1284" s="9"/>
      <c r="AD1284" s="25"/>
      <c r="AE1284" s="25"/>
      <c r="AF1284" s="9"/>
      <c r="AG1284" s="9"/>
      <c r="AH1284" s="9"/>
      <c r="AI1284" s="9"/>
    </row>
    <row r="1285" ht="15.75" customHeight="1">
      <c r="A1285" s="9"/>
      <c r="B1285" s="9"/>
      <c r="C1285" s="9"/>
      <c r="D1285" s="9"/>
      <c r="E1285" s="67"/>
      <c r="F1285" s="68"/>
      <c r="G1285" s="68"/>
      <c r="H1285" s="69"/>
      <c r="I1285" s="69"/>
      <c r="J1285" s="69"/>
      <c r="K1285" s="69"/>
      <c r="L1285" s="69"/>
      <c r="M1285" s="70"/>
      <c r="N1285" s="69"/>
      <c r="O1285" s="23"/>
      <c r="P1285" s="23"/>
      <c r="Q1285" s="9"/>
      <c r="R1285" s="9"/>
      <c r="S1285" s="9"/>
      <c r="T1285" s="9"/>
      <c r="U1285" s="9"/>
      <c r="V1285" s="9"/>
      <c r="W1285" s="9"/>
      <c r="X1285" s="9"/>
      <c r="Y1285" s="9"/>
      <c r="Z1285" s="9"/>
      <c r="AA1285" s="9"/>
      <c r="AB1285" s="9"/>
      <c r="AC1285" s="9"/>
      <c r="AD1285" s="25"/>
      <c r="AE1285" s="25"/>
      <c r="AF1285" s="9"/>
      <c r="AG1285" s="9"/>
      <c r="AH1285" s="9"/>
      <c r="AI1285" s="9"/>
    </row>
    <row r="1286" ht="15.75" customHeight="1">
      <c r="A1286" s="9"/>
      <c r="B1286" s="9"/>
      <c r="C1286" s="9"/>
      <c r="D1286" s="9"/>
      <c r="E1286" s="67"/>
      <c r="F1286" s="68"/>
      <c r="G1286" s="68"/>
      <c r="H1286" s="69"/>
      <c r="I1286" s="69"/>
      <c r="J1286" s="69"/>
      <c r="K1286" s="69"/>
      <c r="L1286" s="69"/>
      <c r="M1286" s="70"/>
      <c r="N1286" s="69"/>
      <c r="O1286" s="23"/>
      <c r="P1286" s="23"/>
      <c r="Q1286" s="9"/>
      <c r="R1286" s="9"/>
      <c r="S1286" s="9"/>
      <c r="T1286" s="9"/>
      <c r="U1286" s="9"/>
      <c r="V1286" s="9"/>
      <c r="W1286" s="9"/>
      <c r="X1286" s="9"/>
      <c r="Y1286" s="9"/>
      <c r="Z1286" s="9"/>
      <c r="AA1286" s="9"/>
      <c r="AB1286" s="9"/>
      <c r="AC1286" s="9"/>
      <c r="AD1286" s="25"/>
      <c r="AE1286" s="25"/>
      <c r="AF1286" s="9"/>
      <c r="AG1286" s="9"/>
      <c r="AH1286" s="9"/>
      <c r="AI1286" s="9"/>
    </row>
    <row r="1287" ht="15.75" customHeight="1">
      <c r="A1287" s="9"/>
      <c r="B1287" s="9"/>
      <c r="C1287" s="9"/>
      <c r="D1287" s="9"/>
      <c r="E1287" s="67"/>
      <c r="F1287" s="68"/>
      <c r="G1287" s="68"/>
      <c r="H1287" s="69"/>
      <c r="I1287" s="69"/>
      <c r="J1287" s="69"/>
      <c r="K1287" s="69"/>
      <c r="L1287" s="69"/>
      <c r="M1287" s="70"/>
      <c r="N1287" s="69"/>
      <c r="O1287" s="23"/>
      <c r="P1287" s="23"/>
      <c r="Q1287" s="9"/>
      <c r="R1287" s="9"/>
      <c r="S1287" s="9"/>
      <c r="T1287" s="9"/>
      <c r="U1287" s="9"/>
      <c r="V1287" s="9"/>
      <c r="W1287" s="9"/>
      <c r="X1287" s="9"/>
      <c r="Y1287" s="9"/>
      <c r="Z1287" s="9"/>
      <c r="AA1287" s="9"/>
      <c r="AB1287" s="9"/>
      <c r="AC1287" s="9"/>
      <c r="AD1287" s="25"/>
      <c r="AE1287" s="25"/>
      <c r="AF1287" s="9"/>
      <c r="AG1287" s="9"/>
      <c r="AH1287" s="9"/>
      <c r="AI1287" s="9"/>
    </row>
    <row r="1288" ht="15.75" customHeight="1">
      <c r="A1288" s="9"/>
      <c r="B1288" s="9"/>
      <c r="C1288" s="9"/>
      <c r="D1288" s="9"/>
      <c r="E1288" s="67"/>
      <c r="F1288" s="68"/>
      <c r="G1288" s="68"/>
      <c r="H1288" s="69"/>
      <c r="I1288" s="69"/>
      <c r="J1288" s="69"/>
      <c r="K1288" s="69"/>
      <c r="L1288" s="69"/>
      <c r="M1288" s="70"/>
      <c r="N1288" s="69"/>
      <c r="O1288" s="23"/>
      <c r="P1288" s="23"/>
      <c r="Q1288" s="9"/>
      <c r="R1288" s="9"/>
      <c r="S1288" s="9"/>
      <c r="T1288" s="9"/>
      <c r="U1288" s="9"/>
      <c r="V1288" s="9"/>
      <c r="W1288" s="9"/>
      <c r="X1288" s="9"/>
      <c r="Y1288" s="9"/>
      <c r="Z1288" s="9"/>
      <c r="AA1288" s="9"/>
      <c r="AB1288" s="9"/>
      <c r="AC1288" s="9"/>
      <c r="AD1288" s="25"/>
      <c r="AE1288" s="25"/>
      <c r="AF1288" s="9"/>
      <c r="AG1288" s="9"/>
      <c r="AH1288" s="9"/>
      <c r="AI1288" s="9"/>
    </row>
    <row r="1289" ht="15.75" customHeight="1">
      <c r="A1289" s="9"/>
      <c r="B1289" s="9"/>
      <c r="C1289" s="9"/>
      <c r="D1289" s="9"/>
      <c r="E1289" s="67"/>
      <c r="F1289" s="68"/>
      <c r="G1289" s="68"/>
      <c r="H1289" s="69"/>
      <c r="I1289" s="69"/>
      <c r="J1289" s="69"/>
      <c r="K1289" s="69"/>
      <c r="L1289" s="69"/>
      <c r="M1289" s="70"/>
      <c r="N1289" s="69"/>
      <c r="O1289" s="23"/>
      <c r="P1289" s="23"/>
      <c r="Q1289" s="9"/>
      <c r="R1289" s="9"/>
      <c r="S1289" s="9"/>
      <c r="T1289" s="9"/>
      <c r="U1289" s="9"/>
      <c r="V1289" s="9"/>
      <c r="W1289" s="9"/>
      <c r="X1289" s="9"/>
      <c r="Y1289" s="9"/>
      <c r="Z1289" s="9"/>
      <c r="AA1289" s="9"/>
      <c r="AB1289" s="9"/>
      <c r="AC1289" s="9"/>
      <c r="AD1289" s="25"/>
      <c r="AE1289" s="25"/>
      <c r="AF1289" s="9"/>
      <c r="AG1289" s="9"/>
      <c r="AH1289" s="9"/>
      <c r="AI1289" s="9"/>
    </row>
    <row r="1290" ht="15.75" customHeight="1">
      <c r="A1290" s="9"/>
      <c r="B1290" s="9"/>
      <c r="C1290" s="9"/>
      <c r="D1290" s="9"/>
      <c r="E1290" s="67"/>
      <c r="F1290" s="68"/>
      <c r="G1290" s="68"/>
      <c r="H1290" s="69"/>
      <c r="I1290" s="69"/>
      <c r="J1290" s="69"/>
      <c r="K1290" s="69"/>
      <c r="L1290" s="69"/>
      <c r="M1290" s="70"/>
      <c r="N1290" s="69"/>
      <c r="O1290" s="23"/>
      <c r="P1290" s="23"/>
      <c r="Q1290" s="9"/>
      <c r="R1290" s="9"/>
      <c r="S1290" s="9"/>
      <c r="T1290" s="9"/>
      <c r="U1290" s="9"/>
      <c r="V1290" s="9"/>
      <c r="W1290" s="9"/>
      <c r="X1290" s="9"/>
      <c r="Y1290" s="9"/>
      <c r="Z1290" s="9"/>
      <c r="AA1290" s="9"/>
      <c r="AB1290" s="9"/>
      <c r="AC1290" s="9"/>
      <c r="AD1290" s="25"/>
      <c r="AE1290" s="25"/>
      <c r="AF1290" s="9"/>
      <c r="AG1290" s="9"/>
      <c r="AH1290" s="9"/>
      <c r="AI1290" s="9"/>
    </row>
    <row r="1291" ht="15.75" customHeight="1">
      <c r="A1291" s="9"/>
      <c r="B1291" s="9"/>
      <c r="C1291" s="9"/>
      <c r="D1291" s="9"/>
      <c r="E1291" s="67"/>
      <c r="F1291" s="68"/>
      <c r="G1291" s="68"/>
      <c r="H1291" s="69"/>
      <c r="I1291" s="69"/>
      <c r="J1291" s="69"/>
      <c r="K1291" s="69"/>
      <c r="L1291" s="69"/>
      <c r="M1291" s="70"/>
      <c r="N1291" s="69"/>
      <c r="O1291" s="23"/>
      <c r="P1291" s="23"/>
      <c r="Q1291" s="9"/>
      <c r="R1291" s="9"/>
      <c r="S1291" s="9"/>
      <c r="T1291" s="9"/>
      <c r="U1291" s="9"/>
      <c r="V1291" s="9"/>
      <c r="W1291" s="9"/>
      <c r="X1291" s="9"/>
      <c r="Y1291" s="9"/>
      <c r="Z1291" s="9"/>
      <c r="AA1291" s="9"/>
      <c r="AB1291" s="9"/>
      <c r="AC1291" s="9"/>
      <c r="AD1291" s="25"/>
      <c r="AE1291" s="25"/>
      <c r="AF1291" s="9"/>
      <c r="AG1291" s="9"/>
      <c r="AH1291" s="9"/>
      <c r="AI1291" s="9"/>
    </row>
    <row r="1292" ht="15.75" customHeight="1">
      <c r="A1292" s="9"/>
      <c r="B1292" s="9"/>
      <c r="C1292" s="9"/>
      <c r="D1292" s="9"/>
      <c r="E1292" s="67"/>
      <c r="F1292" s="68"/>
      <c r="G1292" s="68"/>
      <c r="H1292" s="69"/>
      <c r="I1292" s="69"/>
      <c r="J1292" s="69"/>
      <c r="K1292" s="69"/>
      <c r="L1292" s="69"/>
      <c r="M1292" s="70"/>
      <c r="N1292" s="69"/>
      <c r="O1292" s="23"/>
      <c r="P1292" s="23"/>
      <c r="Q1292" s="9"/>
      <c r="R1292" s="9"/>
      <c r="S1292" s="9"/>
      <c r="T1292" s="9"/>
      <c r="U1292" s="9"/>
      <c r="V1292" s="9"/>
      <c r="W1292" s="9"/>
      <c r="X1292" s="9"/>
      <c r="Y1292" s="9"/>
      <c r="Z1292" s="9"/>
      <c r="AA1292" s="9"/>
      <c r="AB1292" s="9"/>
      <c r="AC1292" s="9"/>
      <c r="AD1292" s="25"/>
      <c r="AE1292" s="25"/>
      <c r="AF1292" s="9"/>
      <c r="AG1292" s="9"/>
      <c r="AH1292" s="9"/>
      <c r="AI1292" s="9"/>
    </row>
    <row r="1293" ht="15.75" customHeight="1">
      <c r="A1293" s="9"/>
      <c r="B1293" s="9"/>
      <c r="C1293" s="9"/>
      <c r="D1293" s="9"/>
      <c r="E1293" s="67"/>
      <c r="F1293" s="68"/>
      <c r="G1293" s="68"/>
      <c r="H1293" s="69"/>
      <c r="I1293" s="69"/>
      <c r="J1293" s="69"/>
      <c r="K1293" s="69"/>
      <c r="L1293" s="69"/>
      <c r="M1293" s="70"/>
      <c r="N1293" s="69"/>
      <c r="O1293" s="23"/>
      <c r="P1293" s="23"/>
      <c r="Q1293" s="9"/>
      <c r="R1293" s="9"/>
      <c r="S1293" s="9"/>
      <c r="T1293" s="9"/>
      <c r="U1293" s="9"/>
      <c r="V1293" s="9"/>
      <c r="W1293" s="9"/>
      <c r="X1293" s="9"/>
      <c r="Y1293" s="9"/>
      <c r="Z1293" s="9"/>
      <c r="AA1293" s="9"/>
      <c r="AB1293" s="9"/>
      <c r="AC1293" s="9"/>
      <c r="AD1293" s="25"/>
      <c r="AE1293" s="25"/>
      <c r="AF1293" s="9"/>
      <c r="AG1293" s="9"/>
      <c r="AH1293" s="9"/>
      <c r="AI1293" s="9"/>
    </row>
    <row r="1294" ht="15.75" customHeight="1">
      <c r="A1294" s="9"/>
      <c r="B1294" s="9"/>
      <c r="C1294" s="9"/>
      <c r="D1294" s="9"/>
      <c r="E1294" s="67"/>
      <c r="F1294" s="68"/>
      <c r="G1294" s="68"/>
      <c r="H1294" s="69"/>
      <c r="I1294" s="69"/>
      <c r="J1294" s="69"/>
      <c r="K1294" s="69"/>
      <c r="L1294" s="69"/>
      <c r="M1294" s="70"/>
      <c r="N1294" s="69"/>
      <c r="O1294" s="23"/>
      <c r="P1294" s="23"/>
      <c r="Q1294" s="9"/>
      <c r="R1294" s="9"/>
      <c r="S1294" s="9"/>
      <c r="T1294" s="9"/>
      <c r="U1294" s="9"/>
      <c r="V1294" s="9"/>
      <c r="W1294" s="9"/>
      <c r="X1294" s="9"/>
      <c r="Y1294" s="9"/>
      <c r="Z1294" s="9"/>
      <c r="AA1294" s="9"/>
      <c r="AB1294" s="9"/>
      <c r="AC1294" s="9"/>
      <c r="AD1294" s="25"/>
      <c r="AE1294" s="25"/>
      <c r="AF1294" s="9"/>
      <c r="AG1294" s="9"/>
      <c r="AH1294" s="9"/>
      <c r="AI1294" s="9"/>
    </row>
    <row r="1295" ht="15.75" customHeight="1">
      <c r="A1295" s="9"/>
      <c r="B1295" s="9"/>
      <c r="C1295" s="9"/>
      <c r="D1295" s="9"/>
      <c r="E1295" s="67"/>
      <c r="F1295" s="68"/>
      <c r="G1295" s="68"/>
      <c r="H1295" s="69"/>
      <c r="I1295" s="69"/>
      <c r="J1295" s="69"/>
      <c r="K1295" s="69"/>
      <c r="L1295" s="69"/>
      <c r="M1295" s="70"/>
      <c r="N1295" s="69"/>
      <c r="O1295" s="23"/>
      <c r="P1295" s="23"/>
      <c r="Q1295" s="9"/>
      <c r="R1295" s="9"/>
      <c r="S1295" s="9"/>
      <c r="T1295" s="9"/>
      <c r="U1295" s="9"/>
      <c r="V1295" s="9"/>
      <c r="W1295" s="9"/>
      <c r="X1295" s="9"/>
      <c r="Y1295" s="9"/>
      <c r="Z1295" s="9"/>
      <c r="AA1295" s="9"/>
      <c r="AB1295" s="9"/>
      <c r="AC1295" s="9"/>
      <c r="AD1295" s="25"/>
      <c r="AE1295" s="25"/>
      <c r="AF1295" s="9"/>
      <c r="AG1295" s="9"/>
      <c r="AH1295" s="9"/>
      <c r="AI1295" s="9"/>
    </row>
    <row r="1296" ht="15.75" customHeight="1">
      <c r="A1296" s="9"/>
      <c r="B1296" s="9"/>
      <c r="C1296" s="9"/>
      <c r="D1296" s="9"/>
      <c r="E1296" s="67"/>
      <c r="F1296" s="68"/>
      <c r="G1296" s="68"/>
      <c r="H1296" s="69"/>
      <c r="I1296" s="69"/>
      <c r="J1296" s="69"/>
      <c r="K1296" s="69"/>
      <c r="L1296" s="69"/>
      <c r="M1296" s="70"/>
      <c r="N1296" s="69"/>
      <c r="O1296" s="23"/>
      <c r="P1296" s="23"/>
      <c r="Q1296" s="9"/>
      <c r="R1296" s="9"/>
      <c r="S1296" s="9"/>
      <c r="T1296" s="9"/>
      <c r="U1296" s="9"/>
      <c r="V1296" s="9"/>
      <c r="W1296" s="9"/>
      <c r="X1296" s="9"/>
      <c r="Y1296" s="9"/>
      <c r="Z1296" s="9"/>
      <c r="AA1296" s="9"/>
      <c r="AB1296" s="9"/>
      <c r="AC1296" s="9"/>
      <c r="AD1296" s="25"/>
      <c r="AE1296" s="25"/>
      <c r="AF1296" s="9"/>
      <c r="AG1296" s="9"/>
      <c r="AH1296" s="9"/>
      <c r="AI1296" s="9"/>
    </row>
    <row r="1297" ht="15.75" customHeight="1">
      <c r="A1297" s="9"/>
      <c r="B1297" s="9"/>
      <c r="C1297" s="9"/>
      <c r="D1297" s="9"/>
      <c r="E1297" s="67"/>
      <c r="F1297" s="68"/>
      <c r="G1297" s="68"/>
      <c r="H1297" s="69"/>
      <c r="I1297" s="69"/>
      <c r="J1297" s="69"/>
      <c r="K1297" s="69"/>
      <c r="L1297" s="69"/>
      <c r="M1297" s="70"/>
      <c r="N1297" s="69"/>
      <c r="O1297" s="23"/>
      <c r="P1297" s="23"/>
      <c r="Q1297" s="9"/>
      <c r="R1297" s="9"/>
      <c r="S1297" s="9"/>
      <c r="T1297" s="9"/>
      <c r="U1297" s="9"/>
      <c r="V1297" s="9"/>
      <c r="W1297" s="9"/>
      <c r="X1297" s="9"/>
      <c r="Y1297" s="9"/>
      <c r="Z1297" s="9"/>
      <c r="AA1297" s="9"/>
      <c r="AB1297" s="9"/>
      <c r="AC1297" s="9"/>
      <c r="AD1297" s="25"/>
      <c r="AE1297" s="25"/>
      <c r="AF1297" s="9"/>
      <c r="AG1297" s="9"/>
      <c r="AH1297" s="9"/>
      <c r="AI1297" s="9"/>
    </row>
    <row r="1298" ht="15.75" customHeight="1">
      <c r="A1298" s="9"/>
      <c r="B1298" s="9"/>
      <c r="C1298" s="9"/>
      <c r="D1298" s="9"/>
      <c r="E1298" s="67"/>
      <c r="F1298" s="68"/>
      <c r="G1298" s="68"/>
      <c r="H1298" s="69"/>
      <c r="I1298" s="69"/>
      <c r="J1298" s="69"/>
      <c r="K1298" s="69"/>
      <c r="L1298" s="69"/>
      <c r="M1298" s="70"/>
      <c r="N1298" s="69"/>
      <c r="O1298" s="23"/>
      <c r="P1298" s="23"/>
      <c r="Q1298" s="9"/>
      <c r="R1298" s="9"/>
      <c r="S1298" s="9"/>
      <c r="T1298" s="9"/>
      <c r="U1298" s="9"/>
      <c r="V1298" s="9"/>
      <c r="W1298" s="9"/>
      <c r="X1298" s="9"/>
      <c r="Y1298" s="9"/>
      <c r="Z1298" s="9"/>
      <c r="AA1298" s="9"/>
      <c r="AB1298" s="9"/>
      <c r="AC1298" s="9"/>
      <c r="AD1298" s="25"/>
      <c r="AE1298" s="25"/>
      <c r="AF1298" s="9"/>
      <c r="AG1298" s="9"/>
      <c r="AH1298" s="9"/>
      <c r="AI1298" s="9"/>
    </row>
    <row r="1299" ht="15.75" customHeight="1">
      <c r="A1299" s="9"/>
      <c r="B1299" s="9"/>
      <c r="C1299" s="9"/>
      <c r="D1299" s="9"/>
      <c r="E1299" s="67"/>
      <c r="F1299" s="68"/>
      <c r="G1299" s="68"/>
      <c r="H1299" s="69"/>
      <c r="I1299" s="69"/>
      <c r="J1299" s="69"/>
      <c r="K1299" s="69"/>
      <c r="L1299" s="69"/>
      <c r="M1299" s="70"/>
      <c r="N1299" s="69"/>
      <c r="O1299" s="23"/>
      <c r="P1299" s="23"/>
      <c r="Q1299" s="9"/>
      <c r="R1299" s="9"/>
      <c r="S1299" s="9"/>
      <c r="T1299" s="9"/>
      <c r="U1299" s="9"/>
      <c r="V1299" s="9"/>
      <c r="W1299" s="9"/>
      <c r="X1299" s="9"/>
      <c r="Y1299" s="9"/>
      <c r="Z1299" s="9"/>
      <c r="AA1299" s="9"/>
      <c r="AB1299" s="9"/>
      <c r="AC1299" s="9"/>
      <c r="AD1299" s="25"/>
      <c r="AE1299" s="25"/>
      <c r="AF1299" s="9"/>
      <c r="AG1299" s="9"/>
      <c r="AH1299" s="9"/>
      <c r="AI1299" s="9"/>
    </row>
    <row r="1300" ht="15.75" customHeight="1">
      <c r="A1300" s="9"/>
      <c r="B1300" s="9"/>
      <c r="C1300" s="9"/>
      <c r="D1300" s="9"/>
      <c r="E1300" s="67"/>
      <c r="F1300" s="68"/>
      <c r="G1300" s="68"/>
      <c r="H1300" s="69"/>
      <c r="I1300" s="69"/>
      <c r="J1300" s="69"/>
      <c r="K1300" s="69"/>
      <c r="L1300" s="69"/>
      <c r="M1300" s="70"/>
      <c r="N1300" s="69"/>
      <c r="O1300" s="23"/>
      <c r="P1300" s="23"/>
      <c r="Q1300" s="9"/>
      <c r="R1300" s="9"/>
      <c r="S1300" s="9"/>
      <c r="T1300" s="9"/>
      <c r="U1300" s="9"/>
      <c r="V1300" s="9"/>
      <c r="W1300" s="9"/>
      <c r="X1300" s="9"/>
      <c r="Y1300" s="9"/>
      <c r="Z1300" s="9"/>
      <c r="AA1300" s="9"/>
      <c r="AB1300" s="9"/>
      <c r="AC1300" s="9"/>
      <c r="AD1300" s="25"/>
      <c r="AE1300" s="25"/>
      <c r="AF1300" s="9"/>
      <c r="AG1300" s="9"/>
      <c r="AH1300" s="9"/>
      <c r="AI1300" s="9"/>
    </row>
    <row r="1301" ht="15.75" customHeight="1">
      <c r="A1301" s="9"/>
      <c r="B1301" s="9"/>
      <c r="C1301" s="9"/>
      <c r="D1301" s="9"/>
      <c r="E1301" s="67"/>
      <c r="F1301" s="68"/>
      <c r="G1301" s="68"/>
      <c r="H1301" s="69"/>
      <c r="I1301" s="69"/>
      <c r="J1301" s="69"/>
      <c r="K1301" s="69"/>
      <c r="L1301" s="69"/>
      <c r="M1301" s="69"/>
      <c r="N1301" s="69"/>
      <c r="O1301" s="23"/>
      <c r="P1301" s="23"/>
      <c r="Q1301" s="9"/>
      <c r="R1301" s="9"/>
      <c r="S1301" s="9"/>
      <c r="T1301" s="9"/>
      <c r="U1301" s="9"/>
      <c r="V1301" s="9"/>
      <c r="W1301" s="9"/>
      <c r="X1301" s="9"/>
      <c r="Y1301" s="9"/>
      <c r="Z1301" s="9"/>
      <c r="AA1301" s="9"/>
      <c r="AB1301" s="9"/>
      <c r="AC1301" s="9"/>
      <c r="AD1301" s="25"/>
      <c r="AE1301" s="25"/>
      <c r="AF1301" s="9"/>
      <c r="AG1301" s="9"/>
      <c r="AH1301" s="9"/>
      <c r="AI1301" s="9"/>
    </row>
    <row r="1302" ht="15.75" customHeight="1">
      <c r="A1302" s="9"/>
      <c r="B1302" s="9"/>
      <c r="C1302" s="9"/>
      <c r="D1302" s="9"/>
      <c r="E1302" s="67"/>
      <c r="F1302" s="68"/>
      <c r="G1302" s="68"/>
      <c r="H1302" s="69"/>
      <c r="I1302" s="69"/>
      <c r="J1302" s="69"/>
      <c r="K1302" s="69"/>
      <c r="L1302" s="69"/>
      <c r="M1302" s="71"/>
      <c r="N1302" s="69"/>
      <c r="O1302" s="23"/>
      <c r="P1302" s="23"/>
      <c r="Q1302" s="9"/>
      <c r="R1302" s="9"/>
      <c r="S1302" s="9"/>
      <c r="T1302" s="9"/>
      <c r="U1302" s="9"/>
      <c r="V1302" s="9"/>
      <c r="W1302" s="9"/>
      <c r="X1302" s="9"/>
      <c r="Y1302" s="9"/>
      <c r="Z1302" s="9"/>
      <c r="AA1302" s="9"/>
      <c r="AB1302" s="9"/>
      <c r="AC1302" s="9"/>
      <c r="AD1302" s="25"/>
      <c r="AE1302" s="25"/>
      <c r="AF1302" s="9"/>
      <c r="AG1302" s="9"/>
      <c r="AH1302" s="9"/>
      <c r="AI1302" s="9"/>
    </row>
    <row r="1303" ht="15.75" customHeight="1">
      <c r="A1303" s="9"/>
      <c r="B1303" s="9"/>
      <c r="C1303" s="9"/>
      <c r="D1303" s="9"/>
      <c r="E1303" s="67"/>
      <c r="F1303" s="68"/>
      <c r="G1303" s="68"/>
      <c r="H1303" s="69"/>
      <c r="I1303" s="69"/>
      <c r="J1303" s="69"/>
      <c r="K1303" s="69"/>
      <c r="L1303" s="69"/>
      <c r="M1303" s="70"/>
      <c r="N1303" s="69"/>
      <c r="O1303" s="23"/>
      <c r="P1303" s="23"/>
      <c r="Q1303" s="9"/>
      <c r="R1303" s="9"/>
      <c r="S1303" s="9"/>
      <c r="T1303" s="9"/>
      <c r="U1303" s="9"/>
      <c r="V1303" s="9"/>
      <c r="W1303" s="9"/>
      <c r="X1303" s="9"/>
      <c r="Y1303" s="9"/>
      <c r="Z1303" s="9"/>
      <c r="AA1303" s="9"/>
      <c r="AB1303" s="9"/>
      <c r="AC1303" s="9"/>
      <c r="AD1303" s="25"/>
      <c r="AE1303" s="25"/>
      <c r="AF1303" s="9"/>
      <c r="AG1303" s="9"/>
      <c r="AH1303" s="9"/>
      <c r="AI1303" s="9"/>
    </row>
    <row r="1304" ht="15.75" customHeight="1">
      <c r="A1304" s="9"/>
      <c r="B1304" s="9"/>
      <c r="C1304" s="9"/>
      <c r="D1304" s="9"/>
      <c r="E1304" s="67"/>
      <c r="F1304" s="68"/>
      <c r="G1304" s="68"/>
      <c r="H1304" s="69"/>
      <c r="I1304" s="69"/>
      <c r="J1304" s="69"/>
      <c r="K1304" s="69"/>
      <c r="L1304" s="69"/>
      <c r="M1304" s="70"/>
      <c r="N1304" s="69"/>
      <c r="O1304" s="23"/>
      <c r="P1304" s="23"/>
      <c r="Q1304" s="9"/>
      <c r="R1304" s="9"/>
      <c r="S1304" s="9"/>
      <c r="T1304" s="9"/>
      <c r="U1304" s="9"/>
      <c r="V1304" s="9"/>
      <c r="W1304" s="9"/>
      <c r="X1304" s="9"/>
      <c r="Y1304" s="9"/>
      <c r="Z1304" s="9"/>
      <c r="AA1304" s="9"/>
      <c r="AB1304" s="9"/>
      <c r="AC1304" s="9"/>
      <c r="AD1304" s="25"/>
      <c r="AE1304" s="25"/>
      <c r="AF1304" s="9"/>
      <c r="AG1304" s="9"/>
      <c r="AH1304" s="9"/>
      <c r="AI1304" s="9"/>
    </row>
    <row r="1305" ht="15.75" customHeight="1">
      <c r="A1305" s="9"/>
      <c r="B1305" s="9"/>
      <c r="C1305" s="9"/>
      <c r="D1305" s="9"/>
      <c r="E1305" s="67"/>
      <c r="F1305" s="68"/>
      <c r="G1305" s="68"/>
      <c r="H1305" s="69"/>
      <c r="I1305" s="69"/>
      <c r="J1305" s="69"/>
      <c r="K1305" s="69"/>
      <c r="L1305" s="69"/>
      <c r="M1305" s="70"/>
      <c r="N1305" s="69"/>
      <c r="O1305" s="23"/>
      <c r="P1305" s="23"/>
      <c r="Q1305" s="9"/>
      <c r="R1305" s="9"/>
      <c r="S1305" s="9"/>
      <c r="T1305" s="9"/>
      <c r="U1305" s="9"/>
      <c r="V1305" s="9"/>
      <c r="W1305" s="9"/>
      <c r="X1305" s="9"/>
      <c r="Y1305" s="9"/>
      <c r="Z1305" s="9"/>
      <c r="AA1305" s="9"/>
      <c r="AB1305" s="9"/>
      <c r="AC1305" s="9"/>
      <c r="AD1305" s="25"/>
      <c r="AE1305" s="25"/>
      <c r="AF1305" s="9"/>
      <c r="AG1305" s="9"/>
      <c r="AH1305" s="9"/>
      <c r="AI1305" s="9"/>
    </row>
    <row r="1306" ht="15.75" customHeight="1">
      <c r="A1306" s="9"/>
      <c r="B1306" s="9"/>
      <c r="C1306" s="9"/>
      <c r="D1306" s="9"/>
      <c r="E1306" s="67"/>
      <c r="F1306" s="68"/>
      <c r="G1306" s="68"/>
      <c r="H1306" s="69"/>
      <c r="I1306" s="69"/>
      <c r="J1306" s="69"/>
      <c r="K1306" s="69"/>
      <c r="L1306" s="69"/>
      <c r="M1306" s="69"/>
      <c r="N1306" s="69"/>
      <c r="O1306" s="23"/>
      <c r="P1306" s="23"/>
      <c r="Q1306" s="9"/>
      <c r="R1306" s="9"/>
      <c r="S1306" s="9"/>
      <c r="T1306" s="9"/>
      <c r="U1306" s="9"/>
      <c r="V1306" s="9"/>
      <c r="W1306" s="9"/>
      <c r="X1306" s="9"/>
      <c r="Y1306" s="9"/>
      <c r="Z1306" s="9"/>
      <c r="AA1306" s="9"/>
      <c r="AB1306" s="9"/>
      <c r="AC1306" s="9"/>
      <c r="AD1306" s="25"/>
      <c r="AE1306" s="25"/>
      <c r="AF1306" s="9"/>
      <c r="AG1306" s="9"/>
      <c r="AH1306" s="9"/>
      <c r="AI1306" s="9"/>
    </row>
    <row r="1307" ht="15.75" customHeight="1">
      <c r="A1307" s="9"/>
      <c r="B1307" s="9"/>
      <c r="C1307" s="9"/>
      <c r="D1307" s="9"/>
      <c r="E1307" s="67"/>
      <c r="F1307" s="68"/>
      <c r="G1307" s="68"/>
      <c r="H1307" s="69"/>
      <c r="I1307" s="69"/>
      <c r="J1307" s="69"/>
      <c r="K1307" s="69"/>
      <c r="L1307" s="69"/>
      <c r="M1307" s="70"/>
      <c r="N1307" s="69"/>
      <c r="O1307" s="23"/>
      <c r="P1307" s="23"/>
      <c r="Q1307" s="9"/>
      <c r="R1307" s="9"/>
      <c r="S1307" s="9"/>
      <c r="T1307" s="9"/>
      <c r="U1307" s="9"/>
      <c r="V1307" s="9"/>
      <c r="W1307" s="9"/>
      <c r="X1307" s="9"/>
      <c r="Y1307" s="9"/>
      <c r="Z1307" s="9"/>
      <c r="AA1307" s="9"/>
      <c r="AB1307" s="9"/>
      <c r="AC1307" s="9"/>
      <c r="AD1307" s="25"/>
      <c r="AE1307" s="25"/>
      <c r="AF1307" s="9"/>
      <c r="AG1307" s="9"/>
      <c r="AH1307" s="9"/>
      <c r="AI1307" s="9"/>
    </row>
    <row r="1308" ht="15.75" customHeight="1">
      <c r="A1308" s="9"/>
      <c r="B1308" s="9"/>
      <c r="C1308" s="9"/>
      <c r="D1308" s="9"/>
      <c r="E1308" s="67"/>
      <c r="F1308" s="68"/>
      <c r="G1308" s="68"/>
      <c r="H1308" s="69"/>
      <c r="I1308" s="69"/>
      <c r="J1308" s="69"/>
      <c r="K1308" s="69"/>
      <c r="L1308" s="69"/>
      <c r="M1308" s="69"/>
      <c r="N1308" s="69"/>
      <c r="O1308" s="23"/>
      <c r="P1308" s="23"/>
      <c r="Q1308" s="9"/>
      <c r="R1308" s="9"/>
      <c r="S1308" s="9"/>
      <c r="T1308" s="9"/>
      <c r="U1308" s="9"/>
      <c r="V1308" s="9"/>
      <c r="W1308" s="9"/>
      <c r="X1308" s="9"/>
      <c r="Y1308" s="9"/>
      <c r="Z1308" s="9"/>
      <c r="AA1308" s="9"/>
      <c r="AB1308" s="9"/>
      <c r="AC1308" s="9"/>
      <c r="AD1308" s="25"/>
      <c r="AE1308" s="25"/>
      <c r="AF1308" s="9"/>
      <c r="AG1308" s="9"/>
      <c r="AH1308" s="9"/>
      <c r="AI1308" s="9"/>
    </row>
    <row r="1309" ht="15.75" customHeight="1">
      <c r="A1309" s="9"/>
      <c r="B1309" s="9"/>
      <c r="C1309" s="9"/>
      <c r="D1309" s="9"/>
      <c r="E1309" s="67"/>
      <c r="F1309" s="68"/>
      <c r="G1309" s="68"/>
      <c r="H1309" s="69"/>
      <c r="I1309" s="69"/>
      <c r="J1309" s="69"/>
      <c r="K1309" s="69"/>
      <c r="L1309" s="69"/>
      <c r="M1309" s="70"/>
      <c r="N1309" s="69"/>
      <c r="O1309" s="23"/>
      <c r="P1309" s="23"/>
      <c r="Q1309" s="9"/>
      <c r="R1309" s="9"/>
      <c r="S1309" s="9"/>
      <c r="T1309" s="9"/>
      <c r="U1309" s="9"/>
      <c r="V1309" s="9"/>
      <c r="W1309" s="9"/>
      <c r="X1309" s="9"/>
      <c r="Y1309" s="9"/>
      <c r="Z1309" s="9"/>
      <c r="AA1309" s="9"/>
      <c r="AB1309" s="9"/>
      <c r="AC1309" s="9"/>
      <c r="AD1309" s="25"/>
      <c r="AE1309" s="25"/>
      <c r="AF1309" s="9"/>
      <c r="AG1309" s="9"/>
      <c r="AH1309" s="9"/>
      <c r="AI1309" s="9"/>
    </row>
    <row r="1310" ht="15.75" customHeight="1">
      <c r="A1310" s="9"/>
      <c r="B1310" s="9"/>
      <c r="C1310" s="9"/>
      <c r="D1310" s="9"/>
      <c r="E1310" s="67"/>
      <c r="F1310" s="68"/>
      <c r="G1310" s="68"/>
      <c r="H1310" s="69"/>
      <c r="I1310" s="69"/>
      <c r="J1310" s="69"/>
      <c r="K1310" s="69"/>
      <c r="L1310" s="69"/>
      <c r="M1310" s="69"/>
      <c r="N1310" s="69"/>
      <c r="O1310" s="23"/>
      <c r="P1310" s="23"/>
      <c r="Q1310" s="9"/>
      <c r="R1310" s="9"/>
      <c r="S1310" s="9"/>
      <c r="T1310" s="9"/>
      <c r="U1310" s="9"/>
      <c r="V1310" s="9"/>
      <c r="W1310" s="9"/>
      <c r="X1310" s="9"/>
      <c r="Y1310" s="9"/>
      <c r="Z1310" s="9"/>
      <c r="AA1310" s="9"/>
      <c r="AB1310" s="9"/>
      <c r="AC1310" s="9"/>
      <c r="AD1310" s="25"/>
      <c r="AE1310" s="25"/>
      <c r="AF1310" s="9"/>
      <c r="AG1310" s="9"/>
      <c r="AH1310" s="9"/>
      <c r="AI1310" s="9"/>
    </row>
    <row r="1311" ht="15.75" customHeight="1">
      <c r="A1311" s="9"/>
      <c r="B1311" s="9"/>
      <c r="C1311" s="9"/>
      <c r="D1311" s="9"/>
      <c r="E1311" s="67"/>
      <c r="F1311" s="68"/>
      <c r="G1311" s="68"/>
      <c r="H1311" s="69"/>
      <c r="I1311" s="69"/>
      <c r="J1311" s="69"/>
      <c r="K1311" s="69"/>
      <c r="L1311" s="69"/>
      <c r="M1311" s="71"/>
      <c r="N1311" s="69"/>
      <c r="O1311" s="23"/>
      <c r="P1311" s="23"/>
      <c r="Q1311" s="9"/>
      <c r="R1311" s="9"/>
      <c r="S1311" s="9"/>
      <c r="T1311" s="9"/>
      <c r="U1311" s="9"/>
      <c r="V1311" s="9"/>
      <c r="W1311" s="9"/>
      <c r="X1311" s="9"/>
      <c r="Y1311" s="9"/>
      <c r="Z1311" s="9"/>
      <c r="AA1311" s="9"/>
      <c r="AB1311" s="9"/>
      <c r="AC1311" s="9"/>
      <c r="AD1311" s="25"/>
      <c r="AE1311" s="25"/>
      <c r="AF1311" s="9"/>
      <c r="AG1311" s="9"/>
      <c r="AH1311" s="9"/>
      <c r="AI1311" s="9"/>
    </row>
    <row r="1312" ht="15.75" customHeight="1">
      <c r="A1312" s="9"/>
      <c r="B1312" s="9"/>
      <c r="C1312" s="9"/>
      <c r="D1312" s="9"/>
      <c r="E1312" s="67"/>
      <c r="F1312" s="68"/>
      <c r="G1312" s="68"/>
      <c r="H1312" s="69"/>
      <c r="I1312" s="69"/>
      <c r="J1312" s="69"/>
      <c r="K1312" s="69"/>
      <c r="L1312" s="69"/>
      <c r="M1312" s="70"/>
      <c r="N1312" s="69"/>
      <c r="O1312" s="23"/>
      <c r="P1312" s="23"/>
      <c r="Q1312" s="9"/>
      <c r="R1312" s="9"/>
      <c r="S1312" s="9"/>
      <c r="T1312" s="9"/>
      <c r="U1312" s="9"/>
      <c r="V1312" s="9"/>
      <c r="W1312" s="9"/>
      <c r="X1312" s="9"/>
      <c r="Y1312" s="9"/>
      <c r="Z1312" s="9"/>
      <c r="AA1312" s="9"/>
      <c r="AB1312" s="9"/>
      <c r="AC1312" s="9"/>
      <c r="AD1312" s="25"/>
      <c r="AE1312" s="25"/>
      <c r="AF1312" s="9"/>
      <c r="AG1312" s="9"/>
      <c r="AH1312" s="9"/>
      <c r="AI1312" s="9"/>
    </row>
    <row r="1313" ht="15.75" customHeight="1">
      <c r="A1313" s="9"/>
      <c r="B1313" s="9"/>
      <c r="C1313" s="9"/>
      <c r="D1313" s="9"/>
      <c r="E1313" s="67"/>
      <c r="F1313" s="68"/>
      <c r="G1313" s="68"/>
      <c r="H1313" s="69"/>
      <c r="I1313" s="69"/>
      <c r="J1313" s="69"/>
      <c r="K1313" s="69"/>
      <c r="L1313" s="69"/>
      <c r="M1313" s="69"/>
      <c r="N1313" s="69"/>
      <c r="O1313" s="23"/>
      <c r="P1313" s="23"/>
      <c r="Q1313" s="9"/>
      <c r="R1313" s="9"/>
      <c r="S1313" s="9"/>
      <c r="T1313" s="9"/>
      <c r="U1313" s="9"/>
      <c r="V1313" s="9"/>
      <c r="W1313" s="9"/>
      <c r="X1313" s="9"/>
      <c r="Y1313" s="9"/>
      <c r="Z1313" s="9"/>
      <c r="AA1313" s="9"/>
      <c r="AB1313" s="9"/>
      <c r="AC1313" s="9"/>
      <c r="AD1313" s="25"/>
      <c r="AE1313" s="25"/>
      <c r="AF1313" s="9"/>
      <c r="AG1313" s="9"/>
      <c r="AH1313" s="9"/>
      <c r="AI1313" s="9"/>
    </row>
    <row r="1314" ht="15.75" customHeight="1">
      <c r="A1314" s="9"/>
      <c r="B1314" s="9"/>
      <c r="C1314" s="9"/>
      <c r="D1314" s="9"/>
      <c r="E1314" s="67"/>
      <c r="F1314" s="68"/>
      <c r="G1314" s="68"/>
      <c r="H1314" s="69"/>
      <c r="I1314" s="69"/>
      <c r="J1314" s="69"/>
      <c r="K1314" s="69"/>
      <c r="L1314" s="69"/>
      <c r="M1314" s="70"/>
      <c r="N1314" s="69"/>
      <c r="O1314" s="23"/>
      <c r="P1314" s="23"/>
      <c r="Q1314" s="9"/>
      <c r="R1314" s="9"/>
      <c r="S1314" s="9"/>
      <c r="T1314" s="9"/>
      <c r="U1314" s="9"/>
      <c r="V1314" s="9"/>
      <c r="W1314" s="9"/>
      <c r="X1314" s="9"/>
      <c r="Y1314" s="9"/>
      <c r="Z1314" s="9"/>
      <c r="AA1314" s="9"/>
      <c r="AB1314" s="9"/>
      <c r="AC1314" s="9"/>
      <c r="AD1314" s="25"/>
      <c r="AE1314" s="25"/>
      <c r="AF1314" s="9"/>
      <c r="AG1314" s="9"/>
      <c r="AH1314" s="9"/>
      <c r="AI1314" s="9"/>
    </row>
    <row r="1315" ht="15.75" customHeight="1">
      <c r="A1315" s="9"/>
      <c r="B1315" s="9"/>
      <c r="C1315" s="9"/>
      <c r="D1315" s="9"/>
      <c r="E1315" s="67"/>
      <c r="F1315" s="68"/>
      <c r="G1315" s="68"/>
      <c r="H1315" s="69"/>
      <c r="I1315" s="69"/>
      <c r="J1315" s="69"/>
      <c r="K1315" s="69"/>
      <c r="L1315" s="69"/>
      <c r="M1315" s="69"/>
      <c r="N1315" s="69"/>
      <c r="O1315" s="23"/>
      <c r="P1315" s="23"/>
      <c r="Q1315" s="9"/>
      <c r="R1315" s="9"/>
      <c r="S1315" s="9"/>
      <c r="T1315" s="9"/>
      <c r="U1315" s="9"/>
      <c r="V1315" s="9"/>
      <c r="W1315" s="9"/>
      <c r="X1315" s="9"/>
      <c r="Y1315" s="9"/>
      <c r="Z1315" s="9"/>
      <c r="AA1315" s="9"/>
      <c r="AB1315" s="9"/>
      <c r="AC1315" s="9"/>
      <c r="AD1315" s="25"/>
      <c r="AE1315" s="25"/>
      <c r="AF1315" s="9"/>
      <c r="AG1315" s="9"/>
      <c r="AH1315" s="9"/>
      <c r="AI1315" s="9"/>
    </row>
    <row r="1316" ht="15.75" customHeight="1">
      <c r="A1316" s="9"/>
      <c r="B1316" s="9"/>
      <c r="C1316" s="9"/>
      <c r="D1316" s="9"/>
      <c r="E1316" s="67"/>
      <c r="F1316" s="68"/>
      <c r="G1316" s="68"/>
      <c r="H1316" s="69"/>
      <c r="I1316" s="69"/>
      <c r="J1316" s="69"/>
      <c r="K1316" s="69"/>
      <c r="L1316" s="69"/>
      <c r="M1316" s="69"/>
      <c r="N1316" s="69"/>
      <c r="O1316" s="23"/>
      <c r="P1316" s="23"/>
      <c r="Q1316" s="9"/>
      <c r="R1316" s="9"/>
      <c r="S1316" s="9"/>
      <c r="T1316" s="9"/>
      <c r="U1316" s="9"/>
      <c r="V1316" s="9"/>
      <c r="W1316" s="9"/>
      <c r="X1316" s="9"/>
      <c r="Y1316" s="9"/>
      <c r="Z1316" s="9"/>
      <c r="AA1316" s="9"/>
      <c r="AB1316" s="9"/>
      <c r="AC1316" s="9"/>
      <c r="AD1316" s="25"/>
      <c r="AE1316" s="25"/>
      <c r="AF1316" s="9"/>
      <c r="AG1316" s="9"/>
      <c r="AH1316" s="9"/>
      <c r="AI1316" s="9"/>
    </row>
    <row r="1317" ht="15.75" customHeight="1">
      <c r="A1317" s="9"/>
      <c r="B1317" s="9"/>
      <c r="C1317" s="9"/>
      <c r="D1317" s="9"/>
      <c r="E1317" s="67"/>
      <c r="F1317" s="68"/>
      <c r="G1317" s="68"/>
      <c r="H1317" s="69"/>
      <c r="I1317" s="69"/>
      <c r="J1317" s="69"/>
      <c r="K1317" s="69"/>
      <c r="L1317" s="69"/>
      <c r="M1317" s="69"/>
      <c r="N1317" s="69"/>
      <c r="O1317" s="23"/>
      <c r="P1317" s="23"/>
      <c r="Q1317" s="9"/>
      <c r="R1317" s="9"/>
      <c r="S1317" s="9"/>
      <c r="T1317" s="9"/>
      <c r="U1317" s="9"/>
      <c r="V1317" s="9"/>
      <c r="W1317" s="9"/>
      <c r="X1317" s="9"/>
      <c r="Y1317" s="9"/>
      <c r="Z1317" s="9"/>
      <c r="AA1317" s="9"/>
      <c r="AB1317" s="9"/>
      <c r="AC1317" s="9"/>
      <c r="AD1317" s="25"/>
      <c r="AE1317" s="25"/>
      <c r="AF1317" s="9"/>
      <c r="AG1317" s="9"/>
      <c r="AH1317" s="9"/>
      <c r="AI1317" s="9"/>
    </row>
    <row r="1318" ht="15.75" customHeight="1">
      <c r="A1318" s="9"/>
      <c r="B1318" s="9"/>
      <c r="C1318" s="9"/>
      <c r="D1318" s="9"/>
      <c r="E1318" s="67"/>
      <c r="F1318" s="68"/>
      <c r="G1318" s="68"/>
      <c r="H1318" s="69"/>
      <c r="I1318" s="69"/>
      <c r="J1318" s="69"/>
      <c r="K1318" s="69"/>
      <c r="L1318" s="69"/>
      <c r="M1318" s="69"/>
      <c r="N1318" s="69"/>
      <c r="O1318" s="23"/>
      <c r="P1318" s="23"/>
      <c r="Q1318" s="9"/>
      <c r="R1318" s="9"/>
      <c r="S1318" s="9"/>
      <c r="T1318" s="9"/>
      <c r="U1318" s="9"/>
      <c r="V1318" s="9"/>
      <c r="W1318" s="9"/>
      <c r="X1318" s="9"/>
      <c r="Y1318" s="9"/>
      <c r="Z1318" s="9"/>
      <c r="AA1318" s="9"/>
      <c r="AB1318" s="9"/>
      <c r="AC1318" s="9"/>
      <c r="AD1318" s="25"/>
      <c r="AE1318" s="25"/>
      <c r="AF1318" s="9"/>
      <c r="AG1318" s="9"/>
      <c r="AH1318" s="9"/>
      <c r="AI1318" s="9"/>
    </row>
    <row r="1319" ht="15.75" customHeight="1">
      <c r="A1319" s="9"/>
      <c r="B1319" s="9"/>
      <c r="C1319" s="9"/>
      <c r="D1319" s="9"/>
      <c r="E1319" s="67"/>
      <c r="F1319" s="68"/>
      <c r="G1319" s="68"/>
      <c r="H1319" s="69"/>
      <c r="I1319" s="69"/>
      <c r="J1319" s="69"/>
      <c r="K1319" s="69"/>
      <c r="L1319" s="69"/>
      <c r="M1319" s="69"/>
      <c r="N1319" s="69"/>
      <c r="O1319" s="23"/>
      <c r="P1319" s="23"/>
      <c r="Q1319" s="9"/>
      <c r="R1319" s="9"/>
      <c r="S1319" s="9"/>
      <c r="T1319" s="9"/>
      <c r="U1319" s="9"/>
      <c r="V1319" s="9"/>
      <c r="W1319" s="9"/>
      <c r="X1319" s="9"/>
      <c r="Y1319" s="9"/>
      <c r="Z1319" s="9"/>
      <c r="AA1319" s="9"/>
      <c r="AB1319" s="9"/>
      <c r="AC1319" s="9"/>
      <c r="AD1319" s="25"/>
      <c r="AE1319" s="25"/>
      <c r="AF1319" s="9"/>
      <c r="AG1319" s="9"/>
      <c r="AH1319" s="9"/>
      <c r="AI1319" s="9"/>
    </row>
    <row r="1320" ht="15.75" customHeight="1">
      <c r="A1320" s="9"/>
      <c r="B1320" s="9"/>
      <c r="C1320" s="9"/>
      <c r="D1320" s="9"/>
      <c r="E1320" s="67"/>
      <c r="F1320" s="68"/>
      <c r="G1320" s="68"/>
      <c r="H1320" s="69"/>
      <c r="I1320" s="69"/>
      <c r="J1320" s="69"/>
      <c r="K1320" s="69"/>
      <c r="L1320" s="69"/>
      <c r="M1320" s="70"/>
      <c r="N1320" s="69"/>
      <c r="O1320" s="23"/>
      <c r="P1320" s="23"/>
      <c r="Q1320" s="9"/>
      <c r="R1320" s="9"/>
      <c r="S1320" s="9"/>
      <c r="T1320" s="9"/>
      <c r="U1320" s="9"/>
      <c r="V1320" s="9"/>
      <c r="W1320" s="9"/>
      <c r="X1320" s="9"/>
      <c r="Y1320" s="9"/>
      <c r="Z1320" s="9"/>
      <c r="AA1320" s="9"/>
      <c r="AB1320" s="9"/>
      <c r="AC1320" s="9"/>
      <c r="AD1320" s="25"/>
      <c r="AE1320" s="25"/>
      <c r="AF1320" s="9"/>
      <c r="AG1320" s="9"/>
      <c r="AH1320" s="9"/>
      <c r="AI1320" s="9"/>
    </row>
    <row r="1321" ht="15.75" customHeight="1">
      <c r="A1321" s="9"/>
      <c r="B1321" s="9"/>
      <c r="C1321" s="9"/>
      <c r="D1321" s="9"/>
      <c r="E1321" s="67"/>
      <c r="F1321" s="68"/>
      <c r="G1321" s="68"/>
      <c r="H1321" s="69"/>
      <c r="I1321" s="69"/>
      <c r="J1321" s="69"/>
      <c r="K1321" s="69"/>
      <c r="L1321" s="69"/>
      <c r="M1321" s="69"/>
      <c r="N1321" s="69"/>
      <c r="O1321" s="23"/>
      <c r="P1321" s="23"/>
      <c r="Q1321" s="9"/>
      <c r="R1321" s="9"/>
      <c r="S1321" s="9"/>
      <c r="T1321" s="9"/>
      <c r="U1321" s="9"/>
      <c r="V1321" s="9"/>
      <c r="W1321" s="9"/>
      <c r="X1321" s="9"/>
      <c r="Y1321" s="9"/>
      <c r="Z1321" s="9"/>
      <c r="AA1321" s="9"/>
      <c r="AB1321" s="9"/>
      <c r="AC1321" s="9"/>
      <c r="AD1321" s="25"/>
      <c r="AE1321" s="25"/>
      <c r="AF1321" s="9"/>
      <c r="AG1321" s="9"/>
      <c r="AH1321" s="9"/>
      <c r="AI1321" s="9"/>
    </row>
    <row r="1322" ht="15.75" customHeight="1">
      <c r="A1322" s="9"/>
      <c r="B1322" s="9"/>
      <c r="C1322" s="9"/>
      <c r="D1322" s="9"/>
      <c r="E1322" s="67"/>
      <c r="F1322" s="68"/>
      <c r="G1322" s="68"/>
      <c r="H1322" s="69"/>
      <c r="I1322" s="69"/>
      <c r="J1322" s="69"/>
      <c r="K1322" s="69"/>
      <c r="L1322" s="69"/>
      <c r="M1322" s="70"/>
      <c r="N1322" s="69"/>
      <c r="O1322" s="23"/>
      <c r="P1322" s="23"/>
      <c r="Q1322" s="9"/>
      <c r="R1322" s="9"/>
      <c r="S1322" s="9"/>
      <c r="T1322" s="9"/>
      <c r="U1322" s="9"/>
      <c r="V1322" s="9"/>
      <c r="W1322" s="9"/>
      <c r="X1322" s="9"/>
      <c r="Y1322" s="9"/>
      <c r="Z1322" s="9"/>
      <c r="AA1322" s="9"/>
      <c r="AB1322" s="9"/>
      <c r="AC1322" s="9"/>
      <c r="AD1322" s="25"/>
      <c r="AE1322" s="25"/>
      <c r="AF1322" s="9"/>
      <c r="AG1322" s="9"/>
      <c r="AH1322" s="9"/>
      <c r="AI1322" s="9"/>
    </row>
    <row r="1323" ht="15.75" customHeight="1">
      <c r="A1323" s="9"/>
      <c r="B1323" s="9"/>
      <c r="C1323" s="9"/>
      <c r="D1323" s="9"/>
      <c r="E1323" s="67"/>
      <c r="F1323" s="68"/>
      <c r="G1323" s="68"/>
      <c r="H1323" s="69"/>
      <c r="I1323" s="69"/>
      <c r="J1323" s="69"/>
      <c r="K1323" s="69"/>
      <c r="L1323" s="69"/>
      <c r="M1323" s="70"/>
      <c r="N1323" s="69"/>
      <c r="O1323" s="23"/>
      <c r="P1323" s="23"/>
      <c r="Q1323" s="9"/>
      <c r="R1323" s="9"/>
      <c r="S1323" s="9"/>
      <c r="T1323" s="9"/>
      <c r="U1323" s="9"/>
      <c r="V1323" s="9"/>
      <c r="W1323" s="9"/>
      <c r="X1323" s="9"/>
      <c r="Y1323" s="9"/>
      <c r="Z1323" s="9"/>
      <c r="AA1323" s="9"/>
      <c r="AB1323" s="9"/>
      <c r="AC1323" s="9"/>
      <c r="AD1323" s="25"/>
      <c r="AE1323" s="25"/>
      <c r="AF1323" s="9"/>
      <c r="AG1323" s="9"/>
      <c r="AH1323" s="9"/>
      <c r="AI1323" s="9"/>
    </row>
    <row r="1324" ht="15.75" customHeight="1">
      <c r="A1324" s="9"/>
      <c r="B1324" s="9"/>
      <c r="C1324" s="9"/>
      <c r="D1324" s="9"/>
      <c r="E1324" s="67"/>
      <c r="F1324" s="68"/>
      <c r="G1324" s="68"/>
      <c r="H1324" s="69"/>
      <c r="I1324" s="69"/>
      <c r="J1324" s="69"/>
      <c r="K1324" s="69"/>
      <c r="L1324" s="69"/>
      <c r="M1324" s="69"/>
      <c r="N1324" s="69"/>
      <c r="O1324" s="23"/>
      <c r="P1324" s="23"/>
      <c r="Q1324" s="9"/>
      <c r="R1324" s="9"/>
      <c r="S1324" s="9"/>
      <c r="T1324" s="9"/>
      <c r="U1324" s="9"/>
      <c r="V1324" s="9"/>
      <c r="W1324" s="9"/>
      <c r="X1324" s="9"/>
      <c r="Y1324" s="9"/>
      <c r="Z1324" s="9"/>
      <c r="AA1324" s="9"/>
      <c r="AB1324" s="9"/>
      <c r="AC1324" s="9"/>
      <c r="AD1324" s="25"/>
      <c r="AE1324" s="25"/>
      <c r="AF1324" s="9"/>
      <c r="AG1324" s="9"/>
      <c r="AH1324" s="9"/>
      <c r="AI1324" s="9"/>
    </row>
    <row r="1325" ht="15.75" customHeight="1">
      <c r="A1325" s="9"/>
      <c r="B1325" s="9"/>
      <c r="C1325" s="9"/>
      <c r="D1325" s="9"/>
      <c r="E1325" s="67"/>
      <c r="F1325" s="68"/>
      <c r="G1325" s="68"/>
      <c r="H1325" s="69"/>
      <c r="I1325" s="69"/>
      <c r="J1325" s="69"/>
      <c r="K1325" s="69"/>
      <c r="L1325" s="69"/>
      <c r="M1325" s="69"/>
      <c r="N1325" s="69"/>
      <c r="O1325" s="23"/>
      <c r="P1325" s="23"/>
      <c r="Q1325" s="9"/>
      <c r="R1325" s="9"/>
      <c r="S1325" s="9"/>
      <c r="T1325" s="9"/>
      <c r="U1325" s="9"/>
      <c r="V1325" s="9"/>
      <c r="W1325" s="9"/>
      <c r="X1325" s="9"/>
      <c r="Y1325" s="9"/>
      <c r="Z1325" s="9"/>
      <c r="AA1325" s="9"/>
      <c r="AB1325" s="9"/>
      <c r="AC1325" s="9"/>
      <c r="AD1325" s="25"/>
      <c r="AE1325" s="25"/>
      <c r="AF1325" s="9"/>
      <c r="AG1325" s="9"/>
      <c r="AH1325" s="9"/>
      <c r="AI1325" s="9"/>
    </row>
    <row r="1326" ht="15.75" customHeight="1">
      <c r="A1326" s="9"/>
      <c r="B1326" s="9"/>
      <c r="C1326" s="9"/>
      <c r="D1326" s="9"/>
      <c r="E1326" s="67"/>
      <c r="F1326" s="68"/>
      <c r="G1326" s="68"/>
      <c r="H1326" s="69"/>
      <c r="I1326" s="69"/>
      <c r="J1326" s="69"/>
      <c r="K1326" s="69"/>
      <c r="L1326" s="69"/>
      <c r="M1326" s="70"/>
      <c r="N1326" s="69"/>
      <c r="O1326" s="23"/>
      <c r="P1326" s="23"/>
      <c r="Q1326" s="9"/>
      <c r="R1326" s="9"/>
      <c r="S1326" s="9"/>
      <c r="T1326" s="9"/>
      <c r="U1326" s="9"/>
      <c r="V1326" s="9"/>
      <c r="W1326" s="9"/>
      <c r="X1326" s="9"/>
      <c r="Y1326" s="9"/>
      <c r="Z1326" s="9"/>
      <c r="AA1326" s="9"/>
      <c r="AB1326" s="9"/>
      <c r="AC1326" s="9"/>
      <c r="AD1326" s="25"/>
      <c r="AE1326" s="25"/>
      <c r="AF1326" s="9"/>
      <c r="AG1326" s="9"/>
      <c r="AH1326" s="9"/>
      <c r="AI1326" s="9"/>
    </row>
    <row r="1327" ht="15.75" customHeight="1">
      <c r="A1327" s="9"/>
      <c r="B1327" s="9"/>
      <c r="C1327" s="9"/>
      <c r="D1327" s="9"/>
      <c r="E1327" s="67"/>
      <c r="F1327" s="68"/>
      <c r="G1327" s="68"/>
      <c r="H1327" s="69"/>
      <c r="I1327" s="69"/>
      <c r="J1327" s="69"/>
      <c r="K1327" s="69"/>
      <c r="L1327" s="69"/>
      <c r="M1327" s="69"/>
      <c r="N1327" s="69"/>
      <c r="O1327" s="23"/>
      <c r="P1327" s="23"/>
      <c r="Q1327" s="9"/>
      <c r="R1327" s="9"/>
      <c r="S1327" s="9"/>
      <c r="T1327" s="9"/>
      <c r="U1327" s="9"/>
      <c r="V1327" s="9"/>
      <c r="W1327" s="9"/>
      <c r="X1327" s="9"/>
      <c r="Y1327" s="9"/>
      <c r="Z1327" s="9"/>
      <c r="AA1327" s="9"/>
      <c r="AB1327" s="9"/>
      <c r="AC1327" s="9"/>
      <c r="AD1327" s="25"/>
      <c r="AE1327" s="25"/>
      <c r="AF1327" s="9"/>
      <c r="AG1327" s="9"/>
      <c r="AH1327" s="9"/>
      <c r="AI1327" s="9"/>
    </row>
    <row r="1328" ht="15.75" customHeight="1">
      <c r="A1328" s="9"/>
      <c r="B1328" s="9"/>
      <c r="C1328" s="9"/>
      <c r="D1328" s="9"/>
      <c r="E1328" s="67"/>
      <c r="F1328" s="68"/>
      <c r="G1328" s="68"/>
      <c r="H1328" s="69"/>
      <c r="I1328" s="69"/>
      <c r="J1328" s="69"/>
      <c r="K1328" s="69"/>
      <c r="L1328" s="69"/>
      <c r="M1328" s="70"/>
      <c r="N1328" s="69"/>
      <c r="O1328" s="23"/>
      <c r="P1328" s="23"/>
      <c r="Q1328" s="9"/>
      <c r="R1328" s="9"/>
      <c r="S1328" s="9"/>
      <c r="T1328" s="9"/>
      <c r="U1328" s="9"/>
      <c r="V1328" s="9"/>
      <c r="W1328" s="9"/>
      <c r="X1328" s="9"/>
      <c r="Y1328" s="9"/>
      <c r="Z1328" s="9"/>
      <c r="AA1328" s="9"/>
      <c r="AB1328" s="9"/>
      <c r="AC1328" s="9"/>
      <c r="AD1328" s="25"/>
      <c r="AE1328" s="25"/>
      <c r="AF1328" s="9"/>
      <c r="AG1328" s="9"/>
      <c r="AH1328" s="9"/>
      <c r="AI1328" s="9"/>
    </row>
    <row r="1329" ht="15.75" customHeight="1">
      <c r="A1329" s="9"/>
      <c r="B1329" s="9"/>
      <c r="C1329" s="9"/>
      <c r="D1329" s="9"/>
      <c r="E1329" s="67"/>
      <c r="F1329" s="68"/>
      <c r="G1329" s="68"/>
      <c r="H1329" s="69"/>
      <c r="I1329" s="69"/>
      <c r="J1329" s="69"/>
      <c r="K1329" s="69"/>
      <c r="L1329" s="69"/>
      <c r="M1329" s="70"/>
      <c r="N1329" s="69"/>
      <c r="O1329" s="23"/>
      <c r="P1329" s="23"/>
      <c r="Q1329" s="9"/>
      <c r="R1329" s="9"/>
      <c r="S1329" s="9"/>
      <c r="T1329" s="9"/>
      <c r="U1329" s="9"/>
      <c r="V1329" s="9"/>
      <c r="W1329" s="9"/>
      <c r="X1329" s="9"/>
      <c r="Y1329" s="9"/>
      <c r="Z1329" s="9"/>
      <c r="AA1329" s="9"/>
      <c r="AB1329" s="9"/>
      <c r="AC1329" s="9"/>
      <c r="AD1329" s="25"/>
      <c r="AE1329" s="25"/>
      <c r="AF1329" s="9"/>
      <c r="AG1329" s="9"/>
      <c r="AH1329" s="9"/>
      <c r="AI1329" s="9"/>
    </row>
    <row r="1330" ht="15.75" customHeight="1">
      <c r="A1330" s="9"/>
      <c r="B1330" s="9"/>
      <c r="C1330" s="9"/>
      <c r="D1330" s="9"/>
      <c r="E1330" s="67"/>
      <c r="F1330" s="68"/>
      <c r="G1330" s="68"/>
      <c r="H1330" s="69"/>
      <c r="I1330" s="69"/>
      <c r="J1330" s="69"/>
      <c r="K1330" s="69"/>
      <c r="L1330" s="69"/>
      <c r="M1330" s="69"/>
      <c r="N1330" s="69"/>
      <c r="O1330" s="23"/>
      <c r="P1330" s="23"/>
      <c r="Q1330" s="9"/>
      <c r="R1330" s="9"/>
      <c r="S1330" s="9"/>
      <c r="T1330" s="9"/>
      <c r="U1330" s="9"/>
      <c r="V1330" s="9"/>
      <c r="W1330" s="9"/>
      <c r="X1330" s="9"/>
      <c r="Y1330" s="9"/>
      <c r="Z1330" s="9"/>
      <c r="AA1330" s="9"/>
      <c r="AB1330" s="9"/>
      <c r="AC1330" s="9"/>
      <c r="AD1330" s="25"/>
      <c r="AE1330" s="25"/>
      <c r="AF1330" s="9"/>
      <c r="AG1330" s="9"/>
      <c r="AH1330" s="9"/>
      <c r="AI1330" s="9"/>
    </row>
    <row r="1331" ht="15.75" customHeight="1">
      <c r="A1331" s="9"/>
      <c r="B1331" s="9"/>
      <c r="C1331" s="9"/>
      <c r="D1331" s="9"/>
      <c r="E1331" s="67"/>
      <c r="F1331" s="68"/>
      <c r="G1331" s="68"/>
      <c r="H1331" s="69"/>
      <c r="I1331" s="69"/>
      <c r="J1331" s="69"/>
      <c r="K1331" s="69"/>
      <c r="L1331" s="69"/>
      <c r="M1331" s="70"/>
      <c r="N1331" s="69"/>
      <c r="O1331" s="23"/>
      <c r="P1331" s="23"/>
      <c r="Q1331" s="9"/>
      <c r="R1331" s="9"/>
      <c r="S1331" s="9"/>
      <c r="T1331" s="9"/>
      <c r="U1331" s="9"/>
      <c r="V1331" s="9"/>
      <c r="W1331" s="9"/>
      <c r="X1331" s="9"/>
      <c r="Y1331" s="9"/>
      <c r="Z1331" s="9"/>
      <c r="AA1331" s="9"/>
      <c r="AB1331" s="9"/>
      <c r="AC1331" s="9"/>
      <c r="AD1331" s="25"/>
      <c r="AE1331" s="25"/>
      <c r="AF1331" s="9"/>
      <c r="AG1331" s="9"/>
      <c r="AH1331" s="9"/>
      <c r="AI1331" s="9"/>
    </row>
    <row r="1332" ht="15.75" customHeight="1">
      <c r="A1332" s="9"/>
      <c r="B1332" s="9"/>
      <c r="C1332" s="9"/>
      <c r="D1332" s="9"/>
      <c r="E1332" s="67"/>
      <c r="F1332" s="68"/>
      <c r="G1332" s="68"/>
      <c r="H1332" s="69"/>
      <c r="I1332" s="69"/>
      <c r="J1332" s="69"/>
      <c r="K1332" s="69"/>
      <c r="L1332" s="69"/>
      <c r="M1332" s="70"/>
      <c r="N1332" s="69"/>
      <c r="O1332" s="23"/>
      <c r="P1332" s="23"/>
      <c r="Q1332" s="9"/>
      <c r="R1332" s="9"/>
      <c r="S1332" s="9"/>
      <c r="T1332" s="9"/>
      <c r="U1332" s="9"/>
      <c r="V1332" s="9"/>
      <c r="W1332" s="9"/>
      <c r="X1332" s="9"/>
      <c r="Y1332" s="9"/>
      <c r="Z1332" s="9"/>
      <c r="AA1332" s="9"/>
      <c r="AB1332" s="9"/>
      <c r="AC1332" s="9"/>
      <c r="AD1332" s="25"/>
      <c r="AE1332" s="25"/>
      <c r="AF1332" s="9"/>
      <c r="AG1332" s="9"/>
      <c r="AH1332" s="9"/>
      <c r="AI1332" s="9"/>
    </row>
    <row r="1333" ht="15.75" customHeight="1">
      <c r="A1333" s="9"/>
      <c r="B1333" s="9"/>
      <c r="C1333" s="9"/>
      <c r="D1333" s="9"/>
      <c r="E1333" s="67"/>
      <c r="F1333" s="68"/>
      <c r="G1333" s="68"/>
      <c r="H1333" s="69"/>
      <c r="I1333" s="69"/>
      <c r="J1333" s="69"/>
      <c r="K1333" s="69"/>
      <c r="L1333" s="69"/>
      <c r="M1333" s="69"/>
      <c r="N1333" s="69"/>
      <c r="O1333" s="23"/>
      <c r="P1333" s="23"/>
      <c r="Q1333" s="9"/>
      <c r="R1333" s="9"/>
      <c r="S1333" s="9"/>
      <c r="T1333" s="9"/>
      <c r="U1333" s="9"/>
      <c r="V1333" s="9"/>
      <c r="W1333" s="9"/>
      <c r="X1333" s="9"/>
      <c r="Y1333" s="9"/>
      <c r="Z1333" s="9"/>
      <c r="AA1333" s="9"/>
      <c r="AB1333" s="9"/>
      <c r="AC1333" s="9"/>
      <c r="AD1333" s="25"/>
      <c r="AE1333" s="25"/>
      <c r="AF1333" s="9"/>
      <c r="AG1333" s="9"/>
      <c r="AH1333" s="9"/>
      <c r="AI1333" s="9"/>
    </row>
    <row r="1334" ht="15.75" customHeight="1">
      <c r="A1334" s="9"/>
      <c r="B1334" s="9"/>
      <c r="C1334" s="9"/>
      <c r="D1334" s="9"/>
      <c r="E1334" s="67"/>
      <c r="F1334" s="68"/>
      <c r="G1334" s="68"/>
      <c r="H1334" s="69"/>
      <c r="I1334" s="69"/>
      <c r="J1334" s="69"/>
      <c r="K1334" s="69"/>
      <c r="L1334" s="69"/>
      <c r="M1334" s="70"/>
      <c r="N1334" s="69"/>
      <c r="O1334" s="23"/>
      <c r="P1334" s="23"/>
      <c r="Q1334" s="9"/>
      <c r="R1334" s="9"/>
      <c r="S1334" s="9"/>
      <c r="T1334" s="9"/>
      <c r="U1334" s="9"/>
      <c r="V1334" s="9"/>
      <c r="W1334" s="9"/>
      <c r="X1334" s="9"/>
      <c r="Y1334" s="9"/>
      <c r="Z1334" s="9"/>
      <c r="AA1334" s="9"/>
      <c r="AB1334" s="9"/>
      <c r="AC1334" s="9"/>
      <c r="AD1334" s="25"/>
      <c r="AE1334" s="25"/>
      <c r="AF1334" s="9"/>
      <c r="AG1334" s="9"/>
      <c r="AH1334" s="9"/>
      <c r="AI1334" s="9"/>
    </row>
    <row r="1335" ht="15.75" customHeight="1">
      <c r="A1335" s="9"/>
      <c r="B1335" s="9"/>
      <c r="C1335" s="9"/>
      <c r="D1335" s="9"/>
      <c r="E1335" s="67"/>
      <c r="F1335" s="68"/>
      <c r="G1335" s="68"/>
      <c r="H1335" s="69"/>
      <c r="I1335" s="69"/>
      <c r="J1335" s="69"/>
      <c r="K1335" s="69"/>
      <c r="L1335" s="69"/>
      <c r="M1335" s="70"/>
      <c r="N1335" s="69"/>
      <c r="O1335" s="23"/>
      <c r="P1335" s="23"/>
      <c r="Q1335" s="9"/>
      <c r="R1335" s="9"/>
      <c r="S1335" s="9"/>
      <c r="T1335" s="9"/>
      <c r="U1335" s="9"/>
      <c r="V1335" s="9"/>
      <c r="W1335" s="9"/>
      <c r="X1335" s="9"/>
      <c r="Y1335" s="9"/>
      <c r="Z1335" s="9"/>
      <c r="AA1335" s="9"/>
      <c r="AB1335" s="9"/>
      <c r="AC1335" s="9"/>
      <c r="AD1335" s="25"/>
      <c r="AE1335" s="25"/>
      <c r="AF1335" s="9"/>
      <c r="AG1335" s="9"/>
      <c r="AH1335" s="9"/>
      <c r="AI1335" s="9"/>
    </row>
    <row r="1336" ht="15.75" customHeight="1">
      <c r="A1336" s="9"/>
      <c r="B1336" s="9"/>
      <c r="C1336" s="9"/>
      <c r="D1336" s="9"/>
      <c r="E1336" s="67"/>
      <c r="F1336" s="68"/>
      <c r="G1336" s="68"/>
      <c r="H1336" s="69"/>
      <c r="I1336" s="69"/>
      <c r="J1336" s="69"/>
      <c r="K1336" s="69"/>
      <c r="L1336" s="69"/>
      <c r="M1336" s="70"/>
      <c r="N1336" s="69"/>
      <c r="O1336" s="23"/>
      <c r="P1336" s="23"/>
      <c r="Q1336" s="9"/>
      <c r="R1336" s="9"/>
      <c r="S1336" s="9"/>
      <c r="T1336" s="9"/>
      <c r="U1336" s="9"/>
      <c r="V1336" s="9"/>
      <c r="W1336" s="9"/>
      <c r="X1336" s="9"/>
      <c r="Y1336" s="9"/>
      <c r="Z1336" s="9"/>
      <c r="AA1336" s="9"/>
      <c r="AB1336" s="9"/>
      <c r="AC1336" s="9"/>
      <c r="AD1336" s="25"/>
      <c r="AE1336" s="25"/>
      <c r="AF1336" s="9"/>
      <c r="AG1336" s="9"/>
      <c r="AH1336" s="9"/>
      <c r="AI1336" s="9"/>
    </row>
    <row r="1337" ht="15.75" customHeight="1">
      <c r="A1337" s="9"/>
      <c r="B1337" s="9"/>
      <c r="C1337" s="9"/>
      <c r="D1337" s="9"/>
      <c r="E1337" s="67"/>
      <c r="F1337" s="68"/>
      <c r="G1337" s="68"/>
      <c r="H1337" s="69"/>
      <c r="I1337" s="69"/>
      <c r="J1337" s="69"/>
      <c r="K1337" s="69"/>
      <c r="L1337" s="69"/>
      <c r="M1337" s="70"/>
      <c r="N1337" s="69"/>
      <c r="O1337" s="23"/>
      <c r="P1337" s="23"/>
      <c r="Q1337" s="9"/>
      <c r="R1337" s="9"/>
      <c r="S1337" s="9"/>
      <c r="T1337" s="9"/>
      <c r="U1337" s="9"/>
      <c r="V1337" s="9"/>
      <c r="W1337" s="9"/>
      <c r="X1337" s="9"/>
      <c r="Y1337" s="9"/>
      <c r="Z1337" s="9"/>
      <c r="AA1337" s="9"/>
      <c r="AB1337" s="9"/>
      <c r="AC1337" s="9"/>
      <c r="AD1337" s="25"/>
      <c r="AE1337" s="25"/>
      <c r="AF1337" s="9"/>
      <c r="AG1337" s="9"/>
      <c r="AH1337" s="9"/>
      <c r="AI1337" s="9"/>
    </row>
    <row r="1338" ht="15.75" customHeight="1">
      <c r="A1338" s="9"/>
      <c r="B1338" s="9"/>
      <c r="C1338" s="9"/>
      <c r="D1338" s="9"/>
      <c r="E1338" s="67"/>
      <c r="F1338" s="68"/>
      <c r="G1338" s="68"/>
      <c r="H1338" s="69"/>
      <c r="I1338" s="69"/>
      <c r="J1338" s="69"/>
      <c r="K1338" s="69"/>
      <c r="L1338" s="69"/>
      <c r="M1338" s="70"/>
      <c r="N1338" s="69"/>
      <c r="O1338" s="23"/>
      <c r="P1338" s="23"/>
      <c r="Q1338" s="9"/>
      <c r="R1338" s="9"/>
      <c r="S1338" s="9"/>
      <c r="T1338" s="9"/>
      <c r="U1338" s="9"/>
      <c r="V1338" s="9"/>
      <c r="W1338" s="9"/>
      <c r="X1338" s="9"/>
      <c r="Y1338" s="9"/>
      <c r="Z1338" s="9"/>
      <c r="AA1338" s="9"/>
      <c r="AB1338" s="9"/>
      <c r="AC1338" s="9"/>
      <c r="AD1338" s="25"/>
      <c r="AE1338" s="25"/>
      <c r="AF1338" s="9"/>
      <c r="AG1338" s="9"/>
      <c r="AH1338" s="9"/>
      <c r="AI1338" s="9"/>
    </row>
    <row r="1339" ht="15.75" customHeight="1">
      <c r="A1339" s="9"/>
      <c r="B1339" s="9"/>
      <c r="C1339" s="9"/>
      <c r="D1339" s="9"/>
      <c r="E1339" s="67"/>
      <c r="F1339" s="68"/>
      <c r="G1339" s="68"/>
      <c r="H1339" s="69"/>
      <c r="I1339" s="69"/>
      <c r="J1339" s="69"/>
      <c r="K1339" s="69"/>
      <c r="L1339" s="69"/>
      <c r="M1339" s="70"/>
      <c r="N1339" s="69"/>
      <c r="O1339" s="23"/>
      <c r="P1339" s="23"/>
      <c r="Q1339" s="9"/>
      <c r="R1339" s="9"/>
      <c r="S1339" s="9"/>
      <c r="T1339" s="9"/>
      <c r="U1339" s="9"/>
      <c r="V1339" s="9"/>
      <c r="W1339" s="9"/>
      <c r="X1339" s="9"/>
      <c r="Y1339" s="9"/>
      <c r="Z1339" s="9"/>
      <c r="AA1339" s="9"/>
      <c r="AB1339" s="9"/>
      <c r="AC1339" s="9"/>
      <c r="AD1339" s="25"/>
      <c r="AE1339" s="25"/>
      <c r="AF1339" s="9"/>
      <c r="AG1339" s="9"/>
      <c r="AH1339" s="9"/>
      <c r="AI1339" s="9"/>
    </row>
    <row r="1340" ht="15.75" customHeight="1">
      <c r="A1340" s="9"/>
      <c r="B1340" s="9"/>
      <c r="C1340" s="9"/>
      <c r="D1340" s="9"/>
      <c r="E1340" s="67"/>
      <c r="F1340" s="68"/>
      <c r="G1340" s="68"/>
      <c r="H1340" s="69"/>
      <c r="I1340" s="69"/>
      <c r="J1340" s="69"/>
      <c r="K1340" s="69"/>
      <c r="L1340" s="69"/>
      <c r="M1340" s="70"/>
      <c r="N1340" s="69"/>
      <c r="O1340" s="23"/>
      <c r="P1340" s="23"/>
      <c r="Q1340" s="9"/>
      <c r="R1340" s="9"/>
      <c r="S1340" s="9"/>
      <c r="T1340" s="9"/>
      <c r="U1340" s="9"/>
      <c r="V1340" s="9"/>
      <c r="W1340" s="9"/>
      <c r="X1340" s="9"/>
      <c r="Y1340" s="9"/>
      <c r="Z1340" s="9"/>
      <c r="AA1340" s="9"/>
      <c r="AB1340" s="9"/>
      <c r="AC1340" s="9"/>
      <c r="AD1340" s="25"/>
      <c r="AE1340" s="25"/>
      <c r="AF1340" s="9"/>
      <c r="AG1340" s="9"/>
      <c r="AH1340" s="9"/>
      <c r="AI1340" s="9"/>
    </row>
    <row r="1341" ht="15.75" customHeight="1">
      <c r="A1341" s="9"/>
      <c r="B1341" s="9"/>
      <c r="C1341" s="9"/>
      <c r="D1341" s="9"/>
      <c r="E1341" s="67"/>
      <c r="F1341" s="68"/>
      <c r="G1341" s="68"/>
      <c r="H1341" s="69"/>
      <c r="I1341" s="69"/>
      <c r="J1341" s="69"/>
      <c r="K1341" s="69"/>
      <c r="L1341" s="69"/>
      <c r="M1341" s="70"/>
      <c r="N1341" s="69"/>
      <c r="O1341" s="23"/>
      <c r="P1341" s="23"/>
      <c r="Q1341" s="9"/>
      <c r="R1341" s="9"/>
      <c r="S1341" s="9"/>
      <c r="T1341" s="9"/>
      <c r="U1341" s="9"/>
      <c r="V1341" s="9"/>
      <c r="W1341" s="9"/>
      <c r="X1341" s="9"/>
      <c r="Y1341" s="9"/>
      <c r="Z1341" s="9"/>
      <c r="AA1341" s="9"/>
      <c r="AB1341" s="9"/>
      <c r="AC1341" s="9"/>
      <c r="AD1341" s="25"/>
      <c r="AE1341" s="25"/>
      <c r="AF1341" s="9"/>
      <c r="AG1341" s="9"/>
      <c r="AH1341" s="9"/>
      <c r="AI1341" s="9"/>
    </row>
    <row r="1342" ht="15.75" customHeight="1">
      <c r="A1342" s="9"/>
      <c r="B1342" s="9"/>
      <c r="C1342" s="9"/>
      <c r="D1342" s="9"/>
      <c r="E1342" s="67"/>
      <c r="F1342" s="68"/>
      <c r="G1342" s="68"/>
      <c r="H1342" s="69"/>
      <c r="I1342" s="69"/>
      <c r="J1342" s="69"/>
      <c r="K1342" s="69"/>
      <c r="L1342" s="69"/>
      <c r="M1342" s="70"/>
      <c r="N1342" s="69"/>
      <c r="O1342" s="23"/>
      <c r="P1342" s="23"/>
      <c r="Q1342" s="9"/>
      <c r="R1342" s="9"/>
      <c r="S1342" s="9"/>
      <c r="T1342" s="9"/>
      <c r="U1342" s="9"/>
      <c r="V1342" s="9"/>
      <c r="W1342" s="9"/>
      <c r="X1342" s="9"/>
      <c r="Y1342" s="9"/>
      <c r="Z1342" s="9"/>
      <c r="AA1342" s="9"/>
      <c r="AB1342" s="9"/>
      <c r="AC1342" s="9"/>
      <c r="AD1342" s="25"/>
      <c r="AE1342" s="25"/>
      <c r="AF1342" s="9"/>
      <c r="AG1342" s="9"/>
      <c r="AH1342" s="9"/>
      <c r="AI1342" s="9"/>
    </row>
    <row r="1343" ht="15.75" customHeight="1">
      <c r="A1343" s="9"/>
      <c r="B1343" s="9"/>
      <c r="C1343" s="9"/>
      <c r="D1343" s="9"/>
      <c r="E1343" s="67"/>
      <c r="F1343" s="68"/>
      <c r="G1343" s="68"/>
      <c r="H1343" s="69"/>
      <c r="I1343" s="69"/>
      <c r="J1343" s="69"/>
      <c r="K1343" s="69"/>
      <c r="L1343" s="69"/>
      <c r="M1343" s="70"/>
      <c r="N1343" s="69"/>
      <c r="O1343" s="23"/>
      <c r="P1343" s="23"/>
      <c r="Q1343" s="9"/>
      <c r="R1343" s="9"/>
      <c r="S1343" s="9"/>
      <c r="T1343" s="9"/>
      <c r="U1343" s="9"/>
      <c r="V1343" s="9"/>
      <c r="W1343" s="9"/>
      <c r="X1343" s="9"/>
      <c r="Y1343" s="9"/>
      <c r="Z1343" s="9"/>
      <c r="AA1343" s="9"/>
      <c r="AB1343" s="9"/>
      <c r="AC1343" s="9"/>
      <c r="AD1343" s="25"/>
      <c r="AE1343" s="25"/>
      <c r="AF1343" s="9"/>
      <c r="AG1343" s="9"/>
      <c r="AH1343" s="9"/>
      <c r="AI1343" s="9"/>
    </row>
    <row r="1344" ht="15.75" customHeight="1">
      <c r="A1344" s="9"/>
      <c r="B1344" s="9"/>
      <c r="C1344" s="9"/>
      <c r="D1344" s="9"/>
      <c r="E1344" s="67"/>
      <c r="F1344" s="68"/>
      <c r="G1344" s="68"/>
      <c r="H1344" s="69"/>
      <c r="I1344" s="69"/>
      <c r="J1344" s="69"/>
      <c r="K1344" s="69"/>
      <c r="L1344" s="69"/>
      <c r="M1344" s="71"/>
      <c r="N1344" s="69"/>
      <c r="O1344" s="23"/>
      <c r="P1344" s="23"/>
      <c r="Q1344" s="9"/>
      <c r="R1344" s="9"/>
      <c r="S1344" s="9"/>
      <c r="T1344" s="9"/>
      <c r="U1344" s="9"/>
      <c r="V1344" s="9"/>
      <c r="W1344" s="9"/>
      <c r="X1344" s="9"/>
      <c r="Y1344" s="9"/>
      <c r="Z1344" s="9"/>
      <c r="AA1344" s="9"/>
      <c r="AB1344" s="9"/>
      <c r="AC1344" s="9"/>
      <c r="AD1344" s="25"/>
      <c r="AE1344" s="25"/>
      <c r="AF1344" s="9"/>
      <c r="AG1344" s="9"/>
      <c r="AH1344" s="9"/>
      <c r="AI1344" s="9"/>
    </row>
    <row r="1345" ht="15.75" customHeight="1">
      <c r="A1345" s="9"/>
      <c r="B1345" s="9"/>
      <c r="C1345" s="9"/>
      <c r="D1345" s="9"/>
      <c r="E1345" s="67"/>
      <c r="F1345" s="68"/>
      <c r="G1345" s="68"/>
      <c r="H1345" s="69"/>
      <c r="I1345" s="69"/>
      <c r="J1345" s="69"/>
      <c r="K1345" s="69"/>
      <c r="L1345" s="69"/>
      <c r="M1345" s="70"/>
      <c r="N1345" s="69"/>
      <c r="O1345" s="23"/>
      <c r="P1345" s="23"/>
      <c r="Q1345" s="9"/>
      <c r="R1345" s="9"/>
      <c r="S1345" s="9"/>
      <c r="T1345" s="9"/>
      <c r="U1345" s="9"/>
      <c r="V1345" s="9"/>
      <c r="W1345" s="9"/>
      <c r="X1345" s="9"/>
      <c r="Y1345" s="9"/>
      <c r="Z1345" s="9"/>
      <c r="AA1345" s="9"/>
      <c r="AB1345" s="9"/>
      <c r="AC1345" s="9"/>
      <c r="AD1345" s="25"/>
      <c r="AE1345" s="25"/>
      <c r="AF1345" s="9"/>
      <c r="AG1345" s="9"/>
      <c r="AH1345" s="9"/>
      <c r="AI1345" s="9"/>
    </row>
    <row r="1346" ht="15.75" customHeight="1">
      <c r="A1346" s="9"/>
      <c r="B1346" s="9"/>
      <c r="C1346" s="9"/>
      <c r="D1346" s="9"/>
      <c r="E1346" s="67"/>
      <c r="F1346" s="68"/>
      <c r="G1346" s="68"/>
      <c r="H1346" s="69"/>
      <c r="I1346" s="69"/>
      <c r="J1346" s="69"/>
      <c r="K1346" s="69"/>
      <c r="L1346" s="69"/>
      <c r="M1346" s="71"/>
      <c r="N1346" s="69"/>
      <c r="O1346" s="23"/>
      <c r="P1346" s="23"/>
      <c r="Q1346" s="9"/>
      <c r="R1346" s="9"/>
      <c r="S1346" s="9"/>
      <c r="T1346" s="9"/>
      <c r="U1346" s="9"/>
      <c r="V1346" s="9"/>
      <c r="W1346" s="9"/>
      <c r="X1346" s="9"/>
      <c r="Y1346" s="9"/>
      <c r="Z1346" s="9"/>
      <c r="AA1346" s="9"/>
      <c r="AB1346" s="9"/>
      <c r="AC1346" s="9"/>
      <c r="AD1346" s="25"/>
      <c r="AE1346" s="25"/>
      <c r="AF1346" s="9"/>
      <c r="AG1346" s="9"/>
      <c r="AH1346" s="9"/>
      <c r="AI1346" s="9"/>
    </row>
    <row r="1347" ht="15.75" customHeight="1">
      <c r="A1347" s="9"/>
      <c r="B1347" s="9"/>
      <c r="C1347" s="9"/>
      <c r="D1347" s="9"/>
      <c r="E1347" s="67"/>
      <c r="F1347" s="68"/>
      <c r="G1347" s="68"/>
      <c r="H1347" s="69"/>
      <c r="I1347" s="69"/>
      <c r="J1347" s="69"/>
      <c r="K1347" s="69"/>
      <c r="L1347" s="69"/>
      <c r="M1347" s="69"/>
      <c r="N1347" s="69"/>
      <c r="O1347" s="23"/>
      <c r="P1347" s="23"/>
      <c r="Q1347" s="9"/>
      <c r="R1347" s="9"/>
      <c r="S1347" s="9"/>
      <c r="T1347" s="9"/>
      <c r="U1347" s="9"/>
      <c r="V1347" s="9"/>
      <c r="W1347" s="9"/>
      <c r="X1347" s="9"/>
      <c r="Y1347" s="9"/>
      <c r="Z1347" s="9"/>
      <c r="AA1347" s="9"/>
      <c r="AB1347" s="9"/>
      <c r="AC1347" s="9"/>
      <c r="AD1347" s="25"/>
      <c r="AE1347" s="25"/>
      <c r="AF1347" s="9"/>
      <c r="AG1347" s="9"/>
      <c r="AH1347" s="9"/>
      <c r="AI1347" s="9"/>
    </row>
    <row r="1348" ht="15.75" customHeight="1">
      <c r="A1348" s="9"/>
      <c r="B1348" s="9"/>
      <c r="C1348" s="9"/>
      <c r="D1348" s="9"/>
      <c r="E1348" s="67"/>
      <c r="F1348" s="68"/>
      <c r="G1348" s="68"/>
      <c r="H1348" s="69"/>
      <c r="I1348" s="69"/>
      <c r="J1348" s="69"/>
      <c r="K1348" s="69"/>
      <c r="L1348" s="69"/>
      <c r="M1348" s="70"/>
      <c r="N1348" s="69"/>
      <c r="O1348" s="23"/>
      <c r="P1348" s="23"/>
      <c r="Q1348" s="9"/>
      <c r="R1348" s="9"/>
      <c r="S1348" s="9"/>
      <c r="T1348" s="9"/>
      <c r="U1348" s="9"/>
      <c r="V1348" s="9"/>
      <c r="W1348" s="9"/>
      <c r="X1348" s="9"/>
      <c r="Y1348" s="9"/>
      <c r="Z1348" s="9"/>
      <c r="AA1348" s="9"/>
      <c r="AB1348" s="9"/>
      <c r="AC1348" s="9"/>
      <c r="AD1348" s="25"/>
      <c r="AE1348" s="25"/>
      <c r="AF1348" s="9"/>
      <c r="AG1348" s="9"/>
      <c r="AH1348" s="9"/>
      <c r="AI1348" s="9"/>
    </row>
    <row r="1349" ht="15.75" customHeight="1">
      <c r="A1349" s="9"/>
      <c r="B1349" s="9"/>
      <c r="C1349" s="9"/>
      <c r="D1349" s="9"/>
      <c r="E1349" s="67"/>
      <c r="F1349" s="68"/>
      <c r="G1349" s="68"/>
      <c r="H1349" s="69"/>
      <c r="I1349" s="69"/>
      <c r="J1349" s="69"/>
      <c r="K1349" s="69"/>
      <c r="L1349" s="69"/>
      <c r="M1349" s="70"/>
      <c r="N1349" s="69"/>
      <c r="O1349" s="23"/>
      <c r="P1349" s="23"/>
      <c r="Q1349" s="9"/>
      <c r="R1349" s="9"/>
      <c r="S1349" s="9"/>
      <c r="T1349" s="9"/>
      <c r="U1349" s="9"/>
      <c r="V1349" s="9"/>
      <c r="W1349" s="9"/>
      <c r="X1349" s="9"/>
      <c r="Y1349" s="9"/>
      <c r="Z1349" s="9"/>
      <c r="AA1349" s="9"/>
      <c r="AB1349" s="9"/>
      <c r="AC1349" s="9"/>
      <c r="AD1349" s="25"/>
      <c r="AE1349" s="25"/>
      <c r="AF1349" s="9"/>
      <c r="AG1349" s="9"/>
      <c r="AH1349" s="9"/>
      <c r="AI1349" s="9"/>
    </row>
    <row r="1350" ht="15.75" customHeight="1">
      <c r="A1350" s="9"/>
      <c r="B1350" s="9"/>
      <c r="C1350" s="9"/>
      <c r="D1350" s="9"/>
      <c r="E1350" s="67"/>
      <c r="F1350" s="68"/>
      <c r="G1350" s="68"/>
      <c r="H1350" s="69"/>
      <c r="I1350" s="69"/>
      <c r="J1350" s="69"/>
      <c r="K1350" s="69"/>
      <c r="L1350" s="69"/>
      <c r="M1350" s="70"/>
      <c r="N1350" s="69"/>
      <c r="O1350" s="23"/>
      <c r="P1350" s="23"/>
      <c r="Q1350" s="9"/>
      <c r="R1350" s="9"/>
      <c r="S1350" s="9"/>
      <c r="T1350" s="9"/>
      <c r="U1350" s="9"/>
      <c r="V1350" s="9"/>
      <c r="W1350" s="9"/>
      <c r="X1350" s="9"/>
      <c r="Y1350" s="9"/>
      <c r="Z1350" s="9"/>
      <c r="AA1350" s="9"/>
      <c r="AB1350" s="9"/>
      <c r="AC1350" s="9"/>
      <c r="AD1350" s="25"/>
      <c r="AE1350" s="25"/>
      <c r="AF1350" s="9"/>
      <c r="AG1350" s="9"/>
      <c r="AH1350" s="9"/>
      <c r="AI1350" s="9"/>
    </row>
    <row r="1351" ht="15.75" customHeight="1">
      <c r="A1351" s="9"/>
      <c r="B1351" s="9"/>
      <c r="C1351" s="9"/>
      <c r="D1351" s="9"/>
      <c r="E1351" s="67"/>
      <c r="F1351" s="68"/>
      <c r="G1351" s="68"/>
      <c r="H1351" s="69"/>
      <c r="I1351" s="69"/>
      <c r="J1351" s="69"/>
      <c r="K1351" s="69"/>
      <c r="L1351" s="69"/>
      <c r="M1351" s="70"/>
      <c r="N1351" s="69"/>
      <c r="O1351" s="23"/>
      <c r="P1351" s="23"/>
      <c r="Q1351" s="9"/>
      <c r="R1351" s="9"/>
      <c r="S1351" s="9"/>
      <c r="T1351" s="9"/>
      <c r="U1351" s="9"/>
      <c r="V1351" s="9"/>
      <c r="W1351" s="9"/>
      <c r="X1351" s="9"/>
      <c r="Y1351" s="9"/>
      <c r="Z1351" s="9"/>
      <c r="AA1351" s="9"/>
      <c r="AB1351" s="9"/>
      <c r="AC1351" s="9"/>
      <c r="AD1351" s="25"/>
      <c r="AE1351" s="25"/>
      <c r="AF1351" s="9"/>
      <c r="AG1351" s="9"/>
      <c r="AH1351" s="9"/>
      <c r="AI1351" s="9"/>
    </row>
    <row r="1352" ht="15.75" customHeight="1">
      <c r="A1352" s="9"/>
      <c r="B1352" s="9"/>
      <c r="C1352" s="9"/>
      <c r="D1352" s="9"/>
      <c r="E1352" s="67"/>
      <c r="F1352" s="68"/>
      <c r="G1352" s="68"/>
      <c r="H1352" s="69"/>
      <c r="I1352" s="69"/>
      <c r="J1352" s="69"/>
      <c r="K1352" s="69"/>
      <c r="L1352" s="69"/>
      <c r="M1352" s="70"/>
      <c r="N1352" s="69"/>
      <c r="O1352" s="23"/>
      <c r="P1352" s="23"/>
      <c r="Q1352" s="9"/>
      <c r="R1352" s="9"/>
      <c r="S1352" s="9"/>
      <c r="T1352" s="9"/>
      <c r="U1352" s="9"/>
      <c r="V1352" s="9"/>
      <c r="W1352" s="9"/>
      <c r="X1352" s="9"/>
      <c r="Y1352" s="9"/>
      <c r="Z1352" s="9"/>
      <c r="AA1352" s="9"/>
      <c r="AB1352" s="9"/>
      <c r="AC1352" s="9"/>
      <c r="AD1352" s="25"/>
      <c r="AE1352" s="25"/>
      <c r="AF1352" s="9"/>
      <c r="AG1352" s="9"/>
      <c r="AH1352" s="9"/>
      <c r="AI1352" s="9"/>
    </row>
    <row r="1353" ht="15.75" customHeight="1">
      <c r="A1353" s="9"/>
      <c r="B1353" s="9"/>
      <c r="C1353" s="9"/>
      <c r="D1353" s="9"/>
      <c r="E1353" s="67"/>
      <c r="F1353" s="68"/>
      <c r="G1353" s="68"/>
      <c r="H1353" s="69"/>
      <c r="I1353" s="69"/>
      <c r="J1353" s="69"/>
      <c r="K1353" s="69"/>
      <c r="L1353" s="69"/>
      <c r="M1353" s="70"/>
      <c r="N1353" s="69"/>
      <c r="O1353" s="23"/>
      <c r="P1353" s="23"/>
      <c r="Q1353" s="9"/>
      <c r="R1353" s="9"/>
      <c r="S1353" s="9"/>
      <c r="T1353" s="9"/>
      <c r="U1353" s="9"/>
      <c r="V1353" s="9"/>
      <c r="W1353" s="9"/>
      <c r="X1353" s="9"/>
      <c r="Y1353" s="9"/>
      <c r="Z1353" s="9"/>
      <c r="AA1353" s="9"/>
      <c r="AB1353" s="9"/>
      <c r="AC1353" s="9"/>
      <c r="AD1353" s="25"/>
      <c r="AE1353" s="25"/>
      <c r="AF1353" s="9"/>
      <c r="AG1353" s="9"/>
      <c r="AH1353" s="9"/>
      <c r="AI1353" s="9"/>
    </row>
    <row r="1354" ht="15.75" customHeight="1">
      <c r="A1354" s="9"/>
      <c r="B1354" s="9"/>
      <c r="C1354" s="9"/>
      <c r="D1354" s="9"/>
      <c r="E1354" s="67"/>
      <c r="F1354" s="68"/>
      <c r="G1354" s="68"/>
      <c r="H1354" s="69"/>
      <c r="I1354" s="69"/>
      <c r="J1354" s="69"/>
      <c r="K1354" s="69"/>
      <c r="L1354" s="69"/>
      <c r="M1354" s="69"/>
      <c r="N1354" s="69"/>
      <c r="O1354" s="23"/>
      <c r="P1354" s="23"/>
      <c r="Q1354" s="9"/>
      <c r="R1354" s="9"/>
      <c r="S1354" s="9"/>
      <c r="T1354" s="9"/>
      <c r="U1354" s="9"/>
      <c r="V1354" s="9"/>
      <c r="W1354" s="9"/>
      <c r="X1354" s="9"/>
      <c r="Y1354" s="9"/>
      <c r="Z1354" s="9"/>
      <c r="AA1354" s="9"/>
      <c r="AB1354" s="9"/>
      <c r="AC1354" s="9"/>
      <c r="AD1354" s="25"/>
      <c r="AE1354" s="25"/>
      <c r="AF1354" s="9"/>
      <c r="AG1354" s="9"/>
      <c r="AH1354" s="9"/>
      <c r="AI1354" s="9"/>
    </row>
    <row r="1355" ht="15.75" customHeight="1">
      <c r="A1355" s="9"/>
      <c r="B1355" s="9"/>
      <c r="C1355" s="9"/>
      <c r="D1355" s="9"/>
      <c r="E1355" s="67"/>
      <c r="F1355" s="68"/>
      <c r="G1355" s="68"/>
      <c r="H1355" s="69"/>
      <c r="I1355" s="69"/>
      <c r="J1355" s="69"/>
      <c r="K1355" s="69"/>
      <c r="L1355" s="69"/>
      <c r="M1355" s="70"/>
      <c r="N1355" s="69"/>
      <c r="O1355" s="23"/>
      <c r="P1355" s="23"/>
      <c r="Q1355" s="9"/>
      <c r="R1355" s="9"/>
      <c r="S1355" s="9"/>
      <c r="T1355" s="9"/>
      <c r="U1355" s="9"/>
      <c r="V1355" s="9"/>
      <c r="W1355" s="9"/>
      <c r="X1355" s="9"/>
      <c r="Y1355" s="9"/>
      <c r="Z1355" s="9"/>
      <c r="AA1355" s="9"/>
      <c r="AB1355" s="9"/>
      <c r="AC1355" s="9"/>
      <c r="AD1355" s="25"/>
      <c r="AE1355" s="25"/>
      <c r="AF1355" s="9"/>
      <c r="AG1355" s="9"/>
      <c r="AH1355" s="9"/>
      <c r="AI1355" s="9"/>
    </row>
    <row r="1356" ht="15.75" customHeight="1">
      <c r="A1356" s="9"/>
      <c r="B1356" s="9"/>
      <c r="C1356" s="9"/>
      <c r="D1356" s="9"/>
      <c r="E1356" s="67"/>
      <c r="F1356" s="68"/>
      <c r="G1356" s="68"/>
      <c r="H1356" s="69"/>
      <c r="I1356" s="69"/>
      <c r="J1356" s="69"/>
      <c r="K1356" s="69"/>
      <c r="L1356" s="69"/>
      <c r="M1356" s="70"/>
      <c r="N1356" s="69"/>
      <c r="O1356" s="23"/>
      <c r="P1356" s="23"/>
      <c r="Q1356" s="9"/>
      <c r="R1356" s="9"/>
      <c r="S1356" s="9"/>
      <c r="T1356" s="9"/>
      <c r="U1356" s="9"/>
      <c r="V1356" s="9"/>
      <c r="W1356" s="9"/>
      <c r="X1356" s="9"/>
      <c r="Y1356" s="9"/>
      <c r="Z1356" s="9"/>
      <c r="AA1356" s="9"/>
      <c r="AB1356" s="9"/>
      <c r="AC1356" s="9"/>
      <c r="AD1356" s="25"/>
      <c r="AE1356" s="25"/>
      <c r="AF1356" s="9"/>
      <c r="AG1356" s="9"/>
      <c r="AH1356" s="9"/>
      <c r="AI1356" s="9"/>
    </row>
    <row r="1357" ht="15.75" customHeight="1">
      <c r="A1357" s="9"/>
      <c r="B1357" s="9"/>
      <c r="C1357" s="9"/>
      <c r="D1357" s="9"/>
      <c r="E1357" s="67"/>
      <c r="F1357" s="68"/>
      <c r="G1357" s="68"/>
      <c r="H1357" s="69"/>
      <c r="I1357" s="69"/>
      <c r="J1357" s="69"/>
      <c r="K1357" s="69"/>
      <c r="L1357" s="69"/>
      <c r="M1357" s="70"/>
      <c r="N1357" s="69"/>
      <c r="O1357" s="23"/>
      <c r="P1357" s="23"/>
      <c r="Q1357" s="9"/>
      <c r="R1357" s="9"/>
      <c r="S1357" s="9"/>
      <c r="T1357" s="9"/>
      <c r="U1357" s="9"/>
      <c r="V1357" s="9"/>
      <c r="W1357" s="9"/>
      <c r="X1357" s="9"/>
      <c r="Y1357" s="9"/>
      <c r="Z1357" s="9"/>
      <c r="AA1357" s="9"/>
      <c r="AB1357" s="9"/>
      <c r="AC1357" s="9"/>
      <c r="AD1357" s="25"/>
      <c r="AE1357" s="25"/>
      <c r="AF1357" s="9"/>
      <c r="AG1357" s="9"/>
      <c r="AH1357" s="9"/>
      <c r="AI1357" s="9"/>
    </row>
    <row r="1358" ht="15.75" customHeight="1">
      <c r="A1358" s="9"/>
      <c r="B1358" s="9"/>
      <c r="C1358" s="9"/>
      <c r="D1358" s="9"/>
      <c r="E1358" s="67"/>
      <c r="F1358" s="68"/>
      <c r="G1358" s="68"/>
      <c r="H1358" s="69"/>
      <c r="I1358" s="69"/>
      <c r="J1358" s="69"/>
      <c r="K1358" s="69"/>
      <c r="L1358" s="69"/>
      <c r="M1358" s="70"/>
      <c r="N1358" s="69"/>
      <c r="O1358" s="23"/>
      <c r="P1358" s="23"/>
      <c r="Q1358" s="9"/>
      <c r="R1358" s="9"/>
      <c r="S1358" s="9"/>
      <c r="T1358" s="9"/>
      <c r="U1358" s="9"/>
      <c r="V1358" s="9"/>
      <c r="W1358" s="9"/>
      <c r="X1358" s="9"/>
      <c r="Y1358" s="9"/>
      <c r="Z1358" s="9"/>
      <c r="AA1358" s="9"/>
      <c r="AB1358" s="9"/>
      <c r="AC1358" s="9"/>
      <c r="AD1358" s="25"/>
      <c r="AE1358" s="25"/>
      <c r="AF1358" s="9"/>
      <c r="AG1358" s="9"/>
      <c r="AH1358" s="9"/>
      <c r="AI1358" s="9"/>
    </row>
    <row r="1359" ht="15.75" customHeight="1">
      <c r="A1359" s="9"/>
      <c r="B1359" s="9"/>
      <c r="C1359" s="9"/>
      <c r="D1359" s="9"/>
      <c r="E1359" s="67"/>
      <c r="F1359" s="68"/>
      <c r="G1359" s="68"/>
      <c r="H1359" s="69"/>
      <c r="I1359" s="69"/>
      <c r="J1359" s="69"/>
      <c r="K1359" s="69"/>
      <c r="L1359" s="69"/>
      <c r="M1359" s="70"/>
      <c r="N1359" s="69"/>
      <c r="O1359" s="23"/>
      <c r="P1359" s="23"/>
      <c r="Q1359" s="9"/>
      <c r="R1359" s="9"/>
      <c r="S1359" s="9"/>
      <c r="T1359" s="9"/>
      <c r="U1359" s="9"/>
      <c r="V1359" s="9"/>
      <c r="W1359" s="9"/>
      <c r="X1359" s="9"/>
      <c r="Y1359" s="9"/>
      <c r="Z1359" s="9"/>
      <c r="AA1359" s="9"/>
      <c r="AB1359" s="9"/>
      <c r="AC1359" s="9"/>
      <c r="AD1359" s="25"/>
      <c r="AE1359" s="25"/>
      <c r="AF1359" s="9"/>
      <c r="AG1359" s="9"/>
      <c r="AH1359" s="9"/>
      <c r="AI1359" s="9"/>
    </row>
    <row r="1360" ht="15.75" customHeight="1">
      <c r="A1360" s="9"/>
      <c r="B1360" s="9"/>
      <c r="C1360" s="9"/>
      <c r="D1360" s="9"/>
      <c r="E1360" s="67"/>
      <c r="F1360" s="68"/>
      <c r="G1360" s="68"/>
      <c r="H1360" s="69"/>
      <c r="I1360" s="69"/>
      <c r="J1360" s="69"/>
      <c r="K1360" s="69"/>
      <c r="L1360" s="69"/>
      <c r="M1360" s="69"/>
      <c r="N1360" s="69"/>
      <c r="O1360" s="23"/>
      <c r="P1360" s="23"/>
      <c r="Q1360" s="9"/>
      <c r="R1360" s="9"/>
      <c r="S1360" s="9"/>
      <c r="T1360" s="9"/>
      <c r="U1360" s="9"/>
      <c r="V1360" s="9"/>
      <c r="W1360" s="9"/>
      <c r="X1360" s="9"/>
      <c r="Y1360" s="9"/>
      <c r="Z1360" s="9"/>
      <c r="AA1360" s="9"/>
      <c r="AB1360" s="9"/>
      <c r="AC1360" s="9"/>
      <c r="AD1360" s="25"/>
      <c r="AE1360" s="25"/>
      <c r="AF1360" s="9"/>
      <c r="AG1360" s="9"/>
      <c r="AH1360" s="9"/>
      <c r="AI1360" s="9"/>
    </row>
    <row r="1361" ht="15.75" customHeight="1">
      <c r="A1361" s="9"/>
      <c r="B1361" s="9"/>
      <c r="C1361" s="9"/>
      <c r="D1361" s="9"/>
      <c r="E1361" s="67"/>
      <c r="F1361" s="68"/>
      <c r="G1361" s="68"/>
      <c r="H1361" s="69"/>
      <c r="I1361" s="69"/>
      <c r="J1361" s="69"/>
      <c r="K1361" s="69"/>
      <c r="L1361" s="69"/>
      <c r="M1361" s="70"/>
      <c r="N1361" s="69"/>
      <c r="O1361" s="23"/>
      <c r="P1361" s="23"/>
      <c r="Q1361" s="9"/>
      <c r="R1361" s="9"/>
      <c r="S1361" s="9"/>
      <c r="T1361" s="9"/>
      <c r="U1361" s="9"/>
      <c r="V1361" s="9"/>
      <c r="W1361" s="9"/>
      <c r="X1361" s="9"/>
      <c r="Y1361" s="9"/>
      <c r="Z1361" s="9"/>
      <c r="AA1361" s="9"/>
      <c r="AB1361" s="9"/>
      <c r="AC1361" s="9"/>
      <c r="AD1361" s="25"/>
      <c r="AE1361" s="25"/>
      <c r="AF1361" s="9"/>
      <c r="AG1361" s="9"/>
      <c r="AH1361" s="9"/>
      <c r="AI1361" s="9"/>
    </row>
    <row r="1362" ht="15.75" customHeight="1">
      <c r="A1362" s="9"/>
      <c r="B1362" s="9"/>
      <c r="C1362" s="9"/>
      <c r="D1362" s="9"/>
      <c r="E1362" s="67"/>
      <c r="F1362" s="68"/>
      <c r="G1362" s="68"/>
      <c r="H1362" s="69"/>
      <c r="I1362" s="69"/>
      <c r="J1362" s="69"/>
      <c r="K1362" s="69"/>
      <c r="L1362" s="69"/>
      <c r="M1362" s="69"/>
      <c r="N1362" s="69"/>
      <c r="O1362" s="23"/>
      <c r="P1362" s="23"/>
      <c r="Q1362" s="9"/>
      <c r="R1362" s="9"/>
      <c r="S1362" s="9"/>
      <c r="T1362" s="9"/>
      <c r="U1362" s="9"/>
      <c r="V1362" s="9"/>
      <c r="W1362" s="9"/>
      <c r="X1362" s="9"/>
      <c r="Y1362" s="9"/>
      <c r="Z1362" s="9"/>
      <c r="AA1362" s="9"/>
      <c r="AB1362" s="9"/>
      <c r="AC1362" s="9"/>
      <c r="AD1362" s="25"/>
      <c r="AE1362" s="25"/>
      <c r="AF1362" s="9"/>
      <c r="AG1362" s="9"/>
      <c r="AH1362" s="9"/>
      <c r="AI1362" s="9"/>
    </row>
    <row r="1363" ht="15.75" customHeight="1">
      <c r="A1363" s="9"/>
      <c r="B1363" s="9"/>
      <c r="C1363" s="9"/>
      <c r="D1363" s="9"/>
      <c r="E1363" s="67"/>
      <c r="F1363" s="68"/>
      <c r="G1363" s="68"/>
      <c r="H1363" s="69"/>
      <c r="I1363" s="69"/>
      <c r="J1363" s="69"/>
      <c r="K1363" s="69"/>
      <c r="L1363" s="69"/>
      <c r="M1363" s="69"/>
      <c r="N1363" s="69"/>
      <c r="O1363" s="23"/>
      <c r="P1363" s="23"/>
      <c r="Q1363" s="9"/>
      <c r="R1363" s="9"/>
      <c r="S1363" s="9"/>
      <c r="T1363" s="9"/>
      <c r="U1363" s="9"/>
      <c r="V1363" s="9"/>
      <c r="W1363" s="9"/>
      <c r="X1363" s="9"/>
      <c r="Y1363" s="9"/>
      <c r="Z1363" s="9"/>
      <c r="AA1363" s="9"/>
      <c r="AB1363" s="9"/>
      <c r="AC1363" s="9"/>
      <c r="AD1363" s="25"/>
      <c r="AE1363" s="25"/>
      <c r="AF1363" s="9"/>
      <c r="AG1363" s="9"/>
      <c r="AH1363" s="9"/>
      <c r="AI1363" s="9"/>
    </row>
    <row r="1364" ht="15.75" customHeight="1">
      <c r="A1364" s="9"/>
      <c r="B1364" s="9"/>
      <c r="C1364" s="9"/>
      <c r="D1364" s="9"/>
      <c r="E1364" s="67"/>
      <c r="F1364" s="68"/>
      <c r="G1364" s="68"/>
      <c r="H1364" s="69"/>
      <c r="I1364" s="69"/>
      <c r="J1364" s="69"/>
      <c r="K1364" s="69"/>
      <c r="L1364" s="69"/>
      <c r="M1364" s="70"/>
      <c r="N1364" s="69"/>
      <c r="O1364" s="23"/>
      <c r="P1364" s="23"/>
      <c r="Q1364" s="9"/>
      <c r="R1364" s="9"/>
      <c r="S1364" s="9"/>
      <c r="T1364" s="9"/>
      <c r="U1364" s="9"/>
      <c r="V1364" s="9"/>
      <c r="W1364" s="9"/>
      <c r="X1364" s="9"/>
      <c r="Y1364" s="9"/>
      <c r="Z1364" s="9"/>
      <c r="AA1364" s="9"/>
      <c r="AB1364" s="9"/>
      <c r="AC1364" s="9"/>
      <c r="AD1364" s="25"/>
      <c r="AE1364" s="25"/>
      <c r="AF1364" s="9"/>
      <c r="AG1364" s="9"/>
      <c r="AH1364" s="9"/>
      <c r="AI1364" s="9"/>
    </row>
    <row r="1365" ht="15.75" customHeight="1">
      <c r="A1365" s="9"/>
      <c r="B1365" s="9"/>
      <c r="C1365" s="9"/>
      <c r="D1365" s="9"/>
      <c r="E1365" s="67"/>
      <c r="F1365" s="68"/>
      <c r="G1365" s="68"/>
      <c r="H1365" s="69"/>
      <c r="I1365" s="69"/>
      <c r="J1365" s="69"/>
      <c r="K1365" s="69"/>
      <c r="L1365" s="69"/>
      <c r="M1365" s="69"/>
      <c r="N1365" s="69"/>
      <c r="O1365" s="23"/>
      <c r="P1365" s="23"/>
      <c r="Q1365" s="9"/>
      <c r="R1365" s="9"/>
      <c r="S1365" s="9"/>
      <c r="T1365" s="9"/>
      <c r="U1365" s="9"/>
      <c r="V1365" s="9"/>
      <c r="W1365" s="9"/>
      <c r="X1365" s="9"/>
      <c r="Y1365" s="9"/>
      <c r="Z1365" s="9"/>
      <c r="AA1365" s="9"/>
      <c r="AB1365" s="9"/>
      <c r="AC1365" s="9"/>
      <c r="AD1365" s="25"/>
      <c r="AE1365" s="25"/>
      <c r="AF1365" s="9"/>
      <c r="AG1365" s="9"/>
      <c r="AH1365" s="9"/>
      <c r="AI1365" s="9"/>
    </row>
    <row r="1366" ht="15.75" customHeight="1">
      <c r="A1366" s="9"/>
      <c r="B1366" s="9"/>
      <c r="C1366" s="9"/>
      <c r="D1366" s="9"/>
      <c r="E1366" s="67"/>
      <c r="F1366" s="68"/>
      <c r="G1366" s="68"/>
      <c r="H1366" s="69"/>
      <c r="I1366" s="69"/>
      <c r="J1366" s="69"/>
      <c r="K1366" s="69"/>
      <c r="L1366" s="69"/>
      <c r="M1366" s="69"/>
      <c r="N1366" s="69"/>
      <c r="O1366" s="23"/>
      <c r="P1366" s="23"/>
      <c r="Q1366" s="9"/>
      <c r="R1366" s="9"/>
      <c r="S1366" s="9"/>
      <c r="T1366" s="9"/>
      <c r="U1366" s="9"/>
      <c r="V1366" s="9"/>
      <c r="W1366" s="9"/>
      <c r="X1366" s="9"/>
      <c r="Y1366" s="9"/>
      <c r="Z1366" s="9"/>
      <c r="AA1366" s="9"/>
      <c r="AB1366" s="9"/>
      <c r="AC1366" s="9"/>
      <c r="AD1366" s="25"/>
      <c r="AE1366" s="25"/>
      <c r="AF1366" s="9"/>
      <c r="AG1366" s="9"/>
      <c r="AH1366" s="9"/>
      <c r="AI1366" s="9"/>
    </row>
    <row r="1367" ht="15.75" customHeight="1">
      <c r="A1367" s="9"/>
      <c r="B1367" s="9"/>
      <c r="C1367" s="9"/>
      <c r="D1367" s="9"/>
      <c r="E1367" s="67"/>
      <c r="F1367" s="68"/>
      <c r="G1367" s="68"/>
      <c r="H1367" s="69"/>
      <c r="I1367" s="69"/>
      <c r="J1367" s="69"/>
      <c r="K1367" s="69"/>
      <c r="L1367" s="69"/>
      <c r="M1367" s="69"/>
      <c r="N1367" s="69"/>
      <c r="O1367" s="23"/>
      <c r="P1367" s="23"/>
      <c r="Q1367" s="9"/>
      <c r="R1367" s="9"/>
      <c r="S1367" s="9"/>
      <c r="T1367" s="9"/>
      <c r="U1367" s="9"/>
      <c r="V1367" s="9"/>
      <c r="W1367" s="9"/>
      <c r="X1367" s="9"/>
      <c r="Y1367" s="9"/>
      <c r="Z1367" s="9"/>
      <c r="AA1367" s="9"/>
      <c r="AB1367" s="9"/>
      <c r="AC1367" s="9"/>
      <c r="AD1367" s="25"/>
      <c r="AE1367" s="25"/>
      <c r="AF1367" s="9"/>
      <c r="AG1367" s="9"/>
      <c r="AH1367" s="9"/>
      <c r="AI1367" s="9"/>
    </row>
    <row r="1368" ht="15.75" customHeight="1">
      <c r="A1368" s="9"/>
      <c r="B1368" s="9"/>
      <c r="C1368" s="9"/>
      <c r="D1368" s="9"/>
      <c r="E1368" s="67"/>
      <c r="F1368" s="68"/>
      <c r="G1368" s="68"/>
      <c r="H1368" s="69"/>
      <c r="I1368" s="69"/>
      <c r="J1368" s="69"/>
      <c r="K1368" s="69"/>
      <c r="L1368" s="69"/>
      <c r="M1368" s="70"/>
      <c r="N1368" s="69"/>
      <c r="O1368" s="23"/>
      <c r="P1368" s="23"/>
      <c r="Q1368" s="9"/>
      <c r="R1368" s="9"/>
      <c r="S1368" s="9"/>
      <c r="T1368" s="9"/>
      <c r="U1368" s="9"/>
      <c r="V1368" s="9"/>
      <c r="W1368" s="9"/>
      <c r="X1368" s="9"/>
      <c r="Y1368" s="9"/>
      <c r="Z1368" s="9"/>
      <c r="AA1368" s="9"/>
      <c r="AB1368" s="9"/>
      <c r="AC1368" s="9"/>
      <c r="AD1368" s="25"/>
      <c r="AE1368" s="25"/>
      <c r="AF1368" s="9"/>
      <c r="AG1368" s="9"/>
      <c r="AH1368" s="9"/>
      <c r="AI1368" s="9"/>
    </row>
    <row r="1369" ht="15.75" customHeight="1">
      <c r="A1369" s="9"/>
      <c r="B1369" s="9"/>
      <c r="C1369" s="9"/>
      <c r="D1369" s="9"/>
      <c r="E1369" s="67"/>
      <c r="F1369" s="68"/>
      <c r="G1369" s="68"/>
      <c r="H1369" s="69"/>
      <c r="I1369" s="69"/>
      <c r="J1369" s="69"/>
      <c r="K1369" s="69"/>
      <c r="L1369" s="69"/>
      <c r="M1369" s="70"/>
      <c r="N1369" s="69"/>
      <c r="O1369" s="23"/>
      <c r="P1369" s="23"/>
      <c r="Q1369" s="9"/>
      <c r="R1369" s="9"/>
      <c r="S1369" s="9"/>
      <c r="T1369" s="9"/>
      <c r="U1369" s="9"/>
      <c r="V1369" s="9"/>
      <c r="W1369" s="9"/>
      <c r="X1369" s="9"/>
      <c r="Y1369" s="9"/>
      <c r="Z1369" s="9"/>
      <c r="AA1369" s="9"/>
      <c r="AB1369" s="9"/>
      <c r="AC1369" s="9"/>
      <c r="AD1369" s="25"/>
      <c r="AE1369" s="25"/>
      <c r="AF1369" s="9"/>
      <c r="AG1369" s="9"/>
      <c r="AH1369" s="9"/>
      <c r="AI1369" s="9"/>
    </row>
    <row r="1370" ht="15.75" customHeight="1">
      <c r="A1370" s="9"/>
      <c r="B1370" s="9"/>
      <c r="C1370" s="9"/>
      <c r="D1370" s="9"/>
      <c r="E1370" s="67"/>
      <c r="F1370" s="68"/>
      <c r="G1370" s="68"/>
      <c r="H1370" s="69"/>
      <c r="I1370" s="69"/>
      <c r="J1370" s="69"/>
      <c r="K1370" s="69"/>
      <c r="L1370" s="69"/>
      <c r="M1370" s="70"/>
      <c r="N1370" s="69"/>
      <c r="O1370" s="23"/>
      <c r="P1370" s="23"/>
      <c r="Q1370" s="9"/>
      <c r="R1370" s="9"/>
      <c r="S1370" s="9"/>
      <c r="T1370" s="9"/>
      <c r="U1370" s="9"/>
      <c r="V1370" s="9"/>
      <c r="W1370" s="9"/>
      <c r="X1370" s="9"/>
      <c r="Y1370" s="9"/>
      <c r="Z1370" s="9"/>
      <c r="AA1370" s="9"/>
      <c r="AB1370" s="9"/>
      <c r="AC1370" s="9"/>
      <c r="AD1370" s="25"/>
      <c r="AE1370" s="25"/>
      <c r="AF1370" s="9"/>
      <c r="AG1370" s="9"/>
      <c r="AH1370" s="9"/>
      <c r="AI1370" s="9"/>
    </row>
    <row r="1371" ht="15.75" customHeight="1">
      <c r="A1371" s="9"/>
      <c r="B1371" s="9"/>
      <c r="C1371" s="9"/>
      <c r="D1371" s="9"/>
      <c r="E1371" s="67"/>
      <c r="F1371" s="68"/>
      <c r="G1371" s="68"/>
      <c r="H1371" s="69"/>
      <c r="I1371" s="69"/>
      <c r="J1371" s="69"/>
      <c r="K1371" s="69"/>
      <c r="L1371" s="69"/>
      <c r="M1371" s="70"/>
      <c r="N1371" s="69"/>
      <c r="O1371" s="23"/>
      <c r="P1371" s="23"/>
      <c r="Q1371" s="9"/>
      <c r="R1371" s="9"/>
      <c r="S1371" s="9"/>
      <c r="T1371" s="9"/>
      <c r="U1371" s="9"/>
      <c r="V1371" s="9"/>
      <c r="W1371" s="9"/>
      <c r="X1371" s="9"/>
      <c r="Y1371" s="9"/>
      <c r="Z1371" s="9"/>
      <c r="AA1371" s="9"/>
      <c r="AB1371" s="9"/>
      <c r="AC1371" s="9"/>
      <c r="AD1371" s="25"/>
      <c r="AE1371" s="25"/>
      <c r="AF1371" s="9"/>
      <c r="AG1371" s="9"/>
      <c r="AH1371" s="9"/>
      <c r="AI1371" s="9"/>
    </row>
    <row r="1372" ht="15.75" customHeight="1">
      <c r="A1372" s="9"/>
      <c r="B1372" s="9"/>
      <c r="C1372" s="9"/>
      <c r="D1372" s="9"/>
      <c r="E1372" s="67"/>
      <c r="F1372" s="68"/>
      <c r="G1372" s="68"/>
      <c r="H1372" s="69"/>
      <c r="I1372" s="69"/>
      <c r="J1372" s="69"/>
      <c r="K1372" s="69"/>
      <c r="L1372" s="69"/>
      <c r="M1372" s="70"/>
      <c r="N1372" s="69"/>
      <c r="O1372" s="23"/>
      <c r="P1372" s="23"/>
      <c r="Q1372" s="9"/>
      <c r="R1372" s="9"/>
      <c r="S1372" s="9"/>
      <c r="T1372" s="9"/>
      <c r="U1372" s="9"/>
      <c r="V1372" s="9"/>
      <c r="W1372" s="9"/>
      <c r="X1372" s="9"/>
      <c r="Y1372" s="9"/>
      <c r="Z1372" s="9"/>
      <c r="AA1372" s="9"/>
      <c r="AB1372" s="9"/>
      <c r="AC1372" s="9"/>
      <c r="AD1372" s="25"/>
      <c r="AE1372" s="25"/>
      <c r="AF1372" s="9"/>
      <c r="AG1372" s="9"/>
      <c r="AH1372" s="9"/>
      <c r="AI1372" s="9"/>
    </row>
    <row r="1373" ht="15.75" customHeight="1">
      <c r="A1373" s="9"/>
      <c r="B1373" s="9"/>
      <c r="C1373" s="9"/>
      <c r="D1373" s="9"/>
      <c r="E1373" s="67"/>
      <c r="F1373" s="68"/>
      <c r="G1373" s="68"/>
      <c r="H1373" s="69"/>
      <c r="I1373" s="69"/>
      <c r="J1373" s="69"/>
      <c r="K1373" s="69"/>
      <c r="L1373" s="69"/>
      <c r="M1373" s="70"/>
      <c r="N1373" s="69"/>
      <c r="O1373" s="23"/>
      <c r="P1373" s="23"/>
      <c r="Q1373" s="9"/>
      <c r="R1373" s="9"/>
      <c r="S1373" s="9"/>
      <c r="T1373" s="9"/>
      <c r="U1373" s="9"/>
      <c r="V1373" s="9"/>
      <c r="W1373" s="9"/>
      <c r="X1373" s="9"/>
      <c r="Y1373" s="9"/>
      <c r="Z1373" s="9"/>
      <c r="AA1373" s="9"/>
      <c r="AB1373" s="9"/>
      <c r="AC1373" s="9"/>
      <c r="AD1373" s="25"/>
      <c r="AE1373" s="25"/>
      <c r="AF1373" s="9"/>
      <c r="AG1373" s="9"/>
      <c r="AH1373" s="9"/>
      <c r="AI1373" s="9"/>
    </row>
    <row r="1374" ht="15.75" customHeight="1">
      <c r="A1374" s="9"/>
      <c r="B1374" s="9"/>
      <c r="C1374" s="9"/>
      <c r="D1374" s="9"/>
      <c r="E1374" s="67"/>
      <c r="F1374" s="68"/>
      <c r="G1374" s="68"/>
      <c r="H1374" s="69"/>
      <c r="I1374" s="69"/>
      <c r="J1374" s="69"/>
      <c r="K1374" s="69"/>
      <c r="L1374" s="69"/>
      <c r="M1374" s="71"/>
      <c r="N1374" s="69"/>
      <c r="O1374" s="23"/>
      <c r="P1374" s="23"/>
      <c r="Q1374" s="9"/>
      <c r="R1374" s="9"/>
      <c r="S1374" s="9"/>
      <c r="T1374" s="9"/>
      <c r="U1374" s="9"/>
      <c r="V1374" s="9"/>
      <c r="W1374" s="9"/>
      <c r="X1374" s="9"/>
      <c r="Y1374" s="9"/>
      <c r="Z1374" s="9"/>
      <c r="AA1374" s="9"/>
      <c r="AB1374" s="9"/>
      <c r="AC1374" s="9"/>
      <c r="AD1374" s="25"/>
      <c r="AE1374" s="25"/>
      <c r="AF1374" s="9"/>
      <c r="AG1374" s="9"/>
      <c r="AH1374" s="9"/>
      <c r="AI1374" s="9"/>
    </row>
    <row r="1375" ht="15.75" customHeight="1">
      <c r="A1375" s="9"/>
      <c r="B1375" s="9"/>
      <c r="C1375" s="9"/>
      <c r="D1375" s="9"/>
      <c r="E1375" s="67"/>
      <c r="F1375" s="68"/>
      <c r="G1375" s="68"/>
      <c r="H1375" s="69"/>
      <c r="I1375" s="69"/>
      <c r="J1375" s="69"/>
      <c r="K1375" s="69"/>
      <c r="L1375" s="69"/>
      <c r="M1375" s="70"/>
      <c r="N1375" s="69"/>
      <c r="O1375" s="23"/>
      <c r="P1375" s="23"/>
      <c r="Q1375" s="9"/>
      <c r="R1375" s="9"/>
      <c r="S1375" s="9"/>
      <c r="T1375" s="9"/>
      <c r="U1375" s="9"/>
      <c r="V1375" s="9"/>
      <c r="W1375" s="9"/>
      <c r="X1375" s="9"/>
      <c r="Y1375" s="9"/>
      <c r="Z1375" s="9"/>
      <c r="AA1375" s="9"/>
      <c r="AB1375" s="9"/>
      <c r="AC1375" s="9"/>
      <c r="AD1375" s="25"/>
      <c r="AE1375" s="25"/>
      <c r="AF1375" s="9"/>
      <c r="AG1375" s="9"/>
      <c r="AH1375" s="9"/>
      <c r="AI1375" s="9"/>
    </row>
    <row r="1376" ht="15.75" customHeight="1">
      <c r="A1376" s="9"/>
      <c r="B1376" s="9"/>
      <c r="C1376" s="9"/>
      <c r="D1376" s="9"/>
      <c r="E1376" s="67"/>
      <c r="F1376" s="68"/>
      <c r="G1376" s="68"/>
      <c r="H1376" s="69"/>
      <c r="I1376" s="69"/>
      <c r="J1376" s="69"/>
      <c r="K1376" s="69"/>
      <c r="L1376" s="69"/>
      <c r="M1376" s="71"/>
      <c r="N1376" s="69"/>
      <c r="O1376" s="23"/>
      <c r="P1376" s="23"/>
      <c r="Q1376" s="9"/>
      <c r="R1376" s="9"/>
      <c r="S1376" s="9"/>
      <c r="T1376" s="9"/>
      <c r="U1376" s="9"/>
      <c r="V1376" s="9"/>
      <c r="W1376" s="9"/>
      <c r="X1376" s="9"/>
      <c r="Y1376" s="9"/>
      <c r="Z1376" s="9"/>
      <c r="AA1376" s="9"/>
      <c r="AB1376" s="9"/>
      <c r="AC1376" s="9"/>
      <c r="AD1376" s="25"/>
      <c r="AE1376" s="25"/>
      <c r="AF1376" s="9"/>
      <c r="AG1376" s="9"/>
      <c r="AH1376" s="9"/>
      <c r="AI1376" s="9"/>
    </row>
    <row r="1377" ht="15.75" customHeight="1">
      <c r="A1377" s="9"/>
      <c r="B1377" s="9"/>
      <c r="C1377" s="9"/>
      <c r="D1377" s="9"/>
      <c r="E1377" s="67"/>
      <c r="F1377" s="68"/>
      <c r="G1377" s="68"/>
      <c r="H1377" s="69"/>
      <c r="I1377" s="69"/>
      <c r="J1377" s="69"/>
      <c r="K1377" s="69"/>
      <c r="L1377" s="69"/>
      <c r="M1377" s="70"/>
      <c r="N1377" s="69"/>
      <c r="O1377" s="23"/>
      <c r="P1377" s="23"/>
      <c r="Q1377" s="9"/>
      <c r="R1377" s="9"/>
      <c r="S1377" s="9"/>
      <c r="T1377" s="9"/>
      <c r="U1377" s="9"/>
      <c r="V1377" s="9"/>
      <c r="W1377" s="9"/>
      <c r="X1377" s="9"/>
      <c r="Y1377" s="9"/>
      <c r="Z1377" s="9"/>
      <c r="AA1377" s="9"/>
      <c r="AB1377" s="9"/>
      <c r="AC1377" s="9"/>
      <c r="AD1377" s="25"/>
      <c r="AE1377" s="25"/>
      <c r="AF1377" s="9"/>
      <c r="AG1377" s="9"/>
      <c r="AH1377" s="9"/>
      <c r="AI1377" s="9"/>
    </row>
    <row r="1378" ht="15.75" customHeight="1">
      <c r="A1378" s="9"/>
      <c r="B1378" s="9"/>
      <c r="C1378" s="9"/>
      <c r="D1378" s="9"/>
      <c r="E1378" s="67"/>
      <c r="F1378" s="68"/>
      <c r="G1378" s="68"/>
      <c r="H1378" s="69"/>
      <c r="I1378" s="69"/>
      <c r="J1378" s="69"/>
      <c r="K1378" s="69"/>
      <c r="L1378" s="69"/>
      <c r="M1378" s="71"/>
      <c r="N1378" s="69"/>
      <c r="O1378" s="23"/>
      <c r="P1378" s="23"/>
      <c r="Q1378" s="9"/>
      <c r="R1378" s="9"/>
      <c r="S1378" s="9"/>
      <c r="T1378" s="9"/>
      <c r="U1378" s="9"/>
      <c r="V1378" s="9"/>
      <c r="W1378" s="9"/>
      <c r="X1378" s="9"/>
      <c r="Y1378" s="9"/>
      <c r="Z1378" s="9"/>
      <c r="AA1378" s="9"/>
      <c r="AB1378" s="9"/>
      <c r="AC1378" s="9"/>
      <c r="AD1378" s="25"/>
      <c r="AE1378" s="25"/>
      <c r="AF1378" s="9"/>
      <c r="AG1378" s="9"/>
      <c r="AH1378" s="9"/>
      <c r="AI1378" s="9"/>
    </row>
    <row r="1379" ht="15.75" customHeight="1">
      <c r="A1379" s="9"/>
      <c r="B1379" s="9"/>
      <c r="C1379" s="9"/>
      <c r="D1379" s="9"/>
      <c r="E1379" s="67"/>
      <c r="F1379" s="68"/>
      <c r="G1379" s="68"/>
      <c r="H1379" s="69"/>
      <c r="I1379" s="69"/>
      <c r="J1379" s="69"/>
      <c r="K1379" s="69"/>
      <c r="L1379" s="69"/>
      <c r="M1379" s="70"/>
      <c r="N1379" s="69"/>
      <c r="O1379" s="23"/>
      <c r="P1379" s="23"/>
      <c r="Q1379" s="9"/>
      <c r="R1379" s="9"/>
      <c r="S1379" s="9"/>
      <c r="T1379" s="9"/>
      <c r="U1379" s="9"/>
      <c r="V1379" s="9"/>
      <c r="W1379" s="9"/>
      <c r="X1379" s="9"/>
      <c r="Y1379" s="9"/>
      <c r="Z1379" s="9"/>
      <c r="AA1379" s="9"/>
      <c r="AB1379" s="9"/>
      <c r="AC1379" s="9"/>
      <c r="AD1379" s="25"/>
      <c r="AE1379" s="25"/>
      <c r="AF1379" s="9"/>
      <c r="AG1379" s="9"/>
      <c r="AH1379" s="9"/>
      <c r="AI1379" s="9"/>
    </row>
    <row r="1380" ht="15.75" customHeight="1">
      <c r="A1380" s="9"/>
      <c r="B1380" s="9"/>
      <c r="C1380" s="9"/>
      <c r="D1380" s="9"/>
      <c r="E1380" s="67"/>
      <c r="F1380" s="68"/>
      <c r="G1380" s="68"/>
      <c r="H1380" s="69"/>
      <c r="I1380" s="69"/>
      <c r="J1380" s="69"/>
      <c r="K1380" s="69"/>
      <c r="L1380" s="69"/>
      <c r="M1380" s="69"/>
      <c r="N1380" s="69"/>
      <c r="O1380" s="23"/>
      <c r="P1380" s="23"/>
      <c r="Q1380" s="9"/>
      <c r="R1380" s="9"/>
      <c r="S1380" s="9"/>
      <c r="T1380" s="9"/>
      <c r="U1380" s="9"/>
      <c r="V1380" s="9"/>
      <c r="W1380" s="9"/>
      <c r="X1380" s="9"/>
      <c r="Y1380" s="9"/>
      <c r="Z1380" s="9"/>
      <c r="AA1380" s="9"/>
      <c r="AB1380" s="9"/>
      <c r="AC1380" s="9"/>
      <c r="AD1380" s="25"/>
      <c r="AE1380" s="25"/>
      <c r="AF1380" s="9"/>
      <c r="AG1380" s="9"/>
      <c r="AH1380" s="9"/>
      <c r="AI1380" s="9"/>
    </row>
    <row r="1381" ht="15.75" customHeight="1">
      <c r="A1381" s="9"/>
      <c r="B1381" s="9"/>
      <c r="C1381" s="9"/>
      <c r="D1381" s="9"/>
      <c r="E1381" s="67"/>
      <c r="F1381" s="68"/>
      <c r="G1381" s="68"/>
      <c r="H1381" s="69"/>
      <c r="I1381" s="69"/>
      <c r="J1381" s="69"/>
      <c r="K1381" s="69"/>
      <c r="L1381" s="69"/>
      <c r="M1381" s="70"/>
      <c r="N1381" s="69"/>
      <c r="O1381" s="23"/>
      <c r="P1381" s="23"/>
      <c r="Q1381" s="9"/>
      <c r="R1381" s="9"/>
      <c r="S1381" s="9"/>
      <c r="T1381" s="9"/>
      <c r="U1381" s="9"/>
      <c r="V1381" s="9"/>
      <c r="W1381" s="9"/>
      <c r="X1381" s="9"/>
      <c r="Y1381" s="9"/>
      <c r="Z1381" s="9"/>
      <c r="AA1381" s="9"/>
      <c r="AB1381" s="9"/>
      <c r="AC1381" s="9"/>
      <c r="AD1381" s="25"/>
      <c r="AE1381" s="25"/>
      <c r="AF1381" s="9"/>
      <c r="AG1381" s="9"/>
      <c r="AH1381" s="9"/>
      <c r="AI1381" s="9"/>
    </row>
    <row r="1382" ht="15.75" customHeight="1">
      <c r="A1382" s="9"/>
      <c r="B1382" s="9"/>
      <c r="C1382" s="9"/>
      <c r="D1382" s="9"/>
      <c r="E1382" s="67"/>
      <c r="F1382" s="68"/>
      <c r="G1382" s="68"/>
      <c r="H1382" s="69"/>
      <c r="I1382" s="69"/>
      <c r="J1382" s="69"/>
      <c r="K1382" s="69"/>
      <c r="L1382" s="69"/>
      <c r="M1382" s="70"/>
      <c r="N1382" s="69"/>
      <c r="O1382" s="23"/>
      <c r="P1382" s="23"/>
      <c r="Q1382" s="9"/>
      <c r="R1382" s="9"/>
      <c r="S1382" s="9"/>
      <c r="T1382" s="9"/>
      <c r="U1382" s="9"/>
      <c r="V1382" s="9"/>
      <c r="W1382" s="9"/>
      <c r="X1382" s="9"/>
      <c r="Y1382" s="9"/>
      <c r="Z1382" s="9"/>
      <c r="AA1382" s="9"/>
      <c r="AB1382" s="9"/>
      <c r="AC1382" s="9"/>
      <c r="AD1382" s="25"/>
      <c r="AE1382" s="25"/>
      <c r="AF1382" s="9"/>
      <c r="AG1382" s="9"/>
      <c r="AH1382" s="9"/>
      <c r="AI1382" s="9"/>
    </row>
    <row r="1383" ht="15.75" customHeight="1">
      <c r="A1383" s="9"/>
      <c r="B1383" s="9"/>
      <c r="C1383" s="9"/>
      <c r="D1383" s="9"/>
      <c r="E1383" s="67"/>
      <c r="F1383" s="68"/>
      <c r="G1383" s="68"/>
      <c r="H1383" s="69"/>
      <c r="I1383" s="69"/>
      <c r="J1383" s="69"/>
      <c r="K1383" s="69"/>
      <c r="L1383" s="69"/>
      <c r="M1383" s="70"/>
      <c r="N1383" s="69"/>
      <c r="O1383" s="23"/>
      <c r="P1383" s="23"/>
      <c r="Q1383" s="9"/>
      <c r="R1383" s="9"/>
      <c r="S1383" s="9"/>
      <c r="T1383" s="9"/>
      <c r="U1383" s="9"/>
      <c r="V1383" s="9"/>
      <c r="W1383" s="9"/>
      <c r="X1383" s="9"/>
      <c r="Y1383" s="9"/>
      <c r="Z1383" s="9"/>
      <c r="AA1383" s="9"/>
      <c r="AB1383" s="9"/>
      <c r="AC1383" s="9"/>
      <c r="AD1383" s="25"/>
      <c r="AE1383" s="25"/>
      <c r="AF1383" s="9"/>
      <c r="AG1383" s="9"/>
      <c r="AH1383" s="9"/>
      <c r="AI1383" s="9"/>
    </row>
    <row r="1384" ht="15.75" customHeight="1">
      <c r="A1384" s="9"/>
      <c r="B1384" s="9"/>
      <c r="C1384" s="9"/>
      <c r="D1384" s="9"/>
      <c r="E1384" s="67"/>
      <c r="F1384" s="68"/>
      <c r="G1384" s="68"/>
      <c r="H1384" s="69"/>
      <c r="I1384" s="69"/>
      <c r="J1384" s="69"/>
      <c r="K1384" s="69"/>
      <c r="L1384" s="69"/>
      <c r="M1384" s="70"/>
      <c r="N1384" s="69"/>
      <c r="O1384" s="23"/>
      <c r="P1384" s="23"/>
      <c r="Q1384" s="9"/>
      <c r="R1384" s="9"/>
      <c r="S1384" s="9"/>
      <c r="T1384" s="9"/>
      <c r="U1384" s="9"/>
      <c r="V1384" s="9"/>
      <c r="W1384" s="9"/>
      <c r="X1384" s="9"/>
      <c r="Y1384" s="9"/>
      <c r="Z1384" s="9"/>
      <c r="AA1384" s="9"/>
      <c r="AB1384" s="9"/>
      <c r="AC1384" s="9"/>
      <c r="AD1384" s="25"/>
      <c r="AE1384" s="25"/>
      <c r="AF1384" s="9"/>
      <c r="AG1384" s="9"/>
      <c r="AH1384" s="9"/>
      <c r="AI1384" s="9"/>
    </row>
    <row r="1385" ht="15.75" customHeight="1">
      <c r="A1385" s="9"/>
      <c r="B1385" s="9"/>
      <c r="C1385" s="9"/>
      <c r="D1385" s="9"/>
      <c r="E1385" s="67"/>
      <c r="F1385" s="68"/>
      <c r="G1385" s="68"/>
      <c r="H1385" s="69"/>
      <c r="I1385" s="69"/>
      <c r="J1385" s="69"/>
      <c r="K1385" s="69"/>
      <c r="L1385" s="69"/>
      <c r="M1385" s="70"/>
      <c r="N1385" s="69"/>
      <c r="O1385" s="23"/>
      <c r="P1385" s="23"/>
      <c r="Q1385" s="9"/>
      <c r="R1385" s="9"/>
      <c r="S1385" s="9"/>
      <c r="T1385" s="9"/>
      <c r="U1385" s="9"/>
      <c r="V1385" s="9"/>
      <c r="W1385" s="9"/>
      <c r="X1385" s="9"/>
      <c r="Y1385" s="9"/>
      <c r="Z1385" s="9"/>
      <c r="AA1385" s="9"/>
      <c r="AB1385" s="9"/>
      <c r="AC1385" s="9"/>
      <c r="AD1385" s="25"/>
      <c r="AE1385" s="25"/>
      <c r="AF1385" s="9"/>
      <c r="AG1385" s="9"/>
      <c r="AH1385" s="9"/>
      <c r="AI1385" s="9"/>
    </row>
    <row r="1386" ht="15.75" customHeight="1">
      <c r="A1386" s="9"/>
      <c r="B1386" s="9"/>
      <c r="C1386" s="9"/>
      <c r="D1386" s="9"/>
      <c r="E1386" s="67"/>
      <c r="F1386" s="68"/>
      <c r="G1386" s="68"/>
      <c r="H1386" s="69"/>
      <c r="I1386" s="69"/>
      <c r="J1386" s="69"/>
      <c r="K1386" s="69"/>
      <c r="L1386" s="69"/>
      <c r="M1386" s="69"/>
      <c r="N1386" s="69"/>
      <c r="O1386" s="23"/>
      <c r="P1386" s="23"/>
      <c r="Q1386" s="9"/>
      <c r="R1386" s="9"/>
      <c r="S1386" s="9"/>
      <c r="T1386" s="9"/>
      <c r="U1386" s="9"/>
      <c r="V1386" s="9"/>
      <c r="W1386" s="9"/>
      <c r="X1386" s="9"/>
      <c r="Y1386" s="9"/>
      <c r="Z1386" s="9"/>
      <c r="AA1386" s="9"/>
      <c r="AB1386" s="9"/>
      <c r="AC1386" s="9"/>
      <c r="AD1386" s="25"/>
      <c r="AE1386" s="25"/>
      <c r="AF1386" s="9"/>
      <c r="AG1386" s="9"/>
      <c r="AH1386" s="9"/>
      <c r="AI1386" s="9"/>
    </row>
    <row r="1387" ht="15.75" customHeight="1">
      <c r="A1387" s="9"/>
      <c r="B1387" s="9"/>
      <c r="C1387" s="9"/>
      <c r="D1387" s="9"/>
      <c r="E1387" s="67"/>
      <c r="F1387" s="68"/>
      <c r="G1387" s="68"/>
      <c r="H1387" s="69"/>
      <c r="I1387" s="69"/>
      <c r="J1387" s="69"/>
      <c r="K1387" s="69"/>
      <c r="L1387" s="69"/>
      <c r="M1387" s="70"/>
      <c r="N1387" s="69"/>
      <c r="O1387" s="23"/>
      <c r="P1387" s="23"/>
      <c r="Q1387" s="9"/>
      <c r="R1387" s="9"/>
      <c r="S1387" s="9"/>
      <c r="T1387" s="9"/>
      <c r="U1387" s="9"/>
      <c r="V1387" s="9"/>
      <c r="W1387" s="9"/>
      <c r="X1387" s="9"/>
      <c r="Y1387" s="9"/>
      <c r="Z1387" s="9"/>
      <c r="AA1387" s="9"/>
      <c r="AB1387" s="9"/>
      <c r="AC1387" s="9"/>
      <c r="AD1387" s="25"/>
      <c r="AE1387" s="25"/>
      <c r="AF1387" s="9"/>
      <c r="AG1387" s="9"/>
      <c r="AH1387" s="9"/>
      <c r="AI1387" s="9"/>
    </row>
    <row r="1388" ht="15.75" customHeight="1">
      <c r="A1388" s="9"/>
      <c r="B1388" s="9"/>
      <c r="C1388" s="9"/>
      <c r="D1388" s="9"/>
      <c r="E1388" s="67"/>
      <c r="F1388" s="68"/>
      <c r="G1388" s="68"/>
      <c r="H1388" s="69"/>
      <c r="I1388" s="69"/>
      <c r="J1388" s="69"/>
      <c r="K1388" s="69"/>
      <c r="L1388" s="69"/>
      <c r="M1388" s="69"/>
      <c r="N1388" s="69"/>
      <c r="O1388" s="23"/>
      <c r="P1388" s="23"/>
      <c r="Q1388" s="9"/>
      <c r="R1388" s="9"/>
      <c r="S1388" s="9"/>
      <c r="T1388" s="9"/>
      <c r="U1388" s="9"/>
      <c r="V1388" s="9"/>
      <c r="W1388" s="9"/>
      <c r="X1388" s="9"/>
      <c r="Y1388" s="9"/>
      <c r="Z1388" s="9"/>
      <c r="AA1388" s="9"/>
      <c r="AB1388" s="9"/>
      <c r="AC1388" s="9"/>
      <c r="AD1388" s="25"/>
      <c r="AE1388" s="25"/>
      <c r="AF1388" s="9"/>
      <c r="AG1388" s="9"/>
      <c r="AH1388" s="9"/>
      <c r="AI1388" s="9"/>
    </row>
    <row r="1389" ht="15.75" customHeight="1">
      <c r="A1389" s="9"/>
      <c r="B1389" s="9"/>
      <c r="C1389" s="9"/>
      <c r="D1389" s="9"/>
      <c r="E1389" s="67"/>
      <c r="F1389" s="68"/>
      <c r="G1389" s="68"/>
      <c r="H1389" s="69"/>
      <c r="I1389" s="69"/>
      <c r="J1389" s="69"/>
      <c r="K1389" s="69"/>
      <c r="L1389" s="69"/>
      <c r="M1389" s="70"/>
      <c r="N1389" s="69"/>
      <c r="O1389" s="23"/>
      <c r="P1389" s="23"/>
      <c r="Q1389" s="9"/>
      <c r="R1389" s="9"/>
      <c r="S1389" s="9"/>
      <c r="T1389" s="9"/>
      <c r="U1389" s="9"/>
      <c r="V1389" s="9"/>
      <c r="W1389" s="9"/>
      <c r="X1389" s="9"/>
      <c r="Y1389" s="9"/>
      <c r="Z1389" s="9"/>
      <c r="AA1389" s="9"/>
      <c r="AB1389" s="9"/>
      <c r="AC1389" s="9"/>
      <c r="AD1389" s="25"/>
      <c r="AE1389" s="25"/>
      <c r="AF1389" s="9"/>
      <c r="AG1389" s="9"/>
      <c r="AH1389" s="9"/>
      <c r="AI1389" s="9"/>
    </row>
    <row r="1390" ht="15.75" customHeight="1">
      <c r="A1390" s="9"/>
      <c r="B1390" s="9"/>
      <c r="C1390" s="9"/>
      <c r="D1390" s="9"/>
      <c r="E1390" s="67"/>
      <c r="F1390" s="68"/>
      <c r="G1390" s="68"/>
      <c r="H1390" s="69"/>
      <c r="I1390" s="69"/>
      <c r="J1390" s="69"/>
      <c r="K1390" s="69"/>
      <c r="L1390" s="69"/>
      <c r="M1390" s="69"/>
      <c r="N1390" s="69"/>
      <c r="O1390" s="23"/>
      <c r="P1390" s="23"/>
      <c r="Q1390" s="9"/>
      <c r="R1390" s="9"/>
      <c r="S1390" s="9"/>
      <c r="T1390" s="9"/>
      <c r="U1390" s="9"/>
      <c r="V1390" s="9"/>
      <c r="W1390" s="9"/>
      <c r="X1390" s="9"/>
      <c r="Y1390" s="9"/>
      <c r="Z1390" s="9"/>
      <c r="AA1390" s="9"/>
      <c r="AB1390" s="9"/>
      <c r="AC1390" s="9"/>
      <c r="AD1390" s="25"/>
      <c r="AE1390" s="25"/>
      <c r="AF1390" s="9"/>
      <c r="AG1390" s="9"/>
      <c r="AH1390" s="9"/>
      <c r="AI1390" s="9"/>
    </row>
    <row r="1391" ht="15.75" customHeight="1">
      <c r="A1391" s="9"/>
      <c r="B1391" s="9"/>
      <c r="C1391" s="9"/>
      <c r="D1391" s="9"/>
      <c r="E1391" s="67"/>
      <c r="F1391" s="68"/>
      <c r="G1391" s="68"/>
      <c r="H1391" s="69"/>
      <c r="I1391" s="69"/>
      <c r="J1391" s="69"/>
      <c r="K1391" s="69"/>
      <c r="L1391" s="69"/>
      <c r="M1391" s="69"/>
      <c r="N1391" s="69"/>
      <c r="O1391" s="23"/>
      <c r="P1391" s="23"/>
      <c r="Q1391" s="9"/>
      <c r="R1391" s="9"/>
      <c r="S1391" s="9"/>
      <c r="T1391" s="9"/>
      <c r="U1391" s="9"/>
      <c r="V1391" s="9"/>
      <c r="W1391" s="9"/>
      <c r="X1391" s="9"/>
      <c r="Y1391" s="9"/>
      <c r="Z1391" s="9"/>
      <c r="AA1391" s="9"/>
      <c r="AB1391" s="9"/>
      <c r="AC1391" s="9"/>
      <c r="AD1391" s="25"/>
      <c r="AE1391" s="25"/>
      <c r="AF1391" s="9"/>
      <c r="AG1391" s="9"/>
      <c r="AH1391" s="9"/>
      <c r="AI1391" s="9"/>
    </row>
    <row r="1392" ht="15.75" customHeight="1">
      <c r="A1392" s="9"/>
      <c r="B1392" s="9"/>
      <c r="C1392" s="9"/>
      <c r="D1392" s="9"/>
      <c r="E1392" s="67"/>
      <c r="F1392" s="68"/>
      <c r="G1392" s="68"/>
      <c r="H1392" s="69"/>
      <c r="I1392" s="69"/>
      <c r="J1392" s="69"/>
      <c r="K1392" s="69"/>
      <c r="L1392" s="69"/>
      <c r="M1392" s="70"/>
      <c r="N1392" s="69"/>
      <c r="O1392" s="23"/>
      <c r="P1392" s="23"/>
      <c r="Q1392" s="9"/>
      <c r="R1392" s="9"/>
      <c r="S1392" s="9"/>
      <c r="T1392" s="9"/>
      <c r="U1392" s="9"/>
      <c r="V1392" s="9"/>
      <c r="W1392" s="9"/>
      <c r="X1392" s="9"/>
      <c r="Y1392" s="9"/>
      <c r="Z1392" s="9"/>
      <c r="AA1392" s="9"/>
      <c r="AB1392" s="9"/>
      <c r="AC1392" s="9"/>
      <c r="AD1392" s="25"/>
      <c r="AE1392" s="25"/>
      <c r="AF1392" s="9"/>
      <c r="AG1392" s="9"/>
      <c r="AH1392" s="9"/>
      <c r="AI1392" s="9"/>
    </row>
    <row r="1393" ht="15.75" customHeight="1">
      <c r="A1393" s="9"/>
      <c r="B1393" s="9"/>
      <c r="C1393" s="9"/>
      <c r="D1393" s="9"/>
      <c r="E1393" s="67"/>
      <c r="F1393" s="68"/>
      <c r="G1393" s="68"/>
      <c r="H1393" s="69"/>
      <c r="I1393" s="69"/>
      <c r="J1393" s="69"/>
      <c r="K1393" s="69"/>
      <c r="L1393" s="69"/>
      <c r="M1393" s="69"/>
      <c r="N1393" s="69"/>
      <c r="O1393" s="23"/>
      <c r="P1393" s="23"/>
      <c r="Q1393" s="9"/>
      <c r="R1393" s="9"/>
      <c r="S1393" s="9"/>
      <c r="T1393" s="9"/>
      <c r="U1393" s="9"/>
      <c r="V1393" s="9"/>
      <c r="W1393" s="9"/>
      <c r="X1393" s="9"/>
      <c r="Y1393" s="9"/>
      <c r="Z1393" s="9"/>
      <c r="AA1393" s="9"/>
      <c r="AB1393" s="9"/>
      <c r="AC1393" s="9"/>
      <c r="AD1393" s="25"/>
      <c r="AE1393" s="25"/>
      <c r="AF1393" s="9"/>
      <c r="AG1393" s="9"/>
      <c r="AH1393" s="9"/>
      <c r="AI1393" s="9"/>
    </row>
    <row r="1394" ht="15.75" customHeight="1">
      <c r="A1394" s="9"/>
      <c r="B1394" s="9"/>
      <c r="C1394" s="9"/>
      <c r="D1394" s="9"/>
      <c r="E1394" s="67"/>
      <c r="F1394" s="68"/>
      <c r="G1394" s="68"/>
      <c r="H1394" s="69"/>
      <c r="I1394" s="69"/>
      <c r="J1394" s="69"/>
      <c r="K1394" s="69"/>
      <c r="L1394" s="69"/>
      <c r="M1394" s="69"/>
      <c r="N1394" s="69"/>
      <c r="O1394" s="23"/>
      <c r="P1394" s="23"/>
      <c r="Q1394" s="9"/>
      <c r="R1394" s="9"/>
      <c r="S1394" s="9"/>
      <c r="T1394" s="9"/>
      <c r="U1394" s="9"/>
      <c r="V1394" s="9"/>
      <c r="W1394" s="9"/>
      <c r="X1394" s="9"/>
      <c r="Y1394" s="9"/>
      <c r="Z1394" s="9"/>
      <c r="AA1394" s="9"/>
      <c r="AB1394" s="9"/>
      <c r="AC1394" s="9"/>
      <c r="AD1394" s="25"/>
      <c r="AE1394" s="25"/>
      <c r="AF1394" s="9"/>
      <c r="AG1394" s="9"/>
      <c r="AH1394" s="9"/>
      <c r="AI1394" s="9"/>
    </row>
    <row r="1395" ht="15.75" customHeight="1">
      <c r="A1395" s="9"/>
      <c r="B1395" s="9"/>
      <c r="C1395" s="9"/>
      <c r="D1395" s="9"/>
      <c r="E1395" s="67"/>
      <c r="F1395" s="68"/>
      <c r="G1395" s="68"/>
      <c r="H1395" s="69"/>
      <c r="I1395" s="69"/>
      <c r="J1395" s="69"/>
      <c r="K1395" s="69"/>
      <c r="L1395" s="69"/>
      <c r="M1395" s="70"/>
      <c r="N1395" s="69"/>
      <c r="O1395" s="23"/>
      <c r="P1395" s="23"/>
      <c r="Q1395" s="9"/>
      <c r="R1395" s="9"/>
      <c r="S1395" s="9"/>
      <c r="T1395" s="9"/>
      <c r="U1395" s="9"/>
      <c r="V1395" s="9"/>
      <c r="W1395" s="9"/>
      <c r="X1395" s="9"/>
      <c r="Y1395" s="9"/>
      <c r="Z1395" s="9"/>
      <c r="AA1395" s="9"/>
      <c r="AB1395" s="9"/>
      <c r="AC1395" s="9"/>
      <c r="AD1395" s="25"/>
      <c r="AE1395" s="25"/>
      <c r="AF1395" s="9"/>
      <c r="AG1395" s="9"/>
      <c r="AH1395" s="9"/>
      <c r="AI1395" s="9"/>
    </row>
    <row r="1396" ht="15.75" customHeight="1">
      <c r="A1396" s="9"/>
      <c r="B1396" s="9"/>
      <c r="C1396" s="9"/>
      <c r="D1396" s="9"/>
      <c r="E1396" s="67"/>
      <c r="F1396" s="68"/>
      <c r="G1396" s="68"/>
      <c r="H1396" s="69"/>
      <c r="I1396" s="69"/>
      <c r="J1396" s="69"/>
      <c r="K1396" s="69"/>
      <c r="L1396" s="69"/>
      <c r="M1396" s="70"/>
      <c r="N1396" s="69"/>
      <c r="O1396" s="23"/>
      <c r="P1396" s="23"/>
      <c r="Q1396" s="9"/>
      <c r="R1396" s="9"/>
      <c r="S1396" s="9"/>
      <c r="T1396" s="9"/>
      <c r="U1396" s="9"/>
      <c r="V1396" s="9"/>
      <c r="W1396" s="9"/>
      <c r="X1396" s="9"/>
      <c r="Y1396" s="9"/>
      <c r="Z1396" s="9"/>
      <c r="AA1396" s="9"/>
      <c r="AB1396" s="9"/>
      <c r="AC1396" s="9"/>
      <c r="AD1396" s="25"/>
      <c r="AE1396" s="25"/>
      <c r="AF1396" s="9"/>
      <c r="AG1396" s="9"/>
      <c r="AH1396" s="9"/>
      <c r="AI1396" s="9"/>
    </row>
    <row r="1397" ht="15.75" customHeight="1">
      <c r="A1397" s="9"/>
      <c r="B1397" s="9"/>
      <c r="C1397" s="9"/>
      <c r="D1397" s="9"/>
      <c r="E1397" s="67"/>
      <c r="F1397" s="68"/>
      <c r="G1397" s="68"/>
      <c r="H1397" s="69"/>
      <c r="I1397" s="69"/>
      <c r="J1397" s="69"/>
      <c r="K1397" s="69"/>
      <c r="L1397" s="69"/>
      <c r="M1397" s="69"/>
      <c r="N1397" s="69"/>
      <c r="O1397" s="23"/>
      <c r="P1397" s="23"/>
      <c r="Q1397" s="9"/>
      <c r="R1397" s="9"/>
      <c r="S1397" s="9"/>
      <c r="T1397" s="9"/>
      <c r="U1397" s="9"/>
      <c r="V1397" s="9"/>
      <c r="W1397" s="9"/>
      <c r="X1397" s="9"/>
      <c r="Y1397" s="9"/>
      <c r="Z1397" s="9"/>
      <c r="AA1397" s="9"/>
      <c r="AB1397" s="9"/>
      <c r="AC1397" s="9"/>
      <c r="AD1397" s="25"/>
      <c r="AE1397" s="25"/>
      <c r="AF1397" s="9"/>
      <c r="AG1397" s="9"/>
      <c r="AH1397" s="9"/>
      <c r="AI1397" s="9"/>
    </row>
    <row r="1398" ht="15.75" customHeight="1">
      <c r="A1398" s="9"/>
      <c r="B1398" s="9"/>
      <c r="C1398" s="9"/>
      <c r="D1398" s="9"/>
      <c r="E1398" s="67"/>
      <c r="F1398" s="68"/>
      <c r="G1398" s="68"/>
      <c r="H1398" s="69"/>
      <c r="I1398" s="69"/>
      <c r="J1398" s="69"/>
      <c r="K1398" s="69"/>
      <c r="L1398" s="69"/>
      <c r="M1398" s="70"/>
      <c r="N1398" s="69"/>
      <c r="O1398" s="23"/>
      <c r="P1398" s="23"/>
      <c r="Q1398" s="9"/>
      <c r="R1398" s="9"/>
      <c r="S1398" s="9"/>
      <c r="T1398" s="9"/>
      <c r="U1398" s="9"/>
      <c r="V1398" s="9"/>
      <c r="W1398" s="9"/>
      <c r="X1398" s="9"/>
      <c r="Y1398" s="9"/>
      <c r="Z1398" s="9"/>
      <c r="AA1398" s="9"/>
      <c r="AB1398" s="9"/>
      <c r="AC1398" s="9"/>
      <c r="AD1398" s="25"/>
      <c r="AE1398" s="25"/>
      <c r="AF1398" s="9"/>
      <c r="AG1398" s="9"/>
      <c r="AH1398" s="9"/>
      <c r="AI1398" s="9"/>
    </row>
    <row r="1399" ht="15.75" customHeight="1">
      <c r="A1399" s="9"/>
      <c r="B1399" s="9"/>
      <c r="C1399" s="9"/>
      <c r="D1399" s="9"/>
      <c r="E1399" s="67"/>
      <c r="F1399" s="68"/>
      <c r="G1399" s="68"/>
      <c r="H1399" s="69"/>
      <c r="I1399" s="69"/>
      <c r="J1399" s="69"/>
      <c r="K1399" s="69"/>
      <c r="L1399" s="69"/>
      <c r="M1399" s="70"/>
      <c r="N1399" s="69"/>
      <c r="O1399" s="23"/>
      <c r="P1399" s="23"/>
      <c r="Q1399" s="9"/>
      <c r="R1399" s="9"/>
      <c r="S1399" s="9"/>
      <c r="T1399" s="9"/>
      <c r="U1399" s="9"/>
      <c r="V1399" s="9"/>
      <c r="W1399" s="9"/>
      <c r="X1399" s="9"/>
      <c r="Y1399" s="9"/>
      <c r="Z1399" s="9"/>
      <c r="AA1399" s="9"/>
      <c r="AB1399" s="9"/>
      <c r="AC1399" s="9"/>
      <c r="AD1399" s="25"/>
      <c r="AE1399" s="25"/>
      <c r="AF1399" s="9"/>
      <c r="AG1399" s="9"/>
      <c r="AH1399" s="9"/>
      <c r="AI1399" s="9"/>
    </row>
    <row r="1400" ht="15.75" customHeight="1">
      <c r="A1400" s="9"/>
      <c r="B1400" s="9"/>
      <c r="C1400" s="9"/>
      <c r="D1400" s="9"/>
      <c r="E1400" s="67"/>
      <c r="F1400" s="68"/>
      <c r="G1400" s="68"/>
      <c r="H1400" s="69"/>
      <c r="I1400" s="69"/>
      <c r="J1400" s="69"/>
      <c r="K1400" s="69"/>
      <c r="L1400" s="69"/>
      <c r="M1400" s="69"/>
      <c r="N1400" s="69"/>
      <c r="O1400" s="23"/>
      <c r="P1400" s="23"/>
      <c r="Q1400" s="9"/>
      <c r="R1400" s="9"/>
      <c r="S1400" s="9"/>
      <c r="T1400" s="9"/>
      <c r="U1400" s="9"/>
      <c r="V1400" s="9"/>
      <c r="W1400" s="9"/>
      <c r="X1400" s="9"/>
      <c r="Y1400" s="9"/>
      <c r="Z1400" s="9"/>
      <c r="AA1400" s="9"/>
      <c r="AB1400" s="9"/>
      <c r="AC1400" s="9"/>
      <c r="AD1400" s="25"/>
      <c r="AE1400" s="25"/>
      <c r="AF1400" s="9"/>
      <c r="AG1400" s="9"/>
      <c r="AH1400" s="9"/>
      <c r="AI1400" s="9"/>
    </row>
    <row r="1401" ht="15.75" customHeight="1">
      <c r="A1401" s="9"/>
      <c r="B1401" s="9"/>
      <c r="C1401" s="9"/>
      <c r="D1401" s="9"/>
      <c r="E1401" s="67"/>
      <c r="F1401" s="68"/>
      <c r="G1401" s="68"/>
      <c r="H1401" s="69"/>
      <c r="I1401" s="69"/>
      <c r="J1401" s="69"/>
      <c r="K1401" s="69"/>
      <c r="L1401" s="69"/>
      <c r="M1401" s="69"/>
      <c r="N1401" s="69"/>
      <c r="O1401" s="23"/>
      <c r="P1401" s="23"/>
      <c r="Q1401" s="9"/>
      <c r="R1401" s="9"/>
      <c r="S1401" s="9"/>
      <c r="T1401" s="9"/>
      <c r="U1401" s="9"/>
      <c r="V1401" s="9"/>
      <c r="W1401" s="9"/>
      <c r="X1401" s="9"/>
      <c r="Y1401" s="9"/>
      <c r="Z1401" s="9"/>
      <c r="AA1401" s="9"/>
      <c r="AB1401" s="9"/>
      <c r="AC1401" s="9"/>
      <c r="AD1401" s="25"/>
      <c r="AE1401" s="25"/>
      <c r="AF1401" s="9"/>
      <c r="AG1401" s="9"/>
      <c r="AH1401" s="9"/>
      <c r="AI1401" s="9"/>
    </row>
    <row r="1402" ht="15.75" customHeight="1">
      <c r="A1402" s="9"/>
      <c r="B1402" s="9"/>
      <c r="C1402" s="9"/>
      <c r="D1402" s="9"/>
      <c r="E1402" s="67"/>
      <c r="F1402" s="68"/>
      <c r="G1402" s="68"/>
      <c r="H1402" s="69"/>
      <c r="I1402" s="69"/>
      <c r="J1402" s="69"/>
      <c r="K1402" s="69"/>
      <c r="L1402" s="69"/>
      <c r="M1402" s="70"/>
      <c r="N1402" s="69"/>
      <c r="O1402" s="23"/>
      <c r="P1402" s="23"/>
      <c r="Q1402" s="9"/>
      <c r="R1402" s="9"/>
      <c r="S1402" s="9"/>
      <c r="T1402" s="9"/>
      <c r="U1402" s="9"/>
      <c r="V1402" s="9"/>
      <c r="W1402" s="9"/>
      <c r="X1402" s="9"/>
      <c r="Y1402" s="9"/>
      <c r="Z1402" s="9"/>
      <c r="AA1402" s="9"/>
      <c r="AB1402" s="9"/>
      <c r="AC1402" s="9"/>
      <c r="AD1402" s="25"/>
      <c r="AE1402" s="25"/>
      <c r="AF1402" s="9"/>
      <c r="AG1402" s="9"/>
      <c r="AH1402" s="9"/>
      <c r="AI1402" s="9"/>
    </row>
    <row r="1403" ht="15.75" customHeight="1">
      <c r="A1403" s="9"/>
      <c r="B1403" s="9"/>
      <c r="C1403" s="9"/>
      <c r="D1403" s="9"/>
      <c r="E1403" s="67"/>
      <c r="F1403" s="68"/>
      <c r="G1403" s="68"/>
      <c r="H1403" s="69"/>
      <c r="I1403" s="69"/>
      <c r="J1403" s="69"/>
      <c r="K1403" s="69"/>
      <c r="L1403" s="69"/>
      <c r="M1403" s="70"/>
      <c r="N1403" s="69"/>
      <c r="O1403" s="23"/>
      <c r="P1403" s="23"/>
      <c r="Q1403" s="9"/>
      <c r="R1403" s="9"/>
      <c r="S1403" s="9"/>
      <c r="T1403" s="9"/>
      <c r="U1403" s="9"/>
      <c r="V1403" s="9"/>
      <c r="W1403" s="9"/>
      <c r="X1403" s="9"/>
      <c r="Y1403" s="9"/>
      <c r="Z1403" s="9"/>
      <c r="AA1403" s="9"/>
      <c r="AB1403" s="9"/>
      <c r="AC1403" s="9"/>
      <c r="AD1403" s="25"/>
      <c r="AE1403" s="25"/>
      <c r="AF1403" s="9"/>
      <c r="AG1403" s="9"/>
      <c r="AH1403" s="9"/>
      <c r="AI1403" s="9"/>
    </row>
    <row r="1404" ht="15.75" customHeight="1">
      <c r="A1404" s="9"/>
      <c r="B1404" s="9"/>
      <c r="C1404" s="9"/>
      <c r="D1404" s="9"/>
      <c r="E1404" s="67"/>
      <c r="F1404" s="68"/>
      <c r="G1404" s="68"/>
      <c r="H1404" s="69"/>
      <c r="I1404" s="69"/>
      <c r="J1404" s="69"/>
      <c r="K1404" s="69"/>
      <c r="L1404" s="69"/>
      <c r="M1404" s="70"/>
      <c r="N1404" s="69"/>
      <c r="O1404" s="23"/>
      <c r="P1404" s="23"/>
      <c r="Q1404" s="9"/>
      <c r="R1404" s="9"/>
      <c r="S1404" s="9"/>
      <c r="T1404" s="9"/>
      <c r="U1404" s="9"/>
      <c r="V1404" s="9"/>
      <c r="W1404" s="9"/>
      <c r="X1404" s="9"/>
      <c r="Y1404" s="9"/>
      <c r="Z1404" s="9"/>
      <c r="AA1404" s="9"/>
      <c r="AB1404" s="9"/>
      <c r="AC1404" s="9"/>
      <c r="AD1404" s="25"/>
      <c r="AE1404" s="25"/>
      <c r="AF1404" s="9"/>
      <c r="AG1404" s="9"/>
      <c r="AH1404" s="9"/>
      <c r="AI1404" s="9"/>
    </row>
    <row r="1405" ht="15.75" customHeight="1">
      <c r="A1405" s="9"/>
      <c r="B1405" s="9"/>
      <c r="C1405" s="9"/>
      <c r="D1405" s="9"/>
      <c r="E1405" s="67"/>
      <c r="F1405" s="68"/>
      <c r="G1405" s="68"/>
      <c r="H1405" s="69"/>
      <c r="I1405" s="69"/>
      <c r="J1405" s="69"/>
      <c r="K1405" s="69"/>
      <c r="L1405" s="69"/>
      <c r="M1405" s="70"/>
      <c r="N1405" s="69"/>
      <c r="O1405" s="23"/>
      <c r="P1405" s="23"/>
      <c r="Q1405" s="9"/>
      <c r="R1405" s="9"/>
      <c r="S1405" s="9"/>
      <c r="T1405" s="9"/>
      <c r="U1405" s="9"/>
      <c r="V1405" s="9"/>
      <c r="W1405" s="9"/>
      <c r="X1405" s="9"/>
      <c r="Y1405" s="9"/>
      <c r="Z1405" s="9"/>
      <c r="AA1405" s="9"/>
      <c r="AB1405" s="9"/>
      <c r="AC1405" s="9"/>
      <c r="AD1405" s="25"/>
      <c r="AE1405" s="25"/>
      <c r="AF1405" s="9"/>
      <c r="AG1405" s="9"/>
      <c r="AH1405" s="9"/>
      <c r="AI1405" s="9"/>
    </row>
    <row r="1406" ht="15.75" customHeight="1">
      <c r="A1406" s="9"/>
      <c r="B1406" s="9"/>
      <c r="C1406" s="9"/>
      <c r="D1406" s="9"/>
      <c r="E1406" s="67"/>
      <c r="F1406" s="68"/>
      <c r="G1406" s="68"/>
      <c r="H1406" s="69"/>
      <c r="I1406" s="69"/>
      <c r="J1406" s="69"/>
      <c r="K1406" s="69"/>
      <c r="L1406" s="69"/>
      <c r="M1406" s="70"/>
      <c r="N1406" s="69"/>
      <c r="O1406" s="23"/>
      <c r="P1406" s="23"/>
      <c r="Q1406" s="9"/>
      <c r="R1406" s="9"/>
      <c r="S1406" s="9"/>
      <c r="T1406" s="9"/>
      <c r="U1406" s="9"/>
      <c r="V1406" s="9"/>
      <c r="W1406" s="9"/>
      <c r="X1406" s="9"/>
      <c r="Y1406" s="9"/>
      <c r="Z1406" s="9"/>
      <c r="AA1406" s="9"/>
      <c r="AB1406" s="9"/>
      <c r="AC1406" s="9"/>
      <c r="AD1406" s="25"/>
      <c r="AE1406" s="25"/>
      <c r="AF1406" s="9"/>
      <c r="AG1406" s="9"/>
      <c r="AH1406" s="9"/>
      <c r="AI1406" s="9"/>
    </row>
    <row r="1407" ht="15.75" customHeight="1">
      <c r="A1407" s="9"/>
      <c r="B1407" s="9"/>
      <c r="C1407" s="9"/>
      <c r="D1407" s="9"/>
      <c r="E1407" s="67"/>
      <c r="F1407" s="68"/>
      <c r="G1407" s="68"/>
      <c r="H1407" s="69"/>
      <c r="I1407" s="69"/>
      <c r="J1407" s="69"/>
      <c r="K1407" s="69"/>
      <c r="L1407" s="69"/>
      <c r="M1407" s="70"/>
      <c r="N1407" s="69"/>
      <c r="O1407" s="23"/>
      <c r="P1407" s="23"/>
      <c r="Q1407" s="9"/>
      <c r="R1407" s="9"/>
      <c r="S1407" s="9"/>
      <c r="T1407" s="9"/>
      <c r="U1407" s="9"/>
      <c r="V1407" s="9"/>
      <c r="W1407" s="9"/>
      <c r="X1407" s="9"/>
      <c r="Y1407" s="9"/>
      <c r="Z1407" s="9"/>
      <c r="AA1407" s="9"/>
      <c r="AB1407" s="9"/>
      <c r="AC1407" s="9"/>
      <c r="AD1407" s="25"/>
      <c r="AE1407" s="25"/>
      <c r="AF1407" s="9"/>
      <c r="AG1407" s="9"/>
      <c r="AH1407" s="9"/>
      <c r="AI1407" s="9"/>
    </row>
    <row r="1408" ht="15.75" customHeight="1">
      <c r="A1408" s="9"/>
      <c r="B1408" s="9"/>
      <c r="C1408" s="9"/>
      <c r="D1408" s="9"/>
      <c r="E1408" s="67"/>
      <c r="F1408" s="68"/>
      <c r="G1408" s="68"/>
      <c r="H1408" s="69"/>
      <c r="I1408" s="69"/>
      <c r="J1408" s="69"/>
      <c r="K1408" s="69"/>
      <c r="L1408" s="69"/>
      <c r="M1408" s="69"/>
      <c r="N1408" s="69"/>
      <c r="O1408" s="23"/>
      <c r="P1408" s="23"/>
      <c r="Q1408" s="9"/>
      <c r="R1408" s="9"/>
      <c r="S1408" s="9"/>
      <c r="T1408" s="9"/>
      <c r="U1408" s="9"/>
      <c r="V1408" s="9"/>
      <c r="W1408" s="9"/>
      <c r="X1408" s="9"/>
      <c r="Y1408" s="9"/>
      <c r="Z1408" s="9"/>
      <c r="AA1408" s="9"/>
      <c r="AB1408" s="9"/>
      <c r="AC1408" s="9"/>
      <c r="AD1408" s="25"/>
      <c r="AE1408" s="25"/>
      <c r="AF1408" s="9"/>
      <c r="AG1408" s="9"/>
      <c r="AH1408" s="9"/>
      <c r="AI1408" s="9"/>
    </row>
    <row r="1409" ht="15.75" customHeight="1">
      <c r="A1409" s="9"/>
      <c r="B1409" s="9"/>
      <c r="C1409" s="9"/>
      <c r="D1409" s="9"/>
      <c r="E1409" s="67"/>
      <c r="F1409" s="68"/>
      <c r="G1409" s="68"/>
      <c r="H1409" s="69"/>
      <c r="I1409" s="69"/>
      <c r="J1409" s="69"/>
      <c r="K1409" s="69"/>
      <c r="L1409" s="69"/>
      <c r="M1409" s="70"/>
      <c r="N1409" s="69"/>
      <c r="O1409" s="23"/>
      <c r="P1409" s="23"/>
      <c r="Q1409" s="9"/>
      <c r="R1409" s="9"/>
      <c r="S1409" s="9"/>
      <c r="T1409" s="9"/>
      <c r="U1409" s="9"/>
      <c r="V1409" s="9"/>
      <c r="W1409" s="9"/>
      <c r="X1409" s="9"/>
      <c r="Y1409" s="9"/>
      <c r="Z1409" s="9"/>
      <c r="AA1409" s="9"/>
      <c r="AB1409" s="9"/>
      <c r="AC1409" s="9"/>
      <c r="AD1409" s="25"/>
      <c r="AE1409" s="25"/>
      <c r="AF1409" s="9"/>
      <c r="AG1409" s="9"/>
      <c r="AH1409" s="9"/>
      <c r="AI1409" s="9"/>
    </row>
    <row r="1410" ht="15.75" customHeight="1">
      <c r="A1410" s="9"/>
      <c r="B1410" s="9"/>
      <c r="C1410" s="9"/>
      <c r="D1410" s="9"/>
      <c r="E1410" s="67"/>
      <c r="F1410" s="68"/>
      <c r="G1410" s="68"/>
      <c r="H1410" s="69"/>
      <c r="I1410" s="69"/>
      <c r="J1410" s="69"/>
      <c r="K1410" s="69"/>
      <c r="L1410" s="69"/>
      <c r="M1410" s="69"/>
      <c r="N1410" s="69"/>
      <c r="O1410" s="23"/>
      <c r="P1410" s="23"/>
      <c r="Q1410" s="9"/>
      <c r="R1410" s="9"/>
      <c r="S1410" s="9"/>
      <c r="T1410" s="9"/>
      <c r="U1410" s="9"/>
      <c r="V1410" s="9"/>
      <c r="W1410" s="9"/>
      <c r="X1410" s="9"/>
      <c r="Y1410" s="9"/>
      <c r="Z1410" s="9"/>
      <c r="AA1410" s="9"/>
      <c r="AB1410" s="9"/>
      <c r="AC1410" s="9"/>
      <c r="AD1410" s="25"/>
      <c r="AE1410" s="25"/>
      <c r="AF1410" s="9"/>
      <c r="AG1410" s="9"/>
      <c r="AH1410" s="9"/>
      <c r="AI1410" s="9"/>
    </row>
    <row r="1411" ht="15.75" customHeight="1">
      <c r="A1411" s="9"/>
      <c r="B1411" s="9"/>
      <c r="C1411" s="9"/>
      <c r="D1411" s="9"/>
      <c r="E1411" s="67"/>
      <c r="F1411" s="68"/>
      <c r="G1411" s="68"/>
      <c r="H1411" s="69"/>
      <c r="I1411" s="69"/>
      <c r="J1411" s="69"/>
      <c r="K1411" s="69"/>
      <c r="L1411" s="69"/>
      <c r="M1411" s="71"/>
      <c r="N1411" s="69"/>
      <c r="O1411" s="23"/>
      <c r="P1411" s="23"/>
      <c r="Q1411" s="9"/>
      <c r="R1411" s="9"/>
      <c r="S1411" s="9"/>
      <c r="T1411" s="9"/>
      <c r="U1411" s="9"/>
      <c r="V1411" s="9"/>
      <c r="W1411" s="9"/>
      <c r="X1411" s="9"/>
      <c r="Y1411" s="9"/>
      <c r="Z1411" s="9"/>
      <c r="AA1411" s="9"/>
      <c r="AB1411" s="9"/>
      <c r="AC1411" s="9"/>
      <c r="AD1411" s="25"/>
      <c r="AE1411" s="25"/>
      <c r="AF1411" s="9"/>
      <c r="AG1411" s="9"/>
      <c r="AH1411" s="9"/>
      <c r="AI1411" s="9"/>
    </row>
    <row r="1412" ht="15.75" customHeight="1">
      <c r="A1412" s="9"/>
      <c r="B1412" s="9"/>
      <c r="C1412" s="9"/>
      <c r="D1412" s="9"/>
      <c r="E1412" s="67"/>
      <c r="F1412" s="68"/>
      <c r="G1412" s="68"/>
      <c r="H1412" s="69"/>
      <c r="I1412" s="69"/>
      <c r="J1412" s="69"/>
      <c r="K1412" s="69"/>
      <c r="L1412" s="69"/>
      <c r="M1412" s="69"/>
      <c r="N1412" s="69"/>
      <c r="O1412" s="23"/>
      <c r="P1412" s="23"/>
      <c r="Q1412" s="9"/>
      <c r="R1412" s="9"/>
      <c r="S1412" s="9"/>
      <c r="T1412" s="9"/>
      <c r="U1412" s="9"/>
      <c r="V1412" s="9"/>
      <c r="W1412" s="9"/>
      <c r="X1412" s="9"/>
      <c r="Y1412" s="9"/>
      <c r="Z1412" s="9"/>
      <c r="AA1412" s="9"/>
      <c r="AB1412" s="9"/>
      <c r="AC1412" s="9"/>
      <c r="AD1412" s="25"/>
      <c r="AE1412" s="25"/>
      <c r="AF1412" s="9"/>
      <c r="AG1412" s="9"/>
      <c r="AH1412" s="9"/>
      <c r="AI1412" s="9"/>
    </row>
    <row r="1413" ht="15.75" customHeight="1">
      <c r="A1413" s="9"/>
      <c r="B1413" s="9"/>
      <c r="C1413" s="9"/>
      <c r="D1413" s="9"/>
      <c r="E1413" s="67"/>
      <c r="F1413" s="68"/>
      <c r="G1413" s="68"/>
      <c r="H1413" s="69"/>
      <c r="I1413" s="69"/>
      <c r="J1413" s="69"/>
      <c r="K1413" s="69"/>
      <c r="L1413" s="69"/>
      <c r="M1413" s="70"/>
      <c r="N1413" s="69"/>
      <c r="O1413" s="23"/>
      <c r="P1413" s="23"/>
      <c r="Q1413" s="9"/>
      <c r="R1413" s="9"/>
      <c r="S1413" s="9"/>
      <c r="T1413" s="9"/>
      <c r="U1413" s="9"/>
      <c r="V1413" s="9"/>
      <c r="W1413" s="9"/>
      <c r="X1413" s="9"/>
      <c r="Y1413" s="9"/>
      <c r="Z1413" s="9"/>
      <c r="AA1413" s="9"/>
      <c r="AB1413" s="9"/>
      <c r="AC1413" s="9"/>
      <c r="AD1413" s="25"/>
      <c r="AE1413" s="25"/>
      <c r="AF1413" s="9"/>
      <c r="AG1413" s="9"/>
      <c r="AH1413" s="9"/>
      <c r="AI1413" s="9"/>
    </row>
    <row r="1414" ht="15.75" customHeight="1">
      <c r="A1414" s="9"/>
      <c r="B1414" s="9"/>
      <c r="C1414" s="9"/>
      <c r="D1414" s="9"/>
      <c r="E1414" s="67"/>
      <c r="F1414" s="68"/>
      <c r="G1414" s="68"/>
      <c r="H1414" s="69"/>
      <c r="I1414" s="69"/>
      <c r="J1414" s="69"/>
      <c r="K1414" s="69"/>
      <c r="L1414" s="69"/>
      <c r="M1414" s="69"/>
      <c r="N1414" s="69"/>
      <c r="O1414" s="23"/>
      <c r="P1414" s="23"/>
      <c r="Q1414" s="9"/>
      <c r="R1414" s="9"/>
      <c r="S1414" s="9"/>
      <c r="T1414" s="9"/>
      <c r="U1414" s="9"/>
      <c r="V1414" s="9"/>
      <c r="W1414" s="9"/>
      <c r="X1414" s="9"/>
      <c r="Y1414" s="9"/>
      <c r="Z1414" s="9"/>
      <c r="AA1414" s="9"/>
      <c r="AB1414" s="9"/>
      <c r="AC1414" s="9"/>
      <c r="AD1414" s="25"/>
      <c r="AE1414" s="25"/>
      <c r="AF1414" s="9"/>
      <c r="AG1414" s="9"/>
      <c r="AH1414" s="9"/>
      <c r="AI1414" s="9"/>
    </row>
    <row r="1415" ht="15.75" customHeight="1">
      <c r="A1415" s="9"/>
      <c r="B1415" s="9"/>
      <c r="C1415" s="9"/>
      <c r="D1415" s="9"/>
      <c r="E1415" s="67"/>
      <c r="F1415" s="68"/>
      <c r="G1415" s="68"/>
      <c r="H1415" s="69"/>
      <c r="I1415" s="69"/>
      <c r="J1415" s="69"/>
      <c r="K1415" s="69"/>
      <c r="L1415" s="69"/>
      <c r="M1415" s="69"/>
      <c r="N1415" s="69"/>
      <c r="O1415" s="23"/>
      <c r="P1415" s="23"/>
      <c r="Q1415" s="9"/>
      <c r="R1415" s="9"/>
      <c r="S1415" s="9"/>
      <c r="T1415" s="9"/>
      <c r="U1415" s="9"/>
      <c r="V1415" s="9"/>
      <c r="W1415" s="9"/>
      <c r="X1415" s="9"/>
      <c r="Y1415" s="9"/>
      <c r="Z1415" s="9"/>
      <c r="AA1415" s="9"/>
      <c r="AB1415" s="9"/>
      <c r="AC1415" s="9"/>
      <c r="AD1415" s="25"/>
      <c r="AE1415" s="25"/>
      <c r="AF1415" s="9"/>
      <c r="AG1415" s="9"/>
      <c r="AH1415" s="9"/>
      <c r="AI1415" s="9"/>
    </row>
    <row r="1416" ht="15.75" customHeight="1">
      <c r="A1416" s="9"/>
      <c r="B1416" s="9"/>
      <c r="C1416" s="9"/>
      <c r="D1416" s="9"/>
      <c r="E1416" s="67"/>
      <c r="F1416" s="68"/>
      <c r="G1416" s="68"/>
      <c r="H1416" s="69"/>
      <c r="I1416" s="69"/>
      <c r="J1416" s="69"/>
      <c r="K1416" s="69"/>
      <c r="L1416" s="69"/>
      <c r="M1416" s="69"/>
      <c r="N1416" s="69"/>
      <c r="O1416" s="23"/>
      <c r="P1416" s="23"/>
      <c r="Q1416" s="9"/>
      <c r="R1416" s="9"/>
      <c r="S1416" s="9"/>
      <c r="T1416" s="9"/>
      <c r="U1416" s="9"/>
      <c r="V1416" s="9"/>
      <c r="W1416" s="9"/>
      <c r="X1416" s="9"/>
      <c r="Y1416" s="9"/>
      <c r="Z1416" s="9"/>
      <c r="AA1416" s="9"/>
      <c r="AB1416" s="9"/>
      <c r="AC1416" s="9"/>
      <c r="AD1416" s="25"/>
      <c r="AE1416" s="25"/>
      <c r="AF1416" s="9"/>
      <c r="AG1416" s="9"/>
      <c r="AH1416" s="9"/>
      <c r="AI1416" s="9"/>
    </row>
    <row r="1417" ht="15.75" customHeight="1">
      <c r="A1417" s="9"/>
      <c r="B1417" s="9"/>
      <c r="C1417" s="9"/>
      <c r="D1417" s="9"/>
      <c r="E1417" s="67"/>
      <c r="F1417" s="68"/>
      <c r="G1417" s="68"/>
      <c r="H1417" s="69"/>
      <c r="I1417" s="69"/>
      <c r="J1417" s="69"/>
      <c r="K1417" s="69"/>
      <c r="L1417" s="69"/>
      <c r="M1417" s="69"/>
      <c r="N1417" s="69"/>
      <c r="O1417" s="23"/>
      <c r="P1417" s="23"/>
      <c r="Q1417" s="9"/>
      <c r="R1417" s="9"/>
      <c r="S1417" s="9"/>
      <c r="T1417" s="9"/>
      <c r="U1417" s="9"/>
      <c r="V1417" s="9"/>
      <c r="W1417" s="9"/>
      <c r="X1417" s="9"/>
      <c r="Y1417" s="9"/>
      <c r="Z1417" s="9"/>
      <c r="AA1417" s="9"/>
      <c r="AB1417" s="9"/>
      <c r="AC1417" s="9"/>
      <c r="AD1417" s="25"/>
      <c r="AE1417" s="25"/>
      <c r="AF1417" s="9"/>
      <c r="AG1417" s="9"/>
      <c r="AH1417" s="9"/>
      <c r="AI1417" s="9"/>
    </row>
    <row r="1418" ht="15.75" customHeight="1">
      <c r="A1418" s="9"/>
      <c r="B1418" s="9"/>
      <c r="C1418" s="9"/>
      <c r="D1418" s="9"/>
      <c r="E1418" s="67"/>
      <c r="F1418" s="68"/>
      <c r="G1418" s="68"/>
      <c r="H1418" s="69"/>
      <c r="I1418" s="69"/>
      <c r="J1418" s="69"/>
      <c r="K1418" s="69"/>
      <c r="L1418" s="69"/>
      <c r="M1418" s="69"/>
      <c r="N1418" s="69"/>
      <c r="O1418" s="23"/>
      <c r="P1418" s="23"/>
      <c r="Q1418" s="9"/>
      <c r="R1418" s="9"/>
      <c r="S1418" s="9"/>
      <c r="T1418" s="9"/>
      <c r="U1418" s="9"/>
      <c r="V1418" s="9"/>
      <c r="W1418" s="9"/>
      <c r="X1418" s="9"/>
      <c r="Y1418" s="9"/>
      <c r="Z1418" s="9"/>
      <c r="AA1418" s="9"/>
      <c r="AB1418" s="9"/>
      <c r="AC1418" s="9"/>
      <c r="AD1418" s="25"/>
      <c r="AE1418" s="25"/>
      <c r="AF1418" s="9"/>
      <c r="AG1418" s="9"/>
      <c r="AH1418" s="9"/>
      <c r="AI1418" s="9"/>
    </row>
    <row r="1419" ht="15.75" customHeight="1">
      <c r="A1419" s="9"/>
      <c r="B1419" s="9"/>
      <c r="C1419" s="9"/>
      <c r="D1419" s="9"/>
      <c r="E1419" s="67"/>
      <c r="F1419" s="68"/>
      <c r="G1419" s="68"/>
      <c r="H1419" s="69"/>
      <c r="I1419" s="69"/>
      <c r="J1419" s="69"/>
      <c r="K1419" s="69"/>
      <c r="L1419" s="69"/>
      <c r="M1419" s="69"/>
      <c r="N1419" s="69"/>
      <c r="O1419" s="23"/>
      <c r="P1419" s="23"/>
      <c r="Q1419" s="9"/>
      <c r="R1419" s="9"/>
      <c r="S1419" s="9"/>
      <c r="T1419" s="9"/>
      <c r="U1419" s="9"/>
      <c r="V1419" s="9"/>
      <c r="W1419" s="9"/>
      <c r="X1419" s="9"/>
      <c r="Y1419" s="9"/>
      <c r="Z1419" s="9"/>
      <c r="AA1419" s="9"/>
      <c r="AB1419" s="9"/>
      <c r="AC1419" s="9"/>
      <c r="AD1419" s="25"/>
      <c r="AE1419" s="25"/>
      <c r="AF1419" s="9"/>
      <c r="AG1419" s="9"/>
      <c r="AH1419" s="9"/>
      <c r="AI1419" s="9"/>
    </row>
    <row r="1420" ht="15.75" customHeight="1">
      <c r="A1420" s="9"/>
      <c r="B1420" s="9"/>
      <c r="C1420" s="9"/>
      <c r="D1420" s="9"/>
      <c r="E1420" s="67"/>
      <c r="F1420" s="68"/>
      <c r="G1420" s="68"/>
      <c r="H1420" s="69"/>
      <c r="I1420" s="69"/>
      <c r="J1420" s="69"/>
      <c r="K1420" s="69"/>
      <c r="L1420" s="69"/>
      <c r="M1420" s="70"/>
      <c r="N1420" s="69"/>
      <c r="O1420" s="23"/>
      <c r="P1420" s="23"/>
      <c r="Q1420" s="9"/>
      <c r="R1420" s="9"/>
      <c r="S1420" s="9"/>
      <c r="T1420" s="9"/>
      <c r="U1420" s="9"/>
      <c r="V1420" s="9"/>
      <c r="W1420" s="9"/>
      <c r="X1420" s="9"/>
      <c r="Y1420" s="9"/>
      <c r="Z1420" s="9"/>
      <c r="AA1420" s="9"/>
      <c r="AB1420" s="9"/>
      <c r="AC1420" s="9"/>
      <c r="AD1420" s="25"/>
      <c r="AE1420" s="25"/>
      <c r="AF1420" s="9"/>
      <c r="AG1420" s="9"/>
      <c r="AH1420" s="9"/>
      <c r="AI1420" s="9"/>
    </row>
    <row r="1421" ht="15.75" customHeight="1">
      <c r="A1421" s="9"/>
      <c r="B1421" s="9"/>
      <c r="C1421" s="9"/>
      <c r="D1421" s="9"/>
      <c r="E1421" s="67"/>
      <c r="F1421" s="68"/>
      <c r="G1421" s="68"/>
      <c r="H1421" s="69"/>
      <c r="I1421" s="69"/>
      <c r="J1421" s="69"/>
      <c r="K1421" s="69"/>
      <c r="L1421" s="69"/>
      <c r="M1421" s="69"/>
      <c r="N1421" s="69"/>
      <c r="O1421" s="23"/>
      <c r="P1421" s="23"/>
      <c r="Q1421" s="9"/>
      <c r="R1421" s="9"/>
      <c r="S1421" s="9"/>
      <c r="T1421" s="9"/>
      <c r="U1421" s="9"/>
      <c r="V1421" s="9"/>
      <c r="W1421" s="9"/>
      <c r="X1421" s="9"/>
      <c r="Y1421" s="9"/>
      <c r="Z1421" s="9"/>
      <c r="AA1421" s="9"/>
      <c r="AB1421" s="9"/>
      <c r="AC1421" s="9"/>
      <c r="AD1421" s="25"/>
      <c r="AE1421" s="25"/>
      <c r="AF1421" s="9"/>
      <c r="AG1421" s="9"/>
      <c r="AH1421" s="9"/>
      <c r="AI1421" s="9"/>
    </row>
    <row r="1422" ht="15.75" customHeight="1">
      <c r="A1422" s="9"/>
      <c r="B1422" s="9"/>
      <c r="C1422" s="9"/>
      <c r="D1422" s="9"/>
      <c r="E1422" s="67"/>
      <c r="F1422" s="68"/>
      <c r="G1422" s="68"/>
      <c r="H1422" s="69"/>
      <c r="I1422" s="69"/>
      <c r="J1422" s="69"/>
      <c r="K1422" s="69"/>
      <c r="L1422" s="69"/>
      <c r="M1422" s="70"/>
      <c r="N1422" s="69"/>
      <c r="O1422" s="23"/>
      <c r="P1422" s="23"/>
      <c r="Q1422" s="9"/>
      <c r="R1422" s="9"/>
      <c r="S1422" s="9"/>
      <c r="T1422" s="9"/>
      <c r="U1422" s="9"/>
      <c r="V1422" s="9"/>
      <c r="W1422" s="9"/>
      <c r="X1422" s="9"/>
      <c r="Y1422" s="9"/>
      <c r="Z1422" s="9"/>
      <c r="AA1422" s="9"/>
      <c r="AB1422" s="9"/>
      <c r="AC1422" s="9"/>
      <c r="AD1422" s="25"/>
      <c r="AE1422" s="25"/>
      <c r="AF1422" s="9"/>
      <c r="AG1422" s="9"/>
      <c r="AH1422" s="9"/>
      <c r="AI1422" s="9"/>
    </row>
    <row r="1423" ht="15.75" customHeight="1">
      <c r="A1423" s="9"/>
      <c r="B1423" s="9"/>
      <c r="C1423" s="9"/>
      <c r="D1423" s="9"/>
      <c r="E1423" s="67"/>
      <c r="F1423" s="68"/>
      <c r="G1423" s="68"/>
      <c r="H1423" s="69"/>
      <c r="I1423" s="69"/>
      <c r="J1423" s="69"/>
      <c r="K1423" s="69"/>
      <c r="L1423" s="69"/>
      <c r="M1423" s="69"/>
      <c r="N1423" s="69"/>
      <c r="O1423" s="23"/>
      <c r="P1423" s="23"/>
      <c r="Q1423" s="9"/>
      <c r="R1423" s="9"/>
      <c r="S1423" s="9"/>
      <c r="T1423" s="9"/>
      <c r="U1423" s="9"/>
      <c r="V1423" s="9"/>
      <c r="W1423" s="9"/>
      <c r="X1423" s="9"/>
      <c r="Y1423" s="9"/>
      <c r="Z1423" s="9"/>
      <c r="AA1423" s="9"/>
      <c r="AB1423" s="9"/>
      <c r="AC1423" s="9"/>
      <c r="AD1423" s="25"/>
      <c r="AE1423" s="25"/>
      <c r="AF1423" s="9"/>
      <c r="AG1423" s="9"/>
      <c r="AH1423" s="9"/>
      <c r="AI1423" s="9"/>
    </row>
    <row r="1424" ht="15.75" customHeight="1">
      <c r="A1424" s="9"/>
      <c r="B1424" s="9"/>
      <c r="C1424" s="9"/>
      <c r="D1424" s="9"/>
      <c r="E1424" s="67"/>
      <c r="F1424" s="68"/>
      <c r="G1424" s="68"/>
      <c r="H1424" s="69"/>
      <c r="I1424" s="69"/>
      <c r="J1424" s="69"/>
      <c r="K1424" s="69"/>
      <c r="L1424" s="69"/>
      <c r="M1424" s="70"/>
      <c r="N1424" s="69"/>
      <c r="O1424" s="23"/>
      <c r="P1424" s="23"/>
      <c r="Q1424" s="9"/>
      <c r="R1424" s="9"/>
      <c r="S1424" s="9"/>
      <c r="T1424" s="9"/>
      <c r="U1424" s="9"/>
      <c r="V1424" s="9"/>
      <c r="W1424" s="9"/>
      <c r="X1424" s="9"/>
      <c r="Y1424" s="9"/>
      <c r="Z1424" s="9"/>
      <c r="AA1424" s="9"/>
      <c r="AB1424" s="9"/>
      <c r="AC1424" s="9"/>
      <c r="AD1424" s="25"/>
      <c r="AE1424" s="25"/>
      <c r="AF1424" s="9"/>
      <c r="AG1424" s="9"/>
      <c r="AH1424" s="9"/>
      <c r="AI1424" s="9"/>
    </row>
    <row r="1425" ht="15.75" customHeight="1">
      <c r="A1425" s="9"/>
      <c r="B1425" s="9"/>
      <c r="C1425" s="9"/>
      <c r="D1425" s="9"/>
      <c r="E1425" s="67"/>
      <c r="F1425" s="68"/>
      <c r="G1425" s="68"/>
      <c r="H1425" s="69"/>
      <c r="I1425" s="69"/>
      <c r="J1425" s="69"/>
      <c r="K1425" s="69"/>
      <c r="L1425" s="69"/>
      <c r="M1425" s="69"/>
      <c r="N1425" s="69"/>
      <c r="O1425" s="23"/>
      <c r="P1425" s="23"/>
      <c r="Q1425" s="9"/>
      <c r="R1425" s="9"/>
      <c r="S1425" s="9"/>
      <c r="T1425" s="9"/>
      <c r="U1425" s="9"/>
      <c r="V1425" s="9"/>
      <c r="W1425" s="9"/>
      <c r="X1425" s="9"/>
      <c r="Y1425" s="9"/>
      <c r="Z1425" s="9"/>
      <c r="AA1425" s="9"/>
      <c r="AB1425" s="9"/>
      <c r="AC1425" s="9"/>
      <c r="AD1425" s="25"/>
      <c r="AE1425" s="25"/>
      <c r="AF1425" s="9"/>
      <c r="AG1425" s="9"/>
      <c r="AH1425" s="9"/>
      <c r="AI1425" s="9"/>
    </row>
    <row r="1426" ht="15.75" customHeight="1">
      <c r="A1426" s="9"/>
      <c r="B1426" s="9"/>
      <c r="C1426" s="9"/>
      <c r="D1426" s="9"/>
      <c r="E1426" s="67"/>
      <c r="F1426" s="68"/>
      <c r="G1426" s="68"/>
      <c r="H1426" s="69"/>
      <c r="I1426" s="69"/>
      <c r="J1426" s="69"/>
      <c r="K1426" s="69"/>
      <c r="L1426" s="69"/>
      <c r="M1426" s="70"/>
      <c r="N1426" s="69"/>
      <c r="O1426" s="23"/>
      <c r="P1426" s="23"/>
      <c r="Q1426" s="9"/>
      <c r="R1426" s="9"/>
      <c r="S1426" s="9"/>
      <c r="T1426" s="9"/>
      <c r="U1426" s="9"/>
      <c r="V1426" s="9"/>
      <c r="W1426" s="9"/>
      <c r="X1426" s="9"/>
      <c r="Y1426" s="9"/>
      <c r="Z1426" s="9"/>
      <c r="AA1426" s="9"/>
      <c r="AB1426" s="9"/>
      <c r="AC1426" s="9"/>
      <c r="AD1426" s="25"/>
      <c r="AE1426" s="25"/>
      <c r="AF1426" s="9"/>
      <c r="AG1426" s="9"/>
      <c r="AH1426" s="9"/>
      <c r="AI1426" s="9"/>
    </row>
    <row r="1427" ht="15.75" customHeight="1">
      <c r="A1427" s="9"/>
      <c r="B1427" s="9"/>
      <c r="C1427" s="9"/>
      <c r="D1427" s="9"/>
      <c r="E1427" s="67"/>
      <c r="F1427" s="68"/>
      <c r="G1427" s="68"/>
      <c r="H1427" s="69"/>
      <c r="I1427" s="69"/>
      <c r="J1427" s="69"/>
      <c r="K1427" s="69"/>
      <c r="L1427" s="69"/>
      <c r="M1427" s="71"/>
      <c r="N1427" s="69"/>
      <c r="O1427" s="23"/>
      <c r="P1427" s="23"/>
      <c r="Q1427" s="9"/>
      <c r="R1427" s="9"/>
      <c r="S1427" s="9"/>
      <c r="T1427" s="9"/>
      <c r="U1427" s="9"/>
      <c r="V1427" s="9"/>
      <c r="W1427" s="9"/>
      <c r="X1427" s="9"/>
      <c r="Y1427" s="9"/>
      <c r="Z1427" s="9"/>
      <c r="AA1427" s="9"/>
      <c r="AB1427" s="9"/>
      <c r="AC1427" s="9"/>
      <c r="AD1427" s="25"/>
      <c r="AE1427" s="25"/>
      <c r="AF1427" s="9"/>
      <c r="AG1427" s="9"/>
      <c r="AH1427" s="9"/>
      <c r="AI1427" s="9"/>
    </row>
    <row r="1428" ht="15.75" customHeight="1">
      <c r="A1428" s="9"/>
      <c r="B1428" s="9"/>
      <c r="C1428" s="9"/>
      <c r="D1428" s="9"/>
      <c r="E1428" s="67"/>
      <c r="F1428" s="68"/>
      <c r="G1428" s="68"/>
      <c r="H1428" s="69"/>
      <c r="I1428" s="69"/>
      <c r="J1428" s="69"/>
      <c r="K1428" s="69"/>
      <c r="L1428" s="69"/>
      <c r="M1428" s="70"/>
      <c r="N1428" s="69"/>
      <c r="O1428" s="23"/>
      <c r="P1428" s="23"/>
      <c r="Q1428" s="9"/>
      <c r="R1428" s="9"/>
      <c r="S1428" s="9"/>
      <c r="T1428" s="9"/>
      <c r="U1428" s="9"/>
      <c r="V1428" s="9"/>
      <c r="W1428" s="9"/>
      <c r="X1428" s="9"/>
      <c r="Y1428" s="9"/>
      <c r="Z1428" s="9"/>
      <c r="AA1428" s="9"/>
      <c r="AB1428" s="9"/>
      <c r="AC1428" s="9"/>
      <c r="AD1428" s="25"/>
      <c r="AE1428" s="25"/>
      <c r="AF1428" s="9"/>
      <c r="AG1428" s="9"/>
      <c r="AH1428" s="9"/>
      <c r="AI1428" s="9"/>
    </row>
    <row r="1429" ht="15.75" customHeight="1">
      <c r="A1429" s="9"/>
      <c r="B1429" s="9"/>
      <c r="C1429" s="9"/>
      <c r="D1429" s="9"/>
      <c r="E1429" s="67"/>
      <c r="F1429" s="68"/>
      <c r="G1429" s="68"/>
      <c r="H1429" s="69"/>
      <c r="I1429" s="69"/>
      <c r="J1429" s="69"/>
      <c r="K1429" s="69"/>
      <c r="L1429" s="69"/>
      <c r="M1429" s="71"/>
      <c r="N1429" s="69"/>
      <c r="O1429" s="23"/>
      <c r="P1429" s="23"/>
      <c r="Q1429" s="9"/>
      <c r="R1429" s="9"/>
      <c r="S1429" s="9"/>
      <c r="T1429" s="9"/>
      <c r="U1429" s="9"/>
      <c r="V1429" s="9"/>
      <c r="W1429" s="9"/>
      <c r="X1429" s="9"/>
      <c r="Y1429" s="9"/>
      <c r="Z1429" s="9"/>
      <c r="AA1429" s="9"/>
      <c r="AB1429" s="9"/>
      <c r="AC1429" s="9"/>
      <c r="AD1429" s="25"/>
      <c r="AE1429" s="25"/>
      <c r="AF1429" s="9"/>
      <c r="AG1429" s="9"/>
      <c r="AH1429" s="9"/>
      <c r="AI1429" s="9"/>
    </row>
    <row r="1430" ht="15.75" customHeight="1">
      <c r="A1430" s="9"/>
      <c r="B1430" s="9"/>
      <c r="C1430" s="9"/>
      <c r="D1430" s="9"/>
      <c r="E1430" s="67"/>
      <c r="F1430" s="68"/>
      <c r="G1430" s="68"/>
      <c r="H1430" s="69"/>
      <c r="I1430" s="69"/>
      <c r="J1430" s="69"/>
      <c r="K1430" s="69"/>
      <c r="L1430" s="69"/>
      <c r="M1430" s="70"/>
      <c r="N1430" s="69"/>
      <c r="O1430" s="23"/>
      <c r="P1430" s="23"/>
      <c r="Q1430" s="9"/>
      <c r="R1430" s="9"/>
      <c r="S1430" s="9"/>
      <c r="T1430" s="9"/>
      <c r="U1430" s="9"/>
      <c r="V1430" s="9"/>
      <c r="W1430" s="9"/>
      <c r="X1430" s="9"/>
      <c r="Y1430" s="9"/>
      <c r="Z1430" s="9"/>
      <c r="AA1430" s="9"/>
      <c r="AB1430" s="9"/>
      <c r="AC1430" s="9"/>
      <c r="AD1430" s="25"/>
      <c r="AE1430" s="25"/>
      <c r="AF1430" s="9"/>
      <c r="AG1430" s="9"/>
      <c r="AH1430" s="9"/>
      <c r="AI1430" s="9"/>
    </row>
    <row r="1431" ht="15.75" customHeight="1">
      <c r="A1431" s="9"/>
      <c r="B1431" s="9"/>
      <c r="C1431" s="9"/>
      <c r="D1431" s="9"/>
      <c r="E1431" s="67"/>
      <c r="F1431" s="68"/>
      <c r="G1431" s="68"/>
      <c r="H1431" s="69"/>
      <c r="I1431" s="69"/>
      <c r="J1431" s="69"/>
      <c r="K1431" s="69"/>
      <c r="L1431" s="69"/>
      <c r="M1431" s="69"/>
      <c r="N1431" s="69"/>
      <c r="O1431" s="23"/>
      <c r="P1431" s="23"/>
      <c r="Q1431" s="9"/>
      <c r="R1431" s="9"/>
      <c r="S1431" s="9"/>
      <c r="T1431" s="9"/>
      <c r="U1431" s="9"/>
      <c r="V1431" s="9"/>
      <c r="W1431" s="9"/>
      <c r="X1431" s="9"/>
      <c r="Y1431" s="9"/>
      <c r="Z1431" s="9"/>
      <c r="AA1431" s="9"/>
      <c r="AB1431" s="9"/>
      <c r="AC1431" s="9"/>
      <c r="AD1431" s="25"/>
      <c r="AE1431" s="25"/>
      <c r="AF1431" s="9"/>
      <c r="AG1431" s="9"/>
      <c r="AH1431" s="9"/>
      <c r="AI1431" s="9"/>
    </row>
    <row r="1432" ht="15.75" customHeight="1">
      <c r="A1432" s="9"/>
      <c r="B1432" s="9"/>
      <c r="C1432" s="9"/>
      <c r="D1432" s="9"/>
      <c r="E1432" s="67"/>
      <c r="F1432" s="68"/>
      <c r="G1432" s="68"/>
      <c r="H1432" s="69"/>
      <c r="I1432" s="69"/>
      <c r="J1432" s="69"/>
      <c r="K1432" s="69"/>
      <c r="L1432" s="69"/>
      <c r="M1432" s="69"/>
      <c r="N1432" s="69"/>
      <c r="O1432" s="23"/>
      <c r="P1432" s="23"/>
      <c r="Q1432" s="9"/>
      <c r="R1432" s="9"/>
      <c r="S1432" s="9"/>
      <c r="T1432" s="9"/>
      <c r="U1432" s="9"/>
      <c r="V1432" s="9"/>
      <c r="W1432" s="9"/>
      <c r="X1432" s="9"/>
      <c r="Y1432" s="9"/>
      <c r="Z1432" s="9"/>
      <c r="AA1432" s="9"/>
      <c r="AB1432" s="9"/>
      <c r="AC1432" s="9"/>
      <c r="AD1432" s="25"/>
      <c r="AE1432" s="25"/>
      <c r="AF1432" s="9"/>
      <c r="AG1432" s="9"/>
      <c r="AH1432" s="9"/>
      <c r="AI1432" s="9"/>
    </row>
    <row r="1433" ht="15.75" customHeight="1">
      <c r="A1433" s="9"/>
      <c r="B1433" s="9"/>
      <c r="C1433" s="9"/>
      <c r="D1433" s="9"/>
      <c r="E1433" s="67"/>
      <c r="F1433" s="68"/>
      <c r="G1433" s="68"/>
      <c r="H1433" s="69"/>
      <c r="I1433" s="69"/>
      <c r="J1433" s="69"/>
      <c r="K1433" s="69"/>
      <c r="L1433" s="69"/>
      <c r="M1433" s="69"/>
      <c r="N1433" s="69"/>
      <c r="O1433" s="23"/>
      <c r="P1433" s="23"/>
      <c r="Q1433" s="9"/>
      <c r="R1433" s="9"/>
      <c r="S1433" s="9"/>
      <c r="T1433" s="9"/>
      <c r="U1433" s="9"/>
      <c r="V1433" s="9"/>
      <c r="W1433" s="9"/>
      <c r="X1433" s="9"/>
      <c r="Y1433" s="9"/>
      <c r="Z1433" s="9"/>
      <c r="AA1433" s="9"/>
      <c r="AB1433" s="9"/>
      <c r="AC1433" s="9"/>
      <c r="AD1433" s="25"/>
      <c r="AE1433" s="25"/>
      <c r="AF1433" s="9"/>
      <c r="AG1433" s="9"/>
      <c r="AH1433" s="9"/>
      <c r="AI1433" s="9"/>
    </row>
    <row r="1434" ht="15.75" customHeight="1">
      <c r="A1434" s="9"/>
      <c r="B1434" s="9"/>
      <c r="C1434" s="9"/>
      <c r="D1434" s="9"/>
      <c r="E1434" s="67"/>
      <c r="F1434" s="68"/>
      <c r="G1434" s="68"/>
      <c r="H1434" s="69"/>
      <c r="I1434" s="69"/>
      <c r="J1434" s="69"/>
      <c r="K1434" s="69"/>
      <c r="L1434" s="69"/>
      <c r="M1434" s="70"/>
      <c r="N1434" s="69"/>
      <c r="O1434" s="23"/>
      <c r="P1434" s="23"/>
      <c r="Q1434" s="9"/>
      <c r="R1434" s="9"/>
      <c r="S1434" s="9"/>
      <c r="T1434" s="9"/>
      <c r="U1434" s="9"/>
      <c r="V1434" s="9"/>
      <c r="W1434" s="9"/>
      <c r="X1434" s="9"/>
      <c r="Y1434" s="9"/>
      <c r="Z1434" s="9"/>
      <c r="AA1434" s="9"/>
      <c r="AB1434" s="9"/>
      <c r="AC1434" s="9"/>
      <c r="AD1434" s="25"/>
      <c r="AE1434" s="25"/>
      <c r="AF1434" s="9"/>
      <c r="AG1434" s="9"/>
      <c r="AH1434" s="9"/>
      <c r="AI1434" s="9"/>
    </row>
    <row r="1435" ht="15.75" customHeight="1">
      <c r="A1435" s="9"/>
      <c r="B1435" s="9"/>
      <c r="C1435" s="9"/>
      <c r="D1435" s="9"/>
      <c r="E1435" s="67"/>
      <c r="F1435" s="68"/>
      <c r="G1435" s="68"/>
      <c r="H1435" s="69"/>
      <c r="I1435" s="69"/>
      <c r="J1435" s="69"/>
      <c r="K1435" s="69"/>
      <c r="L1435" s="69"/>
      <c r="M1435" s="70"/>
      <c r="N1435" s="69"/>
      <c r="O1435" s="23"/>
      <c r="P1435" s="23"/>
      <c r="Q1435" s="9"/>
      <c r="R1435" s="9"/>
      <c r="S1435" s="9"/>
      <c r="T1435" s="9"/>
      <c r="U1435" s="9"/>
      <c r="V1435" s="9"/>
      <c r="W1435" s="9"/>
      <c r="X1435" s="9"/>
      <c r="Y1435" s="9"/>
      <c r="Z1435" s="9"/>
      <c r="AA1435" s="9"/>
      <c r="AB1435" s="9"/>
      <c r="AC1435" s="9"/>
      <c r="AD1435" s="25"/>
      <c r="AE1435" s="25"/>
      <c r="AF1435" s="9"/>
      <c r="AG1435" s="9"/>
      <c r="AH1435" s="9"/>
      <c r="AI1435" s="9"/>
    </row>
    <row r="1436" ht="15.75" customHeight="1">
      <c r="A1436" s="9"/>
      <c r="B1436" s="9"/>
      <c r="C1436" s="9"/>
      <c r="D1436" s="9"/>
      <c r="E1436" s="67"/>
      <c r="F1436" s="68"/>
      <c r="G1436" s="68"/>
      <c r="H1436" s="69"/>
      <c r="I1436" s="69"/>
      <c r="J1436" s="69"/>
      <c r="K1436" s="69"/>
      <c r="L1436" s="69"/>
      <c r="M1436" s="70"/>
      <c r="N1436" s="69"/>
      <c r="O1436" s="23"/>
      <c r="P1436" s="23"/>
      <c r="Q1436" s="9"/>
      <c r="R1436" s="9"/>
      <c r="S1436" s="9"/>
      <c r="T1436" s="9"/>
      <c r="U1436" s="9"/>
      <c r="V1436" s="9"/>
      <c r="W1436" s="9"/>
      <c r="X1436" s="9"/>
      <c r="Y1436" s="9"/>
      <c r="Z1436" s="9"/>
      <c r="AA1436" s="9"/>
      <c r="AB1436" s="9"/>
      <c r="AC1436" s="9"/>
      <c r="AD1436" s="25"/>
      <c r="AE1436" s="25"/>
      <c r="AF1436" s="9"/>
      <c r="AG1436" s="9"/>
      <c r="AH1436" s="9"/>
      <c r="AI1436" s="9"/>
    </row>
    <row r="1437" ht="15.75" customHeight="1">
      <c r="A1437" s="9"/>
      <c r="B1437" s="9"/>
      <c r="C1437" s="9"/>
      <c r="D1437" s="9"/>
      <c r="E1437" s="67"/>
      <c r="F1437" s="68"/>
      <c r="G1437" s="68"/>
      <c r="H1437" s="69"/>
      <c r="I1437" s="69"/>
      <c r="J1437" s="69"/>
      <c r="K1437" s="69"/>
      <c r="L1437" s="69"/>
      <c r="M1437" s="70"/>
      <c r="N1437" s="69"/>
      <c r="O1437" s="23"/>
      <c r="P1437" s="23"/>
      <c r="Q1437" s="9"/>
      <c r="R1437" s="9"/>
      <c r="S1437" s="9"/>
      <c r="T1437" s="9"/>
      <c r="U1437" s="9"/>
      <c r="V1437" s="9"/>
      <c r="W1437" s="9"/>
      <c r="X1437" s="9"/>
      <c r="Y1437" s="9"/>
      <c r="Z1437" s="9"/>
      <c r="AA1437" s="9"/>
      <c r="AB1437" s="9"/>
      <c r="AC1437" s="9"/>
      <c r="AD1437" s="25"/>
      <c r="AE1437" s="25"/>
      <c r="AF1437" s="9"/>
      <c r="AG1437" s="9"/>
      <c r="AH1437" s="9"/>
      <c r="AI1437" s="9"/>
    </row>
    <row r="1438" ht="15.75" customHeight="1">
      <c r="A1438" s="9"/>
      <c r="B1438" s="9"/>
      <c r="C1438" s="9"/>
      <c r="D1438" s="9"/>
      <c r="E1438" s="67"/>
      <c r="F1438" s="68"/>
      <c r="G1438" s="68"/>
      <c r="H1438" s="69"/>
      <c r="I1438" s="69"/>
      <c r="J1438" s="69"/>
      <c r="K1438" s="69"/>
      <c r="L1438" s="69"/>
      <c r="M1438" s="70"/>
      <c r="N1438" s="69"/>
      <c r="O1438" s="23"/>
      <c r="P1438" s="23"/>
      <c r="Q1438" s="9"/>
      <c r="R1438" s="9"/>
      <c r="S1438" s="9"/>
      <c r="T1438" s="9"/>
      <c r="U1438" s="9"/>
      <c r="V1438" s="9"/>
      <c r="W1438" s="9"/>
      <c r="X1438" s="9"/>
      <c r="Y1438" s="9"/>
      <c r="Z1438" s="9"/>
      <c r="AA1438" s="9"/>
      <c r="AB1438" s="9"/>
      <c r="AC1438" s="9"/>
      <c r="AD1438" s="25"/>
      <c r="AE1438" s="25"/>
      <c r="AF1438" s="9"/>
      <c r="AG1438" s="9"/>
      <c r="AH1438" s="9"/>
      <c r="AI1438" s="9"/>
    </row>
    <row r="1439" ht="15.75" customHeight="1">
      <c r="A1439" s="9"/>
      <c r="B1439" s="9"/>
      <c r="C1439" s="9"/>
      <c r="D1439" s="9"/>
      <c r="E1439" s="67"/>
      <c r="F1439" s="68"/>
      <c r="G1439" s="68"/>
      <c r="H1439" s="69"/>
      <c r="I1439" s="69"/>
      <c r="J1439" s="69"/>
      <c r="K1439" s="69"/>
      <c r="L1439" s="69"/>
      <c r="M1439" s="70"/>
      <c r="N1439" s="69"/>
      <c r="O1439" s="23"/>
      <c r="P1439" s="23"/>
      <c r="Q1439" s="9"/>
      <c r="R1439" s="9"/>
      <c r="S1439" s="9"/>
      <c r="T1439" s="9"/>
      <c r="U1439" s="9"/>
      <c r="V1439" s="9"/>
      <c r="W1439" s="9"/>
      <c r="X1439" s="9"/>
      <c r="Y1439" s="9"/>
      <c r="Z1439" s="9"/>
      <c r="AA1439" s="9"/>
      <c r="AB1439" s="9"/>
      <c r="AC1439" s="9"/>
      <c r="AD1439" s="25"/>
      <c r="AE1439" s="25"/>
      <c r="AF1439" s="9"/>
      <c r="AG1439" s="9"/>
      <c r="AH1439" s="9"/>
      <c r="AI1439" s="9"/>
    </row>
    <row r="1440" ht="15.75" customHeight="1">
      <c r="A1440" s="9"/>
      <c r="B1440" s="9"/>
      <c r="C1440" s="9"/>
      <c r="D1440" s="9"/>
      <c r="E1440" s="67"/>
      <c r="F1440" s="68"/>
      <c r="G1440" s="68"/>
      <c r="H1440" s="69"/>
      <c r="I1440" s="69"/>
      <c r="J1440" s="69"/>
      <c r="K1440" s="69"/>
      <c r="L1440" s="69"/>
      <c r="M1440" s="71"/>
      <c r="N1440" s="69"/>
      <c r="O1440" s="23"/>
      <c r="P1440" s="23"/>
      <c r="Q1440" s="9"/>
      <c r="R1440" s="9"/>
      <c r="S1440" s="9"/>
      <c r="T1440" s="9"/>
      <c r="U1440" s="9"/>
      <c r="V1440" s="9"/>
      <c r="W1440" s="9"/>
      <c r="X1440" s="9"/>
      <c r="Y1440" s="9"/>
      <c r="Z1440" s="9"/>
      <c r="AA1440" s="9"/>
      <c r="AB1440" s="9"/>
      <c r="AC1440" s="9"/>
      <c r="AD1440" s="25"/>
      <c r="AE1440" s="25"/>
      <c r="AF1440" s="9"/>
      <c r="AG1440" s="9"/>
      <c r="AH1440" s="9"/>
      <c r="AI1440" s="9"/>
    </row>
    <row r="1441" ht="15.75" customHeight="1">
      <c r="A1441" s="9"/>
      <c r="B1441" s="9"/>
      <c r="C1441" s="9"/>
      <c r="D1441" s="9"/>
      <c r="E1441" s="67"/>
      <c r="F1441" s="68"/>
      <c r="G1441" s="68"/>
      <c r="H1441" s="69"/>
      <c r="I1441" s="69"/>
      <c r="J1441" s="69"/>
      <c r="K1441" s="69"/>
      <c r="L1441" s="69"/>
      <c r="M1441" s="71"/>
      <c r="N1441" s="69"/>
      <c r="O1441" s="23"/>
      <c r="P1441" s="23"/>
      <c r="Q1441" s="9"/>
      <c r="R1441" s="9"/>
      <c r="S1441" s="9"/>
      <c r="T1441" s="9"/>
      <c r="U1441" s="9"/>
      <c r="V1441" s="9"/>
      <c r="W1441" s="9"/>
      <c r="X1441" s="9"/>
      <c r="Y1441" s="9"/>
      <c r="Z1441" s="9"/>
      <c r="AA1441" s="9"/>
      <c r="AB1441" s="9"/>
      <c r="AC1441" s="9"/>
      <c r="AD1441" s="25"/>
      <c r="AE1441" s="25"/>
      <c r="AF1441" s="9"/>
      <c r="AG1441" s="9"/>
      <c r="AH1441" s="9"/>
      <c r="AI1441" s="9"/>
    </row>
    <row r="1442" ht="15.75" customHeight="1">
      <c r="A1442" s="9"/>
      <c r="B1442" s="9"/>
      <c r="C1442" s="9"/>
      <c r="D1442" s="9"/>
      <c r="E1442" s="67"/>
      <c r="F1442" s="68"/>
      <c r="G1442" s="68"/>
      <c r="H1442" s="69"/>
      <c r="I1442" s="69"/>
      <c r="J1442" s="69"/>
      <c r="K1442" s="69"/>
      <c r="L1442" s="69"/>
      <c r="M1442" s="70"/>
      <c r="N1442" s="69"/>
      <c r="O1442" s="23"/>
      <c r="P1442" s="23"/>
      <c r="Q1442" s="9"/>
      <c r="R1442" s="9"/>
      <c r="S1442" s="9"/>
      <c r="T1442" s="9"/>
      <c r="U1442" s="9"/>
      <c r="V1442" s="9"/>
      <c r="W1442" s="9"/>
      <c r="X1442" s="9"/>
      <c r="Y1442" s="9"/>
      <c r="Z1442" s="9"/>
      <c r="AA1442" s="9"/>
      <c r="AB1442" s="9"/>
      <c r="AC1442" s="9"/>
      <c r="AD1442" s="25"/>
      <c r="AE1442" s="25"/>
      <c r="AF1442" s="9"/>
      <c r="AG1442" s="9"/>
      <c r="AH1442" s="9"/>
      <c r="AI1442" s="9"/>
    </row>
    <row r="1443" ht="15.75" customHeight="1">
      <c r="A1443" s="9"/>
      <c r="B1443" s="9"/>
      <c r="C1443" s="9"/>
      <c r="D1443" s="9"/>
      <c r="E1443" s="67"/>
      <c r="F1443" s="68"/>
      <c r="G1443" s="68"/>
      <c r="H1443" s="69"/>
      <c r="I1443" s="69"/>
      <c r="J1443" s="69"/>
      <c r="K1443" s="69"/>
      <c r="L1443" s="69"/>
      <c r="M1443" s="71"/>
      <c r="N1443" s="69"/>
      <c r="O1443" s="23"/>
      <c r="P1443" s="23"/>
      <c r="Q1443" s="9"/>
      <c r="R1443" s="9"/>
      <c r="S1443" s="9"/>
      <c r="T1443" s="9"/>
      <c r="U1443" s="9"/>
      <c r="V1443" s="9"/>
      <c r="W1443" s="9"/>
      <c r="X1443" s="9"/>
      <c r="Y1443" s="9"/>
      <c r="Z1443" s="9"/>
      <c r="AA1443" s="9"/>
      <c r="AB1443" s="9"/>
      <c r="AC1443" s="9"/>
      <c r="AD1443" s="25"/>
      <c r="AE1443" s="25"/>
      <c r="AF1443" s="9"/>
      <c r="AG1443" s="9"/>
      <c r="AH1443" s="9"/>
      <c r="AI1443" s="9"/>
    </row>
    <row r="1444" ht="15.75" customHeight="1">
      <c r="A1444" s="9"/>
      <c r="B1444" s="9"/>
      <c r="C1444" s="9"/>
      <c r="D1444" s="9"/>
      <c r="E1444" s="67"/>
      <c r="F1444" s="68"/>
      <c r="G1444" s="68"/>
      <c r="H1444" s="69"/>
      <c r="I1444" s="69"/>
      <c r="J1444" s="69"/>
      <c r="K1444" s="69"/>
      <c r="L1444" s="69"/>
      <c r="M1444" s="70"/>
      <c r="N1444" s="69"/>
      <c r="O1444" s="23"/>
      <c r="P1444" s="23"/>
      <c r="Q1444" s="9"/>
      <c r="R1444" s="9"/>
      <c r="S1444" s="9"/>
      <c r="T1444" s="9"/>
      <c r="U1444" s="9"/>
      <c r="V1444" s="9"/>
      <c r="W1444" s="9"/>
      <c r="X1444" s="9"/>
      <c r="Y1444" s="9"/>
      <c r="Z1444" s="9"/>
      <c r="AA1444" s="9"/>
      <c r="AB1444" s="9"/>
      <c r="AC1444" s="9"/>
      <c r="AD1444" s="25"/>
      <c r="AE1444" s="25"/>
      <c r="AF1444" s="9"/>
      <c r="AG1444" s="9"/>
      <c r="AH1444" s="9"/>
      <c r="AI1444" s="9"/>
    </row>
    <row r="1445" ht="15.75" customHeight="1">
      <c r="A1445" s="9"/>
      <c r="B1445" s="9"/>
      <c r="C1445" s="9"/>
      <c r="D1445" s="9"/>
      <c r="E1445" s="67"/>
      <c r="F1445" s="68"/>
      <c r="G1445" s="68"/>
      <c r="H1445" s="69"/>
      <c r="I1445" s="69"/>
      <c r="J1445" s="69"/>
      <c r="K1445" s="69"/>
      <c r="L1445" s="69"/>
      <c r="M1445" s="70"/>
      <c r="N1445" s="69"/>
      <c r="O1445" s="23"/>
      <c r="P1445" s="23"/>
      <c r="Q1445" s="9"/>
      <c r="R1445" s="9"/>
      <c r="S1445" s="9"/>
      <c r="T1445" s="9"/>
      <c r="U1445" s="9"/>
      <c r="V1445" s="9"/>
      <c r="W1445" s="9"/>
      <c r="X1445" s="9"/>
      <c r="Y1445" s="9"/>
      <c r="Z1445" s="9"/>
      <c r="AA1445" s="9"/>
      <c r="AB1445" s="9"/>
      <c r="AC1445" s="9"/>
      <c r="AD1445" s="25"/>
      <c r="AE1445" s="25"/>
      <c r="AF1445" s="9"/>
      <c r="AG1445" s="9"/>
      <c r="AH1445" s="9"/>
      <c r="AI1445" s="9"/>
    </row>
    <row r="1446" ht="15.75" customHeight="1">
      <c r="A1446" s="9"/>
      <c r="B1446" s="9"/>
      <c r="C1446" s="9"/>
      <c r="D1446" s="9"/>
      <c r="E1446" s="67"/>
      <c r="F1446" s="68"/>
      <c r="G1446" s="68"/>
      <c r="H1446" s="69"/>
      <c r="I1446" s="69"/>
      <c r="J1446" s="69"/>
      <c r="K1446" s="69"/>
      <c r="L1446" s="69"/>
      <c r="M1446" s="70"/>
      <c r="N1446" s="69"/>
      <c r="O1446" s="23"/>
      <c r="P1446" s="23"/>
      <c r="Q1446" s="9"/>
      <c r="R1446" s="9"/>
      <c r="S1446" s="9"/>
      <c r="T1446" s="9"/>
      <c r="U1446" s="9"/>
      <c r="V1446" s="9"/>
      <c r="W1446" s="9"/>
      <c r="X1446" s="9"/>
      <c r="Y1446" s="9"/>
      <c r="Z1446" s="9"/>
      <c r="AA1446" s="9"/>
      <c r="AB1446" s="9"/>
      <c r="AC1446" s="9"/>
      <c r="AD1446" s="25"/>
      <c r="AE1446" s="25"/>
      <c r="AF1446" s="9"/>
      <c r="AG1446" s="9"/>
      <c r="AH1446" s="9"/>
      <c r="AI1446" s="9"/>
    </row>
    <row r="1447" ht="15.75" customHeight="1">
      <c r="A1447" s="9"/>
      <c r="B1447" s="9"/>
      <c r="C1447" s="9"/>
      <c r="D1447" s="9"/>
      <c r="E1447" s="67"/>
      <c r="F1447" s="68"/>
      <c r="G1447" s="68"/>
      <c r="H1447" s="69"/>
      <c r="I1447" s="69"/>
      <c r="J1447" s="69"/>
      <c r="K1447" s="69"/>
      <c r="L1447" s="69"/>
      <c r="M1447" s="70"/>
      <c r="N1447" s="69"/>
      <c r="O1447" s="23"/>
      <c r="P1447" s="23"/>
      <c r="Q1447" s="9"/>
      <c r="R1447" s="9"/>
      <c r="S1447" s="9"/>
      <c r="T1447" s="9"/>
      <c r="U1447" s="9"/>
      <c r="V1447" s="9"/>
      <c r="W1447" s="9"/>
      <c r="X1447" s="9"/>
      <c r="Y1447" s="9"/>
      <c r="Z1447" s="9"/>
      <c r="AA1447" s="9"/>
      <c r="AB1447" s="9"/>
      <c r="AC1447" s="9"/>
      <c r="AD1447" s="25"/>
      <c r="AE1447" s="25"/>
      <c r="AF1447" s="9"/>
      <c r="AG1447" s="9"/>
      <c r="AH1447" s="9"/>
      <c r="AI1447" s="9"/>
    </row>
    <row r="1448" ht="15.75" customHeight="1">
      <c r="A1448" s="9"/>
      <c r="B1448" s="9"/>
      <c r="C1448" s="9"/>
      <c r="D1448" s="9"/>
      <c r="E1448" s="67"/>
      <c r="F1448" s="68"/>
      <c r="G1448" s="68"/>
      <c r="H1448" s="69"/>
      <c r="I1448" s="69"/>
      <c r="J1448" s="69"/>
      <c r="K1448" s="69"/>
      <c r="L1448" s="69"/>
      <c r="M1448" s="69"/>
      <c r="N1448" s="69"/>
      <c r="O1448" s="23"/>
      <c r="P1448" s="23"/>
      <c r="Q1448" s="9"/>
      <c r="R1448" s="9"/>
      <c r="S1448" s="9"/>
      <c r="T1448" s="9"/>
      <c r="U1448" s="9"/>
      <c r="V1448" s="9"/>
      <c r="W1448" s="9"/>
      <c r="X1448" s="9"/>
      <c r="Y1448" s="9"/>
      <c r="Z1448" s="9"/>
      <c r="AA1448" s="9"/>
      <c r="AB1448" s="9"/>
      <c r="AC1448" s="9"/>
      <c r="AD1448" s="25"/>
      <c r="AE1448" s="25"/>
      <c r="AF1448" s="9"/>
      <c r="AG1448" s="9"/>
      <c r="AH1448" s="9"/>
      <c r="AI1448" s="9"/>
    </row>
    <row r="1449" ht="15.75" customHeight="1">
      <c r="A1449" s="9"/>
      <c r="B1449" s="9"/>
      <c r="C1449" s="9"/>
      <c r="D1449" s="9"/>
      <c r="E1449" s="67"/>
      <c r="F1449" s="68"/>
      <c r="G1449" s="68"/>
      <c r="H1449" s="69"/>
      <c r="I1449" s="69"/>
      <c r="J1449" s="69"/>
      <c r="K1449" s="69"/>
      <c r="L1449" s="69"/>
      <c r="M1449" s="70"/>
      <c r="N1449" s="69"/>
      <c r="O1449" s="23"/>
      <c r="P1449" s="23"/>
      <c r="Q1449" s="9"/>
      <c r="R1449" s="9"/>
      <c r="S1449" s="9"/>
      <c r="T1449" s="9"/>
      <c r="U1449" s="9"/>
      <c r="V1449" s="9"/>
      <c r="W1449" s="9"/>
      <c r="X1449" s="9"/>
      <c r="Y1449" s="9"/>
      <c r="Z1449" s="9"/>
      <c r="AA1449" s="9"/>
      <c r="AB1449" s="9"/>
      <c r="AC1449" s="9"/>
      <c r="AD1449" s="25"/>
      <c r="AE1449" s="25"/>
      <c r="AF1449" s="9"/>
      <c r="AG1449" s="9"/>
      <c r="AH1449" s="9"/>
      <c r="AI1449" s="9"/>
    </row>
    <row r="1450" ht="15.75" customHeight="1">
      <c r="A1450" s="9"/>
      <c r="B1450" s="9"/>
      <c r="C1450" s="9"/>
      <c r="D1450" s="9"/>
      <c r="E1450" s="67"/>
      <c r="F1450" s="68"/>
      <c r="G1450" s="68"/>
      <c r="H1450" s="69"/>
      <c r="I1450" s="69"/>
      <c r="J1450" s="69"/>
      <c r="K1450" s="69"/>
      <c r="L1450" s="69"/>
      <c r="M1450" s="70"/>
      <c r="N1450" s="69"/>
      <c r="O1450" s="23"/>
      <c r="P1450" s="23"/>
      <c r="Q1450" s="9"/>
      <c r="R1450" s="9"/>
      <c r="S1450" s="9"/>
      <c r="T1450" s="9"/>
      <c r="U1450" s="9"/>
      <c r="V1450" s="9"/>
      <c r="W1450" s="9"/>
      <c r="X1450" s="9"/>
      <c r="Y1450" s="9"/>
      <c r="Z1450" s="9"/>
      <c r="AA1450" s="9"/>
      <c r="AB1450" s="9"/>
      <c r="AC1450" s="9"/>
      <c r="AD1450" s="25"/>
      <c r="AE1450" s="25"/>
      <c r="AF1450" s="9"/>
      <c r="AG1450" s="9"/>
      <c r="AH1450" s="9"/>
      <c r="AI1450" s="9"/>
    </row>
    <row r="1451" ht="15.75" customHeight="1">
      <c r="A1451" s="9"/>
      <c r="B1451" s="9"/>
      <c r="C1451" s="9"/>
      <c r="D1451" s="9"/>
      <c r="E1451" s="67"/>
      <c r="F1451" s="68"/>
      <c r="G1451" s="68"/>
      <c r="H1451" s="69"/>
      <c r="I1451" s="69"/>
      <c r="J1451" s="69"/>
      <c r="K1451" s="69"/>
      <c r="L1451" s="69"/>
      <c r="M1451" s="70"/>
      <c r="N1451" s="69"/>
      <c r="O1451" s="23"/>
      <c r="P1451" s="23"/>
      <c r="Q1451" s="9"/>
      <c r="R1451" s="9"/>
      <c r="S1451" s="9"/>
      <c r="T1451" s="9"/>
      <c r="U1451" s="9"/>
      <c r="V1451" s="9"/>
      <c r="W1451" s="9"/>
      <c r="X1451" s="9"/>
      <c r="Y1451" s="9"/>
      <c r="Z1451" s="9"/>
      <c r="AA1451" s="9"/>
      <c r="AB1451" s="9"/>
      <c r="AC1451" s="9"/>
      <c r="AD1451" s="25"/>
      <c r="AE1451" s="25"/>
      <c r="AF1451" s="9"/>
      <c r="AG1451" s="9"/>
      <c r="AH1451" s="9"/>
      <c r="AI1451" s="9"/>
    </row>
    <row r="1452" ht="15.75" customHeight="1">
      <c r="A1452" s="9"/>
      <c r="B1452" s="9"/>
      <c r="C1452" s="9"/>
      <c r="D1452" s="9"/>
      <c r="E1452" s="67"/>
      <c r="F1452" s="68"/>
      <c r="G1452" s="68"/>
      <c r="H1452" s="69"/>
      <c r="I1452" s="69"/>
      <c r="J1452" s="69"/>
      <c r="K1452" s="69"/>
      <c r="L1452" s="69"/>
      <c r="M1452" s="70"/>
      <c r="N1452" s="69"/>
      <c r="O1452" s="23"/>
      <c r="P1452" s="23"/>
      <c r="Q1452" s="9"/>
      <c r="R1452" s="9"/>
      <c r="S1452" s="9"/>
      <c r="T1452" s="9"/>
      <c r="U1452" s="9"/>
      <c r="V1452" s="9"/>
      <c r="W1452" s="9"/>
      <c r="X1452" s="9"/>
      <c r="Y1452" s="9"/>
      <c r="Z1452" s="9"/>
      <c r="AA1452" s="9"/>
      <c r="AB1452" s="9"/>
      <c r="AC1452" s="9"/>
      <c r="AD1452" s="25"/>
      <c r="AE1452" s="25"/>
      <c r="AF1452" s="9"/>
      <c r="AG1452" s="9"/>
      <c r="AH1452" s="9"/>
      <c r="AI1452" s="9"/>
    </row>
    <row r="1453" ht="15.75" customHeight="1">
      <c r="A1453" s="9"/>
      <c r="B1453" s="9"/>
      <c r="C1453" s="9"/>
      <c r="D1453" s="9"/>
      <c r="E1453" s="67"/>
      <c r="F1453" s="68"/>
      <c r="G1453" s="68"/>
      <c r="H1453" s="69"/>
      <c r="I1453" s="69"/>
      <c r="J1453" s="69"/>
      <c r="K1453" s="69"/>
      <c r="L1453" s="69"/>
      <c r="M1453" s="70"/>
      <c r="N1453" s="69"/>
      <c r="O1453" s="23"/>
      <c r="P1453" s="23"/>
      <c r="Q1453" s="9"/>
      <c r="R1453" s="9"/>
      <c r="S1453" s="9"/>
      <c r="T1453" s="9"/>
      <c r="U1453" s="9"/>
      <c r="V1453" s="9"/>
      <c r="W1453" s="9"/>
      <c r="X1453" s="9"/>
      <c r="Y1453" s="9"/>
      <c r="Z1453" s="9"/>
      <c r="AA1453" s="9"/>
      <c r="AB1453" s="9"/>
      <c r="AC1453" s="9"/>
      <c r="AD1453" s="25"/>
      <c r="AE1453" s="25"/>
      <c r="AF1453" s="9"/>
      <c r="AG1453" s="9"/>
      <c r="AH1453" s="9"/>
      <c r="AI1453" s="9"/>
    </row>
    <row r="1454" ht="15.75" customHeight="1">
      <c r="A1454" s="9"/>
      <c r="B1454" s="9"/>
      <c r="C1454" s="9"/>
      <c r="D1454" s="9"/>
      <c r="E1454" s="67"/>
      <c r="F1454" s="68"/>
      <c r="G1454" s="68"/>
      <c r="H1454" s="69"/>
      <c r="I1454" s="69"/>
      <c r="J1454" s="69"/>
      <c r="K1454" s="69"/>
      <c r="L1454" s="69"/>
      <c r="M1454" s="70"/>
      <c r="N1454" s="69"/>
      <c r="O1454" s="23"/>
      <c r="P1454" s="23"/>
      <c r="Q1454" s="9"/>
      <c r="R1454" s="9"/>
      <c r="S1454" s="9"/>
      <c r="T1454" s="9"/>
      <c r="U1454" s="9"/>
      <c r="V1454" s="9"/>
      <c r="W1454" s="9"/>
      <c r="X1454" s="9"/>
      <c r="Y1454" s="9"/>
      <c r="Z1454" s="9"/>
      <c r="AA1454" s="9"/>
      <c r="AB1454" s="9"/>
      <c r="AC1454" s="9"/>
      <c r="AD1454" s="25"/>
      <c r="AE1454" s="25"/>
      <c r="AF1454" s="9"/>
      <c r="AG1454" s="9"/>
      <c r="AH1454" s="9"/>
      <c r="AI1454" s="9"/>
    </row>
    <row r="1455" ht="15.75" customHeight="1">
      <c r="A1455" s="9"/>
      <c r="B1455" s="9"/>
      <c r="C1455" s="9"/>
      <c r="D1455" s="9"/>
      <c r="E1455" s="67"/>
      <c r="F1455" s="68"/>
      <c r="G1455" s="68"/>
      <c r="H1455" s="69"/>
      <c r="I1455" s="69"/>
      <c r="J1455" s="69"/>
      <c r="K1455" s="69"/>
      <c r="L1455" s="69"/>
      <c r="M1455" s="70"/>
      <c r="N1455" s="69"/>
      <c r="O1455" s="23"/>
      <c r="P1455" s="23"/>
      <c r="Q1455" s="9"/>
      <c r="R1455" s="9"/>
      <c r="S1455" s="9"/>
      <c r="T1455" s="9"/>
      <c r="U1455" s="9"/>
      <c r="V1455" s="9"/>
      <c r="W1455" s="9"/>
      <c r="X1455" s="9"/>
      <c r="Y1455" s="9"/>
      <c r="Z1455" s="9"/>
      <c r="AA1455" s="9"/>
      <c r="AB1455" s="9"/>
      <c r="AC1455" s="9"/>
      <c r="AD1455" s="25"/>
      <c r="AE1455" s="25"/>
      <c r="AF1455" s="9"/>
      <c r="AG1455" s="9"/>
      <c r="AH1455" s="9"/>
      <c r="AI1455" s="9"/>
    </row>
    <row r="1456" ht="15.75" customHeight="1">
      <c r="A1456" s="9"/>
      <c r="B1456" s="9"/>
      <c r="C1456" s="9"/>
      <c r="D1456" s="9"/>
      <c r="E1456" s="67"/>
      <c r="F1456" s="68"/>
      <c r="G1456" s="68"/>
      <c r="H1456" s="69"/>
      <c r="I1456" s="69"/>
      <c r="J1456" s="69"/>
      <c r="K1456" s="69"/>
      <c r="L1456" s="69"/>
      <c r="M1456" s="70"/>
      <c r="N1456" s="69"/>
      <c r="O1456" s="23"/>
      <c r="P1456" s="23"/>
      <c r="Q1456" s="9"/>
      <c r="R1456" s="9"/>
      <c r="S1456" s="9"/>
      <c r="T1456" s="9"/>
      <c r="U1456" s="9"/>
      <c r="V1456" s="9"/>
      <c r="W1456" s="9"/>
      <c r="X1456" s="9"/>
      <c r="Y1456" s="9"/>
      <c r="Z1456" s="9"/>
      <c r="AA1456" s="9"/>
      <c r="AB1456" s="9"/>
      <c r="AC1456" s="9"/>
      <c r="AD1456" s="25"/>
      <c r="AE1456" s="25"/>
      <c r="AF1456" s="9"/>
      <c r="AG1456" s="9"/>
      <c r="AH1456" s="9"/>
      <c r="AI1456" s="9"/>
    </row>
    <row r="1457" ht="15.75" customHeight="1">
      <c r="A1457" s="9"/>
      <c r="B1457" s="9"/>
      <c r="C1457" s="9"/>
      <c r="D1457" s="9"/>
      <c r="E1457" s="67"/>
      <c r="F1457" s="68"/>
      <c r="G1457" s="68"/>
      <c r="H1457" s="69"/>
      <c r="I1457" s="69"/>
      <c r="J1457" s="69"/>
      <c r="K1457" s="69"/>
      <c r="L1457" s="69"/>
      <c r="M1457" s="70"/>
      <c r="N1457" s="69"/>
      <c r="O1457" s="23"/>
      <c r="P1457" s="23"/>
      <c r="Q1457" s="9"/>
      <c r="R1457" s="9"/>
      <c r="S1457" s="9"/>
      <c r="T1457" s="9"/>
      <c r="U1457" s="9"/>
      <c r="V1457" s="9"/>
      <c r="W1457" s="9"/>
      <c r="X1457" s="9"/>
      <c r="Y1457" s="9"/>
      <c r="Z1457" s="9"/>
      <c r="AA1457" s="9"/>
      <c r="AB1457" s="9"/>
      <c r="AC1457" s="9"/>
      <c r="AD1457" s="25"/>
      <c r="AE1457" s="25"/>
      <c r="AF1457" s="9"/>
      <c r="AG1457" s="9"/>
      <c r="AH1457" s="9"/>
      <c r="AI1457" s="9"/>
    </row>
    <row r="1458" ht="15.75" customHeight="1">
      <c r="A1458" s="9"/>
      <c r="B1458" s="9"/>
      <c r="C1458" s="9"/>
      <c r="D1458" s="9"/>
      <c r="E1458" s="67"/>
      <c r="F1458" s="68"/>
      <c r="G1458" s="68"/>
      <c r="H1458" s="69"/>
      <c r="I1458" s="69"/>
      <c r="J1458" s="69"/>
      <c r="K1458" s="69"/>
      <c r="L1458" s="69"/>
      <c r="M1458" s="70"/>
      <c r="N1458" s="69"/>
      <c r="O1458" s="23"/>
      <c r="P1458" s="23"/>
      <c r="Q1458" s="9"/>
      <c r="R1458" s="9"/>
      <c r="S1458" s="9"/>
      <c r="T1458" s="9"/>
      <c r="U1458" s="9"/>
      <c r="V1458" s="9"/>
      <c r="W1458" s="9"/>
      <c r="X1458" s="9"/>
      <c r="Y1458" s="9"/>
      <c r="Z1458" s="9"/>
      <c r="AA1458" s="9"/>
      <c r="AB1458" s="9"/>
      <c r="AC1458" s="9"/>
      <c r="AD1458" s="25"/>
      <c r="AE1458" s="25"/>
      <c r="AF1458" s="9"/>
      <c r="AG1458" s="9"/>
      <c r="AH1458" s="9"/>
      <c r="AI1458" s="9"/>
    </row>
    <row r="1459" ht="15.75" customHeight="1">
      <c r="A1459" s="9"/>
      <c r="B1459" s="9"/>
      <c r="C1459" s="9"/>
      <c r="D1459" s="9"/>
      <c r="E1459" s="67"/>
      <c r="F1459" s="68"/>
      <c r="G1459" s="68"/>
      <c r="H1459" s="69"/>
      <c r="I1459" s="69"/>
      <c r="J1459" s="69"/>
      <c r="K1459" s="69"/>
      <c r="L1459" s="69"/>
      <c r="M1459" s="70"/>
      <c r="N1459" s="69"/>
      <c r="O1459" s="23"/>
      <c r="P1459" s="23"/>
      <c r="Q1459" s="9"/>
      <c r="R1459" s="9"/>
      <c r="S1459" s="9"/>
      <c r="T1459" s="9"/>
      <c r="U1459" s="9"/>
      <c r="V1459" s="9"/>
      <c r="W1459" s="9"/>
      <c r="X1459" s="9"/>
      <c r="Y1459" s="9"/>
      <c r="Z1459" s="9"/>
      <c r="AA1459" s="9"/>
      <c r="AB1459" s="9"/>
      <c r="AC1459" s="9"/>
      <c r="AD1459" s="25"/>
      <c r="AE1459" s="25"/>
      <c r="AF1459" s="9"/>
      <c r="AG1459" s="9"/>
      <c r="AH1459" s="9"/>
      <c r="AI1459" s="9"/>
    </row>
    <row r="1460" ht="15.75" customHeight="1">
      <c r="A1460" s="9"/>
      <c r="B1460" s="9"/>
      <c r="C1460" s="9"/>
      <c r="D1460" s="9"/>
      <c r="E1460" s="67"/>
      <c r="F1460" s="68"/>
      <c r="G1460" s="68"/>
      <c r="H1460" s="69"/>
      <c r="I1460" s="69"/>
      <c r="J1460" s="69"/>
      <c r="K1460" s="69"/>
      <c r="L1460" s="69"/>
      <c r="M1460" s="70"/>
      <c r="N1460" s="69"/>
      <c r="O1460" s="23"/>
      <c r="P1460" s="23"/>
      <c r="Q1460" s="9"/>
      <c r="R1460" s="9"/>
      <c r="S1460" s="9"/>
      <c r="T1460" s="9"/>
      <c r="U1460" s="9"/>
      <c r="V1460" s="9"/>
      <c r="W1460" s="9"/>
      <c r="X1460" s="9"/>
      <c r="Y1460" s="9"/>
      <c r="Z1460" s="9"/>
      <c r="AA1460" s="9"/>
      <c r="AB1460" s="9"/>
      <c r="AC1460" s="9"/>
      <c r="AD1460" s="25"/>
      <c r="AE1460" s="25"/>
      <c r="AF1460" s="9"/>
      <c r="AG1460" s="9"/>
      <c r="AH1460" s="9"/>
      <c r="AI1460" s="9"/>
    </row>
    <row r="1461" ht="15.75" customHeight="1">
      <c r="A1461" s="9"/>
      <c r="B1461" s="9"/>
      <c r="C1461" s="9"/>
      <c r="D1461" s="9"/>
      <c r="E1461" s="67"/>
      <c r="F1461" s="68"/>
      <c r="G1461" s="68"/>
      <c r="H1461" s="69"/>
      <c r="I1461" s="69"/>
      <c r="J1461" s="69"/>
      <c r="K1461" s="69"/>
      <c r="L1461" s="69"/>
      <c r="M1461" s="71"/>
      <c r="N1461" s="69"/>
      <c r="O1461" s="23"/>
      <c r="P1461" s="23"/>
      <c r="Q1461" s="9"/>
      <c r="R1461" s="9"/>
      <c r="S1461" s="9"/>
      <c r="T1461" s="9"/>
      <c r="U1461" s="9"/>
      <c r="V1461" s="9"/>
      <c r="W1461" s="9"/>
      <c r="X1461" s="9"/>
      <c r="Y1461" s="9"/>
      <c r="Z1461" s="9"/>
      <c r="AA1461" s="9"/>
      <c r="AB1461" s="9"/>
      <c r="AC1461" s="9"/>
      <c r="AD1461" s="25"/>
      <c r="AE1461" s="25"/>
      <c r="AF1461" s="9"/>
      <c r="AG1461" s="9"/>
      <c r="AH1461" s="9"/>
      <c r="AI1461" s="9"/>
    </row>
    <row r="1462" ht="15.75" customHeight="1">
      <c r="A1462" s="9"/>
      <c r="B1462" s="9"/>
      <c r="C1462" s="9"/>
      <c r="D1462" s="9"/>
      <c r="E1462" s="67"/>
      <c r="F1462" s="68"/>
      <c r="G1462" s="68"/>
      <c r="H1462" s="69"/>
      <c r="I1462" s="69"/>
      <c r="J1462" s="69"/>
      <c r="K1462" s="69"/>
      <c r="L1462" s="69"/>
      <c r="M1462" s="70"/>
      <c r="N1462" s="69"/>
      <c r="O1462" s="23"/>
      <c r="P1462" s="23"/>
      <c r="Q1462" s="9"/>
      <c r="R1462" s="9"/>
      <c r="S1462" s="9"/>
      <c r="T1462" s="9"/>
      <c r="U1462" s="9"/>
      <c r="V1462" s="9"/>
      <c r="W1462" s="9"/>
      <c r="X1462" s="9"/>
      <c r="Y1462" s="9"/>
      <c r="Z1462" s="9"/>
      <c r="AA1462" s="9"/>
      <c r="AB1462" s="9"/>
      <c r="AC1462" s="9"/>
      <c r="AD1462" s="25"/>
      <c r="AE1462" s="25"/>
      <c r="AF1462" s="9"/>
      <c r="AG1462" s="9"/>
      <c r="AH1462" s="9"/>
      <c r="AI1462" s="9"/>
    </row>
    <row r="1463" ht="15.75" customHeight="1">
      <c r="A1463" s="9"/>
      <c r="B1463" s="9"/>
      <c r="C1463" s="9"/>
      <c r="D1463" s="9"/>
      <c r="E1463" s="67"/>
      <c r="F1463" s="68"/>
      <c r="G1463" s="68"/>
      <c r="H1463" s="69"/>
      <c r="I1463" s="69"/>
      <c r="J1463" s="69"/>
      <c r="K1463" s="69"/>
      <c r="L1463" s="69"/>
      <c r="M1463" s="71"/>
      <c r="N1463" s="69"/>
      <c r="O1463" s="23"/>
      <c r="P1463" s="23"/>
      <c r="Q1463" s="9"/>
      <c r="R1463" s="9"/>
      <c r="S1463" s="9"/>
      <c r="T1463" s="9"/>
      <c r="U1463" s="9"/>
      <c r="V1463" s="9"/>
      <c r="W1463" s="9"/>
      <c r="X1463" s="9"/>
      <c r="Y1463" s="9"/>
      <c r="Z1463" s="9"/>
      <c r="AA1463" s="9"/>
      <c r="AB1463" s="9"/>
      <c r="AC1463" s="9"/>
      <c r="AD1463" s="25"/>
      <c r="AE1463" s="25"/>
      <c r="AF1463" s="9"/>
      <c r="AG1463" s="9"/>
      <c r="AH1463" s="9"/>
      <c r="AI1463" s="9"/>
    </row>
    <row r="1464" ht="15.75" customHeight="1">
      <c r="A1464" s="9"/>
      <c r="B1464" s="9"/>
      <c r="C1464" s="9"/>
      <c r="D1464" s="9"/>
      <c r="E1464" s="67"/>
      <c r="F1464" s="68"/>
      <c r="G1464" s="68"/>
      <c r="H1464" s="69"/>
      <c r="I1464" s="69"/>
      <c r="J1464" s="69"/>
      <c r="K1464" s="69"/>
      <c r="L1464" s="69"/>
      <c r="M1464" s="69"/>
      <c r="N1464" s="69"/>
      <c r="O1464" s="23"/>
      <c r="P1464" s="23"/>
      <c r="Q1464" s="9"/>
      <c r="R1464" s="9"/>
      <c r="S1464" s="9"/>
      <c r="T1464" s="9"/>
      <c r="U1464" s="9"/>
      <c r="V1464" s="9"/>
      <c r="W1464" s="9"/>
      <c r="X1464" s="9"/>
      <c r="Y1464" s="9"/>
      <c r="Z1464" s="9"/>
      <c r="AA1464" s="9"/>
      <c r="AB1464" s="9"/>
      <c r="AC1464" s="9"/>
      <c r="AD1464" s="25"/>
      <c r="AE1464" s="25"/>
      <c r="AF1464" s="9"/>
      <c r="AG1464" s="9"/>
      <c r="AH1464" s="9"/>
      <c r="AI1464" s="9"/>
    </row>
    <row r="1465" ht="15.75" customHeight="1">
      <c r="A1465" s="9"/>
      <c r="B1465" s="9"/>
      <c r="C1465" s="9"/>
      <c r="D1465" s="9"/>
      <c r="E1465" s="67"/>
      <c r="F1465" s="68"/>
      <c r="G1465" s="68"/>
      <c r="H1465" s="69"/>
      <c r="I1465" s="69"/>
      <c r="J1465" s="69"/>
      <c r="K1465" s="69"/>
      <c r="L1465" s="69"/>
      <c r="M1465" s="70"/>
      <c r="N1465" s="69"/>
      <c r="O1465" s="23"/>
      <c r="P1465" s="23"/>
      <c r="Q1465" s="9"/>
      <c r="R1465" s="9"/>
      <c r="S1465" s="9"/>
      <c r="T1465" s="9"/>
      <c r="U1465" s="9"/>
      <c r="V1465" s="9"/>
      <c r="W1465" s="9"/>
      <c r="X1465" s="9"/>
      <c r="Y1465" s="9"/>
      <c r="Z1465" s="9"/>
      <c r="AA1465" s="9"/>
      <c r="AB1465" s="9"/>
      <c r="AC1465" s="9"/>
      <c r="AD1465" s="25"/>
      <c r="AE1465" s="25"/>
      <c r="AF1465" s="9"/>
      <c r="AG1465" s="9"/>
      <c r="AH1465" s="9"/>
      <c r="AI1465" s="9"/>
    </row>
    <row r="1466" ht="15.75" customHeight="1">
      <c r="A1466" s="9"/>
      <c r="B1466" s="9"/>
      <c r="C1466" s="9"/>
      <c r="D1466" s="9"/>
      <c r="E1466" s="67"/>
      <c r="F1466" s="68"/>
      <c r="G1466" s="68"/>
      <c r="H1466" s="69"/>
      <c r="I1466" s="69"/>
      <c r="J1466" s="69"/>
      <c r="K1466" s="69"/>
      <c r="L1466" s="69"/>
      <c r="M1466" s="69"/>
      <c r="N1466" s="69"/>
      <c r="O1466" s="23"/>
      <c r="P1466" s="23"/>
      <c r="Q1466" s="9"/>
      <c r="R1466" s="9"/>
      <c r="S1466" s="9"/>
      <c r="T1466" s="9"/>
      <c r="U1466" s="9"/>
      <c r="V1466" s="9"/>
      <c r="W1466" s="9"/>
      <c r="X1466" s="9"/>
      <c r="Y1466" s="9"/>
      <c r="Z1466" s="9"/>
      <c r="AA1466" s="9"/>
      <c r="AB1466" s="9"/>
      <c r="AC1466" s="9"/>
      <c r="AD1466" s="25"/>
      <c r="AE1466" s="25"/>
      <c r="AF1466" s="9"/>
      <c r="AG1466" s="9"/>
      <c r="AH1466" s="9"/>
      <c r="AI1466" s="9"/>
    </row>
    <row r="1467" ht="15.75" customHeight="1">
      <c r="A1467" s="9"/>
      <c r="B1467" s="9"/>
      <c r="C1467" s="9"/>
      <c r="D1467" s="9"/>
      <c r="E1467" s="67"/>
      <c r="F1467" s="68"/>
      <c r="G1467" s="68"/>
      <c r="H1467" s="69"/>
      <c r="I1467" s="69"/>
      <c r="J1467" s="69"/>
      <c r="K1467" s="69"/>
      <c r="L1467" s="69"/>
      <c r="M1467" s="70"/>
      <c r="N1467" s="69"/>
      <c r="O1467" s="23"/>
      <c r="P1467" s="23"/>
      <c r="Q1467" s="9"/>
      <c r="R1467" s="9"/>
      <c r="S1467" s="9"/>
      <c r="T1467" s="9"/>
      <c r="U1467" s="9"/>
      <c r="V1467" s="9"/>
      <c r="W1467" s="9"/>
      <c r="X1467" s="9"/>
      <c r="Y1467" s="9"/>
      <c r="Z1467" s="9"/>
      <c r="AA1467" s="9"/>
      <c r="AB1467" s="9"/>
      <c r="AC1467" s="9"/>
      <c r="AD1467" s="25"/>
      <c r="AE1467" s="25"/>
      <c r="AF1467" s="9"/>
      <c r="AG1467" s="9"/>
      <c r="AH1467" s="9"/>
      <c r="AI1467" s="9"/>
    </row>
    <row r="1468" ht="15.75" customHeight="1">
      <c r="A1468" s="9"/>
      <c r="B1468" s="9"/>
      <c r="C1468" s="9"/>
      <c r="D1468" s="9"/>
      <c r="E1468" s="67"/>
      <c r="F1468" s="68"/>
      <c r="G1468" s="68"/>
      <c r="H1468" s="69"/>
      <c r="I1468" s="69"/>
      <c r="J1468" s="69"/>
      <c r="K1468" s="69"/>
      <c r="L1468" s="69"/>
      <c r="M1468" s="70"/>
      <c r="N1468" s="69"/>
      <c r="O1468" s="23"/>
      <c r="P1468" s="23"/>
      <c r="Q1468" s="9"/>
      <c r="R1468" s="9"/>
      <c r="S1468" s="9"/>
      <c r="T1468" s="9"/>
      <c r="U1468" s="9"/>
      <c r="V1468" s="9"/>
      <c r="W1468" s="9"/>
      <c r="X1468" s="9"/>
      <c r="Y1468" s="9"/>
      <c r="Z1468" s="9"/>
      <c r="AA1468" s="9"/>
      <c r="AB1468" s="9"/>
      <c r="AC1468" s="9"/>
      <c r="AD1468" s="25"/>
      <c r="AE1468" s="25"/>
      <c r="AF1468" s="9"/>
      <c r="AG1468" s="9"/>
      <c r="AH1468" s="9"/>
      <c r="AI1468" s="9"/>
    </row>
    <row r="1469" ht="15.75" customHeight="1">
      <c r="A1469" s="9"/>
      <c r="B1469" s="9"/>
      <c r="C1469" s="9"/>
      <c r="D1469" s="9"/>
      <c r="E1469" s="67"/>
      <c r="F1469" s="68"/>
      <c r="G1469" s="68"/>
      <c r="H1469" s="69"/>
      <c r="I1469" s="69"/>
      <c r="J1469" s="69"/>
      <c r="K1469" s="69"/>
      <c r="L1469" s="69"/>
      <c r="M1469" s="69"/>
      <c r="N1469" s="69"/>
      <c r="O1469" s="23"/>
      <c r="P1469" s="23"/>
      <c r="Q1469" s="9"/>
      <c r="R1469" s="9"/>
      <c r="S1469" s="9"/>
      <c r="T1469" s="9"/>
      <c r="U1469" s="9"/>
      <c r="V1469" s="9"/>
      <c r="W1469" s="9"/>
      <c r="X1469" s="9"/>
      <c r="Y1469" s="9"/>
      <c r="Z1469" s="9"/>
      <c r="AA1469" s="9"/>
      <c r="AB1469" s="9"/>
      <c r="AC1469" s="9"/>
      <c r="AD1469" s="25"/>
      <c r="AE1469" s="25"/>
      <c r="AF1469" s="9"/>
      <c r="AG1469" s="9"/>
      <c r="AH1469" s="9"/>
      <c r="AI1469" s="9"/>
    </row>
    <row r="1470" ht="15.75" customHeight="1">
      <c r="A1470" s="9"/>
      <c r="B1470" s="9"/>
      <c r="C1470" s="9"/>
      <c r="D1470" s="9"/>
      <c r="E1470" s="67"/>
      <c r="F1470" s="68"/>
      <c r="G1470" s="68"/>
      <c r="H1470" s="69"/>
      <c r="I1470" s="69"/>
      <c r="J1470" s="69"/>
      <c r="K1470" s="69"/>
      <c r="L1470" s="69"/>
      <c r="M1470" s="70"/>
      <c r="N1470" s="69"/>
      <c r="O1470" s="23"/>
      <c r="P1470" s="23"/>
      <c r="Q1470" s="9"/>
      <c r="R1470" s="9"/>
      <c r="S1470" s="9"/>
      <c r="T1470" s="9"/>
      <c r="U1470" s="9"/>
      <c r="V1470" s="9"/>
      <c r="W1470" s="9"/>
      <c r="X1470" s="9"/>
      <c r="Y1470" s="9"/>
      <c r="Z1470" s="9"/>
      <c r="AA1470" s="9"/>
      <c r="AB1470" s="9"/>
      <c r="AC1470" s="9"/>
      <c r="AD1470" s="25"/>
      <c r="AE1470" s="25"/>
      <c r="AF1470" s="9"/>
      <c r="AG1470" s="9"/>
      <c r="AH1470" s="9"/>
      <c r="AI1470" s="9"/>
    </row>
    <row r="1471" ht="15.75" customHeight="1">
      <c r="A1471" s="9"/>
      <c r="B1471" s="9"/>
      <c r="C1471" s="9"/>
      <c r="D1471" s="9"/>
      <c r="E1471" s="67"/>
      <c r="F1471" s="68"/>
      <c r="G1471" s="68"/>
      <c r="H1471" s="69"/>
      <c r="I1471" s="69"/>
      <c r="J1471" s="69"/>
      <c r="K1471" s="69"/>
      <c r="L1471" s="69"/>
      <c r="M1471" s="69"/>
      <c r="N1471" s="69"/>
      <c r="O1471" s="23"/>
      <c r="P1471" s="23"/>
      <c r="Q1471" s="9"/>
      <c r="R1471" s="9"/>
      <c r="S1471" s="9"/>
      <c r="T1471" s="9"/>
      <c r="U1471" s="9"/>
      <c r="V1471" s="9"/>
      <c r="W1471" s="9"/>
      <c r="X1471" s="9"/>
      <c r="Y1471" s="9"/>
      <c r="Z1471" s="9"/>
      <c r="AA1471" s="9"/>
      <c r="AB1471" s="9"/>
      <c r="AC1471" s="9"/>
      <c r="AD1471" s="25"/>
      <c r="AE1471" s="25"/>
      <c r="AF1471" s="9"/>
      <c r="AG1471" s="9"/>
      <c r="AH1471" s="9"/>
      <c r="AI1471" s="9"/>
    </row>
    <row r="1472" ht="15.75" customHeight="1">
      <c r="A1472" s="9"/>
      <c r="B1472" s="9"/>
      <c r="C1472" s="9"/>
      <c r="D1472" s="9"/>
      <c r="E1472" s="67"/>
      <c r="F1472" s="68"/>
      <c r="G1472" s="68"/>
      <c r="H1472" s="69"/>
      <c r="I1472" s="69"/>
      <c r="J1472" s="69"/>
      <c r="K1472" s="69"/>
      <c r="L1472" s="69"/>
      <c r="M1472" s="70"/>
      <c r="N1472" s="69"/>
      <c r="O1472" s="23"/>
      <c r="P1472" s="23"/>
      <c r="Q1472" s="9"/>
      <c r="R1472" s="9"/>
      <c r="S1472" s="9"/>
      <c r="T1472" s="9"/>
      <c r="U1472" s="9"/>
      <c r="V1472" s="9"/>
      <c r="W1472" s="9"/>
      <c r="X1472" s="9"/>
      <c r="Y1472" s="9"/>
      <c r="Z1472" s="9"/>
      <c r="AA1472" s="9"/>
      <c r="AB1472" s="9"/>
      <c r="AC1472" s="9"/>
      <c r="AD1472" s="25"/>
      <c r="AE1472" s="25"/>
      <c r="AF1472" s="9"/>
      <c r="AG1472" s="9"/>
      <c r="AH1472" s="9"/>
      <c r="AI1472" s="9"/>
    </row>
    <row r="1473" ht="15.75" customHeight="1">
      <c r="A1473" s="9"/>
      <c r="B1473" s="9"/>
      <c r="C1473" s="9"/>
      <c r="D1473" s="9"/>
      <c r="E1473" s="67"/>
      <c r="F1473" s="68"/>
      <c r="G1473" s="68"/>
      <c r="H1473" s="69"/>
      <c r="I1473" s="69"/>
      <c r="J1473" s="69"/>
      <c r="K1473" s="69"/>
      <c r="L1473" s="69"/>
      <c r="M1473" s="70"/>
      <c r="N1473" s="69"/>
      <c r="O1473" s="23"/>
      <c r="P1473" s="23"/>
      <c r="Q1473" s="9"/>
      <c r="R1473" s="9"/>
      <c r="S1473" s="9"/>
      <c r="T1473" s="9"/>
      <c r="U1473" s="9"/>
      <c r="V1473" s="9"/>
      <c r="W1473" s="9"/>
      <c r="X1473" s="9"/>
      <c r="Y1473" s="9"/>
      <c r="Z1473" s="9"/>
      <c r="AA1473" s="9"/>
      <c r="AB1473" s="9"/>
      <c r="AC1473" s="9"/>
      <c r="AD1473" s="25"/>
      <c r="AE1473" s="25"/>
      <c r="AF1473" s="9"/>
      <c r="AG1473" s="9"/>
      <c r="AH1473" s="9"/>
      <c r="AI1473" s="9"/>
    </row>
    <row r="1474" ht="15.75" customHeight="1">
      <c r="A1474" s="9"/>
      <c r="B1474" s="9"/>
      <c r="C1474" s="9"/>
      <c r="D1474" s="9"/>
      <c r="E1474" s="67"/>
      <c r="F1474" s="68"/>
      <c r="G1474" s="68"/>
      <c r="H1474" s="69"/>
      <c r="I1474" s="69"/>
      <c r="J1474" s="69"/>
      <c r="K1474" s="69"/>
      <c r="L1474" s="69"/>
      <c r="M1474" s="71"/>
      <c r="N1474" s="69"/>
      <c r="O1474" s="23"/>
      <c r="P1474" s="23"/>
      <c r="Q1474" s="9"/>
      <c r="R1474" s="9"/>
      <c r="S1474" s="9"/>
      <c r="T1474" s="9"/>
      <c r="U1474" s="9"/>
      <c r="V1474" s="9"/>
      <c r="W1474" s="9"/>
      <c r="X1474" s="9"/>
      <c r="Y1474" s="9"/>
      <c r="Z1474" s="9"/>
      <c r="AA1474" s="9"/>
      <c r="AB1474" s="9"/>
      <c r="AC1474" s="9"/>
      <c r="AD1474" s="25"/>
      <c r="AE1474" s="25"/>
      <c r="AF1474" s="9"/>
      <c r="AG1474" s="9"/>
      <c r="AH1474" s="9"/>
      <c r="AI1474" s="9"/>
    </row>
    <row r="1475" ht="15.75" customHeight="1">
      <c r="A1475" s="9"/>
      <c r="B1475" s="9"/>
      <c r="C1475" s="9"/>
      <c r="D1475" s="9"/>
      <c r="E1475" s="67"/>
      <c r="F1475" s="68"/>
      <c r="G1475" s="68"/>
      <c r="H1475" s="69"/>
      <c r="I1475" s="69"/>
      <c r="J1475" s="69"/>
      <c r="K1475" s="69"/>
      <c r="L1475" s="69"/>
      <c r="M1475" s="69"/>
      <c r="N1475" s="69"/>
      <c r="O1475" s="23"/>
      <c r="P1475" s="23"/>
      <c r="Q1475" s="9"/>
      <c r="R1475" s="9"/>
      <c r="S1475" s="9"/>
      <c r="T1475" s="9"/>
      <c r="U1475" s="9"/>
      <c r="V1475" s="9"/>
      <c r="W1475" s="9"/>
      <c r="X1475" s="9"/>
      <c r="Y1475" s="9"/>
      <c r="Z1475" s="9"/>
      <c r="AA1475" s="9"/>
      <c r="AB1475" s="9"/>
      <c r="AC1475" s="9"/>
      <c r="AD1475" s="25"/>
      <c r="AE1475" s="25"/>
      <c r="AF1475" s="9"/>
      <c r="AG1475" s="9"/>
      <c r="AH1475" s="9"/>
      <c r="AI1475" s="9"/>
    </row>
    <row r="1476" ht="15.75" customHeight="1">
      <c r="A1476" s="9"/>
      <c r="B1476" s="9"/>
      <c r="C1476" s="9"/>
      <c r="D1476" s="9"/>
      <c r="E1476" s="67"/>
      <c r="F1476" s="68"/>
      <c r="G1476" s="68"/>
      <c r="H1476" s="69"/>
      <c r="I1476" s="69"/>
      <c r="J1476" s="69"/>
      <c r="K1476" s="69"/>
      <c r="L1476" s="69"/>
      <c r="M1476" s="70"/>
      <c r="N1476" s="69"/>
      <c r="O1476" s="23"/>
      <c r="P1476" s="23"/>
      <c r="Q1476" s="9"/>
      <c r="R1476" s="9"/>
      <c r="S1476" s="9"/>
      <c r="T1476" s="9"/>
      <c r="U1476" s="9"/>
      <c r="V1476" s="9"/>
      <c r="W1476" s="9"/>
      <c r="X1476" s="9"/>
      <c r="Y1476" s="9"/>
      <c r="Z1476" s="9"/>
      <c r="AA1476" s="9"/>
      <c r="AB1476" s="9"/>
      <c r="AC1476" s="9"/>
      <c r="AD1476" s="25"/>
      <c r="AE1476" s="25"/>
      <c r="AF1476" s="9"/>
      <c r="AG1476" s="9"/>
      <c r="AH1476" s="9"/>
      <c r="AI1476" s="9"/>
    </row>
    <row r="1477" ht="15.75" customHeight="1">
      <c r="A1477" s="9"/>
      <c r="B1477" s="9"/>
      <c r="C1477" s="9"/>
      <c r="D1477" s="9"/>
      <c r="E1477" s="67"/>
      <c r="F1477" s="68"/>
      <c r="G1477" s="68"/>
      <c r="H1477" s="69"/>
      <c r="I1477" s="69"/>
      <c r="J1477" s="69"/>
      <c r="K1477" s="69"/>
      <c r="L1477" s="69"/>
      <c r="M1477" s="70"/>
      <c r="N1477" s="69"/>
      <c r="O1477" s="23"/>
      <c r="P1477" s="23"/>
      <c r="Q1477" s="9"/>
      <c r="R1477" s="9"/>
      <c r="S1477" s="9"/>
      <c r="T1477" s="9"/>
      <c r="U1477" s="9"/>
      <c r="V1477" s="9"/>
      <c r="W1477" s="9"/>
      <c r="X1477" s="9"/>
      <c r="Y1477" s="9"/>
      <c r="Z1477" s="9"/>
      <c r="AA1477" s="9"/>
      <c r="AB1477" s="9"/>
      <c r="AC1477" s="9"/>
      <c r="AD1477" s="25"/>
      <c r="AE1477" s="25"/>
      <c r="AF1477" s="9"/>
      <c r="AG1477" s="9"/>
      <c r="AH1477" s="9"/>
      <c r="AI1477" s="9"/>
    </row>
    <row r="1478" ht="15.75" customHeight="1">
      <c r="A1478" s="9"/>
      <c r="B1478" s="9"/>
      <c r="C1478" s="9"/>
      <c r="D1478" s="9"/>
      <c r="E1478" s="67"/>
      <c r="F1478" s="68"/>
      <c r="G1478" s="68"/>
      <c r="H1478" s="69"/>
      <c r="I1478" s="69"/>
      <c r="J1478" s="69"/>
      <c r="K1478" s="69"/>
      <c r="L1478" s="69"/>
      <c r="M1478" s="70"/>
      <c r="N1478" s="69"/>
      <c r="O1478" s="23"/>
      <c r="P1478" s="23"/>
      <c r="Q1478" s="9"/>
      <c r="R1478" s="9"/>
      <c r="S1478" s="9"/>
      <c r="T1478" s="9"/>
      <c r="U1478" s="9"/>
      <c r="V1478" s="9"/>
      <c r="W1478" s="9"/>
      <c r="X1478" s="9"/>
      <c r="Y1478" s="9"/>
      <c r="Z1478" s="9"/>
      <c r="AA1478" s="9"/>
      <c r="AB1478" s="9"/>
      <c r="AC1478" s="9"/>
      <c r="AD1478" s="25"/>
      <c r="AE1478" s="25"/>
      <c r="AF1478" s="9"/>
      <c r="AG1478" s="9"/>
      <c r="AH1478" s="9"/>
      <c r="AI1478" s="9"/>
    </row>
    <row r="1479" ht="15.75" customHeight="1">
      <c r="A1479" s="9"/>
      <c r="B1479" s="9"/>
      <c r="C1479" s="9"/>
      <c r="D1479" s="9"/>
      <c r="E1479" s="67"/>
      <c r="F1479" s="68"/>
      <c r="G1479" s="68"/>
      <c r="H1479" s="69"/>
      <c r="I1479" s="69"/>
      <c r="J1479" s="69"/>
      <c r="K1479" s="69"/>
      <c r="L1479" s="69"/>
      <c r="M1479" s="70"/>
      <c r="N1479" s="69"/>
      <c r="O1479" s="23"/>
      <c r="P1479" s="23"/>
      <c r="Q1479" s="9"/>
      <c r="R1479" s="9"/>
      <c r="S1479" s="9"/>
      <c r="T1479" s="9"/>
      <c r="U1479" s="9"/>
      <c r="V1479" s="9"/>
      <c r="W1479" s="9"/>
      <c r="X1479" s="9"/>
      <c r="Y1479" s="9"/>
      <c r="Z1479" s="9"/>
      <c r="AA1479" s="9"/>
      <c r="AB1479" s="9"/>
      <c r="AC1479" s="9"/>
      <c r="AD1479" s="25"/>
      <c r="AE1479" s="25"/>
      <c r="AF1479" s="9"/>
      <c r="AG1479" s="9"/>
      <c r="AH1479" s="9"/>
      <c r="AI1479" s="9"/>
    </row>
    <row r="1480" ht="15.75" customHeight="1">
      <c r="A1480" s="9"/>
      <c r="B1480" s="9"/>
      <c r="C1480" s="9"/>
      <c r="D1480" s="9"/>
      <c r="E1480" s="67"/>
      <c r="F1480" s="68"/>
      <c r="G1480" s="68"/>
      <c r="H1480" s="69"/>
      <c r="I1480" s="69"/>
      <c r="J1480" s="69"/>
      <c r="K1480" s="69"/>
      <c r="L1480" s="69"/>
      <c r="M1480" s="70"/>
      <c r="N1480" s="69"/>
      <c r="O1480" s="23"/>
      <c r="P1480" s="23"/>
      <c r="Q1480" s="9"/>
      <c r="R1480" s="9"/>
      <c r="S1480" s="9"/>
      <c r="T1480" s="9"/>
      <c r="U1480" s="9"/>
      <c r="V1480" s="9"/>
      <c r="W1480" s="9"/>
      <c r="X1480" s="9"/>
      <c r="Y1480" s="9"/>
      <c r="Z1480" s="9"/>
      <c r="AA1480" s="9"/>
      <c r="AB1480" s="9"/>
      <c r="AC1480" s="9"/>
      <c r="AD1480" s="25"/>
      <c r="AE1480" s="25"/>
      <c r="AF1480" s="9"/>
      <c r="AG1480" s="9"/>
      <c r="AH1480" s="9"/>
      <c r="AI1480" s="9"/>
    </row>
    <row r="1481" ht="15.75" customHeight="1">
      <c r="A1481" s="9"/>
      <c r="B1481" s="9"/>
      <c r="C1481" s="9"/>
      <c r="D1481" s="9"/>
      <c r="E1481" s="67"/>
      <c r="F1481" s="68"/>
      <c r="G1481" s="68"/>
      <c r="H1481" s="69"/>
      <c r="I1481" s="69"/>
      <c r="J1481" s="69"/>
      <c r="K1481" s="69"/>
      <c r="L1481" s="69"/>
      <c r="M1481" s="70"/>
      <c r="N1481" s="69"/>
      <c r="O1481" s="23"/>
      <c r="P1481" s="23"/>
      <c r="Q1481" s="9"/>
      <c r="R1481" s="9"/>
      <c r="S1481" s="9"/>
      <c r="T1481" s="9"/>
      <c r="U1481" s="9"/>
      <c r="V1481" s="9"/>
      <c r="W1481" s="9"/>
      <c r="X1481" s="9"/>
      <c r="Y1481" s="9"/>
      <c r="Z1481" s="9"/>
      <c r="AA1481" s="9"/>
      <c r="AB1481" s="9"/>
      <c r="AC1481" s="9"/>
      <c r="AD1481" s="25"/>
      <c r="AE1481" s="25"/>
      <c r="AF1481" s="9"/>
      <c r="AG1481" s="9"/>
      <c r="AH1481" s="9"/>
      <c r="AI1481" s="9"/>
    </row>
    <row r="1482" ht="15.75" customHeight="1">
      <c r="A1482" s="9"/>
      <c r="B1482" s="9"/>
      <c r="C1482" s="9"/>
      <c r="D1482" s="9"/>
      <c r="E1482" s="67"/>
      <c r="F1482" s="68"/>
      <c r="G1482" s="68"/>
      <c r="H1482" s="69"/>
      <c r="I1482" s="69"/>
      <c r="J1482" s="69"/>
      <c r="K1482" s="69"/>
      <c r="L1482" s="69"/>
      <c r="M1482" s="70"/>
      <c r="N1482" s="69"/>
      <c r="O1482" s="23"/>
      <c r="P1482" s="23"/>
      <c r="Q1482" s="9"/>
      <c r="R1482" s="9"/>
      <c r="S1482" s="9"/>
      <c r="T1482" s="9"/>
      <c r="U1482" s="9"/>
      <c r="V1482" s="9"/>
      <c r="W1482" s="9"/>
      <c r="X1482" s="9"/>
      <c r="Y1482" s="9"/>
      <c r="Z1482" s="9"/>
      <c r="AA1482" s="9"/>
      <c r="AB1482" s="9"/>
      <c r="AC1482" s="9"/>
      <c r="AD1482" s="25"/>
      <c r="AE1482" s="25"/>
      <c r="AF1482" s="9"/>
      <c r="AG1482" s="9"/>
      <c r="AH1482" s="9"/>
      <c r="AI1482" s="9"/>
    </row>
    <row r="1483" ht="15.75" customHeight="1">
      <c r="A1483" s="9"/>
      <c r="B1483" s="9"/>
      <c r="C1483" s="9"/>
      <c r="D1483" s="9"/>
      <c r="E1483" s="67"/>
      <c r="F1483" s="68"/>
      <c r="G1483" s="68"/>
      <c r="H1483" s="69"/>
      <c r="I1483" s="69"/>
      <c r="J1483" s="69"/>
      <c r="K1483" s="69"/>
      <c r="L1483" s="69"/>
      <c r="M1483" s="70"/>
      <c r="N1483" s="69"/>
      <c r="O1483" s="23"/>
      <c r="P1483" s="23"/>
      <c r="Q1483" s="9"/>
      <c r="R1483" s="9"/>
      <c r="S1483" s="9"/>
      <c r="T1483" s="9"/>
      <c r="U1483" s="9"/>
      <c r="V1483" s="9"/>
      <c r="W1483" s="9"/>
      <c r="X1483" s="9"/>
      <c r="Y1483" s="9"/>
      <c r="Z1483" s="9"/>
      <c r="AA1483" s="9"/>
      <c r="AB1483" s="9"/>
      <c r="AC1483" s="9"/>
      <c r="AD1483" s="25"/>
      <c r="AE1483" s="25"/>
      <c r="AF1483" s="9"/>
      <c r="AG1483" s="9"/>
      <c r="AH1483" s="9"/>
      <c r="AI1483" s="9"/>
    </row>
    <row r="1484" ht="15.75" customHeight="1">
      <c r="A1484" s="9"/>
      <c r="B1484" s="9"/>
      <c r="C1484" s="9"/>
      <c r="D1484" s="9"/>
      <c r="E1484" s="67"/>
      <c r="F1484" s="68"/>
      <c r="G1484" s="68"/>
      <c r="H1484" s="69"/>
      <c r="I1484" s="69"/>
      <c r="J1484" s="69"/>
      <c r="K1484" s="69"/>
      <c r="L1484" s="69"/>
      <c r="M1484" s="69"/>
      <c r="N1484" s="69"/>
      <c r="O1484" s="23"/>
      <c r="P1484" s="23"/>
      <c r="Q1484" s="9"/>
      <c r="R1484" s="9"/>
      <c r="S1484" s="9"/>
      <c r="T1484" s="9"/>
      <c r="U1484" s="9"/>
      <c r="V1484" s="9"/>
      <c r="W1484" s="9"/>
      <c r="X1484" s="9"/>
      <c r="Y1484" s="9"/>
      <c r="Z1484" s="9"/>
      <c r="AA1484" s="9"/>
      <c r="AB1484" s="9"/>
      <c r="AC1484" s="9"/>
      <c r="AD1484" s="25"/>
      <c r="AE1484" s="25"/>
      <c r="AF1484" s="9"/>
      <c r="AG1484" s="9"/>
      <c r="AH1484" s="9"/>
      <c r="AI1484" s="9"/>
    </row>
    <row r="1485" ht="15.75" customHeight="1">
      <c r="A1485" s="9"/>
      <c r="B1485" s="9"/>
      <c r="C1485" s="9"/>
      <c r="D1485" s="9"/>
      <c r="E1485" s="67"/>
      <c r="F1485" s="68"/>
      <c r="G1485" s="68"/>
      <c r="H1485" s="69"/>
      <c r="I1485" s="69"/>
      <c r="J1485" s="69"/>
      <c r="K1485" s="69"/>
      <c r="L1485" s="69"/>
      <c r="M1485" s="70"/>
      <c r="N1485" s="69"/>
      <c r="O1485" s="23"/>
      <c r="P1485" s="23"/>
      <c r="Q1485" s="9"/>
      <c r="R1485" s="9"/>
      <c r="S1485" s="9"/>
      <c r="T1485" s="9"/>
      <c r="U1485" s="9"/>
      <c r="V1485" s="9"/>
      <c r="W1485" s="9"/>
      <c r="X1485" s="9"/>
      <c r="Y1485" s="9"/>
      <c r="Z1485" s="9"/>
      <c r="AA1485" s="9"/>
      <c r="AB1485" s="9"/>
      <c r="AC1485" s="9"/>
      <c r="AD1485" s="25"/>
      <c r="AE1485" s="25"/>
      <c r="AF1485" s="9"/>
      <c r="AG1485" s="9"/>
      <c r="AH1485" s="9"/>
      <c r="AI1485" s="9"/>
    </row>
    <row r="1486" ht="15.75" customHeight="1">
      <c r="A1486" s="9"/>
      <c r="B1486" s="9"/>
      <c r="C1486" s="9"/>
      <c r="D1486" s="9"/>
      <c r="E1486" s="67"/>
      <c r="F1486" s="68"/>
      <c r="G1486" s="68"/>
      <c r="H1486" s="69"/>
      <c r="I1486" s="69"/>
      <c r="J1486" s="69"/>
      <c r="K1486" s="69"/>
      <c r="L1486" s="69"/>
      <c r="M1486" s="69"/>
      <c r="N1486" s="69"/>
      <c r="O1486" s="23"/>
      <c r="P1486" s="23"/>
      <c r="Q1486" s="9"/>
      <c r="R1486" s="9"/>
      <c r="S1486" s="9"/>
      <c r="T1486" s="9"/>
      <c r="U1486" s="9"/>
      <c r="V1486" s="9"/>
      <c r="W1486" s="9"/>
      <c r="X1486" s="9"/>
      <c r="Y1486" s="9"/>
      <c r="Z1486" s="9"/>
      <c r="AA1486" s="9"/>
      <c r="AB1486" s="9"/>
      <c r="AC1486" s="9"/>
      <c r="AD1486" s="25"/>
      <c r="AE1486" s="25"/>
      <c r="AF1486" s="9"/>
      <c r="AG1486" s="9"/>
      <c r="AH1486" s="9"/>
      <c r="AI1486" s="9"/>
    </row>
    <row r="1487" ht="15.75" customHeight="1">
      <c r="A1487" s="9"/>
      <c r="B1487" s="9"/>
      <c r="C1487" s="9"/>
      <c r="D1487" s="9"/>
      <c r="E1487" s="67"/>
      <c r="F1487" s="68"/>
      <c r="G1487" s="68"/>
      <c r="H1487" s="69"/>
      <c r="I1487" s="69"/>
      <c r="J1487" s="69"/>
      <c r="K1487" s="69"/>
      <c r="L1487" s="69"/>
      <c r="M1487" s="70"/>
      <c r="N1487" s="69"/>
      <c r="O1487" s="23"/>
      <c r="P1487" s="23"/>
      <c r="Q1487" s="9"/>
      <c r="R1487" s="9"/>
      <c r="S1487" s="9"/>
      <c r="T1487" s="9"/>
      <c r="U1487" s="9"/>
      <c r="V1487" s="9"/>
      <c r="W1487" s="9"/>
      <c r="X1487" s="9"/>
      <c r="Y1487" s="9"/>
      <c r="Z1487" s="9"/>
      <c r="AA1487" s="9"/>
      <c r="AB1487" s="9"/>
      <c r="AC1487" s="9"/>
      <c r="AD1487" s="25"/>
      <c r="AE1487" s="25"/>
      <c r="AF1487" s="9"/>
      <c r="AG1487" s="9"/>
      <c r="AH1487" s="9"/>
      <c r="AI1487" s="9"/>
    </row>
    <row r="1488" ht="15.75" customHeight="1">
      <c r="A1488" s="9"/>
      <c r="B1488" s="9"/>
      <c r="C1488" s="9"/>
      <c r="D1488" s="9"/>
      <c r="E1488" s="67"/>
      <c r="F1488" s="68"/>
      <c r="G1488" s="68"/>
      <c r="H1488" s="69"/>
      <c r="I1488" s="69"/>
      <c r="J1488" s="69"/>
      <c r="K1488" s="69"/>
      <c r="L1488" s="69"/>
      <c r="M1488" s="70"/>
      <c r="N1488" s="69"/>
      <c r="O1488" s="23"/>
      <c r="P1488" s="23"/>
      <c r="Q1488" s="9"/>
      <c r="R1488" s="9"/>
      <c r="S1488" s="9"/>
      <c r="T1488" s="9"/>
      <c r="U1488" s="9"/>
      <c r="V1488" s="9"/>
      <c r="W1488" s="9"/>
      <c r="X1488" s="9"/>
      <c r="Y1488" s="9"/>
      <c r="Z1488" s="9"/>
      <c r="AA1488" s="9"/>
      <c r="AB1488" s="9"/>
      <c r="AC1488" s="9"/>
      <c r="AD1488" s="25"/>
      <c r="AE1488" s="25"/>
      <c r="AF1488" s="9"/>
      <c r="AG1488" s="9"/>
      <c r="AH1488" s="9"/>
      <c r="AI1488" s="9"/>
    </row>
    <row r="1489" ht="15.75" customHeight="1">
      <c r="A1489" s="9"/>
      <c r="B1489" s="9"/>
      <c r="C1489" s="9"/>
      <c r="D1489" s="9"/>
      <c r="E1489" s="67"/>
      <c r="F1489" s="68"/>
      <c r="G1489" s="68"/>
      <c r="H1489" s="69"/>
      <c r="I1489" s="69"/>
      <c r="J1489" s="69"/>
      <c r="K1489" s="69"/>
      <c r="L1489" s="69"/>
      <c r="M1489" s="70"/>
      <c r="N1489" s="69"/>
      <c r="O1489" s="23"/>
      <c r="P1489" s="23"/>
      <c r="Q1489" s="9"/>
      <c r="R1489" s="9"/>
      <c r="S1489" s="9"/>
      <c r="T1489" s="9"/>
      <c r="U1489" s="9"/>
      <c r="V1489" s="9"/>
      <c r="W1489" s="9"/>
      <c r="X1489" s="9"/>
      <c r="Y1489" s="9"/>
      <c r="Z1489" s="9"/>
      <c r="AA1489" s="9"/>
      <c r="AB1489" s="9"/>
      <c r="AC1489" s="9"/>
      <c r="AD1489" s="25"/>
      <c r="AE1489" s="25"/>
      <c r="AF1489" s="9"/>
      <c r="AG1489" s="9"/>
      <c r="AH1489" s="9"/>
      <c r="AI1489" s="9"/>
    </row>
    <row r="1490" ht="15.75" customHeight="1">
      <c r="A1490" s="9"/>
      <c r="B1490" s="9"/>
      <c r="C1490" s="9"/>
      <c r="D1490" s="9"/>
      <c r="E1490" s="67"/>
      <c r="F1490" s="68"/>
      <c r="G1490" s="68"/>
      <c r="H1490" s="69"/>
      <c r="I1490" s="69"/>
      <c r="J1490" s="69"/>
      <c r="K1490" s="69"/>
      <c r="L1490" s="69"/>
      <c r="M1490" s="70"/>
      <c r="N1490" s="69"/>
      <c r="O1490" s="23"/>
      <c r="P1490" s="23"/>
      <c r="Q1490" s="9"/>
      <c r="R1490" s="9"/>
      <c r="S1490" s="9"/>
      <c r="T1490" s="9"/>
      <c r="U1490" s="9"/>
      <c r="V1490" s="9"/>
      <c r="W1490" s="9"/>
      <c r="X1490" s="9"/>
      <c r="Y1490" s="9"/>
      <c r="Z1490" s="9"/>
      <c r="AA1490" s="9"/>
      <c r="AB1490" s="9"/>
      <c r="AC1490" s="9"/>
      <c r="AD1490" s="25"/>
      <c r="AE1490" s="25"/>
      <c r="AF1490" s="9"/>
      <c r="AG1490" s="9"/>
      <c r="AH1490" s="9"/>
      <c r="AI1490" s="9"/>
    </row>
    <row r="1491" ht="15.75" customHeight="1">
      <c r="A1491" s="9"/>
      <c r="B1491" s="9"/>
      <c r="C1491" s="9"/>
      <c r="D1491" s="9"/>
      <c r="E1491" s="67"/>
      <c r="F1491" s="68"/>
      <c r="G1491" s="68"/>
      <c r="H1491" s="69"/>
      <c r="I1491" s="69"/>
      <c r="J1491" s="69"/>
      <c r="K1491" s="69"/>
      <c r="L1491" s="69"/>
      <c r="M1491" s="70"/>
      <c r="N1491" s="69"/>
      <c r="O1491" s="23"/>
      <c r="P1491" s="23"/>
      <c r="Q1491" s="9"/>
      <c r="R1491" s="9"/>
      <c r="S1491" s="9"/>
      <c r="T1491" s="9"/>
      <c r="U1491" s="9"/>
      <c r="V1491" s="9"/>
      <c r="W1491" s="9"/>
      <c r="X1491" s="9"/>
      <c r="Y1491" s="9"/>
      <c r="Z1491" s="9"/>
      <c r="AA1491" s="9"/>
      <c r="AB1491" s="9"/>
      <c r="AC1491" s="9"/>
      <c r="AD1491" s="25"/>
      <c r="AE1491" s="25"/>
      <c r="AF1491" s="9"/>
      <c r="AG1491" s="9"/>
      <c r="AH1491" s="9"/>
      <c r="AI1491" s="9"/>
    </row>
    <row r="1492" ht="15.75" customHeight="1">
      <c r="A1492" s="9"/>
      <c r="B1492" s="9"/>
      <c r="C1492" s="9"/>
      <c r="D1492" s="9"/>
      <c r="E1492" s="67"/>
      <c r="F1492" s="68"/>
      <c r="G1492" s="68"/>
      <c r="H1492" s="69"/>
      <c r="I1492" s="69"/>
      <c r="J1492" s="69"/>
      <c r="K1492" s="69"/>
      <c r="L1492" s="69"/>
      <c r="M1492" s="70"/>
      <c r="N1492" s="69"/>
      <c r="O1492" s="23"/>
      <c r="P1492" s="23"/>
      <c r="Q1492" s="9"/>
      <c r="R1492" s="9"/>
      <c r="S1492" s="9"/>
      <c r="T1492" s="9"/>
      <c r="U1492" s="9"/>
      <c r="V1492" s="9"/>
      <c r="W1492" s="9"/>
      <c r="X1492" s="9"/>
      <c r="Y1492" s="9"/>
      <c r="Z1492" s="9"/>
      <c r="AA1492" s="9"/>
      <c r="AB1492" s="9"/>
      <c r="AC1492" s="9"/>
      <c r="AD1492" s="25"/>
      <c r="AE1492" s="25"/>
      <c r="AF1492" s="9"/>
      <c r="AG1492" s="9"/>
      <c r="AH1492" s="9"/>
      <c r="AI1492" s="9"/>
    </row>
    <row r="1493" ht="15.75" customHeight="1">
      <c r="A1493" s="9"/>
      <c r="B1493" s="9"/>
      <c r="C1493" s="9"/>
      <c r="D1493" s="9"/>
      <c r="E1493" s="67"/>
      <c r="F1493" s="68"/>
      <c r="G1493" s="68"/>
      <c r="H1493" s="69"/>
      <c r="I1493" s="69"/>
      <c r="J1493" s="69"/>
      <c r="K1493" s="69"/>
      <c r="L1493" s="69"/>
      <c r="M1493" s="70"/>
      <c r="N1493" s="69"/>
      <c r="O1493" s="23"/>
      <c r="P1493" s="23"/>
      <c r="Q1493" s="9"/>
      <c r="R1493" s="9"/>
      <c r="S1493" s="9"/>
      <c r="T1493" s="9"/>
      <c r="U1493" s="9"/>
      <c r="V1493" s="9"/>
      <c r="W1493" s="9"/>
      <c r="X1493" s="9"/>
      <c r="Y1493" s="9"/>
      <c r="Z1493" s="9"/>
      <c r="AA1493" s="9"/>
      <c r="AB1493" s="9"/>
      <c r="AC1493" s="9"/>
      <c r="AD1493" s="25"/>
      <c r="AE1493" s="25"/>
      <c r="AF1493" s="9"/>
      <c r="AG1493" s="9"/>
      <c r="AH1493" s="9"/>
      <c r="AI1493" s="9"/>
    </row>
    <row r="1494" ht="15.75" customHeight="1">
      <c r="A1494" s="9"/>
      <c r="B1494" s="9"/>
      <c r="C1494" s="9"/>
      <c r="D1494" s="9"/>
      <c r="E1494" s="67"/>
      <c r="F1494" s="68"/>
      <c r="G1494" s="68"/>
      <c r="H1494" s="69"/>
      <c r="I1494" s="69"/>
      <c r="J1494" s="69"/>
      <c r="K1494" s="69"/>
      <c r="L1494" s="69"/>
      <c r="M1494" s="70"/>
      <c r="N1494" s="69"/>
      <c r="O1494" s="23"/>
      <c r="P1494" s="23"/>
      <c r="Q1494" s="9"/>
      <c r="R1494" s="9"/>
      <c r="S1494" s="9"/>
      <c r="T1494" s="9"/>
      <c r="U1494" s="9"/>
      <c r="V1494" s="9"/>
      <c r="W1494" s="9"/>
      <c r="X1494" s="9"/>
      <c r="Y1494" s="9"/>
      <c r="Z1494" s="9"/>
      <c r="AA1494" s="9"/>
      <c r="AB1494" s="9"/>
      <c r="AC1494" s="9"/>
      <c r="AD1494" s="25"/>
      <c r="AE1494" s="25"/>
      <c r="AF1494" s="9"/>
      <c r="AG1494" s="9"/>
      <c r="AH1494" s="9"/>
      <c r="AI1494" s="9"/>
    </row>
    <row r="1495" ht="15.75" customHeight="1">
      <c r="A1495" s="9"/>
      <c r="B1495" s="9"/>
      <c r="C1495" s="9"/>
      <c r="D1495" s="9"/>
      <c r="E1495" s="67"/>
      <c r="F1495" s="68"/>
      <c r="G1495" s="68"/>
      <c r="H1495" s="69"/>
      <c r="I1495" s="69"/>
      <c r="J1495" s="69"/>
      <c r="K1495" s="69"/>
      <c r="L1495" s="69"/>
      <c r="M1495" s="69"/>
      <c r="N1495" s="69"/>
      <c r="O1495" s="23"/>
      <c r="P1495" s="23"/>
      <c r="Q1495" s="9"/>
      <c r="R1495" s="9"/>
      <c r="S1495" s="9"/>
      <c r="T1495" s="9"/>
      <c r="U1495" s="9"/>
      <c r="V1495" s="9"/>
      <c r="W1495" s="9"/>
      <c r="X1495" s="9"/>
      <c r="Y1495" s="9"/>
      <c r="Z1495" s="9"/>
      <c r="AA1495" s="9"/>
      <c r="AB1495" s="9"/>
      <c r="AC1495" s="9"/>
      <c r="AD1495" s="25"/>
      <c r="AE1495" s="25"/>
      <c r="AF1495" s="9"/>
      <c r="AG1495" s="9"/>
      <c r="AH1495" s="9"/>
      <c r="AI1495" s="9"/>
    </row>
    <row r="1496" ht="15.75" customHeight="1">
      <c r="A1496" s="9"/>
      <c r="B1496" s="9"/>
      <c r="C1496" s="9"/>
      <c r="D1496" s="9"/>
      <c r="E1496" s="67"/>
      <c r="F1496" s="68"/>
      <c r="G1496" s="68"/>
      <c r="H1496" s="69"/>
      <c r="I1496" s="69"/>
      <c r="J1496" s="69"/>
      <c r="K1496" s="69"/>
      <c r="L1496" s="69"/>
      <c r="M1496" s="69"/>
      <c r="N1496" s="69"/>
      <c r="O1496" s="23"/>
      <c r="P1496" s="23"/>
      <c r="Q1496" s="9"/>
      <c r="R1496" s="9"/>
      <c r="S1496" s="9"/>
      <c r="T1496" s="9"/>
      <c r="U1496" s="9"/>
      <c r="V1496" s="9"/>
      <c r="W1496" s="9"/>
      <c r="X1496" s="9"/>
      <c r="Y1496" s="9"/>
      <c r="Z1496" s="9"/>
      <c r="AA1496" s="9"/>
      <c r="AB1496" s="9"/>
      <c r="AC1496" s="9"/>
      <c r="AD1496" s="25"/>
      <c r="AE1496" s="25"/>
      <c r="AF1496" s="9"/>
      <c r="AG1496" s="9"/>
      <c r="AH1496" s="9"/>
      <c r="AI1496" s="9"/>
    </row>
    <row r="1497" ht="15.75" customHeight="1">
      <c r="A1497" s="9"/>
      <c r="B1497" s="9"/>
      <c r="C1497" s="9"/>
      <c r="D1497" s="9"/>
      <c r="E1497" s="67"/>
      <c r="F1497" s="68"/>
      <c r="G1497" s="68"/>
      <c r="H1497" s="69"/>
      <c r="I1497" s="69"/>
      <c r="J1497" s="69"/>
      <c r="K1497" s="69"/>
      <c r="L1497" s="69"/>
      <c r="M1497" s="69"/>
      <c r="N1497" s="69"/>
      <c r="O1497" s="23"/>
      <c r="P1497" s="23"/>
      <c r="Q1497" s="9"/>
      <c r="R1497" s="9"/>
      <c r="S1497" s="9"/>
      <c r="T1497" s="9"/>
      <c r="U1497" s="9"/>
      <c r="V1497" s="9"/>
      <c r="W1497" s="9"/>
      <c r="X1497" s="9"/>
      <c r="Y1497" s="9"/>
      <c r="Z1497" s="9"/>
      <c r="AA1497" s="9"/>
      <c r="AB1497" s="9"/>
      <c r="AC1497" s="9"/>
      <c r="AD1497" s="25"/>
      <c r="AE1497" s="25"/>
      <c r="AF1497" s="9"/>
      <c r="AG1497" s="9"/>
      <c r="AH1497" s="9"/>
      <c r="AI1497" s="9"/>
    </row>
    <row r="1498" ht="15.75" customHeight="1">
      <c r="A1498" s="9"/>
      <c r="B1498" s="9"/>
      <c r="C1498" s="9"/>
      <c r="D1498" s="9"/>
      <c r="E1498" s="67"/>
      <c r="F1498" s="68"/>
      <c r="G1498" s="68"/>
      <c r="H1498" s="69"/>
      <c r="I1498" s="69"/>
      <c r="J1498" s="69"/>
      <c r="K1498" s="69"/>
      <c r="L1498" s="69"/>
      <c r="M1498" s="69"/>
      <c r="N1498" s="69"/>
      <c r="O1498" s="23"/>
      <c r="P1498" s="23"/>
      <c r="Q1498" s="9"/>
      <c r="R1498" s="9"/>
      <c r="S1498" s="9"/>
      <c r="T1498" s="9"/>
      <c r="U1498" s="9"/>
      <c r="V1498" s="9"/>
      <c r="W1498" s="9"/>
      <c r="X1498" s="9"/>
      <c r="Y1498" s="9"/>
      <c r="Z1498" s="9"/>
      <c r="AA1498" s="9"/>
      <c r="AB1498" s="9"/>
      <c r="AC1498" s="9"/>
      <c r="AD1498" s="25"/>
      <c r="AE1498" s="25"/>
      <c r="AF1498" s="9"/>
      <c r="AG1498" s="9"/>
      <c r="AH1498" s="9"/>
      <c r="AI1498" s="9"/>
    </row>
    <row r="1499" ht="15.75" customHeight="1">
      <c r="A1499" s="9"/>
      <c r="B1499" s="9"/>
      <c r="C1499" s="9"/>
      <c r="D1499" s="9"/>
      <c r="E1499" s="67"/>
      <c r="F1499" s="68"/>
      <c r="G1499" s="68"/>
      <c r="H1499" s="69"/>
      <c r="I1499" s="69"/>
      <c r="J1499" s="69"/>
      <c r="K1499" s="69"/>
      <c r="L1499" s="69"/>
      <c r="M1499" s="69"/>
      <c r="N1499" s="69"/>
      <c r="O1499" s="23"/>
      <c r="P1499" s="23"/>
      <c r="Q1499" s="9"/>
      <c r="R1499" s="9"/>
      <c r="S1499" s="9"/>
      <c r="T1499" s="9"/>
      <c r="U1499" s="9"/>
      <c r="V1499" s="9"/>
      <c r="W1499" s="9"/>
      <c r="X1499" s="9"/>
      <c r="Y1499" s="9"/>
      <c r="Z1499" s="9"/>
      <c r="AA1499" s="9"/>
      <c r="AB1499" s="9"/>
      <c r="AC1499" s="9"/>
      <c r="AD1499" s="25"/>
      <c r="AE1499" s="25"/>
      <c r="AF1499" s="9"/>
      <c r="AG1499" s="9"/>
      <c r="AH1499" s="9"/>
      <c r="AI1499" s="9"/>
    </row>
    <row r="1500" ht="15.75" customHeight="1">
      <c r="A1500" s="9"/>
      <c r="B1500" s="9"/>
      <c r="C1500" s="9"/>
      <c r="D1500" s="9"/>
      <c r="E1500" s="67"/>
      <c r="F1500" s="68"/>
      <c r="G1500" s="68"/>
      <c r="H1500" s="69"/>
      <c r="I1500" s="69"/>
      <c r="J1500" s="69"/>
      <c r="K1500" s="69"/>
      <c r="L1500" s="69"/>
      <c r="M1500" s="69"/>
      <c r="N1500" s="69"/>
      <c r="O1500" s="23"/>
      <c r="P1500" s="23"/>
      <c r="Q1500" s="9"/>
      <c r="R1500" s="9"/>
      <c r="S1500" s="9"/>
      <c r="T1500" s="9"/>
      <c r="U1500" s="9"/>
      <c r="V1500" s="9"/>
      <c r="W1500" s="9"/>
      <c r="X1500" s="9"/>
      <c r="Y1500" s="9"/>
      <c r="Z1500" s="9"/>
      <c r="AA1500" s="9"/>
      <c r="AB1500" s="9"/>
      <c r="AC1500" s="9"/>
      <c r="AD1500" s="25"/>
      <c r="AE1500" s="25"/>
      <c r="AF1500" s="9"/>
      <c r="AG1500" s="9"/>
      <c r="AH1500" s="9"/>
      <c r="AI1500" s="9"/>
    </row>
    <row r="1501" ht="15.75" customHeight="1">
      <c r="A1501" s="9"/>
      <c r="B1501" s="9"/>
      <c r="C1501" s="9"/>
      <c r="D1501" s="9"/>
      <c r="E1501" s="67"/>
      <c r="F1501" s="68"/>
      <c r="G1501" s="68"/>
      <c r="H1501" s="69"/>
      <c r="I1501" s="69"/>
      <c r="J1501" s="69"/>
      <c r="K1501" s="69"/>
      <c r="L1501" s="69"/>
      <c r="M1501" s="69"/>
      <c r="N1501" s="69"/>
      <c r="O1501" s="23"/>
      <c r="P1501" s="23"/>
      <c r="Q1501" s="9"/>
      <c r="R1501" s="9"/>
      <c r="S1501" s="9"/>
      <c r="T1501" s="9"/>
      <c r="U1501" s="9"/>
      <c r="V1501" s="9"/>
      <c r="W1501" s="9"/>
      <c r="X1501" s="9"/>
      <c r="Y1501" s="9"/>
      <c r="Z1501" s="9"/>
      <c r="AA1501" s="9"/>
      <c r="AB1501" s="9"/>
      <c r="AC1501" s="9"/>
      <c r="AD1501" s="25"/>
      <c r="AE1501" s="25"/>
      <c r="AF1501" s="9"/>
      <c r="AG1501" s="9"/>
      <c r="AH1501" s="9"/>
      <c r="AI1501" s="9"/>
    </row>
    <row r="1502" ht="15.75" customHeight="1">
      <c r="A1502" s="9"/>
      <c r="B1502" s="9"/>
      <c r="C1502" s="9"/>
      <c r="D1502" s="9"/>
      <c r="E1502" s="67"/>
      <c r="F1502" s="68"/>
      <c r="G1502" s="68"/>
      <c r="H1502" s="69"/>
      <c r="I1502" s="69"/>
      <c r="J1502" s="69"/>
      <c r="K1502" s="69"/>
      <c r="L1502" s="69"/>
      <c r="M1502" s="69"/>
      <c r="N1502" s="69"/>
      <c r="O1502" s="23"/>
      <c r="P1502" s="23"/>
      <c r="Q1502" s="9"/>
      <c r="R1502" s="9"/>
      <c r="S1502" s="9"/>
      <c r="T1502" s="9"/>
      <c r="U1502" s="9"/>
      <c r="V1502" s="9"/>
      <c r="W1502" s="9"/>
      <c r="X1502" s="9"/>
      <c r="Y1502" s="9"/>
      <c r="Z1502" s="9"/>
      <c r="AA1502" s="9"/>
      <c r="AB1502" s="9"/>
      <c r="AC1502" s="9"/>
      <c r="AD1502" s="25"/>
      <c r="AE1502" s="25"/>
      <c r="AF1502" s="9"/>
      <c r="AG1502" s="9"/>
      <c r="AH1502" s="9"/>
      <c r="AI1502" s="9"/>
    </row>
    <row r="1503" ht="15.75" customHeight="1">
      <c r="A1503" s="9"/>
      <c r="B1503" s="9"/>
      <c r="C1503" s="9"/>
      <c r="D1503" s="9"/>
      <c r="E1503" s="67"/>
      <c r="F1503" s="68"/>
      <c r="G1503" s="68"/>
      <c r="H1503" s="69"/>
      <c r="I1503" s="69"/>
      <c r="J1503" s="69"/>
      <c r="K1503" s="69"/>
      <c r="L1503" s="69"/>
      <c r="M1503" s="70"/>
      <c r="N1503" s="69"/>
      <c r="O1503" s="23"/>
      <c r="P1503" s="23"/>
      <c r="Q1503" s="9"/>
      <c r="R1503" s="9"/>
      <c r="S1503" s="9"/>
      <c r="T1503" s="9"/>
      <c r="U1503" s="9"/>
      <c r="V1503" s="9"/>
      <c r="W1503" s="9"/>
      <c r="X1503" s="9"/>
      <c r="Y1503" s="9"/>
      <c r="Z1503" s="9"/>
      <c r="AA1503" s="9"/>
      <c r="AB1503" s="9"/>
      <c r="AC1503" s="9"/>
      <c r="AD1503" s="25"/>
      <c r="AE1503" s="25"/>
      <c r="AF1503" s="9"/>
      <c r="AG1503" s="9"/>
      <c r="AH1503" s="9"/>
      <c r="AI1503" s="9"/>
    </row>
    <row r="1504" ht="15.75" customHeight="1">
      <c r="A1504" s="9"/>
      <c r="B1504" s="9"/>
      <c r="C1504" s="9"/>
      <c r="D1504" s="9"/>
      <c r="E1504" s="67"/>
      <c r="F1504" s="68"/>
      <c r="G1504" s="68"/>
      <c r="H1504" s="69"/>
      <c r="I1504" s="69"/>
      <c r="J1504" s="69"/>
      <c r="K1504" s="69"/>
      <c r="L1504" s="69"/>
      <c r="M1504" s="70"/>
      <c r="N1504" s="69"/>
      <c r="O1504" s="23"/>
      <c r="P1504" s="23"/>
      <c r="Q1504" s="9"/>
      <c r="R1504" s="9"/>
      <c r="S1504" s="9"/>
      <c r="T1504" s="9"/>
      <c r="U1504" s="9"/>
      <c r="V1504" s="9"/>
      <c r="W1504" s="9"/>
      <c r="X1504" s="9"/>
      <c r="Y1504" s="9"/>
      <c r="Z1504" s="9"/>
      <c r="AA1504" s="9"/>
      <c r="AB1504" s="9"/>
      <c r="AC1504" s="9"/>
      <c r="AD1504" s="25"/>
      <c r="AE1504" s="25"/>
      <c r="AF1504" s="9"/>
      <c r="AG1504" s="9"/>
      <c r="AH1504" s="9"/>
      <c r="AI1504" s="9"/>
    </row>
    <row r="1505" ht="15.75" customHeight="1">
      <c r="A1505" s="9"/>
      <c r="B1505" s="9"/>
      <c r="C1505" s="9"/>
      <c r="D1505" s="9"/>
      <c r="E1505" s="67"/>
      <c r="F1505" s="68"/>
      <c r="G1505" s="68"/>
      <c r="H1505" s="69"/>
      <c r="I1505" s="69"/>
      <c r="J1505" s="69"/>
      <c r="K1505" s="69"/>
      <c r="L1505" s="69"/>
      <c r="M1505" s="70"/>
      <c r="N1505" s="69"/>
      <c r="O1505" s="23"/>
      <c r="P1505" s="23"/>
      <c r="Q1505" s="9"/>
      <c r="R1505" s="9"/>
      <c r="S1505" s="9"/>
      <c r="T1505" s="9"/>
      <c r="U1505" s="9"/>
      <c r="V1505" s="9"/>
      <c r="W1505" s="9"/>
      <c r="X1505" s="9"/>
      <c r="Y1505" s="9"/>
      <c r="Z1505" s="9"/>
      <c r="AA1505" s="9"/>
      <c r="AB1505" s="9"/>
      <c r="AC1505" s="9"/>
      <c r="AD1505" s="25"/>
      <c r="AE1505" s="25"/>
      <c r="AF1505" s="9"/>
      <c r="AG1505" s="9"/>
      <c r="AH1505" s="9"/>
      <c r="AI1505" s="9"/>
    </row>
    <row r="1506" ht="15.75" customHeight="1">
      <c r="A1506" s="9"/>
      <c r="B1506" s="9"/>
      <c r="C1506" s="9"/>
      <c r="D1506" s="9"/>
      <c r="E1506" s="67"/>
      <c r="F1506" s="68"/>
      <c r="G1506" s="68"/>
      <c r="H1506" s="69"/>
      <c r="I1506" s="69"/>
      <c r="J1506" s="69"/>
      <c r="K1506" s="69"/>
      <c r="L1506" s="69"/>
      <c r="M1506" s="70"/>
      <c r="N1506" s="69"/>
      <c r="O1506" s="23"/>
      <c r="P1506" s="23"/>
      <c r="Q1506" s="9"/>
      <c r="R1506" s="9"/>
      <c r="S1506" s="9"/>
      <c r="T1506" s="9"/>
      <c r="U1506" s="9"/>
      <c r="V1506" s="9"/>
      <c r="W1506" s="9"/>
      <c r="X1506" s="9"/>
      <c r="Y1506" s="9"/>
      <c r="Z1506" s="9"/>
      <c r="AA1506" s="9"/>
      <c r="AB1506" s="9"/>
      <c r="AC1506" s="9"/>
      <c r="AD1506" s="25"/>
      <c r="AE1506" s="25"/>
      <c r="AF1506" s="9"/>
      <c r="AG1506" s="9"/>
      <c r="AH1506" s="9"/>
      <c r="AI1506" s="9"/>
    </row>
    <row r="1507" ht="15.75" customHeight="1">
      <c r="A1507" s="9"/>
      <c r="B1507" s="9"/>
      <c r="C1507" s="9"/>
      <c r="D1507" s="9"/>
      <c r="E1507" s="67"/>
      <c r="F1507" s="68"/>
      <c r="G1507" s="68"/>
      <c r="H1507" s="69"/>
      <c r="I1507" s="69"/>
      <c r="J1507" s="69"/>
      <c r="K1507" s="69"/>
      <c r="L1507" s="69"/>
      <c r="M1507" s="70"/>
      <c r="N1507" s="69"/>
      <c r="O1507" s="23"/>
      <c r="P1507" s="23"/>
      <c r="Q1507" s="9"/>
      <c r="R1507" s="9"/>
      <c r="S1507" s="9"/>
      <c r="T1507" s="9"/>
      <c r="U1507" s="9"/>
      <c r="V1507" s="9"/>
      <c r="W1507" s="9"/>
      <c r="X1507" s="9"/>
      <c r="Y1507" s="9"/>
      <c r="Z1507" s="9"/>
      <c r="AA1507" s="9"/>
      <c r="AB1507" s="9"/>
      <c r="AC1507" s="9"/>
      <c r="AD1507" s="25"/>
      <c r="AE1507" s="25"/>
      <c r="AF1507" s="9"/>
      <c r="AG1507" s="9"/>
      <c r="AH1507" s="9"/>
      <c r="AI1507" s="9"/>
    </row>
    <row r="1508" ht="15.75" customHeight="1">
      <c r="A1508" s="9"/>
      <c r="B1508" s="9"/>
      <c r="C1508" s="9"/>
      <c r="D1508" s="9"/>
      <c r="E1508" s="67"/>
      <c r="F1508" s="68"/>
      <c r="G1508" s="68"/>
      <c r="H1508" s="69"/>
      <c r="I1508" s="69"/>
      <c r="J1508" s="69"/>
      <c r="K1508" s="69"/>
      <c r="L1508" s="69"/>
      <c r="M1508" s="70"/>
      <c r="N1508" s="69"/>
      <c r="O1508" s="23"/>
      <c r="P1508" s="23"/>
      <c r="Q1508" s="9"/>
      <c r="R1508" s="9"/>
      <c r="S1508" s="9"/>
      <c r="T1508" s="9"/>
      <c r="U1508" s="9"/>
      <c r="V1508" s="9"/>
      <c r="W1508" s="9"/>
      <c r="X1508" s="9"/>
      <c r="Y1508" s="9"/>
      <c r="Z1508" s="9"/>
      <c r="AA1508" s="9"/>
      <c r="AB1508" s="9"/>
      <c r="AC1508" s="9"/>
      <c r="AD1508" s="25"/>
      <c r="AE1508" s="25"/>
      <c r="AF1508" s="9"/>
      <c r="AG1508" s="9"/>
      <c r="AH1508" s="9"/>
      <c r="AI1508" s="9"/>
    </row>
    <row r="1509" ht="15.75" customHeight="1">
      <c r="A1509" s="9"/>
      <c r="B1509" s="9"/>
      <c r="C1509" s="9"/>
      <c r="D1509" s="9"/>
      <c r="E1509" s="67"/>
      <c r="F1509" s="68"/>
      <c r="G1509" s="68"/>
      <c r="H1509" s="69"/>
      <c r="I1509" s="69"/>
      <c r="J1509" s="69"/>
      <c r="K1509" s="69"/>
      <c r="L1509" s="69"/>
      <c r="M1509" s="70"/>
      <c r="N1509" s="69"/>
      <c r="O1509" s="23"/>
      <c r="P1509" s="23"/>
      <c r="Q1509" s="9"/>
      <c r="R1509" s="9"/>
      <c r="S1509" s="9"/>
      <c r="T1509" s="9"/>
      <c r="U1509" s="9"/>
      <c r="V1509" s="9"/>
      <c r="W1509" s="9"/>
      <c r="X1509" s="9"/>
      <c r="Y1509" s="9"/>
      <c r="Z1509" s="9"/>
      <c r="AA1509" s="9"/>
      <c r="AB1509" s="9"/>
      <c r="AC1509" s="9"/>
      <c r="AD1509" s="25"/>
      <c r="AE1509" s="25"/>
      <c r="AF1509" s="9"/>
      <c r="AG1509" s="9"/>
      <c r="AH1509" s="9"/>
      <c r="AI1509" s="9"/>
    </row>
    <row r="1510" ht="15.75" customHeight="1">
      <c r="A1510" s="9"/>
      <c r="B1510" s="9"/>
      <c r="C1510" s="9"/>
      <c r="D1510" s="9"/>
      <c r="E1510" s="67"/>
      <c r="F1510" s="68"/>
      <c r="G1510" s="68"/>
      <c r="H1510" s="69"/>
      <c r="I1510" s="69"/>
      <c r="J1510" s="69"/>
      <c r="K1510" s="69"/>
      <c r="L1510" s="69"/>
      <c r="M1510" s="70"/>
      <c r="N1510" s="69"/>
      <c r="O1510" s="23"/>
      <c r="P1510" s="23"/>
      <c r="Q1510" s="9"/>
      <c r="R1510" s="9"/>
      <c r="S1510" s="9"/>
      <c r="T1510" s="9"/>
      <c r="U1510" s="9"/>
      <c r="V1510" s="9"/>
      <c r="W1510" s="9"/>
      <c r="X1510" s="9"/>
      <c r="Y1510" s="9"/>
      <c r="Z1510" s="9"/>
      <c r="AA1510" s="9"/>
      <c r="AB1510" s="9"/>
      <c r="AC1510" s="9"/>
      <c r="AD1510" s="25"/>
      <c r="AE1510" s="25"/>
      <c r="AF1510" s="9"/>
      <c r="AG1510" s="9"/>
      <c r="AH1510" s="9"/>
      <c r="AI1510" s="9"/>
    </row>
    <row r="1511" ht="15.75" customHeight="1">
      <c r="A1511" s="9"/>
      <c r="B1511" s="9"/>
      <c r="C1511" s="9"/>
      <c r="D1511" s="9"/>
      <c r="E1511" s="67"/>
      <c r="F1511" s="68"/>
      <c r="G1511" s="68"/>
      <c r="H1511" s="69"/>
      <c r="I1511" s="69"/>
      <c r="J1511" s="69"/>
      <c r="K1511" s="69"/>
      <c r="L1511" s="69"/>
      <c r="M1511" s="69"/>
      <c r="N1511" s="69"/>
      <c r="O1511" s="23"/>
      <c r="P1511" s="23"/>
      <c r="Q1511" s="9"/>
      <c r="R1511" s="9"/>
      <c r="S1511" s="9"/>
      <c r="T1511" s="9"/>
      <c r="U1511" s="9"/>
      <c r="V1511" s="9"/>
      <c r="W1511" s="9"/>
      <c r="X1511" s="9"/>
      <c r="Y1511" s="9"/>
      <c r="Z1511" s="9"/>
      <c r="AA1511" s="9"/>
      <c r="AB1511" s="9"/>
      <c r="AC1511" s="9"/>
      <c r="AD1511" s="25"/>
      <c r="AE1511" s="25"/>
      <c r="AF1511" s="9"/>
      <c r="AG1511" s="9"/>
      <c r="AH1511" s="9"/>
      <c r="AI1511" s="9"/>
    </row>
    <row r="1512" ht="15.75" customHeight="1">
      <c r="A1512" s="9"/>
      <c r="B1512" s="9"/>
      <c r="C1512" s="9"/>
      <c r="D1512" s="9"/>
      <c r="E1512" s="67"/>
      <c r="F1512" s="68"/>
      <c r="G1512" s="68"/>
      <c r="H1512" s="69"/>
      <c r="I1512" s="69"/>
      <c r="J1512" s="69"/>
      <c r="K1512" s="69"/>
      <c r="L1512" s="69"/>
      <c r="M1512" s="69"/>
      <c r="N1512" s="69"/>
      <c r="O1512" s="23"/>
      <c r="P1512" s="23"/>
      <c r="Q1512" s="9"/>
      <c r="R1512" s="9"/>
      <c r="S1512" s="9"/>
      <c r="T1512" s="9"/>
      <c r="U1512" s="9"/>
      <c r="V1512" s="9"/>
      <c r="W1512" s="9"/>
      <c r="X1512" s="9"/>
      <c r="Y1512" s="9"/>
      <c r="Z1512" s="9"/>
      <c r="AA1512" s="9"/>
      <c r="AB1512" s="9"/>
      <c r="AC1512" s="9"/>
      <c r="AD1512" s="25"/>
      <c r="AE1512" s="25"/>
      <c r="AF1512" s="9"/>
      <c r="AG1512" s="9"/>
      <c r="AH1512" s="9"/>
      <c r="AI1512" s="9"/>
    </row>
    <row r="1513" ht="15.75" customHeight="1">
      <c r="A1513" s="9"/>
      <c r="B1513" s="9"/>
      <c r="C1513" s="9"/>
      <c r="D1513" s="9"/>
      <c r="E1513" s="67"/>
      <c r="F1513" s="68"/>
      <c r="G1513" s="68"/>
      <c r="H1513" s="69"/>
      <c r="I1513" s="69"/>
      <c r="J1513" s="69"/>
      <c r="K1513" s="69"/>
      <c r="L1513" s="69"/>
      <c r="M1513" s="70"/>
      <c r="N1513" s="69"/>
      <c r="O1513" s="23"/>
      <c r="P1513" s="23"/>
      <c r="Q1513" s="9"/>
      <c r="R1513" s="9"/>
      <c r="S1513" s="9"/>
      <c r="T1513" s="9"/>
      <c r="U1513" s="9"/>
      <c r="V1513" s="9"/>
      <c r="W1513" s="9"/>
      <c r="X1513" s="9"/>
      <c r="Y1513" s="9"/>
      <c r="Z1513" s="9"/>
      <c r="AA1513" s="9"/>
      <c r="AB1513" s="9"/>
      <c r="AC1513" s="9"/>
      <c r="AD1513" s="25"/>
      <c r="AE1513" s="25"/>
      <c r="AF1513" s="9"/>
      <c r="AG1513" s="9"/>
      <c r="AH1513" s="9"/>
      <c r="AI1513" s="9"/>
    </row>
    <row r="1514" ht="15.75" customHeight="1">
      <c r="A1514" s="9"/>
      <c r="B1514" s="9"/>
      <c r="C1514" s="9"/>
      <c r="D1514" s="9"/>
      <c r="E1514" s="67"/>
      <c r="F1514" s="68"/>
      <c r="G1514" s="68"/>
      <c r="H1514" s="69"/>
      <c r="I1514" s="69"/>
      <c r="J1514" s="69"/>
      <c r="K1514" s="69"/>
      <c r="L1514" s="69"/>
      <c r="M1514" s="71"/>
      <c r="N1514" s="69"/>
      <c r="O1514" s="23"/>
      <c r="P1514" s="23"/>
      <c r="Q1514" s="9"/>
      <c r="R1514" s="9"/>
      <c r="S1514" s="9"/>
      <c r="T1514" s="9"/>
      <c r="U1514" s="9"/>
      <c r="V1514" s="9"/>
      <c r="W1514" s="9"/>
      <c r="X1514" s="9"/>
      <c r="Y1514" s="9"/>
      <c r="Z1514" s="9"/>
      <c r="AA1514" s="9"/>
      <c r="AB1514" s="9"/>
      <c r="AC1514" s="9"/>
      <c r="AD1514" s="25"/>
      <c r="AE1514" s="25"/>
      <c r="AF1514" s="9"/>
      <c r="AG1514" s="9"/>
      <c r="AH1514" s="9"/>
      <c r="AI1514" s="9"/>
    </row>
    <row r="1515" ht="15.75" customHeight="1">
      <c r="A1515" s="9"/>
      <c r="B1515" s="9"/>
      <c r="C1515" s="9"/>
      <c r="D1515" s="9"/>
      <c r="E1515" s="67"/>
      <c r="F1515" s="68"/>
      <c r="G1515" s="68"/>
      <c r="H1515" s="69"/>
      <c r="I1515" s="69"/>
      <c r="J1515" s="69"/>
      <c r="K1515" s="69"/>
      <c r="L1515" s="69"/>
      <c r="M1515" s="70"/>
      <c r="N1515" s="69"/>
      <c r="O1515" s="23"/>
      <c r="P1515" s="23"/>
      <c r="Q1515" s="9"/>
      <c r="R1515" s="9"/>
      <c r="S1515" s="9"/>
      <c r="T1515" s="9"/>
      <c r="U1515" s="9"/>
      <c r="V1515" s="9"/>
      <c r="W1515" s="9"/>
      <c r="X1515" s="9"/>
      <c r="Y1515" s="9"/>
      <c r="Z1515" s="9"/>
      <c r="AA1515" s="9"/>
      <c r="AB1515" s="9"/>
      <c r="AC1515" s="9"/>
      <c r="AD1515" s="25"/>
      <c r="AE1515" s="25"/>
      <c r="AF1515" s="9"/>
      <c r="AG1515" s="9"/>
      <c r="AH1515" s="9"/>
      <c r="AI1515" s="9"/>
    </row>
    <row r="1516" ht="15.75" customHeight="1">
      <c r="A1516" s="9"/>
      <c r="B1516" s="9"/>
      <c r="C1516" s="9"/>
      <c r="D1516" s="9"/>
      <c r="E1516" s="67"/>
      <c r="F1516" s="68"/>
      <c r="G1516" s="68"/>
      <c r="H1516" s="69"/>
      <c r="I1516" s="69"/>
      <c r="J1516" s="69"/>
      <c r="K1516" s="69"/>
      <c r="L1516" s="69"/>
      <c r="M1516" s="70"/>
      <c r="N1516" s="69"/>
      <c r="O1516" s="23"/>
      <c r="P1516" s="23"/>
      <c r="Q1516" s="9"/>
      <c r="R1516" s="9"/>
      <c r="S1516" s="9"/>
      <c r="T1516" s="9"/>
      <c r="U1516" s="9"/>
      <c r="V1516" s="9"/>
      <c r="W1516" s="9"/>
      <c r="X1516" s="9"/>
      <c r="Y1516" s="9"/>
      <c r="Z1516" s="9"/>
      <c r="AA1516" s="9"/>
      <c r="AB1516" s="9"/>
      <c r="AC1516" s="9"/>
      <c r="AD1516" s="25"/>
      <c r="AE1516" s="25"/>
      <c r="AF1516" s="9"/>
      <c r="AG1516" s="9"/>
      <c r="AH1516" s="9"/>
      <c r="AI1516" s="9"/>
    </row>
    <row r="1517" ht="15.75" customHeight="1">
      <c r="A1517" s="9"/>
      <c r="B1517" s="9"/>
      <c r="C1517" s="9"/>
      <c r="D1517" s="9"/>
      <c r="E1517" s="67"/>
      <c r="F1517" s="68"/>
      <c r="G1517" s="68"/>
      <c r="H1517" s="69"/>
      <c r="I1517" s="69"/>
      <c r="J1517" s="69"/>
      <c r="K1517" s="69"/>
      <c r="L1517" s="69"/>
      <c r="M1517" s="70"/>
      <c r="N1517" s="69"/>
      <c r="O1517" s="23"/>
      <c r="P1517" s="23"/>
      <c r="Q1517" s="9"/>
      <c r="R1517" s="9"/>
      <c r="S1517" s="9"/>
      <c r="T1517" s="9"/>
      <c r="U1517" s="9"/>
      <c r="V1517" s="9"/>
      <c r="W1517" s="9"/>
      <c r="X1517" s="9"/>
      <c r="Y1517" s="9"/>
      <c r="Z1517" s="9"/>
      <c r="AA1517" s="9"/>
      <c r="AB1517" s="9"/>
      <c r="AC1517" s="9"/>
      <c r="AD1517" s="25"/>
      <c r="AE1517" s="25"/>
      <c r="AF1517" s="9"/>
      <c r="AG1517" s="9"/>
      <c r="AH1517" s="9"/>
      <c r="AI1517" s="9"/>
    </row>
    <row r="1518" ht="15.75" customHeight="1">
      <c r="A1518" s="9"/>
      <c r="B1518" s="9"/>
      <c r="C1518" s="9"/>
      <c r="D1518" s="9"/>
      <c r="E1518" s="67"/>
      <c r="F1518" s="68"/>
      <c r="G1518" s="68"/>
      <c r="H1518" s="69"/>
      <c r="I1518" s="69"/>
      <c r="J1518" s="69"/>
      <c r="K1518" s="69"/>
      <c r="L1518" s="69"/>
      <c r="M1518" s="70"/>
      <c r="N1518" s="69"/>
      <c r="O1518" s="23"/>
      <c r="P1518" s="23"/>
      <c r="Q1518" s="9"/>
      <c r="R1518" s="9"/>
      <c r="S1518" s="9"/>
      <c r="T1518" s="9"/>
      <c r="U1518" s="9"/>
      <c r="V1518" s="9"/>
      <c r="W1518" s="9"/>
      <c r="X1518" s="9"/>
      <c r="Y1518" s="9"/>
      <c r="Z1518" s="9"/>
      <c r="AA1518" s="9"/>
      <c r="AB1518" s="9"/>
      <c r="AC1518" s="9"/>
      <c r="AD1518" s="25"/>
      <c r="AE1518" s="25"/>
      <c r="AF1518" s="9"/>
      <c r="AG1518" s="9"/>
      <c r="AH1518" s="9"/>
      <c r="AI1518" s="9"/>
    </row>
    <row r="1519" ht="15.75" customHeight="1">
      <c r="A1519" s="9"/>
      <c r="B1519" s="9"/>
      <c r="C1519" s="9"/>
      <c r="D1519" s="9"/>
      <c r="E1519" s="67"/>
      <c r="F1519" s="68"/>
      <c r="G1519" s="68"/>
      <c r="H1519" s="69"/>
      <c r="I1519" s="69"/>
      <c r="J1519" s="69"/>
      <c r="K1519" s="69"/>
      <c r="L1519" s="69"/>
      <c r="M1519" s="70"/>
      <c r="N1519" s="69"/>
      <c r="O1519" s="23"/>
      <c r="P1519" s="23"/>
      <c r="Q1519" s="9"/>
      <c r="R1519" s="9"/>
      <c r="S1519" s="9"/>
      <c r="T1519" s="9"/>
      <c r="U1519" s="9"/>
      <c r="V1519" s="9"/>
      <c r="W1519" s="9"/>
      <c r="X1519" s="9"/>
      <c r="Y1519" s="9"/>
      <c r="Z1519" s="9"/>
      <c r="AA1519" s="9"/>
      <c r="AB1519" s="9"/>
      <c r="AC1519" s="9"/>
      <c r="AD1519" s="25"/>
      <c r="AE1519" s="25"/>
      <c r="AF1519" s="9"/>
      <c r="AG1519" s="9"/>
      <c r="AH1519" s="9"/>
      <c r="AI1519" s="9"/>
    </row>
    <row r="1520" ht="15.75" customHeight="1">
      <c r="A1520" s="9"/>
      <c r="B1520" s="9"/>
      <c r="C1520" s="9"/>
      <c r="D1520" s="9"/>
      <c r="E1520" s="67"/>
      <c r="F1520" s="68"/>
      <c r="G1520" s="68"/>
      <c r="H1520" s="69"/>
      <c r="I1520" s="69"/>
      <c r="J1520" s="69"/>
      <c r="K1520" s="69"/>
      <c r="L1520" s="69"/>
      <c r="M1520" s="70"/>
      <c r="N1520" s="69"/>
      <c r="O1520" s="23"/>
      <c r="P1520" s="23"/>
      <c r="Q1520" s="9"/>
      <c r="R1520" s="9"/>
      <c r="S1520" s="9"/>
      <c r="T1520" s="9"/>
      <c r="U1520" s="9"/>
      <c r="V1520" s="9"/>
      <c r="W1520" s="9"/>
      <c r="X1520" s="9"/>
      <c r="Y1520" s="9"/>
      <c r="Z1520" s="9"/>
      <c r="AA1520" s="9"/>
      <c r="AB1520" s="9"/>
      <c r="AC1520" s="9"/>
      <c r="AD1520" s="25"/>
      <c r="AE1520" s="25"/>
      <c r="AF1520" s="9"/>
      <c r="AG1520" s="9"/>
      <c r="AH1520" s="9"/>
      <c r="AI1520" s="9"/>
    </row>
    <row r="1521" ht="15.75" customHeight="1">
      <c r="A1521" s="9"/>
      <c r="B1521" s="9"/>
      <c r="C1521" s="9"/>
      <c r="D1521" s="9"/>
      <c r="E1521" s="67"/>
      <c r="F1521" s="68"/>
      <c r="G1521" s="68"/>
      <c r="H1521" s="69"/>
      <c r="I1521" s="69"/>
      <c r="J1521" s="69"/>
      <c r="K1521" s="69"/>
      <c r="L1521" s="69"/>
      <c r="M1521" s="70"/>
      <c r="N1521" s="69"/>
      <c r="O1521" s="23"/>
      <c r="P1521" s="23"/>
      <c r="Q1521" s="9"/>
      <c r="R1521" s="9"/>
      <c r="S1521" s="9"/>
      <c r="T1521" s="9"/>
      <c r="U1521" s="9"/>
      <c r="V1521" s="9"/>
      <c r="W1521" s="9"/>
      <c r="X1521" s="9"/>
      <c r="Y1521" s="9"/>
      <c r="Z1521" s="9"/>
      <c r="AA1521" s="9"/>
      <c r="AB1521" s="9"/>
      <c r="AC1521" s="9"/>
      <c r="AD1521" s="25"/>
      <c r="AE1521" s="25"/>
      <c r="AF1521" s="9"/>
      <c r="AG1521" s="9"/>
      <c r="AH1521" s="9"/>
      <c r="AI1521" s="9"/>
    </row>
    <row r="1522" ht="15.75" customHeight="1">
      <c r="A1522" s="9"/>
      <c r="B1522" s="9"/>
      <c r="C1522" s="9"/>
      <c r="D1522" s="9"/>
      <c r="E1522" s="67"/>
      <c r="F1522" s="68"/>
      <c r="G1522" s="68"/>
      <c r="H1522" s="69"/>
      <c r="I1522" s="69"/>
      <c r="J1522" s="69"/>
      <c r="K1522" s="69"/>
      <c r="L1522" s="69"/>
      <c r="M1522" s="69"/>
      <c r="N1522" s="69"/>
      <c r="O1522" s="23"/>
      <c r="P1522" s="23"/>
      <c r="Q1522" s="9"/>
      <c r="R1522" s="9"/>
      <c r="S1522" s="9"/>
      <c r="T1522" s="9"/>
      <c r="U1522" s="9"/>
      <c r="V1522" s="9"/>
      <c r="W1522" s="9"/>
      <c r="X1522" s="9"/>
      <c r="Y1522" s="9"/>
      <c r="Z1522" s="9"/>
      <c r="AA1522" s="9"/>
      <c r="AB1522" s="9"/>
      <c r="AC1522" s="9"/>
      <c r="AD1522" s="25"/>
      <c r="AE1522" s="25"/>
      <c r="AF1522" s="9"/>
      <c r="AG1522" s="9"/>
      <c r="AH1522" s="9"/>
      <c r="AI1522" s="9"/>
    </row>
    <row r="1523" ht="15.75" customHeight="1">
      <c r="A1523" s="9"/>
      <c r="B1523" s="9"/>
      <c r="C1523" s="9"/>
      <c r="D1523" s="9"/>
      <c r="E1523" s="67"/>
      <c r="F1523" s="68"/>
      <c r="G1523" s="68"/>
      <c r="H1523" s="69"/>
      <c r="I1523" s="69"/>
      <c r="J1523" s="69"/>
      <c r="K1523" s="69"/>
      <c r="L1523" s="69"/>
      <c r="M1523" s="70"/>
      <c r="N1523" s="69"/>
      <c r="O1523" s="23"/>
      <c r="P1523" s="23"/>
      <c r="Q1523" s="9"/>
      <c r="R1523" s="9"/>
      <c r="S1523" s="9"/>
      <c r="T1523" s="9"/>
      <c r="U1523" s="9"/>
      <c r="V1523" s="9"/>
      <c r="W1523" s="9"/>
      <c r="X1523" s="9"/>
      <c r="Y1523" s="9"/>
      <c r="Z1523" s="9"/>
      <c r="AA1523" s="9"/>
      <c r="AB1523" s="9"/>
      <c r="AC1523" s="9"/>
      <c r="AD1523" s="25"/>
      <c r="AE1523" s="25"/>
      <c r="AF1523" s="9"/>
      <c r="AG1523" s="9"/>
      <c r="AH1523" s="9"/>
      <c r="AI1523" s="9"/>
    </row>
    <row r="1524" ht="15.75" customHeight="1">
      <c r="A1524" s="9"/>
      <c r="B1524" s="9"/>
      <c r="C1524" s="9"/>
      <c r="D1524" s="9"/>
      <c r="E1524" s="67"/>
      <c r="F1524" s="68"/>
      <c r="G1524" s="68"/>
      <c r="H1524" s="69"/>
      <c r="I1524" s="69"/>
      <c r="J1524" s="69"/>
      <c r="K1524" s="69"/>
      <c r="L1524" s="69"/>
      <c r="M1524" s="69"/>
      <c r="N1524" s="69"/>
      <c r="O1524" s="23"/>
      <c r="P1524" s="23"/>
      <c r="Q1524" s="9"/>
      <c r="R1524" s="9"/>
      <c r="S1524" s="9"/>
      <c r="T1524" s="9"/>
      <c r="U1524" s="9"/>
      <c r="V1524" s="9"/>
      <c r="W1524" s="9"/>
      <c r="X1524" s="9"/>
      <c r="Y1524" s="9"/>
      <c r="Z1524" s="9"/>
      <c r="AA1524" s="9"/>
      <c r="AB1524" s="9"/>
      <c r="AC1524" s="9"/>
      <c r="AD1524" s="25"/>
      <c r="AE1524" s="25"/>
      <c r="AF1524" s="9"/>
      <c r="AG1524" s="9"/>
      <c r="AH1524" s="9"/>
      <c r="AI1524" s="9"/>
    </row>
    <row r="1525" ht="15.75" customHeight="1">
      <c r="A1525" s="9"/>
      <c r="B1525" s="9"/>
      <c r="C1525" s="9"/>
      <c r="D1525" s="9"/>
      <c r="E1525" s="67"/>
      <c r="F1525" s="68"/>
      <c r="G1525" s="68"/>
      <c r="H1525" s="69"/>
      <c r="I1525" s="69"/>
      <c r="J1525" s="69"/>
      <c r="K1525" s="69"/>
      <c r="L1525" s="69"/>
      <c r="M1525" s="70"/>
      <c r="N1525" s="69"/>
      <c r="O1525" s="23"/>
      <c r="P1525" s="23"/>
      <c r="Q1525" s="9"/>
      <c r="R1525" s="9"/>
      <c r="S1525" s="9"/>
      <c r="T1525" s="9"/>
      <c r="U1525" s="9"/>
      <c r="V1525" s="9"/>
      <c r="W1525" s="9"/>
      <c r="X1525" s="9"/>
      <c r="Y1525" s="9"/>
      <c r="Z1525" s="9"/>
      <c r="AA1525" s="9"/>
      <c r="AB1525" s="9"/>
      <c r="AC1525" s="9"/>
      <c r="AD1525" s="25"/>
      <c r="AE1525" s="25"/>
      <c r="AF1525" s="9"/>
      <c r="AG1525" s="9"/>
      <c r="AH1525" s="9"/>
      <c r="AI1525" s="9"/>
    </row>
    <row r="1526" ht="15.75" customHeight="1">
      <c r="A1526" s="9"/>
      <c r="B1526" s="9"/>
      <c r="C1526" s="9"/>
      <c r="D1526" s="9"/>
      <c r="E1526" s="67"/>
      <c r="F1526" s="68"/>
      <c r="G1526" s="68"/>
      <c r="H1526" s="69"/>
      <c r="I1526" s="69"/>
      <c r="J1526" s="69"/>
      <c r="K1526" s="69"/>
      <c r="L1526" s="69"/>
      <c r="M1526" s="69"/>
      <c r="N1526" s="69"/>
      <c r="O1526" s="23"/>
      <c r="P1526" s="23"/>
      <c r="Q1526" s="9"/>
      <c r="R1526" s="9"/>
      <c r="S1526" s="9"/>
      <c r="T1526" s="9"/>
      <c r="U1526" s="9"/>
      <c r="V1526" s="9"/>
      <c r="W1526" s="9"/>
      <c r="X1526" s="9"/>
      <c r="Y1526" s="9"/>
      <c r="Z1526" s="9"/>
      <c r="AA1526" s="9"/>
      <c r="AB1526" s="9"/>
      <c r="AC1526" s="9"/>
      <c r="AD1526" s="25"/>
      <c r="AE1526" s="25"/>
      <c r="AF1526" s="9"/>
      <c r="AG1526" s="9"/>
      <c r="AH1526" s="9"/>
      <c r="AI1526" s="9"/>
    </row>
    <row r="1527" ht="15.75" customHeight="1">
      <c r="A1527" s="9"/>
      <c r="B1527" s="9"/>
      <c r="C1527" s="9"/>
      <c r="D1527" s="9"/>
      <c r="E1527" s="67"/>
      <c r="F1527" s="68"/>
      <c r="G1527" s="68"/>
      <c r="H1527" s="69"/>
      <c r="I1527" s="69"/>
      <c r="J1527" s="69"/>
      <c r="K1527" s="69"/>
      <c r="L1527" s="69"/>
      <c r="M1527" s="70"/>
      <c r="N1527" s="69"/>
      <c r="O1527" s="23"/>
      <c r="P1527" s="23"/>
      <c r="Q1527" s="9"/>
      <c r="R1527" s="9"/>
      <c r="S1527" s="9"/>
      <c r="T1527" s="9"/>
      <c r="U1527" s="9"/>
      <c r="V1527" s="9"/>
      <c r="W1527" s="9"/>
      <c r="X1527" s="9"/>
      <c r="Y1527" s="9"/>
      <c r="Z1527" s="9"/>
      <c r="AA1527" s="9"/>
      <c r="AB1527" s="9"/>
      <c r="AC1527" s="9"/>
      <c r="AD1527" s="25"/>
      <c r="AE1527" s="25"/>
      <c r="AF1527" s="9"/>
      <c r="AG1527" s="9"/>
      <c r="AH1527" s="9"/>
      <c r="AI1527" s="9"/>
    </row>
    <row r="1528" ht="15.75" customHeight="1">
      <c r="A1528" s="9"/>
      <c r="B1528" s="9"/>
      <c r="C1528" s="9"/>
      <c r="D1528" s="9"/>
      <c r="E1528" s="67"/>
      <c r="F1528" s="68"/>
      <c r="G1528" s="68"/>
      <c r="H1528" s="69"/>
      <c r="I1528" s="69"/>
      <c r="J1528" s="69"/>
      <c r="K1528" s="69"/>
      <c r="L1528" s="69"/>
      <c r="M1528" s="69"/>
      <c r="N1528" s="69"/>
      <c r="O1528" s="23"/>
      <c r="P1528" s="23"/>
      <c r="Q1528" s="9"/>
      <c r="R1528" s="9"/>
      <c r="S1528" s="9"/>
      <c r="T1528" s="9"/>
      <c r="U1528" s="9"/>
      <c r="V1528" s="9"/>
      <c r="W1528" s="9"/>
      <c r="X1528" s="9"/>
      <c r="Y1528" s="9"/>
      <c r="Z1528" s="9"/>
      <c r="AA1528" s="9"/>
      <c r="AB1528" s="9"/>
      <c r="AC1528" s="9"/>
      <c r="AD1528" s="25"/>
      <c r="AE1528" s="25"/>
      <c r="AF1528" s="9"/>
      <c r="AG1528" s="9"/>
      <c r="AH1528" s="9"/>
      <c r="AI1528" s="9"/>
    </row>
    <row r="1529" ht="15.75" customHeight="1">
      <c r="A1529" s="9"/>
      <c r="B1529" s="9"/>
      <c r="C1529" s="9"/>
      <c r="D1529" s="9"/>
      <c r="E1529" s="67"/>
      <c r="F1529" s="68"/>
      <c r="G1529" s="68"/>
      <c r="H1529" s="69"/>
      <c r="I1529" s="69"/>
      <c r="J1529" s="69"/>
      <c r="K1529" s="69"/>
      <c r="L1529" s="69"/>
      <c r="M1529" s="70"/>
      <c r="N1529" s="69"/>
      <c r="O1529" s="23"/>
      <c r="P1529" s="23"/>
      <c r="Q1529" s="9"/>
      <c r="R1529" s="9"/>
      <c r="S1529" s="9"/>
      <c r="T1529" s="9"/>
      <c r="U1529" s="9"/>
      <c r="V1529" s="9"/>
      <c r="W1529" s="9"/>
      <c r="X1529" s="9"/>
      <c r="Y1529" s="9"/>
      <c r="Z1529" s="9"/>
      <c r="AA1529" s="9"/>
      <c r="AB1529" s="9"/>
      <c r="AC1529" s="9"/>
      <c r="AD1529" s="25"/>
      <c r="AE1529" s="25"/>
      <c r="AF1529" s="9"/>
      <c r="AG1529" s="9"/>
      <c r="AH1529" s="9"/>
      <c r="AI1529" s="9"/>
    </row>
    <row r="1530" ht="15.75" customHeight="1">
      <c r="A1530" s="9"/>
      <c r="B1530" s="9"/>
      <c r="C1530" s="9"/>
      <c r="D1530" s="9"/>
      <c r="E1530" s="67"/>
      <c r="F1530" s="68"/>
      <c r="G1530" s="68"/>
      <c r="H1530" s="69"/>
      <c r="I1530" s="69"/>
      <c r="J1530" s="69"/>
      <c r="K1530" s="69"/>
      <c r="L1530" s="69"/>
      <c r="M1530" s="69"/>
      <c r="N1530" s="69"/>
      <c r="O1530" s="23"/>
      <c r="P1530" s="23"/>
      <c r="Q1530" s="9"/>
      <c r="R1530" s="9"/>
      <c r="S1530" s="9"/>
      <c r="T1530" s="9"/>
      <c r="U1530" s="9"/>
      <c r="V1530" s="9"/>
      <c r="W1530" s="9"/>
      <c r="X1530" s="9"/>
      <c r="Y1530" s="9"/>
      <c r="Z1530" s="9"/>
      <c r="AA1530" s="9"/>
      <c r="AB1530" s="9"/>
      <c r="AC1530" s="9"/>
      <c r="AD1530" s="25"/>
      <c r="AE1530" s="25"/>
      <c r="AF1530" s="9"/>
      <c r="AG1530" s="9"/>
      <c r="AH1530" s="9"/>
      <c r="AI1530" s="9"/>
    </row>
    <row r="1531" ht="15.75" customHeight="1">
      <c r="A1531" s="9"/>
      <c r="B1531" s="9"/>
      <c r="C1531" s="9"/>
      <c r="D1531" s="9"/>
      <c r="E1531" s="67"/>
      <c r="F1531" s="68"/>
      <c r="G1531" s="68"/>
      <c r="H1531" s="69"/>
      <c r="I1531" s="69"/>
      <c r="J1531" s="69"/>
      <c r="K1531" s="69"/>
      <c r="L1531" s="69"/>
      <c r="M1531" s="70"/>
      <c r="N1531" s="69"/>
      <c r="O1531" s="23"/>
      <c r="P1531" s="23"/>
      <c r="Q1531" s="9"/>
      <c r="R1531" s="9"/>
      <c r="S1531" s="9"/>
      <c r="T1531" s="9"/>
      <c r="U1531" s="9"/>
      <c r="V1531" s="9"/>
      <c r="W1531" s="9"/>
      <c r="X1531" s="9"/>
      <c r="Y1531" s="9"/>
      <c r="Z1531" s="9"/>
      <c r="AA1531" s="9"/>
      <c r="AB1531" s="9"/>
      <c r="AC1531" s="9"/>
      <c r="AD1531" s="25"/>
      <c r="AE1531" s="25"/>
      <c r="AF1531" s="9"/>
      <c r="AG1531" s="9"/>
      <c r="AH1531" s="9"/>
      <c r="AI1531" s="9"/>
    </row>
    <row r="1532" ht="15.75" customHeight="1">
      <c r="A1532" s="9"/>
      <c r="B1532" s="9"/>
      <c r="C1532" s="9"/>
      <c r="D1532" s="9"/>
      <c r="E1532" s="67"/>
      <c r="F1532" s="68"/>
      <c r="G1532" s="68"/>
      <c r="H1532" s="69"/>
      <c r="I1532" s="69"/>
      <c r="J1532" s="69"/>
      <c r="K1532" s="69"/>
      <c r="L1532" s="69"/>
      <c r="M1532" s="69"/>
      <c r="N1532" s="69"/>
      <c r="O1532" s="23"/>
      <c r="P1532" s="23"/>
      <c r="Q1532" s="9"/>
      <c r="R1532" s="9"/>
      <c r="S1532" s="9"/>
      <c r="T1532" s="9"/>
      <c r="U1532" s="9"/>
      <c r="V1532" s="9"/>
      <c r="W1532" s="9"/>
      <c r="X1532" s="9"/>
      <c r="Y1532" s="9"/>
      <c r="Z1532" s="9"/>
      <c r="AA1532" s="9"/>
      <c r="AB1532" s="9"/>
      <c r="AC1532" s="9"/>
      <c r="AD1532" s="25"/>
      <c r="AE1532" s="25"/>
      <c r="AF1532" s="9"/>
      <c r="AG1532" s="9"/>
      <c r="AH1532" s="9"/>
      <c r="AI1532" s="9"/>
    </row>
    <row r="1533" ht="15.75" customHeight="1">
      <c r="A1533" s="9"/>
      <c r="B1533" s="9"/>
      <c r="C1533" s="9"/>
      <c r="D1533" s="9"/>
      <c r="E1533" s="67"/>
      <c r="F1533" s="68"/>
      <c r="G1533" s="68"/>
      <c r="H1533" s="69"/>
      <c r="I1533" s="69"/>
      <c r="J1533" s="69"/>
      <c r="K1533" s="69"/>
      <c r="L1533" s="69"/>
      <c r="M1533" s="69"/>
      <c r="N1533" s="69"/>
      <c r="O1533" s="23"/>
      <c r="P1533" s="23"/>
      <c r="Q1533" s="9"/>
      <c r="R1533" s="9"/>
      <c r="S1533" s="9"/>
      <c r="T1533" s="9"/>
      <c r="U1533" s="9"/>
      <c r="V1533" s="9"/>
      <c r="W1533" s="9"/>
      <c r="X1533" s="9"/>
      <c r="Y1533" s="9"/>
      <c r="Z1533" s="9"/>
      <c r="AA1533" s="9"/>
      <c r="AB1533" s="9"/>
      <c r="AC1533" s="9"/>
      <c r="AD1533" s="25"/>
      <c r="AE1533" s="25"/>
      <c r="AF1533" s="9"/>
      <c r="AG1533" s="9"/>
      <c r="AH1533" s="9"/>
      <c r="AI1533" s="9"/>
    </row>
    <row r="1534" ht="15.75" customHeight="1">
      <c r="A1534" s="9"/>
      <c r="B1534" s="9"/>
      <c r="C1534" s="9"/>
      <c r="D1534" s="9"/>
      <c r="E1534" s="67"/>
      <c r="F1534" s="68"/>
      <c r="G1534" s="68"/>
      <c r="H1534" s="69"/>
      <c r="I1534" s="69"/>
      <c r="J1534" s="69"/>
      <c r="K1534" s="69"/>
      <c r="L1534" s="69"/>
      <c r="M1534" s="69"/>
      <c r="N1534" s="69"/>
      <c r="O1534" s="23"/>
      <c r="P1534" s="23"/>
      <c r="Q1534" s="9"/>
      <c r="R1534" s="9"/>
      <c r="S1534" s="9"/>
      <c r="T1534" s="9"/>
      <c r="U1534" s="9"/>
      <c r="V1534" s="9"/>
      <c r="W1534" s="9"/>
      <c r="X1534" s="9"/>
      <c r="Y1534" s="9"/>
      <c r="Z1534" s="9"/>
      <c r="AA1534" s="9"/>
      <c r="AB1534" s="9"/>
      <c r="AC1534" s="9"/>
      <c r="AD1534" s="25"/>
      <c r="AE1534" s="25"/>
      <c r="AF1534" s="9"/>
      <c r="AG1534" s="9"/>
      <c r="AH1534" s="9"/>
      <c r="AI1534" s="9"/>
    </row>
    <row r="1535" ht="15.75" customHeight="1">
      <c r="A1535" s="9"/>
      <c r="B1535" s="9"/>
      <c r="C1535" s="9"/>
      <c r="D1535" s="9"/>
      <c r="E1535" s="67"/>
      <c r="F1535" s="68"/>
      <c r="G1535" s="68"/>
      <c r="H1535" s="69"/>
      <c r="I1535" s="69"/>
      <c r="J1535" s="69"/>
      <c r="K1535" s="69"/>
      <c r="L1535" s="69"/>
      <c r="M1535" s="70"/>
      <c r="N1535" s="69"/>
      <c r="O1535" s="23"/>
      <c r="P1535" s="23"/>
      <c r="Q1535" s="9"/>
      <c r="R1535" s="9"/>
      <c r="S1535" s="9"/>
      <c r="T1535" s="9"/>
      <c r="U1535" s="9"/>
      <c r="V1535" s="9"/>
      <c r="W1535" s="9"/>
      <c r="X1535" s="9"/>
      <c r="Y1535" s="9"/>
      <c r="Z1535" s="9"/>
      <c r="AA1535" s="9"/>
      <c r="AB1535" s="9"/>
      <c r="AC1535" s="9"/>
      <c r="AD1535" s="25"/>
      <c r="AE1535" s="25"/>
      <c r="AF1535" s="9"/>
      <c r="AG1535" s="9"/>
      <c r="AH1535" s="9"/>
      <c r="AI1535" s="9"/>
    </row>
    <row r="1536" ht="15.75" customHeight="1">
      <c r="A1536" s="9"/>
      <c r="B1536" s="9"/>
      <c r="C1536" s="9"/>
      <c r="D1536" s="9"/>
      <c r="E1536" s="67"/>
      <c r="F1536" s="68"/>
      <c r="G1536" s="68"/>
      <c r="H1536" s="69"/>
      <c r="I1536" s="69"/>
      <c r="J1536" s="69"/>
      <c r="K1536" s="69"/>
      <c r="L1536" s="69"/>
      <c r="M1536" s="70"/>
      <c r="N1536" s="69"/>
      <c r="O1536" s="23"/>
      <c r="P1536" s="23"/>
      <c r="Q1536" s="9"/>
      <c r="R1536" s="9"/>
      <c r="S1536" s="9"/>
      <c r="T1536" s="9"/>
      <c r="U1536" s="9"/>
      <c r="V1536" s="9"/>
      <c r="W1536" s="9"/>
      <c r="X1536" s="9"/>
      <c r="Y1536" s="9"/>
      <c r="Z1536" s="9"/>
      <c r="AA1536" s="9"/>
      <c r="AB1536" s="9"/>
      <c r="AC1536" s="9"/>
      <c r="AD1536" s="25"/>
      <c r="AE1536" s="25"/>
      <c r="AF1536" s="9"/>
      <c r="AG1536" s="9"/>
      <c r="AH1536" s="9"/>
      <c r="AI1536" s="9"/>
    </row>
    <row r="1537" ht="15.75" customHeight="1">
      <c r="A1537" s="9"/>
      <c r="B1537" s="9"/>
      <c r="C1537" s="9"/>
      <c r="D1537" s="9"/>
      <c r="E1537" s="67"/>
      <c r="F1537" s="68"/>
      <c r="G1537" s="68"/>
      <c r="H1537" s="69"/>
      <c r="I1537" s="69"/>
      <c r="J1537" s="69"/>
      <c r="K1537" s="69"/>
      <c r="L1537" s="69"/>
      <c r="M1537" s="69"/>
      <c r="N1537" s="69"/>
      <c r="O1537" s="23"/>
      <c r="P1537" s="23"/>
      <c r="Q1537" s="9"/>
      <c r="R1537" s="9"/>
      <c r="S1537" s="9"/>
      <c r="T1537" s="9"/>
      <c r="U1537" s="9"/>
      <c r="V1537" s="9"/>
      <c r="W1537" s="9"/>
      <c r="X1537" s="9"/>
      <c r="Y1537" s="9"/>
      <c r="Z1537" s="9"/>
      <c r="AA1537" s="9"/>
      <c r="AB1537" s="9"/>
      <c r="AC1537" s="9"/>
      <c r="AD1537" s="25"/>
      <c r="AE1537" s="25"/>
      <c r="AF1537" s="9"/>
      <c r="AG1537" s="9"/>
      <c r="AH1537" s="9"/>
      <c r="AI1537" s="9"/>
    </row>
    <row r="1538" ht="15.75" customHeight="1">
      <c r="A1538" s="9"/>
      <c r="B1538" s="9"/>
      <c r="C1538" s="9"/>
      <c r="D1538" s="9"/>
      <c r="E1538" s="67"/>
      <c r="F1538" s="68"/>
      <c r="G1538" s="68"/>
      <c r="H1538" s="69"/>
      <c r="I1538" s="69"/>
      <c r="J1538" s="69"/>
      <c r="K1538" s="69"/>
      <c r="L1538" s="69"/>
      <c r="M1538" s="70"/>
      <c r="N1538" s="69"/>
      <c r="O1538" s="23"/>
      <c r="P1538" s="23"/>
      <c r="Q1538" s="9"/>
      <c r="R1538" s="9"/>
      <c r="S1538" s="9"/>
      <c r="T1538" s="9"/>
      <c r="U1538" s="9"/>
      <c r="V1538" s="9"/>
      <c r="W1538" s="9"/>
      <c r="X1538" s="9"/>
      <c r="Y1538" s="9"/>
      <c r="Z1538" s="9"/>
      <c r="AA1538" s="9"/>
      <c r="AB1538" s="9"/>
      <c r="AC1538" s="9"/>
      <c r="AD1538" s="25"/>
      <c r="AE1538" s="25"/>
      <c r="AF1538" s="9"/>
      <c r="AG1538" s="9"/>
      <c r="AH1538" s="9"/>
      <c r="AI1538" s="9"/>
    </row>
    <row r="1539" ht="15.75" customHeight="1">
      <c r="A1539" s="9"/>
      <c r="B1539" s="9"/>
      <c r="C1539" s="9"/>
      <c r="D1539" s="9"/>
      <c r="E1539" s="67"/>
      <c r="F1539" s="68"/>
      <c r="G1539" s="68"/>
      <c r="H1539" s="69"/>
      <c r="I1539" s="69"/>
      <c r="J1539" s="69"/>
      <c r="K1539" s="69"/>
      <c r="L1539" s="69"/>
      <c r="M1539" s="70"/>
      <c r="N1539" s="69"/>
      <c r="O1539" s="23"/>
      <c r="P1539" s="23"/>
      <c r="Q1539" s="9"/>
      <c r="R1539" s="9"/>
      <c r="S1539" s="9"/>
      <c r="T1539" s="9"/>
      <c r="U1539" s="9"/>
      <c r="V1539" s="9"/>
      <c r="W1539" s="9"/>
      <c r="X1539" s="9"/>
      <c r="Y1539" s="9"/>
      <c r="Z1539" s="9"/>
      <c r="AA1539" s="9"/>
      <c r="AB1539" s="9"/>
      <c r="AC1539" s="9"/>
      <c r="AD1539" s="25"/>
      <c r="AE1539" s="25"/>
      <c r="AF1539" s="9"/>
      <c r="AG1539" s="9"/>
      <c r="AH1539" s="9"/>
      <c r="AI1539" s="9"/>
    </row>
    <row r="1540" ht="15.75" customHeight="1">
      <c r="A1540" s="9"/>
      <c r="B1540" s="9"/>
      <c r="C1540" s="9"/>
      <c r="D1540" s="9"/>
      <c r="E1540" s="67"/>
      <c r="F1540" s="68"/>
      <c r="G1540" s="68"/>
      <c r="H1540" s="69"/>
      <c r="I1540" s="69"/>
      <c r="J1540" s="69"/>
      <c r="K1540" s="69"/>
      <c r="L1540" s="69"/>
      <c r="M1540" s="70"/>
      <c r="N1540" s="69"/>
      <c r="O1540" s="23"/>
      <c r="P1540" s="23"/>
      <c r="Q1540" s="9"/>
      <c r="R1540" s="9"/>
      <c r="S1540" s="9"/>
      <c r="T1540" s="9"/>
      <c r="U1540" s="9"/>
      <c r="V1540" s="9"/>
      <c r="W1540" s="9"/>
      <c r="X1540" s="9"/>
      <c r="Y1540" s="9"/>
      <c r="Z1540" s="9"/>
      <c r="AA1540" s="9"/>
      <c r="AB1540" s="9"/>
      <c r="AC1540" s="9"/>
      <c r="AD1540" s="25"/>
      <c r="AE1540" s="25"/>
      <c r="AF1540" s="9"/>
      <c r="AG1540" s="9"/>
      <c r="AH1540" s="9"/>
      <c r="AI1540" s="9"/>
    </row>
    <row r="1541" ht="15.75" customHeight="1">
      <c r="A1541" s="9"/>
      <c r="B1541" s="9"/>
      <c r="C1541" s="9"/>
      <c r="D1541" s="9"/>
      <c r="E1541" s="67"/>
      <c r="F1541" s="68"/>
      <c r="G1541" s="68"/>
      <c r="H1541" s="69"/>
      <c r="I1541" s="69"/>
      <c r="J1541" s="69"/>
      <c r="K1541" s="69"/>
      <c r="L1541" s="69"/>
      <c r="M1541" s="71"/>
      <c r="N1541" s="69"/>
      <c r="O1541" s="23"/>
      <c r="P1541" s="23"/>
      <c r="Q1541" s="9"/>
      <c r="R1541" s="9"/>
      <c r="S1541" s="9"/>
      <c r="T1541" s="9"/>
      <c r="U1541" s="9"/>
      <c r="V1541" s="9"/>
      <c r="W1541" s="9"/>
      <c r="X1541" s="9"/>
      <c r="Y1541" s="9"/>
      <c r="Z1541" s="9"/>
      <c r="AA1541" s="9"/>
      <c r="AB1541" s="9"/>
      <c r="AC1541" s="9"/>
      <c r="AD1541" s="25"/>
      <c r="AE1541" s="25"/>
      <c r="AF1541" s="9"/>
      <c r="AG1541" s="9"/>
      <c r="AH1541" s="9"/>
      <c r="AI1541" s="9"/>
    </row>
    <row r="1542" ht="15.75" customHeight="1">
      <c r="A1542" s="9"/>
      <c r="B1542" s="9"/>
      <c r="C1542" s="9"/>
      <c r="D1542" s="9"/>
      <c r="E1542" s="67"/>
      <c r="F1542" s="68"/>
      <c r="G1542" s="68"/>
      <c r="H1542" s="69"/>
      <c r="I1542" s="69"/>
      <c r="J1542" s="69"/>
      <c r="K1542" s="69"/>
      <c r="L1542" s="69"/>
      <c r="M1542" s="70"/>
      <c r="N1542" s="69"/>
      <c r="O1542" s="23"/>
      <c r="P1542" s="23"/>
      <c r="Q1542" s="9"/>
      <c r="R1542" s="9"/>
      <c r="S1542" s="9"/>
      <c r="T1542" s="9"/>
      <c r="U1542" s="9"/>
      <c r="V1542" s="9"/>
      <c r="W1542" s="9"/>
      <c r="X1542" s="9"/>
      <c r="Y1542" s="9"/>
      <c r="Z1542" s="9"/>
      <c r="AA1542" s="9"/>
      <c r="AB1542" s="9"/>
      <c r="AC1542" s="9"/>
      <c r="AD1542" s="25"/>
      <c r="AE1542" s="25"/>
      <c r="AF1542" s="9"/>
      <c r="AG1542" s="9"/>
      <c r="AH1542" s="9"/>
      <c r="AI1542" s="9"/>
    </row>
    <row r="1543" ht="15.75" customHeight="1">
      <c r="A1543" s="9"/>
      <c r="B1543" s="9"/>
      <c r="C1543" s="9"/>
      <c r="D1543" s="9"/>
      <c r="E1543" s="67"/>
      <c r="F1543" s="68"/>
      <c r="G1543" s="68"/>
      <c r="H1543" s="69"/>
      <c r="I1543" s="69"/>
      <c r="J1543" s="69"/>
      <c r="K1543" s="69"/>
      <c r="L1543" s="69"/>
      <c r="M1543" s="70"/>
      <c r="N1543" s="69"/>
      <c r="O1543" s="23"/>
      <c r="P1543" s="23"/>
      <c r="Q1543" s="9"/>
      <c r="R1543" s="9"/>
      <c r="S1543" s="9"/>
      <c r="T1543" s="9"/>
      <c r="U1543" s="9"/>
      <c r="V1543" s="9"/>
      <c r="W1543" s="9"/>
      <c r="X1543" s="9"/>
      <c r="Y1543" s="9"/>
      <c r="Z1543" s="9"/>
      <c r="AA1543" s="9"/>
      <c r="AB1543" s="9"/>
      <c r="AC1543" s="9"/>
      <c r="AD1543" s="25"/>
      <c r="AE1543" s="25"/>
      <c r="AF1543" s="9"/>
      <c r="AG1543" s="9"/>
      <c r="AH1543" s="9"/>
      <c r="AI1543" s="9"/>
    </row>
    <row r="1544" ht="15.75" customHeight="1">
      <c r="A1544" s="9"/>
      <c r="B1544" s="9"/>
      <c r="C1544" s="9"/>
      <c r="D1544" s="9"/>
      <c r="E1544" s="67"/>
      <c r="F1544" s="68"/>
      <c r="G1544" s="68"/>
      <c r="H1544" s="69"/>
      <c r="I1544" s="69"/>
      <c r="J1544" s="69"/>
      <c r="K1544" s="69"/>
      <c r="L1544" s="69"/>
      <c r="M1544" s="70"/>
      <c r="N1544" s="69"/>
      <c r="O1544" s="23"/>
      <c r="P1544" s="23"/>
      <c r="Q1544" s="9"/>
      <c r="R1544" s="9"/>
      <c r="S1544" s="9"/>
      <c r="T1544" s="9"/>
      <c r="U1544" s="9"/>
      <c r="V1544" s="9"/>
      <c r="W1544" s="9"/>
      <c r="X1544" s="9"/>
      <c r="Y1544" s="9"/>
      <c r="Z1544" s="9"/>
      <c r="AA1544" s="9"/>
      <c r="AB1544" s="9"/>
      <c r="AC1544" s="9"/>
      <c r="AD1544" s="25"/>
      <c r="AE1544" s="25"/>
      <c r="AF1544" s="9"/>
      <c r="AG1544" s="9"/>
      <c r="AH1544" s="9"/>
      <c r="AI1544" s="9"/>
    </row>
    <row r="1545" ht="15.75" customHeight="1">
      <c r="A1545" s="9"/>
      <c r="B1545" s="9"/>
      <c r="C1545" s="9"/>
      <c r="D1545" s="9"/>
      <c r="E1545" s="67"/>
      <c r="F1545" s="68"/>
      <c r="G1545" s="68"/>
      <c r="H1545" s="69"/>
      <c r="I1545" s="69"/>
      <c r="J1545" s="69"/>
      <c r="K1545" s="69"/>
      <c r="L1545" s="69"/>
      <c r="M1545" s="70"/>
      <c r="N1545" s="69"/>
      <c r="O1545" s="23"/>
      <c r="P1545" s="23"/>
      <c r="Q1545" s="9"/>
      <c r="R1545" s="9"/>
      <c r="S1545" s="9"/>
      <c r="T1545" s="9"/>
      <c r="U1545" s="9"/>
      <c r="V1545" s="9"/>
      <c r="W1545" s="9"/>
      <c r="X1545" s="9"/>
      <c r="Y1545" s="9"/>
      <c r="Z1545" s="9"/>
      <c r="AA1545" s="9"/>
      <c r="AB1545" s="9"/>
      <c r="AC1545" s="9"/>
      <c r="AD1545" s="25"/>
      <c r="AE1545" s="25"/>
      <c r="AF1545" s="9"/>
      <c r="AG1545" s="9"/>
      <c r="AH1545" s="9"/>
      <c r="AI1545" s="9"/>
    </row>
    <row r="1546" ht="15.75" customHeight="1">
      <c r="A1546" s="9"/>
      <c r="B1546" s="9"/>
      <c r="C1546" s="9"/>
      <c r="D1546" s="9"/>
      <c r="E1546" s="67"/>
      <c r="F1546" s="68"/>
      <c r="G1546" s="68"/>
      <c r="H1546" s="69"/>
      <c r="I1546" s="69"/>
      <c r="J1546" s="69"/>
      <c r="K1546" s="69"/>
      <c r="L1546" s="69"/>
      <c r="M1546" s="70"/>
      <c r="N1546" s="69"/>
      <c r="O1546" s="23"/>
      <c r="P1546" s="23"/>
      <c r="Q1546" s="9"/>
      <c r="R1546" s="9"/>
      <c r="S1546" s="9"/>
      <c r="T1546" s="9"/>
      <c r="U1546" s="9"/>
      <c r="V1546" s="9"/>
      <c r="W1546" s="9"/>
      <c r="X1546" s="9"/>
      <c r="Y1546" s="9"/>
      <c r="Z1546" s="9"/>
      <c r="AA1546" s="9"/>
      <c r="AB1546" s="9"/>
      <c r="AC1546" s="9"/>
      <c r="AD1546" s="25"/>
      <c r="AE1546" s="25"/>
      <c r="AF1546" s="9"/>
      <c r="AG1546" s="9"/>
      <c r="AH1546" s="9"/>
      <c r="AI1546" s="9"/>
    </row>
    <row r="1547" ht="15.75" customHeight="1">
      <c r="A1547" s="9"/>
      <c r="B1547" s="9"/>
      <c r="C1547" s="9"/>
      <c r="D1547" s="9"/>
      <c r="E1547" s="67"/>
      <c r="F1547" s="68"/>
      <c r="G1547" s="68"/>
      <c r="H1547" s="69"/>
      <c r="I1547" s="69"/>
      <c r="J1547" s="69"/>
      <c r="K1547" s="69"/>
      <c r="L1547" s="69"/>
      <c r="M1547" s="70"/>
      <c r="N1547" s="69"/>
      <c r="O1547" s="23"/>
      <c r="P1547" s="23"/>
      <c r="Q1547" s="9"/>
      <c r="R1547" s="9"/>
      <c r="S1547" s="9"/>
      <c r="T1547" s="9"/>
      <c r="U1547" s="9"/>
      <c r="V1547" s="9"/>
      <c r="W1547" s="9"/>
      <c r="X1547" s="9"/>
      <c r="Y1547" s="9"/>
      <c r="Z1547" s="9"/>
      <c r="AA1547" s="9"/>
      <c r="AB1547" s="9"/>
      <c r="AC1547" s="9"/>
      <c r="AD1547" s="25"/>
      <c r="AE1547" s="25"/>
      <c r="AF1547" s="9"/>
      <c r="AG1547" s="9"/>
      <c r="AH1547" s="9"/>
      <c r="AI1547" s="9"/>
    </row>
    <row r="1548" ht="15.75" customHeight="1">
      <c r="A1548" s="9"/>
      <c r="B1548" s="9"/>
      <c r="C1548" s="9"/>
      <c r="D1548" s="9"/>
      <c r="E1548" s="67"/>
      <c r="F1548" s="68"/>
      <c r="G1548" s="68"/>
      <c r="H1548" s="69"/>
      <c r="I1548" s="69"/>
      <c r="J1548" s="69"/>
      <c r="K1548" s="69"/>
      <c r="L1548" s="69"/>
      <c r="M1548" s="69"/>
      <c r="N1548" s="69"/>
      <c r="O1548" s="23"/>
      <c r="P1548" s="23"/>
      <c r="Q1548" s="9"/>
      <c r="R1548" s="9"/>
      <c r="S1548" s="9"/>
      <c r="T1548" s="9"/>
      <c r="U1548" s="9"/>
      <c r="V1548" s="9"/>
      <c r="W1548" s="9"/>
      <c r="X1548" s="9"/>
      <c r="Y1548" s="9"/>
      <c r="Z1548" s="9"/>
      <c r="AA1548" s="9"/>
      <c r="AB1548" s="9"/>
      <c r="AC1548" s="9"/>
      <c r="AD1548" s="25"/>
      <c r="AE1548" s="25"/>
      <c r="AF1548" s="9"/>
      <c r="AG1548" s="9"/>
      <c r="AH1548" s="9"/>
      <c r="AI1548" s="9"/>
    </row>
    <row r="1549" ht="15.75" customHeight="1">
      <c r="A1549" s="9"/>
      <c r="B1549" s="9"/>
      <c r="C1549" s="9"/>
      <c r="D1549" s="9"/>
      <c r="E1549" s="67"/>
      <c r="F1549" s="68"/>
      <c r="G1549" s="68"/>
      <c r="H1549" s="69"/>
      <c r="I1549" s="69"/>
      <c r="J1549" s="69"/>
      <c r="K1549" s="69"/>
      <c r="L1549" s="69"/>
      <c r="M1549" s="69"/>
      <c r="N1549" s="69"/>
      <c r="O1549" s="23"/>
      <c r="P1549" s="23"/>
      <c r="Q1549" s="9"/>
      <c r="R1549" s="9"/>
      <c r="S1549" s="9"/>
      <c r="T1549" s="9"/>
      <c r="U1549" s="9"/>
      <c r="V1549" s="9"/>
      <c r="W1549" s="9"/>
      <c r="X1549" s="9"/>
      <c r="Y1549" s="9"/>
      <c r="Z1549" s="9"/>
      <c r="AA1549" s="9"/>
      <c r="AB1549" s="9"/>
      <c r="AC1549" s="9"/>
      <c r="AD1549" s="25"/>
      <c r="AE1549" s="25"/>
      <c r="AF1549" s="9"/>
      <c r="AG1549" s="9"/>
      <c r="AH1549" s="9"/>
      <c r="AI1549" s="9"/>
    </row>
    <row r="1550" ht="15.75" customHeight="1">
      <c r="A1550" s="9"/>
      <c r="B1550" s="9"/>
      <c r="C1550" s="9"/>
      <c r="D1550" s="9"/>
      <c r="E1550" s="67"/>
      <c r="F1550" s="68"/>
      <c r="G1550" s="68"/>
      <c r="H1550" s="69"/>
      <c r="I1550" s="69"/>
      <c r="J1550" s="69"/>
      <c r="K1550" s="69"/>
      <c r="L1550" s="69"/>
      <c r="M1550" s="69"/>
      <c r="N1550" s="69"/>
      <c r="O1550" s="23"/>
      <c r="P1550" s="23"/>
      <c r="Q1550" s="9"/>
      <c r="R1550" s="9"/>
      <c r="S1550" s="9"/>
      <c r="T1550" s="9"/>
      <c r="U1550" s="9"/>
      <c r="V1550" s="9"/>
      <c r="W1550" s="9"/>
      <c r="X1550" s="9"/>
      <c r="Y1550" s="9"/>
      <c r="Z1550" s="9"/>
      <c r="AA1550" s="9"/>
      <c r="AB1550" s="9"/>
      <c r="AC1550" s="9"/>
      <c r="AD1550" s="25"/>
      <c r="AE1550" s="25"/>
      <c r="AF1550" s="9"/>
      <c r="AG1550" s="9"/>
      <c r="AH1550" s="9"/>
      <c r="AI1550" s="9"/>
    </row>
    <row r="1551" ht="15.75" customHeight="1">
      <c r="A1551" s="9"/>
      <c r="B1551" s="9"/>
      <c r="C1551" s="9"/>
      <c r="D1551" s="9"/>
      <c r="E1551" s="67"/>
      <c r="F1551" s="68"/>
      <c r="G1551" s="68"/>
      <c r="H1551" s="69"/>
      <c r="I1551" s="69"/>
      <c r="J1551" s="69"/>
      <c r="K1551" s="69"/>
      <c r="L1551" s="69"/>
      <c r="M1551" s="70"/>
      <c r="N1551" s="69"/>
      <c r="O1551" s="23"/>
      <c r="P1551" s="23"/>
      <c r="Q1551" s="9"/>
      <c r="R1551" s="9"/>
      <c r="S1551" s="9"/>
      <c r="T1551" s="9"/>
      <c r="U1551" s="9"/>
      <c r="V1551" s="9"/>
      <c r="W1551" s="9"/>
      <c r="X1551" s="9"/>
      <c r="Y1551" s="9"/>
      <c r="Z1551" s="9"/>
      <c r="AA1551" s="9"/>
      <c r="AB1551" s="9"/>
      <c r="AC1551" s="9"/>
      <c r="AD1551" s="25"/>
      <c r="AE1551" s="25"/>
      <c r="AF1551" s="9"/>
      <c r="AG1551" s="9"/>
      <c r="AH1551" s="9"/>
      <c r="AI1551" s="9"/>
    </row>
    <row r="1552" ht="15.75" customHeight="1">
      <c r="A1552" s="9"/>
      <c r="B1552" s="9"/>
      <c r="C1552" s="9"/>
      <c r="D1552" s="9"/>
      <c r="E1552" s="67"/>
      <c r="F1552" s="68"/>
      <c r="G1552" s="68"/>
      <c r="H1552" s="69"/>
      <c r="I1552" s="69"/>
      <c r="J1552" s="69"/>
      <c r="K1552" s="69"/>
      <c r="L1552" s="69"/>
      <c r="M1552" s="70"/>
      <c r="N1552" s="69"/>
      <c r="O1552" s="23"/>
      <c r="P1552" s="23"/>
      <c r="Q1552" s="9"/>
      <c r="R1552" s="9"/>
      <c r="S1552" s="9"/>
      <c r="T1552" s="9"/>
      <c r="U1552" s="9"/>
      <c r="V1552" s="9"/>
      <c r="W1552" s="9"/>
      <c r="X1552" s="9"/>
      <c r="Y1552" s="9"/>
      <c r="Z1552" s="9"/>
      <c r="AA1552" s="9"/>
      <c r="AB1552" s="9"/>
      <c r="AC1552" s="9"/>
      <c r="AD1552" s="25"/>
      <c r="AE1552" s="25"/>
      <c r="AF1552" s="9"/>
      <c r="AG1552" s="9"/>
      <c r="AH1552" s="9"/>
      <c r="AI1552" s="9"/>
    </row>
    <row r="1553" ht="15.75" customHeight="1">
      <c r="A1553" s="9"/>
      <c r="B1553" s="9"/>
      <c r="C1553" s="9"/>
      <c r="D1553" s="9"/>
      <c r="E1553" s="67"/>
      <c r="F1553" s="68"/>
      <c r="G1553" s="68"/>
      <c r="H1553" s="69"/>
      <c r="I1553" s="69"/>
      <c r="J1553" s="69"/>
      <c r="K1553" s="69"/>
      <c r="L1553" s="69"/>
      <c r="M1553" s="69"/>
      <c r="N1553" s="69"/>
      <c r="O1553" s="23"/>
      <c r="P1553" s="23"/>
      <c r="Q1553" s="9"/>
      <c r="R1553" s="9"/>
      <c r="S1553" s="9"/>
      <c r="T1553" s="9"/>
      <c r="U1553" s="9"/>
      <c r="V1553" s="9"/>
      <c r="W1553" s="9"/>
      <c r="X1553" s="9"/>
      <c r="Y1553" s="9"/>
      <c r="Z1553" s="9"/>
      <c r="AA1553" s="9"/>
      <c r="AB1553" s="9"/>
      <c r="AC1553" s="9"/>
      <c r="AD1553" s="25"/>
      <c r="AE1553" s="25"/>
      <c r="AF1553" s="9"/>
      <c r="AG1553" s="9"/>
      <c r="AH1553" s="9"/>
      <c r="AI1553" s="9"/>
    </row>
    <row r="1554" ht="15.75" customHeight="1">
      <c r="A1554" s="9"/>
      <c r="B1554" s="9"/>
      <c r="C1554" s="9"/>
      <c r="D1554" s="9"/>
      <c r="E1554" s="67"/>
      <c r="F1554" s="68"/>
      <c r="G1554" s="68"/>
      <c r="H1554" s="69"/>
      <c r="I1554" s="69"/>
      <c r="J1554" s="69"/>
      <c r="K1554" s="69"/>
      <c r="L1554" s="69"/>
      <c r="M1554" s="70"/>
      <c r="N1554" s="69"/>
      <c r="O1554" s="23"/>
      <c r="P1554" s="23"/>
      <c r="Q1554" s="9"/>
      <c r="R1554" s="9"/>
      <c r="S1554" s="9"/>
      <c r="T1554" s="9"/>
      <c r="U1554" s="9"/>
      <c r="V1554" s="9"/>
      <c r="W1554" s="9"/>
      <c r="X1554" s="9"/>
      <c r="Y1554" s="9"/>
      <c r="Z1554" s="9"/>
      <c r="AA1554" s="9"/>
      <c r="AB1554" s="9"/>
      <c r="AC1554" s="9"/>
      <c r="AD1554" s="25"/>
      <c r="AE1554" s="25"/>
      <c r="AF1554" s="9"/>
      <c r="AG1554" s="9"/>
      <c r="AH1554" s="9"/>
      <c r="AI1554" s="9"/>
    </row>
    <row r="1555" ht="15.75" customHeight="1">
      <c r="A1555" s="9"/>
      <c r="B1555" s="9"/>
      <c r="C1555" s="9"/>
      <c r="D1555" s="9"/>
      <c r="E1555" s="67"/>
      <c r="F1555" s="68"/>
      <c r="G1555" s="68"/>
      <c r="H1555" s="69"/>
      <c r="I1555" s="69"/>
      <c r="J1555" s="69"/>
      <c r="K1555" s="69"/>
      <c r="L1555" s="69"/>
      <c r="M1555" s="71"/>
      <c r="N1555" s="69"/>
      <c r="O1555" s="23"/>
      <c r="P1555" s="23"/>
      <c r="Q1555" s="9"/>
      <c r="R1555" s="9"/>
      <c r="S1555" s="9"/>
      <c r="T1555" s="9"/>
      <c r="U1555" s="9"/>
      <c r="V1555" s="9"/>
      <c r="W1555" s="9"/>
      <c r="X1555" s="9"/>
      <c r="Y1555" s="9"/>
      <c r="Z1555" s="9"/>
      <c r="AA1555" s="9"/>
      <c r="AB1555" s="9"/>
      <c r="AC1555" s="9"/>
      <c r="AD1555" s="25"/>
      <c r="AE1555" s="25"/>
      <c r="AF1555" s="9"/>
      <c r="AG1555" s="9"/>
      <c r="AH1555" s="9"/>
      <c r="AI1555" s="9"/>
    </row>
    <row r="1556" ht="15.75" customHeight="1">
      <c r="A1556" s="9"/>
      <c r="B1556" s="9"/>
      <c r="C1556" s="9"/>
      <c r="D1556" s="9"/>
      <c r="E1556" s="67"/>
      <c r="F1556" s="68"/>
      <c r="G1556" s="68"/>
      <c r="H1556" s="69"/>
      <c r="I1556" s="69"/>
      <c r="J1556" s="69"/>
      <c r="K1556" s="69"/>
      <c r="L1556" s="69"/>
      <c r="M1556" s="70"/>
      <c r="N1556" s="69"/>
      <c r="O1556" s="23"/>
      <c r="P1556" s="23"/>
      <c r="Q1556" s="9"/>
      <c r="R1556" s="9"/>
      <c r="S1556" s="9"/>
      <c r="T1556" s="9"/>
      <c r="U1556" s="9"/>
      <c r="V1556" s="9"/>
      <c r="W1556" s="9"/>
      <c r="X1556" s="9"/>
      <c r="Y1556" s="9"/>
      <c r="Z1556" s="9"/>
      <c r="AA1556" s="9"/>
      <c r="AB1556" s="9"/>
      <c r="AC1556" s="9"/>
      <c r="AD1556" s="25"/>
      <c r="AE1556" s="25"/>
      <c r="AF1556" s="9"/>
      <c r="AG1556" s="9"/>
      <c r="AH1556" s="9"/>
      <c r="AI1556" s="9"/>
    </row>
    <row r="1557" ht="15.75" customHeight="1">
      <c r="A1557" s="9"/>
      <c r="B1557" s="9"/>
      <c r="C1557" s="9"/>
      <c r="D1557" s="9"/>
      <c r="E1557" s="67"/>
      <c r="F1557" s="68"/>
      <c r="G1557" s="68"/>
      <c r="H1557" s="69"/>
      <c r="I1557" s="69"/>
      <c r="J1557" s="69"/>
      <c r="K1557" s="69"/>
      <c r="L1557" s="69"/>
      <c r="M1557" s="71"/>
      <c r="N1557" s="69"/>
      <c r="O1557" s="23"/>
      <c r="P1557" s="23"/>
      <c r="Q1557" s="9"/>
      <c r="R1557" s="9"/>
      <c r="S1557" s="9"/>
      <c r="T1557" s="9"/>
      <c r="U1557" s="9"/>
      <c r="V1557" s="9"/>
      <c r="W1557" s="9"/>
      <c r="X1557" s="9"/>
      <c r="Y1557" s="9"/>
      <c r="Z1557" s="9"/>
      <c r="AA1557" s="9"/>
      <c r="AB1557" s="9"/>
      <c r="AC1557" s="9"/>
      <c r="AD1557" s="25"/>
      <c r="AE1557" s="25"/>
      <c r="AF1557" s="9"/>
      <c r="AG1557" s="9"/>
      <c r="AH1557" s="9"/>
      <c r="AI1557" s="9"/>
    </row>
    <row r="1558" ht="15.75" customHeight="1">
      <c r="A1558" s="9"/>
      <c r="B1558" s="9"/>
      <c r="C1558" s="9"/>
      <c r="D1558" s="9"/>
      <c r="E1558" s="67"/>
      <c r="F1558" s="68"/>
      <c r="G1558" s="68"/>
      <c r="H1558" s="69"/>
      <c r="I1558" s="69"/>
      <c r="J1558" s="69"/>
      <c r="K1558" s="69"/>
      <c r="L1558" s="69"/>
      <c r="M1558" s="69"/>
      <c r="N1558" s="69"/>
      <c r="O1558" s="23"/>
      <c r="P1558" s="23"/>
      <c r="Q1558" s="9"/>
      <c r="R1558" s="9"/>
      <c r="S1558" s="9"/>
      <c r="T1558" s="9"/>
      <c r="U1558" s="9"/>
      <c r="V1558" s="9"/>
      <c r="W1558" s="9"/>
      <c r="X1558" s="9"/>
      <c r="Y1558" s="9"/>
      <c r="Z1558" s="9"/>
      <c r="AA1558" s="9"/>
      <c r="AB1558" s="9"/>
      <c r="AC1558" s="9"/>
      <c r="AD1558" s="25"/>
      <c r="AE1558" s="25"/>
      <c r="AF1558" s="9"/>
      <c r="AG1558" s="9"/>
      <c r="AH1558" s="9"/>
      <c r="AI1558" s="9"/>
    </row>
    <row r="1559" ht="15.75" customHeight="1">
      <c r="A1559" s="9"/>
      <c r="B1559" s="9"/>
      <c r="C1559" s="9"/>
      <c r="D1559" s="9"/>
      <c r="E1559" s="67"/>
      <c r="F1559" s="68"/>
      <c r="G1559" s="68"/>
      <c r="H1559" s="69"/>
      <c r="I1559" s="69"/>
      <c r="J1559" s="69"/>
      <c r="K1559" s="69"/>
      <c r="L1559" s="69"/>
      <c r="M1559" s="70"/>
      <c r="N1559" s="69"/>
      <c r="O1559" s="23"/>
      <c r="P1559" s="23"/>
      <c r="Q1559" s="9"/>
      <c r="R1559" s="9"/>
      <c r="S1559" s="9"/>
      <c r="T1559" s="9"/>
      <c r="U1559" s="9"/>
      <c r="V1559" s="9"/>
      <c r="W1559" s="9"/>
      <c r="X1559" s="9"/>
      <c r="Y1559" s="9"/>
      <c r="Z1559" s="9"/>
      <c r="AA1559" s="9"/>
      <c r="AB1559" s="9"/>
      <c r="AC1559" s="9"/>
      <c r="AD1559" s="25"/>
      <c r="AE1559" s="25"/>
      <c r="AF1559" s="9"/>
      <c r="AG1559" s="9"/>
      <c r="AH1559" s="9"/>
      <c r="AI1559" s="9"/>
    </row>
    <row r="1560" ht="15.75" customHeight="1">
      <c r="A1560" s="9"/>
      <c r="B1560" s="9"/>
      <c r="C1560" s="9"/>
      <c r="D1560" s="9"/>
      <c r="E1560" s="67"/>
      <c r="F1560" s="68"/>
      <c r="G1560" s="68"/>
      <c r="H1560" s="69"/>
      <c r="I1560" s="69"/>
      <c r="J1560" s="69"/>
      <c r="K1560" s="69"/>
      <c r="L1560" s="69"/>
      <c r="M1560" s="70"/>
      <c r="N1560" s="69"/>
      <c r="O1560" s="23"/>
      <c r="P1560" s="23"/>
      <c r="Q1560" s="9"/>
      <c r="R1560" s="9"/>
      <c r="S1560" s="9"/>
      <c r="T1560" s="9"/>
      <c r="U1560" s="9"/>
      <c r="V1560" s="9"/>
      <c r="W1560" s="9"/>
      <c r="X1560" s="9"/>
      <c r="Y1560" s="9"/>
      <c r="Z1560" s="9"/>
      <c r="AA1560" s="9"/>
      <c r="AB1560" s="9"/>
      <c r="AC1560" s="9"/>
      <c r="AD1560" s="25"/>
      <c r="AE1560" s="25"/>
      <c r="AF1560" s="9"/>
      <c r="AG1560" s="9"/>
      <c r="AH1560" s="9"/>
      <c r="AI1560" s="9"/>
    </row>
    <row r="1561" ht="15.75" customHeight="1">
      <c r="A1561" s="9"/>
      <c r="B1561" s="9"/>
      <c r="C1561" s="9"/>
      <c r="D1561" s="9"/>
      <c r="E1561" s="67"/>
      <c r="F1561" s="68"/>
      <c r="G1561" s="68"/>
      <c r="H1561" s="69"/>
      <c r="I1561" s="69"/>
      <c r="J1561" s="69"/>
      <c r="K1561" s="69"/>
      <c r="L1561" s="69"/>
      <c r="M1561" s="70"/>
      <c r="N1561" s="69"/>
      <c r="O1561" s="23"/>
      <c r="P1561" s="23"/>
      <c r="Q1561" s="9"/>
      <c r="R1561" s="9"/>
      <c r="S1561" s="9"/>
      <c r="T1561" s="9"/>
      <c r="U1561" s="9"/>
      <c r="V1561" s="9"/>
      <c r="W1561" s="9"/>
      <c r="X1561" s="9"/>
      <c r="Y1561" s="9"/>
      <c r="Z1561" s="9"/>
      <c r="AA1561" s="9"/>
      <c r="AB1561" s="9"/>
      <c r="AC1561" s="9"/>
      <c r="AD1561" s="25"/>
      <c r="AE1561" s="25"/>
      <c r="AF1561" s="9"/>
      <c r="AG1561" s="9"/>
      <c r="AH1561" s="9"/>
      <c r="AI1561" s="9"/>
    </row>
    <row r="1562" ht="15.75" customHeight="1">
      <c r="A1562" s="9"/>
      <c r="B1562" s="9"/>
      <c r="C1562" s="9"/>
      <c r="D1562" s="9"/>
      <c r="E1562" s="67"/>
      <c r="F1562" s="68"/>
      <c r="G1562" s="68"/>
      <c r="H1562" s="69"/>
      <c r="I1562" s="69"/>
      <c r="J1562" s="69"/>
      <c r="K1562" s="69"/>
      <c r="L1562" s="69"/>
      <c r="M1562" s="70"/>
      <c r="N1562" s="69"/>
      <c r="O1562" s="23"/>
      <c r="P1562" s="23"/>
      <c r="Q1562" s="9"/>
      <c r="R1562" s="9"/>
      <c r="S1562" s="9"/>
      <c r="T1562" s="9"/>
      <c r="U1562" s="9"/>
      <c r="V1562" s="9"/>
      <c r="W1562" s="9"/>
      <c r="X1562" s="9"/>
      <c r="Y1562" s="9"/>
      <c r="Z1562" s="9"/>
      <c r="AA1562" s="9"/>
      <c r="AB1562" s="9"/>
      <c r="AC1562" s="9"/>
      <c r="AD1562" s="25"/>
      <c r="AE1562" s="25"/>
      <c r="AF1562" s="9"/>
      <c r="AG1562" s="9"/>
      <c r="AH1562" s="9"/>
      <c r="AI1562" s="9"/>
    </row>
    <row r="1563" ht="15.75" customHeight="1">
      <c r="A1563" s="9"/>
      <c r="B1563" s="9"/>
      <c r="C1563" s="9"/>
      <c r="D1563" s="9"/>
      <c r="E1563" s="67"/>
      <c r="F1563" s="68"/>
      <c r="G1563" s="68"/>
      <c r="H1563" s="69"/>
      <c r="I1563" s="69"/>
      <c r="J1563" s="69"/>
      <c r="K1563" s="69"/>
      <c r="L1563" s="69"/>
      <c r="M1563" s="71"/>
      <c r="N1563" s="69"/>
      <c r="O1563" s="23"/>
      <c r="P1563" s="23"/>
      <c r="Q1563" s="9"/>
      <c r="R1563" s="9"/>
      <c r="S1563" s="9"/>
      <c r="T1563" s="9"/>
      <c r="U1563" s="9"/>
      <c r="V1563" s="9"/>
      <c r="W1563" s="9"/>
      <c r="X1563" s="9"/>
      <c r="Y1563" s="9"/>
      <c r="Z1563" s="9"/>
      <c r="AA1563" s="9"/>
      <c r="AB1563" s="9"/>
      <c r="AC1563" s="9"/>
      <c r="AD1563" s="25"/>
      <c r="AE1563" s="25"/>
      <c r="AF1563" s="9"/>
      <c r="AG1563" s="9"/>
      <c r="AH1563" s="9"/>
      <c r="AI1563" s="9"/>
    </row>
    <row r="1564" ht="15.75" customHeight="1">
      <c r="A1564" s="9"/>
      <c r="B1564" s="9"/>
      <c r="C1564" s="9"/>
      <c r="D1564" s="9"/>
      <c r="E1564" s="67"/>
      <c r="F1564" s="68"/>
      <c r="G1564" s="68"/>
      <c r="H1564" s="69"/>
      <c r="I1564" s="69"/>
      <c r="J1564" s="69"/>
      <c r="K1564" s="69"/>
      <c r="L1564" s="69"/>
      <c r="M1564" s="70"/>
      <c r="N1564" s="69"/>
      <c r="O1564" s="23"/>
      <c r="P1564" s="23"/>
      <c r="Q1564" s="9"/>
      <c r="R1564" s="9"/>
      <c r="S1564" s="9"/>
      <c r="T1564" s="9"/>
      <c r="U1564" s="9"/>
      <c r="V1564" s="9"/>
      <c r="W1564" s="9"/>
      <c r="X1564" s="9"/>
      <c r="Y1564" s="9"/>
      <c r="Z1564" s="9"/>
      <c r="AA1564" s="9"/>
      <c r="AB1564" s="9"/>
      <c r="AC1564" s="9"/>
      <c r="AD1564" s="25"/>
      <c r="AE1564" s="25"/>
      <c r="AF1564" s="9"/>
      <c r="AG1564" s="9"/>
      <c r="AH1564" s="9"/>
      <c r="AI1564" s="9"/>
    </row>
    <row r="1565" ht="15.75" customHeight="1">
      <c r="A1565" s="9"/>
      <c r="B1565" s="9"/>
      <c r="C1565" s="9"/>
      <c r="D1565" s="9"/>
      <c r="E1565" s="67"/>
      <c r="F1565" s="68"/>
      <c r="G1565" s="68"/>
      <c r="H1565" s="69"/>
      <c r="I1565" s="69"/>
      <c r="J1565" s="69"/>
      <c r="K1565" s="69"/>
      <c r="L1565" s="69"/>
      <c r="M1565" s="71"/>
      <c r="N1565" s="69"/>
      <c r="O1565" s="23"/>
      <c r="P1565" s="23"/>
      <c r="Q1565" s="9"/>
      <c r="R1565" s="9"/>
      <c r="S1565" s="9"/>
      <c r="T1565" s="9"/>
      <c r="U1565" s="9"/>
      <c r="V1565" s="9"/>
      <c r="W1565" s="9"/>
      <c r="X1565" s="9"/>
      <c r="Y1565" s="9"/>
      <c r="Z1565" s="9"/>
      <c r="AA1565" s="9"/>
      <c r="AB1565" s="9"/>
      <c r="AC1565" s="9"/>
      <c r="AD1565" s="25"/>
      <c r="AE1565" s="25"/>
      <c r="AF1565" s="9"/>
      <c r="AG1565" s="9"/>
      <c r="AH1565" s="9"/>
      <c r="AI1565" s="9"/>
    </row>
    <row r="1566" ht="15.75" customHeight="1">
      <c r="A1566" s="9"/>
      <c r="B1566" s="9"/>
      <c r="C1566" s="9"/>
      <c r="D1566" s="9"/>
      <c r="E1566" s="67"/>
      <c r="F1566" s="68"/>
      <c r="G1566" s="68"/>
      <c r="H1566" s="69"/>
      <c r="I1566" s="69"/>
      <c r="J1566" s="69"/>
      <c r="K1566" s="69"/>
      <c r="L1566" s="69"/>
      <c r="M1566" s="70"/>
      <c r="N1566" s="69"/>
      <c r="O1566" s="23"/>
      <c r="P1566" s="23"/>
      <c r="Q1566" s="9"/>
      <c r="R1566" s="9"/>
      <c r="S1566" s="9"/>
      <c r="T1566" s="9"/>
      <c r="U1566" s="9"/>
      <c r="V1566" s="9"/>
      <c r="W1566" s="9"/>
      <c r="X1566" s="9"/>
      <c r="Y1566" s="9"/>
      <c r="Z1566" s="9"/>
      <c r="AA1566" s="9"/>
      <c r="AB1566" s="9"/>
      <c r="AC1566" s="9"/>
      <c r="AD1566" s="25"/>
      <c r="AE1566" s="25"/>
      <c r="AF1566" s="9"/>
      <c r="AG1566" s="9"/>
      <c r="AH1566" s="9"/>
      <c r="AI1566" s="9"/>
    </row>
    <row r="1567" ht="15.75" customHeight="1">
      <c r="A1567" s="9"/>
      <c r="B1567" s="9"/>
      <c r="C1567" s="9"/>
      <c r="D1567" s="9"/>
      <c r="E1567" s="67"/>
      <c r="F1567" s="68"/>
      <c r="G1567" s="68"/>
      <c r="H1567" s="69"/>
      <c r="I1567" s="69"/>
      <c r="J1567" s="69"/>
      <c r="K1567" s="69"/>
      <c r="L1567" s="69"/>
      <c r="M1567" s="70"/>
      <c r="N1567" s="69"/>
      <c r="O1567" s="23"/>
      <c r="P1567" s="23"/>
      <c r="Q1567" s="9"/>
      <c r="R1567" s="9"/>
      <c r="S1567" s="9"/>
      <c r="T1567" s="9"/>
      <c r="U1567" s="9"/>
      <c r="V1567" s="9"/>
      <c r="W1567" s="9"/>
      <c r="X1567" s="9"/>
      <c r="Y1567" s="9"/>
      <c r="Z1567" s="9"/>
      <c r="AA1567" s="9"/>
      <c r="AB1567" s="9"/>
      <c r="AC1567" s="9"/>
      <c r="AD1567" s="25"/>
      <c r="AE1567" s="25"/>
      <c r="AF1567" s="9"/>
      <c r="AG1567" s="9"/>
      <c r="AH1567" s="9"/>
      <c r="AI1567" s="9"/>
    </row>
    <row r="1568" ht="15.75" customHeight="1">
      <c r="A1568" s="9"/>
      <c r="B1568" s="9"/>
      <c r="C1568" s="9"/>
      <c r="D1568" s="9"/>
      <c r="E1568" s="67"/>
      <c r="F1568" s="68"/>
      <c r="G1568" s="68"/>
      <c r="H1568" s="69"/>
      <c r="I1568" s="69"/>
      <c r="J1568" s="69"/>
      <c r="K1568" s="69"/>
      <c r="L1568" s="69"/>
      <c r="M1568" s="69"/>
      <c r="N1568" s="69"/>
      <c r="O1568" s="23"/>
      <c r="P1568" s="23"/>
      <c r="Q1568" s="9"/>
      <c r="R1568" s="9"/>
      <c r="S1568" s="9"/>
      <c r="T1568" s="9"/>
      <c r="U1568" s="9"/>
      <c r="V1568" s="9"/>
      <c r="W1568" s="9"/>
      <c r="X1568" s="9"/>
      <c r="Y1568" s="9"/>
      <c r="Z1568" s="9"/>
      <c r="AA1568" s="9"/>
      <c r="AB1568" s="9"/>
      <c r="AC1568" s="9"/>
      <c r="AD1568" s="25"/>
      <c r="AE1568" s="25"/>
      <c r="AF1568" s="9"/>
      <c r="AG1568" s="9"/>
      <c r="AH1568" s="9"/>
      <c r="AI1568" s="9"/>
    </row>
    <row r="1569" ht="15.75" customHeight="1">
      <c r="A1569" s="9"/>
      <c r="B1569" s="9"/>
      <c r="C1569" s="9"/>
      <c r="D1569" s="9"/>
      <c r="E1569" s="67"/>
      <c r="F1569" s="68"/>
      <c r="G1569" s="68"/>
      <c r="H1569" s="69"/>
      <c r="I1569" s="69"/>
      <c r="J1569" s="69"/>
      <c r="K1569" s="69"/>
      <c r="L1569" s="69"/>
      <c r="M1569" s="70"/>
      <c r="N1569" s="69"/>
      <c r="O1569" s="23"/>
      <c r="P1569" s="23"/>
      <c r="Q1569" s="9"/>
      <c r="R1569" s="9"/>
      <c r="S1569" s="9"/>
      <c r="T1569" s="9"/>
      <c r="U1569" s="9"/>
      <c r="V1569" s="9"/>
      <c r="W1569" s="9"/>
      <c r="X1569" s="9"/>
      <c r="Y1569" s="9"/>
      <c r="Z1569" s="9"/>
      <c r="AA1569" s="9"/>
      <c r="AB1569" s="9"/>
      <c r="AC1569" s="9"/>
      <c r="AD1569" s="25"/>
      <c r="AE1569" s="25"/>
      <c r="AF1569" s="9"/>
      <c r="AG1569" s="9"/>
      <c r="AH1569" s="9"/>
      <c r="AI1569" s="9"/>
    </row>
    <row r="1570" ht="15.75" customHeight="1">
      <c r="A1570" s="9"/>
      <c r="B1570" s="9"/>
      <c r="C1570" s="9"/>
      <c r="D1570" s="9"/>
      <c r="E1570" s="67"/>
      <c r="F1570" s="68"/>
      <c r="G1570" s="68"/>
      <c r="H1570" s="69"/>
      <c r="I1570" s="69"/>
      <c r="J1570" s="69"/>
      <c r="K1570" s="69"/>
      <c r="L1570" s="69"/>
      <c r="M1570" s="70"/>
      <c r="N1570" s="69"/>
      <c r="O1570" s="23"/>
      <c r="P1570" s="23"/>
      <c r="Q1570" s="9"/>
      <c r="R1570" s="9"/>
      <c r="S1570" s="9"/>
      <c r="T1570" s="9"/>
      <c r="U1570" s="9"/>
      <c r="V1570" s="9"/>
      <c r="W1570" s="9"/>
      <c r="X1570" s="9"/>
      <c r="Y1570" s="9"/>
      <c r="Z1570" s="9"/>
      <c r="AA1570" s="9"/>
      <c r="AB1570" s="9"/>
      <c r="AC1570" s="9"/>
      <c r="AD1570" s="25"/>
      <c r="AE1570" s="25"/>
      <c r="AF1570" s="9"/>
      <c r="AG1570" s="9"/>
      <c r="AH1570" s="9"/>
      <c r="AI1570" s="9"/>
    </row>
    <row r="1571" ht="15.75" customHeight="1">
      <c r="A1571" s="9"/>
      <c r="B1571" s="9"/>
      <c r="C1571" s="9"/>
      <c r="D1571" s="9"/>
      <c r="E1571" s="67"/>
      <c r="F1571" s="68"/>
      <c r="G1571" s="68"/>
      <c r="H1571" s="69"/>
      <c r="I1571" s="69"/>
      <c r="J1571" s="69"/>
      <c r="K1571" s="69"/>
      <c r="L1571" s="69"/>
      <c r="M1571" s="70"/>
      <c r="N1571" s="69"/>
      <c r="O1571" s="23"/>
      <c r="P1571" s="23"/>
      <c r="Q1571" s="9"/>
      <c r="R1571" s="9"/>
      <c r="S1571" s="9"/>
      <c r="T1571" s="9"/>
      <c r="U1571" s="9"/>
      <c r="V1571" s="9"/>
      <c r="W1571" s="9"/>
      <c r="X1571" s="9"/>
      <c r="Y1571" s="9"/>
      <c r="Z1571" s="9"/>
      <c r="AA1571" s="9"/>
      <c r="AB1571" s="9"/>
      <c r="AC1571" s="9"/>
      <c r="AD1571" s="25"/>
      <c r="AE1571" s="25"/>
      <c r="AF1571" s="9"/>
      <c r="AG1571" s="9"/>
      <c r="AH1571" s="9"/>
      <c r="AI1571" s="9"/>
    </row>
    <row r="1572" ht="15.75" customHeight="1">
      <c r="A1572" s="9"/>
      <c r="B1572" s="9"/>
      <c r="C1572" s="9"/>
      <c r="D1572" s="9"/>
      <c r="E1572" s="67"/>
      <c r="F1572" s="68"/>
      <c r="G1572" s="68"/>
      <c r="H1572" s="69"/>
      <c r="I1572" s="69"/>
      <c r="J1572" s="69"/>
      <c r="K1572" s="69"/>
      <c r="L1572" s="69"/>
      <c r="M1572" s="70"/>
      <c r="N1572" s="69"/>
      <c r="O1572" s="23"/>
      <c r="P1572" s="23"/>
      <c r="Q1572" s="9"/>
      <c r="R1572" s="9"/>
      <c r="S1572" s="9"/>
      <c r="T1572" s="9"/>
      <c r="U1572" s="9"/>
      <c r="V1572" s="9"/>
      <c r="W1572" s="9"/>
      <c r="X1572" s="9"/>
      <c r="Y1572" s="9"/>
      <c r="Z1572" s="9"/>
      <c r="AA1572" s="9"/>
      <c r="AB1572" s="9"/>
      <c r="AC1572" s="9"/>
      <c r="AD1572" s="25"/>
      <c r="AE1572" s="25"/>
      <c r="AF1572" s="9"/>
      <c r="AG1572" s="9"/>
      <c r="AH1572" s="9"/>
      <c r="AI1572" s="9"/>
    </row>
    <row r="1573" ht="15.75" customHeight="1">
      <c r="A1573" s="9"/>
      <c r="B1573" s="9"/>
      <c r="C1573" s="9"/>
      <c r="D1573" s="9"/>
      <c r="E1573" s="67"/>
      <c r="F1573" s="68"/>
      <c r="G1573" s="68"/>
      <c r="H1573" s="69"/>
      <c r="I1573" s="69"/>
      <c r="J1573" s="69"/>
      <c r="K1573" s="69"/>
      <c r="L1573" s="69"/>
      <c r="M1573" s="69"/>
      <c r="N1573" s="69"/>
      <c r="O1573" s="23"/>
      <c r="P1573" s="23"/>
      <c r="Q1573" s="9"/>
      <c r="R1573" s="9"/>
      <c r="S1573" s="9"/>
      <c r="T1573" s="9"/>
      <c r="U1573" s="9"/>
      <c r="V1573" s="9"/>
      <c r="W1573" s="9"/>
      <c r="X1573" s="9"/>
      <c r="Y1573" s="9"/>
      <c r="Z1573" s="9"/>
      <c r="AA1573" s="9"/>
      <c r="AB1573" s="9"/>
      <c r="AC1573" s="9"/>
      <c r="AD1573" s="25"/>
      <c r="AE1573" s="25"/>
      <c r="AF1573" s="9"/>
      <c r="AG1573" s="9"/>
      <c r="AH1573" s="9"/>
      <c r="AI1573" s="9"/>
    </row>
    <row r="1574" ht="15.75" customHeight="1">
      <c r="A1574" s="9"/>
      <c r="B1574" s="9"/>
      <c r="C1574" s="9"/>
      <c r="D1574" s="9"/>
      <c r="E1574" s="67"/>
      <c r="F1574" s="68"/>
      <c r="G1574" s="68"/>
      <c r="H1574" s="69"/>
      <c r="I1574" s="69"/>
      <c r="J1574" s="69"/>
      <c r="K1574" s="69"/>
      <c r="L1574" s="69"/>
      <c r="M1574" s="70"/>
      <c r="N1574" s="69"/>
      <c r="O1574" s="23"/>
      <c r="P1574" s="23"/>
      <c r="Q1574" s="9"/>
      <c r="R1574" s="9"/>
      <c r="S1574" s="9"/>
      <c r="T1574" s="9"/>
      <c r="U1574" s="9"/>
      <c r="V1574" s="9"/>
      <c r="W1574" s="9"/>
      <c r="X1574" s="9"/>
      <c r="Y1574" s="9"/>
      <c r="Z1574" s="9"/>
      <c r="AA1574" s="9"/>
      <c r="AB1574" s="9"/>
      <c r="AC1574" s="9"/>
      <c r="AD1574" s="25"/>
      <c r="AE1574" s="25"/>
      <c r="AF1574" s="9"/>
      <c r="AG1574" s="9"/>
      <c r="AH1574" s="9"/>
      <c r="AI1574" s="9"/>
    </row>
    <row r="1575" ht="15.75" customHeight="1">
      <c r="A1575" s="9"/>
      <c r="B1575" s="9"/>
      <c r="C1575" s="9"/>
      <c r="D1575" s="9"/>
      <c r="E1575" s="67"/>
      <c r="F1575" s="68"/>
      <c r="G1575" s="68"/>
      <c r="H1575" s="69"/>
      <c r="I1575" s="69"/>
      <c r="J1575" s="69"/>
      <c r="K1575" s="69"/>
      <c r="L1575" s="69"/>
      <c r="M1575" s="70"/>
      <c r="N1575" s="69"/>
      <c r="O1575" s="23"/>
      <c r="P1575" s="23"/>
      <c r="Q1575" s="9"/>
      <c r="R1575" s="9"/>
      <c r="S1575" s="9"/>
      <c r="T1575" s="9"/>
      <c r="U1575" s="9"/>
      <c r="V1575" s="9"/>
      <c r="W1575" s="9"/>
      <c r="X1575" s="9"/>
      <c r="Y1575" s="9"/>
      <c r="Z1575" s="9"/>
      <c r="AA1575" s="9"/>
      <c r="AB1575" s="9"/>
      <c r="AC1575" s="9"/>
      <c r="AD1575" s="25"/>
      <c r="AE1575" s="25"/>
      <c r="AF1575" s="9"/>
      <c r="AG1575" s="9"/>
      <c r="AH1575" s="9"/>
      <c r="AI1575" s="9"/>
    </row>
    <row r="1576" ht="15.75" customHeight="1">
      <c r="A1576" s="9"/>
      <c r="B1576" s="9"/>
      <c r="C1576" s="9"/>
      <c r="D1576" s="9"/>
      <c r="E1576" s="67"/>
      <c r="F1576" s="68"/>
      <c r="G1576" s="68"/>
      <c r="H1576" s="69"/>
      <c r="I1576" s="69"/>
      <c r="J1576" s="69"/>
      <c r="K1576" s="69"/>
      <c r="L1576" s="69"/>
      <c r="M1576" s="70"/>
      <c r="N1576" s="69"/>
      <c r="O1576" s="23"/>
      <c r="P1576" s="23"/>
      <c r="Q1576" s="9"/>
      <c r="R1576" s="9"/>
      <c r="S1576" s="9"/>
      <c r="T1576" s="9"/>
      <c r="U1576" s="9"/>
      <c r="V1576" s="9"/>
      <c r="W1576" s="9"/>
      <c r="X1576" s="9"/>
      <c r="Y1576" s="9"/>
      <c r="Z1576" s="9"/>
      <c r="AA1576" s="9"/>
      <c r="AB1576" s="9"/>
      <c r="AC1576" s="9"/>
      <c r="AD1576" s="25"/>
      <c r="AE1576" s="25"/>
      <c r="AF1576" s="9"/>
      <c r="AG1576" s="9"/>
      <c r="AH1576" s="9"/>
      <c r="AI1576" s="9"/>
    </row>
    <row r="1577" ht="15.75" customHeight="1">
      <c r="A1577" s="9"/>
      <c r="B1577" s="9"/>
      <c r="C1577" s="9"/>
      <c r="D1577" s="9"/>
      <c r="E1577" s="67"/>
      <c r="F1577" s="68"/>
      <c r="G1577" s="68"/>
      <c r="H1577" s="69"/>
      <c r="I1577" s="69"/>
      <c r="J1577" s="69"/>
      <c r="K1577" s="69"/>
      <c r="L1577" s="69"/>
      <c r="M1577" s="69"/>
      <c r="N1577" s="69"/>
      <c r="O1577" s="23"/>
      <c r="P1577" s="23"/>
      <c r="Q1577" s="9"/>
      <c r="R1577" s="9"/>
      <c r="S1577" s="9"/>
      <c r="T1577" s="9"/>
      <c r="U1577" s="9"/>
      <c r="V1577" s="9"/>
      <c r="W1577" s="9"/>
      <c r="X1577" s="9"/>
      <c r="Y1577" s="9"/>
      <c r="Z1577" s="9"/>
      <c r="AA1577" s="9"/>
      <c r="AB1577" s="9"/>
      <c r="AC1577" s="9"/>
      <c r="AD1577" s="25"/>
      <c r="AE1577" s="25"/>
      <c r="AF1577" s="9"/>
      <c r="AG1577" s="9"/>
      <c r="AH1577" s="9"/>
      <c r="AI1577" s="9"/>
    </row>
    <row r="1578" ht="15.75" customHeight="1">
      <c r="A1578" s="9"/>
      <c r="B1578" s="9"/>
      <c r="C1578" s="9"/>
      <c r="D1578" s="9"/>
      <c r="E1578" s="67"/>
      <c r="F1578" s="68"/>
      <c r="G1578" s="68"/>
      <c r="H1578" s="69"/>
      <c r="I1578" s="69"/>
      <c r="J1578" s="69"/>
      <c r="K1578" s="69"/>
      <c r="L1578" s="69"/>
      <c r="M1578" s="70"/>
      <c r="N1578" s="69"/>
      <c r="O1578" s="23"/>
      <c r="P1578" s="23"/>
      <c r="Q1578" s="9"/>
      <c r="R1578" s="9"/>
      <c r="S1578" s="9"/>
      <c r="T1578" s="9"/>
      <c r="U1578" s="9"/>
      <c r="V1578" s="9"/>
      <c r="W1578" s="9"/>
      <c r="X1578" s="9"/>
      <c r="Y1578" s="9"/>
      <c r="Z1578" s="9"/>
      <c r="AA1578" s="9"/>
      <c r="AB1578" s="9"/>
      <c r="AC1578" s="9"/>
      <c r="AD1578" s="25"/>
      <c r="AE1578" s="25"/>
      <c r="AF1578" s="9"/>
      <c r="AG1578" s="9"/>
      <c r="AH1578" s="9"/>
      <c r="AI1578" s="9"/>
    </row>
    <row r="1579" ht="15.75" customHeight="1">
      <c r="A1579" s="9"/>
      <c r="B1579" s="9"/>
      <c r="C1579" s="9"/>
      <c r="D1579" s="9"/>
      <c r="E1579" s="67"/>
      <c r="F1579" s="68"/>
      <c r="G1579" s="68"/>
      <c r="H1579" s="69"/>
      <c r="I1579" s="69"/>
      <c r="J1579" s="69"/>
      <c r="K1579" s="69"/>
      <c r="L1579" s="69"/>
      <c r="M1579" s="70"/>
      <c r="N1579" s="69"/>
      <c r="O1579" s="23"/>
      <c r="P1579" s="23"/>
      <c r="Q1579" s="9"/>
      <c r="R1579" s="9"/>
      <c r="S1579" s="9"/>
      <c r="T1579" s="9"/>
      <c r="U1579" s="9"/>
      <c r="V1579" s="9"/>
      <c r="W1579" s="9"/>
      <c r="X1579" s="9"/>
      <c r="Y1579" s="9"/>
      <c r="Z1579" s="9"/>
      <c r="AA1579" s="9"/>
      <c r="AB1579" s="9"/>
      <c r="AC1579" s="9"/>
      <c r="AD1579" s="25"/>
      <c r="AE1579" s="25"/>
      <c r="AF1579" s="9"/>
      <c r="AG1579" s="9"/>
      <c r="AH1579" s="9"/>
      <c r="AI1579" s="9"/>
    </row>
    <row r="1580" ht="15.75" customHeight="1">
      <c r="A1580" s="9"/>
      <c r="B1580" s="9"/>
      <c r="C1580" s="9"/>
      <c r="D1580" s="9"/>
      <c r="E1580" s="67"/>
      <c r="F1580" s="68"/>
      <c r="G1580" s="68"/>
      <c r="H1580" s="69"/>
      <c r="I1580" s="69"/>
      <c r="J1580" s="69"/>
      <c r="K1580" s="69"/>
      <c r="L1580" s="69"/>
      <c r="M1580" s="70"/>
      <c r="N1580" s="69"/>
      <c r="O1580" s="23"/>
      <c r="P1580" s="23"/>
      <c r="Q1580" s="9"/>
      <c r="R1580" s="9"/>
      <c r="S1580" s="9"/>
      <c r="T1580" s="9"/>
      <c r="U1580" s="9"/>
      <c r="V1580" s="9"/>
      <c r="W1580" s="9"/>
      <c r="X1580" s="9"/>
      <c r="Y1580" s="9"/>
      <c r="Z1580" s="9"/>
      <c r="AA1580" s="9"/>
      <c r="AB1580" s="9"/>
      <c r="AC1580" s="9"/>
      <c r="AD1580" s="25"/>
      <c r="AE1580" s="25"/>
      <c r="AF1580" s="9"/>
      <c r="AG1580" s="9"/>
      <c r="AH1580" s="9"/>
      <c r="AI1580" s="9"/>
    </row>
    <row r="1581" ht="15.75" customHeight="1">
      <c r="A1581" s="9"/>
      <c r="B1581" s="9"/>
      <c r="C1581" s="9"/>
      <c r="D1581" s="9"/>
      <c r="E1581" s="67"/>
      <c r="F1581" s="68"/>
      <c r="G1581" s="68"/>
      <c r="H1581" s="69"/>
      <c r="I1581" s="69"/>
      <c r="J1581" s="69"/>
      <c r="K1581" s="69"/>
      <c r="L1581" s="69"/>
      <c r="M1581" s="70"/>
      <c r="N1581" s="69"/>
      <c r="O1581" s="23"/>
      <c r="P1581" s="23"/>
      <c r="Q1581" s="9"/>
      <c r="R1581" s="9"/>
      <c r="S1581" s="9"/>
      <c r="T1581" s="9"/>
      <c r="U1581" s="9"/>
      <c r="V1581" s="9"/>
      <c r="W1581" s="9"/>
      <c r="X1581" s="9"/>
      <c r="Y1581" s="9"/>
      <c r="Z1581" s="9"/>
      <c r="AA1581" s="9"/>
      <c r="AB1581" s="9"/>
      <c r="AC1581" s="9"/>
      <c r="AD1581" s="25"/>
      <c r="AE1581" s="25"/>
      <c r="AF1581" s="9"/>
      <c r="AG1581" s="9"/>
      <c r="AH1581" s="9"/>
      <c r="AI1581" s="9"/>
    </row>
    <row r="1582" ht="15.75" customHeight="1">
      <c r="A1582" s="9"/>
      <c r="B1582" s="9"/>
      <c r="C1582" s="9"/>
      <c r="D1582" s="9"/>
      <c r="E1582" s="67"/>
      <c r="F1582" s="68"/>
      <c r="G1582" s="68"/>
      <c r="H1582" s="69"/>
      <c r="I1582" s="69"/>
      <c r="J1582" s="69"/>
      <c r="K1582" s="69"/>
      <c r="L1582" s="69"/>
      <c r="M1582" s="69"/>
      <c r="N1582" s="69"/>
      <c r="O1582" s="23"/>
      <c r="P1582" s="23"/>
      <c r="Q1582" s="9"/>
      <c r="R1582" s="9"/>
      <c r="S1582" s="9"/>
      <c r="T1582" s="9"/>
      <c r="U1582" s="9"/>
      <c r="V1582" s="9"/>
      <c r="W1582" s="9"/>
      <c r="X1582" s="9"/>
      <c r="Y1582" s="9"/>
      <c r="Z1582" s="9"/>
      <c r="AA1582" s="9"/>
      <c r="AB1582" s="9"/>
      <c r="AC1582" s="9"/>
      <c r="AD1582" s="25"/>
      <c r="AE1582" s="25"/>
      <c r="AF1582" s="9"/>
      <c r="AG1582" s="9"/>
      <c r="AH1582" s="9"/>
      <c r="AI1582" s="9"/>
    </row>
    <row r="1583" ht="15.75" customHeight="1">
      <c r="A1583" s="9"/>
      <c r="B1583" s="9"/>
      <c r="C1583" s="9"/>
      <c r="D1583" s="9"/>
      <c r="E1583" s="67"/>
      <c r="F1583" s="68"/>
      <c r="G1583" s="68"/>
      <c r="H1583" s="69"/>
      <c r="I1583" s="69"/>
      <c r="J1583" s="69"/>
      <c r="K1583" s="69"/>
      <c r="L1583" s="69"/>
      <c r="M1583" s="70"/>
      <c r="N1583" s="69"/>
      <c r="O1583" s="23"/>
      <c r="P1583" s="23"/>
      <c r="Q1583" s="9"/>
      <c r="R1583" s="9"/>
      <c r="S1583" s="9"/>
      <c r="T1583" s="9"/>
      <c r="U1583" s="9"/>
      <c r="V1583" s="9"/>
      <c r="W1583" s="9"/>
      <c r="X1583" s="9"/>
      <c r="Y1583" s="9"/>
      <c r="Z1583" s="9"/>
      <c r="AA1583" s="9"/>
      <c r="AB1583" s="9"/>
      <c r="AC1583" s="9"/>
      <c r="AD1583" s="25"/>
      <c r="AE1583" s="25"/>
      <c r="AF1583" s="9"/>
      <c r="AG1583" s="9"/>
      <c r="AH1583" s="9"/>
      <c r="AI1583" s="9"/>
    </row>
    <row r="1584" ht="15.75" customHeight="1">
      <c r="A1584" s="9"/>
      <c r="B1584" s="9"/>
      <c r="C1584" s="9"/>
      <c r="D1584" s="9"/>
      <c r="E1584" s="67"/>
      <c r="F1584" s="68"/>
      <c r="G1584" s="68"/>
      <c r="H1584" s="69"/>
      <c r="I1584" s="69"/>
      <c r="J1584" s="69"/>
      <c r="K1584" s="69"/>
      <c r="L1584" s="69"/>
      <c r="M1584" s="70"/>
      <c r="N1584" s="69"/>
      <c r="O1584" s="23"/>
      <c r="P1584" s="23"/>
      <c r="Q1584" s="9"/>
      <c r="R1584" s="9"/>
      <c r="S1584" s="9"/>
      <c r="T1584" s="9"/>
      <c r="U1584" s="9"/>
      <c r="V1584" s="9"/>
      <c r="W1584" s="9"/>
      <c r="X1584" s="9"/>
      <c r="Y1584" s="9"/>
      <c r="Z1584" s="9"/>
      <c r="AA1584" s="9"/>
      <c r="AB1584" s="9"/>
      <c r="AC1584" s="9"/>
      <c r="AD1584" s="25"/>
      <c r="AE1584" s="25"/>
      <c r="AF1584" s="9"/>
      <c r="AG1584" s="9"/>
      <c r="AH1584" s="9"/>
      <c r="AI1584" s="9"/>
    </row>
    <row r="1585" ht="15.75" customHeight="1">
      <c r="A1585" s="9"/>
      <c r="B1585" s="9"/>
      <c r="C1585" s="9"/>
      <c r="D1585" s="9"/>
      <c r="E1585" s="67"/>
      <c r="F1585" s="68"/>
      <c r="G1585" s="68"/>
      <c r="H1585" s="69"/>
      <c r="I1585" s="69"/>
      <c r="J1585" s="69"/>
      <c r="K1585" s="69"/>
      <c r="L1585" s="69"/>
      <c r="M1585" s="70"/>
      <c r="N1585" s="69"/>
      <c r="O1585" s="23"/>
      <c r="P1585" s="23"/>
      <c r="Q1585" s="9"/>
      <c r="R1585" s="9"/>
      <c r="S1585" s="9"/>
      <c r="T1585" s="9"/>
      <c r="U1585" s="9"/>
      <c r="V1585" s="9"/>
      <c r="W1585" s="9"/>
      <c r="X1585" s="9"/>
      <c r="Y1585" s="9"/>
      <c r="Z1585" s="9"/>
      <c r="AA1585" s="9"/>
      <c r="AB1585" s="9"/>
      <c r="AC1585" s="9"/>
      <c r="AD1585" s="25"/>
      <c r="AE1585" s="25"/>
      <c r="AF1585" s="9"/>
      <c r="AG1585" s="9"/>
      <c r="AH1585" s="9"/>
      <c r="AI1585" s="9"/>
    </row>
    <row r="1586" ht="15.75" customHeight="1">
      <c r="A1586" s="9"/>
      <c r="B1586" s="9"/>
      <c r="C1586" s="9"/>
      <c r="D1586" s="9"/>
      <c r="E1586" s="67"/>
      <c r="F1586" s="68"/>
      <c r="G1586" s="68"/>
      <c r="H1586" s="69"/>
      <c r="I1586" s="69"/>
      <c r="J1586" s="69"/>
      <c r="K1586" s="69"/>
      <c r="L1586" s="69"/>
      <c r="M1586" s="70"/>
      <c r="N1586" s="69"/>
      <c r="O1586" s="23"/>
      <c r="P1586" s="23"/>
      <c r="Q1586" s="9"/>
      <c r="R1586" s="9"/>
      <c r="S1586" s="9"/>
      <c r="T1586" s="9"/>
      <c r="U1586" s="9"/>
      <c r="V1586" s="9"/>
      <c r="W1586" s="9"/>
      <c r="X1586" s="9"/>
      <c r="Y1586" s="9"/>
      <c r="Z1586" s="9"/>
      <c r="AA1586" s="9"/>
      <c r="AB1586" s="9"/>
      <c r="AC1586" s="9"/>
      <c r="AD1586" s="25"/>
      <c r="AE1586" s="25"/>
      <c r="AF1586" s="9"/>
      <c r="AG1586" s="9"/>
      <c r="AH1586" s="9"/>
      <c r="AI1586" s="9"/>
    </row>
    <row r="1587" ht="15.75" customHeight="1">
      <c r="A1587" s="9"/>
      <c r="B1587" s="9"/>
      <c r="C1587" s="9"/>
      <c r="D1587" s="9"/>
      <c r="E1587" s="67"/>
      <c r="F1587" s="68"/>
      <c r="G1587" s="68"/>
      <c r="H1587" s="69"/>
      <c r="I1587" s="69"/>
      <c r="J1587" s="69"/>
      <c r="K1587" s="69"/>
      <c r="L1587" s="69"/>
      <c r="M1587" s="69"/>
      <c r="N1587" s="69"/>
      <c r="O1587" s="23"/>
      <c r="P1587" s="23"/>
      <c r="Q1587" s="9"/>
      <c r="R1587" s="9"/>
      <c r="S1587" s="9"/>
      <c r="T1587" s="9"/>
      <c r="U1587" s="9"/>
      <c r="V1587" s="9"/>
      <c r="W1587" s="9"/>
      <c r="X1587" s="9"/>
      <c r="Y1587" s="9"/>
      <c r="Z1587" s="9"/>
      <c r="AA1587" s="9"/>
      <c r="AB1587" s="9"/>
      <c r="AC1587" s="9"/>
      <c r="AD1587" s="25"/>
      <c r="AE1587" s="25"/>
      <c r="AF1587" s="9"/>
      <c r="AG1587" s="9"/>
      <c r="AH1587" s="9"/>
      <c r="AI1587" s="9"/>
    </row>
    <row r="1588" ht="15.75" customHeight="1">
      <c r="A1588" s="9"/>
      <c r="B1588" s="9"/>
      <c r="C1588" s="9"/>
      <c r="D1588" s="9"/>
      <c r="E1588" s="67"/>
      <c r="F1588" s="68"/>
      <c r="G1588" s="68"/>
      <c r="H1588" s="69"/>
      <c r="I1588" s="69"/>
      <c r="J1588" s="69"/>
      <c r="K1588" s="69"/>
      <c r="L1588" s="69"/>
      <c r="M1588" s="69"/>
      <c r="N1588" s="69"/>
      <c r="O1588" s="23"/>
      <c r="P1588" s="23"/>
      <c r="Q1588" s="9"/>
      <c r="R1588" s="9"/>
      <c r="S1588" s="9"/>
      <c r="T1588" s="9"/>
      <c r="U1588" s="9"/>
      <c r="V1588" s="9"/>
      <c r="W1588" s="9"/>
      <c r="X1588" s="9"/>
      <c r="Y1588" s="9"/>
      <c r="Z1588" s="9"/>
      <c r="AA1588" s="9"/>
      <c r="AB1588" s="9"/>
      <c r="AC1588" s="9"/>
      <c r="AD1588" s="25"/>
      <c r="AE1588" s="25"/>
      <c r="AF1588" s="9"/>
      <c r="AG1588" s="9"/>
      <c r="AH1588" s="9"/>
      <c r="AI1588" s="9"/>
    </row>
    <row r="1589" ht="15.75" customHeight="1">
      <c r="A1589" s="9"/>
      <c r="B1589" s="9"/>
      <c r="C1589" s="9"/>
      <c r="D1589" s="9"/>
      <c r="E1589" s="67"/>
      <c r="F1589" s="68"/>
      <c r="G1589" s="68"/>
      <c r="H1589" s="69"/>
      <c r="I1589" s="69"/>
      <c r="J1589" s="69"/>
      <c r="K1589" s="69"/>
      <c r="L1589" s="69"/>
      <c r="M1589" s="70"/>
      <c r="N1589" s="69"/>
      <c r="O1589" s="23"/>
      <c r="P1589" s="23"/>
      <c r="Q1589" s="9"/>
      <c r="R1589" s="9"/>
      <c r="S1589" s="9"/>
      <c r="T1589" s="9"/>
      <c r="U1589" s="9"/>
      <c r="V1589" s="9"/>
      <c r="W1589" s="9"/>
      <c r="X1589" s="9"/>
      <c r="Y1589" s="9"/>
      <c r="Z1589" s="9"/>
      <c r="AA1589" s="9"/>
      <c r="AB1589" s="9"/>
      <c r="AC1589" s="9"/>
      <c r="AD1589" s="25"/>
      <c r="AE1589" s="25"/>
      <c r="AF1589" s="9"/>
      <c r="AG1589" s="9"/>
      <c r="AH1589" s="9"/>
      <c r="AI1589" s="9"/>
    </row>
    <row r="1590" ht="15.75" customHeight="1">
      <c r="A1590" s="9"/>
      <c r="B1590" s="9"/>
      <c r="C1590" s="9"/>
      <c r="D1590" s="9"/>
      <c r="E1590" s="67"/>
      <c r="F1590" s="68"/>
      <c r="G1590" s="68"/>
      <c r="H1590" s="69"/>
      <c r="I1590" s="69"/>
      <c r="J1590" s="69"/>
      <c r="K1590" s="69"/>
      <c r="L1590" s="69"/>
      <c r="M1590" s="70"/>
      <c r="N1590" s="69"/>
      <c r="O1590" s="23"/>
      <c r="P1590" s="23"/>
      <c r="Q1590" s="9"/>
      <c r="R1590" s="9"/>
      <c r="S1590" s="9"/>
      <c r="T1590" s="9"/>
      <c r="U1590" s="9"/>
      <c r="V1590" s="9"/>
      <c r="W1590" s="9"/>
      <c r="X1590" s="9"/>
      <c r="Y1590" s="9"/>
      <c r="Z1590" s="9"/>
      <c r="AA1590" s="9"/>
      <c r="AB1590" s="9"/>
      <c r="AC1590" s="9"/>
      <c r="AD1590" s="25"/>
      <c r="AE1590" s="25"/>
      <c r="AF1590" s="9"/>
      <c r="AG1590" s="9"/>
      <c r="AH1590" s="9"/>
      <c r="AI1590" s="9"/>
    </row>
    <row r="1591" ht="15.75" customHeight="1">
      <c r="A1591" s="9"/>
      <c r="B1591" s="9"/>
      <c r="C1591" s="9"/>
      <c r="D1591" s="9"/>
      <c r="E1591" s="67"/>
      <c r="F1591" s="68"/>
      <c r="G1591" s="68"/>
      <c r="H1591" s="69"/>
      <c r="I1591" s="69"/>
      <c r="J1591" s="69"/>
      <c r="K1591" s="69"/>
      <c r="L1591" s="69"/>
      <c r="M1591" s="71"/>
      <c r="N1591" s="69"/>
      <c r="O1591" s="23"/>
      <c r="P1591" s="23"/>
      <c r="Q1591" s="9"/>
      <c r="R1591" s="9"/>
      <c r="S1591" s="9"/>
      <c r="T1591" s="9"/>
      <c r="U1591" s="9"/>
      <c r="V1591" s="9"/>
      <c r="W1591" s="9"/>
      <c r="X1591" s="9"/>
      <c r="Y1591" s="9"/>
      <c r="Z1591" s="9"/>
      <c r="AA1591" s="9"/>
      <c r="AB1591" s="9"/>
      <c r="AC1591" s="9"/>
      <c r="AD1591" s="25"/>
      <c r="AE1591" s="25"/>
      <c r="AF1591" s="9"/>
      <c r="AG1591" s="9"/>
      <c r="AH1591" s="9"/>
      <c r="AI1591" s="9"/>
    </row>
    <row r="1592" ht="15.75" customHeight="1">
      <c r="A1592" s="9"/>
      <c r="B1592" s="9"/>
      <c r="C1592" s="9"/>
      <c r="D1592" s="9"/>
      <c r="E1592" s="67"/>
      <c r="F1592" s="68"/>
      <c r="G1592" s="68"/>
      <c r="H1592" s="69"/>
      <c r="I1592" s="69"/>
      <c r="J1592" s="69"/>
      <c r="K1592" s="69"/>
      <c r="L1592" s="69"/>
      <c r="M1592" s="70"/>
      <c r="N1592" s="69"/>
      <c r="O1592" s="23"/>
      <c r="P1592" s="23"/>
      <c r="Q1592" s="9"/>
      <c r="R1592" s="9"/>
      <c r="S1592" s="9"/>
      <c r="T1592" s="9"/>
      <c r="U1592" s="9"/>
      <c r="V1592" s="9"/>
      <c r="W1592" s="9"/>
      <c r="X1592" s="9"/>
      <c r="Y1592" s="9"/>
      <c r="Z1592" s="9"/>
      <c r="AA1592" s="9"/>
      <c r="AB1592" s="9"/>
      <c r="AC1592" s="9"/>
      <c r="AD1592" s="25"/>
      <c r="AE1592" s="25"/>
      <c r="AF1592" s="9"/>
      <c r="AG1592" s="9"/>
      <c r="AH1592" s="9"/>
      <c r="AI1592" s="9"/>
    </row>
    <row r="1593" ht="15.75" customHeight="1">
      <c r="A1593" s="9"/>
      <c r="B1593" s="9"/>
      <c r="C1593" s="9"/>
      <c r="D1593" s="9"/>
      <c r="E1593" s="67"/>
      <c r="F1593" s="68"/>
      <c r="G1593" s="68"/>
      <c r="H1593" s="69"/>
      <c r="I1593" s="69"/>
      <c r="J1593" s="69"/>
      <c r="K1593" s="69"/>
      <c r="L1593" s="69"/>
      <c r="M1593" s="70"/>
      <c r="N1593" s="69"/>
      <c r="O1593" s="23"/>
      <c r="P1593" s="23"/>
      <c r="Q1593" s="9"/>
      <c r="R1593" s="9"/>
      <c r="S1593" s="9"/>
      <c r="T1593" s="9"/>
      <c r="U1593" s="9"/>
      <c r="V1593" s="9"/>
      <c r="W1593" s="9"/>
      <c r="X1593" s="9"/>
      <c r="Y1593" s="9"/>
      <c r="Z1593" s="9"/>
      <c r="AA1593" s="9"/>
      <c r="AB1593" s="9"/>
      <c r="AC1593" s="9"/>
      <c r="AD1593" s="25"/>
      <c r="AE1593" s="25"/>
      <c r="AF1593" s="9"/>
      <c r="AG1593" s="9"/>
      <c r="AH1593" s="9"/>
      <c r="AI1593" s="9"/>
    </row>
    <row r="1594" ht="15.75" customHeight="1">
      <c r="A1594" s="9"/>
      <c r="B1594" s="9"/>
      <c r="C1594" s="9"/>
      <c r="D1594" s="9"/>
      <c r="E1594" s="67"/>
      <c r="F1594" s="68"/>
      <c r="G1594" s="68"/>
      <c r="H1594" s="69"/>
      <c r="I1594" s="69"/>
      <c r="J1594" s="69"/>
      <c r="K1594" s="69"/>
      <c r="L1594" s="69"/>
      <c r="M1594" s="70"/>
      <c r="N1594" s="69"/>
      <c r="O1594" s="23"/>
      <c r="P1594" s="23"/>
      <c r="Q1594" s="9"/>
      <c r="R1594" s="9"/>
      <c r="S1594" s="9"/>
      <c r="T1594" s="9"/>
      <c r="U1594" s="9"/>
      <c r="V1594" s="9"/>
      <c r="W1594" s="9"/>
      <c r="X1594" s="9"/>
      <c r="Y1594" s="9"/>
      <c r="Z1594" s="9"/>
      <c r="AA1594" s="9"/>
      <c r="AB1594" s="9"/>
      <c r="AC1594" s="9"/>
      <c r="AD1594" s="25"/>
      <c r="AE1594" s="25"/>
      <c r="AF1594" s="9"/>
      <c r="AG1594" s="9"/>
      <c r="AH1594" s="9"/>
      <c r="AI1594" s="9"/>
    </row>
    <row r="1595" ht="15.75" customHeight="1">
      <c r="A1595" s="9"/>
      <c r="B1595" s="9"/>
      <c r="C1595" s="9"/>
      <c r="D1595" s="9"/>
      <c r="E1595" s="67"/>
      <c r="F1595" s="68"/>
      <c r="G1595" s="68"/>
      <c r="H1595" s="69"/>
      <c r="I1595" s="69"/>
      <c r="J1595" s="69"/>
      <c r="K1595" s="69"/>
      <c r="L1595" s="69"/>
      <c r="M1595" s="70"/>
      <c r="N1595" s="69"/>
      <c r="O1595" s="23"/>
      <c r="P1595" s="23"/>
      <c r="Q1595" s="9"/>
      <c r="R1595" s="9"/>
      <c r="S1595" s="9"/>
      <c r="T1595" s="9"/>
      <c r="U1595" s="9"/>
      <c r="V1595" s="9"/>
      <c r="W1595" s="9"/>
      <c r="X1595" s="9"/>
      <c r="Y1595" s="9"/>
      <c r="Z1595" s="9"/>
      <c r="AA1595" s="9"/>
      <c r="AB1595" s="9"/>
      <c r="AC1595" s="9"/>
      <c r="AD1595" s="25"/>
      <c r="AE1595" s="25"/>
      <c r="AF1595" s="9"/>
      <c r="AG1595" s="9"/>
      <c r="AH1595" s="9"/>
      <c r="AI1595" s="9"/>
    </row>
    <row r="1596" ht="15.75" customHeight="1">
      <c r="A1596" s="9"/>
      <c r="B1596" s="9"/>
      <c r="C1596" s="9"/>
      <c r="D1596" s="9"/>
      <c r="E1596" s="67"/>
      <c r="F1596" s="68"/>
      <c r="G1596" s="68"/>
      <c r="H1596" s="69"/>
      <c r="I1596" s="69"/>
      <c r="J1596" s="69"/>
      <c r="K1596" s="69"/>
      <c r="L1596" s="69"/>
      <c r="M1596" s="69"/>
      <c r="N1596" s="69"/>
      <c r="O1596" s="23"/>
      <c r="P1596" s="23"/>
      <c r="Q1596" s="9"/>
      <c r="R1596" s="9"/>
      <c r="S1596" s="9"/>
      <c r="T1596" s="9"/>
      <c r="U1596" s="9"/>
      <c r="V1596" s="9"/>
      <c r="W1596" s="9"/>
      <c r="X1596" s="9"/>
      <c r="Y1596" s="9"/>
      <c r="Z1596" s="9"/>
      <c r="AA1596" s="9"/>
      <c r="AB1596" s="9"/>
      <c r="AC1596" s="9"/>
      <c r="AD1596" s="25"/>
      <c r="AE1596" s="25"/>
      <c r="AF1596" s="9"/>
      <c r="AG1596" s="9"/>
      <c r="AH1596" s="9"/>
      <c r="AI1596" s="9"/>
    </row>
    <row r="1597" ht="15.75" customHeight="1">
      <c r="A1597" s="9"/>
      <c r="B1597" s="9"/>
      <c r="C1597" s="9"/>
      <c r="D1597" s="9"/>
      <c r="E1597" s="67"/>
      <c r="F1597" s="68"/>
      <c r="G1597" s="68"/>
      <c r="H1597" s="69"/>
      <c r="I1597" s="69"/>
      <c r="J1597" s="69"/>
      <c r="K1597" s="69"/>
      <c r="L1597" s="69"/>
      <c r="M1597" s="69"/>
      <c r="N1597" s="69"/>
      <c r="O1597" s="23"/>
      <c r="P1597" s="23"/>
      <c r="Q1597" s="9"/>
      <c r="R1597" s="9"/>
      <c r="S1597" s="9"/>
      <c r="T1597" s="9"/>
      <c r="U1597" s="9"/>
      <c r="V1597" s="9"/>
      <c r="W1597" s="9"/>
      <c r="X1597" s="9"/>
      <c r="Y1597" s="9"/>
      <c r="Z1597" s="9"/>
      <c r="AA1597" s="9"/>
      <c r="AB1597" s="9"/>
      <c r="AC1597" s="9"/>
      <c r="AD1597" s="25"/>
      <c r="AE1597" s="25"/>
      <c r="AF1597" s="9"/>
      <c r="AG1597" s="9"/>
      <c r="AH1597" s="9"/>
      <c r="AI1597" s="9"/>
    </row>
    <row r="1598" ht="15.75" customHeight="1">
      <c r="A1598" s="9"/>
      <c r="B1598" s="9"/>
      <c r="C1598" s="9"/>
      <c r="D1598" s="9"/>
      <c r="E1598" s="67"/>
      <c r="F1598" s="68"/>
      <c r="G1598" s="68"/>
      <c r="H1598" s="69"/>
      <c r="I1598" s="69"/>
      <c r="J1598" s="69"/>
      <c r="K1598" s="69"/>
      <c r="L1598" s="69"/>
      <c r="M1598" s="70"/>
      <c r="N1598" s="69"/>
      <c r="O1598" s="23"/>
      <c r="P1598" s="23"/>
      <c r="Q1598" s="9"/>
      <c r="R1598" s="9"/>
      <c r="S1598" s="9"/>
      <c r="T1598" s="9"/>
      <c r="U1598" s="9"/>
      <c r="V1598" s="9"/>
      <c r="W1598" s="9"/>
      <c r="X1598" s="9"/>
      <c r="Y1598" s="9"/>
      <c r="Z1598" s="9"/>
      <c r="AA1598" s="9"/>
      <c r="AB1598" s="9"/>
      <c r="AC1598" s="9"/>
      <c r="AD1598" s="25"/>
      <c r="AE1598" s="25"/>
      <c r="AF1598" s="9"/>
      <c r="AG1598" s="9"/>
      <c r="AH1598" s="9"/>
      <c r="AI1598" s="9"/>
    </row>
    <row r="1599" ht="15.75" customHeight="1">
      <c r="A1599" s="9"/>
      <c r="B1599" s="9"/>
      <c r="C1599" s="9"/>
      <c r="D1599" s="9"/>
      <c r="E1599" s="67"/>
      <c r="F1599" s="68"/>
      <c r="G1599" s="68"/>
      <c r="H1599" s="69"/>
      <c r="I1599" s="69"/>
      <c r="J1599" s="69"/>
      <c r="K1599" s="69"/>
      <c r="L1599" s="69"/>
      <c r="M1599" s="70"/>
      <c r="N1599" s="69"/>
      <c r="O1599" s="23"/>
      <c r="P1599" s="23"/>
      <c r="Q1599" s="9"/>
      <c r="R1599" s="9"/>
      <c r="S1599" s="9"/>
      <c r="T1599" s="9"/>
      <c r="U1599" s="9"/>
      <c r="V1599" s="9"/>
      <c r="W1599" s="9"/>
      <c r="X1599" s="9"/>
      <c r="Y1599" s="9"/>
      <c r="Z1599" s="9"/>
      <c r="AA1599" s="9"/>
      <c r="AB1599" s="9"/>
      <c r="AC1599" s="9"/>
      <c r="AD1599" s="25"/>
      <c r="AE1599" s="25"/>
      <c r="AF1599" s="9"/>
      <c r="AG1599" s="9"/>
      <c r="AH1599" s="9"/>
      <c r="AI1599" s="9"/>
    </row>
    <row r="1600" ht="15.75" customHeight="1">
      <c r="A1600" s="9"/>
      <c r="B1600" s="9"/>
      <c r="C1600" s="9"/>
      <c r="D1600" s="9"/>
      <c r="E1600" s="67"/>
      <c r="F1600" s="68"/>
      <c r="G1600" s="68"/>
      <c r="H1600" s="69"/>
      <c r="I1600" s="69"/>
      <c r="J1600" s="69"/>
      <c r="K1600" s="69"/>
      <c r="L1600" s="69"/>
      <c r="M1600" s="70"/>
      <c r="N1600" s="69"/>
      <c r="O1600" s="23"/>
      <c r="P1600" s="23"/>
      <c r="Q1600" s="9"/>
      <c r="R1600" s="9"/>
      <c r="S1600" s="9"/>
      <c r="T1600" s="9"/>
      <c r="U1600" s="9"/>
      <c r="V1600" s="9"/>
      <c r="W1600" s="9"/>
      <c r="X1600" s="9"/>
      <c r="Y1600" s="9"/>
      <c r="Z1600" s="9"/>
      <c r="AA1600" s="9"/>
      <c r="AB1600" s="9"/>
      <c r="AC1600" s="9"/>
      <c r="AD1600" s="25"/>
      <c r="AE1600" s="25"/>
      <c r="AF1600" s="9"/>
      <c r="AG1600" s="9"/>
      <c r="AH1600" s="9"/>
      <c r="AI1600" s="9"/>
    </row>
    <row r="1601" ht="15.75" customHeight="1">
      <c r="A1601" s="9"/>
      <c r="B1601" s="9"/>
      <c r="C1601" s="9"/>
      <c r="D1601" s="9"/>
      <c r="E1601" s="67"/>
      <c r="F1601" s="68"/>
      <c r="G1601" s="68"/>
      <c r="H1601" s="69"/>
      <c r="I1601" s="69"/>
      <c r="J1601" s="69"/>
      <c r="K1601" s="69"/>
      <c r="L1601" s="69"/>
      <c r="M1601" s="70"/>
      <c r="N1601" s="69"/>
      <c r="O1601" s="23"/>
      <c r="P1601" s="23"/>
      <c r="Q1601" s="9"/>
      <c r="R1601" s="9"/>
      <c r="S1601" s="9"/>
      <c r="T1601" s="9"/>
      <c r="U1601" s="9"/>
      <c r="V1601" s="9"/>
      <c r="W1601" s="9"/>
      <c r="X1601" s="9"/>
      <c r="Y1601" s="9"/>
      <c r="Z1601" s="9"/>
      <c r="AA1601" s="9"/>
      <c r="AB1601" s="9"/>
      <c r="AC1601" s="9"/>
      <c r="AD1601" s="25"/>
      <c r="AE1601" s="25"/>
      <c r="AF1601" s="9"/>
      <c r="AG1601" s="9"/>
      <c r="AH1601" s="9"/>
      <c r="AI1601" s="9"/>
    </row>
    <row r="1602" ht="15.75" customHeight="1">
      <c r="A1602" s="9"/>
      <c r="B1602" s="9"/>
      <c r="C1602" s="9"/>
      <c r="D1602" s="9"/>
      <c r="E1602" s="67"/>
      <c r="F1602" s="68"/>
      <c r="G1602" s="68"/>
      <c r="H1602" s="69"/>
      <c r="I1602" s="69"/>
      <c r="J1602" s="69"/>
      <c r="K1602" s="69"/>
      <c r="L1602" s="69"/>
      <c r="M1602" s="70"/>
      <c r="N1602" s="69"/>
      <c r="O1602" s="23"/>
      <c r="P1602" s="23"/>
      <c r="Q1602" s="9"/>
      <c r="R1602" s="9"/>
      <c r="S1602" s="9"/>
      <c r="T1602" s="9"/>
      <c r="U1602" s="9"/>
      <c r="V1602" s="9"/>
      <c r="W1602" s="9"/>
      <c r="X1602" s="9"/>
      <c r="Y1602" s="9"/>
      <c r="Z1602" s="9"/>
      <c r="AA1602" s="9"/>
      <c r="AB1602" s="9"/>
      <c r="AC1602" s="9"/>
      <c r="AD1602" s="25"/>
      <c r="AE1602" s="25"/>
      <c r="AF1602" s="9"/>
      <c r="AG1602" s="9"/>
      <c r="AH1602" s="9"/>
      <c r="AI1602" s="9"/>
    </row>
    <row r="1603" ht="15.75" customHeight="1">
      <c r="A1603" s="9"/>
      <c r="B1603" s="9"/>
      <c r="C1603" s="9"/>
      <c r="D1603" s="9"/>
      <c r="E1603" s="67"/>
      <c r="F1603" s="68"/>
      <c r="G1603" s="68"/>
      <c r="H1603" s="69"/>
      <c r="I1603" s="69"/>
      <c r="J1603" s="69"/>
      <c r="K1603" s="69"/>
      <c r="L1603" s="69"/>
      <c r="M1603" s="69"/>
      <c r="N1603" s="69"/>
      <c r="O1603" s="23"/>
      <c r="P1603" s="23"/>
      <c r="Q1603" s="9"/>
      <c r="R1603" s="9"/>
      <c r="S1603" s="9"/>
      <c r="T1603" s="9"/>
      <c r="U1603" s="9"/>
      <c r="V1603" s="9"/>
      <c r="W1603" s="9"/>
      <c r="X1603" s="9"/>
      <c r="Y1603" s="9"/>
      <c r="Z1603" s="9"/>
      <c r="AA1603" s="9"/>
      <c r="AB1603" s="9"/>
      <c r="AC1603" s="9"/>
      <c r="AD1603" s="25"/>
      <c r="AE1603" s="25"/>
      <c r="AF1603" s="9"/>
      <c r="AG1603" s="9"/>
      <c r="AH1603" s="9"/>
      <c r="AI1603" s="9"/>
    </row>
    <row r="1604" ht="15.75" customHeight="1">
      <c r="A1604" s="9"/>
      <c r="B1604" s="9"/>
      <c r="C1604" s="9"/>
      <c r="D1604" s="9"/>
      <c r="E1604" s="67"/>
      <c r="F1604" s="68"/>
      <c r="G1604" s="68"/>
      <c r="H1604" s="69"/>
      <c r="I1604" s="69"/>
      <c r="J1604" s="69"/>
      <c r="K1604" s="69"/>
      <c r="L1604" s="69"/>
      <c r="M1604" s="69"/>
      <c r="N1604" s="69"/>
      <c r="O1604" s="23"/>
      <c r="P1604" s="23"/>
      <c r="Q1604" s="9"/>
      <c r="R1604" s="9"/>
      <c r="S1604" s="9"/>
      <c r="T1604" s="9"/>
      <c r="U1604" s="9"/>
      <c r="V1604" s="9"/>
      <c r="W1604" s="9"/>
      <c r="X1604" s="9"/>
      <c r="Y1604" s="9"/>
      <c r="Z1604" s="9"/>
      <c r="AA1604" s="9"/>
      <c r="AB1604" s="9"/>
      <c r="AC1604" s="9"/>
      <c r="AD1604" s="25"/>
      <c r="AE1604" s="25"/>
      <c r="AF1604" s="9"/>
      <c r="AG1604" s="9"/>
      <c r="AH1604" s="9"/>
      <c r="AI1604" s="9"/>
    </row>
    <row r="1605" ht="15.75" customHeight="1">
      <c r="A1605" s="9"/>
      <c r="B1605" s="9"/>
      <c r="C1605" s="9"/>
      <c r="D1605" s="9"/>
      <c r="E1605" s="67"/>
      <c r="F1605" s="68"/>
      <c r="G1605" s="68"/>
      <c r="H1605" s="69"/>
      <c r="I1605" s="69"/>
      <c r="J1605" s="69"/>
      <c r="K1605" s="69"/>
      <c r="L1605" s="69"/>
      <c r="M1605" s="70"/>
      <c r="N1605" s="69"/>
      <c r="O1605" s="23"/>
      <c r="P1605" s="23"/>
      <c r="Q1605" s="9"/>
      <c r="R1605" s="9"/>
      <c r="S1605" s="9"/>
      <c r="T1605" s="9"/>
      <c r="U1605" s="9"/>
      <c r="V1605" s="9"/>
      <c r="W1605" s="9"/>
      <c r="X1605" s="9"/>
      <c r="Y1605" s="9"/>
      <c r="Z1605" s="9"/>
      <c r="AA1605" s="9"/>
      <c r="AB1605" s="9"/>
      <c r="AC1605" s="9"/>
      <c r="AD1605" s="25"/>
      <c r="AE1605" s="25"/>
      <c r="AF1605" s="9"/>
      <c r="AG1605" s="9"/>
      <c r="AH1605" s="9"/>
      <c r="AI1605" s="9"/>
    </row>
    <row r="1606" ht="15.75" customHeight="1">
      <c r="A1606" s="9"/>
      <c r="B1606" s="9"/>
      <c r="C1606" s="9"/>
      <c r="D1606" s="9"/>
      <c r="E1606" s="67"/>
      <c r="F1606" s="68"/>
      <c r="G1606" s="68"/>
      <c r="H1606" s="69"/>
      <c r="I1606" s="69"/>
      <c r="J1606" s="69"/>
      <c r="K1606" s="69"/>
      <c r="L1606" s="69"/>
      <c r="M1606" s="69"/>
      <c r="N1606" s="69"/>
      <c r="O1606" s="23"/>
      <c r="P1606" s="23"/>
      <c r="Q1606" s="9"/>
      <c r="R1606" s="9"/>
      <c r="S1606" s="9"/>
      <c r="T1606" s="9"/>
      <c r="U1606" s="9"/>
      <c r="V1606" s="9"/>
      <c r="W1606" s="9"/>
      <c r="X1606" s="9"/>
      <c r="Y1606" s="9"/>
      <c r="Z1606" s="9"/>
      <c r="AA1606" s="9"/>
      <c r="AB1606" s="9"/>
      <c r="AC1606" s="9"/>
      <c r="AD1606" s="25"/>
      <c r="AE1606" s="25"/>
      <c r="AF1606" s="9"/>
      <c r="AG1606" s="9"/>
      <c r="AH1606" s="9"/>
      <c r="AI1606" s="9"/>
    </row>
    <row r="1607" ht="15.75" customHeight="1">
      <c r="A1607" s="9"/>
      <c r="B1607" s="9"/>
      <c r="C1607" s="9"/>
      <c r="D1607" s="9"/>
      <c r="E1607" s="67"/>
      <c r="F1607" s="68"/>
      <c r="G1607" s="68"/>
      <c r="H1607" s="69"/>
      <c r="I1607" s="69"/>
      <c r="J1607" s="69"/>
      <c r="K1607" s="69"/>
      <c r="L1607" s="69"/>
      <c r="M1607" s="70"/>
      <c r="N1607" s="69"/>
      <c r="O1607" s="23"/>
      <c r="P1607" s="23"/>
      <c r="Q1607" s="9"/>
      <c r="R1607" s="9"/>
      <c r="S1607" s="9"/>
      <c r="T1607" s="9"/>
      <c r="U1607" s="9"/>
      <c r="V1607" s="9"/>
      <c r="W1607" s="9"/>
      <c r="X1607" s="9"/>
      <c r="Y1607" s="9"/>
      <c r="Z1607" s="9"/>
      <c r="AA1607" s="9"/>
      <c r="AB1607" s="9"/>
      <c r="AC1607" s="9"/>
      <c r="AD1607" s="25"/>
      <c r="AE1607" s="25"/>
      <c r="AF1607" s="9"/>
      <c r="AG1607" s="9"/>
      <c r="AH1607" s="9"/>
      <c r="AI1607" s="9"/>
    </row>
    <row r="1608" ht="15.75" customHeight="1">
      <c r="A1608" s="9"/>
      <c r="B1608" s="9"/>
      <c r="C1608" s="9"/>
      <c r="D1608" s="9"/>
      <c r="E1608" s="67"/>
      <c r="F1608" s="68"/>
      <c r="G1608" s="68"/>
      <c r="H1608" s="69"/>
      <c r="I1608" s="69"/>
      <c r="J1608" s="69"/>
      <c r="K1608" s="69"/>
      <c r="L1608" s="69"/>
      <c r="M1608" s="69"/>
      <c r="N1608" s="69"/>
      <c r="O1608" s="23"/>
      <c r="P1608" s="23"/>
      <c r="Q1608" s="9"/>
      <c r="R1608" s="9"/>
      <c r="S1608" s="9"/>
      <c r="T1608" s="9"/>
      <c r="U1608" s="9"/>
      <c r="V1608" s="9"/>
      <c r="W1608" s="9"/>
      <c r="X1608" s="9"/>
      <c r="Y1608" s="9"/>
      <c r="Z1608" s="9"/>
      <c r="AA1608" s="9"/>
      <c r="AB1608" s="9"/>
      <c r="AC1608" s="9"/>
      <c r="AD1608" s="25"/>
      <c r="AE1608" s="25"/>
      <c r="AF1608" s="9"/>
      <c r="AG1608" s="9"/>
      <c r="AH1608" s="9"/>
      <c r="AI1608" s="9"/>
    </row>
    <row r="1609" ht="15.75" customHeight="1">
      <c r="A1609" s="9"/>
      <c r="B1609" s="9"/>
      <c r="C1609" s="9"/>
      <c r="D1609" s="9"/>
      <c r="E1609" s="67"/>
      <c r="F1609" s="68"/>
      <c r="G1609" s="68"/>
      <c r="H1609" s="69"/>
      <c r="I1609" s="69"/>
      <c r="J1609" s="69"/>
      <c r="K1609" s="69"/>
      <c r="L1609" s="69"/>
      <c r="M1609" s="70"/>
      <c r="N1609" s="69"/>
      <c r="O1609" s="23"/>
      <c r="P1609" s="23"/>
      <c r="Q1609" s="9"/>
      <c r="R1609" s="9"/>
      <c r="S1609" s="9"/>
      <c r="T1609" s="9"/>
      <c r="U1609" s="9"/>
      <c r="V1609" s="9"/>
      <c r="W1609" s="9"/>
      <c r="X1609" s="9"/>
      <c r="Y1609" s="9"/>
      <c r="Z1609" s="9"/>
      <c r="AA1609" s="9"/>
      <c r="AB1609" s="9"/>
      <c r="AC1609" s="9"/>
      <c r="AD1609" s="25"/>
      <c r="AE1609" s="25"/>
      <c r="AF1609" s="9"/>
      <c r="AG1609" s="9"/>
      <c r="AH1609" s="9"/>
      <c r="AI1609" s="9"/>
    </row>
    <row r="1610" ht="15.75" customHeight="1">
      <c r="A1610" s="9"/>
      <c r="B1610" s="9"/>
      <c r="C1610" s="9"/>
      <c r="D1610" s="9"/>
      <c r="E1610" s="67"/>
      <c r="F1610" s="68"/>
      <c r="G1610" s="68"/>
      <c r="H1610" s="69"/>
      <c r="I1610" s="69"/>
      <c r="J1610" s="69"/>
      <c r="K1610" s="69"/>
      <c r="L1610" s="69"/>
      <c r="M1610" s="69"/>
      <c r="N1610" s="69"/>
      <c r="O1610" s="23"/>
      <c r="P1610" s="23"/>
      <c r="Q1610" s="9"/>
      <c r="R1610" s="9"/>
      <c r="S1610" s="9"/>
      <c r="T1610" s="9"/>
      <c r="U1610" s="9"/>
      <c r="V1610" s="9"/>
      <c r="W1610" s="9"/>
      <c r="X1610" s="9"/>
      <c r="Y1610" s="9"/>
      <c r="Z1610" s="9"/>
      <c r="AA1610" s="9"/>
      <c r="AB1610" s="9"/>
      <c r="AC1610" s="9"/>
      <c r="AD1610" s="25"/>
      <c r="AE1610" s="25"/>
      <c r="AF1610" s="9"/>
      <c r="AG1610" s="9"/>
      <c r="AH1610" s="9"/>
      <c r="AI1610" s="9"/>
    </row>
    <row r="1611" ht="15.75" customHeight="1">
      <c r="A1611" s="9"/>
      <c r="B1611" s="9"/>
      <c r="C1611" s="9"/>
      <c r="D1611" s="9"/>
      <c r="E1611" s="67"/>
      <c r="F1611" s="68"/>
      <c r="G1611" s="68"/>
      <c r="H1611" s="69"/>
      <c r="I1611" s="69"/>
      <c r="J1611" s="69"/>
      <c r="K1611" s="69"/>
      <c r="L1611" s="69"/>
      <c r="M1611" s="71"/>
      <c r="N1611" s="69"/>
      <c r="O1611" s="23"/>
      <c r="P1611" s="23"/>
      <c r="Q1611" s="9"/>
      <c r="R1611" s="9"/>
      <c r="S1611" s="9"/>
      <c r="T1611" s="9"/>
      <c r="U1611" s="9"/>
      <c r="V1611" s="9"/>
      <c r="W1611" s="9"/>
      <c r="X1611" s="9"/>
      <c r="Y1611" s="9"/>
      <c r="Z1611" s="9"/>
      <c r="AA1611" s="9"/>
      <c r="AB1611" s="9"/>
      <c r="AC1611" s="9"/>
      <c r="AD1611" s="25"/>
      <c r="AE1611" s="25"/>
      <c r="AF1611" s="9"/>
      <c r="AG1611" s="9"/>
      <c r="AH1611" s="9"/>
      <c r="AI1611" s="9"/>
    </row>
    <row r="1612" ht="15.75" customHeight="1">
      <c r="A1612" s="9"/>
      <c r="B1612" s="9"/>
      <c r="C1612" s="9"/>
      <c r="D1612" s="9"/>
      <c r="E1612" s="67"/>
      <c r="F1612" s="68"/>
      <c r="G1612" s="68"/>
      <c r="H1612" s="69"/>
      <c r="I1612" s="69"/>
      <c r="J1612" s="69"/>
      <c r="K1612" s="69"/>
      <c r="L1612" s="69"/>
      <c r="M1612" s="70"/>
      <c r="N1612" s="69"/>
      <c r="O1612" s="23"/>
      <c r="P1612" s="23"/>
      <c r="Q1612" s="9"/>
      <c r="R1612" s="9"/>
      <c r="S1612" s="9"/>
      <c r="T1612" s="9"/>
      <c r="U1612" s="9"/>
      <c r="V1612" s="9"/>
      <c r="W1612" s="9"/>
      <c r="X1612" s="9"/>
      <c r="Y1612" s="9"/>
      <c r="Z1612" s="9"/>
      <c r="AA1612" s="9"/>
      <c r="AB1612" s="9"/>
      <c r="AC1612" s="9"/>
      <c r="AD1612" s="25"/>
      <c r="AE1612" s="25"/>
      <c r="AF1612" s="9"/>
      <c r="AG1612" s="9"/>
      <c r="AH1612" s="9"/>
      <c r="AI1612" s="9"/>
    </row>
    <row r="1613" ht="15.75" customHeight="1">
      <c r="A1613" s="9"/>
      <c r="B1613" s="9"/>
      <c r="C1613" s="9"/>
      <c r="D1613" s="9"/>
      <c r="E1613" s="67"/>
      <c r="F1613" s="68"/>
      <c r="G1613" s="68"/>
      <c r="H1613" s="69"/>
      <c r="I1613" s="69"/>
      <c r="J1613" s="69"/>
      <c r="K1613" s="69"/>
      <c r="L1613" s="69"/>
      <c r="M1613" s="71"/>
      <c r="N1613" s="69"/>
      <c r="O1613" s="23"/>
      <c r="P1613" s="23"/>
      <c r="Q1613" s="9"/>
      <c r="R1613" s="9"/>
      <c r="S1613" s="9"/>
      <c r="T1613" s="9"/>
      <c r="U1613" s="9"/>
      <c r="V1613" s="9"/>
      <c r="W1613" s="9"/>
      <c r="X1613" s="9"/>
      <c r="Y1613" s="9"/>
      <c r="Z1613" s="9"/>
      <c r="AA1613" s="9"/>
      <c r="AB1613" s="9"/>
      <c r="AC1613" s="9"/>
      <c r="AD1613" s="25"/>
      <c r="AE1613" s="25"/>
      <c r="AF1613" s="9"/>
      <c r="AG1613" s="9"/>
      <c r="AH1613" s="9"/>
      <c r="AI1613" s="9"/>
    </row>
    <row r="1614" ht="15.75" customHeight="1">
      <c r="A1614" s="9"/>
      <c r="B1614" s="9"/>
      <c r="C1614" s="9"/>
      <c r="D1614" s="9"/>
      <c r="E1614" s="67"/>
      <c r="F1614" s="68"/>
      <c r="G1614" s="68"/>
      <c r="H1614" s="69"/>
      <c r="I1614" s="69"/>
      <c r="J1614" s="69"/>
      <c r="K1614" s="69"/>
      <c r="L1614" s="69"/>
      <c r="M1614" s="70"/>
      <c r="N1614" s="69"/>
      <c r="O1614" s="23"/>
      <c r="P1614" s="23"/>
      <c r="Q1614" s="9"/>
      <c r="R1614" s="9"/>
      <c r="S1614" s="9"/>
      <c r="T1614" s="9"/>
      <c r="U1614" s="9"/>
      <c r="V1614" s="9"/>
      <c r="W1614" s="9"/>
      <c r="X1614" s="9"/>
      <c r="Y1614" s="9"/>
      <c r="Z1614" s="9"/>
      <c r="AA1614" s="9"/>
      <c r="AB1614" s="9"/>
      <c r="AC1614" s="9"/>
      <c r="AD1614" s="25"/>
      <c r="AE1614" s="25"/>
      <c r="AF1614" s="9"/>
      <c r="AG1614" s="9"/>
      <c r="AH1614" s="9"/>
      <c r="AI1614" s="9"/>
    </row>
    <row r="1615" ht="15.75" customHeight="1">
      <c r="A1615" s="9"/>
      <c r="B1615" s="9"/>
      <c r="C1615" s="9"/>
      <c r="D1615" s="9"/>
      <c r="E1615" s="67"/>
      <c r="F1615" s="68"/>
      <c r="G1615" s="68"/>
      <c r="H1615" s="69"/>
      <c r="I1615" s="69"/>
      <c r="J1615" s="69"/>
      <c r="K1615" s="69"/>
      <c r="L1615" s="69"/>
      <c r="M1615" s="69"/>
      <c r="N1615" s="69"/>
      <c r="O1615" s="23"/>
      <c r="P1615" s="23"/>
      <c r="Q1615" s="9"/>
      <c r="R1615" s="9"/>
      <c r="S1615" s="9"/>
      <c r="T1615" s="9"/>
      <c r="U1615" s="9"/>
      <c r="V1615" s="9"/>
      <c r="W1615" s="9"/>
      <c r="X1615" s="9"/>
      <c r="Y1615" s="9"/>
      <c r="Z1615" s="9"/>
      <c r="AA1615" s="9"/>
      <c r="AB1615" s="9"/>
      <c r="AC1615" s="9"/>
      <c r="AD1615" s="25"/>
      <c r="AE1615" s="25"/>
      <c r="AF1615" s="9"/>
      <c r="AG1615" s="9"/>
      <c r="AH1615" s="9"/>
      <c r="AI1615" s="9"/>
    </row>
    <row r="1616" ht="15.75" customHeight="1">
      <c r="A1616" s="9"/>
      <c r="B1616" s="9"/>
      <c r="C1616" s="9"/>
      <c r="D1616" s="9"/>
      <c r="E1616" s="67"/>
      <c r="F1616" s="68"/>
      <c r="G1616" s="68"/>
      <c r="H1616" s="69"/>
      <c r="I1616" s="69"/>
      <c r="J1616" s="69"/>
      <c r="K1616" s="69"/>
      <c r="L1616" s="69"/>
      <c r="M1616" s="70"/>
      <c r="N1616" s="69"/>
      <c r="O1616" s="23"/>
      <c r="P1616" s="23"/>
      <c r="Q1616" s="9"/>
      <c r="R1616" s="9"/>
      <c r="S1616" s="9"/>
      <c r="T1616" s="9"/>
      <c r="U1616" s="9"/>
      <c r="V1616" s="9"/>
      <c r="W1616" s="9"/>
      <c r="X1616" s="9"/>
      <c r="Y1616" s="9"/>
      <c r="Z1616" s="9"/>
      <c r="AA1616" s="9"/>
      <c r="AB1616" s="9"/>
      <c r="AC1616" s="9"/>
      <c r="AD1616" s="25"/>
      <c r="AE1616" s="25"/>
      <c r="AF1616" s="9"/>
      <c r="AG1616" s="9"/>
      <c r="AH1616" s="9"/>
      <c r="AI1616" s="9"/>
    </row>
    <row r="1617" ht="15.75" customHeight="1">
      <c r="A1617" s="9"/>
      <c r="B1617" s="9"/>
      <c r="C1617" s="9"/>
      <c r="D1617" s="9"/>
      <c r="E1617" s="67"/>
      <c r="F1617" s="68"/>
      <c r="G1617" s="68"/>
      <c r="H1617" s="69"/>
      <c r="I1617" s="69"/>
      <c r="J1617" s="69"/>
      <c r="K1617" s="69"/>
      <c r="L1617" s="69"/>
      <c r="M1617" s="70"/>
      <c r="N1617" s="69"/>
      <c r="O1617" s="23"/>
      <c r="P1617" s="23"/>
      <c r="Q1617" s="9"/>
      <c r="R1617" s="9"/>
      <c r="S1617" s="9"/>
      <c r="T1617" s="9"/>
      <c r="U1617" s="9"/>
      <c r="V1617" s="9"/>
      <c r="W1617" s="9"/>
      <c r="X1617" s="9"/>
      <c r="Y1617" s="9"/>
      <c r="Z1617" s="9"/>
      <c r="AA1617" s="9"/>
      <c r="AB1617" s="9"/>
      <c r="AC1617" s="9"/>
      <c r="AD1617" s="25"/>
      <c r="AE1617" s="25"/>
      <c r="AF1617" s="9"/>
      <c r="AG1617" s="9"/>
      <c r="AH1617" s="9"/>
      <c r="AI1617" s="9"/>
    </row>
    <row r="1618" ht="15.75" customHeight="1">
      <c r="A1618" s="9"/>
      <c r="B1618" s="9"/>
      <c r="C1618" s="9"/>
      <c r="D1618" s="9"/>
      <c r="E1618" s="67"/>
      <c r="F1618" s="68"/>
      <c r="G1618" s="68"/>
      <c r="H1618" s="69"/>
      <c r="I1618" s="69"/>
      <c r="J1618" s="69"/>
      <c r="K1618" s="69"/>
      <c r="L1618" s="69"/>
      <c r="M1618" s="69"/>
      <c r="N1618" s="69"/>
      <c r="O1618" s="23"/>
      <c r="P1618" s="23"/>
      <c r="Q1618" s="9"/>
      <c r="R1618" s="9"/>
      <c r="S1618" s="9"/>
      <c r="T1618" s="9"/>
      <c r="U1618" s="9"/>
      <c r="V1618" s="9"/>
      <c r="W1618" s="9"/>
      <c r="X1618" s="9"/>
      <c r="Y1618" s="9"/>
      <c r="Z1618" s="9"/>
      <c r="AA1618" s="9"/>
      <c r="AB1618" s="9"/>
      <c r="AC1618" s="9"/>
      <c r="AD1618" s="25"/>
      <c r="AE1618" s="25"/>
      <c r="AF1618" s="9"/>
      <c r="AG1618" s="9"/>
      <c r="AH1618" s="9"/>
      <c r="AI1618" s="9"/>
    </row>
    <row r="1619" ht="15.75" customHeight="1">
      <c r="A1619" s="9"/>
      <c r="B1619" s="9"/>
      <c r="C1619" s="9"/>
      <c r="D1619" s="9"/>
      <c r="E1619" s="67"/>
      <c r="F1619" s="68"/>
      <c r="G1619" s="68"/>
      <c r="H1619" s="69"/>
      <c r="I1619" s="69"/>
      <c r="J1619" s="69"/>
      <c r="K1619" s="69"/>
      <c r="L1619" s="69"/>
      <c r="M1619" s="70"/>
      <c r="N1619" s="69"/>
      <c r="O1619" s="23"/>
      <c r="P1619" s="23"/>
      <c r="Q1619" s="9"/>
      <c r="R1619" s="9"/>
      <c r="S1619" s="9"/>
      <c r="T1619" s="9"/>
      <c r="U1619" s="9"/>
      <c r="V1619" s="9"/>
      <c r="W1619" s="9"/>
      <c r="X1619" s="9"/>
      <c r="Y1619" s="9"/>
      <c r="Z1619" s="9"/>
      <c r="AA1619" s="9"/>
      <c r="AB1619" s="9"/>
      <c r="AC1619" s="9"/>
      <c r="AD1619" s="25"/>
      <c r="AE1619" s="25"/>
      <c r="AF1619" s="9"/>
      <c r="AG1619" s="9"/>
      <c r="AH1619" s="9"/>
      <c r="AI1619" s="9"/>
    </row>
    <row r="1620" ht="15.75" customHeight="1">
      <c r="A1620" s="9"/>
      <c r="B1620" s="9"/>
      <c r="C1620" s="9"/>
      <c r="D1620" s="9"/>
      <c r="E1620" s="67"/>
      <c r="F1620" s="68"/>
      <c r="G1620" s="68"/>
      <c r="H1620" s="69"/>
      <c r="I1620" s="69"/>
      <c r="J1620" s="69"/>
      <c r="K1620" s="69"/>
      <c r="L1620" s="69"/>
      <c r="M1620" s="70"/>
      <c r="N1620" s="69"/>
      <c r="O1620" s="23"/>
      <c r="P1620" s="23"/>
      <c r="Q1620" s="9"/>
      <c r="R1620" s="9"/>
      <c r="S1620" s="9"/>
      <c r="T1620" s="9"/>
      <c r="U1620" s="9"/>
      <c r="V1620" s="9"/>
      <c r="W1620" s="9"/>
      <c r="X1620" s="9"/>
      <c r="Y1620" s="9"/>
      <c r="Z1620" s="9"/>
      <c r="AA1620" s="9"/>
      <c r="AB1620" s="9"/>
      <c r="AC1620" s="9"/>
      <c r="AD1620" s="25"/>
      <c r="AE1620" s="25"/>
      <c r="AF1620" s="9"/>
      <c r="AG1620" s="9"/>
      <c r="AH1620" s="9"/>
      <c r="AI1620" s="9"/>
    </row>
    <row r="1621" ht="15.75" customHeight="1">
      <c r="A1621" s="9"/>
      <c r="B1621" s="9"/>
      <c r="C1621" s="9"/>
      <c r="D1621" s="9"/>
      <c r="E1621" s="67"/>
      <c r="F1621" s="68"/>
      <c r="G1621" s="68"/>
      <c r="H1621" s="69"/>
      <c r="I1621" s="69"/>
      <c r="J1621" s="69"/>
      <c r="K1621" s="69"/>
      <c r="L1621" s="69"/>
      <c r="M1621" s="70"/>
      <c r="N1621" s="69"/>
      <c r="O1621" s="23"/>
      <c r="P1621" s="23"/>
      <c r="Q1621" s="9"/>
      <c r="R1621" s="9"/>
      <c r="S1621" s="9"/>
      <c r="T1621" s="9"/>
      <c r="U1621" s="9"/>
      <c r="V1621" s="9"/>
      <c r="W1621" s="9"/>
      <c r="X1621" s="9"/>
      <c r="Y1621" s="9"/>
      <c r="Z1621" s="9"/>
      <c r="AA1621" s="9"/>
      <c r="AB1621" s="9"/>
      <c r="AC1621" s="9"/>
      <c r="AD1621" s="25"/>
      <c r="AE1621" s="25"/>
      <c r="AF1621" s="9"/>
      <c r="AG1621" s="9"/>
      <c r="AH1621" s="9"/>
      <c r="AI1621" s="9"/>
    </row>
    <row r="1622" ht="15.75" customHeight="1">
      <c r="A1622" s="9"/>
      <c r="B1622" s="9"/>
      <c r="C1622" s="9"/>
      <c r="D1622" s="9"/>
      <c r="E1622" s="67"/>
      <c r="F1622" s="68"/>
      <c r="G1622" s="68"/>
      <c r="H1622" s="69"/>
      <c r="I1622" s="69"/>
      <c r="J1622" s="69"/>
      <c r="K1622" s="69"/>
      <c r="L1622" s="69"/>
      <c r="M1622" s="70"/>
      <c r="N1622" s="69"/>
      <c r="O1622" s="23"/>
      <c r="P1622" s="23"/>
      <c r="Q1622" s="9"/>
      <c r="R1622" s="9"/>
      <c r="S1622" s="9"/>
      <c r="T1622" s="9"/>
      <c r="U1622" s="9"/>
      <c r="V1622" s="9"/>
      <c r="W1622" s="9"/>
      <c r="X1622" s="9"/>
      <c r="Y1622" s="9"/>
      <c r="Z1622" s="9"/>
      <c r="AA1622" s="9"/>
      <c r="AB1622" s="9"/>
      <c r="AC1622" s="9"/>
      <c r="AD1622" s="25"/>
      <c r="AE1622" s="25"/>
      <c r="AF1622" s="9"/>
      <c r="AG1622" s="9"/>
      <c r="AH1622" s="9"/>
      <c r="AI1622" s="9"/>
    </row>
    <row r="1623" ht="15.75" customHeight="1">
      <c r="A1623" s="9"/>
      <c r="B1623" s="9"/>
      <c r="C1623" s="9"/>
      <c r="D1623" s="9"/>
      <c r="E1623" s="67"/>
      <c r="F1623" s="68"/>
      <c r="G1623" s="68"/>
      <c r="H1623" s="69"/>
      <c r="I1623" s="69"/>
      <c r="J1623" s="69"/>
      <c r="K1623" s="69"/>
      <c r="L1623" s="69"/>
      <c r="M1623" s="70"/>
      <c r="N1623" s="69"/>
      <c r="O1623" s="23"/>
      <c r="P1623" s="23"/>
      <c r="Q1623" s="9"/>
      <c r="R1623" s="9"/>
      <c r="S1623" s="9"/>
      <c r="T1623" s="9"/>
      <c r="U1623" s="9"/>
      <c r="V1623" s="9"/>
      <c r="W1623" s="9"/>
      <c r="X1623" s="9"/>
      <c r="Y1623" s="9"/>
      <c r="Z1623" s="9"/>
      <c r="AA1623" s="9"/>
      <c r="AB1623" s="9"/>
      <c r="AC1623" s="9"/>
      <c r="AD1623" s="25"/>
      <c r="AE1623" s="25"/>
      <c r="AF1623" s="9"/>
      <c r="AG1623" s="9"/>
      <c r="AH1623" s="9"/>
      <c r="AI1623" s="9"/>
    </row>
    <row r="1624" ht="15.75" customHeight="1">
      <c r="A1624" s="9"/>
      <c r="B1624" s="9"/>
      <c r="C1624" s="9"/>
      <c r="D1624" s="9"/>
      <c r="E1624" s="67"/>
      <c r="F1624" s="68"/>
      <c r="G1624" s="68"/>
      <c r="H1624" s="69"/>
      <c r="I1624" s="69"/>
      <c r="J1624" s="69"/>
      <c r="K1624" s="69"/>
      <c r="L1624" s="69"/>
      <c r="M1624" s="69"/>
      <c r="N1624" s="69"/>
      <c r="O1624" s="23"/>
      <c r="P1624" s="23"/>
      <c r="Q1624" s="9"/>
      <c r="R1624" s="9"/>
      <c r="S1624" s="9"/>
      <c r="T1624" s="9"/>
      <c r="U1624" s="9"/>
      <c r="V1624" s="9"/>
      <c r="W1624" s="9"/>
      <c r="X1624" s="9"/>
      <c r="Y1624" s="9"/>
      <c r="Z1624" s="9"/>
      <c r="AA1624" s="9"/>
      <c r="AB1624" s="9"/>
      <c r="AC1624" s="9"/>
      <c r="AD1624" s="25"/>
      <c r="AE1624" s="25"/>
      <c r="AF1624" s="9"/>
      <c r="AG1624" s="9"/>
      <c r="AH1624" s="9"/>
      <c r="AI1624" s="9"/>
    </row>
    <row r="1625" ht="15.75" customHeight="1">
      <c r="A1625" s="9"/>
      <c r="B1625" s="9"/>
      <c r="C1625" s="9"/>
      <c r="D1625" s="9"/>
      <c r="E1625" s="67"/>
      <c r="F1625" s="68"/>
      <c r="G1625" s="68"/>
      <c r="H1625" s="69"/>
      <c r="I1625" s="69"/>
      <c r="J1625" s="69"/>
      <c r="K1625" s="69"/>
      <c r="L1625" s="69"/>
      <c r="M1625" s="70"/>
      <c r="N1625" s="69"/>
      <c r="O1625" s="23"/>
      <c r="P1625" s="23"/>
      <c r="Q1625" s="9"/>
      <c r="R1625" s="9"/>
      <c r="S1625" s="9"/>
      <c r="T1625" s="9"/>
      <c r="U1625" s="9"/>
      <c r="V1625" s="9"/>
      <c r="W1625" s="9"/>
      <c r="X1625" s="9"/>
      <c r="Y1625" s="9"/>
      <c r="Z1625" s="9"/>
      <c r="AA1625" s="9"/>
      <c r="AB1625" s="9"/>
      <c r="AC1625" s="9"/>
      <c r="AD1625" s="25"/>
      <c r="AE1625" s="25"/>
      <c r="AF1625" s="9"/>
      <c r="AG1625" s="9"/>
      <c r="AH1625" s="9"/>
      <c r="AI1625" s="9"/>
    </row>
    <row r="1626" ht="15.75" customHeight="1">
      <c r="A1626" s="9"/>
      <c r="B1626" s="9"/>
      <c r="C1626" s="9"/>
      <c r="D1626" s="9"/>
      <c r="E1626" s="67"/>
      <c r="F1626" s="68"/>
      <c r="G1626" s="68"/>
      <c r="H1626" s="69"/>
      <c r="I1626" s="69"/>
      <c r="J1626" s="69"/>
      <c r="K1626" s="69"/>
      <c r="L1626" s="69"/>
      <c r="M1626" s="70"/>
      <c r="N1626" s="69"/>
      <c r="O1626" s="23"/>
      <c r="P1626" s="23"/>
      <c r="Q1626" s="9"/>
      <c r="R1626" s="9"/>
      <c r="S1626" s="9"/>
      <c r="T1626" s="9"/>
      <c r="U1626" s="9"/>
      <c r="V1626" s="9"/>
      <c r="W1626" s="9"/>
      <c r="X1626" s="9"/>
      <c r="Y1626" s="9"/>
      <c r="Z1626" s="9"/>
      <c r="AA1626" s="9"/>
      <c r="AB1626" s="9"/>
      <c r="AC1626" s="9"/>
      <c r="AD1626" s="25"/>
      <c r="AE1626" s="25"/>
      <c r="AF1626" s="9"/>
      <c r="AG1626" s="9"/>
      <c r="AH1626" s="9"/>
      <c r="AI1626" s="9"/>
    </row>
    <row r="1627" ht="15.75" customHeight="1">
      <c r="A1627" s="9"/>
      <c r="B1627" s="9"/>
      <c r="C1627" s="9"/>
      <c r="D1627" s="9"/>
      <c r="E1627" s="67"/>
      <c r="F1627" s="68"/>
      <c r="G1627" s="68"/>
      <c r="H1627" s="69"/>
      <c r="I1627" s="69"/>
      <c r="J1627" s="69"/>
      <c r="K1627" s="69"/>
      <c r="L1627" s="69"/>
      <c r="M1627" s="70"/>
      <c r="N1627" s="69"/>
      <c r="O1627" s="23"/>
      <c r="P1627" s="23"/>
      <c r="Q1627" s="9"/>
      <c r="R1627" s="9"/>
      <c r="S1627" s="9"/>
      <c r="T1627" s="9"/>
      <c r="U1627" s="9"/>
      <c r="V1627" s="9"/>
      <c r="W1627" s="9"/>
      <c r="X1627" s="9"/>
      <c r="Y1627" s="9"/>
      <c r="Z1627" s="9"/>
      <c r="AA1627" s="9"/>
      <c r="AB1627" s="9"/>
      <c r="AC1627" s="9"/>
      <c r="AD1627" s="25"/>
      <c r="AE1627" s="25"/>
      <c r="AF1627" s="9"/>
      <c r="AG1627" s="9"/>
      <c r="AH1627" s="9"/>
      <c r="AI1627" s="9"/>
    </row>
    <row r="1628" ht="15.75" customHeight="1">
      <c r="A1628" s="9"/>
      <c r="B1628" s="9"/>
      <c r="C1628" s="9"/>
      <c r="D1628" s="9"/>
      <c r="E1628" s="67"/>
      <c r="F1628" s="68"/>
      <c r="G1628" s="68"/>
      <c r="H1628" s="69"/>
      <c r="I1628" s="69"/>
      <c r="J1628" s="69"/>
      <c r="K1628" s="69"/>
      <c r="L1628" s="69"/>
      <c r="M1628" s="70"/>
      <c r="N1628" s="69"/>
      <c r="O1628" s="23"/>
      <c r="P1628" s="23"/>
      <c r="Q1628" s="9"/>
      <c r="R1628" s="9"/>
      <c r="S1628" s="9"/>
      <c r="T1628" s="9"/>
      <c r="U1628" s="9"/>
      <c r="V1628" s="9"/>
      <c r="W1628" s="9"/>
      <c r="X1628" s="9"/>
      <c r="Y1628" s="9"/>
      <c r="Z1628" s="9"/>
      <c r="AA1628" s="9"/>
      <c r="AB1628" s="9"/>
      <c r="AC1628" s="9"/>
      <c r="AD1628" s="25"/>
      <c r="AE1628" s="25"/>
      <c r="AF1628" s="9"/>
      <c r="AG1628" s="9"/>
      <c r="AH1628" s="9"/>
      <c r="AI1628" s="9"/>
    </row>
    <row r="1629" ht="15.75" customHeight="1">
      <c r="A1629" s="9"/>
      <c r="B1629" s="9"/>
      <c r="C1629" s="9"/>
      <c r="D1629" s="9"/>
      <c r="E1629" s="57"/>
      <c r="F1629" s="58"/>
      <c r="G1629" s="58"/>
      <c r="H1629" s="57"/>
      <c r="I1629" s="57"/>
      <c r="J1629" s="57"/>
      <c r="K1629" s="57"/>
      <c r="L1629" s="57"/>
      <c r="M1629" s="59"/>
      <c r="N1629" s="60"/>
      <c r="O1629" s="23"/>
      <c r="P1629" s="23"/>
      <c r="Q1629" s="9"/>
      <c r="R1629" s="9"/>
      <c r="S1629" s="9"/>
      <c r="T1629" s="9"/>
      <c r="U1629" s="9"/>
      <c r="V1629" s="9"/>
      <c r="W1629" s="9"/>
      <c r="X1629" s="9"/>
      <c r="Y1629" s="9"/>
      <c r="Z1629" s="9"/>
      <c r="AA1629" s="9"/>
      <c r="AB1629" s="9"/>
      <c r="AC1629" s="9"/>
      <c r="AD1629" s="25"/>
      <c r="AE1629" s="25"/>
      <c r="AF1629" s="9"/>
      <c r="AG1629" s="9"/>
      <c r="AH1629" s="9"/>
      <c r="AI1629" s="9"/>
    </row>
    <row r="1630" ht="15.75" customHeight="1">
      <c r="A1630" s="9"/>
      <c r="B1630" s="9"/>
      <c r="C1630" s="9"/>
      <c r="D1630" s="9"/>
      <c r="E1630" s="57"/>
      <c r="F1630" s="58"/>
      <c r="G1630" s="58"/>
      <c r="H1630" s="57"/>
      <c r="I1630" s="57"/>
      <c r="K1630" s="57"/>
      <c r="L1630" s="72"/>
      <c r="M1630" s="62"/>
      <c r="N1630" s="60"/>
      <c r="O1630" s="23"/>
      <c r="P1630" s="23"/>
      <c r="Q1630" s="9"/>
      <c r="R1630" s="9"/>
      <c r="S1630" s="9"/>
      <c r="T1630" s="9"/>
      <c r="U1630" s="9"/>
      <c r="V1630" s="9"/>
      <c r="W1630" s="9"/>
      <c r="X1630" s="9"/>
      <c r="Y1630" s="9"/>
      <c r="Z1630" s="9"/>
      <c r="AA1630" s="9"/>
      <c r="AB1630" s="9"/>
      <c r="AC1630" s="9"/>
      <c r="AD1630" s="25"/>
      <c r="AE1630" s="25"/>
      <c r="AF1630" s="9"/>
      <c r="AG1630" s="9"/>
      <c r="AH1630" s="9"/>
      <c r="AI1630" s="9"/>
    </row>
    <row r="1631" ht="15.75" customHeight="1">
      <c r="A1631" s="9"/>
      <c r="B1631" s="9"/>
      <c r="C1631" s="9"/>
      <c r="D1631" s="9"/>
      <c r="E1631" s="57"/>
      <c r="F1631" s="58"/>
      <c r="G1631" s="58"/>
      <c r="H1631" s="57"/>
      <c r="I1631" s="57"/>
      <c r="K1631" s="57"/>
      <c r="L1631" s="72"/>
      <c r="M1631" s="62"/>
      <c r="N1631" s="60"/>
      <c r="O1631" s="23"/>
      <c r="P1631" s="23"/>
      <c r="Q1631" s="9"/>
      <c r="R1631" s="9"/>
      <c r="S1631" s="9"/>
      <c r="T1631" s="9"/>
      <c r="U1631" s="9"/>
      <c r="V1631" s="9"/>
      <c r="W1631" s="9"/>
      <c r="X1631" s="9"/>
      <c r="Y1631" s="9"/>
      <c r="Z1631" s="9"/>
      <c r="AA1631" s="9"/>
      <c r="AB1631" s="9"/>
      <c r="AC1631" s="9"/>
      <c r="AD1631" s="25"/>
      <c r="AE1631" s="25"/>
      <c r="AF1631" s="9"/>
      <c r="AG1631" s="9"/>
      <c r="AH1631" s="9"/>
      <c r="AI1631" s="9"/>
    </row>
    <row r="1632" ht="15.75" customHeight="1">
      <c r="A1632" s="9"/>
      <c r="B1632" s="9"/>
      <c r="C1632" s="9"/>
      <c r="D1632" s="9"/>
      <c r="E1632" s="57"/>
      <c r="F1632" s="58"/>
      <c r="G1632" s="58"/>
      <c r="H1632" s="57"/>
      <c r="I1632" s="57"/>
      <c r="K1632" s="57"/>
      <c r="L1632" s="72"/>
      <c r="M1632" s="62"/>
      <c r="N1632" s="60"/>
      <c r="O1632" s="23"/>
      <c r="P1632" s="23"/>
      <c r="Q1632" s="9"/>
      <c r="R1632" s="9"/>
      <c r="S1632" s="9"/>
      <c r="T1632" s="9"/>
      <c r="U1632" s="9"/>
      <c r="V1632" s="9"/>
      <c r="W1632" s="9"/>
      <c r="X1632" s="9"/>
      <c r="Y1632" s="9"/>
      <c r="Z1632" s="9"/>
      <c r="AA1632" s="9"/>
      <c r="AB1632" s="9"/>
      <c r="AC1632" s="9"/>
      <c r="AD1632" s="25"/>
      <c r="AE1632" s="25"/>
      <c r="AF1632" s="9"/>
      <c r="AG1632" s="9"/>
      <c r="AH1632" s="9"/>
      <c r="AI1632" s="9"/>
    </row>
    <row r="1633" ht="15.75" customHeight="1">
      <c r="A1633" s="9"/>
      <c r="B1633" s="9"/>
      <c r="C1633" s="9"/>
      <c r="D1633" s="9"/>
      <c r="E1633" s="57"/>
      <c r="F1633" s="58"/>
      <c r="G1633" s="58"/>
      <c r="H1633" s="57"/>
      <c r="I1633" s="57"/>
      <c r="J1633" s="57"/>
      <c r="K1633" s="57"/>
      <c r="L1633" s="57"/>
      <c r="M1633" s="59"/>
      <c r="N1633" s="60"/>
      <c r="O1633" s="23"/>
      <c r="P1633" s="23"/>
      <c r="Q1633" s="9"/>
      <c r="R1633" s="9"/>
      <c r="S1633" s="9"/>
      <c r="T1633" s="9"/>
      <c r="U1633" s="9"/>
      <c r="V1633" s="9"/>
      <c r="W1633" s="9"/>
      <c r="X1633" s="9"/>
      <c r="Y1633" s="9"/>
      <c r="Z1633" s="9"/>
      <c r="AA1633" s="9"/>
      <c r="AB1633" s="9"/>
      <c r="AC1633" s="9"/>
      <c r="AD1633" s="25"/>
      <c r="AE1633" s="25"/>
      <c r="AF1633" s="9"/>
      <c r="AG1633" s="9"/>
      <c r="AH1633" s="9"/>
      <c r="AI1633" s="9"/>
    </row>
    <row r="1634" ht="15.75" customHeight="1">
      <c r="A1634" s="9"/>
      <c r="B1634" s="9"/>
      <c r="C1634" s="9"/>
      <c r="D1634" s="9"/>
      <c r="E1634" s="57"/>
      <c r="F1634" s="58"/>
      <c r="G1634" s="58"/>
      <c r="H1634" s="57"/>
      <c r="I1634" s="57"/>
      <c r="J1634" s="57"/>
      <c r="K1634" s="57"/>
      <c r="L1634" s="57"/>
      <c r="M1634" s="59"/>
      <c r="N1634" s="60"/>
      <c r="O1634" s="23"/>
      <c r="P1634" s="23"/>
      <c r="Q1634" s="9"/>
      <c r="R1634" s="9"/>
      <c r="S1634" s="9"/>
      <c r="T1634" s="9"/>
      <c r="U1634" s="9"/>
      <c r="V1634" s="9"/>
      <c r="W1634" s="9"/>
      <c r="X1634" s="9"/>
      <c r="Y1634" s="9"/>
      <c r="Z1634" s="9"/>
      <c r="AA1634" s="9"/>
      <c r="AB1634" s="9"/>
      <c r="AC1634" s="9"/>
      <c r="AD1634" s="25"/>
      <c r="AE1634" s="25"/>
      <c r="AF1634" s="9"/>
      <c r="AG1634" s="9"/>
      <c r="AH1634" s="9"/>
      <c r="AI1634" s="9"/>
    </row>
    <row r="1635" ht="15.75" customHeight="1">
      <c r="A1635" s="9"/>
      <c r="B1635" s="9"/>
      <c r="C1635" s="9"/>
      <c r="D1635" s="9"/>
      <c r="E1635" s="57"/>
      <c r="F1635" s="58"/>
      <c r="G1635" s="58"/>
      <c r="H1635" s="57"/>
      <c r="I1635" s="57"/>
      <c r="J1635" s="57"/>
      <c r="K1635" s="57"/>
      <c r="L1635" s="57"/>
      <c r="M1635" s="59"/>
      <c r="N1635" s="60"/>
      <c r="O1635" s="23"/>
      <c r="P1635" s="23"/>
      <c r="Q1635" s="9"/>
      <c r="R1635" s="9"/>
      <c r="S1635" s="9"/>
      <c r="T1635" s="9"/>
      <c r="U1635" s="9"/>
      <c r="V1635" s="9"/>
      <c r="W1635" s="9"/>
      <c r="X1635" s="9"/>
      <c r="Y1635" s="9"/>
      <c r="Z1635" s="9"/>
      <c r="AA1635" s="9"/>
      <c r="AB1635" s="9"/>
      <c r="AC1635" s="9"/>
      <c r="AD1635" s="25"/>
      <c r="AE1635" s="25"/>
      <c r="AF1635" s="9"/>
      <c r="AG1635" s="9"/>
      <c r="AH1635" s="9"/>
      <c r="AI1635" s="9"/>
    </row>
    <row r="1636" ht="15.75" customHeight="1">
      <c r="A1636" s="9"/>
      <c r="B1636" s="9"/>
      <c r="C1636" s="9"/>
      <c r="D1636" s="9"/>
      <c r="E1636" s="57"/>
      <c r="F1636" s="58"/>
      <c r="G1636" s="58"/>
      <c r="H1636" s="57"/>
      <c r="I1636" s="57"/>
      <c r="J1636" s="57"/>
      <c r="K1636" s="57"/>
      <c r="L1636" s="72"/>
      <c r="M1636" s="62"/>
      <c r="N1636" s="60"/>
      <c r="O1636" s="23"/>
      <c r="P1636" s="23"/>
      <c r="Q1636" s="9"/>
      <c r="R1636" s="9"/>
      <c r="S1636" s="9"/>
      <c r="T1636" s="9"/>
      <c r="U1636" s="9"/>
      <c r="V1636" s="9"/>
      <c r="W1636" s="9"/>
      <c r="X1636" s="9"/>
      <c r="Y1636" s="9"/>
      <c r="Z1636" s="9"/>
      <c r="AA1636" s="9"/>
      <c r="AB1636" s="9"/>
      <c r="AC1636" s="9"/>
      <c r="AD1636" s="25"/>
      <c r="AE1636" s="25"/>
      <c r="AF1636" s="9"/>
      <c r="AG1636" s="9"/>
      <c r="AH1636" s="9"/>
      <c r="AI1636" s="9"/>
    </row>
    <row r="1637" ht="15.75" customHeight="1">
      <c r="A1637" s="9"/>
      <c r="B1637" s="9"/>
      <c r="C1637" s="9"/>
      <c r="D1637" s="9"/>
      <c r="E1637" s="57"/>
      <c r="F1637" s="58"/>
      <c r="G1637" s="58"/>
      <c r="H1637" s="57"/>
      <c r="I1637" s="57"/>
      <c r="J1637" s="57"/>
      <c r="K1637" s="57"/>
      <c r="L1637" s="57"/>
      <c r="M1637" s="59"/>
      <c r="N1637" s="60"/>
      <c r="O1637" s="23"/>
      <c r="P1637" s="23"/>
      <c r="Q1637" s="9"/>
      <c r="R1637" s="9"/>
      <c r="S1637" s="9"/>
      <c r="T1637" s="9"/>
      <c r="U1637" s="9"/>
      <c r="V1637" s="9"/>
      <c r="W1637" s="9"/>
      <c r="X1637" s="9"/>
      <c r="Y1637" s="9"/>
      <c r="Z1637" s="9"/>
      <c r="AA1637" s="9"/>
      <c r="AB1637" s="9"/>
      <c r="AC1637" s="9"/>
      <c r="AD1637" s="25"/>
      <c r="AE1637" s="25"/>
      <c r="AF1637" s="9"/>
      <c r="AG1637" s="9"/>
      <c r="AH1637" s="9"/>
      <c r="AI1637" s="9"/>
    </row>
    <row r="1638" ht="15.75" customHeight="1">
      <c r="A1638" s="9"/>
      <c r="B1638" s="9"/>
      <c r="C1638" s="9"/>
      <c r="D1638" s="9"/>
      <c r="E1638" s="57"/>
      <c r="F1638" s="58"/>
      <c r="G1638" s="58"/>
      <c r="H1638" s="57"/>
      <c r="I1638" s="57"/>
      <c r="J1638" s="57"/>
      <c r="K1638" s="57"/>
      <c r="L1638" s="57"/>
      <c r="M1638" s="59"/>
      <c r="N1638" s="60"/>
      <c r="O1638" s="23"/>
      <c r="P1638" s="23"/>
      <c r="Q1638" s="9"/>
      <c r="R1638" s="9"/>
      <c r="S1638" s="9"/>
      <c r="T1638" s="9"/>
      <c r="U1638" s="9"/>
      <c r="V1638" s="9"/>
      <c r="W1638" s="9"/>
      <c r="X1638" s="9"/>
      <c r="Y1638" s="9"/>
      <c r="Z1638" s="9"/>
      <c r="AA1638" s="9"/>
      <c r="AB1638" s="9"/>
      <c r="AC1638" s="9"/>
      <c r="AD1638" s="25"/>
      <c r="AE1638" s="25"/>
      <c r="AF1638" s="9"/>
      <c r="AG1638" s="9"/>
      <c r="AH1638" s="9"/>
      <c r="AI1638" s="9"/>
    </row>
    <row r="1639" ht="15.75" customHeight="1">
      <c r="A1639" s="9"/>
      <c r="B1639" s="9"/>
      <c r="C1639" s="9"/>
      <c r="D1639" s="9"/>
      <c r="E1639" s="57"/>
      <c r="F1639" s="58"/>
      <c r="G1639" s="58"/>
      <c r="H1639" s="57"/>
      <c r="I1639" s="57"/>
      <c r="J1639" s="57"/>
      <c r="K1639" s="57"/>
      <c r="L1639" s="57"/>
      <c r="M1639" s="59"/>
      <c r="N1639" s="60"/>
      <c r="O1639" s="23"/>
      <c r="P1639" s="23"/>
      <c r="Q1639" s="9"/>
      <c r="R1639" s="9"/>
      <c r="S1639" s="9"/>
      <c r="T1639" s="9"/>
      <c r="U1639" s="9"/>
      <c r="V1639" s="9"/>
      <c r="W1639" s="9"/>
      <c r="X1639" s="9"/>
      <c r="Y1639" s="9"/>
      <c r="Z1639" s="9"/>
      <c r="AA1639" s="9"/>
      <c r="AB1639" s="9"/>
      <c r="AC1639" s="9"/>
      <c r="AD1639" s="25"/>
      <c r="AE1639" s="25"/>
      <c r="AF1639" s="9"/>
      <c r="AG1639" s="9"/>
      <c r="AH1639" s="9"/>
      <c r="AI1639" s="9"/>
    </row>
    <row r="1640" ht="15.75" customHeight="1">
      <c r="A1640" s="9"/>
      <c r="B1640" s="9"/>
      <c r="C1640" s="9"/>
      <c r="D1640" s="9"/>
      <c r="E1640" s="57"/>
      <c r="F1640" s="58"/>
      <c r="G1640" s="58"/>
      <c r="H1640" s="57"/>
      <c r="I1640" s="57"/>
      <c r="J1640" s="57"/>
      <c r="K1640" s="57"/>
      <c r="L1640" s="57"/>
      <c r="M1640" s="59"/>
      <c r="N1640" s="60"/>
      <c r="O1640" s="23"/>
      <c r="P1640" s="23"/>
      <c r="Q1640" s="9"/>
      <c r="R1640" s="9"/>
      <c r="S1640" s="9"/>
      <c r="T1640" s="9"/>
      <c r="U1640" s="9"/>
      <c r="V1640" s="9"/>
      <c r="W1640" s="9"/>
      <c r="X1640" s="9"/>
      <c r="Y1640" s="9"/>
      <c r="Z1640" s="9"/>
      <c r="AA1640" s="9"/>
      <c r="AB1640" s="9"/>
      <c r="AC1640" s="9"/>
      <c r="AD1640" s="25"/>
      <c r="AE1640" s="25"/>
      <c r="AF1640" s="9"/>
      <c r="AG1640" s="9"/>
      <c r="AH1640" s="9"/>
      <c r="AI1640" s="9"/>
    </row>
    <row r="1641" ht="15.75" customHeight="1">
      <c r="A1641" s="9"/>
      <c r="B1641" s="9"/>
      <c r="C1641" s="9"/>
      <c r="D1641" s="9"/>
      <c r="E1641" s="57"/>
      <c r="F1641" s="58"/>
      <c r="G1641" s="58"/>
      <c r="H1641" s="57"/>
      <c r="I1641" s="57"/>
      <c r="J1641" s="57"/>
      <c r="K1641" s="57"/>
      <c r="L1641" s="57"/>
      <c r="M1641" s="59"/>
      <c r="N1641" s="60"/>
      <c r="O1641" s="23"/>
      <c r="P1641" s="23"/>
      <c r="Q1641" s="9"/>
      <c r="R1641" s="9"/>
      <c r="S1641" s="9"/>
      <c r="T1641" s="9"/>
      <c r="U1641" s="9"/>
      <c r="V1641" s="9"/>
      <c r="W1641" s="9"/>
      <c r="X1641" s="9"/>
      <c r="Y1641" s="9"/>
      <c r="Z1641" s="9"/>
      <c r="AA1641" s="9"/>
      <c r="AB1641" s="9"/>
      <c r="AC1641" s="9"/>
      <c r="AD1641" s="25"/>
      <c r="AE1641" s="25"/>
      <c r="AF1641" s="9"/>
      <c r="AG1641" s="9"/>
      <c r="AH1641" s="9"/>
      <c r="AI1641" s="9"/>
    </row>
    <row r="1642" ht="15.75" customHeight="1">
      <c r="A1642" s="9"/>
      <c r="B1642" s="9"/>
      <c r="C1642" s="9"/>
      <c r="D1642" s="9"/>
      <c r="E1642" s="57"/>
      <c r="F1642" s="58"/>
      <c r="G1642" s="58"/>
      <c r="H1642" s="57"/>
      <c r="I1642" s="57"/>
      <c r="J1642" s="57"/>
      <c r="K1642" s="57"/>
      <c r="L1642" s="57"/>
      <c r="M1642" s="59"/>
      <c r="N1642" s="60"/>
      <c r="O1642" s="23"/>
      <c r="P1642" s="23"/>
      <c r="Q1642" s="9"/>
      <c r="R1642" s="9"/>
      <c r="S1642" s="9"/>
      <c r="T1642" s="9"/>
      <c r="U1642" s="9"/>
      <c r="V1642" s="9"/>
      <c r="W1642" s="9"/>
      <c r="X1642" s="9"/>
      <c r="Y1642" s="9"/>
      <c r="Z1642" s="9"/>
      <c r="AA1642" s="9"/>
      <c r="AB1642" s="9"/>
      <c r="AC1642" s="9"/>
      <c r="AD1642" s="25"/>
      <c r="AE1642" s="25"/>
      <c r="AF1642" s="9"/>
      <c r="AG1642" s="9"/>
      <c r="AH1642" s="9"/>
      <c r="AI1642" s="9"/>
    </row>
    <row r="1643" ht="15.75" customHeight="1">
      <c r="A1643" s="9"/>
      <c r="B1643" s="9"/>
      <c r="C1643" s="9"/>
      <c r="D1643" s="9"/>
      <c r="E1643" s="57"/>
      <c r="F1643" s="58"/>
      <c r="G1643" s="58"/>
      <c r="H1643" s="57"/>
      <c r="I1643" s="57"/>
      <c r="J1643" s="57"/>
      <c r="K1643" s="57"/>
      <c r="L1643" s="57"/>
      <c r="M1643" s="59"/>
      <c r="N1643" s="60"/>
      <c r="O1643" s="23"/>
      <c r="P1643" s="23"/>
      <c r="Q1643" s="9"/>
      <c r="R1643" s="9"/>
      <c r="S1643" s="9"/>
      <c r="T1643" s="9"/>
      <c r="U1643" s="9"/>
      <c r="V1643" s="9"/>
      <c r="W1643" s="9"/>
      <c r="X1643" s="9"/>
      <c r="Y1643" s="9"/>
      <c r="Z1643" s="9"/>
      <c r="AA1643" s="9"/>
      <c r="AB1643" s="9"/>
      <c r="AC1643" s="9"/>
      <c r="AD1643" s="25"/>
      <c r="AE1643" s="25"/>
      <c r="AF1643" s="9"/>
      <c r="AG1643" s="9"/>
      <c r="AH1643" s="9"/>
      <c r="AI1643" s="9"/>
    </row>
    <row r="1644" ht="15.75" customHeight="1">
      <c r="A1644" s="9"/>
      <c r="B1644" s="9"/>
      <c r="C1644" s="9"/>
      <c r="D1644" s="9"/>
      <c r="E1644" s="57"/>
      <c r="F1644" s="58"/>
      <c r="G1644" s="58"/>
      <c r="H1644" s="57"/>
      <c r="I1644" s="57"/>
      <c r="J1644" s="57"/>
      <c r="K1644" s="57"/>
      <c r="L1644" s="57"/>
      <c r="M1644" s="59"/>
      <c r="N1644" s="60"/>
      <c r="O1644" s="23"/>
      <c r="P1644" s="23"/>
      <c r="Q1644" s="9"/>
      <c r="R1644" s="9"/>
      <c r="S1644" s="9"/>
      <c r="T1644" s="9"/>
      <c r="U1644" s="9"/>
      <c r="V1644" s="9"/>
      <c r="W1644" s="9"/>
      <c r="X1644" s="9"/>
      <c r="Y1644" s="9"/>
      <c r="Z1644" s="9"/>
      <c r="AA1644" s="9"/>
      <c r="AB1644" s="9"/>
      <c r="AC1644" s="9"/>
      <c r="AD1644" s="25"/>
      <c r="AE1644" s="25"/>
      <c r="AF1644" s="9"/>
      <c r="AG1644" s="9"/>
      <c r="AH1644" s="9"/>
      <c r="AI1644" s="9"/>
    </row>
    <row r="1645" ht="15.75" customHeight="1">
      <c r="A1645" s="9"/>
      <c r="B1645" s="9"/>
      <c r="C1645" s="9"/>
      <c r="D1645" s="9"/>
      <c r="E1645" s="57"/>
      <c r="F1645" s="58"/>
      <c r="G1645" s="58"/>
      <c r="H1645" s="57"/>
      <c r="I1645" s="57"/>
      <c r="J1645" s="57"/>
      <c r="K1645" s="57"/>
      <c r="L1645" s="57"/>
      <c r="M1645" s="59"/>
      <c r="N1645" s="60"/>
      <c r="O1645" s="23"/>
      <c r="P1645" s="23"/>
      <c r="Q1645" s="9"/>
      <c r="R1645" s="9"/>
      <c r="S1645" s="9"/>
      <c r="T1645" s="9"/>
      <c r="U1645" s="9"/>
      <c r="V1645" s="9"/>
      <c r="W1645" s="9"/>
      <c r="X1645" s="9"/>
      <c r="Y1645" s="9"/>
      <c r="Z1645" s="9"/>
      <c r="AA1645" s="9"/>
      <c r="AB1645" s="9"/>
      <c r="AC1645" s="9"/>
      <c r="AD1645" s="25"/>
      <c r="AE1645" s="25"/>
      <c r="AF1645" s="9"/>
      <c r="AG1645" s="9"/>
      <c r="AH1645" s="9"/>
      <c r="AI1645" s="9"/>
    </row>
    <row r="1646" ht="15.75" customHeight="1">
      <c r="A1646" s="9"/>
      <c r="B1646" s="9"/>
      <c r="C1646" s="9"/>
      <c r="D1646" s="9"/>
      <c r="E1646" s="57"/>
      <c r="F1646" s="58"/>
      <c r="G1646" s="58"/>
      <c r="H1646" s="57"/>
      <c r="I1646" s="57"/>
      <c r="J1646" s="57"/>
      <c r="K1646" s="57"/>
      <c r="L1646" s="57"/>
      <c r="M1646" s="59"/>
      <c r="N1646" s="60"/>
      <c r="O1646" s="23"/>
      <c r="P1646" s="23"/>
      <c r="Q1646" s="9"/>
      <c r="R1646" s="9"/>
      <c r="S1646" s="9"/>
      <c r="T1646" s="9"/>
      <c r="U1646" s="9"/>
      <c r="V1646" s="9"/>
      <c r="W1646" s="9"/>
      <c r="X1646" s="9"/>
      <c r="Y1646" s="9"/>
      <c r="Z1646" s="9"/>
      <c r="AA1646" s="9"/>
      <c r="AB1646" s="9"/>
      <c r="AC1646" s="9"/>
      <c r="AD1646" s="25"/>
      <c r="AE1646" s="25"/>
      <c r="AF1646" s="9"/>
      <c r="AG1646" s="9"/>
      <c r="AH1646" s="9"/>
      <c r="AI1646" s="9"/>
    </row>
    <row r="1647" ht="15.75" customHeight="1">
      <c r="A1647" s="9"/>
      <c r="B1647" s="9"/>
      <c r="C1647" s="9"/>
      <c r="D1647" s="9"/>
      <c r="E1647" s="57"/>
      <c r="F1647" s="58"/>
      <c r="G1647" s="58"/>
      <c r="H1647" s="57"/>
      <c r="I1647" s="57"/>
      <c r="J1647" s="57"/>
      <c r="K1647" s="57"/>
      <c r="L1647" s="72"/>
      <c r="M1647" s="62"/>
      <c r="N1647" s="60"/>
      <c r="O1647" s="23"/>
      <c r="P1647" s="23"/>
      <c r="Q1647" s="9"/>
      <c r="R1647" s="9"/>
      <c r="S1647" s="9"/>
      <c r="T1647" s="9"/>
      <c r="U1647" s="9"/>
      <c r="V1647" s="9"/>
      <c r="W1647" s="9"/>
      <c r="X1647" s="9"/>
      <c r="Y1647" s="9"/>
      <c r="Z1647" s="9"/>
      <c r="AA1647" s="9"/>
      <c r="AB1647" s="9"/>
      <c r="AC1647" s="9"/>
      <c r="AD1647" s="25"/>
      <c r="AE1647" s="25"/>
      <c r="AF1647" s="9"/>
      <c r="AG1647" s="9"/>
      <c r="AH1647" s="9"/>
      <c r="AI1647" s="9"/>
    </row>
    <row r="1648" ht="15.75" customHeight="1">
      <c r="A1648" s="9"/>
      <c r="B1648" s="9"/>
      <c r="C1648" s="9"/>
      <c r="D1648" s="9"/>
      <c r="E1648" s="57"/>
      <c r="F1648" s="58"/>
      <c r="G1648" s="58"/>
      <c r="H1648" s="57"/>
      <c r="I1648" s="57"/>
      <c r="J1648" s="57"/>
      <c r="K1648" s="57"/>
      <c r="L1648" s="57"/>
      <c r="M1648" s="59"/>
      <c r="N1648" s="60"/>
      <c r="O1648" s="23"/>
      <c r="P1648" s="23"/>
      <c r="Q1648" s="9"/>
      <c r="R1648" s="9"/>
      <c r="S1648" s="9"/>
      <c r="T1648" s="9"/>
      <c r="U1648" s="9"/>
      <c r="V1648" s="9"/>
      <c r="W1648" s="9"/>
      <c r="X1648" s="9"/>
      <c r="Y1648" s="9"/>
      <c r="Z1648" s="9"/>
      <c r="AA1648" s="9"/>
      <c r="AB1648" s="9"/>
      <c r="AC1648" s="9"/>
      <c r="AD1648" s="25"/>
      <c r="AE1648" s="25"/>
      <c r="AF1648" s="9"/>
      <c r="AG1648" s="9"/>
      <c r="AH1648" s="9"/>
      <c r="AI1648" s="9"/>
    </row>
    <row r="1649" ht="15.75" customHeight="1">
      <c r="A1649" s="9"/>
      <c r="B1649" s="9"/>
      <c r="C1649" s="9"/>
      <c r="D1649" s="9"/>
      <c r="E1649" s="57"/>
      <c r="F1649" s="58"/>
      <c r="G1649" s="58"/>
      <c r="H1649" s="57"/>
      <c r="I1649" s="57"/>
      <c r="J1649" s="57"/>
      <c r="K1649" s="57"/>
      <c r="L1649" s="57"/>
      <c r="M1649" s="59"/>
      <c r="N1649" s="60"/>
      <c r="O1649" s="23"/>
      <c r="P1649" s="23"/>
      <c r="Q1649" s="9"/>
      <c r="R1649" s="9"/>
      <c r="S1649" s="9"/>
      <c r="T1649" s="9"/>
      <c r="U1649" s="9"/>
      <c r="V1649" s="9"/>
      <c r="W1649" s="9"/>
      <c r="X1649" s="9"/>
      <c r="Y1649" s="9"/>
      <c r="Z1649" s="9"/>
      <c r="AA1649" s="9"/>
      <c r="AB1649" s="9"/>
      <c r="AC1649" s="9"/>
      <c r="AD1649" s="25"/>
      <c r="AE1649" s="25"/>
      <c r="AF1649" s="9"/>
      <c r="AG1649" s="9"/>
      <c r="AH1649" s="9"/>
      <c r="AI1649" s="9"/>
    </row>
    <row r="1650" ht="15.75" customHeight="1">
      <c r="A1650" s="9"/>
      <c r="B1650" s="9"/>
      <c r="C1650" s="9"/>
      <c r="D1650" s="9"/>
      <c r="E1650" s="57"/>
      <c r="F1650" s="58"/>
      <c r="G1650" s="58"/>
      <c r="H1650" s="57"/>
      <c r="I1650" s="57"/>
      <c r="J1650" s="57"/>
      <c r="K1650" s="57"/>
      <c r="L1650" s="57"/>
      <c r="M1650" s="59"/>
      <c r="N1650" s="60"/>
      <c r="O1650" s="23"/>
      <c r="P1650" s="23"/>
      <c r="Q1650" s="9"/>
      <c r="R1650" s="9"/>
      <c r="S1650" s="9"/>
      <c r="T1650" s="9"/>
      <c r="U1650" s="9"/>
      <c r="V1650" s="9"/>
      <c r="W1650" s="9"/>
      <c r="X1650" s="9"/>
      <c r="Y1650" s="9"/>
      <c r="Z1650" s="9"/>
      <c r="AA1650" s="9"/>
      <c r="AB1650" s="9"/>
      <c r="AC1650" s="9"/>
      <c r="AD1650" s="25"/>
      <c r="AE1650" s="25"/>
      <c r="AF1650" s="9"/>
      <c r="AG1650" s="9"/>
      <c r="AH1650" s="9"/>
      <c r="AI1650" s="9"/>
    </row>
    <row r="1651" ht="15.75" customHeight="1">
      <c r="A1651" s="9"/>
      <c r="B1651" s="9"/>
      <c r="C1651" s="9"/>
      <c r="D1651" s="9"/>
      <c r="E1651" s="57"/>
      <c r="F1651" s="58"/>
      <c r="G1651" s="58"/>
      <c r="H1651" s="57"/>
      <c r="I1651" s="57"/>
      <c r="J1651" s="57"/>
      <c r="K1651" s="57"/>
      <c r="L1651" s="57"/>
      <c r="M1651" s="59"/>
      <c r="N1651" s="60"/>
      <c r="O1651" s="23"/>
      <c r="P1651" s="23"/>
      <c r="Q1651" s="9"/>
      <c r="R1651" s="9"/>
      <c r="S1651" s="9"/>
      <c r="T1651" s="9"/>
      <c r="U1651" s="9"/>
      <c r="V1651" s="9"/>
      <c r="W1651" s="9"/>
      <c r="X1651" s="9"/>
      <c r="Y1651" s="9"/>
      <c r="Z1651" s="9"/>
      <c r="AA1651" s="9"/>
      <c r="AB1651" s="9"/>
      <c r="AC1651" s="9"/>
      <c r="AD1651" s="25"/>
      <c r="AE1651" s="25"/>
      <c r="AF1651" s="9"/>
      <c r="AG1651" s="9"/>
      <c r="AH1651" s="9"/>
      <c r="AI1651" s="9"/>
    </row>
    <row r="1652" ht="15.75" customHeight="1">
      <c r="A1652" s="9"/>
      <c r="B1652" s="9"/>
      <c r="C1652" s="9"/>
      <c r="D1652" s="9"/>
      <c r="E1652" s="57"/>
      <c r="F1652" s="58"/>
      <c r="G1652" s="58"/>
      <c r="H1652" s="57"/>
      <c r="I1652" s="57"/>
      <c r="J1652" s="57"/>
      <c r="K1652" s="57"/>
      <c r="L1652" s="72"/>
      <c r="M1652" s="62"/>
      <c r="N1652" s="60"/>
      <c r="O1652" s="23"/>
      <c r="P1652" s="23"/>
      <c r="Q1652" s="9"/>
      <c r="R1652" s="9"/>
      <c r="S1652" s="9"/>
      <c r="T1652" s="9"/>
      <c r="U1652" s="9"/>
      <c r="V1652" s="9"/>
      <c r="W1652" s="9"/>
      <c r="X1652" s="9"/>
      <c r="Y1652" s="9"/>
      <c r="Z1652" s="9"/>
      <c r="AA1652" s="9"/>
      <c r="AB1652" s="9"/>
      <c r="AC1652" s="9"/>
      <c r="AD1652" s="25"/>
      <c r="AE1652" s="25"/>
      <c r="AF1652" s="9"/>
      <c r="AG1652" s="9"/>
      <c r="AH1652" s="9"/>
      <c r="AI1652" s="9"/>
    </row>
    <row r="1653" ht="15.75" customHeight="1">
      <c r="A1653" s="9"/>
      <c r="B1653" s="9"/>
      <c r="C1653" s="9"/>
      <c r="D1653" s="9"/>
      <c r="E1653" s="57"/>
      <c r="F1653" s="58"/>
      <c r="G1653" s="58"/>
      <c r="H1653" s="57"/>
      <c r="I1653" s="57"/>
      <c r="J1653" s="57"/>
      <c r="K1653" s="57"/>
      <c r="L1653" s="57"/>
      <c r="M1653" s="59"/>
      <c r="N1653" s="60"/>
      <c r="O1653" s="23"/>
      <c r="P1653" s="23"/>
      <c r="Q1653" s="9"/>
      <c r="R1653" s="9"/>
      <c r="S1653" s="9"/>
      <c r="T1653" s="9"/>
      <c r="U1653" s="9"/>
      <c r="V1653" s="9"/>
      <c r="W1653" s="9"/>
      <c r="X1653" s="9"/>
      <c r="Y1653" s="9"/>
      <c r="Z1653" s="9"/>
      <c r="AA1653" s="9"/>
      <c r="AB1653" s="9"/>
      <c r="AC1653" s="9"/>
      <c r="AD1653" s="25"/>
      <c r="AE1653" s="25"/>
      <c r="AF1653" s="9"/>
      <c r="AG1653" s="9"/>
      <c r="AH1653" s="9"/>
      <c r="AI1653" s="9"/>
    </row>
    <row r="1654" ht="15.75" customHeight="1">
      <c r="A1654" s="9"/>
      <c r="B1654" s="9"/>
      <c r="C1654" s="9"/>
      <c r="D1654" s="9"/>
      <c r="E1654" s="57"/>
      <c r="F1654" s="58"/>
      <c r="G1654" s="58"/>
      <c r="H1654" s="57"/>
      <c r="I1654" s="57"/>
      <c r="J1654" s="57"/>
      <c r="K1654" s="57"/>
      <c r="L1654" s="57"/>
      <c r="M1654" s="59"/>
      <c r="N1654" s="60"/>
      <c r="O1654" s="23"/>
      <c r="P1654" s="23"/>
      <c r="Q1654" s="9"/>
      <c r="R1654" s="9"/>
      <c r="S1654" s="9"/>
      <c r="T1654" s="9"/>
      <c r="U1654" s="9"/>
      <c r="V1654" s="9"/>
      <c r="W1654" s="9"/>
      <c r="X1654" s="9"/>
      <c r="Y1654" s="9"/>
      <c r="Z1654" s="9"/>
      <c r="AA1654" s="9"/>
      <c r="AB1654" s="9"/>
      <c r="AC1654" s="9"/>
      <c r="AD1654" s="25"/>
      <c r="AE1654" s="25"/>
      <c r="AF1654" s="9"/>
      <c r="AG1654" s="9"/>
      <c r="AH1654" s="9"/>
      <c r="AI1654" s="9"/>
    </row>
    <row r="1655" ht="15.75" customHeight="1">
      <c r="A1655" s="9"/>
      <c r="B1655" s="9"/>
      <c r="C1655" s="9"/>
      <c r="D1655" s="9"/>
      <c r="E1655" s="57"/>
      <c r="F1655" s="58"/>
      <c r="G1655" s="58"/>
      <c r="H1655" s="57"/>
      <c r="I1655" s="57"/>
      <c r="J1655" s="57"/>
      <c r="K1655" s="57"/>
      <c r="L1655" s="57"/>
      <c r="M1655" s="59"/>
      <c r="N1655" s="60"/>
      <c r="O1655" s="23"/>
      <c r="P1655" s="23"/>
      <c r="Q1655" s="9"/>
      <c r="R1655" s="9"/>
      <c r="S1655" s="9"/>
      <c r="T1655" s="9"/>
      <c r="U1655" s="9"/>
      <c r="V1655" s="9"/>
      <c r="W1655" s="9"/>
      <c r="X1655" s="9"/>
      <c r="Y1655" s="9"/>
      <c r="Z1655" s="9"/>
      <c r="AA1655" s="9"/>
      <c r="AB1655" s="9"/>
      <c r="AC1655" s="9"/>
      <c r="AD1655" s="25"/>
      <c r="AE1655" s="25"/>
      <c r="AF1655" s="9"/>
      <c r="AG1655" s="9"/>
      <c r="AH1655" s="9"/>
      <c r="AI1655" s="9"/>
    </row>
    <row r="1656" ht="15.75" customHeight="1">
      <c r="A1656" s="9"/>
      <c r="B1656" s="9"/>
      <c r="C1656" s="9"/>
      <c r="D1656" s="9"/>
      <c r="E1656" s="57"/>
      <c r="F1656" s="58"/>
      <c r="G1656" s="58"/>
      <c r="H1656" s="57"/>
      <c r="I1656" s="57"/>
      <c r="J1656" s="57"/>
      <c r="K1656" s="57"/>
      <c r="L1656" s="57"/>
      <c r="M1656" s="59"/>
      <c r="N1656" s="60"/>
      <c r="O1656" s="23"/>
      <c r="P1656" s="23"/>
      <c r="Q1656" s="9"/>
      <c r="R1656" s="9"/>
      <c r="S1656" s="9"/>
      <c r="T1656" s="9"/>
      <c r="U1656" s="9"/>
      <c r="V1656" s="9"/>
      <c r="W1656" s="9"/>
      <c r="X1656" s="9"/>
      <c r="Y1656" s="9"/>
      <c r="Z1656" s="9"/>
      <c r="AA1656" s="9"/>
      <c r="AB1656" s="9"/>
      <c r="AC1656" s="9"/>
      <c r="AD1656" s="25"/>
      <c r="AE1656" s="25"/>
      <c r="AF1656" s="9"/>
      <c r="AG1656" s="9"/>
      <c r="AH1656" s="9"/>
      <c r="AI1656" s="9"/>
    </row>
    <row r="1657" ht="15.75" customHeight="1">
      <c r="A1657" s="9"/>
      <c r="B1657" s="9"/>
      <c r="C1657" s="9"/>
      <c r="D1657" s="9"/>
      <c r="E1657" s="57"/>
      <c r="F1657" s="58"/>
      <c r="G1657" s="58"/>
      <c r="H1657" s="57"/>
      <c r="I1657" s="57"/>
      <c r="J1657" s="57"/>
      <c r="K1657" s="57"/>
      <c r="L1657" s="57"/>
      <c r="M1657" s="59"/>
      <c r="N1657" s="60"/>
      <c r="O1657" s="23"/>
      <c r="P1657" s="23"/>
      <c r="Q1657" s="9"/>
      <c r="R1657" s="9"/>
      <c r="S1657" s="9"/>
      <c r="T1657" s="9"/>
      <c r="U1657" s="9"/>
      <c r="V1657" s="9"/>
      <c r="W1657" s="9"/>
      <c r="X1657" s="9"/>
      <c r="Y1657" s="9"/>
      <c r="Z1657" s="9"/>
      <c r="AA1657" s="9"/>
      <c r="AB1657" s="9"/>
      <c r="AC1657" s="9"/>
      <c r="AD1657" s="25"/>
      <c r="AE1657" s="25"/>
      <c r="AF1657" s="9"/>
      <c r="AG1657" s="9"/>
      <c r="AH1657" s="9"/>
      <c r="AI1657" s="9"/>
    </row>
    <row r="1658" ht="15.75" customHeight="1">
      <c r="A1658" s="9"/>
      <c r="B1658" s="9"/>
      <c r="C1658" s="9"/>
      <c r="D1658" s="9"/>
      <c r="E1658" s="57"/>
      <c r="F1658" s="58"/>
      <c r="G1658" s="58"/>
      <c r="H1658" s="57"/>
      <c r="I1658" s="57"/>
      <c r="J1658" s="57"/>
      <c r="K1658" s="57"/>
      <c r="L1658" s="57"/>
      <c r="M1658" s="59"/>
      <c r="N1658" s="60"/>
      <c r="O1658" s="23"/>
      <c r="P1658" s="23"/>
      <c r="Q1658" s="9"/>
      <c r="R1658" s="9"/>
      <c r="S1658" s="9"/>
      <c r="T1658" s="9"/>
      <c r="U1658" s="9"/>
      <c r="V1658" s="9"/>
      <c r="W1658" s="9"/>
      <c r="X1658" s="9"/>
      <c r="Y1658" s="9"/>
      <c r="Z1658" s="9"/>
      <c r="AA1658" s="9"/>
      <c r="AB1658" s="9"/>
      <c r="AC1658" s="9"/>
      <c r="AD1658" s="25"/>
      <c r="AE1658" s="25"/>
      <c r="AF1658" s="9"/>
      <c r="AG1658" s="9"/>
      <c r="AH1658" s="9"/>
      <c r="AI1658" s="9"/>
    </row>
    <row r="1659" ht="15.75" customHeight="1">
      <c r="A1659" s="9"/>
      <c r="B1659" s="9"/>
      <c r="C1659" s="9"/>
      <c r="D1659" s="9"/>
      <c r="E1659" s="57"/>
      <c r="F1659" s="58"/>
      <c r="G1659" s="58"/>
      <c r="H1659" s="57"/>
      <c r="I1659" s="57"/>
      <c r="J1659" s="57"/>
      <c r="K1659" s="57"/>
      <c r="L1659" s="57"/>
      <c r="M1659" s="59"/>
      <c r="N1659" s="60"/>
      <c r="O1659" s="23"/>
      <c r="P1659" s="23"/>
      <c r="Q1659" s="9"/>
      <c r="R1659" s="9"/>
      <c r="S1659" s="9"/>
      <c r="T1659" s="9"/>
      <c r="U1659" s="9"/>
      <c r="V1659" s="9"/>
      <c r="W1659" s="9"/>
      <c r="X1659" s="9"/>
      <c r="Y1659" s="9"/>
      <c r="Z1659" s="9"/>
      <c r="AA1659" s="9"/>
      <c r="AB1659" s="9"/>
      <c r="AC1659" s="9"/>
      <c r="AD1659" s="25"/>
      <c r="AE1659" s="25"/>
      <c r="AF1659" s="9"/>
      <c r="AG1659" s="9"/>
      <c r="AH1659" s="9"/>
      <c r="AI1659" s="9"/>
    </row>
    <row r="1660" ht="15.75" customHeight="1">
      <c r="A1660" s="9"/>
      <c r="B1660" s="9"/>
      <c r="C1660" s="9"/>
      <c r="D1660" s="9"/>
      <c r="E1660" s="57"/>
      <c r="F1660" s="58"/>
      <c r="G1660" s="58"/>
      <c r="H1660" s="57"/>
      <c r="I1660" s="57"/>
      <c r="J1660" s="57"/>
      <c r="K1660" s="57"/>
      <c r="L1660" s="57"/>
      <c r="M1660" s="59"/>
      <c r="N1660" s="60"/>
      <c r="O1660" s="23"/>
      <c r="P1660" s="23"/>
      <c r="Q1660" s="9"/>
      <c r="R1660" s="9"/>
      <c r="S1660" s="9"/>
      <c r="T1660" s="9"/>
      <c r="U1660" s="9"/>
      <c r="V1660" s="9"/>
      <c r="W1660" s="9"/>
      <c r="X1660" s="9"/>
      <c r="Y1660" s="9"/>
      <c r="Z1660" s="9"/>
      <c r="AA1660" s="9"/>
      <c r="AB1660" s="9"/>
      <c r="AC1660" s="9"/>
      <c r="AD1660" s="25"/>
      <c r="AE1660" s="25"/>
      <c r="AF1660" s="9"/>
      <c r="AG1660" s="9"/>
      <c r="AH1660" s="9"/>
      <c r="AI1660" s="9"/>
    </row>
    <row r="1661" ht="15.75" customHeight="1">
      <c r="A1661" s="9"/>
      <c r="B1661" s="9"/>
      <c r="C1661" s="9"/>
      <c r="D1661" s="9"/>
      <c r="E1661" s="57"/>
      <c r="F1661" s="58"/>
      <c r="G1661" s="58"/>
      <c r="H1661" s="57"/>
      <c r="I1661" s="57"/>
      <c r="J1661" s="57"/>
      <c r="K1661" s="57"/>
      <c r="L1661" s="72"/>
      <c r="M1661" s="62"/>
      <c r="N1661" s="60"/>
      <c r="O1661" s="23"/>
      <c r="P1661" s="23"/>
      <c r="Q1661" s="9"/>
      <c r="R1661" s="9"/>
      <c r="S1661" s="9"/>
      <c r="T1661" s="9"/>
      <c r="U1661" s="9"/>
      <c r="V1661" s="9"/>
      <c r="W1661" s="9"/>
      <c r="X1661" s="9"/>
      <c r="Y1661" s="9"/>
      <c r="Z1661" s="9"/>
      <c r="AA1661" s="9"/>
      <c r="AB1661" s="9"/>
      <c r="AC1661" s="9"/>
      <c r="AD1661" s="25"/>
      <c r="AE1661" s="25"/>
      <c r="AF1661" s="9"/>
      <c r="AG1661" s="9"/>
      <c r="AH1661" s="9"/>
      <c r="AI1661" s="9"/>
    </row>
    <row r="1662" ht="15.75" customHeight="1">
      <c r="A1662" s="9"/>
      <c r="B1662" s="9"/>
      <c r="C1662" s="9"/>
      <c r="D1662" s="9"/>
      <c r="E1662" s="57"/>
      <c r="F1662" s="58"/>
      <c r="G1662" s="58"/>
      <c r="H1662" s="57"/>
      <c r="I1662" s="57"/>
      <c r="J1662" s="57"/>
      <c r="K1662" s="57"/>
      <c r="L1662" s="57"/>
      <c r="M1662" s="59"/>
      <c r="N1662" s="60"/>
      <c r="O1662" s="23"/>
      <c r="P1662" s="23"/>
      <c r="Q1662" s="9"/>
      <c r="R1662" s="9"/>
      <c r="S1662" s="9"/>
      <c r="T1662" s="9"/>
      <c r="U1662" s="9"/>
      <c r="V1662" s="9"/>
      <c r="W1662" s="9"/>
      <c r="X1662" s="9"/>
      <c r="Y1662" s="9"/>
      <c r="Z1662" s="9"/>
      <c r="AA1662" s="9"/>
      <c r="AB1662" s="9"/>
      <c r="AC1662" s="9"/>
      <c r="AD1662" s="25"/>
      <c r="AE1662" s="25"/>
      <c r="AF1662" s="9"/>
      <c r="AG1662" s="9"/>
      <c r="AH1662" s="9"/>
      <c r="AI1662" s="9"/>
    </row>
    <row r="1663" ht="15.75" customHeight="1">
      <c r="A1663" s="9"/>
      <c r="B1663" s="9"/>
      <c r="C1663" s="9"/>
      <c r="D1663" s="9"/>
      <c r="E1663" s="57"/>
      <c r="F1663" s="58"/>
      <c r="G1663" s="58"/>
      <c r="H1663" s="57"/>
      <c r="I1663" s="57"/>
      <c r="J1663" s="57"/>
      <c r="K1663" s="57"/>
      <c r="L1663" s="57"/>
      <c r="M1663" s="59"/>
      <c r="N1663" s="60"/>
      <c r="O1663" s="23"/>
      <c r="P1663" s="23"/>
      <c r="Q1663" s="9"/>
      <c r="R1663" s="9"/>
      <c r="S1663" s="9"/>
      <c r="T1663" s="9"/>
      <c r="U1663" s="9"/>
      <c r="V1663" s="9"/>
      <c r="W1663" s="9"/>
      <c r="X1663" s="9"/>
      <c r="Y1663" s="9"/>
      <c r="Z1663" s="9"/>
      <c r="AA1663" s="9"/>
      <c r="AB1663" s="9"/>
      <c r="AC1663" s="9"/>
      <c r="AD1663" s="25"/>
      <c r="AE1663" s="25"/>
      <c r="AF1663" s="9"/>
      <c r="AG1663" s="9"/>
      <c r="AH1663" s="9"/>
      <c r="AI1663" s="9"/>
    </row>
    <row r="1664" ht="15.75" customHeight="1">
      <c r="A1664" s="9"/>
      <c r="B1664" s="9"/>
      <c r="C1664" s="9"/>
      <c r="D1664" s="9"/>
      <c r="E1664" s="57"/>
      <c r="F1664" s="58"/>
      <c r="G1664" s="58"/>
      <c r="H1664" s="57"/>
      <c r="I1664" s="57"/>
      <c r="J1664" s="57"/>
      <c r="K1664" s="57"/>
      <c r="L1664" s="57"/>
      <c r="M1664" s="59"/>
      <c r="N1664" s="60"/>
      <c r="O1664" s="23"/>
      <c r="P1664" s="23"/>
      <c r="Q1664" s="9"/>
      <c r="R1664" s="9"/>
      <c r="S1664" s="9"/>
      <c r="T1664" s="9"/>
      <c r="U1664" s="9"/>
      <c r="V1664" s="9"/>
      <c r="W1664" s="9"/>
      <c r="X1664" s="9"/>
      <c r="Y1664" s="9"/>
      <c r="Z1664" s="9"/>
      <c r="AA1664" s="9"/>
      <c r="AB1664" s="9"/>
      <c r="AC1664" s="9"/>
      <c r="AD1664" s="25"/>
      <c r="AE1664" s="25"/>
      <c r="AF1664" s="9"/>
      <c r="AG1664" s="9"/>
      <c r="AH1664" s="9"/>
      <c r="AI1664" s="9"/>
    </row>
    <row r="1665" ht="15.75" customHeight="1">
      <c r="A1665" s="9"/>
      <c r="B1665" s="9"/>
      <c r="C1665" s="9"/>
      <c r="D1665" s="9"/>
      <c r="E1665" s="57"/>
      <c r="F1665" s="58"/>
      <c r="G1665" s="58"/>
      <c r="H1665" s="57"/>
      <c r="I1665" s="57"/>
      <c r="J1665" s="57"/>
      <c r="K1665" s="57"/>
      <c r="L1665" s="57"/>
      <c r="M1665" s="59"/>
      <c r="N1665" s="60"/>
      <c r="O1665" s="23"/>
      <c r="P1665" s="23"/>
      <c r="Q1665" s="9"/>
      <c r="R1665" s="9"/>
      <c r="S1665" s="9"/>
      <c r="T1665" s="9"/>
      <c r="U1665" s="9"/>
      <c r="V1665" s="9"/>
      <c r="W1665" s="9"/>
      <c r="X1665" s="9"/>
      <c r="Y1665" s="9"/>
      <c r="Z1665" s="9"/>
      <c r="AA1665" s="9"/>
      <c r="AB1665" s="9"/>
      <c r="AC1665" s="9"/>
      <c r="AD1665" s="25"/>
      <c r="AE1665" s="25"/>
      <c r="AF1665" s="9"/>
      <c r="AG1665" s="9"/>
      <c r="AH1665" s="9"/>
      <c r="AI1665" s="9"/>
    </row>
    <row r="1666" ht="15.75" customHeight="1">
      <c r="A1666" s="9"/>
      <c r="B1666" s="9"/>
      <c r="C1666" s="9"/>
      <c r="D1666" s="9"/>
      <c r="E1666" s="57"/>
      <c r="F1666" s="58"/>
      <c r="G1666" s="58"/>
      <c r="H1666" s="57"/>
      <c r="I1666" s="57"/>
      <c r="J1666" s="57"/>
      <c r="K1666" s="57"/>
      <c r="L1666" s="72"/>
      <c r="M1666" s="62"/>
      <c r="N1666" s="60"/>
      <c r="O1666" s="23"/>
      <c r="P1666" s="23"/>
      <c r="Q1666" s="9"/>
      <c r="R1666" s="9"/>
      <c r="S1666" s="9"/>
      <c r="T1666" s="9"/>
      <c r="U1666" s="9"/>
      <c r="V1666" s="9"/>
      <c r="W1666" s="9"/>
      <c r="X1666" s="9"/>
      <c r="Y1666" s="9"/>
      <c r="Z1666" s="9"/>
      <c r="AA1666" s="9"/>
      <c r="AB1666" s="9"/>
      <c r="AC1666" s="9"/>
      <c r="AD1666" s="25"/>
      <c r="AE1666" s="25"/>
      <c r="AF1666" s="9"/>
      <c r="AG1666" s="9"/>
      <c r="AH1666" s="9"/>
      <c r="AI1666" s="9"/>
    </row>
    <row r="1667" ht="15.75" customHeight="1">
      <c r="A1667" s="9"/>
      <c r="B1667" s="9"/>
      <c r="C1667" s="9"/>
      <c r="D1667" s="9"/>
      <c r="E1667" s="57"/>
      <c r="F1667" s="58"/>
      <c r="G1667" s="58"/>
      <c r="H1667" s="57"/>
      <c r="I1667" s="57"/>
      <c r="J1667" s="57"/>
      <c r="K1667" s="57"/>
      <c r="L1667" s="57"/>
      <c r="M1667" s="59"/>
      <c r="N1667" s="60"/>
      <c r="O1667" s="23"/>
      <c r="P1667" s="23"/>
      <c r="Q1667" s="9"/>
      <c r="R1667" s="9"/>
      <c r="S1667" s="9"/>
      <c r="T1667" s="9"/>
      <c r="U1667" s="9"/>
      <c r="V1667" s="9"/>
      <c r="W1667" s="9"/>
      <c r="X1667" s="9"/>
      <c r="Y1667" s="9"/>
      <c r="Z1667" s="9"/>
      <c r="AA1667" s="9"/>
      <c r="AB1667" s="9"/>
      <c r="AC1667" s="9"/>
      <c r="AD1667" s="25"/>
      <c r="AE1667" s="25"/>
      <c r="AF1667" s="9"/>
      <c r="AG1667" s="9"/>
      <c r="AH1667" s="9"/>
      <c r="AI1667" s="9"/>
    </row>
    <row r="1668" ht="15.75" customHeight="1">
      <c r="A1668" s="9"/>
      <c r="B1668" s="9"/>
      <c r="C1668" s="9"/>
      <c r="D1668" s="9"/>
      <c r="E1668" s="57"/>
      <c r="F1668" s="58"/>
      <c r="G1668" s="58"/>
      <c r="H1668" s="57"/>
      <c r="I1668" s="57"/>
      <c r="J1668" s="57"/>
      <c r="K1668" s="57"/>
      <c r="L1668" s="72"/>
      <c r="M1668" s="62"/>
      <c r="N1668" s="60"/>
      <c r="O1668" s="23"/>
      <c r="P1668" s="23"/>
      <c r="Q1668" s="9"/>
      <c r="R1668" s="9"/>
      <c r="S1668" s="9"/>
      <c r="T1668" s="9"/>
      <c r="U1668" s="9"/>
      <c r="V1668" s="9"/>
      <c r="W1668" s="9"/>
      <c r="X1668" s="9"/>
      <c r="Y1668" s="9"/>
      <c r="Z1668" s="9"/>
      <c r="AA1668" s="9"/>
      <c r="AB1668" s="9"/>
      <c r="AC1668" s="9"/>
      <c r="AD1668" s="25"/>
      <c r="AE1668" s="25"/>
      <c r="AF1668" s="9"/>
      <c r="AG1668" s="9"/>
      <c r="AH1668" s="9"/>
      <c r="AI1668" s="9"/>
    </row>
    <row r="1669" ht="15.75" customHeight="1">
      <c r="A1669" s="9"/>
      <c r="B1669" s="9"/>
      <c r="C1669" s="9"/>
      <c r="D1669" s="9"/>
      <c r="E1669" s="57"/>
      <c r="F1669" s="58"/>
      <c r="G1669" s="58"/>
      <c r="H1669" s="57"/>
      <c r="I1669" s="57"/>
      <c r="J1669" s="57"/>
      <c r="K1669" s="57"/>
      <c r="L1669" s="72"/>
      <c r="M1669" s="62"/>
      <c r="N1669" s="60"/>
      <c r="O1669" s="23"/>
      <c r="P1669" s="23"/>
      <c r="Q1669" s="9"/>
      <c r="R1669" s="9"/>
      <c r="S1669" s="9"/>
      <c r="T1669" s="9"/>
      <c r="U1669" s="9"/>
      <c r="V1669" s="9"/>
      <c r="W1669" s="9"/>
      <c r="X1669" s="9"/>
      <c r="Y1669" s="9"/>
      <c r="Z1669" s="9"/>
      <c r="AA1669" s="9"/>
      <c r="AB1669" s="9"/>
      <c r="AC1669" s="9"/>
      <c r="AD1669" s="25"/>
      <c r="AE1669" s="25"/>
      <c r="AF1669" s="9"/>
      <c r="AG1669" s="9"/>
      <c r="AH1669" s="9"/>
      <c r="AI1669" s="9"/>
    </row>
    <row r="1670" ht="15.75" customHeight="1">
      <c r="A1670" s="9"/>
      <c r="B1670" s="9"/>
      <c r="C1670" s="9"/>
      <c r="D1670" s="9"/>
      <c r="E1670" s="57"/>
      <c r="F1670" s="58"/>
      <c r="G1670" s="58"/>
      <c r="H1670" s="57"/>
      <c r="I1670" s="57"/>
      <c r="J1670" s="57"/>
      <c r="K1670" s="57"/>
      <c r="L1670" s="57"/>
      <c r="M1670" s="59"/>
      <c r="N1670" s="60"/>
      <c r="O1670" s="23"/>
      <c r="P1670" s="23"/>
      <c r="Q1670" s="9"/>
      <c r="R1670" s="9"/>
      <c r="S1670" s="9"/>
      <c r="T1670" s="9"/>
      <c r="U1670" s="9"/>
      <c r="V1670" s="9"/>
      <c r="W1670" s="9"/>
      <c r="X1670" s="9"/>
      <c r="Y1670" s="9"/>
      <c r="Z1670" s="9"/>
      <c r="AA1670" s="9"/>
      <c r="AB1670" s="9"/>
      <c r="AC1670" s="9"/>
      <c r="AD1670" s="25"/>
      <c r="AE1670" s="25"/>
      <c r="AF1670" s="9"/>
      <c r="AG1670" s="9"/>
      <c r="AH1670" s="9"/>
      <c r="AI1670" s="9"/>
    </row>
    <row r="1671" ht="15.75" customHeight="1">
      <c r="A1671" s="9"/>
      <c r="B1671" s="9"/>
      <c r="C1671" s="9"/>
      <c r="D1671" s="9"/>
      <c r="E1671" s="57"/>
      <c r="F1671" s="58"/>
      <c r="G1671" s="58"/>
      <c r="H1671" s="57"/>
      <c r="I1671" s="57"/>
      <c r="J1671" s="57"/>
      <c r="K1671" s="57"/>
      <c r="L1671" s="57"/>
      <c r="M1671" s="59"/>
      <c r="N1671" s="60"/>
      <c r="O1671" s="23"/>
      <c r="P1671" s="23"/>
      <c r="Q1671" s="9"/>
      <c r="R1671" s="9"/>
      <c r="S1671" s="9"/>
      <c r="T1671" s="9"/>
      <c r="U1671" s="9"/>
      <c r="V1671" s="9"/>
      <c r="W1671" s="9"/>
      <c r="X1671" s="9"/>
      <c r="Y1671" s="9"/>
      <c r="Z1671" s="9"/>
      <c r="AA1671" s="9"/>
      <c r="AB1671" s="9"/>
      <c r="AC1671" s="9"/>
      <c r="AD1671" s="25"/>
      <c r="AE1671" s="25"/>
      <c r="AF1671" s="9"/>
      <c r="AG1671" s="9"/>
      <c r="AH1671" s="9"/>
      <c r="AI1671" s="9"/>
    </row>
    <row r="1672" ht="15.75" customHeight="1">
      <c r="A1672" s="9"/>
      <c r="B1672" s="9"/>
      <c r="C1672" s="9"/>
      <c r="D1672" s="9"/>
      <c r="E1672" s="57"/>
      <c r="F1672" s="58"/>
      <c r="G1672" s="58"/>
      <c r="H1672" s="57"/>
      <c r="I1672" s="57"/>
      <c r="J1672" s="57"/>
      <c r="K1672" s="57"/>
      <c r="L1672" s="57"/>
      <c r="M1672" s="59"/>
      <c r="N1672" s="60"/>
      <c r="O1672" s="23"/>
      <c r="P1672" s="23"/>
      <c r="Q1672" s="9"/>
      <c r="R1672" s="9"/>
      <c r="S1672" s="9"/>
      <c r="T1672" s="9"/>
      <c r="U1672" s="9"/>
      <c r="V1672" s="9"/>
      <c r="W1672" s="9"/>
      <c r="X1672" s="9"/>
      <c r="Y1672" s="9"/>
      <c r="Z1672" s="9"/>
      <c r="AA1672" s="9"/>
      <c r="AB1672" s="9"/>
      <c r="AC1672" s="9"/>
      <c r="AD1672" s="25"/>
      <c r="AE1672" s="25"/>
      <c r="AF1672" s="9"/>
      <c r="AG1672" s="9"/>
      <c r="AH1672" s="9"/>
      <c r="AI1672" s="9"/>
    </row>
    <row r="1673" ht="15.75" customHeight="1">
      <c r="A1673" s="9"/>
      <c r="B1673" s="9"/>
      <c r="C1673" s="9"/>
      <c r="D1673" s="9"/>
      <c r="E1673" s="57"/>
      <c r="F1673" s="58"/>
      <c r="G1673" s="58"/>
      <c r="H1673" s="57"/>
      <c r="I1673" s="57"/>
      <c r="J1673" s="57"/>
      <c r="K1673" s="57"/>
      <c r="L1673" s="57"/>
      <c r="M1673" s="59"/>
      <c r="N1673" s="60"/>
      <c r="O1673" s="23"/>
      <c r="P1673" s="23"/>
      <c r="Q1673" s="9"/>
      <c r="R1673" s="9"/>
      <c r="S1673" s="9"/>
      <c r="T1673" s="9"/>
      <c r="U1673" s="9"/>
      <c r="V1673" s="9"/>
      <c r="W1673" s="9"/>
      <c r="X1673" s="9"/>
      <c r="Y1673" s="9"/>
      <c r="Z1673" s="9"/>
      <c r="AA1673" s="9"/>
      <c r="AB1673" s="9"/>
      <c r="AC1673" s="9"/>
      <c r="AD1673" s="25"/>
      <c r="AE1673" s="25"/>
      <c r="AF1673" s="9"/>
      <c r="AG1673" s="9"/>
      <c r="AH1673" s="9"/>
      <c r="AI1673" s="9"/>
    </row>
    <row r="1674" ht="15.75" customHeight="1">
      <c r="A1674" s="9"/>
      <c r="B1674" s="9"/>
      <c r="C1674" s="9"/>
      <c r="D1674" s="9"/>
      <c r="E1674" s="57"/>
      <c r="F1674" s="58"/>
      <c r="G1674" s="58"/>
      <c r="H1674" s="57"/>
      <c r="I1674" s="57"/>
      <c r="J1674" s="57"/>
      <c r="K1674" s="57"/>
      <c r="L1674" s="57"/>
      <c r="M1674" s="59"/>
      <c r="N1674" s="60"/>
      <c r="O1674" s="23"/>
      <c r="P1674" s="23"/>
      <c r="Q1674" s="9"/>
      <c r="R1674" s="9"/>
      <c r="S1674" s="9"/>
      <c r="T1674" s="9"/>
      <c r="U1674" s="9"/>
      <c r="V1674" s="9"/>
      <c r="W1674" s="9"/>
      <c r="X1674" s="9"/>
      <c r="Y1674" s="9"/>
      <c r="Z1674" s="9"/>
      <c r="AA1674" s="9"/>
      <c r="AB1674" s="9"/>
      <c r="AC1674" s="9"/>
      <c r="AD1674" s="25"/>
      <c r="AE1674" s="25"/>
      <c r="AF1674" s="9"/>
      <c r="AG1674" s="9"/>
      <c r="AH1674" s="9"/>
      <c r="AI1674" s="9"/>
    </row>
    <row r="1675" ht="15.75" customHeight="1">
      <c r="A1675" s="9"/>
      <c r="B1675" s="9"/>
      <c r="C1675" s="9"/>
      <c r="D1675" s="9"/>
      <c r="E1675" s="57"/>
      <c r="F1675" s="58"/>
      <c r="G1675" s="58"/>
      <c r="H1675" s="57"/>
      <c r="I1675" s="57"/>
      <c r="J1675" s="57"/>
      <c r="K1675" s="57"/>
      <c r="L1675" s="57"/>
      <c r="M1675" s="59"/>
      <c r="N1675" s="60"/>
      <c r="O1675" s="23"/>
      <c r="P1675" s="23"/>
      <c r="Q1675" s="9"/>
      <c r="R1675" s="9"/>
      <c r="S1675" s="9"/>
      <c r="T1675" s="9"/>
      <c r="U1675" s="9"/>
      <c r="V1675" s="9"/>
      <c r="W1675" s="9"/>
      <c r="X1675" s="9"/>
      <c r="Y1675" s="9"/>
      <c r="Z1675" s="9"/>
      <c r="AA1675" s="9"/>
      <c r="AB1675" s="9"/>
      <c r="AC1675" s="9"/>
      <c r="AD1675" s="25"/>
      <c r="AE1675" s="25"/>
      <c r="AF1675" s="9"/>
      <c r="AG1675" s="9"/>
      <c r="AH1675" s="9"/>
      <c r="AI1675" s="9"/>
    </row>
    <row r="1676" ht="15.75" customHeight="1">
      <c r="A1676" s="9"/>
      <c r="B1676" s="9"/>
      <c r="C1676" s="9"/>
      <c r="D1676" s="9"/>
      <c r="E1676" s="57"/>
      <c r="F1676" s="58"/>
      <c r="G1676" s="58"/>
      <c r="H1676" s="57"/>
      <c r="I1676" s="57"/>
      <c r="J1676" s="57"/>
      <c r="K1676" s="57"/>
      <c r="L1676" s="57"/>
      <c r="M1676" s="59"/>
      <c r="N1676" s="60"/>
      <c r="O1676" s="23"/>
      <c r="P1676" s="23"/>
      <c r="Q1676" s="9"/>
      <c r="R1676" s="9"/>
      <c r="S1676" s="9"/>
      <c r="T1676" s="9"/>
      <c r="U1676" s="9"/>
      <c r="V1676" s="9"/>
      <c r="W1676" s="9"/>
      <c r="X1676" s="9"/>
      <c r="Y1676" s="9"/>
      <c r="Z1676" s="9"/>
      <c r="AA1676" s="9"/>
      <c r="AB1676" s="9"/>
      <c r="AC1676" s="9"/>
      <c r="AD1676" s="25"/>
      <c r="AE1676" s="25"/>
      <c r="AF1676" s="9"/>
      <c r="AG1676" s="9"/>
      <c r="AH1676" s="9"/>
      <c r="AI1676" s="9"/>
    </row>
    <row r="1677" ht="15.75" customHeight="1">
      <c r="A1677" s="9"/>
      <c r="B1677" s="9"/>
      <c r="C1677" s="9"/>
      <c r="D1677" s="9"/>
      <c r="E1677" s="57"/>
      <c r="F1677" s="58"/>
      <c r="G1677" s="58"/>
      <c r="H1677" s="57"/>
      <c r="I1677" s="57"/>
      <c r="J1677" s="57"/>
      <c r="K1677" s="57"/>
      <c r="L1677" s="57"/>
      <c r="M1677" s="59"/>
      <c r="N1677" s="60"/>
      <c r="O1677" s="23"/>
      <c r="P1677" s="23"/>
      <c r="Q1677" s="9"/>
      <c r="R1677" s="9"/>
      <c r="S1677" s="9"/>
      <c r="T1677" s="9"/>
      <c r="U1677" s="9"/>
      <c r="V1677" s="9"/>
      <c r="W1677" s="9"/>
      <c r="X1677" s="9"/>
      <c r="Y1677" s="9"/>
      <c r="Z1677" s="9"/>
      <c r="AA1677" s="9"/>
      <c r="AB1677" s="9"/>
      <c r="AC1677" s="9"/>
      <c r="AD1677" s="25"/>
      <c r="AE1677" s="25"/>
      <c r="AF1677" s="9"/>
      <c r="AG1677" s="9"/>
      <c r="AH1677" s="9"/>
      <c r="AI1677" s="9"/>
    </row>
    <row r="1678" ht="15.75" customHeight="1">
      <c r="A1678" s="9"/>
      <c r="B1678" s="9"/>
      <c r="C1678" s="9"/>
      <c r="D1678" s="9"/>
      <c r="E1678" s="57"/>
      <c r="F1678" s="58"/>
      <c r="G1678" s="58"/>
      <c r="H1678" s="57"/>
      <c r="I1678" s="57"/>
      <c r="J1678" s="57"/>
      <c r="K1678" s="57"/>
      <c r="L1678" s="57"/>
      <c r="M1678" s="59"/>
      <c r="N1678" s="60"/>
      <c r="O1678" s="23"/>
      <c r="P1678" s="23"/>
      <c r="Q1678" s="9"/>
      <c r="R1678" s="9"/>
      <c r="S1678" s="9"/>
      <c r="T1678" s="9"/>
      <c r="U1678" s="9"/>
      <c r="V1678" s="9"/>
      <c r="W1678" s="9"/>
      <c r="X1678" s="9"/>
      <c r="Y1678" s="9"/>
      <c r="Z1678" s="9"/>
      <c r="AA1678" s="9"/>
      <c r="AB1678" s="9"/>
      <c r="AC1678" s="9"/>
      <c r="AD1678" s="25"/>
      <c r="AE1678" s="25"/>
      <c r="AF1678" s="9"/>
      <c r="AG1678" s="9"/>
      <c r="AH1678" s="9"/>
      <c r="AI1678" s="9"/>
    </row>
    <row r="1679" ht="15.75" customHeight="1">
      <c r="A1679" s="9"/>
      <c r="B1679" s="9"/>
      <c r="C1679" s="9"/>
      <c r="D1679" s="9"/>
      <c r="E1679" s="57"/>
      <c r="F1679" s="58"/>
      <c r="G1679" s="58"/>
      <c r="H1679" s="57"/>
      <c r="I1679" s="57"/>
      <c r="J1679" s="57"/>
      <c r="K1679" s="57"/>
      <c r="L1679" s="72"/>
      <c r="M1679" s="62"/>
      <c r="N1679" s="60"/>
      <c r="O1679" s="23"/>
      <c r="P1679" s="23"/>
      <c r="Q1679" s="9"/>
      <c r="R1679" s="9"/>
      <c r="S1679" s="9"/>
      <c r="T1679" s="9"/>
      <c r="U1679" s="9"/>
      <c r="V1679" s="9"/>
      <c r="W1679" s="9"/>
      <c r="X1679" s="9"/>
      <c r="Y1679" s="9"/>
      <c r="Z1679" s="9"/>
      <c r="AA1679" s="9"/>
      <c r="AB1679" s="9"/>
      <c r="AC1679" s="9"/>
      <c r="AD1679" s="25"/>
      <c r="AE1679" s="25"/>
      <c r="AF1679" s="9"/>
      <c r="AG1679" s="9"/>
      <c r="AH1679" s="9"/>
      <c r="AI1679" s="9"/>
    </row>
    <row r="1680" ht="15.75" customHeight="1">
      <c r="A1680" s="9"/>
      <c r="B1680" s="9"/>
      <c r="C1680" s="9"/>
      <c r="D1680" s="9"/>
      <c r="E1680" s="57"/>
      <c r="F1680" s="58"/>
      <c r="G1680" s="58"/>
      <c r="H1680" s="57"/>
      <c r="I1680" s="57"/>
      <c r="K1680" s="57"/>
      <c r="L1680" s="72"/>
      <c r="M1680" s="62"/>
      <c r="N1680" s="60"/>
      <c r="O1680" s="23"/>
      <c r="P1680" s="23"/>
      <c r="Q1680" s="9"/>
      <c r="R1680" s="9"/>
      <c r="S1680" s="9"/>
      <c r="T1680" s="9"/>
      <c r="U1680" s="9"/>
      <c r="V1680" s="9"/>
      <c r="W1680" s="9"/>
      <c r="X1680" s="9"/>
      <c r="Y1680" s="9"/>
      <c r="Z1680" s="9"/>
      <c r="AA1680" s="9"/>
      <c r="AB1680" s="9"/>
      <c r="AC1680" s="9"/>
      <c r="AD1680" s="25"/>
      <c r="AE1680" s="25"/>
      <c r="AF1680" s="9"/>
      <c r="AG1680" s="9"/>
      <c r="AH1680" s="9"/>
      <c r="AI1680" s="9"/>
    </row>
    <row r="1681" ht="15.75" customHeight="1">
      <c r="A1681" s="9"/>
      <c r="B1681" s="9"/>
      <c r="C1681" s="9"/>
      <c r="D1681" s="9"/>
      <c r="E1681" s="57"/>
      <c r="F1681" s="58"/>
      <c r="G1681" s="58"/>
      <c r="H1681" s="57"/>
      <c r="I1681" s="57"/>
      <c r="J1681" s="57"/>
      <c r="K1681" s="57"/>
      <c r="L1681" s="57"/>
      <c r="M1681" s="59"/>
      <c r="N1681" s="60"/>
      <c r="O1681" s="23"/>
      <c r="P1681" s="23"/>
      <c r="Q1681" s="9"/>
      <c r="R1681" s="9"/>
      <c r="S1681" s="9"/>
      <c r="T1681" s="9"/>
      <c r="U1681" s="9"/>
      <c r="V1681" s="9"/>
      <c r="W1681" s="9"/>
      <c r="X1681" s="9"/>
      <c r="Y1681" s="9"/>
      <c r="Z1681" s="9"/>
      <c r="AA1681" s="9"/>
      <c r="AB1681" s="9"/>
      <c r="AC1681" s="9"/>
      <c r="AD1681" s="25"/>
      <c r="AE1681" s="25"/>
      <c r="AF1681" s="9"/>
      <c r="AG1681" s="9"/>
      <c r="AH1681" s="9"/>
      <c r="AI1681" s="9"/>
    </row>
    <row r="1682" ht="15.75" customHeight="1">
      <c r="A1682" s="9"/>
      <c r="B1682" s="9"/>
      <c r="C1682" s="9"/>
      <c r="D1682" s="9"/>
      <c r="E1682" s="57"/>
      <c r="F1682" s="58"/>
      <c r="G1682" s="58"/>
      <c r="H1682" s="57"/>
      <c r="I1682" s="57"/>
      <c r="J1682" s="57"/>
      <c r="K1682" s="57"/>
      <c r="L1682" s="57"/>
      <c r="M1682" s="59"/>
      <c r="N1682" s="60"/>
      <c r="O1682" s="23"/>
      <c r="P1682" s="23"/>
      <c r="Q1682" s="9"/>
      <c r="R1682" s="9"/>
      <c r="S1682" s="9"/>
      <c r="T1682" s="9"/>
      <c r="U1682" s="9"/>
      <c r="V1682" s="9"/>
      <c r="W1682" s="9"/>
      <c r="X1682" s="9"/>
      <c r="Y1682" s="9"/>
      <c r="Z1682" s="9"/>
      <c r="AA1682" s="9"/>
      <c r="AB1682" s="9"/>
      <c r="AC1682" s="9"/>
      <c r="AD1682" s="25"/>
      <c r="AE1682" s="25"/>
      <c r="AF1682" s="9"/>
      <c r="AG1682" s="9"/>
      <c r="AH1682" s="9"/>
      <c r="AI1682" s="9"/>
    </row>
    <row r="1683" ht="15.75" customHeight="1">
      <c r="A1683" s="9"/>
      <c r="B1683" s="9"/>
      <c r="C1683" s="9"/>
      <c r="D1683" s="9"/>
      <c r="E1683" s="57"/>
      <c r="F1683" s="58"/>
      <c r="G1683" s="58"/>
      <c r="H1683" s="57"/>
      <c r="I1683" s="57"/>
      <c r="J1683" s="57"/>
      <c r="K1683" s="57"/>
      <c r="L1683" s="57"/>
      <c r="M1683" s="59"/>
      <c r="N1683" s="60"/>
      <c r="O1683" s="23"/>
      <c r="P1683" s="23"/>
      <c r="Q1683" s="9"/>
      <c r="R1683" s="9"/>
      <c r="S1683" s="9"/>
      <c r="T1683" s="9"/>
      <c r="U1683" s="9"/>
      <c r="V1683" s="9"/>
      <c r="W1683" s="9"/>
      <c r="X1683" s="9"/>
      <c r="Y1683" s="9"/>
      <c r="Z1683" s="9"/>
      <c r="AA1683" s="9"/>
      <c r="AB1683" s="9"/>
      <c r="AC1683" s="9"/>
      <c r="AD1683" s="25"/>
      <c r="AE1683" s="25"/>
      <c r="AF1683" s="9"/>
      <c r="AG1683" s="9"/>
      <c r="AH1683" s="9"/>
      <c r="AI1683" s="9"/>
    </row>
    <row r="1684" ht="15.75" customHeight="1">
      <c r="A1684" s="9"/>
      <c r="B1684" s="9"/>
      <c r="C1684" s="9"/>
      <c r="D1684" s="9"/>
      <c r="E1684" s="57"/>
      <c r="F1684" s="58"/>
      <c r="G1684" s="58"/>
      <c r="H1684" s="57"/>
      <c r="I1684" s="57"/>
      <c r="J1684" s="57"/>
      <c r="K1684" s="57"/>
      <c r="L1684" s="57"/>
      <c r="M1684" s="59"/>
      <c r="N1684" s="60"/>
      <c r="O1684" s="23"/>
      <c r="P1684" s="23"/>
      <c r="Q1684" s="9"/>
      <c r="R1684" s="9"/>
      <c r="S1684" s="9"/>
      <c r="T1684" s="9"/>
      <c r="U1684" s="9"/>
      <c r="V1684" s="9"/>
      <c r="W1684" s="9"/>
      <c r="X1684" s="9"/>
      <c r="Y1684" s="9"/>
      <c r="Z1684" s="9"/>
      <c r="AA1684" s="9"/>
      <c r="AB1684" s="9"/>
      <c r="AC1684" s="9"/>
      <c r="AD1684" s="25"/>
      <c r="AE1684" s="25"/>
      <c r="AF1684" s="9"/>
      <c r="AG1684" s="9"/>
      <c r="AH1684" s="9"/>
      <c r="AI1684" s="9"/>
    </row>
    <row r="1685" ht="15.75" customHeight="1">
      <c r="A1685" s="9"/>
      <c r="B1685" s="9"/>
      <c r="C1685" s="9"/>
      <c r="D1685" s="9"/>
      <c r="E1685" s="57"/>
      <c r="F1685" s="58"/>
      <c r="G1685" s="58"/>
      <c r="H1685" s="57"/>
      <c r="I1685" s="57"/>
      <c r="K1685" s="57"/>
      <c r="L1685" s="72"/>
      <c r="M1685" s="62"/>
      <c r="N1685" s="60"/>
      <c r="O1685" s="23"/>
      <c r="P1685" s="23"/>
      <c r="Q1685" s="9"/>
      <c r="R1685" s="9"/>
      <c r="S1685" s="9"/>
      <c r="T1685" s="9"/>
      <c r="U1685" s="9"/>
      <c r="V1685" s="9"/>
      <c r="W1685" s="9"/>
      <c r="X1685" s="9"/>
      <c r="Y1685" s="9"/>
      <c r="Z1685" s="9"/>
      <c r="AA1685" s="9"/>
      <c r="AB1685" s="9"/>
      <c r="AC1685" s="9"/>
      <c r="AD1685" s="25"/>
      <c r="AE1685" s="25"/>
      <c r="AF1685" s="9"/>
      <c r="AG1685" s="9"/>
      <c r="AH1685" s="9"/>
      <c r="AI1685" s="9"/>
    </row>
    <row r="1686" ht="15.75" customHeight="1">
      <c r="A1686" s="9"/>
      <c r="B1686" s="9"/>
      <c r="C1686" s="9"/>
      <c r="D1686" s="9"/>
      <c r="E1686" s="57"/>
      <c r="F1686" s="58"/>
      <c r="G1686" s="58"/>
      <c r="H1686" s="57"/>
      <c r="I1686" s="57"/>
      <c r="J1686" s="57"/>
      <c r="K1686" s="57"/>
      <c r="L1686" s="57"/>
      <c r="M1686" s="59"/>
      <c r="N1686" s="60"/>
      <c r="O1686" s="23"/>
      <c r="P1686" s="23"/>
      <c r="Q1686" s="9"/>
      <c r="R1686" s="9"/>
      <c r="S1686" s="9"/>
      <c r="T1686" s="9"/>
      <c r="U1686" s="9"/>
      <c r="V1686" s="9"/>
      <c r="W1686" s="9"/>
      <c r="X1686" s="9"/>
      <c r="Y1686" s="9"/>
      <c r="Z1686" s="9"/>
      <c r="AA1686" s="9"/>
      <c r="AB1686" s="9"/>
      <c r="AC1686" s="9"/>
      <c r="AD1686" s="25"/>
      <c r="AE1686" s="25"/>
      <c r="AF1686" s="9"/>
      <c r="AG1686" s="9"/>
      <c r="AH1686" s="9"/>
      <c r="AI1686" s="9"/>
    </row>
    <row r="1687" ht="15.75" customHeight="1">
      <c r="A1687" s="9"/>
      <c r="B1687" s="9"/>
      <c r="C1687" s="9"/>
      <c r="D1687" s="9"/>
      <c r="E1687" s="57"/>
      <c r="F1687" s="58"/>
      <c r="G1687" s="58"/>
      <c r="H1687" s="57"/>
      <c r="I1687" s="57"/>
      <c r="K1687" s="57"/>
      <c r="L1687" s="72"/>
      <c r="M1687" s="62"/>
      <c r="N1687" s="60"/>
      <c r="O1687" s="23"/>
      <c r="P1687" s="23"/>
      <c r="Q1687" s="9"/>
      <c r="R1687" s="9"/>
      <c r="S1687" s="9"/>
      <c r="T1687" s="9"/>
      <c r="U1687" s="9"/>
      <c r="V1687" s="9"/>
      <c r="W1687" s="9"/>
      <c r="X1687" s="9"/>
      <c r="Y1687" s="9"/>
      <c r="Z1687" s="9"/>
      <c r="AA1687" s="9"/>
      <c r="AB1687" s="9"/>
      <c r="AC1687" s="9"/>
      <c r="AD1687" s="25"/>
      <c r="AE1687" s="25"/>
      <c r="AF1687" s="9"/>
      <c r="AG1687" s="9"/>
      <c r="AH1687" s="9"/>
      <c r="AI1687" s="9"/>
    </row>
    <row r="1688" ht="15.75" customHeight="1">
      <c r="A1688" s="9"/>
      <c r="B1688" s="9"/>
      <c r="C1688" s="9"/>
      <c r="D1688" s="9"/>
      <c r="E1688" s="57"/>
      <c r="F1688" s="58"/>
      <c r="G1688" s="58"/>
      <c r="H1688" s="57"/>
      <c r="I1688" s="57"/>
      <c r="J1688" s="57"/>
      <c r="K1688" s="57"/>
      <c r="L1688" s="57"/>
      <c r="M1688" s="59"/>
      <c r="N1688" s="60"/>
      <c r="O1688" s="23"/>
      <c r="P1688" s="23"/>
      <c r="Q1688" s="9"/>
      <c r="R1688" s="9"/>
      <c r="S1688" s="9"/>
      <c r="T1688" s="9"/>
      <c r="U1688" s="9"/>
      <c r="V1688" s="9"/>
      <c r="W1688" s="9"/>
      <c r="X1688" s="9"/>
      <c r="Y1688" s="9"/>
      <c r="Z1688" s="9"/>
      <c r="AA1688" s="9"/>
      <c r="AB1688" s="9"/>
      <c r="AC1688" s="9"/>
      <c r="AD1688" s="25"/>
      <c r="AE1688" s="25"/>
      <c r="AF1688" s="9"/>
      <c r="AG1688" s="9"/>
      <c r="AH1688" s="9"/>
      <c r="AI1688" s="9"/>
    </row>
    <row r="1689" ht="15.75" customHeight="1">
      <c r="A1689" s="9"/>
      <c r="B1689" s="9"/>
      <c r="C1689" s="9"/>
      <c r="D1689" s="9"/>
      <c r="E1689" s="57"/>
      <c r="F1689" s="58"/>
      <c r="G1689" s="58"/>
      <c r="H1689" s="57"/>
      <c r="I1689" s="57"/>
      <c r="J1689" s="57"/>
      <c r="K1689" s="57"/>
      <c r="L1689" s="57"/>
      <c r="M1689" s="59"/>
      <c r="N1689" s="60"/>
      <c r="O1689" s="23"/>
      <c r="P1689" s="23"/>
      <c r="Q1689" s="9"/>
      <c r="R1689" s="9"/>
      <c r="S1689" s="9"/>
      <c r="T1689" s="9"/>
      <c r="U1689" s="9"/>
      <c r="V1689" s="9"/>
      <c r="W1689" s="9"/>
      <c r="X1689" s="9"/>
      <c r="Y1689" s="9"/>
      <c r="Z1689" s="9"/>
      <c r="AA1689" s="9"/>
      <c r="AB1689" s="9"/>
      <c r="AC1689" s="9"/>
      <c r="AD1689" s="25"/>
      <c r="AE1689" s="25"/>
      <c r="AF1689" s="9"/>
      <c r="AG1689" s="9"/>
      <c r="AH1689" s="9"/>
      <c r="AI1689" s="9"/>
    </row>
    <row r="1690" ht="15.75" customHeight="1">
      <c r="A1690" s="9"/>
      <c r="B1690" s="9"/>
      <c r="C1690" s="9"/>
      <c r="D1690" s="9"/>
      <c r="E1690" s="57"/>
      <c r="F1690" s="58"/>
      <c r="G1690" s="58"/>
      <c r="H1690" s="57"/>
      <c r="I1690" s="57"/>
      <c r="J1690" s="57"/>
      <c r="K1690" s="57"/>
      <c r="L1690" s="57"/>
      <c r="M1690" s="59"/>
      <c r="N1690" s="60"/>
      <c r="O1690" s="23"/>
      <c r="P1690" s="23"/>
      <c r="Q1690" s="9"/>
      <c r="R1690" s="9"/>
      <c r="S1690" s="9"/>
      <c r="T1690" s="9"/>
      <c r="U1690" s="9"/>
      <c r="V1690" s="9"/>
      <c r="W1690" s="9"/>
      <c r="X1690" s="9"/>
      <c r="Y1690" s="9"/>
      <c r="Z1690" s="9"/>
      <c r="AA1690" s="9"/>
      <c r="AB1690" s="9"/>
      <c r="AC1690" s="9"/>
      <c r="AD1690" s="25"/>
      <c r="AE1690" s="25"/>
      <c r="AF1690" s="9"/>
      <c r="AG1690" s="9"/>
      <c r="AH1690" s="9"/>
      <c r="AI1690" s="9"/>
    </row>
    <row r="1691" ht="15.75" customHeight="1">
      <c r="A1691" s="9"/>
      <c r="B1691" s="9"/>
      <c r="C1691" s="9"/>
      <c r="D1691" s="9"/>
      <c r="E1691" s="57"/>
      <c r="F1691" s="58"/>
      <c r="G1691" s="58"/>
      <c r="H1691" s="57"/>
      <c r="I1691" s="57"/>
      <c r="K1691" s="57"/>
      <c r="L1691" s="72"/>
      <c r="M1691" s="62"/>
      <c r="N1691" s="60"/>
      <c r="O1691" s="23"/>
      <c r="P1691" s="23"/>
      <c r="Q1691" s="9"/>
      <c r="R1691" s="9"/>
      <c r="S1691" s="9"/>
      <c r="T1691" s="9"/>
      <c r="U1691" s="9"/>
      <c r="V1691" s="9"/>
      <c r="W1691" s="9"/>
      <c r="X1691" s="9"/>
      <c r="Y1691" s="9"/>
      <c r="Z1691" s="9"/>
      <c r="AA1691" s="9"/>
      <c r="AB1691" s="9"/>
      <c r="AC1691" s="9"/>
      <c r="AD1691" s="25"/>
      <c r="AE1691" s="25"/>
      <c r="AF1691" s="9"/>
      <c r="AG1691" s="9"/>
      <c r="AH1691" s="9"/>
      <c r="AI1691" s="9"/>
    </row>
    <row r="1692" ht="15.75" customHeight="1">
      <c r="A1692" s="9"/>
      <c r="B1692" s="9"/>
      <c r="C1692" s="9"/>
      <c r="D1692" s="9"/>
      <c r="E1692" s="57"/>
      <c r="F1692" s="58"/>
      <c r="G1692" s="58"/>
      <c r="H1692" s="57"/>
      <c r="I1692" s="57"/>
      <c r="J1692" s="57"/>
      <c r="K1692" s="57"/>
      <c r="L1692" s="57"/>
      <c r="M1692" s="59"/>
      <c r="N1692" s="60"/>
      <c r="O1692" s="23"/>
      <c r="P1692" s="23"/>
      <c r="Q1692" s="9"/>
      <c r="R1692" s="9"/>
      <c r="S1692" s="9"/>
      <c r="T1692" s="9"/>
      <c r="U1692" s="9"/>
      <c r="V1692" s="9"/>
      <c r="W1692" s="9"/>
      <c r="X1692" s="9"/>
      <c r="Y1692" s="9"/>
      <c r="Z1692" s="9"/>
      <c r="AA1692" s="9"/>
      <c r="AB1692" s="9"/>
      <c r="AC1692" s="9"/>
      <c r="AD1692" s="25"/>
      <c r="AE1692" s="25"/>
      <c r="AF1692" s="9"/>
      <c r="AG1692" s="9"/>
      <c r="AH1692" s="9"/>
      <c r="AI1692" s="9"/>
    </row>
    <row r="1693" ht="15.75" customHeight="1">
      <c r="A1693" s="9"/>
      <c r="B1693" s="9"/>
      <c r="C1693" s="9"/>
      <c r="D1693" s="9"/>
      <c r="E1693" s="57"/>
      <c r="F1693" s="58"/>
      <c r="G1693" s="58"/>
      <c r="H1693" s="57"/>
      <c r="I1693" s="57"/>
      <c r="J1693" s="57"/>
      <c r="K1693" s="57"/>
      <c r="L1693" s="57"/>
      <c r="M1693" s="59"/>
      <c r="N1693" s="60"/>
      <c r="O1693" s="23"/>
      <c r="P1693" s="23"/>
      <c r="Q1693" s="9"/>
      <c r="R1693" s="9"/>
      <c r="S1693" s="9"/>
      <c r="T1693" s="9"/>
      <c r="U1693" s="9"/>
      <c r="V1693" s="9"/>
      <c r="W1693" s="9"/>
      <c r="X1693" s="9"/>
      <c r="Y1693" s="9"/>
      <c r="Z1693" s="9"/>
      <c r="AA1693" s="9"/>
      <c r="AB1693" s="9"/>
      <c r="AC1693" s="9"/>
      <c r="AD1693" s="25"/>
      <c r="AE1693" s="25"/>
      <c r="AF1693" s="9"/>
      <c r="AG1693" s="9"/>
      <c r="AH1693" s="9"/>
      <c r="AI1693" s="9"/>
    </row>
    <row r="1694" ht="15.75" customHeight="1">
      <c r="A1694" s="9"/>
      <c r="B1694" s="9"/>
      <c r="C1694" s="9"/>
      <c r="D1694" s="9"/>
      <c r="E1694" s="57"/>
      <c r="F1694" s="58"/>
      <c r="G1694" s="58"/>
      <c r="H1694" s="57"/>
      <c r="I1694" s="57"/>
      <c r="J1694" s="57"/>
      <c r="K1694" s="57"/>
      <c r="L1694" s="57"/>
      <c r="M1694" s="59"/>
      <c r="N1694" s="60"/>
      <c r="O1694" s="23"/>
      <c r="P1694" s="23"/>
      <c r="Q1694" s="9"/>
      <c r="R1694" s="9"/>
      <c r="S1694" s="9"/>
      <c r="T1694" s="9"/>
      <c r="U1694" s="9"/>
      <c r="V1694" s="9"/>
      <c r="W1694" s="9"/>
      <c r="X1694" s="9"/>
      <c r="Y1694" s="9"/>
      <c r="Z1694" s="9"/>
      <c r="AA1694" s="9"/>
      <c r="AB1694" s="9"/>
      <c r="AC1694" s="9"/>
      <c r="AD1694" s="25"/>
      <c r="AE1694" s="25"/>
      <c r="AF1694" s="9"/>
      <c r="AG1694" s="9"/>
      <c r="AH1694" s="9"/>
      <c r="AI1694" s="9"/>
    </row>
    <row r="1695" ht="15.75" customHeight="1">
      <c r="A1695" s="9"/>
      <c r="B1695" s="9"/>
      <c r="C1695" s="9"/>
      <c r="D1695" s="9"/>
      <c r="E1695" s="57"/>
      <c r="F1695" s="58"/>
      <c r="G1695" s="58"/>
      <c r="H1695" s="57"/>
      <c r="I1695" s="57"/>
      <c r="K1695" s="57"/>
      <c r="L1695" s="72"/>
      <c r="M1695" s="62"/>
      <c r="N1695" s="60"/>
      <c r="O1695" s="23"/>
      <c r="P1695" s="23"/>
      <c r="Q1695" s="9"/>
      <c r="R1695" s="9"/>
      <c r="S1695" s="9"/>
      <c r="T1695" s="9"/>
      <c r="U1695" s="9"/>
      <c r="V1695" s="9"/>
      <c r="W1695" s="9"/>
      <c r="X1695" s="9"/>
      <c r="Y1695" s="9"/>
      <c r="Z1695" s="9"/>
      <c r="AA1695" s="9"/>
      <c r="AB1695" s="9"/>
      <c r="AC1695" s="9"/>
      <c r="AD1695" s="25"/>
      <c r="AE1695" s="25"/>
      <c r="AF1695" s="9"/>
      <c r="AG1695" s="9"/>
      <c r="AH1695" s="9"/>
      <c r="AI1695" s="9"/>
    </row>
    <row r="1696" ht="15.75" customHeight="1">
      <c r="A1696" s="9"/>
      <c r="B1696" s="9"/>
      <c r="C1696" s="9"/>
      <c r="D1696" s="9"/>
      <c r="E1696" s="57"/>
      <c r="F1696" s="58"/>
      <c r="G1696" s="58"/>
      <c r="H1696" s="57"/>
      <c r="I1696" s="57"/>
      <c r="J1696" s="57"/>
      <c r="K1696" s="57"/>
      <c r="L1696" s="57"/>
      <c r="M1696" s="59"/>
      <c r="N1696" s="60"/>
      <c r="O1696" s="23"/>
      <c r="P1696" s="23"/>
      <c r="Q1696" s="9"/>
      <c r="R1696" s="9"/>
      <c r="S1696" s="9"/>
      <c r="T1696" s="9"/>
      <c r="U1696" s="9"/>
      <c r="V1696" s="9"/>
      <c r="W1696" s="9"/>
      <c r="X1696" s="9"/>
      <c r="Y1696" s="9"/>
      <c r="Z1696" s="9"/>
      <c r="AA1696" s="9"/>
      <c r="AB1696" s="9"/>
      <c r="AC1696" s="9"/>
      <c r="AD1696" s="25"/>
      <c r="AE1696" s="25"/>
      <c r="AF1696" s="9"/>
      <c r="AG1696" s="9"/>
      <c r="AH1696" s="9"/>
      <c r="AI1696" s="9"/>
    </row>
    <row r="1697" ht="15.75" customHeight="1">
      <c r="A1697" s="9"/>
      <c r="B1697" s="9"/>
      <c r="C1697" s="9"/>
      <c r="D1697" s="9"/>
      <c r="E1697" s="57"/>
      <c r="F1697" s="58"/>
      <c r="G1697" s="58"/>
      <c r="H1697" s="57"/>
      <c r="I1697" s="57"/>
      <c r="J1697" s="57"/>
      <c r="K1697" s="57"/>
      <c r="L1697" s="57"/>
      <c r="M1697" s="59"/>
      <c r="N1697" s="60"/>
      <c r="O1697" s="23"/>
      <c r="P1697" s="23"/>
      <c r="Q1697" s="9"/>
      <c r="R1697" s="9"/>
      <c r="S1697" s="9"/>
      <c r="T1697" s="9"/>
      <c r="U1697" s="9"/>
      <c r="V1697" s="9"/>
      <c r="W1697" s="9"/>
      <c r="X1697" s="9"/>
      <c r="Y1697" s="9"/>
      <c r="Z1697" s="9"/>
      <c r="AA1697" s="9"/>
      <c r="AB1697" s="9"/>
      <c r="AC1697" s="9"/>
      <c r="AD1697" s="25"/>
      <c r="AE1697" s="25"/>
      <c r="AF1697" s="9"/>
      <c r="AG1697" s="9"/>
      <c r="AH1697" s="9"/>
      <c r="AI1697" s="9"/>
    </row>
    <row r="1698" ht="15.75" customHeight="1">
      <c r="A1698" s="9"/>
      <c r="B1698" s="9"/>
      <c r="C1698" s="9"/>
      <c r="D1698" s="9"/>
      <c r="E1698" s="57"/>
      <c r="F1698" s="58"/>
      <c r="G1698" s="58"/>
      <c r="H1698" s="57"/>
      <c r="I1698" s="57"/>
      <c r="J1698" s="57"/>
      <c r="K1698" s="57"/>
      <c r="L1698" s="57"/>
      <c r="M1698" s="59"/>
      <c r="N1698" s="60"/>
      <c r="O1698" s="23"/>
      <c r="P1698" s="23"/>
      <c r="Q1698" s="9"/>
      <c r="R1698" s="9"/>
      <c r="S1698" s="9"/>
      <c r="T1698" s="9"/>
      <c r="U1698" s="9"/>
      <c r="V1698" s="9"/>
      <c r="W1698" s="9"/>
      <c r="X1698" s="9"/>
      <c r="Y1698" s="9"/>
      <c r="Z1698" s="9"/>
      <c r="AA1698" s="9"/>
      <c r="AB1698" s="9"/>
      <c r="AC1698" s="9"/>
      <c r="AD1698" s="25"/>
      <c r="AE1698" s="25"/>
      <c r="AF1698" s="9"/>
      <c r="AG1698" s="9"/>
      <c r="AH1698" s="9"/>
      <c r="AI1698" s="9"/>
    </row>
    <row r="1699" ht="15.75" customHeight="1">
      <c r="A1699" s="9"/>
      <c r="B1699" s="9"/>
      <c r="C1699" s="9"/>
      <c r="D1699" s="9"/>
      <c r="E1699" s="57"/>
      <c r="F1699" s="58"/>
      <c r="G1699" s="58"/>
      <c r="H1699" s="57"/>
      <c r="I1699" s="57"/>
      <c r="J1699" s="57"/>
      <c r="K1699" s="57"/>
      <c r="L1699" s="57"/>
      <c r="M1699" s="59"/>
      <c r="N1699" s="60"/>
      <c r="O1699" s="23"/>
      <c r="P1699" s="23"/>
      <c r="Q1699" s="9"/>
      <c r="R1699" s="9"/>
      <c r="S1699" s="9"/>
      <c r="T1699" s="9"/>
      <c r="U1699" s="9"/>
      <c r="V1699" s="9"/>
      <c r="W1699" s="9"/>
      <c r="X1699" s="9"/>
      <c r="Y1699" s="9"/>
      <c r="Z1699" s="9"/>
      <c r="AA1699" s="9"/>
      <c r="AB1699" s="9"/>
      <c r="AC1699" s="9"/>
      <c r="AD1699" s="25"/>
      <c r="AE1699" s="25"/>
      <c r="AF1699" s="9"/>
      <c r="AG1699" s="9"/>
      <c r="AH1699" s="9"/>
      <c r="AI1699" s="9"/>
    </row>
    <row r="1700" ht="15.75" customHeight="1">
      <c r="A1700" s="9"/>
      <c r="B1700" s="9"/>
      <c r="C1700" s="9"/>
      <c r="D1700" s="9"/>
      <c r="E1700" s="57"/>
      <c r="F1700" s="58"/>
      <c r="G1700" s="58"/>
      <c r="H1700" s="57"/>
      <c r="I1700" s="57"/>
      <c r="J1700" s="57"/>
      <c r="K1700" s="57"/>
      <c r="L1700" s="57"/>
      <c r="M1700" s="59"/>
      <c r="N1700" s="60"/>
      <c r="O1700" s="23"/>
      <c r="P1700" s="23"/>
      <c r="Q1700" s="9"/>
      <c r="R1700" s="9"/>
      <c r="S1700" s="9"/>
      <c r="T1700" s="9"/>
      <c r="U1700" s="9"/>
      <c r="V1700" s="9"/>
      <c r="W1700" s="9"/>
      <c r="X1700" s="9"/>
      <c r="Y1700" s="9"/>
      <c r="Z1700" s="9"/>
      <c r="AA1700" s="9"/>
      <c r="AB1700" s="9"/>
      <c r="AC1700" s="9"/>
      <c r="AD1700" s="25"/>
      <c r="AE1700" s="25"/>
      <c r="AF1700" s="9"/>
      <c r="AG1700" s="9"/>
      <c r="AH1700" s="9"/>
      <c r="AI1700" s="9"/>
    </row>
    <row r="1701" ht="15.75" customHeight="1">
      <c r="A1701" s="9"/>
      <c r="B1701" s="9"/>
      <c r="C1701" s="9"/>
      <c r="D1701" s="9"/>
      <c r="E1701" s="57"/>
      <c r="F1701" s="58"/>
      <c r="G1701" s="58"/>
      <c r="H1701" s="57"/>
      <c r="I1701" s="57"/>
      <c r="J1701" s="57"/>
      <c r="K1701" s="57"/>
      <c r="L1701" s="57"/>
      <c r="M1701" s="59"/>
      <c r="N1701" s="60"/>
      <c r="O1701" s="23"/>
      <c r="P1701" s="23"/>
      <c r="Q1701" s="9"/>
      <c r="R1701" s="9"/>
      <c r="S1701" s="9"/>
      <c r="T1701" s="9"/>
      <c r="U1701" s="9"/>
      <c r="V1701" s="9"/>
      <c r="W1701" s="9"/>
      <c r="X1701" s="9"/>
      <c r="Y1701" s="9"/>
      <c r="Z1701" s="9"/>
      <c r="AA1701" s="9"/>
      <c r="AB1701" s="9"/>
      <c r="AC1701" s="9"/>
      <c r="AD1701" s="25"/>
      <c r="AE1701" s="25"/>
      <c r="AF1701" s="9"/>
      <c r="AG1701" s="9"/>
      <c r="AH1701" s="9"/>
      <c r="AI1701" s="9"/>
    </row>
    <row r="1702" ht="15.75" customHeight="1">
      <c r="A1702" s="9"/>
      <c r="B1702" s="9"/>
      <c r="C1702" s="9"/>
      <c r="D1702" s="9"/>
      <c r="E1702" s="57"/>
      <c r="F1702" s="58"/>
      <c r="G1702" s="58"/>
      <c r="H1702" s="57"/>
      <c r="I1702" s="57"/>
      <c r="J1702" s="57"/>
      <c r="K1702" s="57"/>
      <c r="L1702" s="57"/>
      <c r="M1702" s="59"/>
      <c r="N1702" s="60"/>
      <c r="O1702" s="23"/>
      <c r="P1702" s="23"/>
      <c r="Q1702" s="9"/>
      <c r="R1702" s="9"/>
      <c r="S1702" s="9"/>
      <c r="T1702" s="9"/>
      <c r="U1702" s="9"/>
      <c r="V1702" s="9"/>
      <c r="W1702" s="9"/>
      <c r="X1702" s="9"/>
      <c r="Y1702" s="9"/>
      <c r="Z1702" s="9"/>
      <c r="AA1702" s="9"/>
      <c r="AB1702" s="9"/>
      <c r="AC1702" s="9"/>
      <c r="AD1702" s="25"/>
      <c r="AE1702" s="25"/>
      <c r="AF1702" s="9"/>
      <c r="AG1702" s="9"/>
      <c r="AH1702" s="9"/>
      <c r="AI1702" s="9"/>
    </row>
    <row r="1703" ht="15.75" customHeight="1">
      <c r="A1703" s="9"/>
      <c r="B1703" s="9"/>
      <c r="C1703" s="9"/>
      <c r="D1703" s="9"/>
      <c r="E1703" s="57"/>
      <c r="F1703" s="58"/>
      <c r="G1703" s="58"/>
      <c r="H1703" s="57"/>
      <c r="I1703" s="57"/>
      <c r="J1703" s="57"/>
      <c r="K1703" s="57"/>
      <c r="L1703" s="57"/>
      <c r="M1703" s="59"/>
      <c r="N1703" s="60"/>
      <c r="O1703" s="23"/>
      <c r="P1703" s="23"/>
      <c r="Q1703" s="9"/>
      <c r="R1703" s="9"/>
      <c r="S1703" s="9"/>
      <c r="T1703" s="9"/>
      <c r="U1703" s="9"/>
      <c r="V1703" s="9"/>
      <c r="W1703" s="9"/>
      <c r="X1703" s="9"/>
      <c r="Y1703" s="9"/>
      <c r="Z1703" s="9"/>
      <c r="AA1703" s="9"/>
      <c r="AB1703" s="9"/>
      <c r="AC1703" s="9"/>
      <c r="AD1703" s="25"/>
      <c r="AE1703" s="25"/>
      <c r="AF1703" s="9"/>
      <c r="AG1703" s="9"/>
      <c r="AH1703" s="9"/>
      <c r="AI1703" s="9"/>
    </row>
    <row r="1704" ht="15.75" customHeight="1">
      <c r="A1704" s="9"/>
      <c r="B1704" s="9"/>
      <c r="C1704" s="9"/>
      <c r="D1704" s="9"/>
      <c r="E1704" s="57"/>
      <c r="F1704" s="58"/>
      <c r="G1704" s="58"/>
      <c r="H1704" s="57"/>
      <c r="I1704" s="57"/>
      <c r="J1704" s="57"/>
      <c r="K1704" s="57"/>
      <c r="L1704" s="57"/>
      <c r="M1704" s="59"/>
      <c r="N1704" s="60"/>
      <c r="O1704" s="23"/>
      <c r="P1704" s="23"/>
      <c r="Q1704" s="9"/>
      <c r="R1704" s="9"/>
      <c r="S1704" s="9"/>
      <c r="T1704" s="9"/>
      <c r="U1704" s="9"/>
      <c r="V1704" s="9"/>
      <c r="W1704" s="9"/>
      <c r="X1704" s="9"/>
      <c r="Y1704" s="9"/>
      <c r="Z1704" s="9"/>
      <c r="AA1704" s="9"/>
      <c r="AB1704" s="9"/>
      <c r="AC1704" s="9"/>
      <c r="AD1704" s="25"/>
      <c r="AE1704" s="25"/>
      <c r="AF1704" s="9"/>
      <c r="AG1704" s="9"/>
      <c r="AH1704" s="9"/>
      <c r="AI1704" s="9"/>
    </row>
    <row r="1705" ht="15.75" customHeight="1">
      <c r="A1705" s="9"/>
      <c r="B1705" s="9"/>
      <c r="C1705" s="9"/>
      <c r="D1705" s="9"/>
      <c r="E1705" s="57"/>
      <c r="F1705" s="58"/>
      <c r="G1705" s="58"/>
      <c r="H1705" s="57"/>
      <c r="I1705" s="57"/>
      <c r="J1705" s="57"/>
      <c r="K1705" s="57"/>
      <c r="L1705" s="57"/>
      <c r="M1705" s="59"/>
      <c r="N1705" s="60"/>
      <c r="O1705" s="23"/>
      <c r="P1705" s="23"/>
      <c r="Q1705" s="9"/>
      <c r="R1705" s="9"/>
      <c r="S1705" s="9"/>
      <c r="T1705" s="9"/>
      <c r="U1705" s="9"/>
      <c r="V1705" s="9"/>
      <c r="W1705" s="9"/>
      <c r="X1705" s="9"/>
      <c r="Y1705" s="9"/>
      <c r="Z1705" s="9"/>
      <c r="AA1705" s="9"/>
      <c r="AB1705" s="9"/>
      <c r="AC1705" s="9"/>
      <c r="AD1705" s="25"/>
      <c r="AE1705" s="25"/>
      <c r="AF1705" s="9"/>
      <c r="AG1705" s="9"/>
      <c r="AH1705" s="9"/>
      <c r="AI1705" s="9"/>
    </row>
    <row r="1706" ht="15.75" customHeight="1">
      <c r="A1706" s="9"/>
      <c r="B1706" s="9"/>
      <c r="C1706" s="9"/>
      <c r="D1706" s="9"/>
      <c r="E1706" s="57"/>
      <c r="F1706" s="58"/>
      <c r="G1706" s="58"/>
      <c r="H1706" s="57"/>
      <c r="I1706" s="57"/>
      <c r="K1706" s="57"/>
      <c r="L1706" s="72"/>
      <c r="M1706" s="62"/>
      <c r="N1706" s="60"/>
      <c r="O1706" s="23"/>
      <c r="P1706" s="23"/>
      <c r="Q1706" s="9"/>
      <c r="R1706" s="9"/>
      <c r="S1706" s="9"/>
      <c r="T1706" s="9"/>
      <c r="U1706" s="9"/>
      <c r="V1706" s="9"/>
      <c r="W1706" s="9"/>
      <c r="X1706" s="9"/>
      <c r="Y1706" s="9"/>
      <c r="Z1706" s="9"/>
      <c r="AA1706" s="9"/>
      <c r="AB1706" s="9"/>
      <c r="AC1706" s="9"/>
      <c r="AD1706" s="25"/>
      <c r="AE1706" s="25"/>
      <c r="AF1706" s="9"/>
      <c r="AG1706" s="9"/>
      <c r="AH1706" s="9"/>
      <c r="AI1706" s="9"/>
    </row>
    <row r="1707" ht="15.75" customHeight="1">
      <c r="A1707" s="9"/>
      <c r="B1707" s="9"/>
      <c r="C1707" s="9"/>
      <c r="D1707" s="9"/>
      <c r="E1707" s="57"/>
      <c r="F1707" s="58"/>
      <c r="G1707" s="58"/>
      <c r="H1707" s="57"/>
      <c r="I1707" s="57"/>
      <c r="J1707" s="57"/>
      <c r="K1707" s="57"/>
      <c r="L1707" s="57"/>
      <c r="M1707" s="59"/>
      <c r="N1707" s="60"/>
      <c r="O1707" s="23"/>
      <c r="P1707" s="23"/>
      <c r="Q1707" s="9"/>
      <c r="R1707" s="9"/>
      <c r="S1707" s="9"/>
      <c r="T1707" s="9"/>
      <c r="U1707" s="9"/>
      <c r="V1707" s="9"/>
      <c r="W1707" s="9"/>
      <c r="X1707" s="9"/>
      <c r="Y1707" s="9"/>
      <c r="Z1707" s="9"/>
      <c r="AA1707" s="9"/>
      <c r="AB1707" s="9"/>
      <c r="AC1707" s="9"/>
      <c r="AD1707" s="25"/>
      <c r="AE1707" s="25"/>
      <c r="AF1707" s="9"/>
      <c r="AG1707" s="9"/>
      <c r="AH1707" s="9"/>
      <c r="AI1707" s="9"/>
    </row>
    <row r="1708" ht="15.75" customHeight="1">
      <c r="A1708" s="9"/>
      <c r="B1708" s="9"/>
      <c r="C1708" s="9"/>
      <c r="D1708" s="9"/>
      <c r="E1708" s="57"/>
      <c r="F1708" s="58"/>
      <c r="G1708" s="58"/>
      <c r="H1708" s="57"/>
      <c r="I1708" s="57"/>
      <c r="J1708" s="57"/>
      <c r="K1708" s="57"/>
      <c r="L1708" s="57"/>
      <c r="M1708" s="59"/>
      <c r="N1708" s="60"/>
      <c r="O1708" s="23"/>
      <c r="P1708" s="23"/>
      <c r="Q1708" s="9"/>
      <c r="R1708" s="9"/>
      <c r="S1708" s="9"/>
      <c r="T1708" s="9"/>
      <c r="U1708" s="9"/>
      <c r="V1708" s="9"/>
      <c r="W1708" s="9"/>
      <c r="X1708" s="9"/>
      <c r="Y1708" s="9"/>
      <c r="Z1708" s="9"/>
      <c r="AA1708" s="9"/>
      <c r="AB1708" s="9"/>
      <c r="AC1708" s="9"/>
      <c r="AD1708" s="25"/>
      <c r="AE1708" s="25"/>
      <c r="AF1708" s="9"/>
      <c r="AG1708" s="9"/>
      <c r="AH1708" s="9"/>
      <c r="AI1708" s="9"/>
    </row>
    <row r="1709" ht="15.75" customHeight="1">
      <c r="A1709" s="9"/>
      <c r="B1709" s="9"/>
      <c r="C1709" s="9"/>
      <c r="D1709" s="9"/>
      <c r="E1709" s="57"/>
      <c r="F1709" s="58"/>
      <c r="G1709" s="58"/>
      <c r="H1709" s="57"/>
      <c r="I1709" s="57"/>
      <c r="J1709" s="57"/>
      <c r="K1709" s="57"/>
      <c r="L1709" s="72"/>
      <c r="M1709" s="62"/>
      <c r="N1709" s="60"/>
      <c r="O1709" s="23"/>
      <c r="P1709" s="23"/>
      <c r="Q1709" s="9"/>
      <c r="R1709" s="9"/>
      <c r="S1709" s="9"/>
      <c r="T1709" s="9"/>
      <c r="U1709" s="9"/>
      <c r="V1709" s="9"/>
      <c r="W1709" s="9"/>
      <c r="X1709" s="9"/>
      <c r="Y1709" s="9"/>
      <c r="Z1709" s="9"/>
      <c r="AA1709" s="9"/>
      <c r="AB1709" s="9"/>
      <c r="AC1709" s="9"/>
      <c r="AD1709" s="25"/>
      <c r="AE1709" s="25"/>
      <c r="AF1709" s="9"/>
      <c r="AG1709" s="9"/>
      <c r="AH1709" s="9"/>
      <c r="AI1709" s="9"/>
    </row>
    <row r="1710" ht="15.75" customHeight="1">
      <c r="A1710" s="9"/>
      <c r="B1710" s="9"/>
      <c r="C1710" s="9"/>
      <c r="D1710" s="9"/>
      <c r="E1710" s="57"/>
      <c r="F1710" s="58"/>
      <c r="G1710" s="58"/>
      <c r="H1710" s="57"/>
      <c r="I1710" s="57"/>
      <c r="J1710" s="57"/>
      <c r="K1710" s="57"/>
      <c r="L1710" s="57"/>
      <c r="M1710" s="59"/>
      <c r="N1710" s="60"/>
      <c r="O1710" s="23"/>
      <c r="P1710" s="23"/>
      <c r="Q1710" s="9"/>
      <c r="R1710" s="9"/>
      <c r="S1710" s="9"/>
      <c r="T1710" s="9"/>
      <c r="U1710" s="9"/>
      <c r="V1710" s="9"/>
      <c r="W1710" s="9"/>
      <c r="X1710" s="9"/>
      <c r="Y1710" s="9"/>
      <c r="Z1710" s="9"/>
      <c r="AA1710" s="9"/>
      <c r="AB1710" s="9"/>
      <c r="AC1710" s="9"/>
      <c r="AD1710" s="25"/>
      <c r="AE1710" s="25"/>
      <c r="AF1710" s="9"/>
      <c r="AG1710" s="9"/>
      <c r="AH1710" s="9"/>
      <c r="AI1710" s="9"/>
    </row>
    <row r="1711" ht="15.75" customHeight="1">
      <c r="A1711" s="9"/>
      <c r="B1711" s="9"/>
      <c r="C1711" s="9"/>
      <c r="D1711" s="9"/>
      <c r="E1711" s="57"/>
      <c r="F1711" s="58"/>
      <c r="G1711" s="58"/>
      <c r="H1711" s="57"/>
      <c r="I1711" s="57"/>
      <c r="K1711" s="57"/>
      <c r="L1711" s="72"/>
      <c r="M1711" s="62"/>
      <c r="N1711" s="60"/>
      <c r="O1711" s="23"/>
      <c r="P1711" s="23"/>
      <c r="Q1711" s="9"/>
      <c r="R1711" s="9"/>
      <c r="S1711" s="9"/>
      <c r="T1711" s="9"/>
      <c r="U1711" s="9"/>
      <c r="V1711" s="9"/>
      <c r="W1711" s="9"/>
      <c r="X1711" s="9"/>
      <c r="Y1711" s="9"/>
      <c r="Z1711" s="9"/>
      <c r="AA1711" s="9"/>
      <c r="AB1711" s="9"/>
      <c r="AC1711" s="9"/>
      <c r="AD1711" s="25"/>
      <c r="AE1711" s="25"/>
      <c r="AF1711" s="9"/>
      <c r="AG1711" s="9"/>
      <c r="AH1711" s="9"/>
      <c r="AI1711" s="9"/>
    </row>
    <row r="1712" ht="15.75" customHeight="1">
      <c r="A1712" s="9"/>
      <c r="B1712" s="9"/>
      <c r="C1712" s="9"/>
      <c r="D1712" s="9"/>
      <c r="E1712" s="57"/>
      <c r="F1712" s="58"/>
      <c r="G1712" s="58"/>
      <c r="H1712" s="57"/>
      <c r="I1712" s="57"/>
      <c r="J1712" s="57"/>
      <c r="K1712" s="57"/>
      <c r="L1712" s="57"/>
      <c r="M1712" s="59"/>
      <c r="N1712" s="60"/>
      <c r="O1712" s="23"/>
      <c r="P1712" s="23"/>
      <c r="Q1712" s="9"/>
      <c r="R1712" s="9"/>
      <c r="S1712" s="9"/>
      <c r="T1712" s="9"/>
      <c r="U1712" s="9"/>
      <c r="V1712" s="9"/>
      <c r="W1712" s="9"/>
      <c r="X1712" s="9"/>
      <c r="Y1712" s="9"/>
      <c r="Z1712" s="9"/>
      <c r="AA1712" s="9"/>
      <c r="AB1712" s="9"/>
      <c r="AC1712" s="9"/>
      <c r="AD1712" s="25"/>
      <c r="AE1712" s="25"/>
      <c r="AF1712" s="9"/>
      <c r="AG1712" s="9"/>
      <c r="AH1712" s="9"/>
      <c r="AI1712" s="9"/>
    </row>
    <row r="1713" ht="15.75" customHeight="1">
      <c r="A1713" s="9"/>
      <c r="B1713" s="9"/>
      <c r="C1713" s="9"/>
      <c r="D1713" s="9"/>
      <c r="E1713" s="57"/>
      <c r="F1713" s="58"/>
      <c r="G1713" s="58"/>
      <c r="H1713" s="57"/>
      <c r="I1713" s="57"/>
      <c r="J1713" s="57"/>
      <c r="K1713" s="57"/>
      <c r="L1713" s="57"/>
      <c r="M1713" s="59"/>
      <c r="N1713" s="60"/>
      <c r="O1713" s="23"/>
      <c r="P1713" s="23"/>
      <c r="Q1713" s="9"/>
      <c r="R1713" s="9"/>
      <c r="S1713" s="9"/>
      <c r="T1713" s="9"/>
      <c r="U1713" s="9"/>
      <c r="V1713" s="9"/>
      <c r="W1713" s="9"/>
      <c r="X1713" s="9"/>
      <c r="Y1713" s="9"/>
      <c r="Z1713" s="9"/>
      <c r="AA1713" s="9"/>
      <c r="AB1713" s="9"/>
      <c r="AC1713" s="9"/>
      <c r="AD1713" s="25"/>
      <c r="AE1713" s="25"/>
      <c r="AF1713" s="9"/>
      <c r="AG1713" s="9"/>
      <c r="AH1713" s="9"/>
      <c r="AI1713" s="9"/>
    </row>
    <row r="1714" ht="15.75" customHeight="1">
      <c r="A1714" s="9"/>
      <c r="B1714" s="9"/>
      <c r="C1714" s="9"/>
      <c r="D1714" s="9"/>
      <c r="E1714" s="57"/>
      <c r="F1714" s="58"/>
      <c r="G1714" s="58"/>
      <c r="H1714" s="57"/>
      <c r="I1714" s="57"/>
      <c r="J1714" s="57"/>
      <c r="K1714" s="57"/>
      <c r="L1714" s="57"/>
      <c r="M1714" s="59"/>
      <c r="N1714" s="60"/>
      <c r="O1714" s="23"/>
      <c r="P1714" s="23"/>
      <c r="Q1714" s="9"/>
      <c r="R1714" s="9"/>
      <c r="S1714" s="9"/>
      <c r="T1714" s="9"/>
      <c r="U1714" s="9"/>
      <c r="V1714" s="9"/>
      <c r="W1714" s="9"/>
      <c r="X1714" s="9"/>
      <c r="Y1714" s="9"/>
      <c r="Z1714" s="9"/>
      <c r="AA1714" s="9"/>
      <c r="AB1714" s="9"/>
      <c r="AC1714" s="9"/>
      <c r="AD1714" s="25"/>
      <c r="AE1714" s="25"/>
      <c r="AF1714" s="9"/>
      <c r="AG1714" s="9"/>
      <c r="AH1714" s="9"/>
      <c r="AI1714" s="9"/>
    </row>
    <row r="1715" ht="15.75" customHeight="1">
      <c r="A1715" s="9"/>
      <c r="B1715" s="9"/>
      <c r="C1715" s="9"/>
      <c r="D1715" s="9"/>
      <c r="E1715" s="57"/>
      <c r="F1715" s="58"/>
      <c r="G1715" s="58"/>
      <c r="H1715" s="57"/>
      <c r="I1715" s="57"/>
      <c r="K1715" s="57"/>
      <c r="L1715" s="72"/>
      <c r="M1715" s="62"/>
      <c r="N1715" s="60"/>
      <c r="O1715" s="23"/>
      <c r="P1715" s="23"/>
      <c r="Q1715" s="9"/>
      <c r="R1715" s="9"/>
      <c r="S1715" s="9"/>
      <c r="T1715" s="9"/>
      <c r="U1715" s="9"/>
      <c r="V1715" s="9"/>
      <c r="W1715" s="9"/>
      <c r="X1715" s="9"/>
      <c r="Y1715" s="9"/>
      <c r="Z1715" s="9"/>
      <c r="AA1715" s="9"/>
      <c r="AB1715" s="9"/>
      <c r="AC1715" s="9"/>
      <c r="AD1715" s="25"/>
      <c r="AE1715" s="25"/>
      <c r="AF1715" s="9"/>
      <c r="AG1715" s="9"/>
      <c r="AH1715" s="9"/>
      <c r="AI1715" s="9"/>
    </row>
    <row r="1716" ht="15.75" customHeight="1">
      <c r="A1716" s="9"/>
      <c r="B1716" s="9"/>
      <c r="C1716" s="9"/>
      <c r="D1716" s="9"/>
      <c r="E1716" s="57"/>
      <c r="F1716" s="58"/>
      <c r="G1716" s="58"/>
      <c r="H1716" s="57"/>
      <c r="I1716" s="57"/>
      <c r="J1716" s="57"/>
      <c r="K1716" s="57"/>
      <c r="L1716" s="72"/>
      <c r="M1716" s="62"/>
      <c r="N1716" s="60"/>
      <c r="O1716" s="23"/>
      <c r="P1716" s="23"/>
      <c r="Q1716" s="9"/>
      <c r="R1716" s="9"/>
      <c r="S1716" s="9"/>
      <c r="T1716" s="9"/>
      <c r="U1716" s="9"/>
      <c r="V1716" s="9"/>
      <c r="W1716" s="9"/>
      <c r="X1716" s="9"/>
      <c r="Y1716" s="9"/>
      <c r="Z1716" s="9"/>
      <c r="AA1716" s="9"/>
      <c r="AB1716" s="9"/>
      <c r="AC1716" s="9"/>
      <c r="AD1716" s="25"/>
      <c r="AE1716" s="25"/>
      <c r="AF1716" s="9"/>
      <c r="AG1716" s="9"/>
      <c r="AH1716" s="9"/>
      <c r="AI1716" s="9"/>
    </row>
    <row r="1717" ht="15.75" customHeight="1">
      <c r="A1717" s="9"/>
      <c r="B1717" s="9"/>
      <c r="C1717" s="9"/>
      <c r="D1717" s="9"/>
      <c r="E1717" s="57"/>
      <c r="F1717" s="58"/>
      <c r="G1717" s="58"/>
      <c r="H1717" s="57"/>
      <c r="I1717" s="57"/>
      <c r="K1717" s="57"/>
      <c r="L1717" s="72"/>
      <c r="M1717" s="62"/>
      <c r="N1717" s="60"/>
      <c r="O1717" s="23"/>
      <c r="P1717" s="23"/>
      <c r="Q1717" s="9"/>
      <c r="R1717" s="9"/>
      <c r="S1717" s="9"/>
      <c r="T1717" s="9"/>
      <c r="U1717" s="9"/>
      <c r="V1717" s="9"/>
      <c r="W1717" s="9"/>
      <c r="X1717" s="9"/>
      <c r="Y1717" s="9"/>
      <c r="Z1717" s="9"/>
      <c r="AA1717" s="9"/>
      <c r="AB1717" s="9"/>
      <c r="AC1717" s="9"/>
      <c r="AD1717" s="25"/>
      <c r="AE1717" s="25"/>
      <c r="AF1717" s="9"/>
      <c r="AG1717" s="9"/>
      <c r="AH1717" s="9"/>
      <c r="AI1717" s="9"/>
    </row>
    <row r="1718" ht="15.75" customHeight="1">
      <c r="A1718" s="9"/>
      <c r="B1718" s="9"/>
      <c r="C1718" s="9"/>
      <c r="D1718" s="9"/>
      <c r="E1718" s="57"/>
      <c r="F1718" s="58"/>
      <c r="G1718" s="58"/>
      <c r="H1718" s="57"/>
      <c r="I1718" s="57"/>
      <c r="K1718" s="57"/>
      <c r="L1718" s="72"/>
      <c r="M1718" s="62"/>
      <c r="N1718" s="60"/>
      <c r="O1718" s="23"/>
      <c r="P1718" s="23"/>
      <c r="Q1718" s="9"/>
      <c r="R1718" s="9"/>
      <c r="S1718" s="9"/>
      <c r="T1718" s="9"/>
      <c r="U1718" s="9"/>
      <c r="V1718" s="9"/>
      <c r="W1718" s="9"/>
      <c r="X1718" s="9"/>
      <c r="Y1718" s="9"/>
      <c r="Z1718" s="9"/>
      <c r="AA1718" s="9"/>
      <c r="AB1718" s="9"/>
      <c r="AC1718" s="9"/>
      <c r="AD1718" s="25"/>
      <c r="AE1718" s="25"/>
      <c r="AF1718" s="9"/>
      <c r="AG1718" s="9"/>
      <c r="AH1718" s="9"/>
      <c r="AI1718" s="9"/>
    </row>
    <row r="1719" ht="15.75" customHeight="1">
      <c r="A1719" s="9"/>
      <c r="B1719" s="9"/>
      <c r="C1719" s="9"/>
      <c r="D1719" s="9"/>
      <c r="E1719" s="57"/>
      <c r="F1719" s="58"/>
      <c r="G1719" s="58"/>
      <c r="H1719" s="57"/>
      <c r="I1719" s="57"/>
      <c r="K1719" s="57"/>
      <c r="L1719" s="72"/>
      <c r="M1719" s="62"/>
      <c r="N1719" s="60"/>
      <c r="O1719" s="23"/>
      <c r="P1719" s="23"/>
      <c r="Q1719" s="9"/>
      <c r="R1719" s="9"/>
      <c r="S1719" s="9"/>
      <c r="T1719" s="9"/>
      <c r="U1719" s="9"/>
      <c r="V1719" s="9"/>
      <c r="W1719" s="9"/>
      <c r="X1719" s="9"/>
      <c r="Y1719" s="9"/>
      <c r="Z1719" s="9"/>
      <c r="AA1719" s="9"/>
      <c r="AB1719" s="9"/>
      <c r="AC1719" s="9"/>
      <c r="AD1719" s="25"/>
      <c r="AE1719" s="25"/>
      <c r="AF1719" s="9"/>
      <c r="AG1719" s="9"/>
      <c r="AH1719" s="9"/>
      <c r="AI1719" s="9"/>
    </row>
    <row r="1720" ht="15.75" customHeight="1">
      <c r="A1720" s="9"/>
      <c r="B1720" s="9"/>
      <c r="C1720" s="9"/>
      <c r="D1720" s="9"/>
      <c r="E1720" s="57"/>
      <c r="F1720" s="58"/>
      <c r="G1720" s="58"/>
      <c r="H1720" s="57"/>
      <c r="I1720" s="57"/>
      <c r="J1720" s="57"/>
      <c r="K1720" s="57"/>
      <c r="L1720" s="57"/>
      <c r="M1720" s="59"/>
      <c r="N1720" s="60"/>
      <c r="O1720" s="23"/>
      <c r="P1720" s="23"/>
      <c r="Q1720" s="9"/>
      <c r="R1720" s="9"/>
      <c r="S1720" s="9"/>
      <c r="T1720" s="9"/>
      <c r="U1720" s="9"/>
      <c r="V1720" s="9"/>
      <c r="W1720" s="9"/>
      <c r="X1720" s="9"/>
      <c r="Y1720" s="9"/>
      <c r="Z1720" s="9"/>
      <c r="AA1720" s="9"/>
      <c r="AB1720" s="9"/>
      <c r="AC1720" s="9"/>
      <c r="AD1720" s="25"/>
      <c r="AE1720" s="25"/>
      <c r="AF1720" s="9"/>
      <c r="AG1720" s="9"/>
      <c r="AH1720" s="9"/>
      <c r="AI1720" s="9"/>
    </row>
    <row r="1721" ht="15.75" customHeight="1">
      <c r="A1721" s="9"/>
      <c r="B1721" s="9"/>
      <c r="C1721" s="9"/>
      <c r="D1721" s="9"/>
      <c r="E1721" s="57"/>
      <c r="F1721" s="58"/>
      <c r="G1721" s="58"/>
      <c r="H1721" s="57"/>
      <c r="I1721" s="57"/>
      <c r="J1721" s="57"/>
      <c r="K1721" s="57"/>
      <c r="L1721" s="57"/>
      <c r="M1721" s="59"/>
      <c r="N1721" s="60"/>
      <c r="O1721" s="23"/>
      <c r="P1721" s="23"/>
      <c r="Q1721" s="9"/>
      <c r="R1721" s="9"/>
      <c r="S1721" s="9"/>
      <c r="T1721" s="9"/>
      <c r="U1721" s="9"/>
      <c r="V1721" s="9"/>
      <c r="W1721" s="9"/>
      <c r="X1721" s="9"/>
      <c r="Y1721" s="9"/>
      <c r="Z1721" s="9"/>
      <c r="AA1721" s="9"/>
      <c r="AB1721" s="9"/>
      <c r="AC1721" s="9"/>
      <c r="AD1721" s="25"/>
      <c r="AE1721" s="25"/>
      <c r="AF1721" s="9"/>
      <c r="AG1721" s="9"/>
      <c r="AH1721" s="9"/>
      <c r="AI1721" s="9"/>
    </row>
    <row r="1722" ht="15.75" customHeight="1">
      <c r="A1722" s="9"/>
      <c r="B1722" s="9"/>
      <c r="C1722" s="9"/>
      <c r="D1722" s="9"/>
      <c r="E1722" s="57"/>
      <c r="F1722" s="58"/>
      <c r="G1722" s="58"/>
      <c r="H1722" s="57"/>
      <c r="I1722" s="57"/>
      <c r="J1722" s="57"/>
      <c r="K1722" s="57"/>
      <c r="L1722" s="57"/>
      <c r="M1722" s="59"/>
      <c r="N1722" s="60"/>
      <c r="O1722" s="23"/>
      <c r="P1722" s="23"/>
      <c r="Q1722" s="9"/>
      <c r="R1722" s="9"/>
      <c r="S1722" s="9"/>
      <c r="T1722" s="9"/>
      <c r="U1722" s="9"/>
      <c r="V1722" s="9"/>
      <c r="W1722" s="9"/>
      <c r="X1722" s="9"/>
      <c r="Y1722" s="9"/>
      <c r="Z1722" s="9"/>
      <c r="AA1722" s="9"/>
      <c r="AB1722" s="9"/>
      <c r="AC1722" s="9"/>
      <c r="AD1722" s="25"/>
      <c r="AE1722" s="25"/>
      <c r="AF1722" s="9"/>
      <c r="AG1722" s="9"/>
      <c r="AH1722" s="9"/>
      <c r="AI1722" s="9"/>
    </row>
    <row r="1723" ht="15.75" customHeight="1">
      <c r="A1723" s="9"/>
      <c r="B1723" s="9"/>
      <c r="C1723" s="9"/>
      <c r="D1723" s="9"/>
      <c r="E1723" s="57"/>
      <c r="F1723" s="58"/>
      <c r="G1723" s="58"/>
      <c r="H1723" s="57"/>
      <c r="I1723" s="57"/>
      <c r="J1723" s="57"/>
      <c r="K1723" s="57"/>
      <c r="L1723" s="57"/>
      <c r="M1723" s="59"/>
      <c r="N1723" s="60"/>
      <c r="O1723" s="23"/>
      <c r="P1723" s="23"/>
      <c r="Q1723" s="9"/>
      <c r="R1723" s="9"/>
      <c r="S1723" s="9"/>
      <c r="T1723" s="9"/>
      <c r="U1723" s="9"/>
      <c r="V1723" s="9"/>
      <c r="W1723" s="9"/>
      <c r="X1723" s="9"/>
      <c r="Y1723" s="9"/>
      <c r="Z1723" s="9"/>
      <c r="AA1723" s="9"/>
      <c r="AB1723" s="9"/>
      <c r="AC1723" s="9"/>
      <c r="AD1723" s="25"/>
      <c r="AE1723" s="25"/>
      <c r="AF1723" s="9"/>
      <c r="AG1723" s="9"/>
      <c r="AH1723" s="9"/>
      <c r="AI1723" s="9"/>
    </row>
    <row r="1724" ht="15.75" customHeight="1">
      <c r="A1724" s="9"/>
      <c r="B1724" s="9"/>
      <c r="C1724" s="9"/>
      <c r="D1724" s="9"/>
      <c r="E1724" s="57"/>
      <c r="F1724" s="58"/>
      <c r="G1724" s="58"/>
      <c r="H1724" s="57"/>
      <c r="I1724" s="57"/>
      <c r="J1724" s="57"/>
      <c r="K1724" s="57"/>
      <c r="L1724" s="57"/>
      <c r="M1724" s="59"/>
      <c r="N1724" s="60"/>
      <c r="O1724" s="23"/>
      <c r="P1724" s="23"/>
      <c r="Q1724" s="9"/>
      <c r="R1724" s="9"/>
      <c r="S1724" s="9"/>
      <c r="T1724" s="9"/>
      <c r="U1724" s="9"/>
      <c r="V1724" s="9"/>
      <c r="W1724" s="9"/>
      <c r="X1724" s="9"/>
      <c r="Y1724" s="9"/>
      <c r="Z1724" s="9"/>
      <c r="AA1724" s="9"/>
      <c r="AB1724" s="9"/>
      <c r="AC1724" s="9"/>
      <c r="AD1724" s="25"/>
      <c r="AE1724" s="25"/>
      <c r="AF1724" s="9"/>
      <c r="AG1724" s="9"/>
      <c r="AH1724" s="9"/>
      <c r="AI1724" s="9"/>
    </row>
    <row r="1725" ht="15.75" customHeight="1">
      <c r="A1725" s="9"/>
      <c r="B1725" s="9"/>
      <c r="C1725" s="9"/>
      <c r="D1725" s="9"/>
      <c r="E1725" s="57"/>
      <c r="F1725" s="58"/>
      <c r="G1725" s="58"/>
      <c r="H1725" s="57"/>
      <c r="I1725" s="57"/>
      <c r="J1725" s="57"/>
      <c r="K1725" s="57"/>
      <c r="L1725" s="57"/>
      <c r="M1725" s="59"/>
      <c r="N1725" s="60"/>
      <c r="O1725" s="23"/>
      <c r="P1725" s="23"/>
      <c r="Q1725" s="9"/>
      <c r="R1725" s="9"/>
      <c r="S1725" s="9"/>
      <c r="T1725" s="9"/>
      <c r="U1725" s="9"/>
      <c r="V1725" s="9"/>
      <c r="W1725" s="9"/>
      <c r="X1725" s="9"/>
      <c r="Y1725" s="9"/>
      <c r="Z1725" s="9"/>
      <c r="AA1725" s="9"/>
      <c r="AB1725" s="9"/>
      <c r="AC1725" s="9"/>
      <c r="AD1725" s="25"/>
      <c r="AE1725" s="25"/>
      <c r="AF1725" s="9"/>
      <c r="AG1725" s="9"/>
      <c r="AH1725" s="9"/>
      <c r="AI1725" s="9"/>
    </row>
    <row r="1726" ht="15.75" customHeight="1">
      <c r="A1726" s="9"/>
      <c r="B1726" s="9"/>
      <c r="C1726" s="9"/>
      <c r="D1726" s="9"/>
      <c r="E1726" s="57"/>
      <c r="F1726" s="58"/>
      <c r="G1726" s="58"/>
      <c r="H1726" s="57"/>
      <c r="I1726" s="57"/>
      <c r="J1726" s="57"/>
      <c r="K1726" s="57"/>
      <c r="L1726" s="57"/>
      <c r="M1726" s="59"/>
      <c r="N1726" s="60"/>
      <c r="O1726" s="23"/>
      <c r="P1726" s="23"/>
      <c r="Q1726" s="9"/>
      <c r="R1726" s="9"/>
      <c r="S1726" s="9"/>
      <c r="T1726" s="9"/>
      <c r="U1726" s="9"/>
      <c r="V1726" s="9"/>
      <c r="W1726" s="9"/>
      <c r="X1726" s="9"/>
      <c r="Y1726" s="9"/>
      <c r="Z1726" s="9"/>
      <c r="AA1726" s="9"/>
      <c r="AB1726" s="9"/>
      <c r="AC1726" s="9"/>
      <c r="AD1726" s="25"/>
      <c r="AE1726" s="25"/>
      <c r="AF1726" s="9"/>
      <c r="AG1726" s="9"/>
      <c r="AH1726" s="9"/>
      <c r="AI1726" s="9"/>
    </row>
    <row r="1727" ht="15.75" customHeight="1">
      <c r="A1727" s="9"/>
      <c r="B1727" s="9"/>
      <c r="C1727" s="9"/>
      <c r="D1727" s="9"/>
      <c r="E1727" s="57"/>
      <c r="F1727" s="58"/>
      <c r="G1727" s="58"/>
      <c r="H1727" s="57"/>
      <c r="I1727" s="57"/>
      <c r="J1727" s="57"/>
      <c r="K1727" s="57"/>
      <c r="L1727" s="72"/>
      <c r="M1727" s="62"/>
      <c r="N1727" s="60"/>
      <c r="O1727" s="23"/>
      <c r="P1727" s="23"/>
      <c r="Q1727" s="9"/>
      <c r="R1727" s="9"/>
      <c r="S1727" s="9"/>
      <c r="T1727" s="9"/>
      <c r="U1727" s="9"/>
      <c r="V1727" s="9"/>
      <c r="W1727" s="9"/>
      <c r="X1727" s="9"/>
      <c r="Y1727" s="9"/>
      <c r="Z1727" s="9"/>
      <c r="AA1727" s="9"/>
      <c r="AB1727" s="9"/>
      <c r="AC1727" s="9"/>
      <c r="AD1727" s="25"/>
      <c r="AE1727" s="25"/>
      <c r="AF1727" s="9"/>
      <c r="AG1727" s="9"/>
      <c r="AH1727" s="9"/>
      <c r="AI1727" s="9"/>
    </row>
    <row r="1728" ht="15.75" customHeight="1">
      <c r="A1728" s="9"/>
      <c r="B1728" s="9"/>
      <c r="C1728" s="9"/>
      <c r="D1728" s="9"/>
      <c r="E1728" s="57"/>
      <c r="F1728" s="58"/>
      <c r="G1728" s="58"/>
      <c r="H1728" s="57"/>
      <c r="I1728" s="57"/>
      <c r="J1728" s="57"/>
      <c r="K1728" s="57"/>
      <c r="L1728" s="57"/>
      <c r="M1728" s="59"/>
      <c r="N1728" s="60"/>
      <c r="O1728" s="23"/>
      <c r="P1728" s="23"/>
      <c r="Q1728" s="9"/>
      <c r="R1728" s="9"/>
      <c r="S1728" s="9"/>
      <c r="T1728" s="9"/>
      <c r="U1728" s="9"/>
      <c r="V1728" s="9"/>
      <c r="W1728" s="9"/>
      <c r="X1728" s="9"/>
      <c r="Y1728" s="9"/>
      <c r="Z1728" s="9"/>
      <c r="AA1728" s="9"/>
      <c r="AB1728" s="9"/>
      <c r="AC1728" s="9"/>
      <c r="AD1728" s="25"/>
      <c r="AE1728" s="25"/>
      <c r="AF1728" s="9"/>
      <c r="AG1728" s="9"/>
      <c r="AH1728" s="9"/>
      <c r="AI1728" s="9"/>
    </row>
    <row r="1729" ht="15.75" customHeight="1">
      <c r="A1729" s="9"/>
      <c r="B1729" s="9"/>
      <c r="C1729" s="9"/>
      <c r="D1729" s="9"/>
      <c r="E1729" s="57"/>
      <c r="F1729" s="58"/>
      <c r="G1729" s="58"/>
      <c r="H1729" s="57"/>
      <c r="I1729" s="57"/>
      <c r="J1729" s="57"/>
      <c r="K1729" s="57"/>
      <c r="L1729" s="57"/>
      <c r="M1729" s="59"/>
      <c r="N1729" s="60"/>
      <c r="O1729" s="23"/>
      <c r="P1729" s="23"/>
      <c r="Q1729" s="9"/>
      <c r="R1729" s="9"/>
      <c r="S1729" s="9"/>
      <c r="T1729" s="9"/>
      <c r="U1729" s="9"/>
      <c r="V1729" s="9"/>
      <c r="W1729" s="9"/>
      <c r="X1729" s="9"/>
      <c r="Y1729" s="9"/>
      <c r="Z1729" s="9"/>
      <c r="AA1729" s="9"/>
      <c r="AB1729" s="9"/>
      <c r="AC1729" s="9"/>
      <c r="AD1729" s="25"/>
      <c r="AE1729" s="25"/>
      <c r="AF1729" s="9"/>
      <c r="AG1729" s="9"/>
      <c r="AH1729" s="9"/>
      <c r="AI1729" s="9"/>
    </row>
    <row r="1730" ht="15.75" customHeight="1">
      <c r="A1730" s="9"/>
      <c r="B1730" s="9"/>
      <c r="C1730" s="9"/>
      <c r="D1730" s="9"/>
      <c r="E1730" s="57"/>
      <c r="F1730" s="58"/>
      <c r="G1730" s="58"/>
      <c r="H1730" s="57"/>
      <c r="I1730" s="57"/>
      <c r="J1730" s="57"/>
      <c r="K1730" s="57"/>
      <c r="L1730" s="57"/>
      <c r="M1730" s="59"/>
      <c r="N1730" s="60"/>
      <c r="O1730" s="23"/>
      <c r="P1730" s="23"/>
      <c r="Q1730" s="9"/>
      <c r="R1730" s="9"/>
      <c r="S1730" s="9"/>
      <c r="T1730" s="9"/>
      <c r="U1730" s="9"/>
      <c r="V1730" s="9"/>
      <c r="W1730" s="9"/>
      <c r="X1730" s="9"/>
      <c r="Y1730" s="9"/>
      <c r="Z1730" s="9"/>
      <c r="AA1730" s="9"/>
      <c r="AB1730" s="9"/>
      <c r="AC1730" s="9"/>
      <c r="AD1730" s="25"/>
      <c r="AE1730" s="25"/>
      <c r="AF1730" s="9"/>
      <c r="AG1730" s="9"/>
      <c r="AH1730" s="9"/>
      <c r="AI1730" s="9"/>
    </row>
    <row r="1731" ht="15.75" customHeight="1">
      <c r="A1731" s="9"/>
      <c r="B1731" s="9"/>
      <c r="C1731" s="9"/>
      <c r="D1731" s="9"/>
      <c r="E1731" s="57"/>
      <c r="F1731" s="58"/>
      <c r="G1731" s="58"/>
      <c r="H1731" s="57"/>
      <c r="I1731" s="57"/>
      <c r="J1731" s="57"/>
      <c r="K1731" s="57"/>
      <c r="L1731" s="72"/>
      <c r="M1731" s="62"/>
      <c r="N1731" s="60"/>
      <c r="O1731" s="23"/>
      <c r="P1731" s="23"/>
      <c r="Q1731" s="9"/>
      <c r="R1731" s="9"/>
      <c r="S1731" s="9"/>
      <c r="T1731" s="9"/>
      <c r="U1731" s="9"/>
      <c r="V1731" s="9"/>
      <c r="W1731" s="9"/>
      <c r="X1731" s="9"/>
      <c r="Y1731" s="9"/>
      <c r="Z1731" s="9"/>
      <c r="AA1731" s="9"/>
      <c r="AB1731" s="9"/>
      <c r="AC1731" s="9"/>
      <c r="AD1731" s="25"/>
      <c r="AE1731" s="25"/>
      <c r="AF1731" s="9"/>
      <c r="AG1731" s="9"/>
      <c r="AH1731" s="9"/>
      <c r="AI1731" s="9"/>
    </row>
    <row r="1732" ht="15.75" customHeight="1">
      <c r="A1732" s="9"/>
      <c r="B1732" s="9"/>
      <c r="C1732" s="9"/>
      <c r="D1732" s="9"/>
      <c r="E1732" s="57"/>
      <c r="F1732" s="58"/>
      <c r="G1732" s="58"/>
      <c r="H1732" s="57"/>
      <c r="I1732" s="57"/>
      <c r="J1732" s="57"/>
      <c r="K1732" s="57"/>
      <c r="L1732" s="72"/>
      <c r="M1732" s="62"/>
      <c r="N1732" s="60"/>
      <c r="O1732" s="23"/>
      <c r="P1732" s="23"/>
      <c r="Q1732" s="9"/>
      <c r="R1732" s="9"/>
      <c r="S1732" s="9"/>
      <c r="T1732" s="9"/>
      <c r="U1732" s="9"/>
      <c r="V1732" s="9"/>
      <c r="W1732" s="9"/>
      <c r="X1732" s="9"/>
      <c r="Y1732" s="9"/>
      <c r="Z1732" s="9"/>
      <c r="AA1732" s="9"/>
      <c r="AB1732" s="9"/>
      <c r="AC1732" s="9"/>
      <c r="AD1732" s="25"/>
      <c r="AE1732" s="25"/>
      <c r="AF1732" s="9"/>
      <c r="AG1732" s="9"/>
      <c r="AH1732" s="9"/>
      <c r="AI1732" s="9"/>
    </row>
    <row r="1733" ht="15.75" customHeight="1">
      <c r="A1733" s="9"/>
      <c r="B1733" s="9"/>
      <c r="C1733" s="9"/>
      <c r="D1733" s="9"/>
      <c r="E1733" s="57"/>
      <c r="F1733" s="58"/>
      <c r="G1733" s="58"/>
      <c r="H1733" s="57"/>
      <c r="I1733" s="57"/>
      <c r="J1733" s="57"/>
      <c r="K1733" s="57"/>
      <c r="L1733" s="57"/>
      <c r="M1733" s="59"/>
      <c r="N1733" s="60"/>
      <c r="O1733" s="23"/>
      <c r="P1733" s="23"/>
      <c r="Q1733" s="9"/>
      <c r="R1733" s="9"/>
      <c r="S1733" s="9"/>
      <c r="T1733" s="9"/>
      <c r="U1733" s="9"/>
      <c r="V1733" s="9"/>
      <c r="W1733" s="9"/>
      <c r="X1733" s="9"/>
      <c r="Y1733" s="9"/>
      <c r="Z1733" s="9"/>
      <c r="AA1733" s="9"/>
      <c r="AB1733" s="9"/>
      <c r="AC1733" s="9"/>
      <c r="AD1733" s="25"/>
      <c r="AE1733" s="25"/>
      <c r="AF1733" s="9"/>
      <c r="AG1733" s="9"/>
      <c r="AH1733" s="9"/>
      <c r="AI1733" s="9"/>
    </row>
    <row r="1734" ht="15.75" customHeight="1">
      <c r="A1734" s="9"/>
      <c r="B1734" s="9"/>
      <c r="C1734" s="9"/>
      <c r="D1734" s="9"/>
      <c r="E1734" s="57"/>
      <c r="F1734" s="58"/>
      <c r="G1734" s="58"/>
      <c r="H1734" s="57"/>
      <c r="I1734" s="57"/>
      <c r="J1734" s="57"/>
      <c r="K1734" s="57"/>
      <c r="L1734" s="57"/>
      <c r="M1734" s="59"/>
      <c r="N1734" s="60"/>
      <c r="O1734" s="23"/>
      <c r="P1734" s="23"/>
      <c r="Q1734" s="9"/>
      <c r="R1734" s="9"/>
      <c r="S1734" s="9"/>
      <c r="T1734" s="9"/>
      <c r="U1734" s="9"/>
      <c r="V1734" s="9"/>
      <c r="W1734" s="9"/>
      <c r="X1734" s="9"/>
      <c r="Y1734" s="9"/>
      <c r="Z1734" s="9"/>
      <c r="AA1734" s="9"/>
      <c r="AB1734" s="9"/>
      <c r="AC1734" s="9"/>
      <c r="AD1734" s="25"/>
      <c r="AE1734" s="25"/>
      <c r="AF1734" s="9"/>
      <c r="AG1734" s="9"/>
      <c r="AH1734" s="9"/>
      <c r="AI1734" s="9"/>
    </row>
    <row r="1735" ht="15.75" customHeight="1">
      <c r="A1735" s="9"/>
      <c r="B1735" s="9"/>
      <c r="C1735" s="9"/>
      <c r="D1735" s="9"/>
      <c r="E1735" s="57"/>
      <c r="F1735" s="58"/>
      <c r="G1735" s="58"/>
      <c r="H1735" s="57"/>
      <c r="I1735" s="57"/>
      <c r="J1735" s="57"/>
      <c r="K1735" s="57"/>
      <c r="L1735" s="57"/>
      <c r="M1735" s="59"/>
      <c r="N1735" s="60"/>
      <c r="O1735" s="23"/>
      <c r="P1735" s="23"/>
      <c r="Q1735" s="9"/>
      <c r="R1735" s="9"/>
      <c r="S1735" s="9"/>
      <c r="T1735" s="9"/>
      <c r="U1735" s="9"/>
      <c r="V1735" s="9"/>
      <c r="W1735" s="9"/>
      <c r="X1735" s="9"/>
      <c r="Y1735" s="9"/>
      <c r="Z1735" s="9"/>
      <c r="AA1735" s="9"/>
      <c r="AB1735" s="9"/>
      <c r="AC1735" s="9"/>
      <c r="AD1735" s="25"/>
      <c r="AE1735" s="25"/>
      <c r="AF1735" s="9"/>
      <c r="AG1735" s="9"/>
      <c r="AH1735" s="9"/>
      <c r="AI1735" s="9"/>
    </row>
    <row r="1736" ht="15.75" customHeight="1">
      <c r="A1736" s="9"/>
      <c r="B1736" s="9"/>
      <c r="C1736" s="9"/>
      <c r="D1736" s="9"/>
      <c r="E1736" s="57"/>
      <c r="F1736" s="58"/>
      <c r="G1736" s="58"/>
      <c r="H1736" s="57"/>
      <c r="I1736" s="57"/>
      <c r="K1736" s="57"/>
      <c r="L1736" s="72"/>
      <c r="M1736" s="62"/>
      <c r="N1736" s="60"/>
      <c r="O1736" s="23"/>
      <c r="P1736" s="23"/>
      <c r="Q1736" s="9"/>
      <c r="R1736" s="9"/>
      <c r="S1736" s="9"/>
      <c r="T1736" s="9"/>
      <c r="U1736" s="9"/>
      <c r="V1736" s="9"/>
      <c r="W1736" s="9"/>
      <c r="X1736" s="9"/>
      <c r="Y1736" s="9"/>
      <c r="Z1736" s="9"/>
      <c r="AA1736" s="9"/>
      <c r="AB1736" s="9"/>
      <c r="AC1736" s="9"/>
      <c r="AD1736" s="25"/>
      <c r="AE1736" s="25"/>
      <c r="AF1736" s="9"/>
      <c r="AG1736" s="9"/>
      <c r="AH1736" s="9"/>
      <c r="AI1736" s="9"/>
    </row>
    <row r="1737" ht="15.75" customHeight="1">
      <c r="A1737" s="9"/>
      <c r="B1737" s="9"/>
      <c r="C1737" s="9"/>
      <c r="D1737" s="9"/>
      <c r="E1737" s="57"/>
      <c r="F1737" s="58"/>
      <c r="G1737" s="58"/>
      <c r="H1737" s="57"/>
      <c r="I1737" s="57"/>
      <c r="K1737" s="57"/>
      <c r="L1737" s="72"/>
      <c r="M1737" s="62"/>
      <c r="N1737" s="60"/>
      <c r="O1737" s="23"/>
      <c r="P1737" s="23"/>
      <c r="Q1737" s="9"/>
      <c r="R1737" s="9"/>
      <c r="S1737" s="9"/>
      <c r="T1737" s="9"/>
      <c r="U1737" s="9"/>
      <c r="V1737" s="9"/>
      <c r="W1737" s="9"/>
      <c r="X1737" s="9"/>
      <c r="Y1737" s="9"/>
      <c r="Z1737" s="9"/>
      <c r="AA1737" s="9"/>
      <c r="AB1737" s="9"/>
      <c r="AC1737" s="9"/>
      <c r="AD1737" s="25"/>
      <c r="AE1737" s="25"/>
      <c r="AF1737" s="9"/>
      <c r="AG1737" s="9"/>
      <c r="AH1737" s="9"/>
      <c r="AI1737" s="9"/>
    </row>
    <row r="1738" ht="15.75" customHeight="1">
      <c r="A1738" s="9"/>
      <c r="B1738" s="9"/>
      <c r="C1738" s="9"/>
      <c r="D1738" s="9"/>
      <c r="E1738" s="57"/>
      <c r="F1738" s="58"/>
      <c r="G1738" s="58"/>
      <c r="H1738" s="57"/>
      <c r="I1738" s="57"/>
      <c r="K1738" s="57"/>
      <c r="L1738" s="72"/>
      <c r="M1738" s="62"/>
      <c r="N1738" s="60"/>
      <c r="O1738" s="23"/>
      <c r="P1738" s="23"/>
      <c r="Q1738" s="9"/>
      <c r="R1738" s="9"/>
      <c r="S1738" s="9"/>
      <c r="T1738" s="9"/>
      <c r="U1738" s="9"/>
      <c r="V1738" s="9"/>
      <c r="W1738" s="9"/>
      <c r="X1738" s="9"/>
      <c r="Y1738" s="9"/>
      <c r="Z1738" s="9"/>
      <c r="AA1738" s="9"/>
      <c r="AB1738" s="9"/>
      <c r="AC1738" s="9"/>
      <c r="AD1738" s="25"/>
      <c r="AE1738" s="25"/>
      <c r="AF1738" s="9"/>
      <c r="AG1738" s="9"/>
      <c r="AH1738" s="9"/>
      <c r="AI1738" s="9"/>
    </row>
    <row r="1739" ht="15.75" customHeight="1">
      <c r="A1739" s="9"/>
      <c r="B1739" s="9"/>
      <c r="C1739" s="9"/>
      <c r="D1739" s="9"/>
      <c r="E1739" s="57"/>
      <c r="F1739" s="58"/>
      <c r="G1739" s="58"/>
      <c r="H1739" s="57"/>
      <c r="I1739" s="57"/>
      <c r="K1739" s="57"/>
      <c r="L1739" s="72"/>
      <c r="M1739" s="62"/>
      <c r="N1739" s="60"/>
      <c r="O1739" s="23"/>
      <c r="P1739" s="23"/>
      <c r="Q1739" s="9"/>
      <c r="R1739" s="9"/>
      <c r="S1739" s="9"/>
      <c r="T1739" s="9"/>
      <c r="U1739" s="9"/>
      <c r="V1739" s="9"/>
      <c r="W1739" s="9"/>
      <c r="X1739" s="9"/>
      <c r="Y1739" s="9"/>
      <c r="Z1739" s="9"/>
      <c r="AA1739" s="9"/>
      <c r="AB1739" s="9"/>
      <c r="AC1739" s="9"/>
      <c r="AD1739" s="25"/>
      <c r="AE1739" s="25"/>
      <c r="AF1739" s="9"/>
      <c r="AG1739" s="9"/>
      <c r="AH1739" s="9"/>
      <c r="AI1739" s="9"/>
    </row>
    <row r="1740" ht="15.75" customHeight="1">
      <c r="A1740" s="9"/>
      <c r="B1740" s="9"/>
      <c r="C1740" s="9"/>
      <c r="D1740" s="9"/>
      <c r="E1740" s="57"/>
      <c r="F1740" s="58"/>
      <c r="G1740" s="58"/>
      <c r="H1740" s="57"/>
      <c r="I1740" s="57"/>
      <c r="K1740" s="57"/>
      <c r="L1740" s="72"/>
      <c r="M1740" s="62"/>
      <c r="N1740" s="60"/>
      <c r="O1740" s="23"/>
      <c r="P1740" s="23"/>
      <c r="Q1740" s="9"/>
      <c r="R1740" s="9"/>
      <c r="S1740" s="9"/>
      <c r="T1740" s="9"/>
      <c r="U1740" s="9"/>
      <c r="V1740" s="9"/>
      <c r="W1740" s="9"/>
      <c r="X1740" s="9"/>
      <c r="Y1740" s="9"/>
      <c r="Z1740" s="9"/>
      <c r="AA1740" s="9"/>
      <c r="AB1740" s="9"/>
      <c r="AC1740" s="9"/>
      <c r="AD1740" s="25"/>
      <c r="AE1740" s="25"/>
      <c r="AF1740" s="9"/>
      <c r="AG1740" s="9"/>
      <c r="AH1740" s="9"/>
      <c r="AI1740" s="9"/>
    </row>
    <row r="1741" ht="15.75" customHeight="1">
      <c r="A1741" s="9"/>
      <c r="B1741" s="9"/>
      <c r="C1741" s="9"/>
      <c r="D1741" s="9"/>
      <c r="E1741" s="57"/>
      <c r="F1741" s="58"/>
      <c r="G1741" s="58"/>
      <c r="H1741" s="57"/>
      <c r="I1741" s="57"/>
      <c r="J1741" s="57"/>
      <c r="K1741" s="57"/>
      <c r="L1741" s="57"/>
      <c r="M1741" s="59"/>
      <c r="N1741" s="60"/>
      <c r="O1741" s="23"/>
      <c r="P1741" s="23"/>
      <c r="Q1741" s="9"/>
      <c r="R1741" s="9"/>
      <c r="S1741" s="9"/>
      <c r="T1741" s="9"/>
      <c r="U1741" s="9"/>
      <c r="V1741" s="9"/>
      <c r="W1741" s="9"/>
      <c r="X1741" s="9"/>
      <c r="Y1741" s="9"/>
      <c r="Z1741" s="9"/>
      <c r="AA1741" s="9"/>
      <c r="AB1741" s="9"/>
      <c r="AC1741" s="9"/>
      <c r="AD1741" s="25"/>
      <c r="AE1741" s="25"/>
      <c r="AF1741" s="9"/>
      <c r="AG1741" s="9"/>
      <c r="AH1741" s="9"/>
      <c r="AI1741" s="9"/>
    </row>
    <row r="1742" ht="15.75" customHeight="1">
      <c r="A1742" s="9"/>
      <c r="B1742" s="9"/>
      <c r="C1742" s="9"/>
      <c r="D1742" s="9"/>
      <c r="E1742" s="57"/>
      <c r="F1742" s="58"/>
      <c r="G1742" s="58"/>
      <c r="H1742" s="57"/>
      <c r="I1742" s="57"/>
      <c r="J1742" s="57"/>
      <c r="K1742" s="57"/>
      <c r="L1742" s="72"/>
      <c r="M1742" s="62"/>
      <c r="N1742" s="60"/>
      <c r="O1742" s="23"/>
      <c r="P1742" s="23"/>
      <c r="Q1742" s="9"/>
      <c r="R1742" s="9"/>
      <c r="S1742" s="9"/>
      <c r="T1742" s="9"/>
      <c r="U1742" s="9"/>
      <c r="V1742" s="9"/>
      <c r="W1742" s="9"/>
      <c r="X1742" s="9"/>
      <c r="Y1742" s="9"/>
      <c r="Z1742" s="9"/>
      <c r="AA1742" s="9"/>
      <c r="AB1742" s="9"/>
      <c r="AC1742" s="9"/>
      <c r="AD1742" s="25"/>
      <c r="AE1742" s="25"/>
      <c r="AF1742" s="9"/>
      <c r="AG1742" s="9"/>
      <c r="AH1742" s="9"/>
      <c r="AI1742" s="9"/>
    </row>
    <row r="1743" ht="15.75" customHeight="1">
      <c r="A1743" s="9"/>
      <c r="B1743" s="9"/>
      <c r="C1743" s="9"/>
      <c r="D1743" s="9"/>
      <c r="E1743" s="57"/>
      <c r="F1743" s="58"/>
      <c r="G1743" s="58"/>
      <c r="H1743" s="57"/>
      <c r="I1743" s="57"/>
      <c r="J1743" s="57"/>
      <c r="K1743" s="57"/>
      <c r="L1743" s="57"/>
      <c r="M1743" s="59"/>
      <c r="N1743" s="60"/>
      <c r="O1743" s="23"/>
      <c r="P1743" s="23"/>
      <c r="Q1743" s="9"/>
      <c r="R1743" s="9"/>
      <c r="S1743" s="9"/>
      <c r="T1743" s="9"/>
      <c r="U1743" s="9"/>
      <c r="V1743" s="9"/>
      <c r="W1743" s="9"/>
      <c r="X1743" s="9"/>
      <c r="Y1743" s="9"/>
      <c r="Z1743" s="9"/>
      <c r="AA1743" s="9"/>
      <c r="AB1743" s="9"/>
      <c r="AC1743" s="9"/>
      <c r="AD1743" s="25"/>
      <c r="AE1743" s="25"/>
      <c r="AF1743" s="9"/>
      <c r="AG1743" s="9"/>
      <c r="AH1743" s="9"/>
      <c r="AI1743" s="9"/>
    </row>
    <row r="1744" ht="15.75" customHeight="1">
      <c r="A1744" s="9"/>
      <c r="B1744" s="9"/>
      <c r="C1744" s="9"/>
      <c r="D1744" s="9"/>
      <c r="E1744" s="57"/>
      <c r="F1744" s="58"/>
      <c r="G1744" s="58"/>
      <c r="H1744" s="57"/>
      <c r="I1744" s="57"/>
      <c r="J1744" s="57"/>
      <c r="K1744" s="57"/>
      <c r="L1744" s="57"/>
      <c r="M1744" s="59"/>
      <c r="N1744" s="60"/>
      <c r="O1744" s="23"/>
      <c r="P1744" s="23"/>
      <c r="Q1744" s="9"/>
      <c r="R1744" s="9"/>
      <c r="S1744" s="9"/>
      <c r="T1744" s="9"/>
      <c r="U1744" s="9"/>
      <c r="V1744" s="9"/>
      <c r="W1744" s="9"/>
      <c r="X1744" s="9"/>
      <c r="Y1744" s="9"/>
      <c r="Z1744" s="9"/>
      <c r="AA1744" s="9"/>
      <c r="AB1744" s="9"/>
      <c r="AC1744" s="9"/>
      <c r="AD1744" s="25"/>
      <c r="AE1744" s="25"/>
      <c r="AF1744" s="9"/>
      <c r="AG1744" s="9"/>
      <c r="AH1744" s="9"/>
      <c r="AI1744" s="9"/>
    </row>
    <row r="1745" ht="15.75" customHeight="1">
      <c r="A1745" s="9"/>
      <c r="B1745" s="9"/>
      <c r="C1745" s="9"/>
      <c r="D1745" s="9"/>
      <c r="E1745" s="57"/>
      <c r="F1745" s="58"/>
      <c r="G1745" s="58"/>
      <c r="H1745" s="57"/>
      <c r="I1745" s="57"/>
      <c r="J1745" s="57"/>
      <c r="K1745" s="57"/>
      <c r="L1745" s="57"/>
      <c r="M1745" s="59"/>
      <c r="N1745" s="60"/>
      <c r="O1745" s="23"/>
      <c r="P1745" s="23"/>
      <c r="Q1745" s="9"/>
      <c r="R1745" s="9"/>
      <c r="S1745" s="9"/>
      <c r="T1745" s="9"/>
      <c r="U1745" s="9"/>
      <c r="V1745" s="9"/>
      <c r="W1745" s="9"/>
      <c r="X1745" s="9"/>
      <c r="Y1745" s="9"/>
      <c r="Z1745" s="9"/>
      <c r="AA1745" s="9"/>
      <c r="AB1745" s="9"/>
      <c r="AC1745" s="9"/>
      <c r="AD1745" s="25"/>
      <c r="AE1745" s="25"/>
      <c r="AF1745" s="9"/>
      <c r="AG1745" s="9"/>
      <c r="AH1745" s="9"/>
      <c r="AI1745" s="9"/>
    </row>
    <row r="1746" ht="15.75" customHeight="1">
      <c r="A1746" s="9"/>
      <c r="B1746" s="9"/>
      <c r="C1746" s="9"/>
      <c r="D1746" s="9"/>
      <c r="E1746" s="57"/>
      <c r="F1746" s="58"/>
      <c r="G1746" s="58"/>
      <c r="H1746" s="57"/>
      <c r="I1746" s="57"/>
      <c r="J1746" s="57"/>
      <c r="K1746" s="57"/>
      <c r="L1746" s="57"/>
      <c r="M1746" s="59"/>
      <c r="N1746" s="60"/>
      <c r="O1746" s="23"/>
      <c r="P1746" s="23"/>
      <c r="Q1746" s="9"/>
      <c r="R1746" s="9"/>
      <c r="S1746" s="9"/>
      <c r="T1746" s="9"/>
      <c r="U1746" s="9"/>
      <c r="V1746" s="9"/>
      <c r="W1746" s="9"/>
      <c r="X1746" s="9"/>
      <c r="Y1746" s="9"/>
      <c r="Z1746" s="9"/>
      <c r="AA1746" s="9"/>
      <c r="AB1746" s="9"/>
      <c r="AC1746" s="9"/>
      <c r="AD1746" s="25"/>
      <c r="AE1746" s="25"/>
      <c r="AF1746" s="9"/>
      <c r="AG1746" s="9"/>
      <c r="AH1746" s="9"/>
      <c r="AI1746" s="9"/>
    </row>
    <row r="1747" ht="15.75" customHeight="1">
      <c r="A1747" s="9"/>
      <c r="B1747" s="9"/>
      <c r="C1747" s="9"/>
      <c r="D1747" s="9"/>
      <c r="E1747" s="57"/>
      <c r="F1747" s="58"/>
      <c r="G1747" s="58"/>
      <c r="H1747" s="57"/>
      <c r="I1747" s="57"/>
      <c r="K1747" s="57"/>
      <c r="L1747" s="72"/>
      <c r="M1747" s="62"/>
      <c r="N1747" s="60"/>
      <c r="O1747" s="23"/>
      <c r="P1747" s="23"/>
      <c r="Q1747" s="9"/>
      <c r="R1747" s="9"/>
      <c r="S1747" s="9"/>
      <c r="T1747" s="9"/>
      <c r="U1747" s="9"/>
      <c r="V1747" s="9"/>
      <c r="W1747" s="9"/>
      <c r="X1747" s="9"/>
      <c r="Y1747" s="9"/>
      <c r="Z1747" s="9"/>
      <c r="AA1747" s="9"/>
      <c r="AB1747" s="9"/>
      <c r="AC1747" s="9"/>
      <c r="AD1747" s="25"/>
      <c r="AE1747" s="25"/>
      <c r="AF1747" s="9"/>
      <c r="AG1747" s="9"/>
      <c r="AH1747" s="9"/>
      <c r="AI1747" s="9"/>
    </row>
    <row r="1748" ht="15.75" customHeight="1">
      <c r="A1748" s="9"/>
      <c r="B1748" s="9"/>
      <c r="C1748" s="9"/>
      <c r="D1748" s="9"/>
      <c r="E1748" s="57"/>
      <c r="F1748" s="58"/>
      <c r="G1748" s="58"/>
      <c r="H1748" s="57"/>
      <c r="I1748" s="57"/>
      <c r="J1748" s="57"/>
      <c r="K1748" s="57"/>
      <c r="L1748" s="57"/>
      <c r="M1748" s="59"/>
      <c r="N1748" s="60"/>
      <c r="O1748" s="23"/>
      <c r="P1748" s="23"/>
      <c r="Q1748" s="9"/>
      <c r="R1748" s="9"/>
      <c r="S1748" s="9"/>
      <c r="T1748" s="9"/>
      <c r="U1748" s="9"/>
      <c r="V1748" s="9"/>
      <c r="W1748" s="9"/>
      <c r="X1748" s="9"/>
      <c r="Y1748" s="9"/>
      <c r="Z1748" s="9"/>
      <c r="AA1748" s="9"/>
      <c r="AB1748" s="9"/>
      <c r="AC1748" s="9"/>
      <c r="AD1748" s="25"/>
      <c r="AE1748" s="25"/>
      <c r="AF1748" s="9"/>
      <c r="AG1748" s="9"/>
      <c r="AH1748" s="9"/>
      <c r="AI1748" s="9"/>
    </row>
    <row r="1749" ht="15.75" customHeight="1">
      <c r="A1749" s="9"/>
      <c r="B1749" s="9"/>
      <c r="C1749" s="9"/>
      <c r="D1749" s="9"/>
      <c r="E1749" s="57"/>
      <c r="F1749" s="58"/>
      <c r="G1749" s="58"/>
      <c r="H1749" s="57"/>
      <c r="I1749" s="57"/>
      <c r="J1749" s="57"/>
      <c r="K1749" s="57"/>
      <c r="L1749" s="72"/>
      <c r="M1749" s="62"/>
      <c r="N1749" s="60"/>
      <c r="O1749" s="23"/>
      <c r="P1749" s="23"/>
      <c r="Q1749" s="9"/>
      <c r="R1749" s="9"/>
      <c r="S1749" s="9"/>
      <c r="T1749" s="9"/>
      <c r="U1749" s="9"/>
      <c r="V1749" s="9"/>
      <c r="W1749" s="9"/>
      <c r="X1749" s="9"/>
      <c r="Y1749" s="9"/>
      <c r="Z1749" s="9"/>
      <c r="AA1749" s="9"/>
      <c r="AB1749" s="9"/>
      <c r="AC1749" s="9"/>
      <c r="AD1749" s="25"/>
      <c r="AE1749" s="25"/>
      <c r="AF1749" s="9"/>
      <c r="AG1749" s="9"/>
      <c r="AH1749" s="9"/>
      <c r="AI1749" s="9"/>
    </row>
    <row r="1750" ht="15.75" customHeight="1">
      <c r="A1750" s="9"/>
      <c r="B1750" s="9"/>
      <c r="C1750" s="9"/>
      <c r="D1750" s="9"/>
      <c r="E1750" s="57"/>
      <c r="F1750" s="58"/>
      <c r="G1750" s="58"/>
      <c r="H1750" s="57"/>
      <c r="I1750" s="57"/>
      <c r="J1750" s="57"/>
      <c r="K1750" s="57"/>
      <c r="L1750" s="57"/>
      <c r="M1750" s="59"/>
      <c r="N1750" s="60"/>
      <c r="O1750" s="23"/>
      <c r="P1750" s="23"/>
      <c r="Q1750" s="9"/>
      <c r="R1750" s="9"/>
      <c r="S1750" s="9"/>
      <c r="T1750" s="9"/>
      <c r="U1750" s="9"/>
      <c r="V1750" s="9"/>
      <c r="W1750" s="9"/>
      <c r="X1750" s="9"/>
      <c r="Y1750" s="9"/>
      <c r="Z1750" s="9"/>
      <c r="AA1750" s="9"/>
      <c r="AB1750" s="9"/>
      <c r="AC1750" s="9"/>
      <c r="AD1750" s="25"/>
      <c r="AE1750" s="25"/>
      <c r="AF1750" s="9"/>
      <c r="AG1750" s="9"/>
      <c r="AH1750" s="9"/>
      <c r="AI1750" s="9"/>
    </row>
    <row r="1751" ht="15.75" customHeight="1">
      <c r="A1751" s="9"/>
      <c r="B1751" s="9"/>
      <c r="C1751" s="9"/>
      <c r="D1751" s="9"/>
      <c r="E1751" s="57"/>
      <c r="F1751" s="58"/>
      <c r="G1751" s="58"/>
      <c r="H1751" s="57"/>
      <c r="I1751" s="57"/>
      <c r="J1751" s="57"/>
      <c r="K1751" s="57"/>
      <c r="L1751" s="72"/>
      <c r="M1751" s="62"/>
      <c r="N1751" s="60"/>
      <c r="O1751" s="23"/>
      <c r="P1751" s="23"/>
      <c r="Q1751" s="9"/>
      <c r="R1751" s="9"/>
      <c r="S1751" s="9"/>
      <c r="T1751" s="9"/>
      <c r="U1751" s="9"/>
      <c r="V1751" s="9"/>
      <c r="W1751" s="9"/>
      <c r="X1751" s="9"/>
      <c r="Y1751" s="9"/>
      <c r="Z1751" s="9"/>
      <c r="AA1751" s="9"/>
      <c r="AB1751" s="9"/>
      <c r="AC1751" s="9"/>
      <c r="AD1751" s="25"/>
      <c r="AE1751" s="25"/>
      <c r="AF1751" s="9"/>
      <c r="AG1751" s="9"/>
      <c r="AH1751" s="9"/>
      <c r="AI1751" s="9"/>
    </row>
    <row r="1752" ht="15.75" customHeight="1">
      <c r="A1752" s="9"/>
      <c r="B1752" s="9"/>
      <c r="C1752" s="9"/>
      <c r="D1752" s="9"/>
      <c r="E1752" s="57"/>
      <c r="F1752" s="58"/>
      <c r="G1752" s="58"/>
      <c r="H1752" s="57"/>
      <c r="I1752" s="57"/>
      <c r="J1752" s="57"/>
      <c r="K1752" s="57"/>
      <c r="L1752" s="57"/>
      <c r="M1752" s="59"/>
      <c r="N1752" s="60"/>
      <c r="O1752" s="23"/>
      <c r="P1752" s="23"/>
      <c r="Q1752" s="9"/>
      <c r="R1752" s="9"/>
      <c r="S1752" s="9"/>
      <c r="T1752" s="9"/>
      <c r="U1752" s="9"/>
      <c r="V1752" s="9"/>
      <c r="W1752" s="9"/>
      <c r="X1752" s="9"/>
      <c r="Y1752" s="9"/>
      <c r="Z1752" s="9"/>
      <c r="AA1752" s="9"/>
      <c r="AB1752" s="9"/>
      <c r="AC1752" s="9"/>
      <c r="AD1752" s="25"/>
      <c r="AE1752" s="25"/>
      <c r="AF1752" s="9"/>
      <c r="AG1752" s="9"/>
      <c r="AH1752" s="9"/>
      <c r="AI1752" s="9"/>
    </row>
    <row r="1753" ht="15.75" customHeight="1">
      <c r="A1753" s="9"/>
      <c r="B1753" s="9"/>
      <c r="C1753" s="9"/>
      <c r="D1753" s="9"/>
      <c r="E1753" s="57"/>
      <c r="F1753" s="58"/>
      <c r="G1753" s="58"/>
      <c r="H1753" s="57"/>
      <c r="I1753" s="57"/>
      <c r="J1753" s="57"/>
      <c r="K1753" s="57"/>
      <c r="L1753" s="57"/>
      <c r="M1753" s="59"/>
      <c r="N1753" s="60"/>
      <c r="O1753" s="23"/>
      <c r="P1753" s="23"/>
      <c r="Q1753" s="9"/>
      <c r="R1753" s="9"/>
      <c r="S1753" s="9"/>
      <c r="T1753" s="9"/>
      <c r="U1753" s="9"/>
      <c r="V1753" s="9"/>
      <c r="W1753" s="9"/>
      <c r="X1753" s="9"/>
      <c r="Y1753" s="9"/>
      <c r="Z1753" s="9"/>
      <c r="AA1753" s="9"/>
      <c r="AB1753" s="9"/>
      <c r="AC1753" s="9"/>
      <c r="AD1753" s="25"/>
      <c r="AE1753" s="25"/>
      <c r="AF1753" s="9"/>
      <c r="AG1753" s="9"/>
      <c r="AH1753" s="9"/>
      <c r="AI1753" s="9"/>
    </row>
    <row r="1754" ht="15.75" customHeight="1">
      <c r="A1754" s="9"/>
      <c r="B1754" s="9"/>
      <c r="C1754" s="9"/>
      <c r="D1754" s="9"/>
      <c r="E1754" s="57"/>
      <c r="F1754" s="58"/>
      <c r="G1754" s="58"/>
      <c r="H1754" s="57"/>
      <c r="I1754" s="57"/>
      <c r="J1754" s="57"/>
      <c r="K1754" s="57"/>
      <c r="L1754" s="72"/>
      <c r="M1754" s="62"/>
      <c r="N1754" s="60"/>
      <c r="O1754" s="23"/>
      <c r="P1754" s="23"/>
      <c r="Q1754" s="9"/>
      <c r="R1754" s="9"/>
      <c r="S1754" s="9"/>
      <c r="T1754" s="9"/>
      <c r="U1754" s="9"/>
      <c r="V1754" s="9"/>
      <c r="W1754" s="9"/>
      <c r="X1754" s="9"/>
      <c r="Y1754" s="9"/>
      <c r="Z1754" s="9"/>
      <c r="AA1754" s="9"/>
      <c r="AB1754" s="9"/>
      <c r="AC1754" s="9"/>
      <c r="AD1754" s="25"/>
      <c r="AE1754" s="25"/>
      <c r="AF1754" s="9"/>
      <c r="AG1754" s="9"/>
      <c r="AH1754" s="9"/>
      <c r="AI1754" s="9"/>
    </row>
    <row r="1755" ht="15.75" customHeight="1">
      <c r="A1755" s="9"/>
      <c r="B1755" s="9"/>
      <c r="C1755" s="9"/>
      <c r="D1755" s="9"/>
      <c r="E1755" s="57"/>
      <c r="F1755" s="58"/>
      <c r="G1755" s="58"/>
      <c r="H1755" s="57"/>
      <c r="I1755" s="57"/>
      <c r="J1755" s="57"/>
      <c r="K1755" s="57"/>
      <c r="L1755" s="57"/>
      <c r="M1755" s="59"/>
      <c r="N1755" s="60"/>
      <c r="O1755" s="23"/>
      <c r="P1755" s="23"/>
      <c r="Q1755" s="9"/>
      <c r="R1755" s="9"/>
      <c r="S1755" s="9"/>
      <c r="T1755" s="9"/>
      <c r="U1755" s="9"/>
      <c r="V1755" s="9"/>
      <c r="W1755" s="9"/>
      <c r="X1755" s="9"/>
      <c r="Y1755" s="9"/>
      <c r="Z1755" s="9"/>
      <c r="AA1755" s="9"/>
      <c r="AB1755" s="9"/>
      <c r="AC1755" s="9"/>
      <c r="AD1755" s="25"/>
      <c r="AE1755" s="25"/>
      <c r="AF1755" s="9"/>
      <c r="AG1755" s="9"/>
      <c r="AH1755" s="9"/>
      <c r="AI1755" s="9"/>
    </row>
    <row r="1756" ht="15.75" customHeight="1">
      <c r="A1756" s="9"/>
      <c r="B1756" s="9"/>
      <c r="C1756" s="9"/>
      <c r="D1756" s="9"/>
      <c r="E1756" s="57"/>
      <c r="F1756" s="58"/>
      <c r="G1756" s="58"/>
      <c r="H1756" s="57"/>
      <c r="I1756" s="57"/>
      <c r="J1756" s="57"/>
      <c r="K1756" s="57"/>
      <c r="L1756" s="57"/>
      <c r="M1756" s="59"/>
      <c r="N1756" s="60"/>
      <c r="O1756" s="23"/>
      <c r="P1756" s="23"/>
      <c r="Q1756" s="9"/>
      <c r="R1756" s="9"/>
      <c r="S1756" s="9"/>
      <c r="T1756" s="9"/>
      <c r="U1756" s="9"/>
      <c r="V1756" s="9"/>
      <c r="W1756" s="9"/>
      <c r="X1756" s="9"/>
      <c r="Y1756" s="9"/>
      <c r="Z1756" s="9"/>
      <c r="AA1756" s="9"/>
      <c r="AB1756" s="9"/>
      <c r="AC1756" s="9"/>
      <c r="AD1756" s="25"/>
      <c r="AE1756" s="25"/>
      <c r="AF1756" s="9"/>
      <c r="AG1756" s="9"/>
      <c r="AH1756" s="9"/>
      <c r="AI1756" s="9"/>
    </row>
    <row r="1757" ht="15.75" customHeight="1">
      <c r="A1757" s="9"/>
      <c r="B1757" s="9"/>
      <c r="C1757" s="9"/>
      <c r="D1757" s="9"/>
      <c r="E1757" s="57"/>
      <c r="F1757" s="58"/>
      <c r="G1757" s="58"/>
      <c r="H1757" s="57"/>
      <c r="I1757" s="57"/>
      <c r="J1757" s="57"/>
      <c r="K1757" s="57"/>
      <c r="L1757" s="57"/>
      <c r="M1757" s="59"/>
      <c r="N1757" s="60"/>
      <c r="O1757" s="23"/>
      <c r="P1757" s="23"/>
      <c r="Q1757" s="9"/>
      <c r="R1757" s="9"/>
      <c r="S1757" s="9"/>
      <c r="T1757" s="9"/>
      <c r="U1757" s="9"/>
      <c r="V1757" s="9"/>
      <c r="W1757" s="9"/>
      <c r="X1757" s="9"/>
      <c r="Y1757" s="9"/>
      <c r="Z1757" s="9"/>
      <c r="AA1757" s="9"/>
      <c r="AB1757" s="9"/>
      <c r="AC1757" s="9"/>
      <c r="AD1757" s="25"/>
      <c r="AE1757" s="25"/>
      <c r="AF1757" s="9"/>
      <c r="AG1757" s="9"/>
      <c r="AH1757" s="9"/>
      <c r="AI1757" s="9"/>
    </row>
    <row r="1758" ht="15.75" customHeight="1">
      <c r="A1758" s="9"/>
      <c r="B1758" s="9"/>
      <c r="C1758" s="9"/>
      <c r="D1758" s="9"/>
      <c r="E1758" s="57"/>
      <c r="F1758" s="58"/>
      <c r="G1758" s="58"/>
      <c r="H1758" s="57"/>
      <c r="I1758" s="57"/>
      <c r="J1758" s="57"/>
      <c r="K1758" s="57"/>
      <c r="L1758" s="57"/>
      <c r="M1758" s="59"/>
      <c r="N1758" s="60"/>
      <c r="O1758" s="23"/>
      <c r="P1758" s="23"/>
      <c r="Q1758" s="9"/>
      <c r="R1758" s="9"/>
      <c r="S1758" s="9"/>
      <c r="T1758" s="9"/>
      <c r="U1758" s="9"/>
      <c r="V1758" s="9"/>
      <c r="W1758" s="9"/>
      <c r="X1758" s="9"/>
      <c r="Y1758" s="9"/>
      <c r="Z1758" s="9"/>
      <c r="AA1758" s="9"/>
      <c r="AB1758" s="9"/>
      <c r="AC1758" s="9"/>
      <c r="AD1758" s="25"/>
      <c r="AE1758" s="25"/>
      <c r="AF1758" s="9"/>
      <c r="AG1758" s="9"/>
      <c r="AH1758" s="9"/>
      <c r="AI1758" s="9"/>
    </row>
    <row r="1759" ht="15.75" customHeight="1">
      <c r="A1759" s="9"/>
      <c r="B1759" s="9"/>
      <c r="C1759" s="9"/>
      <c r="D1759" s="9"/>
      <c r="E1759" s="57"/>
      <c r="F1759" s="58"/>
      <c r="G1759" s="58"/>
      <c r="H1759" s="57"/>
      <c r="I1759" s="57"/>
      <c r="J1759" s="57"/>
      <c r="K1759" s="57"/>
      <c r="L1759" s="57"/>
      <c r="M1759" s="59"/>
      <c r="N1759" s="60"/>
      <c r="O1759" s="23"/>
      <c r="P1759" s="23"/>
      <c r="Q1759" s="9"/>
      <c r="R1759" s="9"/>
      <c r="S1759" s="9"/>
      <c r="T1759" s="9"/>
      <c r="U1759" s="9"/>
      <c r="V1759" s="9"/>
      <c r="W1759" s="9"/>
      <c r="X1759" s="9"/>
      <c r="Y1759" s="9"/>
      <c r="Z1759" s="9"/>
      <c r="AA1759" s="9"/>
      <c r="AB1759" s="9"/>
      <c r="AC1759" s="9"/>
      <c r="AD1759" s="25"/>
      <c r="AE1759" s="25"/>
      <c r="AF1759" s="9"/>
      <c r="AG1759" s="9"/>
      <c r="AH1759" s="9"/>
      <c r="AI1759" s="9"/>
    </row>
    <row r="1760" ht="15.75" customHeight="1">
      <c r="A1760" s="9"/>
      <c r="B1760" s="9"/>
      <c r="C1760" s="9"/>
      <c r="D1760" s="9"/>
      <c r="E1760" s="57"/>
      <c r="F1760" s="58"/>
      <c r="G1760" s="58"/>
      <c r="H1760" s="57"/>
      <c r="I1760" s="57"/>
      <c r="J1760" s="57"/>
      <c r="K1760" s="57"/>
      <c r="L1760" s="57"/>
      <c r="M1760" s="59"/>
      <c r="N1760" s="60"/>
      <c r="O1760" s="23"/>
      <c r="P1760" s="23"/>
      <c r="Q1760" s="9"/>
      <c r="R1760" s="9"/>
      <c r="S1760" s="9"/>
      <c r="T1760" s="9"/>
      <c r="U1760" s="9"/>
      <c r="V1760" s="9"/>
      <c r="W1760" s="9"/>
      <c r="X1760" s="9"/>
      <c r="Y1760" s="9"/>
      <c r="Z1760" s="9"/>
      <c r="AA1760" s="9"/>
      <c r="AB1760" s="9"/>
      <c r="AC1760" s="9"/>
      <c r="AD1760" s="25"/>
      <c r="AE1760" s="25"/>
      <c r="AF1760" s="9"/>
      <c r="AG1760" s="9"/>
      <c r="AH1760" s="9"/>
      <c r="AI1760" s="9"/>
    </row>
    <row r="1761" ht="15.75" customHeight="1">
      <c r="A1761" s="9"/>
      <c r="B1761" s="9"/>
      <c r="C1761" s="9"/>
      <c r="D1761" s="9"/>
      <c r="E1761" s="57"/>
      <c r="F1761" s="58"/>
      <c r="G1761" s="58"/>
      <c r="H1761" s="57"/>
      <c r="I1761" s="57"/>
      <c r="J1761" s="57"/>
      <c r="K1761" s="57"/>
      <c r="L1761" s="57"/>
      <c r="M1761" s="59"/>
      <c r="N1761" s="60"/>
      <c r="O1761" s="23"/>
      <c r="P1761" s="23"/>
      <c r="Q1761" s="9"/>
      <c r="R1761" s="9"/>
      <c r="S1761" s="9"/>
      <c r="T1761" s="9"/>
      <c r="U1761" s="9"/>
      <c r="V1761" s="9"/>
      <c r="W1761" s="9"/>
      <c r="X1761" s="9"/>
      <c r="Y1761" s="9"/>
      <c r="Z1761" s="9"/>
      <c r="AA1761" s="9"/>
      <c r="AB1761" s="9"/>
      <c r="AC1761" s="9"/>
      <c r="AD1761" s="25"/>
      <c r="AE1761" s="25"/>
      <c r="AF1761" s="9"/>
      <c r="AG1761" s="9"/>
      <c r="AH1761" s="9"/>
      <c r="AI1761" s="9"/>
    </row>
    <row r="1762" ht="15.75" customHeight="1">
      <c r="A1762" s="9"/>
      <c r="B1762" s="9"/>
      <c r="C1762" s="9"/>
      <c r="D1762" s="9"/>
      <c r="E1762" s="57"/>
      <c r="F1762" s="58"/>
      <c r="G1762" s="58"/>
      <c r="H1762" s="57"/>
      <c r="I1762" s="57"/>
      <c r="J1762" s="57"/>
      <c r="K1762" s="57"/>
      <c r="L1762" s="57"/>
      <c r="M1762" s="59"/>
      <c r="N1762" s="60"/>
      <c r="O1762" s="23"/>
      <c r="P1762" s="23"/>
      <c r="Q1762" s="9"/>
      <c r="R1762" s="9"/>
      <c r="S1762" s="9"/>
      <c r="T1762" s="9"/>
      <c r="U1762" s="9"/>
      <c r="V1762" s="9"/>
      <c r="W1762" s="9"/>
      <c r="X1762" s="9"/>
      <c r="Y1762" s="9"/>
      <c r="Z1762" s="9"/>
      <c r="AA1762" s="9"/>
      <c r="AB1762" s="9"/>
      <c r="AC1762" s="9"/>
      <c r="AD1762" s="25"/>
      <c r="AE1762" s="25"/>
      <c r="AF1762" s="9"/>
      <c r="AG1762" s="9"/>
      <c r="AH1762" s="9"/>
      <c r="AI1762" s="9"/>
    </row>
    <row r="1763" ht="15.75" customHeight="1">
      <c r="A1763" s="9"/>
      <c r="B1763" s="9"/>
      <c r="C1763" s="9"/>
      <c r="D1763" s="9"/>
      <c r="E1763" s="57"/>
      <c r="F1763" s="58"/>
      <c r="G1763" s="58"/>
      <c r="H1763" s="57"/>
      <c r="I1763" s="57"/>
      <c r="K1763" s="57"/>
      <c r="L1763" s="72"/>
      <c r="M1763" s="62"/>
      <c r="N1763" s="60"/>
      <c r="O1763" s="23"/>
      <c r="P1763" s="23"/>
      <c r="Q1763" s="9"/>
      <c r="R1763" s="9"/>
      <c r="S1763" s="9"/>
      <c r="T1763" s="9"/>
      <c r="U1763" s="9"/>
      <c r="V1763" s="9"/>
      <c r="W1763" s="9"/>
      <c r="X1763" s="9"/>
      <c r="Y1763" s="9"/>
      <c r="Z1763" s="9"/>
      <c r="AA1763" s="9"/>
      <c r="AB1763" s="9"/>
      <c r="AC1763" s="9"/>
      <c r="AD1763" s="25"/>
      <c r="AE1763" s="25"/>
      <c r="AF1763" s="9"/>
      <c r="AG1763" s="9"/>
      <c r="AH1763" s="9"/>
      <c r="AI1763" s="9"/>
    </row>
    <row r="1764" ht="15.75" customHeight="1">
      <c r="A1764" s="9"/>
      <c r="B1764" s="9"/>
      <c r="C1764" s="9"/>
      <c r="D1764" s="9"/>
      <c r="E1764" s="57"/>
      <c r="F1764" s="58"/>
      <c r="G1764" s="58"/>
      <c r="H1764" s="57"/>
      <c r="I1764" s="57"/>
      <c r="K1764" s="57"/>
      <c r="L1764" s="72"/>
      <c r="M1764" s="62"/>
      <c r="N1764" s="60"/>
      <c r="O1764" s="23"/>
      <c r="P1764" s="23"/>
      <c r="Q1764" s="9"/>
      <c r="R1764" s="9"/>
      <c r="S1764" s="9"/>
      <c r="T1764" s="9"/>
      <c r="U1764" s="9"/>
      <c r="V1764" s="9"/>
      <c r="W1764" s="9"/>
      <c r="X1764" s="9"/>
      <c r="Y1764" s="9"/>
      <c r="Z1764" s="9"/>
      <c r="AA1764" s="9"/>
      <c r="AB1764" s="9"/>
      <c r="AC1764" s="9"/>
      <c r="AD1764" s="25"/>
      <c r="AE1764" s="25"/>
      <c r="AF1764" s="9"/>
      <c r="AG1764" s="9"/>
      <c r="AH1764" s="9"/>
      <c r="AI1764" s="9"/>
    </row>
    <row r="1765" ht="15.75" customHeight="1">
      <c r="A1765" s="9"/>
      <c r="B1765" s="9"/>
      <c r="C1765" s="9"/>
      <c r="D1765" s="9"/>
      <c r="E1765" s="57"/>
      <c r="F1765" s="58"/>
      <c r="G1765" s="58"/>
      <c r="H1765" s="57"/>
      <c r="I1765" s="57"/>
      <c r="K1765" s="57"/>
      <c r="L1765" s="72"/>
      <c r="M1765" s="62"/>
      <c r="N1765" s="60"/>
      <c r="O1765" s="23"/>
      <c r="P1765" s="23"/>
      <c r="Q1765" s="9"/>
      <c r="R1765" s="9"/>
      <c r="S1765" s="9"/>
      <c r="T1765" s="9"/>
      <c r="U1765" s="9"/>
      <c r="V1765" s="9"/>
      <c r="W1765" s="9"/>
      <c r="X1765" s="9"/>
      <c r="Y1765" s="9"/>
      <c r="Z1765" s="9"/>
      <c r="AA1765" s="9"/>
      <c r="AB1765" s="9"/>
      <c r="AC1765" s="9"/>
      <c r="AD1765" s="25"/>
      <c r="AE1765" s="25"/>
      <c r="AF1765" s="9"/>
      <c r="AG1765" s="9"/>
      <c r="AH1765" s="9"/>
      <c r="AI1765" s="9"/>
    </row>
    <row r="1766" ht="15.75" customHeight="1">
      <c r="A1766" s="9"/>
      <c r="B1766" s="9"/>
      <c r="C1766" s="9"/>
      <c r="D1766" s="9"/>
      <c r="E1766" s="57"/>
      <c r="F1766" s="58"/>
      <c r="G1766" s="58"/>
      <c r="H1766" s="57"/>
      <c r="I1766" s="57"/>
      <c r="K1766" s="57"/>
      <c r="L1766" s="72"/>
      <c r="M1766" s="62"/>
      <c r="N1766" s="60"/>
      <c r="O1766" s="23"/>
      <c r="P1766" s="23"/>
      <c r="Q1766" s="9"/>
      <c r="R1766" s="9"/>
      <c r="S1766" s="9"/>
      <c r="T1766" s="9"/>
      <c r="U1766" s="9"/>
      <c r="V1766" s="9"/>
      <c r="W1766" s="9"/>
      <c r="X1766" s="9"/>
      <c r="Y1766" s="9"/>
      <c r="Z1766" s="9"/>
      <c r="AA1766" s="9"/>
      <c r="AB1766" s="9"/>
      <c r="AC1766" s="9"/>
      <c r="AD1766" s="25"/>
      <c r="AE1766" s="25"/>
      <c r="AF1766" s="9"/>
      <c r="AG1766" s="9"/>
      <c r="AH1766" s="9"/>
      <c r="AI1766" s="9"/>
    </row>
    <row r="1767" ht="15.75" customHeight="1">
      <c r="A1767" s="9"/>
      <c r="B1767" s="9"/>
      <c r="C1767" s="9"/>
      <c r="D1767" s="9"/>
      <c r="E1767" s="57"/>
      <c r="F1767" s="58"/>
      <c r="G1767" s="58"/>
      <c r="H1767" s="57"/>
      <c r="I1767" s="57"/>
      <c r="K1767" s="57"/>
      <c r="L1767" s="72"/>
      <c r="M1767" s="62"/>
      <c r="N1767" s="60"/>
      <c r="O1767" s="23"/>
      <c r="P1767" s="23"/>
      <c r="Q1767" s="9"/>
      <c r="R1767" s="9"/>
      <c r="S1767" s="9"/>
      <c r="T1767" s="9"/>
      <c r="U1767" s="9"/>
      <c r="V1767" s="9"/>
      <c r="W1767" s="9"/>
      <c r="X1767" s="9"/>
      <c r="Y1767" s="9"/>
      <c r="Z1767" s="9"/>
      <c r="AA1767" s="9"/>
      <c r="AB1767" s="9"/>
      <c r="AC1767" s="9"/>
      <c r="AD1767" s="25"/>
      <c r="AE1767" s="25"/>
      <c r="AF1767" s="9"/>
      <c r="AG1767" s="9"/>
      <c r="AH1767" s="9"/>
      <c r="AI1767" s="9"/>
    </row>
    <row r="1768" ht="15.75" customHeight="1">
      <c r="A1768" s="9"/>
      <c r="B1768" s="9"/>
      <c r="C1768" s="9"/>
      <c r="D1768" s="9"/>
      <c r="E1768" s="57"/>
      <c r="F1768" s="58"/>
      <c r="G1768" s="58"/>
      <c r="H1768" s="57"/>
      <c r="I1768" s="57"/>
      <c r="K1768" s="57"/>
      <c r="L1768" s="72"/>
      <c r="M1768" s="62"/>
      <c r="N1768" s="60"/>
      <c r="O1768" s="23"/>
      <c r="P1768" s="23"/>
      <c r="Q1768" s="9"/>
      <c r="R1768" s="9"/>
      <c r="S1768" s="9"/>
      <c r="T1768" s="9"/>
      <c r="U1768" s="9"/>
      <c r="V1768" s="9"/>
      <c r="W1768" s="9"/>
      <c r="X1768" s="9"/>
      <c r="Y1768" s="9"/>
      <c r="Z1768" s="9"/>
      <c r="AA1768" s="9"/>
      <c r="AB1768" s="9"/>
      <c r="AC1768" s="9"/>
      <c r="AD1768" s="25"/>
      <c r="AE1768" s="25"/>
      <c r="AF1768" s="9"/>
      <c r="AG1768" s="9"/>
      <c r="AH1768" s="9"/>
      <c r="AI1768" s="9"/>
    </row>
    <row r="1769" ht="15.75" customHeight="1">
      <c r="A1769" s="9"/>
      <c r="B1769" s="9"/>
      <c r="C1769" s="9"/>
      <c r="D1769" s="9"/>
      <c r="E1769" s="57"/>
      <c r="F1769" s="58"/>
      <c r="G1769" s="58"/>
      <c r="H1769" s="57"/>
      <c r="I1769" s="57"/>
      <c r="K1769" s="57"/>
      <c r="L1769" s="72"/>
      <c r="M1769" s="62"/>
      <c r="N1769" s="60"/>
      <c r="O1769" s="23"/>
      <c r="P1769" s="23"/>
      <c r="Q1769" s="9"/>
      <c r="R1769" s="9"/>
      <c r="S1769" s="9"/>
      <c r="T1769" s="9"/>
      <c r="U1769" s="9"/>
      <c r="V1769" s="9"/>
      <c r="W1769" s="9"/>
      <c r="X1769" s="9"/>
      <c r="Y1769" s="9"/>
      <c r="Z1769" s="9"/>
      <c r="AA1769" s="9"/>
      <c r="AB1769" s="9"/>
      <c r="AC1769" s="9"/>
      <c r="AD1769" s="25"/>
      <c r="AE1769" s="25"/>
      <c r="AF1769" s="9"/>
      <c r="AG1769" s="9"/>
      <c r="AH1769" s="9"/>
      <c r="AI1769" s="9"/>
    </row>
    <row r="1770" ht="15.75" customHeight="1">
      <c r="A1770" s="9"/>
      <c r="B1770" s="9"/>
      <c r="C1770" s="9"/>
      <c r="D1770" s="9"/>
      <c r="E1770" s="57"/>
      <c r="F1770" s="58"/>
      <c r="G1770" s="58"/>
      <c r="H1770" s="57"/>
      <c r="I1770" s="57"/>
      <c r="K1770" s="57"/>
      <c r="L1770" s="72"/>
      <c r="M1770" s="62"/>
      <c r="N1770" s="60"/>
      <c r="O1770" s="23"/>
      <c r="P1770" s="23"/>
      <c r="Q1770" s="9"/>
      <c r="R1770" s="9"/>
      <c r="S1770" s="9"/>
      <c r="T1770" s="9"/>
      <c r="U1770" s="9"/>
      <c r="V1770" s="9"/>
      <c r="W1770" s="9"/>
      <c r="X1770" s="9"/>
      <c r="Y1770" s="9"/>
      <c r="Z1770" s="9"/>
      <c r="AA1770" s="9"/>
      <c r="AB1770" s="9"/>
      <c r="AC1770" s="9"/>
      <c r="AD1770" s="25"/>
      <c r="AE1770" s="25"/>
      <c r="AF1770" s="9"/>
      <c r="AG1770" s="9"/>
      <c r="AH1770" s="9"/>
      <c r="AI1770" s="9"/>
    </row>
    <row r="1771" ht="15.75" customHeight="1">
      <c r="A1771" s="9"/>
      <c r="B1771" s="9"/>
      <c r="C1771" s="9"/>
      <c r="D1771" s="9"/>
      <c r="E1771" s="57"/>
      <c r="F1771" s="58"/>
      <c r="G1771" s="58"/>
      <c r="H1771" s="57"/>
      <c r="I1771" s="57"/>
      <c r="K1771" s="57"/>
      <c r="L1771" s="72"/>
      <c r="M1771" s="62"/>
      <c r="N1771" s="60"/>
      <c r="O1771" s="23"/>
      <c r="P1771" s="23"/>
      <c r="Q1771" s="9"/>
      <c r="R1771" s="9"/>
      <c r="S1771" s="9"/>
      <c r="T1771" s="9"/>
      <c r="U1771" s="9"/>
      <c r="V1771" s="9"/>
      <c r="W1771" s="9"/>
      <c r="X1771" s="9"/>
      <c r="Y1771" s="9"/>
      <c r="Z1771" s="9"/>
      <c r="AA1771" s="9"/>
      <c r="AB1771" s="9"/>
      <c r="AC1771" s="9"/>
      <c r="AD1771" s="25"/>
      <c r="AE1771" s="25"/>
      <c r="AF1771" s="9"/>
      <c r="AG1771" s="9"/>
      <c r="AH1771" s="9"/>
      <c r="AI1771" s="9"/>
    </row>
    <row r="1772" ht="15.75" customHeight="1">
      <c r="A1772" s="9"/>
      <c r="B1772" s="9"/>
      <c r="C1772" s="9"/>
      <c r="D1772" s="9"/>
      <c r="E1772" s="57"/>
      <c r="F1772" s="58"/>
      <c r="G1772" s="58"/>
      <c r="H1772" s="57"/>
      <c r="I1772" s="57"/>
      <c r="K1772" s="57"/>
      <c r="L1772" s="72"/>
      <c r="M1772" s="62"/>
      <c r="N1772" s="60"/>
      <c r="O1772" s="23"/>
      <c r="P1772" s="23"/>
      <c r="Q1772" s="9"/>
      <c r="R1772" s="9"/>
      <c r="S1772" s="9"/>
      <c r="T1772" s="9"/>
      <c r="U1772" s="9"/>
      <c r="V1772" s="9"/>
      <c r="W1772" s="9"/>
      <c r="X1772" s="9"/>
      <c r="Y1772" s="9"/>
      <c r="Z1772" s="9"/>
      <c r="AA1772" s="9"/>
      <c r="AB1772" s="9"/>
      <c r="AC1772" s="9"/>
      <c r="AD1772" s="25"/>
      <c r="AE1772" s="25"/>
      <c r="AF1772" s="9"/>
      <c r="AG1772" s="9"/>
      <c r="AH1772" s="9"/>
      <c r="AI1772" s="9"/>
    </row>
    <row r="1773" ht="15.75" customHeight="1">
      <c r="A1773" s="9"/>
      <c r="B1773" s="9"/>
      <c r="C1773" s="9"/>
      <c r="D1773" s="9"/>
      <c r="E1773" s="57"/>
      <c r="F1773" s="58"/>
      <c r="G1773" s="58"/>
      <c r="H1773" s="57"/>
      <c r="I1773" s="57"/>
      <c r="K1773" s="57"/>
      <c r="L1773" s="72"/>
      <c r="M1773" s="62"/>
      <c r="N1773" s="60"/>
      <c r="O1773" s="23"/>
      <c r="P1773" s="23"/>
      <c r="Q1773" s="9"/>
      <c r="R1773" s="9"/>
      <c r="S1773" s="9"/>
      <c r="T1773" s="9"/>
      <c r="U1773" s="9"/>
      <c r="V1773" s="9"/>
      <c r="W1773" s="9"/>
      <c r="X1773" s="9"/>
      <c r="Y1773" s="9"/>
      <c r="Z1773" s="9"/>
      <c r="AA1773" s="9"/>
      <c r="AB1773" s="9"/>
      <c r="AC1773" s="9"/>
      <c r="AD1773" s="25"/>
      <c r="AE1773" s="25"/>
      <c r="AF1773" s="9"/>
      <c r="AG1773" s="9"/>
      <c r="AH1773" s="9"/>
      <c r="AI1773" s="9"/>
    </row>
    <row r="1774" ht="15.75" customHeight="1">
      <c r="A1774" s="9"/>
      <c r="B1774" s="9"/>
      <c r="C1774" s="9"/>
      <c r="D1774" s="9"/>
      <c r="E1774" s="57"/>
      <c r="F1774" s="58"/>
      <c r="G1774" s="58"/>
      <c r="H1774" s="57"/>
      <c r="I1774" s="57"/>
      <c r="K1774" s="57"/>
      <c r="L1774" s="72"/>
      <c r="M1774" s="62"/>
      <c r="N1774" s="60"/>
      <c r="O1774" s="23"/>
      <c r="P1774" s="23"/>
      <c r="Q1774" s="9"/>
      <c r="R1774" s="9"/>
      <c r="S1774" s="9"/>
      <c r="T1774" s="9"/>
      <c r="U1774" s="9"/>
      <c r="V1774" s="9"/>
      <c r="W1774" s="9"/>
      <c r="X1774" s="9"/>
      <c r="Y1774" s="9"/>
      <c r="Z1774" s="9"/>
      <c r="AA1774" s="9"/>
      <c r="AB1774" s="9"/>
      <c r="AC1774" s="9"/>
      <c r="AD1774" s="25"/>
      <c r="AE1774" s="25"/>
      <c r="AF1774" s="9"/>
      <c r="AG1774" s="9"/>
      <c r="AH1774" s="9"/>
      <c r="AI1774" s="9"/>
    </row>
    <row r="1775" ht="15.75" customHeight="1">
      <c r="A1775" s="9"/>
      <c r="B1775" s="9"/>
      <c r="C1775" s="9"/>
      <c r="D1775" s="9"/>
      <c r="E1775" s="57"/>
      <c r="F1775" s="58"/>
      <c r="G1775" s="58"/>
      <c r="H1775" s="57"/>
      <c r="I1775" s="57"/>
      <c r="K1775" s="57"/>
      <c r="L1775" s="72"/>
      <c r="M1775" s="62"/>
      <c r="N1775" s="60"/>
      <c r="O1775" s="23"/>
      <c r="P1775" s="23"/>
      <c r="Q1775" s="9"/>
      <c r="R1775" s="9"/>
      <c r="S1775" s="9"/>
      <c r="T1775" s="9"/>
      <c r="U1775" s="9"/>
      <c r="V1775" s="9"/>
      <c r="W1775" s="9"/>
      <c r="X1775" s="9"/>
      <c r="Y1775" s="9"/>
      <c r="Z1775" s="9"/>
      <c r="AA1775" s="9"/>
      <c r="AB1775" s="9"/>
      <c r="AC1775" s="9"/>
      <c r="AD1775" s="25"/>
      <c r="AE1775" s="25"/>
      <c r="AF1775" s="9"/>
      <c r="AG1775" s="9"/>
      <c r="AH1775" s="9"/>
      <c r="AI1775" s="9"/>
    </row>
    <row r="1776" ht="15.75" customHeight="1">
      <c r="A1776" s="9"/>
      <c r="B1776" s="9"/>
      <c r="C1776" s="9"/>
      <c r="D1776" s="9"/>
      <c r="E1776" s="57"/>
      <c r="F1776" s="58"/>
      <c r="G1776" s="58"/>
      <c r="H1776" s="57"/>
      <c r="I1776" s="57"/>
      <c r="K1776" s="57"/>
      <c r="L1776" s="72"/>
      <c r="M1776" s="62"/>
      <c r="N1776" s="60"/>
      <c r="O1776" s="23"/>
      <c r="P1776" s="23"/>
      <c r="Q1776" s="9"/>
      <c r="R1776" s="9"/>
      <c r="S1776" s="9"/>
      <c r="T1776" s="9"/>
      <c r="U1776" s="9"/>
      <c r="V1776" s="9"/>
      <c r="W1776" s="9"/>
      <c r="X1776" s="9"/>
      <c r="Y1776" s="9"/>
      <c r="Z1776" s="9"/>
      <c r="AA1776" s="9"/>
      <c r="AB1776" s="9"/>
      <c r="AC1776" s="9"/>
      <c r="AD1776" s="25"/>
      <c r="AE1776" s="25"/>
      <c r="AF1776" s="9"/>
      <c r="AG1776" s="9"/>
      <c r="AH1776" s="9"/>
      <c r="AI1776" s="9"/>
    </row>
    <row r="1777" ht="15.75" customHeight="1">
      <c r="A1777" s="9"/>
      <c r="B1777" s="9"/>
      <c r="C1777" s="9"/>
      <c r="D1777" s="9"/>
      <c r="E1777" s="57"/>
      <c r="F1777" s="58"/>
      <c r="G1777" s="58"/>
      <c r="H1777" s="57"/>
      <c r="I1777" s="57"/>
      <c r="K1777" s="57"/>
      <c r="L1777" s="72"/>
      <c r="M1777" s="62"/>
      <c r="N1777" s="60"/>
      <c r="O1777" s="23"/>
      <c r="P1777" s="23"/>
      <c r="Q1777" s="9"/>
      <c r="R1777" s="9"/>
      <c r="S1777" s="9"/>
      <c r="T1777" s="9"/>
      <c r="U1777" s="9"/>
      <c r="V1777" s="9"/>
      <c r="W1777" s="9"/>
      <c r="X1777" s="9"/>
      <c r="Y1777" s="9"/>
      <c r="Z1777" s="9"/>
      <c r="AA1777" s="9"/>
      <c r="AB1777" s="9"/>
      <c r="AC1777" s="9"/>
      <c r="AD1777" s="25"/>
      <c r="AE1777" s="25"/>
      <c r="AF1777" s="9"/>
      <c r="AG1777" s="9"/>
      <c r="AH1777" s="9"/>
      <c r="AI1777" s="9"/>
    </row>
    <row r="1778" ht="15.75" customHeight="1">
      <c r="A1778" s="9"/>
      <c r="B1778" s="9"/>
      <c r="C1778" s="9"/>
      <c r="D1778" s="9"/>
      <c r="E1778" s="57"/>
      <c r="F1778" s="58"/>
      <c r="G1778" s="58"/>
      <c r="H1778" s="57"/>
      <c r="I1778" s="57"/>
      <c r="K1778" s="57"/>
      <c r="L1778" s="72"/>
      <c r="M1778" s="62"/>
      <c r="N1778" s="60"/>
      <c r="O1778" s="23"/>
      <c r="P1778" s="23"/>
      <c r="Q1778" s="9"/>
      <c r="R1778" s="9"/>
      <c r="S1778" s="9"/>
      <c r="T1778" s="9"/>
      <c r="U1778" s="9"/>
      <c r="V1778" s="9"/>
      <c r="W1778" s="9"/>
      <c r="X1778" s="9"/>
      <c r="Y1778" s="9"/>
      <c r="Z1778" s="9"/>
      <c r="AA1778" s="9"/>
      <c r="AB1778" s="9"/>
      <c r="AC1778" s="9"/>
      <c r="AD1778" s="25"/>
      <c r="AE1778" s="25"/>
      <c r="AF1778" s="9"/>
      <c r="AG1778" s="9"/>
      <c r="AH1778" s="9"/>
      <c r="AI1778" s="9"/>
    </row>
    <row r="1779" ht="15.75" customHeight="1">
      <c r="A1779" s="9"/>
      <c r="B1779" s="9"/>
      <c r="C1779" s="9"/>
      <c r="D1779" s="9"/>
      <c r="E1779" s="57"/>
      <c r="F1779" s="58"/>
      <c r="G1779" s="58"/>
      <c r="H1779" s="57"/>
      <c r="I1779" s="57"/>
      <c r="K1779" s="57"/>
      <c r="L1779" s="72"/>
      <c r="M1779" s="62"/>
      <c r="N1779" s="60"/>
      <c r="O1779" s="23"/>
      <c r="P1779" s="23"/>
      <c r="Q1779" s="9"/>
      <c r="R1779" s="9"/>
      <c r="S1779" s="9"/>
      <c r="T1779" s="9"/>
      <c r="U1779" s="9"/>
      <c r="V1779" s="9"/>
      <c r="W1779" s="9"/>
      <c r="X1779" s="9"/>
      <c r="Y1779" s="9"/>
      <c r="Z1779" s="9"/>
      <c r="AA1779" s="9"/>
      <c r="AB1779" s="9"/>
      <c r="AC1779" s="9"/>
      <c r="AD1779" s="25"/>
      <c r="AE1779" s="25"/>
      <c r="AF1779" s="9"/>
      <c r="AG1779" s="9"/>
      <c r="AH1779" s="9"/>
      <c r="AI1779" s="9"/>
    </row>
    <row r="1780" ht="15.75" customHeight="1">
      <c r="A1780" s="9"/>
      <c r="B1780" s="9"/>
      <c r="C1780" s="9"/>
      <c r="D1780" s="9"/>
      <c r="E1780" s="57"/>
      <c r="F1780" s="58"/>
      <c r="G1780" s="58"/>
      <c r="H1780" s="57"/>
      <c r="I1780" s="57"/>
      <c r="K1780" s="57"/>
      <c r="L1780" s="72"/>
      <c r="M1780" s="62"/>
      <c r="N1780" s="60"/>
      <c r="O1780" s="23"/>
      <c r="P1780" s="23"/>
      <c r="Q1780" s="9"/>
      <c r="R1780" s="9"/>
      <c r="S1780" s="9"/>
      <c r="T1780" s="9"/>
      <c r="U1780" s="9"/>
      <c r="V1780" s="9"/>
      <c r="W1780" s="9"/>
      <c r="X1780" s="9"/>
      <c r="Y1780" s="9"/>
      <c r="Z1780" s="9"/>
      <c r="AA1780" s="9"/>
      <c r="AB1780" s="9"/>
      <c r="AC1780" s="9"/>
      <c r="AD1780" s="25"/>
      <c r="AE1780" s="25"/>
      <c r="AF1780" s="9"/>
      <c r="AG1780" s="9"/>
      <c r="AH1780" s="9"/>
      <c r="AI1780" s="9"/>
    </row>
    <row r="1781" ht="15.75" customHeight="1">
      <c r="A1781" s="9"/>
      <c r="B1781" s="9"/>
      <c r="C1781" s="9"/>
      <c r="D1781" s="9"/>
      <c r="E1781" s="57"/>
      <c r="F1781" s="58"/>
      <c r="G1781" s="58"/>
      <c r="H1781" s="57"/>
      <c r="I1781" s="57"/>
      <c r="K1781" s="57"/>
      <c r="L1781" s="72"/>
      <c r="M1781" s="62"/>
      <c r="N1781" s="60"/>
      <c r="O1781" s="23"/>
      <c r="P1781" s="23"/>
      <c r="Q1781" s="9"/>
      <c r="R1781" s="9"/>
      <c r="S1781" s="9"/>
      <c r="T1781" s="9"/>
      <c r="U1781" s="9"/>
      <c r="V1781" s="9"/>
      <c r="W1781" s="9"/>
      <c r="X1781" s="9"/>
      <c r="Y1781" s="9"/>
      <c r="Z1781" s="9"/>
      <c r="AA1781" s="9"/>
      <c r="AB1781" s="9"/>
      <c r="AC1781" s="9"/>
      <c r="AD1781" s="25"/>
      <c r="AE1781" s="25"/>
      <c r="AF1781" s="9"/>
      <c r="AG1781" s="9"/>
      <c r="AH1781" s="9"/>
      <c r="AI1781" s="9"/>
    </row>
    <row r="1782" ht="15.75" customHeight="1">
      <c r="A1782" s="9"/>
      <c r="B1782" s="9"/>
      <c r="C1782" s="9"/>
      <c r="D1782" s="9"/>
      <c r="E1782" s="57"/>
      <c r="F1782" s="58"/>
      <c r="G1782" s="58"/>
      <c r="H1782" s="57"/>
      <c r="I1782" s="57"/>
      <c r="K1782" s="57"/>
      <c r="L1782" s="72"/>
      <c r="M1782" s="62"/>
      <c r="N1782" s="60"/>
      <c r="O1782" s="23"/>
      <c r="P1782" s="23"/>
      <c r="Q1782" s="9"/>
      <c r="R1782" s="9"/>
      <c r="S1782" s="9"/>
      <c r="T1782" s="9"/>
      <c r="U1782" s="9"/>
      <c r="V1782" s="9"/>
      <c r="W1782" s="9"/>
      <c r="X1782" s="9"/>
      <c r="Y1782" s="9"/>
      <c r="Z1782" s="9"/>
      <c r="AA1782" s="9"/>
      <c r="AB1782" s="9"/>
      <c r="AC1782" s="9"/>
      <c r="AD1782" s="25"/>
      <c r="AE1782" s="25"/>
      <c r="AF1782" s="9"/>
      <c r="AG1782" s="9"/>
      <c r="AH1782" s="9"/>
      <c r="AI1782" s="9"/>
    </row>
    <row r="1783" ht="15.75" customHeight="1">
      <c r="A1783" s="9"/>
      <c r="B1783" s="9"/>
      <c r="C1783" s="9"/>
      <c r="D1783" s="9"/>
      <c r="E1783" s="57"/>
      <c r="F1783" s="58"/>
      <c r="G1783" s="58"/>
      <c r="H1783" s="57"/>
      <c r="I1783" s="57"/>
      <c r="K1783" s="57"/>
      <c r="L1783" s="72"/>
      <c r="M1783" s="62"/>
      <c r="N1783" s="60"/>
      <c r="O1783" s="23"/>
      <c r="P1783" s="23"/>
      <c r="Q1783" s="9"/>
      <c r="R1783" s="9"/>
      <c r="S1783" s="9"/>
      <c r="T1783" s="9"/>
      <c r="U1783" s="9"/>
      <c r="V1783" s="9"/>
      <c r="W1783" s="9"/>
      <c r="X1783" s="9"/>
      <c r="Y1783" s="9"/>
      <c r="Z1783" s="9"/>
      <c r="AA1783" s="9"/>
      <c r="AB1783" s="9"/>
      <c r="AC1783" s="9"/>
      <c r="AD1783" s="25"/>
      <c r="AE1783" s="25"/>
      <c r="AF1783" s="9"/>
      <c r="AG1783" s="9"/>
      <c r="AH1783" s="9"/>
      <c r="AI1783" s="9"/>
    </row>
    <row r="1784" ht="15.75" customHeight="1">
      <c r="A1784" s="9"/>
      <c r="B1784" s="9"/>
      <c r="C1784" s="9"/>
      <c r="D1784" s="9"/>
      <c r="E1784" s="57"/>
      <c r="F1784" s="58"/>
      <c r="G1784" s="58"/>
      <c r="H1784" s="57"/>
      <c r="I1784" s="57"/>
      <c r="K1784" s="57"/>
      <c r="L1784" s="72"/>
      <c r="M1784" s="62"/>
      <c r="N1784" s="60"/>
      <c r="O1784" s="23"/>
      <c r="P1784" s="23"/>
      <c r="Q1784" s="9"/>
      <c r="R1784" s="9"/>
      <c r="S1784" s="9"/>
      <c r="T1784" s="9"/>
      <c r="U1784" s="9"/>
      <c r="V1784" s="9"/>
      <c r="W1784" s="9"/>
      <c r="X1784" s="9"/>
      <c r="Y1784" s="9"/>
      <c r="Z1784" s="9"/>
      <c r="AA1784" s="9"/>
      <c r="AB1784" s="9"/>
      <c r="AC1784" s="9"/>
      <c r="AD1784" s="25"/>
      <c r="AE1784" s="25"/>
      <c r="AF1784" s="9"/>
      <c r="AG1784" s="9"/>
      <c r="AH1784" s="9"/>
      <c r="AI1784" s="9"/>
    </row>
    <row r="1785" ht="15.75" customHeight="1">
      <c r="A1785" s="9"/>
      <c r="B1785" s="9"/>
      <c r="C1785" s="9"/>
      <c r="D1785" s="9"/>
      <c r="E1785" s="57"/>
      <c r="F1785" s="58"/>
      <c r="G1785" s="58"/>
      <c r="H1785" s="57"/>
      <c r="I1785" s="57"/>
      <c r="K1785" s="57"/>
      <c r="L1785" s="72"/>
      <c r="M1785" s="62"/>
      <c r="N1785" s="60"/>
      <c r="O1785" s="23"/>
      <c r="P1785" s="23"/>
      <c r="Q1785" s="9"/>
      <c r="R1785" s="9"/>
      <c r="S1785" s="9"/>
      <c r="T1785" s="9"/>
      <c r="U1785" s="9"/>
      <c r="V1785" s="9"/>
      <c r="W1785" s="9"/>
      <c r="X1785" s="9"/>
      <c r="Y1785" s="9"/>
      <c r="Z1785" s="9"/>
      <c r="AA1785" s="9"/>
      <c r="AB1785" s="9"/>
      <c r="AC1785" s="9"/>
      <c r="AD1785" s="25"/>
      <c r="AE1785" s="25"/>
      <c r="AF1785" s="9"/>
      <c r="AG1785" s="9"/>
      <c r="AH1785" s="9"/>
      <c r="AI1785" s="9"/>
    </row>
    <row r="1786" ht="15.75" customHeight="1">
      <c r="A1786" s="9"/>
      <c r="B1786" s="9"/>
      <c r="C1786" s="9"/>
      <c r="D1786" s="9"/>
      <c r="E1786" s="57"/>
      <c r="F1786" s="58"/>
      <c r="G1786" s="58"/>
      <c r="H1786" s="57"/>
      <c r="I1786" s="57"/>
      <c r="K1786" s="57"/>
      <c r="L1786" s="72"/>
      <c r="M1786" s="62"/>
      <c r="N1786" s="60"/>
      <c r="O1786" s="23"/>
      <c r="P1786" s="23"/>
      <c r="Q1786" s="9"/>
      <c r="R1786" s="9"/>
      <c r="S1786" s="9"/>
      <c r="T1786" s="9"/>
      <c r="U1786" s="9"/>
      <c r="V1786" s="9"/>
      <c r="W1786" s="9"/>
      <c r="X1786" s="9"/>
      <c r="Y1786" s="9"/>
      <c r="Z1786" s="9"/>
      <c r="AA1786" s="9"/>
      <c r="AB1786" s="9"/>
      <c r="AC1786" s="9"/>
      <c r="AD1786" s="25"/>
      <c r="AE1786" s="25"/>
      <c r="AF1786" s="9"/>
      <c r="AG1786" s="9"/>
      <c r="AH1786" s="9"/>
      <c r="AI1786" s="9"/>
    </row>
    <row r="1787" ht="15.75" customHeight="1">
      <c r="A1787" s="9"/>
      <c r="B1787" s="9"/>
      <c r="C1787" s="9"/>
      <c r="D1787" s="9"/>
      <c r="E1787" s="57"/>
      <c r="F1787" s="58"/>
      <c r="G1787" s="58"/>
      <c r="H1787" s="57"/>
      <c r="I1787" s="57"/>
      <c r="K1787" s="57"/>
      <c r="L1787" s="72"/>
      <c r="M1787" s="62"/>
      <c r="N1787" s="60"/>
      <c r="O1787" s="23"/>
      <c r="P1787" s="23"/>
      <c r="Q1787" s="9"/>
      <c r="R1787" s="9"/>
      <c r="S1787" s="9"/>
      <c r="T1787" s="9"/>
      <c r="U1787" s="9"/>
      <c r="V1787" s="9"/>
      <c r="W1787" s="9"/>
      <c r="X1787" s="9"/>
      <c r="Y1787" s="9"/>
      <c r="Z1787" s="9"/>
      <c r="AA1787" s="9"/>
      <c r="AB1787" s="9"/>
      <c r="AC1787" s="9"/>
      <c r="AD1787" s="25"/>
      <c r="AE1787" s="25"/>
      <c r="AF1787" s="9"/>
      <c r="AG1787" s="9"/>
      <c r="AH1787" s="9"/>
      <c r="AI1787" s="9"/>
    </row>
    <row r="1788" ht="15.75" customHeight="1">
      <c r="A1788" s="9"/>
      <c r="B1788" s="9"/>
      <c r="C1788" s="9"/>
      <c r="D1788" s="9"/>
      <c r="E1788" s="57"/>
      <c r="F1788" s="58"/>
      <c r="G1788" s="58"/>
      <c r="H1788" s="57"/>
      <c r="I1788" s="57"/>
      <c r="K1788" s="57"/>
      <c r="L1788" s="72"/>
      <c r="M1788" s="62"/>
      <c r="N1788" s="60"/>
      <c r="O1788" s="23"/>
      <c r="P1788" s="23"/>
      <c r="Q1788" s="9"/>
      <c r="R1788" s="9"/>
      <c r="S1788" s="9"/>
      <c r="T1788" s="9"/>
      <c r="U1788" s="9"/>
      <c r="V1788" s="9"/>
      <c r="W1788" s="9"/>
      <c r="X1788" s="9"/>
      <c r="Y1788" s="9"/>
      <c r="Z1788" s="9"/>
      <c r="AA1788" s="9"/>
      <c r="AB1788" s="9"/>
      <c r="AC1788" s="9"/>
      <c r="AD1788" s="25"/>
      <c r="AE1788" s="25"/>
      <c r="AF1788" s="9"/>
      <c r="AG1788" s="9"/>
      <c r="AH1788" s="9"/>
      <c r="AI1788" s="9"/>
    </row>
    <row r="1789" ht="15.75" customHeight="1">
      <c r="A1789" s="9"/>
      <c r="B1789" s="9"/>
      <c r="C1789" s="9"/>
      <c r="D1789" s="9"/>
      <c r="E1789" s="57"/>
      <c r="F1789" s="58"/>
      <c r="G1789" s="58"/>
      <c r="H1789" s="57"/>
      <c r="I1789" s="57"/>
      <c r="K1789" s="57"/>
      <c r="L1789" s="72"/>
      <c r="M1789" s="62"/>
      <c r="N1789" s="60"/>
      <c r="O1789" s="23"/>
      <c r="P1789" s="23"/>
      <c r="Q1789" s="9"/>
      <c r="R1789" s="9"/>
      <c r="S1789" s="9"/>
      <c r="T1789" s="9"/>
      <c r="U1789" s="9"/>
      <c r="V1789" s="9"/>
      <c r="W1789" s="9"/>
      <c r="X1789" s="9"/>
      <c r="Y1789" s="9"/>
      <c r="Z1789" s="9"/>
      <c r="AA1789" s="9"/>
      <c r="AB1789" s="9"/>
      <c r="AC1789" s="9"/>
      <c r="AD1789" s="25"/>
      <c r="AE1789" s="25"/>
      <c r="AF1789" s="9"/>
      <c r="AG1789" s="9"/>
      <c r="AH1789" s="9"/>
      <c r="AI1789" s="9"/>
    </row>
    <row r="1790" ht="15.75" customHeight="1">
      <c r="A1790" s="9"/>
      <c r="B1790" s="9"/>
      <c r="C1790" s="9"/>
      <c r="D1790" s="9"/>
      <c r="E1790" s="57"/>
      <c r="F1790" s="58"/>
      <c r="G1790" s="58"/>
      <c r="H1790" s="57"/>
      <c r="I1790" s="57"/>
      <c r="K1790" s="57"/>
      <c r="L1790" s="72"/>
      <c r="M1790" s="62"/>
      <c r="N1790" s="60"/>
      <c r="O1790" s="23"/>
      <c r="P1790" s="23"/>
      <c r="Q1790" s="9"/>
      <c r="R1790" s="9"/>
      <c r="S1790" s="9"/>
      <c r="T1790" s="9"/>
      <c r="U1790" s="9"/>
      <c r="V1790" s="9"/>
      <c r="W1790" s="9"/>
      <c r="X1790" s="9"/>
      <c r="Y1790" s="9"/>
      <c r="Z1790" s="9"/>
      <c r="AA1790" s="9"/>
      <c r="AB1790" s="9"/>
      <c r="AC1790" s="9"/>
      <c r="AD1790" s="25"/>
      <c r="AE1790" s="25"/>
      <c r="AF1790" s="9"/>
      <c r="AG1790" s="9"/>
      <c r="AH1790" s="9"/>
      <c r="AI1790" s="9"/>
    </row>
    <row r="1791" ht="15.75" customHeight="1">
      <c r="A1791" s="9"/>
      <c r="B1791" s="9"/>
      <c r="C1791" s="9"/>
      <c r="D1791" s="9"/>
      <c r="E1791" s="57"/>
      <c r="F1791" s="58"/>
      <c r="G1791" s="58"/>
      <c r="H1791" s="57"/>
      <c r="I1791" s="57"/>
      <c r="K1791" s="57"/>
      <c r="L1791" s="72"/>
      <c r="M1791" s="62"/>
      <c r="N1791" s="60"/>
      <c r="O1791" s="23"/>
      <c r="P1791" s="23"/>
      <c r="Q1791" s="9"/>
      <c r="R1791" s="9"/>
      <c r="S1791" s="9"/>
      <c r="T1791" s="9"/>
      <c r="U1791" s="9"/>
      <c r="V1791" s="9"/>
      <c r="W1791" s="9"/>
      <c r="X1791" s="9"/>
      <c r="Y1791" s="9"/>
      <c r="Z1791" s="9"/>
      <c r="AA1791" s="9"/>
      <c r="AB1791" s="9"/>
      <c r="AC1791" s="9"/>
      <c r="AD1791" s="25"/>
      <c r="AE1791" s="25"/>
      <c r="AF1791" s="9"/>
      <c r="AG1791" s="9"/>
      <c r="AH1791" s="9"/>
      <c r="AI1791" s="9"/>
    </row>
    <row r="1792" ht="15.75" customHeight="1">
      <c r="A1792" s="9"/>
      <c r="B1792" s="9"/>
      <c r="C1792" s="9"/>
      <c r="D1792" s="9"/>
      <c r="E1792" s="57"/>
      <c r="F1792" s="58"/>
      <c r="G1792" s="58"/>
      <c r="H1792" s="57"/>
      <c r="I1792" s="57"/>
      <c r="K1792" s="57"/>
      <c r="L1792" s="72"/>
      <c r="M1792" s="62"/>
      <c r="N1792" s="60"/>
      <c r="O1792" s="23"/>
      <c r="P1792" s="23"/>
      <c r="Q1792" s="9"/>
      <c r="R1792" s="9"/>
      <c r="S1792" s="9"/>
      <c r="T1792" s="9"/>
      <c r="U1792" s="9"/>
      <c r="V1792" s="9"/>
      <c r="W1792" s="9"/>
      <c r="X1792" s="9"/>
      <c r="Y1792" s="9"/>
      <c r="Z1792" s="9"/>
      <c r="AA1792" s="9"/>
      <c r="AB1792" s="9"/>
      <c r="AC1792" s="9"/>
      <c r="AD1792" s="25"/>
      <c r="AE1792" s="25"/>
      <c r="AF1792" s="9"/>
      <c r="AG1792" s="9"/>
      <c r="AH1792" s="9"/>
      <c r="AI1792" s="9"/>
    </row>
    <row r="1793" ht="15.75" customHeight="1">
      <c r="A1793" s="9"/>
      <c r="B1793" s="9"/>
      <c r="C1793" s="9"/>
      <c r="D1793" s="9"/>
      <c r="E1793" s="57"/>
      <c r="F1793" s="58"/>
      <c r="G1793" s="58"/>
      <c r="H1793" s="57"/>
      <c r="I1793" s="57"/>
      <c r="K1793" s="57"/>
      <c r="L1793" s="72"/>
      <c r="M1793" s="62"/>
      <c r="N1793" s="60"/>
      <c r="O1793" s="23"/>
      <c r="P1793" s="23"/>
      <c r="Q1793" s="9"/>
      <c r="R1793" s="9"/>
      <c r="S1793" s="9"/>
      <c r="T1793" s="9"/>
      <c r="U1793" s="9"/>
      <c r="V1793" s="9"/>
      <c r="W1793" s="9"/>
      <c r="X1793" s="9"/>
      <c r="Y1793" s="9"/>
      <c r="Z1793" s="9"/>
      <c r="AA1793" s="9"/>
      <c r="AB1793" s="9"/>
      <c r="AC1793" s="9"/>
      <c r="AD1793" s="25"/>
      <c r="AE1793" s="25"/>
      <c r="AF1793" s="9"/>
      <c r="AG1793" s="9"/>
      <c r="AH1793" s="9"/>
      <c r="AI1793" s="9"/>
    </row>
    <row r="1794" ht="15.75" customHeight="1">
      <c r="A1794" s="9"/>
      <c r="B1794" s="9"/>
      <c r="C1794" s="9"/>
      <c r="D1794" s="9"/>
      <c r="E1794" s="57"/>
      <c r="F1794" s="58"/>
      <c r="G1794" s="58"/>
      <c r="H1794" s="57"/>
      <c r="I1794" s="57"/>
      <c r="K1794" s="57"/>
      <c r="L1794" s="72"/>
      <c r="M1794" s="62"/>
      <c r="N1794" s="60"/>
      <c r="O1794" s="23"/>
      <c r="P1794" s="23"/>
      <c r="Q1794" s="9"/>
      <c r="R1794" s="9"/>
      <c r="S1794" s="9"/>
      <c r="T1794" s="9"/>
      <c r="U1794" s="9"/>
      <c r="V1794" s="9"/>
      <c r="W1794" s="9"/>
      <c r="X1794" s="9"/>
      <c r="Y1794" s="9"/>
      <c r="Z1794" s="9"/>
      <c r="AA1794" s="9"/>
      <c r="AB1794" s="9"/>
      <c r="AC1794" s="9"/>
      <c r="AD1794" s="25"/>
      <c r="AE1794" s="25"/>
      <c r="AF1794" s="9"/>
      <c r="AG1794" s="9"/>
      <c r="AH1794" s="9"/>
      <c r="AI1794" s="9"/>
    </row>
    <row r="1795" ht="15.75" customHeight="1">
      <c r="A1795" s="9"/>
      <c r="B1795" s="9"/>
      <c r="C1795" s="9"/>
      <c r="D1795" s="9"/>
      <c r="E1795" s="57"/>
      <c r="F1795" s="58"/>
      <c r="G1795" s="58"/>
      <c r="H1795" s="57"/>
      <c r="I1795" s="57"/>
      <c r="K1795" s="57"/>
      <c r="L1795" s="72"/>
      <c r="M1795" s="62"/>
      <c r="N1795" s="60"/>
      <c r="O1795" s="23"/>
      <c r="P1795" s="23"/>
      <c r="Q1795" s="9"/>
      <c r="R1795" s="9"/>
      <c r="S1795" s="9"/>
      <c r="T1795" s="9"/>
      <c r="U1795" s="9"/>
      <c r="V1795" s="9"/>
      <c r="W1795" s="9"/>
      <c r="X1795" s="9"/>
      <c r="Y1795" s="9"/>
      <c r="Z1795" s="9"/>
      <c r="AA1795" s="9"/>
      <c r="AB1795" s="9"/>
      <c r="AC1795" s="9"/>
      <c r="AD1795" s="25"/>
      <c r="AE1795" s="25"/>
      <c r="AF1795" s="9"/>
      <c r="AG1795" s="9"/>
      <c r="AH1795" s="9"/>
      <c r="AI1795" s="9"/>
    </row>
    <row r="1796" ht="15.75" customHeight="1">
      <c r="A1796" s="9"/>
      <c r="B1796" s="9"/>
      <c r="C1796" s="9"/>
      <c r="D1796" s="9"/>
      <c r="E1796" s="57"/>
      <c r="F1796" s="58"/>
      <c r="G1796" s="58"/>
      <c r="H1796" s="57"/>
      <c r="I1796" s="57"/>
      <c r="K1796" s="57"/>
      <c r="L1796" s="72"/>
      <c r="M1796" s="62"/>
      <c r="N1796" s="60"/>
      <c r="O1796" s="23"/>
      <c r="P1796" s="23"/>
      <c r="Q1796" s="9"/>
      <c r="R1796" s="9"/>
      <c r="S1796" s="9"/>
      <c r="T1796" s="9"/>
      <c r="U1796" s="9"/>
      <c r="V1796" s="9"/>
      <c r="W1796" s="9"/>
      <c r="X1796" s="9"/>
      <c r="Y1796" s="9"/>
      <c r="Z1796" s="9"/>
      <c r="AA1796" s="9"/>
      <c r="AB1796" s="9"/>
      <c r="AC1796" s="9"/>
      <c r="AD1796" s="25"/>
      <c r="AE1796" s="25"/>
      <c r="AF1796" s="9"/>
      <c r="AG1796" s="9"/>
      <c r="AH1796" s="9"/>
      <c r="AI1796" s="9"/>
    </row>
    <row r="1797" ht="15.75" customHeight="1">
      <c r="A1797" s="9"/>
      <c r="B1797" s="9"/>
      <c r="C1797" s="9"/>
      <c r="D1797" s="9"/>
      <c r="E1797" s="57"/>
      <c r="F1797" s="58"/>
      <c r="G1797" s="58"/>
      <c r="H1797" s="57"/>
      <c r="I1797" s="57"/>
      <c r="K1797" s="57"/>
      <c r="L1797" s="72"/>
      <c r="M1797" s="62"/>
      <c r="N1797" s="60"/>
      <c r="O1797" s="23"/>
      <c r="P1797" s="23"/>
      <c r="Q1797" s="9"/>
      <c r="R1797" s="9"/>
      <c r="S1797" s="9"/>
      <c r="T1797" s="9"/>
      <c r="U1797" s="9"/>
      <c r="V1797" s="9"/>
      <c r="W1797" s="9"/>
      <c r="X1797" s="9"/>
      <c r="Y1797" s="9"/>
      <c r="Z1797" s="9"/>
      <c r="AA1797" s="9"/>
      <c r="AB1797" s="9"/>
      <c r="AC1797" s="9"/>
      <c r="AD1797" s="25"/>
      <c r="AE1797" s="25"/>
      <c r="AF1797" s="9"/>
      <c r="AG1797" s="9"/>
      <c r="AH1797" s="9"/>
      <c r="AI1797" s="9"/>
    </row>
    <row r="1798" ht="15.75" customHeight="1">
      <c r="A1798" s="9"/>
      <c r="B1798" s="9"/>
      <c r="C1798" s="9"/>
      <c r="D1798" s="9"/>
      <c r="E1798" s="57"/>
      <c r="F1798" s="58"/>
      <c r="G1798" s="58"/>
      <c r="H1798" s="57"/>
      <c r="I1798" s="57"/>
      <c r="K1798" s="57"/>
      <c r="L1798" s="72"/>
      <c r="M1798" s="62"/>
      <c r="N1798" s="60"/>
      <c r="O1798" s="23"/>
      <c r="P1798" s="23"/>
      <c r="Q1798" s="9"/>
      <c r="R1798" s="9"/>
      <c r="S1798" s="9"/>
      <c r="T1798" s="9"/>
      <c r="U1798" s="9"/>
      <c r="V1798" s="9"/>
      <c r="W1798" s="9"/>
      <c r="X1798" s="9"/>
      <c r="Y1798" s="9"/>
      <c r="Z1798" s="9"/>
      <c r="AA1798" s="9"/>
      <c r="AB1798" s="9"/>
      <c r="AC1798" s="9"/>
      <c r="AD1798" s="25"/>
      <c r="AE1798" s="25"/>
      <c r="AF1798" s="9"/>
      <c r="AG1798" s="9"/>
      <c r="AH1798" s="9"/>
      <c r="AI1798" s="9"/>
    </row>
    <row r="1799" ht="15.75" customHeight="1">
      <c r="A1799" s="9"/>
      <c r="B1799" s="9"/>
      <c r="C1799" s="9"/>
      <c r="D1799" s="9"/>
      <c r="E1799" s="57"/>
      <c r="F1799" s="58"/>
      <c r="G1799" s="58"/>
      <c r="H1799" s="57"/>
      <c r="I1799" s="57"/>
      <c r="K1799" s="57"/>
      <c r="L1799" s="72"/>
      <c r="M1799" s="62"/>
      <c r="N1799" s="60"/>
      <c r="O1799" s="23"/>
      <c r="P1799" s="23"/>
      <c r="Q1799" s="9"/>
      <c r="R1799" s="9"/>
      <c r="S1799" s="9"/>
      <c r="T1799" s="9"/>
      <c r="U1799" s="9"/>
      <c r="V1799" s="9"/>
      <c r="W1799" s="9"/>
      <c r="X1799" s="9"/>
      <c r="Y1799" s="9"/>
      <c r="Z1799" s="9"/>
      <c r="AA1799" s="9"/>
      <c r="AB1799" s="9"/>
      <c r="AC1799" s="9"/>
      <c r="AD1799" s="25"/>
      <c r="AE1799" s="25"/>
      <c r="AF1799" s="9"/>
      <c r="AG1799" s="9"/>
      <c r="AH1799" s="9"/>
      <c r="AI1799" s="9"/>
    </row>
    <row r="1800" ht="15.75" customHeight="1">
      <c r="A1800" s="9"/>
      <c r="B1800" s="9"/>
      <c r="C1800" s="9"/>
      <c r="D1800" s="9"/>
      <c r="E1800" s="57"/>
      <c r="F1800" s="58"/>
      <c r="G1800" s="58"/>
      <c r="H1800" s="57"/>
      <c r="I1800" s="57"/>
      <c r="K1800" s="57"/>
      <c r="L1800" s="72"/>
      <c r="M1800" s="62"/>
      <c r="N1800" s="60"/>
      <c r="O1800" s="23"/>
      <c r="P1800" s="23"/>
      <c r="Q1800" s="9"/>
      <c r="R1800" s="9"/>
      <c r="S1800" s="9"/>
      <c r="T1800" s="9"/>
      <c r="U1800" s="9"/>
      <c r="V1800" s="9"/>
      <c r="W1800" s="9"/>
      <c r="X1800" s="9"/>
      <c r="Y1800" s="9"/>
      <c r="Z1800" s="9"/>
      <c r="AA1800" s="9"/>
      <c r="AB1800" s="9"/>
      <c r="AC1800" s="9"/>
      <c r="AD1800" s="25"/>
      <c r="AE1800" s="25"/>
      <c r="AF1800" s="9"/>
      <c r="AG1800" s="9"/>
      <c r="AH1800" s="9"/>
      <c r="AI1800" s="9"/>
    </row>
    <row r="1801" ht="15.75" customHeight="1">
      <c r="A1801" s="9"/>
      <c r="B1801" s="9"/>
      <c r="C1801" s="9"/>
      <c r="D1801" s="9"/>
      <c r="E1801" s="57"/>
      <c r="F1801" s="58"/>
      <c r="G1801" s="58"/>
      <c r="H1801" s="57"/>
      <c r="I1801" s="57"/>
      <c r="K1801" s="57"/>
      <c r="L1801" s="72"/>
      <c r="M1801" s="62"/>
      <c r="N1801" s="60"/>
      <c r="O1801" s="23"/>
      <c r="P1801" s="23"/>
      <c r="Q1801" s="9"/>
      <c r="R1801" s="9"/>
      <c r="S1801" s="9"/>
      <c r="T1801" s="9"/>
      <c r="U1801" s="9"/>
      <c r="V1801" s="9"/>
      <c r="W1801" s="9"/>
      <c r="X1801" s="9"/>
      <c r="Y1801" s="9"/>
      <c r="Z1801" s="9"/>
      <c r="AA1801" s="9"/>
      <c r="AB1801" s="9"/>
      <c r="AC1801" s="9"/>
      <c r="AD1801" s="25"/>
      <c r="AE1801" s="25"/>
      <c r="AF1801" s="9"/>
      <c r="AG1801" s="9"/>
      <c r="AH1801" s="9"/>
      <c r="AI1801" s="9"/>
    </row>
    <row r="1802" ht="15.75" customHeight="1">
      <c r="A1802" s="9"/>
      <c r="B1802" s="9"/>
      <c r="C1802" s="9"/>
      <c r="D1802" s="9"/>
      <c r="E1802" s="57"/>
      <c r="F1802" s="58"/>
      <c r="G1802" s="58"/>
      <c r="H1802" s="57"/>
      <c r="I1802" s="57"/>
      <c r="K1802" s="57"/>
      <c r="L1802" s="72"/>
      <c r="M1802" s="62"/>
      <c r="N1802" s="60"/>
      <c r="O1802" s="23"/>
      <c r="P1802" s="23"/>
      <c r="Q1802" s="9"/>
      <c r="R1802" s="9"/>
      <c r="S1802" s="9"/>
      <c r="T1802" s="9"/>
      <c r="U1802" s="9"/>
      <c r="V1802" s="9"/>
      <c r="W1802" s="9"/>
      <c r="X1802" s="9"/>
      <c r="Y1802" s="9"/>
      <c r="Z1802" s="9"/>
      <c r="AA1802" s="9"/>
      <c r="AB1802" s="9"/>
      <c r="AC1802" s="9"/>
      <c r="AD1802" s="25"/>
      <c r="AE1802" s="25"/>
      <c r="AF1802" s="9"/>
      <c r="AG1802" s="9"/>
      <c r="AH1802" s="9"/>
      <c r="AI1802" s="9"/>
    </row>
    <row r="1803" ht="15.75" customHeight="1">
      <c r="A1803" s="9"/>
      <c r="B1803" s="9"/>
      <c r="C1803" s="9"/>
      <c r="D1803" s="9"/>
      <c r="E1803" s="57"/>
      <c r="F1803" s="58"/>
      <c r="G1803" s="58"/>
      <c r="H1803" s="57"/>
      <c r="I1803" s="57"/>
      <c r="K1803" s="57"/>
      <c r="L1803" s="72"/>
      <c r="M1803" s="62"/>
      <c r="N1803" s="60"/>
      <c r="O1803" s="23"/>
      <c r="P1803" s="23"/>
      <c r="Q1803" s="9"/>
      <c r="R1803" s="9"/>
      <c r="S1803" s="9"/>
      <c r="T1803" s="9"/>
      <c r="U1803" s="9"/>
      <c r="V1803" s="9"/>
      <c r="W1803" s="9"/>
      <c r="X1803" s="9"/>
      <c r="Y1803" s="9"/>
      <c r="Z1803" s="9"/>
      <c r="AA1803" s="9"/>
      <c r="AB1803" s="9"/>
      <c r="AC1803" s="9"/>
      <c r="AD1803" s="25"/>
      <c r="AE1803" s="25"/>
      <c r="AF1803" s="9"/>
      <c r="AG1803" s="9"/>
      <c r="AH1803" s="9"/>
      <c r="AI1803" s="9"/>
    </row>
    <row r="1804" ht="15.75" customHeight="1">
      <c r="A1804" s="9"/>
      <c r="B1804" s="9"/>
      <c r="C1804" s="9"/>
      <c r="D1804" s="9"/>
      <c r="E1804" s="57"/>
      <c r="F1804" s="58"/>
      <c r="G1804" s="58"/>
      <c r="H1804" s="57"/>
      <c r="I1804" s="57"/>
      <c r="K1804" s="57"/>
      <c r="L1804" s="72"/>
      <c r="M1804" s="62"/>
      <c r="N1804" s="60"/>
      <c r="O1804" s="23"/>
      <c r="P1804" s="23"/>
      <c r="Q1804" s="9"/>
      <c r="R1804" s="9"/>
      <c r="S1804" s="9"/>
      <c r="T1804" s="9"/>
      <c r="U1804" s="9"/>
      <c r="V1804" s="9"/>
      <c r="W1804" s="9"/>
      <c r="X1804" s="9"/>
      <c r="Y1804" s="9"/>
      <c r="Z1804" s="9"/>
      <c r="AA1804" s="9"/>
      <c r="AB1804" s="9"/>
      <c r="AC1804" s="9"/>
      <c r="AD1804" s="25"/>
      <c r="AE1804" s="25"/>
      <c r="AF1804" s="9"/>
      <c r="AG1804" s="9"/>
      <c r="AH1804" s="9"/>
      <c r="AI1804" s="9"/>
    </row>
    <row r="1805" ht="15.75" customHeight="1">
      <c r="A1805" s="9"/>
      <c r="B1805" s="9"/>
      <c r="C1805" s="9"/>
      <c r="D1805" s="9"/>
      <c r="E1805" s="57"/>
      <c r="F1805" s="58"/>
      <c r="G1805" s="58"/>
      <c r="H1805" s="57"/>
      <c r="I1805" s="57"/>
      <c r="K1805" s="57"/>
      <c r="L1805" s="72"/>
      <c r="M1805" s="62"/>
      <c r="N1805" s="60"/>
      <c r="O1805" s="23"/>
      <c r="P1805" s="23"/>
      <c r="Q1805" s="9"/>
      <c r="R1805" s="9"/>
      <c r="S1805" s="9"/>
      <c r="T1805" s="9"/>
      <c r="U1805" s="9"/>
      <c r="V1805" s="9"/>
      <c r="W1805" s="9"/>
      <c r="X1805" s="9"/>
      <c r="Y1805" s="9"/>
      <c r="Z1805" s="9"/>
      <c r="AA1805" s="9"/>
      <c r="AB1805" s="9"/>
      <c r="AC1805" s="9"/>
      <c r="AD1805" s="25"/>
      <c r="AE1805" s="25"/>
      <c r="AF1805" s="9"/>
      <c r="AG1805" s="9"/>
      <c r="AH1805" s="9"/>
      <c r="AI1805" s="9"/>
    </row>
    <row r="1806" ht="15.75" customHeight="1">
      <c r="A1806" s="9"/>
      <c r="B1806" s="9"/>
      <c r="C1806" s="9"/>
      <c r="D1806" s="9"/>
      <c r="E1806" s="57"/>
      <c r="F1806" s="58"/>
      <c r="G1806" s="58"/>
      <c r="H1806" s="57"/>
      <c r="I1806" s="57"/>
      <c r="K1806" s="57"/>
      <c r="L1806" s="72"/>
      <c r="M1806" s="62"/>
      <c r="N1806" s="60"/>
      <c r="O1806" s="23"/>
      <c r="P1806" s="23"/>
      <c r="Q1806" s="9"/>
      <c r="R1806" s="9"/>
      <c r="S1806" s="9"/>
      <c r="T1806" s="9"/>
      <c r="U1806" s="9"/>
      <c r="V1806" s="9"/>
      <c r="W1806" s="9"/>
      <c r="X1806" s="9"/>
      <c r="Y1806" s="9"/>
      <c r="Z1806" s="9"/>
      <c r="AA1806" s="9"/>
      <c r="AB1806" s="9"/>
      <c r="AC1806" s="9"/>
      <c r="AD1806" s="25"/>
      <c r="AE1806" s="25"/>
      <c r="AF1806" s="9"/>
      <c r="AG1806" s="9"/>
      <c r="AH1806" s="9"/>
      <c r="AI1806" s="9"/>
    </row>
    <row r="1807" ht="15.75" customHeight="1">
      <c r="A1807" s="9"/>
      <c r="B1807" s="9"/>
      <c r="C1807" s="9"/>
      <c r="D1807" s="9"/>
      <c r="E1807" s="57"/>
      <c r="F1807" s="58"/>
      <c r="G1807" s="58"/>
      <c r="H1807" s="57"/>
      <c r="I1807" s="57"/>
      <c r="J1807" s="57"/>
      <c r="K1807" s="57"/>
      <c r="L1807" s="57"/>
      <c r="M1807" s="59"/>
      <c r="N1807" s="60"/>
      <c r="O1807" s="23"/>
      <c r="P1807" s="23"/>
      <c r="Q1807" s="9"/>
      <c r="R1807" s="9"/>
      <c r="S1807" s="9"/>
      <c r="T1807" s="9"/>
      <c r="U1807" s="9"/>
      <c r="V1807" s="9"/>
      <c r="W1807" s="9"/>
      <c r="X1807" s="9"/>
      <c r="Y1807" s="9"/>
      <c r="Z1807" s="9"/>
      <c r="AA1807" s="9"/>
      <c r="AB1807" s="9"/>
      <c r="AC1807" s="9"/>
      <c r="AD1807" s="25"/>
      <c r="AE1807" s="25"/>
      <c r="AF1807" s="9"/>
      <c r="AG1807" s="9"/>
      <c r="AH1807" s="9"/>
      <c r="AI1807" s="9"/>
    </row>
    <row r="1808" ht="15.75" customHeight="1">
      <c r="A1808" s="9"/>
      <c r="B1808" s="9"/>
      <c r="C1808" s="9"/>
      <c r="D1808" s="9"/>
      <c r="E1808" s="57"/>
      <c r="F1808" s="58"/>
      <c r="G1808" s="58"/>
      <c r="H1808" s="57"/>
      <c r="I1808" s="57"/>
      <c r="J1808" s="57"/>
      <c r="K1808" s="57"/>
      <c r="L1808" s="57"/>
      <c r="M1808" s="59"/>
      <c r="N1808" s="60"/>
      <c r="O1808" s="23"/>
      <c r="P1808" s="23"/>
      <c r="Q1808" s="9"/>
      <c r="R1808" s="9"/>
      <c r="S1808" s="9"/>
      <c r="T1808" s="9"/>
      <c r="U1808" s="9"/>
      <c r="V1808" s="9"/>
      <c r="W1808" s="9"/>
      <c r="X1808" s="9"/>
      <c r="Y1808" s="9"/>
      <c r="Z1808" s="9"/>
      <c r="AA1808" s="9"/>
      <c r="AB1808" s="9"/>
      <c r="AC1808" s="9"/>
      <c r="AD1808" s="25"/>
      <c r="AE1808" s="25"/>
      <c r="AF1808" s="9"/>
      <c r="AG1808" s="9"/>
      <c r="AH1808" s="9"/>
      <c r="AI1808" s="9"/>
    </row>
    <row r="1809" ht="15.75" customHeight="1">
      <c r="A1809" s="9"/>
      <c r="B1809" s="9"/>
      <c r="C1809" s="9"/>
      <c r="D1809" s="9"/>
      <c r="E1809" s="57"/>
      <c r="F1809" s="58"/>
      <c r="G1809" s="58"/>
      <c r="H1809" s="57"/>
      <c r="I1809" s="57"/>
      <c r="J1809" s="57"/>
      <c r="K1809" s="57"/>
      <c r="L1809" s="57"/>
      <c r="M1809" s="59"/>
      <c r="N1809" s="60"/>
      <c r="O1809" s="23"/>
      <c r="P1809" s="23"/>
      <c r="Q1809" s="9"/>
      <c r="R1809" s="9"/>
      <c r="S1809" s="9"/>
      <c r="T1809" s="9"/>
      <c r="U1809" s="9"/>
      <c r="V1809" s="9"/>
      <c r="W1809" s="9"/>
      <c r="X1809" s="9"/>
      <c r="Y1809" s="9"/>
      <c r="Z1809" s="9"/>
      <c r="AA1809" s="9"/>
      <c r="AB1809" s="9"/>
      <c r="AC1809" s="9"/>
      <c r="AD1809" s="25"/>
      <c r="AE1809" s="25"/>
      <c r="AF1809" s="9"/>
      <c r="AG1809" s="9"/>
      <c r="AH1809" s="9"/>
      <c r="AI1809" s="9"/>
    </row>
    <row r="1810" ht="15.75" customHeight="1">
      <c r="A1810" s="9"/>
      <c r="B1810" s="9"/>
      <c r="C1810" s="9"/>
      <c r="D1810" s="9"/>
      <c r="E1810" s="57"/>
      <c r="F1810" s="58"/>
      <c r="G1810" s="58"/>
      <c r="H1810" s="57"/>
      <c r="I1810" s="57"/>
      <c r="J1810" s="57"/>
      <c r="K1810" s="57"/>
      <c r="L1810" s="57"/>
      <c r="M1810" s="59"/>
      <c r="N1810" s="60"/>
      <c r="O1810" s="23"/>
      <c r="P1810" s="23"/>
      <c r="Q1810" s="9"/>
      <c r="R1810" s="9"/>
      <c r="S1810" s="9"/>
      <c r="T1810" s="9"/>
      <c r="U1810" s="9"/>
      <c r="V1810" s="9"/>
      <c r="W1810" s="9"/>
      <c r="X1810" s="9"/>
      <c r="Y1810" s="9"/>
      <c r="Z1810" s="9"/>
      <c r="AA1810" s="9"/>
      <c r="AB1810" s="9"/>
      <c r="AC1810" s="9"/>
      <c r="AD1810" s="25"/>
      <c r="AE1810" s="25"/>
      <c r="AF1810" s="9"/>
      <c r="AG1810" s="9"/>
      <c r="AH1810" s="9"/>
      <c r="AI1810" s="9"/>
    </row>
    <row r="1811" ht="15.75" customHeight="1">
      <c r="A1811" s="9"/>
      <c r="B1811" s="9"/>
      <c r="C1811" s="9"/>
      <c r="D1811" s="9"/>
      <c r="E1811" s="57"/>
      <c r="F1811" s="58"/>
      <c r="G1811" s="58"/>
      <c r="H1811" s="57"/>
      <c r="I1811" s="57"/>
      <c r="J1811" s="57"/>
      <c r="K1811" s="57"/>
      <c r="L1811" s="72"/>
      <c r="M1811" s="62"/>
      <c r="N1811" s="60"/>
      <c r="O1811" s="23"/>
      <c r="P1811" s="23"/>
      <c r="Q1811" s="9"/>
      <c r="R1811" s="9"/>
      <c r="S1811" s="9"/>
      <c r="T1811" s="9"/>
      <c r="U1811" s="9"/>
      <c r="V1811" s="9"/>
      <c r="W1811" s="9"/>
      <c r="X1811" s="9"/>
      <c r="Y1811" s="9"/>
      <c r="Z1811" s="9"/>
      <c r="AA1811" s="9"/>
      <c r="AB1811" s="9"/>
      <c r="AC1811" s="9"/>
      <c r="AD1811" s="25"/>
      <c r="AE1811" s="25"/>
      <c r="AF1811" s="9"/>
      <c r="AG1811" s="9"/>
      <c r="AH1811" s="9"/>
      <c r="AI1811" s="9"/>
    </row>
    <row r="1812" ht="15.75" customHeight="1">
      <c r="A1812" s="9"/>
      <c r="B1812" s="9"/>
      <c r="C1812" s="9"/>
      <c r="D1812" s="9"/>
      <c r="E1812" s="57"/>
      <c r="F1812" s="58"/>
      <c r="G1812" s="58"/>
      <c r="H1812" s="57"/>
      <c r="I1812" s="57"/>
      <c r="J1812" s="57"/>
      <c r="K1812" s="57"/>
      <c r="L1812" s="72"/>
      <c r="M1812" s="62"/>
      <c r="N1812" s="60"/>
      <c r="O1812" s="23"/>
      <c r="P1812" s="23"/>
      <c r="Q1812" s="9"/>
      <c r="R1812" s="9"/>
      <c r="S1812" s="9"/>
      <c r="T1812" s="9"/>
      <c r="U1812" s="9"/>
      <c r="V1812" s="9"/>
      <c r="W1812" s="9"/>
      <c r="X1812" s="9"/>
      <c r="Y1812" s="9"/>
      <c r="Z1812" s="9"/>
      <c r="AA1812" s="9"/>
      <c r="AB1812" s="9"/>
      <c r="AC1812" s="9"/>
      <c r="AD1812" s="25"/>
      <c r="AE1812" s="25"/>
      <c r="AF1812" s="9"/>
      <c r="AG1812" s="9"/>
      <c r="AH1812" s="9"/>
      <c r="AI1812" s="9"/>
    </row>
    <row r="1813" ht="15.75" customHeight="1">
      <c r="A1813" s="9"/>
      <c r="B1813" s="9"/>
      <c r="C1813" s="9"/>
      <c r="D1813" s="9"/>
      <c r="E1813" s="57"/>
      <c r="F1813" s="58"/>
      <c r="G1813" s="58"/>
      <c r="H1813" s="57"/>
      <c r="I1813" s="57"/>
      <c r="J1813" s="57"/>
      <c r="K1813" s="57"/>
      <c r="L1813" s="57"/>
      <c r="M1813" s="59"/>
      <c r="N1813" s="60"/>
      <c r="O1813" s="23"/>
      <c r="P1813" s="23"/>
      <c r="Q1813" s="9"/>
      <c r="R1813" s="9"/>
      <c r="S1813" s="9"/>
      <c r="T1813" s="9"/>
      <c r="U1813" s="9"/>
      <c r="V1813" s="9"/>
      <c r="W1813" s="9"/>
      <c r="X1813" s="9"/>
      <c r="Y1813" s="9"/>
      <c r="Z1813" s="9"/>
      <c r="AA1813" s="9"/>
      <c r="AB1813" s="9"/>
      <c r="AC1813" s="9"/>
      <c r="AD1813" s="25"/>
      <c r="AE1813" s="25"/>
      <c r="AF1813" s="9"/>
      <c r="AG1813" s="9"/>
      <c r="AH1813" s="9"/>
      <c r="AI1813" s="9"/>
    </row>
    <row r="1814" ht="15.75" customHeight="1">
      <c r="A1814" s="9"/>
      <c r="B1814" s="9"/>
      <c r="C1814" s="9"/>
      <c r="D1814" s="9"/>
      <c r="E1814" s="57"/>
      <c r="F1814" s="58"/>
      <c r="G1814" s="58"/>
      <c r="H1814" s="57"/>
      <c r="I1814" s="57"/>
      <c r="K1814" s="57"/>
      <c r="L1814" s="72"/>
      <c r="M1814" s="62"/>
      <c r="N1814" s="60"/>
      <c r="O1814" s="23"/>
      <c r="P1814" s="23"/>
      <c r="Q1814" s="9"/>
      <c r="R1814" s="9"/>
      <c r="S1814" s="9"/>
      <c r="T1814" s="9"/>
      <c r="U1814" s="9"/>
      <c r="V1814" s="9"/>
      <c r="W1814" s="9"/>
      <c r="X1814" s="9"/>
      <c r="Y1814" s="9"/>
      <c r="Z1814" s="9"/>
      <c r="AA1814" s="9"/>
      <c r="AB1814" s="9"/>
      <c r="AC1814" s="9"/>
      <c r="AD1814" s="25"/>
      <c r="AE1814" s="25"/>
      <c r="AF1814" s="9"/>
      <c r="AG1814" s="9"/>
      <c r="AH1814" s="9"/>
      <c r="AI1814" s="9"/>
    </row>
    <row r="1815" ht="15.75" customHeight="1">
      <c r="A1815" s="9"/>
      <c r="B1815" s="9"/>
      <c r="C1815" s="9"/>
      <c r="D1815" s="9"/>
      <c r="E1815" s="57"/>
      <c r="F1815" s="58"/>
      <c r="G1815" s="58"/>
      <c r="H1815" s="57"/>
      <c r="I1815" s="57"/>
      <c r="K1815" s="57"/>
      <c r="L1815" s="72"/>
      <c r="M1815" s="62"/>
      <c r="N1815" s="60"/>
      <c r="O1815" s="23"/>
      <c r="P1815" s="23"/>
      <c r="Q1815" s="9"/>
      <c r="R1815" s="9"/>
      <c r="S1815" s="9"/>
      <c r="T1815" s="9"/>
      <c r="U1815" s="9"/>
      <c r="V1815" s="9"/>
      <c r="W1815" s="9"/>
      <c r="X1815" s="9"/>
      <c r="Y1815" s="9"/>
      <c r="Z1815" s="9"/>
      <c r="AA1815" s="9"/>
      <c r="AB1815" s="9"/>
      <c r="AC1815" s="9"/>
      <c r="AD1815" s="25"/>
      <c r="AE1815" s="25"/>
      <c r="AF1815" s="9"/>
      <c r="AG1815" s="9"/>
      <c r="AH1815" s="9"/>
      <c r="AI1815" s="9"/>
    </row>
    <row r="1816" ht="15.75" customHeight="1">
      <c r="A1816" s="9"/>
      <c r="B1816" s="9"/>
      <c r="C1816" s="9"/>
      <c r="D1816" s="9"/>
      <c r="E1816" s="57"/>
      <c r="F1816" s="58"/>
      <c r="G1816" s="58"/>
      <c r="H1816" s="57"/>
      <c r="I1816" s="57"/>
      <c r="K1816" s="57"/>
      <c r="L1816" s="72"/>
      <c r="M1816" s="62"/>
      <c r="N1816" s="60"/>
      <c r="O1816" s="23"/>
      <c r="P1816" s="23"/>
      <c r="Q1816" s="9"/>
      <c r="R1816" s="9"/>
      <c r="S1816" s="9"/>
      <c r="T1816" s="9"/>
      <c r="U1816" s="9"/>
      <c r="V1816" s="9"/>
      <c r="W1816" s="9"/>
      <c r="X1816" s="9"/>
      <c r="Y1816" s="9"/>
      <c r="Z1816" s="9"/>
      <c r="AA1816" s="9"/>
      <c r="AB1816" s="9"/>
      <c r="AC1816" s="9"/>
      <c r="AD1816" s="25"/>
      <c r="AE1816" s="25"/>
      <c r="AF1816" s="9"/>
      <c r="AG1816" s="9"/>
      <c r="AH1816" s="9"/>
      <c r="AI1816" s="9"/>
    </row>
    <row r="1817" ht="15.75" customHeight="1">
      <c r="A1817" s="9"/>
      <c r="B1817" s="9"/>
      <c r="C1817" s="9"/>
      <c r="D1817" s="9"/>
      <c r="E1817" s="57"/>
      <c r="F1817" s="58"/>
      <c r="G1817" s="58"/>
      <c r="H1817" s="57"/>
      <c r="I1817" s="57"/>
      <c r="K1817" s="57"/>
      <c r="L1817" s="72"/>
      <c r="M1817" s="62"/>
      <c r="N1817" s="60"/>
      <c r="O1817" s="23"/>
      <c r="P1817" s="23"/>
      <c r="Q1817" s="9"/>
      <c r="R1817" s="9"/>
      <c r="S1817" s="9"/>
      <c r="T1817" s="9"/>
      <c r="U1817" s="9"/>
      <c r="V1817" s="9"/>
      <c r="W1817" s="9"/>
      <c r="X1817" s="9"/>
      <c r="Y1817" s="9"/>
      <c r="Z1817" s="9"/>
      <c r="AA1817" s="9"/>
      <c r="AB1817" s="9"/>
      <c r="AC1817" s="9"/>
      <c r="AD1817" s="25"/>
      <c r="AE1817" s="25"/>
      <c r="AF1817" s="9"/>
      <c r="AG1817" s="9"/>
      <c r="AH1817" s="9"/>
      <c r="AI1817" s="9"/>
    </row>
    <row r="1818" ht="15.75" customHeight="1">
      <c r="A1818" s="9"/>
      <c r="B1818" s="9"/>
      <c r="C1818" s="9"/>
      <c r="D1818" s="9"/>
      <c r="E1818" s="57"/>
      <c r="F1818" s="58"/>
      <c r="G1818" s="58"/>
      <c r="H1818" s="57"/>
      <c r="I1818" s="57"/>
      <c r="K1818" s="57"/>
      <c r="L1818" s="72"/>
      <c r="M1818" s="62"/>
      <c r="N1818" s="60"/>
      <c r="O1818" s="23"/>
      <c r="P1818" s="23"/>
      <c r="Q1818" s="9"/>
      <c r="R1818" s="9"/>
      <c r="S1818" s="9"/>
      <c r="T1818" s="9"/>
      <c r="U1818" s="9"/>
      <c r="V1818" s="9"/>
      <c r="W1818" s="9"/>
      <c r="X1818" s="9"/>
      <c r="Y1818" s="9"/>
      <c r="Z1818" s="9"/>
      <c r="AA1818" s="9"/>
      <c r="AB1818" s="9"/>
      <c r="AC1818" s="9"/>
      <c r="AD1818" s="25"/>
      <c r="AE1818" s="25"/>
      <c r="AF1818" s="9"/>
      <c r="AG1818" s="9"/>
      <c r="AH1818" s="9"/>
      <c r="AI1818" s="9"/>
    </row>
    <row r="1819" ht="15.75" customHeight="1">
      <c r="A1819" s="9"/>
      <c r="B1819" s="9"/>
      <c r="C1819" s="9"/>
      <c r="D1819" s="9"/>
      <c r="E1819" s="57"/>
      <c r="F1819" s="58"/>
      <c r="G1819" s="58"/>
      <c r="H1819" s="57"/>
      <c r="I1819" s="57"/>
      <c r="K1819" s="57"/>
      <c r="L1819" s="72"/>
      <c r="M1819" s="62"/>
      <c r="N1819" s="60"/>
      <c r="O1819" s="23"/>
      <c r="P1819" s="23"/>
      <c r="Q1819" s="9"/>
      <c r="R1819" s="9"/>
      <c r="S1819" s="9"/>
      <c r="T1819" s="9"/>
      <c r="U1819" s="9"/>
      <c r="V1819" s="9"/>
      <c r="W1819" s="9"/>
      <c r="X1819" s="9"/>
      <c r="Y1819" s="9"/>
      <c r="Z1819" s="9"/>
      <c r="AA1819" s="9"/>
      <c r="AB1819" s="9"/>
      <c r="AC1819" s="9"/>
      <c r="AD1819" s="25"/>
      <c r="AE1819" s="25"/>
      <c r="AF1819" s="9"/>
      <c r="AG1819" s="9"/>
      <c r="AH1819" s="9"/>
      <c r="AI1819" s="9"/>
    </row>
    <row r="1820" ht="15.75" customHeight="1">
      <c r="A1820" s="9"/>
      <c r="B1820" s="9"/>
      <c r="C1820" s="9"/>
      <c r="D1820" s="9"/>
      <c r="E1820" s="57"/>
      <c r="F1820" s="58"/>
      <c r="G1820" s="58"/>
      <c r="H1820" s="57"/>
      <c r="I1820" s="57"/>
      <c r="K1820" s="57"/>
      <c r="L1820" s="72"/>
      <c r="M1820" s="62"/>
      <c r="N1820" s="60"/>
      <c r="O1820" s="23"/>
      <c r="P1820" s="23"/>
      <c r="Q1820" s="9"/>
      <c r="R1820" s="9"/>
      <c r="S1820" s="9"/>
      <c r="T1820" s="9"/>
      <c r="U1820" s="9"/>
      <c r="V1820" s="9"/>
      <c r="W1820" s="9"/>
      <c r="X1820" s="9"/>
      <c r="Y1820" s="9"/>
      <c r="Z1820" s="9"/>
      <c r="AA1820" s="9"/>
      <c r="AB1820" s="9"/>
      <c r="AC1820" s="9"/>
      <c r="AD1820" s="25"/>
      <c r="AE1820" s="25"/>
      <c r="AF1820" s="9"/>
      <c r="AG1820" s="9"/>
      <c r="AH1820" s="9"/>
      <c r="AI1820" s="9"/>
    </row>
    <row r="1821" ht="15.75" customHeight="1">
      <c r="A1821" s="9"/>
      <c r="B1821" s="9"/>
      <c r="C1821" s="9"/>
      <c r="D1821" s="9"/>
      <c r="E1821" s="57"/>
      <c r="F1821" s="58"/>
      <c r="G1821" s="58"/>
      <c r="H1821" s="57"/>
      <c r="I1821" s="57"/>
      <c r="K1821" s="57"/>
      <c r="L1821" s="72"/>
      <c r="M1821" s="62"/>
      <c r="N1821" s="60"/>
      <c r="O1821" s="23"/>
      <c r="P1821" s="23"/>
      <c r="Q1821" s="9"/>
      <c r="R1821" s="9"/>
      <c r="S1821" s="9"/>
      <c r="T1821" s="9"/>
      <c r="U1821" s="9"/>
      <c r="V1821" s="9"/>
      <c r="W1821" s="9"/>
      <c r="X1821" s="9"/>
      <c r="Y1821" s="9"/>
      <c r="Z1821" s="9"/>
      <c r="AA1821" s="9"/>
      <c r="AB1821" s="9"/>
      <c r="AC1821" s="9"/>
      <c r="AD1821" s="25"/>
      <c r="AE1821" s="25"/>
      <c r="AF1821" s="9"/>
      <c r="AG1821" s="9"/>
      <c r="AH1821" s="9"/>
      <c r="AI1821" s="9"/>
    </row>
    <row r="1822" ht="15.75" customHeight="1">
      <c r="A1822" s="9"/>
      <c r="B1822" s="9"/>
      <c r="C1822" s="9"/>
      <c r="D1822" s="9"/>
      <c r="E1822" s="57"/>
      <c r="F1822" s="58"/>
      <c r="G1822" s="58"/>
      <c r="H1822" s="57"/>
      <c r="I1822" s="57"/>
      <c r="K1822" s="57"/>
      <c r="L1822" s="72"/>
      <c r="M1822" s="62"/>
      <c r="N1822" s="60"/>
      <c r="O1822" s="23"/>
      <c r="P1822" s="23"/>
      <c r="Q1822" s="9"/>
      <c r="R1822" s="9"/>
      <c r="S1822" s="9"/>
      <c r="T1822" s="9"/>
      <c r="U1822" s="9"/>
      <c r="V1822" s="9"/>
      <c r="W1822" s="9"/>
      <c r="X1822" s="9"/>
      <c r="Y1822" s="9"/>
      <c r="Z1822" s="9"/>
      <c r="AA1822" s="9"/>
      <c r="AB1822" s="9"/>
      <c r="AC1822" s="9"/>
      <c r="AD1822" s="25"/>
      <c r="AE1822" s="25"/>
      <c r="AF1822" s="9"/>
      <c r="AG1822" s="9"/>
      <c r="AH1822" s="9"/>
      <c r="AI1822" s="9"/>
    </row>
    <row r="1823" ht="15.75" customHeight="1">
      <c r="A1823" s="9"/>
      <c r="B1823" s="9"/>
      <c r="C1823" s="9"/>
      <c r="D1823" s="9"/>
      <c r="E1823" s="57"/>
      <c r="F1823" s="58"/>
      <c r="G1823" s="58"/>
      <c r="H1823" s="57"/>
      <c r="I1823" s="57"/>
      <c r="K1823" s="57"/>
      <c r="L1823" s="72"/>
      <c r="M1823" s="62"/>
      <c r="N1823" s="60"/>
      <c r="O1823" s="23"/>
      <c r="P1823" s="23"/>
      <c r="Q1823" s="9"/>
      <c r="R1823" s="9"/>
      <c r="S1823" s="9"/>
      <c r="T1823" s="9"/>
      <c r="U1823" s="9"/>
      <c r="V1823" s="9"/>
      <c r="W1823" s="9"/>
      <c r="X1823" s="9"/>
      <c r="Y1823" s="9"/>
      <c r="Z1823" s="9"/>
      <c r="AA1823" s="9"/>
      <c r="AB1823" s="9"/>
      <c r="AC1823" s="9"/>
      <c r="AD1823" s="25"/>
      <c r="AE1823" s="25"/>
      <c r="AF1823" s="9"/>
      <c r="AG1823" s="9"/>
      <c r="AH1823" s="9"/>
      <c r="AI1823" s="9"/>
    </row>
    <row r="1824" ht="15.75" customHeight="1">
      <c r="A1824" s="9"/>
      <c r="B1824" s="9"/>
      <c r="C1824" s="9"/>
      <c r="D1824" s="9"/>
      <c r="E1824" s="57"/>
      <c r="F1824" s="58"/>
      <c r="G1824" s="58"/>
      <c r="H1824" s="57"/>
      <c r="I1824" s="57"/>
      <c r="K1824" s="57"/>
      <c r="L1824" s="72"/>
      <c r="M1824" s="62"/>
      <c r="N1824" s="60"/>
      <c r="O1824" s="23"/>
      <c r="P1824" s="23"/>
      <c r="Q1824" s="9"/>
      <c r="R1824" s="9"/>
      <c r="S1824" s="9"/>
      <c r="T1824" s="9"/>
      <c r="U1824" s="9"/>
      <c r="V1824" s="9"/>
      <c r="W1824" s="9"/>
      <c r="X1824" s="9"/>
      <c r="Y1824" s="9"/>
      <c r="Z1824" s="9"/>
      <c r="AA1824" s="9"/>
      <c r="AB1824" s="9"/>
      <c r="AC1824" s="9"/>
      <c r="AD1824" s="25"/>
      <c r="AE1824" s="25"/>
      <c r="AF1824" s="9"/>
      <c r="AG1824" s="9"/>
      <c r="AH1824" s="9"/>
      <c r="AI1824" s="9"/>
    </row>
    <row r="1825" ht="15.75" customHeight="1">
      <c r="A1825" s="9"/>
      <c r="B1825" s="9"/>
      <c r="C1825" s="9"/>
      <c r="D1825" s="9"/>
      <c r="E1825" s="57"/>
      <c r="F1825" s="58"/>
      <c r="G1825" s="58"/>
      <c r="H1825" s="57"/>
      <c r="I1825" s="57"/>
      <c r="K1825" s="57"/>
      <c r="L1825" s="72"/>
      <c r="M1825" s="62"/>
      <c r="N1825" s="60"/>
      <c r="O1825" s="23"/>
      <c r="P1825" s="23"/>
      <c r="Q1825" s="9"/>
      <c r="R1825" s="9"/>
      <c r="S1825" s="9"/>
      <c r="T1825" s="9"/>
      <c r="U1825" s="9"/>
      <c r="V1825" s="9"/>
      <c r="W1825" s="9"/>
      <c r="X1825" s="9"/>
      <c r="Y1825" s="9"/>
      <c r="Z1825" s="9"/>
      <c r="AA1825" s="9"/>
      <c r="AB1825" s="9"/>
      <c r="AC1825" s="9"/>
      <c r="AD1825" s="25"/>
      <c r="AE1825" s="25"/>
      <c r="AF1825" s="9"/>
      <c r="AG1825" s="9"/>
      <c r="AH1825" s="9"/>
      <c r="AI1825" s="9"/>
    </row>
    <row r="1826" ht="15.75" customHeight="1">
      <c r="A1826" s="9"/>
      <c r="B1826" s="9"/>
      <c r="C1826" s="9"/>
      <c r="D1826" s="9"/>
      <c r="E1826" s="57"/>
      <c r="F1826" s="58"/>
      <c r="G1826" s="58"/>
      <c r="H1826" s="57"/>
      <c r="I1826" s="57"/>
      <c r="K1826" s="57"/>
      <c r="L1826" s="72"/>
      <c r="M1826" s="62"/>
      <c r="N1826" s="60"/>
      <c r="O1826" s="23"/>
      <c r="P1826" s="23"/>
      <c r="Q1826" s="9"/>
      <c r="R1826" s="9"/>
      <c r="S1826" s="9"/>
      <c r="T1826" s="9"/>
      <c r="U1826" s="9"/>
      <c r="V1826" s="9"/>
      <c r="W1826" s="9"/>
      <c r="X1826" s="9"/>
      <c r="Y1826" s="9"/>
      <c r="Z1826" s="9"/>
      <c r="AA1826" s="9"/>
      <c r="AB1826" s="9"/>
      <c r="AC1826" s="9"/>
      <c r="AD1826" s="25"/>
      <c r="AE1826" s="25"/>
      <c r="AF1826" s="9"/>
      <c r="AG1826" s="9"/>
      <c r="AH1826" s="9"/>
      <c r="AI1826" s="9"/>
    </row>
    <row r="1827" ht="15.75" customHeight="1">
      <c r="A1827" s="9"/>
      <c r="B1827" s="9"/>
      <c r="C1827" s="9"/>
      <c r="D1827" s="9"/>
      <c r="E1827" s="57"/>
      <c r="F1827" s="58"/>
      <c r="G1827" s="58"/>
      <c r="H1827" s="57"/>
      <c r="I1827" s="57"/>
      <c r="K1827" s="57"/>
      <c r="L1827" s="72"/>
      <c r="M1827" s="62"/>
      <c r="N1827" s="60"/>
      <c r="O1827" s="23"/>
      <c r="P1827" s="23"/>
      <c r="Q1827" s="9"/>
      <c r="R1827" s="9"/>
      <c r="S1827" s="9"/>
      <c r="T1827" s="9"/>
      <c r="U1827" s="9"/>
      <c r="V1827" s="9"/>
      <c r="W1827" s="9"/>
      <c r="X1827" s="9"/>
      <c r="Y1827" s="9"/>
      <c r="Z1827" s="9"/>
      <c r="AA1827" s="9"/>
      <c r="AB1827" s="9"/>
      <c r="AC1827" s="9"/>
      <c r="AD1827" s="25"/>
      <c r="AE1827" s="25"/>
      <c r="AF1827" s="9"/>
      <c r="AG1827" s="9"/>
      <c r="AH1827" s="9"/>
      <c r="AI1827" s="9"/>
    </row>
    <row r="1828" ht="15.75" customHeight="1">
      <c r="A1828" s="9"/>
      <c r="B1828" s="9"/>
      <c r="C1828" s="9"/>
      <c r="D1828" s="9"/>
      <c r="E1828" s="57"/>
      <c r="F1828" s="58"/>
      <c r="G1828" s="58"/>
      <c r="H1828" s="57"/>
      <c r="I1828" s="57"/>
      <c r="K1828" s="57"/>
      <c r="L1828" s="72"/>
      <c r="M1828" s="62"/>
      <c r="N1828" s="60"/>
      <c r="O1828" s="23"/>
      <c r="P1828" s="23"/>
      <c r="Q1828" s="9"/>
      <c r="R1828" s="9"/>
      <c r="S1828" s="9"/>
      <c r="T1828" s="9"/>
      <c r="U1828" s="9"/>
      <c r="V1828" s="9"/>
      <c r="W1828" s="9"/>
      <c r="X1828" s="9"/>
      <c r="Y1828" s="9"/>
      <c r="Z1828" s="9"/>
      <c r="AA1828" s="9"/>
      <c r="AB1828" s="9"/>
      <c r="AC1828" s="9"/>
      <c r="AD1828" s="25"/>
      <c r="AE1828" s="25"/>
      <c r="AF1828" s="9"/>
      <c r="AG1828" s="9"/>
      <c r="AH1828" s="9"/>
      <c r="AI1828" s="9"/>
    </row>
    <row r="1829" ht="15.75" customHeight="1">
      <c r="A1829" s="9"/>
      <c r="B1829" s="9"/>
      <c r="C1829" s="9"/>
      <c r="D1829" s="9"/>
      <c r="E1829" s="57"/>
      <c r="F1829" s="58"/>
      <c r="G1829" s="58"/>
      <c r="H1829" s="57"/>
      <c r="I1829" s="57"/>
      <c r="K1829" s="57"/>
      <c r="L1829" s="72"/>
      <c r="M1829" s="62"/>
      <c r="N1829" s="60"/>
      <c r="O1829" s="23"/>
      <c r="P1829" s="23"/>
      <c r="Q1829" s="9"/>
      <c r="R1829" s="9"/>
      <c r="S1829" s="9"/>
      <c r="T1829" s="9"/>
      <c r="U1829" s="9"/>
      <c r="V1829" s="9"/>
      <c r="W1829" s="9"/>
      <c r="X1829" s="9"/>
      <c r="Y1829" s="9"/>
      <c r="Z1829" s="9"/>
      <c r="AA1829" s="9"/>
      <c r="AB1829" s="9"/>
      <c r="AC1829" s="9"/>
      <c r="AD1829" s="25"/>
      <c r="AE1829" s="25"/>
      <c r="AF1829" s="9"/>
      <c r="AG1829" s="9"/>
      <c r="AH1829" s="9"/>
      <c r="AI1829" s="9"/>
    </row>
    <row r="1830" ht="15.75" customHeight="1">
      <c r="A1830" s="9"/>
      <c r="B1830" s="9"/>
      <c r="C1830" s="9"/>
      <c r="D1830" s="9"/>
      <c r="E1830" s="57"/>
      <c r="F1830" s="58"/>
      <c r="G1830" s="58"/>
      <c r="H1830" s="57"/>
      <c r="I1830" s="57"/>
      <c r="K1830" s="57"/>
      <c r="L1830" s="72"/>
      <c r="M1830" s="62"/>
      <c r="N1830" s="60"/>
      <c r="O1830" s="23"/>
      <c r="P1830" s="23"/>
      <c r="Q1830" s="9"/>
      <c r="R1830" s="9"/>
      <c r="S1830" s="9"/>
      <c r="T1830" s="9"/>
      <c r="U1830" s="9"/>
      <c r="V1830" s="9"/>
      <c r="W1830" s="9"/>
      <c r="X1830" s="9"/>
      <c r="Y1830" s="9"/>
      <c r="Z1830" s="9"/>
      <c r="AA1830" s="9"/>
      <c r="AB1830" s="9"/>
      <c r="AC1830" s="9"/>
      <c r="AD1830" s="25"/>
      <c r="AE1830" s="25"/>
      <c r="AF1830" s="9"/>
      <c r="AG1830" s="9"/>
      <c r="AH1830" s="9"/>
      <c r="AI1830" s="9"/>
    </row>
    <row r="1831" ht="15.75" customHeight="1">
      <c r="A1831" s="9"/>
      <c r="B1831" s="9"/>
      <c r="C1831" s="9"/>
      <c r="D1831" s="9"/>
      <c r="E1831" s="57"/>
      <c r="F1831" s="58"/>
      <c r="G1831" s="58"/>
      <c r="H1831" s="57"/>
      <c r="I1831" s="57"/>
      <c r="K1831" s="57"/>
      <c r="L1831" s="72"/>
      <c r="M1831" s="62"/>
      <c r="N1831" s="60"/>
      <c r="O1831" s="23"/>
      <c r="P1831" s="23"/>
      <c r="Q1831" s="9"/>
      <c r="R1831" s="9"/>
      <c r="S1831" s="9"/>
      <c r="T1831" s="9"/>
      <c r="U1831" s="9"/>
      <c r="V1831" s="9"/>
      <c r="W1831" s="9"/>
      <c r="X1831" s="9"/>
      <c r="Y1831" s="9"/>
      <c r="Z1831" s="9"/>
      <c r="AA1831" s="9"/>
      <c r="AB1831" s="9"/>
      <c r="AC1831" s="9"/>
      <c r="AD1831" s="25"/>
      <c r="AE1831" s="25"/>
      <c r="AF1831" s="9"/>
      <c r="AG1831" s="9"/>
      <c r="AH1831" s="9"/>
      <c r="AI1831" s="9"/>
    </row>
    <row r="1832" ht="15.75" customHeight="1">
      <c r="A1832" s="9"/>
      <c r="B1832" s="9"/>
      <c r="C1832" s="9"/>
      <c r="D1832" s="9"/>
      <c r="E1832" s="57"/>
      <c r="F1832" s="58"/>
      <c r="G1832" s="58"/>
      <c r="H1832" s="57"/>
      <c r="I1832" s="57"/>
      <c r="K1832" s="57"/>
      <c r="L1832" s="72"/>
      <c r="M1832" s="62"/>
      <c r="N1832" s="60"/>
      <c r="O1832" s="23"/>
      <c r="P1832" s="23"/>
      <c r="Q1832" s="9"/>
      <c r="R1832" s="9"/>
      <c r="S1832" s="9"/>
      <c r="T1832" s="9"/>
      <c r="U1832" s="9"/>
      <c r="V1832" s="9"/>
      <c r="W1832" s="9"/>
      <c r="X1832" s="9"/>
      <c r="Y1832" s="9"/>
      <c r="Z1832" s="9"/>
      <c r="AA1832" s="9"/>
      <c r="AB1832" s="9"/>
      <c r="AC1832" s="9"/>
      <c r="AD1832" s="25"/>
      <c r="AE1832" s="25"/>
      <c r="AF1832" s="9"/>
      <c r="AG1832" s="9"/>
      <c r="AH1832" s="9"/>
      <c r="AI1832" s="9"/>
    </row>
    <row r="1833" ht="15.75" customHeight="1">
      <c r="A1833" s="9"/>
      <c r="B1833" s="9"/>
      <c r="C1833" s="9"/>
      <c r="D1833" s="9"/>
      <c r="E1833" s="57"/>
      <c r="F1833" s="58"/>
      <c r="G1833" s="58"/>
      <c r="H1833" s="57"/>
      <c r="I1833" s="57"/>
      <c r="K1833" s="57"/>
      <c r="L1833" s="72"/>
      <c r="M1833" s="62"/>
      <c r="N1833" s="60"/>
      <c r="O1833" s="23"/>
      <c r="P1833" s="23"/>
      <c r="Q1833" s="9"/>
      <c r="R1833" s="9"/>
      <c r="S1833" s="9"/>
      <c r="T1833" s="9"/>
      <c r="U1833" s="9"/>
      <c r="V1833" s="9"/>
      <c r="W1833" s="9"/>
      <c r="X1833" s="9"/>
      <c r="Y1833" s="9"/>
      <c r="Z1833" s="9"/>
      <c r="AA1833" s="9"/>
      <c r="AB1833" s="9"/>
      <c r="AC1833" s="9"/>
      <c r="AD1833" s="25"/>
      <c r="AE1833" s="25"/>
      <c r="AF1833" s="9"/>
      <c r="AG1833" s="9"/>
      <c r="AH1833" s="9"/>
      <c r="AI1833" s="9"/>
    </row>
    <row r="1834" ht="15.75" customHeight="1">
      <c r="A1834" s="9"/>
      <c r="B1834" s="9"/>
      <c r="C1834" s="9"/>
      <c r="D1834" s="9"/>
      <c r="E1834" s="57"/>
      <c r="F1834" s="58"/>
      <c r="G1834" s="58"/>
      <c r="H1834" s="57"/>
      <c r="I1834" s="57"/>
      <c r="K1834" s="57"/>
      <c r="L1834" s="72"/>
      <c r="M1834" s="62"/>
      <c r="N1834" s="60"/>
      <c r="O1834" s="23"/>
      <c r="P1834" s="23"/>
      <c r="Q1834" s="9"/>
      <c r="R1834" s="9"/>
      <c r="S1834" s="9"/>
      <c r="T1834" s="9"/>
      <c r="U1834" s="9"/>
      <c r="V1834" s="9"/>
      <c r="W1834" s="9"/>
      <c r="X1834" s="9"/>
      <c r="Y1834" s="9"/>
      <c r="Z1834" s="9"/>
      <c r="AA1834" s="9"/>
      <c r="AB1834" s="9"/>
      <c r="AC1834" s="9"/>
      <c r="AD1834" s="25"/>
      <c r="AE1834" s="25"/>
      <c r="AF1834" s="9"/>
      <c r="AG1834" s="9"/>
      <c r="AH1834" s="9"/>
      <c r="AI1834" s="9"/>
    </row>
    <row r="1835" ht="15.75" customHeight="1">
      <c r="A1835" s="9"/>
      <c r="B1835" s="9"/>
      <c r="C1835" s="9"/>
      <c r="D1835" s="9"/>
      <c r="E1835" s="57"/>
      <c r="F1835" s="58"/>
      <c r="G1835" s="58"/>
      <c r="H1835" s="57"/>
      <c r="I1835" s="57"/>
      <c r="K1835" s="57"/>
      <c r="L1835" s="72"/>
      <c r="M1835" s="62"/>
      <c r="N1835" s="60"/>
      <c r="O1835" s="23"/>
      <c r="P1835" s="23"/>
      <c r="Q1835" s="9"/>
      <c r="R1835" s="9"/>
      <c r="S1835" s="9"/>
      <c r="T1835" s="9"/>
      <c r="U1835" s="9"/>
      <c r="V1835" s="9"/>
      <c r="W1835" s="9"/>
      <c r="X1835" s="9"/>
      <c r="Y1835" s="9"/>
      <c r="Z1835" s="9"/>
      <c r="AA1835" s="9"/>
      <c r="AB1835" s="9"/>
      <c r="AC1835" s="9"/>
      <c r="AD1835" s="25"/>
      <c r="AE1835" s="25"/>
      <c r="AF1835" s="9"/>
      <c r="AG1835" s="9"/>
      <c r="AH1835" s="9"/>
      <c r="AI1835" s="9"/>
    </row>
    <row r="1836" ht="15.75" customHeight="1">
      <c r="A1836" s="9"/>
      <c r="B1836" s="9"/>
      <c r="C1836" s="9"/>
      <c r="D1836" s="9"/>
      <c r="E1836" s="57"/>
      <c r="F1836" s="58"/>
      <c r="G1836" s="58"/>
      <c r="H1836" s="57"/>
      <c r="I1836" s="57"/>
      <c r="K1836" s="57"/>
      <c r="L1836" s="72"/>
      <c r="M1836" s="62"/>
      <c r="N1836" s="60"/>
      <c r="O1836" s="23"/>
      <c r="P1836" s="23"/>
      <c r="Q1836" s="9"/>
      <c r="R1836" s="9"/>
      <c r="S1836" s="9"/>
      <c r="T1836" s="9"/>
      <c r="U1836" s="9"/>
      <c r="V1836" s="9"/>
      <c r="W1836" s="9"/>
      <c r="X1836" s="9"/>
      <c r="Y1836" s="9"/>
      <c r="Z1836" s="9"/>
      <c r="AA1836" s="9"/>
      <c r="AB1836" s="9"/>
      <c r="AC1836" s="9"/>
      <c r="AD1836" s="25"/>
      <c r="AE1836" s="25"/>
      <c r="AF1836" s="9"/>
      <c r="AG1836" s="9"/>
      <c r="AH1836" s="9"/>
      <c r="AI1836" s="9"/>
    </row>
    <row r="1837" ht="15.75" customHeight="1">
      <c r="A1837" s="9"/>
      <c r="B1837" s="9"/>
      <c r="C1837" s="9"/>
      <c r="D1837" s="9"/>
      <c r="E1837" s="57"/>
      <c r="F1837" s="58"/>
      <c r="G1837" s="58"/>
      <c r="H1837" s="57"/>
      <c r="I1837" s="57"/>
      <c r="K1837" s="57"/>
      <c r="L1837" s="72"/>
      <c r="M1837" s="62"/>
      <c r="N1837" s="60"/>
      <c r="O1837" s="23"/>
      <c r="P1837" s="23"/>
      <c r="Q1837" s="9"/>
      <c r="R1837" s="9"/>
      <c r="S1837" s="9"/>
      <c r="T1837" s="9"/>
      <c r="U1837" s="9"/>
      <c r="V1837" s="9"/>
      <c r="W1837" s="9"/>
      <c r="X1837" s="9"/>
      <c r="Y1837" s="9"/>
      <c r="Z1837" s="9"/>
      <c r="AA1837" s="9"/>
      <c r="AB1837" s="9"/>
      <c r="AC1837" s="9"/>
      <c r="AD1837" s="25"/>
      <c r="AE1837" s="25"/>
      <c r="AF1837" s="9"/>
      <c r="AG1837" s="9"/>
      <c r="AH1837" s="9"/>
      <c r="AI1837" s="9"/>
    </row>
    <row r="1838" ht="15.75" customHeight="1">
      <c r="A1838" s="9"/>
      <c r="B1838" s="9"/>
      <c r="C1838" s="9"/>
      <c r="D1838" s="9"/>
      <c r="E1838" s="57"/>
      <c r="F1838" s="58"/>
      <c r="G1838" s="58"/>
      <c r="H1838" s="57"/>
      <c r="I1838" s="57"/>
      <c r="K1838" s="57"/>
      <c r="L1838" s="72"/>
      <c r="M1838" s="62"/>
      <c r="N1838" s="60"/>
      <c r="O1838" s="23"/>
      <c r="P1838" s="23"/>
      <c r="Q1838" s="9"/>
      <c r="R1838" s="9"/>
      <c r="S1838" s="9"/>
      <c r="T1838" s="9"/>
      <c r="U1838" s="9"/>
      <c r="V1838" s="9"/>
      <c r="W1838" s="9"/>
      <c r="X1838" s="9"/>
      <c r="Y1838" s="9"/>
      <c r="Z1838" s="9"/>
      <c r="AA1838" s="9"/>
      <c r="AB1838" s="9"/>
      <c r="AC1838" s="9"/>
      <c r="AD1838" s="25"/>
      <c r="AE1838" s="25"/>
      <c r="AF1838" s="9"/>
      <c r="AG1838" s="9"/>
      <c r="AH1838" s="9"/>
      <c r="AI1838" s="9"/>
    </row>
    <row r="1839" ht="15.75" customHeight="1">
      <c r="A1839" s="9"/>
      <c r="B1839" s="9"/>
      <c r="C1839" s="9"/>
      <c r="D1839" s="9"/>
      <c r="E1839" s="57"/>
      <c r="F1839" s="58"/>
      <c r="G1839" s="58"/>
      <c r="H1839" s="57"/>
      <c r="I1839" s="57"/>
      <c r="K1839" s="57"/>
      <c r="L1839" s="72"/>
      <c r="M1839" s="62"/>
      <c r="N1839" s="60"/>
      <c r="O1839" s="23"/>
      <c r="P1839" s="23"/>
      <c r="Q1839" s="9"/>
      <c r="R1839" s="9"/>
      <c r="S1839" s="9"/>
      <c r="T1839" s="9"/>
      <c r="U1839" s="9"/>
      <c r="V1839" s="9"/>
      <c r="W1839" s="9"/>
      <c r="X1839" s="9"/>
      <c r="Y1839" s="9"/>
      <c r="Z1839" s="9"/>
      <c r="AA1839" s="9"/>
      <c r="AB1839" s="9"/>
      <c r="AC1839" s="9"/>
      <c r="AD1839" s="25"/>
      <c r="AE1839" s="25"/>
      <c r="AF1839" s="9"/>
      <c r="AG1839" s="9"/>
      <c r="AH1839" s="9"/>
      <c r="AI1839" s="9"/>
    </row>
    <row r="1840" ht="15.75" customHeight="1">
      <c r="A1840" s="9"/>
      <c r="B1840" s="9"/>
      <c r="C1840" s="9"/>
      <c r="D1840" s="9"/>
      <c r="E1840" s="57"/>
      <c r="F1840" s="58"/>
      <c r="G1840" s="58"/>
      <c r="H1840" s="57"/>
      <c r="I1840" s="57"/>
      <c r="K1840" s="57"/>
      <c r="L1840" s="72"/>
      <c r="M1840" s="62"/>
      <c r="N1840" s="60"/>
      <c r="O1840" s="23"/>
      <c r="P1840" s="23"/>
      <c r="Q1840" s="9"/>
      <c r="R1840" s="9"/>
      <c r="S1840" s="9"/>
      <c r="T1840" s="9"/>
      <c r="U1840" s="9"/>
      <c r="V1840" s="9"/>
      <c r="W1840" s="9"/>
      <c r="X1840" s="9"/>
      <c r="Y1840" s="9"/>
      <c r="Z1840" s="9"/>
      <c r="AA1840" s="9"/>
      <c r="AB1840" s="9"/>
      <c r="AC1840" s="9"/>
      <c r="AD1840" s="25"/>
      <c r="AE1840" s="25"/>
      <c r="AF1840" s="9"/>
      <c r="AG1840" s="9"/>
      <c r="AH1840" s="9"/>
      <c r="AI1840" s="9"/>
    </row>
    <row r="1841" ht="15.75" customHeight="1">
      <c r="A1841" s="9"/>
      <c r="B1841" s="9"/>
      <c r="C1841" s="9"/>
      <c r="D1841" s="9"/>
      <c r="E1841" s="57"/>
      <c r="F1841" s="58"/>
      <c r="G1841" s="58"/>
      <c r="H1841" s="57"/>
      <c r="I1841" s="57"/>
      <c r="K1841" s="57"/>
      <c r="L1841" s="72"/>
      <c r="M1841" s="62"/>
      <c r="N1841" s="60"/>
      <c r="O1841" s="23"/>
      <c r="P1841" s="23"/>
      <c r="Q1841" s="9"/>
      <c r="R1841" s="9"/>
      <c r="S1841" s="9"/>
      <c r="T1841" s="9"/>
      <c r="U1841" s="9"/>
      <c r="V1841" s="9"/>
      <c r="W1841" s="9"/>
      <c r="X1841" s="9"/>
      <c r="Y1841" s="9"/>
      <c r="Z1841" s="9"/>
      <c r="AA1841" s="9"/>
      <c r="AB1841" s="9"/>
      <c r="AC1841" s="9"/>
      <c r="AD1841" s="25"/>
      <c r="AE1841" s="25"/>
      <c r="AF1841" s="9"/>
      <c r="AG1841" s="9"/>
      <c r="AH1841" s="9"/>
      <c r="AI1841" s="9"/>
    </row>
    <row r="1842" ht="15.75" customHeight="1">
      <c r="A1842" s="9"/>
      <c r="B1842" s="9"/>
      <c r="C1842" s="9"/>
      <c r="D1842" s="9"/>
      <c r="E1842" s="57"/>
      <c r="F1842" s="58"/>
      <c r="G1842" s="58"/>
      <c r="H1842" s="57"/>
      <c r="I1842" s="57"/>
      <c r="K1842" s="57"/>
      <c r="L1842" s="72"/>
      <c r="M1842" s="62"/>
      <c r="N1842" s="60"/>
      <c r="O1842" s="23"/>
      <c r="P1842" s="23"/>
      <c r="Q1842" s="9"/>
      <c r="R1842" s="9"/>
      <c r="S1842" s="9"/>
      <c r="T1842" s="9"/>
      <c r="U1842" s="9"/>
      <c r="V1842" s="9"/>
      <c r="W1842" s="9"/>
      <c r="X1842" s="9"/>
      <c r="Y1842" s="9"/>
      <c r="Z1842" s="9"/>
      <c r="AA1842" s="9"/>
      <c r="AB1842" s="9"/>
      <c r="AC1842" s="9"/>
      <c r="AD1842" s="25"/>
      <c r="AE1842" s="25"/>
      <c r="AF1842" s="9"/>
      <c r="AG1842" s="9"/>
      <c r="AH1842" s="9"/>
      <c r="AI1842" s="9"/>
    </row>
    <row r="1843" ht="15.75" customHeight="1">
      <c r="A1843" s="9"/>
      <c r="B1843" s="9"/>
      <c r="C1843" s="9"/>
      <c r="D1843" s="9"/>
      <c r="E1843" s="57"/>
      <c r="F1843" s="58"/>
      <c r="G1843" s="58"/>
      <c r="H1843" s="57"/>
      <c r="I1843" s="57"/>
      <c r="K1843" s="57"/>
      <c r="L1843" s="72"/>
      <c r="M1843" s="62"/>
      <c r="N1843" s="60"/>
      <c r="O1843" s="23"/>
      <c r="P1843" s="23"/>
      <c r="Q1843" s="9"/>
      <c r="R1843" s="9"/>
      <c r="S1843" s="9"/>
      <c r="T1843" s="9"/>
      <c r="U1843" s="9"/>
      <c r="V1843" s="9"/>
      <c r="W1843" s="9"/>
      <c r="X1843" s="9"/>
      <c r="Y1843" s="9"/>
      <c r="Z1843" s="9"/>
      <c r="AA1843" s="9"/>
      <c r="AB1843" s="9"/>
      <c r="AC1843" s="9"/>
      <c r="AD1843" s="25"/>
      <c r="AE1843" s="25"/>
      <c r="AF1843" s="9"/>
      <c r="AG1843" s="9"/>
      <c r="AH1843" s="9"/>
      <c r="AI1843" s="9"/>
    </row>
    <row r="1844" ht="15.75" customHeight="1">
      <c r="A1844" s="9"/>
      <c r="B1844" s="9"/>
      <c r="C1844" s="9"/>
      <c r="D1844" s="9"/>
      <c r="E1844" s="57"/>
      <c r="F1844" s="58"/>
      <c r="G1844" s="58"/>
      <c r="H1844" s="57"/>
      <c r="I1844" s="57"/>
      <c r="K1844" s="57"/>
      <c r="L1844" s="72"/>
      <c r="M1844" s="62"/>
      <c r="N1844" s="60"/>
      <c r="O1844" s="23"/>
      <c r="P1844" s="23"/>
      <c r="Q1844" s="9"/>
      <c r="R1844" s="9"/>
      <c r="S1844" s="9"/>
      <c r="T1844" s="9"/>
      <c r="U1844" s="9"/>
      <c r="V1844" s="9"/>
      <c r="W1844" s="9"/>
      <c r="X1844" s="9"/>
      <c r="Y1844" s="9"/>
      <c r="Z1844" s="9"/>
      <c r="AA1844" s="9"/>
      <c r="AB1844" s="9"/>
      <c r="AC1844" s="9"/>
      <c r="AD1844" s="25"/>
      <c r="AE1844" s="25"/>
      <c r="AF1844" s="9"/>
      <c r="AG1844" s="9"/>
      <c r="AH1844" s="9"/>
      <c r="AI1844" s="9"/>
    </row>
    <row r="1845" ht="15.75" customHeight="1">
      <c r="A1845" s="9"/>
      <c r="B1845" s="9"/>
      <c r="C1845" s="9"/>
      <c r="D1845" s="9"/>
      <c r="E1845" s="57"/>
      <c r="F1845" s="58"/>
      <c r="G1845" s="58"/>
      <c r="H1845" s="57"/>
      <c r="I1845" s="57"/>
      <c r="K1845" s="57"/>
      <c r="L1845" s="72"/>
      <c r="M1845" s="62"/>
      <c r="N1845" s="60"/>
      <c r="O1845" s="23"/>
      <c r="P1845" s="23"/>
      <c r="Q1845" s="9"/>
      <c r="R1845" s="9"/>
      <c r="S1845" s="9"/>
      <c r="T1845" s="9"/>
      <c r="U1845" s="9"/>
      <c r="V1845" s="9"/>
      <c r="W1845" s="9"/>
      <c r="X1845" s="9"/>
      <c r="Y1845" s="9"/>
      <c r="Z1845" s="9"/>
      <c r="AA1845" s="9"/>
      <c r="AB1845" s="9"/>
      <c r="AC1845" s="9"/>
      <c r="AD1845" s="25"/>
      <c r="AE1845" s="25"/>
      <c r="AF1845" s="9"/>
      <c r="AG1845" s="9"/>
      <c r="AH1845" s="9"/>
      <c r="AI1845" s="9"/>
    </row>
    <row r="1846" ht="15.75" customHeight="1">
      <c r="A1846" s="9"/>
      <c r="B1846" s="9"/>
      <c r="C1846" s="9"/>
      <c r="D1846" s="9"/>
      <c r="E1846" s="57"/>
      <c r="F1846" s="58"/>
      <c r="G1846" s="58"/>
      <c r="H1846" s="57"/>
      <c r="I1846" s="57"/>
      <c r="K1846" s="57"/>
      <c r="L1846" s="72"/>
      <c r="M1846" s="62"/>
      <c r="N1846" s="60"/>
      <c r="O1846" s="23"/>
      <c r="P1846" s="23"/>
      <c r="Q1846" s="9"/>
      <c r="R1846" s="9"/>
      <c r="S1846" s="9"/>
      <c r="T1846" s="9"/>
      <c r="U1846" s="9"/>
      <c r="V1846" s="9"/>
      <c r="W1846" s="9"/>
      <c r="X1846" s="9"/>
      <c r="Y1846" s="9"/>
      <c r="Z1846" s="9"/>
      <c r="AA1846" s="9"/>
      <c r="AB1846" s="9"/>
      <c r="AC1846" s="9"/>
      <c r="AD1846" s="25"/>
      <c r="AE1846" s="25"/>
      <c r="AF1846" s="9"/>
      <c r="AG1846" s="9"/>
      <c r="AH1846" s="9"/>
      <c r="AI1846" s="9"/>
    </row>
    <row r="1847" ht="15.75" customHeight="1">
      <c r="A1847" s="9"/>
      <c r="B1847" s="9"/>
      <c r="C1847" s="9"/>
      <c r="D1847" s="9"/>
      <c r="E1847" s="57"/>
      <c r="F1847" s="58"/>
      <c r="G1847" s="58"/>
      <c r="H1847" s="57"/>
      <c r="I1847" s="57"/>
      <c r="K1847" s="57"/>
      <c r="L1847" s="72"/>
      <c r="M1847" s="62"/>
      <c r="N1847" s="60"/>
      <c r="O1847" s="23"/>
      <c r="P1847" s="23"/>
      <c r="Q1847" s="9"/>
      <c r="R1847" s="9"/>
      <c r="S1847" s="9"/>
      <c r="T1847" s="9"/>
      <c r="U1847" s="9"/>
      <c r="V1847" s="9"/>
      <c r="W1847" s="9"/>
      <c r="X1847" s="9"/>
      <c r="Y1847" s="9"/>
      <c r="Z1847" s="9"/>
      <c r="AA1847" s="9"/>
      <c r="AB1847" s="9"/>
      <c r="AC1847" s="9"/>
      <c r="AD1847" s="25"/>
      <c r="AE1847" s="25"/>
      <c r="AF1847" s="9"/>
      <c r="AG1847" s="9"/>
      <c r="AH1847" s="9"/>
      <c r="AI1847" s="9"/>
    </row>
    <row r="1848" ht="15.75" customHeight="1">
      <c r="A1848" s="9"/>
      <c r="B1848" s="9"/>
      <c r="C1848" s="9"/>
      <c r="D1848" s="9"/>
      <c r="E1848" s="57"/>
      <c r="F1848" s="58"/>
      <c r="G1848" s="58"/>
      <c r="H1848" s="57"/>
      <c r="I1848" s="57"/>
      <c r="K1848" s="57"/>
      <c r="L1848" s="72"/>
      <c r="M1848" s="62"/>
      <c r="N1848" s="60"/>
      <c r="O1848" s="23"/>
      <c r="P1848" s="23"/>
      <c r="Q1848" s="9"/>
      <c r="R1848" s="9"/>
      <c r="S1848" s="9"/>
      <c r="T1848" s="9"/>
      <c r="U1848" s="9"/>
      <c r="V1848" s="9"/>
      <c r="W1848" s="9"/>
      <c r="X1848" s="9"/>
      <c r="Y1848" s="9"/>
      <c r="Z1848" s="9"/>
      <c r="AA1848" s="9"/>
      <c r="AB1848" s="9"/>
      <c r="AC1848" s="9"/>
      <c r="AD1848" s="25"/>
      <c r="AE1848" s="25"/>
      <c r="AF1848" s="9"/>
      <c r="AG1848" s="9"/>
      <c r="AH1848" s="9"/>
      <c r="AI1848" s="9"/>
    </row>
    <row r="1849" ht="15.75" customHeight="1">
      <c r="A1849" s="9"/>
      <c r="B1849" s="9"/>
      <c r="C1849" s="9"/>
      <c r="D1849" s="9"/>
      <c r="E1849" s="57"/>
      <c r="F1849" s="58"/>
      <c r="G1849" s="58"/>
      <c r="H1849" s="57"/>
      <c r="I1849" s="57"/>
      <c r="K1849" s="57"/>
      <c r="L1849" s="72"/>
      <c r="M1849" s="62"/>
      <c r="N1849" s="60"/>
      <c r="O1849" s="23"/>
      <c r="P1849" s="23"/>
      <c r="Q1849" s="9"/>
      <c r="R1849" s="9"/>
      <c r="S1849" s="9"/>
      <c r="T1849" s="9"/>
      <c r="U1849" s="9"/>
      <c r="V1849" s="9"/>
      <c r="W1849" s="9"/>
      <c r="X1849" s="9"/>
      <c r="Y1849" s="9"/>
      <c r="Z1849" s="9"/>
      <c r="AA1849" s="9"/>
      <c r="AB1849" s="9"/>
      <c r="AC1849" s="9"/>
      <c r="AD1849" s="25"/>
      <c r="AE1849" s="25"/>
      <c r="AF1849" s="9"/>
      <c r="AG1849" s="9"/>
      <c r="AH1849" s="9"/>
      <c r="AI1849" s="9"/>
    </row>
    <row r="1850" ht="15.75" customHeight="1">
      <c r="A1850" s="9"/>
      <c r="B1850" s="9"/>
      <c r="C1850" s="9"/>
      <c r="D1850" s="9"/>
      <c r="E1850" s="57"/>
      <c r="F1850" s="58"/>
      <c r="G1850" s="58"/>
      <c r="H1850" s="57"/>
      <c r="I1850" s="57"/>
      <c r="K1850" s="57"/>
      <c r="L1850" s="72"/>
      <c r="M1850" s="62"/>
      <c r="N1850" s="60"/>
      <c r="O1850" s="23"/>
      <c r="P1850" s="23"/>
      <c r="Q1850" s="9"/>
      <c r="R1850" s="9"/>
      <c r="S1850" s="9"/>
      <c r="T1850" s="9"/>
      <c r="U1850" s="9"/>
      <c r="V1850" s="9"/>
      <c r="W1850" s="9"/>
      <c r="X1850" s="9"/>
      <c r="Y1850" s="9"/>
      <c r="Z1850" s="9"/>
      <c r="AA1850" s="9"/>
      <c r="AB1850" s="9"/>
      <c r="AC1850" s="9"/>
      <c r="AD1850" s="25"/>
      <c r="AE1850" s="25"/>
      <c r="AF1850" s="9"/>
      <c r="AG1850" s="9"/>
      <c r="AH1850" s="9"/>
      <c r="AI1850" s="9"/>
    </row>
    <row r="1851" ht="15.75" customHeight="1">
      <c r="A1851" s="9"/>
      <c r="B1851" s="9"/>
      <c r="C1851" s="9"/>
      <c r="D1851" s="9"/>
      <c r="E1851" s="57"/>
      <c r="F1851" s="58"/>
      <c r="G1851" s="58"/>
      <c r="H1851" s="57"/>
      <c r="I1851" s="57"/>
      <c r="K1851" s="57"/>
      <c r="L1851" s="72"/>
      <c r="M1851" s="62"/>
      <c r="N1851" s="60"/>
      <c r="O1851" s="23"/>
      <c r="P1851" s="23"/>
      <c r="Q1851" s="9"/>
      <c r="R1851" s="9"/>
      <c r="S1851" s="9"/>
      <c r="T1851" s="9"/>
      <c r="U1851" s="9"/>
      <c r="V1851" s="9"/>
      <c r="W1851" s="9"/>
      <c r="X1851" s="9"/>
      <c r="Y1851" s="9"/>
      <c r="Z1851" s="9"/>
      <c r="AA1851" s="9"/>
      <c r="AB1851" s="9"/>
      <c r="AC1851" s="9"/>
      <c r="AD1851" s="25"/>
      <c r="AE1851" s="25"/>
      <c r="AF1851" s="9"/>
      <c r="AG1851" s="9"/>
      <c r="AH1851" s="9"/>
      <c r="AI1851" s="9"/>
    </row>
    <row r="1852" ht="15.75" customHeight="1">
      <c r="A1852" s="9"/>
      <c r="B1852" s="9"/>
      <c r="C1852" s="9"/>
      <c r="D1852" s="9"/>
      <c r="E1852" s="57"/>
      <c r="F1852" s="58"/>
      <c r="G1852" s="58"/>
      <c r="H1852" s="57"/>
      <c r="I1852" s="57"/>
      <c r="K1852" s="57"/>
      <c r="L1852" s="72"/>
      <c r="M1852" s="62"/>
      <c r="N1852" s="60"/>
      <c r="O1852" s="23"/>
      <c r="P1852" s="23"/>
      <c r="Q1852" s="9"/>
      <c r="R1852" s="9"/>
      <c r="S1852" s="9"/>
      <c r="T1852" s="9"/>
      <c r="U1852" s="9"/>
      <c r="V1852" s="9"/>
      <c r="W1852" s="9"/>
      <c r="X1852" s="9"/>
      <c r="Y1852" s="9"/>
      <c r="Z1852" s="9"/>
      <c r="AA1852" s="9"/>
      <c r="AB1852" s="9"/>
      <c r="AC1852" s="9"/>
      <c r="AD1852" s="25"/>
      <c r="AE1852" s="25"/>
      <c r="AF1852" s="9"/>
      <c r="AG1852" s="9"/>
      <c r="AH1852" s="9"/>
      <c r="AI1852" s="9"/>
    </row>
    <row r="1853" ht="15.75" customHeight="1">
      <c r="A1853" s="9"/>
      <c r="B1853" s="9"/>
      <c r="C1853" s="9"/>
      <c r="D1853" s="9"/>
      <c r="E1853" s="57"/>
      <c r="F1853" s="58"/>
      <c r="G1853" s="58"/>
      <c r="H1853" s="57"/>
      <c r="I1853" s="57"/>
      <c r="K1853" s="57"/>
      <c r="L1853" s="72"/>
      <c r="M1853" s="62"/>
      <c r="N1853" s="60"/>
      <c r="O1853" s="23"/>
      <c r="P1853" s="23"/>
      <c r="Q1853" s="9"/>
      <c r="R1853" s="9"/>
      <c r="S1853" s="9"/>
      <c r="T1853" s="9"/>
      <c r="U1853" s="9"/>
      <c r="V1853" s="9"/>
      <c r="W1853" s="9"/>
      <c r="X1853" s="9"/>
      <c r="Y1853" s="9"/>
      <c r="Z1853" s="9"/>
      <c r="AA1853" s="9"/>
      <c r="AB1853" s="9"/>
      <c r="AC1853" s="9"/>
      <c r="AD1853" s="25"/>
      <c r="AE1853" s="25"/>
      <c r="AF1853" s="9"/>
      <c r="AG1853" s="9"/>
      <c r="AH1853" s="9"/>
      <c r="AI1853" s="9"/>
    </row>
    <row r="1854" ht="15.75" customHeight="1">
      <c r="A1854" s="9"/>
      <c r="B1854" s="9"/>
      <c r="C1854" s="9"/>
      <c r="D1854" s="9"/>
      <c r="E1854" s="57"/>
      <c r="F1854" s="58"/>
      <c r="G1854" s="58"/>
      <c r="H1854" s="57"/>
      <c r="I1854" s="57"/>
      <c r="K1854" s="57"/>
      <c r="L1854" s="72"/>
      <c r="M1854" s="62"/>
      <c r="N1854" s="60"/>
      <c r="O1854" s="23"/>
      <c r="P1854" s="23"/>
      <c r="Q1854" s="9"/>
      <c r="R1854" s="9"/>
      <c r="S1854" s="9"/>
      <c r="T1854" s="9"/>
      <c r="U1854" s="9"/>
      <c r="V1854" s="9"/>
      <c r="W1854" s="9"/>
      <c r="X1854" s="9"/>
      <c r="Y1854" s="9"/>
      <c r="Z1854" s="9"/>
      <c r="AA1854" s="9"/>
      <c r="AB1854" s="9"/>
      <c r="AC1854" s="9"/>
      <c r="AD1854" s="25"/>
      <c r="AE1854" s="25"/>
      <c r="AF1854" s="9"/>
      <c r="AG1854" s="9"/>
      <c r="AH1854" s="9"/>
      <c r="AI1854" s="9"/>
    </row>
    <row r="1855" ht="15.75" customHeight="1">
      <c r="A1855" s="9"/>
      <c r="B1855" s="9"/>
      <c r="C1855" s="9"/>
      <c r="D1855" s="9"/>
      <c r="E1855" s="57"/>
      <c r="F1855" s="58"/>
      <c r="G1855" s="58"/>
      <c r="H1855" s="57"/>
      <c r="I1855" s="57"/>
      <c r="J1855" s="57"/>
      <c r="K1855" s="57"/>
      <c r="L1855" s="57"/>
      <c r="M1855" s="59"/>
      <c r="N1855" s="60"/>
      <c r="O1855" s="23"/>
      <c r="P1855" s="23"/>
      <c r="Q1855" s="9"/>
      <c r="R1855" s="9"/>
      <c r="S1855" s="9"/>
      <c r="T1855" s="9"/>
      <c r="U1855" s="9"/>
      <c r="V1855" s="9"/>
      <c r="W1855" s="9"/>
      <c r="X1855" s="9"/>
      <c r="Y1855" s="9"/>
      <c r="Z1855" s="9"/>
      <c r="AA1855" s="9"/>
      <c r="AB1855" s="9"/>
      <c r="AC1855" s="9"/>
      <c r="AD1855" s="25"/>
      <c r="AE1855" s="25"/>
      <c r="AF1855" s="9"/>
      <c r="AG1855" s="9"/>
      <c r="AH1855" s="9"/>
      <c r="AI1855" s="9"/>
    </row>
    <row r="1856" ht="15.75" customHeight="1">
      <c r="A1856" s="9"/>
      <c r="B1856" s="9"/>
      <c r="C1856" s="9"/>
      <c r="D1856" s="9"/>
      <c r="E1856" s="57"/>
      <c r="F1856" s="58"/>
      <c r="G1856" s="58"/>
      <c r="H1856" s="57"/>
      <c r="I1856" s="57"/>
      <c r="J1856" s="57"/>
      <c r="K1856" s="57"/>
      <c r="L1856" s="57"/>
      <c r="M1856" s="59"/>
      <c r="N1856" s="60"/>
      <c r="O1856" s="23"/>
      <c r="P1856" s="23"/>
      <c r="Q1856" s="9"/>
      <c r="R1856" s="9"/>
      <c r="S1856" s="9"/>
      <c r="T1856" s="9"/>
      <c r="U1856" s="9"/>
      <c r="V1856" s="9"/>
      <c r="W1856" s="9"/>
      <c r="X1856" s="9"/>
      <c r="Y1856" s="9"/>
      <c r="Z1856" s="9"/>
      <c r="AA1856" s="9"/>
      <c r="AB1856" s="9"/>
      <c r="AC1856" s="9"/>
      <c r="AD1856" s="25"/>
      <c r="AE1856" s="25"/>
      <c r="AF1856" s="9"/>
      <c r="AG1856" s="9"/>
      <c r="AH1856" s="9"/>
      <c r="AI1856" s="9"/>
    </row>
    <row r="1857" ht="15.75" customHeight="1">
      <c r="A1857" s="9"/>
      <c r="B1857" s="9"/>
      <c r="C1857" s="9"/>
      <c r="D1857" s="9"/>
      <c r="E1857" s="57"/>
      <c r="F1857" s="58"/>
      <c r="G1857" s="58"/>
      <c r="H1857" s="57"/>
      <c r="I1857" s="57"/>
      <c r="J1857" s="57"/>
      <c r="K1857" s="57"/>
      <c r="L1857" s="57"/>
      <c r="M1857" s="59"/>
      <c r="N1857" s="60"/>
      <c r="O1857" s="23"/>
      <c r="P1857" s="23"/>
      <c r="Q1857" s="9"/>
      <c r="R1857" s="9"/>
      <c r="S1857" s="9"/>
      <c r="T1857" s="9"/>
      <c r="U1857" s="9"/>
      <c r="V1857" s="9"/>
      <c r="W1857" s="9"/>
      <c r="X1857" s="9"/>
      <c r="Y1857" s="9"/>
      <c r="Z1857" s="9"/>
      <c r="AA1857" s="9"/>
      <c r="AB1857" s="9"/>
      <c r="AC1857" s="9"/>
      <c r="AD1857" s="25"/>
      <c r="AE1857" s="25"/>
      <c r="AF1857" s="9"/>
      <c r="AG1857" s="9"/>
      <c r="AH1857" s="9"/>
      <c r="AI1857" s="9"/>
    </row>
    <row r="1858" ht="15.75" customHeight="1">
      <c r="A1858" s="9"/>
      <c r="B1858" s="9"/>
      <c r="C1858" s="9"/>
      <c r="D1858" s="9"/>
      <c r="E1858" s="57"/>
      <c r="F1858" s="58"/>
      <c r="G1858" s="58"/>
      <c r="H1858" s="57"/>
      <c r="I1858" s="57"/>
      <c r="K1858" s="57"/>
      <c r="L1858" s="72"/>
      <c r="M1858" s="62"/>
      <c r="N1858" s="60"/>
      <c r="O1858" s="23"/>
      <c r="P1858" s="23"/>
      <c r="Q1858" s="9"/>
      <c r="R1858" s="9"/>
      <c r="S1858" s="9"/>
      <c r="T1858" s="9"/>
      <c r="U1858" s="9"/>
      <c r="V1858" s="9"/>
      <c r="W1858" s="9"/>
      <c r="X1858" s="9"/>
      <c r="Y1858" s="9"/>
      <c r="Z1858" s="9"/>
      <c r="AA1858" s="9"/>
      <c r="AB1858" s="9"/>
      <c r="AC1858" s="9"/>
      <c r="AD1858" s="25"/>
      <c r="AE1858" s="25"/>
      <c r="AF1858" s="9"/>
      <c r="AG1858" s="9"/>
      <c r="AH1858" s="9"/>
      <c r="AI1858" s="9"/>
    </row>
    <row r="1859" ht="15.75" customHeight="1">
      <c r="A1859" s="9"/>
      <c r="B1859" s="9"/>
      <c r="C1859" s="9"/>
      <c r="D1859" s="9"/>
      <c r="E1859" s="57"/>
      <c r="F1859" s="58"/>
      <c r="G1859" s="58"/>
      <c r="H1859" s="57"/>
      <c r="I1859" s="57"/>
      <c r="K1859" s="57"/>
      <c r="L1859" s="72"/>
      <c r="M1859" s="62"/>
      <c r="N1859" s="60"/>
      <c r="O1859" s="23"/>
      <c r="P1859" s="23"/>
      <c r="Q1859" s="9"/>
      <c r="R1859" s="9"/>
      <c r="S1859" s="9"/>
      <c r="T1859" s="9"/>
      <c r="U1859" s="9"/>
      <c r="V1859" s="9"/>
      <c r="W1859" s="9"/>
      <c r="X1859" s="9"/>
      <c r="Y1859" s="9"/>
      <c r="Z1859" s="9"/>
      <c r="AA1859" s="9"/>
      <c r="AB1859" s="9"/>
      <c r="AC1859" s="9"/>
      <c r="AD1859" s="25"/>
      <c r="AE1859" s="25"/>
      <c r="AF1859" s="9"/>
      <c r="AG1859" s="9"/>
      <c r="AH1859" s="9"/>
      <c r="AI1859" s="9"/>
    </row>
    <row r="1860" ht="15.75" customHeight="1">
      <c r="A1860" s="9"/>
      <c r="B1860" s="9"/>
      <c r="C1860" s="9"/>
      <c r="D1860" s="9"/>
      <c r="E1860" s="57"/>
      <c r="F1860" s="58"/>
      <c r="G1860" s="58"/>
      <c r="H1860" s="57"/>
      <c r="I1860" s="57"/>
      <c r="K1860" s="57"/>
      <c r="L1860" s="72"/>
      <c r="M1860" s="62"/>
      <c r="N1860" s="60"/>
      <c r="O1860" s="23"/>
      <c r="P1860" s="23"/>
      <c r="Q1860" s="9"/>
      <c r="R1860" s="9"/>
      <c r="S1860" s="9"/>
      <c r="T1860" s="9"/>
      <c r="U1860" s="9"/>
      <c r="V1860" s="9"/>
      <c r="W1860" s="9"/>
      <c r="X1860" s="9"/>
      <c r="Y1860" s="9"/>
      <c r="Z1860" s="9"/>
      <c r="AA1860" s="9"/>
      <c r="AB1860" s="9"/>
      <c r="AC1860" s="9"/>
      <c r="AD1860" s="25"/>
      <c r="AE1860" s="25"/>
      <c r="AF1860" s="9"/>
      <c r="AG1860" s="9"/>
      <c r="AH1860" s="9"/>
      <c r="AI1860" s="9"/>
    </row>
    <row r="1861" ht="15.75" customHeight="1">
      <c r="A1861" s="9"/>
      <c r="B1861" s="9"/>
      <c r="C1861" s="9"/>
      <c r="D1861" s="9"/>
      <c r="E1861" s="57"/>
      <c r="F1861" s="58"/>
      <c r="G1861" s="58"/>
      <c r="H1861" s="57"/>
      <c r="I1861" s="57"/>
      <c r="K1861" s="57"/>
      <c r="L1861" s="72"/>
      <c r="M1861" s="62"/>
      <c r="N1861" s="60"/>
      <c r="O1861" s="23"/>
      <c r="P1861" s="23"/>
      <c r="Q1861" s="9"/>
      <c r="R1861" s="9"/>
      <c r="S1861" s="9"/>
      <c r="T1861" s="9"/>
      <c r="U1861" s="9"/>
      <c r="V1861" s="9"/>
      <c r="W1861" s="9"/>
      <c r="X1861" s="9"/>
      <c r="Y1861" s="9"/>
      <c r="Z1861" s="9"/>
      <c r="AA1861" s="9"/>
      <c r="AB1861" s="9"/>
      <c r="AC1861" s="9"/>
      <c r="AD1861" s="25"/>
      <c r="AE1861" s="25"/>
      <c r="AF1861" s="9"/>
      <c r="AG1861" s="9"/>
      <c r="AH1861" s="9"/>
      <c r="AI1861" s="9"/>
    </row>
    <row r="1862" ht="15.75" customHeight="1">
      <c r="A1862" s="9"/>
      <c r="B1862" s="9"/>
      <c r="C1862" s="9"/>
      <c r="D1862" s="9"/>
      <c r="E1862" s="57"/>
      <c r="F1862" s="58"/>
      <c r="G1862" s="58"/>
      <c r="H1862" s="57"/>
      <c r="I1862" s="57"/>
      <c r="K1862" s="57"/>
      <c r="L1862" s="72"/>
      <c r="M1862" s="62"/>
      <c r="N1862" s="60"/>
      <c r="O1862" s="23"/>
      <c r="P1862" s="23"/>
      <c r="Q1862" s="9"/>
      <c r="R1862" s="9"/>
      <c r="S1862" s="9"/>
      <c r="T1862" s="9"/>
      <c r="U1862" s="9"/>
      <c r="V1862" s="9"/>
      <c r="W1862" s="9"/>
      <c r="X1862" s="9"/>
      <c r="Y1862" s="9"/>
      <c r="Z1862" s="9"/>
      <c r="AA1862" s="9"/>
      <c r="AB1862" s="9"/>
      <c r="AC1862" s="9"/>
      <c r="AD1862" s="25"/>
      <c r="AE1862" s="25"/>
      <c r="AF1862" s="9"/>
      <c r="AG1862" s="9"/>
      <c r="AH1862" s="9"/>
      <c r="AI1862" s="9"/>
    </row>
    <row r="1863" ht="15.75" customHeight="1">
      <c r="A1863" s="9"/>
      <c r="B1863" s="9"/>
      <c r="C1863" s="9"/>
      <c r="D1863" s="9"/>
      <c r="E1863" s="57"/>
      <c r="F1863" s="58"/>
      <c r="G1863" s="58"/>
      <c r="H1863" s="57"/>
      <c r="I1863" s="57"/>
      <c r="K1863" s="57"/>
      <c r="L1863" s="72"/>
      <c r="M1863" s="62"/>
      <c r="N1863" s="60"/>
      <c r="O1863" s="23"/>
      <c r="P1863" s="23"/>
      <c r="Q1863" s="9"/>
      <c r="R1863" s="9"/>
      <c r="S1863" s="9"/>
      <c r="T1863" s="9"/>
      <c r="U1863" s="9"/>
      <c r="V1863" s="9"/>
      <c r="W1863" s="9"/>
      <c r="X1863" s="9"/>
      <c r="Y1863" s="9"/>
      <c r="Z1863" s="9"/>
      <c r="AA1863" s="9"/>
      <c r="AB1863" s="9"/>
      <c r="AC1863" s="9"/>
      <c r="AD1863" s="25"/>
      <c r="AE1863" s="25"/>
      <c r="AF1863" s="9"/>
      <c r="AG1863" s="9"/>
      <c r="AH1863" s="9"/>
      <c r="AI1863" s="9"/>
    </row>
    <row r="1864" ht="15.75" customHeight="1">
      <c r="A1864" s="9"/>
      <c r="B1864" s="9"/>
      <c r="C1864" s="9"/>
      <c r="D1864" s="9"/>
      <c r="E1864" s="57"/>
      <c r="F1864" s="58"/>
      <c r="G1864" s="58"/>
      <c r="H1864" s="57"/>
      <c r="I1864" s="57"/>
      <c r="J1864" s="57"/>
      <c r="K1864" s="57"/>
      <c r="L1864" s="57"/>
      <c r="M1864" s="59"/>
      <c r="N1864" s="60"/>
      <c r="O1864" s="23"/>
      <c r="P1864" s="23"/>
      <c r="Q1864" s="9"/>
      <c r="R1864" s="9"/>
      <c r="S1864" s="9"/>
      <c r="T1864" s="9"/>
      <c r="U1864" s="9"/>
      <c r="V1864" s="9"/>
      <c r="W1864" s="9"/>
      <c r="X1864" s="9"/>
      <c r="Y1864" s="9"/>
      <c r="Z1864" s="9"/>
      <c r="AA1864" s="9"/>
      <c r="AB1864" s="9"/>
      <c r="AC1864" s="9"/>
      <c r="AD1864" s="25"/>
      <c r="AE1864" s="25"/>
      <c r="AF1864" s="9"/>
      <c r="AG1864" s="9"/>
      <c r="AH1864" s="9"/>
      <c r="AI1864" s="9"/>
    </row>
    <row r="1865" ht="15.75" customHeight="1">
      <c r="A1865" s="9"/>
      <c r="B1865" s="9"/>
      <c r="C1865" s="9"/>
      <c r="D1865" s="9"/>
      <c r="E1865" s="57"/>
      <c r="F1865" s="58"/>
      <c r="G1865" s="58"/>
      <c r="H1865" s="57"/>
      <c r="I1865" s="57"/>
      <c r="J1865" s="57"/>
      <c r="K1865" s="57"/>
      <c r="L1865" s="57"/>
      <c r="M1865" s="59"/>
      <c r="N1865" s="60"/>
      <c r="O1865" s="23"/>
      <c r="P1865" s="23"/>
      <c r="Q1865" s="9"/>
      <c r="R1865" s="9"/>
      <c r="S1865" s="9"/>
      <c r="T1865" s="9"/>
      <c r="U1865" s="9"/>
      <c r="V1865" s="9"/>
      <c r="W1865" s="9"/>
      <c r="X1865" s="9"/>
      <c r="Y1865" s="9"/>
      <c r="Z1865" s="9"/>
      <c r="AA1865" s="9"/>
      <c r="AB1865" s="9"/>
      <c r="AC1865" s="9"/>
      <c r="AD1865" s="25"/>
      <c r="AE1865" s="25"/>
      <c r="AF1865" s="9"/>
      <c r="AG1865" s="9"/>
      <c r="AH1865" s="9"/>
      <c r="AI1865" s="9"/>
    </row>
    <row r="1866" ht="15.75" customHeight="1">
      <c r="A1866" s="9"/>
      <c r="B1866" s="9"/>
      <c r="C1866" s="9"/>
      <c r="D1866" s="9"/>
      <c r="E1866" s="57"/>
      <c r="F1866" s="58"/>
      <c r="G1866" s="58"/>
      <c r="H1866" s="57"/>
      <c r="I1866" s="57"/>
      <c r="J1866" s="57"/>
      <c r="K1866" s="57"/>
      <c r="L1866" s="57"/>
      <c r="M1866" s="59"/>
      <c r="N1866" s="60"/>
      <c r="O1866" s="23"/>
      <c r="P1866" s="23"/>
      <c r="Q1866" s="9"/>
      <c r="R1866" s="9"/>
      <c r="S1866" s="9"/>
      <c r="T1866" s="9"/>
      <c r="U1866" s="9"/>
      <c r="V1866" s="9"/>
      <c r="W1866" s="9"/>
      <c r="X1866" s="9"/>
      <c r="Y1866" s="9"/>
      <c r="Z1866" s="9"/>
      <c r="AA1866" s="9"/>
      <c r="AB1866" s="9"/>
      <c r="AC1866" s="9"/>
      <c r="AD1866" s="25"/>
      <c r="AE1866" s="25"/>
      <c r="AF1866" s="9"/>
      <c r="AG1866" s="9"/>
      <c r="AH1866" s="9"/>
      <c r="AI1866" s="9"/>
    </row>
    <row r="1867" ht="15.75" customHeight="1">
      <c r="A1867" s="9"/>
      <c r="B1867" s="9"/>
      <c r="C1867" s="9"/>
      <c r="D1867" s="9"/>
      <c r="E1867" s="57"/>
      <c r="F1867" s="58"/>
      <c r="G1867" s="58"/>
      <c r="H1867" s="57"/>
      <c r="I1867" s="57"/>
      <c r="J1867" s="57"/>
      <c r="K1867" s="57"/>
      <c r="L1867" s="57"/>
      <c r="M1867" s="59"/>
      <c r="N1867" s="60"/>
      <c r="O1867" s="23"/>
      <c r="P1867" s="23"/>
      <c r="Q1867" s="9"/>
      <c r="R1867" s="9"/>
      <c r="S1867" s="9"/>
      <c r="T1867" s="9"/>
      <c r="U1867" s="9"/>
      <c r="V1867" s="9"/>
      <c r="W1867" s="9"/>
      <c r="X1867" s="9"/>
      <c r="Y1867" s="9"/>
      <c r="Z1867" s="9"/>
      <c r="AA1867" s="9"/>
      <c r="AB1867" s="9"/>
      <c r="AC1867" s="9"/>
      <c r="AD1867" s="25"/>
      <c r="AE1867" s="25"/>
      <c r="AF1867" s="9"/>
      <c r="AG1867" s="9"/>
      <c r="AH1867" s="9"/>
      <c r="AI1867" s="9"/>
    </row>
    <row r="1868" ht="15.75" customHeight="1">
      <c r="A1868" s="9"/>
      <c r="B1868" s="9"/>
      <c r="C1868" s="9"/>
      <c r="D1868" s="9"/>
      <c r="E1868" s="57"/>
      <c r="F1868" s="58"/>
      <c r="G1868" s="58"/>
      <c r="H1868" s="57"/>
      <c r="I1868" s="57"/>
      <c r="J1868" s="57"/>
      <c r="K1868" s="57"/>
      <c r="L1868" s="57"/>
      <c r="M1868" s="59"/>
      <c r="N1868" s="60"/>
      <c r="O1868" s="23"/>
      <c r="P1868" s="23"/>
      <c r="Q1868" s="9"/>
      <c r="R1868" s="9"/>
      <c r="S1868" s="9"/>
      <c r="T1868" s="9"/>
      <c r="U1868" s="9"/>
      <c r="V1868" s="9"/>
      <c r="W1868" s="9"/>
      <c r="X1868" s="9"/>
      <c r="Y1868" s="9"/>
      <c r="Z1868" s="9"/>
      <c r="AA1868" s="9"/>
      <c r="AB1868" s="9"/>
      <c r="AC1868" s="9"/>
      <c r="AD1868" s="25"/>
      <c r="AE1868" s="25"/>
      <c r="AF1868" s="9"/>
      <c r="AG1868" s="9"/>
      <c r="AH1868" s="9"/>
      <c r="AI1868" s="9"/>
    </row>
    <row r="1869" ht="15.75" customHeight="1">
      <c r="A1869" s="9"/>
      <c r="B1869" s="9"/>
      <c r="C1869" s="9"/>
      <c r="D1869" s="9"/>
      <c r="E1869" s="57"/>
      <c r="F1869" s="58"/>
      <c r="G1869" s="58"/>
      <c r="H1869" s="57"/>
      <c r="I1869" s="57"/>
      <c r="J1869" s="57"/>
      <c r="K1869" s="57"/>
      <c r="L1869" s="57"/>
      <c r="M1869" s="59"/>
      <c r="N1869" s="60"/>
      <c r="O1869" s="23"/>
      <c r="P1869" s="23"/>
      <c r="Q1869" s="9"/>
      <c r="R1869" s="9"/>
      <c r="S1869" s="9"/>
      <c r="T1869" s="9"/>
      <c r="U1869" s="9"/>
      <c r="V1869" s="9"/>
      <c r="W1869" s="9"/>
      <c r="X1869" s="9"/>
      <c r="Y1869" s="9"/>
      <c r="Z1869" s="9"/>
      <c r="AA1869" s="9"/>
      <c r="AB1869" s="9"/>
      <c r="AC1869" s="9"/>
      <c r="AD1869" s="25"/>
      <c r="AE1869" s="25"/>
      <c r="AF1869" s="9"/>
      <c r="AG1869" s="9"/>
      <c r="AH1869" s="9"/>
      <c r="AI1869" s="9"/>
    </row>
    <row r="1870" ht="15.75" customHeight="1">
      <c r="A1870" s="9"/>
      <c r="B1870" s="9"/>
      <c r="C1870" s="9"/>
      <c r="D1870" s="9"/>
      <c r="E1870" s="57"/>
      <c r="F1870" s="58"/>
      <c r="G1870" s="58"/>
      <c r="H1870" s="57"/>
      <c r="I1870" s="57"/>
      <c r="J1870" s="57"/>
      <c r="K1870" s="57"/>
      <c r="L1870" s="57"/>
      <c r="M1870" s="59"/>
      <c r="N1870" s="60"/>
      <c r="O1870" s="23"/>
      <c r="P1870" s="23"/>
      <c r="Q1870" s="9"/>
      <c r="R1870" s="9"/>
      <c r="S1870" s="9"/>
      <c r="T1870" s="9"/>
      <c r="U1870" s="9"/>
      <c r="V1870" s="9"/>
      <c r="W1870" s="9"/>
      <c r="X1870" s="9"/>
      <c r="Y1870" s="9"/>
      <c r="Z1870" s="9"/>
      <c r="AA1870" s="9"/>
      <c r="AB1870" s="9"/>
      <c r="AC1870" s="9"/>
      <c r="AD1870" s="25"/>
      <c r="AE1870" s="25"/>
      <c r="AF1870" s="9"/>
      <c r="AG1870" s="9"/>
      <c r="AH1870" s="9"/>
      <c r="AI1870" s="9"/>
    </row>
    <row r="1871" ht="15.75" customHeight="1">
      <c r="A1871" s="9"/>
      <c r="B1871" s="9"/>
      <c r="C1871" s="9"/>
      <c r="D1871" s="9"/>
      <c r="E1871" s="57"/>
      <c r="F1871" s="58"/>
      <c r="G1871" s="58"/>
      <c r="H1871" s="57"/>
      <c r="I1871" s="57"/>
      <c r="J1871" s="57"/>
      <c r="K1871" s="57"/>
      <c r="L1871" s="72"/>
      <c r="M1871" s="62"/>
      <c r="N1871" s="60"/>
      <c r="O1871" s="23"/>
      <c r="P1871" s="23"/>
      <c r="Q1871" s="9"/>
      <c r="R1871" s="9"/>
      <c r="S1871" s="9"/>
      <c r="T1871" s="9"/>
      <c r="U1871" s="9"/>
      <c r="V1871" s="9"/>
      <c r="W1871" s="9"/>
      <c r="X1871" s="9"/>
      <c r="Y1871" s="9"/>
      <c r="Z1871" s="9"/>
      <c r="AA1871" s="9"/>
      <c r="AB1871" s="9"/>
      <c r="AC1871" s="9"/>
      <c r="AD1871" s="25"/>
      <c r="AE1871" s="25"/>
      <c r="AF1871" s="9"/>
      <c r="AG1871" s="9"/>
      <c r="AH1871" s="9"/>
      <c r="AI1871" s="9"/>
    </row>
    <row r="1872" ht="15.75" customHeight="1">
      <c r="A1872" s="9"/>
      <c r="B1872" s="9"/>
      <c r="C1872" s="9"/>
      <c r="D1872" s="9"/>
      <c r="E1872" s="57"/>
      <c r="F1872" s="58"/>
      <c r="G1872" s="58"/>
      <c r="H1872" s="57"/>
      <c r="I1872" s="57"/>
      <c r="J1872" s="57"/>
      <c r="K1872" s="57"/>
      <c r="L1872" s="57"/>
      <c r="M1872" s="59"/>
      <c r="N1872" s="60"/>
      <c r="O1872" s="23"/>
      <c r="P1872" s="23"/>
      <c r="Q1872" s="9"/>
      <c r="R1872" s="9"/>
      <c r="S1872" s="9"/>
      <c r="T1872" s="9"/>
      <c r="U1872" s="9"/>
      <c r="V1872" s="9"/>
      <c r="W1872" s="9"/>
      <c r="X1872" s="9"/>
      <c r="Y1872" s="9"/>
      <c r="Z1872" s="9"/>
      <c r="AA1872" s="9"/>
      <c r="AB1872" s="9"/>
      <c r="AC1872" s="9"/>
      <c r="AD1872" s="25"/>
      <c r="AE1872" s="25"/>
      <c r="AF1872" s="9"/>
      <c r="AG1872" s="9"/>
      <c r="AH1872" s="9"/>
      <c r="AI1872" s="9"/>
    </row>
    <row r="1873" ht="15.75" customHeight="1">
      <c r="A1873" s="9"/>
      <c r="B1873" s="9"/>
      <c r="C1873" s="9"/>
      <c r="D1873" s="9"/>
      <c r="E1873" s="57"/>
      <c r="F1873" s="58"/>
      <c r="G1873" s="58"/>
      <c r="H1873" s="57"/>
      <c r="I1873" s="57"/>
      <c r="J1873" s="57"/>
      <c r="K1873" s="57"/>
      <c r="L1873" s="72"/>
      <c r="M1873" s="62"/>
      <c r="N1873" s="60"/>
      <c r="O1873" s="23"/>
      <c r="P1873" s="23"/>
      <c r="Q1873" s="9"/>
      <c r="R1873" s="9"/>
      <c r="S1873" s="9"/>
      <c r="T1873" s="9"/>
      <c r="U1873" s="9"/>
      <c r="V1873" s="9"/>
      <c r="W1873" s="9"/>
      <c r="X1873" s="9"/>
      <c r="Y1873" s="9"/>
      <c r="Z1873" s="9"/>
      <c r="AA1873" s="9"/>
      <c r="AB1873" s="9"/>
      <c r="AC1873" s="9"/>
      <c r="AD1873" s="25"/>
      <c r="AE1873" s="25"/>
      <c r="AF1873" s="9"/>
      <c r="AG1873" s="9"/>
      <c r="AH1873" s="9"/>
      <c r="AI1873" s="9"/>
    </row>
    <row r="1874" ht="15.75" customHeight="1">
      <c r="A1874" s="9"/>
      <c r="B1874" s="9"/>
      <c r="C1874" s="9"/>
      <c r="D1874" s="9"/>
      <c r="E1874" s="57"/>
      <c r="F1874" s="58"/>
      <c r="G1874" s="58"/>
      <c r="H1874" s="57"/>
      <c r="I1874" s="57"/>
      <c r="J1874" s="57"/>
      <c r="K1874" s="57"/>
      <c r="L1874" s="57"/>
      <c r="M1874" s="59"/>
      <c r="N1874" s="60"/>
      <c r="O1874" s="23"/>
      <c r="P1874" s="23"/>
      <c r="Q1874" s="9"/>
      <c r="R1874" s="9"/>
      <c r="S1874" s="9"/>
      <c r="T1874" s="9"/>
      <c r="U1874" s="9"/>
      <c r="V1874" s="9"/>
      <c r="W1874" s="9"/>
      <c r="X1874" s="9"/>
      <c r="Y1874" s="9"/>
      <c r="Z1874" s="9"/>
      <c r="AA1874" s="9"/>
      <c r="AB1874" s="9"/>
      <c r="AC1874" s="9"/>
      <c r="AD1874" s="25"/>
      <c r="AE1874" s="25"/>
      <c r="AF1874" s="9"/>
      <c r="AG1874" s="9"/>
      <c r="AH1874" s="9"/>
      <c r="AI1874" s="9"/>
    </row>
    <row r="1875" ht="15.75" customHeight="1">
      <c r="A1875" s="9"/>
      <c r="B1875" s="9"/>
      <c r="C1875" s="9"/>
      <c r="D1875" s="9"/>
      <c r="E1875" s="57"/>
      <c r="F1875" s="58"/>
      <c r="G1875" s="58"/>
      <c r="H1875" s="57"/>
      <c r="I1875" s="57"/>
      <c r="J1875" s="57"/>
      <c r="K1875" s="57"/>
      <c r="L1875" s="57"/>
      <c r="M1875" s="59"/>
      <c r="N1875" s="60"/>
      <c r="O1875" s="23"/>
      <c r="P1875" s="23"/>
      <c r="Q1875" s="9"/>
      <c r="R1875" s="9"/>
      <c r="S1875" s="9"/>
      <c r="T1875" s="9"/>
      <c r="U1875" s="9"/>
      <c r="V1875" s="9"/>
      <c r="W1875" s="9"/>
      <c r="X1875" s="9"/>
      <c r="Y1875" s="9"/>
      <c r="Z1875" s="9"/>
      <c r="AA1875" s="9"/>
      <c r="AB1875" s="9"/>
      <c r="AC1875" s="9"/>
      <c r="AD1875" s="25"/>
      <c r="AE1875" s="25"/>
      <c r="AF1875" s="9"/>
      <c r="AG1875" s="9"/>
      <c r="AH1875" s="9"/>
      <c r="AI1875" s="9"/>
    </row>
    <row r="1876" ht="15.75" customHeight="1">
      <c r="A1876" s="9"/>
      <c r="B1876" s="9"/>
      <c r="C1876" s="9"/>
      <c r="D1876" s="9"/>
      <c r="E1876" s="57"/>
      <c r="F1876" s="58"/>
      <c r="G1876" s="58"/>
      <c r="H1876" s="57"/>
      <c r="I1876" s="57"/>
      <c r="J1876" s="57"/>
      <c r="K1876" s="57"/>
      <c r="L1876" s="57"/>
      <c r="M1876" s="59"/>
      <c r="N1876" s="60"/>
      <c r="O1876" s="23"/>
      <c r="P1876" s="23"/>
      <c r="Q1876" s="9"/>
      <c r="R1876" s="9"/>
      <c r="S1876" s="9"/>
      <c r="T1876" s="9"/>
      <c r="U1876" s="9"/>
      <c r="V1876" s="9"/>
      <c r="W1876" s="9"/>
      <c r="X1876" s="9"/>
      <c r="Y1876" s="9"/>
      <c r="Z1876" s="9"/>
      <c r="AA1876" s="9"/>
      <c r="AB1876" s="9"/>
      <c r="AC1876" s="9"/>
      <c r="AD1876" s="25"/>
      <c r="AE1876" s="25"/>
      <c r="AF1876" s="9"/>
      <c r="AG1876" s="9"/>
      <c r="AH1876" s="9"/>
      <c r="AI1876" s="9"/>
    </row>
    <row r="1877" ht="15.75" customHeight="1">
      <c r="A1877" s="9"/>
      <c r="B1877" s="9"/>
      <c r="C1877" s="9"/>
      <c r="D1877" s="9"/>
      <c r="E1877" s="57"/>
      <c r="F1877" s="58"/>
      <c r="G1877" s="58"/>
      <c r="H1877" s="57"/>
      <c r="I1877" s="57"/>
      <c r="J1877" s="57"/>
      <c r="K1877" s="57"/>
      <c r="L1877" s="57"/>
      <c r="M1877" s="59"/>
      <c r="N1877" s="60"/>
      <c r="O1877" s="23"/>
      <c r="P1877" s="23"/>
      <c r="Q1877" s="9"/>
      <c r="R1877" s="9"/>
      <c r="S1877" s="9"/>
      <c r="T1877" s="9"/>
      <c r="U1877" s="9"/>
      <c r="V1877" s="9"/>
      <c r="W1877" s="9"/>
      <c r="X1877" s="9"/>
      <c r="Y1877" s="9"/>
      <c r="Z1877" s="9"/>
      <c r="AA1877" s="9"/>
      <c r="AB1877" s="9"/>
      <c r="AC1877" s="9"/>
      <c r="AD1877" s="25"/>
      <c r="AE1877" s="25"/>
      <c r="AF1877" s="9"/>
      <c r="AG1877" s="9"/>
      <c r="AH1877" s="9"/>
      <c r="AI1877" s="9"/>
    </row>
    <row r="1878" ht="15.75" customHeight="1">
      <c r="A1878" s="9"/>
      <c r="B1878" s="9"/>
      <c r="C1878" s="9"/>
      <c r="D1878" s="9"/>
      <c r="E1878" s="57"/>
      <c r="F1878" s="58"/>
      <c r="G1878" s="58"/>
      <c r="H1878" s="57"/>
      <c r="I1878" s="57"/>
      <c r="J1878" s="57"/>
      <c r="K1878" s="57"/>
      <c r="L1878" s="57"/>
      <c r="M1878" s="59"/>
      <c r="N1878" s="60"/>
      <c r="O1878" s="23"/>
      <c r="P1878" s="23"/>
      <c r="Q1878" s="9"/>
      <c r="R1878" s="9"/>
      <c r="S1878" s="9"/>
      <c r="T1878" s="9"/>
      <c r="U1878" s="9"/>
      <c r="V1878" s="9"/>
      <c r="W1878" s="9"/>
      <c r="X1878" s="9"/>
      <c r="Y1878" s="9"/>
      <c r="Z1878" s="9"/>
      <c r="AA1878" s="9"/>
      <c r="AB1878" s="9"/>
      <c r="AC1878" s="9"/>
      <c r="AD1878" s="25"/>
      <c r="AE1878" s="25"/>
      <c r="AF1878" s="9"/>
      <c r="AG1878" s="9"/>
      <c r="AH1878" s="9"/>
      <c r="AI1878" s="9"/>
    </row>
    <row r="1879" ht="15.75" customHeight="1">
      <c r="A1879" s="9"/>
      <c r="B1879" s="9"/>
      <c r="C1879" s="9"/>
      <c r="D1879" s="9"/>
      <c r="E1879" s="57"/>
      <c r="F1879" s="58"/>
      <c r="G1879" s="58"/>
      <c r="H1879" s="57"/>
      <c r="I1879" s="57"/>
      <c r="J1879" s="57"/>
      <c r="K1879" s="57"/>
      <c r="L1879" s="57"/>
      <c r="M1879" s="59"/>
      <c r="N1879" s="60"/>
      <c r="O1879" s="23"/>
      <c r="P1879" s="23"/>
      <c r="Q1879" s="9"/>
      <c r="R1879" s="9"/>
      <c r="S1879" s="9"/>
      <c r="T1879" s="9"/>
      <c r="U1879" s="9"/>
      <c r="V1879" s="9"/>
      <c r="W1879" s="9"/>
      <c r="X1879" s="9"/>
      <c r="Y1879" s="9"/>
      <c r="Z1879" s="9"/>
      <c r="AA1879" s="9"/>
      <c r="AB1879" s="9"/>
      <c r="AC1879" s="9"/>
      <c r="AD1879" s="25"/>
      <c r="AE1879" s="25"/>
      <c r="AF1879" s="9"/>
      <c r="AG1879" s="9"/>
      <c r="AH1879" s="9"/>
      <c r="AI1879" s="9"/>
    </row>
    <row r="1880" ht="15.75" customHeight="1">
      <c r="A1880" s="9"/>
      <c r="B1880" s="9"/>
      <c r="C1880" s="9"/>
      <c r="D1880" s="9"/>
      <c r="E1880" s="57"/>
      <c r="F1880" s="58"/>
      <c r="G1880" s="58"/>
      <c r="H1880" s="57"/>
      <c r="I1880" s="57"/>
      <c r="J1880" s="57"/>
      <c r="K1880" s="57"/>
      <c r="L1880" s="57"/>
      <c r="M1880" s="59"/>
      <c r="N1880" s="60"/>
      <c r="O1880" s="23"/>
      <c r="P1880" s="23"/>
      <c r="Q1880" s="9"/>
      <c r="R1880" s="9"/>
      <c r="S1880" s="9"/>
      <c r="T1880" s="9"/>
      <c r="U1880" s="9"/>
      <c r="V1880" s="9"/>
      <c r="W1880" s="9"/>
      <c r="X1880" s="9"/>
      <c r="Y1880" s="9"/>
      <c r="Z1880" s="9"/>
      <c r="AA1880" s="9"/>
      <c r="AB1880" s="9"/>
      <c r="AC1880" s="9"/>
      <c r="AD1880" s="25"/>
      <c r="AE1880" s="25"/>
      <c r="AF1880" s="9"/>
      <c r="AG1880" s="9"/>
      <c r="AH1880" s="9"/>
      <c r="AI1880" s="9"/>
    </row>
    <row r="1881" ht="15.75" customHeight="1">
      <c r="A1881" s="9"/>
      <c r="B1881" s="9"/>
      <c r="C1881" s="9"/>
      <c r="D1881" s="9"/>
      <c r="E1881" s="57"/>
      <c r="F1881" s="58"/>
      <c r="G1881" s="58"/>
      <c r="H1881" s="57"/>
      <c r="I1881" s="57"/>
      <c r="J1881" s="57"/>
      <c r="K1881" s="57"/>
      <c r="L1881" s="57"/>
      <c r="M1881" s="59"/>
      <c r="N1881" s="60"/>
      <c r="O1881" s="23"/>
      <c r="P1881" s="23"/>
      <c r="Q1881" s="9"/>
      <c r="R1881" s="9"/>
      <c r="S1881" s="9"/>
      <c r="T1881" s="9"/>
      <c r="U1881" s="9"/>
      <c r="V1881" s="9"/>
      <c r="W1881" s="9"/>
      <c r="X1881" s="9"/>
      <c r="Y1881" s="9"/>
      <c r="Z1881" s="9"/>
      <c r="AA1881" s="9"/>
      <c r="AB1881" s="9"/>
      <c r="AC1881" s="9"/>
      <c r="AD1881" s="25"/>
      <c r="AE1881" s="25"/>
      <c r="AF1881" s="9"/>
      <c r="AG1881" s="9"/>
      <c r="AH1881" s="9"/>
      <c r="AI1881" s="9"/>
    </row>
    <row r="1882" ht="15.75" customHeight="1">
      <c r="A1882" s="9"/>
      <c r="B1882" s="9"/>
      <c r="C1882" s="9"/>
      <c r="D1882" s="9"/>
      <c r="E1882" s="57"/>
      <c r="F1882" s="58"/>
      <c r="G1882" s="58"/>
      <c r="H1882" s="57"/>
      <c r="I1882" s="57"/>
      <c r="J1882" s="57"/>
      <c r="K1882" s="57"/>
      <c r="L1882" s="57"/>
      <c r="M1882" s="59"/>
      <c r="N1882" s="60"/>
      <c r="O1882" s="23"/>
      <c r="P1882" s="23"/>
      <c r="Q1882" s="9"/>
      <c r="R1882" s="9"/>
      <c r="S1882" s="9"/>
      <c r="T1882" s="9"/>
      <c r="U1882" s="9"/>
      <c r="V1882" s="9"/>
      <c r="W1882" s="9"/>
      <c r="X1882" s="9"/>
      <c r="Y1882" s="9"/>
      <c r="Z1882" s="9"/>
      <c r="AA1882" s="9"/>
      <c r="AB1882" s="9"/>
      <c r="AC1882" s="9"/>
      <c r="AD1882" s="25"/>
      <c r="AE1882" s="25"/>
      <c r="AF1882" s="9"/>
      <c r="AG1882" s="9"/>
      <c r="AH1882" s="9"/>
      <c r="AI1882" s="9"/>
    </row>
    <row r="1883" ht="15.75" customHeight="1">
      <c r="A1883" s="9"/>
      <c r="B1883" s="9"/>
      <c r="C1883" s="9"/>
      <c r="D1883" s="9"/>
      <c r="E1883" s="57"/>
      <c r="F1883" s="58"/>
      <c r="G1883" s="58"/>
      <c r="H1883" s="57"/>
      <c r="I1883" s="57"/>
      <c r="J1883" s="57"/>
      <c r="K1883" s="57"/>
      <c r="L1883" s="57"/>
      <c r="M1883" s="59"/>
      <c r="N1883" s="60"/>
      <c r="O1883" s="23"/>
      <c r="P1883" s="23"/>
      <c r="Q1883" s="9"/>
      <c r="R1883" s="9"/>
      <c r="S1883" s="9"/>
      <c r="T1883" s="9"/>
      <c r="U1883" s="9"/>
      <c r="V1883" s="9"/>
      <c r="W1883" s="9"/>
      <c r="X1883" s="9"/>
      <c r="Y1883" s="9"/>
      <c r="Z1883" s="9"/>
      <c r="AA1883" s="9"/>
      <c r="AB1883" s="9"/>
      <c r="AC1883" s="9"/>
      <c r="AD1883" s="25"/>
      <c r="AE1883" s="25"/>
      <c r="AF1883" s="9"/>
      <c r="AG1883" s="9"/>
      <c r="AH1883" s="9"/>
      <c r="AI1883" s="9"/>
    </row>
    <row r="1884" ht="15.75" customHeight="1">
      <c r="A1884" s="9"/>
      <c r="B1884" s="9"/>
      <c r="C1884" s="9"/>
      <c r="D1884" s="9"/>
      <c r="E1884" s="57"/>
      <c r="F1884" s="58"/>
      <c r="G1884" s="58"/>
      <c r="H1884" s="57"/>
      <c r="I1884" s="57"/>
      <c r="J1884" s="57"/>
      <c r="K1884" s="57"/>
      <c r="L1884" s="57"/>
      <c r="M1884" s="59"/>
      <c r="N1884" s="60"/>
      <c r="O1884" s="23"/>
      <c r="P1884" s="23"/>
      <c r="Q1884" s="9"/>
      <c r="R1884" s="9"/>
      <c r="S1884" s="9"/>
      <c r="T1884" s="9"/>
      <c r="U1884" s="9"/>
      <c r="V1884" s="9"/>
      <c r="W1884" s="9"/>
      <c r="X1884" s="9"/>
      <c r="Y1884" s="9"/>
      <c r="Z1884" s="9"/>
      <c r="AA1884" s="9"/>
      <c r="AB1884" s="9"/>
      <c r="AC1884" s="9"/>
      <c r="AD1884" s="25"/>
      <c r="AE1884" s="25"/>
      <c r="AF1884" s="9"/>
      <c r="AG1884" s="9"/>
      <c r="AH1884" s="9"/>
      <c r="AI1884" s="9"/>
    </row>
    <row r="1885" ht="15.75" customHeight="1">
      <c r="A1885" s="9"/>
      <c r="B1885" s="9"/>
      <c r="C1885" s="9"/>
      <c r="D1885" s="9"/>
      <c r="E1885" s="57"/>
      <c r="F1885" s="58"/>
      <c r="G1885" s="58"/>
      <c r="H1885" s="57"/>
      <c r="I1885" s="57"/>
      <c r="J1885" s="57"/>
      <c r="K1885" s="57"/>
      <c r="L1885" s="57"/>
      <c r="M1885" s="59"/>
      <c r="N1885" s="60"/>
      <c r="O1885" s="23"/>
      <c r="P1885" s="23"/>
      <c r="Q1885" s="9"/>
      <c r="R1885" s="9"/>
      <c r="S1885" s="9"/>
      <c r="T1885" s="9"/>
      <c r="U1885" s="9"/>
      <c r="V1885" s="9"/>
      <c r="W1885" s="9"/>
      <c r="X1885" s="9"/>
      <c r="Y1885" s="9"/>
      <c r="Z1885" s="9"/>
      <c r="AA1885" s="9"/>
      <c r="AB1885" s="9"/>
      <c r="AC1885" s="9"/>
      <c r="AD1885" s="25"/>
      <c r="AE1885" s="25"/>
      <c r="AF1885" s="9"/>
      <c r="AG1885" s="9"/>
      <c r="AH1885" s="9"/>
      <c r="AI1885" s="9"/>
    </row>
    <row r="1886" ht="15.75" customHeight="1">
      <c r="A1886" s="9"/>
      <c r="B1886" s="9"/>
      <c r="C1886" s="9"/>
      <c r="D1886" s="9"/>
      <c r="E1886" s="57"/>
      <c r="F1886" s="58"/>
      <c r="G1886" s="58"/>
      <c r="H1886" s="57"/>
      <c r="I1886" s="57"/>
      <c r="J1886" s="57"/>
      <c r="K1886" s="57"/>
      <c r="L1886" s="72"/>
      <c r="M1886" s="62"/>
      <c r="N1886" s="60"/>
      <c r="O1886" s="23"/>
      <c r="P1886" s="23"/>
      <c r="Q1886" s="9"/>
      <c r="R1886" s="9"/>
      <c r="S1886" s="9"/>
      <c r="T1886" s="9"/>
      <c r="U1886" s="9"/>
      <c r="V1886" s="9"/>
      <c r="W1886" s="9"/>
      <c r="X1886" s="9"/>
      <c r="Y1886" s="9"/>
      <c r="Z1886" s="9"/>
      <c r="AA1886" s="9"/>
      <c r="AB1886" s="9"/>
      <c r="AC1886" s="9"/>
      <c r="AD1886" s="25"/>
      <c r="AE1886" s="25"/>
      <c r="AF1886" s="9"/>
      <c r="AG1886" s="9"/>
      <c r="AH1886" s="9"/>
      <c r="AI1886" s="9"/>
    </row>
    <row r="1887" ht="15.75" customHeight="1">
      <c r="A1887" s="9"/>
      <c r="B1887" s="9"/>
      <c r="C1887" s="9"/>
      <c r="D1887" s="9"/>
      <c r="E1887" s="57"/>
      <c r="F1887" s="58"/>
      <c r="G1887" s="58"/>
      <c r="H1887" s="57"/>
      <c r="I1887" s="57"/>
      <c r="J1887" s="57"/>
      <c r="K1887" s="57"/>
      <c r="L1887" s="57"/>
      <c r="M1887" s="59"/>
      <c r="N1887" s="60"/>
      <c r="O1887" s="23"/>
      <c r="P1887" s="23"/>
      <c r="Q1887" s="9"/>
      <c r="R1887" s="9"/>
      <c r="S1887" s="9"/>
      <c r="T1887" s="9"/>
      <c r="U1887" s="9"/>
      <c r="V1887" s="9"/>
      <c r="W1887" s="9"/>
      <c r="X1887" s="9"/>
      <c r="Y1887" s="9"/>
      <c r="Z1887" s="9"/>
      <c r="AA1887" s="9"/>
      <c r="AB1887" s="9"/>
      <c r="AC1887" s="9"/>
      <c r="AD1887" s="25"/>
      <c r="AE1887" s="25"/>
      <c r="AF1887" s="9"/>
      <c r="AG1887" s="9"/>
      <c r="AH1887" s="9"/>
      <c r="AI1887" s="9"/>
    </row>
    <row r="1888" ht="15.75" customHeight="1">
      <c r="A1888" s="9"/>
      <c r="B1888" s="9"/>
      <c r="C1888" s="9"/>
      <c r="D1888" s="9"/>
      <c r="E1888" s="57"/>
      <c r="F1888" s="58"/>
      <c r="G1888" s="58"/>
      <c r="H1888" s="57"/>
      <c r="I1888" s="57"/>
      <c r="J1888" s="57"/>
      <c r="K1888" s="57"/>
      <c r="L1888" s="57"/>
      <c r="M1888" s="59"/>
      <c r="N1888" s="60"/>
      <c r="O1888" s="23"/>
      <c r="P1888" s="23"/>
      <c r="Q1888" s="9"/>
      <c r="R1888" s="9"/>
      <c r="S1888" s="9"/>
      <c r="T1888" s="9"/>
      <c r="U1888" s="9"/>
      <c r="V1888" s="9"/>
      <c r="W1888" s="9"/>
      <c r="X1888" s="9"/>
      <c r="Y1888" s="9"/>
      <c r="Z1888" s="9"/>
      <c r="AA1888" s="9"/>
      <c r="AB1888" s="9"/>
      <c r="AC1888" s="9"/>
      <c r="AD1888" s="25"/>
      <c r="AE1888" s="25"/>
      <c r="AF1888" s="9"/>
      <c r="AG1888" s="9"/>
      <c r="AH1888" s="9"/>
      <c r="AI1888" s="9"/>
    </row>
    <row r="1889" ht="15.75" customHeight="1">
      <c r="A1889" s="9"/>
      <c r="B1889" s="9"/>
      <c r="C1889" s="9"/>
      <c r="D1889" s="9"/>
      <c r="E1889" s="57"/>
      <c r="F1889" s="58"/>
      <c r="G1889" s="58"/>
      <c r="H1889" s="57"/>
      <c r="I1889" s="57"/>
      <c r="J1889" s="57"/>
      <c r="K1889" s="57"/>
      <c r="L1889" s="57"/>
      <c r="M1889" s="59"/>
      <c r="N1889" s="60"/>
      <c r="O1889" s="23"/>
      <c r="P1889" s="23"/>
      <c r="Q1889" s="9"/>
      <c r="R1889" s="9"/>
      <c r="S1889" s="9"/>
      <c r="T1889" s="9"/>
      <c r="U1889" s="9"/>
      <c r="V1889" s="9"/>
      <c r="W1889" s="9"/>
      <c r="X1889" s="9"/>
      <c r="Y1889" s="9"/>
      <c r="Z1889" s="9"/>
      <c r="AA1889" s="9"/>
      <c r="AB1889" s="9"/>
      <c r="AC1889" s="9"/>
      <c r="AD1889" s="25"/>
      <c r="AE1889" s="25"/>
      <c r="AF1889" s="9"/>
      <c r="AG1889" s="9"/>
      <c r="AH1889" s="9"/>
      <c r="AI1889" s="9"/>
    </row>
    <row r="1890" ht="15.75" customHeight="1">
      <c r="A1890" s="9"/>
      <c r="B1890" s="9"/>
      <c r="C1890" s="9"/>
      <c r="D1890" s="9"/>
      <c r="E1890" s="57"/>
      <c r="F1890" s="58"/>
      <c r="G1890" s="58"/>
      <c r="H1890" s="57"/>
      <c r="I1890" s="57"/>
      <c r="J1890" s="57"/>
      <c r="K1890" s="57"/>
      <c r="L1890" s="72"/>
      <c r="M1890" s="62"/>
      <c r="N1890" s="60"/>
      <c r="O1890" s="23"/>
      <c r="P1890" s="23"/>
      <c r="Q1890" s="9"/>
      <c r="R1890" s="9"/>
      <c r="S1890" s="9"/>
      <c r="T1890" s="9"/>
      <c r="U1890" s="9"/>
      <c r="V1890" s="9"/>
      <c r="W1890" s="9"/>
      <c r="X1890" s="9"/>
      <c r="Y1890" s="9"/>
      <c r="Z1890" s="9"/>
      <c r="AA1890" s="9"/>
      <c r="AB1890" s="9"/>
      <c r="AC1890" s="9"/>
      <c r="AD1890" s="25"/>
      <c r="AE1890" s="25"/>
      <c r="AF1890" s="9"/>
      <c r="AG1890" s="9"/>
      <c r="AH1890" s="9"/>
      <c r="AI1890" s="9"/>
    </row>
    <row r="1891" ht="15.75" customHeight="1">
      <c r="A1891" s="9"/>
      <c r="B1891" s="9"/>
      <c r="C1891" s="9"/>
      <c r="D1891" s="9"/>
      <c r="E1891" s="57"/>
      <c r="F1891" s="58"/>
      <c r="G1891" s="58"/>
      <c r="H1891" s="57"/>
      <c r="I1891" s="57"/>
      <c r="K1891" s="57"/>
      <c r="L1891" s="72"/>
      <c r="M1891" s="62"/>
      <c r="N1891" s="60"/>
      <c r="O1891" s="23"/>
      <c r="P1891" s="23"/>
      <c r="Q1891" s="9"/>
      <c r="R1891" s="9"/>
      <c r="S1891" s="9"/>
      <c r="T1891" s="9"/>
      <c r="U1891" s="9"/>
      <c r="V1891" s="9"/>
      <c r="W1891" s="9"/>
      <c r="X1891" s="9"/>
      <c r="Y1891" s="9"/>
      <c r="Z1891" s="9"/>
      <c r="AA1891" s="9"/>
      <c r="AB1891" s="9"/>
      <c r="AC1891" s="9"/>
      <c r="AD1891" s="25"/>
      <c r="AE1891" s="25"/>
      <c r="AF1891" s="9"/>
      <c r="AG1891" s="9"/>
      <c r="AH1891" s="9"/>
      <c r="AI1891" s="9"/>
    </row>
    <row r="1892" ht="15.75" customHeight="1">
      <c r="A1892" s="9"/>
      <c r="B1892" s="9"/>
      <c r="C1892" s="9"/>
      <c r="D1892" s="9"/>
      <c r="E1892" s="57"/>
      <c r="F1892" s="58"/>
      <c r="G1892" s="58"/>
      <c r="H1892" s="57"/>
      <c r="I1892" s="57"/>
      <c r="J1892" s="57"/>
      <c r="K1892" s="57"/>
      <c r="L1892" s="72"/>
      <c r="M1892" s="62"/>
      <c r="N1892" s="60"/>
      <c r="O1892" s="23"/>
      <c r="P1892" s="23"/>
      <c r="Q1892" s="9"/>
      <c r="R1892" s="9"/>
      <c r="S1892" s="9"/>
      <c r="T1892" s="9"/>
      <c r="U1892" s="9"/>
      <c r="V1892" s="9"/>
      <c r="W1892" s="9"/>
      <c r="X1892" s="9"/>
      <c r="Y1892" s="9"/>
      <c r="Z1892" s="9"/>
      <c r="AA1892" s="9"/>
      <c r="AB1892" s="9"/>
      <c r="AC1892" s="9"/>
      <c r="AD1892" s="25"/>
      <c r="AE1892" s="25"/>
      <c r="AF1892" s="9"/>
      <c r="AG1892" s="9"/>
      <c r="AH1892" s="9"/>
      <c r="AI1892" s="9"/>
    </row>
    <row r="1893" ht="15.75" customHeight="1">
      <c r="A1893" s="9"/>
      <c r="B1893" s="9"/>
      <c r="C1893" s="9"/>
      <c r="D1893" s="9"/>
      <c r="E1893" s="57"/>
      <c r="F1893" s="58"/>
      <c r="G1893" s="58"/>
      <c r="H1893" s="57"/>
      <c r="I1893" s="57"/>
      <c r="J1893" s="57"/>
      <c r="K1893" s="57"/>
      <c r="L1893" s="72"/>
      <c r="M1893" s="62"/>
      <c r="N1893" s="60"/>
      <c r="O1893" s="23"/>
      <c r="P1893" s="23"/>
      <c r="Q1893" s="9"/>
      <c r="R1893" s="9"/>
      <c r="S1893" s="9"/>
      <c r="T1893" s="9"/>
      <c r="U1893" s="9"/>
      <c r="V1893" s="9"/>
      <c r="W1893" s="9"/>
      <c r="X1893" s="9"/>
      <c r="Y1893" s="9"/>
      <c r="Z1893" s="9"/>
      <c r="AA1893" s="9"/>
      <c r="AB1893" s="9"/>
      <c r="AC1893" s="9"/>
      <c r="AD1893" s="25"/>
      <c r="AE1893" s="25"/>
      <c r="AF1893" s="9"/>
      <c r="AG1893" s="9"/>
      <c r="AH1893" s="9"/>
      <c r="AI1893" s="9"/>
    </row>
    <row r="1894" ht="15.75" customHeight="1">
      <c r="A1894" s="9"/>
      <c r="B1894" s="9"/>
      <c r="C1894" s="9"/>
      <c r="D1894" s="9"/>
      <c r="E1894" s="57"/>
      <c r="F1894" s="58"/>
      <c r="G1894" s="58"/>
      <c r="H1894" s="57"/>
      <c r="I1894" s="57"/>
      <c r="J1894" s="57"/>
      <c r="K1894" s="57"/>
      <c r="L1894" s="72"/>
      <c r="M1894" s="62"/>
      <c r="N1894" s="60"/>
      <c r="O1894" s="23"/>
      <c r="P1894" s="23"/>
      <c r="Q1894" s="9"/>
      <c r="R1894" s="9"/>
      <c r="S1894" s="9"/>
      <c r="T1894" s="9"/>
      <c r="U1894" s="9"/>
      <c r="V1894" s="9"/>
      <c r="W1894" s="9"/>
      <c r="X1894" s="9"/>
      <c r="Y1894" s="9"/>
      <c r="Z1894" s="9"/>
      <c r="AA1894" s="9"/>
      <c r="AB1894" s="9"/>
      <c r="AC1894" s="9"/>
      <c r="AD1894" s="25"/>
      <c r="AE1894" s="25"/>
      <c r="AF1894" s="9"/>
      <c r="AG1894" s="9"/>
      <c r="AH1894" s="9"/>
      <c r="AI1894" s="9"/>
    </row>
    <row r="1895" ht="15.75" customHeight="1">
      <c r="A1895" s="9"/>
      <c r="B1895" s="9"/>
      <c r="C1895" s="9"/>
      <c r="D1895" s="9"/>
      <c r="E1895" s="57"/>
      <c r="F1895" s="58"/>
      <c r="G1895" s="58"/>
      <c r="H1895" s="57"/>
      <c r="I1895" s="57"/>
      <c r="J1895" s="57"/>
      <c r="K1895" s="57"/>
      <c r="L1895" s="72"/>
      <c r="M1895" s="62"/>
      <c r="N1895" s="60"/>
      <c r="O1895" s="23"/>
      <c r="P1895" s="23"/>
      <c r="Q1895" s="9"/>
      <c r="R1895" s="9"/>
      <c r="S1895" s="9"/>
      <c r="T1895" s="9"/>
      <c r="U1895" s="9"/>
      <c r="V1895" s="9"/>
      <c r="W1895" s="9"/>
      <c r="X1895" s="9"/>
      <c r="Y1895" s="9"/>
      <c r="Z1895" s="9"/>
      <c r="AA1895" s="9"/>
      <c r="AB1895" s="9"/>
      <c r="AC1895" s="9"/>
      <c r="AD1895" s="25"/>
      <c r="AE1895" s="25"/>
      <c r="AF1895" s="9"/>
      <c r="AG1895" s="9"/>
      <c r="AH1895" s="9"/>
      <c r="AI1895" s="9"/>
    </row>
    <row r="1896" ht="15.75" customHeight="1">
      <c r="A1896" s="9"/>
      <c r="B1896" s="9"/>
      <c r="C1896" s="9"/>
      <c r="D1896" s="9"/>
      <c r="E1896" s="57"/>
      <c r="F1896" s="58"/>
      <c r="G1896" s="58"/>
      <c r="H1896" s="57"/>
      <c r="I1896" s="57"/>
      <c r="J1896" s="57"/>
      <c r="K1896" s="57"/>
      <c r="L1896" s="72"/>
      <c r="M1896" s="62"/>
      <c r="N1896" s="60"/>
      <c r="O1896" s="23"/>
      <c r="P1896" s="23"/>
      <c r="Q1896" s="9"/>
      <c r="R1896" s="9"/>
      <c r="S1896" s="9"/>
      <c r="T1896" s="9"/>
      <c r="U1896" s="9"/>
      <c r="V1896" s="9"/>
      <c r="W1896" s="9"/>
      <c r="X1896" s="9"/>
      <c r="Y1896" s="9"/>
      <c r="Z1896" s="9"/>
      <c r="AA1896" s="9"/>
      <c r="AB1896" s="9"/>
      <c r="AC1896" s="9"/>
      <c r="AD1896" s="25"/>
      <c r="AE1896" s="25"/>
      <c r="AF1896" s="9"/>
      <c r="AG1896" s="9"/>
      <c r="AH1896" s="9"/>
      <c r="AI1896" s="9"/>
    </row>
    <row r="1897" ht="15.75" customHeight="1">
      <c r="A1897" s="9"/>
      <c r="B1897" s="9"/>
      <c r="C1897" s="9"/>
      <c r="D1897" s="9"/>
      <c r="E1897" s="57"/>
      <c r="F1897" s="58"/>
      <c r="G1897" s="58"/>
      <c r="H1897" s="57"/>
      <c r="I1897" s="57"/>
      <c r="J1897" s="57"/>
      <c r="K1897" s="57"/>
      <c r="L1897" s="57"/>
      <c r="M1897" s="59"/>
      <c r="N1897" s="60"/>
      <c r="O1897" s="23"/>
      <c r="P1897" s="23"/>
      <c r="Q1897" s="9"/>
      <c r="R1897" s="9"/>
      <c r="S1897" s="9"/>
      <c r="T1897" s="9"/>
      <c r="U1897" s="9"/>
      <c r="V1897" s="9"/>
      <c r="W1897" s="9"/>
      <c r="X1897" s="9"/>
      <c r="Y1897" s="9"/>
      <c r="Z1897" s="9"/>
      <c r="AA1897" s="9"/>
      <c r="AB1897" s="9"/>
      <c r="AC1897" s="9"/>
      <c r="AD1897" s="25"/>
      <c r="AE1897" s="25"/>
      <c r="AF1897" s="9"/>
      <c r="AG1897" s="9"/>
      <c r="AH1897" s="9"/>
      <c r="AI1897" s="9"/>
    </row>
    <row r="1898" ht="15.75" customHeight="1">
      <c r="A1898" s="9"/>
      <c r="B1898" s="9"/>
      <c r="C1898" s="9"/>
      <c r="D1898" s="9"/>
      <c r="E1898" s="57"/>
      <c r="F1898" s="58"/>
      <c r="G1898" s="58"/>
      <c r="H1898" s="57"/>
      <c r="I1898" s="57"/>
      <c r="J1898" s="57"/>
      <c r="K1898" s="57"/>
      <c r="L1898" s="57"/>
      <c r="M1898" s="59"/>
      <c r="N1898" s="60"/>
      <c r="O1898" s="23"/>
      <c r="P1898" s="23"/>
      <c r="Q1898" s="9"/>
      <c r="R1898" s="9"/>
      <c r="S1898" s="9"/>
      <c r="T1898" s="9"/>
      <c r="U1898" s="9"/>
      <c r="V1898" s="9"/>
      <c r="W1898" s="9"/>
      <c r="X1898" s="9"/>
      <c r="Y1898" s="9"/>
      <c r="Z1898" s="9"/>
      <c r="AA1898" s="9"/>
      <c r="AB1898" s="9"/>
      <c r="AC1898" s="9"/>
      <c r="AD1898" s="25"/>
      <c r="AE1898" s="25"/>
      <c r="AF1898" s="9"/>
      <c r="AG1898" s="9"/>
      <c r="AH1898" s="9"/>
      <c r="AI1898" s="9"/>
    </row>
    <row r="1899" ht="15.75" customHeight="1">
      <c r="A1899" s="9"/>
      <c r="B1899" s="9"/>
      <c r="C1899" s="9"/>
      <c r="D1899" s="9"/>
      <c r="E1899" s="57"/>
      <c r="F1899" s="58"/>
      <c r="G1899" s="58"/>
      <c r="H1899" s="57"/>
      <c r="I1899" s="57"/>
      <c r="J1899" s="57"/>
      <c r="K1899" s="57"/>
      <c r="L1899" s="57"/>
      <c r="M1899" s="59"/>
      <c r="N1899" s="60"/>
      <c r="O1899" s="23"/>
      <c r="P1899" s="23"/>
      <c r="Q1899" s="9"/>
      <c r="R1899" s="9"/>
      <c r="S1899" s="9"/>
      <c r="T1899" s="9"/>
      <c r="U1899" s="9"/>
      <c r="V1899" s="9"/>
      <c r="W1899" s="9"/>
      <c r="X1899" s="9"/>
      <c r="Y1899" s="9"/>
      <c r="Z1899" s="9"/>
      <c r="AA1899" s="9"/>
      <c r="AB1899" s="9"/>
      <c r="AC1899" s="9"/>
      <c r="AD1899" s="25"/>
      <c r="AE1899" s="25"/>
      <c r="AF1899" s="9"/>
      <c r="AG1899" s="9"/>
      <c r="AH1899" s="9"/>
      <c r="AI1899" s="9"/>
    </row>
    <row r="1900" ht="15.75" customHeight="1">
      <c r="A1900" s="9"/>
      <c r="B1900" s="9"/>
      <c r="C1900" s="9"/>
      <c r="D1900" s="9"/>
      <c r="E1900" s="57"/>
      <c r="F1900" s="58"/>
      <c r="G1900" s="58"/>
      <c r="H1900" s="57"/>
      <c r="I1900" s="57"/>
      <c r="J1900" s="57"/>
      <c r="K1900" s="57"/>
      <c r="L1900" s="57"/>
      <c r="M1900" s="59"/>
      <c r="N1900" s="60"/>
      <c r="O1900" s="23"/>
      <c r="P1900" s="23"/>
      <c r="Q1900" s="9"/>
      <c r="R1900" s="9"/>
      <c r="S1900" s="9"/>
      <c r="T1900" s="9"/>
      <c r="U1900" s="9"/>
      <c r="V1900" s="9"/>
      <c r="W1900" s="9"/>
      <c r="X1900" s="9"/>
      <c r="Y1900" s="9"/>
      <c r="Z1900" s="9"/>
      <c r="AA1900" s="9"/>
      <c r="AB1900" s="9"/>
      <c r="AC1900" s="9"/>
      <c r="AD1900" s="25"/>
      <c r="AE1900" s="25"/>
      <c r="AF1900" s="9"/>
      <c r="AG1900" s="9"/>
      <c r="AH1900" s="9"/>
      <c r="AI1900" s="9"/>
    </row>
    <row r="1901" ht="15.75" customHeight="1">
      <c r="A1901" s="9"/>
      <c r="B1901" s="9"/>
      <c r="C1901" s="9"/>
      <c r="D1901" s="9"/>
      <c r="E1901" s="57"/>
      <c r="F1901" s="58"/>
      <c r="G1901" s="58"/>
      <c r="H1901" s="57"/>
      <c r="I1901" s="57"/>
      <c r="J1901" s="57"/>
      <c r="K1901" s="57"/>
      <c r="L1901" s="57"/>
      <c r="M1901" s="59"/>
      <c r="N1901" s="60"/>
      <c r="O1901" s="23"/>
      <c r="P1901" s="23"/>
      <c r="Q1901" s="9"/>
      <c r="R1901" s="9"/>
      <c r="S1901" s="9"/>
      <c r="T1901" s="9"/>
      <c r="U1901" s="9"/>
      <c r="V1901" s="9"/>
      <c r="W1901" s="9"/>
      <c r="X1901" s="9"/>
      <c r="Y1901" s="9"/>
      <c r="Z1901" s="9"/>
      <c r="AA1901" s="9"/>
      <c r="AB1901" s="9"/>
      <c r="AC1901" s="9"/>
      <c r="AD1901" s="25"/>
      <c r="AE1901" s="25"/>
      <c r="AF1901" s="9"/>
      <c r="AG1901" s="9"/>
      <c r="AH1901" s="9"/>
      <c r="AI1901" s="9"/>
    </row>
    <row r="1902" ht="15.75" customHeight="1">
      <c r="A1902" s="9"/>
      <c r="B1902" s="9"/>
      <c r="C1902" s="9"/>
      <c r="D1902" s="9"/>
      <c r="E1902" s="57"/>
      <c r="F1902" s="58"/>
      <c r="G1902" s="58"/>
      <c r="H1902" s="57"/>
      <c r="I1902" s="57"/>
      <c r="J1902" s="57"/>
      <c r="K1902" s="57"/>
      <c r="L1902" s="57"/>
      <c r="M1902" s="59"/>
      <c r="N1902" s="60"/>
      <c r="O1902" s="23"/>
      <c r="P1902" s="23"/>
      <c r="Q1902" s="9"/>
      <c r="R1902" s="9"/>
      <c r="S1902" s="9"/>
      <c r="T1902" s="9"/>
      <c r="U1902" s="9"/>
      <c r="V1902" s="9"/>
      <c r="W1902" s="9"/>
      <c r="X1902" s="9"/>
      <c r="Y1902" s="9"/>
      <c r="Z1902" s="9"/>
      <c r="AA1902" s="9"/>
      <c r="AB1902" s="9"/>
      <c r="AC1902" s="9"/>
      <c r="AD1902" s="25"/>
      <c r="AE1902" s="25"/>
      <c r="AF1902" s="9"/>
      <c r="AG1902" s="9"/>
      <c r="AH1902" s="9"/>
      <c r="AI1902" s="9"/>
    </row>
    <row r="1903" ht="15.75" customHeight="1">
      <c r="A1903" s="9"/>
      <c r="B1903" s="9"/>
      <c r="C1903" s="9"/>
      <c r="D1903" s="9"/>
      <c r="E1903" s="57"/>
      <c r="F1903" s="58"/>
      <c r="G1903" s="58"/>
      <c r="H1903" s="57"/>
      <c r="I1903" s="57"/>
      <c r="J1903" s="57"/>
      <c r="K1903" s="57"/>
      <c r="L1903" s="72"/>
      <c r="M1903" s="62"/>
      <c r="N1903" s="60"/>
      <c r="O1903" s="23"/>
      <c r="P1903" s="23"/>
      <c r="Q1903" s="9"/>
      <c r="R1903" s="9"/>
      <c r="S1903" s="9"/>
      <c r="T1903" s="9"/>
      <c r="U1903" s="9"/>
      <c r="V1903" s="9"/>
      <c r="W1903" s="9"/>
      <c r="X1903" s="9"/>
      <c r="Y1903" s="9"/>
      <c r="Z1903" s="9"/>
      <c r="AA1903" s="9"/>
      <c r="AB1903" s="9"/>
      <c r="AC1903" s="9"/>
      <c r="AD1903" s="25"/>
      <c r="AE1903" s="25"/>
      <c r="AF1903" s="9"/>
      <c r="AG1903" s="9"/>
      <c r="AH1903" s="9"/>
      <c r="AI1903" s="9"/>
    </row>
    <row r="1904" ht="15.75" customHeight="1">
      <c r="A1904" s="9"/>
      <c r="B1904" s="9"/>
      <c r="C1904" s="9"/>
      <c r="D1904" s="9"/>
      <c r="E1904" s="57"/>
      <c r="F1904" s="58"/>
      <c r="G1904" s="58"/>
      <c r="H1904" s="57"/>
      <c r="I1904" s="57"/>
      <c r="J1904" s="57"/>
      <c r="K1904" s="57"/>
      <c r="L1904" s="72"/>
      <c r="M1904" s="62"/>
      <c r="N1904" s="60"/>
      <c r="O1904" s="23"/>
      <c r="P1904" s="23"/>
      <c r="Q1904" s="9"/>
      <c r="R1904" s="9"/>
      <c r="S1904" s="9"/>
      <c r="T1904" s="9"/>
      <c r="U1904" s="9"/>
      <c r="V1904" s="9"/>
      <c r="W1904" s="9"/>
      <c r="X1904" s="9"/>
      <c r="Y1904" s="9"/>
      <c r="Z1904" s="9"/>
      <c r="AA1904" s="9"/>
      <c r="AB1904" s="9"/>
      <c r="AC1904" s="9"/>
      <c r="AD1904" s="25"/>
      <c r="AE1904" s="25"/>
      <c r="AF1904" s="9"/>
      <c r="AG1904" s="9"/>
      <c r="AH1904" s="9"/>
      <c r="AI1904" s="9"/>
    </row>
    <row r="1905" ht="15.75" customHeight="1">
      <c r="A1905" s="9"/>
      <c r="B1905" s="9"/>
      <c r="C1905" s="9"/>
      <c r="D1905" s="9"/>
      <c r="E1905" s="57"/>
      <c r="F1905" s="58"/>
      <c r="G1905" s="58"/>
      <c r="H1905" s="57"/>
      <c r="I1905" s="57"/>
      <c r="J1905" s="57"/>
      <c r="K1905" s="57"/>
      <c r="L1905" s="72"/>
      <c r="M1905" s="62"/>
      <c r="N1905" s="60"/>
      <c r="O1905" s="23"/>
      <c r="P1905" s="23"/>
      <c r="Q1905" s="9"/>
      <c r="R1905" s="9"/>
      <c r="S1905" s="9"/>
      <c r="T1905" s="9"/>
      <c r="U1905" s="9"/>
      <c r="V1905" s="9"/>
      <c r="W1905" s="9"/>
      <c r="X1905" s="9"/>
      <c r="Y1905" s="9"/>
      <c r="Z1905" s="9"/>
      <c r="AA1905" s="9"/>
      <c r="AB1905" s="9"/>
      <c r="AC1905" s="9"/>
      <c r="AD1905" s="25"/>
      <c r="AE1905" s="25"/>
      <c r="AF1905" s="9"/>
      <c r="AG1905" s="9"/>
      <c r="AH1905" s="9"/>
      <c r="AI1905" s="9"/>
    </row>
    <row r="1906" ht="15.75" customHeight="1">
      <c r="A1906" s="9"/>
      <c r="B1906" s="9"/>
      <c r="C1906" s="9"/>
      <c r="D1906" s="9"/>
      <c r="E1906" s="57"/>
      <c r="F1906" s="58"/>
      <c r="G1906" s="58"/>
      <c r="H1906" s="57"/>
      <c r="I1906" s="57"/>
      <c r="J1906" s="57"/>
      <c r="K1906" s="57"/>
      <c r="L1906" s="57"/>
      <c r="M1906" s="59"/>
      <c r="N1906" s="60"/>
      <c r="O1906" s="23"/>
      <c r="P1906" s="23"/>
      <c r="Q1906" s="9"/>
      <c r="R1906" s="9"/>
      <c r="S1906" s="9"/>
      <c r="T1906" s="9"/>
      <c r="U1906" s="9"/>
      <c r="V1906" s="9"/>
      <c r="W1906" s="9"/>
      <c r="X1906" s="9"/>
      <c r="Y1906" s="9"/>
      <c r="Z1906" s="9"/>
      <c r="AA1906" s="9"/>
      <c r="AB1906" s="9"/>
      <c r="AC1906" s="9"/>
      <c r="AD1906" s="25"/>
      <c r="AE1906" s="25"/>
      <c r="AF1906" s="9"/>
      <c r="AG1906" s="9"/>
      <c r="AH1906" s="9"/>
      <c r="AI1906" s="9"/>
    </row>
    <row r="1907" ht="15.75" customHeight="1">
      <c r="A1907" s="9"/>
      <c r="B1907" s="9"/>
      <c r="C1907" s="9"/>
      <c r="D1907" s="9"/>
      <c r="E1907" s="57"/>
      <c r="F1907" s="58"/>
      <c r="G1907" s="58"/>
      <c r="H1907" s="57"/>
      <c r="I1907" s="57"/>
      <c r="J1907" s="57"/>
      <c r="K1907" s="57"/>
      <c r="L1907" s="57"/>
      <c r="M1907" s="59"/>
      <c r="N1907" s="60"/>
      <c r="O1907" s="23"/>
      <c r="P1907" s="23"/>
      <c r="Q1907" s="9"/>
      <c r="R1907" s="9"/>
      <c r="S1907" s="9"/>
      <c r="T1907" s="9"/>
      <c r="U1907" s="9"/>
      <c r="V1907" s="9"/>
      <c r="W1907" s="9"/>
      <c r="X1907" s="9"/>
      <c r="Y1907" s="9"/>
      <c r="Z1907" s="9"/>
      <c r="AA1907" s="9"/>
      <c r="AB1907" s="9"/>
      <c r="AC1907" s="9"/>
      <c r="AD1907" s="25"/>
      <c r="AE1907" s="25"/>
      <c r="AF1907" s="9"/>
      <c r="AG1907" s="9"/>
      <c r="AH1907" s="9"/>
      <c r="AI1907" s="9"/>
    </row>
    <row r="1908" ht="15.75" customHeight="1">
      <c r="A1908" s="9"/>
      <c r="B1908" s="9"/>
      <c r="C1908" s="9"/>
      <c r="D1908" s="9"/>
      <c r="E1908" s="57"/>
      <c r="F1908" s="58"/>
      <c r="G1908" s="58"/>
      <c r="H1908" s="57"/>
      <c r="I1908" s="57"/>
      <c r="J1908" s="57"/>
      <c r="K1908" s="57"/>
      <c r="L1908" s="57"/>
      <c r="M1908" s="59"/>
      <c r="N1908" s="60"/>
      <c r="O1908" s="23"/>
      <c r="P1908" s="23"/>
      <c r="Q1908" s="9"/>
      <c r="R1908" s="9"/>
      <c r="S1908" s="9"/>
      <c r="T1908" s="9"/>
      <c r="U1908" s="9"/>
      <c r="V1908" s="9"/>
      <c r="W1908" s="9"/>
      <c r="X1908" s="9"/>
      <c r="Y1908" s="9"/>
      <c r="Z1908" s="9"/>
      <c r="AA1908" s="9"/>
      <c r="AB1908" s="9"/>
      <c r="AC1908" s="9"/>
      <c r="AD1908" s="25"/>
      <c r="AE1908" s="25"/>
      <c r="AF1908" s="9"/>
      <c r="AG1908" s="9"/>
      <c r="AH1908" s="9"/>
      <c r="AI1908" s="9"/>
    </row>
    <row r="1909" ht="15.75" customHeight="1">
      <c r="A1909" s="9"/>
      <c r="B1909" s="9"/>
      <c r="C1909" s="9"/>
      <c r="D1909" s="9"/>
      <c r="E1909" s="57"/>
      <c r="F1909" s="58"/>
      <c r="G1909" s="58"/>
      <c r="H1909" s="57"/>
      <c r="I1909" s="57"/>
      <c r="J1909" s="57"/>
      <c r="K1909" s="57"/>
      <c r="L1909" s="57"/>
      <c r="M1909" s="59"/>
      <c r="N1909" s="60"/>
      <c r="O1909" s="23"/>
      <c r="P1909" s="23"/>
      <c r="Q1909" s="9"/>
      <c r="R1909" s="9"/>
      <c r="S1909" s="9"/>
      <c r="T1909" s="9"/>
      <c r="U1909" s="9"/>
      <c r="V1909" s="9"/>
      <c r="W1909" s="9"/>
      <c r="X1909" s="9"/>
      <c r="Y1909" s="9"/>
      <c r="Z1909" s="9"/>
      <c r="AA1909" s="9"/>
      <c r="AB1909" s="9"/>
      <c r="AC1909" s="9"/>
      <c r="AD1909" s="25"/>
      <c r="AE1909" s="25"/>
      <c r="AF1909" s="9"/>
      <c r="AG1909" s="9"/>
      <c r="AH1909" s="9"/>
      <c r="AI1909" s="9"/>
    </row>
    <row r="1910" ht="15.75" customHeight="1">
      <c r="A1910" s="9"/>
      <c r="B1910" s="9"/>
      <c r="C1910" s="9"/>
      <c r="D1910" s="9"/>
      <c r="E1910" s="57"/>
      <c r="F1910" s="58"/>
      <c r="G1910" s="58"/>
      <c r="H1910" s="57"/>
      <c r="I1910" s="57"/>
      <c r="J1910" s="57"/>
      <c r="K1910" s="57"/>
      <c r="L1910" s="57"/>
      <c r="M1910" s="59"/>
      <c r="N1910" s="60"/>
      <c r="O1910" s="23"/>
      <c r="P1910" s="23"/>
      <c r="Q1910" s="9"/>
      <c r="R1910" s="9"/>
      <c r="S1910" s="9"/>
      <c r="T1910" s="9"/>
      <c r="U1910" s="9"/>
      <c r="V1910" s="9"/>
      <c r="W1910" s="9"/>
      <c r="X1910" s="9"/>
      <c r="Y1910" s="9"/>
      <c r="Z1910" s="9"/>
      <c r="AA1910" s="9"/>
      <c r="AB1910" s="9"/>
      <c r="AC1910" s="9"/>
      <c r="AD1910" s="25"/>
      <c r="AE1910" s="25"/>
      <c r="AF1910" s="9"/>
      <c r="AG1910" s="9"/>
      <c r="AH1910" s="9"/>
      <c r="AI1910" s="9"/>
    </row>
    <row r="1911" ht="15.75" customHeight="1">
      <c r="A1911" s="9"/>
      <c r="B1911" s="9"/>
      <c r="C1911" s="9"/>
      <c r="D1911" s="9"/>
      <c r="E1911" s="57"/>
      <c r="F1911" s="58"/>
      <c r="G1911" s="58"/>
      <c r="H1911" s="57"/>
      <c r="I1911" s="57"/>
      <c r="J1911" s="57"/>
      <c r="K1911" s="57"/>
      <c r="L1911" s="57"/>
      <c r="M1911" s="59"/>
      <c r="N1911" s="60"/>
      <c r="O1911" s="23"/>
      <c r="P1911" s="23"/>
      <c r="Q1911" s="9"/>
      <c r="R1911" s="9"/>
      <c r="S1911" s="9"/>
      <c r="T1911" s="9"/>
      <c r="U1911" s="9"/>
      <c r="V1911" s="9"/>
      <c r="W1911" s="9"/>
      <c r="X1911" s="9"/>
      <c r="Y1911" s="9"/>
      <c r="Z1911" s="9"/>
      <c r="AA1911" s="9"/>
      <c r="AB1911" s="9"/>
      <c r="AC1911" s="9"/>
      <c r="AD1911" s="25"/>
      <c r="AE1911" s="25"/>
      <c r="AF1911" s="9"/>
      <c r="AG1911" s="9"/>
      <c r="AH1911" s="9"/>
      <c r="AI1911" s="9"/>
    </row>
    <row r="1912" ht="15.75" customHeight="1">
      <c r="A1912" s="9"/>
      <c r="B1912" s="9"/>
      <c r="C1912" s="9"/>
      <c r="D1912" s="9"/>
      <c r="E1912" s="57"/>
      <c r="F1912" s="58"/>
      <c r="G1912" s="58"/>
      <c r="H1912" s="57"/>
      <c r="I1912" s="57"/>
      <c r="J1912" s="57"/>
      <c r="K1912" s="57"/>
      <c r="L1912" s="57"/>
      <c r="M1912" s="59"/>
      <c r="N1912" s="60"/>
      <c r="O1912" s="23"/>
      <c r="P1912" s="23"/>
      <c r="Q1912" s="9"/>
      <c r="R1912" s="9"/>
      <c r="S1912" s="9"/>
      <c r="T1912" s="9"/>
      <c r="U1912" s="9"/>
      <c r="V1912" s="9"/>
      <c r="W1912" s="9"/>
      <c r="X1912" s="9"/>
      <c r="Y1912" s="9"/>
      <c r="Z1912" s="9"/>
      <c r="AA1912" s="9"/>
      <c r="AB1912" s="9"/>
      <c r="AC1912" s="9"/>
      <c r="AD1912" s="25"/>
      <c r="AE1912" s="25"/>
      <c r="AF1912" s="9"/>
      <c r="AG1912" s="9"/>
      <c r="AH1912" s="9"/>
      <c r="AI1912" s="9"/>
    </row>
    <row r="1913" ht="15.75" customHeight="1">
      <c r="A1913" s="9"/>
      <c r="B1913" s="9"/>
      <c r="C1913" s="9"/>
      <c r="D1913" s="9"/>
      <c r="E1913" s="57"/>
      <c r="F1913" s="58"/>
      <c r="G1913" s="58"/>
      <c r="H1913" s="57"/>
      <c r="I1913" s="57"/>
      <c r="J1913" s="57"/>
      <c r="K1913" s="57"/>
      <c r="L1913" s="57"/>
      <c r="M1913" s="59"/>
      <c r="N1913" s="60"/>
      <c r="O1913" s="23"/>
      <c r="P1913" s="23"/>
      <c r="Q1913" s="9"/>
      <c r="R1913" s="9"/>
      <c r="S1913" s="9"/>
      <c r="T1913" s="9"/>
      <c r="U1913" s="9"/>
      <c r="V1913" s="9"/>
      <c r="W1913" s="9"/>
      <c r="X1913" s="9"/>
      <c r="Y1913" s="9"/>
      <c r="Z1913" s="9"/>
      <c r="AA1913" s="9"/>
      <c r="AB1913" s="9"/>
      <c r="AC1913" s="9"/>
      <c r="AD1913" s="25"/>
      <c r="AE1913" s="25"/>
      <c r="AF1913" s="9"/>
      <c r="AG1913" s="9"/>
      <c r="AH1913" s="9"/>
      <c r="AI1913" s="9"/>
    </row>
    <row r="1914" ht="15.75" customHeight="1">
      <c r="A1914" s="9"/>
      <c r="B1914" s="9"/>
      <c r="C1914" s="9"/>
      <c r="D1914" s="9"/>
      <c r="E1914" s="57"/>
      <c r="F1914" s="58"/>
      <c r="G1914" s="58"/>
      <c r="H1914" s="57"/>
      <c r="I1914" s="57"/>
      <c r="J1914" s="57"/>
      <c r="K1914" s="57"/>
      <c r="L1914" s="57"/>
      <c r="M1914" s="59"/>
      <c r="N1914" s="60"/>
      <c r="O1914" s="23"/>
      <c r="P1914" s="23"/>
      <c r="Q1914" s="9"/>
      <c r="R1914" s="9"/>
      <c r="S1914" s="9"/>
      <c r="T1914" s="9"/>
      <c r="U1914" s="9"/>
      <c r="V1914" s="9"/>
      <c r="W1914" s="9"/>
      <c r="X1914" s="9"/>
      <c r="Y1914" s="9"/>
      <c r="Z1914" s="9"/>
      <c r="AA1914" s="9"/>
      <c r="AB1914" s="9"/>
      <c r="AC1914" s="9"/>
      <c r="AD1914" s="25"/>
      <c r="AE1914" s="25"/>
      <c r="AF1914" s="9"/>
      <c r="AG1914" s="9"/>
      <c r="AH1914" s="9"/>
      <c r="AI1914" s="9"/>
    </row>
    <row r="1915" ht="15.75" customHeight="1">
      <c r="A1915" s="9"/>
      <c r="B1915" s="9"/>
      <c r="C1915" s="9"/>
      <c r="D1915" s="9"/>
      <c r="E1915" s="57"/>
      <c r="F1915" s="58"/>
      <c r="G1915" s="58"/>
      <c r="H1915" s="57"/>
      <c r="I1915" s="57"/>
      <c r="J1915" s="57"/>
      <c r="K1915" s="57"/>
      <c r="L1915" s="72"/>
      <c r="M1915" s="62"/>
      <c r="N1915" s="60"/>
      <c r="O1915" s="23"/>
      <c r="P1915" s="23"/>
      <c r="Q1915" s="9"/>
      <c r="R1915" s="9"/>
      <c r="S1915" s="9"/>
      <c r="T1915" s="9"/>
      <c r="U1915" s="9"/>
      <c r="V1915" s="9"/>
      <c r="W1915" s="9"/>
      <c r="X1915" s="9"/>
      <c r="Y1915" s="9"/>
      <c r="Z1915" s="9"/>
      <c r="AA1915" s="9"/>
      <c r="AB1915" s="9"/>
      <c r="AC1915" s="9"/>
      <c r="AD1915" s="25"/>
      <c r="AE1915" s="25"/>
      <c r="AF1915" s="9"/>
      <c r="AG1915" s="9"/>
      <c r="AH1915" s="9"/>
      <c r="AI1915" s="9"/>
    </row>
    <row r="1916" ht="15.75" customHeight="1">
      <c r="A1916" s="9"/>
      <c r="B1916" s="9"/>
      <c r="C1916" s="9"/>
      <c r="D1916" s="9"/>
      <c r="E1916" s="57"/>
      <c r="F1916" s="58"/>
      <c r="G1916" s="58"/>
      <c r="H1916" s="57"/>
      <c r="I1916" s="57"/>
      <c r="J1916" s="57"/>
      <c r="K1916" s="57"/>
      <c r="L1916" s="57"/>
      <c r="M1916" s="59"/>
      <c r="N1916" s="60"/>
      <c r="O1916" s="23"/>
      <c r="P1916" s="23"/>
      <c r="Q1916" s="9"/>
      <c r="R1916" s="9"/>
      <c r="S1916" s="9"/>
      <c r="T1916" s="9"/>
      <c r="U1916" s="9"/>
      <c r="V1916" s="9"/>
      <c r="W1916" s="9"/>
      <c r="X1916" s="9"/>
      <c r="Y1916" s="9"/>
      <c r="Z1916" s="9"/>
      <c r="AA1916" s="9"/>
      <c r="AB1916" s="9"/>
      <c r="AC1916" s="9"/>
      <c r="AD1916" s="25"/>
      <c r="AE1916" s="25"/>
      <c r="AF1916" s="9"/>
      <c r="AG1916" s="9"/>
      <c r="AH1916" s="9"/>
      <c r="AI1916" s="9"/>
    </row>
    <row r="1917" ht="15.75" customHeight="1">
      <c r="A1917" s="9"/>
      <c r="B1917" s="9"/>
      <c r="C1917" s="9"/>
      <c r="D1917" s="9"/>
      <c r="E1917" s="57"/>
      <c r="F1917" s="58"/>
      <c r="G1917" s="58"/>
      <c r="H1917" s="57"/>
      <c r="I1917" s="57"/>
      <c r="J1917" s="57"/>
      <c r="K1917" s="57"/>
      <c r="L1917" s="57"/>
      <c r="M1917" s="59"/>
      <c r="N1917" s="60"/>
      <c r="O1917" s="23"/>
      <c r="P1917" s="23"/>
      <c r="Q1917" s="9"/>
      <c r="R1917" s="9"/>
      <c r="S1917" s="9"/>
      <c r="T1917" s="9"/>
      <c r="U1917" s="9"/>
      <c r="V1917" s="9"/>
      <c r="W1917" s="9"/>
      <c r="X1917" s="9"/>
      <c r="Y1917" s="9"/>
      <c r="Z1917" s="9"/>
      <c r="AA1917" s="9"/>
      <c r="AB1917" s="9"/>
      <c r="AC1917" s="9"/>
      <c r="AD1917" s="25"/>
      <c r="AE1917" s="25"/>
      <c r="AF1917" s="9"/>
      <c r="AG1917" s="9"/>
      <c r="AH1917" s="9"/>
      <c r="AI1917" s="9"/>
    </row>
    <row r="1918" ht="15.75" customHeight="1">
      <c r="A1918" s="9"/>
      <c r="B1918" s="9"/>
      <c r="C1918" s="9"/>
      <c r="D1918" s="9"/>
      <c r="E1918" s="57"/>
      <c r="F1918" s="58"/>
      <c r="G1918" s="58"/>
      <c r="H1918" s="57"/>
      <c r="I1918" s="57"/>
      <c r="J1918" s="57"/>
      <c r="K1918" s="57"/>
      <c r="L1918" s="57"/>
      <c r="M1918" s="59"/>
      <c r="N1918" s="60"/>
      <c r="O1918" s="23"/>
      <c r="P1918" s="23"/>
      <c r="Q1918" s="9"/>
      <c r="R1918" s="9"/>
      <c r="S1918" s="9"/>
      <c r="T1918" s="9"/>
      <c r="U1918" s="9"/>
      <c r="V1918" s="9"/>
      <c r="W1918" s="9"/>
      <c r="X1918" s="9"/>
      <c r="Y1918" s="9"/>
      <c r="Z1918" s="9"/>
      <c r="AA1918" s="9"/>
      <c r="AB1918" s="9"/>
      <c r="AC1918" s="9"/>
      <c r="AD1918" s="25"/>
      <c r="AE1918" s="25"/>
      <c r="AF1918" s="9"/>
      <c r="AG1918" s="9"/>
      <c r="AH1918" s="9"/>
      <c r="AI1918" s="9"/>
    </row>
    <row r="1919" ht="15.75" customHeight="1">
      <c r="A1919" s="9"/>
      <c r="B1919" s="9"/>
      <c r="C1919" s="9"/>
      <c r="D1919" s="9"/>
      <c r="E1919" s="57"/>
      <c r="F1919" s="58"/>
      <c r="G1919" s="58"/>
      <c r="H1919" s="57"/>
      <c r="I1919" s="57"/>
      <c r="J1919" s="57"/>
      <c r="K1919" s="57"/>
      <c r="L1919" s="72"/>
      <c r="M1919" s="62"/>
      <c r="N1919" s="60"/>
      <c r="O1919" s="23"/>
      <c r="P1919" s="23"/>
      <c r="Q1919" s="9"/>
      <c r="R1919" s="9"/>
      <c r="S1919" s="9"/>
      <c r="T1919" s="9"/>
      <c r="U1919" s="9"/>
      <c r="V1919" s="9"/>
      <c r="W1919" s="9"/>
      <c r="X1919" s="9"/>
      <c r="Y1919" s="9"/>
      <c r="Z1919" s="9"/>
      <c r="AA1919" s="9"/>
      <c r="AB1919" s="9"/>
      <c r="AC1919" s="9"/>
      <c r="AD1919" s="25"/>
      <c r="AE1919" s="25"/>
      <c r="AF1919" s="9"/>
      <c r="AG1919" s="9"/>
      <c r="AH1919" s="9"/>
      <c r="AI1919" s="9"/>
    </row>
    <row r="1920" ht="15.75" customHeight="1">
      <c r="A1920" s="9"/>
      <c r="B1920" s="9"/>
      <c r="C1920" s="9"/>
      <c r="D1920" s="9"/>
      <c r="E1920" s="57"/>
      <c r="F1920" s="58"/>
      <c r="G1920" s="58"/>
      <c r="H1920" s="57"/>
      <c r="I1920" s="57"/>
      <c r="J1920" s="57"/>
      <c r="K1920" s="57"/>
      <c r="L1920" s="57"/>
      <c r="M1920" s="59"/>
      <c r="N1920" s="60"/>
      <c r="O1920" s="23"/>
      <c r="P1920" s="23"/>
      <c r="Q1920" s="9"/>
      <c r="R1920" s="9"/>
      <c r="S1920" s="9"/>
      <c r="T1920" s="9"/>
      <c r="U1920" s="9"/>
      <c r="V1920" s="9"/>
      <c r="W1920" s="9"/>
      <c r="X1920" s="9"/>
      <c r="Y1920" s="9"/>
      <c r="Z1920" s="9"/>
      <c r="AA1920" s="9"/>
      <c r="AB1920" s="9"/>
      <c r="AC1920" s="9"/>
      <c r="AD1920" s="25"/>
      <c r="AE1920" s="25"/>
      <c r="AF1920" s="9"/>
      <c r="AG1920" s="9"/>
      <c r="AH1920" s="9"/>
      <c r="AI1920" s="9"/>
    </row>
    <row r="1921" ht="15.75" customHeight="1">
      <c r="A1921" s="9"/>
      <c r="B1921" s="9"/>
      <c r="C1921" s="9"/>
      <c r="D1921" s="9"/>
      <c r="E1921" s="57"/>
      <c r="F1921" s="58"/>
      <c r="G1921" s="58"/>
      <c r="H1921" s="57"/>
      <c r="I1921" s="57"/>
      <c r="J1921" s="57"/>
      <c r="K1921" s="57"/>
      <c r="L1921" s="72"/>
      <c r="M1921" s="62"/>
      <c r="N1921" s="60"/>
      <c r="O1921" s="23"/>
      <c r="P1921" s="23"/>
      <c r="Q1921" s="9"/>
      <c r="R1921" s="9"/>
      <c r="S1921" s="9"/>
      <c r="T1921" s="9"/>
      <c r="U1921" s="9"/>
      <c r="V1921" s="9"/>
      <c r="W1921" s="9"/>
      <c r="X1921" s="9"/>
      <c r="Y1921" s="9"/>
      <c r="Z1921" s="9"/>
      <c r="AA1921" s="9"/>
      <c r="AB1921" s="9"/>
      <c r="AC1921" s="9"/>
      <c r="AD1921" s="25"/>
      <c r="AE1921" s="25"/>
      <c r="AF1921" s="9"/>
      <c r="AG1921" s="9"/>
      <c r="AH1921" s="9"/>
      <c r="AI1921" s="9"/>
    </row>
    <row r="1922" ht="15.75" customHeight="1">
      <c r="A1922" s="9"/>
      <c r="B1922" s="9"/>
      <c r="C1922" s="9"/>
      <c r="D1922" s="9"/>
      <c r="E1922" s="57"/>
      <c r="F1922" s="58"/>
      <c r="G1922" s="58"/>
      <c r="H1922" s="57"/>
      <c r="I1922" s="57"/>
      <c r="J1922" s="57"/>
      <c r="K1922" s="57"/>
      <c r="L1922" s="57"/>
      <c r="M1922" s="59"/>
      <c r="N1922" s="60"/>
      <c r="O1922" s="23"/>
      <c r="P1922" s="23"/>
      <c r="Q1922" s="9"/>
      <c r="R1922" s="9"/>
      <c r="S1922" s="9"/>
      <c r="T1922" s="9"/>
      <c r="U1922" s="9"/>
      <c r="V1922" s="9"/>
      <c r="W1922" s="9"/>
      <c r="X1922" s="9"/>
      <c r="Y1922" s="9"/>
      <c r="Z1922" s="9"/>
      <c r="AA1922" s="9"/>
      <c r="AB1922" s="9"/>
      <c r="AC1922" s="9"/>
      <c r="AD1922" s="25"/>
      <c r="AE1922" s="25"/>
      <c r="AF1922" s="9"/>
      <c r="AG1922" s="9"/>
      <c r="AH1922" s="9"/>
      <c r="AI1922" s="9"/>
    </row>
    <row r="1923" ht="15.75" customHeight="1">
      <c r="A1923" s="9"/>
      <c r="B1923" s="9"/>
      <c r="C1923" s="9"/>
      <c r="D1923" s="9"/>
      <c r="E1923" s="57"/>
      <c r="F1923" s="58"/>
      <c r="G1923" s="58"/>
      <c r="H1923" s="57"/>
      <c r="I1923" s="57"/>
      <c r="K1923" s="57"/>
      <c r="L1923" s="72"/>
      <c r="M1923" s="62"/>
      <c r="N1923" s="60"/>
      <c r="O1923" s="23"/>
      <c r="P1923" s="23"/>
      <c r="Q1923" s="9"/>
      <c r="R1923" s="9"/>
      <c r="S1923" s="9"/>
      <c r="T1923" s="9"/>
      <c r="U1923" s="9"/>
      <c r="V1923" s="9"/>
      <c r="W1923" s="9"/>
      <c r="X1923" s="9"/>
      <c r="Y1923" s="9"/>
      <c r="Z1923" s="9"/>
      <c r="AA1923" s="9"/>
      <c r="AB1923" s="9"/>
      <c r="AC1923" s="9"/>
      <c r="AD1923" s="25"/>
      <c r="AE1923" s="25"/>
      <c r="AF1923" s="9"/>
      <c r="AG1923" s="9"/>
      <c r="AH1923" s="9"/>
      <c r="AI1923" s="9"/>
    </row>
    <row r="1924" ht="15.75" customHeight="1">
      <c r="A1924" s="9"/>
      <c r="B1924" s="9"/>
      <c r="C1924" s="9"/>
      <c r="D1924" s="9"/>
      <c r="E1924" s="57"/>
      <c r="F1924" s="58"/>
      <c r="G1924" s="58"/>
      <c r="H1924" s="57"/>
      <c r="I1924" s="57"/>
      <c r="K1924" s="57"/>
      <c r="L1924" s="72"/>
      <c r="M1924" s="62"/>
      <c r="N1924" s="60"/>
      <c r="O1924" s="23"/>
      <c r="P1924" s="23"/>
      <c r="Q1924" s="9"/>
      <c r="R1924" s="9"/>
      <c r="S1924" s="9"/>
      <c r="T1924" s="9"/>
      <c r="U1924" s="9"/>
      <c r="V1924" s="9"/>
      <c r="W1924" s="9"/>
      <c r="X1924" s="9"/>
      <c r="Y1924" s="9"/>
      <c r="Z1924" s="9"/>
      <c r="AA1924" s="9"/>
      <c r="AB1924" s="9"/>
      <c r="AC1924" s="9"/>
      <c r="AD1924" s="25"/>
      <c r="AE1924" s="25"/>
      <c r="AF1924" s="9"/>
      <c r="AG1924" s="9"/>
      <c r="AH1924" s="9"/>
      <c r="AI1924" s="9"/>
    </row>
    <row r="1925" ht="15.75" customHeight="1">
      <c r="A1925" s="9"/>
      <c r="B1925" s="9"/>
      <c r="C1925" s="9"/>
      <c r="D1925" s="9"/>
      <c r="E1925" s="57"/>
      <c r="F1925" s="58"/>
      <c r="G1925" s="58"/>
      <c r="H1925" s="57"/>
      <c r="I1925" s="57"/>
      <c r="K1925" s="57"/>
      <c r="L1925" s="72"/>
      <c r="M1925" s="62"/>
      <c r="N1925" s="60"/>
      <c r="O1925" s="23"/>
      <c r="P1925" s="23"/>
      <c r="Q1925" s="9"/>
      <c r="R1925" s="9"/>
      <c r="S1925" s="9"/>
      <c r="T1925" s="9"/>
      <c r="U1925" s="9"/>
      <c r="V1925" s="9"/>
      <c r="W1925" s="9"/>
      <c r="X1925" s="9"/>
      <c r="Y1925" s="9"/>
      <c r="Z1925" s="9"/>
      <c r="AA1925" s="9"/>
      <c r="AB1925" s="9"/>
      <c r="AC1925" s="9"/>
      <c r="AD1925" s="25"/>
      <c r="AE1925" s="25"/>
      <c r="AF1925" s="9"/>
      <c r="AG1925" s="9"/>
      <c r="AH1925" s="9"/>
      <c r="AI1925" s="9"/>
    </row>
    <row r="1926" ht="15.75" customHeight="1">
      <c r="A1926" s="9"/>
      <c r="B1926" s="9"/>
      <c r="C1926" s="9"/>
      <c r="D1926" s="9"/>
      <c r="E1926" s="57"/>
      <c r="F1926" s="58"/>
      <c r="G1926" s="58"/>
      <c r="H1926" s="57"/>
      <c r="I1926" s="57"/>
      <c r="K1926" s="57"/>
      <c r="L1926" s="72"/>
      <c r="M1926" s="62"/>
      <c r="N1926" s="60"/>
      <c r="O1926" s="23"/>
      <c r="P1926" s="23"/>
      <c r="Q1926" s="9"/>
      <c r="R1926" s="9"/>
      <c r="S1926" s="9"/>
      <c r="T1926" s="9"/>
      <c r="U1926" s="9"/>
      <c r="V1926" s="9"/>
      <c r="W1926" s="9"/>
      <c r="X1926" s="9"/>
      <c r="Y1926" s="9"/>
      <c r="Z1926" s="9"/>
      <c r="AA1926" s="9"/>
      <c r="AB1926" s="9"/>
      <c r="AC1926" s="9"/>
      <c r="AD1926" s="25"/>
      <c r="AE1926" s="25"/>
      <c r="AF1926" s="9"/>
      <c r="AG1926" s="9"/>
      <c r="AH1926" s="9"/>
      <c r="AI1926" s="9"/>
    </row>
    <row r="1927" ht="15.75" customHeight="1">
      <c r="A1927" s="9"/>
      <c r="B1927" s="9"/>
      <c r="C1927" s="9"/>
      <c r="D1927" s="9"/>
      <c r="E1927" s="57"/>
      <c r="F1927" s="58"/>
      <c r="G1927" s="58"/>
      <c r="H1927" s="57"/>
      <c r="I1927" s="57"/>
      <c r="J1927" s="57"/>
      <c r="K1927" s="57"/>
      <c r="L1927" s="57"/>
      <c r="M1927" s="59"/>
      <c r="N1927" s="60"/>
      <c r="O1927" s="23"/>
      <c r="P1927" s="23"/>
      <c r="Q1927" s="9"/>
      <c r="R1927" s="9"/>
      <c r="S1927" s="9"/>
      <c r="T1927" s="9"/>
      <c r="U1927" s="9"/>
      <c r="V1927" s="9"/>
      <c r="W1927" s="9"/>
      <c r="X1927" s="9"/>
      <c r="Y1927" s="9"/>
      <c r="Z1927" s="9"/>
      <c r="AA1927" s="9"/>
      <c r="AB1927" s="9"/>
      <c r="AC1927" s="9"/>
      <c r="AD1927" s="25"/>
      <c r="AE1927" s="25"/>
      <c r="AF1927" s="9"/>
      <c r="AG1927" s="9"/>
      <c r="AH1927" s="9"/>
      <c r="AI1927" s="9"/>
    </row>
    <row r="1928" ht="15.75" customHeight="1">
      <c r="A1928" s="9"/>
      <c r="B1928" s="9"/>
      <c r="C1928" s="9"/>
      <c r="D1928" s="9"/>
      <c r="E1928" s="57"/>
      <c r="F1928" s="58"/>
      <c r="G1928" s="58"/>
      <c r="H1928" s="57"/>
      <c r="I1928" s="57"/>
      <c r="J1928" s="57"/>
      <c r="K1928" s="57"/>
      <c r="L1928" s="72"/>
      <c r="M1928" s="62"/>
      <c r="N1928" s="60"/>
      <c r="O1928" s="23"/>
      <c r="P1928" s="23"/>
      <c r="Q1928" s="9"/>
      <c r="R1928" s="9"/>
      <c r="S1928" s="9"/>
      <c r="T1928" s="9"/>
      <c r="U1928" s="9"/>
      <c r="V1928" s="9"/>
      <c r="W1928" s="9"/>
      <c r="X1928" s="9"/>
      <c r="Y1928" s="9"/>
      <c r="Z1928" s="9"/>
      <c r="AA1928" s="9"/>
      <c r="AB1928" s="9"/>
      <c r="AC1928" s="9"/>
      <c r="AD1928" s="25"/>
      <c r="AE1928" s="25"/>
      <c r="AF1928" s="9"/>
      <c r="AG1928" s="9"/>
      <c r="AH1928" s="9"/>
      <c r="AI1928" s="9"/>
    </row>
    <row r="1929" ht="15.75" customHeight="1">
      <c r="A1929" s="9"/>
      <c r="B1929" s="9"/>
      <c r="C1929" s="9"/>
      <c r="D1929" s="9"/>
      <c r="E1929" s="57"/>
      <c r="F1929" s="58"/>
      <c r="G1929" s="58"/>
      <c r="H1929" s="57"/>
      <c r="I1929" s="57"/>
      <c r="J1929" s="57"/>
      <c r="K1929" s="57"/>
      <c r="L1929" s="57"/>
      <c r="M1929" s="59"/>
      <c r="N1929" s="60"/>
      <c r="O1929" s="23"/>
      <c r="P1929" s="23"/>
      <c r="Q1929" s="9"/>
      <c r="R1929" s="9"/>
      <c r="S1929" s="9"/>
      <c r="T1929" s="9"/>
      <c r="U1929" s="9"/>
      <c r="V1929" s="9"/>
      <c r="W1929" s="9"/>
      <c r="X1929" s="9"/>
      <c r="Y1929" s="9"/>
      <c r="Z1929" s="9"/>
      <c r="AA1929" s="9"/>
      <c r="AB1929" s="9"/>
      <c r="AC1929" s="9"/>
      <c r="AD1929" s="25"/>
      <c r="AE1929" s="25"/>
      <c r="AF1929" s="9"/>
      <c r="AG1929" s="9"/>
      <c r="AH1929" s="9"/>
      <c r="AI1929" s="9"/>
    </row>
    <row r="1930" ht="15.75" customHeight="1">
      <c r="A1930" s="9"/>
      <c r="B1930" s="9"/>
      <c r="C1930" s="9"/>
      <c r="D1930" s="9"/>
      <c r="E1930" s="57"/>
      <c r="F1930" s="58"/>
      <c r="G1930" s="58"/>
      <c r="H1930" s="57"/>
      <c r="I1930" s="57"/>
      <c r="K1930" s="57"/>
      <c r="L1930" s="72"/>
      <c r="M1930" s="62"/>
      <c r="N1930" s="60"/>
      <c r="O1930" s="23"/>
      <c r="P1930" s="23"/>
      <c r="Q1930" s="9"/>
      <c r="R1930" s="9"/>
      <c r="S1930" s="9"/>
      <c r="T1930" s="9"/>
      <c r="U1930" s="9"/>
      <c r="V1930" s="9"/>
      <c r="W1930" s="9"/>
      <c r="X1930" s="9"/>
      <c r="Y1930" s="9"/>
      <c r="Z1930" s="9"/>
      <c r="AA1930" s="9"/>
      <c r="AB1930" s="9"/>
      <c r="AC1930" s="9"/>
      <c r="AD1930" s="25"/>
      <c r="AE1930" s="25"/>
      <c r="AF1930" s="9"/>
      <c r="AG1930" s="9"/>
      <c r="AH1930" s="9"/>
      <c r="AI1930" s="9"/>
    </row>
    <row r="1931" ht="15.75" customHeight="1">
      <c r="A1931" s="9"/>
      <c r="B1931" s="9"/>
      <c r="C1931" s="9"/>
      <c r="D1931" s="9"/>
      <c r="E1931" s="57"/>
      <c r="F1931" s="58"/>
      <c r="G1931" s="58"/>
      <c r="H1931" s="57"/>
      <c r="I1931" s="57"/>
      <c r="J1931" s="57"/>
      <c r="K1931" s="57"/>
      <c r="L1931" s="57"/>
      <c r="M1931" s="59"/>
      <c r="N1931" s="60"/>
      <c r="O1931" s="23"/>
      <c r="P1931" s="23"/>
      <c r="Q1931" s="9"/>
      <c r="R1931" s="9"/>
      <c r="S1931" s="9"/>
      <c r="T1931" s="9"/>
      <c r="U1931" s="9"/>
      <c r="V1931" s="9"/>
      <c r="W1931" s="9"/>
      <c r="X1931" s="9"/>
      <c r="Y1931" s="9"/>
      <c r="Z1931" s="9"/>
      <c r="AA1931" s="9"/>
      <c r="AB1931" s="9"/>
      <c r="AC1931" s="9"/>
      <c r="AD1931" s="25"/>
      <c r="AE1931" s="25"/>
      <c r="AF1931" s="9"/>
      <c r="AG1931" s="9"/>
      <c r="AH1931" s="9"/>
      <c r="AI1931" s="9"/>
    </row>
    <row r="1932" ht="15.75" customHeight="1">
      <c r="A1932" s="9"/>
      <c r="B1932" s="9"/>
      <c r="C1932" s="9"/>
      <c r="D1932" s="9"/>
      <c r="E1932" s="57"/>
      <c r="F1932" s="58"/>
      <c r="G1932" s="58"/>
      <c r="H1932" s="57"/>
      <c r="I1932" s="57"/>
      <c r="J1932" s="57"/>
      <c r="K1932" s="57"/>
      <c r="L1932" s="57"/>
      <c r="M1932" s="59"/>
      <c r="N1932" s="60"/>
      <c r="O1932" s="23"/>
      <c r="P1932" s="23"/>
      <c r="Q1932" s="9"/>
      <c r="R1932" s="9"/>
      <c r="S1932" s="9"/>
      <c r="T1932" s="9"/>
      <c r="U1932" s="9"/>
      <c r="V1932" s="9"/>
      <c r="W1932" s="9"/>
      <c r="X1932" s="9"/>
      <c r="Y1932" s="9"/>
      <c r="Z1932" s="9"/>
      <c r="AA1932" s="9"/>
      <c r="AB1932" s="9"/>
      <c r="AC1932" s="9"/>
      <c r="AD1932" s="25"/>
      <c r="AE1932" s="25"/>
      <c r="AF1932" s="9"/>
      <c r="AG1932" s="9"/>
      <c r="AH1932" s="9"/>
      <c r="AI1932" s="9"/>
    </row>
    <row r="1933" ht="15.75" customHeight="1">
      <c r="A1933" s="9"/>
      <c r="B1933" s="9"/>
      <c r="C1933" s="9"/>
      <c r="D1933" s="9"/>
      <c r="E1933" s="57"/>
      <c r="F1933" s="58"/>
      <c r="G1933" s="58"/>
      <c r="H1933" s="57"/>
      <c r="I1933" s="57"/>
      <c r="J1933" s="57"/>
      <c r="K1933" s="57"/>
      <c r="L1933" s="72"/>
      <c r="M1933" s="62"/>
      <c r="N1933" s="60"/>
      <c r="O1933" s="23"/>
      <c r="P1933" s="23"/>
      <c r="Q1933" s="9"/>
      <c r="R1933" s="9"/>
      <c r="S1933" s="9"/>
      <c r="T1933" s="9"/>
      <c r="U1933" s="9"/>
      <c r="V1933" s="9"/>
      <c r="W1933" s="9"/>
      <c r="X1933" s="9"/>
      <c r="Y1933" s="9"/>
      <c r="Z1933" s="9"/>
      <c r="AA1933" s="9"/>
      <c r="AB1933" s="9"/>
      <c r="AC1933" s="9"/>
      <c r="AD1933" s="25"/>
      <c r="AE1933" s="25"/>
      <c r="AF1933" s="9"/>
      <c r="AG1933" s="9"/>
      <c r="AH1933" s="9"/>
      <c r="AI1933" s="9"/>
    </row>
    <row r="1934" ht="15.75" customHeight="1">
      <c r="A1934" s="9"/>
      <c r="B1934" s="9"/>
      <c r="C1934" s="9"/>
      <c r="D1934" s="9"/>
      <c r="E1934" s="57"/>
      <c r="F1934" s="58"/>
      <c r="G1934" s="58"/>
      <c r="H1934" s="57"/>
      <c r="I1934" s="57"/>
      <c r="J1934" s="57"/>
      <c r="K1934" s="57"/>
      <c r="L1934" s="72"/>
      <c r="M1934" s="62"/>
      <c r="N1934" s="60"/>
      <c r="O1934" s="23"/>
      <c r="P1934" s="23"/>
      <c r="Q1934" s="9"/>
      <c r="R1934" s="9"/>
      <c r="S1934" s="9"/>
      <c r="T1934" s="9"/>
      <c r="U1934" s="9"/>
      <c r="V1934" s="9"/>
      <c r="W1934" s="9"/>
      <c r="X1934" s="9"/>
      <c r="Y1934" s="9"/>
      <c r="Z1934" s="9"/>
      <c r="AA1934" s="9"/>
      <c r="AB1934" s="9"/>
      <c r="AC1934" s="9"/>
      <c r="AD1934" s="25"/>
      <c r="AE1934" s="25"/>
      <c r="AF1934" s="9"/>
      <c r="AG1934" s="9"/>
      <c r="AH1934" s="9"/>
      <c r="AI1934" s="9"/>
    </row>
    <row r="1935" ht="15.75" customHeight="1">
      <c r="A1935" s="9"/>
      <c r="B1935" s="9"/>
      <c r="C1935" s="9"/>
      <c r="D1935" s="9"/>
      <c r="E1935" s="57"/>
      <c r="F1935" s="58"/>
      <c r="G1935" s="58"/>
      <c r="H1935" s="57"/>
      <c r="I1935" s="57"/>
      <c r="J1935" s="57"/>
      <c r="K1935" s="57"/>
      <c r="L1935" s="57"/>
      <c r="M1935" s="59"/>
      <c r="N1935" s="60"/>
      <c r="O1935" s="23"/>
      <c r="P1935" s="23"/>
      <c r="Q1935" s="9"/>
      <c r="R1935" s="9"/>
      <c r="S1935" s="9"/>
      <c r="T1935" s="9"/>
      <c r="U1935" s="9"/>
      <c r="V1935" s="9"/>
      <c r="W1935" s="9"/>
      <c r="X1935" s="9"/>
      <c r="Y1935" s="9"/>
      <c r="Z1935" s="9"/>
      <c r="AA1935" s="9"/>
      <c r="AB1935" s="9"/>
      <c r="AC1935" s="9"/>
      <c r="AD1935" s="25"/>
      <c r="AE1935" s="25"/>
      <c r="AF1935" s="9"/>
      <c r="AG1935" s="9"/>
      <c r="AH1935" s="9"/>
      <c r="AI1935" s="9"/>
    </row>
    <row r="1936" ht="15.75" customHeight="1">
      <c r="A1936" s="9"/>
      <c r="B1936" s="9"/>
      <c r="C1936" s="9"/>
      <c r="D1936" s="9"/>
      <c r="E1936" s="57"/>
      <c r="F1936" s="58"/>
      <c r="G1936" s="58"/>
      <c r="H1936" s="57"/>
      <c r="I1936" s="57"/>
      <c r="J1936" s="57"/>
      <c r="K1936" s="57"/>
      <c r="L1936" s="72"/>
      <c r="M1936" s="62"/>
      <c r="N1936" s="60"/>
      <c r="O1936" s="23"/>
      <c r="P1936" s="23"/>
      <c r="Q1936" s="9"/>
      <c r="R1936" s="9"/>
      <c r="S1936" s="9"/>
      <c r="T1936" s="9"/>
      <c r="U1936" s="9"/>
      <c r="V1936" s="9"/>
      <c r="W1936" s="9"/>
      <c r="X1936" s="9"/>
      <c r="Y1936" s="9"/>
      <c r="Z1936" s="9"/>
      <c r="AA1936" s="9"/>
      <c r="AB1936" s="9"/>
      <c r="AC1936" s="9"/>
      <c r="AD1936" s="25"/>
      <c r="AE1936" s="25"/>
      <c r="AF1936" s="9"/>
      <c r="AG1936" s="9"/>
      <c r="AH1936" s="9"/>
      <c r="AI1936" s="9"/>
    </row>
    <row r="1937" ht="15.75" customHeight="1">
      <c r="A1937" s="9"/>
      <c r="B1937" s="9"/>
      <c r="C1937" s="9"/>
      <c r="D1937" s="9"/>
      <c r="E1937" s="57"/>
      <c r="F1937" s="58"/>
      <c r="G1937" s="58"/>
      <c r="H1937" s="57"/>
      <c r="I1937" s="57"/>
      <c r="J1937" s="57"/>
      <c r="K1937" s="57"/>
      <c r="L1937" s="57"/>
      <c r="M1937" s="59"/>
      <c r="N1937" s="60"/>
      <c r="O1937" s="23"/>
      <c r="P1937" s="23"/>
      <c r="Q1937" s="9"/>
      <c r="R1937" s="9"/>
      <c r="S1937" s="9"/>
      <c r="T1937" s="9"/>
      <c r="U1937" s="9"/>
      <c r="V1937" s="9"/>
      <c r="W1937" s="9"/>
      <c r="X1937" s="9"/>
      <c r="Y1937" s="9"/>
      <c r="Z1937" s="9"/>
      <c r="AA1937" s="9"/>
      <c r="AB1937" s="9"/>
      <c r="AC1937" s="9"/>
      <c r="AD1937" s="25"/>
      <c r="AE1937" s="25"/>
      <c r="AF1937" s="9"/>
      <c r="AG1937" s="9"/>
      <c r="AH1937" s="9"/>
      <c r="AI1937" s="9"/>
    </row>
    <row r="1938" ht="15.75" customHeight="1">
      <c r="A1938" s="9"/>
      <c r="B1938" s="9"/>
      <c r="C1938" s="9"/>
      <c r="D1938" s="9"/>
      <c r="E1938" s="57"/>
      <c r="F1938" s="58"/>
      <c r="G1938" s="58"/>
      <c r="H1938" s="57"/>
      <c r="I1938" s="57"/>
      <c r="J1938" s="57"/>
      <c r="K1938" s="57"/>
      <c r="L1938" s="57"/>
      <c r="M1938" s="59"/>
      <c r="N1938" s="60"/>
      <c r="O1938" s="23"/>
      <c r="P1938" s="23"/>
      <c r="Q1938" s="9"/>
      <c r="R1938" s="9"/>
      <c r="S1938" s="9"/>
      <c r="T1938" s="9"/>
      <c r="U1938" s="9"/>
      <c r="V1938" s="9"/>
      <c r="W1938" s="9"/>
      <c r="X1938" s="9"/>
      <c r="Y1938" s="9"/>
      <c r="Z1938" s="9"/>
      <c r="AA1938" s="9"/>
      <c r="AB1938" s="9"/>
      <c r="AC1938" s="9"/>
      <c r="AD1938" s="25"/>
      <c r="AE1938" s="25"/>
      <c r="AF1938" s="9"/>
      <c r="AG1938" s="9"/>
      <c r="AH1938" s="9"/>
      <c r="AI1938" s="9"/>
    </row>
    <row r="1939" ht="15.75" customHeight="1">
      <c r="A1939" s="9"/>
      <c r="B1939" s="9"/>
      <c r="C1939" s="9"/>
      <c r="D1939" s="9"/>
      <c r="E1939" s="57"/>
      <c r="F1939" s="58"/>
      <c r="G1939" s="58"/>
      <c r="H1939" s="57"/>
      <c r="I1939" s="57"/>
      <c r="J1939" s="57"/>
      <c r="K1939" s="57"/>
      <c r="L1939" s="72"/>
      <c r="M1939" s="62"/>
      <c r="N1939" s="60"/>
      <c r="O1939" s="23"/>
      <c r="P1939" s="23"/>
      <c r="Q1939" s="9"/>
      <c r="R1939" s="9"/>
      <c r="S1939" s="9"/>
      <c r="T1939" s="9"/>
      <c r="U1939" s="9"/>
      <c r="V1939" s="9"/>
      <c r="W1939" s="9"/>
      <c r="X1939" s="9"/>
      <c r="Y1939" s="9"/>
      <c r="Z1939" s="9"/>
      <c r="AA1939" s="9"/>
      <c r="AB1939" s="9"/>
      <c r="AC1939" s="9"/>
      <c r="AD1939" s="25"/>
      <c r="AE1939" s="25"/>
      <c r="AF1939" s="9"/>
      <c r="AG1939" s="9"/>
      <c r="AH1939" s="9"/>
      <c r="AI1939" s="9"/>
    </row>
    <row r="1940" ht="15.75" customHeight="1">
      <c r="A1940" s="9"/>
      <c r="B1940" s="9"/>
      <c r="C1940" s="9"/>
      <c r="D1940" s="9"/>
      <c r="E1940" s="57"/>
      <c r="F1940" s="58"/>
      <c r="G1940" s="58"/>
      <c r="H1940" s="57"/>
      <c r="I1940" s="57"/>
      <c r="J1940" s="57"/>
      <c r="K1940" s="57"/>
      <c r="L1940" s="57"/>
      <c r="M1940" s="59"/>
      <c r="N1940" s="60"/>
      <c r="O1940" s="23"/>
      <c r="P1940" s="23"/>
      <c r="Q1940" s="9"/>
      <c r="R1940" s="9"/>
      <c r="S1940" s="9"/>
      <c r="T1940" s="9"/>
      <c r="U1940" s="9"/>
      <c r="V1940" s="9"/>
      <c r="W1940" s="9"/>
      <c r="X1940" s="9"/>
      <c r="Y1940" s="9"/>
      <c r="Z1940" s="9"/>
      <c r="AA1940" s="9"/>
      <c r="AB1940" s="9"/>
      <c r="AC1940" s="9"/>
      <c r="AD1940" s="25"/>
      <c r="AE1940" s="25"/>
      <c r="AF1940" s="9"/>
      <c r="AG1940" s="9"/>
      <c r="AH1940" s="9"/>
      <c r="AI1940" s="9"/>
    </row>
    <row r="1941" ht="15.75" customHeight="1">
      <c r="A1941" s="9"/>
      <c r="B1941" s="9"/>
      <c r="C1941" s="9"/>
      <c r="D1941" s="9"/>
      <c r="E1941" s="57"/>
      <c r="F1941" s="58"/>
      <c r="G1941" s="58"/>
      <c r="H1941" s="57"/>
      <c r="I1941" s="57"/>
      <c r="J1941" s="57"/>
      <c r="K1941" s="57"/>
      <c r="L1941" s="57"/>
      <c r="M1941" s="59"/>
      <c r="N1941" s="60"/>
      <c r="O1941" s="23"/>
      <c r="P1941" s="23"/>
      <c r="Q1941" s="9"/>
      <c r="R1941" s="9"/>
      <c r="S1941" s="9"/>
      <c r="T1941" s="9"/>
      <c r="U1941" s="9"/>
      <c r="V1941" s="9"/>
      <c r="W1941" s="9"/>
      <c r="X1941" s="9"/>
      <c r="Y1941" s="9"/>
      <c r="Z1941" s="9"/>
      <c r="AA1941" s="9"/>
      <c r="AB1941" s="9"/>
      <c r="AC1941" s="9"/>
      <c r="AD1941" s="25"/>
      <c r="AE1941" s="25"/>
      <c r="AF1941" s="9"/>
      <c r="AG1941" s="9"/>
      <c r="AH1941" s="9"/>
      <c r="AI1941" s="9"/>
    </row>
    <row r="1942" ht="15.75" customHeight="1">
      <c r="A1942" s="9"/>
      <c r="B1942" s="9"/>
      <c r="C1942" s="9"/>
      <c r="D1942" s="9"/>
      <c r="E1942" s="57"/>
      <c r="F1942" s="58"/>
      <c r="G1942" s="58"/>
      <c r="H1942" s="57"/>
      <c r="I1942" s="57"/>
      <c r="J1942" s="57"/>
      <c r="K1942" s="57"/>
      <c r="L1942" s="57"/>
      <c r="M1942" s="59"/>
      <c r="N1942" s="60"/>
      <c r="O1942" s="23"/>
      <c r="P1942" s="23"/>
      <c r="Q1942" s="9"/>
      <c r="R1942" s="9"/>
      <c r="S1942" s="9"/>
      <c r="T1942" s="9"/>
      <c r="U1942" s="9"/>
      <c r="V1942" s="9"/>
      <c r="W1942" s="9"/>
      <c r="X1942" s="9"/>
      <c r="Y1942" s="9"/>
      <c r="Z1942" s="9"/>
      <c r="AA1942" s="9"/>
      <c r="AB1942" s="9"/>
      <c r="AC1942" s="9"/>
      <c r="AD1942" s="25"/>
      <c r="AE1942" s="25"/>
      <c r="AF1942" s="9"/>
      <c r="AG1942" s="9"/>
      <c r="AH1942" s="9"/>
      <c r="AI1942" s="9"/>
    </row>
    <row r="1943" ht="15.75" customHeight="1">
      <c r="A1943" s="9"/>
      <c r="B1943" s="9"/>
      <c r="C1943" s="9"/>
      <c r="D1943" s="9"/>
      <c r="E1943" s="57"/>
      <c r="F1943" s="58"/>
      <c r="G1943" s="58"/>
      <c r="H1943" s="57"/>
      <c r="I1943" s="57"/>
      <c r="J1943" s="57"/>
      <c r="K1943" s="57"/>
      <c r="L1943" s="57"/>
      <c r="M1943" s="59"/>
      <c r="N1943" s="60"/>
      <c r="O1943" s="23"/>
      <c r="P1943" s="23"/>
      <c r="Q1943" s="9"/>
      <c r="R1943" s="9"/>
      <c r="S1943" s="9"/>
      <c r="T1943" s="9"/>
      <c r="U1943" s="9"/>
      <c r="V1943" s="9"/>
      <c r="W1943" s="9"/>
      <c r="X1943" s="9"/>
      <c r="Y1943" s="9"/>
      <c r="Z1943" s="9"/>
      <c r="AA1943" s="9"/>
      <c r="AB1943" s="9"/>
      <c r="AC1943" s="9"/>
      <c r="AD1943" s="25"/>
      <c r="AE1943" s="25"/>
      <c r="AF1943" s="9"/>
      <c r="AG1943" s="9"/>
      <c r="AH1943" s="9"/>
      <c r="AI1943" s="9"/>
    </row>
    <row r="1944" ht="15.75" customHeight="1">
      <c r="A1944" s="9"/>
      <c r="B1944" s="9"/>
      <c r="C1944" s="9"/>
      <c r="D1944" s="9"/>
      <c r="E1944" s="57"/>
      <c r="F1944" s="58"/>
      <c r="G1944" s="58"/>
      <c r="H1944" s="57"/>
      <c r="I1944" s="57"/>
      <c r="J1944" s="57"/>
      <c r="K1944" s="57"/>
      <c r="L1944" s="57"/>
      <c r="M1944" s="59"/>
      <c r="N1944" s="60"/>
      <c r="O1944" s="23"/>
      <c r="P1944" s="23"/>
      <c r="Q1944" s="9"/>
      <c r="R1944" s="9"/>
      <c r="S1944" s="9"/>
      <c r="T1944" s="9"/>
      <c r="U1944" s="9"/>
      <c r="V1944" s="9"/>
      <c r="W1944" s="9"/>
      <c r="X1944" s="9"/>
      <c r="Y1944" s="9"/>
      <c r="Z1944" s="9"/>
      <c r="AA1944" s="9"/>
      <c r="AB1944" s="9"/>
      <c r="AC1944" s="9"/>
      <c r="AD1944" s="25"/>
      <c r="AE1944" s="25"/>
      <c r="AF1944" s="9"/>
      <c r="AG1944" s="9"/>
      <c r="AH1944" s="9"/>
      <c r="AI1944" s="9"/>
    </row>
    <row r="1945" ht="15.75" customHeight="1">
      <c r="A1945" s="9"/>
      <c r="B1945" s="9"/>
      <c r="C1945" s="9"/>
      <c r="D1945" s="9"/>
      <c r="E1945" s="57"/>
      <c r="F1945" s="58"/>
      <c r="G1945" s="58"/>
      <c r="H1945" s="57"/>
      <c r="I1945" s="57"/>
      <c r="J1945" s="57"/>
      <c r="K1945" s="57"/>
      <c r="L1945" s="57"/>
      <c r="M1945" s="59"/>
      <c r="N1945" s="60"/>
      <c r="O1945" s="23"/>
      <c r="P1945" s="23"/>
      <c r="Q1945" s="9"/>
      <c r="R1945" s="9"/>
      <c r="S1945" s="9"/>
      <c r="T1945" s="9"/>
      <c r="U1945" s="9"/>
      <c r="V1945" s="9"/>
      <c r="W1945" s="9"/>
      <c r="X1945" s="9"/>
      <c r="Y1945" s="9"/>
      <c r="Z1945" s="9"/>
      <c r="AA1945" s="9"/>
      <c r="AB1945" s="9"/>
      <c r="AC1945" s="9"/>
      <c r="AD1945" s="25"/>
      <c r="AE1945" s="25"/>
      <c r="AF1945" s="9"/>
      <c r="AG1945" s="9"/>
      <c r="AH1945" s="9"/>
      <c r="AI1945" s="9"/>
    </row>
    <row r="1946" ht="15.75" customHeight="1">
      <c r="A1946" s="9"/>
      <c r="B1946" s="9"/>
      <c r="C1946" s="9"/>
      <c r="D1946" s="9"/>
      <c r="E1946" s="57"/>
      <c r="F1946" s="58"/>
      <c r="G1946" s="58"/>
      <c r="H1946" s="57"/>
      <c r="I1946" s="57"/>
      <c r="J1946" s="57"/>
      <c r="K1946" s="57"/>
      <c r="L1946" s="72"/>
      <c r="M1946" s="62"/>
      <c r="N1946" s="60"/>
      <c r="O1946" s="23"/>
      <c r="P1946" s="23"/>
      <c r="Q1946" s="9"/>
      <c r="R1946" s="9"/>
      <c r="S1946" s="9"/>
      <c r="T1946" s="9"/>
      <c r="U1946" s="9"/>
      <c r="V1946" s="9"/>
      <c r="W1946" s="9"/>
      <c r="X1946" s="9"/>
      <c r="Y1946" s="9"/>
      <c r="Z1946" s="9"/>
      <c r="AA1946" s="9"/>
      <c r="AB1946" s="9"/>
      <c r="AC1946" s="9"/>
      <c r="AD1946" s="25"/>
      <c r="AE1946" s="25"/>
      <c r="AF1946" s="9"/>
      <c r="AG1946" s="9"/>
      <c r="AH1946" s="9"/>
      <c r="AI1946" s="9"/>
    </row>
    <row r="1947" ht="15.75" customHeight="1">
      <c r="A1947" s="9"/>
      <c r="B1947" s="9"/>
      <c r="C1947" s="9"/>
      <c r="D1947" s="9"/>
      <c r="E1947" s="57"/>
      <c r="F1947" s="58"/>
      <c r="G1947" s="58"/>
      <c r="H1947" s="57"/>
      <c r="I1947" s="57"/>
      <c r="J1947" s="57"/>
      <c r="K1947" s="57"/>
      <c r="L1947" s="72"/>
      <c r="M1947" s="62"/>
      <c r="N1947" s="60"/>
      <c r="O1947" s="23"/>
      <c r="P1947" s="23"/>
      <c r="Q1947" s="9"/>
      <c r="R1947" s="9"/>
      <c r="S1947" s="9"/>
      <c r="T1947" s="9"/>
      <c r="U1947" s="9"/>
      <c r="V1947" s="9"/>
      <c r="W1947" s="9"/>
      <c r="X1947" s="9"/>
      <c r="Y1947" s="9"/>
      <c r="Z1947" s="9"/>
      <c r="AA1947" s="9"/>
      <c r="AB1947" s="9"/>
      <c r="AC1947" s="9"/>
      <c r="AD1947" s="25"/>
      <c r="AE1947" s="25"/>
      <c r="AF1947" s="9"/>
      <c r="AG1947" s="9"/>
      <c r="AH1947" s="9"/>
      <c r="AI1947" s="9"/>
    </row>
    <row r="1948" ht="15.75" customHeight="1">
      <c r="A1948" s="9"/>
      <c r="B1948" s="9"/>
      <c r="C1948" s="9"/>
      <c r="D1948" s="9"/>
      <c r="E1948" s="57"/>
      <c r="F1948" s="58"/>
      <c r="G1948" s="58"/>
      <c r="H1948" s="57"/>
      <c r="I1948" s="57"/>
      <c r="J1948" s="57"/>
      <c r="K1948" s="57"/>
      <c r="L1948" s="57"/>
      <c r="M1948" s="59"/>
      <c r="N1948" s="60"/>
      <c r="O1948" s="23"/>
      <c r="P1948" s="23"/>
      <c r="Q1948" s="9"/>
      <c r="R1948" s="9"/>
      <c r="S1948" s="9"/>
      <c r="T1948" s="9"/>
      <c r="U1948" s="9"/>
      <c r="V1948" s="9"/>
      <c r="W1948" s="9"/>
      <c r="X1948" s="9"/>
      <c r="Y1948" s="9"/>
      <c r="Z1948" s="9"/>
      <c r="AA1948" s="9"/>
      <c r="AB1948" s="9"/>
      <c r="AC1948" s="9"/>
      <c r="AD1948" s="25"/>
      <c r="AE1948" s="25"/>
      <c r="AF1948" s="9"/>
      <c r="AG1948" s="9"/>
      <c r="AH1948" s="9"/>
      <c r="AI1948" s="9"/>
    </row>
    <row r="1949" ht="15.75" customHeight="1">
      <c r="A1949" s="9"/>
      <c r="B1949" s="9"/>
      <c r="C1949" s="9"/>
      <c r="D1949" s="9"/>
      <c r="E1949" s="57"/>
      <c r="F1949" s="58"/>
      <c r="G1949" s="58"/>
      <c r="H1949" s="57"/>
      <c r="I1949" s="57"/>
      <c r="J1949" s="57"/>
      <c r="K1949" s="57"/>
      <c r="L1949" s="72"/>
      <c r="M1949" s="62"/>
      <c r="N1949" s="60"/>
      <c r="O1949" s="23"/>
      <c r="P1949" s="23"/>
      <c r="Q1949" s="9"/>
      <c r="R1949" s="9"/>
      <c r="S1949" s="9"/>
      <c r="T1949" s="9"/>
      <c r="U1949" s="9"/>
      <c r="V1949" s="9"/>
      <c r="W1949" s="9"/>
      <c r="X1949" s="9"/>
      <c r="Y1949" s="9"/>
      <c r="Z1949" s="9"/>
      <c r="AA1949" s="9"/>
      <c r="AB1949" s="9"/>
      <c r="AC1949" s="9"/>
      <c r="AD1949" s="25"/>
      <c r="AE1949" s="25"/>
      <c r="AF1949" s="9"/>
      <c r="AG1949" s="9"/>
      <c r="AH1949" s="9"/>
      <c r="AI1949" s="9"/>
    </row>
    <row r="1950" ht="15.75" customHeight="1">
      <c r="A1950" s="9"/>
      <c r="B1950" s="9"/>
      <c r="C1950" s="9"/>
      <c r="D1950" s="9"/>
      <c r="E1950" s="57"/>
      <c r="F1950" s="58"/>
      <c r="G1950" s="58"/>
      <c r="H1950" s="57"/>
      <c r="I1950" s="57"/>
      <c r="J1950" s="57"/>
      <c r="K1950" s="57"/>
      <c r="L1950" s="57"/>
      <c r="M1950" s="59"/>
      <c r="N1950" s="60"/>
      <c r="O1950" s="23"/>
      <c r="P1950" s="23"/>
      <c r="Q1950" s="9"/>
      <c r="R1950" s="9"/>
      <c r="S1950" s="9"/>
      <c r="T1950" s="9"/>
      <c r="U1950" s="9"/>
      <c r="V1950" s="9"/>
      <c r="W1950" s="9"/>
      <c r="X1950" s="9"/>
      <c r="Y1950" s="9"/>
      <c r="Z1950" s="9"/>
      <c r="AA1950" s="9"/>
      <c r="AB1950" s="9"/>
      <c r="AC1950" s="9"/>
      <c r="AD1950" s="25"/>
      <c r="AE1950" s="25"/>
      <c r="AF1950" s="9"/>
      <c r="AG1950" s="9"/>
      <c r="AH1950" s="9"/>
      <c r="AI1950" s="9"/>
    </row>
    <row r="1951" ht="15.75" customHeight="1">
      <c r="A1951" s="9"/>
      <c r="B1951" s="9"/>
      <c r="C1951" s="9"/>
      <c r="D1951" s="9"/>
      <c r="E1951" s="57"/>
      <c r="F1951" s="58"/>
      <c r="G1951" s="58"/>
      <c r="H1951" s="57"/>
      <c r="I1951" s="57"/>
      <c r="K1951" s="57"/>
      <c r="L1951" s="72"/>
      <c r="M1951" s="62"/>
      <c r="N1951" s="60"/>
      <c r="O1951" s="23"/>
      <c r="P1951" s="23"/>
      <c r="Q1951" s="9"/>
      <c r="R1951" s="9"/>
      <c r="S1951" s="9"/>
      <c r="T1951" s="9"/>
      <c r="U1951" s="9"/>
      <c r="V1951" s="9"/>
      <c r="W1951" s="9"/>
      <c r="X1951" s="9"/>
      <c r="Y1951" s="9"/>
      <c r="Z1951" s="9"/>
      <c r="AA1951" s="9"/>
      <c r="AB1951" s="9"/>
      <c r="AC1951" s="9"/>
      <c r="AD1951" s="25"/>
      <c r="AE1951" s="25"/>
      <c r="AF1951" s="9"/>
      <c r="AG1951" s="9"/>
      <c r="AH1951" s="9"/>
      <c r="AI1951" s="9"/>
    </row>
    <row r="1952" ht="15.75" customHeight="1">
      <c r="A1952" s="9"/>
      <c r="B1952" s="9"/>
      <c r="C1952" s="9"/>
      <c r="D1952" s="9"/>
      <c r="E1952" s="57"/>
      <c r="F1952" s="58"/>
      <c r="G1952" s="58"/>
      <c r="H1952" s="57"/>
      <c r="I1952" s="57"/>
      <c r="K1952" s="57"/>
      <c r="L1952" s="72"/>
      <c r="M1952" s="62"/>
      <c r="N1952" s="60"/>
      <c r="O1952" s="23"/>
      <c r="P1952" s="23"/>
      <c r="Q1952" s="9"/>
      <c r="R1952" s="9"/>
      <c r="S1952" s="9"/>
      <c r="T1952" s="9"/>
      <c r="U1952" s="9"/>
      <c r="V1952" s="9"/>
      <c r="W1952" s="9"/>
      <c r="X1952" s="9"/>
      <c r="Y1952" s="9"/>
      <c r="Z1952" s="9"/>
      <c r="AA1952" s="9"/>
      <c r="AB1952" s="9"/>
      <c r="AC1952" s="9"/>
      <c r="AD1952" s="25"/>
      <c r="AE1952" s="25"/>
      <c r="AF1952" s="9"/>
      <c r="AG1952" s="9"/>
      <c r="AH1952" s="9"/>
      <c r="AI1952" s="9"/>
    </row>
    <row r="1953" ht="15.75" customHeight="1">
      <c r="A1953" s="9"/>
      <c r="B1953" s="9"/>
      <c r="C1953" s="9"/>
      <c r="D1953" s="9"/>
      <c r="E1953" s="57"/>
      <c r="F1953" s="58"/>
      <c r="G1953" s="58"/>
      <c r="H1953" s="57"/>
      <c r="I1953" s="57"/>
      <c r="J1953" s="57"/>
      <c r="K1953" s="57"/>
      <c r="L1953" s="72"/>
      <c r="M1953" s="62"/>
      <c r="N1953" s="60"/>
      <c r="O1953" s="23"/>
      <c r="P1953" s="23"/>
      <c r="Q1953" s="9"/>
      <c r="R1953" s="9"/>
      <c r="S1953" s="9"/>
      <c r="T1953" s="9"/>
      <c r="U1953" s="9"/>
      <c r="V1953" s="9"/>
      <c r="W1953" s="9"/>
      <c r="X1953" s="9"/>
      <c r="Y1953" s="9"/>
      <c r="Z1953" s="9"/>
      <c r="AA1953" s="9"/>
      <c r="AB1953" s="9"/>
      <c r="AC1953" s="9"/>
      <c r="AD1953" s="25"/>
      <c r="AE1953" s="25"/>
      <c r="AF1953" s="9"/>
      <c r="AG1953" s="9"/>
      <c r="AH1953" s="9"/>
      <c r="AI1953" s="9"/>
    </row>
    <row r="1954" ht="15.75" customHeight="1">
      <c r="A1954" s="9"/>
      <c r="B1954" s="9"/>
      <c r="C1954" s="9"/>
      <c r="D1954" s="9"/>
      <c r="E1954" s="57"/>
      <c r="F1954" s="58"/>
      <c r="G1954" s="58"/>
      <c r="H1954" s="57"/>
      <c r="I1954" s="57"/>
      <c r="J1954" s="57"/>
      <c r="K1954" s="57"/>
      <c r="L1954" s="57"/>
      <c r="M1954" s="59"/>
      <c r="N1954" s="60"/>
      <c r="O1954" s="23"/>
      <c r="P1954" s="23"/>
      <c r="Q1954" s="9"/>
      <c r="R1954" s="9"/>
      <c r="S1954" s="9"/>
      <c r="T1954" s="9"/>
      <c r="U1954" s="9"/>
      <c r="V1954" s="9"/>
      <c r="W1954" s="9"/>
      <c r="X1954" s="9"/>
      <c r="Y1954" s="9"/>
      <c r="Z1954" s="9"/>
      <c r="AA1954" s="9"/>
      <c r="AB1954" s="9"/>
      <c r="AC1954" s="9"/>
      <c r="AD1954" s="25"/>
      <c r="AE1954" s="25"/>
      <c r="AF1954" s="9"/>
      <c r="AG1954" s="9"/>
      <c r="AH1954" s="9"/>
      <c r="AI1954" s="9"/>
    </row>
    <row r="1955" ht="15.75" customHeight="1">
      <c r="A1955" s="9"/>
      <c r="B1955" s="9"/>
      <c r="C1955" s="9"/>
      <c r="D1955" s="9"/>
      <c r="E1955" s="57"/>
      <c r="F1955" s="58"/>
      <c r="G1955" s="58"/>
      <c r="H1955" s="57"/>
      <c r="I1955" s="57"/>
      <c r="J1955" s="57"/>
      <c r="K1955" s="57"/>
      <c r="L1955" s="57"/>
      <c r="M1955" s="59"/>
      <c r="N1955" s="60"/>
      <c r="O1955" s="23"/>
      <c r="P1955" s="23"/>
      <c r="Q1955" s="9"/>
      <c r="R1955" s="9"/>
      <c r="S1955" s="9"/>
      <c r="T1955" s="9"/>
      <c r="U1955" s="9"/>
      <c r="V1955" s="9"/>
      <c r="W1955" s="9"/>
      <c r="X1955" s="9"/>
      <c r="Y1955" s="9"/>
      <c r="Z1955" s="9"/>
      <c r="AA1955" s="9"/>
      <c r="AB1955" s="9"/>
      <c r="AC1955" s="9"/>
      <c r="AD1955" s="25"/>
      <c r="AE1955" s="25"/>
      <c r="AF1955" s="9"/>
      <c r="AG1955" s="9"/>
      <c r="AH1955" s="9"/>
      <c r="AI1955" s="9"/>
    </row>
    <row r="1956" ht="15.75" customHeight="1">
      <c r="A1956" s="9"/>
      <c r="B1956" s="9"/>
      <c r="C1956" s="9"/>
      <c r="D1956" s="9"/>
      <c r="E1956" s="57"/>
      <c r="F1956" s="58"/>
      <c r="G1956" s="58"/>
      <c r="H1956" s="57"/>
      <c r="I1956" s="57"/>
      <c r="J1956" s="57"/>
      <c r="K1956" s="57"/>
      <c r="L1956" s="57"/>
      <c r="M1956" s="59"/>
      <c r="N1956" s="60"/>
      <c r="O1956" s="23"/>
      <c r="P1956" s="23"/>
      <c r="Q1956" s="9"/>
      <c r="R1956" s="9"/>
      <c r="S1956" s="9"/>
      <c r="T1956" s="9"/>
      <c r="U1956" s="9"/>
      <c r="V1956" s="9"/>
      <c r="W1956" s="9"/>
      <c r="X1956" s="9"/>
      <c r="Y1956" s="9"/>
      <c r="Z1956" s="9"/>
      <c r="AA1956" s="9"/>
      <c r="AB1956" s="9"/>
      <c r="AC1956" s="9"/>
      <c r="AD1956" s="25"/>
      <c r="AE1956" s="25"/>
      <c r="AF1956" s="9"/>
      <c r="AG1956" s="9"/>
      <c r="AH1956" s="9"/>
      <c r="AI1956" s="9"/>
    </row>
    <row r="1957" ht="15.75" customHeight="1">
      <c r="A1957" s="9"/>
      <c r="B1957" s="9"/>
      <c r="C1957" s="9"/>
      <c r="D1957" s="9"/>
      <c r="E1957" s="57"/>
      <c r="F1957" s="58"/>
      <c r="G1957" s="58"/>
      <c r="H1957" s="57"/>
      <c r="I1957" s="57"/>
      <c r="J1957" s="57"/>
      <c r="K1957" s="57"/>
      <c r="L1957" s="57"/>
      <c r="M1957" s="59"/>
      <c r="N1957" s="60"/>
      <c r="O1957" s="23"/>
      <c r="P1957" s="23"/>
      <c r="Q1957" s="9"/>
      <c r="R1957" s="9"/>
      <c r="S1957" s="9"/>
      <c r="T1957" s="9"/>
      <c r="U1957" s="9"/>
      <c r="V1957" s="9"/>
      <c r="W1957" s="9"/>
      <c r="X1957" s="9"/>
      <c r="Y1957" s="9"/>
      <c r="Z1957" s="9"/>
      <c r="AA1957" s="9"/>
      <c r="AB1957" s="9"/>
      <c r="AC1957" s="9"/>
      <c r="AD1957" s="25"/>
      <c r="AE1957" s="25"/>
      <c r="AF1957" s="9"/>
      <c r="AG1957" s="9"/>
      <c r="AH1957" s="9"/>
      <c r="AI1957" s="9"/>
    </row>
    <row r="1958" ht="15.75" customHeight="1">
      <c r="A1958" s="9"/>
      <c r="B1958" s="9"/>
      <c r="C1958" s="9"/>
      <c r="D1958" s="9"/>
      <c r="E1958" s="57"/>
      <c r="F1958" s="58"/>
      <c r="G1958" s="58"/>
      <c r="H1958" s="57"/>
      <c r="I1958" s="57"/>
      <c r="J1958" s="57"/>
      <c r="K1958" s="57"/>
      <c r="L1958" s="57"/>
      <c r="M1958" s="59"/>
      <c r="N1958" s="60"/>
      <c r="O1958" s="23"/>
      <c r="P1958" s="23"/>
      <c r="Q1958" s="9"/>
      <c r="R1958" s="9"/>
      <c r="S1958" s="9"/>
      <c r="T1958" s="9"/>
      <c r="U1958" s="9"/>
      <c r="V1958" s="9"/>
      <c r="W1958" s="9"/>
      <c r="X1958" s="9"/>
      <c r="Y1958" s="9"/>
      <c r="Z1958" s="9"/>
      <c r="AA1958" s="9"/>
      <c r="AB1958" s="9"/>
      <c r="AC1958" s="9"/>
      <c r="AD1958" s="25"/>
      <c r="AE1958" s="25"/>
      <c r="AF1958" s="9"/>
      <c r="AG1958" s="9"/>
      <c r="AH1958" s="9"/>
      <c r="AI1958" s="9"/>
    </row>
    <row r="1959" ht="15.75" customHeight="1">
      <c r="A1959" s="9"/>
      <c r="B1959" s="9"/>
      <c r="C1959" s="9"/>
      <c r="D1959" s="9"/>
      <c r="E1959" s="57"/>
      <c r="F1959" s="58"/>
      <c r="G1959" s="58"/>
      <c r="H1959" s="57"/>
      <c r="I1959" s="57"/>
      <c r="J1959" s="57"/>
      <c r="K1959" s="57"/>
      <c r="L1959" s="57"/>
      <c r="M1959" s="59"/>
      <c r="N1959" s="60"/>
      <c r="O1959" s="23"/>
      <c r="P1959" s="23"/>
      <c r="Q1959" s="9"/>
      <c r="R1959" s="9"/>
      <c r="S1959" s="9"/>
      <c r="T1959" s="9"/>
      <c r="U1959" s="9"/>
      <c r="V1959" s="9"/>
      <c r="W1959" s="9"/>
      <c r="X1959" s="9"/>
      <c r="Y1959" s="9"/>
      <c r="Z1959" s="9"/>
      <c r="AA1959" s="9"/>
      <c r="AB1959" s="9"/>
      <c r="AC1959" s="9"/>
      <c r="AD1959" s="25"/>
      <c r="AE1959" s="25"/>
      <c r="AF1959" s="9"/>
      <c r="AG1959" s="9"/>
      <c r="AH1959" s="9"/>
      <c r="AI1959" s="9"/>
    </row>
    <row r="1960" ht="15.75" customHeight="1">
      <c r="A1960" s="9"/>
      <c r="B1960" s="9"/>
      <c r="C1960" s="9"/>
      <c r="D1960" s="9"/>
      <c r="E1960" s="57"/>
      <c r="F1960" s="58"/>
      <c r="G1960" s="58"/>
      <c r="H1960" s="57"/>
      <c r="I1960" s="57"/>
      <c r="J1960" s="57"/>
      <c r="K1960" s="57"/>
      <c r="L1960" s="57"/>
      <c r="M1960" s="59"/>
      <c r="N1960" s="60"/>
      <c r="O1960" s="23"/>
      <c r="P1960" s="23"/>
      <c r="Q1960" s="9"/>
      <c r="R1960" s="9"/>
      <c r="S1960" s="9"/>
      <c r="T1960" s="9"/>
      <c r="U1960" s="9"/>
      <c r="V1960" s="9"/>
      <c r="W1960" s="9"/>
      <c r="X1960" s="9"/>
      <c r="Y1960" s="9"/>
      <c r="Z1960" s="9"/>
      <c r="AA1960" s="9"/>
      <c r="AB1960" s="9"/>
      <c r="AC1960" s="9"/>
      <c r="AD1960" s="25"/>
      <c r="AE1960" s="25"/>
      <c r="AF1960" s="9"/>
      <c r="AG1960" s="9"/>
      <c r="AH1960" s="9"/>
      <c r="AI1960" s="9"/>
    </row>
    <row r="1961" ht="15.75" customHeight="1">
      <c r="A1961" s="9"/>
      <c r="B1961" s="9"/>
      <c r="C1961" s="9"/>
      <c r="D1961" s="9"/>
      <c r="E1961" s="57"/>
      <c r="F1961" s="58"/>
      <c r="G1961" s="58"/>
      <c r="H1961" s="57"/>
      <c r="I1961" s="57"/>
      <c r="J1961" s="57"/>
      <c r="K1961" s="57"/>
      <c r="L1961" s="57"/>
      <c r="M1961" s="59"/>
      <c r="N1961" s="60"/>
      <c r="O1961" s="23"/>
      <c r="P1961" s="23"/>
      <c r="Q1961" s="9"/>
      <c r="R1961" s="9"/>
      <c r="S1961" s="9"/>
      <c r="T1961" s="9"/>
      <c r="U1961" s="9"/>
      <c r="V1961" s="9"/>
      <c r="W1961" s="9"/>
      <c r="X1961" s="9"/>
      <c r="Y1961" s="9"/>
      <c r="Z1961" s="9"/>
      <c r="AA1961" s="9"/>
      <c r="AB1961" s="9"/>
      <c r="AC1961" s="9"/>
      <c r="AD1961" s="25"/>
      <c r="AE1961" s="25"/>
      <c r="AF1961" s="9"/>
      <c r="AG1961" s="9"/>
      <c r="AH1961" s="9"/>
      <c r="AI1961" s="9"/>
    </row>
    <row r="1962" ht="15.75" customHeight="1">
      <c r="A1962" s="9"/>
      <c r="B1962" s="9"/>
      <c r="C1962" s="9"/>
      <c r="D1962" s="9"/>
      <c r="E1962" s="57"/>
      <c r="F1962" s="58"/>
      <c r="G1962" s="58"/>
      <c r="H1962" s="57"/>
      <c r="I1962" s="57"/>
      <c r="J1962" s="57"/>
      <c r="K1962" s="57"/>
      <c r="L1962" s="57"/>
      <c r="M1962" s="59"/>
      <c r="N1962" s="60"/>
      <c r="O1962" s="23"/>
      <c r="P1962" s="23"/>
      <c r="Q1962" s="9"/>
      <c r="R1962" s="9"/>
      <c r="S1962" s="9"/>
      <c r="T1962" s="9"/>
      <c r="U1962" s="9"/>
      <c r="V1962" s="9"/>
      <c r="W1962" s="9"/>
      <c r="X1962" s="9"/>
      <c r="Y1962" s="9"/>
      <c r="Z1962" s="9"/>
      <c r="AA1962" s="9"/>
      <c r="AB1962" s="9"/>
      <c r="AC1962" s="9"/>
      <c r="AD1962" s="25"/>
      <c r="AE1962" s="25"/>
      <c r="AF1962" s="9"/>
      <c r="AG1962" s="9"/>
      <c r="AH1962" s="9"/>
      <c r="AI1962" s="9"/>
    </row>
    <row r="1963" ht="15.75" customHeight="1">
      <c r="A1963" s="9"/>
      <c r="B1963" s="9"/>
      <c r="C1963" s="9"/>
      <c r="D1963" s="9"/>
      <c r="E1963" s="57"/>
      <c r="F1963" s="58"/>
      <c r="G1963" s="58"/>
      <c r="H1963" s="57"/>
      <c r="I1963" s="57"/>
      <c r="J1963" s="57"/>
      <c r="K1963" s="57"/>
      <c r="L1963" s="57"/>
      <c r="M1963" s="59"/>
      <c r="N1963" s="60"/>
      <c r="O1963" s="23"/>
      <c r="P1963" s="23"/>
      <c r="Q1963" s="9"/>
      <c r="R1963" s="9"/>
      <c r="S1963" s="9"/>
      <c r="T1963" s="9"/>
      <c r="U1963" s="9"/>
      <c r="V1963" s="9"/>
      <c r="W1963" s="9"/>
      <c r="X1963" s="9"/>
      <c r="Y1963" s="9"/>
      <c r="Z1963" s="9"/>
      <c r="AA1963" s="9"/>
      <c r="AB1963" s="9"/>
      <c r="AC1963" s="9"/>
      <c r="AD1963" s="25"/>
      <c r="AE1963" s="25"/>
      <c r="AF1963" s="9"/>
      <c r="AG1963" s="9"/>
      <c r="AH1963" s="9"/>
      <c r="AI1963" s="9"/>
    </row>
    <row r="1964" ht="15.75" customHeight="1">
      <c r="A1964" s="9"/>
      <c r="B1964" s="9"/>
      <c r="C1964" s="9"/>
      <c r="D1964" s="9"/>
      <c r="E1964" s="57"/>
      <c r="F1964" s="58"/>
      <c r="G1964" s="58"/>
      <c r="H1964" s="57"/>
      <c r="I1964" s="57"/>
      <c r="J1964" s="57"/>
      <c r="K1964" s="57"/>
      <c r="L1964" s="57"/>
      <c r="M1964" s="59"/>
      <c r="N1964" s="60"/>
      <c r="O1964" s="23"/>
      <c r="P1964" s="23"/>
      <c r="Q1964" s="9"/>
      <c r="R1964" s="9"/>
      <c r="S1964" s="9"/>
      <c r="T1964" s="9"/>
      <c r="U1964" s="9"/>
      <c r="V1964" s="9"/>
      <c r="W1964" s="9"/>
      <c r="X1964" s="9"/>
      <c r="Y1964" s="9"/>
      <c r="Z1964" s="9"/>
      <c r="AA1964" s="9"/>
      <c r="AB1964" s="9"/>
      <c r="AC1964" s="9"/>
      <c r="AD1964" s="25"/>
      <c r="AE1964" s="25"/>
      <c r="AF1964" s="9"/>
      <c r="AG1964" s="9"/>
      <c r="AH1964" s="9"/>
      <c r="AI1964" s="9"/>
    </row>
    <row r="1965" ht="15.75" customHeight="1">
      <c r="A1965" s="9"/>
      <c r="B1965" s="9"/>
      <c r="C1965" s="9"/>
      <c r="D1965" s="9"/>
      <c r="E1965" s="57"/>
      <c r="F1965" s="58"/>
      <c r="G1965" s="58"/>
      <c r="H1965" s="57"/>
      <c r="I1965" s="57"/>
      <c r="J1965" s="57"/>
      <c r="K1965" s="57"/>
      <c r="L1965" s="57"/>
      <c r="M1965" s="59"/>
      <c r="N1965" s="60"/>
      <c r="O1965" s="23"/>
      <c r="P1965" s="23"/>
      <c r="Q1965" s="9"/>
      <c r="R1965" s="9"/>
      <c r="S1965" s="9"/>
      <c r="T1965" s="9"/>
      <c r="U1965" s="9"/>
      <c r="V1965" s="9"/>
      <c r="W1965" s="9"/>
      <c r="X1965" s="9"/>
      <c r="Y1965" s="9"/>
      <c r="Z1965" s="9"/>
      <c r="AA1965" s="9"/>
      <c r="AB1965" s="9"/>
      <c r="AC1965" s="9"/>
      <c r="AD1965" s="25"/>
      <c r="AE1965" s="25"/>
      <c r="AF1965" s="9"/>
      <c r="AG1965" s="9"/>
      <c r="AH1965" s="9"/>
      <c r="AI1965" s="9"/>
    </row>
    <row r="1966" ht="15.75" customHeight="1">
      <c r="A1966" s="9"/>
      <c r="B1966" s="9"/>
      <c r="C1966" s="9"/>
      <c r="D1966" s="9"/>
      <c r="E1966" s="57"/>
      <c r="F1966" s="58"/>
      <c r="G1966" s="58"/>
      <c r="H1966" s="57"/>
      <c r="I1966" s="57"/>
      <c r="K1966" s="57"/>
      <c r="L1966" s="72"/>
      <c r="M1966" s="62"/>
      <c r="N1966" s="60"/>
      <c r="O1966" s="23"/>
      <c r="P1966" s="23"/>
      <c r="Q1966" s="9"/>
      <c r="R1966" s="9"/>
      <c r="S1966" s="9"/>
      <c r="T1966" s="9"/>
      <c r="U1966" s="9"/>
      <c r="V1966" s="9"/>
      <c r="W1966" s="9"/>
      <c r="X1966" s="9"/>
      <c r="Y1966" s="9"/>
      <c r="Z1966" s="9"/>
      <c r="AA1966" s="9"/>
      <c r="AB1966" s="9"/>
      <c r="AC1966" s="9"/>
      <c r="AD1966" s="25"/>
      <c r="AE1966" s="25"/>
      <c r="AF1966" s="9"/>
      <c r="AG1966" s="9"/>
      <c r="AH1966" s="9"/>
      <c r="AI1966" s="9"/>
    </row>
    <row r="1967" ht="15.75" customHeight="1">
      <c r="A1967" s="9"/>
      <c r="B1967" s="9"/>
      <c r="C1967" s="9"/>
      <c r="D1967" s="9"/>
      <c r="E1967" s="57"/>
      <c r="F1967" s="58"/>
      <c r="G1967" s="58"/>
      <c r="H1967" s="57"/>
      <c r="I1967" s="57"/>
      <c r="J1967" s="57"/>
      <c r="K1967" s="57"/>
      <c r="L1967" s="57"/>
      <c r="M1967" s="59"/>
      <c r="N1967" s="60"/>
      <c r="O1967" s="23"/>
      <c r="P1967" s="23"/>
      <c r="Q1967" s="9"/>
      <c r="R1967" s="9"/>
      <c r="S1967" s="9"/>
      <c r="T1967" s="9"/>
      <c r="U1967" s="9"/>
      <c r="V1967" s="9"/>
      <c r="W1967" s="9"/>
      <c r="X1967" s="9"/>
      <c r="Y1967" s="9"/>
      <c r="Z1967" s="9"/>
      <c r="AA1967" s="9"/>
      <c r="AB1967" s="9"/>
      <c r="AC1967" s="9"/>
      <c r="AD1967" s="25"/>
      <c r="AE1967" s="25"/>
      <c r="AF1967" s="9"/>
      <c r="AG1967" s="9"/>
      <c r="AH1967" s="9"/>
      <c r="AI1967" s="9"/>
    </row>
    <row r="1968" ht="15.75" customHeight="1">
      <c r="A1968" s="9"/>
      <c r="B1968" s="9"/>
      <c r="C1968" s="9"/>
      <c r="D1968" s="9"/>
      <c r="E1968" s="57"/>
      <c r="F1968" s="58"/>
      <c r="G1968" s="58"/>
      <c r="H1968" s="57"/>
      <c r="I1968" s="57"/>
      <c r="K1968" s="57"/>
      <c r="L1968" s="72"/>
      <c r="M1968" s="62"/>
      <c r="N1968" s="60"/>
      <c r="O1968" s="23"/>
      <c r="P1968" s="23"/>
      <c r="Q1968" s="9"/>
      <c r="R1968" s="9"/>
      <c r="S1968" s="9"/>
      <c r="T1968" s="9"/>
      <c r="U1968" s="9"/>
      <c r="V1968" s="9"/>
      <c r="W1968" s="9"/>
      <c r="X1968" s="9"/>
      <c r="Y1968" s="9"/>
      <c r="Z1968" s="9"/>
      <c r="AA1968" s="9"/>
      <c r="AB1968" s="9"/>
      <c r="AC1968" s="9"/>
      <c r="AD1968" s="25"/>
      <c r="AE1968" s="25"/>
      <c r="AF1968" s="9"/>
      <c r="AG1968" s="9"/>
      <c r="AH1968" s="9"/>
      <c r="AI1968" s="9"/>
    </row>
    <row r="1969" ht="15.75" customHeight="1">
      <c r="A1969" s="9"/>
      <c r="B1969" s="9"/>
      <c r="C1969" s="9"/>
      <c r="D1969" s="9"/>
      <c r="E1969" s="57"/>
      <c r="F1969" s="58"/>
      <c r="G1969" s="58"/>
      <c r="H1969" s="57"/>
      <c r="I1969" s="57"/>
      <c r="K1969" s="57"/>
      <c r="L1969" s="72"/>
      <c r="M1969" s="62"/>
      <c r="N1969" s="60"/>
      <c r="O1969" s="23"/>
      <c r="P1969" s="23"/>
      <c r="Q1969" s="9"/>
      <c r="R1969" s="9"/>
      <c r="S1969" s="9"/>
      <c r="T1969" s="9"/>
      <c r="U1969" s="9"/>
      <c r="V1969" s="9"/>
      <c r="W1969" s="9"/>
      <c r="X1969" s="9"/>
      <c r="Y1969" s="9"/>
      <c r="Z1969" s="9"/>
      <c r="AA1969" s="9"/>
      <c r="AB1969" s="9"/>
      <c r="AC1969" s="9"/>
      <c r="AD1969" s="25"/>
      <c r="AE1969" s="25"/>
      <c r="AF1969" s="9"/>
      <c r="AG1969" s="9"/>
      <c r="AH1969" s="9"/>
      <c r="AI1969" s="9"/>
    </row>
    <row r="1970" ht="15.75" customHeight="1">
      <c r="A1970" s="9"/>
      <c r="B1970" s="9"/>
      <c r="C1970" s="9"/>
      <c r="D1970" s="9"/>
      <c r="E1970" s="57"/>
      <c r="F1970" s="58"/>
      <c r="G1970" s="58"/>
      <c r="H1970" s="57"/>
      <c r="I1970" s="57"/>
      <c r="K1970" s="57"/>
      <c r="L1970" s="72"/>
      <c r="M1970" s="62"/>
      <c r="N1970" s="60"/>
      <c r="O1970" s="23"/>
      <c r="P1970" s="23"/>
      <c r="Q1970" s="9"/>
      <c r="R1970" s="9"/>
      <c r="S1970" s="9"/>
      <c r="T1970" s="9"/>
      <c r="U1970" s="9"/>
      <c r="V1970" s="9"/>
      <c r="W1970" s="9"/>
      <c r="X1970" s="9"/>
      <c r="Y1970" s="9"/>
      <c r="Z1970" s="9"/>
      <c r="AA1970" s="9"/>
      <c r="AB1970" s="9"/>
      <c r="AC1970" s="9"/>
      <c r="AD1970" s="25"/>
      <c r="AE1970" s="25"/>
      <c r="AF1970" s="9"/>
      <c r="AG1970" s="9"/>
      <c r="AH1970" s="9"/>
      <c r="AI1970" s="9"/>
    </row>
    <row r="1971" ht="15.75" customHeight="1">
      <c r="A1971" s="9"/>
      <c r="B1971" s="9"/>
      <c r="C1971" s="9"/>
      <c r="D1971" s="9"/>
      <c r="E1971" s="57"/>
      <c r="F1971" s="58"/>
      <c r="G1971" s="58"/>
      <c r="H1971" s="57"/>
      <c r="I1971" s="57"/>
      <c r="K1971" s="57"/>
      <c r="L1971" s="72"/>
      <c r="M1971" s="62"/>
      <c r="N1971" s="60"/>
      <c r="O1971" s="23"/>
      <c r="P1971" s="23"/>
      <c r="Q1971" s="9"/>
      <c r="R1971" s="9"/>
      <c r="S1971" s="9"/>
      <c r="T1971" s="9"/>
      <c r="U1971" s="9"/>
      <c r="V1971" s="9"/>
      <c r="W1971" s="9"/>
      <c r="X1971" s="9"/>
      <c r="Y1971" s="9"/>
      <c r="Z1971" s="9"/>
      <c r="AA1971" s="9"/>
      <c r="AB1971" s="9"/>
      <c r="AC1971" s="9"/>
      <c r="AD1971" s="25"/>
      <c r="AE1971" s="25"/>
      <c r="AF1971" s="9"/>
      <c r="AG1971" s="9"/>
      <c r="AH1971" s="9"/>
      <c r="AI1971" s="9"/>
    </row>
    <row r="1972" ht="15.75" customHeight="1">
      <c r="A1972" s="9"/>
      <c r="B1972" s="9"/>
      <c r="C1972" s="9"/>
      <c r="D1972" s="9"/>
      <c r="E1972" s="57"/>
      <c r="F1972" s="58"/>
      <c r="G1972" s="58"/>
      <c r="H1972" s="57"/>
      <c r="I1972" s="57"/>
      <c r="K1972" s="57"/>
      <c r="L1972" s="72"/>
      <c r="M1972" s="62"/>
      <c r="N1972" s="60"/>
      <c r="O1972" s="23"/>
      <c r="P1972" s="23"/>
      <c r="Q1972" s="9"/>
      <c r="R1972" s="9"/>
      <c r="S1972" s="9"/>
      <c r="T1972" s="9"/>
      <c r="U1972" s="9"/>
      <c r="V1972" s="9"/>
      <c r="W1972" s="9"/>
      <c r="X1972" s="9"/>
      <c r="Y1972" s="9"/>
      <c r="Z1972" s="9"/>
      <c r="AA1972" s="9"/>
      <c r="AB1972" s="9"/>
      <c r="AC1972" s="9"/>
      <c r="AD1972" s="25"/>
      <c r="AE1972" s="25"/>
      <c r="AF1972" s="9"/>
      <c r="AG1972" s="9"/>
      <c r="AH1972" s="9"/>
      <c r="AI1972" s="9"/>
    </row>
    <row r="1973" ht="15.75" customHeight="1">
      <c r="A1973" s="9"/>
      <c r="B1973" s="9"/>
      <c r="C1973" s="9"/>
      <c r="D1973" s="9"/>
      <c r="E1973" s="57"/>
      <c r="F1973" s="58"/>
      <c r="G1973" s="58"/>
      <c r="H1973" s="57"/>
      <c r="I1973" s="57"/>
      <c r="K1973" s="57"/>
      <c r="L1973" s="72"/>
      <c r="M1973" s="62"/>
      <c r="N1973" s="60"/>
      <c r="O1973" s="23"/>
      <c r="P1973" s="23"/>
      <c r="Q1973" s="9"/>
      <c r="R1973" s="9"/>
      <c r="S1973" s="9"/>
      <c r="T1973" s="9"/>
      <c r="U1973" s="9"/>
      <c r="V1973" s="9"/>
      <c r="W1973" s="9"/>
      <c r="X1973" s="9"/>
      <c r="Y1973" s="9"/>
      <c r="Z1973" s="9"/>
      <c r="AA1973" s="9"/>
      <c r="AB1973" s="9"/>
      <c r="AC1973" s="9"/>
      <c r="AD1973" s="25"/>
      <c r="AE1973" s="25"/>
      <c r="AF1973" s="9"/>
      <c r="AG1973" s="9"/>
      <c r="AH1973" s="9"/>
      <c r="AI1973" s="9"/>
    </row>
    <row r="1974" ht="15.75" customHeight="1">
      <c r="A1974" s="9"/>
      <c r="B1974" s="9"/>
      <c r="C1974" s="9"/>
      <c r="D1974" s="9"/>
      <c r="E1974" s="57"/>
      <c r="F1974" s="58"/>
      <c r="G1974" s="58"/>
      <c r="H1974" s="57"/>
      <c r="I1974" s="57"/>
      <c r="K1974" s="57"/>
      <c r="L1974" s="72"/>
      <c r="M1974" s="62"/>
      <c r="N1974" s="60"/>
      <c r="O1974" s="23"/>
      <c r="P1974" s="23"/>
      <c r="Q1974" s="9"/>
      <c r="R1974" s="9"/>
      <c r="S1974" s="9"/>
      <c r="T1974" s="9"/>
      <c r="U1974" s="9"/>
      <c r="V1974" s="9"/>
      <c r="W1974" s="9"/>
      <c r="X1974" s="9"/>
      <c r="Y1974" s="9"/>
      <c r="Z1974" s="9"/>
      <c r="AA1974" s="9"/>
      <c r="AB1974" s="9"/>
      <c r="AC1974" s="9"/>
      <c r="AD1974" s="25"/>
      <c r="AE1974" s="25"/>
      <c r="AF1974" s="9"/>
      <c r="AG1974" s="9"/>
      <c r="AH1974" s="9"/>
      <c r="AI1974" s="9"/>
    </row>
    <row r="1975" ht="15.75" customHeight="1">
      <c r="A1975" s="9"/>
      <c r="B1975" s="9"/>
      <c r="C1975" s="9"/>
      <c r="D1975" s="9"/>
      <c r="E1975" s="57"/>
      <c r="F1975" s="58"/>
      <c r="G1975" s="58"/>
      <c r="H1975" s="57"/>
      <c r="I1975" s="57"/>
      <c r="K1975" s="57"/>
      <c r="L1975" s="72"/>
      <c r="M1975" s="62"/>
      <c r="N1975" s="60"/>
      <c r="O1975" s="23"/>
      <c r="P1975" s="23"/>
      <c r="Q1975" s="9"/>
      <c r="R1975" s="9"/>
      <c r="S1975" s="9"/>
      <c r="T1975" s="9"/>
      <c r="U1975" s="9"/>
      <c r="V1975" s="9"/>
      <c r="W1975" s="9"/>
      <c r="X1975" s="9"/>
      <c r="Y1975" s="9"/>
      <c r="Z1975" s="9"/>
      <c r="AA1975" s="9"/>
      <c r="AB1975" s="9"/>
      <c r="AC1975" s="9"/>
      <c r="AD1975" s="25"/>
      <c r="AE1975" s="25"/>
      <c r="AF1975" s="9"/>
      <c r="AG1975" s="9"/>
      <c r="AH1975" s="9"/>
      <c r="AI1975" s="9"/>
    </row>
    <row r="1976" ht="15.75" customHeight="1">
      <c r="A1976" s="9"/>
      <c r="B1976" s="9"/>
      <c r="C1976" s="9"/>
      <c r="D1976" s="9"/>
      <c r="E1976" s="57"/>
      <c r="F1976" s="58"/>
      <c r="G1976" s="58"/>
      <c r="H1976" s="57"/>
      <c r="I1976" s="57"/>
      <c r="J1976" s="57"/>
      <c r="K1976" s="57"/>
      <c r="L1976" s="57"/>
      <c r="M1976" s="59"/>
      <c r="N1976" s="60"/>
      <c r="O1976" s="23"/>
      <c r="P1976" s="23"/>
      <c r="Q1976" s="9"/>
      <c r="R1976" s="9"/>
      <c r="S1976" s="9"/>
      <c r="T1976" s="9"/>
      <c r="U1976" s="9"/>
      <c r="V1976" s="9"/>
      <c r="W1976" s="9"/>
      <c r="X1976" s="9"/>
      <c r="Y1976" s="9"/>
      <c r="Z1976" s="9"/>
      <c r="AA1976" s="9"/>
      <c r="AB1976" s="9"/>
      <c r="AC1976" s="9"/>
      <c r="AD1976" s="25"/>
      <c r="AE1976" s="25"/>
      <c r="AF1976" s="9"/>
      <c r="AG1976" s="9"/>
      <c r="AH1976" s="9"/>
      <c r="AI1976" s="9"/>
    </row>
    <row r="1977" ht="15.75" customHeight="1">
      <c r="A1977" s="9"/>
      <c r="B1977" s="9"/>
      <c r="C1977" s="9"/>
      <c r="D1977" s="9"/>
      <c r="E1977" s="57"/>
      <c r="F1977" s="58"/>
      <c r="G1977" s="58"/>
      <c r="H1977" s="57"/>
      <c r="I1977" s="57"/>
      <c r="J1977" s="57"/>
      <c r="K1977" s="57"/>
      <c r="L1977" s="57"/>
      <c r="M1977" s="59"/>
      <c r="N1977" s="60"/>
      <c r="O1977" s="23"/>
      <c r="P1977" s="23"/>
      <c r="Q1977" s="9"/>
      <c r="R1977" s="9"/>
      <c r="S1977" s="9"/>
      <c r="T1977" s="9"/>
      <c r="U1977" s="9"/>
      <c r="V1977" s="9"/>
      <c r="W1977" s="9"/>
      <c r="X1977" s="9"/>
      <c r="Y1977" s="9"/>
      <c r="Z1977" s="9"/>
      <c r="AA1977" s="9"/>
      <c r="AB1977" s="9"/>
      <c r="AC1977" s="9"/>
      <c r="AD1977" s="25"/>
      <c r="AE1977" s="25"/>
      <c r="AF1977" s="9"/>
      <c r="AG1977" s="9"/>
      <c r="AH1977" s="9"/>
      <c r="AI1977" s="9"/>
    </row>
    <row r="1978" ht="15.75" customHeight="1">
      <c r="A1978" s="9"/>
      <c r="B1978" s="9"/>
      <c r="C1978" s="9"/>
      <c r="D1978" s="9"/>
      <c r="E1978" s="57"/>
      <c r="F1978" s="58"/>
      <c r="G1978" s="58"/>
      <c r="H1978" s="57"/>
      <c r="I1978" s="57"/>
      <c r="J1978" s="57"/>
      <c r="K1978" s="57"/>
      <c r="L1978" s="57"/>
      <c r="M1978" s="59"/>
      <c r="N1978" s="60"/>
      <c r="O1978" s="23"/>
      <c r="P1978" s="23"/>
      <c r="Q1978" s="9"/>
      <c r="R1978" s="9"/>
      <c r="S1978" s="9"/>
      <c r="T1978" s="9"/>
      <c r="U1978" s="9"/>
      <c r="V1978" s="9"/>
      <c r="W1978" s="9"/>
      <c r="X1978" s="9"/>
      <c r="Y1978" s="9"/>
      <c r="Z1978" s="9"/>
      <c r="AA1978" s="9"/>
      <c r="AB1978" s="9"/>
      <c r="AC1978" s="9"/>
      <c r="AD1978" s="25"/>
      <c r="AE1978" s="25"/>
      <c r="AF1978" s="9"/>
      <c r="AG1978" s="9"/>
      <c r="AH1978" s="9"/>
      <c r="AI1978" s="9"/>
    </row>
    <row r="1979" ht="15.75" customHeight="1">
      <c r="A1979" s="9"/>
      <c r="B1979" s="9"/>
      <c r="C1979" s="9"/>
      <c r="D1979" s="9"/>
      <c r="E1979" s="57"/>
      <c r="F1979" s="58"/>
      <c r="G1979" s="58"/>
      <c r="H1979" s="57"/>
      <c r="I1979" s="57"/>
      <c r="J1979" s="57"/>
      <c r="K1979" s="57"/>
      <c r="L1979" s="57"/>
      <c r="M1979" s="59"/>
      <c r="N1979" s="60"/>
      <c r="O1979" s="23"/>
      <c r="P1979" s="23"/>
      <c r="Q1979" s="9"/>
      <c r="R1979" s="9"/>
      <c r="S1979" s="9"/>
      <c r="T1979" s="9"/>
      <c r="U1979" s="9"/>
      <c r="V1979" s="9"/>
      <c r="W1979" s="9"/>
      <c r="X1979" s="9"/>
      <c r="Y1979" s="9"/>
      <c r="Z1979" s="9"/>
      <c r="AA1979" s="9"/>
      <c r="AB1979" s="9"/>
      <c r="AC1979" s="9"/>
      <c r="AD1979" s="25"/>
      <c r="AE1979" s="25"/>
      <c r="AF1979" s="9"/>
      <c r="AG1979" s="9"/>
      <c r="AH1979" s="9"/>
      <c r="AI1979" s="9"/>
    </row>
    <row r="1980" ht="15.75" customHeight="1">
      <c r="A1980" s="9"/>
      <c r="B1980" s="9"/>
      <c r="C1980" s="9"/>
      <c r="D1980" s="9"/>
      <c r="E1980" s="57"/>
      <c r="F1980" s="58"/>
      <c r="G1980" s="58"/>
      <c r="H1980" s="57"/>
      <c r="I1980" s="57"/>
      <c r="J1980" s="57"/>
      <c r="K1980" s="57"/>
      <c r="L1980" s="57"/>
      <c r="M1980" s="59"/>
      <c r="N1980" s="60"/>
      <c r="O1980" s="23"/>
      <c r="P1980" s="23"/>
      <c r="Q1980" s="9"/>
      <c r="R1980" s="9"/>
      <c r="S1980" s="9"/>
      <c r="T1980" s="9"/>
      <c r="U1980" s="9"/>
      <c r="V1980" s="9"/>
      <c r="W1980" s="9"/>
      <c r="X1980" s="9"/>
      <c r="Y1980" s="9"/>
      <c r="Z1980" s="9"/>
      <c r="AA1980" s="9"/>
      <c r="AB1980" s="9"/>
      <c r="AC1980" s="9"/>
      <c r="AD1980" s="25"/>
      <c r="AE1980" s="25"/>
      <c r="AF1980" s="9"/>
      <c r="AG1980" s="9"/>
      <c r="AH1980" s="9"/>
      <c r="AI1980" s="9"/>
    </row>
    <row r="1981" ht="15.75" customHeight="1">
      <c r="A1981" s="9"/>
      <c r="B1981" s="9"/>
      <c r="C1981" s="9"/>
      <c r="D1981" s="9"/>
      <c r="E1981" s="57"/>
      <c r="F1981" s="58"/>
      <c r="G1981" s="58"/>
      <c r="H1981" s="57"/>
      <c r="I1981" s="57"/>
      <c r="J1981" s="57"/>
      <c r="K1981" s="57"/>
      <c r="L1981" s="57"/>
      <c r="M1981" s="59"/>
      <c r="N1981" s="60"/>
      <c r="O1981" s="23"/>
      <c r="P1981" s="23"/>
      <c r="Q1981" s="9"/>
      <c r="R1981" s="9"/>
      <c r="S1981" s="9"/>
      <c r="T1981" s="9"/>
      <c r="U1981" s="9"/>
      <c r="V1981" s="9"/>
      <c r="W1981" s="9"/>
      <c r="X1981" s="9"/>
      <c r="Y1981" s="9"/>
      <c r="Z1981" s="9"/>
      <c r="AA1981" s="9"/>
      <c r="AB1981" s="9"/>
      <c r="AC1981" s="9"/>
      <c r="AD1981" s="25"/>
      <c r="AE1981" s="25"/>
      <c r="AF1981" s="9"/>
      <c r="AG1981" s="9"/>
      <c r="AH1981" s="9"/>
      <c r="AI1981" s="9"/>
    </row>
    <row r="1982" ht="15.75" customHeight="1">
      <c r="A1982" s="9"/>
      <c r="B1982" s="9"/>
      <c r="C1982" s="9"/>
      <c r="D1982" s="9"/>
      <c r="E1982" s="57"/>
      <c r="F1982" s="58"/>
      <c r="G1982" s="58"/>
      <c r="H1982" s="57"/>
      <c r="I1982" s="57"/>
      <c r="J1982" s="57"/>
      <c r="K1982" s="57"/>
      <c r="L1982" s="57"/>
      <c r="M1982" s="59"/>
      <c r="N1982" s="60"/>
      <c r="O1982" s="23"/>
      <c r="P1982" s="23"/>
      <c r="Q1982" s="9"/>
      <c r="R1982" s="9"/>
      <c r="S1982" s="9"/>
      <c r="T1982" s="9"/>
      <c r="U1982" s="9"/>
      <c r="V1982" s="9"/>
      <c r="W1982" s="9"/>
      <c r="X1982" s="9"/>
      <c r="Y1982" s="9"/>
      <c r="Z1982" s="9"/>
      <c r="AA1982" s="9"/>
      <c r="AB1982" s="9"/>
      <c r="AC1982" s="9"/>
      <c r="AD1982" s="25"/>
      <c r="AE1982" s="25"/>
      <c r="AF1982" s="9"/>
      <c r="AG1982" s="9"/>
      <c r="AH1982" s="9"/>
      <c r="AI1982" s="9"/>
    </row>
    <row r="1983" ht="15.75" customHeight="1">
      <c r="A1983" s="9"/>
      <c r="B1983" s="9"/>
      <c r="C1983" s="9"/>
      <c r="D1983" s="9"/>
      <c r="E1983" s="57"/>
      <c r="F1983" s="58"/>
      <c r="G1983" s="58"/>
      <c r="H1983" s="57"/>
      <c r="I1983" s="57"/>
      <c r="J1983" s="57"/>
      <c r="K1983" s="57"/>
      <c r="L1983" s="57"/>
      <c r="M1983" s="59"/>
      <c r="N1983" s="60"/>
      <c r="O1983" s="23"/>
      <c r="P1983" s="23"/>
      <c r="Q1983" s="9"/>
      <c r="R1983" s="9"/>
      <c r="S1983" s="9"/>
      <c r="T1983" s="9"/>
      <c r="U1983" s="9"/>
      <c r="V1983" s="9"/>
      <c r="W1983" s="9"/>
      <c r="X1983" s="9"/>
      <c r="Y1983" s="9"/>
      <c r="Z1983" s="9"/>
      <c r="AA1983" s="9"/>
      <c r="AB1983" s="9"/>
      <c r="AC1983" s="9"/>
      <c r="AD1983" s="25"/>
      <c r="AE1983" s="25"/>
      <c r="AF1983" s="9"/>
      <c r="AG1983" s="9"/>
      <c r="AH1983" s="9"/>
      <c r="AI1983" s="9"/>
    </row>
    <row r="1984" ht="15.75" customHeight="1">
      <c r="A1984" s="9"/>
      <c r="B1984" s="9"/>
      <c r="C1984" s="9"/>
      <c r="D1984" s="9"/>
      <c r="E1984" s="57"/>
      <c r="F1984" s="58"/>
      <c r="G1984" s="58"/>
      <c r="H1984" s="57"/>
      <c r="I1984" s="57"/>
      <c r="J1984" s="57"/>
      <c r="K1984" s="57"/>
      <c r="L1984" s="72"/>
      <c r="M1984" s="62"/>
      <c r="N1984" s="60"/>
      <c r="O1984" s="23"/>
      <c r="P1984" s="23"/>
      <c r="Q1984" s="9"/>
      <c r="R1984" s="9"/>
      <c r="S1984" s="9"/>
      <c r="T1984" s="9"/>
      <c r="U1984" s="9"/>
      <c r="V1984" s="9"/>
      <c r="W1984" s="9"/>
      <c r="X1984" s="9"/>
      <c r="Y1984" s="9"/>
      <c r="Z1984" s="9"/>
      <c r="AA1984" s="9"/>
      <c r="AB1984" s="9"/>
      <c r="AC1984" s="9"/>
      <c r="AD1984" s="25"/>
      <c r="AE1984" s="25"/>
      <c r="AF1984" s="9"/>
      <c r="AG1984" s="9"/>
      <c r="AH1984" s="9"/>
      <c r="AI1984" s="9"/>
    </row>
    <row r="1985" ht="15.75" customHeight="1">
      <c r="A1985" s="9"/>
      <c r="B1985" s="9"/>
      <c r="C1985" s="9"/>
      <c r="D1985" s="9"/>
      <c r="E1985" s="57"/>
      <c r="F1985" s="58"/>
      <c r="G1985" s="58"/>
      <c r="H1985" s="57"/>
      <c r="I1985" s="57"/>
      <c r="J1985" s="57"/>
      <c r="K1985" s="57"/>
      <c r="L1985" s="72"/>
      <c r="M1985" s="62"/>
      <c r="N1985" s="60"/>
      <c r="O1985" s="23"/>
      <c r="P1985" s="23"/>
      <c r="Q1985" s="9"/>
      <c r="R1985" s="9"/>
      <c r="S1985" s="9"/>
      <c r="T1985" s="9"/>
      <c r="U1985" s="9"/>
      <c r="V1985" s="9"/>
      <c r="W1985" s="9"/>
      <c r="X1985" s="9"/>
      <c r="Y1985" s="9"/>
      <c r="Z1985" s="9"/>
      <c r="AA1985" s="9"/>
      <c r="AB1985" s="9"/>
      <c r="AC1985" s="9"/>
      <c r="AD1985" s="25"/>
      <c r="AE1985" s="25"/>
      <c r="AF1985" s="9"/>
      <c r="AG1985" s="9"/>
      <c r="AH1985" s="9"/>
      <c r="AI1985" s="9"/>
    </row>
    <row r="1986" ht="15.75" customHeight="1">
      <c r="A1986" s="9"/>
      <c r="B1986" s="9"/>
      <c r="C1986" s="9"/>
      <c r="D1986" s="9"/>
      <c r="E1986" s="57"/>
      <c r="F1986" s="58"/>
      <c r="G1986" s="58"/>
      <c r="H1986" s="57"/>
      <c r="I1986" s="57"/>
      <c r="J1986" s="57"/>
      <c r="K1986" s="57"/>
      <c r="L1986" s="57"/>
      <c r="M1986" s="59"/>
      <c r="N1986" s="60"/>
      <c r="O1986" s="23"/>
      <c r="P1986" s="23"/>
      <c r="Q1986" s="9"/>
      <c r="R1986" s="9"/>
      <c r="S1986" s="9"/>
      <c r="T1986" s="9"/>
      <c r="U1986" s="9"/>
      <c r="V1986" s="9"/>
      <c r="W1986" s="9"/>
      <c r="X1986" s="9"/>
      <c r="Y1986" s="9"/>
      <c r="Z1986" s="9"/>
      <c r="AA1986" s="9"/>
      <c r="AB1986" s="9"/>
      <c r="AC1986" s="9"/>
      <c r="AD1986" s="25"/>
      <c r="AE1986" s="25"/>
      <c r="AF1986" s="9"/>
      <c r="AG1986" s="9"/>
      <c r="AH1986" s="9"/>
      <c r="AI1986" s="9"/>
    </row>
    <row r="1987" ht="15.75" customHeight="1">
      <c r="A1987" s="9"/>
      <c r="B1987" s="9"/>
      <c r="C1987" s="9"/>
      <c r="D1987" s="9"/>
      <c r="E1987" s="57"/>
      <c r="F1987" s="58"/>
      <c r="G1987" s="58"/>
      <c r="H1987" s="57"/>
      <c r="I1987" s="57"/>
      <c r="J1987" s="57"/>
      <c r="K1987" s="57"/>
      <c r="L1987" s="72"/>
      <c r="M1987" s="62"/>
      <c r="N1987" s="60"/>
      <c r="O1987" s="23"/>
      <c r="P1987" s="23"/>
      <c r="Q1987" s="9"/>
      <c r="R1987" s="9"/>
      <c r="S1987" s="9"/>
      <c r="T1987" s="9"/>
      <c r="U1987" s="9"/>
      <c r="V1987" s="9"/>
      <c r="W1987" s="9"/>
      <c r="X1987" s="9"/>
      <c r="Y1987" s="9"/>
      <c r="Z1987" s="9"/>
      <c r="AA1987" s="9"/>
      <c r="AB1987" s="9"/>
      <c r="AC1987" s="9"/>
      <c r="AD1987" s="25"/>
      <c r="AE1987" s="25"/>
      <c r="AF1987" s="9"/>
      <c r="AG1987" s="9"/>
      <c r="AH1987" s="9"/>
      <c r="AI1987" s="9"/>
    </row>
    <row r="1988" ht="15.75" customHeight="1">
      <c r="A1988" s="9"/>
      <c r="B1988" s="9"/>
      <c r="C1988" s="9"/>
      <c r="D1988" s="9"/>
      <c r="E1988" s="57"/>
      <c r="F1988" s="58"/>
      <c r="G1988" s="58"/>
      <c r="H1988" s="57"/>
      <c r="I1988" s="57"/>
      <c r="J1988" s="57"/>
      <c r="K1988" s="57"/>
      <c r="L1988" s="57"/>
      <c r="M1988" s="59"/>
      <c r="N1988" s="60"/>
      <c r="O1988" s="23"/>
      <c r="P1988" s="23"/>
      <c r="Q1988" s="9"/>
      <c r="R1988" s="9"/>
      <c r="S1988" s="9"/>
      <c r="T1988" s="9"/>
      <c r="U1988" s="9"/>
      <c r="V1988" s="9"/>
      <c r="W1988" s="9"/>
      <c r="X1988" s="9"/>
      <c r="Y1988" s="9"/>
      <c r="Z1988" s="9"/>
      <c r="AA1988" s="9"/>
      <c r="AB1988" s="9"/>
      <c r="AC1988" s="9"/>
      <c r="AD1988" s="25"/>
      <c r="AE1988" s="25"/>
      <c r="AF1988" s="9"/>
      <c r="AG1988" s="9"/>
      <c r="AH1988" s="9"/>
      <c r="AI1988" s="9"/>
    </row>
    <row r="1989" ht="15.75" customHeight="1">
      <c r="A1989" s="9"/>
      <c r="B1989" s="9"/>
      <c r="C1989" s="9"/>
      <c r="D1989" s="9"/>
      <c r="E1989" s="57"/>
      <c r="F1989" s="58"/>
      <c r="G1989" s="58"/>
      <c r="H1989" s="57"/>
      <c r="I1989" s="57"/>
      <c r="J1989" s="57"/>
      <c r="K1989" s="57"/>
      <c r="L1989" s="57"/>
      <c r="M1989" s="59"/>
      <c r="N1989" s="60"/>
      <c r="O1989" s="23"/>
      <c r="P1989" s="23"/>
      <c r="Q1989" s="9"/>
      <c r="R1989" s="9"/>
      <c r="S1989" s="9"/>
      <c r="T1989" s="9"/>
      <c r="U1989" s="9"/>
      <c r="V1989" s="9"/>
      <c r="W1989" s="9"/>
      <c r="X1989" s="9"/>
      <c r="Y1989" s="9"/>
      <c r="Z1989" s="9"/>
      <c r="AA1989" s="9"/>
      <c r="AB1989" s="9"/>
      <c r="AC1989" s="9"/>
      <c r="AD1989" s="25"/>
      <c r="AE1989" s="25"/>
      <c r="AF1989" s="9"/>
      <c r="AG1989" s="9"/>
      <c r="AH1989" s="9"/>
      <c r="AI1989" s="9"/>
    </row>
    <row r="1990" ht="15.75" customHeight="1">
      <c r="A1990" s="9"/>
      <c r="B1990" s="9"/>
      <c r="C1990" s="9"/>
      <c r="D1990" s="9"/>
      <c r="E1990" s="57"/>
      <c r="F1990" s="58"/>
      <c r="G1990" s="58"/>
      <c r="H1990" s="57"/>
      <c r="I1990" s="57"/>
      <c r="J1990" s="57"/>
      <c r="K1990" s="57"/>
      <c r="L1990" s="72"/>
      <c r="M1990" s="62"/>
      <c r="N1990" s="60"/>
      <c r="O1990" s="23"/>
      <c r="P1990" s="23"/>
      <c r="Q1990" s="9"/>
      <c r="R1990" s="9"/>
      <c r="S1990" s="9"/>
      <c r="T1990" s="9"/>
      <c r="U1990" s="9"/>
      <c r="V1990" s="9"/>
      <c r="W1990" s="9"/>
      <c r="X1990" s="9"/>
      <c r="Y1990" s="9"/>
      <c r="Z1990" s="9"/>
      <c r="AA1990" s="9"/>
      <c r="AB1990" s="9"/>
      <c r="AC1990" s="9"/>
      <c r="AD1990" s="25"/>
      <c r="AE1990" s="25"/>
      <c r="AF1990" s="9"/>
      <c r="AG1990" s="9"/>
      <c r="AH1990" s="9"/>
      <c r="AI1990" s="9"/>
    </row>
    <row r="1991" ht="15.75" customHeight="1">
      <c r="A1991" s="9"/>
      <c r="B1991" s="9"/>
      <c r="C1991" s="9"/>
      <c r="D1991" s="9"/>
      <c r="E1991" s="57"/>
      <c r="F1991" s="58"/>
      <c r="G1991" s="58"/>
      <c r="H1991" s="57"/>
      <c r="I1991" s="57"/>
      <c r="J1991" s="57"/>
      <c r="K1991" s="57"/>
      <c r="L1991" s="57"/>
      <c r="M1991" s="59"/>
      <c r="N1991" s="60"/>
      <c r="O1991" s="23"/>
      <c r="P1991" s="23"/>
      <c r="Q1991" s="9"/>
      <c r="R1991" s="9"/>
      <c r="S1991" s="9"/>
      <c r="T1991" s="9"/>
      <c r="U1991" s="9"/>
      <c r="V1991" s="9"/>
      <c r="W1991" s="9"/>
      <c r="X1991" s="9"/>
      <c r="Y1991" s="9"/>
      <c r="Z1991" s="9"/>
      <c r="AA1991" s="9"/>
      <c r="AB1991" s="9"/>
      <c r="AC1991" s="9"/>
      <c r="AD1991" s="25"/>
      <c r="AE1991" s="25"/>
      <c r="AF1991" s="9"/>
      <c r="AG1991" s="9"/>
      <c r="AH1991" s="9"/>
      <c r="AI1991" s="9"/>
    </row>
    <row r="1992" ht="15.75" customHeight="1">
      <c r="A1992" s="9"/>
      <c r="B1992" s="9"/>
      <c r="C1992" s="9"/>
      <c r="D1992" s="9"/>
      <c r="E1992" s="57"/>
      <c r="F1992" s="58"/>
      <c r="G1992" s="58"/>
      <c r="H1992" s="57"/>
      <c r="I1992" s="57"/>
      <c r="J1992" s="57"/>
      <c r="K1992" s="57"/>
      <c r="L1992" s="57"/>
      <c r="M1992" s="59"/>
      <c r="N1992" s="60"/>
      <c r="O1992" s="23"/>
      <c r="P1992" s="23"/>
      <c r="Q1992" s="9"/>
      <c r="R1992" s="9"/>
      <c r="S1992" s="9"/>
      <c r="T1992" s="9"/>
      <c r="U1992" s="9"/>
      <c r="V1992" s="9"/>
      <c r="W1992" s="9"/>
      <c r="X1992" s="9"/>
      <c r="Y1992" s="9"/>
      <c r="Z1992" s="9"/>
      <c r="AA1992" s="9"/>
      <c r="AB1992" s="9"/>
      <c r="AC1992" s="9"/>
      <c r="AD1992" s="25"/>
      <c r="AE1992" s="25"/>
      <c r="AF1992" s="9"/>
      <c r="AG1992" s="9"/>
      <c r="AH1992" s="9"/>
      <c r="AI1992" s="9"/>
    </row>
    <row r="1993" ht="15.75" customHeight="1">
      <c r="A1993" s="9"/>
      <c r="B1993" s="9"/>
      <c r="C1993" s="9"/>
      <c r="D1993" s="9"/>
      <c r="E1993" s="57"/>
      <c r="F1993" s="58"/>
      <c r="G1993" s="58"/>
      <c r="H1993" s="57"/>
      <c r="I1993" s="57"/>
      <c r="J1993" s="57"/>
      <c r="K1993" s="57"/>
      <c r="L1993" s="57"/>
      <c r="M1993" s="59"/>
      <c r="N1993" s="60"/>
      <c r="O1993" s="23"/>
      <c r="P1993" s="23"/>
      <c r="Q1993" s="9"/>
      <c r="R1993" s="9"/>
      <c r="S1993" s="9"/>
      <c r="T1993" s="9"/>
      <c r="U1993" s="9"/>
      <c r="V1993" s="9"/>
      <c r="W1993" s="9"/>
      <c r="X1993" s="9"/>
      <c r="Y1993" s="9"/>
      <c r="Z1993" s="9"/>
      <c r="AA1993" s="9"/>
      <c r="AB1993" s="9"/>
      <c r="AC1993" s="9"/>
      <c r="AD1993" s="25"/>
      <c r="AE1993" s="25"/>
      <c r="AF1993" s="9"/>
      <c r="AG1993" s="9"/>
      <c r="AH1993" s="9"/>
      <c r="AI1993" s="9"/>
    </row>
    <row r="1994" ht="15.75" customHeight="1">
      <c r="A1994" s="9"/>
      <c r="B1994" s="9"/>
      <c r="C1994" s="9"/>
      <c r="D1994" s="9"/>
      <c r="E1994" s="57"/>
      <c r="F1994" s="58"/>
      <c r="G1994" s="58"/>
      <c r="H1994" s="57"/>
      <c r="I1994" s="57"/>
      <c r="J1994" s="57"/>
      <c r="K1994" s="57"/>
      <c r="L1994" s="57"/>
      <c r="M1994" s="59"/>
      <c r="N1994" s="60"/>
      <c r="O1994" s="23"/>
      <c r="P1994" s="23"/>
      <c r="Q1994" s="9"/>
      <c r="R1994" s="9"/>
      <c r="S1994" s="9"/>
      <c r="T1994" s="9"/>
      <c r="U1994" s="9"/>
      <c r="V1994" s="9"/>
      <c r="W1994" s="9"/>
      <c r="X1994" s="9"/>
      <c r="Y1994" s="9"/>
      <c r="Z1994" s="9"/>
      <c r="AA1994" s="9"/>
      <c r="AB1994" s="9"/>
      <c r="AC1994" s="9"/>
      <c r="AD1994" s="25"/>
      <c r="AE1994" s="25"/>
      <c r="AF1994" s="9"/>
      <c r="AG1994" s="9"/>
      <c r="AH1994" s="9"/>
      <c r="AI1994" s="9"/>
    </row>
    <row r="1995" ht="15.75" customHeight="1">
      <c r="A1995" s="9"/>
      <c r="B1995" s="9"/>
      <c r="C1995" s="9"/>
      <c r="D1995" s="9"/>
      <c r="E1995" s="57"/>
      <c r="F1995" s="58"/>
      <c r="G1995" s="58"/>
      <c r="H1995" s="57"/>
      <c r="I1995" s="57"/>
      <c r="J1995" s="57"/>
      <c r="K1995" s="57"/>
      <c r="L1995" s="72"/>
      <c r="M1995" s="62"/>
      <c r="N1995" s="60"/>
      <c r="O1995" s="23"/>
      <c r="P1995" s="23"/>
      <c r="Q1995" s="9"/>
      <c r="R1995" s="9"/>
      <c r="S1995" s="9"/>
      <c r="T1995" s="9"/>
      <c r="U1995" s="9"/>
      <c r="V1995" s="9"/>
      <c r="W1995" s="9"/>
      <c r="X1995" s="9"/>
      <c r="Y1995" s="9"/>
      <c r="Z1995" s="9"/>
      <c r="AA1995" s="9"/>
      <c r="AB1995" s="9"/>
      <c r="AC1995" s="9"/>
      <c r="AD1995" s="25"/>
      <c r="AE1995" s="25"/>
      <c r="AF1995" s="9"/>
      <c r="AG1995" s="9"/>
      <c r="AH1995" s="9"/>
      <c r="AI1995" s="9"/>
    </row>
    <row r="1996" ht="15.75" customHeight="1">
      <c r="A1996" s="9"/>
      <c r="B1996" s="9"/>
      <c r="C1996" s="9"/>
      <c r="D1996" s="9"/>
      <c r="E1996" s="57"/>
      <c r="F1996" s="58"/>
      <c r="G1996" s="58"/>
      <c r="H1996" s="57"/>
      <c r="I1996" s="57"/>
      <c r="J1996" s="57"/>
      <c r="K1996" s="57"/>
      <c r="L1996" s="57"/>
      <c r="M1996" s="59"/>
      <c r="N1996" s="60"/>
      <c r="O1996" s="23"/>
      <c r="P1996" s="23"/>
      <c r="Q1996" s="9"/>
      <c r="R1996" s="9"/>
      <c r="S1996" s="9"/>
      <c r="T1996" s="9"/>
      <c r="U1996" s="9"/>
      <c r="V1996" s="9"/>
      <c r="W1996" s="9"/>
      <c r="X1996" s="9"/>
      <c r="Y1996" s="9"/>
      <c r="Z1996" s="9"/>
      <c r="AA1996" s="9"/>
      <c r="AB1996" s="9"/>
      <c r="AC1996" s="9"/>
      <c r="AD1996" s="25"/>
      <c r="AE1996" s="25"/>
      <c r="AF1996" s="9"/>
      <c r="AG1996" s="9"/>
      <c r="AH1996" s="9"/>
      <c r="AI1996" s="9"/>
    </row>
    <row r="1997" ht="15.75" customHeight="1">
      <c r="A1997" s="9"/>
      <c r="B1997" s="9"/>
      <c r="C1997" s="9"/>
      <c r="D1997" s="9"/>
      <c r="E1997" s="57"/>
      <c r="F1997" s="58"/>
      <c r="G1997" s="58"/>
      <c r="H1997" s="57"/>
      <c r="I1997" s="57"/>
      <c r="J1997" s="57"/>
      <c r="K1997" s="57"/>
      <c r="L1997" s="57"/>
      <c r="M1997" s="59"/>
      <c r="N1997" s="60"/>
      <c r="O1997" s="23"/>
      <c r="P1997" s="23"/>
      <c r="Q1997" s="9"/>
      <c r="R1997" s="9"/>
      <c r="S1997" s="9"/>
      <c r="T1997" s="9"/>
      <c r="U1997" s="9"/>
      <c r="V1997" s="9"/>
      <c r="W1997" s="9"/>
      <c r="X1997" s="9"/>
      <c r="Y1997" s="9"/>
      <c r="Z1997" s="9"/>
      <c r="AA1997" s="9"/>
      <c r="AB1997" s="9"/>
      <c r="AC1997" s="9"/>
      <c r="AD1997" s="25"/>
      <c r="AE1997" s="25"/>
      <c r="AF1997" s="9"/>
      <c r="AG1997" s="9"/>
      <c r="AH1997" s="9"/>
      <c r="AI1997" s="9"/>
    </row>
    <row r="1998" ht="15.75" customHeight="1">
      <c r="A1998" s="9"/>
      <c r="B1998" s="9"/>
      <c r="C1998" s="9"/>
      <c r="D1998" s="9"/>
      <c r="E1998" s="57"/>
      <c r="F1998" s="58"/>
      <c r="G1998" s="58"/>
      <c r="H1998" s="57"/>
      <c r="I1998" s="57"/>
      <c r="J1998" s="57"/>
      <c r="K1998" s="57"/>
      <c r="L1998" s="57"/>
      <c r="M1998" s="59"/>
      <c r="N1998" s="60"/>
      <c r="O1998" s="23"/>
      <c r="P1998" s="23"/>
      <c r="Q1998" s="9"/>
      <c r="R1998" s="9"/>
      <c r="S1998" s="9"/>
      <c r="T1998" s="9"/>
      <c r="U1998" s="9"/>
      <c r="V1998" s="9"/>
      <c r="W1998" s="9"/>
      <c r="X1998" s="9"/>
      <c r="Y1998" s="9"/>
      <c r="Z1998" s="9"/>
      <c r="AA1998" s="9"/>
      <c r="AB1998" s="9"/>
      <c r="AC1998" s="9"/>
      <c r="AD1998" s="25"/>
      <c r="AE1998" s="25"/>
      <c r="AF1998" s="9"/>
      <c r="AG1998" s="9"/>
      <c r="AH1998" s="9"/>
      <c r="AI1998" s="9"/>
    </row>
    <row r="1999" ht="15.75" customHeight="1">
      <c r="A1999" s="9"/>
      <c r="B1999" s="9"/>
      <c r="C1999" s="9"/>
      <c r="D1999" s="9"/>
      <c r="E1999" s="57"/>
      <c r="F1999" s="58"/>
      <c r="G1999" s="58"/>
      <c r="H1999" s="57"/>
      <c r="I1999" s="57"/>
      <c r="J1999" s="57"/>
      <c r="K1999" s="57"/>
      <c r="L1999" s="57"/>
      <c r="M1999" s="59"/>
      <c r="N1999" s="60"/>
      <c r="O1999" s="23"/>
      <c r="P1999" s="23"/>
      <c r="Q1999" s="9"/>
      <c r="R1999" s="9"/>
      <c r="S1999" s="9"/>
      <c r="T1999" s="9"/>
      <c r="U1999" s="9"/>
      <c r="V1999" s="9"/>
      <c r="W1999" s="9"/>
      <c r="X1999" s="9"/>
      <c r="Y1999" s="9"/>
      <c r="Z1999" s="9"/>
      <c r="AA1999" s="9"/>
      <c r="AB1999" s="9"/>
      <c r="AC1999" s="9"/>
      <c r="AD1999" s="25"/>
      <c r="AE1999" s="25"/>
      <c r="AF1999" s="9"/>
      <c r="AG1999" s="9"/>
      <c r="AH1999" s="9"/>
      <c r="AI1999" s="9"/>
    </row>
    <row r="2000" ht="15.75" customHeight="1">
      <c r="A2000" s="9"/>
      <c r="B2000" s="9"/>
      <c r="C2000" s="9"/>
      <c r="D2000" s="9"/>
      <c r="E2000" s="57"/>
      <c r="F2000" s="58"/>
      <c r="G2000" s="58"/>
      <c r="H2000" s="57"/>
      <c r="I2000" s="57"/>
      <c r="J2000" s="57"/>
      <c r="K2000" s="57"/>
      <c r="L2000" s="57"/>
      <c r="M2000" s="59"/>
      <c r="N2000" s="60"/>
      <c r="O2000" s="23"/>
      <c r="P2000" s="23"/>
      <c r="Q2000" s="9"/>
      <c r="R2000" s="9"/>
      <c r="S2000" s="9"/>
      <c r="T2000" s="9"/>
      <c r="U2000" s="9"/>
      <c r="V2000" s="9"/>
      <c r="W2000" s="9"/>
      <c r="X2000" s="9"/>
      <c r="Y2000" s="9"/>
      <c r="Z2000" s="9"/>
      <c r="AA2000" s="9"/>
      <c r="AB2000" s="9"/>
      <c r="AC2000" s="9"/>
      <c r="AD2000" s="25"/>
      <c r="AE2000" s="25"/>
      <c r="AF2000" s="9"/>
      <c r="AG2000" s="9"/>
      <c r="AH2000" s="9"/>
      <c r="AI2000" s="9"/>
    </row>
    <row r="2001" ht="15.75" customHeight="1">
      <c r="A2001" s="9"/>
      <c r="B2001" s="9"/>
      <c r="C2001" s="9"/>
      <c r="D2001" s="9"/>
      <c r="E2001" s="57"/>
      <c r="F2001" s="58"/>
      <c r="G2001" s="58"/>
      <c r="H2001" s="57"/>
      <c r="I2001" s="57"/>
      <c r="J2001" s="57"/>
      <c r="K2001" s="57"/>
      <c r="L2001" s="57"/>
      <c r="M2001" s="59"/>
      <c r="N2001" s="60"/>
      <c r="O2001" s="23"/>
      <c r="P2001" s="23"/>
      <c r="Q2001" s="9"/>
      <c r="R2001" s="9"/>
      <c r="S2001" s="9"/>
      <c r="T2001" s="9"/>
      <c r="U2001" s="9"/>
      <c r="V2001" s="9"/>
      <c r="W2001" s="9"/>
      <c r="X2001" s="9"/>
      <c r="Y2001" s="9"/>
      <c r="Z2001" s="9"/>
      <c r="AA2001" s="9"/>
      <c r="AB2001" s="9"/>
      <c r="AC2001" s="9"/>
      <c r="AD2001" s="25"/>
      <c r="AE2001" s="25"/>
      <c r="AF2001" s="9"/>
      <c r="AG2001" s="9"/>
      <c r="AH2001" s="9"/>
      <c r="AI2001" s="9"/>
    </row>
    <row r="2002" ht="15.75" customHeight="1">
      <c r="A2002" s="9"/>
      <c r="B2002" s="9"/>
      <c r="C2002" s="9"/>
      <c r="D2002" s="9"/>
      <c r="E2002" s="57"/>
      <c r="F2002" s="58"/>
      <c r="G2002" s="58"/>
      <c r="H2002" s="57"/>
      <c r="I2002" s="57"/>
      <c r="J2002" s="57"/>
      <c r="K2002" s="57"/>
      <c r="L2002" s="72"/>
      <c r="M2002" s="62"/>
      <c r="N2002" s="60"/>
      <c r="O2002" s="23"/>
      <c r="P2002" s="23"/>
      <c r="Q2002" s="9"/>
      <c r="R2002" s="9"/>
      <c r="S2002" s="9"/>
      <c r="T2002" s="9"/>
      <c r="U2002" s="9"/>
      <c r="V2002" s="9"/>
      <c r="W2002" s="9"/>
      <c r="X2002" s="9"/>
      <c r="Y2002" s="9"/>
      <c r="Z2002" s="9"/>
      <c r="AA2002" s="9"/>
      <c r="AB2002" s="9"/>
      <c r="AC2002" s="9"/>
      <c r="AD2002" s="25"/>
      <c r="AE2002" s="25"/>
      <c r="AF2002" s="9"/>
      <c r="AG2002" s="9"/>
      <c r="AH2002" s="9"/>
      <c r="AI2002" s="9"/>
    </row>
    <row r="2003" ht="15.75" customHeight="1">
      <c r="A2003" s="9"/>
      <c r="B2003" s="9"/>
      <c r="C2003" s="9"/>
      <c r="D2003" s="9"/>
      <c r="E2003" s="57"/>
      <c r="F2003" s="58"/>
      <c r="G2003" s="58"/>
      <c r="H2003" s="57"/>
      <c r="I2003" s="57"/>
      <c r="J2003" s="57"/>
      <c r="K2003" s="57"/>
      <c r="L2003" s="72"/>
      <c r="M2003" s="62"/>
      <c r="N2003" s="60"/>
      <c r="O2003" s="23"/>
      <c r="P2003" s="23"/>
      <c r="Q2003" s="9"/>
      <c r="R2003" s="9"/>
      <c r="S2003" s="9"/>
      <c r="T2003" s="9"/>
      <c r="U2003" s="9"/>
      <c r="V2003" s="9"/>
      <c r="W2003" s="9"/>
      <c r="X2003" s="9"/>
      <c r="Y2003" s="9"/>
      <c r="Z2003" s="9"/>
      <c r="AA2003" s="9"/>
      <c r="AB2003" s="9"/>
      <c r="AC2003" s="9"/>
      <c r="AD2003" s="25"/>
      <c r="AE2003" s="25"/>
      <c r="AF2003" s="9"/>
      <c r="AG2003" s="9"/>
      <c r="AH2003" s="9"/>
      <c r="AI2003" s="9"/>
    </row>
    <row r="2004" ht="15.75" customHeight="1">
      <c r="A2004" s="9"/>
      <c r="B2004" s="9"/>
      <c r="C2004" s="9"/>
      <c r="D2004" s="9"/>
      <c r="E2004" s="57"/>
      <c r="F2004" s="58"/>
      <c r="G2004" s="58"/>
      <c r="H2004" s="57"/>
      <c r="I2004" s="57"/>
      <c r="J2004" s="57"/>
      <c r="K2004" s="57"/>
      <c r="L2004" s="57"/>
      <c r="M2004" s="59"/>
      <c r="N2004" s="60"/>
      <c r="O2004" s="23"/>
      <c r="P2004" s="23"/>
      <c r="Q2004" s="9"/>
      <c r="R2004" s="9"/>
      <c r="S2004" s="9"/>
      <c r="T2004" s="9"/>
      <c r="U2004" s="9"/>
      <c r="V2004" s="9"/>
      <c r="W2004" s="9"/>
      <c r="X2004" s="9"/>
      <c r="Y2004" s="9"/>
      <c r="Z2004" s="9"/>
      <c r="AA2004" s="9"/>
      <c r="AB2004" s="9"/>
      <c r="AC2004" s="9"/>
      <c r="AD2004" s="25"/>
      <c r="AE2004" s="25"/>
      <c r="AF2004" s="9"/>
      <c r="AG2004" s="9"/>
      <c r="AH2004" s="9"/>
      <c r="AI2004" s="9"/>
    </row>
    <row r="2005" ht="15.75" customHeight="1">
      <c r="A2005" s="9"/>
      <c r="B2005" s="9"/>
      <c r="C2005" s="9"/>
      <c r="D2005" s="9"/>
      <c r="E2005" s="57"/>
      <c r="F2005" s="58"/>
      <c r="G2005" s="58"/>
      <c r="H2005" s="57"/>
      <c r="I2005" s="57"/>
      <c r="J2005" s="57"/>
      <c r="K2005" s="57"/>
      <c r="L2005" s="57"/>
      <c r="M2005" s="59"/>
      <c r="N2005" s="60"/>
      <c r="O2005" s="23"/>
      <c r="P2005" s="23"/>
      <c r="Q2005" s="9"/>
      <c r="R2005" s="9"/>
      <c r="S2005" s="9"/>
      <c r="T2005" s="9"/>
      <c r="U2005" s="9"/>
      <c r="V2005" s="9"/>
      <c r="W2005" s="9"/>
      <c r="X2005" s="9"/>
      <c r="Y2005" s="9"/>
      <c r="Z2005" s="9"/>
      <c r="AA2005" s="9"/>
      <c r="AB2005" s="9"/>
      <c r="AC2005" s="9"/>
      <c r="AD2005" s="25"/>
      <c r="AE2005" s="25"/>
      <c r="AF2005" s="9"/>
      <c r="AG2005" s="9"/>
      <c r="AH2005" s="9"/>
      <c r="AI2005" s="9"/>
    </row>
    <row r="2006" ht="15.75" customHeight="1">
      <c r="A2006" s="9"/>
      <c r="B2006" s="9"/>
      <c r="C2006" s="9"/>
      <c r="D2006" s="9"/>
      <c r="E2006" s="57"/>
      <c r="F2006" s="58"/>
      <c r="G2006" s="58"/>
      <c r="H2006" s="57"/>
      <c r="I2006" s="57"/>
      <c r="J2006" s="57"/>
      <c r="K2006" s="57"/>
      <c r="L2006" s="57"/>
      <c r="M2006" s="59"/>
      <c r="N2006" s="60"/>
      <c r="O2006" s="23"/>
      <c r="P2006" s="23"/>
      <c r="Q2006" s="9"/>
      <c r="R2006" s="9"/>
      <c r="S2006" s="9"/>
      <c r="T2006" s="9"/>
      <c r="U2006" s="9"/>
      <c r="V2006" s="9"/>
      <c r="W2006" s="9"/>
      <c r="X2006" s="9"/>
      <c r="Y2006" s="9"/>
      <c r="Z2006" s="9"/>
      <c r="AA2006" s="9"/>
      <c r="AB2006" s="9"/>
      <c r="AC2006" s="9"/>
      <c r="AD2006" s="25"/>
      <c r="AE2006" s="25"/>
      <c r="AF2006" s="9"/>
      <c r="AG2006" s="9"/>
      <c r="AH2006" s="9"/>
      <c r="AI2006" s="9"/>
    </row>
    <row r="2007" ht="15.75" customHeight="1">
      <c r="A2007" s="9"/>
      <c r="B2007" s="9"/>
      <c r="C2007" s="9"/>
      <c r="D2007" s="9"/>
      <c r="E2007" s="57"/>
      <c r="F2007" s="58"/>
      <c r="G2007" s="58"/>
      <c r="H2007" s="57"/>
      <c r="I2007" s="57"/>
      <c r="J2007" s="57"/>
      <c r="K2007" s="57"/>
      <c r="L2007" s="57"/>
      <c r="M2007" s="59"/>
      <c r="N2007" s="60"/>
      <c r="O2007" s="23"/>
      <c r="P2007" s="23"/>
      <c r="Q2007" s="9"/>
      <c r="R2007" s="9"/>
      <c r="S2007" s="9"/>
      <c r="T2007" s="9"/>
      <c r="U2007" s="9"/>
      <c r="V2007" s="9"/>
      <c r="W2007" s="9"/>
      <c r="X2007" s="9"/>
      <c r="Y2007" s="9"/>
      <c r="Z2007" s="9"/>
      <c r="AA2007" s="9"/>
      <c r="AB2007" s="9"/>
      <c r="AC2007" s="9"/>
      <c r="AD2007" s="25"/>
      <c r="AE2007" s="25"/>
      <c r="AF2007" s="9"/>
      <c r="AG2007" s="9"/>
      <c r="AH2007" s="9"/>
      <c r="AI2007" s="9"/>
    </row>
    <row r="2008" ht="15.75" customHeight="1">
      <c r="A2008" s="9"/>
      <c r="B2008" s="9"/>
      <c r="C2008" s="9"/>
      <c r="D2008" s="9"/>
      <c r="E2008" s="57"/>
      <c r="F2008" s="58"/>
      <c r="G2008" s="58"/>
      <c r="H2008" s="57"/>
      <c r="I2008" s="57"/>
      <c r="J2008" s="57"/>
      <c r="K2008" s="57"/>
      <c r="L2008" s="72"/>
      <c r="M2008" s="62"/>
      <c r="N2008" s="60"/>
      <c r="O2008" s="23"/>
      <c r="P2008" s="23"/>
      <c r="Q2008" s="9"/>
      <c r="R2008" s="9"/>
      <c r="S2008" s="9"/>
      <c r="T2008" s="9"/>
      <c r="U2008" s="9"/>
      <c r="V2008" s="9"/>
      <c r="W2008" s="9"/>
      <c r="X2008" s="9"/>
      <c r="Y2008" s="9"/>
      <c r="Z2008" s="9"/>
      <c r="AA2008" s="9"/>
      <c r="AB2008" s="9"/>
      <c r="AC2008" s="9"/>
      <c r="AD2008" s="25"/>
      <c r="AE2008" s="25"/>
      <c r="AF2008" s="9"/>
      <c r="AG2008" s="9"/>
      <c r="AH2008" s="9"/>
      <c r="AI2008" s="9"/>
    </row>
    <row r="2009" ht="15.75" customHeight="1">
      <c r="A2009" s="9"/>
      <c r="B2009" s="9"/>
      <c r="C2009" s="9"/>
      <c r="D2009" s="9"/>
      <c r="E2009" s="57"/>
      <c r="F2009" s="58"/>
      <c r="G2009" s="58"/>
      <c r="H2009" s="57"/>
      <c r="I2009" s="57"/>
      <c r="J2009" s="57"/>
      <c r="K2009" s="57"/>
      <c r="L2009" s="57"/>
      <c r="M2009" s="59"/>
      <c r="N2009" s="60"/>
      <c r="O2009" s="23"/>
      <c r="P2009" s="23"/>
      <c r="Q2009" s="9"/>
      <c r="R2009" s="9"/>
      <c r="S2009" s="9"/>
      <c r="T2009" s="9"/>
      <c r="U2009" s="9"/>
      <c r="V2009" s="9"/>
      <c r="W2009" s="9"/>
      <c r="X2009" s="9"/>
      <c r="Y2009" s="9"/>
      <c r="Z2009" s="9"/>
      <c r="AA2009" s="9"/>
      <c r="AB2009" s="9"/>
      <c r="AC2009" s="9"/>
      <c r="AD2009" s="25"/>
      <c r="AE2009" s="25"/>
      <c r="AF2009" s="9"/>
      <c r="AG2009" s="9"/>
      <c r="AH2009" s="9"/>
      <c r="AI2009" s="9"/>
    </row>
    <row r="2010" ht="15.75" customHeight="1">
      <c r="A2010" s="9"/>
      <c r="B2010" s="9"/>
      <c r="C2010" s="9"/>
      <c r="D2010" s="9"/>
      <c r="E2010" s="57"/>
      <c r="F2010" s="58"/>
      <c r="G2010" s="58"/>
      <c r="H2010" s="57"/>
      <c r="I2010" s="57"/>
      <c r="J2010" s="57"/>
      <c r="K2010" s="57"/>
      <c r="L2010" s="57"/>
      <c r="M2010" s="59"/>
      <c r="N2010" s="60"/>
      <c r="O2010" s="23"/>
      <c r="P2010" s="23"/>
      <c r="Q2010" s="9"/>
      <c r="R2010" s="9"/>
      <c r="S2010" s="9"/>
      <c r="T2010" s="9"/>
      <c r="U2010" s="9"/>
      <c r="V2010" s="9"/>
      <c r="W2010" s="9"/>
      <c r="X2010" s="9"/>
      <c r="Y2010" s="9"/>
      <c r="Z2010" s="9"/>
      <c r="AA2010" s="9"/>
      <c r="AB2010" s="9"/>
      <c r="AC2010" s="9"/>
      <c r="AD2010" s="25"/>
      <c r="AE2010" s="25"/>
      <c r="AF2010" s="9"/>
      <c r="AG2010" s="9"/>
      <c r="AH2010" s="9"/>
      <c r="AI2010" s="9"/>
    </row>
    <row r="2011" ht="15.75" customHeight="1">
      <c r="A2011" s="9"/>
      <c r="B2011" s="9"/>
      <c r="C2011" s="9"/>
      <c r="D2011" s="9"/>
      <c r="E2011" s="57"/>
      <c r="F2011" s="58"/>
      <c r="G2011" s="58"/>
      <c r="H2011" s="57"/>
      <c r="I2011" s="57"/>
      <c r="J2011" s="57"/>
      <c r="K2011" s="57"/>
      <c r="L2011" s="57"/>
      <c r="M2011" s="59"/>
      <c r="N2011" s="60"/>
      <c r="O2011" s="23"/>
      <c r="P2011" s="23"/>
      <c r="Q2011" s="9"/>
      <c r="R2011" s="9"/>
      <c r="S2011" s="9"/>
      <c r="T2011" s="9"/>
      <c r="U2011" s="9"/>
      <c r="V2011" s="9"/>
      <c r="W2011" s="9"/>
      <c r="X2011" s="9"/>
      <c r="Y2011" s="9"/>
      <c r="Z2011" s="9"/>
      <c r="AA2011" s="9"/>
      <c r="AB2011" s="9"/>
      <c r="AC2011" s="9"/>
      <c r="AD2011" s="25"/>
      <c r="AE2011" s="25"/>
      <c r="AF2011" s="9"/>
      <c r="AG2011" s="9"/>
      <c r="AH2011" s="9"/>
      <c r="AI2011" s="9"/>
    </row>
    <row r="2012" ht="15.75" customHeight="1">
      <c r="A2012" s="9"/>
      <c r="B2012" s="9"/>
      <c r="C2012" s="9"/>
      <c r="D2012" s="9"/>
      <c r="E2012" s="57"/>
      <c r="F2012" s="58"/>
      <c r="G2012" s="58"/>
      <c r="H2012" s="57"/>
      <c r="I2012" s="57"/>
      <c r="J2012" s="57"/>
      <c r="K2012" s="57"/>
      <c r="L2012" s="57"/>
      <c r="M2012" s="59"/>
      <c r="N2012" s="60"/>
      <c r="O2012" s="23"/>
      <c r="P2012" s="23"/>
      <c r="Q2012" s="9"/>
      <c r="R2012" s="9"/>
      <c r="S2012" s="9"/>
      <c r="T2012" s="9"/>
      <c r="U2012" s="9"/>
      <c r="V2012" s="9"/>
      <c r="W2012" s="9"/>
      <c r="X2012" s="9"/>
      <c r="Y2012" s="9"/>
      <c r="Z2012" s="9"/>
      <c r="AA2012" s="9"/>
      <c r="AB2012" s="9"/>
      <c r="AC2012" s="9"/>
      <c r="AD2012" s="25"/>
      <c r="AE2012" s="25"/>
      <c r="AF2012" s="9"/>
      <c r="AG2012" s="9"/>
      <c r="AH2012" s="9"/>
      <c r="AI2012" s="9"/>
    </row>
    <row r="2013" ht="15.75" customHeight="1">
      <c r="A2013" s="9"/>
      <c r="B2013" s="9"/>
      <c r="C2013" s="9"/>
      <c r="D2013" s="9"/>
      <c r="E2013" s="57"/>
      <c r="F2013" s="58"/>
      <c r="G2013" s="58"/>
      <c r="H2013" s="57"/>
      <c r="I2013" s="57"/>
      <c r="J2013" s="57"/>
      <c r="K2013" s="57"/>
      <c r="L2013" s="72"/>
      <c r="M2013" s="62"/>
      <c r="N2013" s="60"/>
      <c r="O2013" s="23"/>
      <c r="P2013" s="23"/>
      <c r="Q2013" s="9"/>
      <c r="R2013" s="9"/>
      <c r="S2013" s="9"/>
      <c r="T2013" s="9"/>
      <c r="U2013" s="9"/>
      <c r="V2013" s="9"/>
      <c r="W2013" s="9"/>
      <c r="X2013" s="9"/>
      <c r="Y2013" s="9"/>
      <c r="Z2013" s="9"/>
      <c r="AA2013" s="9"/>
      <c r="AB2013" s="9"/>
      <c r="AC2013" s="9"/>
      <c r="AD2013" s="25"/>
      <c r="AE2013" s="25"/>
      <c r="AF2013" s="9"/>
      <c r="AG2013" s="9"/>
      <c r="AH2013" s="9"/>
      <c r="AI2013" s="9"/>
    </row>
    <row r="2014" ht="15.75" customHeight="1">
      <c r="A2014" s="9"/>
      <c r="B2014" s="9"/>
      <c r="C2014" s="9"/>
      <c r="D2014" s="9"/>
      <c r="E2014" s="57"/>
      <c r="F2014" s="58"/>
      <c r="G2014" s="58"/>
      <c r="H2014" s="57"/>
      <c r="I2014" s="57"/>
      <c r="J2014" s="57"/>
      <c r="K2014" s="57"/>
      <c r="L2014" s="57"/>
      <c r="M2014" s="59"/>
      <c r="N2014" s="60"/>
      <c r="O2014" s="23"/>
      <c r="P2014" s="23"/>
      <c r="Q2014" s="9"/>
      <c r="R2014" s="9"/>
      <c r="S2014" s="9"/>
      <c r="T2014" s="9"/>
      <c r="U2014" s="9"/>
      <c r="V2014" s="9"/>
      <c r="W2014" s="9"/>
      <c r="X2014" s="9"/>
      <c r="Y2014" s="9"/>
      <c r="Z2014" s="9"/>
      <c r="AA2014" s="9"/>
      <c r="AB2014" s="9"/>
      <c r="AC2014" s="9"/>
      <c r="AD2014" s="25"/>
      <c r="AE2014" s="25"/>
      <c r="AF2014" s="9"/>
      <c r="AG2014" s="9"/>
      <c r="AH2014" s="9"/>
      <c r="AI2014" s="9"/>
    </row>
    <row r="2015" ht="15.75" customHeight="1">
      <c r="A2015" s="9"/>
      <c r="B2015" s="9"/>
      <c r="C2015" s="9"/>
      <c r="D2015" s="9"/>
      <c r="E2015" s="57"/>
      <c r="F2015" s="58"/>
      <c r="G2015" s="58"/>
      <c r="H2015" s="57"/>
      <c r="I2015" s="57"/>
      <c r="J2015" s="57"/>
      <c r="K2015" s="57"/>
      <c r="L2015" s="57"/>
      <c r="M2015" s="59"/>
      <c r="N2015" s="60"/>
      <c r="O2015" s="23"/>
      <c r="P2015" s="23"/>
      <c r="Q2015" s="9"/>
      <c r="R2015" s="9"/>
      <c r="S2015" s="9"/>
      <c r="T2015" s="9"/>
      <c r="U2015" s="9"/>
      <c r="V2015" s="9"/>
      <c r="W2015" s="9"/>
      <c r="X2015" s="9"/>
      <c r="Y2015" s="9"/>
      <c r="Z2015" s="9"/>
      <c r="AA2015" s="9"/>
      <c r="AB2015" s="9"/>
      <c r="AC2015" s="9"/>
      <c r="AD2015" s="25"/>
      <c r="AE2015" s="25"/>
      <c r="AF2015" s="9"/>
      <c r="AG2015" s="9"/>
      <c r="AH2015" s="9"/>
      <c r="AI2015" s="9"/>
    </row>
    <row r="2016" ht="15.75" customHeight="1">
      <c r="A2016" s="9"/>
      <c r="B2016" s="9"/>
      <c r="C2016" s="9"/>
      <c r="D2016" s="9"/>
      <c r="E2016" s="57"/>
      <c r="F2016" s="58"/>
      <c r="G2016" s="58"/>
      <c r="H2016" s="57"/>
      <c r="I2016" s="57"/>
      <c r="J2016" s="57"/>
      <c r="K2016" s="57"/>
      <c r="L2016" s="57"/>
      <c r="M2016" s="59"/>
      <c r="N2016" s="60"/>
      <c r="O2016" s="23"/>
      <c r="P2016" s="23"/>
      <c r="Q2016" s="9"/>
      <c r="R2016" s="9"/>
      <c r="S2016" s="9"/>
      <c r="T2016" s="9"/>
      <c r="U2016" s="9"/>
      <c r="V2016" s="9"/>
      <c r="W2016" s="9"/>
      <c r="X2016" s="9"/>
      <c r="Y2016" s="9"/>
      <c r="Z2016" s="9"/>
      <c r="AA2016" s="9"/>
      <c r="AB2016" s="9"/>
      <c r="AC2016" s="9"/>
      <c r="AD2016" s="25"/>
      <c r="AE2016" s="25"/>
      <c r="AF2016" s="9"/>
      <c r="AG2016" s="9"/>
      <c r="AH2016" s="9"/>
      <c r="AI2016" s="9"/>
    </row>
    <row r="2017" ht="15.75" customHeight="1">
      <c r="A2017" s="9"/>
      <c r="B2017" s="9"/>
      <c r="C2017" s="9"/>
      <c r="D2017" s="9"/>
      <c r="E2017" s="57"/>
      <c r="F2017" s="58"/>
      <c r="G2017" s="58"/>
      <c r="H2017" s="57"/>
      <c r="I2017" s="57"/>
      <c r="J2017" s="57"/>
      <c r="K2017" s="57"/>
      <c r="L2017" s="57"/>
      <c r="M2017" s="59"/>
      <c r="N2017" s="60"/>
      <c r="O2017" s="23"/>
      <c r="P2017" s="23"/>
      <c r="Q2017" s="9"/>
      <c r="R2017" s="9"/>
      <c r="S2017" s="9"/>
      <c r="T2017" s="9"/>
      <c r="U2017" s="9"/>
      <c r="V2017" s="9"/>
      <c r="W2017" s="9"/>
      <c r="X2017" s="9"/>
      <c r="Y2017" s="9"/>
      <c r="Z2017" s="9"/>
      <c r="AA2017" s="9"/>
      <c r="AB2017" s="9"/>
      <c r="AC2017" s="9"/>
      <c r="AD2017" s="25"/>
      <c r="AE2017" s="25"/>
      <c r="AF2017" s="9"/>
      <c r="AG2017" s="9"/>
      <c r="AH2017" s="9"/>
      <c r="AI2017" s="9"/>
    </row>
    <row r="2018" ht="15.75" customHeight="1">
      <c r="A2018" s="9"/>
      <c r="B2018" s="9"/>
      <c r="C2018" s="9"/>
      <c r="D2018" s="9"/>
      <c r="E2018" s="57"/>
      <c r="F2018" s="58"/>
      <c r="G2018" s="58"/>
      <c r="H2018" s="57"/>
      <c r="I2018" s="57"/>
      <c r="J2018" s="57"/>
      <c r="K2018" s="57"/>
      <c r="L2018" s="72"/>
      <c r="M2018" s="62"/>
      <c r="N2018" s="60"/>
      <c r="O2018" s="23"/>
      <c r="P2018" s="23"/>
      <c r="Q2018" s="9"/>
      <c r="R2018" s="9"/>
      <c r="S2018" s="9"/>
      <c r="T2018" s="9"/>
      <c r="U2018" s="9"/>
      <c r="V2018" s="9"/>
      <c r="W2018" s="9"/>
      <c r="X2018" s="9"/>
      <c r="Y2018" s="9"/>
      <c r="Z2018" s="9"/>
      <c r="AA2018" s="9"/>
      <c r="AB2018" s="9"/>
      <c r="AC2018" s="9"/>
      <c r="AD2018" s="25"/>
      <c r="AE2018" s="25"/>
      <c r="AF2018" s="9"/>
      <c r="AG2018" s="9"/>
      <c r="AH2018" s="9"/>
      <c r="AI2018" s="9"/>
    </row>
    <row r="2019" ht="15.75" customHeight="1">
      <c r="A2019" s="9"/>
      <c r="B2019" s="9"/>
      <c r="C2019" s="9"/>
      <c r="D2019" s="9"/>
      <c r="E2019" s="57"/>
      <c r="F2019" s="58"/>
      <c r="G2019" s="58"/>
      <c r="H2019" s="57"/>
      <c r="I2019" s="57"/>
      <c r="J2019" s="57"/>
      <c r="K2019" s="57"/>
      <c r="L2019" s="57"/>
      <c r="M2019" s="59"/>
      <c r="N2019" s="60"/>
      <c r="O2019" s="23"/>
      <c r="P2019" s="23"/>
      <c r="Q2019" s="9"/>
      <c r="R2019" s="9"/>
      <c r="S2019" s="9"/>
      <c r="T2019" s="9"/>
      <c r="U2019" s="9"/>
      <c r="V2019" s="9"/>
      <c r="W2019" s="9"/>
      <c r="X2019" s="9"/>
      <c r="Y2019" s="9"/>
      <c r="Z2019" s="9"/>
      <c r="AA2019" s="9"/>
      <c r="AB2019" s="9"/>
      <c r="AC2019" s="9"/>
      <c r="AD2019" s="25"/>
      <c r="AE2019" s="25"/>
      <c r="AF2019" s="9"/>
      <c r="AG2019" s="9"/>
      <c r="AH2019" s="9"/>
      <c r="AI2019" s="9"/>
    </row>
    <row r="2020" ht="15.75" customHeight="1">
      <c r="A2020" s="9"/>
      <c r="B2020" s="9"/>
      <c r="C2020" s="9"/>
      <c r="D2020" s="9"/>
      <c r="E2020" s="57"/>
      <c r="F2020" s="58"/>
      <c r="G2020" s="58"/>
      <c r="H2020" s="57"/>
      <c r="I2020" s="57"/>
      <c r="J2020" s="57"/>
      <c r="K2020" s="57"/>
      <c r="L2020" s="57"/>
      <c r="M2020" s="59"/>
      <c r="N2020" s="60"/>
      <c r="O2020" s="23"/>
      <c r="P2020" s="23"/>
      <c r="Q2020" s="9"/>
      <c r="R2020" s="9"/>
      <c r="S2020" s="9"/>
      <c r="T2020" s="9"/>
      <c r="U2020" s="9"/>
      <c r="V2020" s="9"/>
      <c r="W2020" s="9"/>
      <c r="X2020" s="9"/>
      <c r="Y2020" s="9"/>
      <c r="Z2020" s="9"/>
      <c r="AA2020" s="9"/>
      <c r="AB2020" s="9"/>
      <c r="AC2020" s="9"/>
      <c r="AD2020" s="25"/>
      <c r="AE2020" s="25"/>
      <c r="AF2020" s="9"/>
      <c r="AG2020" s="9"/>
      <c r="AH2020" s="9"/>
      <c r="AI2020" s="9"/>
    </row>
    <row r="2021" ht="15.75" customHeight="1">
      <c r="A2021" s="9"/>
      <c r="B2021" s="9"/>
      <c r="C2021" s="9"/>
      <c r="D2021" s="9"/>
      <c r="E2021" s="57"/>
      <c r="F2021" s="58"/>
      <c r="G2021" s="58"/>
      <c r="H2021" s="57"/>
      <c r="I2021" s="57"/>
      <c r="J2021" s="57"/>
      <c r="K2021" s="57"/>
      <c r="L2021" s="57"/>
      <c r="M2021" s="59"/>
      <c r="N2021" s="60"/>
      <c r="O2021" s="23"/>
      <c r="P2021" s="23"/>
      <c r="Q2021" s="9"/>
      <c r="R2021" s="9"/>
      <c r="S2021" s="9"/>
      <c r="T2021" s="9"/>
      <c r="U2021" s="9"/>
      <c r="V2021" s="9"/>
      <c r="W2021" s="9"/>
      <c r="X2021" s="9"/>
      <c r="Y2021" s="9"/>
      <c r="Z2021" s="9"/>
      <c r="AA2021" s="9"/>
      <c r="AB2021" s="9"/>
      <c r="AC2021" s="9"/>
      <c r="AD2021" s="25"/>
      <c r="AE2021" s="25"/>
      <c r="AF2021" s="9"/>
      <c r="AG2021" s="9"/>
      <c r="AH2021" s="9"/>
      <c r="AI2021" s="9"/>
    </row>
    <row r="2022" ht="15.75" customHeight="1">
      <c r="A2022" s="9"/>
      <c r="B2022" s="9"/>
      <c r="C2022" s="9"/>
      <c r="D2022" s="9"/>
      <c r="E2022" s="57"/>
      <c r="F2022" s="58"/>
      <c r="G2022" s="58"/>
      <c r="H2022" s="57"/>
      <c r="I2022" s="57"/>
      <c r="J2022" s="57"/>
      <c r="K2022" s="57"/>
      <c r="L2022" s="57"/>
      <c r="M2022" s="59"/>
      <c r="N2022" s="60"/>
      <c r="O2022" s="23"/>
      <c r="P2022" s="23"/>
      <c r="Q2022" s="9"/>
      <c r="R2022" s="9"/>
      <c r="S2022" s="9"/>
      <c r="T2022" s="9"/>
      <c r="U2022" s="9"/>
      <c r="V2022" s="9"/>
      <c r="W2022" s="9"/>
      <c r="X2022" s="9"/>
      <c r="Y2022" s="9"/>
      <c r="Z2022" s="9"/>
      <c r="AA2022" s="9"/>
      <c r="AB2022" s="9"/>
      <c r="AC2022" s="9"/>
      <c r="AD2022" s="25"/>
      <c r="AE2022" s="25"/>
      <c r="AF2022" s="9"/>
      <c r="AG2022" s="9"/>
      <c r="AH2022" s="9"/>
      <c r="AI2022" s="9"/>
    </row>
    <row r="2023" ht="15.75" customHeight="1">
      <c r="A2023" s="9"/>
      <c r="B2023" s="9"/>
      <c r="C2023" s="9"/>
      <c r="D2023" s="9"/>
      <c r="E2023" s="57"/>
      <c r="F2023" s="58"/>
      <c r="G2023" s="58"/>
      <c r="H2023" s="57"/>
      <c r="I2023" s="57"/>
      <c r="J2023" s="57"/>
      <c r="K2023" s="57"/>
      <c r="L2023" s="57"/>
      <c r="M2023" s="59"/>
      <c r="N2023" s="60"/>
      <c r="O2023" s="23"/>
      <c r="P2023" s="23"/>
      <c r="Q2023" s="9"/>
      <c r="R2023" s="9"/>
      <c r="S2023" s="9"/>
      <c r="T2023" s="9"/>
      <c r="U2023" s="9"/>
      <c r="V2023" s="9"/>
      <c r="W2023" s="9"/>
      <c r="X2023" s="9"/>
      <c r="Y2023" s="9"/>
      <c r="Z2023" s="9"/>
      <c r="AA2023" s="9"/>
      <c r="AB2023" s="9"/>
      <c r="AC2023" s="9"/>
      <c r="AD2023" s="25"/>
      <c r="AE2023" s="25"/>
      <c r="AF2023" s="9"/>
      <c r="AG2023" s="9"/>
      <c r="AH2023" s="9"/>
      <c r="AI2023" s="9"/>
    </row>
    <row r="2024" ht="15.75" customHeight="1">
      <c r="A2024" s="9"/>
      <c r="B2024" s="9"/>
      <c r="C2024" s="9"/>
      <c r="D2024" s="9"/>
      <c r="E2024" s="57"/>
      <c r="F2024" s="58"/>
      <c r="G2024" s="58"/>
      <c r="H2024" s="57"/>
      <c r="I2024" s="57"/>
      <c r="J2024" s="57"/>
      <c r="K2024" s="57"/>
      <c r="L2024" s="57"/>
      <c r="M2024" s="59"/>
      <c r="N2024" s="60"/>
      <c r="O2024" s="23"/>
      <c r="P2024" s="23"/>
      <c r="Q2024" s="9"/>
      <c r="R2024" s="9"/>
      <c r="S2024" s="9"/>
      <c r="T2024" s="9"/>
      <c r="U2024" s="9"/>
      <c r="V2024" s="9"/>
      <c r="W2024" s="9"/>
      <c r="X2024" s="9"/>
      <c r="Y2024" s="9"/>
      <c r="Z2024" s="9"/>
      <c r="AA2024" s="9"/>
      <c r="AB2024" s="9"/>
      <c r="AC2024" s="9"/>
      <c r="AD2024" s="25"/>
      <c r="AE2024" s="25"/>
      <c r="AF2024" s="9"/>
      <c r="AG2024" s="9"/>
      <c r="AH2024" s="9"/>
      <c r="AI2024" s="9"/>
    </row>
    <row r="2025" ht="15.75" customHeight="1">
      <c r="A2025" s="9"/>
      <c r="B2025" s="9"/>
      <c r="C2025" s="9"/>
      <c r="D2025" s="9"/>
      <c r="E2025" s="57"/>
      <c r="F2025" s="58"/>
      <c r="G2025" s="58"/>
      <c r="H2025" s="57"/>
      <c r="I2025" s="57"/>
      <c r="J2025" s="57"/>
      <c r="K2025" s="57"/>
      <c r="L2025" s="57"/>
      <c r="M2025" s="59"/>
      <c r="N2025" s="60"/>
      <c r="O2025" s="23"/>
      <c r="P2025" s="23"/>
      <c r="Q2025" s="9"/>
      <c r="R2025" s="9"/>
      <c r="S2025" s="9"/>
      <c r="T2025" s="9"/>
      <c r="U2025" s="9"/>
      <c r="V2025" s="9"/>
      <c r="W2025" s="9"/>
      <c r="X2025" s="9"/>
      <c r="Y2025" s="9"/>
      <c r="Z2025" s="9"/>
      <c r="AA2025" s="9"/>
      <c r="AB2025" s="9"/>
      <c r="AC2025" s="9"/>
      <c r="AD2025" s="25"/>
      <c r="AE2025" s="25"/>
      <c r="AF2025" s="9"/>
      <c r="AG2025" s="9"/>
      <c r="AH2025" s="9"/>
      <c r="AI2025" s="9"/>
    </row>
    <row r="2026" ht="15.75" customHeight="1">
      <c r="A2026" s="9"/>
      <c r="B2026" s="9"/>
      <c r="C2026" s="9"/>
      <c r="D2026" s="9"/>
      <c r="E2026" s="57"/>
      <c r="F2026" s="58"/>
      <c r="G2026" s="58"/>
      <c r="H2026" s="57"/>
      <c r="I2026" s="57"/>
      <c r="J2026" s="57"/>
      <c r="K2026" s="57"/>
      <c r="L2026" s="72"/>
      <c r="M2026" s="62"/>
      <c r="N2026" s="60"/>
      <c r="O2026" s="23"/>
      <c r="P2026" s="23"/>
      <c r="Q2026" s="9"/>
      <c r="R2026" s="9"/>
      <c r="S2026" s="9"/>
      <c r="T2026" s="9"/>
      <c r="U2026" s="9"/>
      <c r="V2026" s="9"/>
      <c r="W2026" s="9"/>
      <c r="X2026" s="9"/>
      <c r="Y2026" s="9"/>
      <c r="Z2026" s="9"/>
      <c r="AA2026" s="9"/>
      <c r="AB2026" s="9"/>
      <c r="AC2026" s="9"/>
      <c r="AD2026" s="25"/>
      <c r="AE2026" s="25"/>
      <c r="AF2026" s="9"/>
      <c r="AG2026" s="9"/>
      <c r="AH2026" s="9"/>
      <c r="AI2026" s="9"/>
    </row>
    <row r="2027" ht="15.75" customHeight="1">
      <c r="A2027" s="9"/>
      <c r="B2027" s="9"/>
      <c r="C2027" s="9"/>
      <c r="D2027" s="9"/>
      <c r="E2027" s="57"/>
      <c r="F2027" s="58"/>
      <c r="G2027" s="58"/>
      <c r="H2027" s="57"/>
      <c r="I2027" s="57"/>
      <c r="J2027" s="57"/>
      <c r="K2027" s="57"/>
      <c r="L2027" s="57"/>
      <c r="M2027" s="59"/>
      <c r="N2027" s="60"/>
      <c r="O2027" s="23"/>
      <c r="P2027" s="23"/>
      <c r="Q2027" s="9"/>
      <c r="R2027" s="9"/>
      <c r="S2027" s="9"/>
      <c r="T2027" s="9"/>
      <c r="U2027" s="9"/>
      <c r="V2027" s="9"/>
      <c r="W2027" s="9"/>
      <c r="X2027" s="9"/>
      <c r="Y2027" s="9"/>
      <c r="Z2027" s="9"/>
      <c r="AA2027" s="9"/>
      <c r="AB2027" s="9"/>
      <c r="AC2027" s="9"/>
      <c r="AD2027" s="25"/>
      <c r="AE2027" s="25"/>
      <c r="AF2027" s="9"/>
      <c r="AG2027" s="9"/>
      <c r="AH2027" s="9"/>
      <c r="AI2027" s="9"/>
    </row>
    <row r="2028" ht="15.75" customHeight="1">
      <c r="A2028" s="9"/>
      <c r="B2028" s="9"/>
      <c r="C2028" s="9"/>
      <c r="D2028" s="9"/>
      <c r="E2028" s="57"/>
      <c r="F2028" s="58"/>
      <c r="G2028" s="58"/>
      <c r="H2028" s="57"/>
      <c r="I2028" s="57"/>
      <c r="J2028" s="57"/>
      <c r="K2028" s="57"/>
      <c r="L2028" s="57"/>
      <c r="M2028" s="59"/>
      <c r="N2028" s="60"/>
      <c r="O2028" s="23"/>
      <c r="P2028" s="23"/>
      <c r="Q2028" s="9"/>
      <c r="R2028" s="9"/>
      <c r="S2028" s="9"/>
      <c r="T2028" s="9"/>
      <c r="U2028" s="9"/>
      <c r="V2028" s="9"/>
      <c r="W2028" s="9"/>
      <c r="X2028" s="9"/>
      <c r="Y2028" s="9"/>
      <c r="Z2028" s="9"/>
      <c r="AA2028" s="9"/>
      <c r="AB2028" s="9"/>
      <c r="AC2028" s="9"/>
      <c r="AD2028" s="25"/>
      <c r="AE2028" s="25"/>
      <c r="AF2028" s="9"/>
      <c r="AG2028" s="9"/>
      <c r="AH2028" s="9"/>
      <c r="AI2028" s="9"/>
    </row>
    <row r="2029" ht="15.75" customHeight="1">
      <c r="A2029" s="9"/>
      <c r="B2029" s="9"/>
      <c r="C2029" s="9"/>
      <c r="D2029" s="9"/>
      <c r="E2029" s="57"/>
      <c r="F2029" s="58"/>
      <c r="G2029" s="58"/>
      <c r="H2029" s="57"/>
      <c r="I2029" s="57"/>
      <c r="J2029" s="57"/>
      <c r="K2029" s="57"/>
      <c r="L2029" s="57"/>
      <c r="M2029" s="59"/>
      <c r="N2029" s="60"/>
      <c r="O2029" s="23"/>
      <c r="P2029" s="23"/>
      <c r="Q2029" s="9"/>
      <c r="R2029" s="9"/>
      <c r="S2029" s="9"/>
      <c r="T2029" s="9"/>
      <c r="U2029" s="9"/>
      <c r="V2029" s="9"/>
      <c r="W2029" s="9"/>
      <c r="X2029" s="9"/>
      <c r="Y2029" s="9"/>
      <c r="Z2029" s="9"/>
      <c r="AA2029" s="9"/>
      <c r="AB2029" s="9"/>
      <c r="AC2029" s="9"/>
      <c r="AD2029" s="25"/>
      <c r="AE2029" s="25"/>
      <c r="AF2029" s="9"/>
      <c r="AG2029" s="9"/>
      <c r="AH2029" s="9"/>
      <c r="AI2029" s="9"/>
    </row>
    <row r="2030" ht="15.75" customHeight="1">
      <c r="A2030" s="9"/>
      <c r="B2030" s="9"/>
      <c r="C2030" s="9"/>
      <c r="D2030" s="9"/>
      <c r="E2030" s="57"/>
      <c r="F2030" s="58"/>
      <c r="G2030" s="58"/>
      <c r="H2030" s="57"/>
      <c r="I2030" s="57"/>
      <c r="J2030" s="57"/>
      <c r="K2030" s="57"/>
      <c r="L2030" s="57"/>
      <c r="M2030" s="59"/>
      <c r="N2030" s="60"/>
      <c r="O2030" s="23"/>
      <c r="P2030" s="23"/>
      <c r="Q2030" s="9"/>
      <c r="R2030" s="9"/>
      <c r="S2030" s="9"/>
      <c r="T2030" s="9"/>
      <c r="U2030" s="9"/>
      <c r="V2030" s="9"/>
      <c r="W2030" s="9"/>
      <c r="X2030" s="9"/>
      <c r="Y2030" s="9"/>
      <c r="Z2030" s="9"/>
      <c r="AA2030" s="9"/>
      <c r="AB2030" s="9"/>
      <c r="AC2030" s="9"/>
      <c r="AD2030" s="25"/>
      <c r="AE2030" s="25"/>
      <c r="AF2030" s="9"/>
      <c r="AG2030" s="9"/>
      <c r="AH2030" s="9"/>
      <c r="AI2030" s="9"/>
    </row>
    <row r="2031" ht="15.75" customHeight="1">
      <c r="A2031" s="9"/>
      <c r="B2031" s="9"/>
      <c r="C2031" s="9"/>
      <c r="D2031" s="9"/>
      <c r="E2031" s="57"/>
      <c r="F2031" s="58"/>
      <c r="G2031" s="58"/>
      <c r="H2031" s="57"/>
      <c r="I2031" s="57"/>
      <c r="J2031" s="57"/>
      <c r="K2031" s="57"/>
      <c r="L2031" s="57"/>
      <c r="M2031" s="59"/>
      <c r="N2031" s="60"/>
      <c r="O2031" s="23"/>
      <c r="P2031" s="23"/>
      <c r="Q2031" s="9"/>
      <c r="R2031" s="9"/>
      <c r="S2031" s="9"/>
      <c r="T2031" s="9"/>
      <c r="U2031" s="9"/>
      <c r="V2031" s="9"/>
      <c r="W2031" s="9"/>
      <c r="X2031" s="9"/>
      <c r="Y2031" s="9"/>
      <c r="Z2031" s="9"/>
      <c r="AA2031" s="9"/>
      <c r="AB2031" s="9"/>
      <c r="AC2031" s="9"/>
      <c r="AD2031" s="25"/>
      <c r="AE2031" s="25"/>
      <c r="AF2031" s="9"/>
      <c r="AG2031" s="9"/>
      <c r="AH2031" s="9"/>
      <c r="AI2031" s="9"/>
    </row>
  </sheetData>
  <autoFilter ref="$E$1:$O$2031"/>
  <mergeCells count="133">
    <mergeCell ref="I448:J448"/>
    <mergeCell ref="I467:J467"/>
    <mergeCell ref="I468:J468"/>
    <mergeCell ref="I469:J469"/>
    <mergeCell ref="I470:J470"/>
    <mergeCell ref="I1630:J1630"/>
    <mergeCell ref="I1631:J1631"/>
    <mergeCell ref="I1632:J1632"/>
    <mergeCell ref="I1680:J1680"/>
    <mergeCell ref="I1685:J1685"/>
    <mergeCell ref="I1687:J1687"/>
    <mergeCell ref="I1691:J1691"/>
    <mergeCell ref="I1695:J1695"/>
    <mergeCell ref="I1706:J1706"/>
    <mergeCell ref="I1711:J1711"/>
    <mergeCell ref="I1715:J1715"/>
    <mergeCell ref="I1717:J1717"/>
    <mergeCell ref="I1718:J1718"/>
    <mergeCell ref="I1719:J1719"/>
    <mergeCell ref="I1736:J1736"/>
    <mergeCell ref="I1737:J1737"/>
    <mergeCell ref="I1738:J1738"/>
    <mergeCell ref="I1739:J1739"/>
    <mergeCell ref="I1740:J1740"/>
    <mergeCell ref="I1747:J1747"/>
    <mergeCell ref="I1763:J1763"/>
    <mergeCell ref="I1764:J1764"/>
    <mergeCell ref="I1765:J1765"/>
    <mergeCell ref="I1766:J1766"/>
    <mergeCell ref="I1767:J1767"/>
    <mergeCell ref="I1768:J1768"/>
    <mergeCell ref="I1769:J1769"/>
    <mergeCell ref="I1770:J1770"/>
    <mergeCell ref="I1827:J1827"/>
    <mergeCell ref="I1828:J1828"/>
    <mergeCell ref="I1829:J1829"/>
    <mergeCell ref="I1830:J1830"/>
    <mergeCell ref="I1831:J1831"/>
    <mergeCell ref="I1832:J1832"/>
    <mergeCell ref="I1833:J1833"/>
    <mergeCell ref="I1834:J1834"/>
    <mergeCell ref="I1835:J1835"/>
    <mergeCell ref="I1836:J1836"/>
    <mergeCell ref="I1837:J1837"/>
    <mergeCell ref="I1838:J1838"/>
    <mergeCell ref="I1839:J1839"/>
    <mergeCell ref="I1840:J1840"/>
    <mergeCell ref="I1841:J1841"/>
    <mergeCell ref="I1842:J1842"/>
    <mergeCell ref="I1843:J1843"/>
    <mergeCell ref="I1844:J1844"/>
    <mergeCell ref="I1845:J1845"/>
    <mergeCell ref="I1846:J1846"/>
    <mergeCell ref="I1847:J1847"/>
    <mergeCell ref="I1848:J1848"/>
    <mergeCell ref="I1849:J1849"/>
    <mergeCell ref="I1850:J1850"/>
    <mergeCell ref="I1851:J1851"/>
    <mergeCell ref="I1852:J1852"/>
    <mergeCell ref="I1853:J1853"/>
    <mergeCell ref="I1854:J1854"/>
    <mergeCell ref="I1858:J1858"/>
    <mergeCell ref="I1859:J1859"/>
    <mergeCell ref="I1860:J1860"/>
    <mergeCell ref="I1861:J1861"/>
    <mergeCell ref="I1862:J1862"/>
    <mergeCell ref="I1863:J1863"/>
    <mergeCell ref="I1891:J1891"/>
    <mergeCell ref="I1923:J1923"/>
    <mergeCell ref="I1924:J1924"/>
    <mergeCell ref="I1925:J1925"/>
    <mergeCell ref="I1926:J1926"/>
    <mergeCell ref="I1930:J1930"/>
    <mergeCell ref="I1951:J1951"/>
    <mergeCell ref="I1952:J1952"/>
    <mergeCell ref="I1974:J1974"/>
    <mergeCell ref="I1975:J1975"/>
    <mergeCell ref="I1966:J1966"/>
    <mergeCell ref="I1968:J1968"/>
    <mergeCell ref="I1969:J1969"/>
    <mergeCell ref="I1970:J1970"/>
    <mergeCell ref="I1971:J1971"/>
    <mergeCell ref="I1972:J1972"/>
    <mergeCell ref="I1973:J1973"/>
    <mergeCell ref="I1771:J1771"/>
    <mergeCell ref="I1772:J1772"/>
    <mergeCell ref="I1773:J1773"/>
    <mergeCell ref="I1774:J1774"/>
    <mergeCell ref="I1775:J1775"/>
    <mergeCell ref="I1776:J1776"/>
    <mergeCell ref="I1777:J1777"/>
    <mergeCell ref="I1778:J1778"/>
    <mergeCell ref="I1779:J1779"/>
    <mergeCell ref="I1780:J1780"/>
    <mergeCell ref="I1781:J1781"/>
    <mergeCell ref="I1782:J1782"/>
    <mergeCell ref="I1783:J1783"/>
    <mergeCell ref="I1784:J1784"/>
    <mergeCell ref="I1785:J1785"/>
    <mergeCell ref="I1786:J1786"/>
    <mergeCell ref="I1787:J1787"/>
    <mergeCell ref="I1788:J1788"/>
    <mergeCell ref="I1789:J1789"/>
    <mergeCell ref="I1790:J1790"/>
    <mergeCell ref="I1791:J1791"/>
    <mergeCell ref="I1792:J1792"/>
    <mergeCell ref="I1793:J1793"/>
    <mergeCell ref="I1794:J1794"/>
    <mergeCell ref="I1795:J1795"/>
    <mergeCell ref="I1796:J1796"/>
    <mergeCell ref="I1797:J1797"/>
    <mergeCell ref="I1798:J1798"/>
    <mergeCell ref="I1799:J1799"/>
    <mergeCell ref="I1800:J1800"/>
    <mergeCell ref="I1801:J1801"/>
    <mergeCell ref="I1802:J1802"/>
    <mergeCell ref="I1803:J1803"/>
    <mergeCell ref="I1804:J1804"/>
    <mergeCell ref="I1805:J1805"/>
    <mergeCell ref="I1806:J1806"/>
    <mergeCell ref="I1814:J1814"/>
    <mergeCell ref="I1815:J1815"/>
    <mergeCell ref="I1816:J1816"/>
    <mergeCell ref="I1817:J1817"/>
    <mergeCell ref="I1818:J1818"/>
    <mergeCell ref="I1819:J1819"/>
    <mergeCell ref="I1820:J1820"/>
    <mergeCell ref="I1821:J1821"/>
    <mergeCell ref="I1822:J1822"/>
    <mergeCell ref="I1823:J1823"/>
    <mergeCell ref="I1824:J1824"/>
    <mergeCell ref="I1825:J1825"/>
    <mergeCell ref="I1826:J1826"/>
  </mergeCells>
  <conditionalFormatting sqref="AD1:AE2031">
    <cfRule type="cellIs" dxfId="0" priority="1" operator="greaterThan">
      <formula>0</formula>
    </cfRule>
  </conditionalFormatting>
  <conditionalFormatting sqref="AF1:AG2031">
    <cfRule type="cellIs" dxfId="0" priority="2" operator="equal">
      <formula>1</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2F3"/>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6.29"/>
    <col customWidth="1" min="3" max="3" width="7.0"/>
    <col customWidth="1" hidden="1" min="4" max="8" width="3.0"/>
    <col customWidth="1" min="9" max="9" width="11.71"/>
    <col customWidth="1" min="10" max="10" width="6.86"/>
    <col customWidth="1" min="11" max="11" width="6.14"/>
    <col customWidth="1" min="12" max="12" width="13.57"/>
    <col customWidth="1" min="13" max="13" width="14.43"/>
    <col customWidth="1" min="14" max="14" width="21.86"/>
    <col customWidth="1" min="15" max="15" width="4.71"/>
    <col customWidth="1" min="16" max="16" width="29.71"/>
    <col customWidth="1" min="17" max="17" width="27.86"/>
    <col customWidth="1" min="18" max="18" width="29.43"/>
    <col customWidth="1" min="19" max="19" width="15.43"/>
    <col customWidth="1" min="20" max="20" width="7.29"/>
    <col customWidth="1" min="21" max="21" width="19.71"/>
    <col customWidth="1" min="22" max="22" width="19.29"/>
    <col customWidth="1" min="23" max="23" width="15.86"/>
    <col customWidth="1" min="24" max="24" width="6.86"/>
    <col customWidth="1" min="25" max="25" width="10.14"/>
    <col customWidth="1" min="26" max="26" width="12.29"/>
    <col customWidth="1" min="27" max="27" width="13.71"/>
    <col customWidth="1" min="28" max="28" width="9.57"/>
    <col customWidth="1" min="29" max="29" width="10.43"/>
    <col customWidth="1" min="30" max="30" width="10.14"/>
    <col customWidth="1" min="31" max="31" width="10.86"/>
    <col customWidth="1" min="32" max="32" width="10.71"/>
    <col customWidth="1" min="33" max="35" width="9.57"/>
    <col customWidth="1" min="36" max="36" width="11.57"/>
    <col customWidth="1" min="37" max="37" width="15.71"/>
    <col customWidth="1" min="38" max="38" width="9.57"/>
    <col customWidth="1" min="39" max="39" width="12.86"/>
    <col customWidth="1" min="40" max="40" width="12.43"/>
    <col customWidth="1" min="41" max="41" width="11.43"/>
    <col customWidth="1" min="42" max="42" width="11.14"/>
    <col customWidth="1" min="43" max="60" width="9.57"/>
    <col customWidth="1" hidden="1" min="61" max="61" width="9.57"/>
    <col customWidth="1" min="62" max="67" width="9.57"/>
  </cols>
  <sheetData>
    <row r="1" ht="15.75" customHeight="1">
      <c r="A1" s="73" t="s">
        <v>70</v>
      </c>
      <c r="B1" s="74"/>
      <c r="C1" s="75"/>
      <c r="D1" s="76"/>
      <c r="E1" s="76"/>
      <c r="F1" s="77"/>
      <c r="G1" s="77"/>
      <c r="H1" s="77"/>
      <c r="I1" s="74"/>
      <c r="J1" s="74"/>
      <c r="K1" s="78" t="s">
        <v>596</v>
      </c>
      <c r="L1" s="74"/>
      <c r="M1" s="79"/>
      <c r="N1" s="79"/>
      <c r="O1" s="76"/>
      <c r="P1" s="74"/>
      <c r="Q1" s="74"/>
      <c r="R1" s="80"/>
      <c r="S1" s="76"/>
      <c r="T1" s="81"/>
      <c r="U1" s="82" t="s">
        <v>597</v>
      </c>
      <c r="V1" s="83" t="s">
        <v>598</v>
      </c>
      <c r="W1" s="84"/>
      <c r="X1" s="84"/>
      <c r="Y1" s="76"/>
      <c r="Z1" s="85" t="s">
        <v>599</v>
      </c>
      <c r="AA1" s="76"/>
      <c r="AB1" s="85"/>
      <c r="AC1" s="76"/>
      <c r="AD1" s="76"/>
      <c r="AE1" s="76"/>
      <c r="AF1" s="8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87"/>
      <c r="BJ1" s="76"/>
      <c r="BK1" s="76"/>
      <c r="BL1" s="76"/>
      <c r="BM1" s="76"/>
      <c r="BN1" s="76"/>
      <c r="BO1" s="76"/>
    </row>
    <row r="2" ht="15.75" customHeight="1">
      <c r="A2" s="88" t="s">
        <v>600</v>
      </c>
      <c r="B2" s="89" t="s">
        <v>601</v>
      </c>
      <c r="C2" s="90" t="s">
        <v>602</v>
      </c>
      <c r="D2" s="91" t="s">
        <v>603</v>
      </c>
      <c r="E2" s="91" t="s">
        <v>604</v>
      </c>
      <c r="F2" s="78"/>
      <c r="G2" s="78" t="s">
        <v>605</v>
      </c>
      <c r="H2" s="78" t="s">
        <v>606</v>
      </c>
      <c r="I2" s="92" t="s">
        <v>607</v>
      </c>
      <c r="J2" s="93" t="s">
        <v>608</v>
      </c>
      <c r="K2" s="78" t="s">
        <v>609</v>
      </c>
      <c r="L2" s="88" t="s">
        <v>610</v>
      </c>
      <c r="M2" s="88" t="s">
        <v>611</v>
      </c>
      <c r="N2" s="88" t="s">
        <v>612</v>
      </c>
      <c r="O2" s="76"/>
      <c r="P2" s="88" t="s">
        <v>613</v>
      </c>
      <c r="Q2" s="88" t="s">
        <v>614</v>
      </c>
      <c r="R2" s="92" t="s">
        <v>615</v>
      </c>
      <c r="S2" s="94" t="s">
        <v>616</v>
      </c>
      <c r="T2" s="95" t="s">
        <v>617</v>
      </c>
      <c r="U2" s="88" t="s">
        <v>618</v>
      </c>
      <c r="V2" s="88" t="s">
        <v>619</v>
      </c>
      <c r="W2" s="94" t="s">
        <v>27</v>
      </c>
      <c r="X2" s="94" t="s">
        <v>5</v>
      </c>
      <c r="Y2" s="96" t="s">
        <v>620</v>
      </c>
      <c r="Z2" s="96" t="s">
        <v>621</v>
      </c>
      <c r="AA2" s="96" t="s">
        <v>622</v>
      </c>
      <c r="AB2" s="96" t="s">
        <v>623</v>
      </c>
      <c r="AC2" s="96" t="s">
        <v>624</v>
      </c>
      <c r="AD2" s="96" t="s">
        <v>625</v>
      </c>
      <c r="AE2" s="96" t="s">
        <v>626</v>
      </c>
      <c r="AF2" s="97" t="s">
        <v>627</v>
      </c>
      <c r="AG2" s="93" t="s">
        <v>620</v>
      </c>
      <c r="AH2" s="93" t="s">
        <v>628</v>
      </c>
      <c r="AI2" s="93" t="s">
        <v>629</v>
      </c>
      <c r="AJ2" s="98" t="s">
        <v>621</v>
      </c>
      <c r="AK2" s="93" t="s">
        <v>630</v>
      </c>
      <c r="AL2" s="93" t="s">
        <v>631</v>
      </c>
      <c r="AM2" s="98" t="s">
        <v>622</v>
      </c>
      <c r="AN2" s="93" t="s">
        <v>630</v>
      </c>
      <c r="AO2" s="93" t="s">
        <v>631</v>
      </c>
      <c r="AP2" s="98" t="s">
        <v>632</v>
      </c>
      <c r="AQ2" s="93" t="s">
        <v>633</v>
      </c>
      <c r="AR2" s="93" t="s">
        <v>634</v>
      </c>
      <c r="AS2" s="98" t="s">
        <v>635</v>
      </c>
      <c r="AT2" s="93" t="s">
        <v>636</v>
      </c>
      <c r="AU2" s="93" t="s">
        <v>636</v>
      </c>
      <c r="AV2" s="98" t="s">
        <v>637</v>
      </c>
      <c r="AW2" s="93" t="s">
        <v>638</v>
      </c>
      <c r="AX2" s="93" t="s">
        <v>639</v>
      </c>
      <c r="AY2" s="98" t="s">
        <v>640</v>
      </c>
      <c r="AZ2" s="93" t="s">
        <v>641</v>
      </c>
      <c r="BA2" s="93" t="s">
        <v>642</v>
      </c>
      <c r="BB2" s="98" t="s">
        <v>643</v>
      </c>
      <c r="BC2" s="93" t="s">
        <v>644</v>
      </c>
      <c r="BD2" s="93" t="s">
        <v>645</v>
      </c>
      <c r="BE2" s="98" t="s">
        <v>646</v>
      </c>
      <c r="BF2" s="93" t="s">
        <v>647</v>
      </c>
      <c r="BG2" s="93" t="s">
        <v>648</v>
      </c>
      <c r="BH2" s="98" t="s">
        <v>649</v>
      </c>
      <c r="BI2" s="99" t="s">
        <v>649</v>
      </c>
      <c r="BJ2" s="96" t="s">
        <v>627</v>
      </c>
      <c r="BK2" s="91" t="s">
        <v>650</v>
      </c>
      <c r="BL2" s="91" t="s">
        <v>651</v>
      </c>
      <c r="BM2" s="96" t="s">
        <v>652</v>
      </c>
      <c r="BN2" s="96" t="s">
        <v>653</v>
      </c>
      <c r="BO2" s="96" t="s">
        <v>654</v>
      </c>
    </row>
    <row r="3" ht="15.75" customHeight="1">
      <c r="A3" s="100" t="s">
        <v>54</v>
      </c>
      <c r="B3" s="101">
        <v>42460.0</v>
      </c>
      <c r="C3" s="102">
        <v>83000.0</v>
      </c>
      <c r="D3" s="103"/>
      <c r="E3" s="103"/>
      <c r="F3" s="104"/>
      <c r="G3" s="104"/>
      <c r="H3" s="104"/>
      <c r="I3" s="105" t="s">
        <v>655</v>
      </c>
      <c r="J3" s="106" t="str">
        <f>IF(W3="","NO AIS",IF((W3-M3-1)&gt;0,"Update",""))</f>
        <v>NO AIS</v>
      </c>
      <c r="K3" s="107"/>
      <c r="L3" s="108" t="s">
        <v>656</v>
      </c>
      <c r="M3" s="109">
        <v>46150.0</v>
      </c>
      <c r="N3" s="109">
        <v>46151.0</v>
      </c>
      <c r="O3" s="110"/>
      <c r="P3" s="108" t="s">
        <v>657</v>
      </c>
      <c r="Q3" s="111"/>
      <c r="R3" s="108" t="s">
        <v>658</v>
      </c>
      <c r="S3" s="112" t="s">
        <v>659</v>
      </c>
      <c r="T3" s="113">
        <v>46124.0</v>
      </c>
      <c r="U3" s="114" t="str">
        <f>IF(V3="","No AIS",VLOOKUP(V3,'Voyage days'!$A$3:$B$1480,2,FALSE))</f>
        <v>No AIS</v>
      </c>
      <c r="V3" s="115" t="str">
        <f>IF(VLOOKUP(A3,'1) Kpler'!$E$2:$P$1000,8, FALSE)="","",VLOOKUP(A3,'1) Kpler'!$E$2:$P$1000,8, FALSE))</f>
        <v/>
      </c>
      <c r="W3" s="116" t="str">
        <f>IF(VLOOKUP(A3,'1) Kpler'!$E$2:$P$1000,9,FALSE)="","",VLOOKUP(A3,'1) Kpler'!$E$2:$P$1000,9,FALSE))</f>
        <v/>
      </c>
      <c r="X3" s="115" t="str">
        <f>VLOOKUP(A3,'1) Kpler'!$E$2:$I$1000,4,FALSE)</f>
        <v>loaded</v>
      </c>
      <c r="Y3" s="117" t="str">
        <f t="shared" ref="Y3:Y216" si="1">AG3</f>
        <v>26-27 May</v>
      </c>
      <c r="Z3" s="117" t="str">
        <f t="shared" ref="Z3:Z267" si="2">AJ3</f>
        <v>08-09 Jun</v>
      </c>
      <c r="AA3" s="117" t="str">
        <f t="shared" ref="AA3:AA267" si="3">AM3</f>
        <v>15-16 Jun</v>
      </c>
      <c r="AB3" s="117" t="str">
        <f t="shared" ref="AB3:AB267" si="4">AP3</f>
        <v>07-08 Jun</v>
      </c>
      <c r="AC3" s="117" t="str">
        <f t="shared" ref="AC3:AC267" si="5">AS3</f>
        <v>13-14 Jun</v>
      </c>
      <c r="AD3" s="117" t="str">
        <f t="shared" ref="AD3:AD267" si="6">BB3</f>
        <v>16-17 May</v>
      </c>
      <c r="AE3" s="118" t="str">
        <f t="shared" ref="AE3:AE267" si="7">AY3</f>
        <v>16-17 May</v>
      </c>
      <c r="AF3" s="119" t="str">
        <f t="shared" ref="AF3:AF267" si="8">BJ3</f>
        <v>23-24 Jun</v>
      </c>
      <c r="AG3" s="120" t="str">
        <f t="shared" ref="AG3:AG151" si="9">IF(AH3="","",TEXT(AH3,"dd")&amp;"-"&amp;TEXT(AI3,"dd mmm"))</f>
        <v>26-27 May</v>
      </c>
      <c r="AH3" s="121">
        <f>IFERROR($M3+VLOOKUP($L3,'Voyage days'!$F$38:$H$89,3,FALSE),"")</f>
        <v>46168</v>
      </c>
      <c r="AI3" s="121">
        <f>IFERROR(N3+VLOOKUP($L3,'Voyage days'!$F$38:$H$89,3,FALSE),"")</f>
        <v>46169</v>
      </c>
      <c r="AJ3" s="120" t="str">
        <f t="shared" ref="AJ3:AJ151" si="10">IF(AK3="","",TEXT(AK3,"dd")&amp;"-"&amp;TEXT(AL3,"dd mmm"))</f>
        <v>08-09 Jun</v>
      </c>
      <c r="AK3" s="121">
        <f>IFERROR($M3+VLOOKUP($L3,'Voyage days'!$F$94:$H$193,3,FALSE),"")</f>
        <v>46181</v>
      </c>
      <c r="AL3" s="121">
        <f>IFERROR($N3+VLOOKUP($L3,'Voyage days'!$F$94:$H$193,3,FALSE),"")</f>
        <v>46182</v>
      </c>
      <c r="AM3" s="120" t="str">
        <f t="shared" ref="AM3:AM151" si="11">IF(AN3="","",TEXT(AN3,"dd")&amp;"-"&amp;TEXT(AO3,"dd mmm"))</f>
        <v>15-16 Jun</v>
      </c>
      <c r="AN3" s="121">
        <f>IFERROR($M3+VLOOKUP($L3,'Voyage days'!$F$203:$H$256,3,FALSE),"")</f>
        <v>46188</v>
      </c>
      <c r="AO3" s="121">
        <f>IFERROR($N3+VLOOKUP($L3,'Voyage days'!$F$203:$H$256,3,FALSE),"")</f>
        <v>46189</v>
      </c>
      <c r="AP3" s="120" t="str">
        <f t="shared" ref="AP3:AP151" si="12">IF(AQ3="","",TEXT(AQ3,"dd")&amp;"-"&amp;TEXT(AR3,"dd mmm"))</f>
        <v>07-08 Jun</v>
      </c>
      <c r="AQ3" s="121">
        <f>IFERROR($M3+VLOOKUP($L3,'Voyage days'!$F$294:$H$377,3,FALSE),"")</f>
        <v>46180</v>
      </c>
      <c r="AR3" s="121">
        <f>IFERROR($N3+VLOOKUP($L3,'Voyage days'!$F$294:$H$377,3,FALSE),"")</f>
        <v>46181</v>
      </c>
      <c r="AS3" s="120" t="str">
        <f t="shared" ref="AS3:AS151" si="13">IF(AT3="","",TEXT(AT3,"dd")&amp;"-"&amp;TEXT(AU3,"dd mmm"))</f>
        <v>13-14 Jun</v>
      </c>
      <c r="AT3" s="121">
        <f>IFERROR($M3+VLOOKUP($L3,'Voyage days'!$F$382:$H$446,3,FALSE),"")</f>
        <v>46186</v>
      </c>
      <c r="AU3" s="121">
        <f>IFERROR($N3+VLOOKUP($L3,'Voyage days'!$F$382:$H$446,3,FALSE),"")</f>
        <v>46187</v>
      </c>
      <c r="AV3" s="120" t="str">
        <f t="shared" ref="AV3:AV151" si="14">IF(AW3="","",TEXT(AW3,"dd")&amp;"-"&amp;TEXT(AX3,"dd mmm"))</f>
        <v>21-22 May</v>
      </c>
      <c r="AW3" s="121">
        <f>IFERROR($M3+VLOOKUP($L3,'Voyage days'!$F$483:$H$538,3,FALSE),"")</f>
        <v>46163</v>
      </c>
      <c r="AX3" s="121">
        <f>IFERROR($N3+VLOOKUP($L3,'Voyage days'!$F$483:$H$538,3,FALSE),"")</f>
        <v>46164</v>
      </c>
      <c r="AY3" s="120" t="str">
        <f t="shared" ref="AY3:AY151" si="15">IF(AZ3="","",TEXT(AZ3,"dd")&amp;"-"&amp;TEXT(BA3,"dd mmm"))</f>
        <v>16-17 May</v>
      </c>
      <c r="AZ3" s="121">
        <f>IFERROR($M3+VLOOKUP($L3,'Voyage days'!$F$540:$H$613,3,FALSE),"")</f>
        <v>46158.25</v>
      </c>
      <c r="BA3" s="121">
        <f>IFERROR($N3+VLOOKUP($L3,'Voyage days'!$F$540:$H$613,3,FALSE),"")</f>
        <v>46159.25</v>
      </c>
      <c r="BB3" s="120" t="str">
        <f t="shared" ref="BB3:BB151" si="16">IF(BC3="","",TEXT(BC3,"dd")&amp;"-"&amp;TEXT(BD3,"dd mmm"))</f>
        <v>16-17 May</v>
      </c>
      <c r="BC3" s="121">
        <f>IFERROR($M3+VLOOKUP($L3,'Voyage days'!$F$448:$H$479,3,FALSE),"")</f>
        <v>46158</v>
      </c>
      <c r="BD3" s="121">
        <f>IFERROR($N3+VLOOKUP($L3,'Voyage days'!$F$448:$H$479,3,FALSE),"")</f>
        <v>46159</v>
      </c>
      <c r="BE3" s="120" t="str">
        <f t="shared" ref="BE3:BE151" si="17">IF(BF3="","",TEXT(BF3,"dd")&amp;"-"&amp;TEXT(BG3,"dd mmm"))</f>
        <v>19-20 May</v>
      </c>
      <c r="BF3" s="122">
        <f>IFERROR($M3+VLOOKUP($L3,'Voyage days'!$F$620:$H$646,3,FALSE),"")</f>
        <v>46161</v>
      </c>
      <c r="BG3" s="122">
        <f>IFERROR($N3+VLOOKUP($L3,'Voyage days'!$F$620:$H$646,3,FALSE),"")</f>
        <v>46162</v>
      </c>
      <c r="BH3" s="120" t="str">
        <f t="shared" ref="BH3:BH151" si="18">IF(BI3="","",TEXT(BI3,"dd")&amp;"-"&amp;TEXT(BL3,"dd mmm"))</f>
        <v>16-24 Jun</v>
      </c>
      <c r="BI3" s="123">
        <f>IFERROR($M3+VLOOKUP($L3,'Voyage days'!$F$702:$H$727,3,FALSE),"")</f>
        <v>46158.25</v>
      </c>
      <c r="BJ3" s="120" t="str">
        <f t="shared" ref="BJ3:BJ151" si="19">IF(BK3="","",TEXT(BK3,"dd")&amp;"-"&amp;TEXT(BL3,"dd mmm"))</f>
        <v>23-24 Jun</v>
      </c>
      <c r="BK3" s="122">
        <f>IFERROR($M3+VLOOKUP($L3,'Voyage days'!$F$807:$H$878,3,FALSE),"")</f>
        <v>46196</v>
      </c>
      <c r="BL3" s="122">
        <f>IFERROR($N3+VLOOKUP($L3,'Voyage days'!$F$807:$H$878,3,FALSE),"")</f>
        <v>46197</v>
      </c>
      <c r="BM3" s="122">
        <f>IFERROR($N3+VLOOKUP($L3,'Voyage days'!$F$807:$K$878,6,FALSE),"")</f>
        <v>46171</v>
      </c>
      <c r="BN3" s="121" t="str">
        <f>if(L3="loads AG", IFERROR($M3+VLOOKUP($L3,'Voyage days'!$M$38:$O$38,3,FALSE),""),"")</f>
        <v/>
      </c>
      <c r="BO3" s="121" t="str">
        <f>if(L3="loads USG", IFERROR($M3+VLOOKUP($L3,'Voyage days'!$L$203:$N$203,3,FALSE),""),"")</f>
        <v/>
      </c>
    </row>
    <row r="4" ht="15.75" customHeight="1">
      <c r="A4" s="124" t="s">
        <v>71</v>
      </c>
      <c r="B4" s="125">
        <v>2026.0</v>
      </c>
      <c r="C4" s="126">
        <v>86665.0</v>
      </c>
      <c r="D4" s="127"/>
      <c r="E4" s="127"/>
      <c r="F4" s="127"/>
      <c r="G4" s="127"/>
      <c r="H4" s="127"/>
      <c r="I4" s="128" t="s">
        <v>655</v>
      </c>
      <c r="J4" s="129" t="str">
        <f>IF(W4="","NO AIS",IF((W4-M4-1)&gt;0,"Update",""))</f>
        <v>NO AIS</v>
      </c>
      <c r="K4" s="130"/>
      <c r="L4" s="131"/>
      <c r="M4" s="132"/>
      <c r="N4" s="132"/>
      <c r="O4" s="127"/>
      <c r="P4" s="133" t="s">
        <v>660</v>
      </c>
      <c r="Q4" s="127"/>
      <c r="R4" s="134"/>
      <c r="S4" s="135"/>
      <c r="T4" s="136"/>
      <c r="U4" s="137"/>
      <c r="V4" s="137" t="str">
        <f>IF(VLOOKUP(A4,'1) Kpler'!$E$2:$P$1000,8, FALSE)="","",VLOOKUP(A4,'1) Kpler'!$E$2:$P$1000,8, FALSE))</f>
        <v/>
      </c>
      <c r="W4" s="138" t="str">
        <f>IF(VLOOKUP(A4,'1) Kpler'!$E$2:$P$1000,9,FALSE)="","",VLOOKUP(A4,'1) Kpler'!$E$2:$P$1000,9,FALSE))</f>
        <v/>
      </c>
      <c r="X4" s="137" t="str">
        <f>VLOOKUP(A4,'1) Kpler'!$E$2:$I$1000,4,FALSE)</f>
        <v>underConstruction</v>
      </c>
      <c r="Y4" s="139" t="str">
        <f t="shared" si="1"/>
        <v/>
      </c>
      <c r="Z4" s="139" t="str">
        <f t="shared" si="2"/>
        <v/>
      </c>
      <c r="AA4" s="139" t="str">
        <f t="shared" si="3"/>
        <v/>
      </c>
      <c r="AB4" s="139" t="str">
        <f t="shared" si="4"/>
        <v/>
      </c>
      <c r="AC4" s="139" t="str">
        <f t="shared" si="5"/>
        <v/>
      </c>
      <c r="AD4" s="139" t="str">
        <f t="shared" si="6"/>
        <v/>
      </c>
      <c r="AE4" s="140" t="str">
        <f t="shared" si="7"/>
        <v/>
      </c>
      <c r="AF4" s="141" t="str">
        <f t="shared" si="8"/>
        <v/>
      </c>
      <c r="AG4" s="142" t="str">
        <f t="shared" si="9"/>
        <v/>
      </c>
      <c r="AH4" s="143" t="str">
        <f>IFERROR($M4+VLOOKUP($L4,'Voyage days'!$F$38:$H$89,3,FALSE),"")</f>
        <v/>
      </c>
      <c r="AI4" s="143" t="str">
        <f>IFERROR(N4+VLOOKUP($L4,'Voyage days'!$F$38:$H$89,3,FALSE),"")</f>
        <v/>
      </c>
      <c r="AJ4" s="142" t="str">
        <f t="shared" si="10"/>
        <v/>
      </c>
      <c r="AK4" s="143" t="str">
        <f>IFERROR($M4+VLOOKUP($L4,'Voyage days'!$F$94:$H$193,3,FALSE),"")</f>
        <v/>
      </c>
      <c r="AL4" s="143" t="str">
        <f>IFERROR($N4+VLOOKUP($L4,'Voyage days'!$F$94:$H$193,3,FALSE),"")</f>
        <v/>
      </c>
      <c r="AM4" s="142" t="str">
        <f t="shared" si="11"/>
        <v/>
      </c>
      <c r="AN4" s="143" t="str">
        <f>IFERROR($M4+VLOOKUP($L4,'Voyage days'!$F$203:$H$256,3,FALSE),"")</f>
        <v/>
      </c>
      <c r="AO4" s="143" t="str">
        <f>IFERROR($N4+VLOOKUP($L4,'Voyage days'!$F$203:$H$256,3,FALSE),"")</f>
        <v/>
      </c>
      <c r="AP4" s="142" t="str">
        <f t="shared" si="12"/>
        <v/>
      </c>
      <c r="AQ4" s="143" t="str">
        <f>IFERROR($M4+VLOOKUP($L4,'Voyage days'!$F$294:$H$377,3,FALSE),"")</f>
        <v/>
      </c>
      <c r="AR4" s="143" t="str">
        <f>IFERROR($N4+VLOOKUP($L4,'Voyage days'!$F$294:$H$377,3,FALSE),"")</f>
        <v/>
      </c>
      <c r="AS4" s="142" t="str">
        <f t="shared" si="13"/>
        <v/>
      </c>
      <c r="AT4" s="143" t="str">
        <f>IFERROR($M4+VLOOKUP($L4,'Voyage days'!$F$382:$H$446,3,FALSE),"")</f>
        <v/>
      </c>
      <c r="AU4" s="143" t="str">
        <f>IFERROR($N4+VLOOKUP($L4,'Voyage days'!$F$382:$H$446,3,FALSE),"")</f>
        <v/>
      </c>
      <c r="AV4" s="142" t="str">
        <f t="shared" si="14"/>
        <v/>
      </c>
      <c r="AW4" s="143" t="str">
        <f>IFERROR($M4+VLOOKUP($L4,'Voyage days'!$F$483:$H$538,3,FALSE),"")</f>
        <v/>
      </c>
      <c r="AX4" s="143" t="str">
        <f>IFERROR($N4+VLOOKUP($L4,'Voyage days'!$F$483:$H$538,3,FALSE),"")</f>
        <v/>
      </c>
      <c r="AY4" s="142" t="str">
        <f t="shared" si="15"/>
        <v/>
      </c>
      <c r="AZ4" s="143" t="str">
        <f>IFERROR($M4+VLOOKUP($L4,'Voyage days'!$F$540:$H$613,3,FALSE),"")</f>
        <v/>
      </c>
      <c r="BA4" s="143" t="str">
        <f>IFERROR($N4+VLOOKUP($L4,'Voyage days'!$F$540:$H$613,3,FALSE),"")</f>
        <v/>
      </c>
      <c r="BB4" s="142" t="str">
        <f t="shared" si="16"/>
        <v/>
      </c>
      <c r="BC4" s="144" t="str">
        <f>IFERROR($M4+VLOOKUP($L4,'Voyage days'!$F$448:$H$479,3,FALSE),"")</f>
        <v/>
      </c>
      <c r="BD4" s="144" t="str">
        <f>IFERROR($N4+VLOOKUP($L4,'Voyage days'!$F$448:$H$479,3,FALSE),"")</f>
        <v/>
      </c>
      <c r="BE4" s="142" t="str">
        <f t="shared" si="17"/>
        <v/>
      </c>
      <c r="BF4" s="143" t="str">
        <f>IFERROR($M4+VLOOKUP($L4,'Voyage days'!$F$620:$H$646,3,FALSE),"")</f>
        <v/>
      </c>
      <c r="BG4" s="143" t="str">
        <f>IFERROR($N4+VLOOKUP($L4,'Voyage days'!$F$620:$H$646,3,FALSE),"")</f>
        <v/>
      </c>
      <c r="BH4" s="142" t="str">
        <f t="shared" si="18"/>
        <v/>
      </c>
      <c r="BI4" s="145" t="str">
        <f>IFERROR($M4+VLOOKUP($L4,'Voyage days'!$F$702:$H$727,3,FALSE),"")</f>
        <v/>
      </c>
      <c r="BJ4" s="142" t="str">
        <f t="shared" si="19"/>
        <v/>
      </c>
      <c r="BK4" s="143" t="str">
        <f>IFERROR($M4+VLOOKUP($L4,'Voyage days'!$F$807:$H$878,3,FALSE),"")</f>
        <v/>
      </c>
      <c r="BL4" s="143" t="str">
        <f>IFERROR($N4+VLOOKUP($L4,'Voyage days'!$F$807:$H$878,3,FALSE),"")</f>
        <v/>
      </c>
      <c r="BM4" s="143" t="str">
        <f>IFERROR($N4+VLOOKUP($L4,'Voyage days'!$F$807:$K$878,6,FALSE),"")</f>
        <v/>
      </c>
      <c r="BN4" s="146" t="str">
        <f>if(L4="loads AG", IFERROR($M4+VLOOKUP($L4,'Voyage days'!$M$38:$O$38,3,FALSE),""),"")</f>
        <v/>
      </c>
      <c r="BO4" s="146" t="str">
        <f>if(L4="loads USG", IFERROR($M4+VLOOKUP($L4,'Voyage days'!$L$203:$N$203,3,FALSE),""),"")</f>
        <v/>
      </c>
    </row>
    <row r="5" ht="15.75" customHeight="1">
      <c r="A5" s="147" t="s">
        <v>91</v>
      </c>
      <c r="B5" s="148">
        <v>2023.0</v>
      </c>
      <c r="C5" s="102">
        <v>91000.0</v>
      </c>
      <c r="D5" s="149"/>
      <c r="E5" s="149"/>
      <c r="F5" s="150"/>
      <c r="G5" s="150"/>
      <c r="H5" s="150"/>
      <c r="I5" s="105" t="s">
        <v>655</v>
      </c>
      <c r="J5" s="151" t="str">
        <f t="shared" ref="J5:J41" si="20">IF(W5="","NO AIS",IF((W5-M5-1)&gt;0,"Update",""))</f>
        <v/>
      </c>
      <c r="K5" s="152"/>
      <c r="L5" s="153" t="s">
        <v>656</v>
      </c>
      <c r="M5" s="154">
        <v>46155.0</v>
      </c>
      <c r="N5" s="154">
        <v>46156.0</v>
      </c>
      <c r="O5" s="155"/>
      <c r="P5" s="156" t="s">
        <v>661</v>
      </c>
      <c r="Q5" s="157"/>
      <c r="R5" s="158" t="s">
        <v>662</v>
      </c>
      <c r="S5" s="112" t="s">
        <v>659</v>
      </c>
      <c r="T5" s="113">
        <v>46124.0</v>
      </c>
      <c r="U5" s="114" t="str">
        <f>IF(V5="","No AIS",VLOOKUP(V5,'Voyage days'!$A$3:$B$1480,2,FALSE))</f>
        <v>+14 days to Far East</v>
      </c>
      <c r="V5" s="114" t="str">
        <f>IF(VLOOKUP(A5,'1) Kpler'!$E$2:$P$1000,8, FALSE)="","",VLOOKUP(A5,'1) Kpler'!$E$2:$P$1000,8, FALSE))</f>
        <v>RIPET</v>
      </c>
      <c r="W5" s="159">
        <f>IF(VLOOKUP(A5,'1) Kpler'!$E$2:$P$1000,9,FALSE)="","",VLOOKUP(A5,'1) Kpler'!$E$2:$P$1000,9,FALSE))</f>
        <v>46135.125</v>
      </c>
      <c r="X5" s="114" t="str">
        <f>VLOOKUP(A5,'1) Kpler'!$E$2:$I$1000,4,FALSE)</f>
        <v>ballast</v>
      </c>
      <c r="Y5" s="160" t="str">
        <f t="shared" si="1"/>
        <v>31-01 Jun</v>
      </c>
      <c r="Z5" s="160" t="str">
        <f t="shared" si="2"/>
        <v>13-14 Jun</v>
      </c>
      <c r="AA5" s="160" t="str">
        <f t="shared" si="3"/>
        <v>20-21 Jun</v>
      </c>
      <c r="AB5" s="160" t="str">
        <f t="shared" si="4"/>
        <v>12-13 Jun</v>
      </c>
      <c r="AC5" s="160" t="str">
        <f t="shared" si="5"/>
        <v>18-19 Jun</v>
      </c>
      <c r="AD5" s="160" t="str">
        <f t="shared" si="6"/>
        <v>21-22 May</v>
      </c>
      <c r="AE5" s="161" t="str">
        <f t="shared" si="7"/>
        <v>21-22 May</v>
      </c>
      <c r="AF5" s="162" t="str">
        <f t="shared" si="8"/>
        <v>28-29 Jun</v>
      </c>
      <c r="AG5" s="163" t="str">
        <f t="shared" si="9"/>
        <v>31-01 Jun</v>
      </c>
      <c r="AH5" s="122">
        <f>IFERROR($M5+VLOOKUP($L5,'Voyage days'!$F$38:$H$89,3,FALSE),"")</f>
        <v>46173</v>
      </c>
      <c r="AI5" s="122">
        <f>IFERROR(N5+VLOOKUP($L5,'Voyage days'!$F$38:$H$89,3,FALSE),"")</f>
        <v>46174</v>
      </c>
      <c r="AJ5" s="163" t="str">
        <f t="shared" si="10"/>
        <v>13-14 Jun</v>
      </c>
      <c r="AK5" s="122">
        <f>IFERROR($M5+VLOOKUP($L5,'Voyage days'!$F$94:$H$193,3,FALSE),"")</f>
        <v>46186</v>
      </c>
      <c r="AL5" s="122">
        <f>IFERROR($N5+VLOOKUP($L5,'Voyage days'!$F$94:$H$193,3,FALSE),"")</f>
        <v>46187</v>
      </c>
      <c r="AM5" s="163" t="str">
        <f t="shared" si="11"/>
        <v>20-21 Jun</v>
      </c>
      <c r="AN5" s="122">
        <f>IFERROR($M5+VLOOKUP($L5,'Voyage days'!$F$203:$H$256,3,FALSE),"")</f>
        <v>46193</v>
      </c>
      <c r="AO5" s="122">
        <f>IFERROR($N5+VLOOKUP($L5,'Voyage days'!$F$203:$H$256,3,FALSE),"")</f>
        <v>46194</v>
      </c>
      <c r="AP5" s="163" t="str">
        <f t="shared" si="12"/>
        <v>12-13 Jun</v>
      </c>
      <c r="AQ5" s="122">
        <f>IFERROR($M5+VLOOKUP($L5,'Voyage days'!$F$294:$H$377,3,FALSE),"")</f>
        <v>46185</v>
      </c>
      <c r="AR5" s="122">
        <f>IFERROR($N5+VLOOKUP($L5,'Voyage days'!$F$294:$H$377,3,FALSE),"")</f>
        <v>46186</v>
      </c>
      <c r="AS5" s="163" t="str">
        <f t="shared" si="13"/>
        <v>18-19 Jun</v>
      </c>
      <c r="AT5" s="122">
        <f>IFERROR($M5+VLOOKUP($L5,'Voyage days'!$F$382:$H$446,3,FALSE),"")</f>
        <v>46191</v>
      </c>
      <c r="AU5" s="122">
        <f>IFERROR($N5+VLOOKUP($L5,'Voyage days'!$F$382:$H$446,3,FALSE),"")</f>
        <v>46192</v>
      </c>
      <c r="AV5" s="163" t="str">
        <f t="shared" si="14"/>
        <v>26-27 May</v>
      </c>
      <c r="AW5" s="122">
        <f>IFERROR($M5+VLOOKUP($L5,'Voyage days'!$F$483:$H$538,3,FALSE),"")</f>
        <v>46168</v>
      </c>
      <c r="AX5" s="122">
        <f>IFERROR($N5+VLOOKUP($L5,'Voyage days'!$F$483:$H$538,3,FALSE),"")</f>
        <v>46169</v>
      </c>
      <c r="AY5" s="163" t="str">
        <f t="shared" si="15"/>
        <v>21-22 May</v>
      </c>
      <c r="AZ5" s="122">
        <f>IFERROR($M5+VLOOKUP($L5,'Voyage days'!$F$540:$H$613,3,FALSE),"")</f>
        <v>46163.25</v>
      </c>
      <c r="BA5" s="122">
        <f>IFERROR($N5+VLOOKUP($L5,'Voyage days'!$F$540:$H$613,3,FALSE),"")</f>
        <v>46164.25</v>
      </c>
      <c r="BB5" s="163" t="str">
        <f t="shared" si="16"/>
        <v>21-22 May</v>
      </c>
      <c r="BC5" s="121">
        <f>IFERROR($M5+VLOOKUP($L5,'Voyage days'!$F$448:$H$479,3,FALSE),"")</f>
        <v>46163</v>
      </c>
      <c r="BD5" s="121">
        <f>IFERROR($N5+VLOOKUP($L5,'Voyage days'!$F$448:$H$479,3,FALSE),"")</f>
        <v>46164</v>
      </c>
      <c r="BE5" s="163" t="str">
        <f t="shared" si="17"/>
        <v>24-25 May</v>
      </c>
      <c r="BF5" s="122">
        <f>IFERROR($M5+VLOOKUP($L5,'Voyage days'!$F$620:$H$646,3,FALSE),"")</f>
        <v>46166</v>
      </c>
      <c r="BG5" s="122">
        <f>IFERROR($N5+VLOOKUP($L5,'Voyage days'!$F$620:$H$646,3,FALSE),"")</f>
        <v>46167</v>
      </c>
      <c r="BH5" s="163" t="str">
        <f t="shared" si="18"/>
        <v>21-29 Jun</v>
      </c>
      <c r="BI5" s="123">
        <f>IFERROR($M5+VLOOKUP($L5,'Voyage days'!$F$702:$H$727,3,FALSE),"")</f>
        <v>46163.25</v>
      </c>
      <c r="BJ5" s="163" t="str">
        <f t="shared" si="19"/>
        <v>28-29 Jun</v>
      </c>
      <c r="BK5" s="122">
        <f>IFERROR($M5+VLOOKUP($L5,'Voyage days'!$F$807:$H$878,3,FALSE),"")</f>
        <v>46201</v>
      </c>
      <c r="BL5" s="122">
        <f>IFERROR($N5+VLOOKUP($L5,'Voyage days'!$F$807:$H$878,3,FALSE),"")</f>
        <v>46202</v>
      </c>
      <c r="BM5" s="122">
        <f>IFERROR($N5+VLOOKUP($L5,'Voyage days'!$F$807:$K$878,6,FALSE),"")</f>
        <v>46176</v>
      </c>
      <c r="BN5" s="121" t="str">
        <f>if(L5="loads AG", IFERROR($M5+VLOOKUP($L5,'Voyage days'!$M$38:$O$38,3,FALSE),""),"")</f>
        <v/>
      </c>
      <c r="BO5" s="121" t="str">
        <f>if(L5="loads USG", IFERROR($M5+VLOOKUP($L5,'Voyage days'!$L$203:$N$203,3,FALSE),""),"")</f>
        <v/>
      </c>
    </row>
    <row r="6" ht="15.75" customHeight="1">
      <c r="A6" s="164" t="s">
        <v>92</v>
      </c>
      <c r="B6" s="165">
        <v>2024.0</v>
      </c>
      <c r="C6" s="166">
        <v>91000.0</v>
      </c>
      <c r="D6" s="167"/>
      <c r="E6" s="167"/>
      <c r="F6" s="168"/>
      <c r="G6" s="168"/>
      <c r="H6" s="168"/>
      <c r="I6" s="169" t="s">
        <v>655</v>
      </c>
      <c r="J6" s="170" t="str">
        <f t="shared" si="20"/>
        <v/>
      </c>
      <c r="K6" s="171"/>
      <c r="L6" s="172" t="s">
        <v>663</v>
      </c>
      <c r="M6" s="173">
        <v>46137.0</v>
      </c>
      <c r="N6" s="173">
        <v>46138.0</v>
      </c>
      <c r="O6" s="174"/>
      <c r="P6" s="172" t="s">
        <v>664</v>
      </c>
      <c r="Q6" s="172"/>
      <c r="R6" s="172" t="s">
        <v>665</v>
      </c>
      <c r="S6" s="175" t="s">
        <v>659</v>
      </c>
      <c r="T6" s="176">
        <v>46124.0</v>
      </c>
      <c r="U6" s="177" t="str">
        <f>IF(V6="","No AIS",VLOOKUP(V6,'Voyage days'!$A$3:$B$1480,2,FALSE))</f>
        <v>East China + 4</v>
      </c>
      <c r="V6" s="178" t="str">
        <f>IF(VLOOKUP(A6,'1) Kpler'!$E$2:$P$1000,8, FALSE)="","",VLOOKUP(A6,'1) Kpler'!$E$2:$P$1000,8, FALSE))</f>
        <v>Wenzhou</v>
      </c>
      <c r="W6" s="179">
        <f>IF(VLOOKUP(A6,'1) Kpler'!$E$2:$P$1000,9,FALSE)="","",VLOOKUP(A6,'1) Kpler'!$E$2:$P$1000,9,FALSE))</f>
        <v>46132.70833</v>
      </c>
      <c r="X6" s="178" t="str">
        <f>VLOOKUP(A6,'1) Kpler'!$E$2:$I$1000,4,FALSE)</f>
        <v>loaded</v>
      </c>
      <c r="Y6" s="180" t="str">
        <f t="shared" si="1"/>
        <v>12-13 May</v>
      </c>
      <c r="Z6" s="180" t="str">
        <f t="shared" si="2"/>
        <v>28-29 May</v>
      </c>
      <c r="AA6" s="180" t="str">
        <f t="shared" si="3"/>
        <v>08-09 Jun</v>
      </c>
      <c r="AB6" s="180" t="str">
        <f t="shared" si="4"/>
        <v>23-24 May</v>
      </c>
      <c r="AC6" s="180" t="str">
        <f t="shared" si="5"/>
        <v>30-31 May</v>
      </c>
      <c r="AD6" s="180" t="str">
        <f t="shared" si="6"/>
        <v>01-02 May</v>
      </c>
      <c r="AE6" s="181" t="str">
        <f t="shared" si="7"/>
        <v>02-03 May</v>
      </c>
      <c r="AF6" s="182" t="str">
        <f t="shared" si="8"/>
        <v>08-09 Jun</v>
      </c>
      <c r="AG6" s="120" t="str">
        <f t="shared" si="9"/>
        <v>12-13 May</v>
      </c>
      <c r="AH6" s="121">
        <f>IFERROR($M6+VLOOKUP($L6,'Voyage days'!$F$38:$H$89,3,FALSE),"")</f>
        <v>46154</v>
      </c>
      <c r="AI6" s="121">
        <f>IFERROR(N6+VLOOKUP($L6,'Voyage days'!$F$38:$H$89,3,FALSE),"")</f>
        <v>46155</v>
      </c>
      <c r="AJ6" s="120" t="str">
        <f t="shared" si="10"/>
        <v>28-29 May</v>
      </c>
      <c r="AK6" s="121">
        <f>IFERROR($M6+VLOOKUP($L6,'Voyage days'!$F$94:$H$193,3,FALSE),"")</f>
        <v>46170</v>
      </c>
      <c r="AL6" s="121">
        <f>IFERROR($N6+VLOOKUP($L6,'Voyage days'!$F$94:$H$193,3,FALSE),"")</f>
        <v>46171</v>
      </c>
      <c r="AM6" s="120" t="str">
        <f t="shared" si="11"/>
        <v>08-09 Jun</v>
      </c>
      <c r="AN6" s="121">
        <f>IFERROR($M6+VLOOKUP($L6,'Voyage days'!$F$203:$H$256,3,FALSE),"")</f>
        <v>46181</v>
      </c>
      <c r="AO6" s="121">
        <f>IFERROR($N6+VLOOKUP($L6,'Voyage days'!$F$203:$H$256,3,FALSE),"")</f>
        <v>46182</v>
      </c>
      <c r="AP6" s="120" t="str">
        <f t="shared" si="12"/>
        <v>23-24 May</v>
      </c>
      <c r="AQ6" s="121">
        <f>IFERROR($M6+VLOOKUP($L6,'Voyage days'!$F$294:$H$377,3,FALSE),"")</f>
        <v>46165</v>
      </c>
      <c r="AR6" s="121">
        <f>IFERROR($N6+VLOOKUP($L6,'Voyage days'!$F$294:$H$377,3,FALSE),"")</f>
        <v>46166</v>
      </c>
      <c r="AS6" s="120" t="str">
        <f t="shared" si="13"/>
        <v>30-31 May</v>
      </c>
      <c r="AT6" s="121">
        <f>IFERROR($M6+VLOOKUP($L6,'Voyage days'!$F$382:$H$446,3,FALSE),"")</f>
        <v>46172</v>
      </c>
      <c r="AU6" s="121">
        <f>IFERROR($N6+VLOOKUP($L6,'Voyage days'!$F$382:$H$446,3,FALSE),"")</f>
        <v>46173</v>
      </c>
      <c r="AV6" s="120" t="str">
        <f t="shared" si="14"/>
        <v>09-10 May</v>
      </c>
      <c r="AW6" s="121">
        <f>IFERROR($M6+VLOOKUP($L6,'Voyage days'!$F$483:$H$538,3,FALSE),"")</f>
        <v>46151</v>
      </c>
      <c r="AX6" s="121">
        <f>IFERROR($N6+VLOOKUP($L6,'Voyage days'!$F$483:$H$538,3,FALSE),"")</f>
        <v>46152</v>
      </c>
      <c r="AY6" s="120" t="str">
        <f t="shared" si="15"/>
        <v>02-03 May</v>
      </c>
      <c r="AZ6" s="121">
        <f>IFERROR($M6+VLOOKUP($L6,'Voyage days'!$F$540:$H$613,3,FALSE),"")</f>
        <v>46144.25</v>
      </c>
      <c r="BA6" s="121">
        <f>IFERROR($N6+VLOOKUP($L6,'Voyage days'!$F$540:$H$613,3,FALSE),"")</f>
        <v>46145.25</v>
      </c>
      <c r="BB6" s="120" t="str">
        <f t="shared" si="16"/>
        <v>01-02 May</v>
      </c>
      <c r="BC6" s="121">
        <f>IFERROR($M6+VLOOKUP($L6,'Voyage days'!$F$448:$H$479,3,FALSE),"")</f>
        <v>46143</v>
      </c>
      <c r="BD6" s="121">
        <f>IFERROR($N6+VLOOKUP($L6,'Voyage days'!$F$448:$H$479,3,FALSE),"")</f>
        <v>46144</v>
      </c>
      <c r="BE6" s="120" t="str">
        <f t="shared" si="17"/>
        <v>08-09 May</v>
      </c>
      <c r="BF6" s="122">
        <f>IFERROR($M6+VLOOKUP($L6,'Voyage days'!$F$620:$H$646,3,FALSE),"")</f>
        <v>46150</v>
      </c>
      <c r="BG6" s="122">
        <f>IFERROR($N6+VLOOKUP($L6,'Voyage days'!$F$620:$H$646,3,FALSE),"")</f>
        <v>46151</v>
      </c>
      <c r="BH6" s="120" t="str">
        <f t="shared" si="18"/>
        <v>02-09 Jun</v>
      </c>
      <c r="BI6" s="123">
        <f>IFERROR($M6+VLOOKUP($L6,'Voyage days'!$F$702:$H$727,3,FALSE),"")</f>
        <v>46144.25</v>
      </c>
      <c r="BJ6" s="120" t="str">
        <f t="shared" si="19"/>
        <v>08-09 Jun</v>
      </c>
      <c r="BK6" s="122">
        <f>IFERROR($M6+VLOOKUP($L6,'Voyage days'!$F$807:$H$878,3,FALSE),"")</f>
        <v>46181</v>
      </c>
      <c r="BL6" s="122">
        <f>IFERROR($N6+VLOOKUP($L6,'Voyage days'!$F$807:$H$878,3,FALSE),"")</f>
        <v>46182</v>
      </c>
      <c r="BM6" s="122">
        <f>IFERROR($N6+VLOOKUP($L6,'Voyage days'!$F$807:$K$878,6,FALSE),"")</f>
        <v>46156</v>
      </c>
      <c r="BN6" s="121" t="str">
        <f>if(L6="loads AG", IFERROR($M6+VLOOKUP($L6,'Voyage days'!$M$38:$O$38,3,FALSE),""),"")</f>
        <v/>
      </c>
      <c r="BO6" s="121" t="str">
        <f>if(L6="loads USG", IFERROR($M6+VLOOKUP($L6,'Voyage days'!$L$203:$N$203,3,FALSE),""),"")</f>
        <v/>
      </c>
    </row>
    <row r="7">
      <c r="A7" s="80" t="s">
        <v>270</v>
      </c>
      <c r="B7" s="183">
        <v>2024.0</v>
      </c>
      <c r="C7" s="184">
        <v>86700.0</v>
      </c>
      <c r="D7" s="112"/>
      <c r="E7" s="112"/>
      <c r="F7" s="104"/>
      <c r="G7" s="104"/>
      <c r="H7" s="104" t="s">
        <v>666</v>
      </c>
      <c r="I7" s="185" t="s">
        <v>667</v>
      </c>
      <c r="J7" s="106" t="str">
        <f t="shared" si="20"/>
        <v/>
      </c>
      <c r="K7" s="107"/>
      <c r="L7" s="108" t="s">
        <v>668</v>
      </c>
      <c r="M7" s="109">
        <v>46152.0</v>
      </c>
      <c r="N7" s="109">
        <v>46153.0</v>
      </c>
      <c r="O7" s="186"/>
      <c r="P7" s="108" t="s">
        <v>669</v>
      </c>
      <c r="Q7" s="108"/>
      <c r="R7" s="187" t="s">
        <v>670</v>
      </c>
      <c r="S7" s="112" t="s">
        <v>659</v>
      </c>
      <c r="T7" s="188">
        <v>46124.0</v>
      </c>
      <c r="U7" s="114" t="str">
        <f>IF(V7="","No AIS",VLOOKUP(V7,'Voyage days'!$A$3:$B$1480,2,FALSE))</f>
        <v>Japan + 6</v>
      </c>
      <c r="V7" s="115" t="str">
        <f>IF(VLOOKUP(A7,'1) Kpler'!$E$2:$P$1000,8, FALSE)="","",VLOOKUP(A7,'1) Kpler'!$E$2:$P$1000,8, FALSE))</f>
        <v>Nagoya</v>
      </c>
      <c r="W7" s="116">
        <f>IF(VLOOKUP(A7,'1) Kpler'!$E$2:$P$1000,9,FALSE)="","",VLOOKUP(A7,'1) Kpler'!$E$2:$P$1000,9,FALSE))</f>
        <v>46146.125</v>
      </c>
      <c r="X7" s="115" t="str">
        <f>VLOOKUP(A7,'1) Kpler'!$E$2:$I$1000,4,FALSE)</f>
        <v>loaded</v>
      </c>
      <c r="Y7" s="117" t="str">
        <f t="shared" si="1"/>
        <v>28-29 May</v>
      </c>
      <c r="Z7" s="117" t="str">
        <f t="shared" si="2"/>
        <v>11-12 Jun</v>
      </c>
      <c r="AA7" s="117" t="str">
        <f t="shared" si="3"/>
        <v>21-22 Jun</v>
      </c>
      <c r="AB7" s="117" t="str">
        <f t="shared" si="4"/>
        <v>09-10 Jun</v>
      </c>
      <c r="AC7" s="117" t="str">
        <f t="shared" si="5"/>
        <v>15-16 Jun</v>
      </c>
      <c r="AD7" s="117" t="str">
        <f t="shared" si="6"/>
        <v>18-19 May</v>
      </c>
      <c r="AE7" s="118" t="str">
        <f t="shared" si="7"/>
        <v>18-19 May</v>
      </c>
      <c r="AF7" s="119" t="str">
        <f t="shared" si="8"/>
        <v>25-26 Jun</v>
      </c>
      <c r="AG7" s="120" t="str">
        <f t="shared" si="9"/>
        <v>28-29 May</v>
      </c>
      <c r="AH7" s="121">
        <f>IFERROR($M7+VLOOKUP($L7,'Voyage days'!$F$38:$H$89,3,FALSE),"")</f>
        <v>46170</v>
      </c>
      <c r="AI7" s="121">
        <f>IFERROR(N7+VLOOKUP($L7,'Voyage days'!$F$38:$H$89,3,FALSE),"")</f>
        <v>46171</v>
      </c>
      <c r="AJ7" s="120" t="str">
        <f t="shared" si="10"/>
        <v>11-12 Jun</v>
      </c>
      <c r="AK7" s="121">
        <f>IFERROR($M7+VLOOKUP($L7,'Voyage days'!$F$94:$H$193,3,FALSE),"")</f>
        <v>46184</v>
      </c>
      <c r="AL7" s="121">
        <f>IFERROR($N7+VLOOKUP($L7,'Voyage days'!$F$94:$H$193,3,FALSE),"")</f>
        <v>46185</v>
      </c>
      <c r="AM7" s="120" t="str">
        <f t="shared" si="11"/>
        <v>21-22 Jun</v>
      </c>
      <c r="AN7" s="121">
        <f>IFERROR($M7+VLOOKUP($L7,'Voyage days'!$F$203:$H$256,3,FALSE),"")</f>
        <v>46194</v>
      </c>
      <c r="AO7" s="121">
        <f>IFERROR($N7+VLOOKUP($L7,'Voyage days'!$F$203:$H$256,3,FALSE),"")</f>
        <v>46195</v>
      </c>
      <c r="AP7" s="120" t="str">
        <f t="shared" si="12"/>
        <v>09-10 Jun</v>
      </c>
      <c r="AQ7" s="121">
        <f>IFERROR($M7+VLOOKUP($L7,'Voyage days'!$F$294:$H$377,3,FALSE),"")</f>
        <v>46182</v>
      </c>
      <c r="AR7" s="121">
        <f>IFERROR($N7+VLOOKUP($L7,'Voyage days'!$F$294:$H$377,3,FALSE),"")</f>
        <v>46183</v>
      </c>
      <c r="AS7" s="120" t="str">
        <f t="shared" si="13"/>
        <v>15-16 Jun</v>
      </c>
      <c r="AT7" s="121">
        <f>IFERROR($M7+VLOOKUP($L7,'Voyage days'!$F$382:$H$446,3,FALSE),"")</f>
        <v>46188</v>
      </c>
      <c r="AU7" s="121">
        <f>IFERROR($N7+VLOOKUP($L7,'Voyage days'!$F$382:$H$446,3,FALSE),"")</f>
        <v>46189</v>
      </c>
      <c r="AV7" s="120" t="str">
        <f t="shared" si="14"/>
        <v>23-24 May</v>
      </c>
      <c r="AW7" s="121">
        <f>IFERROR($M7+VLOOKUP($L7,'Voyage days'!$F$483:$H$538,3,FALSE),"")</f>
        <v>46165</v>
      </c>
      <c r="AX7" s="121">
        <f>IFERROR($N7+VLOOKUP($L7,'Voyage days'!$F$483:$H$538,3,FALSE),"")</f>
        <v>46166</v>
      </c>
      <c r="AY7" s="120" t="str">
        <f t="shared" si="15"/>
        <v>18-19 May</v>
      </c>
      <c r="AZ7" s="121">
        <f>IFERROR($M7+VLOOKUP($L7,'Voyage days'!$F$540:$H$613,3,FALSE),"")</f>
        <v>46160.25</v>
      </c>
      <c r="BA7" s="121">
        <f>IFERROR($N7+VLOOKUP($L7,'Voyage days'!$F$540:$H$613,3,FALSE),"")</f>
        <v>46161.25</v>
      </c>
      <c r="BB7" s="120" t="str">
        <f t="shared" si="16"/>
        <v>18-19 May</v>
      </c>
      <c r="BC7" s="121">
        <f>IFERROR($M7+VLOOKUP($L7,'Voyage days'!$F$448:$H$479,3,FALSE),"")</f>
        <v>46160</v>
      </c>
      <c r="BD7" s="121">
        <f>IFERROR($N7+VLOOKUP($L7,'Voyage days'!$F$448:$H$479,3,FALSE),"")</f>
        <v>46161</v>
      </c>
      <c r="BE7" s="120" t="str">
        <f t="shared" si="17"/>
        <v>21-22 May</v>
      </c>
      <c r="BF7" s="122">
        <f>IFERROR($M7+VLOOKUP($L7,'Voyage days'!$F$620:$H$646,3,FALSE),"")</f>
        <v>46163</v>
      </c>
      <c r="BG7" s="122">
        <f>IFERROR($N7+VLOOKUP($L7,'Voyage days'!$F$620:$H$646,3,FALSE),"")</f>
        <v>46164</v>
      </c>
      <c r="BH7" s="120" t="str">
        <f t="shared" si="18"/>
        <v>18-26 Jun</v>
      </c>
      <c r="BI7" s="123">
        <f>IFERROR($M7+VLOOKUP($L7,'Voyage days'!$F$702:$H$727,3,FALSE),"")</f>
        <v>46160.25</v>
      </c>
      <c r="BJ7" s="120" t="str">
        <f t="shared" si="19"/>
        <v>25-26 Jun</v>
      </c>
      <c r="BK7" s="122">
        <f>IFERROR($M7+VLOOKUP($L7,'Voyage days'!$F$807:$H$878,3,FALSE),"")</f>
        <v>46198</v>
      </c>
      <c r="BL7" s="122">
        <f>IFERROR($N7+VLOOKUP($L7,'Voyage days'!$F$807:$H$878,3,FALSE),"")</f>
        <v>46199</v>
      </c>
      <c r="BM7" s="122">
        <f>IFERROR($N7+VLOOKUP($L7,'Voyage days'!$F$807:$K$878,6,FALSE),"")</f>
        <v>46173</v>
      </c>
      <c r="BN7" s="121" t="str">
        <f>if(L7="loads AG", IFERROR($M7+VLOOKUP($L7,'Voyage days'!$M$38:$O$38,3,FALSE),""),"")</f>
        <v/>
      </c>
      <c r="BO7" s="121" t="str">
        <f>if(L7="loads USG", IFERROR($M7+VLOOKUP($L7,'Voyage days'!$L$203:$N$203,3,FALSE),""),"")</f>
        <v/>
      </c>
    </row>
    <row r="8">
      <c r="A8" s="80" t="s">
        <v>282</v>
      </c>
      <c r="B8" s="189">
        <v>37773.0</v>
      </c>
      <c r="C8" s="190">
        <v>78934.0</v>
      </c>
      <c r="D8" s="112"/>
      <c r="E8" s="112"/>
      <c r="F8" s="104"/>
      <c r="G8" s="104"/>
      <c r="H8" s="104"/>
      <c r="I8" s="185" t="s">
        <v>667</v>
      </c>
      <c r="J8" s="106" t="str">
        <f t="shared" si="20"/>
        <v>Update</v>
      </c>
      <c r="K8" s="107"/>
      <c r="L8" s="108" t="s">
        <v>671</v>
      </c>
      <c r="M8" s="109">
        <v>46125.0</v>
      </c>
      <c r="N8" s="109">
        <v>46126.0</v>
      </c>
      <c r="O8" s="191"/>
      <c r="P8" s="108" t="s">
        <v>672</v>
      </c>
      <c r="Q8" s="192"/>
      <c r="R8" s="192" t="s">
        <v>673</v>
      </c>
      <c r="S8" s="112" t="s">
        <v>659</v>
      </c>
      <c r="T8" s="188">
        <v>46124.0</v>
      </c>
      <c r="U8" s="114" t="str">
        <f>IF(V8="","No AIS",VLOOKUP(V8,'Voyage days'!$A$3:$B$1480,2,FALSE))</f>
        <v>USG</v>
      </c>
      <c r="V8" s="115" t="str">
        <f>IF(VLOOKUP(A8,'1) Kpler'!$E$2:$P$1000,8, FALSE)="","",VLOOKUP(A8,'1) Kpler'!$E$2:$P$1000,8, FALSE))</f>
        <v>Houston</v>
      </c>
      <c r="W8" s="116">
        <f>IF(VLOOKUP(A8,'1) Kpler'!$E$2:$P$1000,9,FALSE)="","",VLOOKUP(A8,'1) Kpler'!$E$2:$P$1000,9,FALSE))</f>
        <v>46146.125</v>
      </c>
      <c r="X8" s="115" t="str">
        <f>VLOOKUP(A8,'1) Kpler'!$E$2:$I$1000,4,FALSE)</f>
        <v>ballast</v>
      </c>
      <c r="Y8" s="160" t="str">
        <f t="shared" si="1"/>
        <v/>
      </c>
      <c r="Z8" s="160" t="str">
        <f t="shared" si="2"/>
        <v/>
      </c>
      <c r="AA8" s="160" t="str">
        <f t="shared" si="3"/>
        <v>04-05 May</v>
      </c>
      <c r="AB8" s="160" t="str">
        <f t="shared" si="4"/>
        <v>23-24 Apr</v>
      </c>
      <c r="AC8" s="160" t="str">
        <f t="shared" si="5"/>
        <v>29-30 Apr</v>
      </c>
      <c r="AD8" s="160" t="str">
        <f t="shared" si="6"/>
        <v>29-30 Apr</v>
      </c>
      <c r="AE8" s="161" t="str">
        <f t="shared" si="7"/>
        <v/>
      </c>
      <c r="AF8" s="162" t="str">
        <f t="shared" si="8"/>
        <v>06-07 May</v>
      </c>
      <c r="AG8" s="120" t="str">
        <f t="shared" si="9"/>
        <v/>
      </c>
      <c r="AH8" s="121" t="str">
        <f>IFERROR($M8+VLOOKUP($L8,'Voyage days'!$F$38:$H$89,3,FALSE),"")</f>
        <v/>
      </c>
      <c r="AI8" s="121" t="str">
        <f>IFERROR(N8+VLOOKUP($L8,'Voyage days'!$F$38:$H$89,3,FALSE),"")</f>
        <v/>
      </c>
      <c r="AJ8" s="120" t="str">
        <f t="shared" si="10"/>
        <v/>
      </c>
      <c r="AK8" s="121" t="str">
        <f>IFERROR($M8+VLOOKUP($L8,'Voyage days'!$F$94:$H$193,3,FALSE),"")</f>
        <v/>
      </c>
      <c r="AL8" s="121" t="str">
        <f>IFERROR($N8+VLOOKUP($L8,'Voyage days'!$F$94:$H$193,3,FALSE),"")</f>
        <v/>
      </c>
      <c r="AM8" s="120" t="str">
        <f t="shared" si="11"/>
        <v>04-05 May</v>
      </c>
      <c r="AN8" s="121">
        <f>IFERROR($M8+VLOOKUP($L8,'Voyage days'!$F$203:$H$256,3,FALSE),"")</f>
        <v>46146</v>
      </c>
      <c r="AO8" s="121">
        <f>IFERROR($N8+VLOOKUP($L8,'Voyage days'!$F$203:$H$256,3,FALSE),"")</f>
        <v>46147</v>
      </c>
      <c r="AP8" s="120" t="str">
        <f t="shared" si="12"/>
        <v>23-24 Apr</v>
      </c>
      <c r="AQ8" s="121">
        <f>IFERROR($M8+VLOOKUP($L8,'Voyage days'!$F$294:$H$377,3,FALSE),"")</f>
        <v>46135</v>
      </c>
      <c r="AR8" s="121">
        <f>IFERROR($N8+VLOOKUP($L8,'Voyage days'!$F$294:$H$377,3,FALSE),"")</f>
        <v>46136</v>
      </c>
      <c r="AS8" s="120" t="str">
        <f t="shared" si="13"/>
        <v>29-30 Apr</v>
      </c>
      <c r="AT8" s="121">
        <f>IFERROR($M8+VLOOKUP($L8,'Voyage days'!$F$382:$H$446,3,FALSE),"")</f>
        <v>46141</v>
      </c>
      <c r="AU8" s="121">
        <f>IFERROR($N8+VLOOKUP($L8,'Voyage days'!$F$382:$H$446,3,FALSE),"")</f>
        <v>46142</v>
      </c>
      <c r="AV8" s="120" t="str">
        <f t="shared" si="14"/>
        <v/>
      </c>
      <c r="AW8" s="121" t="str">
        <f>IFERROR($M8+VLOOKUP($L8,'Voyage days'!$F$483:$H$538,3,FALSE),"")</f>
        <v/>
      </c>
      <c r="AX8" s="121" t="str">
        <f>IFERROR($N8+VLOOKUP($L8,'Voyage days'!$F$483:$H$538,3,FALSE),"")</f>
        <v/>
      </c>
      <c r="AY8" s="120" t="str">
        <f t="shared" si="15"/>
        <v/>
      </c>
      <c r="AZ8" s="121" t="str">
        <f>IFERROR($M8+VLOOKUP($L8,'Voyage days'!$F$540:$H$613,3,FALSE),"")</f>
        <v/>
      </c>
      <c r="BA8" s="121" t="str">
        <f>IFERROR($N8+VLOOKUP($L8,'Voyage days'!$F$540:$H$613,3,FALSE),"")</f>
        <v/>
      </c>
      <c r="BB8" s="120" t="str">
        <f t="shared" si="16"/>
        <v>29-30 Apr</v>
      </c>
      <c r="BC8" s="121">
        <f>IFERROR($M8+VLOOKUP($L8,'Voyage days'!$F$448:$H$479,3,FALSE),"")</f>
        <v>46141</v>
      </c>
      <c r="BD8" s="121">
        <f>IFERROR($N8+VLOOKUP($L8,'Voyage days'!$F$448:$H$479,3,FALSE),"")</f>
        <v>46142</v>
      </c>
      <c r="BE8" s="120" t="str">
        <f t="shared" si="17"/>
        <v/>
      </c>
      <c r="BF8" s="122" t="str">
        <f>IFERROR($M8+VLOOKUP($L8,'Voyage days'!$F$620:$H$646,3,FALSE),"")</f>
        <v/>
      </c>
      <c r="BG8" s="122" t="str">
        <f>IFERROR($N8+VLOOKUP($L8,'Voyage days'!$F$620:$H$646,3,FALSE),"")</f>
        <v/>
      </c>
      <c r="BH8" s="120" t="str">
        <f t="shared" si="18"/>
        <v/>
      </c>
      <c r="BI8" s="123" t="str">
        <f>IFERROR($M8+VLOOKUP($L8,'Voyage days'!$F$702:$H$727,3,FALSE),"")</f>
        <v/>
      </c>
      <c r="BJ8" s="120" t="str">
        <f t="shared" si="19"/>
        <v>06-07 May</v>
      </c>
      <c r="BK8" s="122">
        <f>IFERROR($M8+VLOOKUP($L8,'Voyage days'!$F$807:$H$878,3,FALSE),"")</f>
        <v>46148</v>
      </c>
      <c r="BL8" s="122">
        <f>IFERROR($N8+VLOOKUP($L8,'Voyage days'!$F$807:$H$878,3,FALSE),"")</f>
        <v>46149</v>
      </c>
      <c r="BM8" s="122">
        <f>IFERROR($N8+VLOOKUP($L8,'Voyage days'!$F$807:$K$878,6,FALSE),"")</f>
        <v>46126</v>
      </c>
      <c r="BN8" s="121" t="str">
        <f>if(L8="loads AG", IFERROR($M8+VLOOKUP($L8,'Voyage days'!$M$38:$O$38,3,FALSE),""),"")</f>
        <v/>
      </c>
      <c r="BO8" s="121" t="str">
        <f>if(L8="loads USG", IFERROR($M8+VLOOKUP($L8,'Voyage days'!$L$203:$N$203,3,FALSE),""),"")</f>
        <v/>
      </c>
    </row>
    <row r="9" ht="15.75" customHeight="1">
      <c r="A9" s="100" t="s">
        <v>409</v>
      </c>
      <c r="B9" s="189">
        <v>37895.0</v>
      </c>
      <c r="C9" s="102">
        <v>82000.0</v>
      </c>
      <c r="D9" s="103"/>
      <c r="E9" s="103"/>
      <c r="F9" s="104"/>
      <c r="G9" s="104"/>
      <c r="H9" s="104"/>
      <c r="I9" s="185" t="s">
        <v>667</v>
      </c>
      <c r="J9" s="106" t="str">
        <f t="shared" si="20"/>
        <v>NO AIS</v>
      </c>
      <c r="K9" s="107"/>
      <c r="L9" s="187" t="s">
        <v>674</v>
      </c>
      <c r="M9" s="154">
        <v>46124.0</v>
      </c>
      <c r="N9" s="154">
        <v>46125.0</v>
      </c>
      <c r="O9" s="191"/>
      <c r="P9" s="108" t="s">
        <v>675</v>
      </c>
      <c r="Q9" s="185"/>
      <c r="R9" s="108" t="s">
        <v>676</v>
      </c>
      <c r="S9" s="112" t="s">
        <v>659</v>
      </c>
      <c r="T9" s="188">
        <v>46124.0</v>
      </c>
      <c r="U9" s="114" t="str">
        <f>IF(V9="","No AIS",VLOOKUP(V9,'Voyage days'!$A$3:$B$1480,2,FALSE))</f>
        <v>No AIS</v>
      </c>
      <c r="V9" s="115" t="str">
        <f>IF(VLOOKUP(A9,'1) Kpler'!$E$2:$P$1000,8, FALSE)="","",VLOOKUP(A9,'1) Kpler'!$E$2:$P$1000,8, FALSE))</f>
        <v/>
      </c>
      <c r="W9" s="116" t="str">
        <f>IF(VLOOKUP(A9,'1) Kpler'!$E$2:$P$1000,9,FALSE)="","",VLOOKUP(A9,'1) Kpler'!$E$2:$P$1000,9,FALSE))</f>
        <v/>
      </c>
      <c r="X9" s="115" t="str">
        <f>VLOOKUP(A9,'1) Kpler'!$E$2:$I$1000,4,FALSE)</f>
        <v>ballast</v>
      </c>
      <c r="Y9" s="117" t="str">
        <f t="shared" si="1"/>
        <v/>
      </c>
      <c r="Z9" s="117" t="str">
        <f t="shared" si="2"/>
        <v>29-30 Apr</v>
      </c>
      <c r="AA9" s="117" t="str">
        <f t="shared" si="3"/>
        <v/>
      </c>
      <c r="AB9" s="117" t="str">
        <f t="shared" si="4"/>
        <v/>
      </c>
      <c r="AC9" s="117" t="str">
        <f t="shared" si="5"/>
        <v/>
      </c>
      <c r="AD9" s="117" t="str">
        <f t="shared" si="6"/>
        <v/>
      </c>
      <c r="AE9" s="118" t="str">
        <f t="shared" si="7"/>
        <v/>
      </c>
      <c r="AF9" s="119" t="str">
        <f t="shared" si="8"/>
        <v/>
      </c>
      <c r="AG9" s="120" t="str">
        <f t="shared" si="9"/>
        <v/>
      </c>
      <c r="AH9" s="121" t="str">
        <f>IFERROR($M9+VLOOKUP($L9,'Voyage days'!$F$38:$H$89,3,FALSE),"")</f>
        <v/>
      </c>
      <c r="AI9" s="121" t="str">
        <f>IFERROR(N9+VLOOKUP($L9,'Voyage days'!$F$38:$H$89,3,FALSE),"")</f>
        <v/>
      </c>
      <c r="AJ9" s="120" t="str">
        <f t="shared" si="10"/>
        <v>29-30 Apr</v>
      </c>
      <c r="AK9" s="121">
        <f>IFERROR($M9+VLOOKUP($L9,'Voyage days'!$F$94:$H$193,3,FALSE),"")</f>
        <v>46141</v>
      </c>
      <c r="AL9" s="121">
        <f>IFERROR($N9+VLOOKUP($L9,'Voyage days'!$F$94:$H$193,3,FALSE),"")</f>
        <v>46142</v>
      </c>
      <c r="AM9" s="120" t="str">
        <f t="shared" si="11"/>
        <v/>
      </c>
      <c r="AN9" s="121" t="str">
        <f>IFERROR($M9+VLOOKUP($L9,'Voyage days'!$F$203:$H$256,3,FALSE),"")</f>
        <v/>
      </c>
      <c r="AO9" s="121" t="str">
        <f>IFERROR($N9+VLOOKUP($L9,'Voyage days'!$F$203:$H$256,3,FALSE),"")</f>
        <v/>
      </c>
      <c r="AP9" s="120" t="str">
        <f t="shared" si="12"/>
        <v/>
      </c>
      <c r="AQ9" s="121" t="str">
        <f>IFERROR($M9+VLOOKUP($L9,'Voyage days'!$F$294:$H$377,3,FALSE),"")</f>
        <v/>
      </c>
      <c r="AR9" s="121" t="str">
        <f>IFERROR($N9+VLOOKUP($L9,'Voyage days'!$F$294:$H$377,3,FALSE),"")</f>
        <v/>
      </c>
      <c r="AS9" s="120" t="str">
        <f t="shared" si="13"/>
        <v/>
      </c>
      <c r="AT9" s="121" t="str">
        <f>IFERROR($M9+VLOOKUP($L9,'Voyage days'!$F$382:$H$446,3,FALSE),"")</f>
        <v/>
      </c>
      <c r="AU9" s="121" t="str">
        <f>IFERROR($N9+VLOOKUP($L9,'Voyage days'!$F$382:$H$446,3,FALSE),"")</f>
        <v/>
      </c>
      <c r="AV9" s="120" t="str">
        <f t="shared" si="14"/>
        <v/>
      </c>
      <c r="AW9" s="121" t="str">
        <f>IFERROR($M9+VLOOKUP($L9,'Voyage days'!$F$483:$H$538,3,FALSE),"")</f>
        <v/>
      </c>
      <c r="AX9" s="121" t="str">
        <f>IFERROR($N9+VLOOKUP($L9,'Voyage days'!$F$483:$H$538,3,FALSE),"")</f>
        <v/>
      </c>
      <c r="AY9" s="120" t="str">
        <f t="shared" si="15"/>
        <v/>
      </c>
      <c r="AZ9" s="121" t="str">
        <f>IFERROR($M9+VLOOKUP($L9,'Voyage days'!$F$540:$H$613,3,FALSE),"")</f>
        <v/>
      </c>
      <c r="BA9" s="121" t="str">
        <f>IFERROR($N9+VLOOKUP($L9,'Voyage days'!$F$540:$H$613,3,FALSE),"")</f>
        <v/>
      </c>
      <c r="BB9" s="120" t="str">
        <f t="shared" si="16"/>
        <v/>
      </c>
      <c r="BC9" s="121" t="str">
        <f>IFERROR($M9+VLOOKUP($L9,'Voyage days'!$F$448:$H$479,3,FALSE),"")</f>
        <v/>
      </c>
      <c r="BD9" s="121" t="str">
        <f>IFERROR($N9+VLOOKUP($L9,'Voyage days'!$F$448:$H$479,3,FALSE),"")</f>
        <v/>
      </c>
      <c r="BE9" s="120" t="str">
        <f t="shared" si="17"/>
        <v/>
      </c>
      <c r="BF9" s="122" t="str">
        <f>IFERROR($M9+VLOOKUP($L9,'Voyage days'!$F$620:$H$646,3,FALSE),"")</f>
        <v/>
      </c>
      <c r="BG9" s="122" t="str">
        <f>IFERROR($N9+VLOOKUP($L9,'Voyage days'!$F$620:$H$646,3,FALSE),"")</f>
        <v/>
      </c>
      <c r="BH9" s="120" t="str">
        <f t="shared" si="18"/>
        <v/>
      </c>
      <c r="BI9" s="123" t="str">
        <f>IFERROR($M9+VLOOKUP($L9,'Voyage days'!$F$702:$H$727,3,FALSE),"")</f>
        <v/>
      </c>
      <c r="BJ9" s="120" t="str">
        <f t="shared" si="19"/>
        <v/>
      </c>
      <c r="BK9" s="122" t="str">
        <f>IFERROR($M9+VLOOKUP($L9,'Voyage days'!$F$807:$H$878,3,FALSE),"")</f>
        <v/>
      </c>
      <c r="BL9" s="122" t="str">
        <f>IFERROR($N9+VLOOKUP($L9,'Voyage days'!$F$807:$H$878,3,FALSE),"")</f>
        <v/>
      </c>
      <c r="BM9" s="122" t="str">
        <f>IFERROR($N9+VLOOKUP($L9,'Voyage days'!$F$807:$K$878,6,FALSE),"")</f>
        <v/>
      </c>
      <c r="BN9" s="121" t="str">
        <f>if(L9="loads AG", IFERROR($M9+VLOOKUP($L9,'Voyage days'!$M$38:$O$38,3,FALSE),""),"")</f>
        <v/>
      </c>
      <c r="BO9" s="121" t="str">
        <f>if(L9="loads USG", IFERROR($M9+VLOOKUP($L9,'Voyage days'!$L$203:$N$203,3,FALSE),""),"")</f>
        <v/>
      </c>
    </row>
    <row r="10" ht="15.75" customHeight="1">
      <c r="A10" s="80" t="s">
        <v>411</v>
      </c>
      <c r="B10" s="148">
        <v>2023.0</v>
      </c>
      <c r="C10" s="102">
        <v>84000.0</v>
      </c>
      <c r="D10" s="103"/>
      <c r="E10" s="103"/>
      <c r="F10" s="104"/>
      <c r="G10" s="104"/>
      <c r="H10" s="104" t="s">
        <v>666</v>
      </c>
      <c r="I10" s="185" t="s">
        <v>667</v>
      </c>
      <c r="J10" s="106" t="str">
        <f t="shared" si="20"/>
        <v>Update</v>
      </c>
      <c r="K10" s="193"/>
      <c r="L10" s="187" t="s">
        <v>677</v>
      </c>
      <c r="M10" s="154">
        <v>46143.0</v>
      </c>
      <c r="N10" s="154">
        <v>46144.0</v>
      </c>
      <c r="O10" s="191"/>
      <c r="P10" s="192" t="s">
        <v>678</v>
      </c>
      <c r="Q10" s="108"/>
      <c r="R10" s="108" t="s">
        <v>679</v>
      </c>
      <c r="S10" s="112" t="s">
        <v>659</v>
      </c>
      <c r="T10" s="188">
        <v>46124.0</v>
      </c>
      <c r="U10" s="114" t="str">
        <f>IF(V10="","No AIS",VLOOKUP(V10,'Voyage days'!$A$3:$B$1480,2,FALSE))</f>
        <v>Panama</v>
      </c>
      <c r="V10" s="115" t="str">
        <f>IF(VLOOKUP(A10,'1) Kpler'!$E$2:$P$1000,8, FALSE)="","",VLOOKUP(A10,'1) Kpler'!$E$2:$P$1000,8, FALSE))</f>
        <v>Panama Canal</v>
      </c>
      <c r="W10" s="116">
        <f>IF(VLOOKUP(A10,'1) Kpler'!$E$2:$P$1000,9,FALSE)="","",VLOOKUP(A10,'1) Kpler'!$E$2:$P$1000,9,FALSE))</f>
        <v>46145.70833</v>
      </c>
      <c r="X10" s="115" t="str">
        <f>VLOOKUP(A10,'1) Kpler'!$E$2:$I$1000,4,FALSE)</f>
        <v>ballast</v>
      </c>
      <c r="Y10" s="117" t="str">
        <f t="shared" si="1"/>
        <v/>
      </c>
      <c r="Z10" s="117" t="str">
        <f t="shared" si="2"/>
        <v>12-13 May</v>
      </c>
      <c r="AA10" s="117" t="str">
        <f t="shared" si="3"/>
        <v/>
      </c>
      <c r="AB10" s="117" t="str">
        <f t="shared" si="4"/>
        <v/>
      </c>
      <c r="AC10" s="117" t="str">
        <f t="shared" si="5"/>
        <v/>
      </c>
      <c r="AD10" s="117" t="str">
        <f t="shared" si="6"/>
        <v/>
      </c>
      <c r="AE10" s="118" t="str">
        <f t="shared" si="7"/>
        <v/>
      </c>
      <c r="AF10" s="119" t="str">
        <f t="shared" si="8"/>
        <v/>
      </c>
      <c r="AG10" s="120" t="str">
        <f t="shared" si="9"/>
        <v/>
      </c>
      <c r="AH10" s="121" t="str">
        <f>IFERROR($M10+VLOOKUP($L10,'Voyage days'!$F$38:$H$89,3,FALSE),"")</f>
        <v/>
      </c>
      <c r="AI10" s="121" t="str">
        <f>IFERROR(N10+VLOOKUP($L10,'Voyage days'!$F$38:$H$89,3,FALSE),"")</f>
        <v/>
      </c>
      <c r="AJ10" s="120" t="str">
        <f t="shared" si="10"/>
        <v>12-13 May</v>
      </c>
      <c r="AK10" s="121">
        <f>IFERROR($M10+VLOOKUP($L10,'Voyage days'!$F$94:$H$193,3,FALSE),"")</f>
        <v>46154</v>
      </c>
      <c r="AL10" s="121">
        <f>IFERROR($N10+VLOOKUP($L10,'Voyage days'!$F$94:$H$193,3,FALSE),"")</f>
        <v>46155</v>
      </c>
      <c r="AM10" s="120" t="str">
        <f t="shared" si="11"/>
        <v/>
      </c>
      <c r="AN10" s="121" t="str">
        <f>IFERROR($M10+VLOOKUP($L10,'Voyage days'!$F$203:$H$256,3,FALSE),"")</f>
        <v/>
      </c>
      <c r="AO10" s="121" t="str">
        <f>IFERROR($N10+VLOOKUP($L10,'Voyage days'!$F$203:$H$256,3,FALSE),"")</f>
        <v/>
      </c>
      <c r="AP10" s="120" t="str">
        <f t="shared" si="12"/>
        <v/>
      </c>
      <c r="AQ10" s="121" t="str">
        <f>IFERROR($M10+VLOOKUP($L10,'Voyage days'!$F$294:$H$377,3,FALSE),"")</f>
        <v/>
      </c>
      <c r="AR10" s="121" t="str">
        <f>IFERROR($N10+VLOOKUP($L10,'Voyage days'!$F$294:$H$377,3,FALSE),"")</f>
        <v/>
      </c>
      <c r="AS10" s="120" t="str">
        <f t="shared" si="13"/>
        <v/>
      </c>
      <c r="AT10" s="121" t="str">
        <f>IFERROR($M10+VLOOKUP($L10,'Voyage days'!$F$382:$H$446,3,FALSE),"")</f>
        <v/>
      </c>
      <c r="AU10" s="121" t="str">
        <f>IFERROR($N10+VLOOKUP($L10,'Voyage days'!$F$382:$H$446,3,FALSE),"")</f>
        <v/>
      </c>
      <c r="AV10" s="120" t="str">
        <f t="shared" si="14"/>
        <v/>
      </c>
      <c r="AW10" s="121" t="str">
        <f>IFERROR($M10+VLOOKUP($L10,'Voyage days'!$F$483:$H$538,3,FALSE),"")</f>
        <v/>
      </c>
      <c r="AX10" s="121" t="str">
        <f>IFERROR($N10+VLOOKUP($L10,'Voyage days'!$F$483:$H$538,3,FALSE),"")</f>
        <v/>
      </c>
      <c r="AY10" s="120" t="str">
        <f t="shared" si="15"/>
        <v/>
      </c>
      <c r="AZ10" s="121" t="str">
        <f>IFERROR($M10+VLOOKUP($L10,'Voyage days'!$F$540:$H$613,3,FALSE),"")</f>
        <v/>
      </c>
      <c r="BA10" s="121" t="str">
        <f>IFERROR($N10+VLOOKUP($L10,'Voyage days'!$F$540:$H$613,3,FALSE),"")</f>
        <v/>
      </c>
      <c r="BB10" s="120" t="str">
        <f t="shared" si="16"/>
        <v/>
      </c>
      <c r="BC10" s="121" t="str">
        <f>IFERROR($M10+VLOOKUP($L10,'Voyage days'!$F$448:$H$479,3,FALSE),"")</f>
        <v/>
      </c>
      <c r="BD10" s="121" t="str">
        <f>IFERROR($N10+VLOOKUP($L10,'Voyage days'!$F$448:$H$479,3,FALSE),"")</f>
        <v/>
      </c>
      <c r="BE10" s="120" t="str">
        <f t="shared" si="17"/>
        <v/>
      </c>
      <c r="BF10" s="122" t="str">
        <f>IFERROR($M10+VLOOKUP($L10,'Voyage days'!$F$620:$H$646,3,FALSE),"")</f>
        <v/>
      </c>
      <c r="BG10" s="122" t="str">
        <f>IFERROR($N10+VLOOKUP($L10,'Voyage days'!$F$620:$H$646,3,FALSE),"")</f>
        <v/>
      </c>
      <c r="BH10" s="120" t="str">
        <f t="shared" si="18"/>
        <v/>
      </c>
      <c r="BI10" s="123" t="str">
        <f>IFERROR($M10+VLOOKUP($L10,'Voyage days'!$F$702:$H$727,3,FALSE),"")</f>
        <v/>
      </c>
      <c r="BJ10" s="120" t="str">
        <f t="shared" si="19"/>
        <v/>
      </c>
      <c r="BK10" s="122" t="str">
        <f>IFERROR($M10+VLOOKUP($L10,'Voyage days'!$F$807:$H$878,3,FALSE),"")</f>
        <v/>
      </c>
      <c r="BL10" s="122" t="str">
        <f>IFERROR($N10+VLOOKUP($L10,'Voyage days'!$F$807:$H$878,3,FALSE),"")</f>
        <v/>
      </c>
      <c r="BM10" s="122" t="str">
        <f>IFERROR($N10+VLOOKUP($L10,'Voyage days'!$F$807:$K$878,6,FALSE),"")</f>
        <v/>
      </c>
      <c r="BN10" s="121" t="str">
        <f>if(L10="loads AG", IFERROR($M10+VLOOKUP($L10,'Voyage days'!$M$38:$O$38,3,FALSE),""),"")</f>
        <v/>
      </c>
      <c r="BO10" s="121" t="str">
        <f>if(L10="loads USG", IFERROR($M10+VLOOKUP($L10,'Voyage days'!$L$203:$N$203,3,FALSE),""),"")</f>
        <v/>
      </c>
    </row>
    <row r="11">
      <c r="A11" s="100" t="s">
        <v>412</v>
      </c>
      <c r="B11" s="194">
        <v>43435.0</v>
      </c>
      <c r="C11" s="184">
        <v>83000.0</v>
      </c>
      <c r="D11" s="195"/>
      <c r="E11" s="195"/>
      <c r="F11" s="196"/>
      <c r="G11" s="196"/>
      <c r="H11" s="196"/>
      <c r="I11" s="111" t="s">
        <v>667</v>
      </c>
      <c r="J11" s="106" t="str">
        <f t="shared" si="20"/>
        <v>Update</v>
      </c>
      <c r="K11" s="107"/>
      <c r="L11" s="108" t="s">
        <v>680</v>
      </c>
      <c r="M11" s="109">
        <v>46126.0</v>
      </c>
      <c r="N11" s="109">
        <v>46127.0</v>
      </c>
      <c r="O11" s="191"/>
      <c r="P11" s="108" t="s">
        <v>681</v>
      </c>
      <c r="Q11" s="197"/>
      <c r="R11" s="197" t="s">
        <v>682</v>
      </c>
      <c r="S11" s="112" t="s">
        <v>659</v>
      </c>
      <c r="T11" s="188">
        <v>46124.0</v>
      </c>
      <c r="U11" s="114" t="str">
        <f>IF(V11="","No AIS",VLOOKUP(V11,'Voyage days'!$A$3:$B$1480,2,FALSE))</f>
        <v>Panama</v>
      </c>
      <c r="V11" s="115" t="str">
        <f>IF(VLOOKUP(A11,'1) Kpler'!$E$2:$P$1000,8, FALSE)="","",VLOOKUP(A11,'1) Kpler'!$E$2:$P$1000,8, FALSE))</f>
        <v>Panama Canal</v>
      </c>
      <c r="W11" s="116">
        <f>IF(VLOOKUP(A11,'1) Kpler'!$E$2:$P$1000,9,FALSE)="","",VLOOKUP(A11,'1) Kpler'!$E$2:$P$1000,9,FALSE))</f>
        <v>46136.875</v>
      </c>
      <c r="X11" s="115" t="str">
        <f>VLOOKUP(A11,'1) Kpler'!$E$2:$I$1000,4,FALSE)</f>
        <v>loaded</v>
      </c>
      <c r="Y11" s="160" t="str">
        <f t="shared" si="1"/>
        <v/>
      </c>
      <c r="Z11" s="160" t="str">
        <f t="shared" si="2"/>
        <v>14-15 Apr</v>
      </c>
      <c r="AA11" s="160" t="str">
        <f t="shared" si="3"/>
        <v>14-15 Apr</v>
      </c>
      <c r="AB11" s="160" t="str">
        <f t="shared" si="4"/>
        <v/>
      </c>
      <c r="AC11" s="160" t="str">
        <f t="shared" si="5"/>
        <v>04-05 May</v>
      </c>
      <c r="AD11" s="160" t="str">
        <f t="shared" si="6"/>
        <v/>
      </c>
      <c r="AE11" s="161" t="str">
        <f t="shared" si="7"/>
        <v/>
      </c>
      <c r="AF11" s="162" t="str">
        <f t="shared" si="8"/>
        <v/>
      </c>
      <c r="AG11" s="120" t="str">
        <f t="shared" si="9"/>
        <v/>
      </c>
      <c r="AH11" s="121" t="str">
        <f>IFERROR($M11+VLOOKUP($L11,'Voyage days'!$F$38:$H$89,3,FALSE),"")</f>
        <v/>
      </c>
      <c r="AI11" s="121" t="str">
        <f>IFERROR(N11+VLOOKUP($L11,'Voyage days'!$F$38:$H$89,3,FALSE),"")</f>
        <v/>
      </c>
      <c r="AJ11" s="120" t="str">
        <f t="shared" si="10"/>
        <v>14-15 Apr</v>
      </c>
      <c r="AK11" s="121">
        <f>IFERROR($M11+VLOOKUP($L11,'Voyage days'!$F$94:$H$193,3,FALSE),"")</f>
        <v>46126</v>
      </c>
      <c r="AL11" s="121">
        <f>IFERROR($N11+VLOOKUP($L11,'Voyage days'!$F$94:$H$193,3,FALSE),"")</f>
        <v>46127</v>
      </c>
      <c r="AM11" s="120" t="str">
        <f t="shared" si="11"/>
        <v>14-15 Apr</v>
      </c>
      <c r="AN11" s="121">
        <f>IFERROR($M11+VLOOKUP($L11,'Voyage days'!$F$203:$H$256,3,FALSE),"")</f>
        <v>46126</v>
      </c>
      <c r="AO11" s="121">
        <f>IFERROR($N11+VLOOKUP($L11,'Voyage days'!$F$203:$H$256,3,FALSE),"")</f>
        <v>46127</v>
      </c>
      <c r="AP11" s="120" t="str">
        <f t="shared" si="12"/>
        <v/>
      </c>
      <c r="AQ11" s="121" t="str">
        <f>IFERROR($M11+VLOOKUP($L11,'Voyage days'!$F$294:$H$377,3,FALSE),"")</f>
        <v/>
      </c>
      <c r="AR11" s="121" t="str">
        <f>IFERROR($N11+VLOOKUP($L11,'Voyage days'!$F$294:$H$377,3,FALSE),"")</f>
        <v/>
      </c>
      <c r="AS11" s="120" t="str">
        <f t="shared" si="13"/>
        <v>04-05 May</v>
      </c>
      <c r="AT11" s="121">
        <f>IFERROR($M11+VLOOKUP($L11,'Voyage days'!$F$382:$H$446,3,FALSE),"")</f>
        <v>46146</v>
      </c>
      <c r="AU11" s="121">
        <f>IFERROR($N11+VLOOKUP($L11,'Voyage days'!$F$382:$H$446,3,FALSE),"")</f>
        <v>46147</v>
      </c>
      <c r="AV11" s="120" t="str">
        <f t="shared" si="14"/>
        <v/>
      </c>
      <c r="AW11" s="121" t="str">
        <f>IFERROR($M11+VLOOKUP($L11,'Voyage days'!$F$483:$H$538,3,FALSE),"")</f>
        <v/>
      </c>
      <c r="AX11" s="121" t="str">
        <f>IFERROR($N11+VLOOKUP($L11,'Voyage days'!$F$483:$H$538,3,FALSE),"")</f>
        <v/>
      </c>
      <c r="AY11" s="120" t="str">
        <f t="shared" si="15"/>
        <v/>
      </c>
      <c r="AZ11" s="121" t="str">
        <f>IFERROR($M11+VLOOKUP($L11,'Voyage days'!$F$540:$H$613,3,FALSE),"")</f>
        <v/>
      </c>
      <c r="BA11" s="121" t="str">
        <f>IFERROR($N11+VLOOKUP($L11,'Voyage days'!$F$540:$H$613,3,FALSE),"")</f>
        <v/>
      </c>
      <c r="BB11" s="120" t="str">
        <f t="shared" si="16"/>
        <v/>
      </c>
      <c r="BC11" s="121" t="str">
        <f>IFERROR($M11+VLOOKUP($L11,'Voyage days'!$F$448:$H$479,3,FALSE),"")</f>
        <v/>
      </c>
      <c r="BD11" s="121" t="str">
        <f>IFERROR($N11+VLOOKUP($L11,'Voyage days'!$F$448:$H$479,3,FALSE),"")</f>
        <v/>
      </c>
      <c r="BE11" s="120" t="str">
        <f t="shared" si="17"/>
        <v/>
      </c>
      <c r="BF11" s="122" t="str">
        <f>IFERROR($M11+VLOOKUP($L11,'Voyage days'!$F$620:$H$646,3,FALSE),"")</f>
        <v/>
      </c>
      <c r="BG11" s="122" t="str">
        <f>IFERROR($N11+VLOOKUP($L11,'Voyage days'!$F$620:$H$646,3,FALSE),"")</f>
        <v/>
      </c>
      <c r="BH11" s="120" t="str">
        <f t="shared" si="18"/>
        <v/>
      </c>
      <c r="BI11" s="123" t="str">
        <f>IFERROR($M11+VLOOKUP($L11,'Voyage days'!$F$702:$H$727,3,FALSE),"")</f>
        <v/>
      </c>
      <c r="BJ11" s="120" t="str">
        <f t="shared" si="19"/>
        <v/>
      </c>
      <c r="BK11" s="122" t="str">
        <f>IFERROR($M11+VLOOKUP($L11,'Voyage days'!$F$807:$H$878,3,FALSE),"")</f>
        <v/>
      </c>
      <c r="BL11" s="122" t="str">
        <f>IFERROR($N11+VLOOKUP($L11,'Voyage days'!$F$807:$H$878,3,FALSE),"")</f>
        <v/>
      </c>
      <c r="BM11" s="122" t="str">
        <f>IFERROR($N11+VLOOKUP($L11,'Voyage days'!$F$807:$K$878,6,FALSE),"")</f>
        <v/>
      </c>
      <c r="BN11" s="121" t="str">
        <f>if(L11="loads AG", IFERROR($M11+VLOOKUP($L11,'Voyage days'!$M$38:$O$38,3,FALSE),""),"")</f>
        <v/>
      </c>
      <c r="BO11" s="121">
        <f>if(L11="loads USG", IFERROR($M11+VLOOKUP($L11,'Voyage days'!$L$203:$N$203,3,FALSE),""),"")</f>
        <v>46158</v>
      </c>
    </row>
    <row r="12" ht="15.75" customHeight="1">
      <c r="A12" s="100" t="s">
        <v>414</v>
      </c>
      <c r="B12" s="101">
        <v>42370.0</v>
      </c>
      <c r="C12" s="102">
        <v>83000.0</v>
      </c>
      <c r="D12" s="103"/>
      <c r="E12" s="103"/>
      <c r="F12" s="104"/>
      <c r="G12" s="104"/>
      <c r="H12" s="104"/>
      <c r="I12" s="185" t="s">
        <v>667</v>
      </c>
      <c r="J12" s="106" t="str">
        <f t="shared" si="20"/>
        <v/>
      </c>
      <c r="K12" s="107"/>
      <c r="L12" s="108" t="s">
        <v>668</v>
      </c>
      <c r="M12" s="109">
        <v>46138.0</v>
      </c>
      <c r="N12" s="109">
        <v>46139.0</v>
      </c>
      <c r="O12" s="191"/>
      <c r="P12" s="108" t="s">
        <v>683</v>
      </c>
      <c r="Q12" s="198"/>
      <c r="R12" s="197" t="s">
        <v>684</v>
      </c>
      <c r="S12" s="112" t="s">
        <v>659</v>
      </c>
      <c r="T12" s="188">
        <v>46124.0</v>
      </c>
      <c r="U12" s="114" t="str">
        <f>IF(V12="","No AIS",VLOOKUP(V12,'Voyage days'!$A$3:$B$1480,2,FALSE))</f>
        <v>Japan + 6</v>
      </c>
      <c r="V12" s="115" t="str">
        <f>IF(VLOOKUP(A12,'1) Kpler'!$E$2:$P$1000,8, FALSE)="","",VLOOKUP(A12,'1) Kpler'!$E$2:$P$1000,8, FALSE))</f>
        <v>Chiba</v>
      </c>
      <c r="W12" s="116">
        <f>IF(VLOOKUP(A12,'1) Kpler'!$E$2:$P$1000,9,FALSE)="","",VLOOKUP(A12,'1) Kpler'!$E$2:$P$1000,9,FALSE))</f>
        <v>46133.35417</v>
      </c>
      <c r="X12" s="115" t="str">
        <f>VLOOKUP(A12,'1) Kpler'!$E$2:$I$1000,4,FALSE)</f>
        <v>loaded</v>
      </c>
      <c r="Y12" s="160" t="str">
        <f t="shared" si="1"/>
        <v>14-15 May</v>
      </c>
      <c r="Z12" s="160" t="str">
        <f t="shared" si="2"/>
        <v>28-29 May</v>
      </c>
      <c r="AA12" s="160" t="str">
        <f t="shared" si="3"/>
        <v>07-08 Jun</v>
      </c>
      <c r="AB12" s="160" t="str">
        <f t="shared" si="4"/>
        <v>26-27 May</v>
      </c>
      <c r="AC12" s="160" t="str">
        <f t="shared" si="5"/>
        <v>01-02 Jun</v>
      </c>
      <c r="AD12" s="160" t="str">
        <f t="shared" si="6"/>
        <v>04-05 May</v>
      </c>
      <c r="AE12" s="161" t="str">
        <f t="shared" si="7"/>
        <v>04-05 May</v>
      </c>
      <c r="AF12" s="162" t="str">
        <f t="shared" si="8"/>
        <v>11-12 Jun</v>
      </c>
      <c r="AG12" s="120" t="str">
        <f t="shared" si="9"/>
        <v>14-15 May</v>
      </c>
      <c r="AH12" s="121">
        <f>IFERROR($M12+VLOOKUP($L12,'Voyage days'!$F$38:$H$89,3,FALSE),"")</f>
        <v>46156</v>
      </c>
      <c r="AI12" s="121">
        <f>IFERROR(N12+VLOOKUP($L12,'Voyage days'!$F$38:$H$89,3,FALSE),"")</f>
        <v>46157</v>
      </c>
      <c r="AJ12" s="120" t="str">
        <f t="shared" si="10"/>
        <v>28-29 May</v>
      </c>
      <c r="AK12" s="121">
        <f>IFERROR($M12+VLOOKUP($L12,'Voyage days'!$F$94:$H$193,3,FALSE),"")</f>
        <v>46170</v>
      </c>
      <c r="AL12" s="121">
        <f>IFERROR($N12+VLOOKUP($L12,'Voyage days'!$F$94:$H$193,3,FALSE),"")</f>
        <v>46171</v>
      </c>
      <c r="AM12" s="120" t="str">
        <f t="shared" si="11"/>
        <v>07-08 Jun</v>
      </c>
      <c r="AN12" s="121">
        <f>IFERROR($M12+VLOOKUP($L12,'Voyage days'!$F$203:$H$256,3,FALSE),"")</f>
        <v>46180</v>
      </c>
      <c r="AO12" s="121">
        <f>IFERROR($N12+VLOOKUP($L12,'Voyage days'!$F$203:$H$256,3,FALSE),"")</f>
        <v>46181</v>
      </c>
      <c r="AP12" s="120" t="str">
        <f t="shared" si="12"/>
        <v>26-27 May</v>
      </c>
      <c r="AQ12" s="121">
        <f>IFERROR($M12+VLOOKUP($L12,'Voyage days'!$F$294:$H$377,3,FALSE),"")</f>
        <v>46168</v>
      </c>
      <c r="AR12" s="121">
        <f>IFERROR($N12+VLOOKUP($L12,'Voyage days'!$F$294:$H$377,3,FALSE),"")</f>
        <v>46169</v>
      </c>
      <c r="AS12" s="120" t="str">
        <f t="shared" si="13"/>
        <v>01-02 Jun</v>
      </c>
      <c r="AT12" s="121">
        <f>IFERROR($M12+VLOOKUP($L12,'Voyage days'!$F$382:$H$446,3,FALSE),"")</f>
        <v>46174</v>
      </c>
      <c r="AU12" s="121">
        <f>IFERROR($N12+VLOOKUP($L12,'Voyage days'!$F$382:$H$446,3,FALSE),"")</f>
        <v>46175</v>
      </c>
      <c r="AV12" s="120" t="str">
        <f t="shared" si="14"/>
        <v>09-10 May</v>
      </c>
      <c r="AW12" s="121">
        <f>IFERROR($M12+VLOOKUP($L12,'Voyage days'!$F$483:$H$538,3,FALSE),"")</f>
        <v>46151</v>
      </c>
      <c r="AX12" s="121">
        <f>IFERROR($N12+VLOOKUP($L12,'Voyage days'!$F$483:$H$538,3,FALSE),"")</f>
        <v>46152</v>
      </c>
      <c r="AY12" s="120" t="str">
        <f t="shared" si="15"/>
        <v>04-05 May</v>
      </c>
      <c r="AZ12" s="121">
        <f>IFERROR($M12+VLOOKUP($L12,'Voyage days'!$F$540:$H$613,3,FALSE),"")</f>
        <v>46146.25</v>
      </c>
      <c r="BA12" s="121">
        <f>IFERROR($N12+VLOOKUP($L12,'Voyage days'!$F$540:$H$613,3,FALSE),"")</f>
        <v>46147.25</v>
      </c>
      <c r="BB12" s="120" t="str">
        <f t="shared" si="16"/>
        <v>04-05 May</v>
      </c>
      <c r="BC12" s="121">
        <f>IFERROR($M12+VLOOKUP($L12,'Voyage days'!$F$448:$H$479,3,FALSE),"")</f>
        <v>46146</v>
      </c>
      <c r="BD12" s="121">
        <f>IFERROR($N12+VLOOKUP($L12,'Voyage days'!$F$448:$H$479,3,FALSE),"")</f>
        <v>46147</v>
      </c>
      <c r="BE12" s="120" t="str">
        <f t="shared" si="17"/>
        <v>07-08 May</v>
      </c>
      <c r="BF12" s="122">
        <f>IFERROR($M12+VLOOKUP($L12,'Voyage days'!$F$620:$H$646,3,FALSE),"")</f>
        <v>46149</v>
      </c>
      <c r="BG12" s="122">
        <f>IFERROR($N12+VLOOKUP($L12,'Voyage days'!$F$620:$H$646,3,FALSE),"")</f>
        <v>46150</v>
      </c>
      <c r="BH12" s="120" t="str">
        <f t="shared" si="18"/>
        <v>04-12 Jun</v>
      </c>
      <c r="BI12" s="123">
        <f>IFERROR($M12+VLOOKUP($L12,'Voyage days'!$F$702:$H$727,3,FALSE),"")</f>
        <v>46146.25</v>
      </c>
      <c r="BJ12" s="120" t="str">
        <f t="shared" si="19"/>
        <v>11-12 Jun</v>
      </c>
      <c r="BK12" s="122">
        <f>IFERROR($M12+VLOOKUP($L12,'Voyage days'!$F$807:$H$878,3,FALSE),"")</f>
        <v>46184</v>
      </c>
      <c r="BL12" s="122">
        <f>IFERROR($N12+VLOOKUP($L12,'Voyage days'!$F$807:$H$878,3,FALSE),"")</f>
        <v>46185</v>
      </c>
      <c r="BM12" s="122">
        <f>IFERROR($N12+VLOOKUP($L12,'Voyage days'!$F$807:$K$878,6,FALSE),"")</f>
        <v>46159</v>
      </c>
      <c r="BN12" s="121" t="str">
        <f>if(L12="loads AG", IFERROR($M12+VLOOKUP($L12,'Voyage days'!$M$38:$O$38,3,FALSE),""),"")</f>
        <v/>
      </c>
      <c r="BO12" s="121" t="str">
        <f>if(L12="loads USG", IFERROR($M12+VLOOKUP($L12,'Voyage days'!$L$203:$N$203,3,FALSE),""),"")</f>
        <v/>
      </c>
    </row>
    <row r="13" ht="15.75" customHeight="1">
      <c r="A13" s="100" t="s">
        <v>417</v>
      </c>
      <c r="B13" s="189">
        <v>37981.0</v>
      </c>
      <c r="C13" s="190">
        <v>78908.0</v>
      </c>
      <c r="D13" s="103"/>
      <c r="E13" s="103"/>
      <c r="F13" s="104"/>
      <c r="G13" s="104"/>
      <c r="H13" s="104"/>
      <c r="I13" s="185" t="s">
        <v>667</v>
      </c>
      <c r="J13" s="106" t="str">
        <f t="shared" si="20"/>
        <v>Update</v>
      </c>
      <c r="K13" s="107"/>
      <c r="L13" s="108" t="s">
        <v>680</v>
      </c>
      <c r="M13" s="109">
        <v>46125.0</v>
      </c>
      <c r="N13" s="109">
        <v>46126.0</v>
      </c>
      <c r="O13" s="112"/>
      <c r="P13" s="108" t="s">
        <v>685</v>
      </c>
      <c r="Q13" s="187"/>
      <c r="R13" s="187" t="s">
        <v>686</v>
      </c>
      <c r="S13" s="112" t="s">
        <v>659</v>
      </c>
      <c r="T13" s="188">
        <v>46124.0</v>
      </c>
      <c r="U13" s="114" t="str">
        <f>IF(V13="","No AIS",VLOOKUP(V13,'Voyage days'!$A$3:$B$1480,2,FALSE))</f>
        <v>Indo + 4</v>
      </c>
      <c r="V13" s="115" t="str">
        <f>IF(VLOOKUP(A13,'1) Kpler'!$E$2:$P$1000,8, FALSE)="","",VLOOKUP(A13,'1) Kpler'!$E$2:$P$1000,8, FALSE))</f>
        <v>Pupuk Ammonia</v>
      </c>
      <c r="W13" s="116">
        <f>IF(VLOOKUP(A13,'1) Kpler'!$E$2:$P$1000,9,FALSE)="","",VLOOKUP(A13,'1) Kpler'!$E$2:$P$1000,9,FALSE))</f>
        <v>46166.125</v>
      </c>
      <c r="X13" s="115" t="str">
        <f>VLOOKUP(A13,'1) Kpler'!$E$2:$I$1000,4,FALSE)</f>
        <v>loaded</v>
      </c>
      <c r="Y13" s="117" t="str">
        <f t="shared" si="1"/>
        <v/>
      </c>
      <c r="Z13" s="117" t="str">
        <f t="shared" si="2"/>
        <v>13-14 Apr</v>
      </c>
      <c r="AA13" s="117" t="str">
        <f t="shared" si="3"/>
        <v>13-14 Apr</v>
      </c>
      <c r="AB13" s="117" t="str">
        <f t="shared" si="4"/>
        <v/>
      </c>
      <c r="AC13" s="117" t="str">
        <f t="shared" si="5"/>
        <v>03-04 May</v>
      </c>
      <c r="AD13" s="117" t="str">
        <f t="shared" si="6"/>
        <v/>
      </c>
      <c r="AE13" s="118" t="str">
        <f t="shared" si="7"/>
        <v/>
      </c>
      <c r="AF13" s="119" t="str">
        <f t="shared" si="8"/>
        <v/>
      </c>
      <c r="AG13" s="120" t="str">
        <f t="shared" si="9"/>
        <v/>
      </c>
      <c r="AH13" s="121" t="str">
        <f>IFERROR($M13+VLOOKUP($L13,'Voyage days'!$F$38:$H$89,3,FALSE),"")</f>
        <v/>
      </c>
      <c r="AI13" s="121" t="str">
        <f>IFERROR(N13+VLOOKUP($L13,'Voyage days'!$F$38:$H$89,3,FALSE),"")</f>
        <v/>
      </c>
      <c r="AJ13" s="120" t="str">
        <f t="shared" si="10"/>
        <v>13-14 Apr</v>
      </c>
      <c r="AK13" s="121">
        <f>IFERROR($M13+VLOOKUP($L13,'Voyage days'!$F$94:$H$193,3,FALSE),"")</f>
        <v>46125</v>
      </c>
      <c r="AL13" s="121">
        <f>IFERROR($N13+VLOOKUP($L13,'Voyage days'!$F$94:$H$193,3,FALSE),"")</f>
        <v>46126</v>
      </c>
      <c r="AM13" s="120" t="str">
        <f t="shared" si="11"/>
        <v>13-14 Apr</v>
      </c>
      <c r="AN13" s="121">
        <f>IFERROR($M13+VLOOKUP($L13,'Voyage days'!$F$203:$H$256,3,FALSE),"")</f>
        <v>46125</v>
      </c>
      <c r="AO13" s="121">
        <f>IFERROR($N13+VLOOKUP($L13,'Voyage days'!$F$203:$H$256,3,FALSE),"")</f>
        <v>46126</v>
      </c>
      <c r="AP13" s="120" t="str">
        <f t="shared" si="12"/>
        <v/>
      </c>
      <c r="AQ13" s="121" t="str">
        <f>IFERROR($M13+VLOOKUP($L13,'Voyage days'!$F$294:$H$377,3,FALSE),"")</f>
        <v/>
      </c>
      <c r="AR13" s="121" t="str">
        <f>IFERROR($N13+VLOOKUP($L13,'Voyage days'!$F$294:$H$377,3,FALSE),"")</f>
        <v/>
      </c>
      <c r="AS13" s="120" t="str">
        <f t="shared" si="13"/>
        <v>03-04 May</v>
      </c>
      <c r="AT13" s="121">
        <f>IFERROR($M13+VLOOKUP($L13,'Voyage days'!$F$382:$H$446,3,FALSE),"")</f>
        <v>46145</v>
      </c>
      <c r="AU13" s="121">
        <f>IFERROR($N13+VLOOKUP($L13,'Voyage days'!$F$382:$H$446,3,FALSE),"")</f>
        <v>46146</v>
      </c>
      <c r="AV13" s="120" t="str">
        <f t="shared" si="14"/>
        <v/>
      </c>
      <c r="AW13" s="121" t="str">
        <f>IFERROR($M13+VLOOKUP($L13,'Voyage days'!$F$483:$H$538,3,FALSE),"")</f>
        <v/>
      </c>
      <c r="AX13" s="121" t="str">
        <f>IFERROR($N13+VLOOKUP($L13,'Voyage days'!$F$483:$H$538,3,FALSE),"")</f>
        <v/>
      </c>
      <c r="AY13" s="120" t="str">
        <f t="shared" si="15"/>
        <v/>
      </c>
      <c r="AZ13" s="121" t="str">
        <f>IFERROR($M13+VLOOKUP($L13,'Voyage days'!$F$540:$H$613,3,FALSE),"")</f>
        <v/>
      </c>
      <c r="BA13" s="121" t="str">
        <f>IFERROR($N13+VLOOKUP($L13,'Voyage days'!$F$540:$H$613,3,FALSE),"")</f>
        <v/>
      </c>
      <c r="BB13" s="120" t="str">
        <f t="shared" si="16"/>
        <v/>
      </c>
      <c r="BC13" s="121" t="str">
        <f>IFERROR($M13+VLOOKUP($L13,'Voyage days'!$F$448:$H$479,3,FALSE),"")</f>
        <v/>
      </c>
      <c r="BD13" s="121" t="str">
        <f>IFERROR($N13+VLOOKUP($L13,'Voyage days'!$F$448:$H$479,3,FALSE),"")</f>
        <v/>
      </c>
      <c r="BE13" s="120" t="str">
        <f t="shared" si="17"/>
        <v/>
      </c>
      <c r="BF13" s="122" t="str">
        <f>IFERROR($M13+VLOOKUP($L13,'Voyage days'!$F$620:$H$646,3,FALSE),"")</f>
        <v/>
      </c>
      <c r="BG13" s="122" t="str">
        <f>IFERROR($N13+VLOOKUP($L13,'Voyage days'!$F$620:$H$646,3,FALSE),"")</f>
        <v/>
      </c>
      <c r="BH13" s="120" t="str">
        <f t="shared" si="18"/>
        <v/>
      </c>
      <c r="BI13" s="123" t="str">
        <f>IFERROR($M13+VLOOKUP($L13,'Voyage days'!$F$702:$H$727,3,FALSE),"")</f>
        <v/>
      </c>
      <c r="BJ13" s="120" t="str">
        <f t="shared" si="19"/>
        <v/>
      </c>
      <c r="BK13" s="122" t="str">
        <f>IFERROR($M13+VLOOKUP($L13,'Voyage days'!$F$807:$H$878,3,FALSE),"")</f>
        <v/>
      </c>
      <c r="BL13" s="122" t="str">
        <f>IFERROR($N13+VLOOKUP($L13,'Voyage days'!$F$807:$H$878,3,FALSE),"")</f>
        <v/>
      </c>
      <c r="BM13" s="122" t="str">
        <f>IFERROR($N13+VLOOKUP($L13,'Voyage days'!$F$807:$K$878,6,FALSE),"")</f>
        <v/>
      </c>
      <c r="BN13" s="121" t="str">
        <f>if(L13="loads AG", IFERROR($M13+VLOOKUP($L13,'Voyage days'!$M$38:$O$38,3,FALSE),""),"")</f>
        <v/>
      </c>
      <c r="BO13" s="121">
        <f>if(L13="loads USG", IFERROR($M13+VLOOKUP($L13,'Voyage days'!$L$203:$N$203,3,FALSE),""),"")</f>
        <v>46157</v>
      </c>
    </row>
    <row r="14" ht="15.75" customHeight="1">
      <c r="A14" s="80" t="s">
        <v>419</v>
      </c>
      <c r="B14" s="148">
        <v>2024.0</v>
      </c>
      <c r="C14" s="102">
        <v>86700.0</v>
      </c>
      <c r="D14" s="103"/>
      <c r="E14" s="103"/>
      <c r="F14" s="104"/>
      <c r="G14" s="104"/>
      <c r="H14" s="104"/>
      <c r="I14" s="185" t="s">
        <v>667</v>
      </c>
      <c r="J14" s="106" t="str">
        <f t="shared" si="20"/>
        <v>NO AIS</v>
      </c>
      <c r="K14" s="107"/>
      <c r="L14" s="199" t="s">
        <v>668</v>
      </c>
      <c r="M14" s="109">
        <v>46133.0</v>
      </c>
      <c r="N14" s="109">
        <v>46134.0</v>
      </c>
      <c r="O14" s="191"/>
      <c r="P14" s="108" t="s">
        <v>687</v>
      </c>
      <c r="Q14" s="108"/>
      <c r="R14" s="108" t="s">
        <v>688</v>
      </c>
      <c r="S14" s="112" t="s">
        <v>659</v>
      </c>
      <c r="T14" s="188">
        <v>46124.0</v>
      </c>
      <c r="U14" s="114" t="str">
        <f>IF(V14="","No AIS",VLOOKUP(V14,'Voyage days'!$A$3:$B$1480,2,FALSE))</f>
        <v>No AIS</v>
      </c>
      <c r="V14" s="115" t="str">
        <f>IF(VLOOKUP(A14,'1) Kpler'!$E$2:$P$1000,8, FALSE)="","",VLOOKUP(A14,'1) Kpler'!$E$2:$P$1000,8, FALSE))</f>
        <v/>
      </c>
      <c r="W14" s="116" t="str">
        <f>IF(VLOOKUP(A14,'1) Kpler'!$E$2:$P$1000,9,FALSE)="","",VLOOKUP(A14,'1) Kpler'!$E$2:$P$1000,9,FALSE))</f>
        <v/>
      </c>
      <c r="X14" s="115" t="str">
        <f>VLOOKUP(A14,'1) Kpler'!$E$2:$I$1000,4,FALSE)</f>
        <v>ballast</v>
      </c>
      <c r="Y14" s="160" t="str">
        <f t="shared" si="1"/>
        <v>09-10 May</v>
      </c>
      <c r="Z14" s="160" t="str">
        <f t="shared" si="2"/>
        <v>23-24 May</v>
      </c>
      <c r="AA14" s="160" t="str">
        <f t="shared" si="3"/>
        <v>02-03 Jun</v>
      </c>
      <c r="AB14" s="160" t="str">
        <f t="shared" si="4"/>
        <v>21-22 May</v>
      </c>
      <c r="AC14" s="160" t="str">
        <f t="shared" si="5"/>
        <v>27-28 May</v>
      </c>
      <c r="AD14" s="160" t="str">
        <f t="shared" si="6"/>
        <v>29-30 Apr</v>
      </c>
      <c r="AE14" s="161" t="str">
        <f t="shared" si="7"/>
        <v>29-30 Apr</v>
      </c>
      <c r="AF14" s="162" t="str">
        <f t="shared" si="8"/>
        <v>06-07 Jun</v>
      </c>
      <c r="AG14" s="120" t="str">
        <f t="shared" si="9"/>
        <v>09-10 May</v>
      </c>
      <c r="AH14" s="121">
        <f>IFERROR($M14+VLOOKUP($L14,'Voyage days'!$F$38:$H$89,3,FALSE),"")</f>
        <v>46151</v>
      </c>
      <c r="AI14" s="121">
        <f>IFERROR(N14+VLOOKUP($L14,'Voyage days'!$F$38:$H$89,3,FALSE),"")</f>
        <v>46152</v>
      </c>
      <c r="AJ14" s="120" t="str">
        <f t="shared" si="10"/>
        <v>23-24 May</v>
      </c>
      <c r="AK14" s="121">
        <f>IFERROR($M14+VLOOKUP($L14,'Voyage days'!$F$94:$H$193,3,FALSE),"")</f>
        <v>46165</v>
      </c>
      <c r="AL14" s="121">
        <f>IFERROR($N14+VLOOKUP($L14,'Voyage days'!$F$94:$H$193,3,FALSE),"")</f>
        <v>46166</v>
      </c>
      <c r="AM14" s="120" t="str">
        <f t="shared" si="11"/>
        <v>02-03 Jun</v>
      </c>
      <c r="AN14" s="121">
        <f>IFERROR($M14+VLOOKUP($L14,'Voyage days'!$F$203:$H$256,3,FALSE),"")</f>
        <v>46175</v>
      </c>
      <c r="AO14" s="121">
        <f>IFERROR($N14+VLOOKUP($L14,'Voyage days'!$F$203:$H$256,3,FALSE),"")</f>
        <v>46176</v>
      </c>
      <c r="AP14" s="120" t="str">
        <f t="shared" si="12"/>
        <v>21-22 May</v>
      </c>
      <c r="AQ14" s="121">
        <f>IFERROR($M14+VLOOKUP($L14,'Voyage days'!$F$294:$H$377,3,FALSE),"")</f>
        <v>46163</v>
      </c>
      <c r="AR14" s="121">
        <f>IFERROR($N14+VLOOKUP($L14,'Voyage days'!$F$294:$H$377,3,FALSE),"")</f>
        <v>46164</v>
      </c>
      <c r="AS14" s="120" t="str">
        <f t="shared" si="13"/>
        <v>27-28 May</v>
      </c>
      <c r="AT14" s="121">
        <f>IFERROR($M14+VLOOKUP($L14,'Voyage days'!$F$382:$H$446,3,FALSE),"")</f>
        <v>46169</v>
      </c>
      <c r="AU14" s="121">
        <f>IFERROR($N14+VLOOKUP($L14,'Voyage days'!$F$382:$H$446,3,FALSE),"")</f>
        <v>46170</v>
      </c>
      <c r="AV14" s="120" t="str">
        <f t="shared" si="14"/>
        <v>04-05 May</v>
      </c>
      <c r="AW14" s="121">
        <f>IFERROR($M14+VLOOKUP($L14,'Voyage days'!$F$483:$H$538,3,FALSE),"")</f>
        <v>46146</v>
      </c>
      <c r="AX14" s="121">
        <f>IFERROR($N14+VLOOKUP($L14,'Voyage days'!$F$483:$H$538,3,FALSE),"")</f>
        <v>46147</v>
      </c>
      <c r="AY14" s="120" t="str">
        <f t="shared" si="15"/>
        <v>29-30 Apr</v>
      </c>
      <c r="AZ14" s="121">
        <f>IFERROR($M14+VLOOKUP($L14,'Voyage days'!$F$540:$H$613,3,FALSE),"")</f>
        <v>46141.25</v>
      </c>
      <c r="BA14" s="121">
        <f>IFERROR($N14+VLOOKUP($L14,'Voyage days'!$F$540:$H$613,3,FALSE),"")</f>
        <v>46142.25</v>
      </c>
      <c r="BB14" s="120" t="str">
        <f t="shared" si="16"/>
        <v>29-30 Apr</v>
      </c>
      <c r="BC14" s="121">
        <f>IFERROR($M14+VLOOKUP($L14,'Voyage days'!$F$448:$H$479,3,FALSE),"")</f>
        <v>46141</v>
      </c>
      <c r="BD14" s="121">
        <f>IFERROR($N14+VLOOKUP($L14,'Voyage days'!$F$448:$H$479,3,FALSE),"")</f>
        <v>46142</v>
      </c>
      <c r="BE14" s="120" t="str">
        <f t="shared" si="17"/>
        <v>02-03 May</v>
      </c>
      <c r="BF14" s="122">
        <f>IFERROR($M14+VLOOKUP($L14,'Voyage days'!$F$620:$H$646,3,FALSE),"")</f>
        <v>46144</v>
      </c>
      <c r="BG14" s="122">
        <f>IFERROR($N14+VLOOKUP($L14,'Voyage days'!$F$620:$H$646,3,FALSE),"")</f>
        <v>46145</v>
      </c>
      <c r="BH14" s="120" t="str">
        <f t="shared" si="18"/>
        <v>29-07 Jun</v>
      </c>
      <c r="BI14" s="123">
        <f>IFERROR($M14+VLOOKUP($L14,'Voyage days'!$F$702:$H$727,3,FALSE),"")</f>
        <v>46141.25</v>
      </c>
      <c r="BJ14" s="120" t="str">
        <f t="shared" si="19"/>
        <v>06-07 Jun</v>
      </c>
      <c r="BK14" s="122">
        <f>IFERROR($M14+VLOOKUP($L14,'Voyage days'!$F$807:$H$878,3,FALSE),"")</f>
        <v>46179</v>
      </c>
      <c r="BL14" s="122">
        <f>IFERROR($N14+VLOOKUP($L14,'Voyage days'!$F$807:$H$878,3,FALSE),"")</f>
        <v>46180</v>
      </c>
      <c r="BM14" s="122">
        <f>IFERROR($N14+VLOOKUP($L14,'Voyage days'!$F$807:$K$878,6,FALSE),"")</f>
        <v>46154</v>
      </c>
      <c r="BN14" s="121" t="str">
        <f>if(L14="loads AG", IFERROR($M14+VLOOKUP($L14,'Voyage days'!$M$38:$O$38,3,FALSE),""),"")</f>
        <v/>
      </c>
      <c r="BO14" s="121" t="str">
        <f>if(L14="loads USG", IFERROR($M14+VLOOKUP($L14,'Voyage days'!$L$203:$N$203,3,FALSE),""),"")</f>
        <v/>
      </c>
    </row>
    <row r="15" ht="15.75" customHeight="1">
      <c r="A15" s="80" t="s">
        <v>421</v>
      </c>
      <c r="B15" s="148">
        <v>2019.0</v>
      </c>
      <c r="C15" s="102">
        <v>83000.0</v>
      </c>
      <c r="D15" s="103"/>
      <c r="E15" s="103"/>
      <c r="F15" s="104"/>
      <c r="G15" s="104"/>
      <c r="H15" s="104" t="s">
        <v>689</v>
      </c>
      <c r="I15" s="185" t="s">
        <v>667</v>
      </c>
      <c r="J15" s="106" t="str">
        <f t="shared" si="20"/>
        <v/>
      </c>
      <c r="K15" s="107"/>
      <c r="L15" s="199" t="s">
        <v>656</v>
      </c>
      <c r="M15" s="109">
        <v>46147.0</v>
      </c>
      <c r="N15" s="109">
        <v>46151.0</v>
      </c>
      <c r="O15" s="200"/>
      <c r="P15" s="108" t="s">
        <v>690</v>
      </c>
      <c r="Q15" s="201"/>
      <c r="R15" s="108" t="s">
        <v>691</v>
      </c>
      <c r="S15" s="112" t="s">
        <v>659</v>
      </c>
      <c r="T15" s="188">
        <v>46124.0</v>
      </c>
      <c r="U15" s="114" t="str">
        <f>IF(V15="","No AIS",VLOOKUP(V15,'Voyage days'!$A$3:$B$1480,2,FALSE))</f>
        <v>East China + 4</v>
      </c>
      <c r="V15" s="115" t="str">
        <f>IF(VLOOKUP(A15,'1) Kpler'!$E$2:$P$1000,8, FALSE)="","",VLOOKUP(A15,'1) Kpler'!$E$2:$P$1000,8, FALSE))</f>
        <v>Taixing</v>
      </c>
      <c r="W15" s="116">
        <f>IF(VLOOKUP(A15,'1) Kpler'!$E$2:$P$1000,9,FALSE)="","",VLOOKUP(A15,'1) Kpler'!$E$2:$P$1000,9,FALSE))</f>
        <v>46143.5</v>
      </c>
      <c r="X15" s="115" t="str">
        <f>VLOOKUP(A15,'1) Kpler'!$E$2:$I$1000,4,FALSE)</f>
        <v>loaded</v>
      </c>
      <c r="Y15" s="117" t="str">
        <f t="shared" si="1"/>
        <v>23-27 May</v>
      </c>
      <c r="Z15" s="117" t="str">
        <f t="shared" si="2"/>
        <v>05-09 Jun</v>
      </c>
      <c r="AA15" s="117" t="str">
        <f t="shared" si="3"/>
        <v>12-16 Jun</v>
      </c>
      <c r="AB15" s="117" t="str">
        <f t="shared" si="4"/>
        <v>04-08 Jun</v>
      </c>
      <c r="AC15" s="117" t="str">
        <f t="shared" si="5"/>
        <v>10-14 Jun</v>
      </c>
      <c r="AD15" s="117" t="str">
        <f t="shared" si="6"/>
        <v>13-17 May</v>
      </c>
      <c r="AE15" s="118" t="str">
        <f t="shared" si="7"/>
        <v>13-17 May</v>
      </c>
      <c r="AF15" s="119" t="str">
        <f t="shared" si="8"/>
        <v>20-24 Jun</v>
      </c>
      <c r="AG15" s="120" t="str">
        <f t="shared" si="9"/>
        <v>23-27 May</v>
      </c>
      <c r="AH15" s="121">
        <f>IFERROR($M15+VLOOKUP($L15,'Voyage days'!$F$38:$H$89,3,FALSE),"")</f>
        <v>46165</v>
      </c>
      <c r="AI15" s="121">
        <f>IFERROR(N15+VLOOKUP($L15,'Voyage days'!$F$38:$H$89,3,FALSE),"")</f>
        <v>46169</v>
      </c>
      <c r="AJ15" s="120" t="str">
        <f t="shared" si="10"/>
        <v>05-09 Jun</v>
      </c>
      <c r="AK15" s="121">
        <f>IFERROR($M15+VLOOKUP($L15,'Voyage days'!$F$94:$H$193,3,FALSE),"")</f>
        <v>46178</v>
      </c>
      <c r="AL15" s="121">
        <f>IFERROR($N15+VLOOKUP($L15,'Voyage days'!$F$94:$H$193,3,FALSE),"")</f>
        <v>46182</v>
      </c>
      <c r="AM15" s="120" t="str">
        <f t="shared" si="11"/>
        <v>12-16 Jun</v>
      </c>
      <c r="AN15" s="121">
        <f>IFERROR($M15+VLOOKUP($L15,'Voyage days'!$F$203:$H$256,3,FALSE),"")</f>
        <v>46185</v>
      </c>
      <c r="AO15" s="121">
        <f>IFERROR($N15+VLOOKUP($L15,'Voyage days'!$F$203:$H$256,3,FALSE),"")</f>
        <v>46189</v>
      </c>
      <c r="AP15" s="120" t="str">
        <f t="shared" si="12"/>
        <v>04-08 Jun</v>
      </c>
      <c r="AQ15" s="121">
        <f>IFERROR($M15+VLOOKUP($L15,'Voyage days'!$F$294:$H$377,3,FALSE),"")</f>
        <v>46177</v>
      </c>
      <c r="AR15" s="121">
        <f>IFERROR($N15+VLOOKUP($L15,'Voyage days'!$F$294:$H$377,3,FALSE),"")</f>
        <v>46181</v>
      </c>
      <c r="AS15" s="120" t="str">
        <f t="shared" si="13"/>
        <v>10-14 Jun</v>
      </c>
      <c r="AT15" s="121">
        <f>IFERROR($M15+VLOOKUP($L15,'Voyage days'!$F$382:$H$446,3,FALSE),"")</f>
        <v>46183</v>
      </c>
      <c r="AU15" s="121">
        <f>IFERROR($N15+VLOOKUP($L15,'Voyage days'!$F$382:$H$446,3,FALSE),"")</f>
        <v>46187</v>
      </c>
      <c r="AV15" s="120" t="str">
        <f t="shared" si="14"/>
        <v>18-22 May</v>
      </c>
      <c r="AW15" s="121">
        <f>IFERROR($M15+VLOOKUP($L15,'Voyage days'!$F$483:$H$538,3,FALSE),"")</f>
        <v>46160</v>
      </c>
      <c r="AX15" s="121">
        <f>IFERROR($N15+VLOOKUP($L15,'Voyage days'!$F$483:$H$538,3,FALSE),"")</f>
        <v>46164</v>
      </c>
      <c r="AY15" s="120" t="str">
        <f t="shared" si="15"/>
        <v>13-17 May</v>
      </c>
      <c r="AZ15" s="121">
        <f>IFERROR($M15+VLOOKUP($L15,'Voyage days'!$F$540:$H$613,3,FALSE),"")</f>
        <v>46155.25</v>
      </c>
      <c r="BA15" s="121">
        <f>IFERROR($N15+VLOOKUP($L15,'Voyage days'!$F$540:$H$613,3,FALSE),"")</f>
        <v>46159.25</v>
      </c>
      <c r="BB15" s="120" t="str">
        <f t="shared" si="16"/>
        <v>13-17 May</v>
      </c>
      <c r="BC15" s="121">
        <f>IFERROR($M15+VLOOKUP($L15,'Voyage days'!$F$448:$H$479,3,FALSE),"")</f>
        <v>46155</v>
      </c>
      <c r="BD15" s="121">
        <f>IFERROR($N15+VLOOKUP($L15,'Voyage days'!$F$448:$H$479,3,FALSE),"")</f>
        <v>46159</v>
      </c>
      <c r="BE15" s="120" t="str">
        <f t="shared" si="17"/>
        <v>16-20 May</v>
      </c>
      <c r="BF15" s="122">
        <f>IFERROR($M15+VLOOKUP($L15,'Voyage days'!$F$620:$H$646,3,FALSE),"")</f>
        <v>46158</v>
      </c>
      <c r="BG15" s="122">
        <f>IFERROR($N15+VLOOKUP($L15,'Voyage days'!$F$620:$H$646,3,FALSE),"")</f>
        <v>46162</v>
      </c>
      <c r="BH15" s="120" t="str">
        <f t="shared" si="18"/>
        <v>13-24 Jun</v>
      </c>
      <c r="BI15" s="123">
        <f>IFERROR($M15+VLOOKUP($L15,'Voyage days'!$F$702:$H$727,3,FALSE),"")</f>
        <v>46155.25</v>
      </c>
      <c r="BJ15" s="120" t="str">
        <f t="shared" si="19"/>
        <v>20-24 Jun</v>
      </c>
      <c r="BK15" s="122">
        <f>IFERROR($M15+VLOOKUP($L15,'Voyage days'!$F$807:$H$878,3,FALSE),"")</f>
        <v>46193</v>
      </c>
      <c r="BL15" s="122">
        <f>IFERROR($N15+VLOOKUP($L15,'Voyage days'!$F$807:$H$878,3,FALSE),"")</f>
        <v>46197</v>
      </c>
      <c r="BM15" s="122">
        <f>IFERROR($N15+VLOOKUP($L15,'Voyage days'!$F$807:$K$878,6,FALSE),"")</f>
        <v>46171</v>
      </c>
      <c r="BN15" s="121" t="str">
        <f>if(L15="loads AG", IFERROR($M15+VLOOKUP($L15,'Voyage days'!$M$38:$O$38,3,FALSE),""),"")</f>
        <v/>
      </c>
      <c r="BO15" s="121" t="str">
        <f>if(L15="loads USG", IFERROR($M15+VLOOKUP($L15,'Voyage days'!$L$203:$N$203,3,FALSE),""),"")</f>
        <v/>
      </c>
    </row>
    <row r="16" ht="15.75" customHeight="1">
      <c r="A16" s="73" t="s">
        <v>429</v>
      </c>
      <c r="B16" s="202">
        <v>2025.0</v>
      </c>
      <c r="C16" s="203">
        <v>86920.0</v>
      </c>
      <c r="D16" s="103"/>
      <c r="E16" s="103"/>
      <c r="F16" s="104"/>
      <c r="G16" s="104"/>
      <c r="H16" s="104" t="s">
        <v>689</v>
      </c>
      <c r="I16" s="185" t="s">
        <v>667</v>
      </c>
      <c r="J16" s="106" t="str">
        <f t="shared" si="20"/>
        <v>Update</v>
      </c>
      <c r="K16" s="107"/>
      <c r="L16" s="199" t="s">
        <v>677</v>
      </c>
      <c r="M16" s="109">
        <v>46125.0</v>
      </c>
      <c r="N16" s="109">
        <v>46126.0</v>
      </c>
      <c r="O16" s="112"/>
      <c r="P16" s="108" t="s">
        <v>692</v>
      </c>
      <c r="Q16" s="108"/>
      <c r="R16" s="108" t="s">
        <v>693</v>
      </c>
      <c r="S16" s="112" t="s">
        <v>659</v>
      </c>
      <c r="T16" s="188">
        <v>46124.0</v>
      </c>
      <c r="U16" s="114" t="str">
        <f>IF(V16="","No AIS",VLOOKUP(V16,'Voyage days'!$A$3:$B$1480,2,FALSE))</f>
        <v>USG</v>
      </c>
      <c r="V16" s="115" t="str">
        <f>IF(VLOOKUP(A16,'1) Kpler'!$E$2:$P$1000,8, FALSE)="","",VLOOKUP(A16,'1) Kpler'!$E$2:$P$1000,8, FALSE))</f>
        <v>Houston</v>
      </c>
      <c r="W16" s="116">
        <f>IF(VLOOKUP(A16,'1) Kpler'!$E$2:$P$1000,9,FALSE)="","",VLOOKUP(A16,'1) Kpler'!$E$2:$P$1000,9,FALSE))</f>
        <v>46133</v>
      </c>
      <c r="X16" s="115" t="str">
        <f>VLOOKUP(A16,'1) Kpler'!$E$2:$I$1000,4,FALSE)</f>
        <v>ballast</v>
      </c>
      <c r="Y16" s="117" t="str">
        <f t="shared" si="1"/>
        <v/>
      </c>
      <c r="Z16" s="117" t="str">
        <f t="shared" si="2"/>
        <v>24-25 Apr</v>
      </c>
      <c r="AA16" s="117" t="str">
        <f t="shared" si="3"/>
        <v/>
      </c>
      <c r="AB16" s="117" t="str">
        <f t="shared" si="4"/>
        <v/>
      </c>
      <c r="AC16" s="117" t="str">
        <f t="shared" si="5"/>
        <v/>
      </c>
      <c r="AD16" s="117" t="str">
        <f t="shared" si="6"/>
        <v/>
      </c>
      <c r="AE16" s="118" t="str">
        <f t="shared" si="7"/>
        <v/>
      </c>
      <c r="AF16" s="119" t="str">
        <f t="shared" si="8"/>
        <v/>
      </c>
      <c r="AG16" s="120" t="str">
        <f t="shared" si="9"/>
        <v/>
      </c>
      <c r="AH16" s="121" t="str">
        <f>IFERROR($M16+VLOOKUP($L16,'Voyage days'!$F$38:$H$89,3,FALSE),"")</f>
        <v/>
      </c>
      <c r="AI16" s="121" t="str">
        <f>IFERROR(N16+VLOOKUP($L16,'Voyage days'!$F$38:$H$89,3,FALSE),"")</f>
        <v/>
      </c>
      <c r="AJ16" s="120" t="str">
        <f t="shared" si="10"/>
        <v>24-25 Apr</v>
      </c>
      <c r="AK16" s="121">
        <f>IFERROR($M16+VLOOKUP($L16,'Voyage days'!$F$94:$H$193,3,FALSE),"")</f>
        <v>46136</v>
      </c>
      <c r="AL16" s="121">
        <f>IFERROR($N16+VLOOKUP($L16,'Voyage days'!$F$94:$H$193,3,FALSE),"")</f>
        <v>46137</v>
      </c>
      <c r="AM16" s="120" t="str">
        <f t="shared" si="11"/>
        <v/>
      </c>
      <c r="AN16" s="121" t="str">
        <f>IFERROR($M16+VLOOKUP($L16,'Voyage days'!$F$203:$H$256,3,FALSE),"")</f>
        <v/>
      </c>
      <c r="AO16" s="121" t="str">
        <f>IFERROR($N16+VLOOKUP($L16,'Voyage days'!$F$203:$H$256,3,FALSE),"")</f>
        <v/>
      </c>
      <c r="AP16" s="120" t="str">
        <f t="shared" si="12"/>
        <v/>
      </c>
      <c r="AQ16" s="121" t="str">
        <f>IFERROR($M16+VLOOKUP($L16,'Voyage days'!$F$294:$H$377,3,FALSE),"")</f>
        <v/>
      </c>
      <c r="AR16" s="121" t="str">
        <f>IFERROR($N16+VLOOKUP($L16,'Voyage days'!$F$294:$H$377,3,FALSE),"")</f>
        <v/>
      </c>
      <c r="AS16" s="120" t="str">
        <f t="shared" si="13"/>
        <v/>
      </c>
      <c r="AT16" s="121" t="str">
        <f>IFERROR($M16+VLOOKUP($L16,'Voyage days'!$F$382:$H$446,3,FALSE),"")</f>
        <v/>
      </c>
      <c r="AU16" s="121" t="str">
        <f>IFERROR($N16+VLOOKUP($L16,'Voyage days'!$F$382:$H$446,3,FALSE),"")</f>
        <v/>
      </c>
      <c r="AV16" s="120" t="str">
        <f t="shared" si="14"/>
        <v/>
      </c>
      <c r="AW16" s="121" t="str">
        <f>IFERROR($M16+VLOOKUP($L16,'Voyage days'!$F$483:$H$538,3,FALSE),"")</f>
        <v/>
      </c>
      <c r="AX16" s="121" t="str">
        <f>IFERROR($N16+VLOOKUP($L16,'Voyage days'!$F$483:$H$538,3,FALSE),"")</f>
        <v/>
      </c>
      <c r="AY16" s="120" t="str">
        <f t="shared" si="15"/>
        <v/>
      </c>
      <c r="AZ16" s="121" t="str">
        <f>IFERROR($M16+VLOOKUP($L16,'Voyage days'!$F$540:$H$613,3,FALSE),"")</f>
        <v/>
      </c>
      <c r="BA16" s="121" t="str">
        <f>IFERROR($N16+VLOOKUP($L16,'Voyage days'!$F$540:$H$613,3,FALSE),"")</f>
        <v/>
      </c>
      <c r="BB16" s="120" t="str">
        <f t="shared" si="16"/>
        <v/>
      </c>
      <c r="BC16" s="121" t="str">
        <f>IFERROR($M16+VLOOKUP($L16,'Voyage days'!$F$448:$H$479,3,FALSE),"")</f>
        <v/>
      </c>
      <c r="BD16" s="121" t="str">
        <f>IFERROR($N16+VLOOKUP($L16,'Voyage days'!$F$448:$H$479,3,FALSE),"")</f>
        <v/>
      </c>
      <c r="BE16" s="120" t="str">
        <f t="shared" si="17"/>
        <v/>
      </c>
      <c r="BF16" s="122" t="str">
        <f>IFERROR($M16+VLOOKUP($L16,'Voyage days'!$F$620:$H$646,3,FALSE),"")</f>
        <v/>
      </c>
      <c r="BG16" s="122" t="str">
        <f>IFERROR($N16+VLOOKUP($L16,'Voyage days'!$F$620:$H$646,3,FALSE),"")</f>
        <v/>
      </c>
      <c r="BH16" s="120" t="str">
        <f t="shared" si="18"/>
        <v/>
      </c>
      <c r="BI16" s="123" t="str">
        <f>IFERROR($M16+VLOOKUP($L16,'Voyage days'!$F$702:$H$727,3,FALSE),"")</f>
        <v/>
      </c>
      <c r="BJ16" s="120" t="str">
        <f t="shared" si="19"/>
        <v/>
      </c>
      <c r="BK16" s="122" t="str">
        <f>IFERROR($M16+VLOOKUP($L16,'Voyage days'!$F$807:$H$878,3,FALSE),"")</f>
        <v/>
      </c>
      <c r="BL16" s="122" t="str">
        <f>IFERROR($N16+VLOOKUP($L16,'Voyage days'!$F$807:$H$878,3,FALSE),"")</f>
        <v/>
      </c>
      <c r="BM16" s="122" t="str">
        <f>IFERROR($N16+VLOOKUP($L16,'Voyage days'!$F$807:$K$878,6,FALSE),"")</f>
        <v/>
      </c>
      <c r="BN16" s="121" t="str">
        <f>if(L16="loads AG", IFERROR($M16+VLOOKUP($L16,'Voyage days'!$M$38:$O$38,3,FALSE),""),"")</f>
        <v/>
      </c>
      <c r="BO16" s="121" t="str">
        <f>if(L16="loads USG", IFERROR($M16+VLOOKUP($L16,'Voyage days'!$L$203:$N$203,3,FALSE),""),"")</f>
        <v/>
      </c>
    </row>
    <row r="17" ht="15.75" customHeight="1">
      <c r="A17" s="204" t="s">
        <v>456</v>
      </c>
      <c r="B17" s="101">
        <v>41275.0</v>
      </c>
      <c r="C17" s="102">
        <v>80000.0</v>
      </c>
      <c r="D17" s="103"/>
      <c r="E17" s="103"/>
      <c r="F17" s="104"/>
      <c r="G17" s="104"/>
      <c r="H17" s="104"/>
      <c r="I17" s="185" t="s">
        <v>667</v>
      </c>
      <c r="J17" s="106" t="str">
        <f t="shared" si="20"/>
        <v/>
      </c>
      <c r="K17" s="205"/>
      <c r="L17" s="108" t="s">
        <v>680</v>
      </c>
      <c r="M17" s="109">
        <v>46158.0</v>
      </c>
      <c r="N17" s="109">
        <v>46159.0</v>
      </c>
      <c r="O17" s="191"/>
      <c r="P17" s="153" t="s">
        <v>694</v>
      </c>
      <c r="Q17" s="108"/>
      <c r="R17" s="108" t="s">
        <v>695</v>
      </c>
      <c r="S17" s="112" t="s">
        <v>659</v>
      </c>
      <c r="T17" s="188">
        <v>46124.0</v>
      </c>
      <c r="U17" s="114" t="str">
        <f>IF(V17="","No AIS",VLOOKUP(V17,'Voyage days'!$A$3:$B$1480,2,FALSE))</f>
        <v>Cape (as proxy)</v>
      </c>
      <c r="V17" s="115" t="str">
        <f>IF(VLOOKUP(A17,'1) Kpler'!$E$2:$P$1000,8, FALSE)="","",VLOOKUP(A17,'1) Kpler'!$E$2:$P$1000,8, FALSE))</f>
        <v>Port Elizabeth</v>
      </c>
      <c r="W17" s="116">
        <f>IF(VLOOKUP(A17,'1) Kpler'!$E$2:$P$1000,9,FALSE)="","",VLOOKUP(A17,'1) Kpler'!$E$2:$P$1000,9,FALSE))</f>
        <v>46133.29167</v>
      </c>
      <c r="X17" s="115" t="str">
        <f>VLOOKUP(A17,'1) Kpler'!$E$2:$I$1000,4,FALSE)</f>
        <v>ballast</v>
      </c>
      <c r="Y17" s="160" t="str">
        <f t="shared" si="1"/>
        <v/>
      </c>
      <c r="Z17" s="160" t="str">
        <f t="shared" si="2"/>
        <v>16-17 May</v>
      </c>
      <c r="AA17" s="160" t="str">
        <f t="shared" si="3"/>
        <v>16-17 May</v>
      </c>
      <c r="AB17" s="160" t="str">
        <f t="shared" si="4"/>
        <v/>
      </c>
      <c r="AC17" s="160" t="str">
        <f t="shared" si="5"/>
        <v>05-06 Jun</v>
      </c>
      <c r="AD17" s="160" t="str">
        <f t="shared" si="6"/>
        <v/>
      </c>
      <c r="AE17" s="161" t="str">
        <f t="shared" si="7"/>
        <v/>
      </c>
      <c r="AF17" s="162" t="str">
        <f t="shared" si="8"/>
        <v/>
      </c>
      <c r="AG17" s="120" t="str">
        <f t="shared" si="9"/>
        <v/>
      </c>
      <c r="AH17" s="121" t="str">
        <f>IFERROR($M17+VLOOKUP($L17,'Voyage days'!$F$38:$H$89,3,FALSE),"")</f>
        <v/>
      </c>
      <c r="AI17" s="121" t="str">
        <f>IFERROR(N17+VLOOKUP($L17,'Voyage days'!$F$38:$H$89,3,FALSE),"")</f>
        <v/>
      </c>
      <c r="AJ17" s="120" t="str">
        <f t="shared" si="10"/>
        <v>16-17 May</v>
      </c>
      <c r="AK17" s="121">
        <f>IFERROR($M17+VLOOKUP($L17,'Voyage days'!$F$94:$H$193,3,FALSE),"")</f>
        <v>46158</v>
      </c>
      <c r="AL17" s="121">
        <f>IFERROR($N17+VLOOKUP($L17,'Voyage days'!$F$94:$H$193,3,FALSE),"")</f>
        <v>46159</v>
      </c>
      <c r="AM17" s="120" t="str">
        <f t="shared" si="11"/>
        <v>16-17 May</v>
      </c>
      <c r="AN17" s="121">
        <f>IFERROR($M17+VLOOKUP($L17,'Voyage days'!$F$203:$H$256,3,FALSE),"")</f>
        <v>46158</v>
      </c>
      <c r="AO17" s="121">
        <f>IFERROR($N17+VLOOKUP($L17,'Voyage days'!$F$203:$H$256,3,FALSE),"")</f>
        <v>46159</v>
      </c>
      <c r="AP17" s="120" t="str">
        <f t="shared" si="12"/>
        <v/>
      </c>
      <c r="AQ17" s="121" t="str">
        <f>IFERROR($M17+VLOOKUP($L17,'Voyage days'!$F$294:$H$377,3,FALSE),"")</f>
        <v/>
      </c>
      <c r="AR17" s="121" t="str">
        <f>IFERROR($N17+VLOOKUP($L17,'Voyage days'!$F$294:$H$377,3,FALSE),"")</f>
        <v/>
      </c>
      <c r="AS17" s="120" t="str">
        <f t="shared" si="13"/>
        <v>05-06 Jun</v>
      </c>
      <c r="AT17" s="121">
        <f>IFERROR($M17+VLOOKUP($L17,'Voyage days'!$F$382:$H$446,3,FALSE),"")</f>
        <v>46178</v>
      </c>
      <c r="AU17" s="121">
        <f>IFERROR($N17+VLOOKUP($L17,'Voyage days'!$F$382:$H$446,3,FALSE),"")</f>
        <v>46179</v>
      </c>
      <c r="AV17" s="120" t="str">
        <f t="shared" si="14"/>
        <v/>
      </c>
      <c r="AW17" s="121" t="str">
        <f>IFERROR($M17+VLOOKUP($L17,'Voyage days'!$F$483:$H$538,3,FALSE),"")</f>
        <v/>
      </c>
      <c r="AX17" s="121" t="str">
        <f>IFERROR($N17+VLOOKUP($L17,'Voyage days'!$F$483:$H$538,3,FALSE),"")</f>
        <v/>
      </c>
      <c r="AY17" s="120" t="str">
        <f t="shared" si="15"/>
        <v/>
      </c>
      <c r="AZ17" s="121" t="str">
        <f>IFERROR($M17+VLOOKUP($L17,'Voyage days'!$F$540:$H$613,3,FALSE),"")</f>
        <v/>
      </c>
      <c r="BA17" s="121" t="str">
        <f>IFERROR($N17+VLOOKUP($L17,'Voyage days'!$F$540:$H$613,3,FALSE),"")</f>
        <v/>
      </c>
      <c r="BB17" s="120" t="str">
        <f t="shared" si="16"/>
        <v/>
      </c>
      <c r="BC17" s="121" t="str">
        <f>IFERROR($M17+VLOOKUP($L17,'Voyage days'!$F$448:$H$479,3,FALSE),"")</f>
        <v/>
      </c>
      <c r="BD17" s="121" t="str">
        <f>IFERROR($N17+VLOOKUP($L17,'Voyage days'!$F$448:$H$479,3,FALSE),"")</f>
        <v/>
      </c>
      <c r="BE17" s="120" t="str">
        <f t="shared" si="17"/>
        <v/>
      </c>
      <c r="BF17" s="122" t="str">
        <f>IFERROR($M17+VLOOKUP($L17,'Voyage days'!$F$620:$H$646,3,FALSE),"")</f>
        <v/>
      </c>
      <c r="BG17" s="122" t="str">
        <f>IFERROR($N17+VLOOKUP($L17,'Voyage days'!$F$620:$H$646,3,FALSE),"")</f>
        <v/>
      </c>
      <c r="BH17" s="120" t="str">
        <f t="shared" si="18"/>
        <v/>
      </c>
      <c r="BI17" s="123" t="str">
        <f>IFERROR($M17+VLOOKUP($L17,'Voyage days'!$F$702:$H$727,3,FALSE),"")</f>
        <v/>
      </c>
      <c r="BJ17" s="120" t="str">
        <f t="shared" si="19"/>
        <v/>
      </c>
      <c r="BK17" s="122" t="str">
        <f>IFERROR($M17+VLOOKUP($L17,'Voyage days'!$F$807:$H$878,3,FALSE),"")</f>
        <v/>
      </c>
      <c r="BL17" s="122" t="str">
        <f>IFERROR($N17+VLOOKUP($L17,'Voyage days'!$F$807:$H$878,3,FALSE),"")</f>
        <v/>
      </c>
      <c r="BM17" s="122" t="str">
        <f>IFERROR($N17+VLOOKUP($L17,'Voyage days'!$F$807:$K$878,6,FALSE),"")</f>
        <v/>
      </c>
      <c r="BN17" s="121" t="str">
        <f>if(L17="loads AG", IFERROR($M17+VLOOKUP($L17,'Voyage days'!$M$38:$O$38,3,FALSE),""),"")</f>
        <v/>
      </c>
      <c r="BO17" s="121">
        <f>if(L17="loads USG", IFERROR($M17+VLOOKUP($L17,'Voyage days'!$L$203:$N$203,3,FALSE),""),"")</f>
        <v>46190</v>
      </c>
    </row>
    <row r="18" ht="15.75" customHeight="1">
      <c r="A18" s="124" t="s">
        <v>465</v>
      </c>
      <c r="B18" s="101">
        <v>42675.0</v>
      </c>
      <c r="C18" s="102">
        <v>82200.0</v>
      </c>
      <c r="D18" s="206"/>
      <c r="E18" s="206"/>
      <c r="F18" s="207"/>
      <c r="G18" s="207"/>
      <c r="H18" s="207"/>
      <c r="I18" s="208" t="s">
        <v>667</v>
      </c>
      <c r="J18" s="209" t="str">
        <f t="shared" si="20"/>
        <v>Update</v>
      </c>
      <c r="K18" s="210"/>
      <c r="L18" s="211" t="s">
        <v>680</v>
      </c>
      <c r="M18" s="109">
        <v>46125.0</v>
      </c>
      <c r="N18" s="212">
        <v>46126.0</v>
      </c>
      <c r="O18" s="213"/>
      <c r="P18" s="211" t="s">
        <v>681</v>
      </c>
      <c r="Q18" s="214"/>
      <c r="R18" s="215" t="s">
        <v>696</v>
      </c>
      <c r="S18" s="112" t="s">
        <v>659</v>
      </c>
      <c r="T18" s="188">
        <v>46124.0</v>
      </c>
      <c r="U18" s="216" t="str">
        <f>IF(V18="","No AIS",VLOOKUP(V18,'Voyage days'!$A$3:$B$1480,2,FALSE))</f>
        <v>Indo + 4 (STS)</v>
      </c>
      <c r="V18" s="217" t="str">
        <f>IF(VLOOKUP(A18,'1) Kpler'!$E$2:$P$1000,8, FALSE)="","",VLOOKUP(A18,'1) Kpler'!$E$2:$P$1000,8, FALSE))</f>
        <v>Kalbut</v>
      </c>
      <c r="W18" s="218">
        <f>IF(VLOOKUP(A18,'1) Kpler'!$E$2:$P$1000,9,FALSE)="","",VLOOKUP(A18,'1) Kpler'!$E$2:$P$1000,9,FALSE))</f>
        <v>46171.00069</v>
      </c>
      <c r="X18" s="217" t="str">
        <f>VLOOKUP(A18,'1) Kpler'!$E$2:$I$1000,4,FALSE)</f>
        <v>loaded</v>
      </c>
      <c r="Y18" s="219" t="str">
        <f t="shared" si="1"/>
        <v/>
      </c>
      <c r="Z18" s="219" t="str">
        <f t="shared" si="2"/>
        <v>13-14 Apr</v>
      </c>
      <c r="AA18" s="219" t="str">
        <f t="shared" si="3"/>
        <v>13-14 Apr</v>
      </c>
      <c r="AB18" s="219" t="str">
        <f t="shared" si="4"/>
        <v/>
      </c>
      <c r="AC18" s="219" t="str">
        <f t="shared" si="5"/>
        <v>03-04 May</v>
      </c>
      <c r="AD18" s="219" t="str">
        <f t="shared" si="6"/>
        <v/>
      </c>
      <c r="AE18" s="220" t="str">
        <f t="shared" si="7"/>
        <v/>
      </c>
      <c r="AF18" s="119" t="str">
        <f t="shared" si="8"/>
        <v/>
      </c>
      <c r="AG18" s="120" t="str">
        <f t="shared" si="9"/>
        <v/>
      </c>
      <c r="AH18" s="121" t="str">
        <f>IFERROR($M18+VLOOKUP($L18,'Voyage days'!$F$38:$H$89,3,FALSE),"")</f>
        <v/>
      </c>
      <c r="AI18" s="121" t="str">
        <f>IFERROR(N18+VLOOKUP($L18,'Voyage days'!$F$38:$H$89,3,FALSE),"")</f>
        <v/>
      </c>
      <c r="AJ18" s="120" t="str">
        <f t="shared" si="10"/>
        <v>13-14 Apr</v>
      </c>
      <c r="AK18" s="121">
        <f>IFERROR($M18+VLOOKUP($L18,'Voyage days'!$F$94:$H$193,3,FALSE),"")</f>
        <v>46125</v>
      </c>
      <c r="AL18" s="121">
        <f>IFERROR($N18+VLOOKUP($L18,'Voyage days'!$F$94:$H$193,3,FALSE),"")</f>
        <v>46126</v>
      </c>
      <c r="AM18" s="120" t="str">
        <f t="shared" si="11"/>
        <v>13-14 Apr</v>
      </c>
      <c r="AN18" s="121">
        <f>IFERROR($M18+VLOOKUP($L18,'Voyage days'!$F$203:$H$256,3,FALSE),"")</f>
        <v>46125</v>
      </c>
      <c r="AO18" s="121">
        <f>IFERROR($N18+VLOOKUP($L18,'Voyage days'!$F$203:$H$256,3,FALSE),"")</f>
        <v>46126</v>
      </c>
      <c r="AP18" s="120" t="str">
        <f t="shared" si="12"/>
        <v/>
      </c>
      <c r="AQ18" s="121" t="str">
        <f>IFERROR($M18+VLOOKUP($L18,'Voyage days'!$F$294:$H$377,3,FALSE),"")</f>
        <v/>
      </c>
      <c r="AR18" s="121" t="str">
        <f>IFERROR($N18+VLOOKUP($L18,'Voyage days'!$F$294:$H$377,3,FALSE),"")</f>
        <v/>
      </c>
      <c r="AS18" s="120" t="str">
        <f t="shared" si="13"/>
        <v>03-04 May</v>
      </c>
      <c r="AT18" s="121">
        <f>IFERROR($M18+VLOOKUP($L18,'Voyage days'!$F$382:$H$446,3,FALSE),"")</f>
        <v>46145</v>
      </c>
      <c r="AU18" s="121">
        <f>IFERROR($N18+VLOOKUP($L18,'Voyage days'!$F$382:$H$446,3,FALSE),"")</f>
        <v>46146</v>
      </c>
      <c r="AV18" s="120" t="str">
        <f t="shared" si="14"/>
        <v/>
      </c>
      <c r="AW18" s="121" t="str">
        <f>IFERROR($M18+VLOOKUP($L18,'Voyage days'!$F$483:$H$538,3,FALSE),"")</f>
        <v/>
      </c>
      <c r="AX18" s="121" t="str">
        <f>IFERROR($N18+VLOOKUP($L18,'Voyage days'!$F$483:$H$538,3,FALSE),"")</f>
        <v/>
      </c>
      <c r="AY18" s="120" t="str">
        <f t="shared" si="15"/>
        <v/>
      </c>
      <c r="AZ18" s="121" t="str">
        <f>IFERROR($M18+VLOOKUP($L18,'Voyage days'!$F$540:$H$613,3,FALSE),"")</f>
        <v/>
      </c>
      <c r="BA18" s="121" t="str">
        <f>IFERROR($N18+VLOOKUP($L18,'Voyage days'!$F$540:$H$613,3,FALSE),"")</f>
        <v/>
      </c>
      <c r="BB18" s="120" t="str">
        <f t="shared" si="16"/>
        <v/>
      </c>
      <c r="BC18" s="121" t="str">
        <f>IFERROR($M18+VLOOKUP($L18,'Voyage days'!$F$448:$H$479,3,FALSE),"")</f>
        <v/>
      </c>
      <c r="BD18" s="121" t="str">
        <f>IFERROR($N18+VLOOKUP($L18,'Voyage days'!$F$448:$H$479,3,FALSE),"")</f>
        <v/>
      </c>
      <c r="BE18" s="120" t="str">
        <f t="shared" si="17"/>
        <v/>
      </c>
      <c r="BF18" s="122" t="str">
        <f>IFERROR($M18+VLOOKUP($L18,'Voyage days'!$F$620:$H$646,3,FALSE),"")</f>
        <v/>
      </c>
      <c r="BG18" s="122" t="str">
        <f>IFERROR($N18+VLOOKUP($L18,'Voyage days'!$F$620:$H$646,3,FALSE),"")</f>
        <v/>
      </c>
      <c r="BH18" s="120" t="str">
        <f t="shared" si="18"/>
        <v/>
      </c>
      <c r="BI18" s="123" t="str">
        <f>IFERROR($M18+VLOOKUP($L18,'Voyage days'!$F$702:$H$727,3,FALSE),"")</f>
        <v/>
      </c>
      <c r="BJ18" s="120" t="str">
        <f t="shared" si="19"/>
        <v/>
      </c>
      <c r="BK18" s="122" t="str">
        <f>IFERROR($M18+VLOOKUP($L18,'Voyage days'!$F$807:$H$878,3,FALSE),"")</f>
        <v/>
      </c>
      <c r="BL18" s="122" t="str">
        <f>IFERROR($N18+VLOOKUP($L18,'Voyage days'!$F$807:$H$878,3,FALSE),"")</f>
        <v/>
      </c>
      <c r="BM18" s="122" t="str">
        <f>IFERROR($N18+VLOOKUP($L18,'Voyage days'!$F$807:$K$878,6,FALSE),"")</f>
        <v/>
      </c>
      <c r="BN18" s="121" t="str">
        <f>if(L18="loads AG", IFERROR($M18+VLOOKUP($L18,'Voyage days'!$M$38:$O$38,3,FALSE),""),"")</f>
        <v/>
      </c>
      <c r="BO18" s="121">
        <f>if(L18="loads USG", IFERROR($M18+VLOOKUP($L18,'Voyage days'!$L$203:$N$203,3,FALSE),""),"")</f>
        <v>46157</v>
      </c>
    </row>
    <row r="19" ht="15.75" customHeight="1">
      <c r="A19" s="221" t="s">
        <v>542</v>
      </c>
      <c r="B19" s="222">
        <v>42459.0</v>
      </c>
      <c r="C19" s="166">
        <v>82200.0</v>
      </c>
      <c r="D19" s="223"/>
      <c r="E19" s="223"/>
      <c r="F19" s="168"/>
      <c r="G19" s="168"/>
      <c r="H19" s="168"/>
      <c r="I19" s="224" t="s">
        <v>697</v>
      </c>
      <c r="J19" s="170" t="str">
        <f t="shared" si="20"/>
        <v>Update</v>
      </c>
      <c r="K19" s="225"/>
      <c r="L19" s="172" t="s">
        <v>698</v>
      </c>
      <c r="M19" s="173">
        <v>46127.0</v>
      </c>
      <c r="N19" s="173">
        <v>46128.0</v>
      </c>
      <c r="O19" s="226" t="s">
        <v>699</v>
      </c>
      <c r="P19" s="192" t="s">
        <v>700</v>
      </c>
      <c r="Q19" s="172"/>
      <c r="R19" s="172" t="s">
        <v>701</v>
      </c>
      <c r="S19" s="227" t="s">
        <v>659</v>
      </c>
      <c r="T19" s="176">
        <v>46124.0</v>
      </c>
      <c r="U19" s="177" t="str">
        <f>IF(V19="","No AIS",VLOOKUP(V19,'Voyage days'!$A$3:$B$1480,2,FALSE))</f>
        <v>USG</v>
      </c>
      <c r="V19" s="178" t="str">
        <f>IF(VLOOKUP(A19,'1) Kpler'!$E$2:$P$1000,8, FALSE)="","",VLOOKUP(A19,'1) Kpler'!$E$2:$P$1000,8, FALSE))</f>
        <v>Houston</v>
      </c>
      <c r="W19" s="179">
        <f>IF(VLOOKUP(A19,'1) Kpler'!$E$2:$P$1000,9,FALSE)="","",VLOOKUP(A19,'1) Kpler'!$E$2:$P$1000,9,FALSE))</f>
        <v>46163.35417</v>
      </c>
      <c r="X19" s="178" t="str">
        <f>VLOOKUP(A19,'1) Kpler'!$E$2:$I$1000,4,FALSE)</f>
        <v>ballast</v>
      </c>
      <c r="Y19" s="120" t="str">
        <f t="shared" si="1"/>
        <v>25-26 Apr</v>
      </c>
      <c r="Z19" s="120" t="str">
        <f t="shared" si="2"/>
        <v>18-19 May</v>
      </c>
      <c r="AA19" s="120" t="str">
        <f t="shared" si="3"/>
        <v>19-20 May</v>
      </c>
      <c r="AB19" s="120" t="str">
        <f t="shared" si="4"/>
        <v>05-06 May</v>
      </c>
      <c r="AC19" s="120" t="str">
        <f t="shared" si="5"/>
        <v>13-14 May</v>
      </c>
      <c r="AD19" s="120" t="str">
        <f t="shared" si="6"/>
        <v>15-16 Apr</v>
      </c>
      <c r="AE19" s="228" t="str">
        <f t="shared" si="7"/>
        <v>20-21 Apr</v>
      </c>
      <c r="AF19" s="229" t="str">
        <f t="shared" si="8"/>
        <v>22-23 May</v>
      </c>
      <c r="AG19" s="120" t="str">
        <f t="shared" si="9"/>
        <v>25-26 Apr</v>
      </c>
      <c r="AH19" s="121">
        <f>IFERROR($M19+VLOOKUP($L19,'Voyage days'!$F$38:$H$89,3,FALSE),"")</f>
        <v>46137</v>
      </c>
      <c r="AI19" s="121">
        <f>IFERROR(N19+VLOOKUP($L19,'Voyage days'!$F$38:$H$89,3,FALSE),"")</f>
        <v>46138</v>
      </c>
      <c r="AJ19" s="120" t="str">
        <f t="shared" si="10"/>
        <v>18-19 May</v>
      </c>
      <c r="AK19" s="121">
        <f>IFERROR($M19+VLOOKUP($L19,'Voyage days'!$F$94:$H$193,3,FALSE),"")</f>
        <v>46160</v>
      </c>
      <c r="AL19" s="121">
        <f>IFERROR($N19+VLOOKUP($L19,'Voyage days'!$F$94:$H$193,3,FALSE),"")</f>
        <v>46161</v>
      </c>
      <c r="AM19" s="120" t="str">
        <f t="shared" si="11"/>
        <v>19-20 May</v>
      </c>
      <c r="AN19" s="121">
        <f>IFERROR($M19+VLOOKUP($L19,'Voyage days'!$F$203:$H$256,3,FALSE),"")</f>
        <v>46161</v>
      </c>
      <c r="AO19" s="121">
        <f>IFERROR($N19+VLOOKUP($L19,'Voyage days'!$F$203:$H$256,3,FALSE),"")</f>
        <v>46162</v>
      </c>
      <c r="AP19" s="120" t="str">
        <f t="shared" si="12"/>
        <v>05-06 May</v>
      </c>
      <c r="AQ19" s="121">
        <f>IFERROR($M19+VLOOKUP($L19,'Voyage days'!$F$294:$H$377,3,FALSE),"")</f>
        <v>46147</v>
      </c>
      <c r="AR19" s="121">
        <f>IFERROR($N19+VLOOKUP($L19,'Voyage days'!$F$294:$H$377,3,FALSE),"")</f>
        <v>46148</v>
      </c>
      <c r="AS19" s="120" t="str">
        <f t="shared" si="13"/>
        <v>13-14 May</v>
      </c>
      <c r="AT19" s="121">
        <f>IFERROR($M19+VLOOKUP($L19,'Voyage days'!$F$382:$H$446,3,FALSE),"")</f>
        <v>46155</v>
      </c>
      <c r="AU19" s="121">
        <f>IFERROR($N19+VLOOKUP($L19,'Voyage days'!$F$382:$H$446,3,FALSE),"")</f>
        <v>46156</v>
      </c>
      <c r="AV19" s="120" t="str">
        <f t="shared" si="14"/>
        <v>26-27 Apr</v>
      </c>
      <c r="AW19" s="121">
        <f>IFERROR($M19+VLOOKUP($L19,'Voyage days'!$F$483:$H$538,3,FALSE),"")</f>
        <v>46138</v>
      </c>
      <c r="AX19" s="121">
        <f>IFERROR($N19+VLOOKUP($L19,'Voyage days'!$F$483:$H$538,3,FALSE),"")</f>
        <v>46139</v>
      </c>
      <c r="AY19" s="120" t="str">
        <f t="shared" si="15"/>
        <v>20-21 Apr</v>
      </c>
      <c r="AZ19" s="121">
        <f>IFERROR($M19+VLOOKUP($L19,'Voyage days'!$F$540:$H$613,3,FALSE),"")</f>
        <v>46132.25</v>
      </c>
      <c r="BA19" s="121">
        <f>IFERROR($N19+VLOOKUP($L19,'Voyage days'!$F$540:$H$613,3,FALSE),"")</f>
        <v>46133.25</v>
      </c>
      <c r="BB19" s="120" t="str">
        <f t="shared" si="16"/>
        <v>15-16 Apr</v>
      </c>
      <c r="BC19" s="121">
        <f>IFERROR($M19+VLOOKUP($L19,'Voyage days'!$F$448:$H$479,3,FALSE),"")</f>
        <v>46127</v>
      </c>
      <c r="BD19" s="121">
        <f>IFERROR($N19+VLOOKUP($L19,'Voyage days'!$F$448:$H$479,3,FALSE),"")</f>
        <v>46128</v>
      </c>
      <c r="BE19" s="120" t="str">
        <f t="shared" si="17"/>
        <v/>
      </c>
      <c r="BF19" s="122" t="str">
        <f>IFERROR($M19+VLOOKUP($L19,'Voyage days'!$F$620:$H$646,3,FALSE),"")</f>
        <v/>
      </c>
      <c r="BG19" s="122" t="str">
        <f>IFERROR($N19+VLOOKUP($L19,'Voyage days'!$F$620:$H$646,3,FALSE),"")</f>
        <v/>
      </c>
      <c r="BH19" s="120" t="str">
        <f t="shared" si="18"/>
        <v>25-23 May</v>
      </c>
      <c r="BI19" s="123">
        <f>IFERROR($M19+VLOOKUP($L19,'Voyage days'!$F$702:$H$727,3,FALSE),"")</f>
        <v>46137</v>
      </c>
      <c r="BJ19" s="120" t="str">
        <f t="shared" si="19"/>
        <v>22-23 May</v>
      </c>
      <c r="BK19" s="122">
        <f>IFERROR($M19+VLOOKUP($L19,'Voyage days'!$F$807:$H$878,3,FALSE),"")</f>
        <v>46164</v>
      </c>
      <c r="BL19" s="122">
        <f>IFERROR($N19+VLOOKUP($L19,'Voyage days'!$F$807:$H$878,3,FALSE),"")</f>
        <v>46165</v>
      </c>
      <c r="BM19" s="122">
        <f>IFERROR($N19+VLOOKUP($L19,'Voyage days'!$F$807:$K$878,6,FALSE),"")</f>
        <v>46141</v>
      </c>
      <c r="BN19" s="121" t="str">
        <f>if(L19="loads AG", IFERROR($M19+VLOOKUP($L19,'Voyage days'!$M$38:$O$38,3,FALSE),""),"")</f>
        <v/>
      </c>
      <c r="BO19" s="121" t="str">
        <f>if(L19="loads USG", IFERROR($M19+VLOOKUP($L19,'Voyage days'!$L$203:$N$203,3,FALSE),""),"")</f>
        <v/>
      </c>
    </row>
    <row r="20" ht="15.75" customHeight="1">
      <c r="A20" s="230" t="s">
        <v>25</v>
      </c>
      <c r="B20" s="231">
        <v>2008.0</v>
      </c>
      <c r="C20" s="232">
        <v>84000.0</v>
      </c>
      <c r="D20" s="233"/>
      <c r="E20" s="233"/>
      <c r="F20" s="234"/>
      <c r="G20" s="234"/>
      <c r="H20" s="234"/>
      <c r="I20" s="235" t="s">
        <v>702</v>
      </c>
      <c r="J20" s="236" t="str">
        <f t="shared" si="20"/>
        <v>NO AIS</v>
      </c>
      <c r="K20" s="237"/>
      <c r="L20" s="235" t="s">
        <v>703</v>
      </c>
      <c r="M20" s="238">
        <v>46132.0</v>
      </c>
      <c r="N20" s="238">
        <v>46133.0</v>
      </c>
      <c r="O20" s="239"/>
      <c r="P20" s="240" t="s">
        <v>704</v>
      </c>
      <c r="Q20" s="235"/>
      <c r="R20" s="241" t="s">
        <v>705</v>
      </c>
      <c r="S20" s="242" t="s">
        <v>659</v>
      </c>
      <c r="T20" s="243">
        <v>46124.0</v>
      </c>
      <c r="U20" s="244" t="str">
        <f>IF(V20="","No AIS",VLOOKUP(V20,'Voyage days'!$A$3:$B$1480,2,FALSE))</f>
        <v>No AIS</v>
      </c>
      <c r="V20" s="244" t="str">
        <f>IF(VLOOKUP(A20,'1) Kpler'!$E$2:$P$1000,8, FALSE)="","",VLOOKUP(A20,'1) Kpler'!$E$2:$P$1000,8, FALSE))</f>
        <v/>
      </c>
      <c r="W20" s="245" t="str">
        <f>IF(VLOOKUP(A20,'1) Kpler'!$E$2:$P$1000,9,FALSE)="","",VLOOKUP(A20,'1) Kpler'!$E$2:$P$1000,9,FALSE))</f>
        <v/>
      </c>
      <c r="X20" s="244" t="str">
        <f>VLOOKUP(A20,'1) Kpler'!$E$2:$I$1000,4,FALSE)</f>
        <v>ballast</v>
      </c>
      <c r="Y20" s="246" t="str">
        <f t="shared" si="1"/>
        <v>05-06 May</v>
      </c>
      <c r="Z20" s="246" t="str">
        <f t="shared" si="2"/>
        <v>27-28 May</v>
      </c>
      <c r="AA20" s="246" t="str">
        <f t="shared" si="3"/>
        <v>01-02 Jun</v>
      </c>
      <c r="AB20" s="246" t="str">
        <f t="shared" si="4"/>
        <v>16-17 May</v>
      </c>
      <c r="AC20" s="246" t="str">
        <f t="shared" si="5"/>
        <v>23-24 May</v>
      </c>
      <c r="AD20" s="246" t="str">
        <f t="shared" si="6"/>
        <v>24-25 Apr</v>
      </c>
      <c r="AE20" s="247" t="str">
        <f t="shared" si="7"/>
        <v>26-27 Apr</v>
      </c>
      <c r="AF20" s="248" t="str">
        <f t="shared" si="8"/>
        <v>01-02 Jun</v>
      </c>
      <c r="AG20" s="249" t="str">
        <f t="shared" si="9"/>
        <v>05-06 May</v>
      </c>
      <c r="AH20" s="250">
        <f>IFERROR($M20+VLOOKUP($L20,'Voyage days'!$F$38:$H$89,3,FALSE),"")</f>
        <v>46147</v>
      </c>
      <c r="AI20" s="250">
        <f>IFERROR(N20+VLOOKUP($L20,'Voyage days'!$F$38:$H$89,3,FALSE),"")</f>
        <v>46148</v>
      </c>
      <c r="AJ20" s="249" t="str">
        <f t="shared" si="10"/>
        <v>27-28 May</v>
      </c>
      <c r="AK20" s="250">
        <f>IFERROR($M20+VLOOKUP($L20,'Voyage days'!$F$94:$H$193,3,FALSE),"")</f>
        <v>46169</v>
      </c>
      <c r="AL20" s="250">
        <f>IFERROR($N20+VLOOKUP($L20,'Voyage days'!$F$94:$H$193,3,FALSE),"")</f>
        <v>46170</v>
      </c>
      <c r="AM20" s="249" t="str">
        <f t="shared" si="11"/>
        <v>01-02 Jun</v>
      </c>
      <c r="AN20" s="250">
        <f>IFERROR($M20+VLOOKUP($L20,'Voyage days'!$F$203:$H$256,3,FALSE),"")</f>
        <v>46174</v>
      </c>
      <c r="AO20" s="250">
        <f>IFERROR($N20+VLOOKUP($L20,'Voyage days'!$F$203:$H$256,3,FALSE),"")</f>
        <v>46175</v>
      </c>
      <c r="AP20" s="249" t="str">
        <f t="shared" si="12"/>
        <v>16-17 May</v>
      </c>
      <c r="AQ20" s="250">
        <f>IFERROR($M20+VLOOKUP($L20,'Voyage days'!$F$294:$H$377,3,FALSE),"")</f>
        <v>46158</v>
      </c>
      <c r="AR20" s="250">
        <f>IFERROR($N20+VLOOKUP($L20,'Voyage days'!$F$294:$H$377,3,FALSE),"")</f>
        <v>46159</v>
      </c>
      <c r="AS20" s="249" t="str">
        <f t="shared" si="13"/>
        <v>23-24 May</v>
      </c>
      <c r="AT20" s="250">
        <f>IFERROR($M20+VLOOKUP($L20,'Voyage days'!$F$382:$H$446,3,FALSE),"")</f>
        <v>46165</v>
      </c>
      <c r="AU20" s="250">
        <f>IFERROR($N20+VLOOKUP($L20,'Voyage days'!$F$382:$H$446,3,FALSE),"")</f>
        <v>46166</v>
      </c>
      <c r="AV20" s="249" t="str">
        <f t="shared" si="14"/>
        <v>04-05 May</v>
      </c>
      <c r="AW20" s="250">
        <f>IFERROR($M20+VLOOKUP($L20,'Voyage days'!$F$483:$H$538,3,FALSE),"")</f>
        <v>46146</v>
      </c>
      <c r="AX20" s="250">
        <f>IFERROR($N20+VLOOKUP($L20,'Voyage days'!$F$483:$H$538,3,FALSE),"")</f>
        <v>46147</v>
      </c>
      <c r="AY20" s="249" t="str">
        <f t="shared" si="15"/>
        <v>26-27 Apr</v>
      </c>
      <c r="AZ20" s="250">
        <f>IFERROR($M20+VLOOKUP($L20,'Voyage days'!$F$540:$H$613,3,FALSE),"")</f>
        <v>46138.75</v>
      </c>
      <c r="BA20" s="250">
        <f>IFERROR($N20+VLOOKUP($L20,'Voyage days'!$F$540:$H$613,3,FALSE),"")</f>
        <v>46139.75</v>
      </c>
      <c r="BB20" s="249" t="str">
        <f t="shared" si="16"/>
        <v>24-25 Apr</v>
      </c>
      <c r="BC20" s="250">
        <f>IFERROR($M20+VLOOKUP($L20,'Voyage days'!$F$448:$H$479,3,FALSE),"")</f>
        <v>46136</v>
      </c>
      <c r="BD20" s="250">
        <f>IFERROR($N20+VLOOKUP($L20,'Voyage days'!$F$448:$H$479,3,FALSE),"")</f>
        <v>46137</v>
      </c>
      <c r="BE20" s="249" t="str">
        <f t="shared" si="17"/>
        <v/>
      </c>
      <c r="BF20" s="250" t="str">
        <f>IFERROR($M20+VLOOKUP($L20,'Voyage days'!$F$620:$H$646,3,FALSE),"")</f>
        <v/>
      </c>
      <c r="BG20" s="250" t="str">
        <f>IFERROR($N20+VLOOKUP($L20,'Voyage days'!$F$620:$H$646,3,FALSE),"")</f>
        <v/>
      </c>
      <c r="BH20" s="249" t="str">
        <f t="shared" si="18"/>
        <v>26-02 Jun</v>
      </c>
      <c r="BI20" s="251">
        <f>IFERROR($M20+VLOOKUP($L20,'Voyage days'!$F$702:$H$727,3,FALSE),"")</f>
        <v>46138.75</v>
      </c>
      <c r="BJ20" s="249" t="str">
        <f t="shared" si="19"/>
        <v>01-02 Jun</v>
      </c>
      <c r="BK20" s="250">
        <f>IFERROR($M20+VLOOKUP($L20,'Voyage days'!$F$807:$H$878,3,FALSE),"")</f>
        <v>46174</v>
      </c>
      <c r="BL20" s="250">
        <f>IFERROR($N20+VLOOKUP($L20,'Voyage days'!$F$807:$H$878,3,FALSE),"")</f>
        <v>46175</v>
      </c>
      <c r="BM20" s="250">
        <f>IFERROR($N20+VLOOKUP($L20,'Voyage days'!$F$807:$K$878,6,FALSE),"")</f>
        <v>46150</v>
      </c>
      <c r="BN20" s="250" t="str">
        <f>if(L20="loads AG", IFERROR($M20+VLOOKUP($L20,'Voyage days'!$M$38:$O$38,3,FALSE),""),"")</f>
        <v/>
      </c>
      <c r="BO20" s="250" t="str">
        <f>if(L20="loads USG", IFERROR($M20+VLOOKUP($L20,'Voyage days'!$L$203:$N$203,3,FALSE),""),"")</f>
        <v/>
      </c>
      <c r="BP20" s="252"/>
    </row>
    <row r="21" ht="15.75" customHeight="1">
      <c r="A21" s="147" t="s">
        <v>87</v>
      </c>
      <c r="B21" s="253">
        <v>2006.0</v>
      </c>
      <c r="C21" s="102">
        <v>82244.0</v>
      </c>
      <c r="D21" s="112"/>
      <c r="E21" s="112" t="s">
        <v>706</v>
      </c>
      <c r="F21" s="104"/>
      <c r="G21" s="104"/>
      <c r="H21" s="104"/>
      <c r="I21" s="153" t="s">
        <v>707</v>
      </c>
      <c r="J21" s="106" t="str">
        <f t="shared" si="20"/>
        <v>Update</v>
      </c>
      <c r="K21" s="107"/>
      <c r="L21" s="108" t="s">
        <v>708</v>
      </c>
      <c r="M21" s="254">
        <v>46118.0</v>
      </c>
      <c r="N21" s="109">
        <v>46119.0</v>
      </c>
      <c r="O21" s="255" t="s">
        <v>709</v>
      </c>
      <c r="P21" s="187" t="s">
        <v>710</v>
      </c>
      <c r="Q21" s="108"/>
      <c r="R21" s="108" t="s">
        <v>711</v>
      </c>
      <c r="S21" s="256" t="s">
        <v>659</v>
      </c>
      <c r="T21" s="188">
        <v>46124.0</v>
      </c>
      <c r="U21" s="114" t="str">
        <f>IF(V21="","No AIS",VLOOKUP(V21,'Voyage days'!$A$3:$B$1480,2,FALSE))</f>
        <v>USG</v>
      </c>
      <c r="V21" s="115" t="str">
        <f>IF(VLOOKUP(A21,'1) Kpler'!$E$2:$P$1000,8, FALSE)="","",VLOOKUP(A21,'1) Kpler'!$E$2:$P$1000,8, FALSE))</f>
        <v>Houston</v>
      </c>
      <c r="W21" s="116">
        <f>IF(VLOOKUP(A21,'1) Kpler'!$E$2:$P$1000,9,FALSE)="","",VLOOKUP(A21,'1) Kpler'!$E$2:$P$1000,9,FALSE))</f>
        <v>46144.5</v>
      </c>
      <c r="X21" s="115" t="str">
        <f>VLOOKUP(A21,'1) Kpler'!$E$2:$I$1000,4,FALSE)</f>
        <v>ballast</v>
      </c>
      <c r="Y21" s="117" t="str">
        <f t="shared" si="1"/>
        <v/>
      </c>
      <c r="Z21" s="257" t="str">
        <f t="shared" si="2"/>
        <v/>
      </c>
      <c r="AA21" s="257" t="str">
        <f t="shared" si="3"/>
        <v>02-03 May</v>
      </c>
      <c r="AB21" s="117" t="str">
        <f t="shared" si="4"/>
        <v>19-20 Apr</v>
      </c>
      <c r="AC21" s="117" t="str">
        <f t="shared" si="5"/>
        <v>28-29 Apr</v>
      </c>
      <c r="AD21" s="117" t="str">
        <f t="shared" si="6"/>
        <v/>
      </c>
      <c r="AE21" s="118" t="str">
        <f t="shared" si="7"/>
        <v/>
      </c>
      <c r="AF21" s="119" t="str">
        <f t="shared" si="8"/>
        <v>03-04 May</v>
      </c>
      <c r="AG21" s="120" t="str">
        <f t="shared" si="9"/>
        <v/>
      </c>
      <c r="AH21" s="121" t="str">
        <f>IFERROR($M21+VLOOKUP($L21,'Voyage days'!$F$38:$H$89,3,FALSE),"")</f>
        <v/>
      </c>
      <c r="AI21" s="121" t="str">
        <f>IFERROR(N21+VLOOKUP($L21,'Voyage days'!$F$38:$H$89,3,FALSE),"")</f>
        <v/>
      </c>
      <c r="AJ21" s="120" t="str">
        <f t="shared" si="10"/>
        <v/>
      </c>
      <c r="AK21" s="121" t="str">
        <f>IFERROR($M21+VLOOKUP($L21,'Voyage days'!$F$94:$H$193,3,FALSE),"")</f>
        <v/>
      </c>
      <c r="AL21" s="121" t="str">
        <f>IFERROR($N21+VLOOKUP($L21,'Voyage days'!$F$94:$H$193,3,FALSE),"")</f>
        <v/>
      </c>
      <c r="AM21" s="120" t="str">
        <f t="shared" si="11"/>
        <v>02-03 May</v>
      </c>
      <c r="AN21" s="121">
        <f>IFERROR($M21+VLOOKUP($L21,'Voyage days'!$F$203:$H$256,3,FALSE),"")</f>
        <v>46144</v>
      </c>
      <c r="AO21" s="121">
        <f>IFERROR($N21+VLOOKUP($L21,'Voyage days'!$F$203:$H$256,3,FALSE),"")</f>
        <v>46145</v>
      </c>
      <c r="AP21" s="120" t="str">
        <f t="shared" si="12"/>
        <v>19-20 Apr</v>
      </c>
      <c r="AQ21" s="121">
        <f>IFERROR($M21+VLOOKUP($L21,'Voyage days'!$F$294:$H$377,3,FALSE),"")</f>
        <v>46131</v>
      </c>
      <c r="AR21" s="121">
        <f>IFERROR($N21+VLOOKUP($L21,'Voyage days'!$F$294:$H$377,3,FALSE),"")</f>
        <v>46132</v>
      </c>
      <c r="AS21" s="120" t="str">
        <f t="shared" si="13"/>
        <v>28-29 Apr</v>
      </c>
      <c r="AT21" s="121">
        <f>IFERROR($M21+VLOOKUP($L21,'Voyage days'!$F$382:$H$446,3,FALSE),"")</f>
        <v>46140</v>
      </c>
      <c r="AU21" s="121">
        <f>IFERROR($N21+VLOOKUP($L21,'Voyage days'!$F$382:$H$446,3,FALSE),"")</f>
        <v>46141</v>
      </c>
      <c r="AV21" s="120" t="str">
        <f t="shared" si="14"/>
        <v/>
      </c>
      <c r="AW21" s="121" t="str">
        <f>IFERROR($M21+VLOOKUP($L21,'Voyage days'!$F$483:$H$538,3,FALSE),"")</f>
        <v/>
      </c>
      <c r="AX21" s="121" t="str">
        <f>IFERROR($N21+VLOOKUP($L21,'Voyage days'!$F$483:$H$538,3,FALSE),"")</f>
        <v/>
      </c>
      <c r="AY21" s="120" t="str">
        <f t="shared" si="15"/>
        <v/>
      </c>
      <c r="AZ21" s="121" t="str">
        <f>IFERROR($M21+VLOOKUP($L21,'Voyage days'!$F$540:$H$613,3,FALSE),"")</f>
        <v/>
      </c>
      <c r="BA21" s="121" t="str">
        <f>IFERROR($N21+VLOOKUP($L21,'Voyage days'!$F$540:$H$613,3,FALSE),"")</f>
        <v/>
      </c>
      <c r="BB21" s="120" t="str">
        <f t="shared" si="16"/>
        <v/>
      </c>
      <c r="BC21" s="121" t="str">
        <f>IFERROR($M21+VLOOKUP($L21,'Voyage days'!$F$448:$H$479,3,FALSE),"")</f>
        <v/>
      </c>
      <c r="BD21" s="121" t="str">
        <f>IFERROR($N21+VLOOKUP($L21,'Voyage days'!$F$448:$H$479,3,FALSE),"")</f>
        <v/>
      </c>
      <c r="BE21" s="120" t="str">
        <f t="shared" si="17"/>
        <v/>
      </c>
      <c r="BF21" s="122" t="str">
        <f>IFERROR($M21+VLOOKUP($L21,'Voyage days'!$F$620:$H$646,3,FALSE),"")</f>
        <v/>
      </c>
      <c r="BG21" s="122" t="str">
        <f>IFERROR($N21+VLOOKUP($L21,'Voyage days'!$F$620:$H$646,3,FALSE),"")</f>
        <v/>
      </c>
      <c r="BH21" s="120" t="str">
        <f t="shared" si="18"/>
        <v/>
      </c>
      <c r="BI21" s="123" t="str">
        <f>IFERROR($M21+VLOOKUP($L21,'Voyage days'!$F$702:$H$727,3,FALSE),"")</f>
        <v/>
      </c>
      <c r="BJ21" s="120" t="str">
        <f t="shared" si="19"/>
        <v>03-04 May</v>
      </c>
      <c r="BK21" s="122">
        <f>IFERROR($M21+VLOOKUP($L21,'Voyage days'!$F$807:$H$878,3,FALSE),"")</f>
        <v>46145</v>
      </c>
      <c r="BL21" s="122">
        <f>IFERROR($N21+VLOOKUP($L21,'Voyage days'!$F$807:$H$878,3,FALSE),"")</f>
        <v>46146</v>
      </c>
      <c r="BM21" s="122">
        <f>IFERROR($N21+VLOOKUP($L21,'Voyage days'!$F$807:$K$878,6,FALSE),"")</f>
        <v>46119</v>
      </c>
      <c r="BN21" s="121" t="str">
        <f>if(L21="loads AG", IFERROR($M21+VLOOKUP($L21,'Voyage days'!$M$38:$O$38,3,FALSE),""),"")</f>
        <v/>
      </c>
      <c r="BO21" s="121" t="str">
        <f>if(L21="loads USG", IFERROR($M21+VLOOKUP($L21,'Voyage days'!$L$203:$N$203,3,FALSE),""),"")</f>
        <v/>
      </c>
    </row>
    <row r="22" ht="15.75" customHeight="1">
      <c r="A22" s="258" t="s">
        <v>712</v>
      </c>
      <c r="B22" s="259">
        <v>2019.0</v>
      </c>
      <c r="C22" s="260">
        <v>83325.0</v>
      </c>
      <c r="D22" s="103"/>
      <c r="E22" s="103"/>
      <c r="F22" s="261"/>
      <c r="G22" s="261"/>
      <c r="H22" s="261" t="s">
        <v>689</v>
      </c>
      <c r="I22" s="153" t="s">
        <v>707</v>
      </c>
      <c r="J22" s="106" t="str">
        <f t="shared" si="20"/>
        <v>Update</v>
      </c>
      <c r="K22" s="205"/>
      <c r="L22" s="262" t="s">
        <v>680</v>
      </c>
      <c r="M22" s="254">
        <v>46125.0</v>
      </c>
      <c r="N22" s="263">
        <v>46126.0</v>
      </c>
      <c r="O22" s="255"/>
      <c r="P22" s="197" t="s">
        <v>713</v>
      </c>
      <c r="Q22" s="211"/>
      <c r="R22" s="108" t="s">
        <v>714</v>
      </c>
      <c r="S22" s="112" t="s">
        <v>659</v>
      </c>
      <c r="T22" s="188">
        <v>46124.0</v>
      </c>
      <c r="U22" s="114" t="str">
        <f>IF(V22="","No AIS",VLOOKUP(V22,'Voyage days'!$A$3:$B$1480,2,FALSE))</f>
        <v>Panama</v>
      </c>
      <c r="V22" s="115" t="str">
        <f>IF(VLOOKUP(A22,'1) Kpler'!$E$2:$P$1000,8, FALSE)="","",VLOOKUP(A22,'1) Kpler'!$E$2:$P$1000,8, FALSE))</f>
        <v>Panama Canal</v>
      </c>
      <c r="W22" s="116">
        <f>IF(VLOOKUP(A22,'1) Kpler'!$E$2:$P$1000,9,FALSE)="","",VLOOKUP(A22,'1) Kpler'!$E$2:$P$1000,9,FALSE))</f>
        <v>46133.5</v>
      </c>
      <c r="X22" s="115" t="str">
        <f>VLOOKUP(A22,'1) Kpler'!$E$2:$I$1000,4,FALSE)</f>
        <v>loaded</v>
      </c>
      <c r="Y22" s="117" t="str">
        <f t="shared" si="1"/>
        <v/>
      </c>
      <c r="Z22" s="117" t="str">
        <f t="shared" si="2"/>
        <v>13-14 Apr</v>
      </c>
      <c r="AA22" s="117" t="str">
        <f t="shared" si="3"/>
        <v>13-14 Apr</v>
      </c>
      <c r="AB22" s="117" t="str">
        <f t="shared" si="4"/>
        <v/>
      </c>
      <c r="AC22" s="117" t="str">
        <f t="shared" si="5"/>
        <v>03-04 May</v>
      </c>
      <c r="AD22" s="117" t="str">
        <f t="shared" si="6"/>
        <v/>
      </c>
      <c r="AE22" s="118" t="str">
        <f t="shared" si="7"/>
        <v/>
      </c>
      <c r="AF22" s="119" t="str">
        <f t="shared" si="8"/>
        <v/>
      </c>
      <c r="AG22" s="120" t="str">
        <f t="shared" si="9"/>
        <v/>
      </c>
      <c r="AH22" s="121" t="str">
        <f>IFERROR($M22+VLOOKUP($L22,'Voyage days'!$F$38:$H$89,3,FALSE),"")</f>
        <v/>
      </c>
      <c r="AI22" s="121" t="str">
        <f>IFERROR(N22+VLOOKUP($L22,'Voyage days'!$F$38:$H$89,3,FALSE),"")</f>
        <v/>
      </c>
      <c r="AJ22" s="120" t="str">
        <f t="shared" si="10"/>
        <v>13-14 Apr</v>
      </c>
      <c r="AK22" s="121">
        <f>IFERROR($M22+VLOOKUP($L22,'Voyage days'!$F$94:$H$193,3,FALSE),"")</f>
        <v>46125</v>
      </c>
      <c r="AL22" s="121">
        <f>IFERROR($N22+VLOOKUP($L22,'Voyage days'!$F$94:$H$193,3,FALSE),"")</f>
        <v>46126</v>
      </c>
      <c r="AM22" s="120" t="str">
        <f t="shared" si="11"/>
        <v>13-14 Apr</v>
      </c>
      <c r="AN22" s="121">
        <f>IFERROR($M22+VLOOKUP($L22,'Voyage days'!$F$203:$H$256,3,FALSE),"")</f>
        <v>46125</v>
      </c>
      <c r="AO22" s="121">
        <f>IFERROR($N22+VLOOKUP($L22,'Voyage days'!$F$203:$H$256,3,FALSE),"")</f>
        <v>46126</v>
      </c>
      <c r="AP22" s="120" t="str">
        <f t="shared" si="12"/>
        <v/>
      </c>
      <c r="AQ22" s="121" t="str">
        <f>IFERROR($M22+VLOOKUP($L22,'Voyage days'!$F$294:$H$377,3,FALSE),"")</f>
        <v/>
      </c>
      <c r="AR22" s="121" t="str">
        <f>IFERROR($N22+VLOOKUP($L22,'Voyage days'!$F$294:$H$377,3,FALSE),"")</f>
        <v/>
      </c>
      <c r="AS22" s="120" t="str">
        <f t="shared" si="13"/>
        <v>03-04 May</v>
      </c>
      <c r="AT22" s="121">
        <f>IFERROR($M22+VLOOKUP($L22,'Voyage days'!$F$382:$H$446,3,FALSE),"")</f>
        <v>46145</v>
      </c>
      <c r="AU22" s="121">
        <f>IFERROR($N22+VLOOKUP($L22,'Voyage days'!$F$382:$H$446,3,FALSE),"")</f>
        <v>46146</v>
      </c>
      <c r="AV22" s="120" t="str">
        <f t="shared" si="14"/>
        <v/>
      </c>
      <c r="AW22" s="121" t="str">
        <f>IFERROR($M22+VLOOKUP($L22,'Voyage days'!$F$483:$H$538,3,FALSE),"")</f>
        <v/>
      </c>
      <c r="AX22" s="121" t="str">
        <f>IFERROR($N22+VLOOKUP($L22,'Voyage days'!$F$483:$H$538,3,FALSE),"")</f>
        <v/>
      </c>
      <c r="AY22" s="120" t="str">
        <f t="shared" si="15"/>
        <v/>
      </c>
      <c r="AZ22" s="121" t="str">
        <f>IFERROR($M22+VLOOKUP($L22,'Voyage days'!$F$540:$H$613,3,FALSE),"")</f>
        <v/>
      </c>
      <c r="BA22" s="121" t="str">
        <f>IFERROR($N22+VLOOKUP($L22,'Voyage days'!$F$540:$H$613,3,FALSE),"")</f>
        <v/>
      </c>
      <c r="BB22" s="120" t="str">
        <f t="shared" si="16"/>
        <v/>
      </c>
      <c r="BC22" s="121" t="str">
        <f>IFERROR($M22+VLOOKUP($L22,'Voyage days'!$F$448:$H$479,3,FALSE),"")</f>
        <v/>
      </c>
      <c r="BD22" s="121" t="str">
        <f>IFERROR($N22+VLOOKUP($L22,'Voyage days'!$F$448:$H$479,3,FALSE),"")</f>
        <v/>
      </c>
      <c r="BE22" s="120" t="str">
        <f t="shared" si="17"/>
        <v/>
      </c>
      <c r="BF22" s="122" t="str">
        <f>IFERROR($M22+VLOOKUP($L22,'Voyage days'!$F$620:$H$646,3,FALSE),"")</f>
        <v/>
      </c>
      <c r="BG22" s="122" t="str">
        <f>IFERROR($N22+VLOOKUP($L22,'Voyage days'!$F$620:$H$646,3,FALSE),"")</f>
        <v/>
      </c>
      <c r="BH22" s="120" t="str">
        <f t="shared" si="18"/>
        <v/>
      </c>
      <c r="BI22" s="123" t="str">
        <f>IFERROR($M22+VLOOKUP($L22,'Voyage days'!$F$702:$H$727,3,FALSE),"")</f>
        <v/>
      </c>
      <c r="BJ22" s="120" t="str">
        <f t="shared" si="19"/>
        <v/>
      </c>
      <c r="BK22" s="122" t="str">
        <f>IFERROR($M22+VLOOKUP($L22,'Voyage days'!$F$807:$H$878,3,FALSE),"")</f>
        <v/>
      </c>
      <c r="BL22" s="122" t="str">
        <f>IFERROR($N22+VLOOKUP($L22,'Voyage days'!$F$807:$H$878,3,FALSE),"")</f>
        <v/>
      </c>
      <c r="BM22" s="122" t="str">
        <f>IFERROR($N22+VLOOKUP($L22,'Voyage days'!$F$807:$K$878,6,FALSE),"")</f>
        <v/>
      </c>
      <c r="BN22" s="121" t="str">
        <f>if(L22="loads AG", IFERROR($M22+VLOOKUP($L22,'Voyage days'!$M$38:$O$38,3,FALSE),""),"")</f>
        <v/>
      </c>
      <c r="BO22" s="121">
        <f>if(L22="loads USG", IFERROR($M22+VLOOKUP($L22,'Voyage days'!$L$203:$N$203,3,FALSE),""),"")</f>
        <v>46157</v>
      </c>
    </row>
    <row r="23">
      <c r="A23" s="264" t="s">
        <v>197</v>
      </c>
      <c r="B23" s="265">
        <v>2025.0</v>
      </c>
      <c r="C23" s="266">
        <v>88000.0</v>
      </c>
      <c r="D23" s="103"/>
      <c r="E23" s="112" t="s">
        <v>706</v>
      </c>
      <c r="F23" s="261"/>
      <c r="G23" s="261"/>
      <c r="H23" s="261" t="s">
        <v>666</v>
      </c>
      <c r="I23" s="153" t="s">
        <v>707</v>
      </c>
      <c r="J23" s="267" t="str">
        <f t="shared" si="20"/>
        <v>Update</v>
      </c>
      <c r="K23" s="107"/>
      <c r="L23" s="262" t="s">
        <v>680</v>
      </c>
      <c r="M23" s="254">
        <v>46127.0</v>
      </c>
      <c r="N23" s="109">
        <v>46128.0</v>
      </c>
      <c r="O23" s="268"/>
      <c r="P23" s="269" t="s">
        <v>715</v>
      </c>
      <c r="Q23" s="108"/>
      <c r="R23" s="108" t="s">
        <v>716</v>
      </c>
      <c r="S23" s="112" t="s">
        <v>659</v>
      </c>
      <c r="T23" s="188">
        <v>46124.0</v>
      </c>
      <c r="U23" s="270" t="str">
        <f>IF(V23="","No AIS",VLOOKUP(V23,'Voyage days'!$A$3:$B$1480,2,FALSE))</f>
        <v>Panama</v>
      </c>
      <c r="V23" s="270" t="str">
        <f>IF(VLOOKUP(A23,'1) Kpler'!$E$2:$P$1000,8, FALSE)="","",VLOOKUP(A23,'1) Kpler'!$E$2:$P$1000,8, FALSE))</f>
        <v>Panama Canal</v>
      </c>
      <c r="W23" s="116">
        <f>IF(VLOOKUP(A23,'1) Kpler'!$E$2:$P$1000,9,FALSE)="","",VLOOKUP(A23,'1) Kpler'!$E$2:$P$1000,9,FALSE))</f>
        <v>46135.25</v>
      </c>
      <c r="X23" s="271" t="str">
        <f>VLOOKUP(A23,'1) Kpler'!$E$2:$I$1000,4,FALSE)</f>
        <v>loaded</v>
      </c>
      <c r="Y23" s="160" t="str">
        <f t="shared" si="1"/>
        <v/>
      </c>
      <c r="Z23" s="160" t="str">
        <f t="shared" si="2"/>
        <v>15-16 Apr</v>
      </c>
      <c r="AA23" s="160" t="str">
        <f t="shared" si="3"/>
        <v>15-16 Apr</v>
      </c>
      <c r="AB23" s="160" t="str">
        <f t="shared" si="4"/>
        <v/>
      </c>
      <c r="AC23" s="160" t="str">
        <f t="shared" si="5"/>
        <v>05-06 May</v>
      </c>
      <c r="AD23" s="160" t="str">
        <f t="shared" si="6"/>
        <v/>
      </c>
      <c r="AE23" s="161" t="str">
        <f t="shared" si="7"/>
        <v/>
      </c>
      <c r="AF23" s="162" t="str">
        <f t="shared" si="8"/>
        <v/>
      </c>
      <c r="AG23" s="272" t="str">
        <f t="shared" si="9"/>
        <v/>
      </c>
      <c r="AH23" s="121" t="str">
        <f>IFERROR($M23+VLOOKUP($L23,'Voyage days'!$F$38:$H$89,3,FALSE),"")</f>
        <v/>
      </c>
      <c r="AI23" s="121" t="str">
        <f>IFERROR(N23+VLOOKUP($L23,'Voyage days'!$F$38:$H$89,3,FALSE),"")</f>
        <v/>
      </c>
      <c r="AJ23" s="272" t="str">
        <f t="shared" si="10"/>
        <v>15-16 Apr</v>
      </c>
      <c r="AK23" s="272">
        <f>IFERROR($M23+VLOOKUP($L23,'Voyage days'!$F$94:$H$193,3,FALSE),"")</f>
        <v>46127</v>
      </c>
      <c r="AL23" s="272">
        <f>IFERROR($N23+VLOOKUP($L23,'Voyage days'!$F$94:$H$193,3,FALSE),"")</f>
        <v>46128</v>
      </c>
      <c r="AM23" s="273" t="str">
        <f t="shared" si="11"/>
        <v>15-16 Apr</v>
      </c>
      <c r="AN23" s="162">
        <f>IFERROR($M23+VLOOKUP($L23,'Voyage days'!$F$203:$H$256,3,FALSE),"")</f>
        <v>46127</v>
      </c>
      <c r="AO23" s="122">
        <f>IFERROR($N23+VLOOKUP($L23,'Voyage days'!$F$203:$H$256,3,FALSE),"")</f>
        <v>46128</v>
      </c>
      <c r="AP23" s="163" t="str">
        <f t="shared" si="12"/>
        <v/>
      </c>
      <c r="AQ23" s="122" t="str">
        <f>IFERROR($M23+VLOOKUP($L23,'Voyage days'!$F$294:$H$377,3,FALSE),"")</f>
        <v/>
      </c>
      <c r="AR23" s="122" t="str">
        <f>IFERROR($N23+VLOOKUP($L23,'Voyage days'!$F$294:$H$377,3,FALSE),"")</f>
        <v/>
      </c>
      <c r="AS23" s="163" t="str">
        <f t="shared" si="13"/>
        <v>05-06 May</v>
      </c>
      <c r="AT23" s="122">
        <f>IFERROR($M23+VLOOKUP($L23,'Voyage days'!$F$382:$H$446,3,FALSE),"")</f>
        <v>46147</v>
      </c>
      <c r="AU23" s="122">
        <f>IFERROR($N23+VLOOKUP($L23,'Voyage days'!$F$382:$H$446,3,FALSE),"")</f>
        <v>46148</v>
      </c>
      <c r="AV23" s="163" t="str">
        <f t="shared" si="14"/>
        <v/>
      </c>
      <c r="AW23" s="122" t="str">
        <f>IFERROR($M23+VLOOKUP($L23,'Voyage days'!$F$483:$H$538,3,FALSE),"")</f>
        <v/>
      </c>
      <c r="AX23" s="122" t="str">
        <f>IFERROR($N23+VLOOKUP($L23,'Voyage days'!$F$483:$H$538,3,FALSE),"")</f>
        <v/>
      </c>
      <c r="AY23" s="163" t="str">
        <f t="shared" si="15"/>
        <v/>
      </c>
      <c r="AZ23" s="122" t="str">
        <f>IFERROR($M23+VLOOKUP($L23,'Voyage days'!$F$540:$H$613,3,FALSE),"")</f>
        <v/>
      </c>
      <c r="BA23" s="122" t="str">
        <f>IFERROR($N23+VLOOKUP($L23,'Voyage days'!$F$540:$H$613,3,FALSE),"")</f>
        <v/>
      </c>
      <c r="BB23" s="163" t="str">
        <f t="shared" si="16"/>
        <v/>
      </c>
      <c r="BC23" s="121" t="str">
        <f>IFERROR($M23+VLOOKUP($L23,'Voyage days'!$F$448:$H$479,3,FALSE),"")</f>
        <v/>
      </c>
      <c r="BD23" s="121" t="str">
        <f>IFERROR($N23+VLOOKUP($L23,'Voyage days'!$F$448:$H$479,3,FALSE),"")</f>
        <v/>
      </c>
      <c r="BE23" s="163" t="str">
        <f t="shared" si="17"/>
        <v/>
      </c>
      <c r="BF23" s="122" t="str">
        <f>IFERROR($M23+VLOOKUP($L23,'Voyage days'!$F$620:$H$646,3,FALSE),"")</f>
        <v/>
      </c>
      <c r="BG23" s="122" t="str">
        <f>IFERROR($N23+VLOOKUP($L23,'Voyage days'!$F$620:$H$646,3,FALSE),"")</f>
        <v/>
      </c>
      <c r="BH23" s="163" t="str">
        <f t="shared" si="18"/>
        <v/>
      </c>
      <c r="BI23" s="123" t="str">
        <f>IFERROR($M23+VLOOKUP($L23,'Voyage days'!$F$702:$H$727,3,FALSE),"")</f>
        <v/>
      </c>
      <c r="BJ23" s="163" t="str">
        <f t="shared" si="19"/>
        <v/>
      </c>
      <c r="BK23" s="122" t="str">
        <f>IFERROR($M23+VLOOKUP($L23,'Voyage days'!$F$807:$H$878,3,FALSE),"")</f>
        <v/>
      </c>
      <c r="BL23" s="122" t="str">
        <f>IFERROR($N23+VLOOKUP($L23,'Voyage days'!$F$807:$H$878,3,FALSE),"")</f>
        <v/>
      </c>
      <c r="BM23" s="122" t="str">
        <f>IFERROR($N23+VLOOKUP($L23,'Voyage days'!$F$807:$K$878,6,FALSE),"")</f>
        <v/>
      </c>
      <c r="BN23" s="121" t="str">
        <f>if(L23="loads AG", IFERROR($M23+VLOOKUP($L23,'Voyage days'!$M$38:$O$38,3,FALSE),""),"")</f>
        <v/>
      </c>
      <c r="BO23" s="121">
        <f>if(L23="loads USG", IFERROR($M23+VLOOKUP($L23,'Voyage days'!$L$203:$N$203,3,FALSE),""),"")</f>
        <v>46159</v>
      </c>
    </row>
    <row r="24" ht="15.75" customHeight="1">
      <c r="A24" s="274" t="s">
        <v>210</v>
      </c>
      <c r="B24" s="101">
        <v>42938.0</v>
      </c>
      <c r="C24" s="102">
        <v>82200.0</v>
      </c>
      <c r="D24" s="275"/>
      <c r="E24" s="275"/>
      <c r="F24" s="150"/>
      <c r="G24" s="150"/>
      <c r="H24" s="150"/>
      <c r="I24" s="153" t="s">
        <v>717</v>
      </c>
      <c r="J24" s="151" t="str">
        <f t="shared" si="20"/>
        <v/>
      </c>
      <c r="K24" s="152"/>
      <c r="L24" s="153" t="s">
        <v>680</v>
      </c>
      <c r="M24" s="276">
        <v>46151.0</v>
      </c>
      <c r="N24" s="276">
        <v>46152.0</v>
      </c>
      <c r="O24" s="277"/>
      <c r="P24" s="153" t="s">
        <v>718</v>
      </c>
      <c r="Q24" s="157"/>
      <c r="R24" s="278" t="s">
        <v>719</v>
      </c>
      <c r="S24" s="112" t="s">
        <v>659</v>
      </c>
      <c r="T24" s="188">
        <v>46124.0</v>
      </c>
      <c r="U24" s="114" t="str">
        <f>IF(V24="","No AIS",VLOOKUP(V24,'Voyage days'!$A$3:$B$1480,2,FALSE))</f>
        <v>Galle +2</v>
      </c>
      <c r="V24" s="114" t="str">
        <f>IF(VLOOKUP(A24,'1) Kpler'!$E$2:$P$1000,8, FALSE)="","",VLOOKUP(A24,'1) Kpler'!$E$2:$P$1000,8, FALSE))</f>
        <v>Galle</v>
      </c>
      <c r="W24" s="159">
        <f>IF(VLOOKUP(A24,'1) Kpler'!$E$2:$P$1000,9,FALSE)="","",VLOOKUP(A24,'1) Kpler'!$E$2:$P$1000,9,FALSE))</f>
        <v>46135.95833</v>
      </c>
      <c r="X24" s="114" t="str">
        <f>VLOOKUP(A24,'1) Kpler'!$E$2:$I$1000,4,FALSE)</f>
        <v>ballast</v>
      </c>
      <c r="Y24" s="272" t="str">
        <f t="shared" si="1"/>
        <v/>
      </c>
      <c r="Z24" s="272" t="str">
        <f t="shared" si="2"/>
        <v>09-10 May</v>
      </c>
      <c r="AA24" s="272" t="str">
        <f t="shared" si="3"/>
        <v>09-10 May</v>
      </c>
      <c r="AB24" s="272" t="str">
        <f t="shared" si="4"/>
        <v/>
      </c>
      <c r="AC24" s="272" t="str">
        <f t="shared" si="5"/>
        <v>29-30 May</v>
      </c>
      <c r="AD24" s="272" t="str">
        <f t="shared" si="6"/>
        <v/>
      </c>
      <c r="AE24" s="273" t="str">
        <f t="shared" si="7"/>
        <v/>
      </c>
      <c r="AF24" s="162" t="str">
        <f t="shared" si="8"/>
        <v/>
      </c>
      <c r="AG24" s="163" t="str">
        <f t="shared" si="9"/>
        <v/>
      </c>
      <c r="AH24" s="122" t="str">
        <f>IFERROR($M24+VLOOKUP($L24,'Voyage days'!$F$38:$H$89,3,FALSE),"")</f>
        <v/>
      </c>
      <c r="AI24" s="122" t="str">
        <f>IFERROR(N24+VLOOKUP($L24,'Voyage days'!$F$38:$H$89,3,FALSE),"")</f>
        <v/>
      </c>
      <c r="AJ24" s="163" t="str">
        <f t="shared" si="10"/>
        <v>09-10 May</v>
      </c>
      <c r="AK24" s="122">
        <f>IFERROR($M24+VLOOKUP($L24,'Voyage days'!$F$94:$H$193,3,FALSE),"")</f>
        <v>46151</v>
      </c>
      <c r="AL24" s="122">
        <f>IFERROR($N24+VLOOKUP($L24,'Voyage days'!$F$94:$H$193,3,FALSE),"")</f>
        <v>46152</v>
      </c>
      <c r="AM24" s="163" t="str">
        <f t="shared" si="11"/>
        <v>09-10 May</v>
      </c>
      <c r="AN24" s="122">
        <f>IFERROR($M24+VLOOKUP($L24,'Voyage days'!$F$203:$H$256,3,FALSE),"")</f>
        <v>46151</v>
      </c>
      <c r="AO24" s="122">
        <f>IFERROR($N24+VLOOKUP($L24,'Voyage days'!$F$203:$H$256,3,FALSE),"")</f>
        <v>46152</v>
      </c>
      <c r="AP24" s="163" t="str">
        <f t="shared" si="12"/>
        <v/>
      </c>
      <c r="AQ24" s="122" t="str">
        <f>IFERROR($M24+VLOOKUP($L24,'Voyage days'!$F$294:$H$377,3,FALSE),"")</f>
        <v/>
      </c>
      <c r="AR24" s="122" t="str">
        <f>IFERROR($N24+VLOOKUP($L24,'Voyage days'!$F$294:$H$377,3,FALSE),"")</f>
        <v/>
      </c>
      <c r="AS24" s="163" t="str">
        <f t="shared" si="13"/>
        <v>29-30 May</v>
      </c>
      <c r="AT24" s="122">
        <f>IFERROR($M24+VLOOKUP($L24,'Voyage days'!$F$382:$H$446,3,FALSE),"")</f>
        <v>46171</v>
      </c>
      <c r="AU24" s="122">
        <f>IFERROR($N24+VLOOKUP($L24,'Voyage days'!$F$382:$H$446,3,FALSE),"")</f>
        <v>46172</v>
      </c>
      <c r="AV24" s="163" t="str">
        <f t="shared" si="14"/>
        <v/>
      </c>
      <c r="AW24" s="122" t="str">
        <f>IFERROR($M24+VLOOKUP($L24,'Voyage days'!$F$483:$H$538,3,FALSE),"")</f>
        <v/>
      </c>
      <c r="AX24" s="122" t="str">
        <f>IFERROR($N24+VLOOKUP($L24,'Voyage days'!$F$483:$H$538,3,FALSE),"")</f>
        <v/>
      </c>
      <c r="AY24" s="163" t="str">
        <f t="shared" si="15"/>
        <v/>
      </c>
      <c r="AZ24" s="122" t="str">
        <f>IFERROR($M24+VLOOKUP($L24,'Voyage days'!$F$540:$H$613,3,FALSE),"")</f>
        <v/>
      </c>
      <c r="BA24" s="122" t="str">
        <f>IFERROR($N24+VLOOKUP($L24,'Voyage days'!$F$540:$H$613,3,FALSE),"")</f>
        <v/>
      </c>
      <c r="BB24" s="163" t="str">
        <f t="shared" si="16"/>
        <v/>
      </c>
      <c r="BC24" s="121" t="str">
        <f>IFERROR($M24+VLOOKUP($L24,'Voyage days'!$F$448:$H$479,3,FALSE),"")</f>
        <v/>
      </c>
      <c r="BD24" s="121" t="str">
        <f>IFERROR($N24+VLOOKUP($L24,'Voyage days'!$F$448:$H$479,3,FALSE),"")</f>
        <v/>
      </c>
      <c r="BE24" s="163" t="str">
        <f t="shared" si="17"/>
        <v/>
      </c>
      <c r="BF24" s="122" t="str">
        <f>IFERROR($M24+VLOOKUP($L24,'Voyage days'!$F$620:$H$646,3,FALSE),"")</f>
        <v/>
      </c>
      <c r="BG24" s="122" t="str">
        <f>IFERROR($N24+VLOOKUP($L24,'Voyage days'!$F$620:$H$646,3,FALSE),"")</f>
        <v/>
      </c>
      <c r="BH24" s="163" t="str">
        <f t="shared" si="18"/>
        <v/>
      </c>
      <c r="BI24" s="123" t="str">
        <f>IFERROR($M24+VLOOKUP($L24,'Voyage days'!$F$702:$H$727,3,FALSE),"")</f>
        <v/>
      </c>
      <c r="BJ24" s="163" t="str">
        <f t="shared" si="19"/>
        <v/>
      </c>
      <c r="BK24" s="122" t="str">
        <f>IFERROR($M24+VLOOKUP($L24,'Voyage days'!$F$807:$H$878,3,FALSE),"")</f>
        <v/>
      </c>
      <c r="BL24" s="122" t="str">
        <f>IFERROR($N24+VLOOKUP($L24,'Voyage days'!$F$807:$H$878,3,FALSE),"")</f>
        <v/>
      </c>
      <c r="BM24" s="122" t="str">
        <f>IFERROR($N24+VLOOKUP($L24,'Voyage days'!$F$807:$K$878,6,FALSE),"")</f>
        <v/>
      </c>
      <c r="BN24" s="121" t="str">
        <f>if(L24="loads AG", IFERROR($M24+VLOOKUP($L24,'Voyage days'!$M$38:$O$38,3,FALSE),""),"")</f>
        <v/>
      </c>
      <c r="BO24" s="121">
        <f>if(L24="loads USG", IFERROR($M24+VLOOKUP($L24,'Voyage days'!$L$203:$N$203,3,FALSE),""),"")</f>
        <v>46183</v>
      </c>
    </row>
    <row r="25" ht="15.75" customHeight="1">
      <c r="A25" s="100" t="s">
        <v>437</v>
      </c>
      <c r="B25" s="101">
        <v>43556.0</v>
      </c>
      <c r="C25" s="102">
        <v>82200.0</v>
      </c>
      <c r="D25" s="103"/>
      <c r="E25" s="103"/>
      <c r="F25" s="104"/>
      <c r="G25" s="104"/>
      <c r="H25" s="104"/>
      <c r="I25" s="153" t="s">
        <v>707</v>
      </c>
      <c r="J25" s="106" t="str">
        <f t="shared" si="20"/>
        <v/>
      </c>
      <c r="K25" s="107"/>
      <c r="L25" s="108" t="s">
        <v>720</v>
      </c>
      <c r="M25" s="109">
        <v>46145.0</v>
      </c>
      <c r="N25" s="109">
        <v>46146.0</v>
      </c>
      <c r="O25" s="191"/>
      <c r="P25" s="108" t="s">
        <v>721</v>
      </c>
      <c r="Q25" s="108"/>
      <c r="R25" s="108" t="s">
        <v>722</v>
      </c>
      <c r="S25" s="112" t="s">
        <v>659</v>
      </c>
      <c r="T25" s="188">
        <v>46124.0</v>
      </c>
      <c r="U25" s="114" t="str">
        <f>IF(V25="","No AIS",VLOOKUP(V25,'Voyage days'!$A$3:$B$1480,2,FALSE))</f>
        <v>Korea + 4</v>
      </c>
      <c r="V25" s="115" t="str">
        <f>IF(VLOOKUP(A25,'1) Kpler'!$E$2:$P$1000,8, FALSE)="","",VLOOKUP(A25,'1) Kpler'!$E$2:$P$1000,8, FALSE))</f>
        <v>Ulsan</v>
      </c>
      <c r="W25" s="116">
        <f>IF(VLOOKUP(A25,'1) Kpler'!$E$2:$P$1000,9,FALSE)="","",VLOOKUP(A25,'1) Kpler'!$E$2:$P$1000,9,FALSE))</f>
        <v>46142.04167</v>
      </c>
      <c r="X25" s="115" t="str">
        <f>VLOOKUP(A25,'1) Kpler'!$E$2:$I$1000,4,FALSE)</f>
        <v>loaded</v>
      </c>
      <c r="Y25" s="117" t="str">
        <f t="shared" si="1"/>
        <v>21-22 May</v>
      </c>
      <c r="Z25" s="117" t="str">
        <f t="shared" si="2"/>
        <v>06-07 Jun</v>
      </c>
      <c r="AA25" s="117" t="str">
        <f t="shared" si="3"/>
        <v>13-14 Jun</v>
      </c>
      <c r="AB25" s="117" t="str">
        <f t="shared" si="4"/>
        <v>01-02 Jun</v>
      </c>
      <c r="AC25" s="117" t="str">
        <f t="shared" si="5"/>
        <v>07-08 Jun</v>
      </c>
      <c r="AD25" s="117" t="str">
        <f t="shared" si="6"/>
        <v>10-11 May</v>
      </c>
      <c r="AE25" s="118" t="str">
        <f t="shared" si="7"/>
        <v>11-12 May</v>
      </c>
      <c r="AF25" s="119" t="str">
        <f t="shared" si="8"/>
        <v>17-18 Jun</v>
      </c>
      <c r="AG25" s="120" t="str">
        <f t="shared" si="9"/>
        <v>21-22 May</v>
      </c>
      <c r="AH25" s="121">
        <f>IFERROR($M25+VLOOKUP($L25,'Voyage days'!$F$38:$H$89,3,FALSE),"")</f>
        <v>46163</v>
      </c>
      <c r="AI25" s="121">
        <f>IFERROR(N25+VLOOKUP($L25,'Voyage days'!$F$38:$H$89,3,FALSE),"")</f>
        <v>46164</v>
      </c>
      <c r="AJ25" s="120" t="str">
        <f t="shared" si="10"/>
        <v>06-07 Jun</v>
      </c>
      <c r="AK25" s="121">
        <f>IFERROR($M25+VLOOKUP($L25,'Voyage days'!$F$94:$H$193,3,FALSE),"")</f>
        <v>46179</v>
      </c>
      <c r="AL25" s="121">
        <f>IFERROR($N25+VLOOKUP($L25,'Voyage days'!$F$94:$H$193,3,FALSE),"")</f>
        <v>46180</v>
      </c>
      <c r="AM25" s="120" t="str">
        <f t="shared" si="11"/>
        <v>13-14 Jun</v>
      </c>
      <c r="AN25" s="121">
        <f>IFERROR($M25+VLOOKUP($L25,'Voyage days'!$F$203:$H$256,3,FALSE),"")</f>
        <v>46186</v>
      </c>
      <c r="AO25" s="121">
        <f>IFERROR($N25+VLOOKUP($L25,'Voyage days'!$F$203:$H$256,3,FALSE),"")</f>
        <v>46187</v>
      </c>
      <c r="AP25" s="120" t="str">
        <f t="shared" si="12"/>
        <v>01-02 Jun</v>
      </c>
      <c r="AQ25" s="121">
        <f>IFERROR($M25+VLOOKUP($L25,'Voyage days'!$F$294:$H$377,3,FALSE),"")</f>
        <v>46174</v>
      </c>
      <c r="AR25" s="121">
        <f>IFERROR($N25+VLOOKUP($L25,'Voyage days'!$F$294:$H$377,3,FALSE),"")</f>
        <v>46175</v>
      </c>
      <c r="AS25" s="120" t="str">
        <f t="shared" si="13"/>
        <v>07-08 Jun</v>
      </c>
      <c r="AT25" s="121">
        <f>IFERROR($M25+VLOOKUP($L25,'Voyage days'!$F$382:$H$446,3,FALSE),"")</f>
        <v>46180</v>
      </c>
      <c r="AU25" s="121">
        <f>IFERROR($N25+VLOOKUP($L25,'Voyage days'!$F$382:$H$446,3,FALSE),"")</f>
        <v>46181</v>
      </c>
      <c r="AV25" s="120" t="str">
        <f t="shared" si="14"/>
        <v>17-18 May</v>
      </c>
      <c r="AW25" s="121">
        <f>IFERROR($M25+VLOOKUP($L25,'Voyage days'!$F$483:$H$538,3,FALSE),"")</f>
        <v>46159</v>
      </c>
      <c r="AX25" s="121">
        <f>IFERROR($N25+VLOOKUP($L25,'Voyage days'!$F$483:$H$538,3,FALSE),"")</f>
        <v>46160</v>
      </c>
      <c r="AY25" s="120" t="str">
        <f t="shared" si="15"/>
        <v>11-12 May</v>
      </c>
      <c r="AZ25" s="121">
        <f>IFERROR($M25+VLOOKUP($L25,'Voyage days'!$F$540:$H$613,3,FALSE),"")</f>
        <v>46153</v>
      </c>
      <c r="BA25" s="121">
        <f>IFERROR($N25+VLOOKUP($L25,'Voyage days'!$F$540:$H$613,3,FALSE),"")</f>
        <v>46154</v>
      </c>
      <c r="BB25" s="120" t="str">
        <f t="shared" si="16"/>
        <v>10-11 May</v>
      </c>
      <c r="BC25" s="121">
        <f>IFERROR($M25+VLOOKUP($L25,'Voyage days'!$F$448:$H$479,3,FALSE),"")</f>
        <v>46152</v>
      </c>
      <c r="BD25" s="121">
        <f>IFERROR($N25+VLOOKUP($L25,'Voyage days'!$F$448:$H$479,3,FALSE),"")</f>
        <v>46153</v>
      </c>
      <c r="BE25" s="120" t="str">
        <f t="shared" si="17"/>
        <v>14-15 May</v>
      </c>
      <c r="BF25" s="122">
        <f>IFERROR($M25+VLOOKUP($L25,'Voyage days'!$F$620:$H$646,3,FALSE),"")</f>
        <v>46156</v>
      </c>
      <c r="BG25" s="122">
        <f>IFERROR($N25+VLOOKUP($L25,'Voyage days'!$F$620:$H$646,3,FALSE),"")</f>
        <v>46157</v>
      </c>
      <c r="BH25" s="120" t="str">
        <f t="shared" si="18"/>
        <v>11-18 Jun</v>
      </c>
      <c r="BI25" s="123">
        <f>IFERROR($M25+VLOOKUP($L25,'Voyage days'!$F$702:$H$727,3,FALSE),"")</f>
        <v>46153</v>
      </c>
      <c r="BJ25" s="120" t="str">
        <f t="shared" si="19"/>
        <v>17-18 Jun</v>
      </c>
      <c r="BK25" s="122">
        <f>IFERROR($M25+VLOOKUP($L25,'Voyage days'!$F$807:$H$878,3,FALSE),"")</f>
        <v>46190</v>
      </c>
      <c r="BL25" s="122">
        <f>IFERROR($N25+VLOOKUP($L25,'Voyage days'!$F$807:$H$878,3,FALSE),"")</f>
        <v>46191</v>
      </c>
      <c r="BM25" s="122">
        <f>IFERROR($N25+VLOOKUP($L25,'Voyage days'!$F$807:$K$878,6,FALSE),"")</f>
        <v>46165</v>
      </c>
      <c r="BN25" s="121" t="str">
        <f>if(L25="loads AG", IFERROR($M25+VLOOKUP($L25,'Voyage days'!$M$38:$O$38,3,FALSE),""),"")</f>
        <v/>
      </c>
      <c r="BO25" s="121" t="str">
        <f>if(L25="loads USG", IFERROR($M25+VLOOKUP($L25,'Voyage days'!$L$203:$N$203,3,FALSE),""),"")</f>
        <v/>
      </c>
    </row>
    <row r="26" ht="15.75" customHeight="1">
      <c r="A26" s="80" t="s">
        <v>430</v>
      </c>
      <c r="B26" s="148">
        <v>2022.0</v>
      </c>
      <c r="C26" s="102">
        <v>84000.0</v>
      </c>
      <c r="D26" s="103"/>
      <c r="E26" s="103"/>
      <c r="F26" s="104"/>
      <c r="G26" s="104"/>
      <c r="H26" s="104" t="s">
        <v>666</v>
      </c>
      <c r="I26" s="153" t="s">
        <v>707</v>
      </c>
      <c r="J26" s="106" t="str">
        <f t="shared" si="20"/>
        <v>Update</v>
      </c>
      <c r="K26" s="193"/>
      <c r="L26" s="108" t="s">
        <v>680</v>
      </c>
      <c r="M26" s="109">
        <v>46129.0</v>
      </c>
      <c r="N26" s="109">
        <v>46131.0</v>
      </c>
      <c r="O26" s="191"/>
      <c r="P26" s="192" t="s">
        <v>723</v>
      </c>
      <c r="Q26" s="185"/>
      <c r="R26" s="108" t="s">
        <v>724</v>
      </c>
      <c r="S26" s="112" t="s">
        <v>659</v>
      </c>
      <c r="T26" s="188">
        <v>46124.0</v>
      </c>
      <c r="U26" s="114" t="str">
        <f>IF(V26="","No AIS",VLOOKUP(V26,'Voyage days'!$A$3:$B$1480,2,FALSE))</f>
        <v>USG</v>
      </c>
      <c r="V26" s="115" t="str">
        <f>IF(VLOOKUP(A26,'1) Kpler'!$E$2:$P$1000,8, FALSE)="","",VLOOKUP(A26,'1) Kpler'!$E$2:$P$1000,8, FALSE))</f>
        <v>Houston</v>
      </c>
      <c r="W26" s="116">
        <f>IF(VLOOKUP(A26,'1) Kpler'!$E$2:$P$1000,9,FALSE)="","",VLOOKUP(A26,'1) Kpler'!$E$2:$P$1000,9,FALSE))</f>
        <v>46131.83333</v>
      </c>
      <c r="X26" s="115" t="str">
        <f>VLOOKUP(A26,'1) Kpler'!$E$2:$I$1000,4,FALSE)</f>
        <v>ballast</v>
      </c>
      <c r="Y26" s="117" t="str">
        <f t="shared" si="1"/>
        <v/>
      </c>
      <c r="Z26" s="117" t="str">
        <f t="shared" si="2"/>
        <v>17-19 Apr</v>
      </c>
      <c r="AA26" s="117" t="str">
        <f t="shared" si="3"/>
        <v>17-19 Apr</v>
      </c>
      <c r="AB26" s="117" t="str">
        <f t="shared" si="4"/>
        <v/>
      </c>
      <c r="AC26" s="117" t="str">
        <f t="shared" si="5"/>
        <v>07-09 May</v>
      </c>
      <c r="AD26" s="117" t="str">
        <f t="shared" si="6"/>
        <v/>
      </c>
      <c r="AE26" s="118" t="str">
        <f t="shared" si="7"/>
        <v/>
      </c>
      <c r="AF26" s="119" t="str">
        <f t="shared" si="8"/>
        <v/>
      </c>
      <c r="AG26" s="120" t="str">
        <f t="shared" si="9"/>
        <v/>
      </c>
      <c r="AH26" s="121" t="str">
        <f>IFERROR($M26+VLOOKUP($L26,'Voyage days'!$F$38:$H$89,3,FALSE),"")</f>
        <v/>
      </c>
      <c r="AI26" s="121" t="str">
        <f>IFERROR(N26+VLOOKUP($L26,'Voyage days'!$F$38:$H$89,3,FALSE),"")</f>
        <v/>
      </c>
      <c r="AJ26" s="120" t="str">
        <f t="shared" si="10"/>
        <v>17-19 Apr</v>
      </c>
      <c r="AK26" s="121">
        <f>IFERROR($M26+VLOOKUP($L26,'Voyage days'!$F$94:$H$193,3,FALSE),"")</f>
        <v>46129</v>
      </c>
      <c r="AL26" s="121">
        <f>IFERROR($N26+VLOOKUP($L26,'Voyage days'!$F$94:$H$193,3,FALSE),"")</f>
        <v>46131</v>
      </c>
      <c r="AM26" s="120" t="str">
        <f t="shared" si="11"/>
        <v>17-19 Apr</v>
      </c>
      <c r="AN26" s="121">
        <f>IFERROR($M26+VLOOKUP($L26,'Voyage days'!$F$203:$H$256,3,FALSE),"")</f>
        <v>46129</v>
      </c>
      <c r="AO26" s="121">
        <f>IFERROR($N26+VLOOKUP($L26,'Voyage days'!$F$203:$H$256,3,FALSE),"")</f>
        <v>46131</v>
      </c>
      <c r="AP26" s="120" t="str">
        <f t="shared" si="12"/>
        <v/>
      </c>
      <c r="AQ26" s="121" t="str">
        <f>IFERROR($M26+VLOOKUP($L26,'Voyage days'!$F$294:$H$377,3,FALSE),"")</f>
        <v/>
      </c>
      <c r="AR26" s="121" t="str">
        <f>IFERROR($N26+VLOOKUP($L26,'Voyage days'!$F$294:$H$377,3,FALSE),"")</f>
        <v/>
      </c>
      <c r="AS26" s="120" t="str">
        <f t="shared" si="13"/>
        <v>07-09 May</v>
      </c>
      <c r="AT26" s="121">
        <f>IFERROR($M26+VLOOKUP($L26,'Voyage days'!$F$382:$H$446,3,FALSE),"")</f>
        <v>46149</v>
      </c>
      <c r="AU26" s="121">
        <f>IFERROR($N26+VLOOKUP($L26,'Voyage days'!$F$382:$H$446,3,FALSE),"")</f>
        <v>46151</v>
      </c>
      <c r="AV26" s="120" t="str">
        <f t="shared" si="14"/>
        <v/>
      </c>
      <c r="AW26" s="121" t="str">
        <f>IFERROR($M26+VLOOKUP($L26,'Voyage days'!$F$483:$H$538,3,FALSE),"")</f>
        <v/>
      </c>
      <c r="AX26" s="121" t="str">
        <f>IFERROR($N26+VLOOKUP($L26,'Voyage days'!$F$483:$H$538,3,FALSE),"")</f>
        <v/>
      </c>
      <c r="AY26" s="120" t="str">
        <f t="shared" si="15"/>
        <v/>
      </c>
      <c r="AZ26" s="121" t="str">
        <f>IFERROR($M26+VLOOKUP($L26,'Voyage days'!$F$540:$H$613,3,FALSE),"")</f>
        <v/>
      </c>
      <c r="BA26" s="121" t="str">
        <f>IFERROR($N26+VLOOKUP($L26,'Voyage days'!$F$540:$H$613,3,FALSE),"")</f>
        <v/>
      </c>
      <c r="BB26" s="120" t="str">
        <f t="shared" si="16"/>
        <v/>
      </c>
      <c r="BC26" s="121" t="str">
        <f>IFERROR($M26+VLOOKUP($L26,'Voyage days'!$F$448:$H$479,3,FALSE),"")</f>
        <v/>
      </c>
      <c r="BD26" s="121" t="str">
        <f>IFERROR($N26+VLOOKUP($L26,'Voyage days'!$F$448:$H$479,3,FALSE),"")</f>
        <v/>
      </c>
      <c r="BE26" s="120" t="str">
        <f t="shared" si="17"/>
        <v/>
      </c>
      <c r="BF26" s="122" t="str">
        <f>IFERROR($M26+VLOOKUP($L26,'Voyage days'!$F$620:$H$646,3,FALSE),"")</f>
        <v/>
      </c>
      <c r="BG26" s="122" t="str">
        <f>IFERROR($N26+VLOOKUP($L26,'Voyage days'!$F$620:$H$646,3,FALSE),"")</f>
        <v/>
      </c>
      <c r="BH26" s="120" t="str">
        <f t="shared" si="18"/>
        <v/>
      </c>
      <c r="BI26" s="123" t="str">
        <f>IFERROR($M26+VLOOKUP($L26,'Voyage days'!$F$702:$H$727,3,FALSE),"")</f>
        <v/>
      </c>
      <c r="BJ26" s="120" t="str">
        <f t="shared" si="19"/>
        <v/>
      </c>
      <c r="BK26" s="122" t="str">
        <f>IFERROR($M26+VLOOKUP($L26,'Voyage days'!$F$807:$H$878,3,FALSE),"")</f>
        <v/>
      </c>
      <c r="BL26" s="122" t="str">
        <f>IFERROR($N26+VLOOKUP($L26,'Voyage days'!$F$807:$H$878,3,FALSE),"")</f>
        <v/>
      </c>
      <c r="BM26" s="122" t="str">
        <f>IFERROR($N26+VLOOKUP($L26,'Voyage days'!$F$807:$K$878,6,FALSE),"")</f>
        <v/>
      </c>
      <c r="BN26" s="121" t="str">
        <f>if(L26="loads AG", IFERROR($M26+VLOOKUP($L26,'Voyage days'!$M$38:$O$38,3,FALSE),""),"")</f>
        <v/>
      </c>
      <c r="BO26" s="121">
        <f>if(L26="loads USG", IFERROR($M26+VLOOKUP($L26,'Voyage days'!$L$203:$N$203,3,FALSE),""),"")</f>
        <v>46161</v>
      </c>
    </row>
    <row r="27" ht="15.75" customHeight="1">
      <c r="A27" s="279" t="s">
        <v>585</v>
      </c>
      <c r="B27" s="280">
        <v>2025.0</v>
      </c>
      <c r="C27" s="281">
        <v>88000.0</v>
      </c>
      <c r="D27" s="103"/>
      <c r="E27" s="112" t="s">
        <v>706</v>
      </c>
      <c r="F27" s="282"/>
      <c r="G27" s="282"/>
      <c r="H27" s="282"/>
      <c r="I27" s="153" t="s">
        <v>707</v>
      </c>
      <c r="J27" s="170" t="str">
        <f t="shared" si="20"/>
        <v/>
      </c>
      <c r="K27" s="225"/>
      <c r="L27" s="172" t="s">
        <v>680</v>
      </c>
      <c r="M27" s="283">
        <v>46150.0</v>
      </c>
      <c r="N27" s="283">
        <v>46151.0</v>
      </c>
      <c r="O27" s="284"/>
      <c r="P27" s="172" t="s">
        <v>725</v>
      </c>
      <c r="Q27" s="285"/>
      <c r="R27" s="285" t="s">
        <v>726</v>
      </c>
      <c r="S27" s="112" t="s">
        <v>659</v>
      </c>
      <c r="T27" s="286">
        <v>46124.0</v>
      </c>
      <c r="U27" s="177" t="str">
        <f>IF(V27="","No AIS",VLOOKUP(V27,'Voyage days'!$A$3:$B$1480,2,FALSE))</f>
        <v>USG</v>
      </c>
      <c r="V27" s="178" t="str">
        <f>IF(VLOOKUP(A27,'1) Kpler'!$E$2:$P$1000,8, FALSE)="","",VLOOKUP(A27,'1) Kpler'!$E$2:$P$1000,8, FALSE))</f>
        <v>PADD 3</v>
      </c>
      <c r="W27" s="179">
        <f>IF(VLOOKUP(A27,'1) Kpler'!$E$2:$P$1000,9,FALSE)="","",VLOOKUP(A27,'1) Kpler'!$E$2:$P$1000,9,FALSE))</f>
        <v>46150</v>
      </c>
      <c r="X27" s="178" t="str">
        <f>VLOOKUP(A27,'1) Kpler'!$E$2:$I$1000,4,FALSE)</f>
        <v>ballast</v>
      </c>
      <c r="Y27" s="180" t="str">
        <f t="shared" si="1"/>
        <v/>
      </c>
      <c r="Z27" s="180" t="str">
        <f t="shared" si="2"/>
        <v>08-09 May</v>
      </c>
      <c r="AA27" s="180" t="str">
        <f t="shared" si="3"/>
        <v>08-09 May</v>
      </c>
      <c r="AB27" s="180" t="str">
        <f t="shared" si="4"/>
        <v/>
      </c>
      <c r="AC27" s="180" t="str">
        <f t="shared" si="5"/>
        <v>28-29 May</v>
      </c>
      <c r="AD27" s="180" t="str">
        <f t="shared" si="6"/>
        <v/>
      </c>
      <c r="AE27" s="181" t="str">
        <f t="shared" si="7"/>
        <v/>
      </c>
      <c r="AF27" s="182" t="str">
        <f t="shared" si="8"/>
        <v/>
      </c>
      <c r="AG27" s="120" t="str">
        <f t="shared" si="9"/>
        <v/>
      </c>
      <c r="AH27" s="121" t="str">
        <f>IFERROR($M27+VLOOKUP($L27,'Voyage days'!$F$38:$H$89,3,FALSE),"")</f>
        <v/>
      </c>
      <c r="AI27" s="121" t="str">
        <f>IFERROR(N27+VLOOKUP($L27,'Voyage days'!$F$38:$H$89,3,FALSE),"")</f>
        <v/>
      </c>
      <c r="AJ27" s="120" t="str">
        <f t="shared" si="10"/>
        <v>08-09 May</v>
      </c>
      <c r="AK27" s="121">
        <f>IFERROR($M27+VLOOKUP($L27,'Voyage days'!$F$94:$H$193,3,FALSE),"")</f>
        <v>46150</v>
      </c>
      <c r="AL27" s="121">
        <f>IFERROR($N27+VLOOKUP($L27,'Voyage days'!$F$94:$H$193,3,FALSE),"")</f>
        <v>46151</v>
      </c>
      <c r="AM27" s="120" t="str">
        <f t="shared" si="11"/>
        <v>08-09 May</v>
      </c>
      <c r="AN27" s="121">
        <f>IFERROR($M27+VLOOKUP($L27,'Voyage days'!$F$203:$H$256,3,FALSE),"")</f>
        <v>46150</v>
      </c>
      <c r="AO27" s="121">
        <f>IFERROR($N27+VLOOKUP($L27,'Voyage days'!$F$203:$H$256,3,FALSE),"")</f>
        <v>46151</v>
      </c>
      <c r="AP27" s="120" t="str">
        <f t="shared" si="12"/>
        <v/>
      </c>
      <c r="AQ27" s="121" t="str">
        <f>IFERROR($M27+VLOOKUP($L27,'Voyage days'!$F$294:$H$377,3,FALSE),"")</f>
        <v/>
      </c>
      <c r="AR27" s="121" t="str">
        <f>IFERROR($N27+VLOOKUP($L27,'Voyage days'!$F$294:$H$377,3,FALSE),"")</f>
        <v/>
      </c>
      <c r="AS27" s="120" t="str">
        <f t="shared" si="13"/>
        <v>28-29 May</v>
      </c>
      <c r="AT27" s="121">
        <f>IFERROR($M27+VLOOKUP($L27,'Voyage days'!$F$382:$H$446,3,FALSE),"")</f>
        <v>46170</v>
      </c>
      <c r="AU27" s="121">
        <f>IFERROR($N27+VLOOKUP($L27,'Voyage days'!$F$382:$H$446,3,FALSE),"")</f>
        <v>46171</v>
      </c>
      <c r="AV27" s="120" t="str">
        <f t="shared" si="14"/>
        <v/>
      </c>
      <c r="AW27" s="121" t="str">
        <f>IFERROR($M27+VLOOKUP($L27,'Voyage days'!$F$483:$H$538,3,FALSE),"")</f>
        <v/>
      </c>
      <c r="AX27" s="121" t="str">
        <f>IFERROR($N27+VLOOKUP($L27,'Voyage days'!$F$483:$H$538,3,FALSE),"")</f>
        <v/>
      </c>
      <c r="AY27" s="120" t="str">
        <f t="shared" si="15"/>
        <v/>
      </c>
      <c r="AZ27" s="121" t="str">
        <f>IFERROR($M27+VLOOKUP($L27,'Voyage days'!$F$540:$H$613,3,FALSE),"")</f>
        <v/>
      </c>
      <c r="BA27" s="121" t="str">
        <f>IFERROR($N27+VLOOKUP($L27,'Voyage days'!$F$540:$H$613,3,FALSE),"")</f>
        <v/>
      </c>
      <c r="BB27" s="120" t="str">
        <f t="shared" si="16"/>
        <v/>
      </c>
      <c r="BC27" s="121" t="str">
        <f>IFERROR($M27+VLOOKUP($L27,'Voyage days'!$F$448:$H$479,3,FALSE),"")</f>
        <v/>
      </c>
      <c r="BD27" s="121" t="str">
        <f>IFERROR($N27+VLOOKUP($L27,'Voyage days'!$F$448:$H$479,3,FALSE),"")</f>
        <v/>
      </c>
      <c r="BE27" s="120" t="str">
        <f t="shared" si="17"/>
        <v/>
      </c>
      <c r="BF27" s="122" t="str">
        <f>IFERROR($M27+VLOOKUP($L27,'Voyage days'!$F$620:$H$646,3,FALSE),"")</f>
        <v/>
      </c>
      <c r="BG27" s="122" t="str">
        <f>IFERROR($N27+VLOOKUP($L27,'Voyage days'!$F$620:$H$646,3,FALSE),"")</f>
        <v/>
      </c>
      <c r="BH27" s="120" t="str">
        <f t="shared" si="18"/>
        <v/>
      </c>
      <c r="BI27" s="123" t="str">
        <f>IFERROR($M27+VLOOKUP($L27,'Voyage days'!$F$702:$H$727,3,FALSE),"")</f>
        <v/>
      </c>
      <c r="BJ27" s="120" t="str">
        <f t="shared" si="19"/>
        <v/>
      </c>
      <c r="BK27" s="122" t="str">
        <f>IFERROR($M27+VLOOKUP($L27,'Voyage days'!$F$807:$H$878,3,FALSE),"")</f>
        <v/>
      </c>
      <c r="BL27" s="122" t="str">
        <f>IFERROR($N27+VLOOKUP($L27,'Voyage days'!$F$807:$H$878,3,FALSE),"")</f>
        <v/>
      </c>
      <c r="BM27" s="122" t="str">
        <f>IFERROR($N27+VLOOKUP($L27,'Voyage days'!$F$807:$K$878,6,FALSE),"")</f>
        <v/>
      </c>
      <c r="BN27" s="121" t="str">
        <f>if(L27="loads AG", IFERROR($M27+VLOOKUP($L27,'Voyage days'!$M$38:$O$38,3,FALSE),""),"")</f>
        <v/>
      </c>
      <c r="BO27" s="121">
        <f>if(L27="loads USG", IFERROR($M27+VLOOKUP($L27,'Voyage days'!$L$203:$N$203,3,FALSE),""),"")</f>
        <v>46182</v>
      </c>
    </row>
    <row r="28" ht="14.25" customHeight="1">
      <c r="A28" s="287" t="s">
        <v>78</v>
      </c>
      <c r="B28" s="288">
        <v>40298.0</v>
      </c>
      <c r="C28" s="232">
        <v>83270.0</v>
      </c>
      <c r="D28" s="233"/>
      <c r="E28" s="233"/>
      <c r="F28" s="234"/>
      <c r="G28" s="234"/>
      <c r="H28" s="234"/>
      <c r="I28" s="289" t="s">
        <v>727</v>
      </c>
      <c r="J28" s="236" t="str">
        <f t="shared" si="20"/>
        <v>NO AIS</v>
      </c>
      <c r="K28" s="152"/>
      <c r="L28" s="235" t="s">
        <v>728</v>
      </c>
      <c r="M28" s="276">
        <v>46125.0</v>
      </c>
      <c r="N28" s="276">
        <v>46126.0</v>
      </c>
      <c r="O28" s="239" t="s">
        <v>729</v>
      </c>
      <c r="P28" s="290" t="s">
        <v>730</v>
      </c>
      <c r="Q28" s="291"/>
      <c r="R28" s="235" t="s">
        <v>731</v>
      </c>
      <c r="S28" s="292" t="s">
        <v>659</v>
      </c>
      <c r="T28" s="293">
        <v>46124.0</v>
      </c>
      <c r="U28" s="114" t="str">
        <f>IF(V28="","No AIS",VLOOKUP(V28,'Voyage days'!$A$3:$B$1480,2,FALSE))</f>
        <v>No AIS</v>
      </c>
      <c r="V28" s="244" t="str">
        <f>IF(VLOOKUP(A28,'1) Kpler'!$E$2:$P$1000,8, FALSE)="","",VLOOKUP(A28,'1) Kpler'!$E$2:$P$1000,8, FALSE))</f>
        <v/>
      </c>
      <c r="W28" s="245" t="str">
        <f>IF(VLOOKUP(A28,'1) Kpler'!$E$2:$P$1000,9,FALSE)="","",VLOOKUP(A28,'1) Kpler'!$E$2:$P$1000,9,FALSE))</f>
        <v/>
      </c>
      <c r="X28" s="244" t="str">
        <f>VLOOKUP(A28,'1) Kpler'!$E$2:$I$1000,4,FALSE)</f>
        <v>ballast</v>
      </c>
      <c r="Y28" s="272" t="str">
        <f t="shared" si="1"/>
        <v>23-24 Apr</v>
      </c>
      <c r="Z28" s="272" t="str">
        <f t="shared" si="2"/>
        <v>27-28 Apr</v>
      </c>
      <c r="AA28" s="272" t="str">
        <f t="shared" si="3"/>
        <v>03-04 May</v>
      </c>
      <c r="AB28" s="272" t="str">
        <f t="shared" si="4"/>
        <v>28-29 Apr</v>
      </c>
      <c r="AC28" s="272" t="str">
        <f t="shared" si="5"/>
        <v>18-19 Apr</v>
      </c>
      <c r="AD28" s="272" t="str">
        <f t="shared" si="6"/>
        <v/>
      </c>
      <c r="AE28" s="273" t="str">
        <f t="shared" si="7"/>
        <v/>
      </c>
      <c r="AF28" s="162" t="str">
        <f t="shared" si="8"/>
        <v>17-18 Apr</v>
      </c>
      <c r="AG28" s="249" t="str">
        <f t="shared" si="9"/>
        <v>23-24 Apr</v>
      </c>
      <c r="AH28" s="250">
        <f>IFERROR($M28+VLOOKUP($L28,'Voyage days'!$F$38:$H$89,3,FALSE),"")</f>
        <v>46135</v>
      </c>
      <c r="AI28" s="250">
        <f>IFERROR(N28+VLOOKUP($L28,'Voyage days'!$F$38:$H$89,3,FALSE),"")</f>
        <v>46136</v>
      </c>
      <c r="AJ28" s="249" t="str">
        <f t="shared" si="10"/>
        <v>27-28 Apr</v>
      </c>
      <c r="AK28" s="250">
        <f>IFERROR($M28+VLOOKUP($L28,'Voyage days'!$F$94:$H$193,3,FALSE),"")</f>
        <v>46139</v>
      </c>
      <c r="AL28" s="250">
        <f>IFERROR($N28+VLOOKUP($L28,'Voyage days'!$F$94:$H$193,3,FALSE),"")</f>
        <v>46140</v>
      </c>
      <c r="AM28" s="249" t="str">
        <f t="shared" si="11"/>
        <v>03-04 May</v>
      </c>
      <c r="AN28" s="250">
        <f>IFERROR($M28+VLOOKUP($L28,'Voyage days'!$F$203:$H$256,3,FALSE),"")</f>
        <v>46145</v>
      </c>
      <c r="AO28" s="250">
        <f>IFERROR($N28+VLOOKUP($L28,'Voyage days'!$F$203:$H$256,3,FALSE),"")</f>
        <v>46146</v>
      </c>
      <c r="AP28" s="249" t="str">
        <f t="shared" si="12"/>
        <v>28-29 Apr</v>
      </c>
      <c r="AQ28" s="250">
        <f>IFERROR($M28+VLOOKUP($L28,'Voyage days'!$F$294:$H$377,3,FALSE),"")</f>
        <v>46140</v>
      </c>
      <c r="AR28" s="250">
        <f>IFERROR($N28+VLOOKUP($L28,'Voyage days'!$F$294:$H$377,3,FALSE),"")</f>
        <v>46141</v>
      </c>
      <c r="AS28" s="249" t="str">
        <f t="shared" si="13"/>
        <v>18-19 Apr</v>
      </c>
      <c r="AT28" s="250">
        <f>IFERROR($M28+VLOOKUP($L28,'Voyage days'!$F$382:$H$446,3,FALSE),"")</f>
        <v>46130</v>
      </c>
      <c r="AU28" s="250">
        <f>IFERROR($N28+VLOOKUP($L28,'Voyage days'!$F$382:$H$446,3,FALSE),"")</f>
        <v>46131</v>
      </c>
      <c r="AV28" s="249" t="str">
        <f t="shared" si="14"/>
        <v/>
      </c>
      <c r="AW28" s="250" t="str">
        <f>IFERROR($M28+VLOOKUP($L28,'Voyage days'!$F$483:$H$538,3,FALSE),"")</f>
        <v/>
      </c>
      <c r="AX28" s="250" t="str">
        <f>IFERROR($N28+VLOOKUP($L28,'Voyage days'!$F$483:$H$538,3,FALSE),"")</f>
        <v/>
      </c>
      <c r="AY28" s="249" t="str">
        <f t="shared" si="15"/>
        <v/>
      </c>
      <c r="AZ28" s="250" t="str">
        <f>IFERROR($M28+VLOOKUP($L28,'Voyage days'!$F$540:$H$613,3,FALSE),"")</f>
        <v/>
      </c>
      <c r="BA28" s="250" t="str">
        <f>IFERROR($N28+VLOOKUP($L28,'Voyage days'!$F$540:$H$613,3,FALSE),"")</f>
        <v/>
      </c>
      <c r="BB28" s="249" t="str">
        <f t="shared" si="16"/>
        <v/>
      </c>
      <c r="BC28" s="121" t="str">
        <f>IFERROR($M28+VLOOKUP($L28,'Voyage days'!$F$448:$H$479,3,FALSE),"")</f>
        <v/>
      </c>
      <c r="BD28" s="121" t="str">
        <f>IFERROR($N28+VLOOKUP($L28,'Voyage days'!$F$448:$H$479,3,FALSE),"")</f>
        <v/>
      </c>
      <c r="BE28" s="249" t="str">
        <f t="shared" si="17"/>
        <v/>
      </c>
      <c r="BF28" s="250" t="str">
        <f>IFERROR($M28+VLOOKUP($L28,'Voyage days'!$F$620:$H$646,3,FALSE),"")</f>
        <v/>
      </c>
      <c r="BG28" s="250" t="str">
        <f>IFERROR($N28+VLOOKUP($L28,'Voyage days'!$F$620:$H$646,3,FALSE),"")</f>
        <v/>
      </c>
      <c r="BH28" s="249" t="str">
        <f t="shared" si="18"/>
        <v/>
      </c>
      <c r="BI28" s="251" t="str">
        <f>IFERROR($M28+VLOOKUP($L28,'Voyage days'!$F$702:$H$727,3,FALSE),"")</f>
        <v/>
      </c>
      <c r="BJ28" s="163" t="str">
        <f t="shared" si="19"/>
        <v>17-18 Apr</v>
      </c>
      <c r="BK28" s="122">
        <f>IFERROR($M28+VLOOKUP($L28,'Voyage days'!$F$807:$H$878,3,FALSE),"")</f>
        <v>46129</v>
      </c>
      <c r="BL28" s="122">
        <f>IFERROR($N28+VLOOKUP($L28,'Voyage days'!$F$807:$H$878,3,FALSE),"")</f>
        <v>46130</v>
      </c>
      <c r="BM28" s="122">
        <f>IFERROR($N28+VLOOKUP($L28,'Voyage days'!$F$807:$K$878,6,FALSE),"")</f>
        <v>46126</v>
      </c>
      <c r="BN28" s="121" t="str">
        <f>if(L28="loads AG", IFERROR($M28+VLOOKUP($L28,'Voyage days'!$M$38:$O$38,3,FALSE),""),"")</f>
        <v/>
      </c>
      <c r="BO28" s="121" t="str">
        <f>if(L28="loads USG", IFERROR($M28+VLOOKUP($L28,'Voyage days'!$L$203:$N$203,3,FALSE),""),"")</f>
        <v/>
      </c>
    </row>
    <row r="29" ht="15.75" customHeight="1">
      <c r="A29" s="147" t="s">
        <v>732</v>
      </c>
      <c r="B29" s="194">
        <v>42479.0</v>
      </c>
      <c r="C29" s="294">
        <v>84113.0</v>
      </c>
      <c r="D29" s="195"/>
      <c r="E29" s="195"/>
      <c r="F29" s="196"/>
      <c r="G29" s="196"/>
      <c r="H29" s="196" t="s">
        <v>666</v>
      </c>
      <c r="I29" s="295" t="s">
        <v>733</v>
      </c>
      <c r="J29" s="106" t="str">
        <f t="shared" si="20"/>
        <v>Update</v>
      </c>
      <c r="K29" s="107"/>
      <c r="L29" s="187" t="s">
        <v>680</v>
      </c>
      <c r="M29" s="109">
        <v>46124.0</v>
      </c>
      <c r="N29" s="109">
        <v>46125.0</v>
      </c>
      <c r="O29" s="191"/>
      <c r="P29" s="108" t="s">
        <v>734</v>
      </c>
      <c r="Q29" s="111"/>
      <c r="R29" s="153" t="s">
        <v>735</v>
      </c>
      <c r="S29" s="256" t="s">
        <v>659</v>
      </c>
      <c r="T29" s="113">
        <v>46124.0</v>
      </c>
      <c r="U29" s="114" t="str">
        <f>IF(V29="","No AIS",VLOOKUP(V29,'Voyage days'!$A$3:$B$1480,2,FALSE))</f>
        <v>Panama</v>
      </c>
      <c r="V29" s="115" t="str">
        <f>IF(VLOOKUP(A29,'1) Kpler'!$E$2:$P$1000,8, FALSE)="","",VLOOKUP(A29,'1) Kpler'!$E$2:$P$1000,8, FALSE))</f>
        <v>Cristobal Light.</v>
      </c>
      <c r="W29" s="116">
        <f>IF(VLOOKUP(A29,'1) Kpler'!$E$2:$P$1000,9,FALSE)="","",VLOOKUP(A29,'1) Kpler'!$E$2:$P$1000,9,FALSE))</f>
        <v>46134.25</v>
      </c>
      <c r="X29" s="115" t="str">
        <f>VLOOKUP(A29,'1) Kpler'!$E$2:$I$1000,4,FALSE)</f>
        <v>loaded</v>
      </c>
      <c r="Y29" s="296" t="str">
        <f t="shared" si="1"/>
        <v/>
      </c>
      <c r="Z29" s="296" t="str">
        <f t="shared" si="2"/>
        <v>12-13 Apr</v>
      </c>
      <c r="AA29" s="296" t="str">
        <f t="shared" si="3"/>
        <v>12-13 Apr</v>
      </c>
      <c r="AB29" s="296" t="str">
        <f t="shared" si="4"/>
        <v/>
      </c>
      <c r="AC29" s="296" t="str">
        <f t="shared" si="5"/>
        <v>02-03 May</v>
      </c>
      <c r="AD29" s="296" t="str">
        <f t="shared" si="6"/>
        <v/>
      </c>
      <c r="AE29" s="297" t="str">
        <f t="shared" si="7"/>
        <v/>
      </c>
      <c r="AF29" s="119" t="str">
        <f t="shared" si="8"/>
        <v/>
      </c>
      <c r="AG29" s="120" t="str">
        <f t="shared" si="9"/>
        <v/>
      </c>
      <c r="AH29" s="121" t="str">
        <f>IFERROR($M29+VLOOKUP($L29,'Voyage days'!$F$38:$H$89,3,FALSE),"")</f>
        <v/>
      </c>
      <c r="AI29" s="121" t="str">
        <f>IFERROR(N29+VLOOKUP($L29,'Voyage days'!$F$38:$H$89,3,FALSE),"")</f>
        <v/>
      </c>
      <c r="AJ29" s="120" t="str">
        <f t="shared" si="10"/>
        <v>12-13 Apr</v>
      </c>
      <c r="AK29" s="121">
        <f>IFERROR($M29+VLOOKUP($L29,'Voyage days'!$F$94:$H$193,3,FALSE),"")</f>
        <v>46124</v>
      </c>
      <c r="AL29" s="121">
        <f>IFERROR($N29+VLOOKUP($L29,'Voyage days'!$F$94:$H$193,3,FALSE),"")</f>
        <v>46125</v>
      </c>
      <c r="AM29" s="120" t="str">
        <f t="shared" si="11"/>
        <v>12-13 Apr</v>
      </c>
      <c r="AN29" s="121">
        <f>IFERROR($M29+VLOOKUP($L29,'Voyage days'!$F$203:$H$256,3,FALSE),"")</f>
        <v>46124</v>
      </c>
      <c r="AO29" s="121">
        <f>IFERROR($N29+VLOOKUP($L29,'Voyage days'!$F$203:$H$256,3,FALSE),"")</f>
        <v>46125</v>
      </c>
      <c r="AP29" s="120" t="str">
        <f t="shared" si="12"/>
        <v/>
      </c>
      <c r="AQ29" s="121" t="str">
        <f>IFERROR($M29+VLOOKUP($L29,'Voyage days'!$F$294:$H$377,3,FALSE),"")</f>
        <v/>
      </c>
      <c r="AR29" s="121" t="str">
        <f>IFERROR($N29+VLOOKUP($L29,'Voyage days'!$F$294:$H$377,3,FALSE),"")</f>
        <v/>
      </c>
      <c r="AS29" s="120" t="str">
        <f t="shared" si="13"/>
        <v>02-03 May</v>
      </c>
      <c r="AT29" s="121">
        <f>IFERROR($M29+VLOOKUP($L29,'Voyage days'!$F$382:$H$446,3,FALSE),"")</f>
        <v>46144</v>
      </c>
      <c r="AU29" s="121">
        <f>IFERROR($N29+VLOOKUP($L29,'Voyage days'!$F$382:$H$446,3,FALSE),"")</f>
        <v>46145</v>
      </c>
      <c r="AV29" s="120" t="str">
        <f t="shared" si="14"/>
        <v/>
      </c>
      <c r="AW29" s="121" t="str">
        <f>IFERROR($M29+VLOOKUP($L29,'Voyage days'!$F$483:$H$538,3,FALSE),"")</f>
        <v/>
      </c>
      <c r="AX29" s="121" t="str">
        <f>IFERROR($N29+VLOOKUP($L29,'Voyage days'!$F$483:$H$538,3,FALSE),"")</f>
        <v/>
      </c>
      <c r="AY29" s="120" t="str">
        <f t="shared" si="15"/>
        <v/>
      </c>
      <c r="AZ29" s="121" t="str">
        <f>IFERROR($M29+VLOOKUP($L29,'Voyage days'!$F$540:$H$613,3,FALSE),"")</f>
        <v/>
      </c>
      <c r="BA29" s="121" t="str">
        <f>IFERROR($N29+VLOOKUP($L29,'Voyage days'!$F$540:$H$613,3,FALSE),"")</f>
        <v/>
      </c>
      <c r="BB29" s="120" t="str">
        <f t="shared" si="16"/>
        <v/>
      </c>
      <c r="BC29" s="121" t="str">
        <f>IFERROR($M29+VLOOKUP($L29,'Voyage days'!$F$448:$H$479,3,FALSE),"")</f>
        <v/>
      </c>
      <c r="BD29" s="121" t="str">
        <f>IFERROR($N29+VLOOKUP($L29,'Voyage days'!$F$448:$H$479,3,FALSE),"")</f>
        <v/>
      </c>
      <c r="BE29" s="120" t="str">
        <f t="shared" si="17"/>
        <v/>
      </c>
      <c r="BF29" s="122" t="str">
        <f>IFERROR($M29+VLOOKUP($L29,'Voyage days'!$F$620:$H$646,3,FALSE),"")</f>
        <v/>
      </c>
      <c r="BG29" s="122" t="str">
        <f>IFERROR($N29+VLOOKUP($L29,'Voyage days'!$F$620:$H$646,3,FALSE),"")</f>
        <v/>
      </c>
      <c r="BH29" s="120" t="str">
        <f t="shared" si="18"/>
        <v/>
      </c>
      <c r="BI29" s="123" t="str">
        <f>IFERROR($M29+VLOOKUP($L29,'Voyage days'!$F$702:$H$727,3,FALSE),"")</f>
        <v/>
      </c>
      <c r="BJ29" s="120" t="str">
        <f t="shared" si="19"/>
        <v/>
      </c>
      <c r="BK29" s="122" t="str">
        <f>IFERROR($M29+VLOOKUP($L29,'Voyage days'!$F$807:$H$878,3,FALSE),"")</f>
        <v/>
      </c>
      <c r="BL29" s="122" t="str">
        <f>IFERROR($N29+VLOOKUP($L29,'Voyage days'!$F$807:$H$878,3,FALSE),"")</f>
        <v/>
      </c>
      <c r="BM29" s="122" t="str">
        <f>IFERROR($N29+VLOOKUP($L29,'Voyage days'!$F$807:$K$878,6,FALSE),"")</f>
        <v/>
      </c>
      <c r="BN29" s="121" t="str">
        <f>if(L29="loads AG", IFERROR($M29+VLOOKUP($L29,'Voyage days'!$M$38:$O$38,3,FALSE),""),"")</f>
        <v/>
      </c>
      <c r="BO29" s="121">
        <f>if(L29="loads USG", IFERROR($M29+VLOOKUP($L29,'Voyage days'!$L$203:$N$203,3,FALSE),""),"")</f>
        <v>46156</v>
      </c>
    </row>
    <row r="30" ht="15.75" customHeight="1">
      <c r="A30" s="298" t="s">
        <v>228</v>
      </c>
      <c r="B30" s="101">
        <v>43617.0</v>
      </c>
      <c r="C30" s="102">
        <v>80000.0</v>
      </c>
      <c r="D30" s="103"/>
      <c r="E30" s="103"/>
      <c r="F30" s="104"/>
      <c r="G30" s="104"/>
      <c r="H30" s="104" t="s">
        <v>689</v>
      </c>
      <c r="I30" s="299" t="s">
        <v>727</v>
      </c>
      <c r="J30" s="106" t="str">
        <f t="shared" si="20"/>
        <v/>
      </c>
      <c r="K30" s="205"/>
      <c r="L30" s="108" t="s">
        <v>680</v>
      </c>
      <c r="M30" s="109">
        <v>46135.0</v>
      </c>
      <c r="N30" s="109">
        <v>46136.0</v>
      </c>
      <c r="O30" s="191" t="s">
        <v>729</v>
      </c>
      <c r="P30" s="108" t="s">
        <v>736</v>
      </c>
      <c r="Q30" s="108" t="s">
        <v>737</v>
      </c>
      <c r="R30" s="108" t="s">
        <v>738</v>
      </c>
      <c r="S30" s="112" t="s">
        <v>659</v>
      </c>
      <c r="T30" s="293">
        <v>46124.0</v>
      </c>
      <c r="U30" s="114" t="str">
        <f>IF(V30="","No AIS",VLOOKUP(V30,'Voyage days'!$A$3:$B$1480,2,FALSE))</f>
        <v>USG</v>
      </c>
      <c r="V30" s="115" t="str">
        <f>IF(VLOOKUP(A30,'1) Kpler'!$E$2:$P$1000,8, FALSE)="","",VLOOKUP(A30,'1) Kpler'!$E$2:$P$1000,8, FALSE))</f>
        <v>Energy Transfer Nederland</v>
      </c>
      <c r="W30" s="116">
        <f>IF(VLOOKUP(A30,'1) Kpler'!$E$2:$P$1000,9,FALSE)="","",VLOOKUP(A30,'1) Kpler'!$E$2:$P$1000,9,FALSE))</f>
        <v>46133.83333</v>
      </c>
      <c r="X30" s="115" t="str">
        <f>VLOOKUP(A30,'1) Kpler'!$E$2:$I$1000,4,FALSE)</f>
        <v>ballast</v>
      </c>
      <c r="Y30" s="117" t="str">
        <f t="shared" si="1"/>
        <v/>
      </c>
      <c r="Z30" s="117" t="str">
        <f t="shared" si="2"/>
        <v>23-24 Apr</v>
      </c>
      <c r="AA30" s="117" t="str">
        <f t="shared" si="3"/>
        <v>23-24 Apr</v>
      </c>
      <c r="AB30" s="117" t="str">
        <f t="shared" si="4"/>
        <v/>
      </c>
      <c r="AC30" s="117" t="str">
        <f t="shared" si="5"/>
        <v>13-14 May</v>
      </c>
      <c r="AD30" s="117" t="str">
        <f t="shared" si="6"/>
        <v/>
      </c>
      <c r="AE30" s="118" t="str">
        <f t="shared" si="7"/>
        <v/>
      </c>
      <c r="AF30" s="119" t="str">
        <f t="shared" si="8"/>
        <v/>
      </c>
      <c r="AG30" s="120" t="str">
        <f t="shared" si="9"/>
        <v/>
      </c>
      <c r="AH30" s="121" t="str">
        <f>IFERROR($M30+VLOOKUP($L30,'Voyage days'!$F$38:$H$89,3,FALSE),"")</f>
        <v/>
      </c>
      <c r="AI30" s="121" t="str">
        <f>IFERROR(N30+VLOOKUP($L30,'Voyage days'!$F$38:$H$89,3,FALSE),"")</f>
        <v/>
      </c>
      <c r="AJ30" s="120" t="str">
        <f t="shared" si="10"/>
        <v>23-24 Apr</v>
      </c>
      <c r="AK30" s="121">
        <f>IFERROR($M30+VLOOKUP($L30,'Voyage days'!$F$94:$H$193,3,FALSE),"")</f>
        <v>46135</v>
      </c>
      <c r="AL30" s="121">
        <f>IFERROR($N30+VLOOKUP($L30,'Voyage days'!$F$94:$H$193,3,FALSE),"")</f>
        <v>46136</v>
      </c>
      <c r="AM30" s="120" t="str">
        <f t="shared" si="11"/>
        <v>23-24 Apr</v>
      </c>
      <c r="AN30" s="121">
        <f>IFERROR($M30+VLOOKUP($L30,'Voyage days'!$F$203:$H$256,3,FALSE),"")</f>
        <v>46135</v>
      </c>
      <c r="AO30" s="121">
        <f>IFERROR($N30+VLOOKUP($L30,'Voyage days'!$F$203:$H$256,3,FALSE),"")</f>
        <v>46136</v>
      </c>
      <c r="AP30" s="120" t="str">
        <f t="shared" si="12"/>
        <v/>
      </c>
      <c r="AQ30" s="121" t="str">
        <f>IFERROR($M30+VLOOKUP($L30,'Voyage days'!$F$294:$H$377,3,FALSE),"")</f>
        <v/>
      </c>
      <c r="AR30" s="121" t="str">
        <f>IFERROR($N30+VLOOKUP($L30,'Voyage days'!$F$294:$H$377,3,FALSE),"")</f>
        <v/>
      </c>
      <c r="AS30" s="120" t="str">
        <f t="shared" si="13"/>
        <v>13-14 May</v>
      </c>
      <c r="AT30" s="121">
        <f>IFERROR($M30+VLOOKUP($L30,'Voyage days'!$F$382:$H$446,3,FALSE),"")</f>
        <v>46155</v>
      </c>
      <c r="AU30" s="121">
        <f>IFERROR($N30+VLOOKUP($L30,'Voyage days'!$F$382:$H$446,3,FALSE),"")</f>
        <v>46156</v>
      </c>
      <c r="AV30" s="120" t="str">
        <f t="shared" si="14"/>
        <v/>
      </c>
      <c r="AW30" s="121" t="str">
        <f>IFERROR($M30+VLOOKUP($L30,'Voyage days'!$F$483:$H$538,3,FALSE),"")</f>
        <v/>
      </c>
      <c r="AX30" s="121" t="str">
        <f>IFERROR($N30+VLOOKUP($L30,'Voyage days'!$F$483:$H$538,3,FALSE),"")</f>
        <v/>
      </c>
      <c r="AY30" s="120" t="str">
        <f t="shared" si="15"/>
        <v/>
      </c>
      <c r="AZ30" s="121" t="str">
        <f>IFERROR($M30+VLOOKUP($L30,'Voyage days'!$F$540:$H$613,3,FALSE),"")</f>
        <v/>
      </c>
      <c r="BA30" s="121" t="str">
        <f>IFERROR($N30+VLOOKUP($L30,'Voyage days'!$F$540:$H$613,3,FALSE),"")</f>
        <v/>
      </c>
      <c r="BB30" s="120" t="str">
        <f t="shared" si="16"/>
        <v/>
      </c>
      <c r="BC30" s="121" t="str">
        <f>IFERROR($M30+VLOOKUP($L30,'Voyage days'!$F$448:$H$479,3,FALSE),"")</f>
        <v/>
      </c>
      <c r="BD30" s="121" t="str">
        <f>IFERROR($N30+VLOOKUP($L30,'Voyage days'!$F$448:$H$479,3,FALSE),"")</f>
        <v/>
      </c>
      <c r="BE30" s="120" t="str">
        <f t="shared" si="17"/>
        <v/>
      </c>
      <c r="BF30" s="122" t="str">
        <f>IFERROR($M30+VLOOKUP($L30,'Voyage days'!$F$620:$H$646,3,FALSE),"")</f>
        <v/>
      </c>
      <c r="BG30" s="122" t="str">
        <f>IFERROR($N30+VLOOKUP($L30,'Voyage days'!$F$620:$H$646,3,FALSE),"")</f>
        <v/>
      </c>
      <c r="BH30" s="120" t="str">
        <f t="shared" si="18"/>
        <v/>
      </c>
      <c r="BI30" s="123" t="str">
        <f>IFERROR($M30+VLOOKUP($L30,'Voyage days'!$F$702:$H$727,3,FALSE),"")</f>
        <v/>
      </c>
      <c r="BJ30" s="120" t="str">
        <f t="shared" si="19"/>
        <v/>
      </c>
      <c r="BK30" s="122" t="str">
        <f>IFERROR($M30+VLOOKUP($L30,'Voyage days'!$F$807:$H$878,3,FALSE),"")</f>
        <v/>
      </c>
      <c r="BL30" s="122" t="str">
        <f>IFERROR($N30+VLOOKUP($L30,'Voyage days'!$F$807:$H$878,3,FALSE),"")</f>
        <v/>
      </c>
      <c r="BM30" s="122" t="str">
        <f>IFERROR($N30+VLOOKUP($L30,'Voyage days'!$F$807:$K$878,6,FALSE),"")</f>
        <v/>
      </c>
      <c r="BN30" s="121" t="str">
        <f>if(L30="loads AG", IFERROR($M30+VLOOKUP($L30,'Voyage days'!$M$38:$O$38,3,FALSE),""),"")</f>
        <v/>
      </c>
      <c r="BO30" s="121">
        <f>if(L30="loads USG", IFERROR($M30+VLOOKUP($L30,'Voyage days'!$L$203:$N$203,3,FALSE),""),"")</f>
        <v>46167</v>
      </c>
    </row>
    <row r="31" ht="15.75" customHeight="1">
      <c r="A31" s="80" t="s">
        <v>301</v>
      </c>
      <c r="B31" s="202">
        <v>2018.0</v>
      </c>
      <c r="C31" s="203">
        <v>84196.0</v>
      </c>
      <c r="D31" s="256"/>
      <c r="E31" s="256" t="s">
        <v>706</v>
      </c>
      <c r="F31" s="150"/>
      <c r="G31" s="300" t="s">
        <v>739</v>
      </c>
      <c r="H31" s="150" t="s">
        <v>666</v>
      </c>
      <c r="I31" s="299" t="s">
        <v>727</v>
      </c>
      <c r="J31" s="151" t="str">
        <f t="shared" si="20"/>
        <v>Update</v>
      </c>
      <c r="K31" s="205"/>
      <c r="L31" s="153" t="s">
        <v>680</v>
      </c>
      <c r="M31" s="109">
        <v>46125.0</v>
      </c>
      <c r="N31" s="109">
        <v>46126.0</v>
      </c>
      <c r="O31" s="191" t="s">
        <v>729</v>
      </c>
      <c r="P31" s="108" t="s">
        <v>740</v>
      </c>
      <c r="Q31" s="153"/>
      <c r="R31" s="153" t="s">
        <v>741</v>
      </c>
      <c r="S31" s="112" t="s">
        <v>659</v>
      </c>
      <c r="T31" s="293">
        <v>46124.0</v>
      </c>
      <c r="U31" s="301" t="str">
        <f>IF(V31="","No AIS",VLOOKUP(V31,'Voyage days'!$A$3:$B$1480,2,FALSE))</f>
        <v>Eu + 4</v>
      </c>
      <c r="V31" s="301" t="str">
        <f>IF(VLOOKUP(A31,'1) Kpler'!$E$2:$P$1000,8, FALSE)="","",VLOOKUP(A31,'1) Kpler'!$E$2:$P$1000,8, FALSE))</f>
        <v>Terneuzen</v>
      </c>
      <c r="W31" s="302">
        <f>IF(VLOOKUP(A31,'1) Kpler'!$E$2:$P$1000,9,FALSE)="","",VLOOKUP(A31,'1) Kpler'!$E$2:$P$1000,9,FALSE))</f>
        <v>46142.11389</v>
      </c>
      <c r="X31" s="301" t="str">
        <f>VLOOKUP(A31,'1) Kpler'!$E$2:$I$1000,4,FALSE)</f>
        <v>loaded</v>
      </c>
      <c r="Y31" s="296" t="str">
        <f t="shared" si="1"/>
        <v/>
      </c>
      <c r="Z31" s="296" t="str">
        <f t="shared" si="2"/>
        <v>13-14 Apr</v>
      </c>
      <c r="AA31" s="296" t="str">
        <f t="shared" si="3"/>
        <v>13-14 Apr</v>
      </c>
      <c r="AB31" s="296" t="str">
        <f t="shared" si="4"/>
        <v/>
      </c>
      <c r="AC31" s="296" t="str">
        <f t="shared" si="5"/>
        <v>03-04 May</v>
      </c>
      <c r="AD31" s="296" t="str">
        <f t="shared" si="6"/>
        <v/>
      </c>
      <c r="AE31" s="297" t="str">
        <f t="shared" si="7"/>
        <v/>
      </c>
      <c r="AF31" s="119" t="str">
        <f t="shared" si="8"/>
        <v/>
      </c>
      <c r="AG31" s="120" t="str">
        <f t="shared" si="9"/>
        <v/>
      </c>
      <c r="AH31" s="121" t="str">
        <f>IFERROR($M31+VLOOKUP($L31,'Voyage days'!$F$38:$H$89,3,FALSE),"")</f>
        <v/>
      </c>
      <c r="AI31" s="121" t="str">
        <f>IFERROR(N31+VLOOKUP($L31,'Voyage days'!$F$38:$H$89,3,FALSE),"")</f>
        <v/>
      </c>
      <c r="AJ31" s="120" t="str">
        <f t="shared" si="10"/>
        <v>13-14 Apr</v>
      </c>
      <c r="AK31" s="121">
        <f>IFERROR($M31+VLOOKUP($L31,'Voyage days'!$F$94:$H$193,3,FALSE),"")</f>
        <v>46125</v>
      </c>
      <c r="AL31" s="121">
        <f>IFERROR($N31+VLOOKUP($L31,'Voyage days'!$F$94:$H$193,3,FALSE),"")</f>
        <v>46126</v>
      </c>
      <c r="AM31" s="120" t="str">
        <f t="shared" si="11"/>
        <v>13-14 Apr</v>
      </c>
      <c r="AN31" s="121">
        <f>IFERROR($M31+VLOOKUP($L31,'Voyage days'!$F$203:$H$256,3,FALSE),"")</f>
        <v>46125</v>
      </c>
      <c r="AO31" s="121">
        <f>IFERROR($N31+VLOOKUP($L31,'Voyage days'!$F$203:$H$256,3,FALSE),"")</f>
        <v>46126</v>
      </c>
      <c r="AP31" s="120" t="str">
        <f t="shared" si="12"/>
        <v/>
      </c>
      <c r="AQ31" s="121" t="str">
        <f>IFERROR($M31+VLOOKUP($L31,'Voyage days'!$F$294:$H$377,3,FALSE),"")</f>
        <v/>
      </c>
      <c r="AR31" s="121" t="str">
        <f>IFERROR($N31+VLOOKUP($L31,'Voyage days'!$F$294:$H$377,3,FALSE),"")</f>
        <v/>
      </c>
      <c r="AS31" s="120" t="str">
        <f t="shared" si="13"/>
        <v>03-04 May</v>
      </c>
      <c r="AT31" s="121">
        <f>IFERROR($M31+VLOOKUP($L31,'Voyage days'!$F$382:$H$446,3,FALSE),"")</f>
        <v>46145</v>
      </c>
      <c r="AU31" s="121">
        <f>IFERROR($N31+VLOOKUP($L31,'Voyage days'!$F$382:$H$446,3,FALSE),"")</f>
        <v>46146</v>
      </c>
      <c r="AV31" s="120" t="str">
        <f t="shared" si="14"/>
        <v/>
      </c>
      <c r="AW31" s="121" t="str">
        <f>IFERROR($M31+VLOOKUP($L31,'Voyage days'!$F$483:$H$538,3,FALSE),"")</f>
        <v/>
      </c>
      <c r="AX31" s="121" t="str">
        <f>IFERROR($N31+VLOOKUP($L31,'Voyage days'!$F$483:$H$538,3,FALSE),"")</f>
        <v/>
      </c>
      <c r="AY31" s="120" t="str">
        <f t="shared" si="15"/>
        <v/>
      </c>
      <c r="AZ31" s="121" t="str">
        <f>IFERROR($M31+VLOOKUP($L31,'Voyage days'!$F$540:$H$613,3,FALSE),"")</f>
        <v/>
      </c>
      <c r="BA31" s="121" t="str">
        <f>IFERROR($N31+VLOOKUP($L31,'Voyage days'!$F$540:$H$613,3,FALSE),"")</f>
        <v/>
      </c>
      <c r="BB31" s="120" t="str">
        <f t="shared" si="16"/>
        <v/>
      </c>
      <c r="BC31" s="121" t="str">
        <f>IFERROR($M31+VLOOKUP($L31,'Voyage days'!$F$448:$H$479,3,FALSE),"")</f>
        <v/>
      </c>
      <c r="BD31" s="121" t="str">
        <f>IFERROR($N31+VLOOKUP($L31,'Voyage days'!$F$448:$H$479,3,FALSE),"")</f>
        <v/>
      </c>
      <c r="BE31" s="120" t="str">
        <f t="shared" si="17"/>
        <v/>
      </c>
      <c r="BF31" s="122" t="str">
        <f>IFERROR($M31+VLOOKUP($L31,'Voyage days'!$F$620:$H$646,3,FALSE),"")</f>
        <v/>
      </c>
      <c r="BG31" s="122" t="str">
        <f>IFERROR($N31+VLOOKUP($L31,'Voyage days'!$F$620:$H$646,3,FALSE),"")</f>
        <v/>
      </c>
      <c r="BH31" s="120" t="str">
        <f t="shared" si="18"/>
        <v/>
      </c>
      <c r="BI31" s="123" t="str">
        <f>IFERROR($M31+VLOOKUP($L31,'Voyage days'!$F$702:$H$727,3,FALSE),"")</f>
        <v/>
      </c>
      <c r="BJ31" s="120" t="str">
        <f t="shared" si="19"/>
        <v/>
      </c>
      <c r="BK31" s="122" t="str">
        <f>IFERROR($M31+VLOOKUP($L31,'Voyage days'!$F$807:$H$878,3,FALSE),"")</f>
        <v/>
      </c>
      <c r="BL31" s="122" t="str">
        <f>IFERROR($N31+VLOOKUP($L31,'Voyage days'!$F$807:$H$878,3,FALSE),"")</f>
        <v/>
      </c>
      <c r="BM31" s="122" t="str">
        <f>IFERROR($N31+VLOOKUP($L31,'Voyage days'!$F$807:$K$878,6,FALSE),"")</f>
        <v/>
      </c>
      <c r="BN31" s="121" t="str">
        <f>if(L31="loads AG", IFERROR($M31+VLOOKUP($L31,'Voyage days'!$M$38:$O$38,3,FALSE),""),"")</f>
        <v/>
      </c>
      <c r="BO31" s="121">
        <f>if(L31="loads USG", IFERROR($M31+VLOOKUP($L31,'Voyage days'!$L$203:$N$203,3,FALSE),""),"")</f>
        <v>46157</v>
      </c>
    </row>
    <row r="32" ht="15.75" customHeight="1">
      <c r="A32" s="147" t="s">
        <v>364</v>
      </c>
      <c r="B32" s="148">
        <v>2016.0</v>
      </c>
      <c r="C32" s="102">
        <v>84000.0</v>
      </c>
      <c r="D32" s="103"/>
      <c r="E32" s="103"/>
      <c r="F32" s="104"/>
      <c r="G32" s="104"/>
      <c r="H32" s="104"/>
      <c r="I32" s="303" t="s">
        <v>742</v>
      </c>
      <c r="J32" s="106" t="str">
        <f t="shared" si="20"/>
        <v/>
      </c>
      <c r="K32" s="107"/>
      <c r="L32" s="108" t="s">
        <v>680</v>
      </c>
      <c r="M32" s="276">
        <v>46137.0</v>
      </c>
      <c r="N32" s="276">
        <v>46138.0</v>
      </c>
      <c r="O32" s="191"/>
      <c r="P32" s="290" t="s">
        <v>743</v>
      </c>
      <c r="Q32" s="304"/>
      <c r="R32" s="108" t="s">
        <v>744</v>
      </c>
      <c r="S32" s="256" t="s">
        <v>659</v>
      </c>
      <c r="T32" s="293">
        <v>46124.0</v>
      </c>
      <c r="U32" s="114" t="str">
        <f>IF(V32="","No AIS",VLOOKUP(V32,'Voyage days'!$A$3:$B$1480,2,FALSE))</f>
        <v>USG</v>
      </c>
      <c r="V32" s="115" t="str">
        <f>IF(VLOOKUP(A32,'1) Kpler'!$E$2:$P$1000,8, FALSE)="","",VLOOKUP(A32,'1) Kpler'!$E$2:$P$1000,8, FALSE))</f>
        <v>Houston</v>
      </c>
      <c r="W32" s="116">
        <f>IF(VLOOKUP(A32,'1) Kpler'!$E$2:$P$1000,9,FALSE)="","",VLOOKUP(A32,'1) Kpler'!$E$2:$P$1000,9,FALSE))</f>
        <v>46136.70833</v>
      </c>
      <c r="X32" s="115" t="str">
        <f>VLOOKUP(A32,'1) Kpler'!$E$2:$I$1000,4,FALSE)</f>
        <v>ballast</v>
      </c>
      <c r="Y32" s="160" t="str">
        <f t="shared" si="1"/>
        <v/>
      </c>
      <c r="Z32" s="160" t="str">
        <f t="shared" si="2"/>
        <v>25-26 Apr</v>
      </c>
      <c r="AA32" s="160" t="str">
        <f t="shared" si="3"/>
        <v>25-26 Apr</v>
      </c>
      <c r="AB32" s="160" t="str">
        <f t="shared" si="4"/>
        <v/>
      </c>
      <c r="AC32" s="160" t="str">
        <f t="shared" si="5"/>
        <v>15-16 May</v>
      </c>
      <c r="AD32" s="160" t="str">
        <f t="shared" si="6"/>
        <v/>
      </c>
      <c r="AE32" s="161" t="str">
        <f t="shared" si="7"/>
        <v/>
      </c>
      <c r="AF32" s="162" t="str">
        <f t="shared" si="8"/>
        <v/>
      </c>
      <c r="AG32" s="120" t="str">
        <f t="shared" si="9"/>
        <v/>
      </c>
      <c r="AH32" s="121" t="str">
        <f>IFERROR($M32+VLOOKUP($L32,'Voyage days'!$F$38:$H$89,3,FALSE),"")</f>
        <v/>
      </c>
      <c r="AI32" s="121" t="str">
        <f>IFERROR(N32+VLOOKUP($L32,'Voyage days'!$F$38:$H$89,3,FALSE),"")</f>
        <v/>
      </c>
      <c r="AJ32" s="120" t="str">
        <f t="shared" si="10"/>
        <v>25-26 Apr</v>
      </c>
      <c r="AK32" s="121">
        <f>IFERROR($M32+VLOOKUP($L32,'Voyage days'!$F$94:$H$193,3,FALSE),"")</f>
        <v>46137</v>
      </c>
      <c r="AL32" s="121">
        <f>IFERROR($N32+VLOOKUP($L32,'Voyage days'!$F$94:$H$193,3,FALSE),"")</f>
        <v>46138</v>
      </c>
      <c r="AM32" s="120" t="str">
        <f t="shared" si="11"/>
        <v>25-26 Apr</v>
      </c>
      <c r="AN32" s="121">
        <f>IFERROR($M32+VLOOKUP($L32,'Voyage days'!$F$203:$H$256,3,FALSE),"")</f>
        <v>46137</v>
      </c>
      <c r="AO32" s="121">
        <f>IFERROR($N32+VLOOKUP($L32,'Voyage days'!$F$203:$H$256,3,FALSE),"")</f>
        <v>46138</v>
      </c>
      <c r="AP32" s="120" t="str">
        <f t="shared" si="12"/>
        <v/>
      </c>
      <c r="AQ32" s="121" t="str">
        <f>IFERROR($M32+VLOOKUP($L32,'Voyage days'!$F$294:$H$377,3,FALSE),"")</f>
        <v/>
      </c>
      <c r="AR32" s="121" t="str">
        <f>IFERROR($N32+VLOOKUP($L32,'Voyage days'!$F$294:$H$377,3,FALSE),"")</f>
        <v/>
      </c>
      <c r="AS32" s="120" t="str">
        <f t="shared" si="13"/>
        <v>15-16 May</v>
      </c>
      <c r="AT32" s="121">
        <f>IFERROR($M32+VLOOKUP($L32,'Voyage days'!$F$382:$H$446,3,FALSE),"")</f>
        <v>46157</v>
      </c>
      <c r="AU32" s="121">
        <f>IFERROR($N32+VLOOKUP($L32,'Voyage days'!$F$382:$H$446,3,FALSE),"")</f>
        <v>46158</v>
      </c>
      <c r="AV32" s="120" t="str">
        <f t="shared" si="14"/>
        <v/>
      </c>
      <c r="AW32" s="121" t="str">
        <f>IFERROR($M32+VLOOKUP($L32,'Voyage days'!$F$483:$H$538,3,FALSE),"")</f>
        <v/>
      </c>
      <c r="AX32" s="121" t="str">
        <f>IFERROR($N32+VLOOKUP($L32,'Voyage days'!$F$483:$H$538,3,FALSE),"")</f>
        <v/>
      </c>
      <c r="AY32" s="120" t="str">
        <f t="shared" si="15"/>
        <v/>
      </c>
      <c r="AZ32" s="121" t="str">
        <f>IFERROR($M32+VLOOKUP($L32,'Voyage days'!$F$540:$H$613,3,FALSE),"")</f>
        <v/>
      </c>
      <c r="BA32" s="121" t="str">
        <f>IFERROR($N32+VLOOKUP($L32,'Voyage days'!$F$540:$H$613,3,FALSE),"")</f>
        <v/>
      </c>
      <c r="BB32" s="120" t="str">
        <f t="shared" si="16"/>
        <v/>
      </c>
      <c r="BC32" s="121" t="str">
        <f>IFERROR($M32+VLOOKUP($L32,'Voyage days'!$F$448:$H$479,3,FALSE),"")</f>
        <v/>
      </c>
      <c r="BD32" s="121" t="str">
        <f>IFERROR($N32+VLOOKUP($L32,'Voyage days'!$F$448:$H$479,3,FALSE),"")</f>
        <v/>
      </c>
      <c r="BE32" s="120" t="str">
        <f t="shared" si="17"/>
        <v/>
      </c>
      <c r="BF32" s="122" t="str">
        <f>IFERROR($M32+VLOOKUP($L32,'Voyage days'!$F$620:$H$646,3,FALSE),"")</f>
        <v/>
      </c>
      <c r="BG32" s="122" t="str">
        <f>IFERROR($N32+VLOOKUP($L32,'Voyage days'!$F$620:$H$646,3,FALSE),"")</f>
        <v/>
      </c>
      <c r="BH32" s="120" t="str">
        <f t="shared" si="18"/>
        <v/>
      </c>
      <c r="BI32" s="123" t="str">
        <f>IFERROR($M32+VLOOKUP($L32,'Voyage days'!$F$702:$H$727,3,FALSE),"")</f>
        <v/>
      </c>
      <c r="BJ32" s="120" t="str">
        <f t="shared" si="19"/>
        <v/>
      </c>
      <c r="BK32" s="122" t="str">
        <f>IFERROR($M32+VLOOKUP($L32,'Voyage days'!$F$807:$H$878,3,FALSE),"")</f>
        <v/>
      </c>
      <c r="BL32" s="122" t="str">
        <f>IFERROR($N32+VLOOKUP($L32,'Voyage days'!$F$807:$H$878,3,FALSE),"")</f>
        <v/>
      </c>
      <c r="BM32" s="122" t="str">
        <f>IFERROR($N32+VLOOKUP($L32,'Voyage days'!$F$807:$K$878,6,FALSE),"")</f>
        <v/>
      </c>
      <c r="BN32" s="121" t="str">
        <f>if(L32="loads AG", IFERROR($M32+VLOOKUP($L32,'Voyage days'!$M$38:$O$38,3,FALSE),""),"")</f>
        <v/>
      </c>
      <c r="BO32" s="121">
        <f>if(L32="loads USG", IFERROR($M32+VLOOKUP($L32,'Voyage days'!$L$203:$N$203,3,FALSE),""),"")</f>
        <v>46169</v>
      </c>
    </row>
    <row r="33" ht="15.75" customHeight="1">
      <c r="A33" s="305" t="s">
        <v>502</v>
      </c>
      <c r="B33" s="165">
        <v>2016.0</v>
      </c>
      <c r="C33" s="306">
        <v>84000.0</v>
      </c>
      <c r="D33" s="307"/>
      <c r="E33" s="307"/>
      <c r="F33" s="308"/>
      <c r="G33" s="308"/>
      <c r="H33" s="308"/>
      <c r="I33" s="309" t="s">
        <v>727</v>
      </c>
      <c r="J33" s="170" t="str">
        <f t="shared" si="20"/>
        <v>NO AIS</v>
      </c>
      <c r="K33" s="171"/>
      <c r="L33" s="172" t="s">
        <v>745</v>
      </c>
      <c r="M33" s="283">
        <v>46125.0</v>
      </c>
      <c r="N33" s="283">
        <v>46126.0</v>
      </c>
      <c r="O33" s="310"/>
      <c r="P33" s="311" t="s">
        <v>746</v>
      </c>
      <c r="Q33" s="312"/>
      <c r="R33" s="311" t="s">
        <v>747</v>
      </c>
      <c r="S33" s="175" t="s">
        <v>659</v>
      </c>
      <c r="T33" s="286">
        <v>46124.0</v>
      </c>
      <c r="U33" s="177" t="str">
        <f>IF(V33="","No AIS",VLOOKUP(V33,'Voyage days'!$A$3:$B$1480,2,FALSE))</f>
        <v>No AIS</v>
      </c>
      <c r="V33" s="178" t="str">
        <f>IF(VLOOKUP(A33,'1) Kpler'!$E$2:$P$1000,8, FALSE)="","",VLOOKUP(A33,'1) Kpler'!$E$2:$P$1000,8, FALSE))</f>
        <v/>
      </c>
      <c r="W33" s="179" t="str">
        <f>IF(VLOOKUP(A33,'1) Kpler'!$E$2:$P$1000,9,FALSE)="","",VLOOKUP(A33,'1) Kpler'!$E$2:$P$1000,9,FALSE))</f>
        <v/>
      </c>
      <c r="X33" s="178" t="str">
        <f>VLOOKUP(A33,'1) Kpler'!$E$2:$I$1000,4,FALSE)</f>
        <v>ballast</v>
      </c>
      <c r="Y33" s="180" t="str">
        <f t="shared" si="1"/>
        <v>22-23 Apr</v>
      </c>
      <c r="Z33" s="180" t="str">
        <f t="shared" si="2"/>
        <v>01-02 May</v>
      </c>
      <c r="AA33" s="180" t="str">
        <f t="shared" si="3"/>
        <v>04-05 May</v>
      </c>
      <c r="AB33" s="180" t="str">
        <f t="shared" si="4"/>
        <v>28-29 Apr</v>
      </c>
      <c r="AC33" s="180" t="str">
        <f t="shared" si="5"/>
        <v>21-22 Apr</v>
      </c>
      <c r="AD33" s="180" t="str">
        <f t="shared" si="6"/>
        <v/>
      </c>
      <c r="AE33" s="181" t="str">
        <f t="shared" si="7"/>
        <v/>
      </c>
      <c r="AF33" s="182" t="str">
        <f t="shared" si="8"/>
        <v>14-15 Apr</v>
      </c>
      <c r="AG33" s="120" t="str">
        <f t="shared" si="9"/>
        <v>22-23 Apr</v>
      </c>
      <c r="AH33" s="121">
        <f>IFERROR($M33+VLOOKUP($L33,'Voyage days'!$F$38:$H$89,3,FALSE),"")</f>
        <v>46134</v>
      </c>
      <c r="AI33" s="121">
        <f>IFERROR(N33+VLOOKUP($L33,'Voyage days'!$F$38:$H$89,3,FALSE),"")</f>
        <v>46135</v>
      </c>
      <c r="AJ33" s="120" t="str">
        <f t="shared" si="10"/>
        <v>01-02 May</v>
      </c>
      <c r="AK33" s="121">
        <f>IFERROR($M33+VLOOKUP($L33,'Voyage days'!$F$94:$H$193,3,FALSE),"")</f>
        <v>46143</v>
      </c>
      <c r="AL33" s="121">
        <f>IFERROR($N33+VLOOKUP($L33,'Voyage days'!$F$94:$H$193,3,FALSE),"")</f>
        <v>46144</v>
      </c>
      <c r="AM33" s="120" t="str">
        <f t="shared" si="11"/>
        <v>04-05 May</v>
      </c>
      <c r="AN33" s="121">
        <f>IFERROR($M33+VLOOKUP($L33,'Voyage days'!$F$203:$H$256,3,FALSE),"")</f>
        <v>46146</v>
      </c>
      <c r="AO33" s="121">
        <f>IFERROR($N33+VLOOKUP($L33,'Voyage days'!$F$203:$H$256,3,FALSE),"")</f>
        <v>46147</v>
      </c>
      <c r="AP33" s="120" t="str">
        <f t="shared" si="12"/>
        <v>28-29 Apr</v>
      </c>
      <c r="AQ33" s="121">
        <f>IFERROR($M33+VLOOKUP($L33,'Voyage days'!$F$294:$H$377,3,FALSE),"")</f>
        <v>46140</v>
      </c>
      <c r="AR33" s="121">
        <f>IFERROR($N33+VLOOKUP($L33,'Voyage days'!$F$294:$H$377,3,FALSE),"")</f>
        <v>46141</v>
      </c>
      <c r="AS33" s="120" t="str">
        <f t="shared" si="13"/>
        <v>21-22 Apr</v>
      </c>
      <c r="AT33" s="121">
        <f>IFERROR($M33+VLOOKUP($L33,'Voyage days'!$F$382:$H$446,3,FALSE),"")</f>
        <v>46133</v>
      </c>
      <c r="AU33" s="121">
        <f>IFERROR($N33+VLOOKUP($L33,'Voyage days'!$F$382:$H$446,3,FALSE),"")</f>
        <v>46134</v>
      </c>
      <c r="AV33" s="120" t="str">
        <f t="shared" si="14"/>
        <v/>
      </c>
      <c r="AW33" s="121" t="str">
        <f>IFERROR($M33+VLOOKUP($L33,'Voyage days'!$F$483:$H$538,3,FALSE),"")</f>
        <v/>
      </c>
      <c r="AX33" s="121" t="str">
        <f>IFERROR($N33+VLOOKUP($L33,'Voyage days'!$F$483:$H$538,3,FALSE),"")</f>
        <v/>
      </c>
      <c r="AY33" s="120" t="str">
        <f t="shared" si="15"/>
        <v/>
      </c>
      <c r="AZ33" s="121" t="str">
        <f>IFERROR($M33+VLOOKUP($L33,'Voyage days'!$F$540:$H$613,3,FALSE),"")</f>
        <v/>
      </c>
      <c r="BA33" s="121" t="str">
        <f>IFERROR($N33+VLOOKUP($L33,'Voyage days'!$F$540:$H$613,3,FALSE),"")</f>
        <v/>
      </c>
      <c r="BB33" s="120" t="str">
        <f t="shared" si="16"/>
        <v/>
      </c>
      <c r="BC33" s="121" t="str">
        <f>IFERROR($M33+VLOOKUP($L33,'Voyage days'!$F$448:$H$479,3,FALSE),"")</f>
        <v/>
      </c>
      <c r="BD33" s="121" t="str">
        <f>IFERROR($N33+VLOOKUP($L33,'Voyage days'!$F$448:$H$479,3,FALSE),"")</f>
        <v/>
      </c>
      <c r="BE33" s="120" t="str">
        <f t="shared" si="17"/>
        <v/>
      </c>
      <c r="BF33" s="122" t="str">
        <f>IFERROR($M33+VLOOKUP($L33,'Voyage days'!$F$620:$H$646,3,FALSE),"")</f>
        <v/>
      </c>
      <c r="BG33" s="122" t="str">
        <f>IFERROR($N33+VLOOKUP($L33,'Voyage days'!$F$620:$H$646,3,FALSE),"")</f>
        <v/>
      </c>
      <c r="BH33" s="120" t="str">
        <f t="shared" si="18"/>
        <v/>
      </c>
      <c r="BI33" s="123" t="str">
        <f>IFERROR($M33+VLOOKUP($L33,'Voyage days'!$F$702:$H$727,3,FALSE),"")</f>
        <v/>
      </c>
      <c r="BJ33" s="120" t="str">
        <f t="shared" si="19"/>
        <v>14-15 Apr</v>
      </c>
      <c r="BK33" s="122">
        <f>IFERROR($M33+VLOOKUP($L33,'Voyage days'!$F$807:$H$878,3,FALSE),"")</f>
        <v>46126.5</v>
      </c>
      <c r="BL33" s="122">
        <f>IFERROR($N33+VLOOKUP($L33,'Voyage days'!$F$807:$H$878,3,FALSE),"")</f>
        <v>46127.5</v>
      </c>
      <c r="BM33" s="122">
        <f>IFERROR($N33+VLOOKUP($L33,'Voyage days'!$F$807:$K$878,6,FALSE),"")</f>
        <v>46126</v>
      </c>
      <c r="BN33" s="121" t="str">
        <f>if(L33="loads AG", IFERROR($M33+VLOOKUP($L33,'Voyage days'!$M$38:$O$38,3,FALSE),""),"")</f>
        <v/>
      </c>
      <c r="BO33" s="121" t="str">
        <f>if(L33="loads USG", IFERROR($M33+VLOOKUP($L33,'Voyage days'!$L$203:$N$203,3,FALSE),""),"")</f>
        <v/>
      </c>
      <c r="BP33" s="313"/>
    </row>
    <row r="34">
      <c r="A34" s="147" t="s">
        <v>51</v>
      </c>
      <c r="B34" s="314">
        <v>41094.0</v>
      </c>
      <c r="C34" s="102">
        <v>83000.0</v>
      </c>
      <c r="D34" s="149"/>
      <c r="E34" s="149"/>
      <c r="F34" s="150"/>
      <c r="G34" s="150"/>
      <c r="H34" s="150"/>
      <c r="I34" s="315" t="s">
        <v>748</v>
      </c>
      <c r="J34" s="151" t="str">
        <f t="shared" si="20"/>
        <v/>
      </c>
      <c r="K34" s="152"/>
      <c r="L34" s="316" t="s">
        <v>680</v>
      </c>
      <c r="M34" s="276">
        <v>46154.0</v>
      </c>
      <c r="N34" s="276">
        <v>46155.0</v>
      </c>
      <c r="O34" s="277"/>
      <c r="P34" s="300" t="s">
        <v>749</v>
      </c>
      <c r="Q34" s="317"/>
      <c r="R34" s="317" t="s">
        <v>750</v>
      </c>
      <c r="S34" s="292" t="s">
        <v>659</v>
      </c>
      <c r="T34" s="318">
        <v>46124.0</v>
      </c>
      <c r="U34" s="114" t="str">
        <f>IF(V34="","No AIS",VLOOKUP(V34,'Voyage days'!$A$3:$B$1480,2,FALSE))</f>
        <v>USG</v>
      </c>
      <c r="V34" s="114" t="str">
        <f>IF(VLOOKUP(A34,'1) Kpler'!$E$2:$P$1000,8, FALSE)="","",VLOOKUP(A34,'1) Kpler'!$E$2:$P$1000,8, FALSE))</f>
        <v>Freeport Texas</v>
      </c>
      <c r="W34" s="159">
        <f>IF(VLOOKUP(A34,'1) Kpler'!$E$2:$P$1000,9,FALSE)="","",VLOOKUP(A34,'1) Kpler'!$E$2:$P$1000,9,FALSE))</f>
        <v>46154.64583</v>
      </c>
      <c r="X34" s="114" t="str">
        <f>VLOOKUP(A34,'1) Kpler'!$E$2:$I$1000,4,FALSE)</f>
        <v>ballast</v>
      </c>
      <c r="Y34" s="272" t="str">
        <f t="shared" si="1"/>
        <v/>
      </c>
      <c r="Z34" s="272" t="str">
        <f t="shared" si="2"/>
        <v>12-13 May</v>
      </c>
      <c r="AA34" s="272" t="str">
        <f t="shared" si="3"/>
        <v>12-13 May</v>
      </c>
      <c r="AB34" s="272" t="str">
        <f t="shared" si="4"/>
        <v/>
      </c>
      <c r="AC34" s="272" t="str">
        <f t="shared" si="5"/>
        <v>01-02 Jun</v>
      </c>
      <c r="AD34" s="272" t="str">
        <f t="shared" si="6"/>
        <v/>
      </c>
      <c r="AE34" s="273" t="str">
        <f t="shared" si="7"/>
        <v/>
      </c>
      <c r="AF34" s="162" t="str">
        <f t="shared" si="8"/>
        <v/>
      </c>
      <c r="AG34" s="163" t="str">
        <f t="shared" si="9"/>
        <v/>
      </c>
      <c r="AH34" s="122" t="str">
        <f>IFERROR($M34+VLOOKUP($L34,'Voyage days'!$F$38:$H$89,3,FALSE),"")</f>
        <v/>
      </c>
      <c r="AI34" s="122" t="str">
        <f>IFERROR(N34+VLOOKUP($L34,'Voyage days'!$F$38:$H$89,3,FALSE),"")</f>
        <v/>
      </c>
      <c r="AJ34" s="163" t="str">
        <f t="shared" si="10"/>
        <v>12-13 May</v>
      </c>
      <c r="AK34" s="122">
        <f>IFERROR($M34+VLOOKUP($L34,'Voyage days'!$F$94:$H$193,3,FALSE),"")</f>
        <v>46154</v>
      </c>
      <c r="AL34" s="122">
        <f>IFERROR($N34+VLOOKUP($L34,'Voyage days'!$F$94:$H$193,3,FALSE),"")</f>
        <v>46155</v>
      </c>
      <c r="AM34" s="163" t="str">
        <f t="shared" si="11"/>
        <v>12-13 May</v>
      </c>
      <c r="AN34" s="122">
        <f>IFERROR($M34+VLOOKUP($L34,'Voyage days'!$F$203:$H$256,3,FALSE),"")</f>
        <v>46154</v>
      </c>
      <c r="AO34" s="122">
        <f>IFERROR($N34+VLOOKUP($L34,'Voyage days'!$F$203:$H$256,3,FALSE),"")</f>
        <v>46155</v>
      </c>
      <c r="AP34" s="163" t="str">
        <f t="shared" si="12"/>
        <v/>
      </c>
      <c r="AQ34" s="122" t="str">
        <f>IFERROR($M34+VLOOKUP($L34,'Voyage days'!$F$294:$H$377,3,FALSE),"")</f>
        <v/>
      </c>
      <c r="AR34" s="122" t="str">
        <f>IFERROR($N34+VLOOKUP($L34,'Voyage days'!$F$294:$H$377,3,FALSE),"")</f>
        <v/>
      </c>
      <c r="AS34" s="163" t="str">
        <f t="shared" si="13"/>
        <v>01-02 Jun</v>
      </c>
      <c r="AT34" s="122">
        <f>IFERROR($M34+VLOOKUP($L34,'Voyage days'!$F$382:$H$446,3,FALSE),"")</f>
        <v>46174</v>
      </c>
      <c r="AU34" s="122">
        <f>IFERROR($N34+VLOOKUP($L34,'Voyage days'!$F$382:$H$446,3,FALSE),"")</f>
        <v>46175</v>
      </c>
      <c r="AV34" s="163" t="str">
        <f t="shared" si="14"/>
        <v/>
      </c>
      <c r="AW34" s="122" t="str">
        <f>IFERROR($M34+VLOOKUP($L34,'Voyage days'!$F$483:$H$538,3,FALSE),"")</f>
        <v/>
      </c>
      <c r="AX34" s="122" t="str">
        <f>IFERROR($N34+VLOOKUP($L34,'Voyage days'!$F$483:$H$538,3,FALSE),"")</f>
        <v/>
      </c>
      <c r="AY34" s="163" t="str">
        <f t="shared" si="15"/>
        <v/>
      </c>
      <c r="AZ34" s="122" t="str">
        <f>IFERROR($M34+VLOOKUP($L34,'Voyage days'!$F$540:$H$613,3,FALSE),"")</f>
        <v/>
      </c>
      <c r="BA34" s="122" t="str">
        <f>IFERROR($N34+VLOOKUP($L34,'Voyage days'!$F$540:$H$613,3,FALSE),"")</f>
        <v/>
      </c>
      <c r="BB34" s="163" t="str">
        <f t="shared" si="16"/>
        <v/>
      </c>
      <c r="BC34" s="122" t="str">
        <f>IFERROR($M34+VLOOKUP($L34,'Voyage days'!$F$448:$H$479,3,FALSE),"")</f>
        <v/>
      </c>
      <c r="BD34" s="122" t="str">
        <f>IFERROR($N34+VLOOKUP($L34,'Voyage days'!$F$448:$H$479,3,FALSE),"")</f>
        <v/>
      </c>
      <c r="BE34" s="163" t="str">
        <f t="shared" si="17"/>
        <v/>
      </c>
      <c r="BF34" s="122" t="str">
        <f>IFERROR($M34+VLOOKUP($L34,'Voyage days'!$F$620:$H$646,3,FALSE),"")</f>
        <v/>
      </c>
      <c r="BG34" s="122" t="str">
        <f>IFERROR($N34+VLOOKUP($L34,'Voyage days'!$F$620:$H$646,3,FALSE),"")</f>
        <v/>
      </c>
      <c r="BH34" s="163" t="str">
        <f t="shared" si="18"/>
        <v/>
      </c>
      <c r="BI34" s="123" t="str">
        <f>IFERROR($M34+VLOOKUP($L34,'Voyage days'!$F$702:$H$727,3,FALSE),"")</f>
        <v/>
      </c>
      <c r="BJ34" s="163" t="str">
        <f t="shared" si="19"/>
        <v/>
      </c>
      <c r="BK34" s="122" t="str">
        <f>IFERROR($M34+VLOOKUP($L34,'Voyage days'!$F$807:$H$878,3,FALSE),"")</f>
        <v/>
      </c>
      <c r="BL34" s="122" t="str">
        <f>IFERROR($N34+VLOOKUP($L34,'Voyage days'!$F$807:$H$878,3,FALSE),"")</f>
        <v/>
      </c>
      <c r="BM34" s="122" t="str">
        <f>IFERROR($N34+VLOOKUP($L34,'Voyage days'!$F$807:$K$878,6,FALSE),"")</f>
        <v/>
      </c>
      <c r="BN34" s="122" t="str">
        <f>if(L34="loads AG", IFERROR($M34+VLOOKUP($L34,'Voyage days'!$M$38:$O$38,3,FALSE),""),"")</f>
        <v/>
      </c>
      <c r="BO34" s="122">
        <f>if(L34="loads USG", IFERROR($M34+VLOOKUP($L34,'Voyage days'!$L$203:$N$203,3,FALSE),""),"")</f>
        <v>46186</v>
      </c>
    </row>
    <row r="35">
      <c r="A35" s="164" t="s">
        <v>751</v>
      </c>
      <c r="B35" s="222">
        <v>42551.0</v>
      </c>
      <c r="C35" s="281">
        <v>84143.0</v>
      </c>
      <c r="D35" s="223"/>
      <c r="E35" s="223"/>
      <c r="F35" s="168"/>
      <c r="G35" s="168"/>
      <c r="H35" s="168" t="s">
        <v>666</v>
      </c>
      <c r="I35" s="224" t="s">
        <v>748</v>
      </c>
      <c r="J35" s="170" t="str">
        <f t="shared" si="20"/>
        <v>NO AIS</v>
      </c>
      <c r="K35" s="171"/>
      <c r="L35" s="319" t="s">
        <v>663</v>
      </c>
      <c r="M35" s="283">
        <v>46132.0</v>
      </c>
      <c r="N35" s="283">
        <v>46133.0</v>
      </c>
      <c r="O35" s="226"/>
      <c r="P35" s="320" t="s">
        <v>752</v>
      </c>
      <c r="Q35" s="320"/>
      <c r="R35" s="320" t="s">
        <v>753</v>
      </c>
      <c r="S35" s="175" t="s">
        <v>659</v>
      </c>
      <c r="T35" s="286">
        <v>46124.0</v>
      </c>
      <c r="U35" s="177" t="str">
        <f>IF(V35="","No AIS",VLOOKUP(V35,'Voyage days'!$A$3:$B$1480,2,FALSE))</f>
        <v>No AIS</v>
      </c>
      <c r="V35" s="178" t="str">
        <f>IF(VLOOKUP(A35,'1) Kpler'!$E$2:$P$1000,8, FALSE)="","",VLOOKUP(A35,'1) Kpler'!$E$2:$P$1000,8, FALSE))</f>
        <v/>
      </c>
      <c r="W35" s="179" t="str">
        <f>IF(VLOOKUP(A35,'1) Kpler'!$E$2:$P$1000,9,FALSE)="","",VLOOKUP(A35,'1) Kpler'!$E$2:$P$1000,9,FALSE))</f>
        <v/>
      </c>
      <c r="X35" s="178" t="str">
        <f>VLOOKUP(A35,'1) Kpler'!$E$2:$I$1000,4,FALSE)</f>
        <v>ballast</v>
      </c>
      <c r="Y35" s="120" t="str">
        <f t="shared" si="1"/>
        <v>07-08 May</v>
      </c>
      <c r="Z35" s="120" t="str">
        <f t="shared" si="2"/>
        <v>23-24 May</v>
      </c>
      <c r="AA35" s="120" t="str">
        <f t="shared" si="3"/>
        <v>03-04 Jun</v>
      </c>
      <c r="AB35" s="120" t="str">
        <f t="shared" si="4"/>
        <v>18-19 May</v>
      </c>
      <c r="AC35" s="120" t="str">
        <f t="shared" si="5"/>
        <v>25-26 May</v>
      </c>
      <c r="AD35" s="120" t="str">
        <f t="shared" si="6"/>
        <v>26-27 Apr</v>
      </c>
      <c r="AE35" s="228" t="str">
        <f t="shared" si="7"/>
        <v>27-28 Apr</v>
      </c>
      <c r="AF35" s="229" t="str">
        <f t="shared" si="8"/>
        <v>03-04 Jun</v>
      </c>
      <c r="AG35" s="120" t="str">
        <f t="shared" si="9"/>
        <v>07-08 May</v>
      </c>
      <c r="AH35" s="121">
        <f>IFERROR($M35+VLOOKUP($L35,'Voyage days'!$F$38:$H$89,3,FALSE),"")</f>
        <v>46149</v>
      </c>
      <c r="AI35" s="121">
        <f>IFERROR(N35+VLOOKUP($L35,'Voyage days'!$F$38:$H$89,3,FALSE),"")</f>
        <v>46150</v>
      </c>
      <c r="AJ35" s="120" t="str">
        <f t="shared" si="10"/>
        <v>23-24 May</v>
      </c>
      <c r="AK35" s="121">
        <f>IFERROR($M35+VLOOKUP($L35,'Voyage days'!$F$94:$H$193,3,FALSE),"")</f>
        <v>46165</v>
      </c>
      <c r="AL35" s="121">
        <f>IFERROR($N35+VLOOKUP($L35,'Voyage days'!$F$94:$H$193,3,FALSE),"")</f>
        <v>46166</v>
      </c>
      <c r="AM35" s="120" t="str">
        <f t="shared" si="11"/>
        <v>03-04 Jun</v>
      </c>
      <c r="AN35" s="121">
        <f>IFERROR($M35+VLOOKUP($L35,'Voyage days'!$F$203:$H$256,3,FALSE),"")</f>
        <v>46176</v>
      </c>
      <c r="AO35" s="121">
        <f>IFERROR($N35+VLOOKUP($L35,'Voyage days'!$F$203:$H$256,3,FALSE),"")</f>
        <v>46177</v>
      </c>
      <c r="AP35" s="120" t="str">
        <f t="shared" si="12"/>
        <v>18-19 May</v>
      </c>
      <c r="AQ35" s="121">
        <f>IFERROR($M35+VLOOKUP($L35,'Voyage days'!$F$294:$H$377,3,FALSE),"")</f>
        <v>46160</v>
      </c>
      <c r="AR35" s="121">
        <f>IFERROR($N35+VLOOKUP($L35,'Voyage days'!$F$294:$H$377,3,FALSE),"")</f>
        <v>46161</v>
      </c>
      <c r="AS35" s="120" t="str">
        <f t="shared" si="13"/>
        <v>25-26 May</v>
      </c>
      <c r="AT35" s="121">
        <f>IFERROR($M35+VLOOKUP($L35,'Voyage days'!$F$382:$H$446,3,FALSE),"")</f>
        <v>46167</v>
      </c>
      <c r="AU35" s="121">
        <f>IFERROR($N35+VLOOKUP($L35,'Voyage days'!$F$382:$H$446,3,FALSE),"")</f>
        <v>46168</v>
      </c>
      <c r="AV35" s="120" t="str">
        <f t="shared" si="14"/>
        <v>04-05 May</v>
      </c>
      <c r="AW35" s="121">
        <f>IFERROR($M35+VLOOKUP($L35,'Voyage days'!$F$483:$H$538,3,FALSE),"")</f>
        <v>46146</v>
      </c>
      <c r="AX35" s="121">
        <f>IFERROR($N35+VLOOKUP($L35,'Voyage days'!$F$483:$H$538,3,FALSE),"")</f>
        <v>46147</v>
      </c>
      <c r="AY35" s="120" t="str">
        <f t="shared" si="15"/>
        <v>27-28 Apr</v>
      </c>
      <c r="AZ35" s="121">
        <f>IFERROR($M35+VLOOKUP($L35,'Voyage days'!$F$540:$H$613,3,FALSE),"")</f>
        <v>46139.25</v>
      </c>
      <c r="BA35" s="121">
        <f>IFERROR($N35+VLOOKUP($L35,'Voyage days'!$F$540:$H$613,3,FALSE),"")</f>
        <v>46140.25</v>
      </c>
      <c r="BB35" s="120" t="str">
        <f t="shared" si="16"/>
        <v>26-27 Apr</v>
      </c>
      <c r="BC35" s="121">
        <f>IFERROR($M35+VLOOKUP($L35,'Voyage days'!$F$448:$H$479,3,FALSE),"")</f>
        <v>46138</v>
      </c>
      <c r="BD35" s="121">
        <f>IFERROR($N35+VLOOKUP($L35,'Voyage days'!$F$448:$H$479,3,FALSE),"")</f>
        <v>46139</v>
      </c>
      <c r="BE35" s="120" t="str">
        <f t="shared" si="17"/>
        <v>03-04 May</v>
      </c>
      <c r="BF35" s="122">
        <f>IFERROR($M35+VLOOKUP($L35,'Voyage days'!$F$620:$H$646,3,FALSE),"")</f>
        <v>46145</v>
      </c>
      <c r="BG35" s="122">
        <f>IFERROR($N35+VLOOKUP($L35,'Voyage days'!$F$620:$H$646,3,FALSE),"")</f>
        <v>46146</v>
      </c>
      <c r="BH35" s="120" t="str">
        <f t="shared" si="18"/>
        <v>27-04 Jun</v>
      </c>
      <c r="BI35" s="123">
        <f>IFERROR($M35+VLOOKUP($L35,'Voyage days'!$F$702:$H$727,3,FALSE),"")</f>
        <v>46139.25</v>
      </c>
      <c r="BJ35" s="120" t="str">
        <f t="shared" si="19"/>
        <v>03-04 Jun</v>
      </c>
      <c r="BK35" s="122">
        <f>IFERROR($M35+VLOOKUP($L35,'Voyage days'!$F$807:$H$878,3,FALSE),"")</f>
        <v>46176</v>
      </c>
      <c r="BL35" s="122">
        <f>IFERROR($N35+VLOOKUP($L35,'Voyage days'!$F$807:$H$878,3,FALSE),"")</f>
        <v>46177</v>
      </c>
      <c r="BM35" s="122">
        <f>IFERROR($N35+VLOOKUP($L35,'Voyage days'!$F$807:$K$878,6,FALSE),"")</f>
        <v>46151</v>
      </c>
      <c r="BN35" s="121" t="str">
        <f>if(L35="loads AG", IFERROR($M35+VLOOKUP($L35,'Voyage days'!$M$38:$O$38,3,FALSE),""),"")</f>
        <v/>
      </c>
      <c r="BO35" s="121" t="str">
        <f>if(L35="loads USG", IFERROR($M35+VLOOKUP($L35,'Voyage days'!$L$203:$N$203,3,FALSE),""),"")</f>
        <v/>
      </c>
      <c r="BP35" s="313"/>
    </row>
    <row r="36" ht="15.75" customHeight="1">
      <c r="A36" s="147" t="s">
        <v>329</v>
      </c>
      <c r="B36" s="148">
        <v>2017.0</v>
      </c>
      <c r="C36" s="102">
        <v>84000.0</v>
      </c>
      <c r="D36" s="149"/>
      <c r="E36" s="149"/>
      <c r="F36" s="150"/>
      <c r="G36" s="150"/>
      <c r="H36" s="150"/>
      <c r="I36" s="321" t="s">
        <v>754</v>
      </c>
      <c r="J36" s="151" t="str">
        <f t="shared" si="20"/>
        <v>NO AIS</v>
      </c>
      <c r="K36" s="152"/>
      <c r="L36" s="153" t="s">
        <v>755</v>
      </c>
      <c r="M36" s="276">
        <v>46132.0</v>
      </c>
      <c r="N36" s="276">
        <v>46133.0</v>
      </c>
      <c r="O36" s="239"/>
      <c r="P36" s="235" t="s">
        <v>756</v>
      </c>
      <c r="Q36" s="322"/>
      <c r="R36" s="317" t="s">
        <v>757</v>
      </c>
      <c r="S36" s="323" t="s">
        <v>659</v>
      </c>
      <c r="T36" s="293">
        <v>46124.0</v>
      </c>
      <c r="U36" s="114" t="str">
        <f>IF(V36="","No AIS",VLOOKUP(V36,'Voyage days'!$A$3:$B$1480,2,FALSE))</f>
        <v>No AIS</v>
      </c>
      <c r="V36" s="114" t="str">
        <f>IF(VLOOKUP(A36,'1) Kpler'!$E$2:$P$1000,8, FALSE)="","",VLOOKUP(A36,'1) Kpler'!$E$2:$P$1000,8, FALSE))</f>
        <v/>
      </c>
      <c r="W36" s="159" t="str">
        <f>IF(VLOOKUP(A36,'1) Kpler'!$E$2:$P$1000,9,FALSE)="","",VLOOKUP(A36,'1) Kpler'!$E$2:$P$1000,9,FALSE))</f>
        <v/>
      </c>
      <c r="X36" s="114" t="str">
        <f>VLOOKUP(A36,'1) Kpler'!$E$2:$I$1000,4,FALSE)</f>
        <v>ballast</v>
      </c>
      <c r="Y36" s="272" t="str">
        <f t="shared" si="1"/>
        <v>01-02 May</v>
      </c>
      <c r="Z36" s="272" t="str">
        <f t="shared" si="2"/>
        <v>29-30 May</v>
      </c>
      <c r="AA36" s="272" t="str">
        <f t="shared" si="3"/>
        <v>27-28 May</v>
      </c>
      <c r="AB36" s="272" t="str">
        <f t="shared" si="4"/>
        <v>10-11 May</v>
      </c>
      <c r="AC36" s="272" t="str">
        <f t="shared" si="5"/>
        <v>19-20 May</v>
      </c>
      <c r="AD36" s="272" t="str">
        <f t="shared" si="6"/>
        <v>23-24 Apr</v>
      </c>
      <c r="AE36" s="273" t="str">
        <f t="shared" si="7"/>
        <v>24-25 Apr</v>
      </c>
      <c r="AF36" s="162" t="str">
        <f t="shared" si="8"/>
        <v>27-28 May</v>
      </c>
      <c r="AG36" s="163" t="str">
        <f t="shared" si="9"/>
        <v>01-02 May</v>
      </c>
      <c r="AH36" s="122">
        <f>IFERROR($M36+VLOOKUP($L36,'Voyage days'!$F$38:$H$89,3,FALSE),"")</f>
        <v>46143</v>
      </c>
      <c r="AI36" s="122">
        <f>IFERROR(N36+VLOOKUP($L36,'Voyage days'!$F$38:$H$89,3,FALSE),"")</f>
        <v>46144</v>
      </c>
      <c r="AJ36" s="163" t="str">
        <f t="shared" si="10"/>
        <v>29-30 May</v>
      </c>
      <c r="AK36" s="122">
        <f>IFERROR($M36+VLOOKUP($L36,'Voyage days'!$F$94:$H$193,3,FALSE),"")</f>
        <v>46171</v>
      </c>
      <c r="AL36" s="122">
        <f>IFERROR($N36+VLOOKUP($L36,'Voyage days'!$F$94:$H$193,3,FALSE),"")</f>
        <v>46172</v>
      </c>
      <c r="AM36" s="163" t="str">
        <f t="shared" si="11"/>
        <v>27-28 May</v>
      </c>
      <c r="AN36" s="122">
        <f>IFERROR($M36+VLOOKUP($L36,'Voyage days'!$F$203:$H$256,3,FALSE),"")</f>
        <v>46169</v>
      </c>
      <c r="AO36" s="122">
        <f>IFERROR($N36+VLOOKUP($L36,'Voyage days'!$F$203:$H$256,3,FALSE),"")</f>
        <v>46170</v>
      </c>
      <c r="AP36" s="163" t="str">
        <f t="shared" si="12"/>
        <v>10-11 May</v>
      </c>
      <c r="AQ36" s="122">
        <f>IFERROR($M36+VLOOKUP($L36,'Voyage days'!$F$294:$H$377,3,FALSE),"")</f>
        <v>46152</v>
      </c>
      <c r="AR36" s="122">
        <f>IFERROR($N36+VLOOKUP($L36,'Voyage days'!$F$294:$H$377,3,FALSE),"")</f>
        <v>46153</v>
      </c>
      <c r="AS36" s="163" t="str">
        <f t="shared" si="13"/>
        <v>19-20 May</v>
      </c>
      <c r="AT36" s="122">
        <f>IFERROR($M36+VLOOKUP($L36,'Voyage days'!$F$382:$H$446,3,FALSE),"")</f>
        <v>46161</v>
      </c>
      <c r="AU36" s="122">
        <f>IFERROR($N36+VLOOKUP($L36,'Voyage days'!$F$382:$H$446,3,FALSE),"")</f>
        <v>46162</v>
      </c>
      <c r="AV36" s="163" t="str">
        <f t="shared" si="14"/>
        <v>29-30 Apr</v>
      </c>
      <c r="AW36" s="122">
        <f>IFERROR($M36+VLOOKUP($L36,'Voyage days'!$F$483:$H$538,3,FALSE),"")</f>
        <v>46141</v>
      </c>
      <c r="AX36" s="122">
        <f>IFERROR($N36+VLOOKUP($L36,'Voyage days'!$F$483:$H$538,3,FALSE),"")</f>
        <v>46142</v>
      </c>
      <c r="AY36" s="163" t="str">
        <f t="shared" si="15"/>
        <v>24-25 Apr</v>
      </c>
      <c r="AZ36" s="122">
        <f>IFERROR($M36+VLOOKUP($L36,'Voyage days'!$F$540:$H$613,3,FALSE),"")</f>
        <v>46136</v>
      </c>
      <c r="BA36" s="122">
        <f>IFERROR($N36+VLOOKUP($L36,'Voyage days'!$F$540:$H$613,3,FALSE),"")</f>
        <v>46137</v>
      </c>
      <c r="BB36" s="163" t="str">
        <f t="shared" si="16"/>
        <v>23-24 Apr</v>
      </c>
      <c r="BC36" s="122">
        <f>IFERROR($M36+VLOOKUP($L36,'Voyage days'!$F$448:$H$479,3,FALSE),"")</f>
        <v>46135</v>
      </c>
      <c r="BD36" s="122">
        <f>IFERROR($N36+VLOOKUP($L36,'Voyage days'!$F$448:$H$479,3,FALSE),"")</f>
        <v>46136</v>
      </c>
      <c r="BE36" s="163" t="str">
        <f t="shared" si="17"/>
        <v/>
      </c>
      <c r="BF36" s="122" t="str">
        <f>IFERROR($M36+VLOOKUP($L36,'Voyage days'!$F$620:$H$646,3,FALSE),"")</f>
        <v/>
      </c>
      <c r="BG36" s="122" t="str">
        <f>IFERROR($N36+VLOOKUP($L36,'Voyage days'!$F$620:$H$646,3,FALSE),"")</f>
        <v/>
      </c>
      <c r="BH36" s="163" t="str">
        <f t="shared" si="18"/>
        <v>28-28 May</v>
      </c>
      <c r="BI36" s="123">
        <f>IFERROR($M36+VLOOKUP($L36,'Voyage days'!$F$702:$H$727,3,FALSE),"")</f>
        <v>46140</v>
      </c>
      <c r="BJ36" s="163" t="str">
        <f t="shared" si="19"/>
        <v>27-28 May</v>
      </c>
      <c r="BK36" s="122">
        <f>IFERROR($M36+VLOOKUP($L36,'Voyage days'!$F$807:$H$878,3,FALSE),"")</f>
        <v>46169</v>
      </c>
      <c r="BL36" s="122">
        <f>IFERROR($N36+VLOOKUP($L36,'Voyage days'!$F$807:$H$878,3,FALSE),"")</f>
        <v>46170</v>
      </c>
      <c r="BM36" s="122">
        <f>IFERROR($N36+VLOOKUP($L36,'Voyage days'!$F$807:$K$878,6,FALSE),"")</f>
        <v>46146</v>
      </c>
      <c r="BN36" s="122" t="str">
        <f>if(L36="loads AG", IFERROR($M36+VLOOKUP($L36,'Voyage days'!$M$38:$O$38,3,FALSE),""),"")</f>
        <v/>
      </c>
      <c r="BO36" s="122" t="str">
        <f>if(L36="loads USG", IFERROR($M36+VLOOKUP($L36,'Voyage days'!$L$203:$N$203,3,FALSE),""),"")</f>
        <v/>
      </c>
    </row>
    <row r="37" ht="15.75" customHeight="1">
      <c r="A37" s="164" t="s">
        <v>554</v>
      </c>
      <c r="B37" s="280">
        <v>2013.0</v>
      </c>
      <c r="C37" s="166">
        <v>82000.0</v>
      </c>
      <c r="D37" s="175"/>
      <c r="E37" s="175"/>
      <c r="F37" s="168"/>
      <c r="G37" s="168"/>
      <c r="H37" s="168" t="s">
        <v>689</v>
      </c>
      <c r="I37" s="324" t="s">
        <v>754</v>
      </c>
      <c r="J37" s="170" t="str">
        <f t="shared" si="20"/>
        <v/>
      </c>
      <c r="K37" s="325"/>
      <c r="L37" s="285" t="s">
        <v>758</v>
      </c>
      <c r="M37" s="283">
        <v>46134.0</v>
      </c>
      <c r="N37" s="173">
        <v>46137.0</v>
      </c>
      <c r="O37" s="326"/>
      <c r="P37" s="320" t="s">
        <v>759</v>
      </c>
      <c r="Q37" s="327"/>
      <c r="R37" s="285" t="s">
        <v>760</v>
      </c>
      <c r="S37" s="328" t="s">
        <v>659</v>
      </c>
      <c r="T37" s="176">
        <v>46124.0</v>
      </c>
      <c r="U37" s="177" t="str">
        <f>IF(V37="","No AIS",VLOOKUP(V37,'Voyage days'!$A$3:$B$1480,2,FALSE))</f>
        <v>WAF</v>
      </c>
      <c r="V37" s="178" t="str">
        <f>IF(VLOOKUP(A37,'1) Kpler'!$E$2:$P$1000,8, FALSE)="","",VLOOKUP(A37,'1) Kpler'!$E$2:$P$1000,8, FALSE))</f>
        <v>Soyo</v>
      </c>
      <c r="W37" s="179">
        <f>IF(VLOOKUP(A37,'1) Kpler'!$E$2:$P$1000,9,FALSE)="","",VLOOKUP(A37,'1) Kpler'!$E$2:$P$1000,9,FALSE))</f>
        <v>46134.58333</v>
      </c>
      <c r="X37" s="178" t="str">
        <f>VLOOKUP(A37,'1) Kpler'!$E$2:$I$1000,4,FALSE)</f>
        <v>ballast</v>
      </c>
      <c r="Y37" s="180" t="str">
        <f t="shared" si="1"/>
        <v/>
      </c>
      <c r="Z37" s="180" t="str">
        <f t="shared" si="2"/>
        <v/>
      </c>
      <c r="AA37" s="180" t="str">
        <f t="shared" si="3"/>
        <v/>
      </c>
      <c r="AB37" s="180" t="str">
        <f t="shared" si="4"/>
        <v>22-25 Apr</v>
      </c>
      <c r="AC37" s="180" t="str">
        <f t="shared" si="5"/>
        <v/>
      </c>
      <c r="AD37" s="180" t="str">
        <f t="shared" si="6"/>
        <v/>
      </c>
      <c r="AE37" s="181" t="str">
        <f t="shared" si="7"/>
        <v/>
      </c>
      <c r="AF37" s="182" t="str">
        <f t="shared" si="8"/>
        <v/>
      </c>
      <c r="AG37" s="120" t="str">
        <f t="shared" si="9"/>
        <v/>
      </c>
      <c r="AH37" s="121" t="str">
        <f>IFERROR($M37+VLOOKUP($L37,'Voyage days'!$F$38:$H$89,3,FALSE),"")</f>
        <v/>
      </c>
      <c r="AI37" s="121" t="str">
        <f>IFERROR(N37+VLOOKUP($L37,'Voyage days'!$F$38:$H$89,3,FALSE),"")</f>
        <v/>
      </c>
      <c r="AJ37" s="120" t="str">
        <f t="shared" si="10"/>
        <v/>
      </c>
      <c r="AK37" s="121" t="str">
        <f>IFERROR($M37+VLOOKUP($L37,'Voyage days'!$F$94:$H$193,3,FALSE),"")</f>
        <v/>
      </c>
      <c r="AL37" s="121" t="str">
        <f>IFERROR($N37+VLOOKUP($L37,'Voyage days'!$F$94:$H$193,3,FALSE),"")</f>
        <v/>
      </c>
      <c r="AM37" s="120" t="str">
        <f t="shared" si="11"/>
        <v/>
      </c>
      <c r="AN37" s="121" t="str">
        <f>IFERROR($M37+VLOOKUP($L37,'Voyage days'!$F$203:$H$256,3,FALSE),"")</f>
        <v/>
      </c>
      <c r="AO37" s="121" t="str">
        <f>IFERROR($N37+VLOOKUP($L37,'Voyage days'!$F$203:$H$256,3,FALSE),"")</f>
        <v/>
      </c>
      <c r="AP37" s="120" t="str">
        <f t="shared" si="12"/>
        <v>22-25 Apr</v>
      </c>
      <c r="AQ37" s="121">
        <f>IFERROR($M37+VLOOKUP($L37,'Voyage days'!$F$294:$H$377,3,FALSE),"")</f>
        <v>46134</v>
      </c>
      <c r="AR37" s="121">
        <f>IFERROR($N37+VLOOKUP($L37,'Voyage days'!$F$294:$H$377,3,FALSE),"")</f>
        <v>46137</v>
      </c>
      <c r="AS37" s="120" t="str">
        <f t="shared" si="13"/>
        <v/>
      </c>
      <c r="AT37" s="121" t="str">
        <f>IFERROR($M37+VLOOKUP($L37,'Voyage days'!$F$382:$H$446,3,FALSE),"")</f>
        <v/>
      </c>
      <c r="AU37" s="121" t="str">
        <f>IFERROR($N37+VLOOKUP($L37,'Voyage days'!$F$382:$H$446,3,FALSE),"")</f>
        <v/>
      </c>
      <c r="AV37" s="120" t="str">
        <f t="shared" si="14"/>
        <v/>
      </c>
      <c r="AW37" s="121" t="str">
        <f>IFERROR($M37+VLOOKUP($L37,'Voyage days'!$F$483:$H$538,3,FALSE),"")</f>
        <v/>
      </c>
      <c r="AX37" s="121" t="str">
        <f>IFERROR($N37+VLOOKUP($L37,'Voyage days'!$F$483:$H$538,3,FALSE),"")</f>
        <v/>
      </c>
      <c r="AY37" s="120" t="str">
        <f t="shared" si="15"/>
        <v/>
      </c>
      <c r="AZ37" s="121" t="str">
        <f>IFERROR($M37+VLOOKUP($L37,'Voyage days'!$F$540:$H$613,3,FALSE),"")</f>
        <v/>
      </c>
      <c r="BA37" s="121" t="str">
        <f>IFERROR($N37+VLOOKUP($L37,'Voyage days'!$F$540:$H$613,3,FALSE),"")</f>
        <v/>
      </c>
      <c r="BB37" s="120" t="str">
        <f t="shared" si="16"/>
        <v/>
      </c>
      <c r="BC37" s="121" t="str">
        <f>IFERROR($M37+VLOOKUP($L37,'Voyage days'!$F$448:$H$479,3,FALSE),"")</f>
        <v/>
      </c>
      <c r="BD37" s="121" t="str">
        <f>IFERROR($N37+VLOOKUP($L37,'Voyage days'!$F$448:$H$479,3,FALSE),"")</f>
        <v/>
      </c>
      <c r="BE37" s="120" t="str">
        <f t="shared" si="17"/>
        <v/>
      </c>
      <c r="BF37" s="122" t="str">
        <f>IFERROR($M37+VLOOKUP($L37,'Voyage days'!$F$620:$H$646,3,FALSE),"")</f>
        <v/>
      </c>
      <c r="BG37" s="122" t="str">
        <f>IFERROR($N37+VLOOKUP($L37,'Voyage days'!$F$620:$H$646,3,FALSE),"")</f>
        <v/>
      </c>
      <c r="BH37" s="120" t="str">
        <f t="shared" si="18"/>
        <v/>
      </c>
      <c r="BI37" s="123" t="str">
        <f>IFERROR($M37+VLOOKUP($L37,'Voyage days'!$F$702:$H$727,3,FALSE),"")</f>
        <v/>
      </c>
      <c r="BJ37" s="120" t="str">
        <f t="shared" si="19"/>
        <v/>
      </c>
      <c r="BK37" s="122" t="str">
        <f>IFERROR($M37+VLOOKUP($L37,'Voyage days'!$F$807:$H$878,3,FALSE),"")</f>
        <v/>
      </c>
      <c r="BL37" s="122" t="str">
        <f>IFERROR($N37+VLOOKUP($L37,'Voyage days'!$F$807:$H$878,3,FALSE),"")</f>
        <v/>
      </c>
      <c r="BM37" s="122" t="str">
        <f>IFERROR($N37+VLOOKUP($L37,'Voyage days'!$F$807:$K$878,6,FALSE),"")</f>
        <v/>
      </c>
      <c r="BN37" s="121" t="str">
        <f>if(L37="loads AG", IFERROR($M37+VLOOKUP($L37,'Voyage days'!$M$38:$O$38,3,FALSE),""),"")</f>
        <v/>
      </c>
      <c r="BO37" s="121" t="str">
        <f>if(L37="loads USG", IFERROR($M37+VLOOKUP($L37,'Voyage days'!$L$203:$N$203,3,FALSE),""),"")</f>
        <v/>
      </c>
    </row>
    <row r="38" ht="15.75" customHeight="1">
      <c r="A38" s="147" t="s">
        <v>84</v>
      </c>
      <c r="B38" s="148">
        <v>2024.0</v>
      </c>
      <c r="C38" s="102">
        <v>91000.0</v>
      </c>
      <c r="D38" s="149"/>
      <c r="E38" s="149"/>
      <c r="F38" s="150"/>
      <c r="G38" s="150"/>
      <c r="H38" s="150" t="s">
        <v>666</v>
      </c>
      <c r="I38" s="329" t="s">
        <v>761</v>
      </c>
      <c r="J38" s="151" t="str">
        <f t="shared" si="20"/>
        <v>Update</v>
      </c>
      <c r="K38" s="152"/>
      <c r="L38" s="153" t="s">
        <v>680</v>
      </c>
      <c r="M38" s="276">
        <v>46141.0</v>
      </c>
      <c r="N38" s="276">
        <v>46142.0</v>
      </c>
      <c r="O38" s="277" t="s">
        <v>729</v>
      </c>
      <c r="P38" s="330" t="s">
        <v>762</v>
      </c>
      <c r="Q38" s="157"/>
      <c r="R38" s="153" t="s">
        <v>763</v>
      </c>
      <c r="S38" s="331" t="s">
        <v>33</v>
      </c>
      <c r="T38" s="293">
        <v>46125.0</v>
      </c>
      <c r="U38" s="114" t="str">
        <f>IF(V38="","No AIS",VLOOKUP(V38,'Voyage days'!$A$3:$B$1480,2,FALSE))</f>
        <v>USG</v>
      </c>
      <c r="V38" s="114" t="str">
        <f>IF(VLOOKUP(A38,'1) Kpler'!$E$2:$P$1000,8, FALSE)="","",VLOOKUP(A38,'1) Kpler'!$E$2:$P$1000,8, FALSE))</f>
        <v>Energy Transfer Nederland</v>
      </c>
      <c r="W38" s="159">
        <f>IF(VLOOKUP(A38,'1) Kpler'!$E$2:$P$1000,9,FALSE)="","",VLOOKUP(A38,'1) Kpler'!$E$2:$P$1000,9,FALSE))</f>
        <v>46143.66667</v>
      </c>
      <c r="X38" s="114" t="str">
        <f>VLOOKUP(A38,'1) Kpler'!$E$2:$I$1000,4,FALSE)</f>
        <v>ballast</v>
      </c>
      <c r="Y38" s="272" t="str">
        <f t="shared" si="1"/>
        <v/>
      </c>
      <c r="Z38" s="272" t="str">
        <f t="shared" si="2"/>
        <v>29-30 Apr</v>
      </c>
      <c r="AA38" s="272" t="str">
        <f t="shared" si="3"/>
        <v>29-30 Apr</v>
      </c>
      <c r="AB38" s="272" t="str">
        <f t="shared" si="4"/>
        <v/>
      </c>
      <c r="AC38" s="272" t="str">
        <f t="shared" si="5"/>
        <v>19-20 May</v>
      </c>
      <c r="AD38" s="272" t="str">
        <f t="shared" si="6"/>
        <v/>
      </c>
      <c r="AE38" s="273" t="str">
        <f t="shared" si="7"/>
        <v/>
      </c>
      <c r="AF38" s="162" t="str">
        <f t="shared" si="8"/>
        <v/>
      </c>
      <c r="AG38" s="163" t="str">
        <f t="shared" si="9"/>
        <v/>
      </c>
      <c r="AH38" s="122" t="str">
        <f>IFERROR($M38+VLOOKUP($L38,'Voyage days'!$F$38:$H$89,3,FALSE),"")</f>
        <v/>
      </c>
      <c r="AI38" s="122" t="str">
        <f>IFERROR(N38+VLOOKUP($L38,'Voyage days'!$F$38:$H$89,3,FALSE),"")</f>
        <v/>
      </c>
      <c r="AJ38" s="163" t="str">
        <f t="shared" si="10"/>
        <v>29-30 Apr</v>
      </c>
      <c r="AK38" s="122">
        <f>IFERROR($M38+VLOOKUP($L38,'Voyage days'!$F$94:$H$193,3,FALSE),"")</f>
        <v>46141</v>
      </c>
      <c r="AL38" s="122">
        <f>IFERROR($N38+VLOOKUP($L38,'Voyage days'!$F$94:$H$193,3,FALSE),"")</f>
        <v>46142</v>
      </c>
      <c r="AM38" s="163" t="str">
        <f t="shared" si="11"/>
        <v>29-30 Apr</v>
      </c>
      <c r="AN38" s="122">
        <f>IFERROR($M38+VLOOKUP($L38,'Voyage days'!$F$203:$H$256,3,FALSE),"")</f>
        <v>46141</v>
      </c>
      <c r="AO38" s="122">
        <f>IFERROR($N38+VLOOKUP($L38,'Voyage days'!$F$203:$H$256,3,FALSE),"")</f>
        <v>46142</v>
      </c>
      <c r="AP38" s="163" t="str">
        <f t="shared" si="12"/>
        <v/>
      </c>
      <c r="AQ38" s="122" t="str">
        <f>IFERROR($M38+VLOOKUP($L38,'Voyage days'!$F$294:$H$377,3,FALSE),"")</f>
        <v/>
      </c>
      <c r="AR38" s="122" t="str">
        <f>IFERROR($N38+VLOOKUP($L38,'Voyage days'!$F$294:$H$377,3,FALSE),"")</f>
        <v/>
      </c>
      <c r="AS38" s="163" t="str">
        <f t="shared" si="13"/>
        <v>19-20 May</v>
      </c>
      <c r="AT38" s="122">
        <f>IFERROR($M38+VLOOKUP($L38,'Voyage days'!$F$382:$H$446,3,FALSE),"")</f>
        <v>46161</v>
      </c>
      <c r="AU38" s="122">
        <f>IFERROR($N38+VLOOKUP($L38,'Voyage days'!$F$382:$H$446,3,FALSE),"")</f>
        <v>46162</v>
      </c>
      <c r="AV38" s="163" t="str">
        <f t="shared" si="14"/>
        <v/>
      </c>
      <c r="AW38" s="122" t="str">
        <f>IFERROR($M38+VLOOKUP($L38,'Voyage days'!$F$483:$H$538,3,FALSE),"")</f>
        <v/>
      </c>
      <c r="AX38" s="122" t="str">
        <f>IFERROR($N38+VLOOKUP($L38,'Voyage days'!$F$483:$H$538,3,FALSE),"")</f>
        <v/>
      </c>
      <c r="AY38" s="163" t="str">
        <f t="shared" si="15"/>
        <v/>
      </c>
      <c r="AZ38" s="122" t="str">
        <f>IFERROR($M38+VLOOKUP($L38,'Voyage days'!$F$540:$H$613,3,FALSE),"")</f>
        <v/>
      </c>
      <c r="BA38" s="122" t="str">
        <f>IFERROR($N38+VLOOKUP($L38,'Voyage days'!$F$540:$H$613,3,FALSE),"")</f>
        <v/>
      </c>
      <c r="BB38" s="163" t="str">
        <f t="shared" si="16"/>
        <v/>
      </c>
      <c r="BC38" s="121" t="str">
        <f>IFERROR($M38+VLOOKUP($L38,'Voyage days'!$F$448:$H$479,3,FALSE),"")</f>
        <v/>
      </c>
      <c r="BD38" s="121" t="str">
        <f>IFERROR($N38+VLOOKUP($L38,'Voyage days'!$F$448:$H$479,3,FALSE),"")</f>
        <v/>
      </c>
      <c r="BE38" s="163" t="str">
        <f t="shared" si="17"/>
        <v/>
      </c>
      <c r="BF38" s="122" t="str">
        <f>IFERROR($M38+VLOOKUP($L38,'Voyage days'!$F$620:$H$646,3,FALSE),"")</f>
        <v/>
      </c>
      <c r="BG38" s="122" t="str">
        <f>IFERROR($N38+VLOOKUP($L38,'Voyage days'!$F$620:$H$646,3,FALSE),"")</f>
        <v/>
      </c>
      <c r="BH38" s="163" t="str">
        <f t="shared" si="18"/>
        <v/>
      </c>
      <c r="BI38" s="123" t="str">
        <f>IFERROR($M38+VLOOKUP($L38,'Voyage days'!$F$702:$H$727,3,FALSE),"")</f>
        <v/>
      </c>
      <c r="BJ38" s="163" t="str">
        <f t="shared" si="19"/>
        <v/>
      </c>
      <c r="BK38" s="122" t="str">
        <f>IFERROR($M38+VLOOKUP($L38,'Voyage days'!$F$807:$H$878,3,FALSE),"")</f>
        <v/>
      </c>
      <c r="BL38" s="122" t="str">
        <f>IFERROR($N38+VLOOKUP($L38,'Voyage days'!$F$807:$H$878,3,FALSE),"")</f>
        <v/>
      </c>
      <c r="BM38" s="122" t="str">
        <f>IFERROR($N38+VLOOKUP($L38,'Voyage days'!$F$807:$K$878,6,FALSE),"")</f>
        <v/>
      </c>
      <c r="BN38" s="121" t="str">
        <f>if(L38="loads AG", IFERROR($M38+VLOOKUP($L38,'Voyage days'!$M$38:$O$38,3,FALSE),""),"")</f>
        <v/>
      </c>
      <c r="BO38" s="121">
        <f>if(L38="loads USG", IFERROR($M38+VLOOKUP($L38,'Voyage days'!$L$203:$N$203,3,FALSE),""),"")</f>
        <v>46173</v>
      </c>
    </row>
    <row r="39">
      <c r="A39" s="147" t="s">
        <v>764</v>
      </c>
      <c r="B39" s="148">
        <v>2020.0</v>
      </c>
      <c r="C39" s="102">
        <v>83000.0</v>
      </c>
      <c r="D39" s="103"/>
      <c r="E39" s="103"/>
      <c r="F39" s="104"/>
      <c r="G39" s="104"/>
      <c r="H39" s="104" t="s">
        <v>689</v>
      </c>
      <c r="I39" s="332" t="s">
        <v>761</v>
      </c>
      <c r="J39" s="106" t="str">
        <f t="shared" si="20"/>
        <v/>
      </c>
      <c r="K39" s="205" t="s">
        <v>765</v>
      </c>
      <c r="L39" s="108" t="s">
        <v>755</v>
      </c>
      <c r="M39" s="109">
        <v>46139.0</v>
      </c>
      <c r="N39" s="109">
        <v>46140.0</v>
      </c>
      <c r="O39" s="191"/>
      <c r="P39" s="108" t="s">
        <v>766</v>
      </c>
      <c r="Q39" s="108"/>
      <c r="R39" s="156" t="s">
        <v>767</v>
      </c>
      <c r="S39" s="256" t="s">
        <v>33</v>
      </c>
      <c r="T39" s="293">
        <v>46125.0</v>
      </c>
      <c r="U39" s="114" t="str">
        <f>IF(V39="","No AIS",VLOOKUP(V39,'Voyage days'!$A$3:$B$1480,2,FALSE))</f>
        <v>Indo + 4</v>
      </c>
      <c r="V39" s="115" t="str">
        <f>IF(VLOOKUP(A39,'1) Kpler'!$E$2:$P$1000,8, FALSE)="","",VLOOKUP(A39,'1) Kpler'!$E$2:$P$1000,8, FALSE))</f>
        <v>Oiltank. Merak</v>
      </c>
      <c r="W39" s="116">
        <f>IF(VLOOKUP(A39,'1) Kpler'!$E$2:$P$1000,9,FALSE)="","",VLOOKUP(A39,'1) Kpler'!$E$2:$P$1000,9,FALSE))</f>
        <v>46135.32847</v>
      </c>
      <c r="X39" s="115" t="str">
        <f>VLOOKUP(A39,'1) Kpler'!$E$2:$I$1000,4,FALSE)</f>
        <v>loaded</v>
      </c>
      <c r="Y39" s="160" t="str">
        <f t="shared" si="1"/>
        <v>08-09 May</v>
      </c>
      <c r="Z39" s="160" t="str">
        <f t="shared" si="2"/>
        <v>05-06 Jun</v>
      </c>
      <c r="AA39" s="160" t="str">
        <f t="shared" si="3"/>
        <v>03-04 Jun</v>
      </c>
      <c r="AB39" s="160" t="str">
        <f t="shared" si="4"/>
        <v>17-18 May</v>
      </c>
      <c r="AC39" s="160" t="str">
        <f t="shared" si="5"/>
        <v>26-27 May</v>
      </c>
      <c r="AD39" s="160" t="str">
        <f t="shared" si="6"/>
        <v>30-01 May</v>
      </c>
      <c r="AE39" s="161" t="str">
        <f t="shared" si="7"/>
        <v>01-02 May</v>
      </c>
      <c r="AF39" s="162" t="str">
        <f t="shared" si="8"/>
        <v>03-04 Jun</v>
      </c>
      <c r="AG39" s="120" t="str">
        <f t="shared" si="9"/>
        <v>08-09 May</v>
      </c>
      <c r="AH39" s="121">
        <f>IFERROR($M39+VLOOKUP($L39,'Voyage days'!$F$38:$H$89,3,FALSE),"")</f>
        <v>46150</v>
      </c>
      <c r="AI39" s="121">
        <f>IFERROR(N39+VLOOKUP($L39,'Voyage days'!$F$38:$H$89,3,FALSE),"")</f>
        <v>46151</v>
      </c>
      <c r="AJ39" s="120" t="str">
        <f t="shared" si="10"/>
        <v>05-06 Jun</v>
      </c>
      <c r="AK39" s="121">
        <f>IFERROR($M39+VLOOKUP($L39,'Voyage days'!$F$94:$H$193,3,FALSE),"")</f>
        <v>46178</v>
      </c>
      <c r="AL39" s="121">
        <f>IFERROR($N39+VLOOKUP($L39,'Voyage days'!$F$94:$H$193,3,FALSE),"")</f>
        <v>46179</v>
      </c>
      <c r="AM39" s="120" t="str">
        <f t="shared" si="11"/>
        <v>03-04 Jun</v>
      </c>
      <c r="AN39" s="121">
        <f>IFERROR($M39+VLOOKUP($L39,'Voyage days'!$F$203:$H$256,3,FALSE),"")</f>
        <v>46176</v>
      </c>
      <c r="AO39" s="121">
        <f>IFERROR($N39+VLOOKUP($L39,'Voyage days'!$F$203:$H$256,3,FALSE),"")</f>
        <v>46177</v>
      </c>
      <c r="AP39" s="120" t="str">
        <f t="shared" si="12"/>
        <v>17-18 May</v>
      </c>
      <c r="AQ39" s="121">
        <f>IFERROR($M39+VLOOKUP($L39,'Voyage days'!$F$294:$H$377,3,FALSE),"")</f>
        <v>46159</v>
      </c>
      <c r="AR39" s="121">
        <f>IFERROR($N39+VLOOKUP($L39,'Voyage days'!$F$294:$H$377,3,FALSE),"")</f>
        <v>46160</v>
      </c>
      <c r="AS39" s="120" t="str">
        <f t="shared" si="13"/>
        <v>26-27 May</v>
      </c>
      <c r="AT39" s="121">
        <f>IFERROR($M39+VLOOKUP($L39,'Voyage days'!$F$382:$H$446,3,FALSE),"")</f>
        <v>46168</v>
      </c>
      <c r="AU39" s="121">
        <f>IFERROR($N39+VLOOKUP($L39,'Voyage days'!$F$382:$H$446,3,FALSE),"")</f>
        <v>46169</v>
      </c>
      <c r="AV39" s="120" t="str">
        <f t="shared" si="14"/>
        <v>06-07 May</v>
      </c>
      <c r="AW39" s="121">
        <f>IFERROR($M39+VLOOKUP($L39,'Voyage days'!$F$483:$H$538,3,FALSE),"")</f>
        <v>46148</v>
      </c>
      <c r="AX39" s="121">
        <f>IFERROR($N39+VLOOKUP($L39,'Voyage days'!$F$483:$H$538,3,FALSE),"")</f>
        <v>46149</v>
      </c>
      <c r="AY39" s="120" t="str">
        <f t="shared" si="15"/>
        <v>01-02 May</v>
      </c>
      <c r="AZ39" s="121">
        <f>IFERROR($M39+VLOOKUP($L39,'Voyage days'!$F$540:$H$613,3,FALSE),"")</f>
        <v>46143</v>
      </c>
      <c r="BA39" s="121">
        <f>IFERROR($N39+VLOOKUP($L39,'Voyage days'!$F$540:$H$613,3,FALSE),"")</f>
        <v>46144</v>
      </c>
      <c r="BB39" s="120" t="str">
        <f t="shared" si="16"/>
        <v>30-01 May</v>
      </c>
      <c r="BC39" s="121">
        <f>IFERROR($M39+VLOOKUP($L39,'Voyage days'!$F$448:$H$479,3,FALSE),"")</f>
        <v>46142</v>
      </c>
      <c r="BD39" s="121">
        <f>IFERROR($N39+VLOOKUP($L39,'Voyage days'!$F$448:$H$479,3,FALSE),"")</f>
        <v>46143</v>
      </c>
      <c r="BE39" s="120" t="str">
        <f t="shared" si="17"/>
        <v/>
      </c>
      <c r="BF39" s="122" t="str">
        <f>IFERROR($M39+VLOOKUP($L39,'Voyage days'!$F$620:$H$646,3,FALSE),"")</f>
        <v/>
      </c>
      <c r="BG39" s="122" t="str">
        <f>IFERROR($N39+VLOOKUP($L39,'Voyage days'!$F$620:$H$646,3,FALSE),"")</f>
        <v/>
      </c>
      <c r="BH39" s="120" t="str">
        <f t="shared" si="18"/>
        <v>05-04 Jun</v>
      </c>
      <c r="BI39" s="123">
        <f>IFERROR($M39+VLOOKUP($L39,'Voyage days'!$F$702:$H$727,3,FALSE),"")</f>
        <v>46147</v>
      </c>
      <c r="BJ39" s="120" t="str">
        <f t="shared" si="19"/>
        <v>03-04 Jun</v>
      </c>
      <c r="BK39" s="122">
        <f>IFERROR($M39+VLOOKUP($L39,'Voyage days'!$F$807:$H$878,3,FALSE),"")</f>
        <v>46176</v>
      </c>
      <c r="BL39" s="122">
        <f>IFERROR($N39+VLOOKUP($L39,'Voyage days'!$F$807:$H$878,3,FALSE),"")</f>
        <v>46177</v>
      </c>
      <c r="BM39" s="122">
        <f>IFERROR($N39+VLOOKUP($L39,'Voyage days'!$F$807:$K$878,6,FALSE),"")</f>
        <v>46153</v>
      </c>
      <c r="BN39" s="121" t="str">
        <f>if(L39="loads AG", IFERROR($M39+VLOOKUP($L39,'Voyage days'!$M$38:$O$38,3,FALSE),""),"")</f>
        <v/>
      </c>
      <c r="BO39" s="121" t="str">
        <f>if(L39="loads USG", IFERROR($M39+VLOOKUP($L39,'Voyage days'!$L$203:$N$203,3,FALSE),""),"")</f>
        <v/>
      </c>
    </row>
    <row r="40">
      <c r="A40" s="80" t="s">
        <v>161</v>
      </c>
      <c r="B40" s="101">
        <v>42353.0</v>
      </c>
      <c r="C40" s="102">
        <v>84000.0</v>
      </c>
      <c r="D40" s="103"/>
      <c r="E40" s="103"/>
      <c r="F40" s="104"/>
      <c r="G40" s="104"/>
      <c r="H40" s="104" t="s">
        <v>689</v>
      </c>
      <c r="I40" s="332" t="s">
        <v>761</v>
      </c>
      <c r="J40" s="106" t="str">
        <f t="shared" si="20"/>
        <v/>
      </c>
      <c r="K40" s="107"/>
      <c r="L40" s="108" t="s">
        <v>745</v>
      </c>
      <c r="M40" s="276">
        <v>46146.0</v>
      </c>
      <c r="N40" s="276">
        <v>46140.0</v>
      </c>
      <c r="O40" s="191" t="s">
        <v>729</v>
      </c>
      <c r="P40" s="108" t="s">
        <v>768</v>
      </c>
      <c r="Q40" s="333"/>
      <c r="R40" s="108" t="s">
        <v>769</v>
      </c>
      <c r="S40" s="256" t="s">
        <v>33</v>
      </c>
      <c r="T40" s="293">
        <v>46125.0</v>
      </c>
      <c r="U40" s="114" t="str">
        <f>IF(V40="","No AIS",VLOOKUP(V40,'Voyage days'!$A$3:$B$1480,2,FALSE))</f>
        <v>East Med</v>
      </c>
      <c r="V40" s="115" t="str">
        <f>IF(VLOOKUP(A40,'1) Kpler'!$E$2:$P$1000,8, FALSE)="","",VLOOKUP(A40,'1) Kpler'!$E$2:$P$1000,8, FALSE))</f>
        <v>Valletta</v>
      </c>
      <c r="W40" s="116">
        <f>IF(VLOOKUP(A40,'1) Kpler'!$E$2:$P$1000,9,FALSE)="","",VLOOKUP(A40,'1) Kpler'!$E$2:$P$1000,9,FALSE))</f>
        <v>46136.875</v>
      </c>
      <c r="X40" s="115" t="str">
        <f>VLOOKUP(A40,'1) Kpler'!$E$2:$I$1000,4,FALSE)</f>
        <v>loaded</v>
      </c>
      <c r="Y40" s="160" t="str">
        <f t="shared" si="1"/>
        <v>13-07 May</v>
      </c>
      <c r="Z40" s="160" t="str">
        <f t="shared" si="2"/>
        <v>22-16 May</v>
      </c>
      <c r="AA40" s="160" t="str">
        <f t="shared" si="3"/>
        <v>25-19 May</v>
      </c>
      <c r="AB40" s="160" t="str">
        <f t="shared" si="4"/>
        <v>19-13 May</v>
      </c>
      <c r="AC40" s="160" t="str">
        <f t="shared" si="5"/>
        <v>12-06 May</v>
      </c>
      <c r="AD40" s="160" t="str">
        <f t="shared" si="6"/>
        <v/>
      </c>
      <c r="AE40" s="161" t="str">
        <f t="shared" si="7"/>
        <v/>
      </c>
      <c r="AF40" s="162" t="str">
        <f t="shared" si="8"/>
        <v>05-29 Apr</v>
      </c>
      <c r="AG40" s="120" t="str">
        <f t="shared" si="9"/>
        <v>13-07 May</v>
      </c>
      <c r="AH40" s="121">
        <f>IFERROR($M40+VLOOKUP($L40,'Voyage days'!$F$38:$H$89,3,FALSE),"")</f>
        <v>46155</v>
      </c>
      <c r="AI40" s="121">
        <f>IFERROR(N40+VLOOKUP($L40,'Voyage days'!$F$38:$H$89,3,FALSE),"")</f>
        <v>46149</v>
      </c>
      <c r="AJ40" s="120" t="str">
        <f t="shared" si="10"/>
        <v>22-16 May</v>
      </c>
      <c r="AK40" s="121">
        <f>IFERROR($M40+VLOOKUP($L40,'Voyage days'!$F$94:$H$193,3,FALSE),"")</f>
        <v>46164</v>
      </c>
      <c r="AL40" s="121">
        <f>IFERROR($N40+VLOOKUP($L40,'Voyage days'!$F$94:$H$193,3,FALSE),"")</f>
        <v>46158</v>
      </c>
      <c r="AM40" s="120" t="str">
        <f t="shared" si="11"/>
        <v>25-19 May</v>
      </c>
      <c r="AN40" s="121">
        <f>IFERROR($M40+VLOOKUP($L40,'Voyage days'!$F$203:$H$256,3,FALSE),"")</f>
        <v>46167</v>
      </c>
      <c r="AO40" s="121">
        <f>IFERROR($N40+VLOOKUP($L40,'Voyage days'!$F$203:$H$256,3,FALSE),"")</f>
        <v>46161</v>
      </c>
      <c r="AP40" s="120" t="str">
        <f t="shared" si="12"/>
        <v>19-13 May</v>
      </c>
      <c r="AQ40" s="121">
        <f>IFERROR($M40+VLOOKUP($L40,'Voyage days'!$F$294:$H$377,3,FALSE),"")</f>
        <v>46161</v>
      </c>
      <c r="AR40" s="121">
        <f>IFERROR($N40+VLOOKUP($L40,'Voyage days'!$F$294:$H$377,3,FALSE),"")</f>
        <v>46155</v>
      </c>
      <c r="AS40" s="120" t="str">
        <f t="shared" si="13"/>
        <v>12-06 May</v>
      </c>
      <c r="AT40" s="121">
        <f>IFERROR($M40+VLOOKUP($L40,'Voyage days'!$F$382:$H$446,3,FALSE),"")</f>
        <v>46154</v>
      </c>
      <c r="AU40" s="121">
        <f>IFERROR($N40+VLOOKUP($L40,'Voyage days'!$F$382:$H$446,3,FALSE),"")</f>
        <v>46148</v>
      </c>
      <c r="AV40" s="120" t="str">
        <f t="shared" si="14"/>
        <v/>
      </c>
      <c r="AW40" s="121" t="str">
        <f>IFERROR($M40+VLOOKUP($L40,'Voyage days'!$F$483:$H$538,3,FALSE),"")</f>
        <v/>
      </c>
      <c r="AX40" s="121" t="str">
        <f>IFERROR($N40+VLOOKUP($L40,'Voyage days'!$F$483:$H$538,3,FALSE),"")</f>
        <v/>
      </c>
      <c r="AY40" s="120" t="str">
        <f t="shared" si="15"/>
        <v/>
      </c>
      <c r="AZ40" s="121" t="str">
        <f>IFERROR($M40+VLOOKUP($L40,'Voyage days'!$F$540:$H$613,3,FALSE),"")</f>
        <v/>
      </c>
      <c r="BA40" s="121" t="str">
        <f>IFERROR($N40+VLOOKUP($L40,'Voyage days'!$F$540:$H$613,3,FALSE),"")</f>
        <v/>
      </c>
      <c r="BB40" s="120" t="str">
        <f t="shared" si="16"/>
        <v/>
      </c>
      <c r="BC40" s="121" t="str">
        <f>IFERROR($M40+VLOOKUP($L40,'Voyage days'!$F$448:$H$479,3,FALSE),"")</f>
        <v/>
      </c>
      <c r="BD40" s="121" t="str">
        <f>IFERROR($N40+VLOOKUP($L40,'Voyage days'!$F$448:$H$479,3,FALSE),"")</f>
        <v/>
      </c>
      <c r="BE40" s="120" t="str">
        <f t="shared" si="17"/>
        <v/>
      </c>
      <c r="BF40" s="122" t="str">
        <f>IFERROR($M40+VLOOKUP($L40,'Voyage days'!$F$620:$H$646,3,FALSE),"")</f>
        <v/>
      </c>
      <c r="BG40" s="122" t="str">
        <f>IFERROR($N40+VLOOKUP($L40,'Voyage days'!$F$620:$H$646,3,FALSE),"")</f>
        <v/>
      </c>
      <c r="BH40" s="120" t="str">
        <f t="shared" si="18"/>
        <v/>
      </c>
      <c r="BI40" s="123" t="str">
        <f>IFERROR($M40+VLOOKUP($L40,'Voyage days'!$F$702:$H$727,3,FALSE),"")</f>
        <v/>
      </c>
      <c r="BJ40" s="120" t="str">
        <f t="shared" si="19"/>
        <v>05-29 Apr</v>
      </c>
      <c r="BK40" s="122">
        <f>IFERROR($M40+VLOOKUP($L40,'Voyage days'!$F$807:$H$878,3,FALSE),"")</f>
        <v>46147.5</v>
      </c>
      <c r="BL40" s="122">
        <f>IFERROR($N40+VLOOKUP($L40,'Voyage days'!$F$807:$H$878,3,FALSE),"")</f>
        <v>46141.5</v>
      </c>
      <c r="BM40" s="122">
        <f>IFERROR($N40+VLOOKUP($L40,'Voyage days'!$F$807:$K$878,6,FALSE),"")</f>
        <v>46140</v>
      </c>
      <c r="BN40" s="121" t="str">
        <f>if(L40="loads AG", IFERROR($M40+VLOOKUP($L40,'Voyage days'!$M$38:$O$38,3,FALSE),""),"")</f>
        <v/>
      </c>
      <c r="BO40" s="121" t="str">
        <f>if(L40="loads USG", IFERROR($M40+VLOOKUP($L40,'Voyage days'!$L$203:$N$203,3,FALSE),""),"")</f>
        <v/>
      </c>
    </row>
    <row r="41" ht="15.75" customHeight="1">
      <c r="A41" s="80" t="s">
        <v>207</v>
      </c>
      <c r="B41" s="148">
        <v>2022.0</v>
      </c>
      <c r="C41" s="102">
        <v>84000.0</v>
      </c>
      <c r="D41" s="103"/>
      <c r="E41" s="103"/>
      <c r="F41" s="104"/>
      <c r="G41" s="104"/>
      <c r="H41" s="104" t="s">
        <v>666</v>
      </c>
      <c r="I41" s="332" t="s">
        <v>761</v>
      </c>
      <c r="J41" s="106" t="str">
        <f t="shared" si="20"/>
        <v/>
      </c>
      <c r="K41" s="205" t="s">
        <v>765</v>
      </c>
      <c r="L41" s="108" t="s">
        <v>770</v>
      </c>
      <c r="M41" s="109">
        <v>46158.0</v>
      </c>
      <c r="N41" s="109">
        <v>46159.0</v>
      </c>
      <c r="O41" s="334"/>
      <c r="P41" s="192" t="s">
        <v>771</v>
      </c>
      <c r="Q41" s="185"/>
      <c r="R41" s="108" t="s">
        <v>772</v>
      </c>
      <c r="S41" s="256" t="s">
        <v>33</v>
      </c>
      <c r="T41" s="293">
        <v>46125.0</v>
      </c>
      <c r="U41" s="114" t="str">
        <f>IF(V41="","No AIS",VLOOKUP(V41,'Voyage days'!$A$3:$B$1480,2,FALSE))</f>
        <v>Port Louis</v>
      </c>
      <c r="V41" s="115" t="str">
        <f>IF(VLOOKUP(A41,'1) Kpler'!$E$2:$P$1000,8, FALSE)="","",VLOOKUP(A41,'1) Kpler'!$E$2:$P$1000,8, FALSE))</f>
        <v>Port Louis</v>
      </c>
      <c r="W41" s="116">
        <f>IF(VLOOKUP(A41,'1) Kpler'!$E$2:$P$1000,9,FALSE)="","",VLOOKUP(A41,'1) Kpler'!$E$2:$P$1000,9,FALSE))</f>
        <v>46134.375</v>
      </c>
      <c r="X41" s="115" t="str">
        <f>VLOOKUP(A41,'1) Kpler'!$E$2:$I$1000,4,FALSE)</f>
        <v>loaded</v>
      </c>
      <c r="Y41" s="117" t="str">
        <f t="shared" si="1"/>
        <v>16-17 Jun</v>
      </c>
      <c r="Z41" s="117" t="str">
        <f t="shared" si="2"/>
        <v/>
      </c>
      <c r="AA41" s="117" t="str">
        <f t="shared" si="3"/>
        <v/>
      </c>
      <c r="AB41" s="117" t="str">
        <f t="shared" si="4"/>
        <v/>
      </c>
      <c r="AC41" s="117" t="str">
        <f t="shared" si="5"/>
        <v/>
      </c>
      <c r="AD41" s="117" t="str">
        <f t="shared" si="6"/>
        <v>08-09 Jun</v>
      </c>
      <c r="AE41" s="118" t="str">
        <f t="shared" si="7"/>
        <v>05-06 Jun</v>
      </c>
      <c r="AF41" s="119" t="str">
        <f t="shared" si="8"/>
        <v>16-17 May</v>
      </c>
      <c r="AG41" s="120" t="str">
        <f t="shared" si="9"/>
        <v>16-17 Jun</v>
      </c>
      <c r="AH41" s="121">
        <f>IFERROR($M41+VLOOKUP($L41,'Voyage days'!$F$38:$H$89,3,FALSE),"")</f>
        <v>46189</v>
      </c>
      <c r="AI41" s="121">
        <f>IFERROR(N41+VLOOKUP($L41,'Voyage days'!$F$38:$H$89,3,FALSE),"")</f>
        <v>46190</v>
      </c>
      <c r="AJ41" s="120" t="str">
        <f t="shared" si="10"/>
        <v/>
      </c>
      <c r="AK41" s="121" t="str">
        <f>IFERROR($M41+VLOOKUP($L41,'Voyage days'!$F$94:$H$193,3,FALSE),"")</f>
        <v/>
      </c>
      <c r="AL41" s="121" t="str">
        <f>IFERROR($N41+VLOOKUP($L41,'Voyage days'!$F$94:$H$193,3,FALSE),"")</f>
        <v/>
      </c>
      <c r="AM41" s="120" t="str">
        <f t="shared" si="11"/>
        <v/>
      </c>
      <c r="AN41" s="121" t="str">
        <f>IFERROR($M41+VLOOKUP($L41,'Voyage days'!$F$203:$H$256,3,FALSE),"")</f>
        <v/>
      </c>
      <c r="AO41" s="121" t="str">
        <f>IFERROR($N41+VLOOKUP($L41,'Voyage days'!$F$203:$H$256,3,FALSE),"")</f>
        <v/>
      </c>
      <c r="AP41" s="120" t="str">
        <f t="shared" si="12"/>
        <v/>
      </c>
      <c r="AQ41" s="121" t="str">
        <f>IFERROR($M41+VLOOKUP($L41,'Voyage days'!$F$294:$H$377,3,FALSE),"")</f>
        <v/>
      </c>
      <c r="AR41" s="121" t="str">
        <f>IFERROR($N41+VLOOKUP($L41,'Voyage days'!$F$294:$H$377,3,FALSE),"")</f>
        <v/>
      </c>
      <c r="AS41" s="120" t="str">
        <f t="shared" si="13"/>
        <v/>
      </c>
      <c r="AT41" s="121" t="str">
        <f>IFERROR($M41+VLOOKUP($L41,'Voyage days'!$F$382:$H$446,3,FALSE),"")</f>
        <v/>
      </c>
      <c r="AU41" s="121" t="str">
        <f>IFERROR($N41+VLOOKUP($L41,'Voyage days'!$F$382:$H$446,3,FALSE),"")</f>
        <v/>
      </c>
      <c r="AV41" s="120" t="str">
        <f t="shared" si="14"/>
        <v>31-01 Jun</v>
      </c>
      <c r="AW41" s="121">
        <f>IFERROR($M41+VLOOKUP($L41,'Voyage days'!$F$483:$H$538,3,FALSE),"")</f>
        <v>46173</v>
      </c>
      <c r="AX41" s="121">
        <f>IFERROR($N41+VLOOKUP($L41,'Voyage days'!$F$483:$H$538,3,FALSE),"")</f>
        <v>46174</v>
      </c>
      <c r="AY41" s="120" t="str">
        <f t="shared" si="15"/>
        <v>05-06 Jun</v>
      </c>
      <c r="AZ41" s="121">
        <f>IFERROR($M41+VLOOKUP($L41,'Voyage days'!$F$540:$H$613,3,FALSE),"")</f>
        <v>46178</v>
      </c>
      <c r="BA41" s="121">
        <f>IFERROR($N41+VLOOKUP($L41,'Voyage days'!$F$540:$H$613,3,FALSE),"")</f>
        <v>46179</v>
      </c>
      <c r="BB41" s="120" t="str">
        <f t="shared" si="16"/>
        <v>08-09 Jun</v>
      </c>
      <c r="BC41" s="121">
        <f>IFERROR($M41+VLOOKUP($L41,'Voyage days'!$F$448:$H$479,3,FALSE),"")</f>
        <v>46181</v>
      </c>
      <c r="BD41" s="121">
        <f>IFERROR($N41+VLOOKUP($L41,'Voyage days'!$F$448:$H$479,3,FALSE),"")</f>
        <v>46182</v>
      </c>
      <c r="BE41" s="120" t="str">
        <f t="shared" si="17"/>
        <v/>
      </c>
      <c r="BF41" s="122" t="str">
        <f>IFERROR($M41+VLOOKUP($L41,'Voyage days'!$F$620:$H$646,3,FALSE),"")</f>
        <v/>
      </c>
      <c r="BG41" s="122" t="str">
        <f>IFERROR($N41+VLOOKUP($L41,'Voyage days'!$F$620:$H$646,3,FALSE),"")</f>
        <v/>
      </c>
      <c r="BH41" s="120" t="str">
        <f t="shared" si="18"/>
        <v>05-17 May</v>
      </c>
      <c r="BI41" s="123">
        <f>IFERROR($M41+VLOOKUP($L41,'Voyage days'!$F$702:$H$727,3,FALSE),"")</f>
        <v>46178</v>
      </c>
      <c r="BJ41" s="120" t="str">
        <f t="shared" si="19"/>
        <v>16-17 May</v>
      </c>
      <c r="BK41" s="122">
        <f>IFERROR($M41+VLOOKUP($L41,'Voyage days'!$F$807:$H$878,3,FALSE),"")</f>
        <v>46158</v>
      </c>
      <c r="BL41" s="122">
        <f>IFERROR($N41+VLOOKUP($L41,'Voyage days'!$F$807:$H$878,3,FALSE),"")</f>
        <v>46159</v>
      </c>
      <c r="BM41" s="122">
        <f>IFERROR($N41+VLOOKUP($L41,'Voyage days'!$F$807:$K$878,6,FALSE),"")</f>
        <v>46159</v>
      </c>
      <c r="BN41" s="121" t="str">
        <f>if(L41="loads AG", IFERROR($M41+VLOOKUP($L41,'Voyage days'!$M$38:$O$38,3,FALSE),""),"")</f>
        <v/>
      </c>
      <c r="BO41" s="121" t="str">
        <f>if(L41="loads USG", IFERROR($M41+VLOOKUP($L41,'Voyage days'!$L$203:$N$203,3,FALSE),""),"")</f>
        <v/>
      </c>
    </row>
    <row r="42" ht="15.75" customHeight="1">
      <c r="A42" s="73" t="s">
        <v>208</v>
      </c>
      <c r="B42" s="202">
        <v>2025.0</v>
      </c>
      <c r="C42" s="203">
        <v>86700.0</v>
      </c>
      <c r="D42" s="103"/>
      <c r="E42" s="103"/>
      <c r="F42" s="104"/>
      <c r="G42" s="104"/>
      <c r="H42" s="104"/>
      <c r="I42" s="335" t="s">
        <v>761</v>
      </c>
      <c r="J42" s="336"/>
      <c r="K42" s="193"/>
      <c r="L42" s="108" t="s">
        <v>773</v>
      </c>
      <c r="M42" s="109">
        <v>46129.0</v>
      </c>
      <c r="N42" s="109">
        <v>46132.0</v>
      </c>
      <c r="O42" s="334"/>
      <c r="P42" s="192" t="s">
        <v>774</v>
      </c>
      <c r="Q42" s="108"/>
      <c r="R42" s="108" t="s">
        <v>775</v>
      </c>
      <c r="S42" s="256" t="s">
        <v>33</v>
      </c>
      <c r="T42" s="293">
        <v>46125.0</v>
      </c>
      <c r="U42" s="114" t="str">
        <f>IF(V42="","No AIS",VLOOKUP(V42,'Voyage days'!$A$3:$B$1480,2,FALSE))</f>
        <v>Gibraltar</v>
      </c>
      <c r="V42" s="115" t="str">
        <f>IF(VLOOKUP(A42,'1) Kpler'!$E$2:$P$1000,8, FALSE)="","",VLOOKUP(A42,'1) Kpler'!$E$2:$P$1000,8, FALSE))</f>
        <v>Jorf Lasfar</v>
      </c>
      <c r="W42" s="116">
        <f>IF(VLOOKUP(A42,'1) Kpler'!$E$2:$P$1000,9,FALSE)="","",VLOOKUP(A42,'1) Kpler'!$E$2:$P$1000,9,FALSE))</f>
        <v>46132.5</v>
      </c>
      <c r="X42" s="115" t="str">
        <f>VLOOKUP(A42,'1) Kpler'!$E$2:$I$1000,4,FALSE)</f>
        <v>loaded</v>
      </c>
      <c r="Y42" s="160" t="str">
        <f t="shared" si="1"/>
        <v/>
      </c>
      <c r="Z42" s="160" t="str">
        <f t="shared" si="2"/>
        <v>01-04 May</v>
      </c>
      <c r="AA42" s="160" t="str">
        <f t="shared" si="3"/>
        <v>02-05 May</v>
      </c>
      <c r="AB42" s="160" t="str">
        <f t="shared" si="4"/>
        <v>28-01 May</v>
      </c>
      <c r="AC42" s="160" t="str">
        <f t="shared" si="5"/>
        <v>19-22 Apr</v>
      </c>
      <c r="AD42" s="160" t="str">
        <f t="shared" si="6"/>
        <v/>
      </c>
      <c r="AE42" s="161" t="str">
        <f t="shared" si="7"/>
        <v/>
      </c>
      <c r="AF42" s="162" t="str">
        <f t="shared" si="8"/>
        <v>01-04 May</v>
      </c>
      <c r="AG42" s="120" t="str">
        <f t="shared" si="9"/>
        <v/>
      </c>
      <c r="AH42" s="121" t="str">
        <f>IFERROR($M42+VLOOKUP($L42,'Voyage days'!$F$38:$H$89,3,FALSE),"")</f>
        <v/>
      </c>
      <c r="AI42" s="121" t="str">
        <f>IFERROR(N42+VLOOKUP($L42,'Voyage days'!$F$38:$H$89,3,FALSE),"")</f>
        <v/>
      </c>
      <c r="AJ42" s="120" t="str">
        <f t="shared" si="10"/>
        <v>01-04 May</v>
      </c>
      <c r="AK42" s="121">
        <f>IFERROR($M42+VLOOKUP($L42,'Voyage days'!$F$94:$H$193,3,FALSE),"")</f>
        <v>46143</v>
      </c>
      <c r="AL42" s="121">
        <f>IFERROR($N42+VLOOKUP($L42,'Voyage days'!$F$94:$H$193,3,FALSE),"")</f>
        <v>46146</v>
      </c>
      <c r="AM42" s="120" t="str">
        <f t="shared" si="11"/>
        <v>02-05 May</v>
      </c>
      <c r="AN42" s="121">
        <f>IFERROR($M42+VLOOKUP($L42,'Voyage days'!$F$203:$H$256,3,FALSE),"")</f>
        <v>46144</v>
      </c>
      <c r="AO42" s="121">
        <f>IFERROR($N42+VLOOKUP($L42,'Voyage days'!$F$203:$H$256,3,FALSE),"")</f>
        <v>46147</v>
      </c>
      <c r="AP42" s="120" t="str">
        <f t="shared" si="12"/>
        <v>28-01 May</v>
      </c>
      <c r="AQ42" s="121">
        <f>IFERROR($M42+VLOOKUP($L42,'Voyage days'!$F$294:$H$377,3,FALSE),"")</f>
        <v>46140</v>
      </c>
      <c r="AR42" s="121">
        <f>IFERROR($N42+VLOOKUP($L42,'Voyage days'!$F$294:$H$377,3,FALSE),"")</f>
        <v>46143</v>
      </c>
      <c r="AS42" s="120" t="str">
        <f t="shared" si="13"/>
        <v>19-22 Apr</v>
      </c>
      <c r="AT42" s="121">
        <f>IFERROR($M42+VLOOKUP($L42,'Voyage days'!$F$382:$H$446,3,FALSE),"")</f>
        <v>46131</v>
      </c>
      <c r="AU42" s="121">
        <f>IFERROR($N42+VLOOKUP($L42,'Voyage days'!$F$382:$H$446,3,FALSE),"")</f>
        <v>46134</v>
      </c>
      <c r="AV42" s="120" t="str">
        <f t="shared" si="14"/>
        <v/>
      </c>
      <c r="AW42" s="121" t="str">
        <f>IFERROR($M42+VLOOKUP($L42,'Voyage days'!$F$483:$H$538,3,FALSE),"")</f>
        <v/>
      </c>
      <c r="AX42" s="121" t="str">
        <f>IFERROR($N42+VLOOKUP($L42,'Voyage days'!$F$483:$H$538,3,FALSE),"")</f>
        <v/>
      </c>
      <c r="AY42" s="120" t="str">
        <f t="shared" si="15"/>
        <v/>
      </c>
      <c r="AZ42" s="121" t="str">
        <f>IFERROR($M42+VLOOKUP($L42,'Voyage days'!$F$540:$H$613,3,FALSE),"")</f>
        <v/>
      </c>
      <c r="BA42" s="121" t="str">
        <f>IFERROR($N42+VLOOKUP($L42,'Voyage days'!$F$540:$H$613,3,FALSE),"")</f>
        <v/>
      </c>
      <c r="BB42" s="120" t="str">
        <f t="shared" si="16"/>
        <v/>
      </c>
      <c r="BC42" s="121" t="str">
        <f>IFERROR($M42+VLOOKUP($L42,'Voyage days'!$F$448:$H$479,3,FALSE),"")</f>
        <v/>
      </c>
      <c r="BD42" s="121" t="str">
        <f>IFERROR($N42+VLOOKUP($L42,'Voyage days'!$F$448:$H$479,3,FALSE),"")</f>
        <v/>
      </c>
      <c r="BE42" s="120" t="str">
        <f t="shared" si="17"/>
        <v/>
      </c>
      <c r="BF42" s="122" t="str">
        <f>IFERROR($M42+VLOOKUP($L42,'Voyage days'!$F$620:$H$646,3,FALSE),"")</f>
        <v/>
      </c>
      <c r="BG42" s="122" t="str">
        <f>IFERROR($N42+VLOOKUP($L42,'Voyage days'!$F$620:$H$646,3,FALSE),"")</f>
        <v/>
      </c>
      <c r="BH42" s="120" t="str">
        <f t="shared" si="18"/>
        <v/>
      </c>
      <c r="BI42" s="123" t="str">
        <f>IFERROR($M42+VLOOKUP($L42,'Voyage days'!$F$702:$H$727,3,FALSE),"")</f>
        <v/>
      </c>
      <c r="BJ42" s="120" t="str">
        <f t="shared" si="19"/>
        <v>01-04 May</v>
      </c>
      <c r="BK42" s="122">
        <f>IFERROR($M42+VLOOKUP($L42,'Voyage days'!$F$807:$H$878,3,FALSE),"")</f>
        <v>46143</v>
      </c>
      <c r="BL42" s="122">
        <f>IFERROR($N42+VLOOKUP($L42,'Voyage days'!$F$807:$H$878,3,FALSE),"")</f>
        <v>46146</v>
      </c>
      <c r="BM42" s="122">
        <f>IFERROR($N42+VLOOKUP($L42,'Voyage days'!$F$807:$K$878,6,FALSE),"")</f>
        <v>46132</v>
      </c>
      <c r="BN42" s="121" t="str">
        <f>if(L42="loads AG", IFERROR($M42+VLOOKUP($L42,'Voyage days'!$M$38:$O$38,3,FALSE),""),"")</f>
        <v/>
      </c>
      <c r="BO42" s="121" t="str">
        <f>if(L42="loads USG", IFERROR($M42+VLOOKUP($L42,'Voyage days'!$L$203:$N$203,3,FALSE),""),"")</f>
        <v/>
      </c>
    </row>
    <row r="43" ht="15.75" customHeight="1">
      <c r="A43" s="80" t="s">
        <v>244</v>
      </c>
      <c r="B43" s="101">
        <v>43570.0</v>
      </c>
      <c r="C43" s="102">
        <v>83000.0</v>
      </c>
      <c r="D43" s="103"/>
      <c r="E43" s="103"/>
      <c r="F43" s="104"/>
      <c r="G43" s="104"/>
      <c r="H43" s="104" t="s">
        <v>689</v>
      </c>
      <c r="I43" s="332" t="s">
        <v>761</v>
      </c>
      <c r="J43" s="106" t="str">
        <f t="shared" ref="J43:J68" si="21">IF(W43="","NO AIS",IF((W43-M43-1)&gt;0,"Update",""))</f>
        <v>NO AIS</v>
      </c>
      <c r="K43" s="107"/>
      <c r="L43" s="108" t="s">
        <v>656</v>
      </c>
      <c r="M43" s="337">
        <v>46151.0</v>
      </c>
      <c r="N43" s="109">
        <v>46152.0</v>
      </c>
      <c r="O43" s="334"/>
      <c r="P43" s="192" t="s">
        <v>776</v>
      </c>
      <c r="Q43" s="108"/>
      <c r="R43" s="108" t="s">
        <v>777</v>
      </c>
      <c r="S43" s="256" t="s">
        <v>33</v>
      </c>
      <c r="T43" s="293">
        <v>46125.0</v>
      </c>
      <c r="U43" s="114" t="str">
        <f>IF(V43="","No AIS",VLOOKUP(V43,'Voyage days'!$A$3:$B$1480,2,FALSE))</f>
        <v>No AIS</v>
      </c>
      <c r="V43" s="115" t="str">
        <f>IF(VLOOKUP(A43,'1) Kpler'!$E$2:$P$1000,8, FALSE)="","",VLOOKUP(A43,'1) Kpler'!$E$2:$P$1000,8, FALSE))</f>
        <v/>
      </c>
      <c r="W43" s="116" t="str">
        <f>IF(VLOOKUP(A43,'1) Kpler'!$E$2:$P$1000,9,FALSE)="","",VLOOKUP(A43,'1) Kpler'!$E$2:$P$1000,9,FALSE))</f>
        <v/>
      </c>
      <c r="X43" s="115" t="str">
        <f>VLOOKUP(A43,'1) Kpler'!$E$2:$I$1000,4,FALSE)</f>
        <v>loaded</v>
      </c>
      <c r="Y43" s="117" t="str">
        <f t="shared" si="1"/>
        <v>27-28 May</v>
      </c>
      <c r="Z43" s="117" t="str">
        <f t="shared" si="2"/>
        <v>09-10 Jun</v>
      </c>
      <c r="AA43" s="117" t="str">
        <f t="shared" si="3"/>
        <v>16-17 Jun</v>
      </c>
      <c r="AB43" s="117" t="str">
        <f t="shared" si="4"/>
        <v>08-09 Jun</v>
      </c>
      <c r="AC43" s="117" t="str">
        <f t="shared" si="5"/>
        <v>14-15 Jun</v>
      </c>
      <c r="AD43" s="117" t="str">
        <f t="shared" si="6"/>
        <v>17-18 May</v>
      </c>
      <c r="AE43" s="118" t="str">
        <f t="shared" si="7"/>
        <v>17-18 May</v>
      </c>
      <c r="AF43" s="119" t="str">
        <f t="shared" si="8"/>
        <v>24-25 Jun</v>
      </c>
      <c r="AG43" s="120" t="str">
        <f t="shared" si="9"/>
        <v>27-28 May</v>
      </c>
      <c r="AH43" s="121">
        <f>IFERROR($M43+VLOOKUP($L43,'Voyage days'!$F$38:$H$89,3,FALSE),"")</f>
        <v>46169</v>
      </c>
      <c r="AI43" s="121">
        <f>IFERROR(N43+VLOOKUP($L43,'Voyage days'!$F$38:$H$89,3,FALSE),"")</f>
        <v>46170</v>
      </c>
      <c r="AJ43" s="120" t="str">
        <f t="shared" si="10"/>
        <v>09-10 Jun</v>
      </c>
      <c r="AK43" s="121">
        <f>IFERROR($M43+VLOOKUP($L43,'Voyage days'!$F$94:$H$193,3,FALSE),"")</f>
        <v>46182</v>
      </c>
      <c r="AL43" s="121">
        <f>IFERROR($N43+VLOOKUP($L43,'Voyage days'!$F$94:$H$193,3,FALSE),"")</f>
        <v>46183</v>
      </c>
      <c r="AM43" s="120" t="str">
        <f t="shared" si="11"/>
        <v>16-17 Jun</v>
      </c>
      <c r="AN43" s="121">
        <f>IFERROR($M43+VLOOKUP($L43,'Voyage days'!$F$203:$H$256,3,FALSE),"")</f>
        <v>46189</v>
      </c>
      <c r="AO43" s="121">
        <f>IFERROR($N43+VLOOKUP($L43,'Voyage days'!$F$203:$H$256,3,FALSE),"")</f>
        <v>46190</v>
      </c>
      <c r="AP43" s="120" t="str">
        <f t="shared" si="12"/>
        <v>08-09 Jun</v>
      </c>
      <c r="AQ43" s="121">
        <f>IFERROR($M43+VLOOKUP($L43,'Voyage days'!$F$294:$H$377,3,FALSE),"")</f>
        <v>46181</v>
      </c>
      <c r="AR43" s="121">
        <f>IFERROR($N43+VLOOKUP($L43,'Voyage days'!$F$294:$H$377,3,FALSE),"")</f>
        <v>46182</v>
      </c>
      <c r="AS43" s="120" t="str">
        <f t="shared" si="13"/>
        <v>14-15 Jun</v>
      </c>
      <c r="AT43" s="121">
        <f>IFERROR($M43+VLOOKUP($L43,'Voyage days'!$F$382:$H$446,3,FALSE),"")</f>
        <v>46187</v>
      </c>
      <c r="AU43" s="121">
        <f>IFERROR($N43+VLOOKUP($L43,'Voyage days'!$F$382:$H$446,3,FALSE),"")</f>
        <v>46188</v>
      </c>
      <c r="AV43" s="120" t="str">
        <f t="shared" si="14"/>
        <v>22-23 May</v>
      </c>
      <c r="AW43" s="121">
        <f>IFERROR($M43+VLOOKUP($L43,'Voyage days'!$F$483:$H$538,3,FALSE),"")</f>
        <v>46164</v>
      </c>
      <c r="AX43" s="121">
        <f>IFERROR($N43+VLOOKUP($L43,'Voyage days'!$F$483:$H$538,3,FALSE),"")</f>
        <v>46165</v>
      </c>
      <c r="AY43" s="120" t="str">
        <f t="shared" si="15"/>
        <v>17-18 May</v>
      </c>
      <c r="AZ43" s="121">
        <f>IFERROR($M43+VLOOKUP($L43,'Voyage days'!$F$540:$H$613,3,FALSE),"")</f>
        <v>46159.25</v>
      </c>
      <c r="BA43" s="121">
        <f>IFERROR($N43+VLOOKUP($L43,'Voyage days'!$F$540:$H$613,3,FALSE),"")</f>
        <v>46160.25</v>
      </c>
      <c r="BB43" s="120" t="str">
        <f t="shared" si="16"/>
        <v>17-18 May</v>
      </c>
      <c r="BC43" s="121">
        <f>IFERROR($M43+VLOOKUP($L43,'Voyage days'!$F$448:$H$479,3,FALSE),"")</f>
        <v>46159</v>
      </c>
      <c r="BD43" s="121">
        <f>IFERROR($N43+VLOOKUP($L43,'Voyage days'!$F$448:$H$479,3,FALSE),"")</f>
        <v>46160</v>
      </c>
      <c r="BE43" s="120" t="str">
        <f t="shared" si="17"/>
        <v>20-21 May</v>
      </c>
      <c r="BF43" s="122">
        <f>IFERROR($M43+VLOOKUP($L43,'Voyage days'!$F$620:$H$646,3,FALSE),"")</f>
        <v>46162</v>
      </c>
      <c r="BG43" s="122">
        <f>IFERROR($N43+VLOOKUP($L43,'Voyage days'!$F$620:$H$646,3,FALSE),"")</f>
        <v>46163</v>
      </c>
      <c r="BH43" s="120" t="str">
        <f t="shared" si="18"/>
        <v>17-25 Jun</v>
      </c>
      <c r="BI43" s="123">
        <f>IFERROR($M43+VLOOKUP($L43,'Voyage days'!$F$702:$H$727,3,FALSE),"")</f>
        <v>46159.25</v>
      </c>
      <c r="BJ43" s="120" t="str">
        <f t="shared" si="19"/>
        <v>24-25 Jun</v>
      </c>
      <c r="BK43" s="122">
        <f>IFERROR($M43+VLOOKUP($L43,'Voyage days'!$F$807:$H$878,3,FALSE),"")</f>
        <v>46197</v>
      </c>
      <c r="BL43" s="122">
        <f>IFERROR($N43+VLOOKUP($L43,'Voyage days'!$F$807:$H$878,3,FALSE),"")</f>
        <v>46198</v>
      </c>
      <c r="BM43" s="122">
        <f>IFERROR($N43+VLOOKUP($L43,'Voyage days'!$F$807:$K$878,6,FALSE),"")</f>
        <v>46172</v>
      </c>
      <c r="BN43" s="121" t="str">
        <f>if(L43="loads AG", IFERROR($M43+VLOOKUP($L43,'Voyage days'!$M$38:$O$38,3,FALSE),""),"")</f>
        <v/>
      </c>
      <c r="BO43" s="121" t="str">
        <f>if(L43="loads USG", IFERROR($M43+VLOOKUP($L43,'Voyage days'!$L$203:$N$203,3,FALSE),""),"")</f>
        <v/>
      </c>
    </row>
    <row r="44" ht="15.75" customHeight="1">
      <c r="A44" s="298" t="s">
        <v>274</v>
      </c>
      <c r="B44" s="148">
        <v>2021.0</v>
      </c>
      <c r="C44" s="102">
        <v>84000.0</v>
      </c>
      <c r="D44" s="103"/>
      <c r="E44" s="103"/>
      <c r="F44" s="104"/>
      <c r="G44" s="104"/>
      <c r="H44" s="104" t="s">
        <v>689</v>
      </c>
      <c r="I44" s="332" t="s">
        <v>761</v>
      </c>
      <c r="J44" s="106" t="str">
        <f t="shared" si="21"/>
        <v>Update</v>
      </c>
      <c r="K44" s="107"/>
      <c r="L44" s="108" t="s">
        <v>680</v>
      </c>
      <c r="M44" s="109">
        <v>46132.0</v>
      </c>
      <c r="N44" s="109">
        <v>46133.0</v>
      </c>
      <c r="O44" s="110"/>
      <c r="P44" s="192" t="s">
        <v>778</v>
      </c>
      <c r="Q44" s="185"/>
      <c r="R44" s="108" t="s">
        <v>779</v>
      </c>
      <c r="S44" s="256" t="s">
        <v>33</v>
      </c>
      <c r="T44" s="293">
        <v>46125.0</v>
      </c>
      <c r="U44" s="114" t="str">
        <f>IF(V44="","No AIS",VLOOKUP(V44,'Voyage days'!$A$3:$B$1480,2,FALSE))</f>
        <v>USG</v>
      </c>
      <c r="V44" s="115" t="str">
        <f>IF(VLOOKUP(A44,'1) Kpler'!$E$2:$P$1000,8, FALSE)="","",VLOOKUP(A44,'1) Kpler'!$E$2:$P$1000,8, FALSE))</f>
        <v>Energy Transfer Nederland</v>
      </c>
      <c r="W44" s="116">
        <f>IF(VLOOKUP(A44,'1) Kpler'!$E$2:$P$1000,9,FALSE)="","",VLOOKUP(A44,'1) Kpler'!$E$2:$P$1000,9,FALSE))</f>
        <v>46133.79167</v>
      </c>
      <c r="X44" s="115" t="str">
        <f>VLOOKUP(A44,'1) Kpler'!$E$2:$I$1000,4,FALSE)</f>
        <v>ballast</v>
      </c>
      <c r="Y44" s="160" t="str">
        <f t="shared" si="1"/>
        <v/>
      </c>
      <c r="Z44" s="160" t="str">
        <f t="shared" si="2"/>
        <v>20-21 Apr</v>
      </c>
      <c r="AA44" s="160" t="str">
        <f t="shared" si="3"/>
        <v>20-21 Apr</v>
      </c>
      <c r="AB44" s="160" t="str">
        <f t="shared" si="4"/>
        <v/>
      </c>
      <c r="AC44" s="160" t="str">
        <f t="shared" si="5"/>
        <v>10-11 May</v>
      </c>
      <c r="AD44" s="160" t="str">
        <f t="shared" si="6"/>
        <v/>
      </c>
      <c r="AE44" s="161" t="str">
        <f t="shared" si="7"/>
        <v/>
      </c>
      <c r="AF44" s="162" t="str">
        <f t="shared" si="8"/>
        <v/>
      </c>
      <c r="AG44" s="120" t="str">
        <f t="shared" si="9"/>
        <v/>
      </c>
      <c r="AH44" s="121" t="str">
        <f>IFERROR($M44+VLOOKUP($L44,'Voyage days'!$F$38:$H$89,3,FALSE),"")</f>
        <v/>
      </c>
      <c r="AI44" s="121" t="str">
        <f>IFERROR(N44+VLOOKUP($L44,'Voyage days'!$F$38:$H$89,3,FALSE),"")</f>
        <v/>
      </c>
      <c r="AJ44" s="120" t="str">
        <f t="shared" si="10"/>
        <v>20-21 Apr</v>
      </c>
      <c r="AK44" s="121">
        <f>IFERROR($M44+VLOOKUP($L44,'Voyage days'!$F$94:$H$193,3,FALSE),"")</f>
        <v>46132</v>
      </c>
      <c r="AL44" s="121">
        <f>IFERROR($N44+VLOOKUP($L44,'Voyage days'!$F$94:$H$193,3,FALSE),"")</f>
        <v>46133</v>
      </c>
      <c r="AM44" s="120" t="str">
        <f t="shared" si="11"/>
        <v>20-21 Apr</v>
      </c>
      <c r="AN44" s="121">
        <f>IFERROR($M44+VLOOKUP($L44,'Voyage days'!$F$203:$H$256,3,FALSE),"")</f>
        <v>46132</v>
      </c>
      <c r="AO44" s="121">
        <f>IFERROR($N44+VLOOKUP($L44,'Voyage days'!$F$203:$H$256,3,FALSE),"")</f>
        <v>46133</v>
      </c>
      <c r="AP44" s="120" t="str">
        <f t="shared" si="12"/>
        <v/>
      </c>
      <c r="AQ44" s="121" t="str">
        <f>IFERROR($M44+VLOOKUP($L44,'Voyage days'!$F$294:$H$377,3,FALSE),"")</f>
        <v/>
      </c>
      <c r="AR44" s="121" t="str">
        <f>IFERROR($N44+VLOOKUP($L44,'Voyage days'!$F$294:$H$377,3,FALSE),"")</f>
        <v/>
      </c>
      <c r="AS44" s="120" t="str">
        <f t="shared" si="13"/>
        <v>10-11 May</v>
      </c>
      <c r="AT44" s="121">
        <f>IFERROR($M44+VLOOKUP($L44,'Voyage days'!$F$382:$H$446,3,FALSE),"")</f>
        <v>46152</v>
      </c>
      <c r="AU44" s="121">
        <f>IFERROR($N44+VLOOKUP($L44,'Voyage days'!$F$382:$H$446,3,FALSE),"")</f>
        <v>46153</v>
      </c>
      <c r="AV44" s="120" t="str">
        <f t="shared" si="14"/>
        <v/>
      </c>
      <c r="AW44" s="121" t="str">
        <f>IFERROR($M44+VLOOKUP($L44,'Voyage days'!$F$483:$H$538,3,FALSE),"")</f>
        <v/>
      </c>
      <c r="AX44" s="121" t="str">
        <f>IFERROR($N44+VLOOKUP($L44,'Voyage days'!$F$483:$H$538,3,FALSE),"")</f>
        <v/>
      </c>
      <c r="AY44" s="120" t="str">
        <f t="shared" si="15"/>
        <v/>
      </c>
      <c r="AZ44" s="121" t="str">
        <f>IFERROR($M44+VLOOKUP($L44,'Voyage days'!$F$540:$H$613,3,FALSE),"")</f>
        <v/>
      </c>
      <c r="BA44" s="121" t="str">
        <f>IFERROR($N44+VLOOKUP($L44,'Voyage days'!$F$540:$H$613,3,FALSE),"")</f>
        <v/>
      </c>
      <c r="BB44" s="120" t="str">
        <f t="shared" si="16"/>
        <v/>
      </c>
      <c r="BC44" s="121" t="str">
        <f>IFERROR($M44+VLOOKUP($L44,'Voyage days'!$F$448:$H$479,3,FALSE),"")</f>
        <v/>
      </c>
      <c r="BD44" s="121" t="str">
        <f>IFERROR($N44+VLOOKUP($L44,'Voyage days'!$F$448:$H$479,3,FALSE),"")</f>
        <v/>
      </c>
      <c r="BE44" s="120" t="str">
        <f t="shared" si="17"/>
        <v/>
      </c>
      <c r="BF44" s="122" t="str">
        <f>IFERROR($M44+VLOOKUP($L44,'Voyage days'!$F$620:$H$646,3,FALSE),"")</f>
        <v/>
      </c>
      <c r="BG44" s="122" t="str">
        <f>IFERROR($N44+VLOOKUP($L44,'Voyage days'!$F$620:$H$646,3,FALSE),"")</f>
        <v/>
      </c>
      <c r="BH44" s="120" t="str">
        <f t="shared" si="18"/>
        <v/>
      </c>
      <c r="BI44" s="123" t="str">
        <f>IFERROR($M44+VLOOKUP($L44,'Voyage days'!$F$702:$H$727,3,FALSE),"")</f>
        <v/>
      </c>
      <c r="BJ44" s="120" t="str">
        <f t="shared" si="19"/>
        <v/>
      </c>
      <c r="BK44" s="122" t="str">
        <f>IFERROR($M44+VLOOKUP($L44,'Voyage days'!$F$807:$H$878,3,FALSE),"")</f>
        <v/>
      </c>
      <c r="BL44" s="122" t="str">
        <f>IFERROR($N44+VLOOKUP($L44,'Voyage days'!$F$807:$H$878,3,FALSE),"")</f>
        <v/>
      </c>
      <c r="BM44" s="122" t="str">
        <f>IFERROR($N44+VLOOKUP($L44,'Voyage days'!$F$807:$K$878,6,FALSE),"")</f>
        <v/>
      </c>
      <c r="BN44" s="121" t="str">
        <f>if(L44="loads AG", IFERROR($M44+VLOOKUP($L44,'Voyage days'!$M$38:$O$38,3,FALSE),""),"")</f>
        <v/>
      </c>
      <c r="BO44" s="121">
        <f>if(L44="loads USG", IFERROR($M44+VLOOKUP($L44,'Voyage days'!$L$203:$N$203,3,FALSE),""),"")</f>
        <v>46164</v>
      </c>
    </row>
    <row r="45" ht="15.75" customHeight="1">
      <c r="A45" s="338" t="s">
        <v>276</v>
      </c>
      <c r="B45" s="148">
        <v>2021.0</v>
      </c>
      <c r="C45" s="102">
        <v>84000.0</v>
      </c>
      <c r="D45" s="103"/>
      <c r="E45" s="103"/>
      <c r="F45" s="104"/>
      <c r="G45" s="104"/>
      <c r="H45" s="104" t="s">
        <v>689</v>
      </c>
      <c r="I45" s="332" t="s">
        <v>761</v>
      </c>
      <c r="J45" s="106" t="str">
        <f t="shared" si="21"/>
        <v/>
      </c>
      <c r="K45" s="107"/>
      <c r="L45" s="108" t="s">
        <v>745</v>
      </c>
      <c r="M45" s="109">
        <v>46149.0</v>
      </c>
      <c r="N45" s="109">
        <v>46150.0</v>
      </c>
      <c r="O45" s="191" t="s">
        <v>729</v>
      </c>
      <c r="P45" s="339" t="s">
        <v>780</v>
      </c>
      <c r="Q45" s="185"/>
      <c r="R45" s="108" t="s">
        <v>781</v>
      </c>
      <c r="S45" s="256" t="s">
        <v>33</v>
      </c>
      <c r="T45" s="293">
        <v>46125.0</v>
      </c>
      <c r="U45" s="114" t="str">
        <f>IF(V45="","No AIS",VLOOKUP(V45,'Voyage days'!$A$3:$B$1480,2,FALSE))</f>
        <v>Suez + 7</v>
      </c>
      <c r="V45" s="115" t="str">
        <f>IF(VLOOKUP(A45,'1) Kpler'!$E$2:$P$1000,8, FALSE)="","",VLOOKUP(A45,'1) Kpler'!$E$2:$P$1000,8, FALSE))</f>
        <v>Port Said</v>
      </c>
      <c r="W45" s="116">
        <f>IF(VLOOKUP(A45,'1) Kpler'!$E$2:$P$1000,9,FALSE)="","",VLOOKUP(A45,'1) Kpler'!$E$2:$P$1000,9,FALSE))</f>
        <v>46142.16667</v>
      </c>
      <c r="X45" s="115" t="str">
        <f>VLOOKUP(A45,'1) Kpler'!$E$2:$I$1000,4,FALSE)</f>
        <v>loaded</v>
      </c>
      <c r="Y45" s="117" t="str">
        <f t="shared" si="1"/>
        <v>16-17 May</v>
      </c>
      <c r="Z45" s="117" t="str">
        <f t="shared" si="2"/>
        <v>25-26 May</v>
      </c>
      <c r="AA45" s="117" t="str">
        <f t="shared" si="3"/>
        <v>28-29 May</v>
      </c>
      <c r="AB45" s="117" t="str">
        <f t="shared" si="4"/>
        <v>22-23 May</v>
      </c>
      <c r="AC45" s="117" t="str">
        <f t="shared" si="5"/>
        <v>15-16 May</v>
      </c>
      <c r="AD45" s="117" t="str">
        <f t="shared" si="6"/>
        <v/>
      </c>
      <c r="AE45" s="118" t="str">
        <f t="shared" si="7"/>
        <v/>
      </c>
      <c r="AF45" s="119" t="str">
        <f t="shared" si="8"/>
        <v>08-09 May</v>
      </c>
      <c r="AG45" s="120" t="str">
        <f t="shared" si="9"/>
        <v>16-17 May</v>
      </c>
      <c r="AH45" s="121">
        <f>IFERROR($M45+VLOOKUP($L45,'Voyage days'!$F$38:$H$89,3,FALSE),"")</f>
        <v>46158</v>
      </c>
      <c r="AI45" s="121">
        <f>IFERROR(N45+VLOOKUP($L45,'Voyage days'!$F$38:$H$89,3,FALSE),"")</f>
        <v>46159</v>
      </c>
      <c r="AJ45" s="120" t="str">
        <f t="shared" si="10"/>
        <v>25-26 May</v>
      </c>
      <c r="AK45" s="121">
        <f>IFERROR($M45+VLOOKUP($L45,'Voyage days'!$F$94:$H$193,3,FALSE),"")</f>
        <v>46167</v>
      </c>
      <c r="AL45" s="121">
        <f>IFERROR($N45+VLOOKUP($L45,'Voyage days'!$F$94:$H$193,3,FALSE),"")</f>
        <v>46168</v>
      </c>
      <c r="AM45" s="120" t="str">
        <f t="shared" si="11"/>
        <v>28-29 May</v>
      </c>
      <c r="AN45" s="121">
        <f>IFERROR($M45+VLOOKUP($L45,'Voyage days'!$F$203:$H$256,3,FALSE),"")</f>
        <v>46170</v>
      </c>
      <c r="AO45" s="121">
        <f>IFERROR($N45+VLOOKUP($L45,'Voyage days'!$F$203:$H$256,3,FALSE),"")</f>
        <v>46171</v>
      </c>
      <c r="AP45" s="120" t="str">
        <f t="shared" si="12"/>
        <v>22-23 May</v>
      </c>
      <c r="AQ45" s="121">
        <f>IFERROR($M45+VLOOKUP($L45,'Voyage days'!$F$294:$H$377,3,FALSE),"")</f>
        <v>46164</v>
      </c>
      <c r="AR45" s="121">
        <f>IFERROR($N45+VLOOKUP($L45,'Voyage days'!$F$294:$H$377,3,FALSE),"")</f>
        <v>46165</v>
      </c>
      <c r="AS45" s="120" t="str">
        <f t="shared" si="13"/>
        <v>15-16 May</v>
      </c>
      <c r="AT45" s="121">
        <f>IFERROR($M45+VLOOKUP($L45,'Voyage days'!$F$382:$H$446,3,FALSE),"")</f>
        <v>46157</v>
      </c>
      <c r="AU45" s="121">
        <f>IFERROR($N45+VLOOKUP($L45,'Voyage days'!$F$382:$H$446,3,FALSE),"")</f>
        <v>46158</v>
      </c>
      <c r="AV45" s="120" t="str">
        <f t="shared" si="14"/>
        <v/>
      </c>
      <c r="AW45" s="121" t="str">
        <f>IFERROR($M45+VLOOKUP($L45,'Voyage days'!$F$483:$H$538,3,FALSE),"")</f>
        <v/>
      </c>
      <c r="AX45" s="121" t="str">
        <f>IFERROR($N45+VLOOKUP($L45,'Voyage days'!$F$483:$H$538,3,FALSE),"")</f>
        <v/>
      </c>
      <c r="AY45" s="120" t="str">
        <f t="shared" si="15"/>
        <v/>
      </c>
      <c r="AZ45" s="121" t="str">
        <f>IFERROR($M45+VLOOKUP($L45,'Voyage days'!$F$540:$H$613,3,FALSE),"")</f>
        <v/>
      </c>
      <c r="BA45" s="121" t="str">
        <f>IFERROR($N45+VLOOKUP($L45,'Voyage days'!$F$540:$H$613,3,FALSE),"")</f>
        <v/>
      </c>
      <c r="BB45" s="120" t="str">
        <f t="shared" si="16"/>
        <v/>
      </c>
      <c r="BC45" s="121" t="str">
        <f>IFERROR($M45+VLOOKUP($L45,'Voyage days'!$F$448:$H$479,3,FALSE),"")</f>
        <v/>
      </c>
      <c r="BD45" s="121" t="str">
        <f>IFERROR($N45+VLOOKUP($L45,'Voyage days'!$F$448:$H$479,3,FALSE),"")</f>
        <v/>
      </c>
      <c r="BE45" s="120" t="str">
        <f t="shared" si="17"/>
        <v/>
      </c>
      <c r="BF45" s="122" t="str">
        <f>IFERROR($M45+VLOOKUP($L45,'Voyage days'!$F$620:$H$646,3,FALSE),"")</f>
        <v/>
      </c>
      <c r="BG45" s="122" t="str">
        <f>IFERROR($N45+VLOOKUP($L45,'Voyage days'!$F$620:$H$646,3,FALSE),"")</f>
        <v/>
      </c>
      <c r="BH45" s="120" t="str">
        <f t="shared" si="18"/>
        <v/>
      </c>
      <c r="BI45" s="123" t="str">
        <f>IFERROR($M45+VLOOKUP($L45,'Voyage days'!$F$702:$H$727,3,FALSE),"")</f>
        <v/>
      </c>
      <c r="BJ45" s="120" t="str">
        <f t="shared" si="19"/>
        <v>08-09 May</v>
      </c>
      <c r="BK45" s="122">
        <f>IFERROR($M45+VLOOKUP($L45,'Voyage days'!$F$807:$H$878,3,FALSE),"")</f>
        <v>46150.5</v>
      </c>
      <c r="BL45" s="122">
        <f>IFERROR($N45+VLOOKUP($L45,'Voyage days'!$F$807:$H$878,3,FALSE),"")</f>
        <v>46151.5</v>
      </c>
      <c r="BM45" s="122">
        <f>IFERROR($N45+VLOOKUP($L45,'Voyage days'!$F$807:$K$878,6,FALSE),"")</f>
        <v>46150</v>
      </c>
      <c r="BN45" s="121" t="str">
        <f>if(L45="loads AG", IFERROR($M45+VLOOKUP($L45,'Voyage days'!$M$38:$O$38,3,FALSE),""),"")</f>
        <v/>
      </c>
      <c r="BO45" s="121" t="str">
        <f>if(L45="loads USG", IFERROR($M45+VLOOKUP($L45,'Voyage days'!$L$203:$N$203,3,FALSE),""),"")</f>
        <v/>
      </c>
    </row>
    <row r="46" ht="15.75" customHeight="1">
      <c r="A46" s="100" t="s">
        <v>291</v>
      </c>
      <c r="B46" s="148">
        <v>2024.0</v>
      </c>
      <c r="C46" s="102">
        <v>87000.0</v>
      </c>
      <c r="D46" s="103"/>
      <c r="E46" s="103"/>
      <c r="F46" s="104"/>
      <c r="G46" s="104"/>
      <c r="H46" s="104" t="s">
        <v>666</v>
      </c>
      <c r="I46" s="332" t="s">
        <v>761</v>
      </c>
      <c r="J46" s="106" t="str">
        <f t="shared" si="21"/>
        <v/>
      </c>
      <c r="K46" s="107"/>
      <c r="L46" s="199" t="s">
        <v>680</v>
      </c>
      <c r="M46" s="109">
        <v>46137.0</v>
      </c>
      <c r="N46" s="109">
        <v>46138.0</v>
      </c>
      <c r="O46" s="191" t="s">
        <v>729</v>
      </c>
      <c r="P46" s="339" t="s">
        <v>782</v>
      </c>
      <c r="Q46" s="340"/>
      <c r="R46" s="108" t="s">
        <v>783</v>
      </c>
      <c r="S46" s="256" t="s">
        <v>33</v>
      </c>
      <c r="T46" s="293">
        <v>46125.0</v>
      </c>
      <c r="U46" s="114" t="str">
        <f>IF(V46="","No AIS",VLOOKUP(V46,'Voyage days'!$A$3:$B$1480,2,FALSE))</f>
        <v>USG</v>
      </c>
      <c r="V46" s="115" t="str">
        <f>IF(VLOOKUP(A46,'1) Kpler'!$E$2:$P$1000,8, FALSE)="","",VLOOKUP(A46,'1) Kpler'!$E$2:$P$1000,8, FALSE))</f>
        <v>Houston</v>
      </c>
      <c r="W46" s="116">
        <f>IF(VLOOKUP(A46,'1) Kpler'!$E$2:$P$1000,9,FALSE)="","",VLOOKUP(A46,'1) Kpler'!$E$2:$P$1000,9,FALSE))</f>
        <v>46137.00069</v>
      </c>
      <c r="X46" s="115" t="str">
        <f>VLOOKUP(A46,'1) Kpler'!$E$2:$I$1000,4,FALSE)</f>
        <v>ballast</v>
      </c>
      <c r="Y46" s="160" t="str">
        <f t="shared" si="1"/>
        <v/>
      </c>
      <c r="Z46" s="160" t="str">
        <f t="shared" si="2"/>
        <v>25-26 Apr</v>
      </c>
      <c r="AA46" s="160" t="str">
        <f t="shared" si="3"/>
        <v>25-26 Apr</v>
      </c>
      <c r="AB46" s="160" t="str">
        <f t="shared" si="4"/>
        <v/>
      </c>
      <c r="AC46" s="160" t="str">
        <f t="shared" si="5"/>
        <v>15-16 May</v>
      </c>
      <c r="AD46" s="160" t="str">
        <f t="shared" si="6"/>
        <v/>
      </c>
      <c r="AE46" s="161" t="str">
        <f t="shared" si="7"/>
        <v/>
      </c>
      <c r="AF46" s="162" t="str">
        <f t="shared" si="8"/>
        <v/>
      </c>
      <c r="AG46" s="120" t="str">
        <f t="shared" si="9"/>
        <v/>
      </c>
      <c r="AH46" s="121" t="str">
        <f>IFERROR($M46+VLOOKUP($L46,'Voyage days'!$F$38:$H$89,3,FALSE),"")</f>
        <v/>
      </c>
      <c r="AI46" s="121" t="str">
        <f>IFERROR(N46+VLOOKUP($L46,'Voyage days'!$F$38:$H$89,3,FALSE),"")</f>
        <v/>
      </c>
      <c r="AJ46" s="120" t="str">
        <f t="shared" si="10"/>
        <v>25-26 Apr</v>
      </c>
      <c r="AK46" s="121">
        <f>IFERROR($M46+VLOOKUP($L46,'Voyage days'!$F$94:$H$193,3,FALSE),"")</f>
        <v>46137</v>
      </c>
      <c r="AL46" s="121">
        <f>IFERROR($N46+VLOOKUP($L46,'Voyage days'!$F$94:$H$193,3,FALSE),"")</f>
        <v>46138</v>
      </c>
      <c r="AM46" s="120" t="str">
        <f t="shared" si="11"/>
        <v>25-26 Apr</v>
      </c>
      <c r="AN46" s="121">
        <f>IFERROR($M46+VLOOKUP($L46,'Voyage days'!$F$203:$H$256,3,FALSE),"")</f>
        <v>46137</v>
      </c>
      <c r="AO46" s="121">
        <f>IFERROR($N46+VLOOKUP($L46,'Voyage days'!$F$203:$H$256,3,FALSE),"")</f>
        <v>46138</v>
      </c>
      <c r="AP46" s="120" t="str">
        <f t="shared" si="12"/>
        <v/>
      </c>
      <c r="AQ46" s="121" t="str">
        <f>IFERROR($M46+VLOOKUP($L46,'Voyage days'!$F$294:$H$377,3,FALSE),"")</f>
        <v/>
      </c>
      <c r="AR46" s="121" t="str">
        <f>IFERROR($N46+VLOOKUP($L46,'Voyage days'!$F$294:$H$377,3,FALSE),"")</f>
        <v/>
      </c>
      <c r="AS46" s="120" t="str">
        <f t="shared" si="13"/>
        <v>15-16 May</v>
      </c>
      <c r="AT46" s="121">
        <f>IFERROR($M46+VLOOKUP($L46,'Voyage days'!$F$382:$H$446,3,FALSE),"")</f>
        <v>46157</v>
      </c>
      <c r="AU46" s="121">
        <f>IFERROR($N46+VLOOKUP($L46,'Voyage days'!$F$382:$H$446,3,FALSE),"")</f>
        <v>46158</v>
      </c>
      <c r="AV46" s="120" t="str">
        <f t="shared" si="14"/>
        <v/>
      </c>
      <c r="AW46" s="121" t="str">
        <f>IFERROR($M46+VLOOKUP($L46,'Voyage days'!$F$483:$H$538,3,FALSE),"")</f>
        <v/>
      </c>
      <c r="AX46" s="121" t="str">
        <f>IFERROR($N46+VLOOKUP($L46,'Voyage days'!$F$483:$H$538,3,FALSE),"")</f>
        <v/>
      </c>
      <c r="AY46" s="120" t="str">
        <f t="shared" si="15"/>
        <v/>
      </c>
      <c r="AZ46" s="121" t="str">
        <f>IFERROR($M46+VLOOKUP($L46,'Voyage days'!$F$540:$H$613,3,FALSE),"")</f>
        <v/>
      </c>
      <c r="BA46" s="121" t="str">
        <f>IFERROR($N46+VLOOKUP($L46,'Voyage days'!$F$540:$H$613,3,FALSE),"")</f>
        <v/>
      </c>
      <c r="BB46" s="120" t="str">
        <f t="shared" si="16"/>
        <v/>
      </c>
      <c r="BC46" s="121" t="str">
        <f>IFERROR($M46+VLOOKUP($L46,'Voyage days'!$F$448:$H$479,3,FALSE),"")</f>
        <v/>
      </c>
      <c r="BD46" s="121" t="str">
        <f>IFERROR($N46+VLOOKUP($L46,'Voyage days'!$F$448:$H$479,3,FALSE),"")</f>
        <v/>
      </c>
      <c r="BE46" s="120" t="str">
        <f t="shared" si="17"/>
        <v/>
      </c>
      <c r="BF46" s="122" t="str">
        <f>IFERROR($M46+VLOOKUP($L46,'Voyage days'!$F$620:$H$646,3,FALSE),"")</f>
        <v/>
      </c>
      <c r="BG46" s="122" t="str">
        <f>IFERROR($N46+VLOOKUP($L46,'Voyage days'!$F$620:$H$646,3,FALSE),"")</f>
        <v/>
      </c>
      <c r="BH46" s="120" t="str">
        <f t="shared" si="18"/>
        <v/>
      </c>
      <c r="BI46" s="123" t="str">
        <f>IFERROR($M46+VLOOKUP($L46,'Voyage days'!$F$702:$H$727,3,FALSE),"")</f>
        <v/>
      </c>
      <c r="BJ46" s="120" t="str">
        <f t="shared" si="19"/>
        <v/>
      </c>
      <c r="BK46" s="122" t="str">
        <f>IFERROR($M46+VLOOKUP($L46,'Voyage days'!$F$807:$H$878,3,FALSE),"")</f>
        <v/>
      </c>
      <c r="BL46" s="122" t="str">
        <f>IFERROR($N46+VLOOKUP($L46,'Voyage days'!$F$807:$H$878,3,FALSE),"")</f>
        <v/>
      </c>
      <c r="BM46" s="122" t="str">
        <f>IFERROR($N46+VLOOKUP($L46,'Voyage days'!$F$807:$K$878,6,FALSE),"")</f>
        <v/>
      </c>
      <c r="BN46" s="121" t="str">
        <f>if(L46="loads AG", IFERROR($M46+VLOOKUP($L46,'Voyage days'!$M$38:$O$38,3,FALSE),""),"")</f>
        <v/>
      </c>
      <c r="BO46" s="121">
        <f>if(L46="loads USG", IFERROR($M46+VLOOKUP($L46,'Voyage days'!$L$203:$N$203,3,FALSE),""),"")</f>
        <v>46169</v>
      </c>
    </row>
    <row r="47" ht="15.75" customHeight="1">
      <c r="A47" s="338" t="s">
        <v>290</v>
      </c>
      <c r="B47" s="183">
        <v>2021.0</v>
      </c>
      <c r="C47" s="102">
        <v>84000.0</v>
      </c>
      <c r="D47" s="103"/>
      <c r="E47" s="103"/>
      <c r="F47" s="104"/>
      <c r="G47" s="104"/>
      <c r="H47" s="104" t="s">
        <v>689</v>
      </c>
      <c r="I47" s="332" t="s">
        <v>761</v>
      </c>
      <c r="J47" s="106" t="str">
        <f t="shared" si="21"/>
        <v>Update</v>
      </c>
      <c r="K47" s="107"/>
      <c r="L47" s="108" t="s">
        <v>784</v>
      </c>
      <c r="M47" s="109">
        <v>46121.0</v>
      </c>
      <c r="N47" s="109">
        <v>46122.0</v>
      </c>
      <c r="O47" s="334"/>
      <c r="P47" s="108" t="s">
        <v>785</v>
      </c>
      <c r="Q47" s="185"/>
      <c r="R47" s="108" t="s">
        <v>786</v>
      </c>
      <c r="S47" s="256" t="s">
        <v>33</v>
      </c>
      <c r="T47" s="293">
        <v>46125.0</v>
      </c>
      <c r="U47" s="114" t="str">
        <f>IF(V47="","No AIS",VLOOKUP(V47,'Voyage days'!$A$3:$B$1480,2,FALSE))</f>
        <v>Port Louis</v>
      </c>
      <c r="V47" s="115" t="str">
        <f>IF(VLOOKUP(A47,'1) Kpler'!$E$2:$P$1000,8, FALSE)="","",VLOOKUP(A47,'1) Kpler'!$E$2:$P$1000,8, FALSE))</f>
        <v>Port Louis</v>
      </c>
      <c r="W47" s="116">
        <f>IF(VLOOKUP(A47,'1) Kpler'!$E$2:$P$1000,9,FALSE)="","",VLOOKUP(A47,'1) Kpler'!$E$2:$P$1000,9,FALSE))</f>
        <v>46132.70833</v>
      </c>
      <c r="X47" s="115" t="str">
        <f>VLOOKUP(A47,'1) Kpler'!$E$2:$I$1000,4,FALSE)</f>
        <v>ballast</v>
      </c>
      <c r="Y47" s="117" t="str">
        <f t="shared" si="1"/>
        <v>19-20 Apr</v>
      </c>
      <c r="Z47" s="117" t="str">
        <f t="shared" si="2"/>
        <v>12-13 May</v>
      </c>
      <c r="AA47" s="117" t="str">
        <f t="shared" si="3"/>
        <v>13-14 May</v>
      </c>
      <c r="AB47" s="117" t="str">
        <f t="shared" si="4"/>
        <v>29-30 Apr</v>
      </c>
      <c r="AC47" s="117" t="str">
        <f t="shared" si="5"/>
        <v>07-08 May</v>
      </c>
      <c r="AD47" s="117" t="str">
        <f t="shared" si="6"/>
        <v>10-11 Apr</v>
      </c>
      <c r="AE47" s="118" t="str">
        <f t="shared" si="7"/>
        <v>14-15 Apr</v>
      </c>
      <c r="AF47" s="119" t="str">
        <f t="shared" si="8"/>
        <v>17-18 May</v>
      </c>
      <c r="AG47" s="120" t="str">
        <f t="shared" si="9"/>
        <v>19-20 Apr</v>
      </c>
      <c r="AH47" s="121">
        <f>IFERROR($M47+VLOOKUP($L47,'Voyage days'!$F$38:$H$89,3,FALSE),"")</f>
        <v>46131</v>
      </c>
      <c r="AI47" s="121">
        <f>IFERROR(N47+VLOOKUP($L47,'Voyage days'!$F$38:$H$89,3,FALSE),"")</f>
        <v>46132</v>
      </c>
      <c r="AJ47" s="120" t="str">
        <f t="shared" si="10"/>
        <v>12-13 May</v>
      </c>
      <c r="AK47" s="121">
        <f>IFERROR($M47+VLOOKUP($L47,'Voyage days'!$F$94:$H$193,3,FALSE),"")</f>
        <v>46154</v>
      </c>
      <c r="AL47" s="121">
        <f>IFERROR($N47+VLOOKUP($L47,'Voyage days'!$F$94:$H$193,3,FALSE),"")</f>
        <v>46155</v>
      </c>
      <c r="AM47" s="120" t="str">
        <f t="shared" si="11"/>
        <v>13-14 May</v>
      </c>
      <c r="AN47" s="121">
        <f>IFERROR($M47+VLOOKUP($L47,'Voyage days'!$F$203:$H$256,3,FALSE),"")</f>
        <v>46155</v>
      </c>
      <c r="AO47" s="121">
        <f>IFERROR($N47+VLOOKUP($L47,'Voyage days'!$F$203:$H$256,3,FALSE),"")</f>
        <v>46156</v>
      </c>
      <c r="AP47" s="120" t="str">
        <f t="shared" si="12"/>
        <v>29-30 Apr</v>
      </c>
      <c r="AQ47" s="121">
        <f>IFERROR($M47+VLOOKUP($L47,'Voyage days'!$F$294:$H$377,3,FALSE),"")</f>
        <v>46141</v>
      </c>
      <c r="AR47" s="121">
        <f>IFERROR($N47+VLOOKUP($L47,'Voyage days'!$F$294:$H$377,3,FALSE),"")</f>
        <v>46142</v>
      </c>
      <c r="AS47" s="120" t="str">
        <f t="shared" si="13"/>
        <v>07-08 May</v>
      </c>
      <c r="AT47" s="121">
        <f>IFERROR($M47+VLOOKUP($L47,'Voyage days'!$F$382:$H$446,3,FALSE),"")</f>
        <v>46149</v>
      </c>
      <c r="AU47" s="121">
        <f>IFERROR($N47+VLOOKUP($L47,'Voyage days'!$F$382:$H$446,3,FALSE),"")</f>
        <v>46150</v>
      </c>
      <c r="AV47" s="120" t="str">
        <f t="shared" si="14"/>
        <v>20-21 Apr</v>
      </c>
      <c r="AW47" s="121">
        <f>IFERROR($M47+VLOOKUP($L47,'Voyage days'!$F$483:$H$538,3,FALSE),"")</f>
        <v>46132</v>
      </c>
      <c r="AX47" s="121">
        <f>IFERROR($N47+VLOOKUP($L47,'Voyage days'!$F$483:$H$538,3,FALSE),"")</f>
        <v>46133</v>
      </c>
      <c r="AY47" s="120" t="str">
        <f t="shared" si="15"/>
        <v>14-15 Apr</v>
      </c>
      <c r="AZ47" s="121">
        <f>IFERROR($M47+VLOOKUP($L47,'Voyage days'!$F$540:$H$613,3,FALSE),"")</f>
        <v>46126.5</v>
      </c>
      <c r="BA47" s="121">
        <f>IFERROR($N47+VLOOKUP($L47,'Voyage days'!$F$540:$H$613,3,FALSE),"")</f>
        <v>46127.5</v>
      </c>
      <c r="BB47" s="120" t="str">
        <f t="shared" si="16"/>
        <v>10-11 Apr</v>
      </c>
      <c r="BC47" s="121">
        <f>IFERROR($M47+VLOOKUP($L47,'Voyage days'!$F$448:$H$479,3,FALSE),"")</f>
        <v>46122</v>
      </c>
      <c r="BD47" s="121">
        <f>IFERROR($N47+VLOOKUP($L47,'Voyage days'!$F$448:$H$479,3,FALSE),"")</f>
        <v>46123</v>
      </c>
      <c r="BE47" s="120" t="str">
        <f t="shared" si="17"/>
        <v/>
      </c>
      <c r="BF47" s="122" t="str">
        <f>IFERROR($M47+VLOOKUP($L47,'Voyage days'!$F$620:$H$646,3,FALSE),"")</f>
        <v/>
      </c>
      <c r="BG47" s="122" t="str">
        <f>IFERROR($N47+VLOOKUP($L47,'Voyage days'!$F$620:$H$646,3,FALSE),"")</f>
        <v/>
      </c>
      <c r="BH47" s="120" t="str">
        <f t="shared" si="18"/>
        <v>20-18 May</v>
      </c>
      <c r="BI47" s="123">
        <f>IFERROR($M47+VLOOKUP($L47,'Voyage days'!$F$702:$H$727,3,FALSE),"")</f>
        <v>46132</v>
      </c>
      <c r="BJ47" s="120" t="str">
        <f t="shared" si="19"/>
        <v>17-18 May</v>
      </c>
      <c r="BK47" s="122">
        <f>IFERROR($M47+VLOOKUP($L47,'Voyage days'!$F$807:$H$878,3,FALSE),"")</f>
        <v>46159</v>
      </c>
      <c r="BL47" s="122">
        <f>IFERROR($N47+VLOOKUP($L47,'Voyage days'!$F$807:$H$878,3,FALSE),"")</f>
        <v>46160</v>
      </c>
      <c r="BM47" s="122">
        <f>IFERROR($N47+VLOOKUP($L47,'Voyage days'!$F$807:$K$878,6,FALSE),"")</f>
        <v>46134</v>
      </c>
      <c r="BN47" s="121" t="str">
        <f>if(L47="loads AG", IFERROR($M47+VLOOKUP($L47,'Voyage days'!$M$38:$O$38,3,FALSE),""),"")</f>
        <v/>
      </c>
      <c r="BO47" s="121" t="str">
        <f>if(L47="loads USG", IFERROR($M47+VLOOKUP($L47,'Voyage days'!$L$203:$N$203,3,FALSE),""),"")</f>
        <v/>
      </c>
    </row>
    <row r="48" ht="15.75" customHeight="1">
      <c r="A48" s="338" t="s">
        <v>293</v>
      </c>
      <c r="B48" s="183">
        <v>2021.0</v>
      </c>
      <c r="C48" s="102">
        <v>84000.0</v>
      </c>
      <c r="D48" s="103"/>
      <c r="E48" s="103"/>
      <c r="F48" s="104"/>
      <c r="G48" s="104"/>
      <c r="H48" s="104" t="s">
        <v>689</v>
      </c>
      <c r="I48" s="332" t="s">
        <v>761</v>
      </c>
      <c r="J48" s="106" t="str">
        <f t="shared" si="21"/>
        <v>Update</v>
      </c>
      <c r="K48" s="205" t="s">
        <v>765</v>
      </c>
      <c r="L48" s="108" t="s">
        <v>755</v>
      </c>
      <c r="M48" s="109">
        <v>46125.0</v>
      </c>
      <c r="N48" s="109">
        <v>46126.0</v>
      </c>
      <c r="O48" s="334"/>
      <c r="P48" s="108" t="s">
        <v>787</v>
      </c>
      <c r="Q48" s="185"/>
      <c r="R48" s="108" t="s">
        <v>788</v>
      </c>
      <c r="S48" s="256" t="s">
        <v>33</v>
      </c>
      <c r="T48" s="293">
        <v>46125.0</v>
      </c>
      <c r="U48" s="114" t="str">
        <f>IF(V48="","No AIS",VLOOKUP(V48,'Voyage days'!$A$3:$B$1480,2,FALSE))</f>
        <v>Port Louis</v>
      </c>
      <c r="V48" s="115" t="str">
        <f>IF(VLOOKUP(A48,'1) Kpler'!$E$2:$P$1000,8, FALSE)="","",VLOOKUP(A48,'1) Kpler'!$E$2:$P$1000,8, FALSE))</f>
        <v>Port Louis</v>
      </c>
      <c r="W48" s="116">
        <f>IF(VLOOKUP(A48,'1) Kpler'!$E$2:$P$1000,9,FALSE)="","",VLOOKUP(A48,'1) Kpler'!$E$2:$P$1000,9,FALSE))</f>
        <v>46132.33333</v>
      </c>
      <c r="X48" s="115" t="str">
        <f>VLOOKUP(A48,'1) Kpler'!$E$2:$I$1000,4,FALSE)</f>
        <v>ballast</v>
      </c>
      <c r="Y48" s="160" t="str">
        <f t="shared" si="1"/>
        <v>24-25 Apr</v>
      </c>
      <c r="Z48" s="160" t="str">
        <f t="shared" si="2"/>
        <v>22-23 May</v>
      </c>
      <c r="AA48" s="160" t="str">
        <f t="shared" si="3"/>
        <v>20-21 May</v>
      </c>
      <c r="AB48" s="160" t="str">
        <f t="shared" si="4"/>
        <v>03-04 May</v>
      </c>
      <c r="AC48" s="160" t="str">
        <f t="shared" si="5"/>
        <v>12-13 May</v>
      </c>
      <c r="AD48" s="160" t="str">
        <f t="shared" si="6"/>
        <v>16-17 Apr</v>
      </c>
      <c r="AE48" s="161" t="str">
        <f t="shared" si="7"/>
        <v>17-18 Apr</v>
      </c>
      <c r="AF48" s="162" t="str">
        <f t="shared" si="8"/>
        <v>20-21 May</v>
      </c>
      <c r="AG48" s="120" t="str">
        <f t="shared" si="9"/>
        <v>24-25 Apr</v>
      </c>
      <c r="AH48" s="121">
        <f>IFERROR($M48+VLOOKUP($L48,'Voyage days'!$F$38:$H$89,3,FALSE),"")</f>
        <v>46136</v>
      </c>
      <c r="AI48" s="121">
        <f>IFERROR(N48+VLOOKUP($L48,'Voyage days'!$F$38:$H$89,3,FALSE),"")</f>
        <v>46137</v>
      </c>
      <c r="AJ48" s="120" t="str">
        <f t="shared" si="10"/>
        <v>22-23 May</v>
      </c>
      <c r="AK48" s="121">
        <f>IFERROR($M48+VLOOKUP($L48,'Voyage days'!$F$94:$H$193,3,FALSE),"")</f>
        <v>46164</v>
      </c>
      <c r="AL48" s="121">
        <f>IFERROR($N48+VLOOKUP($L48,'Voyage days'!$F$94:$H$193,3,FALSE),"")</f>
        <v>46165</v>
      </c>
      <c r="AM48" s="120" t="str">
        <f t="shared" si="11"/>
        <v>20-21 May</v>
      </c>
      <c r="AN48" s="121">
        <f>IFERROR($M48+VLOOKUP($L48,'Voyage days'!$F$203:$H$256,3,FALSE),"")</f>
        <v>46162</v>
      </c>
      <c r="AO48" s="121">
        <f>IFERROR($N48+VLOOKUP($L48,'Voyage days'!$F$203:$H$256,3,FALSE),"")</f>
        <v>46163</v>
      </c>
      <c r="AP48" s="120" t="str">
        <f t="shared" si="12"/>
        <v>03-04 May</v>
      </c>
      <c r="AQ48" s="121">
        <f>IFERROR($M48+VLOOKUP($L48,'Voyage days'!$F$294:$H$377,3,FALSE),"")</f>
        <v>46145</v>
      </c>
      <c r="AR48" s="121">
        <f>IFERROR($N48+VLOOKUP($L48,'Voyage days'!$F$294:$H$377,3,FALSE),"")</f>
        <v>46146</v>
      </c>
      <c r="AS48" s="120" t="str">
        <f t="shared" si="13"/>
        <v>12-13 May</v>
      </c>
      <c r="AT48" s="121">
        <f>IFERROR($M48+VLOOKUP($L48,'Voyage days'!$F$382:$H$446,3,FALSE),"")</f>
        <v>46154</v>
      </c>
      <c r="AU48" s="121">
        <f>IFERROR($N48+VLOOKUP($L48,'Voyage days'!$F$382:$H$446,3,FALSE),"")</f>
        <v>46155</v>
      </c>
      <c r="AV48" s="120" t="str">
        <f t="shared" si="14"/>
        <v>22-23 Apr</v>
      </c>
      <c r="AW48" s="121">
        <f>IFERROR($M48+VLOOKUP($L48,'Voyage days'!$F$483:$H$538,3,FALSE),"")</f>
        <v>46134</v>
      </c>
      <c r="AX48" s="121">
        <f>IFERROR($N48+VLOOKUP($L48,'Voyage days'!$F$483:$H$538,3,FALSE),"")</f>
        <v>46135</v>
      </c>
      <c r="AY48" s="120" t="str">
        <f t="shared" si="15"/>
        <v>17-18 Apr</v>
      </c>
      <c r="AZ48" s="121">
        <f>IFERROR($M48+VLOOKUP($L48,'Voyage days'!$F$540:$H$613,3,FALSE),"")</f>
        <v>46129</v>
      </c>
      <c r="BA48" s="121">
        <f>IFERROR($N48+VLOOKUP($L48,'Voyage days'!$F$540:$H$613,3,FALSE),"")</f>
        <v>46130</v>
      </c>
      <c r="BB48" s="120" t="str">
        <f t="shared" si="16"/>
        <v>16-17 Apr</v>
      </c>
      <c r="BC48" s="121">
        <f>IFERROR($M48+VLOOKUP($L48,'Voyage days'!$F$448:$H$479,3,FALSE),"")</f>
        <v>46128</v>
      </c>
      <c r="BD48" s="121">
        <f>IFERROR($N48+VLOOKUP($L48,'Voyage days'!$F$448:$H$479,3,FALSE),"")</f>
        <v>46129</v>
      </c>
      <c r="BE48" s="120" t="str">
        <f t="shared" si="17"/>
        <v/>
      </c>
      <c r="BF48" s="122" t="str">
        <f>IFERROR($M48+VLOOKUP($L48,'Voyage days'!$F$620:$H$646,3,FALSE),"")</f>
        <v/>
      </c>
      <c r="BG48" s="122" t="str">
        <f>IFERROR($N48+VLOOKUP($L48,'Voyage days'!$F$620:$H$646,3,FALSE),"")</f>
        <v/>
      </c>
      <c r="BH48" s="120" t="str">
        <f t="shared" si="18"/>
        <v>21-21 May</v>
      </c>
      <c r="BI48" s="123">
        <f>IFERROR($M48+VLOOKUP($L48,'Voyage days'!$F$702:$H$727,3,FALSE),"")</f>
        <v>46133</v>
      </c>
      <c r="BJ48" s="120" t="str">
        <f t="shared" si="19"/>
        <v>20-21 May</v>
      </c>
      <c r="BK48" s="122">
        <f>IFERROR($M48+VLOOKUP($L48,'Voyage days'!$F$807:$H$878,3,FALSE),"")</f>
        <v>46162</v>
      </c>
      <c r="BL48" s="122">
        <f>IFERROR($N48+VLOOKUP($L48,'Voyage days'!$F$807:$H$878,3,FALSE),"")</f>
        <v>46163</v>
      </c>
      <c r="BM48" s="122">
        <f>IFERROR($N48+VLOOKUP($L48,'Voyage days'!$F$807:$K$878,6,FALSE),"")</f>
        <v>46139</v>
      </c>
      <c r="BN48" s="121" t="str">
        <f>if(L48="loads AG", IFERROR($M48+VLOOKUP($L48,'Voyage days'!$M$38:$O$38,3,FALSE),""),"")</f>
        <v/>
      </c>
      <c r="BO48" s="121" t="str">
        <f>if(L48="loads USG", IFERROR($M48+VLOOKUP($L48,'Voyage days'!$L$203:$N$203,3,FALSE),""),"")</f>
        <v/>
      </c>
    </row>
    <row r="49" ht="15.75" customHeight="1">
      <c r="A49" s="338" t="s">
        <v>296</v>
      </c>
      <c r="B49" s="183">
        <v>2023.0</v>
      </c>
      <c r="C49" s="102">
        <v>84000.0</v>
      </c>
      <c r="D49" s="103"/>
      <c r="E49" s="103"/>
      <c r="F49" s="104"/>
      <c r="G49" s="104"/>
      <c r="H49" s="104" t="s">
        <v>666</v>
      </c>
      <c r="I49" s="332" t="s">
        <v>761</v>
      </c>
      <c r="J49" s="106" t="str">
        <f t="shared" si="21"/>
        <v>NO AIS</v>
      </c>
      <c r="K49" s="193"/>
      <c r="L49" s="108" t="s">
        <v>680</v>
      </c>
      <c r="M49" s="109">
        <v>46130.0</v>
      </c>
      <c r="N49" s="109">
        <v>46131.0</v>
      </c>
      <c r="O49" s="110"/>
      <c r="P49" s="108" t="s">
        <v>789</v>
      </c>
      <c r="Q49" s="185"/>
      <c r="R49" s="108" t="s">
        <v>790</v>
      </c>
      <c r="S49" s="256" t="s">
        <v>33</v>
      </c>
      <c r="T49" s="293">
        <v>46125.0</v>
      </c>
      <c r="U49" s="114" t="str">
        <f>IF(V49="","No AIS",VLOOKUP(V49,'Voyage days'!$A$3:$B$1480,2,FALSE))</f>
        <v>No AIS</v>
      </c>
      <c r="V49" s="115" t="str">
        <f>IF(VLOOKUP(A49,'1) Kpler'!$E$2:$P$1000,8, FALSE)="","",VLOOKUP(A49,'1) Kpler'!$E$2:$P$1000,8, FALSE))</f>
        <v/>
      </c>
      <c r="W49" s="116" t="str">
        <f>IF(VLOOKUP(A49,'1) Kpler'!$E$2:$P$1000,9,FALSE)="","",VLOOKUP(A49,'1) Kpler'!$E$2:$P$1000,9,FALSE))</f>
        <v/>
      </c>
      <c r="X49" s="115" t="str">
        <f>VLOOKUP(A49,'1) Kpler'!$E$2:$I$1000,4,FALSE)</f>
        <v>loaded</v>
      </c>
      <c r="Y49" s="117" t="str">
        <f t="shared" si="1"/>
        <v/>
      </c>
      <c r="Z49" s="117" t="str">
        <f t="shared" si="2"/>
        <v>18-19 Apr</v>
      </c>
      <c r="AA49" s="117" t="str">
        <f t="shared" si="3"/>
        <v>18-19 Apr</v>
      </c>
      <c r="AB49" s="117" t="str">
        <f t="shared" si="4"/>
        <v/>
      </c>
      <c r="AC49" s="117" t="str">
        <f t="shared" si="5"/>
        <v>08-09 May</v>
      </c>
      <c r="AD49" s="117" t="str">
        <f t="shared" si="6"/>
        <v/>
      </c>
      <c r="AE49" s="118" t="str">
        <f t="shared" si="7"/>
        <v/>
      </c>
      <c r="AF49" s="119" t="str">
        <f t="shared" si="8"/>
        <v/>
      </c>
      <c r="AG49" s="120" t="str">
        <f t="shared" si="9"/>
        <v/>
      </c>
      <c r="AH49" s="121" t="str">
        <f>IFERROR($M49+VLOOKUP($L49,'Voyage days'!$F$38:$H$89,3,FALSE),"")</f>
        <v/>
      </c>
      <c r="AI49" s="121" t="str">
        <f>IFERROR(N49+VLOOKUP($L49,'Voyage days'!$F$38:$H$89,3,FALSE),"")</f>
        <v/>
      </c>
      <c r="AJ49" s="120" t="str">
        <f t="shared" si="10"/>
        <v>18-19 Apr</v>
      </c>
      <c r="AK49" s="121">
        <f>IFERROR($M49+VLOOKUP($L49,'Voyage days'!$F$94:$H$193,3,FALSE),"")</f>
        <v>46130</v>
      </c>
      <c r="AL49" s="121">
        <f>IFERROR($N49+VLOOKUP($L49,'Voyage days'!$F$94:$H$193,3,FALSE),"")</f>
        <v>46131</v>
      </c>
      <c r="AM49" s="120" t="str">
        <f t="shared" si="11"/>
        <v>18-19 Apr</v>
      </c>
      <c r="AN49" s="121">
        <f>IFERROR($M49+VLOOKUP($L49,'Voyage days'!$F$203:$H$256,3,FALSE),"")</f>
        <v>46130</v>
      </c>
      <c r="AO49" s="121">
        <f>IFERROR($N49+VLOOKUP($L49,'Voyage days'!$F$203:$H$256,3,FALSE),"")</f>
        <v>46131</v>
      </c>
      <c r="AP49" s="120" t="str">
        <f t="shared" si="12"/>
        <v/>
      </c>
      <c r="AQ49" s="121" t="str">
        <f>IFERROR($M49+VLOOKUP($L49,'Voyage days'!$F$294:$H$377,3,FALSE),"")</f>
        <v/>
      </c>
      <c r="AR49" s="121" t="str">
        <f>IFERROR($N49+VLOOKUP($L49,'Voyage days'!$F$294:$H$377,3,FALSE),"")</f>
        <v/>
      </c>
      <c r="AS49" s="120" t="str">
        <f t="shared" si="13"/>
        <v>08-09 May</v>
      </c>
      <c r="AT49" s="121">
        <f>IFERROR($M49+VLOOKUP($L49,'Voyage days'!$F$382:$H$446,3,FALSE),"")</f>
        <v>46150</v>
      </c>
      <c r="AU49" s="121">
        <f>IFERROR($N49+VLOOKUP($L49,'Voyage days'!$F$382:$H$446,3,FALSE),"")</f>
        <v>46151</v>
      </c>
      <c r="AV49" s="120" t="str">
        <f t="shared" si="14"/>
        <v/>
      </c>
      <c r="AW49" s="121" t="str">
        <f>IFERROR($M49+VLOOKUP($L49,'Voyage days'!$F$483:$H$538,3,FALSE),"")</f>
        <v/>
      </c>
      <c r="AX49" s="121" t="str">
        <f>IFERROR($N49+VLOOKUP($L49,'Voyage days'!$F$483:$H$538,3,FALSE),"")</f>
        <v/>
      </c>
      <c r="AY49" s="120" t="str">
        <f t="shared" si="15"/>
        <v/>
      </c>
      <c r="AZ49" s="121" t="str">
        <f>IFERROR($M49+VLOOKUP($L49,'Voyage days'!$F$540:$H$613,3,FALSE),"")</f>
        <v/>
      </c>
      <c r="BA49" s="121" t="str">
        <f>IFERROR($N49+VLOOKUP($L49,'Voyage days'!$F$540:$H$613,3,FALSE),"")</f>
        <v/>
      </c>
      <c r="BB49" s="120" t="str">
        <f t="shared" si="16"/>
        <v/>
      </c>
      <c r="BC49" s="121" t="str">
        <f>IFERROR($M49+VLOOKUP($L49,'Voyage days'!$F$448:$H$479,3,FALSE),"")</f>
        <v/>
      </c>
      <c r="BD49" s="121" t="str">
        <f>IFERROR($N49+VLOOKUP($L49,'Voyage days'!$F$448:$H$479,3,FALSE),"")</f>
        <v/>
      </c>
      <c r="BE49" s="120" t="str">
        <f t="shared" si="17"/>
        <v/>
      </c>
      <c r="BF49" s="122" t="str">
        <f>IFERROR($M49+VLOOKUP($L49,'Voyage days'!$F$620:$H$646,3,FALSE),"")</f>
        <v/>
      </c>
      <c r="BG49" s="122" t="str">
        <f>IFERROR($N49+VLOOKUP($L49,'Voyage days'!$F$620:$H$646,3,FALSE),"")</f>
        <v/>
      </c>
      <c r="BH49" s="120" t="str">
        <f t="shared" si="18"/>
        <v/>
      </c>
      <c r="BI49" s="123" t="str">
        <f>IFERROR($M49+VLOOKUP($L49,'Voyage days'!$F$702:$H$727,3,FALSE),"")</f>
        <v/>
      </c>
      <c r="BJ49" s="120" t="str">
        <f t="shared" si="19"/>
        <v/>
      </c>
      <c r="BK49" s="122" t="str">
        <f>IFERROR($M49+VLOOKUP($L49,'Voyage days'!$F$807:$H$878,3,FALSE),"")</f>
        <v/>
      </c>
      <c r="BL49" s="122" t="str">
        <f>IFERROR($N49+VLOOKUP($L49,'Voyage days'!$F$807:$H$878,3,FALSE),"")</f>
        <v/>
      </c>
      <c r="BM49" s="122" t="str">
        <f>IFERROR($N49+VLOOKUP($L49,'Voyage days'!$F$807:$K$878,6,FALSE),"")</f>
        <v/>
      </c>
      <c r="BN49" s="121" t="str">
        <f>if(L49="loads AG", IFERROR($M49+VLOOKUP($L49,'Voyage days'!$M$38:$O$38,3,FALSE),""),"")</f>
        <v/>
      </c>
      <c r="BO49" s="121">
        <f>if(L49="loads USG", IFERROR($M49+VLOOKUP($L49,'Voyage days'!$L$203:$N$203,3,FALSE),""),"")</f>
        <v>46162</v>
      </c>
    </row>
    <row r="50" ht="15.75" customHeight="1">
      <c r="A50" s="298" t="s">
        <v>297</v>
      </c>
      <c r="B50" s="148">
        <v>2023.0</v>
      </c>
      <c r="C50" s="102">
        <v>86000.0</v>
      </c>
      <c r="D50" s="103"/>
      <c r="E50" s="103"/>
      <c r="F50" s="104"/>
      <c r="G50" s="104"/>
      <c r="H50" s="104" t="s">
        <v>666</v>
      </c>
      <c r="I50" s="332" t="s">
        <v>761</v>
      </c>
      <c r="J50" s="106" t="str">
        <f t="shared" si="21"/>
        <v>Update</v>
      </c>
      <c r="K50" s="107"/>
      <c r="L50" s="108" t="s">
        <v>720</v>
      </c>
      <c r="M50" s="109">
        <v>46125.0</v>
      </c>
      <c r="N50" s="109">
        <v>46127.0</v>
      </c>
      <c r="O50" s="110"/>
      <c r="P50" s="192" t="s">
        <v>791</v>
      </c>
      <c r="Q50" s="108"/>
      <c r="R50" s="108" t="s">
        <v>792</v>
      </c>
      <c r="S50" s="256" t="s">
        <v>33</v>
      </c>
      <c r="T50" s="293">
        <v>46125.0</v>
      </c>
      <c r="U50" s="114" t="str">
        <f>IF(V50="","No AIS",VLOOKUP(V50,'Voyage days'!$A$3:$B$1480,2,FALSE))</f>
        <v>Korea+3/+1 bunkers</v>
      </c>
      <c r="V50" s="115" t="str">
        <f>IF(VLOOKUP(A50,'1) Kpler'!$E$2:$P$1000,8, FALSE)="","",VLOOKUP(A50,'1) Kpler'!$E$2:$P$1000,8, FALSE))</f>
        <v>Yeosu</v>
      </c>
      <c r="W50" s="116">
        <f>IF(VLOOKUP(A50,'1) Kpler'!$E$2:$P$1000,9,FALSE)="","",VLOOKUP(A50,'1) Kpler'!$E$2:$P$1000,9,FALSE))</f>
        <v>46150.33333</v>
      </c>
      <c r="X50" s="115" t="str">
        <f>VLOOKUP(A50,'1) Kpler'!$E$2:$I$1000,4,FALSE)</f>
        <v>ballast</v>
      </c>
      <c r="Y50" s="160" t="str">
        <f t="shared" si="1"/>
        <v>01-03 May</v>
      </c>
      <c r="Z50" s="160" t="str">
        <f t="shared" si="2"/>
        <v>17-19 May</v>
      </c>
      <c r="AA50" s="160" t="str">
        <f t="shared" si="3"/>
        <v>24-26 May</v>
      </c>
      <c r="AB50" s="160" t="str">
        <f t="shared" si="4"/>
        <v>12-14 May</v>
      </c>
      <c r="AC50" s="160" t="str">
        <f t="shared" si="5"/>
        <v>18-20 May</v>
      </c>
      <c r="AD50" s="160" t="str">
        <f t="shared" si="6"/>
        <v>20-22 Apr</v>
      </c>
      <c r="AE50" s="161" t="str">
        <f t="shared" si="7"/>
        <v>21-23 Apr</v>
      </c>
      <c r="AF50" s="162" t="str">
        <f t="shared" si="8"/>
        <v>28-30 May</v>
      </c>
      <c r="AG50" s="120" t="str">
        <f t="shared" si="9"/>
        <v>01-03 May</v>
      </c>
      <c r="AH50" s="121">
        <f>IFERROR($M50+VLOOKUP($L50,'Voyage days'!$F$38:$H$89,3,FALSE),"")</f>
        <v>46143</v>
      </c>
      <c r="AI50" s="121">
        <f>IFERROR(N50+VLOOKUP($L50,'Voyage days'!$F$38:$H$89,3,FALSE),"")</f>
        <v>46145</v>
      </c>
      <c r="AJ50" s="120" t="str">
        <f t="shared" si="10"/>
        <v>17-19 May</v>
      </c>
      <c r="AK50" s="121">
        <f>IFERROR($M50+VLOOKUP($L50,'Voyage days'!$F$94:$H$193,3,FALSE),"")</f>
        <v>46159</v>
      </c>
      <c r="AL50" s="121">
        <f>IFERROR($N50+VLOOKUP($L50,'Voyage days'!$F$94:$H$193,3,FALSE),"")</f>
        <v>46161</v>
      </c>
      <c r="AM50" s="120" t="str">
        <f t="shared" si="11"/>
        <v>24-26 May</v>
      </c>
      <c r="AN50" s="121">
        <f>IFERROR($M50+VLOOKUP($L50,'Voyage days'!$F$203:$H$256,3,FALSE),"")</f>
        <v>46166</v>
      </c>
      <c r="AO50" s="121">
        <f>IFERROR($N50+VLOOKUP($L50,'Voyage days'!$F$203:$H$256,3,FALSE),"")</f>
        <v>46168</v>
      </c>
      <c r="AP50" s="120" t="str">
        <f t="shared" si="12"/>
        <v>12-14 May</v>
      </c>
      <c r="AQ50" s="121">
        <f>IFERROR($M50+VLOOKUP($L50,'Voyage days'!$F$294:$H$377,3,FALSE),"")</f>
        <v>46154</v>
      </c>
      <c r="AR50" s="121">
        <f>IFERROR($N50+VLOOKUP($L50,'Voyage days'!$F$294:$H$377,3,FALSE),"")</f>
        <v>46156</v>
      </c>
      <c r="AS50" s="120" t="str">
        <f t="shared" si="13"/>
        <v>18-20 May</v>
      </c>
      <c r="AT50" s="121">
        <f>IFERROR($M50+VLOOKUP($L50,'Voyage days'!$F$382:$H$446,3,FALSE),"")</f>
        <v>46160</v>
      </c>
      <c r="AU50" s="121">
        <f>IFERROR($N50+VLOOKUP($L50,'Voyage days'!$F$382:$H$446,3,FALSE),"")</f>
        <v>46162</v>
      </c>
      <c r="AV50" s="120" t="str">
        <f t="shared" si="14"/>
        <v>27-29 Apr</v>
      </c>
      <c r="AW50" s="121">
        <f>IFERROR($M50+VLOOKUP($L50,'Voyage days'!$F$483:$H$538,3,FALSE),"")</f>
        <v>46139</v>
      </c>
      <c r="AX50" s="121">
        <f>IFERROR($N50+VLOOKUP($L50,'Voyage days'!$F$483:$H$538,3,FALSE),"")</f>
        <v>46141</v>
      </c>
      <c r="AY50" s="120" t="str">
        <f t="shared" si="15"/>
        <v>21-23 Apr</v>
      </c>
      <c r="AZ50" s="121">
        <f>IFERROR($M50+VLOOKUP($L50,'Voyage days'!$F$540:$H$613,3,FALSE),"")</f>
        <v>46133</v>
      </c>
      <c r="BA50" s="121">
        <f>IFERROR($N50+VLOOKUP($L50,'Voyage days'!$F$540:$H$613,3,FALSE),"")</f>
        <v>46135</v>
      </c>
      <c r="BB50" s="120" t="str">
        <f t="shared" si="16"/>
        <v>20-22 Apr</v>
      </c>
      <c r="BC50" s="121">
        <f>IFERROR($M50+VLOOKUP($L50,'Voyage days'!$F$448:$H$479,3,FALSE),"")</f>
        <v>46132</v>
      </c>
      <c r="BD50" s="121">
        <f>IFERROR($N50+VLOOKUP($L50,'Voyage days'!$F$448:$H$479,3,FALSE),"")</f>
        <v>46134</v>
      </c>
      <c r="BE50" s="120" t="str">
        <f t="shared" si="17"/>
        <v>24-26 Apr</v>
      </c>
      <c r="BF50" s="122">
        <f>IFERROR($M50+VLOOKUP($L50,'Voyage days'!$F$620:$H$646,3,FALSE),"")</f>
        <v>46136</v>
      </c>
      <c r="BG50" s="122">
        <f>IFERROR($N50+VLOOKUP($L50,'Voyage days'!$F$620:$H$646,3,FALSE),"")</f>
        <v>46138</v>
      </c>
      <c r="BH50" s="120" t="str">
        <f t="shared" si="18"/>
        <v>21-30 May</v>
      </c>
      <c r="BI50" s="123">
        <f>IFERROR($M50+VLOOKUP($L50,'Voyage days'!$F$702:$H$727,3,FALSE),"")</f>
        <v>46133</v>
      </c>
      <c r="BJ50" s="120" t="str">
        <f t="shared" si="19"/>
        <v>28-30 May</v>
      </c>
      <c r="BK50" s="122">
        <f>IFERROR($M50+VLOOKUP($L50,'Voyage days'!$F$807:$H$878,3,FALSE),"")</f>
        <v>46170</v>
      </c>
      <c r="BL50" s="122">
        <f>IFERROR($N50+VLOOKUP($L50,'Voyage days'!$F$807:$H$878,3,FALSE),"")</f>
        <v>46172</v>
      </c>
      <c r="BM50" s="122">
        <f>IFERROR($N50+VLOOKUP($L50,'Voyage days'!$F$807:$K$878,6,FALSE),"")</f>
        <v>46146</v>
      </c>
      <c r="BN50" s="121" t="str">
        <f>if(L50="loads AG", IFERROR($M50+VLOOKUP($L50,'Voyage days'!$M$38:$O$38,3,FALSE),""),"")</f>
        <v/>
      </c>
      <c r="BO50" s="121" t="str">
        <f>if(L50="loads USG", IFERROR($M50+VLOOKUP($L50,'Voyage days'!$L$203:$N$203,3,FALSE),""),"")</f>
        <v/>
      </c>
    </row>
    <row r="51" ht="15.75" customHeight="1">
      <c r="A51" s="80" t="s">
        <v>793</v>
      </c>
      <c r="B51" s="148">
        <v>2023.0</v>
      </c>
      <c r="C51" s="102">
        <v>91000.0</v>
      </c>
      <c r="D51" s="112"/>
      <c r="E51" s="112" t="s">
        <v>706</v>
      </c>
      <c r="F51" s="104"/>
      <c r="G51" s="104"/>
      <c r="H51" s="104" t="s">
        <v>666</v>
      </c>
      <c r="I51" s="332" t="s">
        <v>761</v>
      </c>
      <c r="J51" s="106" t="str">
        <f t="shared" si="21"/>
        <v/>
      </c>
      <c r="K51" s="107"/>
      <c r="L51" s="108" t="s">
        <v>680</v>
      </c>
      <c r="M51" s="109">
        <v>46134.0</v>
      </c>
      <c r="N51" s="109">
        <v>46135.0</v>
      </c>
      <c r="O51" s="191" t="s">
        <v>729</v>
      </c>
      <c r="P51" s="108" t="s">
        <v>794</v>
      </c>
      <c r="Q51" s="185"/>
      <c r="R51" s="108" t="s">
        <v>795</v>
      </c>
      <c r="S51" s="256" t="s">
        <v>33</v>
      </c>
      <c r="T51" s="293">
        <v>46125.0</v>
      </c>
      <c r="U51" s="114" t="str">
        <f>IF(V51="","No AIS",VLOOKUP(V51,'Voyage days'!$A$3:$B$1480,2,FALSE))</f>
        <v>USG</v>
      </c>
      <c r="V51" s="115" t="str">
        <f>IF(VLOOKUP(A51,'1) Kpler'!$E$2:$P$1000,8, FALSE)="","",VLOOKUP(A51,'1) Kpler'!$E$2:$P$1000,8, FALSE))</f>
        <v>Energy Transfer Nederland</v>
      </c>
      <c r="W51" s="116">
        <f>IF(VLOOKUP(A51,'1) Kpler'!$E$2:$P$1000,9,FALSE)="","",VLOOKUP(A51,'1) Kpler'!$E$2:$P$1000,9,FALSE))</f>
        <v>46134.00069</v>
      </c>
      <c r="X51" s="115" t="str">
        <f>VLOOKUP(A51,'1) Kpler'!$E$2:$I$1000,4,FALSE)</f>
        <v>ballast</v>
      </c>
      <c r="Y51" s="117" t="str">
        <f t="shared" si="1"/>
        <v/>
      </c>
      <c r="Z51" s="117" t="str">
        <f t="shared" si="2"/>
        <v>22-23 Apr</v>
      </c>
      <c r="AA51" s="117" t="str">
        <f t="shared" si="3"/>
        <v>22-23 Apr</v>
      </c>
      <c r="AB51" s="117" t="str">
        <f t="shared" si="4"/>
        <v/>
      </c>
      <c r="AC51" s="117" t="str">
        <f t="shared" si="5"/>
        <v>12-13 May</v>
      </c>
      <c r="AD51" s="117" t="str">
        <f t="shared" si="6"/>
        <v/>
      </c>
      <c r="AE51" s="118" t="str">
        <f t="shared" si="7"/>
        <v/>
      </c>
      <c r="AF51" s="119" t="str">
        <f t="shared" si="8"/>
        <v/>
      </c>
      <c r="AG51" s="120" t="str">
        <f t="shared" si="9"/>
        <v/>
      </c>
      <c r="AH51" s="121" t="str">
        <f>IFERROR($M51+VLOOKUP($L51,'Voyage days'!$F$38:$H$89,3,FALSE),"")</f>
        <v/>
      </c>
      <c r="AI51" s="121" t="str">
        <f>IFERROR(N51+VLOOKUP($L51,'Voyage days'!$F$38:$H$89,3,FALSE),"")</f>
        <v/>
      </c>
      <c r="AJ51" s="120" t="str">
        <f t="shared" si="10"/>
        <v>22-23 Apr</v>
      </c>
      <c r="AK51" s="121">
        <f>IFERROR($M51+VLOOKUP($L51,'Voyage days'!$F$94:$H$193,3,FALSE),"")</f>
        <v>46134</v>
      </c>
      <c r="AL51" s="121">
        <f>IFERROR($N51+VLOOKUP($L51,'Voyage days'!$F$94:$H$193,3,FALSE),"")</f>
        <v>46135</v>
      </c>
      <c r="AM51" s="120" t="str">
        <f t="shared" si="11"/>
        <v>22-23 Apr</v>
      </c>
      <c r="AN51" s="121">
        <f>IFERROR($M51+VLOOKUP($L51,'Voyage days'!$F$203:$H$256,3,FALSE),"")</f>
        <v>46134</v>
      </c>
      <c r="AO51" s="121">
        <f>IFERROR($N51+VLOOKUP($L51,'Voyage days'!$F$203:$H$256,3,FALSE),"")</f>
        <v>46135</v>
      </c>
      <c r="AP51" s="120" t="str">
        <f t="shared" si="12"/>
        <v/>
      </c>
      <c r="AQ51" s="121" t="str">
        <f>IFERROR($M51+VLOOKUP($L51,'Voyage days'!$F$294:$H$377,3,FALSE),"")</f>
        <v/>
      </c>
      <c r="AR51" s="121" t="str">
        <f>IFERROR($N51+VLOOKUP($L51,'Voyage days'!$F$294:$H$377,3,FALSE),"")</f>
        <v/>
      </c>
      <c r="AS51" s="120" t="str">
        <f t="shared" si="13"/>
        <v>12-13 May</v>
      </c>
      <c r="AT51" s="121">
        <f>IFERROR($M51+VLOOKUP($L51,'Voyage days'!$F$382:$H$446,3,FALSE),"")</f>
        <v>46154</v>
      </c>
      <c r="AU51" s="121">
        <f>IFERROR($N51+VLOOKUP($L51,'Voyage days'!$F$382:$H$446,3,FALSE),"")</f>
        <v>46155</v>
      </c>
      <c r="AV51" s="120" t="str">
        <f t="shared" si="14"/>
        <v/>
      </c>
      <c r="AW51" s="121" t="str">
        <f>IFERROR($M51+VLOOKUP($L51,'Voyage days'!$F$483:$H$538,3,FALSE),"")</f>
        <v/>
      </c>
      <c r="AX51" s="121" t="str">
        <f>IFERROR($N51+VLOOKUP($L51,'Voyage days'!$F$483:$H$538,3,FALSE),"")</f>
        <v/>
      </c>
      <c r="AY51" s="120" t="str">
        <f t="shared" si="15"/>
        <v/>
      </c>
      <c r="AZ51" s="121" t="str">
        <f>IFERROR($M51+VLOOKUP($L51,'Voyage days'!$F$540:$H$613,3,FALSE),"")</f>
        <v/>
      </c>
      <c r="BA51" s="121" t="str">
        <f>IFERROR($N51+VLOOKUP($L51,'Voyage days'!$F$540:$H$613,3,FALSE),"")</f>
        <v/>
      </c>
      <c r="BB51" s="120" t="str">
        <f t="shared" si="16"/>
        <v/>
      </c>
      <c r="BC51" s="121" t="str">
        <f>IFERROR($M51+VLOOKUP($L51,'Voyage days'!$F$448:$H$479,3,FALSE),"")</f>
        <v/>
      </c>
      <c r="BD51" s="121" t="str">
        <f>IFERROR($N51+VLOOKUP($L51,'Voyage days'!$F$448:$H$479,3,FALSE),"")</f>
        <v/>
      </c>
      <c r="BE51" s="120" t="str">
        <f t="shared" si="17"/>
        <v/>
      </c>
      <c r="BF51" s="122" t="str">
        <f>IFERROR($M51+VLOOKUP($L51,'Voyage days'!$F$620:$H$646,3,FALSE),"")</f>
        <v/>
      </c>
      <c r="BG51" s="122" t="str">
        <f>IFERROR($N51+VLOOKUP($L51,'Voyage days'!$F$620:$H$646,3,FALSE),"")</f>
        <v/>
      </c>
      <c r="BH51" s="120" t="str">
        <f t="shared" si="18"/>
        <v/>
      </c>
      <c r="BI51" s="123" t="str">
        <f>IFERROR($M51+VLOOKUP($L51,'Voyage days'!$F$702:$H$727,3,FALSE),"")</f>
        <v/>
      </c>
      <c r="BJ51" s="120" t="str">
        <f t="shared" si="19"/>
        <v/>
      </c>
      <c r="BK51" s="122" t="str">
        <f>IFERROR($M51+VLOOKUP($L51,'Voyage days'!$F$807:$H$878,3,FALSE),"")</f>
        <v/>
      </c>
      <c r="BL51" s="122" t="str">
        <f>IFERROR($N51+VLOOKUP($L51,'Voyage days'!$F$807:$H$878,3,FALSE),"")</f>
        <v/>
      </c>
      <c r="BM51" s="122" t="str">
        <f>IFERROR($N51+VLOOKUP($L51,'Voyage days'!$F$807:$K$878,6,FALSE),"")</f>
        <v/>
      </c>
      <c r="BN51" s="121" t="str">
        <f>if(L51="loads AG", IFERROR($M51+VLOOKUP($L51,'Voyage days'!$M$38:$O$38,3,FALSE),""),"")</f>
        <v/>
      </c>
      <c r="BO51" s="121">
        <f>if(L51="loads USG", IFERROR($M51+VLOOKUP($L51,'Voyage days'!$L$203:$N$203,3,FALSE),""),"")</f>
        <v>46166</v>
      </c>
    </row>
    <row r="52" ht="15.75" customHeight="1">
      <c r="A52" s="341" t="s">
        <v>377</v>
      </c>
      <c r="B52" s="148">
        <v>2023.0</v>
      </c>
      <c r="C52" s="102">
        <v>91000.0</v>
      </c>
      <c r="D52" s="112"/>
      <c r="E52" s="112" t="s">
        <v>706</v>
      </c>
      <c r="F52" s="104"/>
      <c r="G52" s="104"/>
      <c r="H52" s="104" t="s">
        <v>666</v>
      </c>
      <c r="I52" s="299" t="s">
        <v>761</v>
      </c>
      <c r="J52" s="106" t="str">
        <f t="shared" si="21"/>
        <v>Update</v>
      </c>
      <c r="K52" s="107"/>
      <c r="L52" s="108" t="s">
        <v>680</v>
      </c>
      <c r="M52" s="109">
        <v>46126.0</v>
      </c>
      <c r="N52" s="109">
        <v>46128.0</v>
      </c>
      <c r="O52" s="255"/>
      <c r="P52" s="108" t="s">
        <v>794</v>
      </c>
      <c r="Q52" s="108"/>
      <c r="R52" s="108" t="s">
        <v>796</v>
      </c>
      <c r="S52" s="256" t="s">
        <v>33</v>
      </c>
      <c r="T52" s="293">
        <v>46125.0</v>
      </c>
      <c r="U52" s="114" t="str">
        <f>IF(V52="","No AIS",VLOOKUP(V52,'Voyage days'!$A$3:$B$1480,2,FALSE))</f>
        <v>Eu + 4</v>
      </c>
      <c r="V52" s="115" t="str">
        <f>IF(VLOOKUP(A52,'1) Kpler'!$E$2:$P$1000,8, FALSE)="","",VLOOKUP(A52,'1) Kpler'!$E$2:$P$1000,8, FALSE))</f>
        <v>Horizon Tangier Terminal</v>
      </c>
      <c r="W52" s="116">
        <f>IF(VLOOKUP(A52,'1) Kpler'!$E$2:$P$1000,9,FALSE)="","",VLOOKUP(A52,'1) Kpler'!$E$2:$P$1000,9,FALSE))</f>
        <v>46144.00069</v>
      </c>
      <c r="X52" s="115" t="str">
        <f>VLOOKUP(A52,'1) Kpler'!$E$2:$I$1000,4,FALSE)</f>
        <v>loaded</v>
      </c>
      <c r="Y52" s="117" t="str">
        <f t="shared" si="1"/>
        <v/>
      </c>
      <c r="Z52" s="117" t="str">
        <f t="shared" si="2"/>
        <v>14-16 Apr</v>
      </c>
      <c r="AA52" s="117" t="str">
        <f t="shared" si="3"/>
        <v>14-16 Apr</v>
      </c>
      <c r="AB52" s="117" t="str">
        <f t="shared" si="4"/>
        <v/>
      </c>
      <c r="AC52" s="117" t="str">
        <f t="shared" si="5"/>
        <v>04-06 May</v>
      </c>
      <c r="AD52" s="117" t="str">
        <f t="shared" si="6"/>
        <v/>
      </c>
      <c r="AE52" s="118" t="str">
        <f t="shared" si="7"/>
        <v/>
      </c>
      <c r="AF52" s="119" t="str">
        <f t="shared" si="8"/>
        <v/>
      </c>
      <c r="AG52" s="120" t="str">
        <f t="shared" si="9"/>
        <v/>
      </c>
      <c r="AH52" s="121" t="str">
        <f>IFERROR($M52+VLOOKUP($L52,'Voyage days'!$F$38:$H$89,3,FALSE),"")</f>
        <v/>
      </c>
      <c r="AI52" s="121" t="str">
        <f>IFERROR(N52+VLOOKUP($L52,'Voyage days'!$F$38:$H$89,3,FALSE),"")</f>
        <v/>
      </c>
      <c r="AJ52" s="120" t="str">
        <f t="shared" si="10"/>
        <v>14-16 Apr</v>
      </c>
      <c r="AK52" s="121">
        <f>IFERROR($M52+VLOOKUP($L52,'Voyage days'!$F$94:$H$193,3,FALSE),"")</f>
        <v>46126</v>
      </c>
      <c r="AL52" s="121">
        <f>IFERROR($N52+VLOOKUP($L52,'Voyage days'!$F$94:$H$193,3,FALSE),"")</f>
        <v>46128</v>
      </c>
      <c r="AM52" s="120" t="str">
        <f t="shared" si="11"/>
        <v>14-16 Apr</v>
      </c>
      <c r="AN52" s="121">
        <f>IFERROR($M52+VLOOKUP($L52,'Voyage days'!$F$203:$H$256,3,FALSE),"")</f>
        <v>46126</v>
      </c>
      <c r="AO52" s="121">
        <f>IFERROR($N52+VLOOKUP($L52,'Voyage days'!$F$203:$H$256,3,FALSE),"")</f>
        <v>46128</v>
      </c>
      <c r="AP52" s="120" t="str">
        <f t="shared" si="12"/>
        <v/>
      </c>
      <c r="AQ52" s="121" t="str">
        <f>IFERROR($M52+VLOOKUP($L52,'Voyage days'!$F$294:$H$377,3,FALSE),"")</f>
        <v/>
      </c>
      <c r="AR52" s="121" t="str">
        <f>IFERROR($N52+VLOOKUP($L52,'Voyage days'!$F$294:$H$377,3,FALSE),"")</f>
        <v/>
      </c>
      <c r="AS52" s="120" t="str">
        <f t="shared" si="13"/>
        <v>04-06 May</v>
      </c>
      <c r="AT52" s="121">
        <f>IFERROR($M52+VLOOKUP($L52,'Voyage days'!$F$382:$H$446,3,FALSE),"")</f>
        <v>46146</v>
      </c>
      <c r="AU52" s="121">
        <f>IFERROR($N52+VLOOKUP($L52,'Voyage days'!$F$382:$H$446,3,FALSE),"")</f>
        <v>46148</v>
      </c>
      <c r="AV52" s="120" t="str">
        <f t="shared" si="14"/>
        <v/>
      </c>
      <c r="AW52" s="121" t="str">
        <f>IFERROR($M52+VLOOKUP($L52,'Voyage days'!$F$483:$H$538,3,FALSE),"")</f>
        <v/>
      </c>
      <c r="AX52" s="121" t="str">
        <f>IFERROR($N52+VLOOKUP($L52,'Voyage days'!$F$483:$H$538,3,FALSE),"")</f>
        <v/>
      </c>
      <c r="AY52" s="120" t="str">
        <f t="shared" si="15"/>
        <v/>
      </c>
      <c r="AZ52" s="121" t="str">
        <f>IFERROR($M52+VLOOKUP($L52,'Voyage days'!$F$540:$H$613,3,FALSE),"")</f>
        <v/>
      </c>
      <c r="BA52" s="121" t="str">
        <f>IFERROR($N52+VLOOKUP($L52,'Voyage days'!$F$540:$H$613,3,FALSE),"")</f>
        <v/>
      </c>
      <c r="BB52" s="120" t="str">
        <f t="shared" si="16"/>
        <v/>
      </c>
      <c r="BC52" s="121" t="str">
        <f>IFERROR($M52+VLOOKUP($L52,'Voyage days'!$F$448:$H$479,3,FALSE),"")</f>
        <v/>
      </c>
      <c r="BD52" s="121" t="str">
        <f>IFERROR($N52+VLOOKUP($L52,'Voyage days'!$F$448:$H$479,3,FALSE),"")</f>
        <v/>
      </c>
      <c r="BE52" s="120" t="str">
        <f t="shared" si="17"/>
        <v/>
      </c>
      <c r="BF52" s="122" t="str">
        <f>IFERROR($M52+VLOOKUP($L52,'Voyage days'!$F$620:$H$646,3,FALSE),"")</f>
        <v/>
      </c>
      <c r="BG52" s="122" t="str">
        <f>IFERROR($N52+VLOOKUP($L52,'Voyage days'!$F$620:$H$646,3,FALSE),"")</f>
        <v/>
      </c>
      <c r="BH52" s="120" t="str">
        <f t="shared" si="18"/>
        <v/>
      </c>
      <c r="BI52" s="123" t="str">
        <f>IFERROR($M52+VLOOKUP($L52,'Voyage days'!$F$702:$H$727,3,FALSE),"")</f>
        <v/>
      </c>
      <c r="BJ52" s="120" t="str">
        <f t="shared" si="19"/>
        <v/>
      </c>
      <c r="BK52" s="122" t="str">
        <f>IFERROR($M52+VLOOKUP($L52,'Voyage days'!$F$807:$H$878,3,FALSE),"")</f>
        <v/>
      </c>
      <c r="BL52" s="122" t="str">
        <f>IFERROR($N52+VLOOKUP($L52,'Voyage days'!$F$807:$H$878,3,FALSE),"")</f>
        <v/>
      </c>
      <c r="BM52" s="122" t="str">
        <f>IFERROR($N52+VLOOKUP($L52,'Voyage days'!$F$807:$K$878,6,FALSE),"")</f>
        <v/>
      </c>
      <c r="BN52" s="121" t="str">
        <f>if(L52="loads AG", IFERROR($M52+VLOOKUP($L52,'Voyage days'!$M$38:$O$38,3,FALSE),""),"")</f>
        <v/>
      </c>
      <c r="BO52" s="121">
        <f>if(L52="loads USG", IFERROR($M52+VLOOKUP($L52,'Voyage days'!$L$203:$N$203,3,FALSE),""),"")</f>
        <v>46158</v>
      </c>
    </row>
    <row r="53" ht="15.75" customHeight="1">
      <c r="A53" s="80" t="s">
        <v>410</v>
      </c>
      <c r="B53" s="148">
        <v>2023.0</v>
      </c>
      <c r="C53" s="102">
        <v>91000.0</v>
      </c>
      <c r="D53" s="112" t="s">
        <v>603</v>
      </c>
      <c r="E53" s="112" t="s">
        <v>706</v>
      </c>
      <c r="F53" s="104"/>
      <c r="G53" s="104"/>
      <c r="H53" s="104" t="s">
        <v>666</v>
      </c>
      <c r="I53" s="332" t="s">
        <v>761</v>
      </c>
      <c r="J53" s="106" t="str">
        <f t="shared" si="21"/>
        <v/>
      </c>
      <c r="K53" s="107"/>
      <c r="L53" s="108" t="s">
        <v>745</v>
      </c>
      <c r="M53" s="109">
        <v>46137.0</v>
      </c>
      <c r="N53" s="109">
        <v>46138.0</v>
      </c>
      <c r="O53" s="191" t="s">
        <v>729</v>
      </c>
      <c r="P53" s="108" t="s">
        <v>797</v>
      </c>
      <c r="Q53" s="185"/>
      <c r="R53" s="108" t="s">
        <v>798</v>
      </c>
      <c r="S53" s="256" t="s">
        <v>33</v>
      </c>
      <c r="T53" s="293">
        <v>46125.0</v>
      </c>
      <c r="U53" s="114" t="str">
        <f>IF(V53="","No AIS",VLOOKUP(V53,'Voyage days'!$A$3:$B$1480,2,FALSE))</f>
        <v>Suez + 7</v>
      </c>
      <c r="V53" s="115" t="str">
        <f>IF(VLOOKUP(A53,'1) Kpler'!$E$2:$P$1000,8, FALSE)="","",VLOOKUP(A53,'1) Kpler'!$E$2:$P$1000,8, FALSE))</f>
        <v>Port Said</v>
      </c>
      <c r="W53" s="116">
        <f>IF(VLOOKUP(A53,'1) Kpler'!$E$2:$P$1000,9,FALSE)="","",VLOOKUP(A53,'1) Kpler'!$E$2:$P$1000,9,FALSE))</f>
        <v>46132.625</v>
      </c>
      <c r="X53" s="115" t="str">
        <f>VLOOKUP(A53,'1) Kpler'!$E$2:$I$1000,4,FALSE)</f>
        <v>loaded</v>
      </c>
      <c r="Y53" s="160" t="str">
        <f t="shared" si="1"/>
        <v>04-05 May</v>
      </c>
      <c r="Z53" s="160" t="str">
        <f t="shared" si="2"/>
        <v>13-14 May</v>
      </c>
      <c r="AA53" s="160" t="str">
        <f t="shared" si="3"/>
        <v>16-17 May</v>
      </c>
      <c r="AB53" s="160" t="str">
        <f t="shared" si="4"/>
        <v>10-11 May</v>
      </c>
      <c r="AC53" s="160" t="str">
        <f t="shared" si="5"/>
        <v>03-04 May</v>
      </c>
      <c r="AD53" s="160" t="str">
        <f t="shared" si="6"/>
        <v/>
      </c>
      <c r="AE53" s="161" t="str">
        <f t="shared" si="7"/>
        <v/>
      </c>
      <c r="AF53" s="162" t="str">
        <f t="shared" si="8"/>
        <v>26-27 Apr</v>
      </c>
      <c r="AG53" s="120" t="str">
        <f t="shared" si="9"/>
        <v>04-05 May</v>
      </c>
      <c r="AH53" s="121">
        <f>IFERROR($M53+VLOOKUP($L53,'Voyage days'!$F$38:$H$89,3,FALSE),"")</f>
        <v>46146</v>
      </c>
      <c r="AI53" s="121">
        <f>IFERROR(N53+VLOOKUP($L53,'Voyage days'!$F$38:$H$89,3,FALSE),"")</f>
        <v>46147</v>
      </c>
      <c r="AJ53" s="120" t="str">
        <f t="shared" si="10"/>
        <v>13-14 May</v>
      </c>
      <c r="AK53" s="121">
        <f>IFERROR($M53+VLOOKUP($L53,'Voyage days'!$F$94:$H$193,3,FALSE),"")</f>
        <v>46155</v>
      </c>
      <c r="AL53" s="121">
        <f>IFERROR($N53+VLOOKUP($L53,'Voyage days'!$F$94:$H$193,3,FALSE),"")</f>
        <v>46156</v>
      </c>
      <c r="AM53" s="120" t="str">
        <f t="shared" si="11"/>
        <v>16-17 May</v>
      </c>
      <c r="AN53" s="121">
        <f>IFERROR($M53+VLOOKUP($L53,'Voyage days'!$F$203:$H$256,3,FALSE),"")</f>
        <v>46158</v>
      </c>
      <c r="AO53" s="121">
        <f>IFERROR($N53+VLOOKUP($L53,'Voyage days'!$F$203:$H$256,3,FALSE),"")</f>
        <v>46159</v>
      </c>
      <c r="AP53" s="120" t="str">
        <f t="shared" si="12"/>
        <v>10-11 May</v>
      </c>
      <c r="AQ53" s="121">
        <f>IFERROR($M53+VLOOKUP($L53,'Voyage days'!$F$294:$H$377,3,FALSE),"")</f>
        <v>46152</v>
      </c>
      <c r="AR53" s="121">
        <f>IFERROR($N53+VLOOKUP($L53,'Voyage days'!$F$294:$H$377,3,FALSE),"")</f>
        <v>46153</v>
      </c>
      <c r="AS53" s="120" t="str">
        <f t="shared" si="13"/>
        <v>03-04 May</v>
      </c>
      <c r="AT53" s="121">
        <f>IFERROR($M53+VLOOKUP($L53,'Voyage days'!$F$382:$H$446,3,FALSE),"")</f>
        <v>46145</v>
      </c>
      <c r="AU53" s="121">
        <f>IFERROR($N53+VLOOKUP($L53,'Voyage days'!$F$382:$H$446,3,FALSE),"")</f>
        <v>46146</v>
      </c>
      <c r="AV53" s="120" t="str">
        <f t="shared" si="14"/>
        <v/>
      </c>
      <c r="AW53" s="121" t="str">
        <f>IFERROR($M53+VLOOKUP($L53,'Voyage days'!$F$483:$H$538,3,FALSE),"")</f>
        <v/>
      </c>
      <c r="AX53" s="121" t="str">
        <f>IFERROR($N53+VLOOKUP($L53,'Voyage days'!$F$483:$H$538,3,FALSE),"")</f>
        <v/>
      </c>
      <c r="AY53" s="120" t="str">
        <f t="shared" si="15"/>
        <v/>
      </c>
      <c r="AZ53" s="121" t="str">
        <f>IFERROR($M53+VLOOKUP($L53,'Voyage days'!$F$540:$H$613,3,FALSE),"")</f>
        <v/>
      </c>
      <c r="BA53" s="121" t="str">
        <f>IFERROR($N53+VLOOKUP($L53,'Voyage days'!$F$540:$H$613,3,FALSE),"")</f>
        <v/>
      </c>
      <c r="BB53" s="120" t="str">
        <f t="shared" si="16"/>
        <v/>
      </c>
      <c r="BC53" s="121" t="str">
        <f>IFERROR($M53+VLOOKUP($L53,'Voyage days'!$F$448:$H$479,3,FALSE),"")</f>
        <v/>
      </c>
      <c r="BD53" s="121" t="str">
        <f>IFERROR($N53+VLOOKUP($L53,'Voyage days'!$F$448:$H$479,3,FALSE),"")</f>
        <v/>
      </c>
      <c r="BE53" s="120" t="str">
        <f t="shared" si="17"/>
        <v/>
      </c>
      <c r="BF53" s="122" t="str">
        <f>IFERROR($M53+VLOOKUP($L53,'Voyage days'!$F$620:$H$646,3,FALSE),"")</f>
        <v/>
      </c>
      <c r="BG53" s="122" t="str">
        <f>IFERROR($N53+VLOOKUP($L53,'Voyage days'!$F$620:$H$646,3,FALSE),"")</f>
        <v/>
      </c>
      <c r="BH53" s="120" t="str">
        <f t="shared" si="18"/>
        <v/>
      </c>
      <c r="BI53" s="123" t="str">
        <f>IFERROR($M53+VLOOKUP($L53,'Voyage days'!$F$702:$H$727,3,FALSE),"")</f>
        <v/>
      </c>
      <c r="BJ53" s="120" t="str">
        <f t="shared" si="19"/>
        <v>26-27 Apr</v>
      </c>
      <c r="BK53" s="122">
        <f>IFERROR($M53+VLOOKUP($L53,'Voyage days'!$F$807:$H$878,3,FALSE),"")</f>
        <v>46138.5</v>
      </c>
      <c r="BL53" s="122">
        <f>IFERROR($N53+VLOOKUP($L53,'Voyage days'!$F$807:$H$878,3,FALSE),"")</f>
        <v>46139.5</v>
      </c>
      <c r="BM53" s="122">
        <f>IFERROR($N53+VLOOKUP($L53,'Voyage days'!$F$807:$K$878,6,FALSE),"")</f>
        <v>46138</v>
      </c>
      <c r="BN53" s="121" t="str">
        <f>if(L53="loads AG", IFERROR($M53+VLOOKUP($L53,'Voyage days'!$M$38:$O$38,3,FALSE),""),"")</f>
        <v/>
      </c>
      <c r="BO53" s="121" t="str">
        <f>if(L53="loads USG", IFERROR($M53+VLOOKUP($L53,'Voyage days'!$L$203:$N$203,3,FALSE),""),"")</f>
        <v/>
      </c>
    </row>
    <row r="54" ht="15.75" customHeight="1">
      <c r="A54" s="73" t="s">
        <v>424</v>
      </c>
      <c r="B54" s="202">
        <v>2026.0</v>
      </c>
      <c r="C54" s="203">
        <v>86700.0</v>
      </c>
      <c r="D54" s="112" t="s">
        <v>603</v>
      </c>
      <c r="E54" s="112" t="s">
        <v>706</v>
      </c>
      <c r="F54" s="104"/>
      <c r="G54" s="104"/>
      <c r="H54" s="104" t="s">
        <v>666</v>
      </c>
      <c r="I54" s="332" t="s">
        <v>761</v>
      </c>
      <c r="J54" s="106" t="str">
        <f t="shared" si="21"/>
        <v>NO AIS</v>
      </c>
      <c r="K54" s="107"/>
      <c r="L54" s="108" t="s">
        <v>755</v>
      </c>
      <c r="M54" s="109">
        <v>46133.0</v>
      </c>
      <c r="N54" s="109">
        <v>46134.0</v>
      </c>
      <c r="O54" s="191" t="s">
        <v>729</v>
      </c>
      <c r="P54" s="108" t="s">
        <v>799</v>
      </c>
      <c r="Q54" s="185"/>
      <c r="R54" s="108" t="s">
        <v>800</v>
      </c>
      <c r="S54" s="256" t="s">
        <v>33</v>
      </c>
      <c r="T54" s="293">
        <v>46125.0</v>
      </c>
      <c r="U54" s="114" t="str">
        <f>IF(V54="","No AIS",VLOOKUP(V54,'Voyage days'!$A$3:$B$1480,2,FALSE))</f>
        <v>No AIS</v>
      </c>
      <c r="V54" s="115" t="str">
        <f>IF(VLOOKUP(A54,'1) Kpler'!$E$2:$P$1000,8, FALSE)="","",VLOOKUP(A54,'1) Kpler'!$E$2:$P$1000,8, FALSE))</f>
        <v/>
      </c>
      <c r="W54" s="116" t="str">
        <f>IF(VLOOKUP(A54,'1) Kpler'!$E$2:$P$1000,9,FALSE)="","",VLOOKUP(A54,'1) Kpler'!$E$2:$P$1000,9,FALSE))</f>
        <v/>
      </c>
      <c r="X54" s="115" t="str">
        <f>VLOOKUP(A54,'1) Kpler'!$E$2:$I$1000,4,FALSE)</f>
        <v>ballast</v>
      </c>
      <c r="Y54" s="160" t="str">
        <f t="shared" si="1"/>
        <v>02-03 May</v>
      </c>
      <c r="Z54" s="160" t="str">
        <f t="shared" si="2"/>
        <v>30-31 May</v>
      </c>
      <c r="AA54" s="160" t="str">
        <f t="shared" si="3"/>
        <v>28-29 May</v>
      </c>
      <c r="AB54" s="160" t="str">
        <f t="shared" si="4"/>
        <v>11-12 May</v>
      </c>
      <c r="AC54" s="160" t="str">
        <f t="shared" si="5"/>
        <v>20-21 May</v>
      </c>
      <c r="AD54" s="160" t="str">
        <f t="shared" si="6"/>
        <v>24-25 Apr</v>
      </c>
      <c r="AE54" s="161" t="str">
        <f t="shared" si="7"/>
        <v>25-26 Apr</v>
      </c>
      <c r="AF54" s="162" t="str">
        <f t="shared" si="8"/>
        <v>28-29 May</v>
      </c>
      <c r="AG54" s="120" t="str">
        <f t="shared" si="9"/>
        <v>02-03 May</v>
      </c>
      <c r="AH54" s="121">
        <f>IFERROR($M54+VLOOKUP($L54,'Voyage days'!$F$38:$H$89,3,FALSE),"")</f>
        <v>46144</v>
      </c>
      <c r="AI54" s="121">
        <f>IFERROR(N54+VLOOKUP($L54,'Voyage days'!$F$38:$H$89,3,FALSE),"")</f>
        <v>46145</v>
      </c>
      <c r="AJ54" s="120" t="str">
        <f t="shared" si="10"/>
        <v>30-31 May</v>
      </c>
      <c r="AK54" s="121">
        <f>IFERROR($M54+VLOOKUP($L54,'Voyage days'!$F$94:$H$193,3,FALSE),"")</f>
        <v>46172</v>
      </c>
      <c r="AL54" s="121">
        <f>IFERROR($N54+VLOOKUP($L54,'Voyage days'!$F$94:$H$193,3,FALSE),"")</f>
        <v>46173</v>
      </c>
      <c r="AM54" s="120" t="str">
        <f t="shared" si="11"/>
        <v>28-29 May</v>
      </c>
      <c r="AN54" s="121">
        <f>IFERROR($M54+VLOOKUP($L54,'Voyage days'!$F$203:$H$256,3,FALSE),"")</f>
        <v>46170</v>
      </c>
      <c r="AO54" s="121">
        <f>IFERROR($N54+VLOOKUP($L54,'Voyage days'!$F$203:$H$256,3,FALSE),"")</f>
        <v>46171</v>
      </c>
      <c r="AP54" s="120" t="str">
        <f t="shared" si="12"/>
        <v>11-12 May</v>
      </c>
      <c r="AQ54" s="121">
        <f>IFERROR($M54+VLOOKUP($L54,'Voyage days'!$F$294:$H$377,3,FALSE),"")</f>
        <v>46153</v>
      </c>
      <c r="AR54" s="121">
        <f>IFERROR($N54+VLOOKUP($L54,'Voyage days'!$F$294:$H$377,3,FALSE),"")</f>
        <v>46154</v>
      </c>
      <c r="AS54" s="120" t="str">
        <f t="shared" si="13"/>
        <v>20-21 May</v>
      </c>
      <c r="AT54" s="121">
        <f>IFERROR($M54+VLOOKUP($L54,'Voyage days'!$F$382:$H$446,3,FALSE),"")</f>
        <v>46162</v>
      </c>
      <c r="AU54" s="121">
        <f>IFERROR($N54+VLOOKUP($L54,'Voyage days'!$F$382:$H$446,3,FALSE),"")</f>
        <v>46163</v>
      </c>
      <c r="AV54" s="120" t="str">
        <f t="shared" si="14"/>
        <v>30-01 May</v>
      </c>
      <c r="AW54" s="121">
        <f>IFERROR($M54+VLOOKUP($L54,'Voyage days'!$F$483:$H$538,3,FALSE),"")</f>
        <v>46142</v>
      </c>
      <c r="AX54" s="121">
        <f>IFERROR($N54+VLOOKUP($L54,'Voyage days'!$F$483:$H$538,3,FALSE),"")</f>
        <v>46143</v>
      </c>
      <c r="AY54" s="120" t="str">
        <f t="shared" si="15"/>
        <v>25-26 Apr</v>
      </c>
      <c r="AZ54" s="121">
        <f>IFERROR($M54+VLOOKUP($L54,'Voyage days'!$F$540:$H$613,3,FALSE),"")</f>
        <v>46137</v>
      </c>
      <c r="BA54" s="121">
        <f>IFERROR($N54+VLOOKUP($L54,'Voyage days'!$F$540:$H$613,3,FALSE),"")</f>
        <v>46138</v>
      </c>
      <c r="BB54" s="120" t="str">
        <f t="shared" si="16"/>
        <v>24-25 Apr</v>
      </c>
      <c r="BC54" s="121">
        <f>IFERROR($M54+VLOOKUP($L54,'Voyage days'!$F$448:$H$479,3,FALSE),"")</f>
        <v>46136</v>
      </c>
      <c r="BD54" s="121">
        <f>IFERROR($N54+VLOOKUP($L54,'Voyage days'!$F$448:$H$479,3,FALSE),"")</f>
        <v>46137</v>
      </c>
      <c r="BE54" s="120" t="str">
        <f t="shared" si="17"/>
        <v/>
      </c>
      <c r="BF54" s="122" t="str">
        <f>IFERROR($M54+VLOOKUP($L54,'Voyage days'!$F$620:$H$646,3,FALSE),"")</f>
        <v/>
      </c>
      <c r="BG54" s="122" t="str">
        <f>IFERROR($N54+VLOOKUP($L54,'Voyage days'!$F$620:$H$646,3,FALSE),"")</f>
        <v/>
      </c>
      <c r="BH54" s="120" t="str">
        <f t="shared" si="18"/>
        <v>29-29 May</v>
      </c>
      <c r="BI54" s="123">
        <f>IFERROR($M54+VLOOKUP($L54,'Voyage days'!$F$702:$H$727,3,FALSE),"")</f>
        <v>46141</v>
      </c>
      <c r="BJ54" s="120" t="str">
        <f t="shared" si="19"/>
        <v>28-29 May</v>
      </c>
      <c r="BK54" s="122">
        <f>IFERROR($M54+VLOOKUP($L54,'Voyage days'!$F$807:$H$878,3,FALSE),"")</f>
        <v>46170</v>
      </c>
      <c r="BL54" s="122">
        <f>IFERROR($N54+VLOOKUP($L54,'Voyage days'!$F$807:$H$878,3,FALSE),"")</f>
        <v>46171</v>
      </c>
      <c r="BM54" s="122">
        <f>IFERROR($N54+VLOOKUP($L54,'Voyage days'!$F$807:$K$878,6,FALSE),"")</f>
        <v>46147</v>
      </c>
      <c r="BN54" s="121" t="str">
        <f>if(L54="loads AG", IFERROR($M54+VLOOKUP($L54,'Voyage days'!$M$38:$O$38,3,FALSE),""),"")</f>
        <v/>
      </c>
      <c r="BO54" s="121" t="str">
        <f>if(L54="loads USG", IFERROR($M54+VLOOKUP($L54,'Voyage days'!$L$203:$N$203,3,FALSE),""),"")</f>
        <v/>
      </c>
    </row>
    <row r="55" ht="15.75" customHeight="1">
      <c r="A55" s="338" t="s">
        <v>426</v>
      </c>
      <c r="B55" s="148">
        <v>2023.0</v>
      </c>
      <c r="C55" s="102">
        <v>86000.0</v>
      </c>
      <c r="D55" s="103"/>
      <c r="E55" s="103"/>
      <c r="F55" s="104"/>
      <c r="G55" s="104"/>
      <c r="H55" s="104" t="s">
        <v>666</v>
      </c>
      <c r="I55" s="332" t="s">
        <v>761</v>
      </c>
      <c r="J55" s="106" t="str">
        <f t="shared" si="21"/>
        <v>Update</v>
      </c>
      <c r="K55" s="107"/>
      <c r="L55" s="108" t="s">
        <v>680</v>
      </c>
      <c r="M55" s="109">
        <v>46125.0</v>
      </c>
      <c r="N55" s="109">
        <v>46126.0</v>
      </c>
      <c r="O55" s="110" t="s">
        <v>70</v>
      </c>
      <c r="P55" s="192" t="s">
        <v>801</v>
      </c>
      <c r="Q55" s="185"/>
      <c r="R55" s="108" t="s">
        <v>802</v>
      </c>
      <c r="S55" s="256" t="s">
        <v>33</v>
      </c>
      <c r="T55" s="293">
        <v>46125.0</v>
      </c>
      <c r="U55" s="114" t="str">
        <f>IF(V55="","No AIS",VLOOKUP(V55,'Voyage days'!$A$3:$B$1480,2,FALSE))</f>
        <v>Suez + 7</v>
      </c>
      <c r="V55" s="115" t="str">
        <f>IF(VLOOKUP(A55,'1) Kpler'!$E$2:$P$1000,8, FALSE)="","",VLOOKUP(A55,'1) Kpler'!$E$2:$P$1000,8, FALSE))</f>
        <v>Suez Canal</v>
      </c>
      <c r="W55" s="116">
        <f>IF(VLOOKUP(A55,'1) Kpler'!$E$2:$P$1000,9,FALSE)="","",VLOOKUP(A55,'1) Kpler'!$E$2:$P$1000,9,FALSE))</f>
        <v>46145.95833</v>
      </c>
      <c r="X55" s="115" t="str">
        <f>VLOOKUP(A55,'1) Kpler'!$E$2:$I$1000,4,FALSE)</f>
        <v>loaded</v>
      </c>
      <c r="Y55" s="160" t="str">
        <f t="shared" si="1"/>
        <v/>
      </c>
      <c r="Z55" s="160" t="str">
        <f t="shared" si="2"/>
        <v>13-14 Apr</v>
      </c>
      <c r="AA55" s="160" t="str">
        <f t="shared" si="3"/>
        <v>13-14 Apr</v>
      </c>
      <c r="AB55" s="160" t="str">
        <f t="shared" si="4"/>
        <v/>
      </c>
      <c r="AC55" s="160" t="str">
        <f t="shared" si="5"/>
        <v>03-04 May</v>
      </c>
      <c r="AD55" s="160" t="str">
        <f t="shared" si="6"/>
        <v/>
      </c>
      <c r="AE55" s="161" t="str">
        <f t="shared" si="7"/>
        <v/>
      </c>
      <c r="AF55" s="162" t="str">
        <f t="shared" si="8"/>
        <v/>
      </c>
      <c r="AG55" s="120" t="str">
        <f t="shared" si="9"/>
        <v/>
      </c>
      <c r="AH55" s="121" t="str">
        <f>IFERROR($M55+VLOOKUP($L55,'Voyage days'!$F$38:$H$89,3,FALSE),"")</f>
        <v/>
      </c>
      <c r="AI55" s="121" t="str">
        <f>IFERROR(N55+VLOOKUP($L55,'Voyage days'!$F$38:$H$89,3,FALSE),"")</f>
        <v/>
      </c>
      <c r="AJ55" s="120" t="str">
        <f t="shared" si="10"/>
        <v>13-14 Apr</v>
      </c>
      <c r="AK55" s="121">
        <f>IFERROR($M55+VLOOKUP($L55,'Voyage days'!$F$94:$H$193,3,FALSE),"")</f>
        <v>46125</v>
      </c>
      <c r="AL55" s="121">
        <f>IFERROR($N55+VLOOKUP($L55,'Voyage days'!$F$94:$H$193,3,FALSE),"")</f>
        <v>46126</v>
      </c>
      <c r="AM55" s="120" t="str">
        <f t="shared" si="11"/>
        <v>13-14 Apr</v>
      </c>
      <c r="AN55" s="121">
        <f>IFERROR($M55+VLOOKUP($L55,'Voyage days'!$F$203:$H$256,3,FALSE),"")</f>
        <v>46125</v>
      </c>
      <c r="AO55" s="121">
        <f>IFERROR($N55+VLOOKUP($L55,'Voyage days'!$F$203:$H$256,3,FALSE),"")</f>
        <v>46126</v>
      </c>
      <c r="AP55" s="120" t="str">
        <f t="shared" si="12"/>
        <v/>
      </c>
      <c r="AQ55" s="121" t="str">
        <f>IFERROR($M55+VLOOKUP($L55,'Voyage days'!$F$294:$H$377,3,FALSE),"")</f>
        <v/>
      </c>
      <c r="AR55" s="121" t="str">
        <f>IFERROR($N55+VLOOKUP($L55,'Voyage days'!$F$294:$H$377,3,FALSE),"")</f>
        <v/>
      </c>
      <c r="AS55" s="120" t="str">
        <f t="shared" si="13"/>
        <v>03-04 May</v>
      </c>
      <c r="AT55" s="121">
        <f>IFERROR($M55+VLOOKUP($L55,'Voyage days'!$F$382:$H$446,3,FALSE),"")</f>
        <v>46145</v>
      </c>
      <c r="AU55" s="121">
        <f>IFERROR($N55+VLOOKUP($L55,'Voyage days'!$F$382:$H$446,3,FALSE),"")</f>
        <v>46146</v>
      </c>
      <c r="AV55" s="120" t="str">
        <f t="shared" si="14"/>
        <v/>
      </c>
      <c r="AW55" s="121" t="str">
        <f>IFERROR($M55+VLOOKUP($L55,'Voyage days'!$F$483:$H$538,3,FALSE),"")</f>
        <v/>
      </c>
      <c r="AX55" s="121" t="str">
        <f>IFERROR($N55+VLOOKUP($L55,'Voyage days'!$F$483:$H$538,3,FALSE),"")</f>
        <v/>
      </c>
      <c r="AY55" s="120" t="str">
        <f t="shared" si="15"/>
        <v/>
      </c>
      <c r="AZ55" s="121" t="str">
        <f>IFERROR($M55+VLOOKUP($L55,'Voyage days'!$F$540:$H$613,3,FALSE),"")</f>
        <v/>
      </c>
      <c r="BA55" s="121" t="str">
        <f>IFERROR($N55+VLOOKUP($L55,'Voyage days'!$F$540:$H$613,3,FALSE),"")</f>
        <v/>
      </c>
      <c r="BB55" s="120" t="str">
        <f t="shared" si="16"/>
        <v/>
      </c>
      <c r="BC55" s="121" t="str">
        <f>IFERROR($M55+VLOOKUP($L55,'Voyage days'!$F$448:$H$479,3,FALSE),"")</f>
        <v/>
      </c>
      <c r="BD55" s="121" t="str">
        <f>IFERROR($N55+VLOOKUP($L55,'Voyage days'!$F$448:$H$479,3,FALSE),"")</f>
        <v/>
      </c>
      <c r="BE55" s="120" t="str">
        <f t="shared" si="17"/>
        <v/>
      </c>
      <c r="BF55" s="122" t="str">
        <f>IFERROR($M55+VLOOKUP($L55,'Voyage days'!$F$620:$H$646,3,FALSE),"")</f>
        <v/>
      </c>
      <c r="BG55" s="122" t="str">
        <f>IFERROR($N55+VLOOKUP($L55,'Voyage days'!$F$620:$H$646,3,FALSE),"")</f>
        <v/>
      </c>
      <c r="BH55" s="120" t="str">
        <f t="shared" si="18"/>
        <v/>
      </c>
      <c r="BI55" s="123" t="str">
        <f>IFERROR($M55+VLOOKUP($L55,'Voyage days'!$F$702:$H$727,3,FALSE),"")</f>
        <v/>
      </c>
      <c r="BJ55" s="120" t="str">
        <f t="shared" si="19"/>
        <v/>
      </c>
      <c r="BK55" s="122" t="str">
        <f>IFERROR($M55+VLOOKUP($L55,'Voyage days'!$F$807:$H$878,3,FALSE),"")</f>
        <v/>
      </c>
      <c r="BL55" s="122" t="str">
        <f>IFERROR($N55+VLOOKUP($L55,'Voyage days'!$F$807:$H$878,3,FALSE),"")</f>
        <v/>
      </c>
      <c r="BM55" s="122" t="str">
        <f>IFERROR($N55+VLOOKUP($L55,'Voyage days'!$F$807:$K$878,6,FALSE),"")</f>
        <v/>
      </c>
      <c r="BN55" s="121" t="str">
        <f>if(L55="loads AG", IFERROR($M55+VLOOKUP($L55,'Voyage days'!$M$38:$O$38,3,FALSE),""),"")</f>
        <v/>
      </c>
      <c r="BO55" s="121">
        <f>if(L55="loads USG", IFERROR($M55+VLOOKUP($L55,'Voyage days'!$L$203:$N$203,3,FALSE),""),"")</f>
        <v>46157</v>
      </c>
    </row>
    <row r="56" ht="15.75" customHeight="1">
      <c r="A56" s="338" t="s">
        <v>462</v>
      </c>
      <c r="B56" s="148">
        <v>2023.0</v>
      </c>
      <c r="C56" s="102">
        <v>86000.0</v>
      </c>
      <c r="D56" s="103"/>
      <c r="E56" s="103"/>
      <c r="F56" s="104"/>
      <c r="G56" s="104"/>
      <c r="H56" s="104" t="s">
        <v>666</v>
      </c>
      <c r="I56" s="332" t="s">
        <v>761</v>
      </c>
      <c r="J56" s="106" t="str">
        <f t="shared" si="21"/>
        <v>Update</v>
      </c>
      <c r="K56" s="107"/>
      <c r="L56" s="108" t="s">
        <v>680</v>
      </c>
      <c r="M56" s="109">
        <v>46131.0</v>
      </c>
      <c r="N56" s="109">
        <v>46132.0</v>
      </c>
      <c r="O56" s="191"/>
      <c r="P56" s="108" t="s">
        <v>803</v>
      </c>
      <c r="Q56" s="185"/>
      <c r="R56" s="108" t="s">
        <v>804</v>
      </c>
      <c r="S56" s="256" t="s">
        <v>33</v>
      </c>
      <c r="T56" s="293">
        <v>46125.0</v>
      </c>
      <c r="U56" s="114" t="str">
        <f>IF(V56="","No AIS",VLOOKUP(V56,'Voyage days'!$A$3:$B$1480,2,FALSE))</f>
        <v>Panama</v>
      </c>
      <c r="V56" s="115" t="str">
        <f>IF(VLOOKUP(A56,'1) Kpler'!$E$2:$P$1000,8, FALSE)="","",VLOOKUP(A56,'1) Kpler'!$E$2:$P$1000,8, FALSE))</f>
        <v>Panama Canal</v>
      </c>
      <c r="W56" s="116">
        <f>IF(VLOOKUP(A56,'1) Kpler'!$E$2:$P$1000,9,FALSE)="","",VLOOKUP(A56,'1) Kpler'!$E$2:$P$1000,9,FALSE))</f>
        <v>46133.5</v>
      </c>
      <c r="X56" s="115" t="str">
        <f>VLOOKUP(A56,'1) Kpler'!$E$2:$I$1000,4,FALSE)</f>
        <v>ballast</v>
      </c>
      <c r="Y56" s="160" t="str">
        <f t="shared" si="1"/>
        <v/>
      </c>
      <c r="Z56" s="160" t="str">
        <f t="shared" si="2"/>
        <v>19-20 Apr</v>
      </c>
      <c r="AA56" s="160" t="str">
        <f t="shared" si="3"/>
        <v>19-20 Apr</v>
      </c>
      <c r="AB56" s="160" t="str">
        <f t="shared" si="4"/>
        <v/>
      </c>
      <c r="AC56" s="160" t="str">
        <f t="shared" si="5"/>
        <v>09-10 May</v>
      </c>
      <c r="AD56" s="160" t="str">
        <f t="shared" si="6"/>
        <v/>
      </c>
      <c r="AE56" s="161" t="str">
        <f t="shared" si="7"/>
        <v/>
      </c>
      <c r="AF56" s="162" t="str">
        <f t="shared" si="8"/>
        <v/>
      </c>
      <c r="AG56" s="120" t="str">
        <f t="shared" si="9"/>
        <v/>
      </c>
      <c r="AH56" s="121" t="str">
        <f>IFERROR($M56+VLOOKUP($L56,'Voyage days'!$F$38:$H$89,3,FALSE),"")</f>
        <v/>
      </c>
      <c r="AI56" s="121" t="str">
        <f>IFERROR(N56+VLOOKUP($L56,'Voyage days'!$F$38:$H$89,3,FALSE),"")</f>
        <v/>
      </c>
      <c r="AJ56" s="120" t="str">
        <f t="shared" si="10"/>
        <v>19-20 Apr</v>
      </c>
      <c r="AK56" s="121">
        <f>IFERROR($M56+VLOOKUP($L56,'Voyage days'!$F$94:$H$193,3,FALSE),"")</f>
        <v>46131</v>
      </c>
      <c r="AL56" s="121">
        <f>IFERROR($N56+VLOOKUP($L56,'Voyage days'!$F$94:$H$193,3,FALSE),"")</f>
        <v>46132</v>
      </c>
      <c r="AM56" s="120" t="str">
        <f t="shared" si="11"/>
        <v>19-20 Apr</v>
      </c>
      <c r="AN56" s="121">
        <f>IFERROR($M56+VLOOKUP($L56,'Voyage days'!$F$203:$H$256,3,FALSE),"")</f>
        <v>46131</v>
      </c>
      <c r="AO56" s="121">
        <f>IFERROR($N56+VLOOKUP($L56,'Voyage days'!$F$203:$H$256,3,FALSE),"")</f>
        <v>46132</v>
      </c>
      <c r="AP56" s="120" t="str">
        <f t="shared" si="12"/>
        <v/>
      </c>
      <c r="AQ56" s="121" t="str">
        <f>IFERROR($M56+VLOOKUP($L56,'Voyage days'!$F$294:$H$377,3,FALSE),"")</f>
        <v/>
      </c>
      <c r="AR56" s="121" t="str">
        <f>IFERROR($N56+VLOOKUP($L56,'Voyage days'!$F$294:$H$377,3,FALSE),"")</f>
        <v/>
      </c>
      <c r="AS56" s="120" t="str">
        <f t="shared" si="13"/>
        <v>09-10 May</v>
      </c>
      <c r="AT56" s="121">
        <f>IFERROR($M56+VLOOKUP($L56,'Voyage days'!$F$382:$H$446,3,FALSE),"")</f>
        <v>46151</v>
      </c>
      <c r="AU56" s="121">
        <f>IFERROR($N56+VLOOKUP($L56,'Voyage days'!$F$382:$H$446,3,FALSE),"")</f>
        <v>46152</v>
      </c>
      <c r="AV56" s="120" t="str">
        <f t="shared" si="14"/>
        <v/>
      </c>
      <c r="AW56" s="121" t="str">
        <f>IFERROR($M56+VLOOKUP($L56,'Voyage days'!$F$483:$H$538,3,FALSE),"")</f>
        <v/>
      </c>
      <c r="AX56" s="121" t="str">
        <f>IFERROR($N56+VLOOKUP($L56,'Voyage days'!$F$483:$H$538,3,FALSE),"")</f>
        <v/>
      </c>
      <c r="AY56" s="120" t="str">
        <f t="shared" si="15"/>
        <v/>
      </c>
      <c r="AZ56" s="121" t="str">
        <f>IFERROR($M56+VLOOKUP($L56,'Voyage days'!$F$540:$H$613,3,FALSE),"")</f>
        <v/>
      </c>
      <c r="BA56" s="121" t="str">
        <f>IFERROR($N56+VLOOKUP($L56,'Voyage days'!$F$540:$H$613,3,FALSE),"")</f>
        <v/>
      </c>
      <c r="BB56" s="120" t="str">
        <f t="shared" si="16"/>
        <v/>
      </c>
      <c r="BC56" s="121" t="str">
        <f>IFERROR($M56+VLOOKUP($L56,'Voyage days'!$F$448:$H$479,3,FALSE),"")</f>
        <v/>
      </c>
      <c r="BD56" s="121" t="str">
        <f>IFERROR($N56+VLOOKUP($L56,'Voyage days'!$F$448:$H$479,3,FALSE),"")</f>
        <v/>
      </c>
      <c r="BE56" s="120" t="str">
        <f t="shared" si="17"/>
        <v/>
      </c>
      <c r="BF56" s="122" t="str">
        <f>IFERROR($M56+VLOOKUP($L56,'Voyage days'!$F$620:$H$646,3,FALSE),"")</f>
        <v/>
      </c>
      <c r="BG56" s="122" t="str">
        <f>IFERROR($N56+VLOOKUP($L56,'Voyage days'!$F$620:$H$646,3,FALSE),"")</f>
        <v/>
      </c>
      <c r="BH56" s="120" t="str">
        <f t="shared" si="18"/>
        <v/>
      </c>
      <c r="BI56" s="123" t="str">
        <f>IFERROR($M56+VLOOKUP($L56,'Voyage days'!$F$702:$H$727,3,FALSE),"")</f>
        <v/>
      </c>
      <c r="BJ56" s="120" t="str">
        <f t="shared" si="19"/>
        <v/>
      </c>
      <c r="BK56" s="122" t="str">
        <f>IFERROR($M56+VLOOKUP($L56,'Voyage days'!$F$807:$H$878,3,FALSE),"")</f>
        <v/>
      </c>
      <c r="BL56" s="122" t="str">
        <f>IFERROR($N56+VLOOKUP($L56,'Voyage days'!$F$807:$H$878,3,FALSE),"")</f>
        <v/>
      </c>
      <c r="BM56" s="122" t="str">
        <f>IFERROR($N56+VLOOKUP($L56,'Voyage days'!$F$807:$K$878,6,FALSE),"")</f>
        <v/>
      </c>
      <c r="BN56" s="121" t="str">
        <f>if(L56="loads AG", IFERROR($M56+VLOOKUP($L56,'Voyage days'!$M$38:$O$38,3,FALSE),""),"")</f>
        <v/>
      </c>
      <c r="BO56" s="121">
        <f>if(L56="loads USG", IFERROR($M56+VLOOKUP($L56,'Voyage days'!$L$203:$N$203,3,FALSE),""),"")</f>
        <v>46163</v>
      </c>
    </row>
    <row r="57" ht="15.75" customHeight="1">
      <c r="A57" s="342" t="s">
        <v>442</v>
      </c>
      <c r="B57" s="202">
        <v>2025.0</v>
      </c>
      <c r="C57" s="203">
        <v>86665.0</v>
      </c>
      <c r="D57" s="103"/>
      <c r="E57" s="103"/>
      <c r="F57" s="104"/>
      <c r="G57" s="104"/>
      <c r="H57" s="104" t="s">
        <v>666</v>
      </c>
      <c r="I57" s="332" t="s">
        <v>761</v>
      </c>
      <c r="J57" s="106" t="str">
        <f t="shared" si="21"/>
        <v>Update</v>
      </c>
      <c r="K57" s="205"/>
      <c r="L57" s="108" t="s">
        <v>773</v>
      </c>
      <c r="M57" s="109">
        <v>46130.0</v>
      </c>
      <c r="N57" s="109">
        <v>46131.0</v>
      </c>
      <c r="O57" s="191" t="s">
        <v>729</v>
      </c>
      <c r="P57" s="108" t="s">
        <v>805</v>
      </c>
      <c r="Q57" s="185"/>
      <c r="R57" s="108" t="s">
        <v>806</v>
      </c>
      <c r="S57" s="256" t="s">
        <v>33</v>
      </c>
      <c r="T57" s="293">
        <v>46125.0</v>
      </c>
      <c r="U57" s="114" t="str">
        <f>IF(V57="","No AIS",VLOOKUP(V57,'Voyage days'!$A$3:$B$1480,2,FALSE))</f>
        <v>Suez + 7</v>
      </c>
      <c r="V57" s="115" t="str">
        <f>IF(VLOOKUP(A57,'1) Kpler'!$E$2:$P$1000,8, FALSE)="","",VLOOKUP(A57,'1) Kpler'!$E$2:$P$1000,8, FALSE))</f>
        <v>Port Said</v>
      </c>
      <c r="W57" s="116">
        <f>IF(VLOOKUP(A57,'1) Kpler'!$E$2:$P$1000,9,FALSE)="","",VLOOKUP(A57,'1) Kpler'!$E$2:$P$1000,9,FALSE))</f>
        <v>46132.66667</v>
      </c>
      <c r="X57" s="115" t="str">
        <f>VLOOKUP(A57,'1) Kpler'!$E$2:$I$1000,4,FALSE)</f>
        <v>loaded</v>
      </c>
      <c r="Y57" s="160" t="str">
        <f t="shared" si="1"/>
        <v/>
      </c>
      <c r="Z57" s="160" t="str">
        <f t="shared" si="2"/>
        <v>02-03 May</v>
      </c>
      <c r="AA57" s="160" t="str">
        <f t="shared" si="3"/>
        <v>03-04 May</v>
      </c>
      <c r="AB57" s="160" t="str">
        <f t="shared" si="4"/>
        <v>29-30 Apr</v>
      </c>
      <c r="AC57" s="160" t="str">
        <f t="shared" si="5"/>
        <v>20-21 Apr</v>
      </c>
      <c r="AD57" s="160" t="str">
        <f t="shared" si="6"/>
        <v/>
      </c>
      <c r="AE57" s="161" t="str">
        <f t="shared" si="7"/>
        <v/>
      </c>
      <c r="AF57" s="162" t="str">
        <f t="shared" si="8"/>
        <v>02-03 May</v>
      </c>
      <c r="AG57" s="120" t="str">
        <f t="shared" si="9"/>
        <v/>
      </c>
      <c r="AH57" s="121" t="str">
        <f>IFERROR($M57+VLOOKUP($L57,'Voyage days'!$F$38:$H$89,3,FALSE),"")</f>
        <v/>
      </c>
      <c r="AI57" s="121" t="str">
        <f>IFERROR(N57+VLOOKUP($L57,'Voyage days'!$F$38:$H$89,3,FALSE),"")</f>
        <v/>
      </c>
      <c r="AJ57" s="120" t="str">
        <f t="shared" si="10"/>
        <v>02-03 May</v>
      </c>
      <c r="AK57" s="121">
        <f>IFERROR($M57+VLOOKUP($L57,'Voyage days'!$F$94:$H$193,3,FALSE),"")</f>
        <v>46144</v>
      </c>
      <c r="AL57" s="121">
        <f>IFERROR($N57+VLOOKUP($L57,'Voyage days'!$F$94:$H$193,3,FALSE),"")</f>
        <v>46145</v>
      </c>
      <c r="AM57" s="120" t="str">
        <f t="shared" si="11"/>
        <v>03-04 May</v>
      </c>
      <c r="AN57" s="121">
        <f>IFERROR($M57+VLOOKUP($L57,'Voyage days'!$F$203:$H$256,3,FALSE),"")</f>
        <v>46145</v>
      </c>
      <c r="AO57" s="121">
        <f>IFERROR($N57+VLOOKUP($L57,'Voyage days'!$F$203:$H$256,3,FALSE),"")</f>
        <v>46146</v>
      </c>
      <c r="AP57" s="120" t="str">
        <f t="shared" si="12"/>
        <v>29-30 Apr</v>
      </c>
      <c r="AQ57" s="121">
        <f>IFERROR($M57+VLOOKUP($L57,'Voyage days'!$F$294:$H$377,3,FALSE),"")</f>
        <v>46141</v>
      </c>
      <c r="AR57" s="121">
        <f>IFERROR($N57+VLOOKUP($L57,'Voyage days'!$F$294:$H$377,3,FALSE),"")</f>
        <v>46142</v>
      </c>
      <c r="AS57" s="120" t="str">
        <f t="shared" si="13"/>
        <v>20-21 Apr</v>
      </c>
      <c r="AT57" s="121">
        <f>IFERROR($M57+VLOOKUP($L57,'Voyage days'!$F$382:$H$446,3,FALSE),"")</f>
        <v>46132</v>
      </c>
      <c r="AU57" s="121">
        <f>IFERROR($N57+VLOOKUP($L57,'Voyage days'!$F$382:$H$446,3,FALSE),"")</f>
        <v>46133</v>
      </c>
      <c r="AV57" s="120" t="str">
        <f t="shared" si="14"/>
        <v/>
      </c>
      <c r="AW57" s="121" t="str">
        <f>IFERROR($M57+VLOOKUP($L57,'Voyage days'!$F$483:$H$538,3,FALSE),"")</f>
        <v/>
      </c>
      <c r="AX57" s="121" t="str">
        <f>IFERROR($N57+VLOOKUP($L57,'Voyage days'!$F$483:$H$538,3,FALSE),"")</f>
        <v/>
      </c>
      <c r="AY57" s="120" t="str">
        <f t="shared" si="15"/>
        <v/>
      </c>
      <c r="AZ57" s="121" t="str">
        <f>IFERROR($M57+VLOOKUP($L57,'Voyage days'!$F$540:$H$613,3,FALSE),"")</f>
        <v/>
      </c>
      <c r="BA57" s="121" t="str">
        <f>IFERROR($N57+VLOOKUP($L57,'Voyage days'!$F$540:$H$613,3,FALSE),"")</f>
        <v/>
      </c>
      <c r="BB57" s="120" t="str">
        <f t="shared" si="16"/>
        <v/>
      </c>
      <c r="BC57" s="121" t="str">
        <f>IFERROR($M57+VLOOKUP($L57,'Voyage days'!$F$448:$H$479,3,FALSE),"")</f>
        <v/>
      </c>
      <c r="BD57" s="121" t="str">
        <f>IFERROR($N57+VLOOKUP($L57,'Voyage days'!$F$448:$H$479,3,FALSE),"")</f>
        <v/>
      </c>
      <c r="BE57" s="120" t="str">
        <f t="shared" si="17"/>
        <v/>
      </c>
      <c r="BF57" s="122" t="str">
        <f>IFERROR($M57+VLOOKUP($L57,'Voyage days'!$F$620:$H$646,3,FALSE),"")</f>
        <v/>
      </c>
      <c r="BG57" s="122" t="str">
        <f>IFERROR($N57+VLOOKUP($L57,'Voyage days'!$F$620:$H$646,3,FALSE),"")</f>
        <v/>
      </c>
      <c r="BH57" s="120" t="str">
        <f t="shared" si="18"/>
        <v/>
      </c>
      <c r="BI57" s="123" t="str">
        <f>IFERROR($M57+VLOOKUP($L57,'Voyage days'!$F$702:$H$727,3,FALSE),"")</f>
        <v/>
      </c>
      <c r="BJ57" s="120" t="str">
        <f t="shared" si="19"/>
        <v>02-03 May</v>
      </c>
      <c r="BK57" s="122">
        <f>IFERROR($M57+VLOOKUP($L57,'Voyage days'!$F$807:$H$878,3,FALSE),"")</f>
        <v>46144</v>
      </c>
      <c r="BL57" s="122">
        <f>IFERROR($N57+VLOOKUP($L57,'Voyage days'!$F$807:$H$878,3,FALSE),"")</f>
        <v>46145</v>
      </c>
      <c r="BM57" s="122">
        <f>IFERROR($N57+VLOOKUP($L57,'Voyage days'!$F$807:$K$878,6,FALSE),"")</f>
        <v>46131</v>
      </c>
      <c r="BN57" s="121" t="str">
        <f>if(L57="loads AG", IFERROR($M57+VLOOKUP($L57,'Voyage days'!$M$38:$O$38,3,FALSE),""),"")</f>
        <v/>
      </c>
      <c r="BO57" s="121" t="str">
        <f>if(L57="loads USG", IFERROR($M57+VLOOKUP($L57,'Voyage days'!$L$203:$N$203,3,FALSE),""),"")</f>
        <v/>
      </c>
    </row>
    <row r="58" ht="15.75" customHeight="1">
      <c r="A58" s="342" t="s">
        <v>443</v>
      </c>
      <c r="B58" s="202">
        <v>2025.0</v>
      </c>
      <c r="C58" s="203">
        <v>86000.0</v>
      </c>
      <c r="D58" s="112"/>
      <c r="E58" s="112"/>
      <c r="F58" s="104"/>
      <c r="G58" s="104"/>
      <c r="H58" s="104" t="s">
        <v>666</v>
      </c>
      <c r="I58" s="332" t="s">
        <v>761</v>
      </c>
      <c r="J58" s="106" t="str">
        <f t="shared" si="21"/>
        <v>Update</v>
      </c>
      <c r="K58" s="107"/>
      <c r="L58" s="108" t="s">
        <v>680</v>
      </c>
      <c r="M58" s="109">
        <v>46126.0</v>
      </c>
      <c r="N58" s="109">
        <v>46127.0</v>
      </c>
      <c r="O58" s="255" t="s">
        <v>729</v>
      </c>
      <c r="P58" s="192" t="s">
        <v>807</v>
      </c>
      <c r="Q58" s="108"/>
      <c r="R58" s="108" t="s">
        <v>808</v>
      </c>
      <c r="S58" s="256" t="s">
        <v>33</v>
      </c>
      <c r="T58" s="293">
        <v>46125.0</v>
      </c>
      <c r="U58" s="114" t="str">
        <f>IF(V58="","No AIS",VLOOKUP(V58,'Voyage days'!$A$3:$B$1480,2,FALSE))</f>
        <v>USG</v>
      </c>
      <c r="V58" s="115" t="str">
        <f>IF(VLOOKUP(A58,'1) Kpler'!$E$2:$P$1000,8, FALSE)="","",VLOOKUP(A58,'1) Kpler'!$E$2:$P$1000,8, FALSE))</f>
        <v>Energy Transfer Nederland</v>
      </c>
      <c r="W58" s="116">
        <f>IF(VLOOKUP(A58,'1) Kpler'!$E$2:$P$1000,9,FALSE)="","",VLOOKUP(A58,'1) Kpler'!$E$2:$P$1000,9,FALSE))</f>
        <v>46133.75</v>
      </c>
      <c r="X58" s="115" t="str">
        <f>VLOOKUP(A58,'1) Kpler'!$E$2:$I$1000,4,FALSE)</f>
        <v>ballast</v>
      </c>
      <c r="Y58" s="117" t="str">
        <f t="shared" si="1"/>
        <v/>
      </c>
      <c r="Z58" s="117" t="str">
        <f t="shared" si="2"/>
        <v>14-15 Apr</v>
      </c>
      <c r="AA58" s="117" t="str">
        <f t="shared" si="3"/>
        <v>14-15 Apr</v>
      </c>
      <c r="AB58" s="117" t="str">
        <f t="shared" si="4"/>
        <v/>
      </c>
      <c r="AC58" s="117" t="str">
        <f t="shared" si="5"/>
        <v>04-05 May</v>
      </c>
      <c r="AD58" s="117" t="str">
        <f t="shared" si="6"/>
        <v/>
      </c>
      <c r="AE58" s="118" t="str">
        <f t="shared" si="7"/>
        <v/>
      </c>
      <c r="AF58" s="119" t="str">
        <f t="shared" si="8"/>
        <v/>
      </c>
      <c r="AG58" s="120" t="str">
        <f t="shared" si="9"/>
        <v/>
      </c>
      <c r="AH58" s="121" t="str">
        <f>IFERROR($M58+VLOOKUP($L58,'Voyage days'!$F$38:$H$89,3,FALSE),"")</f>
        <v/>
      </c>
      <c r="AI58" s="121" t="str">
        <f>IFERROR(N58+VLOOKUP($L58,'Voyage days'!$F$38:$H$89,3,FALSE),"")</f>
        <v/>
      </c>
      <c r="AJ58" s="120" t="str">
        <f t="shared" si="10"/>
        <v>14-15 Apr</v>
      </c>
      <c r="AK58" s="121">
        <f>IFERROR($M58+VLOOKUP($L58,'Voyage days'!$F$94:$H$193,3,FALSE),"")</f>
        <v>46126</v>
      </c>
      <c r="AL58" s="121">
        <f>IFERROR($N58+VLOOKUP($L58,'Voyage days'!$F$94:$H$193,3,FALSE),"")</f>
        <v>46127</v>
      </c>
      <c r="AM58" s="120" t="str">
        <f t="shared" si="11"/>
        <v>14-15 Apr</v>
      </c>
      <c r="AN58" s="121">
        <f>IFERROR($M58+VLOOKUP($L58,'Voyage days'!$F$203:$H$256,3,FALSE),"")</f>
        <v>46126</v>
      </c>
      <c r="AO58" s="121">
        <f>IFERROR($N58+VLOOKUP($L58,'Voyage days'!$F$203:$H$256,3,FALSE),"")</f>
        <v>46127</v>
      </c>
      <c r="AP58" s="120" t="str">
        <f t="shared" si="12"/>
        <v/>
      </c>
      <c r="AQ58" s="121" t="str">
        <f>IFERROR($M58+VLOOKUP($L58,'Voyage days'!$F$294:$H$377,3,FALSE),"")</f>
        <v/>
      </c>
      <c r="AR58" s="121" t="str">
        <f>IFERROR($N58+VLOOKUP($L58,'Voyage days'!$F$294:$H$377,3,FALSE),"")</f>
        <v/>
      </c>
      <c r="AS58" s="120" t="str">
        <f t="shared" si="13"/>
        <v>04-05 May</v>
      </c>
      <c r="AT58" s="121">
        <f>IFERROR($M58+VLOOKUP($L58,'Voyage days'!$F$382:$H$446,3,FALSE),"")</f>
        <v>46146</v>
      </c>
      <c r="AU58" s="121">
        <f>IFERROR($N58+VLOOKUP($L58,'Voyage days'!$F$382:$H$446,3,FALSE),"")</f>
        <v>46147</v>
      </c>
      <c r="AV58" s="120" t="str">
        <f t="shared" si="14"/>
        <v/>
      </c>
      <c r="AW58" s="121" t="str">
        <f>IFERROR($M58+VLOOKUP($L58,'Voyage days'!$F$483:$H$538,3,FALSE),"")</f>
        <v/>
      </c>
      <c r="AX58" s="121" t="str">
        <f>IFERROR($N58+VLOOKUP($L58,'Voyage days'!$F$483:$H$538,3,FALSE),"")</f>
        <v/>
      </c>
      <c r="AY58" s="120" t="str">
        <f t="shared" si="15"/>
        <v/>
      </c>
      <c r="AZ58" s="121" t="str">
        <f>IFERROR($M58+VLOOKUP($L58,'Voyage days'!$F$540:$H$613,3,FALSE),"")</f>
        <v/>
      </c>
      <c r="BA58" s="121" t="str">
        <f>IFERROR($N58+VLOOKUP($L58,'Voyage days'!$F$540:$H$613,3,FALSE),"")</f>
        <v/>
      </c>
      <c r="BB58" s="120" t="str">
        <f t="shared" si="16"/>
        <v/>
      </c>
      <c r="BC58" s="121" t="str">
        <f>IFERROR($M58+VLOOKUP($L58,'Voyage days'!$F$448:$H$479,3,FALSE),"")</f>
        <v/>
      </c>
      <c r="BD58" s="121" t="str">
        <f>IFERROR($N58+VLOOKUP($L58,'Voyage days'!$F$448:$H$479,3,FALSE),"")</f>
        <v/>
      </c>
      <c r="BE58" s="120" t="str">
        <f t="shared" si="17"/>
        <v/>
      </c>
      <c r="BF58" s="122" t="str">
        <f>IFERROR($M58+VLOOKUP($L58,'Voyage days'!$F$620:$H$646,3,FALSE),"")</f>
        <v/>
      </c>
      <c r="BG58" s="122" t="str">
        <f>IFERROR($N58+VLOOKUP($L58,'Voyage days'!$F$620:$H$646,3,FALSE),"")</f>
        <v/>
      </c>
      <c r="BH58" s="120" t="str">
        <f t="shared" si="18"/>
        <v/>
      </c>
      <c r="BI58" s="123" t="str">
        <f>IFERROR($M58+VLOOKUP($L58,'Voyage days'!$F$702:$H$727,3,FALSE),"")</f>
        <v/>
      </c>
      <c r="BJ58" s="120" t="str">
        <f t="shared" si="19"/>
        <v/>
      </c>
      <c r="BK58" s="122" t="str">
        <f>IFERROR($M58+VLOOKUP($L58,'Voyage days'!$F$807:$H$878,3,FALSE),"")</f>
        <v/>
      </c>
      <c r="BL58" s="122" t="str">
        <f>IFERROR($N58+VLOOKUP($L58,'Voyage days'!$F$807:$H$878,3,FALSE),"")</f>
        <v/>
      </c>
      <c r="BM58" s="122" t="str">
        <f>IFERROR($N58+VLOOKUP($L58,'Voyage days'!$F$807:$K$878,6,FALSE),"")</f>
        <v/>
      </c>
      <c r="BN58" s="121" t="str">
        <f>if(L58="loads AG", IFERROR($M58+VLOOKUP($L58,'Voyage days'!$M$38:$O$38,3,FALSE),""),"")</f>
        <v/>
      </c>
      <c r="BO58" s="121">
        <f>if(L58="loads USG", IFERROR($M58+VLOOKUP($L58,'Voyage days'!$L$203:$N$203,3,FALSE),""),"")</f>
        <v>46158</v>
      </c>
    </row>
    <row r="59" ht="15.75" customHeight="1">
      <c r="A59" s="338" t="s">
        <v>451</v>
      </c>
      <c r="B59" s="202">
        <v>2025.0</v>
      </c>
      <c r="C59" s="203">
        <v>87965.0</v>
      </c>
      <c r="D59" s="112"/>
      <c r="E59" s="112"/>
      <c r="F59" s="104"/>
      <c r="G59" s="104"/>
      <c r="H59" s="104" t="s">
        <v>666</v>
      </c>
      <c r="I59" s="332" t="s">
        <v>761</v>
      </c>
      <c r="J59" s="106" t="str">
        <f t="shared" si="21"/>
        <v/>
      </c>
      <c r="K59" s="107"/>
      <c r="L59" s="108" t="s">
        <v>809</v>
      </c>
      <c r="M59" s="109">
        <v>46136.0</v>
      </c>
      <c r="N59" s="109">
        <v>46137.0</v>
      </c>
      <c r="O59" s="255"/>
      <c r="P59" s="192" t="s">
        <v>810</v>
      </c>
      <c r="Q59" s="108"/>
      <c r="R59" s="108" t="s">
        <v>811</v>
      </c>
      <c r="S59" s="256" t="s">
        <v>33</v>
      </c>
      <c r="T59" s="293">
        <v>46125.0</v>
      </c>
      <c r="U59" s="114" t="str">
        <f>IF(V59="","No AIS",VLOOKUP(V59,'Voyage days'!$A$3:$B$1480,2,FALSE))</f>
        <v>Vietnam + 3</v>
      </c>
      <c r="V59" s="115" t="str">
        <f>IF(VLOOKUP(A59,'1) Kpler'!$E$2:$P$1000,8, FALSE)="","",VLOOKUP(A59,'1) Kpler'!$E$2:$P$1000,8, FALSE))</f>
        <v>PV Vung Tau</v>
      </c>
      <c r="W59" s="116">
        <f>IF(VLOOKUP(A59,'1) Kpler'!$E$2:$P$1000,9,FALSE)="","",VLOOKUP(A59,'1) Kpler'!$E$2:$P$1000,9,FALSE))</f>
        <v>46133.58333</v>
      </c>
      <c r="X59" s="115" t="str">
        <f>VLOOKUP(A59,'1) Kpler'!$E$2:$I$1000,4,FALSE)</f>
        <v>loaded</v>
      </c>
      <c r="Y59" s="117" t="str">
        <f t="shared" si="1"/>
        <v>07-08 May</v>
      </c>
      <c r="Z59" s="117" t="str">
        <f t="shared" si="2"/>
        <v>31-01 Jun</v>
      </c>
      <c r="AA59" s="117" t="str">
        <f t="shared" si="3"/>
        <v>02-03 Jun</v>
      </c>
      <c r="AB59" s="117" t="str">
        <f t="shared" si="4"/>
        <v>18-19 May</v>
      </c>
      <c r="AC59" s="117" t="str">
        <f t="shared" si="5"/>
        <v>24-25 May</v>
      </c>
      <c r="AD59" s="117" t="str">
        <f t="shared" si="6"/>
        <v>26-27 Apr</v>
      </c>
      <c r="AE59" s="118" t="str">
        <f t="shared" si="7"/>
        <v>30-01 May</v>
      </c>
      <c r="AF59" s="119" t="str">
        <f t="shared" si="8"/>
        <v>03-04 Jun</v>
      </c>
      <c r="AG59" s="120" t="str">
        <f t="shared" si="9"/>
        <v>07-08 May</v>
      </c>
      <c r="AH59" s="121">
        <f>IFERROR($M59+VLOOKUP($L59,'Voyage days'!$F$38:$H$89,3,FALSE),"")</f>
        <v>46149</v>
      </c>
      <c r="AI59" s="121">
        <f>IFERROR(N59+VLOOKUP($L59,'Voyage days'!$F$38:$H$89,3,FALSE),"")</f>
        <v>46150</v>
      </c>
      <c r="AJ59" s="120" t="str">
        <f t="shared" si="10"/>
        <v>31-01 Jun</v>
      </c>
      <c r="AK59" s="121">
        <f>IFERROR($M59+VLOOKUP($L59,'Voyage days'!$F$94:$H$193,3,FALSE),"")</f>
        <v>46173</v>
      </c>
      <c r="AL59" s="121">
        <f>IFERROR($N59+VLOOKUP($L59,'Voyage days'!$F$94:$H$193,3,FALSE),"")</f>
        <v>46174</v>
      </c>
      <c r="AM59" s="120" t="str">
        <f t="shared" si="11"/>
        <v>02-03 Jun</v>
      </c>
      <c r="AN59" s="121">
        <f>IFERROR($M59+VLOOKUP($L59,'Voyage days'!$F$203:$H$256,3,FALSE),"")</f>
        <v>46175</v>
      </c>
      <c r="AO59" s="121">
        <f>IFERROR($N59+VLOOKUP($L59,'Voyage days'!$F$203:$H$256,3,FALSE),"")</f>
        <v>46176</v>
      </c>
      <c r="AP59" s="120" t="str">
        <f t="shared" si="12"/>
        <v>18-19 May</v>
      </c>
      <c r="AQ59" s="121">
        <f>IFERROR($M59+VLOOKUP($L59,'Voyage days'!$F$294:$H$377,3,FALSE),"")</f>
        <v>46160</v>
      </c>
      <c r="AR59" s="121">
        <f>IFERROR($N59+VLOOKUP($L59,'Voyage days'!$F$294:$H$377,3,FALSE),"")</f>
        <v>46161</v>
      </c>
      <c r="AS59" s="120" t="str">
        <f t="shared" si="13"/>
        <v>24-25 May</v>
      </c>
      <c r="AT59" s="121">
        <f>IFERROR($M59+VLOOKUP($L59,'Voyage days'!$F$382:$H$446,3,FALSE),"")</f>
        <v>46166</v>
      </c>
      <c r="AU59" s="121">
        <f>IFERROR($N59+VLOOKUP($L59,'Voyage days'!$F$382:$H$446,3,FALSE),"")</f>
        <v>46167</v>
      </c>
      <c r="AV59" s="120" t="str">
        <f t="shared" si="14"/>
        <v>06-07 May</v>
      </c>
      <c r="AW59" s="121">
        <f>IFERROR($M59+VLOOKUP($L59,'Voyage days'!$F$483:$H$538,3,FALSE),"")</f>
        <v>46148</v>
      </c>
      <c r="AX59" s="121">
        <f>IFERROR($N59+VLOOKUP($L59,'Voyage days'!$F$483:$H$538,3,FALSE),"")</f>
        <v>46149</v>
      </c>
      <c r="AY59" s="120" t="str">
        <f t="shared" si="15"/>
        <v>30-01 May</v>
      </c>
      <c r="AZ59" s="121">
        <f>IFERROR($M59+VLOOKUP($L59,'Voyage days'!$F$540:$H$613,3,FALSE),"")</f>
        <v>46142.25</v>
      </c>
      <c r="BA59" s="121">
        <f>IFERROR($N59+VLOOKUP($L59,'Voyage days'!$F$540:$H$613,3,FALSE),"")</f>
        <v>46143.25</v>
      </c>
      <c r="BB59" s="120" t="str">
        <f t="shared" si="16"/>
        <v>26-27 Apr</v>
      </c>
      <c r="BC59" s="121">
        <f>IFERROR($M59+VLOOKUP($L59,'Voyage days'!$F$448:$H$479,3,FALSE),"")</f>
        <v>46138</v>
      </c>
      <c r="BD59" s="121">
        <f>IFERROR($N59+VLOOKUP($L59,'Voyage days'!$F$448:$H$479,3,FALSE),"")</f>
        <v>46139</v>
      </c>
      <c r="BE59" s="120" t="str">
        <f t="shared" si="17"/>
        <v/>
      </c>
      <c r="BF59" s="122" t="str">
        <f>IFERROR($M59+VLOOKUP($L59,'Voyage days'!$F$620:$H$646,3,FALSE),"")</f>
        <v/>
      </c>
      <c r="BG59" s="122" t="str">
        <f>IFERROR($N59+VLOOKUP($L59,'Voyage days'!$F$620:$H$646,3,FALSE),"")</f>
        <v/>
      </c>
      <c r="BH59" s="120" t="str">
        <f t="shared" si="18"/>
        <v>30-04 Jun</v>
      </c>
      <c r="BI59" s="123">
        <f>IFERROR($M59+VLOOKUP($L59,'Voyage days'!$F$702:$H$727,3,FALSE),"")</f>
        <v>46142.25</v>
      </c>
      <c r="BJ59" s="120" t="str">
        <f t="shared" si="19"/>
        <v>03-04 Jun</v>
      </c>
      <c r="BK59" s="122">
        <f>IFERROR($M59+VLOOKUP($L59,'Voyage days'!$F$807:$H$878,3,FALSE),"")</f>
        <v>46176</v>
      </c>
      <c r="BL59" s="122">
        <f>IFERROR($N59+VLOOKUP($L59,'Voyage days'!$F$807:$H$878,3,FALSE),"")</f>
        <v>46177</v>
      </c>
      <c r="BM59" s="122">
        <f>IFERROR($N59+VLOOKUP($L59,'Voyage days'!$F$807:$K$878,6,FALSE),"")</f>
        <v>46151</v>
      </c>
      <c r="BN59" s="121" t="str">
        <f>if(L59="loads AG", IFERROR($M59+VLOOKUP($L59,'Voyage days'!$M$38:$O$38,3,FALSE),""),"")</f>
        <v/>
      </c>
      <c r="BO59" s="121" t="str">
        <f>if(L59="loads USG", IFERROR($M59+VLOOKUP($L59,'Voyage days'!$L$203:$N$203,3,FALSE),""),"")</f>
        <v/>
      </c>
    </row>
    <row r="60" ht="15.75" customHeight="1">
      <c r="A60" s="147" t="s">
        <v>490</v>
      </c>
      <c r="B60" s="343">
        <v>2024.0</v>
      </c>
      <c r="C60" s="344">
        <v>91000.0</v>
      </c>
      <c r="D60" s="345"/>
      <c r="E60" s="345"/>
      <c r="F60" s="346"/>
      <c r="G60" s="346"/>
      <c r="H60" s="346" t="s">
        <v>666</v>
      </c>
      <c r="I60" s="299" t="s">
        <v>761</v>
      </c>
      <c r="J60" s="106" t="str">
        <f t="shared" si="21"/>
        <v>NO AIS</v>
      </c>
      <c r="K60" s="107"/>
      <c r="L60" s="347" t="s">
        <v>812</v>
      </c>
      <c r="M60" s="109">
        <v>46125.0</v>
      </c>
      <c r="N60" s="109">
        <v>46126.0</v>
      </c>
      <c r="O60" s="348"/>
      <c r="P60" s="108" t="s">
        <v>813</v>
      </c>
      <c r="Q60" s="111"/>
      <c r="R60" s="349" t="s">
        <v>814</v>
      </c>
      <c r="S60" s="256" t="s">
        <v>33</v>
      </c>
      <c r="T60" s="293">
        <v>46125.0</v>
      </c>
      <c r="U60" s="114" t="str">
        <f>IF(V60="","No AIS",VLOOKUP(V60,'Voyage days'!$A$3:$B$1480,2,FALSE))</f>
        <v>No AIS</v>
      </c>
      <c r="V60" s="115" t="str">
        <f>IF(VLOOKUP(A60,'1) Kpler'!$E$2:$P$1000,8, FALSE)="","",VLOOKUP(A60,'1) Kpler'!$E$2:$P$1000,8, FALSE))</f>
        <v/>
      </c>
      <c r="W60" s="116" t="str">
        <f>IF(VLOOKUP(A60,'1) Kpler'!$E$2:$P$1000,9,FALSE)="","",VLOOKUP(A60,'1) Kpler'!$E$2:$P$1000,9,FALSE))</f>
        <v/>
      </c>
      <c r="X60" s="115" t="str">
        <f>VLOOKUP(A60,'1) Kpler'!$E$2:$I$1000,4,FALSE)</f>
        <v>loaded</v>
      </c>
      <c r="Y60" s="160" t="str">
        <f t="shared" si="1"/>
        <v>09-10 May</v>
      </c>
      <c r="Z60" s="160" t="str">
        <f t="shared" si="2"/>
        <v>29-30 May</v>
      </c>
      <c r="AA60" s="160" t="str">
        <f t="shared" si="3"/>
        <v>06-07 Jun</v>
      </c>
      <c r="AB60" s="160" t="str">
        <f t="shared" si="4"/>
        <v>20-21 May</v>
      </c>
      <c r="AC60" s="160" t="str">
        <f t="shared" si="5"/>
        <v>28-29 May</v>
      </c>
      <c r="AD60" s="160" t="str">
        <f t="shared" si="6"/>
        <v>30-01 May</v>
      </c>
      <c r="AE60" s="161" t="str">
        <f t="shared" si="7"/>
        <v>03-04 May</v>
      </c>
      <c r="AF60" s="162" t="str">
        <f t="shared" si="8"/>
        <v>05-06 Jun</v>
      </c>
      <c r="AG60" s="120" t="str">
        <f t="shared" si="9"/>
        <v>09-10 May</v>
      </c>
      <c r="AH60" s="121">
        <f>IFERROR($M60+VLOOKUP($L60,'Voyage days'!$F$38:$H$89,3,FALSE),"")</f>
        <v>46151</v>
      </c>
      <c r="AI60" s="121">
        <f>IFERROR(N60+VLOOKUP($L60,'Voyage days'!$F$38:$H$89,3,FALSE),"")</f>
        <v>46152</v>
      </c>
      <c r="AJ60" s="120" t="str">
        <f t="shared" si="10"/>
        <v>29-30 May</v>
      </c>
      <c r="AK60" s="121">
        <f>IFERROR($M60+VLOOKUP($L60,'Voyage days'!$F$94:$H$193,3,FALSE),"")</f>
        <v>46171</v>
      </c>
      <c r="AL60" s="121">
        <f>IFERROR($N60+VLOOKUP($L60,'Voyage days'!$F$94:$H$193,3,FALSE),"")</f>
        <v>46172</v>
      </c>
      <c r="AM60" s="120" t="str">
        <f t="shared" si="11"/>
        <v>06-07 Jun</v>
      </c>
      <c r="AN60" s="121">
        <f>IFERROR($M60+VLOOKUP($L60,'Voyage days'!$F$203:$H$256,3,FALSE),"")</f>
        <v>46179</v>
      </c>
      <c r="AO60" s="121">
        <f>IFERROR($N60+VLOOKUP($L60,'Voyage days'!$F$203:$H$256,3,FALSE),"")</f>
        <v>46180</v>
      </c>
      <c r="AP60" s="120" t="str">
        <f t="shared" si="12"/>
        <v>20-21 May</v>
      </c>
      <c r="AQ60" s="121">
        <f>IFERROR($M60+VLOOKUP($L60,'Voyage days'!$F$294:$H$377,3,FALSE),"")</f>
        <v>46162</v>
      </c>
      <c r="AR60" s="121">
        <f>IFERROR($N60+VLOOKUP($L60,'Voyage days'!$F$294:$H$377,3,FALSE),"")</f>
        <v>46163</v>
      </c>
      <c r="AS60" s="120" t="str">
        <f t="shared" si="13"/>
        <v>28-29 May</v>
      </c>
      <c r="AT60" s="121">
        <f>IFERROR($M60+VLOOKUP($L60,'Voyage days'!$F$382:$H$446,3,FALSE),"")</f>
        <v>46170</v>
      </c>
      <c r="AU60" s="121">
        <f>IFERROR($N60+VLOOKUP($L60,'Voyage days'!$F$382:$H$446,3,FALSE),"")</f>
        <v>46171</v>
      </c>
      <c r="AV60" s="120" t="str">
        <f t="shared" si="14"/>
        <v>11-12 May</v>
      </c>
      <c r="AW60" s="121">
        <f>IFERROR($M60+VLOOKUP($L60,'Voyage days'!$F$483:$H$538,3,FALSE),"")</f>
        <v>46153</v>
      </c>
      <c r="AX60" s="121">
        <f>IFERROR($N60+VLOOKUP($L60,'Voyage days'!$F$483:$H$538,3,FALSE),"")</f>
        <v>46154</v>
      </c>
      <c r="AY60" s="120" t="str">
        <f t="shared" si="15"/>
        <v>03-04 May</v>
      </c>
      <c r="AZ60" s="121">
        <f>IFERROR($M60+VLOOKUP($L60,'Voyage days'!$F$540:$H$613,3,FALSE),"")</f>
        <v>46145</v>
      </c>
      <c r="BA60" s="121">
        <f>IFERROR($N60+VLOOKUP($L60,'Voyage days'!$F$540:$H$613,3,FALSE),"")</f>
        <v>46146</v>
      </c>
      <c r="BB60" s="120" t="str">
        <f t="shared" si="16"/>
        <v>30-01 May</v>
      </c>
      <c r="BC60" s="121">
        <f>IFERROR($M60+VLOOKUP($L60,'Voyage days'!$F$448:$H$479,3,FALSE),"")</f>
        <v>46142</v>
      </c>
      <c r="BD60" s="121">
        <f>IFERROR($N60+VLOOKUP($L60,'Voyage days'!$F$448:$H$479,3,FALSE),"")</f>
        <v>46143</v>
      </c>
      <c r="BE60" s="120" t="str">
        <f t="shared" si="17"/>
        <v/>
      </c>
      <c r="BF60" s="122" t="str">
        <f>IFERROR($M60+VLOOKUP($L60,'Voyage days'!$F$620:$H$646,3,FALSE),"")</f>
        <v/>
      </c>
      <c r="BG60" s="122" t="str">
        <f>IFERROR($N60+VLOOKUP($L60,'Voyage days'!$F$620:$H$646,3,FALSE),"")</f>
        <v/>
      </c>
      <c r="BH60" s="120" t="str">
        <f t="shared" si="18"/>
        <v/>
      </c>
      <c r="BI60" s="123" t="str">
        <f>IFERROR($M60+VLOOKUP($L60,'Voyage days'!$F$702:$H$727,3,FALSE),"")</f>
        <v/>
      </c>
      <c r="BJ60" s="120" t="str">
        <f t="shared" si="19"/>
        <v>05-06 Jun</v>
      </c>
      <c r="BK60" s="122">
        <f>IFERROR($M60+VLOOKUP($L60,'Voyage days'!$F$807:$H$878,3,FALSE),"")</f>
        <v>46178</v>
      </c>
      <c r="BL60" s="122">
        <f>IFERROR($N60+VLOOKUP($L60,'Voyage days'!$F$807:$H$878,3,FALSE),"")</f>
        <v>46179</v>
      </c>
      <c r="BM60" s="122">
        <f>IFERROR($N60+VLOOKUP($L60,'Voyage days'!$F$807:$K$878,6,FALSE),"")</f>
        <v>46126</v>
      </c>
      <c r="BN60" s="121" t="str">
        <f>if(L60="loads AG", IFERROR($M60+VLOOKUP($L60,'Voyage days'!$M$38:$O$38,3,FALSE),""),"")</f>
        <v/>
      </c>
      <c r="BO60" s="121" t="str">
        <f>if(L60="loads USG", IFERROR($M60+VLOOKUP($L60,'Voyage days'!$L$203:$N$203,3,FALSE),""),"")</f>
        <v/>
      </c>
    </row>
    <row r="61" ht="15.75" customHeight="1">
      <c r="A61" s="350" t="s">
        <v>495</v>
      </c>
      <c r="B61" s="351">
        <v>2024.0</v>
      </c>
      <c r="C61" s="352">
        <v>86000.0</v>
      </c>
      <c r="D61" s="307"/>
      <c r="E61" s="307"/>
      <c r="F61" s="168"/>
      <c r="G61" s="168"/>
      <c r="H61" s="168"/>
      <c r="I61" s="309" t="s">
        <v>815</v>
      </c>
      <c r="J61" s="170" t="str">
        <f t="shared" si="21"/>
        <v>Update</v>
      </c>
      <c r="K61" s="171"/>
      <c r="L61" s="353" t="s">
        <v>680</v>
      </c>
      <c r="M61" s="173">
        <v>46135.0</v>
      </c>
      <c r="N61" s="173">
        <v>46136.0</v>
      </c>
      <c r="O61" s="354"/>
      <c r="P61" s="355" t="s">
        <v>816</v>
      </c>
      <c r="Q61" s="356"/>
      <c r="R61" s="357" t="s">
        <v>817</v>
      </c>
      <c r="S61" s="358" t="s">
        <v>33</v>
      </c>
      <c r="T61" s="176">
        <v>46125.0</v>
      </c>
      <c r="U61" s="177" t="str">
        <f>IF(V61="","No AIS",VLOOKUP(V61,'Voyage days'!$A$3:$B$1480,2,FALSE))</f>
        <v>USG</v>
      </c>
      <c r="V61" s="178" t="str">
        <f>IF(VLOOKUP(A61,'1) Kpler'!$E$2:$P$1000,8, FALSE)="","",VLOOKUP(A61,'1) Kpler'!$E$2:$P$1000,8, FALSE))</f>
        <v>Energy Transfer Nederland</v>
      </c>
      <c r="W61" s="179">
        <f>IF(VLOOKUP(A61,'1) Kpler'!$E$2:$P$1000,9,FALSE)="","",VLOOKUP(A61,'1) Kpler'!$E$2:$P$1000,9,FALSE))</f>
        <v>46136.75</v>
      </c>
      <c r="X61" s="178" t="str">
        <f>VLOOKUP(A61,'1) Kpler'!$E$2:$I$1000,4,FALSE)</f>
        <v>ballast</v>
      </c>
      <c r="Y61" s="180" t="str">
        <f t="shared" si="1"/>
        <v/>
      </c>
      <c r="Z61" s="180" t="str">
        <f t="shared" si="2"/>
        <v>23-24 Apr</v>
      </c>
      <c r="AA61" s="180" t="str">
        <f t="shared" si="3"/>
        <v>23-24 Apr</v>
      </c>
      <c r="AB61" s="180" t="str">
        <f t="shared" si="4"/>
        <v/>
      </c>
      <c r="AC61" s="180" t="str">
        <f t="shared" si="5"/>
        <v>13-14 May</v>
      </c>
      <c r="AD61" s="180" t="str">
        <f t="shared" si="6"/>
        <v/>
      </c>
      <c r="AE61" s="181" t="str">
        <f t="shared" si="7"/>
        <v/>
      </c>
      <c r="AF61" s="182" t="str">
        <f t="shared" si="8"/>
        <v/>
      </c>
      <c r="AG61" s="120" t="str">
        <f t="shared" si="9"/>
        <v/>
      </c>
      <c r="AH61" s="121" t="str">
        <f>IFERROR($M61+VLOOKUP($L61,'Voyage days'!$F$38:$H$89,3,FALSE),"")</f>
        <v/>
      </c>
      <c r="AI61" s="121" t="str">
        <f>IFERROR(N61+VLOOKUP($L61,'Voyage days'!$F$38:$H$89,3,FALSE),"")</f>
        <v/>
      </c>
      <c r="AJ61" s="120" t="str">
        <f t="shared" si="10"/>
        <v>23-24 Apr</v>
      </c>
      <c r="AK61" s="121">
        <f>IFERROR($M61+VLOOKUP($L61,'Voyage days'!$F$94:$H$193,3,FALSE),"")</f>
        <v>46135</v>
      </c>
      <c r="AL61" s="121">
        <f>IFERROR($N61+VLOOKUP($L61,'Voyage days'!$F$94:$H$193,3,FALSE),"")</f>
        <v>46136</v>
      </c>
      <c r="AM61" s="120" t="str">
        <f t="shared" si="11"/>
        <v>23-24 Apr</v>
      </c>
      <c r="AN61" s="121">
        <f>IFERROR($M61+VLOOKUP($L61,'Voyage days'!$F$203:$H$256,3,FALSE),"")</f>
        <v>46135</v>
      </c>
      <c r="AO61" s="121">
        <f>IFERROR($N61+VLOOKUP($L61,'Voyage days'!$F$203:$H$256,3,FALSE),"")</f>
        <v>46136</v>
      </c>
      <c r="AP61" s="120" t="str">
        <f t="shared" si="12"/>
        <v/>
      </c>
      <c r="AQ61" s="121" t="str">
        <f>IFERROR($M61+VLOOKUP($L61,'Voyage days'!$F$294:$H$377,3,FALSE),"")</f>
        <v/>
      </c>
      <c r="AR61" s="121" t="str">
        <f>IFERROR($N61+VLOOKUP($L61,'Voyage days'!$F$294:$H$377,3,FALSE),"")</f>
        <v/>
      </c>
      <c r="AS61" s="120" t="str">
        <f t="shared" si="13"/>
        <v>13-14 May</v>
      </c>
      <c r="AT61" s="121">
        <f>IFERROR($M61+VLOOKUP($L61,'Voyage days'!$F$382:$H$446,3,FALSE),"")</f>
        <v>46155</v>
      </c>
      <c r="AU61" s="121">
        <f>IFERROR($N61+VLOOKUP($L61,'Voyage days'!$F$382:$H$446,3,FALSE),"")</f>
        <v>46156</v>
      </c>
      <c r="AV61" s="120" t="str">
        <f t="shared" si="14"/>
        <v/>
      </c>
      <c r="AW61" s="121" t="str">
        <f>IFERROR($M61+VLOOKUP($L61,'Voyage days'!$F$483:$H$538,3,FALSE),"")</f>
        <v/>
      </c>
      <c r="AX61" s="121" t="str">
        <f>IFERROR($N61+VLOOKUP($L61,'Voyage days'!$F$483:$H$538,3,FALSE),"")</f>
        <v/>
      </c>
      <c r="AY61" s="120" t="str">
        <f t="shared" si="15"/>
        <v/>
      </c>
      <c r="AZ61" s="121" t="str">
        <f>IFERROR($M61+VLOOKUP($L61,'Voyage days'!$F$540:$H$613,3,FALSE),"")</f>
        <v/>
      </c>
      <c r="BA61" s="121" t="str">
        <f>IFERROR($N61+VLOOKUP($L61,'Voyage days'!$F$540:$H$613,3,FALSE),"")</f>
        <v/>
      </c>
      <c r="BB61" s="120" t="str">
        <f t="shared" si="16"/>
        <v/>
      </c>
      <c r="BC61" s="121" t="str">
        <f>IFERROR($M61+VLOOKUP($L61,'Voyage days'!$F$448:$H$479,3,FALSE),"")</f>
        <v/>
      </c>
      <c r="BD61" s="121" t="str">
        <f>IFERROR($N61+VLOOKUP($L61,'Voyage days'!$F$448:$H$479,3,FALSE),"")</f>
        <v/>
      </c>
      <c r="BE61" s="120" t="str">
        <f t="shared" si="17"/>
        <v/>
      </c>
      <c r="BF61" s="122" t="str">
        <f>IFERROR($M61+VLOOKUP($L61,'Voyage days'!$F$620:$H$646,3,FALSE),"")</f>
        <v/>
      </c>
      <c r="BG61" s="122" t="str">
        <f>IFERROR($N61+VLOOKUP($L61,'Voyage days'!$F$620:$H$646,3,FALSE),"")</f>
        <v/>
      </c>
      <c r="BH61" s="120" t="str">
        <f t="shared" si="18"/>
        <v/>
      </c>
      <c r="BI61" s="123" t="str">
        <f>IFERROR($M61+VLOOKUP($L61,'Voyage days'!$F$702:$H$727,3,FALSE),"")</f>
        <v/>
      </c>
      <c r="BJ61" s="120" t="str">
        <f t="shared" si="19"/>
        <v/>
      </c>
      <c r="BK61" s="122" t="str">
        <f>IFERROR($M61+VLOOKUP($L61,'Voyage days'!$F$807:$H$878,3,FALSE),"")</f>
        <v/>
      </c>
      <c r="BL61" s="122" t="str">
        <f>IFERROR($N61+VLOOKUP($L61,'Voyage days'!$F$807:$H$878,3,FALSE),"")</f>
        <v/>
      </c>
      <c r="BM61" s="122" t="str">
        <f>IFERROR($N61+VLOOKUP($L61,'Voyage days'!$F$807:$K$878,6,FALSE),"")</f>
        <v/>
      </c>
      <c r="BN61" s="121" t="str">
        <f>if(L61="loads AG", IFERROR($M61+VLOOKUP($L61,'Voyage days'!$M$38:$O$38,3,FALSE),""),"")</f>
        <v/>
      </c>
      <c r="BO61" s="121">
        <f>if(L61="loads USG", IFERROR($M61+VLOOKUP($L61,'Voyage days'!$L$203:$N$203,3,FALSE),""),"")</f>
        <v>46167</v>
      </c>
    </row>
    <row r="62">
      <c r="A62" s="359" t="s">
        <v>471</v>
      </c>
      <c r="B62" s="360">
        <v>2023.0</v>
      </c>
      <c r="C62" s="352">
        <v>91000.0</v>
      </c>
      <c r="D62" s="361"/>
      <c r="E62" s="361"/>
      <c r="F62" s="362"/>
      <c r="G62" s="362"/>
      <c r="H62" s="362" t="s">
        <v>666</v>
      </c>
      <c r="I62" s="363" t="s">
        <v>818</v>
      </c>
      <c r="J62" s="364" t="str">
        <f t="shared" si="21"/>
        <v>Update</v>
      </c>
      <c r="K62" s="365"/>
      <c r="L62" s="366" t="s">
        <v>773</v>
      </c>
      <c r="M62" s="367">
        <v>46125.0</v>
      </c>
      <c r="N62" s="367">
        <v>46126.0</v>
      </c>
      <c r="O62" s="326" t="s">
        <v>729</v>
      </c>
      <c r="P62" s="366" t="s">
        <v>819</v>
      </c>
      <c r="Q62" s="368"/>
      <c r="R62" s="285" t="s">
        <v>820</v>
      </c>
      <c r="S62" s="358" t="s">
        <v>659</v>
      </c>
      <c r="T62" s="369">
        <v>46124.0</v>
      </c>
      <c r="U62" s="177" t="str">
        <f>IF(V62="","No AIS",VLOOKUP(V62,'Voyage days'!$A$3:$B$1480,2,FALSE))</f>
        <v>USG</v>
      </c>
      <c r="V62" s="177" t="str">
        <f>IF(VLOOKUP(A62,'1) Kpler'!$E$2:$P$1000,8, FALSE)="","",VLOOKUP(A62,'1) Kpler'!$E$2:$P$1000,8, FALSE))</f>
        <v>Energy Transfer Nederland</v>
      </c>
      <c r="W62" s="370">
        <f>IF(VLOOKUP(A62,'1) Kpler'!$E$2:$P$1000,9,FALSE)="","",VLOOKUP(A62,'1) Kpler'!$E$2:$P$1000,9,FALSE))</f>
        <v>46140.00069</v>
      </c>
      <c r="X62" s="177" t="str">
        <f>VLOOKUP(A62,'1) Kpler'!$E$2:$I$1000,4,FALSE)</f>
        <v>ballast</v>
      </c>
      <c r="Y62" s="163" t="str">
        <f t="shared" si="1"/>
        <v/>
      </c>
      <c r="Z62" s="163" t="str">
        <f t="shared" si="2"/>
        <v>27-28 Apr</v>
      </c>
      <c r="AA62" s="163" t="str">
        <f t="shared" si="3"/>
        <v>28-29 Apr</v>
      </c>
      <c r="AB62" s="163" t="str">
        <f t="shared" si="4"/>
        <v>24-25 Apr</v>
      </c>
      <c r="AC62" s="163" t="str">
        <f t="shared" si="5"/>
        <v>15-16 Apr</v>
      </c>
      <c r="AD62" s="163" t="str">
        <f t="shared" si="6"/>
        <v/>
      </c>
      <c r="AE62" s="371" t="str">
        <f t="shared" si="7"/>
        <v/>
      </c>
      <c r="AF62" s="229" t="str">
        <f t="shared" si="8"/>
        <v>27-28 Apr</v>
      </c>
      <c r="AG62" s="163" t="str">
        <f t="shared" si="9"/>
        <v/>
      </c>
      <c r="AH62" s="122" t="str">
        <f>IFERROR($M62+VLOOKUP($L62,'Voyage days'!$F$38:$H$89,3,FALSE),"")</f>
        <v/>
      </c>
      <c r="AI62" s="122" t="str">
        <f>IFERROR(N62+VLOOKUP($L62,'Voyage days'!$F$38:$H$89,3,FALSE),"")</f>
        <v/>
      </c>
      <c r="AJ62" s="163" t="str">
        <f t="shared" si="10"/>
        <v>27-28 Apr</v>
      </c>
      <c r="AK62" s="122">
        <f>IFERROR($M62+VLOOKUP($L62,'Voyage days'!$F$94:$H$193,3,FALSE),"")</f>
        <v>46139</v>
      </c>
      <c r="AL62" s="122">
        <f>IFERROR($N62+VLOOKUP($L62,'Voyage days'!$F$94:$H$193,3,FALSE),"")</f>
        <v>46140</v>
      </c>
      <c r="AM62" s="163" t="str">
        <f t="shared" si="11"/>
        <v>28-29 Apr</v>
      </c>
      <c r="AN62" s="122">
        <f>IFERROR($M62+VLOOKUP($L62,'Voyage days'!$F$203:$H$256,3,FALSE),"")</f>
        <v>46140</v>
      </c>
      <c r="AO62" s="122">
        <f>IFERROR($N62+VLOOKUP($L62,'Voyage days'!$F$203:$H$256,3,FALSE),"")</f>
        <v>46141</v>
      </c>
      <c r="AP62" s="163" t="str">
        <f t="shared" si="12"/>
        <v>24-25 Apr</v>
      </c>
      <c r="AQ62" s="122">
        <f>IFERROR($M62+VLOOKUP($L62,'Voyage days'!$F$294:$H$377,3,FALSE),"")</f>
        <v>46136</v>
      </c>
      <c r="AR62" s="122">
        <f>IFERROR($N62+VLOOKUP($L62,'Voyage days'!$F$294:$H$377,3,FALSE),"")</f>
        <v>46137</v>
      </c>
      <c r="AS62" s="163" t="str">
        <f t="shared" si="13"/>
        <v>15-16 Apr</v>
      </c>
      <c r="AT62" s="122">
        <f>IFERROR($M62+VLOOKUP($L62,'Voyage days'!$F$382:$H$446,3,FALSE),"")</f>
        <v>46127</v>
      </c>
      <c r="AU62" s="122">
        <f>IFERROR($N62+VLOOKUP($L62,'Voyage days'!$F$382:$H$446,3,FALSE),"")</f>
        <v>46128</v>
      </c>
      <c r="AV62" s="163" t="str">
        <f t="shared" si="14"/>
        <v/>
      </c>
      <c r="AW62" s="122" t="str">
        <f>IFERROR($M62+VLOOKUP($L62,'Voyage days'!$F$483:$H$538,3,FALSE),"")</f>
        <v/>
      </c>
      <c r="AX62" s="122" t="str">
        <f>IFERROR($N62+VLOOKUP($L62,'Voyage days'!$F$483:$H$538,3,FALSE),"")</f>
        <v/>
      </c>
      <c r="AY62" s="163" t="str">
        <f t="shared" si="15"/>
        <v/>
      </c>
      <c r="AZ62" s="122" t="str">
        <f>IFERROR($M62+VLOOKUP($L62,'Voyage days'!$F$540:$H$613,3,FALSE),"")</f>
        <v/>
      </c>
      <c r="BA62" s="122" t="str">
        <f>IFERROR($N62+VLOOKUP($L62,'Voyage days'!$F$540:$H$613,3,FALSE),"")</f>
        <v/>
      </c>
      <c r="BB62" s="163" t="str">
        <f t="shared" si="16"/>
        <v/>
      </c>
      <c r="BC62" s="121" t="str">
        <f>IFERROR($M62+VLOOKUP($L62,'Voyage days'!$F$448:$H$479,3,FALSE),"")</f>
        <v/>
      </c>
      <c r="BD62" s="121" t="str">
        <f>IFERROR($N62+VLOOKUP($L62,'Voyage days'!$F$448:$H$479,3,FALSE),"")</f>
        <v/>
      </c>
      <c r="BE62" s="163" t="str">
        <f t="shared" si="17"/>
        <v/>
      </c>
      <c r="BF62" s="122" t="str">
        <f>IFERROR($M62+VLOOKUP($L62,'Voyage days'!$F$620:$H$646,3,FALSE),"")</f>
        <v/>
      </c>
      <c r="BG62" s="122" t="str">
        <f>IFERROR($N62+VLOOKUP($L62,'Voyage days'!$F$620:$H$646,3,FALSE),"")</f>
        <v/>
      </c>
      <c r="BH62" s="163" t="str">
        <f t="shared" si="18"/>
        <v/>
      </c>
      <c r="BI62" s="123" t="str">
        <f>IFERROR($M62+VLOOKUP($L62,'Voyage days'!$F$702:$H$727,3,FALSE),"")</f>
        <v/>
      </c>
      <c r="BJ62" s="163" t="str">
        <f t="shared" si="19"/>
        <v>27-28 Apr</v>
      </c>
      <c r="BK62" s="122">
        <f>IFERROR($M62+VLOOKUP($L62,'Voyage days'!$F$807:$H$878,3,FALSE),"")</f>
        <v>46139</v>
      </c>
      <c r="BL62" s="122">
        <f>IFERROR($N62+VLOOKUP($L62,'Voyage days'!$F$807:$H$878,3,FALSE),"")</f>
        <v>46140</v>
      </c>
      <c r="BM62" s="122">
        <f>IFERROR($N62+VLOOKUP($L62,'Voyage days'!$F$807:$K$878,6,FALSE),"")</f>
        <v>46126</v>
      </c>
      <c r="BN62" s="121" t="str">
        <f>if(L62="loads AG", IFERROR($M62+VLOOKUP($L62,'Voyage days'!$M$38:$O$38,3,FALSE),""),"")</f>
        <v/>
      </c>
      <c r="BO62" s="121" t="str">
        <f>if(L62="loads USG", IFERROR($M62+VLOOKUP($L62,'Voyage days'!$L$203:$N$203,3,FALSE),""),"")</f>
        <v/>
      </c>
    </row>
    <row r="63" ht="14.25" customHeight="1">
      <c r="A63" s="274" t="s">
        <v>821</v>
      </c>
      <c r="B63" s="101">
        <v>41960.0</v>
      </c>
      <c r="C63" s="203">
        <v>84196.0</v>
      </c>
      <c r="D63" s="256"/>
      <c r="E63" s="112"/>
      <c r="F63" s="150"/>
      <c r="G63" s="150"/>
      <c r="H63" s="150" t="s">
        <v>689</v>
      </c>
      <c r="I63" s="321" t="s">
        <v>822</v>
      </c>
      <c r="J63" s="151" t="str">
        <f t="shared" si="21"/>
        <v>NO AIS</v>
      </c>
      <c r="K63" s="152"/>
      <c r="L63" s="153" t="s">
        <v>823</v>
      </c>
      <c r="M63" s="238">
        <v>46126.0</v>
      </c>
      <c r="N63" s="276">
        <v>46127.0</v>
      </c>
      <c r="O63" s="277" t="s">
        <v>729</v>
      </c>
      <c r="P63" s="153" t="s">
        <v>824</v>
      </c>
      <c r="Q63" s="153" t="s">
        <v>825</v>
      </c>
      <c r="R63" s="153" t="s">
        <v>826</v>
      </c>
      <c r="S63" s="256" t="s">
        <v>659</v>
      </c>
      <c r="T63" s="372">
        <v>46124.0</v>
      </c>
      <c r="U63" s="114" t="str">
        <f>IF(V63="","No AIS",VLOOKUP(V63,'Voyage days'!$A$3:$B$1480,2,FALSE))</f>
        <v>No AIS</v>
      </c>
      <c r="V63" s="114" t="str">
        <f>IF(VLOOKUP(A63,'1) Kpler'!$E$2:$P$1000,8, FALSE)="","",VLOOKUP(A63,'1) Kpler'!$E$2:$P$1000,8, FALSE))</f>
        <v/>
      </c>
      <c r="W63" s="159" t="str">
        <f>IF(VLOOKUP(A63,'1) Kpler'!$E$2:$P$1000,9,FALSE)="","",VLOOKUP(A63,'1) Kpler'!$E$2:$P$1000,9,FALSE))</f>
        <v/>
      </c>
      <c r="X63" s="114" t="str">
        <f>VLOOKUP(A63,'1) Kpler'!$E$2:$I$1000,4,FALSE)</f>
        <v>loaded</v>
      </c>
      <c r="Y63" s="296" t="str">
        <f t="shared" si="1"/>
        <v/>
      </c>
      <c r="Z63" s="296" t="str">
        <f t="shared" si="2"/>
        <v>14-15 Apr</v>
      </c>
      <c r="AA63" s="296" t="str">
        <f t="shared" si="3"/>
        <v/>
      </c>
      <c r="AB63" s="296" t="str">
        <f t="shared" si="4"/>
        <v/>
      </c>
      <c r="AC63" s="296" t="str">
        <f t="shared" si="5"/>
        <v>29-30 Apr</v>
      </c>
      <c r="AD63" s="296" t="str">
        <f t="shared" si="6"/>
        <v/>
      </c>
      <c r="AE63" s="297" t="str">
        <f t="shared" si="7"/>
        <v/>
      </c>
      <c r="AF63" s="119" t="str">
        <f t="shared" si="8"/>
        <v/>
      </c>
      <c r="AG63" s="163" t="str">
        <f t="shared" si="9"/>
        <v/>
      </c>
      <c r="AH63" s="122" t="str">
        <f>IFERROR($M63+VLOOKUP($L63,'Voyage days'!$F$38:$H$89,3,FALSE),"")</f>
        <v/>
      </c>
      <c r="AI63" s="122" t="str">
        <f>IFERROR(N63+VLOOKUP($L63,'Voyage days'!$F$38:$H$89,3,FALSE),"")</f>
        <v/>
      </c>
      <c r="AJ63" s="163" t="str">
        <f t="shared" si="10"/>
        <v>14-15 Apr</v>
      </c>
      <c r="AK63" s="122">
        <f>IFERROR($M63+VLOOKUP($L63,'Voyage days'!$F$94:$H$193,3,FALSE),"")</f>
        <v>46126</v>
      </c>
      <c r="AL63" s="122">
        <f>IFERROR($N63+VLOOKUP($L63,'Voyage days'!$F$94:$H$193,3,FALSE),"")</f>
        <v>46127</v>
      </c>
      <c r="AM63" s="163" t="str">
        <f t="shared" si="11"/>
        <v/>
      </c>
      <c r="AN63" s="122" t="str">
        <f>IFERROR($M63+VLOOKUP($L63,'Voyage days'!$F$203:$H$256,3,FALSE),"")</f>
        <v/>
      </c>
      <c r="AO63" s="122" t="str">
        <f>IFERROR($N63+VLOOKUP($L63,'Voyage days'!$F$203:$H$256,3,FALSE),"")</f>
        <v/>
      </c>
      <c r="AP63" s="163" t="str">
        <f t="shared" si="12"/>
        <v/>
      </c>
      <c r="AQ63" s="122" t="str">
        <f>IFERROR($M63+VLOOKUP($L63,'Voyage days'!$F$294:$H$377,3,FALSE),"")</f>
        <v/>
      </c>
      <c r="AR63" s="122" t="str">
        <f>IFERROR($N63+VLOOKUP($L63,'Voyage days'!$F$294:$H$377,3,FALSE),"")</f>
        <v/>
      </c>
      <c r="AS63" s="163" t="str">
        <f t="shared" si="13"/>
        <v>29-30 Apr</v>
      </c>
      <c r="AT63" s="122">
        <f>IFERROR($M63+VLOOKUP($L63,'Voyage days'!$F$382:$H$446,3,FALSE),"")</f>
        <v>46141</v>
      </c>
      <c r="AU63" s="122">
        <f>IFERROR($N63+VLOOKUP($L63,'Voyage days'!$F$382:$H$446,3,FALSE),"")</f>
        <v>46142</v>
      </c>
      <c r="AV63" s="163" t="str">
        <f t="shared" si="14"/>
        <v/>
      </c>
      <c r="AW63" s="122" t="str">
        <f>IFERROR($M63+VLOOKUP($L63,'Voyage days'!$F$483:$H$538,3,FALSE),"")</f>
        <v/>
      </c>
      <c r="AX63" s="122" t="str">
        <f>IFERROR($N63+VLOOKUP($L63,'Voyage days'!$F$483:$H$538,3,FALSE),"")</f>
        <v/>
      </c>
      <c r="AY63" s="163" t="str">
        <f t="shared" si="15"/>
        <v/>
      </c>
      <c r="AZ63" s="122" t="str">
        <f>IFERROR($M63+VLOOKUP($L63,'Voyage days'!$F$540:$H$613,3,FALSE),"")</f>
        <v/>
      </c>
      <c r="BA63" s="122" t="str">
        <f>IFERROR($N63+VLOOKUP($L63,'Voyage days'!$F$540:$H$613,3,FALSE),"")</f>
        <v/>
      </c>
      <c r="BB63" s="163" t="str">
        <f t="shared" si="16"/>
        <v/>
      </c>
      <c r="BC63" s="121" t="str">
        <f>IFERROR($M63+VLOOKUP($L63,'Voyage days'!$F$448:$H$479,3,FALSE),"")</f>
        <v/>
      </c>
      <c r="BD63" s="121" t="str">
        <f>IFERROR($N63+VLOOKUP($L63,'Voyage days'!$F$448:$H$479,3,FALSE),"")</f>
        <v/>
      </c>
      <c r="BE63" s="163" t="str">
        <f t="shared" si="17"/>
        <v/>
      </c>
      <c r="BF63" s="122" t="str">
        <f>IFERROR($M63+VLOOKUP($L63,'Voyage days'!$F$620:$H$646,3,FALSE),"")</f>
        <v/>
      </c>
      <c r="BG63" s="122" t="str">
        <f>IFERROR($N63+VLOOKUP($L63,'Voyage days'!$F$620:$H$646,3,FALSE),"")</f>
        <v/>
      </c>
      <c r="BH63" s="163" t="str">
        <f t="shared" si="18"/>
        <v/>
      </c>
      <c r="BI63" s="123" t="str">
        <f>IFERROR($M63+VLOOKUP($L63,'Voyage days'!$F$702:$H$727,3,FALSE),"")</f>
        <v/>
      </c>
      <c r="BJ63" s="163" t="str">
        <f t="shared" si="19"/>
        <v/>
      </c>
      <c r="BK63" s="122" t="str">
        <f>IFERROR($M63+VLOOKUP($L63,'Voyage days'!$F$807:$H$878,3,FALSE),"")</f>
        <v/>
      </c>
      <c r="BL63" s="122" t="str">
        <f>IFERROR($N63+VLOOKUP($L63,'Voyage days'!$F$807:$H$878,3,FALSE),"")</f>
        <v/>
      </c>
      <c r="BM63" s="122" t="str">
        <f>IFERROR($N63+VLOOKUP($L63,'Voyage days'!$F$807:$K$878,6,FALSE),"")</f>
        <v/>
      </c>
      <c r="BN63" s="121" t="str">
        <f>if(L63="loads AG", IFERROR($M63+VLOOKUP($L63,'Voyage days'!$M$38:$O$38,3,FALSE),""),"")</f>
        <v/>
      </c>
      <c r="BO63" s="121" t="str">
        <f>if(L63="loads USG", IFERROR($M63+VLOOKUP($L63,'Voyage days'!$L$203:$N$203,3,FALSE),""),"")</f>
        <v/>
      </c>
    </row>
    <row r="64" ht="15.75" customHeight="1">
      <c r="A64" s="373" t="s">
        <v>827</v>
      </c>
      <c r="B64" s="222">
        <v>42741.0</v>
      </c>
      <c r="C64" s="166">
        <v>84000.0</v>
      </c>
      <c r="D64" s="112"/>
      <c r="E64" s="374"/>
      <c r="F64" s="282"/>
      <c r="G64" s="282"/>
      <c r="H64" s="282"/>
      <c r="I64" s="224" t="s">
        <v>822</v>
      </c>
      <c r="J64" s="364" t="str">
        <f t="shared" si="21"/>
        <v>Update</v>
      </c>
      <c r="K64" s="171"/>
      <c r="L64" s="285" t="s">
        <v>773</v>
      </c>
      <c r="M64" s="173">
        <v>46126.0</v>
      </c>
      <c r="N64" s="173">
        <v>46127.0</v>
      </c>
      <c r="O64" s="326" t="s">
        <v>729</v>
      </c>
      <c r="P64" s="285" t="s">
        <v>828</v>
      </c>
      <c r="Q64" s="285"/>
      <c r="R64" s="285" t="s">
        <v>829</v>
      </c>
      <c r="S64" s="358" t="s">
        <v>659</v>
      </c>
      <c r="T64" s="369">
        <v>46124.0</v>
      </c>
      <c r="U64" s="177" t="str">
        <f>IF(V64="","No AIS",VLOOKUP(V64,'Voyage days'!$A$3:$B$1480,2,FALSE))</f>
        <v>USG</v>
      </c>
      <c r="V64" s="177" t="str">
        <f>IF(VLOOKUP(A64,'1) Kpler'!$E$2:$P$1000,8, FALSE)="","",VLOOKUP(A64,'1) Kpler'!$E$2:$P$1000,8, FALSE))</f>
        <v>Energy Transfer Marcus Hook</v>
      </c>
      <c r="W64" s="370">
        <f>IF(VLOOKUP(A64,'1) Kpler'!$E$2:$P$1000,9,FALSE)="","",VLOOKUP(A64,'1) Kpler'!$E$2:$P$1000,9,FALSE))</f>
        <v>46137.58333</v>
      </c>
      <c r="X64" s="177" t="str">
        <f>VLOOKUP(A64,'1) Kpler'!$E$2:$I$1000,4,FALSE)</f>
        <v>ballast</v>
      </c>
      <c r="Y64" s="120" t="str">
        <f t="shared" si="1"/>
        <v/>
      </c>
      <c r="Z64" s="120" t="str">
        <f t="shared" si="2"/>
        <v>28-29 Apr</v>
      </c>
      <c r="AA64" s="120" t="str">
        <f t="shared" si="3"/>
        <v>29-30 Apr</v>
      </c>
      <c r="AB64" s="120" t="str">
        <f t="shared" si="4"/>
        <v>25-26 Apr</v>
      </c>
      <c r="AC64" s="120" t="str">
        <f t="shared" si="5"/>
        <v>16-17 Apr</v>
      </c>
      <c r="AD64" s="120" t="str">
        <f t="shared" si="6"/>
        <v/>
      </c>
      <c r="AE64" s="228" t="str">
        <f t="shared" si="7"/>
        <v/>
      </c>
      <c r="AF64" s="229" t="str">
        <f t="shared" si="8"/>
        <v>28-29 Apr</v>
      </c>
      <c r="AG64" s="120" t="str">
        <f t="shared" si="9"/>
        <v/>
      </c>
      <c r="AH64" s="121" t="str">
        <f>IFERROR($M64+VLOOKUP($L64,'Voyage days'!$F$38:$H$89,3,FALSE),"")</f>
        <v/>
      </c>
      <c r="AI64" s="121" t="str">
        <f>IFERROR(N64+VLOOKUP($L64,'Voyage days'!$F$38:$H$89,3,FALSE),"")</f>
        <v/>
      </c>
      <c r="AJ64" s="120" t="str">
        <f t="shared" si="10"/>
        <v>28-29 Apr</v>
      </c>
      <c r="AK64" s="121">
        <f>IFERROR($M64+VLOOKUP($L64,'Voyage days'!$F$94:$H$193,3,FALSE),"")</f>
        <v>46140</v>
      </c>
      <c r="AL64" s="121">
        <f>IFERROR($N64+VLOOKUP($L64,'Voyage days'!$F$94:$H$193,3,FALSE),"")</f>
        <v>46141</v>
      </c>
      <c r="AM64" s="120" t="str">
        <f t="shared" si="11"/>
        <v>29-30 Apr</v>
      </c>
      <c r="AN64" s="121">
        <f>IFERROR($M64+VLOOKUP($L64,'Voyage days'!$F$203:$H$256,3,FALSE),"")</f>
        <v>46141</v>
      </c>
      <c r="AO64" s="121">
        <f>IFERROR($N64+VLOOKUP($L64,'Voyage days'!$F$203:$H$256,3,FALSE),"")</f>
        <v>46142</v>
      </c>
      <c r="AP64" s="120" t="str">
        <f t="shared" si="12"/>
        <v>25-26 Apr</v>
      </c>
      <c r="AQ64" s="121">
        <f>IFERROR($M64+VLOOKUP($L64,'Voyage days'!$F$294:$H$377,3,FALSE),"")</f>
        <v>46137</v>
      </c>
      <c r="AR64" s="121">
        <f>IFERROR($N64+VLOOKUP($L64,'Voyage days'!$F$294:$H$377,3,FALSE),"")</f>
        <v>46138</v>
      </c>
      <c r="AS64" s="120" t="str">
        <f t="shared" si="13"/>
        <v>16-17 Apr</v>
      </c>
      <c r="AT64" s="121">
        <f>IFERROR($M64+VLOOKUP($L64,'Voyage days'!$F$382:$H$446,3,FALSE),"")</f>
        <v>46128</v>
      </c>
      <c r="AU64" s="121">
        <f>IFERROR($N64+VLOOKUP($L64,'Voyage days'!$F$382:$H$446,3,FALSE),"")</f>
        <v>46129</v>
      </c>
      <c r="AV64" s="120" t="str">
        <f t="shared" si="14"/>
        <v/>
      </c>
      <c r="AW64" s="121" t="str">
        <f>IFERROR($M64+VLOOKUP($L64,'Voyage days'!$F$483:$H$538,3,FALSE),"")</f>
        <v/>
      </c>
      <c r="AX64" s="121" t="str">
        <f>IFERROR($N64+VLOOKUP($L64,'Voyage days'!$F$483:$H$538,3,FALSE),"")</f>
        <v/>
      </c>
      <c r="AY64" s="120" t="str">
        <f t="shared" si="15"/>
        <v/>
      </c>
      <c r="AZ64" s="121" t="str">
        <f>IFERROR($M64+VLOOKUP($L64,'Voyage days'!$F$540:$H$613,3,FALSE),"")</f>
        <v/>
      </c>
      <c r="BA64" s="121" t="str">
        <f>IFERROR($N64+VLOOKUP($L64,'Voyage days'!$F$540:$H$613,3,FALSE),"")</f>
        <v/>
      </c>
      <c r="BB64" s="120" t="str">
        <f t="shared" si="16"/>
        <v/>
      </c>
      <c r="BC64" s="121" t="str">
        <f>IFERROR($M64+VLOOKUP($L64,'Voyage days'!$F$448:$H$479,3,FALSE),"")</f>
        <v/>
      </c>
      <c r="BD64" s="121" t="str">
        <f>IFERROR($N64+VLOOKUP($L64,'Voyage days'!$F$448:$H$479,3,FALSE),"")</f>
        <v/>
      </c>
      <c r="BE64" s="120" t="str">
        <f t="shared" si="17"/>
        <v/>
      </c>
      <c r="BF64" s="122" t="str">
        <f>IFERROR($M64+VLOOKUP($L64,'Voyage days'!$F$620:$H$646,3,FALSE),"")</f>
        <v/>
      </c>
      <c r="BG64" s="122" t="str">
        <f>IFERROR($N64+VLOOKUP($L64,'Voyage days'!$F$620:$H$646,3,FALSE),"")</f>
        <v/>
      </c>
      <c r="BH64" s="120" t="str">
        <f t="shared" si="18"/>
        <v/>
      </c>
      <c r="BI64" s="123" t="str">
        <f>IFERROR($M64+VLOOKUP($L64,'Voyage days'!$F$702:$H$727,3,FALSE),"")</f>
        <v/>
      </c>
      <c r="BJ64" s="120" t="str">
        <f t="shared" si="19"/>
        <v>28-29 Apr</v>
      </c>
      <c r="BK64" s="122">
        <f>IFERROR($M64+VLOOKUP($L64,'Voyage days'!$F$807:$H$878,3,FALSE),"")</f>
        <v>46140</v>
      </c>
      <c r="BL64" s="122">
        <f>IFERROR($N64+VLOOKUP($L64,'Voyage days'!$F$807:$H$878,3,FALSE),"")</f>
        <v>46141</v>
      </c>
      <c r="BM64" s="122">
        <f>IFERROR($N64+VLOOKUP($L64,'Voyage days'!$F$807:$K$878,6,FALSE),"")</f>
        <v>46127</v>
      </c>
      <c r="BN64" s="121" t="str">
        <f>if(L64="loads AG", IFERROR($M64+VLOOKUP($L64,'Voyage days'!$M$38:$O$38,3,FALSE),""),"")</f>
        <v/>
      </c>
      <c r="BO64" s="121" t="str">
        <f>if(L64="loads USG", IFERROR($M64+VLOOKUP($L64,'Voyage days'!$L$203:$N$203,3,FALSE),""),"")</f>
        <v/>
      </c>
    </row>
    <row r="65" ht="15.75" customHeight="1">
      <c r="A65" s="375" t="s">
        <v>288</v>
      </c>
      <c r="B65" s="148">
        <v>2021.0</v>
      </c>
      <c r="C65" s="203">
        <v>80421.0</v>
      </c>
      <c r="D65" s="149"/>
      <c r="E65" s="149"/>
      <c r="F65" s="150"/>
      <c r="G65" s="150"/>
      <c r="H65" s="150" t="s">
        <v>689</v>
      </c>
      <c r="I65" s="315" t="s">
        <v>830</v>
      </c>
      <c r="J65" s="151" t="str">
        <f t="shared" si="21"/>
        <v/>
      </c>
      <c r="K65" s="152"/>
      <c r="L65" s="153" t="s">
        <v>809</v>
      </c>
      <c r="M65" s="238">
        <v>46136.0</v>
      </c>
      <c r="N65" s="238">
        <v>46137.0</v>
      </c>
      <c r="O65" s="277"/>
      <c r="P65" s="153" t="s">
        <v>810</v>
      </c>
      <c r="Q65" s="317"/>
      <c r="R65" s="317" t="s">
        <v>831</v>
      </c>
      <c r="S65" s="256" t="s">
        <v>659</v>
      </c>
      <c r="T65" s="293">
        <v>46124.0</v>
      </c>
      <c r="U65" s="114" t="str">
        <f>IF(V65="","No AIS",VLOOKUP(V65,'Voyage days'!$A$3:$B$1480,2,FALSE))</f>
        <v>Vietnam + 3</v>
      </c>
      <c r="V65" s="114" t="str">
        <f>IF(VLOOKUP(A65,'1) Kpler'!$E$2:$P$1000,8, FALSE)="","",VLOOKUP(A65,'1) Kpler'!$E$2:$P$1000,8, FALSE))</f>
        <v>PV Vung Tau</v>
      </c>
      <c r="W65" s="159">
        <f>IF(VLOOKUP(A65,'1) Kpler'!$E$2:$P$1000,9,FALSE)="","",VLOOKUP(A65,'1) Kpler'!$E$2:$P$1000,9,FALSE))</f>
        <v>46133.45833</v>
      </c>
      <c r="X65" s="114" t="str">
        <f>VLOOKUP(A65,'1) Kpler'!$E$2:$I$1000,4,FALSE)</f>
        <v>loaded</v>
      </c>
      <c r="Y65" s="296" t="str">
        <f t="shared" si="1"/>
        <v>07-08 May</v>
      </c>
      <c r="Z65" s="296" t="str">
        <f t="shared" si="2"/>
        <v>31-01 Jun</v>
      </c>
      <c r="AA65" s="296" t="str">
        <f t="shared" si="3"/>
        <v>02-03 Jun</v>
      </c>
      <c r="AB65" s="296" t="str">
        <f t="shared" si="4"/>
        <v>18-19 May</v>
      </c>
      <c r="AC65" s="296" t="str">
        <f t="shared" si="5"/>
        <v>24-25 May</v>
      </c>
      <c r="AD65" s="296" t="str">
        <f t="shared" si="6"/>
        <v>26-27 Apr</v>
      </c>
      <c r="AE65" s="297" t="str">
        <f t="shared" si="7"/>
        <v>30-01 May</v>
      </c>
      <c r="AF65" s="119" t="str">
        <f t="shared" si="8"/>
        <v>03-04 Jun</v>
      </c>
      <c r="AG65" s="163" t="str">
        <f t="shared" si="9"/>
        <v>07-08 May</v>
      </c>
      <c r="AH65" s="122">
        <f>IFERROR($M65+VLOOKUP($L65,'Voyage days'!$F$38:$H$89,3,FALSE),"")</f>
        <v>46149</v>
      </c>
      <c r="AI65" s="122">
        <f>IFERROR(N65+VLOOKUP($L65,'Voyage days'!$F$38:$H$89,3,FALSE),"")</f>
        <v>46150</v>
      </c>
      <c r="AJ65" s="163" t="str">
        <f t="shared" si="10"/>
        <v>31-01 Jun</v>
      </c>
      <c r="AK65" s="122">
        <f>IFERROR($M65+VLOOKUP($L65,'Voyage days'!$F$94:$H$193,3,FALSE),"")</f>
        <v>46173</v>
      </c>
      <c r="AL65" s="122">
        <f>IFERROR($N65+VLOOKUP($L65,'Voyage days'!$F$94:$H$193,3,FALSE),"")</f>
        <v>46174</v>
      </c>
      <c r="AM65" s="163" t="str">
        <f t="shared" si="11"/>
        <v>02-03 Jun</v>
      </c>
      <c r="AN65" s="122">
        <f>IFERROR($M65+VLOOKUP($L65,'Voyage days'!$F$203:$H$256,3,FALSE),"")</f>
        <v>46175</v>
      </c>
      <c r="AO65" s="122">
        <f>IFERROR($N65+VLOOKUP($L65,'Voyage days'!$F$203:$H$256,3,FALSE),"")</f>
        <v>46176</v>
      </c>
      <c r="AP65" s="163" t="str">
        <f t="shared" si="12"/>
        <v>18-19 May</v>
      </c>
      <c r="AQ65" s="122">
        <f>IFERROR($M65+VLOOKUP($L65,'Voyage days'!$F$294:$H$377,3,FALSE),"")</f>
        <v>46160</v>
      </c>
      <c r="AR65" s="122">
        <f>IFERROR($N65+VLOOKUP($L65,'Voyage days'!$F$294:$H$377,3,FALSE),"")</f>
        <v>46161</v>
      </c>
      <c r="AS65" s="163" t="str">
        <f t="shared" si="13"/>
        <v>24-25 May</v>
      </c>
      <c r="AT65" s="122">
        <f>IFERROR($M65+VLOOKUP($L65,'Voyage days'!$F$382:$H$446,3,FALSE),"")</f>
        <v>46166</v>
      </c>
      <c r="AU65" s="122">
        <f>IFERROR($N65+VLOOKUP($L65,'Voyage days'!$F$382:$H$446,3,FALSE),"")</f>
        <v>46167</v>
      </c>
      <c r="AV65" s="163" t="str">
        <f t="shared" si="14"/>
        <v>06-07 May</v>
      </c>
      <c r="AW65" s="122">
        <f>IFERROR($M65+VLOOKUP($L65,'Voyage days'!$F$483:$H$538,3,FALSE),"")</f>
        <v>46148</v>
      </c>
      <c r="AX65" s="122">
        <f>IFERROR($N65+VLOOKUP($L65,'Voyage days'!$F$483:$H$538,3,FALSE),"")</f>
        <v>46149</v>
      </c>
      <c r="AY65" s="163" t="str">
        <f t="shared" si="15"/>
        <v>30-01 May</v>
      </c>
      <c r="AZ65" s="122">
        <f>IFERROR($M65+VLOOKUP($L65,'Voyage days'!$F$540:$H$613,3,FALSE),"")</f>
        <v>46142.25</v>
      </c>
      <c r="BA65" s="122">
        <f>IFERROR($N65+VLOOKUP($L65,'Voyage days'!$F$540:$H$613,3,FALSE),"")</f>
        <v>46143.25</v>
      </c>
      <c r="BB65" s="163" t="str">
        <f t="shared" si="16"/>
        <v>26-27 Apr</v>
      </c>
      <c r="BC65" s="122">
        <f>IFERROR($M65+VLOOKUP($L65,'Voyage days'!$F$448:$H$479,3,FALSE),"")</f>
        <v>46138</v>
      </c>
      <c r="BD65" s="122">
        <f>IFERROR($N65+VLOOKUP($L65,'Voyage days'!$F$448:$H$479,3,FALSE),"")</f>
        <v>46139</v>
      </c>
      <c r="BE65" s="163" t="str">
        <f t="shared" si="17"/>
        <v/>
      </c>
      <c r="BF65" s="122" t="str">
        <f>IFERROR($M65+VLOOKUP($L65,'Voyage days'!$F$620:$H$646,3,FALSE),"")</f>
        <v/>
      </c>
      <c r="BG65" s="122" t="str">
        <f>IFERROR($N65+VLOOKUP($L65,'Voyage days'!$F$620:$H$646,3,FALSE),"")</f>
        <v/>
      </c>
      <c r="BH65" s="163" t="str">
        <f t="shared" si="18"/>
        <v>30-04 Jun</v>
      </c>
      <c r="BI65" s="123">
        <f>IFERROR($M65+VLOOKUP($L65,'Voyage days'!$F$702:$H$727,3,FALSE),"")</f>
        <v>46142.25</v>
      </c>
      <c r="BJ65" s="163" t="str">
        <f t="shared" si="19"/>
        <v>03-04 Jun</v>
      </c>
      <c r="BK65" s="122">
        <f>IFERROR($M65+VLOOKUP($L65,'Voyage days'!$F$807:$H$878,3,FALSE),"")</f>
        <v>46176</v>
      </c>
      <c r="BL65" s="122">
        <f>IFERROR($N65+VLOOKUP($L65,'Voyage days'!$F$807:$H$878,3,FALSE),"")</f>
        <v>46177</v>
      </c>
      <c r="BM65" s="122">
        <f>IFERROR($N65+VLOOKUP($L65,'Voyage days'!$F$807:$K$878,6,FALSE),"")</f>
        <v>46151</v>
      </c>
      <c r="BN65" s="122" t="str">
        <f>if(L65="loads AG", IFERROR($M65+VLOOKUP($L65,'Voyage days'!$M$38:$O$38,3,FALSE),""),"")</f>
        <v/>
      </c>
      <c r="BO65" s="122" t="str">
        <f>if(L65="loads USG", IFERROR($M65+VLOOKUP($L65,'Voyage days'!$L$203:$N$203,3,FALSE),""),"")</f>
        <v/>
      </c>
    </row>
    <row r="66" ht="15.75" customHeight="1">
      <c r="A66" s="375" t="s">
        <v>184</v>
      </c>
      <c r="B66" s="202">
        <v>2019.0</v>
      </c>
      <c r="C66" s="203">
        <v>80032.0</v>
      </c>
      <c r="D66" s="149"/>
      <c r="E66" s="149"/>
      <c r="F66" s="150"/>
      <c r="G66" s="150"/>
      <c r="H66" s="150" t="s">
        <v>689</v>
      </c>
      <c r="I66" s="321" t="s">
        <v>830</v>
      </c>
      <c r="J66" s="151" t="str">
        <f t="shared" si="21"/>
        <v>Update</v>
      </c>
      <c r="K66" s="205"/>
      <c r="L66" s="153" t="s">
        <v>680</v>
      </c>
      <c r="M66" s="276">
        <v>46125.0</v>
      </c>
      <c r="N66" s="276">
        <v>46126.0</v>
      </c>
      <c r="O66" s="186"/>
      <c r="P66" s="153" t="s">
        <v>832</v>
      </c>
      <c r="Q66" s="317"/>
      <c r="R66" s="317" t="s">
        <v>833</v>
      </c>
      <c r="S66" s="256" t="s">
        <v>659</v>
      </c>
      <c r="T66" s="318">
        <v>46124.0</v>
      </c>
      <c r="U66" s="114" t="str">
        <f>IF(V66="","No AIS",VLOOKUP(V66,'Voyage days'!$A$3:$B$1480,2,FALSE))</f>
        <v>USG</v>
      </c>
      <c r="V66" s="114" t="str">
        <f>IF(VLOOKUP(A66,'1) Kpler'!$E$2:$P$1000,8, FALSE)="","",VLOOKUP(A66,'1) Kpler'!$E$2:$P$1000,8, FALSE))</f>
        <v>Houston</v>
      </c>
      <c r="W66" s="159">
        <f>IF(VLOOKUP(A66,'1) Kpler'!$E$2:$P$1000,9,FALSE)="","",VLOOKUP(A66,'1) Kpler'!$E$2:$P$1000,9,FALSE))</f>
        <v>46132.5</v>
      </c>
      <c r="X66" s="114" t="str">
        <f>VLOOKUP(A66,'1) Kpler'!$E$2:$I$1000,4,FALSE)</f>
        <v>ballast</v>
      </c>
      <c r="Y66" s="160" t="str">
        <f t="shared" si="1"/>
        <v/>
      </c>
      <c r="Z66" s="160" t="str">
        <f t="shared" si="2"/>
        <v>13-14 Apr</v>
      </c>
      <c r="AA66" s="160" t="str">
        <f t="shared" si="3"/>
        <v>13-14 Apr</v>
      </c>
      <c r="AB66" s="160" t="str">
        <f t="shared" si="4"/>
        <v/>
      </c>
      <c r="AC66" s="160" t="str">
        <f t="shared" si="5"/>
        <v>03-04 May</v>
      </c>
      <c r="AD66" s="160" t="str">
        <f t="shared" si="6"/>
        <v/>
      </c>
      <c r="AE66" s="161" t="str">
        <f t="shared" si="7"/>
        <v/>
      </c>
      <c r="AF66" s="162" t="str">
        <f t="shared" si="8"/>
        <v/>
      </c>
      <c r="AG66" s="163" t="str">
        <f t="shared" si="9"/>
        <v/>
      </c>
      <c r="AH66" s="122" t="str">
        <f>IFERROR($M66+VLOOKUP($L66,'Voyage days'!$F$38:$H$89,3,FALSE),"")</f>
        <v/>
      </c>
      <c r="AI66" s="122" t="str">
        <f>IFERROR(N66+VLOOKUP($L66,'Voyage days'!$F$38:$H$89,3,FALSE),"")</f>
        <v/>
      </c>
      <c r="AJ66" s="163" t="str">
        <f t="shared" si="10"/>
        <v>13-14 Apr</v>
      </c>
      <c r="AK66" s="122">
        <f>IFERROR($M66+VLOOKUP($L66,'Voyage days'!$F$94:$H$193,3,FALSE),"")</f>
        <v>46125</v>
      </c>
      <c r="AL66" s="122">
        <f>IFERROR($N66+VLOOKUP($L66,'Voyage days'!$F$94:$H$193,3,FALSE),"")</f>
        <v>46126</v>
      </c>
      <c r="AM66" s="163" t="str">
        <f t="shared" si="11"/>
        <v>13-14 Apr</v>
      </c>
      <c r="AN66" s="122">
        <f>IFERROR($M66+VLOOKUP($L66,'Voyage days'!$F$203:$H$256,3,FALSE),"")</f>
        <v>46125</v>
      </c>
      <c r="AO66" s="122">
        <f>IFERROR($N66+VLOOKUP($L66,'Voyage days'!$F$203:$H$256,3,FALSE),"")</f>
        <v>46126</v>
      </c>
      <c r="AP66" s="163" t="str">
        <f t="shared" si="12"/>
        <v/>
      </c>
      <c r="AQ66" s="122" t="str">
        <f>IFERROR($M66+VLOOKUP($L66,'Voyage days'!$F$294:$H$377,3,FALSE),"")</f>
        <v/>
      </c>
      <c r="AR66" s="122" t="str">
        <f>IFERROR($N66+VLOOKUP($L66,'Voyage days'!$F$294:$H$377,3,FALSE),"")</f>
        <v/>
      </c>
      <c r="AS66" s="163" t="str">
        <f t="shared" si="13"/>
        <v>03-04 May</v>
      </c>
      <c r="AT66" s="122">
        <f>IFERROR($M66+VLOOKUP($L66,'Voyage days'!$F$382:$H$446,3,FALSE),"")</f>
        <v>46145</v>
      </c>
      <c r="AU66" s="122">
        <f>IFERROR($N66+VLOOKUP($L66,'Voyage days'!$F$382:$H$446,3,FALSE),"")</f>
        <v>46146</v>
      </c>
      <c r="AV66" s="163" t="str">
        <f t="shared" si="14"/>
        <v/>
      </c>
      <c r="AW66" s="122" t="str">
        <f>IFERROR($M66+VLOOKUP($L66,'Voyage days'!$F$483:$H$538,3,FALSE),"")</f>
        <v/>
      </c>
      <c r="AX66" s="122" t="str">
        <f>IFERROR($N66+VLOOKUP($L66,'Voyage days'!$F$483:$H$538,3,FALSE),"")</f>
        <v/>
      </c>
      <c r="AY66" s="163" t="str">
        <f t="shared" si="15"/>
        <v/>
      </c>
      <c r="AZ66" s="122" t="str">
        <f>IFERROR($M66+VLOOKUP($L66,'Voyage days'!$F$540:$H$613,3,FALSE),"")</f>
        <v/>
      </c>
      <c r="BA66" s="122" t="str">
        <f>IFERROR($N66+VLOOKUP($L66,'Voyage days'!$F$540:$H$613,3,FALSE),"")</f>
        <v/>
      </c>
      <c r="BB66" s="163" t="str">
        <f t="shared" si="16"/>
        <v/>
      </c>
      <c r="BC66" s="121" t="str">
        <f>IFERROR($M66+VLOOKUP($L66,'Voyage days'!$F$448:$H$479,3,FALSE),"")</f>
        <v/>
      </c>
      <c r="BD66" s="121" t="str">
        <f>IFERROR($N66+VLOOKUP($L66,'Voyage days'!$F$448:$H$479,3,FALSE),"")</f>
        <v/>
      </c>
      <c r="BE66" s="163" t="str">
        <f t="shared" si="17"/>
        <v/>
      </c>
      <c r="BF66" s="122" t="str">
        <f>IFERROR($M66+VLOOKUP($L66,'Voyage days'!$F$620:$H$646,3,FALSE),"")</f>
        <v/>
      </c>
      <c r="BG66" s="122" t="str">
        <f>IFERROR($N66+VLOOKUP($L66,'Voyage days'!$F$620:$H$646,3,FALSE),"")</f>
        <v/>
      </c>
      <c r="BH66" s="163" t="str">
        <f t="shared" si="18"/>
        <v/>
      </c>
      <c r="BI66" s="123" t="str">
        <f>IFERROR($M66+VLOOKUP($L66,'Voyage days'!$F$702:$H$727,3,FALSE),"")</f>
        <v/>
      </c>
      <c r="BJ66" s="163" t="str">
        <f t="shared" si="19"/>
        <v/>
      </c>
      <c r="BK66" s="122" t="str">
        <f>IFERROR($M66+VLOOKUP($L66,'Voyage days'!$F$807:$H$878,3,FALSE),"")</f>
        <v/>
      </c>
      <c r="BL66" s="122" t="str">
        <f>IFERROR($N66+VLOOKUP($L66,'Voyage days'!$F$807:$H$878,3,FALSE),"")</f>
        <v/>
      </c>
      <c r="BM66" s="122" t="str">
        <f>IFERROR($N66+VLOOKUP($L66,'Voyage days'!$F$807:$K$878,6,FALSE),"")</f>
        <v/>
      </c>
      <c r="BN66" s="121" t="str">
        <f>if(L66="loads AG", IFERROR($M66+VLOOKUP($L66,'Voyage days'!$M$38:$O$38,3,FALSE),""),"")</f>
        <v/>
      </c>
      <c r="BO66" s="121">
        <f>if(L66="loads USG", IFERROR($M66+VLOOKUP($L66,'Voyage days'!$L$203:$N$203,3,FALSE),""),"")</f>
        <v>46157</v>
      </c>
    </row>
    <row r="67" ht="15.75" customHeight="1">
      <c r="A67" s="375" t="s">
        <v>569</v>
      </c>
      <c r="B67" s="202">
        <v>2017.0</v>
      </c>
      <c r="C67" s="203">
        <v>79329.0</v>
      </c>
      <c r="D67" s="149"/>
      <c r="E67" s="149"/>
      <c r="F67" s="150"/>
      <c r="G67" s="150"/>
      <c r="H67" s="150"/>
      <c r="I67" s="321" t="s">
        <v>830</v>
      </c>
      <c r="J67" s="151" t="str">
        <f t="shared" si="21"/>
        <v/>
      </c>
      <c r="K67" s="205"/>
      <c r="L67" s="153" t="s">
        <v>680</v>
      </c>
      <c r="M67" s="276">
        <v>46160.0</v>
      </c>
      <c r="N67" s="276">
        <v>46161.0</v>
      </c>
      <c r="O67" s="186"/>
      <c r="P67" s="153" t="s">
        <v>834</v>
      </c>
      <c r="Q67" s="317"/>
      <c r="R67" s="317" t="s">
        <v>835</v>
      </c>
      <c r="S67" s="256" t="s">
        <v>659</v>
      </c>
      <c r="T67" s="318">
        <v>46124.0</v>
      </c>
      <c r="U67" s="114" t="str">
        <f>IF(V67="","No AIS",VLOOKUP(V67,'Voyage days'!$A$3:$B$1480,2,FALSE))</f>
        <v>Panama</v>
      </c>
      <c r="V67" s="114" t="str">
        <f>IF(VLOOKUP(A67,'1) Kpler'!$E$2:$P$1000,8, FALSE)="","",VLOOKUP(A67,'1) Kpler'!$E$2:$P$1000,8, FALSE))</f>
        <v>Panama Canal</v>
      </c>
      <c r="W67" s="159">
        <f>IF(VLOOKUP(A67,'1) Kpler'!$E$2:$P$1000,9,FALSE)="","",VLOOKUP(A67,'1) Kpler'!$E$2:$P$1000,9,FALSE))</f>
        <v>46146.54167</v>
      </c>
      <c r="X67" s="114" t="str">
        <f>VLOOKUP(A67,'1) Kpler'!$E$2:$I$1000,4,FALSE)</f>
        <v>ballast</v>
      </c>
      <c r="Y67" s="160" t="str">
        <f t="shared" si="1"/>
        <v/>
      </c>
      <c r="Z67" s="160" t="str">
        <f t="shared" si="2"/>
        <v>18-19 May</v>
      </c>
      <c r="AA67" s="160" t="str">
        <f t="shared" si="3"/>
        <v>18-19 May</v>
      </c>
      <c r="AB67" s="160" t="str">
        <f t="shared" si="4"/>
        <v/>
      </c>
      <c r="AC67" s="160" t="str">
        <f t="shared" si="5"/>
        <v>07-08 Jun</v>
      </c>
      <c r="AD67" s="160" t="str">
        <f t="shared" si="6"/>
        <v/>
      </c>
      <c r="AE67" s="161" t="str">
        <f t="shared" si="7"/>
        <v/>
      </c>
      <c r="AF67" s="162" t="str">
        <f t="shared" si="8"/>
        <v/>
      </c>
      <c r="AG67" s="163" t="str">
        <f t="shared" si="9"/>
        <v/>
      </c>
      <c r="AH67" s="122" t="str">
        <f>IFERROR($M67+VLOOKUP($L67,'Voyage days'!$F$38:$H$89,3,FALSE),"")</f>
        <v/>
      </c>
      <c r="AI67" s="122" t="str">
        <f>IFERROR(N67+VLOOKUP($L67,'Voyage days'!$F$38:$H$89,3,FALSE),"")</f>
        <v/>
      </c>
      <c r="AJ67" s="163" t="str">
        <f t="shared" si="10"/>
        <v>18-19 May</v>
      </c>
      <c r="AK67" s="122">
        <f>IFERROR($M67+VLOOKUP($L67,'Voyage days'!$F$94:$H$193,3,FALSE),"")</f>
        <v>46160</v>
      </c>
      <c r="AL67" s="122">
        <f>IFERROR($N67+VLOOKUP($L67,'Voyage days'!$F$94:$H$193,3,FALSE),"")</f>
        <v>46161</v>
      </c>
      <c r="AM67" s="163" t="str">
        <f t="shared" si="11"/>
        <v>18-19 May</v>
      </c>
      <c r="AN67" s="122">
        <f>IFERROR($M67+VLOOKUP($L67,'Voyage days'!$F$203:$H$256,3,FALSE),"")</f>
        <v>46160</v>
      </c>
      <c r="AO67" s="122">
        <f>IFERROR($N67+VLOOKUP($L67,'Voyage days'!$F$203:$H$256,3,FALSE),"")</f>
        <v>46161</v>
      </c>
      <c r="AP67" s="163" t="str">
        <f t="shared" si="12"/>
        <v/>
      </c>
      <c r="AQ67" s="122" t="str">
        <f>IFERROR($M67+VLOOKUP($L67,'Voyage days'!$F$294:$H$377,3,FALSE),"")</f>
        <v/>
      </c>
      <c r="AR67" s="122" t="str">
        <f>IFERROR($N67+VLOOKUP($L67,'Voyage days'!$F$294:$H$377,3,FALSE),"")</f>
        <v/>
      </c>
      <c r="AS67" s="163" t="str">
        <f t="shared" si="13"/>
        <v>07-08 Jun</v>
      </c>
      <c r="AT67" s="122">
        <f>IFERROR($M67+VLOOKUP($L67,'Voyage days'!$F$382:$H$446,3,FALSE),"")</f>
        <v>46180</v>
      </c>
      <c r="AU67" s="122">
        <f>IFERROR($N67+VLOOKUP($L67,'Voyage days'!$F$382:$H$446,3,FALSE),"")</f>
        <v>46181</v>
      </c>
      <c r="AV67" s="163" t="str">
        <f t="shared" si="14"/>
        <v/>
      </c>
      <c r="AW67" s="122" t="str">
        <f>IFERROR($M67+VLOOKUP($L67,'Voyage days'!$F$483:$H$538,3,FALSE),"")</f>
        <v/>
      </c>
      <c r="AX67" s="122" t="str">
        <f>IFERROR($N67+VLOOKUP($L67,'Voyage days'!$F$483:$H$538,3,FALSE),"")</f>
        <v/>
      </c>
      <c r="AY67" s="163" t="str">
        <f t="shared" si="15"/>
        <v/>
      </c>
      <c r="AZ67" s="122" t="str">
        <f>IFERROR($M67+VLOOKUP($L67,'Voyage days'!$F$540:$H$613,3,FALSE),"")</f>
        <v/>
      </c>
      <c r="BA67" s="122" t="str">
        <f>IFERROR($N67+VLOOKUP($L67,'Voyage days'!$F$540:$H$613,3,FALSE),"")</f>
        <v/>
      </c>
      <c r="BB67" s="163" t="str">
        <f t="shared" si="16"/>
        <v/>
      </c>
      <c r="BC67" s="121" t="str">
        <f>IFERROR($M67+VLOOKUP($L67,'Voyage days'!$F$448:$H$479,3,FALSE),"")</f>
        <v/>
      </c>
      <c r="BD67" s="121" t="str">
        <f>IFERROR($N67+VLOOKUP($L67,'Voyage days'!$F$448:$H$479,3,FALSE),"")</f>
        <v/>
      </c>
      <c r="BE67" s="163" t="str">
        <f t="shared" si="17"/>
        <v/>
      </c>
      <c r="BF67" s="122" t="str">
        <f>IFERROR($M67+VLOOKUP($L67,'Voyage days'!$F$620:$H$646,3,FALSE),"")</f>
        <v/>
      </c>
      <c r="BG67" s="122" t="str">
        <f>IFERROR($N67+VLOOKUP($L67,'Voyage days'!$F$620:$H$646,3,FALSE),"")</f>
        <v/>
      </c>
      <c r="BH67" s="163" t="str">
        <f t="shared" si="18"/>
        <v/>
      </c>
      <c r="BI67" s="123" t="str">
        <f>IFERROR($M67+VLOOKUP($L67,'Voyage days'!$F$702:$H$727,3,FALSE),"")</f>
        <v/>
      </c>
      <c r="BJ67" s="163" t="str">
        <f t="shared" si="19"/>
        <v/>
      </c>
      <c r="BK67" s="122" t="str">
        <f>IFERROR($M67+VLOOKUP($L67,'Voyage days'!$F$807:$H$878,3,FALSE),"")</f>
        <v/>
      </c>
      <c r="BL67" s="122" t="str">
        <f>IFERROR($N67+VLOOKUP($L67,'Voyage days'!$F$807:$H$878,3,FALSE),"")</f>
        <v/>
      </c>
      <c r="BM67" s="122" t="str">
        <f>IFERROR($N67+VLOOKUP($L67,'Voyage days'!$F$807:$K$878,6,FALSE),"")</f>
        <v/>
      </c>
      <c r="BN67" s="121" t="str">
        <f>if(L67="loads AG", IFERROR($M67+VLOOKUP($L67,'Voyage days'!$M$38:$O$38,3,FALSE),""),"")</f>
        <v/>
      </c>
      <c r="BO67" s="121">
        <f>if(L67="loads USG", IFERROR($M67+VLOOKUP($L67,'Voyage days'!$L$203:$N$203,3,FALSE),""),"")</f>
        <v>46192</v>
      </c>
    </row>
    <row r="68" ht="15.75" customHeight="1">
      <c r="A68" s="376" t="s">
        <v>573</v>
      </c>
      <c r="B68" s="222">
        <v>42985.0</v>
      </c>
      <c r="C68" s="166">
        <v>78700.0</v>
      </c>
      <c r="D68" s="223" t="s">
        <v>603</v>
      </c>
      <c r="E68" s="223"/>
      <c r="F68" s="168"/>
      <c r="G68" s="168"/>
      <c r="H68" s="168"/>
      <c r="I68" s="224" t="s">
        <v>830</v>
      </c>
      <c r="J68" s="170" t="str">
        <f t="shared" si="21"/>
        <v/>
      </c>
      <c r="K68" s="171"/>
      <c r="L68" s="320" t="s">
        <v>680</v>
      </c>
      <c r="M68" s="173">
        <v>46136.0</v>
      </c>
      <c r="N68" s="173">
        <v>46137.0</v>
      </c>
      <c r="O68" s="284"/>
      <c r="P68" s="377" t="s">
        <v>778</v>
      </c>
      <c r="Q68" s="378"/>
      <c r="R68" s="379" t="s">
        <v>836</v>
      </c>
      <c r="S68" s="380" t="s">
        <v>659</v>
      </c>
      <c r="T68" s="176">
        <v>46124.0</v>
      </c>
      <c r="U68" s="177" t="str">
        <f>IF(V68="","No AIS",VLOOKUP(V68,'Voyage days'!$A$3:$B$1480,2,FALSE))</f>
        <v>USG</v>
      </c>
      <c r="V68" s="178" t="str">
        <f>IF(VLOOKUP(A68,'1) Kpler'!$E$2:$P$1000,8, FALSE)="","",VLOOKUP(A68,'1) Kpler'!$E$2:$P$1000,8, FALSE))</f>
        <v>Houston</v>
      </c>
      <c r="W68" s="179">
        <f>IF(VLOOKUP(A68,'1) Kpler'!$E$2:$P$1000,9,FALSE)="","",VLOOKUP(A68,'1) Kpler'!$E$2:$P$1000,9,FALSE))</f>
        <v>46132.95833</v>
      </c>
      <c r="X68" s="178" t="str">
        <f>VLOOKUP(A68,'1) Kpler'!$E$2:$I$1000,4,FALSE)</f>
        <v>ballast</v>
      </c>
      <c r="Y68" s="180" t="str">
        <f t="shared" si="1"/>
        <v/>
      </c>
      <c r="Z68" s="180" t="str">
        <f t="shared" si="2"/>
        <v>24-25 Apr</v>
      </c>
      <c r="AA68" s="180" t="str">
        <f t="shared" si="3"/>
        <v>24-25 Apr</v>
      </c>
      <c r="AB68" s="180" t="str">
        <f t="shared" si="4"/>
        <v/>
      </c>
      <c r="AC68" s="180" t="str">
        <f t="shared" si="5"/>
        <v>14-15 May</v>
      </c>
      <c r="AD68" s="180" t="str">
        <f t="shared" si="6"/>
        <v/>
      </c>
      <c r="AE68" s="181" t="str">
        <f t="shared" si="7"/>
        <v/>
      </c>
      <c r="AF68" s="182" t="str">
        <f t="shared" si="8"/>
        <v/>
      </c>
      <c r="AG68" s="120" t="str">
        <f t="shared" si="9"/>
        <v/>
      </c>
      <c r="AH68" s="121" t="str">
        <f>IFERROR($M68+VLOOKUP($L68,'Voyage days'!$F$38:$H$89,3,FALSE),"")</f>
        <v/>
      </c>
      <c r="AI68" s="121" t="str">
        <f>IFERROR(N68+VLOOKUP($L68,'Voyage days'!$F$38:$H$89,3,FALSE),"")</f>
        <v/>
      </c>
      <c r="AJ68" s="120" t="str">
        <f t="shared" si="10"/>
        <v>24-25 Apr</v>
      </c>
      <c r="AK68" s="121">
        <f>IFERROR($M68+VLOOKUP($L68,'Voyage days'!$F$94:$H$193,3,FALSE),"")</f>
        <v>46136</v>
      </c>
      <c r="AL68" s="121">
        <f>IFERROR($N68+VLOOKUP($L68,'Voyage days'!$F$94:$H$193,3,FALSE),"")</f>
        <v>46137</v>
      </c>
      <c r="AM68" s="120" t="str">
        <f t="shared" si="11"/>
        <v>24-25 Apr</v>
      </c>
      <c r="AN68" s="121">
        <f>IFERROR($M68+VLOOKUP($L68,'Voyage days'!$F$203:$H$256,3,FALSE),"")</f>
        <v>46136</v>
      </c>
      <c r="AO68" s="121">
        <f>IFERROR($N68+VLOOKUP($L68,'Voyage days'!$F$203:$H$256,3,FALSE),"")</f>
        <v>46137</v>
      </c>
      <c r="AP68" s="120" t="str">
        <f t="shared" si="12"/>
        <v/>
      </c>
      <c r="AQ68" s="121" t="str">
        <f>IFERROR($M68+VLOOKUP($L68,'Voyage days'!$F$294:$H$377,3,FALSE),"")</f>
        <v/>
      </c>
      <c r="AR68" s="121" t="str">
        <f>IFERROR($N68+VLOOKUP($L68,'Voyage days'!$F$294:$H$377,3,FALSE),"")</f>
        <v/>
      </c>
      <c r="AS68" s="120" t="str">
        <f t="shared" si="13"/>
        <v>14-15 May</v>
      </c>
      <c r="AT68" s="121">
        <f>IFERROR($M68+VLOOKUP($L68,'Voyage days'!$F$382:$H$446,3,FALSE),"")</f>
        <v>46156</v>
      </c>
      <c r="AU68" s="121">
        <f>IFERROR($N68+VLOOKUP($L68,'Voyage days'!$F$382:$H$446,3,FALSE),"")</f>
        <v>46157</v>
      </c>
      <c r="AV68" s="120" t="str">
        <f t="shared" si="14"/>
        <v/>
      </c>
      <c r="AW68" s="121" t="str">
        <f>IFERROR($M68+VLOOKUP($L68,'Voyage days'!$F$483:$H$538,3,FALSE),"")</f>
        <v/>
      </c>
      <c r="AX68" s="121" t="str">
        <f>IFERROR($N68+VLOOKUP($L68,'Voyage days'!$F$483:$H$538,3,FALSE),"")</f>
        <v/>
      </c>
      <c r="AY68" s="120" t="str">
        <f t="shared" si="15"/>
        <v/>
      </c>
      <c r="AZ68" s="121" t="str">
        <f>IFERROR($M68+VLOOKUP($L68,'Voyage days'!$F$540:$H$613,3,FALSE),"")</f>
        <v/>
      </c>
      <c r="BA68" s="121" t="str">
        <f>IFERROR($N68+VLOOKUP($L68,'Voyage days'!$F$540:$H$613,3,FALSE),"")</f>
        <v/>
      </c>
      <c r="BB68" s="120" t="str">
        <f t="shared" si="16"/>
        <v/>
      </c>
      <c r="BC68" s="121" t="str">
        <f>IFERROR($M68+VLOOKUP($L68,'Voyage days'!$F$448:$H$479,3,FALSE),"")</f>
        <v/>
      </c>
      <c r="BD68" s="121" t="str">
        <f>IFERROR($N68+VLOOKUP($L68,'Voyage days'!$F$448:$H$479,3,FALSE),"")</f>
        <v/>
      </c>
      <c r="BE68" s="120" t="str">
        <f t="shared" si="17"/>
        <v/>
      </c>
      <c r="BF68" s="122" t="str">
        <f>IFERROR($M68+VLOOKUP($L68,'Voyage days'!$F$620:$H$646,3,FALSE),"")</f>
        <v/>
      </c>
      <c r="BG68" s="122" t="str">
        <f>IFERROR($N68+VLOOKUP($L68,'Voyage days'!$F$620:$H$646,3,FALSE),"")</f>
        <v/>
      </c>
      <c r="BH68" s="120" t="str">
        <f t="shared" si="18"/>
        <v/>
      </c>
      <c r="BI68" s="123" t="str">
        <f>IFERROR($M68+VLOOKUP($L68,'Voyage days'!$F$702:$H$727,3,FALSE),"")</f>
        <v/>
      </c>
      <c r="BJ68" s="120" t="str">
        <f t="shared" si="19"/>
        <v/>
      </c>
      <c r="BK68" s="122" t="str">
        <f>IFERROR($M68+VLOOKUP($L68,'Voyage days'!$F$807:$H$878,3,FALSE),"")</f>
        <v/>
      </c>
      <c r="BL68" s="122" t="str">
        <f>IFERROR($N68+VLOOKUP($L68,'Voyage days'!$F$807:$H$878,3,FALSE),"")</f>
        <v/>
      </c>
      <c r="BM68" s="122" t="str">
        <f>IFERROR($N68+VLOOKUP($L68,'Voyage days'!$F$807:$K$878,6,FALSE),"")</f>
        <v/>
      </c>
      <c r="BN68" s="121" t="str">
        <f>if(L68="loads AG", IFERROR($M68+VLOOKUP($L68,'Voyage days'!$M$38:$O$38,3,FALSE),""),"")</f>
        <v/>
      </c>
      <c r="BO68" s="121">
        <f>if(L68="loads USG", IFERROR($M68+VLOOKUP($L68,'Voyage days'!$L$203:$N$203,3,FALSE),""),"")</f>
        <v>46168</v>
      </c>
    </row>
    <row r="69" ht="15.75" customHeight="1">
      <c r="A69" s="381" t="s">
        <v>63</v>
      </c>
      <c r="B69" s="202">
        <v>2026.0</v>
      </c>
      <c r="C69" s="382">
        <v>87000.0</v>
      </c>
      <c r="D69" s="227"/>
      <c r="E69" s="227"/>
      <c r="F69" s="383"/>
      <c r="G69" s="383"/>
      <c r="H69" s="383"/>
      <c r="I69" s="384" t="s">
        <v>837</v>
      </c>
      <c r="J69" s="385"/>
      <c r="K69" s="386"/>
      <c r="L69" s="387" t="s">
        <v>677</v>
      </c>
      <c r="M69" s="109">
        <v>46145.0</v>
      </c>
      <c r="N69" s="109">
        <v>46146.0</v>
      </c>
      <c r="O69" s="388"/>
      <c r="P69" s="389" t="s">
        <v>838</v>
      </c>
      <c r="Q69" s="387"/>
      <c r="R69" s="387" t="s">
        <v>839</v>
      </c>
      <c r="S69" s="242" t="s">
        <v>659</v>
      </c>
      <c r="T69" s="293">
        <v>46124.0</v>
      </c>
      <c r="U69" s="114" t="str">
        <f>IF(V69="","No AIS",VLOOKUP(V69,'Voyage days'!$A$3:$B$1480,2,FALSE))</f>
        <v>East China + 4</v>
      </c>
      <c r="V69" s="114" t="str">
        <f>IF(VLOOKUP(A69,'1) Kpler'!$E$2:$P$1000,8, FALSE)="","",VLOOKUP(A69,'1) Kpler'!$E$2:$P$1000,8, FALSE))</f>
        <v>Ningbo Area</v>
      </c>
      <c r="W69" s="159">
        <f>IF(VLOOKUP(A69,'1) Kpler'!$E$2:$P$1000,9,FALSE)="","",VLOOKUP(A69,'1) Kpler'!$E$2:$P$1000,9,FALSE))</f>
        <v>46145.625</v>
      </c>
      <c r="X69" s="114" t="str">
        <f>VLOOKUP(A69,'1) Kpler'!$E$2:$I$1000,4,FALSE)</f>
        <v>ballast</v>
      </c>
      <c r="Y69" s="117" t="str">
        <f t="shared" si="1"/>
        <v/>
      </c>
      <c r="Z69" s="117" t="str">
        <f t="shared" si="2"/>
        <v>14-15 May</v>
      </c>
      <c r="AA69" s="117" t="str">
        <f t="shared" si="3"/>
        <v/>
      </c>
      <c r="AB69" s="117" t="str">
        <f t="shared" si="4"/>
        <v/>
      </c>
      <c r="AC69" s="117" t="str">
        <f t="shared" si="5"/>
        <v/>
      </c>
      <c r="AD69" s="117" t="str">
        <f t="shared" si="6"/>
        <v/>
      </c>
      <c r="AE69" s="118" t="str">
        <f t="shared" si="7"/>
        <v/>
      </c>
      <c r="AF69" s="119" t="str">
        <f t="shared" si="8"/>
        <v/>
      </c>
      <c r="AG69" s="163" t="str">
        <f t="shared" si="9"/>
        <v/>
      </c>
      <c r="AH69" s="122" t="str">
        <f>IFERROR($M69+VLOOKUP($L69,'Voyage days'!$F$38:$H$89,3,FALSE),"")</f>
        <v/>
      </c>
      <c r="AI69" s="122" t="str">
        <f>IFERROR(N69+VLOOKUP($L69,'Voyage days'!$F$38:$H$89,3,FALSE),"")</f>
        <v/>
      </c>
      <c r="AJ69" s="163" t="str">
        <f t="shared" si="10"/>
        <v>14-15 May</v>
      </c>
      <c r="AK69" s="122">
        <f>IFERROR($M69+VLOOKUP($L69,'Voyage days'!$F$94:$H$193,3,FALSE),"")</f>
        <v>46156</v>
      </c>
      <c r="AL69" s="122">
        <f>IFERROR($N69+VLOOKUP($L69,'Voyage days'!$F$94:$H$193,3,FALSE),"")</f>
        <v>46157</v>
      </c>
      <c r="AM69" s="163" t="str">
        <f t="shared" si="11"/>
        <v/>
      </c>
      <c r="AN69" s="122" t="str">
        <f>IFERROR($M69+VLOOKUP($L69,'Voyage days'!$F$203:$H$256,3,FALSE),"")</f>
        <v/>
      </c>
      <c r="AO69" s="122" t="str">
        <f>IFERROR($N69+VLOOKUP($L69,'Voyage days'!$F$203:$H$256,3,FALSE),"")</f>
        <v/>
      </c>
      <c r="AP69" s="163" t="str">
        <f t="shared" si="12"/>
        <v/>
      </c>
      <c r="AQ69" s="122" t="str">
        <f>IFERROR($M69+VLOOKUP($L69,'Voyage days'!$F$294:$H$377,3,FALSE),"")</f>
        <v/>
      </c>
      <c r="AR69" s="122" t="str">
        <f>IFERROR($N69+VLOOKUP($L69,'Voyage days'!$F$294:$H$377,3,FALSE),"")</f>
        <v/>
      </c>
      <c r="AS69" s="163" t="str">
        <f t="shared" si="13"/>
        <v/>
      </c>
      <c r="AT69" s="122" t="str">
        <f>IFERROR($M69+VLOOKUP($L69,'Voyage days'!$F$382:$H$446,3,FALSE),"")</f>
        <v/>
      </c>
      <c r="AU69" s="122" t="str">
        <f>IFERROR($N69+VLOOKUP($L69,'Voyage days'!$F$382:$H$446,3,FALSE),"")</f>
        <v/>
      </c>
      <c r="AV69" s="163" t="str">
        <f t="shared" si="14"/>
        <v/>
      </c>
      <c r="AW69" s="122" t="str">
        <f>IFERROR($M69+VLOOKUP($L69,'Voyage days'!$F$483:$H$538,3,FALSE),"")</f>
        <v/>
      </c>
      <c r="AX69" s="122" t="str">
        <f>IFERROR($N69+VLOOKUP($L69,'Voyage days'!$F$483:$H$538,3,FALSE),"")</f>
        <v/>
      </c>
      <c r="AY69" s="163" t="str">
        <f t="shared" si="15"/>
        <v/>
      </c>
      <c r="AZ69" s="122" t="str">
        <f>IFERROR($M69+VLOOKUP($L69,'Voyage days'!$F$540:$H$613,3,FALSE),"")</f>
        <v/>
      </c>
      <c r="BA69" s="122" t="str">
        <f>IFERROR($N69+VLOOKUP($L69,'Voyage days'!$F$540:$H$613,3,FALSE),"")</f>
        <v/>
      </c>
      <c r="BB69" s="163" t="str">
        <f t="shared" si="16"/>
        <v/>
      </c>
      <c r="BC69" s="121" t="str">
        <f>IFERROR($M69+VLOOKUP($L69,'Voyage days'!$F$448:$H$479,3,FALSE),"")</f>
        <v/>
      </c>
      <c r="BD69" s="121" t="str">
        <f>IFERROR($N69+VLOOKUP($L69,'Voyage days'!$F$448:$H$479,3,FALSE),"")</f>
        <v/>
      </c>
      <c r="BE69" s="163" t="str">
        <f t="shared" si="17"/>
        <v/>
      </c>
      <c r="BF69" s="122" t="str">
        <f>IFERROR($M69+VLOOKUP($L69,'Voyage days'!$F$620:$H$646,3,FALSE),"")</f>
        <v/>
      </c>
      <c r="BG69" s="122" t="str">
        <f>IFERROR($N69+VLOOKUP($L69,'Voyage days'!$F$620:$H$646,3,FALSE),"")</f>
        <v/>
      </c>
      <c r="BH69" s="163" t="str">
        <f t="shared" si="18"/>
        <v/>
      </c>
      <c r="BI69" s="123" t="str">
        <f>IFERROR($M69+VLOOKUP($L69,'Voyage days'!$F$702:$H$727,3,FALSE),"")</f>
        <v/>
      </c>
      <c r="BJ69" s="163" t="str">
        <f t="shared" si="19"/>
        <v/>
      </c>
      <c r="BK69" s="122" t="str">
        <f>IFERROR($M69+VLOOKUP($L69,'Voyage days'!$F$807:$H$878,3,FALSE),"")</f>
        <v/>
      </c>
      <c r="BL69" s="122" t="str">
        <f>IFERROR($N69+VLOOKUP($L69,'Voyage days'!$F$807:$H$878,3,FALSE),"")</f>
        <v/>
      </c>
      <c r="BM69" s="122" t="str">
        <f>IFERROR($N69+VLOOKUP($L69,'Voyage days'!$F$807:$K$878,6,FALSE),"")</f>
        <v/>
      </c>
      <c r="BN69" s="121" t="str">
        <f>if(L69="loads AG", IFERROR($M69+VLOOKUP($L69,'Voyage days'!$M$38:$O$38,3,FALSE),""),"")</f>
        <v/>
      </c>
      <c r="BO69" s="121" t="str">
        <f>if(L69="loads USG", IFERROR($M69+VLOOKUP($L69,'Voyage days'!$L$203:$N$203,3,FALSE),""),"")</f>
        <v/>
      </c>
    </row>
    <row r="70" ht="15.75" customHeight="1">
      <c r="A70" s="338" t="s">
        <v>356</v>
      </c>
      <c r="B70" s="202">
        <v>2025.0</v>
      </c>
      <c r="C70" s="390">
        <v>87000.0</v>
      </c>
      <c r="D70" s="112" t="s">
        <v>603</v>
      </c>
      <c r="E70" s="112"/>
      <c r="F70" s="383"/>
      <c r="G70" s="383"/>
      <c r="H70" s="383"/>
      <c r="I70" s="384" t="s">
        <v>837</v>
      </c>
      <c r="J70" s="106"/>
      <c r="K70" s="107"/>
      <c r="L70" s="108" t="s">
        <v>677</v>
      </c>
      <c r="M70" s="109">
        <v>46126.0</v>
      </c>
      <c r="N70" s="109">
        <v>46127.0</v>
      </c>
      <c r="O70" s="191"/>
      <c r="P70" s="108" t="s">
        <v>778</v>
      </c>
      <c r="Q70" s="187" t="s">
        <v>840</v>
      </c>
      <c r="R70" s="187" t="s">
        <v>841</v>
      </c>
      <c r="S70" s="112" t="s">
        <v>659</v>
      </c>
      <c r="T70" s="318">
        <v>46124.0</v>
      </c>
      <c r="U70" s="114" t="str">
        <f>IF(V70="","No AIS",VLOOKUP(V70,'Voyage days'!$A$3:$B$1480,2,FALSE))</f>
        <v>USG</v>
      </c>
      <c r="V70" s="114" t="str">
        <f>IF(VLOOKUP(A70,'1) Kpler'!$E$2:$P$1000,8, FALSE)="","",VLOOKUP(A70,'1) Kpler'!$E$2:$P$1000,8, FALSE))</f>
        <v>Houston</v>
      </c>
      <c r="W70" s="159">
        <f>IF(VLOOKUP(A70,'1) Kpler'!$E$2:$P$1000,9,FALSE)="","",VLOOKUP(A70,'1) Kpler'!$E$2:$P$1000,9,FALSE))</f>
        <v>46136.20903</v>
      </c>
      <c r="X70" s="114" t="str">
        <f>VLOOKUP(A70,'1) Kpler'!$E$2:$I$1000,4,FALSE)</f>
        <v>ballast</v>
      </c>
      <c r="Y70" s="117" t="str">
        <f t="shared" si="1"/>
        <v/>
      </c>
      <c r="Z70" s="117" t="str">
        <f t="shared" si="2"/>
        <v>25-26 Apr</v>
      </c>
      <c r="AA70" s="117" t="str">
        <f t="shared" si="3"/>
        <v/>
      </c>
      <c r="AB70" s="117" t="str">
        <f t="shared" si="4"/>
        <v/>
      </c>
      <c r="AC70" s="117" t="str">
        <f t="shared" si="5"/>
        <v/>
      </c>
      <c r="AD70" s="117" t="str">
        <f t="shared" si="6"/>
        <v/>
      </c>
      <c r="AE70" s="118" t="str">
        <f t="shared" si="7"/>
        <v/>
      </c>
      <c r="AF70" s="119" t="str">
        <f t="shared" si="8"/>
        <v/>
      </c>
      <c r="AG70" s="163" t="str">
        <f t="shared" si="9"/>
        <v/>
      </c>
      <c r="AH70" s="122" t="str">
        <f>IFERROR($M70+VLOOKUP($L70,'Voyage days'!$F$38:$H$89,3,FALSE),"")</f>
        <v/>
      </c>
      <c r="AI70" s="122" t="str">
        <f>IFERROR(N70+VLOOKUP($L70,'Voyage days'!$F$38:$H$89,3,FALSE),"")</f>
        <v/>
      </c>
      <c r="AJ70" s="163" t="str">
        <f t="shared" si="10"/>
        <v>25-26 Apr</v>
      </c>
      <c r="AK70" s="122">
        <f>IFERROR($M70+VLOOKUP($L70,'Voyage days'!$F$94:$H$193,3,FALSE),"")</f>
        <v>46137</v>
      </c>
      <c r="AL70" s="122">
        <f>IFERROR($N70+VLOOKUP($L70,'Voyage days'!$F$94:$H$193,3,FALSE),"")</f>
        <v>46138</v>
      </c>
      <c r="AM70" s="163" t="str">
        <f t="shared" si="11"/>
        <v/>
      </c>
      <c r="AN70" s="122" t="str">
        <f>IFERROR($M70+VLOOKUP($L70,'Voyage days'!$F$203:$H$256,3,FALSE),"")</f>
        <v/>
      </c>
      <c r="AO70" s="122" t="str">
        <f>IFERROR($N70+VLOOKUP($L70,'Voyage days'!$F$203:$H$256,3,FALSE),"")</f>
        <v/>
      </c>
      <c r="AP70" s="163" t="str">
        <f t="shared" si="12"/>
        <v/>
      </c>
      <c r="AQ70" s="122" t="str">
        <f>IFERROR($M70+VLOOKUP($L70,'Voyage days'!$F$294:$H$377,3,FALSE),"")</f>
        <v/>
      </c>
      <c r="AR70" s="122" t="str">
        <f>IFERROR($N70+VLOOKUP($L70,'Voyage days'!$F$294:$H$377,3,FALSE),"")</f>
        <v/>
      </c>
      <c r="AS70" s="163" t="str">
        <f t="shared" si="13"/>
        <v/>
      </c>
      <c r="AT70" s="122" t="str">
        <f>IFERROR($M70+VLOOKUP($L70,'Voyage days'!$F$382:$H$446,3,FALSE),"")</f>
        <v/>
      </c>
      <c r="AU70" s="122" t="str">
        <f>IFERROR($N70+VLOOKUP($L70,'Voyage days'!$F$382:$H$446,3,FALSE),"")</f>
        <v/>
      </c>
      <c r="AV70" s="163" t="str">
        <f t="shared" si="14"/>
        <v/>
      </c>
      <c r="AW70" s="122" t="str">
        <f>IFERROR($M70+VLOOKUP($L70,'Voyage days'!$F$483:$H$538,3,FALSE),"")</f>
        <v/>
      </c>
      <c r="AX70" s="122" t="str">
        <f>IFERROR($N70+VLOOKUP($L70,'Voyage days'!$F$483:$H$538,3,FALSE),"")</f>
        <v/>
      </c>
      <c r="AY70" s="163" t="str">
        <f t="shared" si="15"/>
        <v/>
      </c>
      <c r="AZ70" s="122" t="str">
        <f>IFERROR($M70+VLOOKUP($L70,'Voyage days'!$F$540:$H$613,3,FALSE),"")</f>
        <v/>
      </c>
      <c r="BA70" s="122" t="str">
        <f>IFERROR($N70+VLOOKUP($L70,'Voyage days'!$F$540:$H$613,3,FALSE),"")</f>
        <v/>
      </c>
      <c r="BB70" s="163" t="str">
        <f t="shared" si="16"/>
        <v/>
      </c>
      <c r="BC70" s="121" t="str">
        <f>IFERROR($M70+VLOOKUP($L70,'Voyage days'!$F$448:$H$479,3,FALSE),"")</f>
        <v/>
      </c>
      <c r="BD70" s="121" t="str">
        <f>IFERROR($N70+VLOOKUP($L70,'Voyage days'!$F$448:$H$479,3,FALSE),"")</f>
        <v/>
      </c>
      <c r="BE70" s="163" t="str">
        <f t="shared" si="17"/>
        <v/>
      </c>
      <c r="BF70" s="122" t="str">
        <f>IFERROR($M70+VLOOKUP($L70,'Voyage days'!$F$620:$H$646,3,FALSE),"")</f>
        <v/>
      </c>
      <c r="BG70" s="122" t="str">
        <f>IFERROR($N70+VLOOKUP($L70,'Voyage days'!$F$620:$H$646,3,FALSE),"")</f>
        <v/>
      </c>
      <c r="BH70" s="163" t="str">
        <f t="shared" si="18"/>
        <v/>
      </c>
      <c r="BI70" s="123" t="str">
        <f>IFERROR($M70+VLOOKUP($L70,'Voyage days'!$F$702:$H$727,3,FALSE),"")</f>
        <v/>
      </c>
      <c r="BJ70" s="163" t="str">
        <f t="shared" si="19"/>
        <v/>
      </c>
      <c r="BK70" s="122" t="str">
        <f>IFERROR($M70+VLOOKUP($L70,'Voyage days'!$F$807:$H$878,3,FALSE),"")</f>
        <v/>
      </c>
      <c r="BL70" s="122" t="str">
        <f>IFERROR($N70+VLOOKUP($L70,'Voyage days'!$F$807:$H$878,3,FALSE),"")</f>
        <v/>
      </c>
      <c r="BM70" s="122" t="str">
        <f>IFERROR($N70+VLOOKUP($L70,'Voyage days'!$F$807:$K$878,6,FALSE),"")</f>
        <v/>
      </c>
      <c r="BN70" s="121" t="str">
        <f>if(L70="loads AG", IFERROR($M70+VLOOKUP($L70,'Voyage days'!$M$38:$O$38,3,FALSE),""),"")</f>
        <v/>
      </c>
      <c r="BO70" s="121" t="str">
        <f>if(L70="loads USG", IFERROR($M70+VLOOKUP($L70,'Voyage days'!$L$203:$N$203,3,FALSE),""),"")</f>
        <v/>
      </c>
    </row>
    <row r="71" ht="15.75" customHeight="1">
      <c r="A71" s="338" t="s">
        <v>357</v>
      </c>
      <c r="B71" s="148">
        <v>2020.0</v>
      </c>
      <c r="C71" s="102">
        <v>80000.0</v>
      </c>
      <c r="D71" s="112" t="s">
        <v>603</v>
      </c>
      <c r="E71" s="149"/>
      <c r="F71" s="150"/>
      <c r="G71" s="150"/>
      <c r="H71" s="150" t="s">
        <v>689</v>
      </c>
      <c r="I71" s="332" t="s">
        <v>837</v>
      </c>
      <c r="J71" s="151" t="str">
        <f t="shared" ref="J71:J112" si="22">IF(W71="","NO AIS",IF((W71-M71-1)&gt;0,"Update",""))</f>
        <v/>
      </c>
      <c r="K71" s="107"/>
      <c r="L71" s="108" t="s">
        <v>773</v>
      </c>
      <c r="M71" s="109">
        <v>46135.0</v>
      </c>
      <c r="N71" s="109">
        <v>46136.0</v>
      </c>
      <c r="O71" s="277" t="s">
        <v>689</v>
      </c>
      <c r="P71" s="108" t="s">
        <v>842</v>
      </c>
      <c r="Q71" s="187"/>
      <c r="R71" s="108" t="s">
        <v>843</v>
      </c>
      <c r="S71" s="112" t="s">
        <v>659</v>
      </c>
      <c r="T71" s="318">
        <v>46124.0</v>
      </c>
      <c r="U71" s="114" t="str">
        <f>IF(V71="","No AIS",VLOOKUP(V71,'Voyage days'!$A$3:$B$1480,2,FALSE))</f>
        <v>Eu + 4</v>
      </c>
      <c r="V71" s="114" t="str">
        <f>IF(VLOOKUP(A71,'1) Kpler'!$E$2:$P$1000,8, FALSE)="","",VLOOKUP(A71,'1) Kpler'!$E$2:$P$1000,8, FALSE))</f>
        <v>Antwerp</v>
      </c>
      <c r="W71" s="159">
        <f>IF(VLOOKUP(A71,'1) Kpler'!$E$2:$P$1000,9,FALSE)="","",VLOOKUP(A71,'1) Kpler'!$E$2:$P$1000,9,FALSE))</f>
        <v>46131.79167</v>
      </c>
      <c r="X71" s="114" t="str">
        <f>VLOOKUP(A71,'1) Kpler'!$E$2:$I$1000,4,FALSE)</f>
        <v>loaded</v>
      </c>
      <c r="Y71" s="117" t="str">
        <f t="shared" si="1"/>
        <v/>
      </c>
      <c r="Z71" s="117" t="str">
        <f t="shared" si="2"/>
        <v>07-08 May</v>
      </c>
      <c r="AA71" s="117" t="str">
        <f t="shared" si="3"/>
        <v>08-09 May</v>
      </c>
      <c r="AB71" s="117" t="str">
        <f t="shared" si="4"/>
        <v>04-05 May</v>
      </c>
      <c r="AC71" s="117" t="str">
        <f t="shared" si="5"/>
        <v>25-26 Apr</v>
      </c>
      <c r="AD71" s="117" t="str">
        <f t="shared" si="6"/>
        <v/>
      </c>
      <c r="AE71" s="118" t="str">
        <f t="shared" si="7"/>
        <v/>
      </c>
      <c r="AF71" s="119" t="str">
        <f t="shared" si="8"/>
        <v>07-08 May</v>
      </c>
      <c r="AG71" s="163" t="str">
        <f t="shared" si="9"/>
        <v/>
      </c>
      <c r="AH71" s="122" t="str">
        <f>IFERROR($M71+VLOOKUP($L71,'Voyage days'!$F$38:$H$89,3,FALSE),"")</f>
        <v/>
      </c>
      <c r="AI71" s="122" t="str">
        <f>IFERROR(N71+VLOOKUP($L71,'Voyage days'!$F$38:$H$89,3,FALSE),"")</f>
        <v/>
      </c>
      <c r="AJ71" s="163" t="str">
        <f t="shared" si="10"/>
        <v>07-08 May</v>
      </c>
      <c r="AK71" s="122">
        <f>IFERROR($M71+VLOOKUP($L71,'Voyage days'!$F$94:$H$193,3,FALSE),"")</f>
        <v>46149</v>
      </c>
      <c r="AL71" s="122">
        <f>IFERROR($N71+VLOOKUP($L71,'Voyage days'!$F$94:$H$193,3,FALSE),"")</f>
        <v>46150</v>
      </c>
      <c r="AM71" s="163" t="str">
        <f t="shared" si="11"/>
        <v>08-09 May</v>
      </c>
      <c r="AN71" s="122">
        <f>IFERROR($M71+VLOOKUP($L71,'Voyage days'!$F$203:$H$256,3,FALSE),"")</f>
        <v>46150</v>
      </c>
      <c r="AO71" s="122">
        <f>IFERROR($N71+VLOOKUP($L71,'Voyage days'!$F$203:$H$256,3,FALSE),"")</f>
        <v>46151</v>
      </c>
      <c r="AP71" s="163" t="str">
        <f t="shared" si="12"/>
        <v>04-05 May</v>
      </c>
      <c r="AQ71" s="122">
        <f>IFERROR($M71+VLOOKUP($L71,'Voyage days'!$F$294:$H$377,3,FALSE),"")</f>
        <v>46146</v>
      </c>
      <c r="AR71" s="122">
        <f>IFERROR($N71+VLOOKUP($L71,'Voyage days'!$F$294:$H$377,3,FALSE),"")</f>
        <v>46147</v>
      </c>
      <c r="AS71" s="163" t="str">
        <f t="shared" si="13"/>
        <v>25-26 Apr</v>
      </c>
      <c r="AT71" s="122">
        <f>IFERROR($M71+VLOOKUP($L71,'Voyage days'!$F$382:$H$446,3,FALSE),"")</f>
        <v>46137</v>
      </c>
      <c r="AU71" s="122">
        <f>IFERROR($N71+VLOOKUP($L71,'Voyage days'!$F$382:$H$446,3,FALSE),"")</f>
        <v>46138</v>
      </c>
      <c r="AV71" s="163" t="str">
        <f t="shared" si="14"/>
        <v/>
      </c>
      <c r="AW71" s="122" t="str">
        <f>IFERROR($M71+VLOOKUP($L71,'Voyage days'!$F$483:$H$538,3,FALSE),"")</f>
        <v/>
      </c>
      <c r="AX71" s="122" t="str">
        <f>IFERROR($N71+VLOOKUP($L71,'Voyage days'!$F$483:$H$538,3,FALSE),"")</f>
        <v/>
      </c>
      <c r="AY71" s="163" t="str">
        <f t="shared" si="15"/>
        <v/>
      </c>
      <c r="AZ71" s="122" t="str">
        <f>IFERROR($M71+VLOOKUP($L71,'Voyage days'!$F$540:$H$613,3,FALSE),"")</f>
        <v/>
      </c>
      <c r="BA71" s="122" t="str">
        <f>IFERROR($N71+VLOOKUP($L71,'Voyage days'!$F$540:$H$613,3,FALSE),"")</f>
        <v/>
      </c>
      <c r="BB71" s="163" t="str">
        <f t="shared" si="16"/>
        <v/>
      </c>
      <c r="BC71" s="121" t="str">
        <f>IFERROR($M71+VLOOKUP($L71,'Voyage days'!$F$448:$H$479,3,FALSE),"")</f>
        <v/>
      </c>
      <c r="BD71" s="121" t="str">
        <f>IFERROR($N71+VLOOKUP($L71,'Voyage days'!$F$448:$H$479,3,FALSE),"")</f>
        <v/>
      </c>
      <c r="BE71" s="163" t="str">
        <f t="shared" si="17"/>
        <v/>
      </c>
      <c r="BF71" s="122" t="str">
        <f>IFERROR($M71+VLOOKUP($L71,'Voyage days'!$F$620:$H$646,3,FALSE),"")</f>
        <v/>
      </c>
      <c r="BG71" s="122" t="str">
        <f>IFERROR($N71+VLOOKUP($L71,'Voyage days'!$F$620:$H$646,3,FALSE),"")</f>
        <v/>
      </c>
      <c r="BH71" s="163" t="str">
        <f t="shared" si="18"/>
        <v/>
      </c>
      <c r="BI71" s="123" t="str">
        <f>IFERROR($M71+VLOOKUP($L71,'Voyage days'!$F$702:$H$727,3,FALSE),"")</f>
        <v/>
      </c>
      <c r="BJ71" s="163" t="str">
        <f t="shared" si="19"/>
        <v>07-08 May</v>
      </c>
      <c r="BK71" s="122">
        <f>IFERROR($M71+VLOOKUP($L71,'Voyage days'!$F$807:$H$878,3,FALSE),"")</f>
        <v>46149</v>
      </c>
      <c r="BL71" s="122">
        <f>IFERROR($N71+VLOOKUP($L71,'Voyage days'!$F$807:$H$878,3,FALSE),"")</f>
        <v>46150</v>
      </c>
      <c r="BM71" s="122">
        <f>IFERROR($N71+VLOOKUP($L71,'Voyage days'!$F$807:$K$878,6,FALSE),"")</f>
        <v>46136</v>
      </c>
      <c r="BN71" s="121" t="str">
        <f>if(L71="loads AG", IFERROR($M71+VLOOKUP($L71,'Voyage days'!$M$38:$O$38,3,FALSE),""),"")</f>
        <v/>
      </c>
      <c r="BO71" s="121" t="str">
        <f>if(L71="loads USG", IFERROR($M71+VLOOKUP($L71,'Voyage days'!$L$203:$N$203,3,FALSE),""),"")</f>
        <v/>
      </c>
    </row>
    <row r="72" ht="15.75" customHeight="1">
      <c r="A72" s="80" t="s">
        <v>360</v>
      </c>
      <c r="B72" s="101">
        <v>42291.0</v>
      </c>
      <c r="C72" s="102">
        <v>84000.0</v>
      </c>
      <c r="D72" s="112" t="s">
        <v>603</v>
      </c>
      <c r="E72" s="103"/>
      <c r="F72" s="104"/>
      <c r="G72" s="104"/>
      <c r="H72" s="104"/>
      <c r="I72" s="332" t="s">
        <v>837</v>
      </c>
      <c r="J72" s="151" t="str">
        <f t="shared" si="22"/>
        <v>Update</v>
      </c>
      <c r="K72" s="107"/>
      <c r="L72" s="108" t="s">
        <v>703</v>
      </c>
      <c r="M72" s="109">
        <v>46125.0</v>
      </c>
      <c r="N72" s="109">
        <v>46126.0</v>
      </c>
      <c r="O72" s="191"/>
      <c r="P72" s="108" t="s">
        <v>844</v>
      </c>
      <c r="Q72" s="187"/>
      <c r="R72" s="108" t="s">
        <v>845</v>
      </c>
      <c r="S72" s="112" t="s">
        <v>659</v>
      </c>
      <c r="T72" s="318">
        <v>46124.0</v>
      </c>
      <c r="U72" s="114" t="str">
        <f>IF(V72="","No AIS",VLOOKUP(V72,'Voyage days'!$A$3:$B$1480,2,FALSE))</f>
        <v>WAF</v>
      </c>
      <c r="V72" s="115" t="str">
        <f>IF(VLOOKUP(A72,'1) Kpler'!$E$2:$P$1000,8, FALSE)="","",VLOOKUP(A72,'1) Kpler'!$E$2:$P$1000,8, FALSE))</f>
        <v>Escravos Offshore Terminal</v>
      </c>
      <c r="W72" s="116">
        <f>IF(VLOOKUP(A72,'1) Kpler'!$E$2:$P$1000,9,FALSE)="","",VLOOKUP(A72,'1) Kpler'!$E$2:$P$1000,9,FALSE))</f>
        <v>46153.95833</v>
      </c>
      <c r="X72" s="115" t="str">
        <f>VLOOKUP(A72,'1) Kpler'!$E$2:$I$1000,4,FALSE)</f>
        <v>ballast</v>
      </c>
      <c r="Y72" s="117" t="str">
        <f t="shared" si="1"/>
        <v>28-29 Apr</v>
      </c>
      <c r="Z72" s="117" t="str">
        <f t="shared" si="2"/>
        <v>20-21 May</v>
      </c>
      <c r="AA72" s="117" t="str">
        <f t="shared" si="3"/>
        <v>25-26 May</v>
      </c>
      <c r="AB72" s="117" t="str">
        <f t="shared" si="4"/>
        <v>09-10 May</v>
      </c>
      <c r="AC72" s="117" t="str">
        <f t="shared" si="5"/>
        <v>16-17 May</v>
      </c>
      <c r="AD72" s="117" t="str">
        <f t="shared" si="6"/>
        <v>17-18 Apr</v>
      </c>
      <c r="AE72" s="118" t="str">
        <f t="shared" si="7"/>
        <v>19-20 Apr</v>
      </c>
      <c r="AF72" s="119" t="str">
        <f t="shared" si="8"/>
        <v>25-26 May</v>
      </c>
      <c r="AG72" s="163" t="str">
        <f t="shared" si="9"/>
        <v>28-29 Apr</v>
      </c>
      <c r="AH72" s="122">
        <f>IFERROR($M72+VLOOKUP($L72,'Voyage days'!$F$38:$H$89,3,FALSE),"")</f>
        <v>46140</v>
      </c>
      <c r="AI72" s="122">
        <f>IFERROR(N72+VLOOKUP($L72,'Voyage days'!$F$38:$H$89,3,FALSE),"")</f>
        <v>46141</v>
      </c>
      <c r="AJ72" s="120" t="str">
        <f t="shared" si="10"/>
        <v>20-21 May</v>
      </c>
      <c r="AK72" s="121">
        <f>IFERROR($M72+VLOOKUP($L72,'Voyage days'!$F$94:$H$193,3,FALSE),"")</f>
        <v>46162</v>
      </c>
      <c r="AL72" s="121">
        <f>IFERROR($N72+VLOOKUP($L72,'Voyage days'!$F$94:$H$193,3,FALSE),"")</f>
        <v>46163</v>
      </c>
      <c r="AM72" s="120" t="str">
        <f t="shared" si="11"/>
        <v>25-26 May</v>
      </c>
      <c r="AN72" s="121">
        <f>IFERROR($M72+VLOOKUP($L72,'Voyage days'!$F$203:$H$256,3,FALSE),"")</f>
        <v>46167</v>
      </c>
      <c r="AO72" s="121">
        <f>IFERROR($N72+VLOOKUP($L72,'Voyage days'!$F$203:$H$256,3,FALSE),"")</f>
        <v>46168</v>
      </c>
      <c r="AP72" s="120" t="str">
        <f t="shared" si="12"/>
        <v>09-10 May</v>
      </c>
      <c r="AQ72" s="121">
        <f>IFERROR($M72+VLOOKUP($L72,'Voyage days'!$F$294:$H$377,3,FALSE),"")</f>
        <v>46151</v>
      </c>
      <c r="AR72" s="121">
        <f>IFERROR($N72+VLOOKUP($L72,'Voyage days'!$F$294:$H$377,3,FALSE),"")</f>
        <v>46152</v>
      </c>
      <c r="AS72" s="120" t="str">
        <f t="shared" si="13"/>
        <v>16-17 May</v>
      </c>
      <c r="AT72" s="121">
        <f>IFERROR($M72+VLOOKUP($L72,'Voyage days'!$F$382:$H$446,3,FALSE),"")</f>
        <v>46158</v>
      </c>
      <c r="AU72" s="121">
        <f>IFERROR($N72+VLOOKUP($L72,'Voyage days'!$F$382:$H$446,3,FALSE),"")</f>
        <v>46159</v>
      </c>
      <c r="AV72" s="120" t="str">
        <f t="shared" si="14"/>
        <v>27-28 Apr</v>
      </c>
      <c r="AW72" s="121">
        <f>IFERROR($M72+VLOOKUP($L72,'Voyage days'!$F$483:$H$538,3,FALSE),"")</f>
        <v>46139</v>
      </c>
      <c r="AX72" s="121">
        <f>IFERROR($N72+VLOOKUP($L72,'Voyage days'!$F$483:$H$538,3,FALSE),"")</f>
        <v>46140</v>
      </c>
      <c r="AY72" s="120" t="str">
        <f t="shared" si="15"/>
        <v>19-20 Apr</v>
      </c>
      <c r="AZ72" s="121">
        <f>IFERROR($M72+VLOOKUP($L72,'Voyage days'!$F$540:$H$613,3,FALSE),"")</f>
        <v>46131.75</v>
      </c>
      <c r="BA72" s="121">
        <f>IFERROR($N72+VLOOKUP($L72,'Voyage days'!$F$540:$H$613,3,FALSE),"")</f>
        <v>46132.75</v>
      </c>
      <c r="BB72" s="120" t="str">
        <f t="shared" si="16"/>
        <v>17-18 Apr</v>
      </c>
      <c r="BC72" s="121">
        <f>IFERROR($M72+VLOOKUP($L72,'Voyage days'!$F$448:$H$479,3,FALSE),"")</f>
        <v>46129</v>
      </c>
      <c r="BD72" s="121">
        <f>IFERROR($N72+VLOOKUP($L72,'Voyage days'!$F$448:$H$479,3,FALSE),"")</f>
        <v>46130</v>
      </c>
      <c r="BE72" s="120" t="str">
        <f t="shared" si="17"/>
        <v/>
      </c>
      <c r="BF72" s="122" t="str">
        <f>IFERROR($M72+VLOOKUP($L72,'Voyage days'!$F$620:$H$646,3,FALSE),"")</f>
        <v/>
      </c>
      <c r="BG72" s="122" t="str">
        <f>IFERROR($N72+VLOOKUP($L72,'Voyage days'!$F$620:$H$646,3,FALSE),"")</f>
        <v/>
      </c>
      <c r="BH72" s="120" t="str">
        <f t="shared" si="18"/>
        <v>19-26 May</v>
      </c>
      <c r="BI72" s="123">
        <f>IFERROR($M72+VLOOKUP($L72,'Voyage days'!$F$702:$H$727,3,FALSE),"")</f>
        <v>46131.75</v>
      </c>
      <c r="BJ72" s="120" t="str">
        <f t="shared" si="19"/>
        <v>25-26 May</v>
      </c>
      <c r="BK72" s="122">
        <f>IFERROR($M72+VLOOKUP($L72,'Voyage days'!$F$807:$H$878,3,FALSE),"")</f>
        <v>46167</v>
      </c>
      <c r="BL72" s="122">
        <f>IFERROR($N72+VLOOKUP($L72,'Voyage days'!$F$807:$H$878,3,FALSE),"")</f>
        <v>46168</v>
      </c>
      <c r="BM72" s="122">
        <f>IFERROR($N72+VLOOKUP($L72,'Voyage days'!$F$807:$K$878,6,FALSE),"")</f>
        <v>46143</v>
      </c>
      <c r="BN72" s="121" t="str">
        <f>if(L72="loads AG", IFERROR($M72+VLOOKUP($L72,'Voyage days'!$M$38:$O$38,3,FALSE),""),"")</f>
        <v/>
      </c>
      <c r="BO72" s="121" t="str">
        <f>if(L72="loads USG", IFERROR($M72+VLOOKUP($L72,'Voyage days'!$L$203:$N$203,3,FALSE),""),"")</f>
        <v/>
      </c>
    </row>
    <row r="73">
      <c r="A73" s="73" t="s">
        <v>363</v>
      </c>
      <c r="B73" s="202">
        <v>2025.0</v>
      </c>
      <c r="C73" s="203">
        <v>88000.0</v>
      </c>
      <c r="D73" s="112"/>
      <c r="E73" s="103"/>
      <c r="F73" s="104"/>
      <c r="G73" s="104"/>
      <c r="H73" s="104"/>
      <c r="I73" s="332" t="s">
        <v>837</v>
      </c>
      <c r="J73" s="151" t="str">
        <f t="shared" si="22"/>
        <v>Update</v>
      </c>
      <c r="K73" s="107"/>
      <c r="L73" s="108" t="s">
        <v>680</v>
      </c>
      <c r="M73" s="154">
        <v>46131.0</v>
      </c>
      <c r="N73" s="391">
        <v>46132.0</v>
      </c>
      <c r="O73" s="191"/>
      <c r="P73" s="108" t="s">
        <v>846</v>
      </c>
      <c r="Q73" s="187"/>
      <c r="R73" s="108" t="s">
        <v>847</v>
      </c>
      <c r="S73" s="112" t="s">
        <v>659</v>
      </c>
      <c r="T73" s="318">
        <v>46124.0</v>
      </c>
      <c r="U73" s="114" t="str">
        <f>IF(V73="","No AIS",VLOOKUP(V73,'Voyage days'!$A$3:$B$1480,2,FALSE))</f>
        <v>USG</v>
      </c>
      <c r="V73" s="115" t="str">
        <f>IF(VLOOKUP(A73,'1) Kpler'!$E$2:$P$1000,8, FALSE)="","",VLOOKUP(A73,'1) Kpler'!$E$2:$P$1000,8, FALSE))</f>
        <v>Houston</v>
      </c>
      <c r="W73" s="116">
        <f>IF(VLOOKUP(A73,'1) Kpler'!$E$2:$P$1000,9,FALSE)="","",VLOOKUP(A73,'1) Kpler'!$E$2:$P$1000,9,FALSE))</f>
        <v>46132.48681</v>
      </c>
      <c r="X73" s="115" t="str">
        <f>VLOOKUP(A73,'1) Kpler'!$E$2:$I$1000,4,FALSE)</f>
        <v>ballast</v>
      </c>
      <c r="Y73" s="117" t="str">
        <f t="shared" si="1"/>
        <v/>
      </c>
      <c r="Z73" s="117" t="str">
        <f t="shared" si="2"/>
        <v/>
      </c>
      <c r="AA73" s="117" t="str">
        <f t="shared" si="3"/>
        <v/>
      </c>
      <c r="AB73" s="117" t="str">
        <f t="shared" si="4"/>
        <v/>
      </c>
      <c r="AC73" s="117" t="str">
        <f t="shared" si="5"/>
        <v/>
      </c>
      <c r="AD73" s="117" t="str">
        <f t="shared" si="6"/>
        <v/>
      </c>
      <c r="AE73" s="118" t="str">
        <f t="shared" si="7"/>
        <v/>
      </c>
      <c r="AF73" s="119" t="str">
        <f t="shared" si="8"/>
        <v/>
      </c>
      <c r="AG73" s="163" t="str">
        <f t="shared" si="9"/>
        <v/>
      </c>
      <c r="AH73" s="122" t="str">
        <f>IFERROR(#REF!+VLOOKUP($L73,'Voyage days'!$F$38:$H$89,3,FALSE),"")</f>
        <v/>
      </c>
      <c r="AI73" s="122" t="str">
        <f>IFERROR(N73+VLOOKUP($L73,'Voyage days'!$F$38:$H$89,3,FALSE),"")</f>
        <v/>
      </c>
      <c r="AJ73" s="120" t="str">
        <f t="shared" si="10"/>
        <v/>
      </c>
      <c r="AK73" s="121" t="str">
        <f>IFERROR(#REF!+VLOOKUP($L73,'Voyage days'!$F$94:$H$193,3,FALSE),"")</f>
        <v/>
      </c>
      <c r="AL73" s="121">
        <f>IFERROR($N73+VLOOKUP($L73,'Voyage days'!$F$94:$H$193,3,FALSE),"")</f>
        <v>46132</v>
      </c>
      <c r="AM73" s="120" t="str">
        <f t="shared" si="11"/>
        <v/>
      </c>
      <c r="AN73" s="121" t="str">
        <f>IFERROR(#REF!+VLOOKUP($L73,'Voyage days'!$F$203:$H$256,3,FALSE),"")</f>
        <v/>
      </c>
      <c r="AO73" s="121">
        <f>IFERROR($N73+VLOOKUP($L73,'Voyage days'!$F$203:$H$256,3,FALSE),"")</f>
        <v>46132</v>
      </c>
      <c r="AP73" s="120" t="str">
        <f t="shared" si="12"/>
        <v/>
      </c>
      <c r="AQ73" s="121" t="str">
        <f>IFERROR(#REF!+VLOOKUP($L73,'Voyage days'!$F$294:$H$377,3,FALSE),"")</f>
        <v/>
      </c>
      <c r="AR73" s="121" t="str">
        <f>IFERROR($N73+VLOOKUP($L73,'Voyage days'!$F$294:$H$377,3,FALSE),"")</f>
        <v/>
      </c>
      <c r="AS73" s="120" t="str">
        <f t="shared" si="13"/>
        <v/>
      </c>
      <c r="AT73" s="121" t="str">
        <f>IFERROR(#REF!+VLOOKUP($L73,'Voyage days'!$F$382:$H$446,3,FALSE),"")</f>
        <v/>
      </c>
      <c r="AU73" s="121">
        <f>IFERROR($N73+VLOOKUP($L73,'Voyage days'!$F$382:$H$446,3,FALSE),"")</f>
        <v>46152</v>
      </c>
      <c r="AV73" s="120" t="str">
        <f t="shared" si="14"/>
        <v/>
      </c>
      <c r="AW73" s="121" t="str">
        <f>IFERROR(#REF!+VLOOKUP($L73,'Voyage days'!$F$483:$H$538,3,FALSE),"")</f>
        <v/>
      </c>
      <c r="AX73" s="121" t="str">
        <f>IFERROR($N73+VLOOKUP($L73,'Voyage days'!$F$483:$H$538,3,FALSE),"")</f>
        <v/>
      </c>
      <c r="AY73" s="120" t="str">
        <f t="shared" si="15"/>
        <v/>
      </c>
      <c r="AZ73" s="121" t="str">
        <f>IFERROR(#REF!+VLOOKUP($L73,'Voyage days'!$F$540:$H$613,3,FALSE),"")</f>
        <v/>
      </c>
      <c r="BA73" s="121" t="str">
        <f>IFERROR($N73+VLOOKUP($L73,'Voyage days'!$F$540:$H$613,3,FALSE),"")</f>
        <v/>
      </c>
      <c r="BB73" s="120" t="str">
        <f t="shared" si="16"/>
        <v/>
      </c>
      <c r="BC73" s="121" t="str">
        <f>IFERROR(#REF!+VLOOKUP($L73,'Voyage days'!$F$448:$H$479,3,FALSE),"")</f>
        <v/>
      </c>
      <c r="BD73" s="121" t="str">
        <f>IFERROR($N73+VLOOKUP($L73,'Voyage days'!$F$448:$H$479,3,FALSE),"")</f>
        <v/>
      </c>
      <c r="BE73" s="120" t="str">
        <f t="shared" si="17"/>
        <v/>
      </c>
      <c r="BF73" s="122" t="str">
        <f>IFERROR(#REF!+VLOOKUP($L73,'Voyage days'!$F$620:$H$646,3,FALSE),"")</f>
        <v/>
      </c>
      <c r="BG73" s="122" t="str">
        <f>IFERROR($N73+VLOOKUP($L73,'Voyage days'!$F$620:$H$646,3,FALSE),"")</f>
        <v/>
      </c>
      <c r="BH73" s="120" t="str">
        <f t="shared" si="18"/>
        <v/>
      </c>
      <c r="BI73" s="123" t="str">
        <f>IFERROR(#REF!+VLOOKUP($L73,'Voyage days'!$F$702:$H$727,3,FALSE),"")</f>
        <v/>
      </c>
      <c r="BJ73" s="120" t="str">
        <f t="shared" si="19"/>
        <v/>
      </c>
      <c r="BK73" s="122" t="str">
        <f>IFERROR(#REF!+VLOOKUP($L73,'Voyage days'!$F$807:$H$878,3,FALSE),"")</f>
        <v/>
      </c>
      <c r="BL73" s="122" t="str">
        <f>IFERROR($N73+VLOOKUP($L73,'Voyage days'!$F$807:$H$878,3,FALSE),"")</f>
        <v/>
      </c>
      <c r="BM73" s="122" t="str">
        <f>IFERROR($N73+VLOOKUP($L73,'Voyage days'!$F$807:$K$878,6,FALSE),"")</f>
        <v/>
      </c>
      <c r="BN73" s="121" t="str">
        <f>if(L73="loads AG", IFERROR(#REF!+VLOOKUP($L73,'Voyage days'!$M$38:$O$38,3,FALSE),""),"")</f>
        <v/>
      </c>
      <c r="BO73" s="121" t="str">
        <f>if(L73="loads USG", IFERROR(#REF!+VLOOKUP($L73,'Voyage days'!$L$203:$N$203,3,FALSE),""),"")</f>
        <v/>
      </c>
    </row>
    <row r="74">
      <c r="A74" s="338" t="s">
        <v>365</v>
      </c>
      <c r="B74" s="101">
        <v>42291.0</v>
      </c>
      <c r="C74" s="102">
        <v>80000.0</v>
      </c>
      <c r="D74" s="112" t="s">
        <v>603</v>
      </c>
      <c r="E74" s="103"/>
      <c r="F74" s="104"/>
      <c r="G74" s="104"/>
      <c r="H74" s="104" t="s">
        <v>689</v>
      </c>
      <c r="I74" s="332" t="s">
        <v>837</v>
      </c>
      <c r="J74" s="151" t="str">
        <f t="shared" si="22"/>
        <v/>
      </c>
      <c r="K74" s="107"/>
      <c r="L74" s="108" t="s">
        <v>680</v>
      </c>
      <c r="M74" s="154">
        <v>46172.0</v>
      </c>
      <c r="N74" s="154">
        <v>46173.0</v>
      </c>
      <c r="O74" s="191"/>
      <c r="P74" s="108" t="s">
        <v>848</v>
      </c>
      <c r="Q74" s="187"/>
      <c r="R74" s="187" t="s">
        <v>849</v>
      </c>
      <c r="S74" s="112" t="s">
        <v>659</v>
      </c>
      <c r="T74" s="318">
        <v>46124.0</v>
      </c>
      <c r="U74" s="114" t="str">
        <f>IF(V74="","No AIS",VLOOKUP(V74,'Voyage days'!$A$3:$B$1480,2,FALSE))</f>
        <v>USG</v>
      </c>
      <c r="V74" s="115" t="str">
        <f>IF(VLOOKUP(A74,'1) Kpler'!$E$2:$P$1000,8, FALSE)="","",VLOOKUP(A74,'1) Kpler'!$E$2:$P$1000,8, FALSE))</f>
        <v>Houston</v>
      </c>
      <c r="W74" s="116">
        <f>IF(VLOOKUP(A74,'1) Kpler'!$E$2:$P$1000,9,FALSE)="","",VLOOKUP(A74,'1) Kpler'!$E$2:$P$1000,9,FALSE))</f>
        <v>46155.04167</v>
      </c>
      <c r="X74" s="115" t="str">
        <f>VLOOKUP(A74,'1) Kpler'!$E$2:$I$1000,4,FALSE)</f>
        <v>ballast</v>
      </c>
      <c r="Y74" s="117" t="str">
        <f t="shared" si="1"/>
        <v/>
      </c>
      <c r="Z74" s="117" t="str">
        <f t="shared" si="2"/>
        <v>19-31 May</v>
      </c>
      <c r="AA74" s="117" t="str">
        <f t="shared" si="3"/>
        <v>19-31 May</v>
      </c>
      <c r="AB74" s="117" t="str">
        <f t="shared" si="4"/>
        <v/>
      </c>
      <c r="AC74" s="117" t="str">
        <f t="shared" si="5"/>
        <v>09-20 Jun</v>
      </c>
      <c r="AD74" s="117" t="str">
        <f t="shared" si="6"/>
        <v/>
      </c>
      <c r="AE74" s="118" t="str">
        <f t="shared" si="7"/>
        <v/>
      </c>
      <c r="AF74" s="119" t="str">
        <f t="shared" si="8"/>
        <v/>
      </c>
      <c r="AG74" s="163" t="str">
        <f t="shared" si="9"/>
        <v/>
      </c>
      <c r="AH74" s="122" t="str">
        <f>IFERROR($M73+VLOOKUP($L74,'Voyage days'!$F$38:$H$89,3,FALSE),"")</f>
        <v/>
      </c>
      <c r="AI74" s="122" t="str">
        <f>IFERROR(N74+VLOOKUP($L74,'Voyage days'!$F$38:$H$89,3,FALSE),"")</f>
        <v/>
      </c>
      <c r="AJ74" s="120" t="str">
        <f t="shared" si="10"/>
        <v>19-31 May</v>
      </c>
      <c r="AK74" s="121">
        <f>IFERROR($M73+VLOOKUP($L74,'Voyage days'!$F$94:$H$193,3,FALSE),"")</f>
        <v>46131</v>
      </c>
      <c r="AL74" s="121">
        <f>IFERROR($N74+VLOOKUP($L74,'Voyage days'!$F$94:$H$193,3,FALSE),"")</f>
        <v>46173</v>
      </c>
      <c r="AM74" s="120" t="str">
        <f t="shared" si="11"/>
        <v>19-31 May</v>
      </c>
      <c r="AN74" s="121">
        <f>IFERROR($M73+VLOOKUP($L74,'Voyage days'!$F$203:$H$256,3,FALSE),"")</f>
        <v>46131</v>
      </c>
      <c r="AO74" s="121">
        <f>IFERROR($N74+VLOOKUP($L74,'Voyage days'!$F$203:$H$256,3,FALSE),"")</f>
        <v>46173</v>
      </c>
      <c r="AP74" s="120" t="str">
        <f t="shared" si="12"/>
        <v/>
      </c>
      <c r="AQ74" s="121" t="str">
        <f>IFERROR($M73+VLOOKUP($L74,'Voyage days'!$F$294:$H$377,3,FALSE),"")</f>
        <v/>
      </c>
      <c r="AR74" s="121" t="str">
        <f>IFERROR($N74+VLOOKUP($L74,'Voyage days'!$F$294:$H$377,3,FALSE),"")</f>
        <v/>
      </c>
      <c r="AS74" s="120" t="str">
        <f t="shared" si="13"/>
        <v>09-20 Jun</v>
      </c>
      <c r="AT74" s="121">
        <f>IFERROR($M73+VLOOKUP($L74,'Voyage days'!$F$382:$H$446,3,FALSE),"")</f>
        <v>46151</v>
      </c>
      <c r="AU74" s="121">
        <f>IFERROR($N74+VLOOKUP($L74,'Voyage days'!$F$382:$H$446,3,FALSE),"")</f>
        <v>46193</v>
      </c>
      <c r="AV74" s="120" t="str">
        <f t="shared" si="14"/>
        <v/>
      </c>
      <c r="AW74" s="121" t="str">
        <f>IFERROR($M73+VLOOKUP($L74,'Voyage days'!$F$483:$H$538,3,FALSE),"")</f>
        <v/>
      </c>
      <c r="AX74" s="121" t="str">
        <f>IFERROR($N74+VLOOKUP($L74,'Voyage days'!$F$483:$H$538,3,FALSE),"")</f>
        <v/>
      </c>
      <c r="AY74" s="120" t="str">
        <f t="shared" si="15"/>
        <v/>
      </c>
      <c r="AZ74" s="121" t="str">
        <f>IFERROR($M73+VLOOKUP($L74,'Voyage days'!$F$540:$H$613,3,FALSE),"")</f>
        <v/>
      </c>
      <c r="BA74" s="121" t="str">
        <f>IFERROR($N74+VLOOKUP($L74,'Voyage days'!$F$540:$H$613,3,FALSE),"")</f>
        <v/>
      </c>
      <c r="BB74" s="120" t="str">
        <f t="shared" si="16"/>
        <v/>
      </c>
      <c r="BC74" s="121" t="str">
        <f>IFERROR($M73+VLOOKUP($L74,'Voyage days'!$F$448:$H$479,3,FALSE),"")</f>
        <v/>
      </c>
      <c r="BD74" s="121" t="str">
        <f>IFERROR($N74+VLOOKUP($L74,'Voyage days'!$F$448:$H$479,3,FALSE),"")</f>
        <v/>
      </c>
      <c r="BE74" s="120" t="str">
        <f t="shared" si="17"/>
        <v/>
      </c>
      <c r="BF74" s="122" t="str">
        <f>IFERROR($M73+VLOOKUP($L74,'Voyage days'!$F$620:$H$646,3,FALSE),"")</f>
        <v/>
      </c>
      <c r="BG74" s="122" t="str">
        <f>IFERROR($N74+VLOOKUP($L74,'Voyage days'!$F$620:$H$646,3,FALSE),"")</f>
        <v/>
      </c>
      <c r="BH74" s="120" t="str">
        <f t="shared" si="18"/>
        <v/>
      </c>
      <c r="BI74" s="123" t="str">
        <f>IFERROR($M73+VLOOKUP($L74,'Voyage days'!$F$702:$H$727,3,FALSE),"")</f>
        <v/>
      </c>
      <c r="BJ74" s="120" t="str">
        <f t="shared" si="19"/>
        <v/>
      </c>
      <c r="BK74" s="122" t="str">
        <f>IFERROR($M73+VLOOKUP($L74,'Voyage days'!$F$807:$H$878,3,FALSE),"")</f>
        <v/>
      </c>
      <c r="BL74" s="122" t="str">
        <f>IFERROR($N74+VLOOKUP($L74,'Voyage days'!$F$807:$H$878,3,FALSE),"")</f>
        <v/>
      </c>
      <c r="BM74" s="122" t="str">
        <f>IFERROR($N74+VLOOKUP($L74,'Voyage days'!$F$807:$K$878,6,FALSE),"")</f>
        <v/>
      </c>
      <c r="BN74" s="121" t="str">
        <f>if(L74="loads AG", IFERROR($M73+VLOOKUP($L74,'Voyage days'!$M$38:$O$38,3,FALSE),""),"")</f>
        <v/>
      </c>
      <c r="BO74" s="121">
        <f>if(L74="loads USG", IFERROR($M73+VLOOKUP($L74,'Voyage days'!$L$203:$N$203,3,FALSE),""),"")</f>
        <v>46163</v>
      </c>
    </row>
    <row r="75">
      <c r="A75" s="392" t="s">
        <v>387</v>
      </c>
      <c r="B75" s="202">
        <v>2025.0</v>
      </c>
      <c r="C75" s="203">
        <v>88000.0</v>
      </c>
      <c r="D75" s="112" t="s">
        <v>603</v>
      </c>
      <c r="E75" s="103"/>
      <c r="F75" s="104"/>
      <c r="G75" s="104"/>
      <c r="H75" s="104"/>
      <c r="I75" s="335" t="s">
        <v>837</v>
      </c>
      <c r="J75" s="106" t="str">
        <f t="shared" si="22"/>
        <v/>
      </c>
      <c r="K75" s="107"/>
      <c r="L75" s="347" t="s">
        <v>668</v>
      </c>
      <c r="M75" s="109">
        <v>46151.0</v>
      </c>
      <c r="N75" s="109">
        <v>46152.0</v>
      </c>
      <c r="O75" s="191"/>
      <c r="P75" s="108" t="s">
        <v>850</v>
      </c>
      <c r="Q75" s="393"/>
      <c r="R75" s="393" t="s">
        <v>851</v>
      </c>
      <c r="S75" s="112" t="s">
        <v>659</v>
      </c>
      <c r="T75" s="318">
        <v>46124.0</v>
      </c>
      <c r="U75" s="114" t="str">
        <f>IF(V75="","No AIS",VLOOKUP(V75,'Voyage days'!$A$3:$B$1480,2,FALSE))</f>
        <v>North China +4</v>
      </c>
      <c r="V75" s="115" t="str">
        <f>IF(VLOOKUP(A75,'1) Kpler'!$E$2:$P$1000,8, FALSE)="","",VLOOKUP(A75,'1) Kpler'!$E$2:$P$1000,8, FALSE))</f>
        <v>Qingdao Huangdao</v>
      </c>
      <c r="W75" s="116">
        <f>IF(VLOOKUP(A75,'1) Kpler'!$E$2:$P$1000,9,FALSE)="","",VLOOKUP(A75,'1) Kpler'!$E$2:$P$1000,9,FALSE))</f>
        <v>46148</v>
      </c>
      <c r="X75" s="115" t="str">
        <f>VLOOKUP(A75,'1) Kpler'!$E$2:$I$1000,4,FALSE)</f>
        <v>loaded</v>
      </c>
      <c r="Y75" s="160" t="str">
        <f t="shared" si="1"/>
        <v>27-28 May</v>
      </c>
      <c r="Z75" s="160" t="str">
        <f t="shared" si="2"/>
        <v>10-11 Jun</v>
      </c>
      <c r="AA75" s="160" t="str">
        <f t="shared" si="3"/>
        <v>20-21 Jun</v>
      </c>
      <c r="AB75" s="160" t="str">
        <f t="shared" si="4"/>
        <v>08-09 Jun</v>
      </c>
      <c r="AC75" s="160" t="str">
        <f t="shared" si="5"/>
        <v>14-15 Jun</v>
      </c>
      <c r="AD75" s="160" t="str">
        <f t="shared" si="6"/>
        <v>17-18 May</v>
      </c>
      <c r="AE75" s="161" t="str">
        <f t="shared" si="7"/>
        <v>17-18 May</v>
      </c>
      <c r="AF75" s="162" t="str">
        <f t="shared" si="8"/>
        <v>24-25 Jun</v>
      </c>
      <c r="AG75" s="120" t="str">
        <f t="shared" si="9"/>
        <v>27-28 May</v>
      </c>
      <c r="AH75" s="121">
        <f>IFERROR($M75+VLOOKUP($L75,'Voyage days'!$F$38:$H$89,3,FALSE),"")</f>
        <v>46169</v>
      </c>
      <c r="AI75" s="121">
        <f>IFERROR(N75+VLOOKUP($L75,'Voyage days'!$F$38:$H$89,3,FALSE),"")</f>
        <v>46170</v>
      </c>
      <c r="AJ75" s="120" t="str">
        <f t="shared" si="10"/>
        <v>10-11 Jun</v>
      </c>
      <c r="AK75" s="121">
        <f>IFERROR($M75+VLOOKUP($L75,'Voyage days'!$F$94:$H$193,3,FALSE),"")</f>
        <v>46183</v>
      </c>
      <c r="AL75" s="121">
        <f>IFERROR($N75+VLOOKUP($L75,'Voyage days'!$F$94:$H$193,3,FALSE),"")</f>
        <v>46184</v>
      </c>
      <c r="AM75" s="120" t="str">
        <f t="shared" si="11"/>
        <v>20-21 Jun</v>
      </c>
      <c r="AN75" s="121">
        <f>IFERROR($M75+VLOOKUP($L75,'Voyage days'!$F$203:$H$256,3,FALSE),"")</f>
        <v>46193</v>
      </c>
      <c r="AO75" s="121">
        <f>IFERROR($N75+VLOOKUP($L75,'Voyage days'!$F$203:$H$256,3,FALSE),"")</f>
        <v>46194</v>
      </c>
      <c r="AP75" s="120" t="str">
        <f t="shared" si="12"/>
        <v>08-09 Jun</v>
      </c>
      <c r="AQ75" s="121">
        <f>IFERROR($M75+VLOOKUP($L75,'Voyage days'!$F$294:$H$377,3,FALSE),"")</f>
        <v>46181</v>
      </c>
      <c r="AR75" s="121">
        <f>IFERROR($N75+VLOOKUP($L75,'Voyage days'!$F$294:$H$377,3,FALSE),"")</f>
        <v>46182</v>
      </c>
      <c r="AS75" s="120" t="str">
        <f t="shared" si="13"/>
        <v>14-15 Jun</v>
      </c>
      <c r="AT75" s="121">
        <f>IFERROR($M75+VLOOKUP($L75,'Voyage days'!$F$382:$H$446,3,FALSE),"")</f>
        <v>46187</v>
      </c>
      <c r="AU75" s="121">
        <f>IFERROR($N75+VLOOKUP($L75,'Voyage days'!$F$382:$H$446,3,FALSE),"")</f>
        <v>46188</v>
      </c>
      <c r="AV75" s="120" t="str">
        <f t="shared" si="14"/>
        <v>22-23 May</v>
      </c>
      <c r="AW75" s="121">
        <f>IFERROR($M75+VLOOKUP($L75,'Voyage days'!$F$483:$H$538,3,FALSE),"")</f>
        <v>46164</v>
      </c>
      <c r="AX75" s="121">
        <f>IFERROR($N75+VLOOKUP($L75,'Voyage days'!$F$483:$H$538,3,FALSE),"")</f>
        <v>46165</v>
      </c>
      <c r="AY75" s="120" t="str">
        <f t="shared" si="15"/>
        <v>17-18 May</v>
      </c>
      <c r="AZ75" s="121">
        <f>IFERROR($M75+VLOOKUP($L75,'Voyage days'!$F$540:$H$613,3,FALSE),"")</f>
        <v>46159.25</v>
      </c>
      <c r="BA75" s="121">
        <f>IFERROR($N75+VLOOKUP($L75,'Voyage days'!$F$540:$H$613,3,FALSE),"")</f>
        <v>46160.25</v>
      </c>
      <c r="BB75" s="120" t="str">
        <f t="shared" si="16"/>
        <v>17-18 May</v>
      </c>
      <c r="BC75" s="121">
        <f>IFERROR($M75+VLOOKUP($L75,'Voyage days'!$F$448:$H$479,3,FALSE),"")</f>
        <v>46159</v>
      </c>
      <c r="BD75" s="121">
        <f>IFERROR($N75+VLOOKUP($L75,'Voyage days'!$F$448:$H$479,3,FALSE),"")</f>
        <v>46160</v>
      </c>
      <c r="BE75" s="120" t="str">
        <f t="shared" si="17"/>
        <v>20-21 May</v>
      </c>
      <c r="BF75" s="122">
        <f>IFERROR($M75+VLOOKUP($L75,'Voyage days'!$F$620:$H$646,3,FALSE),"")</f>
        <v>46162</v>
      </c>
      <c r="BG75" s="122">
        <f>IFERROR($N75+VLOOKUP($L75,'Voyage days'!$F$620:$H$646,3,FALSE),"")</f>
        <v>46163</v>
      </c>
      <c r="BH75" s="120" t="str">
        <f t="shared" si="18"/>
        <v>17-25 Jun</v>
      </c>
      <c r="BI75" s="123">
        <f>IFERROR($M75+VLOOKUP($L75,'Voyage days'!$F$702:$H$727,3,FALSE),"")</f>
        <v>46159.25</v>
      </c>
      <c r="BJ75" s="120" t="str">
        <f t="shared" si="19"/>
        <v>24-25 Jun</v>
      </c>
      <c r="BK75" s="122">
        <f>IFERROR($M75+VLOOKUP($L75,'Voyage days'!$F$807:$H$878,3,FALSE),"")</f>
        <v>46197</v>
      </c>
      <c r="BL75" s="122">
        <f>IFERROR($N75+VLOOKUP($L75,'Voyage days'!$F$807:$H$878,3,FALSE),"")</f>
        <v>46198</v>
      </c>
      <c r="BM75" s="122">
        <f>IFERROR($N75+VLOOKUP($L75,'Voyage days'!$F$807:$K$878,6,FALSE),"")</f>
        <v>46172</v>
      </c>
      <c r="BN75" s="121" t="str">
        <f>if(L75="loads AG", IFERROR($M75+VLOOKUP($L75,'Voyage days'!$M$38:$O$38,3,FALSE),""),"")</f>
        <v/>
      </c>
      <c r="BO75" s="121" t="str">
        <f>if(L75="loads USG", IFERROR($M75+VLOOKUP($L75,'Voyage days'!$L$203:$N$203,3,FALSE),""),"")</f>
        <v/>
      </c>
    </row>
    <row r="76">
      <c r="A76" s="392" t="s">
        <v>408</v>
      </c>
      <c r="B76" s="394">
        <v>2024.0</v>
      </c>
      <c r="C76" s="203">
        <v>88000.0</v>
      </c>
      <c r="D76" s="112" t="s">
        <v>603</v>
      </c>
      <c r="E76" s="103"/>
      <c r="F76" s="104"/>
      <c r="G76" s="104"/>
      <c r="H76" s="104" t="s">
        <v>666</v>
      </c>
      <c r="I76" s="332" t="s">
        <v>837</v>
      </c>
      <c r="J76" s="106" t="str">
        <f t="shared" si="22"/>
        <v/>
      </c>
      <c r="K76" s="107"/>
      <c r="L76" s="347" t="s">
        <v>668</v>
      </c>
      <c r="M76" s="109">
        <v>46145.0</v>
      </c>
      <c r="N76" s="109">
        <v>46146.0</v>
      </c>
      <c r="O76" s="110"/>
      <c r="P76" s="108" t="s">
        <v>852</v>
      </c>
      <c r="Q76" s="395"/>
      <c r="R76" s="395" t="s">
        <v>853</v>
      </c>
      <c r="S76" s="112" t="s">
        <v>659</v>
      </c>
      <c r="T76" s="318">
        <v>46124.0</v>
      </c>
      <c r="U76" s="114" t="str">
        <f>IF(V76="","No AIS",VLOOKUP(V76,'Voyage days'!$A$3:$B$1480,2,FALSE))</f>
        <v>Japan + 6</v>
      </c>
      <c r="V76" s="115" t="str">
        <f>IF(VLOOKUP(A76,'1) Kpler'!$E$2:$P$1000,8, FALSE)="","",VLOOKUP(A76,'1) Kpler'!$E$2:$P$1000,8, FALSE))</f>
        <v>Chiba</v>
      </c>
      <c r="W76" s="116">
        <f>IF(VLOOKUP(A76,'1) Kpler'!$E$2:$P$1000,9,FALSE)="","",VLOOKUP(A76,'1) Kpler'!$E$2:$P$1000,9,FALSE))</f>
        <v>46140.29167</v>
      </c>
      <c r="X76" s="115" t="str">
        <f>VLOOKUP(A76,'1) Kpler'!$E$2:$I$1000,4,FALSE)</f>
        <v>loaded</v>
      </c>
      <c r="Y76" s="117" t="str">
        <f t="shared" si="1"/>
        <v>21-22 May</v>
      </c>
      <c r="Z76" s="117" t="str">
        <f t="shared" si="2"/>
        <v>04-05 Jun</v>
      </c>
      <c r="AA76" s="117" t="str">
        <f t="shared" si="3"/>
        <v>14-15 Jun</v>
      </c>
      <c r="AB76" s="117" t="str">
        <f t="shared" si="4"/>
        <v>02-03 Jun</v>
      </c>
      <c r="AC76" s="117" t="str">
        <f t="shared" si="5"/>
        <v>08-09 Jun</v>
      </c>
      <c r="AD76" s="117" t="str">
        <f t="shared" si="6"/>
        <v>11-12 May</v>
      </c>
      <c r="AE76" s="118" t="str">
        <f t="shared" si="7"/>
        <v>11-12 May</v>
      </c>
      <c r="AF76" s="119" t="str">
        <f t="shared" si="8"/>
        <v>18-19 Jun</v>
      </c>
      <c r="AG76" s="120" t="str">
        <f t="shared" si="9"/>
        <v>21-22 May</v>
      </c>
      <c r="AH76" s="121">
        <f>IFERROR($M76+VLOOKUP($L76,'Voyage days'!$F$38:$H$89,3,FALSE),"")</f>
        <v>46163</v>
      </c>
      <c r="AI76" s="121">
        <f>IFERROR(N76+VLOOKUP($L76,'Voyage days'!$F$38:$H$89,3,FALSE),"")</f>
        <v>46164</v>
      </c>
      <c r="AJ76" s="120" t="str">
        <f t="shared" si="10"/>
        <v>04-05 Jun</v>
      </c>
      <c r="AK76" s="121">
        <f>IFERROR($M76+VLOOKUP($L76,'Voyage days'!$F$94:$H$193,3,FALSE),"")</f>
        <v>46177</v>
      </c>
      <c r="AL76" s="121">
        <f>IFERROR($N76+VLOOKUP($L76,'Voyage days'!$F$94:$H$193,3,FALSE),"")</f>
        <v>46178</v>
      </c>
      <c r="AM76" s="120" t="str">
        <f t="shared" si="11"/>
        <v>14-15 Jun</v>
      </c>
      <c r="AN76" s="121">
        <f>IFERROR($M76+VLOOKUP($L76,'Voyage days'!$F$203:$H$256,3,FALSE),"")</f>
        <v>46187</v>
      </c>
      <c r="AO76" s="121">
        <f>IFERROR($N76+VLOOKUP($L76,'Voyage days'!$F$203:$H$256,3,FALSE),"")</f>
        <v>46188</v>
      </c>
      <c r="AP76" s="120" t="str">
        <f t="shared" si="12"/>
        <v>02-03 Jun</v>
      </c>
      <c r="AQ76" s="121">
        <f>IFERROR($M76+VLOOKUP($L76,'Voyage days'!$F$294:$H$377,3,FALSE),"")</f>
        <v>46175</v>
      </c>
      <c r="AR76" s="121">
        <f>IFERROR($N76+VLOOKUP($L76,'Voyage days'!$F$294:$H$377,3,FALSE),"")</f>
        <v>46176</v>
      </c>
      <c r="AS76" s="120" t="str">
        <f t="shared" si="13"/>
        <v>08-09 Jun</v>
      </c>
      <c r="AT76" s="121">
        <f>IFERROR($M76+VLOOKUP($L76,'Voyage days'!$F$382:$H$446,3,FALSE),"")</f>
        <v>46181</v>
      </c>
      <c r="AU76" s="121">
        <f>IFERROR($N76+VLOOKUP($L76,'Voyage days'!$F$382:$H$446,3,FALSE),"")</f>
        <v>46182</v>
      </c>
      <c r="AV76" s="120" t="str">
        <f t="shared" si="14"/>
        <v>16-17 May</v>
      </c>
      <c r="AW76" s="121">
        <f>IFERROR($M76+VLOOKUP($L76,'Voyage days'!$F$483:$H$538,3,FALSE),"")</f>
        <v>46158</v>
      </c>
      <c r="AX76" s="121">
        <f>IFERROR($N76+VLOOKUP($L76,'Voyage days'!$F$483:$H$538,3,FALSE),"")</f>
        <v>46159</v>
      </c>
      <c r="AY76" s="120" t="str">
        <f t="shared" si="15"/>
        <v>11-12 May</v>
      </c>
      <c r="AZ76" s="121">
        <f>IFERROR($M76+VLOOKUP($L76,'Voyage days'!$F$540:$H$613,3,FALSE),"")</f>
        <v>46153.25</v>
      </c>
      <c r="BA76" s="121">
        <f>IFERROR($N76+VLOOKUP($L76,'Voyage days'!$F$540:$H$613,3,FALSE),"")</f>
        <v>46154.25</v>
      </c>
      <c r="BB76" s="120" t="str">
        <f t="shared" si="16"/>
        <v>11-12 May</v>
      </c>
      <c r="BC76" s="121">
        <f>IFERROR($M76+VLOOKUP($L76,'Voyage days'!$F$448:$H$479,3,FALSE),"")</f>
        <v>46153</v>
      </c>
      <c r="BD76" s="121">
        <f>IFERROR($N76+VLOOKUP($L76,'Voyage days'!$F$448:$H$479,3,FALSE),"")</f>
        <v>46154</v>
      </c>
      <c r="BE76" s="120" t="str">
        <f t="shared" si="17"/>
        <v>14-15 May</v>
      </c>
      <c r="BF76" s="122">
        <f>IFERROR($M76+VLOOKUP($L76,'Voyage days'!$F$620:$H$646,3,FALSE),"")</f>
        <v>46156</v>
      </c>
      <c r="BG76" s="122">
        <f>IFERROR($N76+VLOOKUP($L76,'Voyage days'!$F$620:$H$646,3,FALSE),"")</f>
        <v>46157</v>
      </c>
      <c r="BH76" s="120" t="str">
        <f t="shared" si="18"/>
        <v>11-19 Jun</v>
      </c>
      <c r="BI76" s="123">
        <f>IFERROR($M76+VLOOKUP($L76,'Voyage days'!$F$702:$H$727,3,FALSE),"")</f>
        <v>46153.25</v>
      </c>
      <c r="BJ76" s="120" t="str">
        <f t="shared" si="19"/>
        <v>18-19 Jun</v>
      </c>
      <c r="BK76" s="122">
        <f>IFERROR($M76+VLOOKUP($L76,'Voyage days'!$F$807:$H$878,3,FALSE),"")</f>
        <v>46191</v>
      </c>
      <c r="BL76" s="122">
        <f>IFERROR($N76+VLOOKUP($L76,'Voyage days'!$F$807:$H$878,3,FALSE),"")</f>
        <v>46192</v>
      </c>
      <c r="BM76" s="122">
        <f>IFERROR($N76+VLOOKUP($L76,'Voyage days'!$F$807:$K$878,6,FALSE),"")</f>
        <v>46166</v>
      </c>
      <c r="BN76" s="121" t="str">
        <f>if(L76="loads AG", IFERROR($M76+VLOOKUP($L76,'Voyage days'!$M$38:$O$38,3,FALSE),""),"")</f>
        <v/>
      </c>
      <c r="BO76" s="121" t="str">
        <f>if(L76="loads USG", IFERROR($M76+VLOOKUP($L76,'Voyage days'!$L$203:$N$203,3,FALSE),""),"")</f>
        <v/>
      </c>
    </row>
    <row r="77" ht="15.0" customHeight="1">
      <c r="A77" s="73" t="s">
        <v>481</v>
      </c>
      <c r="B77" s="394">
        <v>2024.0</v>
      </c>
      <c r="C77" s="203">
        <v>88000.0</v>
      </c>
      <c r="D77" s="112" t="s">
        <v>603</v>
      </c>
      <c r="E77" s="103"/>
      <c r="F77" s="104"/>
      <c r="G77" s="104"/>
      <c r="H77" s="104" t="s">
        <v>666</v>
      </c>
      <c r="I77" s="332" t="s">
        <v>837</v>
      </c>
      <c r="J77" s="106" t="str">
        <f t="shared" si="22"/>
        <v>Update</v>
      </c>
      <c r="K77" s="107"/>
      <c r="L77" s="347" t="s">
        <v>680</v>
      </c>
      <c r="M77" s="109">
        <v>46125.0</v>
      </c>
      <c r="N77" s="109">
        <v>46126.0</v>
      </c>
      <c r="O77" s="110"/>
      <c r="P77" s="108" t="s">
        <v>854</v>
      </c>
      <c r="Q77" s="187" t="s">
        <v>840</v>
      </c>
      <c r="R77" s="395" t="s">
        <v>855</v>
      </c>
      <c r="S77" s="112" t="s">
        <v>659</v>
      </c>
      <c r="T77" s="318">
        <v>46124.0</v>
      </c>
      <c r="U77" s="114" t="str">
        <f>IF(V77="","No AIS",VLOOKUP(V77,'Voyage days'!$A$3:$B$1480,2,FALSE))</f>
        <v>Panama</v>
      </c>
      <c r="V77" s="115" t="str">
        <f>IF(VLOOKUP(A77,'1) Kpler'!$E$2:$P$1000,8, FALSE)="","",VLOOKUP(A77,'1) Kpler'!$E$2:$P$1000,8, FALSE))</f>
        <v>Panama Canal</v>
      </c>
      <c r="W77" s="116">
        <f>IF(VLOOKUP(A77,'1) Kpler'!$E$2:$P$1000,9,FALSE)="","",VLOOKUP(A77,'1) Kpler'!$E$2:$P$1000,9,FALSE))</f>
        <v>46132.875</v>
      </c>
      <c r="X77" s="115" t="str">
        <f>VLOOKUP(A77,'1) Kpler'!$E$2:$I$1000,4,FALSE)</f>
        <v>loaded</v>
      </c>
      <c r="Y77" s="117" t="str">
        <f t="shared" si="1"/>
        <v/>
      </c>
      <c r="Z77" s="117" t="str">
        <f t="shared" si="2"/>
        <v>13-14 Apr</v>
      </c>
      <c r="AA77" s="117" t="str">
        <f t="shared" si="3"/>
        <v>13-14 Apr</v>
      </c>
      <c r="AB77" s="117" t="str">
        <f t="shared" si="4"/>
        <v/>
      </c>
      <c r="AC77" s="117" t="str">
        <f t="shared" si="5"/>
        <v>03-04 May</v>
      </c>
      <c r="AD77" s="117" t="str">
        <f t="shared" si="6"/>
        <v/>
      </c>
      <c r="AE77" s="118" t="str">
        <f t="shared" si="7"/>
        <v/>
      </c>
      <c r="AF77" s="119" t="str">
        <f t="shared" si="8"/>
        <v/>
      </c>
      <c r="AG77" s="120" t="str">
        <f t="shared" si="9"/>
        <v/>
      </c>
      <c r="AH77" s="121" t="str">
        <f>IFERROR($M77+VLOOKUP($L77,'Voyage days'!$F$38:$H$89,3,FALSE),"")</f>
        <v/>
      </c>
      <c r="AI77" s="121" t="str">
        <f>IFERROR(N77+VLOOKUP($L77,'Voyage days'!$F$38:$H$89,3,FALSE),"")</f>
        <v/>
      </c>
      <c r="AJ77" s="120" t="str">
        <f t="shared" si="10"/>
        <v>13-14 Apr</v>
      </c>
      <c r="AK77" s="121">
        <f>IFERROR($M77+VLOOKUP($L77,'Voyage days'!$F$94:$H$193,3,FALSE),"")</f>
        <v>46125</v>
      </c>
      <c r="AL77" s="121">
        <f>IFERROR($N77+VLOOKUP($L77,'Voyage days'!$F$94:$H$193,3,FALSE),"")</f>
        <v>46126</v>
      </c>
      <c r="AM77" s="120" t="str">
        <f t="shared" si="11"/>
        <v>13-14 Apr</v>
      </c>
      <c r="AN77" s="121">
        <f>IFERROR($M77+VLOOKUP($L77,'Voyage days'!$F$203:$H$256,3,FALSE),"")</f>
        <v>46125</v>
      </c>
      <c r="AO77" s="121">
        <f>IFERROR($N77+VLOOKUP($L77,'Voyage days'!$F$203:$H$256,3,FALSE),"")</f>
        <v>46126</v>
      </c>
      <c r="AP77" s="120" t="str">
        <f t="shared" si="12"/>
        <v/>
      </c>
      <c r="AQ77" s="121" t="str">
        <f>IFERROR($M77+VLOOKUP($L77,'Voyage days'!$F$294:$H$377,3,FALSE),"")</f>
        <v/>
      </c>
      <c r="AR77" s="121" t="str">
        <f>IFERROR($N77+VLOOKUP($L77,'Voyage days'!$F$294:$H$377,3,FALSE),"")</f>
        <v/>
      </c>
      <c r="AS77" s="120" t="str">
        <f t="shared" si="13"/>
        <v>03-04 May</v>
      </c>
      <c r="AT77" s="121">
        <f>IFERROR($M77+VLOOKUP($L77,'Voyage days'!$F$382:$H$446,3,FALSE),"")</f>
        <v>46145</v>
      </c>
      <c r="AU77" s="121">
        <f>IFERROR($N77+VLOOKUP($L77,'Voyage days'!$F$382:$H$446,3,FALSE),"")</f>
        <v>46146</v>
      </c>
      <c r="AV77" s="120" t="str">
        <f t="shared" si="14"/>
        <v/>
      </c>
      <c r="AW77" s="121" t="str">
        <f>IFERROR($M77+VLOOKUP($L77,'Voyage days'!$F$483:$H$538,3,FALSE),"")</f>
        <v/>
      </c>
      <c r="AX77" s="121" t="str">
        <f>IFERROR($N77+VLOOKUP($L77,'Voyage days'!$F$483:$H$538,3,FALSE),"")</f>
        <v/>
      </c>
      <c r="AY77" s="120" t="str">
        <f t="shared" si="15"/>
        <v/>
      </c>
      <c r="AZ77" s="121" t="str">
        <f>IFERROR($M77+VLOOKUP($L77,'Voyage days'!$F$540:$H$613,3,FALSE),"")</f>
        <v/>
      </c>
      <c r="BA77" s="121" t="str">
        <f>IFERROR($N77+VLOOKUP($L77,'Voyage days'!$F$540:$H$613,3,FALSE),"")</f>
        <v/>
      </c>
      <c r="BB77" s="120" t="str">
        <f t="shared" si="16"/>
        <v/>
      </c>
      <c r="BC77" s="121" t="str">
        <f>IFERROR($M77+VLOOKUP($L77,'Voyage days'!$F$448:$H$479,3,FALSE),"")</f>
        <v/>
      </c>
      <c r="BD77" s="121" t="str">
        <f>IFERROR($N77+VLOOKUP($L77,'Voyage days'!$F$448:$H$479,3,FALSE),"")</f>
        <v/>
      </c>
      <c r="BE77" s="120" t="str">
        <f t="shared" si="17"/>
        <v/>
      </c>
      <c r="BF77" s="122" t="str">
        <f>IFERROR($M77+VLOOKUP($L77,'Voyage days'!$F$620:$H$646,3,FALSE),"")</f>
        <v/>
      </c>
      <c r="BG77" s="122" t="str">
        <f>IFERROR($N77+VLOOKUP($L77,'Voyage days'!$F$620:$H$646,3,FALSE),"")</f>
        <v/>
      </c>
      <c r="BH77" s="120" t="str">
        <f t="shared" si="18"/>
        <v/>
      </c>
      <c r="BI77" s="123" t="str">
        <f>IFERROR($M77+VLOOKUP($L77,'Voyage days'!$F$702:$H$727,3,FALSE),"")</f>
        <v/>
      </c>
      <c r="BJ77" s="120" t="str">
        <f t="shared" si="19"/>
        <v/>
      </c>
      <c r="BK77" s="122" t="str">
        <f>IFERROR($M77+VLOOKUP($L77,'Voyage days'!$F$807:$H$878,3,FALSE),"")</f>
        <v/>
      </c>
      <c r="BL77" s="122" t="str">
        <f>IFERROR($N77+VLOOKUP($L77,'Voyage days'!$F$807:$H$878,3,FALSE),"")</f>
        <v/>
      </c>
      <c r="BM77" s="122" t="str">
        <f>IFERROR($N77+VLOOKUP($L77,'Voyage days'!$F$807:$K$878,6,FALSE),"")</f>
        <v/>
      </c>
      <c r="BN77" s="121" t="str">
        <f>if(L77="loads AG", IFERROR($M77+VLOOKUP($L77,'Voyage days'!$M$38:$O$38,3,FALSE),""),"")</f>
        <v/>
      </c>
      <c r="BO77" s="121">
        <f>if(L77="loads USG", IFERROR($M77+VLOOKUP($L77,'Voyage days'!$L$203:$N$203,3,FALSE),""),"")</f>
        <v>46157</v>
      </c>
    </row>
    <row r="78" ht="15.0" customHeight="1">
      <c r="A78" s="375" t="s">
        <v>511</v>
      </c>
      <c r="B78" s="148">
        <v>2021.0</v>
      </c>
      <c r="C78" s="102">
        <v>84000.0</v>
      </c>
      <c r="D78" s="112" t="s">
        <v>603</v>
      </c>
      <c r="E78" s="103"/>
      <c r="F78" s="104"/>
      <c r="G78" s="104"/>
      <c r="H78" s="104" t="s">
        <v>689</v>
      </c>
      <c r="I78" s="332" t="s">
        <v>837</v>
      </c>
      <c r="J78" s="106" t="str">
        <f t="shared" si="22"/>
        <v>Update</v>
      </c>
      <c r="K78" s="107"/>
      <c r="L78" s="347" t="s">
        <v>680</v>
      </c>
      <c r="M78" s="109">
        <v>46125.0</v>
      </c>
      <c r="N78" s="109">
        <v>46126.0</v>
      </c>
      <c r="O78" s="255" t="s">
        <v>729</v>
      </c>
      <c r="P78" s="108" t="s">
        <v>856</v>
      </c>
      <c r="Q78" s="187" t="s">
        <v>840</v>
      </c>
      <c r="R78" s="108" t="s">
        <v>857</v>
      </c>
      <c r="S78" s="112" t="s">
        <v>659</v>
      </c>
      <c r="T78" s="318">
        <v>46124.0</v>
      </c>
      <c r="U78" s="114" t="str">
        <f>IF(V78="","No AIS",VLOOKUP(V78,'Voyage days'!$A$3:$B$1480,2,FALSE))</f>
        <v>USG</v>
      </c>
      <c r="V78" s="115" t="str">
        <f>IF(VLOOKUP(A78,'1) Kpler'!$E$2:$P$1000,8, FALSE)="","",VLOOKUP(A78,'1) Kpler'!$E$2:$P$1000,8, FALSE))</f>
        <v>Houston</v>
      </c>
      <c r="W78" s="116">
        <f>IF(VLOOKUP(A78,'1) Kpler'!$E$2:$P$1000,9,FALSE)="","",VLOOKUP(A78,'1) Kpler'!$E$2:$P$1000,9,FALSE))</f>
        <v>46136.5</v>
      </c>
      <c r="X78" s="115" t="str">
        <f>VLOOKUP(A78,'1) Kpler'!$E$2:$I$1000,4,FALSE)</f>
        <v>ballast</v>
      </c>
      <c r="Y78" s="160" t="str">
        <f t="shared" si="1"/>
        <v/>
      </c>
      <c r="Z78" s="160" t="str">
        <f t="shared" si="2"/>
        <v>13-14 Apr</v>
      </c>
      <c r="AA78" s="160" t="str">
        <f t="shared" si="3"/>
        <v>13-14 Apr</v>
      </c>
      <c r="AB78" s="160" t="str">
        <f t="shared" si="4"/>
        <v/>
      </c>
      <c r="AC78" s="160" t="str">
        <f t="shared" si="5"/>
        <v>03-04 May</v>
      </c>
      <c r="AD78" s="160" t="str">
        <f t="shared" si="6"/>
        <v/>
      </c>
      <c r="AE78" s="161" t="str">
        <f t="shared" si="7"/>
        <v/>
      </c>
      <c r="AF78" s="162" t="str">
        <f t="shared" si="8"/>
        <v/>
      </c>
      <c r="AG78" s="120" t="str">
        <f t="shared" si="9"/>
        <v/>
      </c>
      <c r="AH78" s="121" t="str">
        <f>IFERROR($M78+VLOOKUP($L78,'Voyage days'!$F$38:$H$89,3,FALSE),"")</f>
        <v/>
      </c>
      <c r="AI78" s="121" t="str">
        <f>IFERROR(N78+VLOOKUP($L78,'Voyage days'!$F$38:$H$89,3,FALSE),"")</f>
        <v/>
      </c>
      <c r="AJ78" s="120" t="str">
        <f t="shared" si="10"/>
        <v>13-14 Apr</v>
      </c>
      <c r="AK78" s="121">
        <f>IFERROR($M78+VLOOKUP($L78,'Voyage days'!$F$94:$H$193,3,FALSE),"")</f>
        <v>46125</v>
      </c>
      <c r="AL78" s="121">
        <f>IFERROR($N78+VLOOKUP($L78,'Voyage days'!$F$94:$H$193,3,FALSE),"")</f>
        <v>46126</v>
      </c>
      <c r="AM78" s="120" t="str">
        <f t="shared" si="11"/>
        <v>13-14 Apr</v>
      </c>
      <c r="AN78" s="121">
        <f>IFERROR($M78+VLOOKUP($L78,'Voyage days'!$F$203:$H$256,3,FALSE),"")</f>
        <v>46125</v>
      </c>
      <c r="AO78" s="121">
        <f>IFERROR($N78+VLOOKUP($L78,'Voyage days'!$F$203:$H$256,3,FALSE),"")</f>
        <v>46126</v>
      </c>
      <c r="AP78" s="120" t="str">
        <f t="shared" si="12"/>
        <v/>
      </c>
      <c r="AQ78" s="121" t="str">
        <f>IFERROR($M78+VLOOKUP($L78,'Voyage days'!$F$294:$H$377,3,FALSE),"")</f>
        <v/>
      </c>
      <c r="AR78" s="121" t="str">
        <f>IFERROR($N78+VLOOKUP($L78,'Voyage days'!$F$294:$H$377,3,FALSE),"")</f>
        <v/>
      </c>
      <c r="AS78" s="120" t="str">
        <f t="shared" si="13"/>
        <v>03-04 May</v>
      </c>
      <c r="AT78" s="121">
        <f>IFERROR($M78+VLOOKUP($L78,'Voyage days'!$F$382:$H$446,3,FALSE),"")</f>
        <v>46145</v>
      </c>
      <c r="AU78" s="121">
        <f>IFERROR($N78+VLOOKUP($L78,'Voyage days'!$F$382:$H$446,3,FALSE),"")</f>
        <v>46146</v>
      </c>
      <c r="AV78" s="120" t="str">
        <f t="shared" si="14"/>
        <v/>
      </c>
      <c r="AW78" s="121" t="str">
        <f>IFERROR($M78+VLOOKUP($L78,'Voyage days'!$F$483:$H$538,3,FALSE),"")</f>
        <v/>
      </c>
      <c r="AX78" s="121" t="str">
        <f>IFERROR($N78+VLOOKUP($L78,'Voyage days'!$F$483:$H$538,3,FALSE),"")</f>
        <v/>
      </c>
      <c r="AY78" s="120" t="str">
        <f t="shared" si="15"/>
        <v/>
      </c>
      <c r="AZ78" s="121" t="str">
        <f>IFERROR($M78+VLOOKUP($L78,'Voyage days'!$F$540:$H$613,3,FALSE),"")</f>
        <v/>
      </c>
      <c r="BA78" s="121" t="str">
        <f>IFERROR($N78+VLOOKUP($L78,'Voyage days'!$F$540:$H$613,3,FALSE),"")</f>
        <v/>
      </c>
      <c r="BB78" s="120" t="str">
        <f t="shared" si="16"/>
        <v/>
      </c>
      <c r="BC78" s="121" t="str">
        <f>IFERROR($M78+VLOOKUP($L78,'Voyage days'!$F$448:$H$479,3,FALSE),"")</f>
        <v/>
      </c>
      <c r="BD78" s="121" t="str">
        <f>IFERROR($N78+VLOOKUP($L78,'Voyage days'!$F$448:$H$479,3,FALSE),"")</f>
        <v/>
      </c>
      <c r="BE78" s="120" t="str">
        <f t="shared" si="17"/>
        <v/>
      </c>
      <c r="BF78" s="122" t="str">
        <f>IFERROR($M78+VLOOKUP($L78,'Voyage days'!$F$620:$H$646,3,FALSE),"")</f>
        <v/>
      </c>
      <c r="BG78" s="122" t="str">
        <f>IFERROR($N78+VLOOKUP($L78,'Voyage days'!$F$620:$H$646,3,FALSE),"")</f>
        <v/>
      </c>
      <c r="BH78" s="120" t="str">
        <f t="shared" si="18"/>
        <v/>
      </c>
      <c r="BI78" s="123" t="str">
        <f>IFERROR($M78+VLOOKUP($L78,'Voyage days'!$F$702:$H$727,3,FALSE),"")</f>
        <v/>
      </c>
      <c r="BJ78" s="120" t="str">
        <f t="shared" si="19"/>
        <v/>
      </c>
      <c r="BK78" s="122" t="str">
        <f>IFERROR($M78+VLOOKUP($L78,'Voyage days'!$F$807:$H$878,3,FALSE),"")</f>
        <v/>
      </c>
      <c r="BL78" s="122" t="str">
        <f>IFERROR($N78+VLOOKUP($L78,'Voyage days'!$F$807:$H$878,3,FALSE),"")</f>
        <v/>
      </c>
      <c r="BM78" s="122" t="str">
        <f>IFERROR($N78+VLOOKUP($L78,'Voyage days'!$F$807:$K$878,6,FALSE),"")</f>
        <v/>
      </c>
      <c r="BN78" s="121" t="str">
        <f>if(L78="loads AG", IFERROR($M78+VLOOKUP($L78,'Voyage days'!$M$38:$O$38,3,FALSE),""),"")</f>
        <v/>
      </c>
      <c r="BO78" s="121">
        <f>if(L78="loads USG", IFERROR($M78+VLOOKUP($L78,'Voyage days'!$L$203:$N$203,3,FALSE),""),"")</f>
        <v>46157</v>
      </c>
    </row>
    <row r="79" ht="15.75" customHeight="1">
      <c r="A79" s="80" t="s">
        <v>514</v>
      </c>
      <c r="B79" s="202">
        <v>2020.0</v>
      </c>
      <c r="C79" s="102">
        <v>84000.0</v>
      </c>
      <c r="D79" s="112" t="s">
        <v>603</v>
      </c>
      <c r="E79" s="103"/>
      <c r="F79" s="104"/>
      <c r="G79" s="104"/>
      <c r="H79" s="104" t="s">
        <v>689</v>
      </c>
      <c r="I79" s="335" t="s">
        <v>837</v>
      </c>
      <c r="J79" s="106" t="str">
        <f t="shared" si="22"/>
        <v>Update</v>
      </c>
      <c r="K79" s="205" t="s">
        <v>765</v>
      </c>
      <c r="L79" s="108" t="s">
        <v>770</v>
      </c>
      <c r="M79" s="109">
        <v>46118.0</v>
      </c>
      <c r="N79" s="109">
        <v>46120.0</v>
      </c>
      <c r="O79" s="191"/>
      <c r="P79" s="192" t="s">
        <v>858</v>
      </c>
      <c r="Q79" s="187"/>
      <c r="R79" s="187" t="s">
        <v>859</v>
      </c>
      <c r="S79" s="112" t="s">
        <v>659</v>
      </c>
      <c r="T79" s="318">
        <v>46124.0</v>
      </c>
      <c r="U79" s="114" t="str">
        <f>IF(V79="","No AIS",VLOOKUP(V79,'Voyage days'!$A$3:$B$1480,2,FALSE))</f>
        <v>ECI + 5</v>
      </c>
      <c r="V79" s="115" t="str">
        <f>IF(VLOOKUP(A79,'1) Kpler'!$E$2:$P$1000,8, FALSE)="","",VLOOKUP(A79,'1) Kpler'!$E$2:$P$1000,8, FALSE))</f>
        <v>Ennore Port</v>
      </c>
      <c r="W79" s="116">
        <f>IF(VLOOKUP(A79,'1) Kpler'!$E$2:$P$1000,9,FALSE)="","",VLOOKUP(A79,'1) Kpler'!$E$2:$P$1000,9,FALSE))</f>
        <v>46133.1875</v>
      </c>
      <c r="X79" s="115" t="str">
        <f>VLOOKUP(A79,'1) Kpler'!$E$2:$I$1000,4,FALSE)</f>
        <v>loaded</v>
      </c>
      <c r="Y79" s="117" t="str">
        <f t="shared" si="1"/>
        <v>07-09 May</v>
      </c>
      <c r="Z79" s="117" t="str">
        <f t="shared" si="2"/>
        <v/>
      </c>
      <c r="AA79" s="117" t="str">
        <f t="shared" si="3"/>
        <v/>
      </c>
      <c r="AB79" s="117" t="str">
        <f t="shared" si="4"/>
        <v/>
      </c>
      <c r="AC79" s="117" t="str">
        <f t="shared" si="5"/>
        <v/>
      </c>
      <c r="AD79" s="117" t="str">
        <f t="shared" si="6"/>
        <v>29-01 May</v>
      </c>
      <c r="AE79" s="118" t="str">
        <f t="shared" si="7"/>
        <v>26-28 Apr</v>
      </c>
      <c r="AF79" s="119" t="str">
        <f t="shared" si="8"/>
        <v>06-08 Apr</v>
      </c>
      <c r="AG79" s="120" t="str">
        <f t="shared" si="9"/>
        <v>07-09 May</v>
      </c>
      <c r="AH79" s="121">
        <f>IFERROR($M79+VLOOKUP($L79,'Voyage days'!$F$38:$H$89,3,FALSE),"")</f>
        <v>46149</v>
      </c>
      <c r="AI79" s="121">
        <f>IFERROR(N79+VLOOKUP($L79,'Voyage days'!$F$38:$H$89,3,FALSE),"")</f>
        <v>46151</v>
      </c>
      <c r="AJ79" s="120" t="str">
        <f t="shared" si="10"/>
        <v/>
      </c>
      <c r="AK79" s="121" t="str">
        <f>IFERROR($M79+VLOOKUP($L79,'Voyage days'!$F$94:$H$193,3,FALSE),"")</f>
        <v/>
      </c>
      <c r="AL79" s="121" t="str">
        <f>IFERROR($N79+VLOOKUP($L79,'Voyage days'!$F$94:$H$193,3,FALSE),"")</f>
        <v/>
      </c>
      <c r="AM79" s="120" t="str">
        <f t="shared" si="11"/>
        <v/>
      </c>
      <c r="AN79" s="121" t="str">
        <f>IFERROR($M79+VLOOKUP($L79,'Voyage days'!$F$203:$H$256,3,FALSE),"")</f>
        <v/>
      </c>
      <c r="AO79" s="121" t="str">
        <f>IFERROR($N79+VLOOKUP($L79,'Voyage days'!$F$203:$H$256,3,FALSE),"")</f>
        <v/>
      </c>
      <c r="AP79" s="120" t="str">
        <f t="shared" si="12"/>
        <v/>
      </c>
      <c r="AQ79" s="121" t="str">
        <f>IFERROR($M79+VLOOKUP($L79,'Voyage days'!$F$294:$H$377,3,FALSE),"")</f>
        <v/>
      </c>
      <c r="AR79" s="121" t="str">
        <f>IFERROR($N79+VLOOKUP($L79,'Voyage days'!$F$294:$H$377,3,FALSE),"")</f>
        <v/>
      </c>
      <c r="AS79" s="120" t="str">
        <f t="shared" si="13"/>
        <v/>
      </c>
      <c r="AT79" s="121" t="str">
        <f>IFERROR($M79+VLOOKUP($L79,'Voyage days'!$F$382:$H$446,3,FALSE),"")</f>
        <v/>
      </c>
      <c r="AU79" s="121" t="str">
        <f>IFERROR($N79+VLOOKUP($L79,'Voyage days'!$F$382:$H$446,3,FALSE),"")</f>
        <v/>
      </c>
      <c r="AV79" s="120" t="str">
        <f t="shared" si="14"/>
        <v>21-23 Apr</v>
      </c>
      <c r="AW79" s="121">
        <f>IFERROR($M79+VLOOKUP($L79,'Voyage days'!$F$483:$H$538,3,FALSE),"")</f>
        <v>46133</v>
      </c>
      <c r="AX79" s="121">
        <f>IFERROR($N79+VLOOKUP($L79,'Voyage days'!$F$483:$H$538,3,FALSE),"")</f>
        <v>46135</v>
      </c>
      <c r="AY79" s="120" t="str">
        <f t="shared" si="15"/>
        <v>26-28 Apr</v>
      </c>
      <c r="AZ79" s="121">
        <f>IFERROR($M79+VLOOKUP($L79,'Voyage days'!$F$540:$H$613,3,FALSE),"")</f>
        <v>46138</v>
      </c>
      <c r="BA79" s="121">
        <f>IFERROR($N79+VLOOKUP($L79,'Voyage days'!$F$540:$H$613,3,FALSE),"")</f>
        <v>46140</v>
      </c>
      <c r="BB79" s="120" t="str">
        <f t="shared" si="16"/>
        <v>29-01 May</v>
      </c>
      <c r="BC79" s="121">
        <f>IFERROR($M79+VLOOKUP($L79,'Voyage days'!$F$448:$H$479,3,FALSE),"")</f>
        <v>46141</v>
      </c>
      <c r="BD79" s="121">
        <f>IFERROR($N79+VLOOKUP($L79,'Voyage days'!$F$448:$H$479,3,FALSE),"")</f>
        <v>46143</v>
      </c>
      <c r="BE79" s="120" t="str">
        <f t="shared" si="17"/>
        <v/>
      </c>
      <c r="BF79" s="122" t="str">
        <f>IFERROR($M79+VLOOKUP($L79,'Voyage days'!$F$620:$H$646,3,FALSE),"")</f>
        <v/>
      </c>
      <c r="BG79" s="122" t="str">
        <f>IFERROR($N79+VLOOKUP($L79,'Voyage days'!$F$620:$H$646,3,FALSE),"")</f>
        <v/>
      </c>
      <c r="BH79" s="120" t="str">
        <f t="shared" si="18"/>
        <v>26-08 Apr</v>
      </c>
      <c r="BI79" s="123">
        <f>IFERROR($M79+VLOOKUP($L79,'Voyage days'!$F$702:$H$727,3,FALSE),"")</f>
        <v>46138</v>
      </c>
      <c r="BJ79" s="120" t="str">
        <f t="shared" si="19"/>
        <v>06-08 Apr</v>
      </c>
      <c r="BK79" s="122">
        <f>IFERROR($M79+VLOOKUP($L79,'Voyage days'!$F$807:$H$878,3,FALSE),"")</f>
        <v>46118</v>
      </c>
      <c r="BL79" s="122">
        <f>IFERROR($N79+VLOOKUP($L79,'Voyage days'!$F$807:$H$878,3,FALSE),"")</f>
        <v>46120</v>
      </c>
      <c r="BM79" s="122">
        <f>IFERROR($N79+VLOOKUP($L79,'Voyage days'!$F$807:$K$878,6,FALSE),"")</f>
        <v>46120</v>
      </c>
      <c r="BN79" s="121" t="str">
        <f>if(L79="loads AG", IFERROR($M79+VLOOKUP($L79,'Voyage days'!$M$38:$O$38,3,FALSE),""),"")</f>
        <v/>
      </c>
      <c r="BO79" s="121" t="str">
        <f>if(L79="loads USG", IFERROR($M79+VLOOKUP($L79,'Voyage days'!$L$203:$N$203,3,FALSE),""),"")</f>
        <v/>
      </c>
    </row>
    <row r="80">
      <c r="A80" s="396" t="s">
        <v>578</v>
      </c>
      <c r="B80" s="165">
        <v>2021.0</v>
      </c>
      <c r="C80" s="166">
        <v>84000.0</v>
      </c>
      <c r="D80" s="112" t="s">
        <v>603</v>
      </c>
      <c r="E80" s="223"/>
      <c r="F80" s="168"/>
      <c r="G80" s="168"/>
      <c r="H80" s="168" t="s">
        <v>689</v>
      </c>
      <c r="I80" s="397" t="s">
        <v>837</v>
      </c>
      <c r="J80" s="170" t="str">
        <f t="shared" si="22"/>
        <v/>
      </c>
      <c r="K80" s="171"/>
      <c r="L80" s="172" t="s">
        <v>860</v>
      </c>
      <c r="M80" s="173">
        <v>46133.0</v>
      </c>
      <c r="N80" s="173">
        <v>46134.0</v>
      </c>
      <c r="O80" s="226"/>
      <c r="P80" s="320" t="s">
        <v>861</v>
      </c>
      <c r="Q80" s="320"/>
      <c r="R80" s="172" t="s">
        <v>862</v>
      </c>
      <c r="S80" s="175" t="s">
        <v>659</v>
      </c>
      <c r="T80" s="176">
        <v>46124.0</v>
      </c>
      <c r="U80" s="177" t="str">
        <f>IF(V80="","No AIS",VLOOKUP(V80,'Voyage days'!$A$3:$B$1480,2,FALSE))</f>
        <v>Singapore</v>
      </c>
      <c r="V80" s="178" t="str">
        <f>IF(VLOOKUP(A80,'1) Kpler'!$E$2:$P$1000,8, FALSE)="","",VLOOKUP(A80,'1) Kpler'!$E$2:$P$1000,8, FALSE))</f>
        <v>Singapore</v>
      </c>
      <c r="W80" s="179">
        <f>IF(VLOOKUP(A80,'1) Kpler'!$E$2:$P$1000,9,FALSE)="","",VLOOKUP(A80,'1) Kpler'!$E$2:$P$1000,9,FALSE))</f>
        <v>46133.5</v>
      </c>
      <c r="X80" s="178" t="str">
        <f>VLOOKUP(A80,'1) Kpler'!$E$2:$I$1000,4,FALSE)</f>
        <v>loaded</v>
      </c>
      <c r="Y80" s="120" t="str">
        <f t="shared" si="1"/>
        <v>06-07 May</v>
      </c>
      <c r="Z80" s="120" t="str">
        <f t="shared" si="2"/>
        <v>29-30 May</v>
      </c>
      <c r="AA80" s="120" t="str">
        <f t="shared" si="3"/>
        <v>30-31 May</v>
      </c>
      <c r="AB80" s="120" t="str">
        <f t="shared" si="4"/>
        <v>16-17 May</v>
      </c>
      <c r="AC80" s="120" t="str">
        <f t="shared" si="5"/>
        <v>24-25 May</v>
      </c>
      <c r="AD80" s="120" t="str">
        <f t="shared" si="6"/>
        <v>28-29 Apr</v>
      </c>
      <c r="AE80" s="228" t="str">
        <f t="shared" si="7"/>
        <v>01-02 May</v>
      </c>
      <c r="AF80" s="229" t="str">
        <f t="shared" si="8"/>
        <v>03-04 Jun</v>
      </c>
      <c r="AG80" s="120" t="str">
        <f t="shared" si="9"/>
        <v>06-07 May</v>
      </c>
      <c r="AH80" s="121">
        <f>IFERROR($M80+VLOOKUP($L80,'Voyage days'!$F$38:$H$89,3,FALSE),"")</f>
        <v>46148</v>
      </c>
      <c r="AI80" s="121">
        <f>IFERROR(N80+VLOOKUP($L80,'Voyage days'!$F$38:$H$89,3,FALSE),"")</f>
        <v>46149</v>
      </c>
      <c r="AJ80" s="120" t="str">
        <f t="shared" si="10"/>
        <v>29-30 May</v>
      </c>
      <c r="AK80" s="121">
        <f>IFERROR($M80+VLOOKUP($L80,'Voyage days'!$F$94:$H$193,3,FALSE),"")</f>
        <v>46171</v>
      </c>
      <c r="AL80" s="121">
        <f>IFERROR($N80+VLOOKUP($L80,'Voyage days'!$F$94:$H$193,3,FALSE),"")</f>
        <v>46172</v>
      </c>
      <c r="AM80" s="120" t="str">
        <f t="shared" si="11"/>
        <v>30-31 May</v>
      </c>
      <c r="AN80" s="121">
        <f>IFERROR($M80+VLOOKUP($L80,'Voyage days'!$F$203:$H$256,3,FALSE),"")</f>
        <v>46172</v>
      </c>
      <c r="AO80" s="121">
        <f>IFERROR($N80+VLOOKUP($L80,'Voyage days'!$F$203:$H$256,3,FALSE),"")</f>
        <v>46173</v>
      </c>
      <c r="AP80" s="120" t="str">
        <f t="shared" si="12"/>
        <v>16-17 May</v>
      </c>
      <c r="AQ80" s="121">
        <f>IFERROR($M80+VLOOKUP($L80,'Voyage days'!$F$294:$H$377,3,FALSE),"")</f>
        <v>46158</v>
      </c>
      <c r="AR80" s="121">
        <f>IFERROR($N80+VLOOKUP($L80,'Voyage days'!$F$294:$H$377,3,FALSE),"")</f>
        <v>46159</v>
      </c>
      <c r="AS80" s="120" t="str">
        <f t="shared" si="13"/>
        <v>24-25 May</v>
      </c>
      <c r="AT80" s="121">
        <f>IFERROR($M80+VLOOKUP($L80,'Voyage days'!$F$382:$H$446,3,FALSE),"")</f>
        <v>46166</v>
      </c>
      <c r="AU80" s="121">
        <f>IFERROR($N80+VLOOKUP($L80,'Voyage days'!$F$382:$H$446,3,FALSE),"")</f>
        <v>46167</v>
      </c>
      <c r="AV80" s="120" t="str">
        <f t="shared" si="14"/>
        <v>07-08 May</v>
      </c>
      <c r="AW80" s="121">
        <f>IFERROR($M80+VLOOKUP($L80,'Voyage days'!$F$483:$H$538,3,FALSE),"")</f>
        <v>46149</v>
      </c>
      <c r="AX80" s="121">
        <f>IFERROR($N80+VLOOKUP($L80,'Voyage days'!$F$483:$H$538,3,FALSE),"")</f>
        <v>46150</v>
      </c>
      <c r="AY80" s="120" t="str">
        <f t="shared" si="15"/>
        <v>01-02 May</v>
      </c>
      <c r="AZ80" s="121">
        <f>IFERROR($M80+VLOOKUP($L80,'Voyage days'!$F$540:$H$613,3,FALSE),"")</f>
        <v>46143</v>
      </c>
      <c r="BA80" s="121">
        <f>IFERROR($N80+VLOOKUP($L80,'Voyage days'!$F$540:$H$613,3,FALSE),"")</f>
        <v>46144</v>
      </c>
      <c r="BB80" s="120" t="str">
        <f t="shared" si="16"/>
        <v>28-29 Apr</v>
      </c>
      <c r="BC80" s="121">
        <f>IFERROR($M80+VLOOKUP($L80,'Voyage days'!$F$448:$H$479,3,FALSE),"")</f>
        <v>46140</v>
      </c>
      <c r="BD80" s="121">
        <f>IFERROR($N80+VLOOKUP($L80,'Voyage days'!$F$448:$H$479,3,FALSE),"")</f>
        <v>46141</v>
      </c>
      <c r="BE80" s="120" t="str">
        <f t="shared" si="17"/>
        <v/>
      </c>
      <c r="BF80" s="122" t="str">
        <f>IFERROR($M80+VLOOKUP($L80,'Voyage days'!$F$620:$H$646,3,FALSE),"")</f>
        <v/>
      </c>
      <c r="BG80" s="122" t="str">
        <f>IFERROR($N80+VLOOKUP($L80,'Voyage days'!$F$620:$H$646,3,FALSE),"")</f>
        <v/>
      </c>
      <c r="BH80" s="120" t="str">
        <f t="shared" si="18"/>
        <v>06-04 Jun</v>
      </c>
      <c r="BI80" s="123">
        <f>IFERROR($M80+VLOOKUP($L80,'Voyage days'!$F$702:$H$727,3,FALSE),"")</f>
        <v>46148</v>
      </c>
      <c r="BJ80" s="120" t="str">
        <f t="shared" si="19"/>
        <v>03-04 Jun</v>
      </c>
      <c r="BK80" s="122">
        <f>IFERROR($M80+VLOOKUP($L80,'Voyage days'!$F$807:$H$878,3,FALSE),"")</f>
        <v>46176</v>
      </c>
      <c r="BL80" s="122">
        <f>IFERROR($N80+VLOOKUP($L80,'Voyage days'!$F$807:$H$878,3,FALSE),"")</f>
        <v>46177</v>
      </c>
      <c r="BM80" s="122">
        <f>IFERROR($N80+VLOOKUP($L80,'Voyage days'!$F$807:$K$878,6,FALSE),"")</f>
        <v>46153</v>
      </c>
      <c r="BN80" s="121" t="str">
        <f>if(L80="loads AG", IFERROR($M80+VLOOKUP($L80,'Voyage days'!$M$38:$O$38,3,FALSE),""),"")</f>
        <v/>
      </c>
      <c r="BO80" s="121" t="str">
        <f>if(L80="loads USG", IFERROR($M80+VLOOKUP($L80,'Voyage days'!$L$203:$N$203,3,FALSE),""),"")</f>
        <v/>
      </c>
    </row>
    <row r="81" ht="14.25" customHeight="1">
      <c r="A81" s="274" t="s">
        <v>275</v>
      </c>
      <c r="B81" s="101">
        <v>41645.0</v>
      </c>
      <c r="C81" s="102">
        <v>84000.0</v>
      </c>
      <c r="D81" s="256"/>
      <c r="E81" s="112" t="s">
        <v>706</v>
      </c>
      <c r="F81" s="150"/>
      <c r="G81" s="150"/>
      <c r="H81" s="150"/>
      <c r="I81" s="321" t="s">
        <v>863</v>
      </c>
      <c r="J81" s="398" t="str">
        <f t="shared" si="22"/>
        <v/>
      </c>
      <c r="K81" s="152"/>
      <c r="L81" s="153" t="s">
        <v>755</v>
      </c>
      <c r="M81" s="238">
        <v>46162.0</v>
      </c>
      <c r="N81" s="276">
        <v>46163.0</v>
      </c>
      <c r="O81" s="399"/>
      <c r="P81" s="153" t="s">
        <v>864</v>
      </c>
      <c r="Q81" s="153"/>
      <c r="R81" s="153" t="s">
        <v>865</v>
      </c>
      <c r="S81" s="400" t="s">
        <v>659</v>
      </c>
      <c r="T81" s="293">
        <v>46124.0</v>
      </c>
      <c r="U81" s="114" t="str">
        <f>IF(V81="","No AIS",VLOOKUP(V81,'Voyage days'!$A$3:$B$1480,2,FALSE))</f>
        <v>Indo + 4</v>
      </c>
      <c r="V81" s="114" t="str">
        <f>IF(VLOOKUP(A81,'1) Kpler'!$E$2:$P$1000,8, FALSE)="","",VLOOKUP(A81,'1) Kpler'!$E$2:$P$1000,8, FALSE))</f>
        <v>Oiltank. Merak</v>
      </c>
      <c r="W81" s="159">
        <f>IF(VLOOKUP(A81,'1) Kpler'!$E$2:$P$1000,9,FALSE)="","",VLOOKUP(A81,'1) Kpler'!$E$2:$P$1000,9,FALSE))</f>
        <v>46158.16667</v>
      </c>
      <c r="X81" s="114" t="str">
        <f>VLOOKUP(A81,'1) Kpler'!$E$2:$I$1000,4,FALSE)</f>
        <v>loaded</v>
      </c>
      <c r="Y81" s="296" t="str">
        <f t="shared" si="1"/>
        <v>31-01 Jun</v>
      </c>
      <c r="Z81" s="296" t="str">
        <f t="shared" si="2"/>
        <v>28-29 Jun</v>
      </c>
      <c r="AA81" s="296" t="str">
        <f t="shared" si="3"/>
        <v>26-27 Jun</v>
      </c>
      <c r="AB81" s="296" t="str">
        <f t="shared" si="4"/>
        <v>09-10 Jun</v>
      </c>
      <c r="AC81" s="296" t="str">
        <f t="shared" si="5"/>
        <v>18-19 Jun</v>
      </c>
      <c r="AD81" s="296" t="str">
        <f t="shared" si="6"/>
        <v>23-24 May</v>
      </c>
      <c r="AE81" s="297" t="str">
        <f t="shared" si="7"/>
        <v>24-25 May</v>
      </c>
      <c r="AF81" s="119" t="str">
        <f t="shared" si="8"/>
        <v>26-27 Jun</v>
      </c>
      <c r="AG81" s="163" t="str">
        <f t="shared" si="9"/>
        <v>31-01 Jun</v>
      </c>
      <c r="AH81" s="122">
        <f>IFERROR($M81+VLOOKUP($L81,'Voyage days'!$F$38:$H$89,3,FALSE),"")</f>
        <v>46173</v>
      </c>
      <c r="AI81" s="122">
        <f>IFERROR(N81+VLOOKUP($L81,'Voyage days'!$F$38:$H$89,3,FALSE),"")</f>
        <v>46174</v>
      </c>
      <c r="AJ81" s="163" t="str">
        <f t="shared" si="10"/>
        <v>28-29 Jun</v>
      </c>
      <c r="AK81" s="122">
        <f>IFERROR($M81+VLOOKUP($L81,'Voyage days'!$F$94:$H$193,3,FALSE),"")</f>
        <v>46201</v>
      </c>
      <c r="AL81" s="122">
        <f>IFERROR($N81+VLOOKUP($L81,'Voyage days'!$F$94:$H$193,3,FALSE),"")</f>
        <v>46202</v>
      </c>
      <c r="AM81" s="163" t="str">
        <f t="shared" si="11"/>
        <v>26-27 Jun</v>
      </c>
      <c r="AN81" s="122">
        <f>IFERROR($M81+VLOOKUP($L81,'Voyage days'!$F$203:$H$256,3,FALSE),"")</f>
        <v>46199</v>
      </c>
      <c r="AO81" s="122">
        <f>IFERROR($N81+VLOOKUP($L81,'Voyage days'!$F$203:$H$256,3,FALSE),"")</f>
        <v>46200</v>
      </c>
      <c r="AP81" s="163" t="str">
        <f t="shared" si="12"/>
        <v>09-10 Jun</v>
      </c>
      <c r="AQ81" s="122">
        <f>IFERROR($M81+VLOOKUP($L81,'Voyage days'!$F$294:$H$377,3,FALSE),"")</f>
        <v>46182</v>
      </c>
      <c r="AR81" s="122">
        <f>IFERROR($N81+VLOOKUP($L81,'Voyage days'!$F$294:$H$377,3,FALSE),"")</f>
        <v>46183</v>
      </c>
      <c r="AS81" s="163" t="str">
        <f t="shared" si="13"/>
        <v>18-19 Jun</v>
      </c>
      <c r="AT81" s="122">
        <f>IFERROR($M81+VLOOKUP($L81,'Voyage days'!$F$382:$H$446,3,FALSE),"")</f>
        <v>46191</v>
      </c>
      <c r="AU81" s="122">
        <f>IFERROR($N81+VLOOKUP($L81,'Voyage days'!$F$382:$H$446,3,FALSE),"")</f>
        <v>46192</v>
      </c>
      <c r="AV81" s="163" t="str">
        <f t="shared" si="14"/>
        <v>29-30 May</v>
      </c>
      <c r="AW81" s="122">
        <f>IFERROR($M81+VLOOKUP($L81,'Voyage days'!$F$483:$H$538,3,FALSE),"")</f>
        <v>46171</v>
      </c>
      <c r="AX81" s="122">
        <f>IFERROR($N81+VLOOKUP($L81,'Voyage days'!$F$483:$H$538,3,FALSE),"")</f>
        <v>46172</v>
      </c>
      <c r="AY81" s="163" t="str">
        <f t="shared" si="15"/>
        <v>24-25 May</v>
      </c>
      <c r="AZ81" s="122">
        <f>IFERROR($M81+VLOOKUP($L81,'Voyage days'!$F$540:$H$613,3,FALSE),"")</f>
        <v>46166</v>
      </c>
      <c r="BA81" s="122">
        <f>IFERROR($N81+VLOOKUP($L81,'Voyage days'!$F$540:$H$613,3,FALSE),"")</f>
        <v>46167</v>
      </c>
      <c r="BB81" s="163" t="str">
        <f t="shared" si="16"/>
        <v>23-24 May</v>
      </c>
      <c r="BC81" s="121">
        <f>IFERROR($M81+VLOOKUP($L81,'Voyage days'!$F$448:$H$479,3,FALSE),"")</f>
        <v>46165</v>
      </c>
      <c r="BD81" s="121">
        <f>IFERROR($N81+VLOOKUP($L81,'Voyage days'!$F$448:$H$479,3,FALSE),"")</f>
        <v>46166</v>
      </c>
      <c r="BE81" s="163" t="str">
        <f t="shared" si="17"/>
        <v/>
      </c>
      <c r="BF81" s="122" t="str">
        <f>IFERROR($M81+VLOOKUP($L81,'Voyage days'!$F$620:$H$646,3,FALSE),"")</f>
        <v/>
      </c>
      <c r="BG81" s="122" t="str">
        <f>IFERROR($N81+VLOOKUP($L81,'Voyage days'!$F$620:$H$646,3,FALSE),"")</f>
        <v/>
      </c>
      <c r="BH81" s="163" t="str">
        <f t="shared" si="18"/>
        <v>28-27 Jun</v>
      </c>
      <c r="BI81" s="123">
        <f>IFERROR($M81+VLOOKUP($L81,'Voyage days'!$F$702:$H$727,3,FALSE),"")</f>
        <v>46170</v>
      </c>
      <c r="BJ81" s="163" t="str">
        <f t="shared" si="19"/>
        <v>26-27 Jun</v>
      </c>
      <c r="BK81" s="122">
        <f>IFERROR($M81+VLOOKUP($L81,'Voyage days'!$F$807:$H$878,3,FALSE),"")</f>
        <v>46199</v>
      </c>
      <c r="BL81" s="122">
        <f>IFERROR($N81+VLOOKUP($L81,'Voyage days'!$F$807:$H$878,3,FALSE),"")</f>
        <v>46200</v>
      </c>
      <c r="BM81" s="122">
        <f>IFERROR($N81+VLOOKUP($L81,'Voyage days'!$F$807:$K$878,6,FALSE),"")</f>
        <v>46176</v>
      </c>
      <c r="BN81" s="121" t="str">
        <f>if(L81="loads AG", IFERROR($M81+VLOOKUP($L81,'Voyage days'!$M$38:$O$38,3,FALSE),""),"")</f>
        <v/>
      </c>
      <c r="BO81" s="121" t="str">
        <f>if(L81="loads USG", IFERROR($M81+VLOOKUP($L81,'Voyage days'!$L$203:$N$203,3,FALSE),""),"")</f>
        <v/>
      </c>
    </row>
    <row r="82" ht="15.75" customHeight="1">
      <c r="A82" s="100" t="s">
        <v>272</v>
      </c>
      <c r="B82" s="101">
        <v>43102.0</v>
      </c>
      <c r="C82" s="102">
        <v>85000.0</v>
      </c>
      <c r="D82" s="112"/>
      <c r="E82" s="112" t="s">
        <v>706</v>
      </c>
      <c r="F82" s="104"/>
      <c r="G82" s="104"/>
      <c r="H82" s="104" t="s">
        <v>666</v>
      </c>
      <c r="I82" s="401" t="s">
        <v>863</v>
      </c>
      <c r="J82" s="106" t="str">
        <f t="shared" si="22"/>
        <v/>
      </c>
      <c r="K82" s="107"/>
      <c r="L82" s="108" t="s">
        <v>680</v>
      </c>
      <c r="M82" s="109">
        <v>46136.0</v>
      </c>
      <c r="N82" s="109">
        <v>46137.0</v>
      </c>
      <c r="O82" s="255"/>
      <c r="P82" s="108" t="s">
        <v>866</v>
      </c>
      <c r="Q82" s="108"/>
      <c r="R82" s="108" t="s">
        <v>867</v>
      </c>
      <c r="S82" s="402" t="s">
        <v>659</v>
      </c>
      <c r="T82" s="318">
        <v>46124.0</v>
      </c>
      <c r="U82" s="114" t="str">
        <f>IF(V82="","No AIS",VLOOKUP(V82,'Voyage days'!$A$3:$B$1480,2,FALSE))</f>
        <v>USG</v>
      </c>
      <c r="V82" s="115" t="str">
        <f>IF(VLOOKUP(A82,'1) Kpler'!$E$2:$P$1000,8, FALSE)="","",VLOOKUP(A82,'1) Kpler'!$E$2:$P$1000,8, FALSE))</f>
        <v>Houston</v>
      </c>
      <c r="W82" s="116">
        <f>IF(VLOOKUP(A82,'1) Kpler'!$E$2:$P$1000,9,FALSE)="","",VLOOKUP(A82,'1) Kpler'!$E$2:$P$1000,9,FALSE))</f>
        <v>46134.33333</v>
      </c>
      <c r="X82" s="115" t="str">
        <f>VLOOKUP(A82,'1) Kpler'!$E$2:$I$1000,4,FALSE)</f>
        <v>ballast</v>
      </c>
      <c r="Y82" s="160" t="str">
        <f t="shared" si="1"/>
        <v/>
      </c>
      <c r="Z82" s="160" t="str">
        <f t="shared" si="2"/>
        <v>24-25 Apr</v>
      </c>
      <c r="AA82" s="160" t="str">
        <f t="shared" si="3"/>
        <v>24-25 Apr</v>
      </c>
      <c r="AB82" s="160" t="str">
        <f t="shared" si="4"/>
        <v/>
      </c>
      <c r="AC82" s="160" t="str">
        <f t="shared" si="5"/>
        <v>14-15 May</v>
      </c>
      <c r="AD82" s="160" t="str">
        <f t="shared" si="6"/>
        <v/>
      </c>
      <c r="AE82" s="161" t="str">
        <f t="shared" si="7"/>
        <v/>
      </c>
      <c r="AF82" s="162" t="str">
        <f t="shared" si="8"/>
        <v/>
      </c>
      <c r="AG82" s="120" t="str">
        <f t="shared" si="9"/>
        <v/>
      </c>
      <c r="AH82" s="121" t="str">
        <f>IFERROR($M82+VLOOKUP($L82,'Voyage days'!$F$38:$H$89,3,FALSE),"")</f>
        <v/>
      </c>
      <c r="AI82" s="121" t="str">
        <f>IFERROR(N82+VLOOKUP($L82,'Voyage days'!$F$38:$H$89,3,FALSE),"")</f>
        <v/>
      </c>
      <c r="AJ82" s="120" t="str">
        <f t="shared" si="10"/>
        <v>24-25 Apr</v>
      </c>
      <c r="AK82" s="121">
        <f>IFERROR($M82+VLOOKUP($L82,'Voyage days'!$F$94:$H$193,3,FALSE),"")</f>
        <v>46136</v>
      </c>
      <c r="AL82" s="121">
        <f>IFERROR($N82+VLOOKUP($L82,'Voyage days'!$F$94:$H$193,3,FALSE),"")</f>
        <v>46137</v>
      </c>
      <c r="AM82" s="120" t="str">
        <f t="shared" si="11"/>
        <v>24-25 Apr</v>
      </c>
      <c r="AN82" s="121">
        <f>IFERROR($M82+VLOOKUP($L82,'Voyage days'!$F$203:$H$256,3,FALSE),"")</f>
        <v>46136</v>
      </c>
      <c r="AO82" s="121">
        <f>IFERROR($N82+VLOOKUP($L82,'Voyage days'!$F$203:$H$256,3,FALSE),"")</f>
        <v>46137</v>
      </c>
      <c r="AP82" s="120" t="str">
        <f t="shared" si="12"/>
        <v/>
      </c>
      <c r="AQ82" s="121" t="str">
        <f>IFERROR($M82+VLOOKUP($L82,'Voyage days'!$F$294:$H$377,3,FALSE),"")</f>
        <v/>
      </c>
      <c r="AR82" s="121" t="str">
        <f>IFERROR($N82+VLOOKUP($L82,'Voyage days'!$F$294:$H$377,3,FALSE),"")</f>
        <v/>
      </c>
      <c r="AS82" s="120" t="str">
        <f t="shared" si="13"/>
        <v>14-15 May</v>
      </c>
      <c r="AT82" s="121">
        <f>IFERROR($M82+VLOOKUP($L82,'Voyage days'!$F$382:$H$446,3,FALSE),"")</f>
        <v>46156</v>
      </c>
      <c r="AU82" s="121">
        <f>IFERROR($N82+VLOOKUP($L82,'Voyage days'!$F$382:$H$446,3,FALSE),"")</f>
        <v>46157</v>
      </c>
      <c r="AV82" s="120" t="str">
        <f t="shared" si="14"/>
        <v/>
      </c>
      <c r="AW82" s="121" t="str">
        <f>IFERROR($M82+VLOOKUP($L82,'Voyage days'!$F$483:$H$538,3,FALSE),"")</f>
        <v/>
      </c>
      <c r="AX82" s="121" t="str">
        <f>IFERROR($N82+VLOOKUP($L82,'Voyage days'!$F$483:$H$538,3,FALSE),"")</f>
        <v/>
      </c>
      <c r="AY82" s="120" t="str">
        <f t="shared" si="15"/>
        <v/>
      </c>
      <c r="AZ82" s="121" t="str">
        <f>IFERROR($M82+VLOOKUP($L82,'Voyage days'!$F$540:$H$613,3,FALSE),"")</f>
        <v/>
      </c>
      <c r="BA82" s="121" t="str">
        <f>IFERROR($N82+VLOOKUP($L82,'Voyage days'!$F$540:$H$613,3,FALSE),"")</f>
        <v/>
      </c>
      <c r="BB82" s="120" t="str">
        <f t="shared" si="16"/>
        <v/>
      </c>
      <c r="BC82" s="121" t="str">
        <f>IFERROR($M82+VLOOKUP($L82,'Voyage days'!$F$448:$H$479,3,FALSE),"")</f>
        <v/>
      </c>
      <c r="BD82" s="121" t="str">
        <f>IFERROR($N82+VLOOKUP($L82,'Voyage days'!$F$448:$H$479,3,FALSE),"")</f>
        <v/>
      </c>
      <c r="BE82" s="120" t="str">
        <f t="shared" si="17"/>
        <v/>
      </c>
      <c r="BF82" s="122" t="str">
        <f>IFERROR($M82+VLOOKUP($L82,'Voyage days'!$F$620:$H$646,3,FALSE),"")</f>
        <v/>
      </c>
      <c r="BG82" s="122" t="str">
        <f>IFERROR($N82+VLOOKUP($L82,'Voyage days'!$F$620:$H$646,3,FALSE),"")</f>
        <v/>
      </c>
      <c r="BH82" s="120" t="str">
        <f t="shared" si="18"/>
        <v/>
      </c>
      <c r="BI82" s="123" t="str">
        <f>IFERROR($M82+VLOOKUP($L82,'Voyage days'!$F$702:$H$727,3,FALSE),"")</f>
        <v/>
      </c>
      <c r="BJ82" s="120" t="str">
        <f t="shared" si="19"/>
        <v/>
      </c>
      <c r="BK82" s="122" t="str">
        <f>IFERROR($M82+VLOOKUP($L82,'Voyage days'!$F$807:$H$878,3,FALSE),"")</f>
        <v/>
      </c>
      <c r="BL82" s="122" t="str">
        <f>IFERROR($N82+VLOOKUP($L82,'Voyage days'!$F$807:$H$878,3,FALSE),"")</f>
        <v/>
      </c>
      <c r="BM82" s="122" t="str">
        <f>IFERROR($N82+VLOOKUP($L82,'Voyage days'!$F$807:$K$878,6,FALSE),"")</f>
        <v/>
      </c>
      <c r="BN82" s="121" t="str">
        <f>if(L82="loads AG", IFERROR($M82+VLOOKUP($L82,'Voyage days'!$M$38:$O$38,3,FALSE),""),"")</f>
        <v/>
      </c>
      <c r="BO82" s="121">
        <f>if(L82="loads USG", IFERROR($M82+VLOOKUP($L82,'Voyage days'!$L$203:$N$203,3,FALSE),""),"")</f>
        <v>46168</v>
      </c>
    </row>
    <row r="83" ht="15.75" customHeight="1">
      <c r="A83" s="274" t="s">
        <v>310</v>
      </c>
      <c r="B83" s="148">
        <v>2020.0</v>
      </c>
      <c r="C83" s="102">
        <v>84000.0</v>
      </c>
      <c r="D83" s="149"/>
      <c r="E83" s="149"/>
      <c r="F83" s="150"/>
      <c r="G83" s="150"/>
      <c r="H83" s="150" t="s">
        <v>689</v>
      </c>
      <c r="I83" s="321" t="s">
        <v>863</v>
      </c>
      <c r="J83" s="151" t="str">
        <f t="shared" si="22"/>
        <v/>
      </c>
      <c r="K83" s="107"/>
      <c r="L83" s="153" t="s">
        <v>680</v>
      </c>
      <c r="M83" s="276">
        <v>46145.0</v>
      </c>
      <c r="N83" s="276">
        <v>46146.0</v>
      </c>
      <c r="O83" s="255"/>
      <c r="P83" s="108" t="s">
        <v>868</v>
      </c>
      <c r="Q83" s="153"/>
      <c r="R83" s="108" t="s">
        <v>869</v>
      </c>
      <c r="S83" s="402" t="s">
        <v>659</v>
      </c>
      <c r="T83" s="318">
        <v>46124.0</v>
      </c>
      <c r="U83" s="114" t="str">
        <f>IF(V83="","No AIS",VLOOKUP(V83,'Voyage days'!$A$3:$B$1480,2,FALSE))</f>
        <v>USG</v>
      </c>
      <c r="V83" s="114" t="str">
        <f>IF(VLOOKUP(A83,'1) Kpler'!$E$2:$P$1000,8, FALSE)="","",VLOOKUP(A83,'1) Kpler'!$E$2:$P$1000,8, FALSE))</f>
        <v>Houston</v>
      </c>
      <c r="W83" s="159">
        <f>IF(VLOOKUP(A83,'1) Kpler'!$E$2:$P$1000,9,FALSE)="","",VLOOKUP(A83,'1) Kpler'!$E$2:$P$1000,9,FALSE))</f>
        <v>46142.79167</v>
      </c>
      <c r="X83" s="114" t="str">
        <f>VLOOKUP(A83,'1) Kpler'!$E$2:$I$1000,4,FALSE)</f>
        <v>ballast</v>
      </c>
      <c r="Y83" s="117" t="str">
        <f t="shared" si="1"/>
        <v/>
      </c>
      <c r="Z83" s="117" t="str">
        <f t="shared" si="2"/>
        <v>03-04 May</v>
      </c>
      <c r="AA83" s="117" t="str">
        <f t="shared" si="3"/>
        <v>03-04 May</v>
      </c>
      <c r="AB83" s="117" t="str">
        <f t="shared" si="4"/>
        <v/>
      </c>
      <c r="AC83" s="117" t="str">
        <f t="shared" si="5"/>
        <v>23-24 May</v>
      </c>
      <c r="AD83" s="117" t="str">
        <f t="shared" si="6"/>
        <v/>
      </c>
      <c r="AE83" s="118" t="str">
        <f t="shared" si="7"/>
        <v/>
      </c>
      <c r="AF83" s="119" t="str">
        <f t="shared" si="8"/>
        <v/>
      </c>
      <c r="AG83" s="163" t="str">
        <f t="shared" si="9"/>
        <v/>
      </c>
      <c r="AH83" s="122" t="str">
        <f>IFERROR($M83+VLOOKUP($L83,'Voyage days'!$F$38:$H$89,3,FALSE),"")</f>
        <v/>
      </c>
      <c r="AI83" s="122" t="str">
        <f>IFERROR(N83+VLOOKUP($L83,'Voyage days'!$F$38:$H$89,3,FALSE),"")</f>
        <v/>
      </c>
      <c r="AJ83" s="163" t="str">
        <f t="shared" si="10"/>
        <v>03-04 May</v>
      </c>
      <c r="AK83" s="122">
        <f>IFERROR($M83+VLOOKUP($L83,'Voyage days'!$F$94:$H$193,3,FALSE),"")</f>
        <v>46145</v>
      </c>
      <c r="AL83" s="122">
        <f>IFERROR($N83+VLOOKUP($L83,'Voyage days'!$F$94:$H$193,3,FALSE),"")</f>
        <v>46146</v>
      </c>
      <c r="AM83" s="163" t="str">
        <f t="shared" si="11"/>
        <v>03-04 May</v>
      </c>
      <c r="AN83" s="122">
        <f>IFERROR($M83+VLOOKUP($L83,'Voyage days'!$F$203:$H$256,3,FALSE),"")</f>
        <v>46145</v>
      </c>
      <c r="AO83" s="122">
        <f>IFERROR($N83+VLOOKUP($L83,'Voyage days'!$F$203:$H$256,3,FALSE),"")</f>
        <v>46146</v>
      </c>
      <c r="AP83" s="163" t="str">
        <f t="shared" si="12"/>
        <v/>
      </c>
      <c r="AQ83" s="122" t="str">
        <f>IFERROR($M83+VLOOKUP($L83,'Voyage days'!$F$294:$H$377,3,FALSE),"")</f>
        <v/>
      </c>
      <c r="AR83" s="122" t="str">
        <f>IFERROR($N83+VLOOKUP($L83,'Voyage days'!$F$294:$H$377,3,FALSE),"")</f>
        <v/>
      </c>
      <c r="AS83" s="163" t="str">
        <f t="shared" si="13"/>
        <v>23-24 May</v>
      </c>
      <c r="AT83" s="122">
        <f>IFERROR($M83+VLOOKUP($L83,'Voyage days'!$F$382:$H$446,3,FALSE),"")</f>
        <v>46165</v>
      </c>
      <c r="AU83" s="122">
        <f>IFERROR($N83+VLOOKUP($L83,'Voyage days'!$F$382:$H$446,3,FALSE),"")</f>
        <v>46166</v>
      </c>
      <c r="AV83" s="163" t="str">
        <f t="shared" si="14"/>
        <v/>
      </c>
      <c r="AW83" s="122" t="str">
        <f>IFERROR($M83+VLOOKUP($L83,'Voyage days'!$F$483:$H$538,3,FALSE),"")</f>
        <v/>
      </c>
      <c r="AX83" s="122" t="str">
        <f>IFERROR($N83+VLOOKUP($L83,'Voyage days'!$F$483:$H$538,3,FALSE),"")</f>
        <v/>
      </c>
      <c r="AY83" s="163" t="str">
        <f t="shared" si="15"/>
        <v/>
      </c>
      <c r="AZ83" s="122" t="str">
        <f>IFERROR($M83+VLOOKUP($L83,'Voyage days'!$F$540:$H$613,3,FALSE),"")</f>
        <v/>
      </c>
      <c r="BA83" s="122" t="str">
        <f>IFERROR($N83+VLOOKUP($L83,'Voyage days'!$F$540:$H$613,3,FALSE),"")</f>
        <v/>
      </c>
      <c r="BB83" s="163" t="str">
        <f t="shared" si="16"/>
        <v/>
      </c>
      <c r="BC83" s="121" t="str">
        <f>IFERROR($M83+VLOOKUP($L83,'Voyage days'!$F$448:$H$479,3,FALSE),"")</f>
        <v/>
      </c>
      <c r="BD83" s="121" t="str">
        <f>IFERROR($N83+VLOOKUP($L83,'Voyage days'!$F$448:$H$479,3,FALSE),"")</f>
        <v/>
      </c>
      <c r="BE83" s="163" t="str">
        <f t="shared" si="17"/>
        <v/>
      </c>
      <c r="BF83" s="122" t="str">
        <f>IFERROR($M83+VLOOKUP($L83,'Voyage days'!$F$620:$H$646,3,FALSE),"")</f>
        <v/>
      </c>
      <c r="BG83" s="122" t="str">
        <f>IFERROR($N83+VLOOKUP($L83,'Voyage days'!$F$620:$H$646,3,FALSE),"")</f>
        <v/>
      </c>
      <c r="BH83" s="163" t="str">
        <f t="shared" si="18"/>
        <v/>
      </c>
      <c r="BI83" s="123" t="str">
        <f>IFERROR($M83+VLOOKUP($L83,'Voyage days'!$F$702:$H$727,3,FALSE),"")</f>
        <v/>
      </c>
      <c r="BJ83" s="163" t="str">
        <f t="shared" si="19"/>
        <v/>
      </c>
      <c r="BK83" s="122" t="str">
        <f>IFERROR($M83+VLOOKUP($L83,'Voyage days'!$F$807:$H$878,3,FALSE),"")</f>
        <v/>
      </c>
      <c r="BL83" s="122" t="str">
        <f>IFERROR($N83+VLOOKUP($L83,'Voyage days'!$F$807:$H$878,3,FALSE),"")</f>
        <v/>
      </c>
      <c r="BM83" s="122" t="str">
        <f>IFERROR($N83+VLOOKUP($L83,'Voyage days'!$F$807:$K$878,6,FALSE),"")</f>
        <v/>
      </c>
      <c r="BN83" s="121" t="str">
        <f>if(L83="loads AG", IFERROR($M83+VLOOKUP($L83,'Voyage days'!$M$38:$O$38,3,FALSE),""),"")</f>
        <v/>
      </c>
      <c r="BO83" s="121">
        <f>if(L83="loads USG", IFERROR($M83+VLOOKUP($L83,'Voyage days'!$L$203:$N$203,3,FALSE),""),"")</f>
        <v>46177</v>
      </c>
    </row>
    <row r="84" ht="15.75" customHeight="1">
      <c r="A84" s="100" t="s">
        <v>320</v>
      </c>
      <c r="B84" s="101">
        <v>41883.0</v>
      </c>
      <c r="C84" s="102">
        <v>84000.0</v>
      </c>
      <c r="D84" s="103"/>
      <c r="E84" s="103"/>
      <c r="F84" s="104"/>
      <c r="G84" s="104"/>
      <c r="H84" s="104" t="s">
        <v>689</v>
      </c>
      <c r="I84" s="401" t="s">
        <v>863</v>
      </c>
      <c r="J84" s="106" t="str">
        <f t="shared" si="22"/>
        <v/>
      </c>
      <c r="K84" s="107"/>
      <c r="L84" s="108" t="s">
        <v>680</v>
      </c>
      <c r="M84" s="109">
        <v>46154.0</v>
      </c>
      <c r="N84" s="109">
        <v>46155.0</v>
      </c>
      <c r="O84" s="255"/>
      <c r="P84" s="108" t="s">
        <v>870</v>
      </c>
      <c r="Q84" s="108"/>
      <c r="R84" s="108" t="s">
        <v>871</v>
      </c>
      <c r="S84" s="402" t="s">
        <v>659</v>
      </c>
      <c r="T84" s="318">
        <v>46124.0</v>
      </c>
      <c r="U84" s="114" t="str">
        <f>IF(V84="","No AIS",VLOOKUP(V84,'Voyage days'!$A$3:$B$1480,2,FALSE))</f>
        <v>USG</v>
      </c>
      <c r="V84" s="115" t="str">
        <f>IF(VLOOKUP(A84,'1) Kpler'!$E$2:$P$1000,8, FALSE)="","",VLOOKUP(A84,'1) Kpler'!$E$2:$P$1000,8, FALSE))</f>
        <v>Bay Area Houston</v>
      </c>
      <c r="W84" s="116">
        <f>IF(VLOOKUP(A84,'1) Kpler'!$E$2:$P$1000,9,FALSE)="","",VLOOKUP(A84,'1) Kpler'!$E$2:$P$1000,9,FALSE))</f>
        <v>46149.41667</v>
      </c>
      <c r="X84" s="115" t="str">
        <f>VLOOKUP(A84,'1) Kpler'!$E$2:$I$1000,4,FALSE)</f>
        <v>ballast</v>
      </c>
      <c r="Y84" s="160" t="str">
        <f t="shared" si="1"/>
        <v/>
      </c>
      <c r="Z84" s="160" t="str">
        <f t="shared" si="2"/>
        <v>12-13 May</v>
      </c>
      <c r="AA84" s="160" t="str">
        <f t="shared" si="3"/>
        <v>12-13 May</v>
      </c>
      <c r="AB84" s="160" t="str">
        <f t="shared" si="4"/>
        <v/>
      </c>
      <c r="AC84" s="160" t="str">
        <f t="shared" si="5"/>
        <v>01-02 Jun</v>
      </c>
      <c r="AD84" s="160" t="str">
        <f t="shared" si="6"/>
        <v/>
      </c>
      <c r="AE84" s="161" t="str">
        <f t="shared" si="7"/>
        <v/>
      </c>
      <c r="AF84" s="162" t="str">
        <f t="shared" si="8"/>
        <v/>
      </c>
      <c r="AG84" s="120" t="str">
        <f t="shared" si="9"/>
        <v/>
      </c>
      <c r="AH84" s="121" t="str">
        <f>IFERROR($M84+VLOOKUP($L84,'Voyage days'!$F$38:$H$89,3,FALSE),"")</f>
        <v/>
      </c>
      <c r="AI84" s="121" t="str">
        <f>IFERROR(N84+VLOOKUP($L84,'Voyage days'!$F$38:$H$89,3,FALSE),"")</f>
        <v/>
      </c>
      <c r="AJ84" s="120" t="str">
        <f t="shared" si="10"/>
        <v>12-13 May</v>
      </c>
      <c r="AK84" s="121">
        <f>IFERROR($M84+VLOOKUP($L84,'Voyage days'!$F$94:$H$193,3,FALSE),"")</f>
        <v>46154</v>
      </c>
      <c r="AL84" s="121">
        <f>IFERROR($N84+VLOOKUP($L84,'Voyage days'!$F$94:$H$193,3,FALSE),"")</f>
        <v>46155</v>
      </c>
      <c r="AM84" s="120" t="str">
        <f t="shared" si="11"/>
        <v>12-13 May</v>
      </c>
      <c r="AN84" s="121">
        <f>IFERROR($M84+VLOOKUP($L84,'Voyage days'!$F$203:$H$256,3,FALSE),"")</f>
        <v>46154</v>
      </c>
      <c r="AO84" s="121">
        <f>IFERROR($N84+VLOOKUP($L84,'Voyage days'!$F$203:$H$256,3,FALSE),"")</f>
        <v>46155</v>
      </c>
      <c r="AP84" s="120" t="str">
        <f t="shared" si="12"/>
        <v/>
      </c>
      <c r="AQ84" s="121" t="str">
        <f>IFERROR($M84+VLOOKUP($L84,'Voyage days'!$F$294:$H$377,3,FALSE),"")</f>
        <v/>
      </c>
      <c r="AR84" s="121" t="str">
        <f>IFERROR($N84+VLOOKUP($L84,'Voyage days'!$F$294:$H$377,3,FALSE),"")</f>
        <v/>
      </c>
      <c r="AS84" s="120" t="str">
        <f t="shared" si="13"/>
        <v>01-02 Jun</v>
      </c>
      <c r="AT84" s="121">
        <f>IFERROR($M84+VLOOKUP($L84,'Voyage days'!$F$382:$H$446,3,FALSE),"")</f>
        <v>46174</v>
      </c>
      <c r="AU84" s="121">
        <f>IFERROR($N84+VLOOKUP($L84,'Voyage days'!$F$382:$H$446,3,FALSE),"")</f>
        <v>46175</v>
      </c>
      <c r="AV84" s="120" t="str">
        <f t="shared" si="14"/>
        <v/>
      </c>
      <c r="AW84" s="121" t="str">
        <f>IFERROR($M84+VLOOKUP($L84,'Voyage days'!$F$483:$H$538,3,FALSE),"")</f>
        <v/>
      </c>
      <c r="AX84" s="121" t="str">
        <f>IFERROR($N84+VLOOKUP($L84,'Voyage days'!$F$483:$H$538,3,FALSE),"")</f>
        <v/>
      </c>
      <c r="AY84" s="120" t="str">
        <f t="shared" si="15"/>
        <v/>
      </c>
      <c r="AZ84" s="121" t="str">
        <f>IFERROR($M84+VLOOKUP($L84,'Voyage days'!$F$540:$H$613,3,FALSE),"")</f>
        <v/>
      </c>
      <c r="BA84" s="121" t="str">
        <f>IFERROR($N84+VLOOKUP($L84,'Voyage days'!$F$540:$H$613,3,FALSE),"")</f>
        <v/>
      </c>
      <c r="BB84" s="120" t="str">
        <f t="shared" si="16"/>
        <v/>
      </c>
      <c r="BC84" s="121" t="str">
        <f>IFERROR($M84+VLOOKUP($L84,'Voyage days'!$F$448:$H$479,3,FALSE),"")</f>
        <v/>
      </c>
      <c r="BD84" s="121" t="str">
        <f>IFERROR($N84+VLOOKUP($L84,'Voyage days'!$F$448:$H$479,3,FALSE),"")</f>
        <v/>
      </c>
      <c r="BE84" s="120" t="str">
        <f t="shared" si="17"/>
        <v/>
      </c>
      <c r="BF84" s="122" t="str">
        <f>IFERROR($M84+VLOOKUP($L84,'Voyage days'!$F$620:$H$646,3,FALSE),"")</f>
        <v/>
      </c>
      <c r="BG84" s="122" t="str">
        <f>IFERROR($N84+VLOOKUP($L84,'Voyage days'!$F$620:$H$646,3,FALSE),"")</f>
        <v/>
      </c>
      <c r="BH84" s="120" t="str">
        <f t="shared" si="18"/>
        <v/>
      </c>
      <c r="BI84" s="123" t="str">
        <f>IFERROR($M84+VLOOKUP($L84,'Voyage days'!$F$702:$H$727,3,FALSE),"")</f>
        <v/>
      </c>
      <c r="BJ84" s="120" t="str">
        <f t="shared" si="19"/>
        <v/>
      </c>
      <c r="BK84" s="122" t="str">
        <f>IFERROR($M84+VLOOKUP($L84,'Voyage days'!$F$807:$H$878,3,FALSE),"")</f>
        <v/>
      </c>
      <c r="BL84" s="122" t="str">
        <f>IFERROR($N84+VLOOKUP($L84,'Voyage days'!$F$807:$H$878,3,FALSE),"")</f>
        <v/>
      </c>
      <c r="BM84" s="122" t="str">
        <f>IFERROR($N84+VLOOKUP($L84,'Voyage days'!$F$807:$K$878,6,FALSE),"")</f>
        <v/>
      </c>
      <c r="BN84" s="121" t="str">
        <f>if(L84="loads AG", IFERROR($M84+VLOOKUP($L84,'Voyage days'!$M$38:$O$38,3,FALSE),""),"")</f>
        <v/>
      </c>
      <c r="BO84" s="121">
        <f>if(L84="loads USG", IFERROR($M84+VLOOKUP($L84,'Voyage days'!$L$203:$N$203,3,FALSE),""),"")</f>
        <v>46186</v>
      </c>
    </row>
    <row r="85" ht="15.75" customHeight="1">
      <c r="A85" s="298" t="s">
        <v>872</v>
      </c>
      <c r="B85" s="148">
        <v>2020.0</v>
      </c>
      <c r="C85" s="102">
        <v>84700.0</v>
      </c>
      <c r="D85" s="227"/>
      <c r="E85" s="227" t="s">
        <v>706</v>
      </c>
      <c r="F85" s="104"/>
      <c r="G85" s="104"/>
      <c r="H85" s="104" t="s">
        <v>689</v>
      </c>
      <c r="I85" s="401" t="s">
        <v>863</v>
      </c>
      <c r="J85" s="106" t="str">
        <f t="shared" si="22"/>
        <v>Update</v>
      </c>
      <c r="K85" s="107"/>
      <c r="L85" s="108" t="s">
        <v>680</v>
      </c>
      <c r="M85" s="109">
        <v>46130.0</v>
      </c>
      <c r="N85" s="109">
        <v>46131.0</v>
      </c>
      <c r="O85" s="403"/>
      <c r="P85" s="108" t="s">
        <v>873</v>
      </c>
      <c r="Q85" s="108"/>
      <c r="R85" s="108" t="s">
        <v>874</v>
      </c>
      <c r="S85" s="402" t="s">
        <v>659</v>
      </c>
      <c r="T85" s="318">
        <v>46124.0</v>
      </c>
      <c r="U85" s="114" t="str">
        <f>IF(V85="","No AIS",VLOOKUP(V85,'Voyage days'!$A$3:$B$1480,2,FALSE))</f>
        <v>Panama</v>
      </c>
      <c r="V85" s="115" t="str">
        <f>IF(VLOOKUP(A85,'1) Kpler'!$E$2:$P$1000,8, FALSE)="","",VLOOKUP(A85,'1) Kpler'!$E$2:$P$1000,8, FALSE))</f>
        <v>Panama Canal</v>
      </c>
      <c r="W85" s="116">
        <f>IF(VLOOKUP(A85,'1) Kpler'!$E$2:$P$1000,9,FALSE)="","",VLOOKUP(A85,'1) Kpler'!$E$2:$P$1000,9,FALSE))</f>
        <v>46134.91667</v>
      </c>
      <c r="X85" s="115" t="str">
        <f>VLOOKUP(A85,'1) Kpler'!$E$2:$I$1000,4,FALSE)</f>
        <v>loaded</v>
      </c>
      <c r="Y85" s="117" t="str">
        <f t="shared" si="1"/>
        <v/>
      </c>
      <c r="Z85" s="117" t="str">
        <f t="shared" si="2"/>
        <v>18-19 Apr</v>
      </c>
      <c r="AA85" s="117" t="str">
        <f t="shared" si="3"/>
        <v>18-19 Apr</v>
      </c>
      <c r="AB85" s="117" t="str">
        <f t="shared" si="4"/>
        <v/>
      </c>
      <c r="AC85" s="117" t="str">
        <f t="shared" si="5"/>
        <v>08-09 May</v>
      </c>
      <c r="AD85" s="117" t="str">
        <f t="shared" si="6"/>
        <v/>
      </c>
      <c r="AE85" s="118" t="str">
        <f t="shared" si="7"/>
        <v/>
      </c>
      <c r="AF85" s="119" t="str">
        <f t="shared" si="8"/>
        <v/>
      </c>
      <c r="AG85" s="120" t="str">
        <f t="shared" si="9"/>
        <v/>
      </c>
      <c r="AH85" s="121" t="str">
        <f>IFERROR($M85+VLOOKUP($L85,'Voyage days'!$F$38:$H$89,3,FALSE),"")</f>
        <v/>
      </c>
      <c r="AI85" s="121" t="str">
        <f>IFERROR(N85+VLOOKUP($L85,'Voyage days'!$F$38:$H$89,3,FALSE),"")</f>
        <v/>
      </c>
      <c r="AJ85" s="120" t="str">
        <f t="shared" si="10"/>
        <v>18-19 Apr</v>
      </c>
      <c r="AK85" s="121">
        <f>IFERROR($M85+VLOOKUP($L85,'Voyage days'!$F$94:$H$193,3,FALSE),"")</f>
        <v>46130</v>
      </c>
      <c r="AL85" s="121">
        <f>IFERROR($N85+VLOOKUP($L85,'Voyage days'!$F$94:$H$193,3,FALSE),"")</f>
        <v>46131</v>
      </c>
      <c r="AM85" s="120" t="str">
        <f t="shared" si="11"/>
        <v>18-19 Apr</v>
      </c>
      <c r="AN85" s="121">
        <f>IFERROR($M85+VLOOKUP($L85,'Voyage days'!$F$203:$H$256,3,FALSE),"")</f>
        <v>46130</v>
      </c>
      <c r="AO85" s="121">
        <f>IFERROR($N85+VLOOKUP($L85,'Voyage days'!$F$203:$H$256,3,FALSE),"")</f>
        <v>46131</v>
      </c>
      <c r="AP85" s="120" t="str">
        <f t="shared" si="12"/>
        <v/>
      </c>
      <c r="AQ85" s="121" t="str">
        <f>IFERROR($M85+VLOOKUP($L85,'Voyage days'!$F$294:$H$377,3,FALSE),"")</f>
        <v/>
      </c>
      <c r="AR85" s="121" t="str">
        <f>IFERROR($N85+VLOOKUP($L85,'Voyage days'!$F$294:$H$377,3,FALSE),"")</f>
        <v/>
      </c>
      <c r="AS85" s="120" t="str">
        <f t="shared" si="13"/>
        <v>08-09 May</v>
      </c>
      <c r="AT85" s="121">
        <f>IFERROR($M85+VLOOKUP($L85,'Voyage days'!$F$382:$H$446,3,FALSE),"")</f>
        <v>46150</v>
      </c>
      <c r="AU85" s="121">
        <f>IFERROR($N85+VLOOKUP($L85,'Voyage days'!$F$382:$H$446,3,FALSE),"")</f>
        <v>46151</v>
      </c>
      <c r="AV85" s="120" t="str">
        <f t="shared" si="14"/>
        <v/>
      </c>
      <c r="AW85" s="121" t="str">
        <f>IFERROR($M85+VLOOKUP($L85,'Voyage days'!$F$483:$H$538,3,FALSE),"")</f>
        <v/>
      </c>
      <c r="AX85" s="121" t="str">
        <f>IFERROR($N85+VLOOKUP($L85,'Voyage days'!$F$483:$H$538,3,FALSE),"")</f>
        <v/>
      </c>
      <c r="AY85" s="120" t="str">
        <f t="shared" si="15"/>
        <v/>
      </c>
      <c r="AZ85" s="121" t="str">
        <f>IFERROR($M85+VLOOKUP($L85,'Voyage days'!$F$540:$H$613,3,FALSE),"")</f>
        <v/>
      </c>
      <c r="BA85" s="121" t="str">
        <f>IFERROR($N85+VLOOKUP($L85,'Voyage days'!$F$540:$H$613,3,FALSE),"")</f>
        <v/>
      </c>
      <c r="BB85" s="120" t="str">
        <f t="shared" si="16"/>
        <v/>
      </c>
      <c r="BC85" s="121" t="str">
        <f>IFERROR($M85+VLOOKUP($L85,'Voyage days'!$F$448:$H$479,3,FALSE),"")</f>
        <v/>
      </c>
      <c r="BD85" s="121" t="str">
        <f>IFERROR($N85+VLOOKUP($L85,'Voyage days'!$F$448:$H$479,3,FALSE),"")</f>
        <v/>
      </c>
      <c r="BE85" s="120" t="str">
        <f t="shared" si="17"/>
        <v/>
      </c>
      <c r="BF85" s="122" t="str">
        <f>IFERROR($M85+VLOOKUP($L85,'Voyage days'!$F$620:$H$646,3,FALSE),"")</f>
        <v/>
      </c>
      <c r="BG85" s="122" t="str">
        <f>IFERROR($N85+VLOOKUP($L85,'Voyage days'!$F$620:$H$646,3,FALSE),"")</f>
        <v/>
      </c>
      <c r="BH85" s="120" t="str">
        <f t="shared" si="18"/>
        <v/>
      </c>
      <c r="BI85" s="123" t="str">
        <f>IFERROR($M85+VLOOKUP($L85,'Voyage days'!$F$702:$H$727,3,FALSE),"")</f>
        <v/>
      </c>
      <c r="BJ85" s="120" t="str">
        <f t="shared" si="19"/>
        <v/>
      </c>
      <c r="BK85" s="122" t="str">
        <f>IFERROR($M85+VLOOKUP($L85,'Voyage days'!$F$807:$H$878,3,FALSE),"")</f>
        <v/>
      </c>
      <c r="BL85" s="122" t="str">
        <f>IFERROR($N85+VLOOKUP($L85,'Voyage days'!$F$807:$H$878,3,FALSE),"")</f>
        <v/>
      </c>
      <c r="BM85" s="122" t="str">
        <f>IFERROR($N85+VLOOKUP($L85,'Voyage days'!$F$807:$K$878,6,FALSE),"")</f>
        <v/>
      </c>
      <c r="BN85" s="121" t="str">
        <f>if(L85="loads AG", IFERROR($M85+VLOOKUP($L85,'Voyage days'!$M$38:$O$38,3,FALSE),""),"")</f>
        <v/>
      </c>
      <c r="BO85" s="121">
        <f>if(L85="loads USG", IFERROR($M85+VLOOKUP($L85,'Voyage days'!$L$203:$N$203,3,FALSE),""),"")</f>
        <v>46162</v>
      </c>
    </row>
    <row r="86" ht="15.75" customHeight="1">
      <c r="A86" s="396" t="s">
        <v>875</v>
      </c>
      <c r="B86" s="165">
        <v>2023.0</v>
      </c>
      <c r="C86" s="166">
        <v>86000.0</v>
      </c>
      <c r="D86" s="175"/>
      <c r="E86" s="175" t="s">
        <v>706</v>
      </c>
      <c r="F86" s="168"/>
      <c r="G86" s="168"/>
      <c r="H86" s="168" t="s">
        <v>666</v>
      </c>
      <c r="I86" s="324" t="s">
        <v>863</v>
      </c>
      <c r="J86" s="170" t="str">
        <f t="shared" si="22"/>
        <v>Update</v>
      </c>
      <c r="K86" s="225"/>
      <c r="L86" s="319" t="s">
        <v>680</v>
      </c>
      <c r="M86" s="173">
        <v>46125.0</v>
      </c>
      <c r="N86" s="173">
        <v>46126.0</v>
      </c>
      <c r="O86" s="226"/>
      <c r="P86" s="172" t="s">
        <v>876</v>
      </c>
      <c r="Q86" s="312"/>
      <c r="R86" s="172" t="s">
        <v>877</v>
      </c>
      <c r="S86" s="358" t="s">
        <v>659</v>
      </c>
      <c r="T86" s="176">
        <v>46125.0</v>
      </c>
      <c r="U86" s="177" t="str">
        <f>IF(V86="","No AIS",VLOOKUP(V86,'Voyage days'!$A$3:$B$1480,2,FALSE))</f>
        <v>Japan + 6</v>
      </c>
      <c r="V86" s="178" t="str">
        <f>IF(VLOOKUP(A86,'1) Kpler'!$E$2:$P$1000,8, FALSE)="","",VLOOKUP(A86,'1) Kpler'!$E$2:$P$1000,8, FALSE))</f>
        <v>Chiba</v>
      </c>
      <c r="W86" s="179">
        <f>IF(VLOOKUP(A86,'1) Kpler'!$E$2:$P$1000,9,FALSE)="","",VLOOKUP(A86,'1) Kpler'!$E$2:$P$1000,9,FALSE))</f>
        <v>46153.875</v>
      </c>
      <c r="X86" s="178" t="str">
        <f>VLOOKUP(A86,'1) Kpler'!$E$2:$I$1000,4,FALSE)</f>
        <v>loaded</v>
      </c>
      <c r="Y86" s="120" t="str">
        <f t="shared" si="1"/>
        <v/>
      </c>
      <c r="Z86" s="120" t="str">
        <f t="shared" si="2"/>
        <v>13-14 Apr</v>
      </c>
      <c r="AA86" s="120" t="str">
        <f t="shared" si="3"/>
        <v>13-14 Apr</v>
      </c>
      <c r="AB86" s="120" t="str">
        <f t="shared" si="4"/>
        <v/>
      </c>
      <c r="AC86" s="120" t="str">
        <f t="shared" si="5"/>
        <v>03-04 May</v>
      </c>
      <c r="AD86" s="120" t="str">
        <f t="shared" si="6"/>
        <v/>
      </c>
      <c r="AE86" s="228" t="str">
        <f t="shared" si="7"/>
        <v/>
      </c>
      <c r="AF86" s="229" t="str">
        <f t="shared" si="8"/>
        <v/>
      </c>
      <c r="AG86" s="120" t="str">
        <f t="shared" si="9"/>
        <v/>
      </c>
      <c r="AH86" s="121" t="str">
        <f>IFERROR($M86+VLOOKUP($L86,'Voyage days'!$F$38:$H$89,3,FALSE),"")</f>
        <v/>
      </c>
      <c r="AI86" s="121" t="str">
        <f>IFERROR(N86+VLOOKUP($L86,'Voyage days'!$F$38:$H$89,3,FALSE),"")</f>
        <v/>
      </c>
      <c r="AJ86" s="120" t="str">
        <f t="shared" si="10"/>
        <v>13-14 Apr</v>
      </c>
      <c r="AK86" s="121">
        <f>IFERROR($M86+VLOOKUP($L86,'Voyage days'!$F$94:$H$193,3,FALSE),"")</f>
        <v>46125</v>
      </c>
      <c r="AL86" s="121">
        <f>IFERROR($N86+VLOOKUP($L86,'Voyage days'!$F$94:$H$193,3,FALSE),"")</f>
        <v>46126</v>
      </c>
      <c r="AM86" s="120" t="str">
        <f t="shared" si="11"/>
        <v>13-14 Apr</v>
      </c>
      <c r="AN86" s="121">
        <f>IFERROR($M86+VLOOKUP($L86,'Voyage days'!$F$203:$H$256,3,FALSE),"")</f>
        <v>46125</v>
      </c>
      <c r="AO86" s="121">
        <f>IFERROR($N86+VLOOKUP($L86,'Voyage days'!$F$203:$H$256,3,FALSE),"")</f>
        <v>46126</v>
      </c>
      <c r="AP86" s="120" t="str">
        <f t="shared" si="12"/>
        <v/>
      </c>
      <c r="AQ86" s="121" t="str">
        <f>IFERROR($M86+VLOOKUP($L86,'Voyage days'!$F$294:$H$377,3,FALSE),"")</f>
        <v/>
      </c>
      <c r="AR86" s="121" t="str">
        <f>IFERROR($N86+VLOOKUP($L86,'Voyage days'!$F$294:$H$377,3,FALSE),"")</f>
        <v/>
      </c>
      <c r="AS86" s="120" t="str">
        <f t="shared" si="13"/>
        <v>03-04 May</v>
      </c>
      <c r="AT86" s="121">
        <f>IFERROR($M86+VLOOKUP($L86,'Voyage days'!$F$382:$H$446,3,FALSE),"")</f>
        <v>46145</v>
      </c>
      <c r="AU86" s="121">
        <f>IFERROR($N86+VLOOKUP($L86,'Voyage days'!$F$382:$H$446,3,FALSE),"")</f>
        <v>46146</v>
      </c>
      <c r="AV86" s="120" t="str">
        <f t="shared" si="14"/>
        <v/>
      </c>
      <c r="AW86" s="121" t="str">
        <f>IFERROR($M86+VLOOKUP($L86,'Voyage days'!$F$483:$H$538,3,FALSE),"")</f>
        <v/>
      </c>
      <c r="AX86" s="121" t="str">
        <f>IFERROR($N86+VLOOKUP($L86,'Voyage days'!$F$483:$H$538,3,FALSE),"")</f>
        <v/>
      </c>
      <c r="AY86" s="120" t="str">
        <f t="shared" si="15"/>
        <v/>
      </c>
      <c r="AZ86" s="121" t="str">
        <f>IFERROR($M86+VLOOKUP($L86,'Voyage days'!$F$540:$H$613,3,FALSE),"")</f>
        <v/>
      </c>
      <c r="BA86" s="121" t="str">
        <f>IFERROR($N86+VLOOKUP($L86,'Voyage days'!$F$540:$H$613,3,FALSE),"")</f>
        <v/>
      </c>
      <c r="BB86" s="120" t="str">
        <f t="shared" si="16"/>
        <v/>
      </c>
      <c r="BC86" s="121" t="str">
        <f>IFERROR($M86+VLOOKUP($L86,'Voyage days'!$F$448:$H$479,3,FALSE),"")</f>
        <v/>
      </c>
      <c r="BD86" s="121" t="str">
        <f>IFERROR($N86+VLOOKUP($L86,'Voyage days'!$F$448:$H$479,3,FALSE),"")</f>
        <v/>
      </c>
      <c r="BE86" s="120" t="str">
        <f t="shared" si="17"/>
        <v/>
      </c>
      <c r="BF86" s="122" t="str">
        <f>IFERROR($M86+VLOOKUP($L86,'Voyage days'!$F$620:$H$646,3,FALSE),"")</f>
        <v/>
      </c>
      <c r="BG86" s="122" t="str">
        <f>IFERROR($N86+VLOOKUP($L86,'Voyage days'!$F$620:$H$646,3,FALSE),"")</f>
        <v/>
      </c>
      <c r="BH86" s="120" t="str">
        <f t="shared" si="18"/>
        <v/>
      </c>
      <c r="BI86" s="123" t="str">
        <f>IFERROR($M86+VLOOKUP($L86,'Voyage days'!$F$702:$H$727,3,FALSE),"")</f>
        <v/>
      </c>
      <c r="BJ86" s="120" t="str">
        <f t="shared" si="19"/>
        <v/>
      </c>
      <c r="BK86" s="122" t="str">
        <f>IFERROR($M86+VLOOKUP($L86,'Voyage days'!$F$807:$H$878,3,FALSE),"")</f>
        <v/>
      </c>
      <c r="BL86" s="122" t="str">
        <f>IFERROR($N86+VLOOKUP($L86,'Voyage days'!$F$807:$H$878,3,FALSE),"")</f>
        <v/>
      </c>
      <c r="BM86" s="122" t="str">
        <f>IFERROR($N86+VLOOKUP($L86,'Voyage days'!$F$807:$K$878,6,FALSE),"")</f>
        <v/>
      </c>
      <c r="BN86" s="121" t="str">
        <f>if(L86="loads AG", IFERROR($M86+VLOOKUP($L86,'Voyage days'!$M$38:$O$38,3,FALSE),""),"")</f>
        <v/>
      </c>
      <c r="BO86" s="121">
        <f>if(L86="loads USG", IFERROR($M86+VLOOKUP($L86,'Voyage days'!$L$203:$N$203,3,FALSE),""),"")</f>
        <v>46157</v>
      </c>
    </row>
    <row r="87" ht="15.75" customHeight="1">
      <c r="A87" s="375" t="s">
        <v>338</v>
      </c>
      <c r="B87" s="148">
        <v>2023.0</v>
      </c>
      <c r="C87" s="102">
        <v>86000.0</v>
      </c>
      <c r="D87" s="149"/>
      <c r="E87" s="149"/>
      <c r="F87" s="150"/>
      <c r="G87" s="150"/>
      <c r="H87" s="150" t="s">
        <v>666</v>
      </c>
      <c r="I87" s="321" t="s">
        <v>878</v>
      </c>
      <c r="J87" s="151" t="str">
        <f t="shared" si="22"/>
        <v/>
      </c>
      <c r="K87" s="152"/>
      <c r="L87" s="153" t="s">
        <v>680</v>
      </c>
      <c r="M87" s="109">
        <v>46165.0</v>
      </c>
      <c r="N87" s="109">
        <v>46167.0</v>
      </c>
      <c r="O87" s="186"/>
      <c r="P87" s="153" t="s">
        <v>879</v>
      </c>
      <c r="Q87" s="153" t="s">
        <v>880</v>
      </c>
      <c r="R87" s="153" t="s">
        <v>881</v>
      </c>
      <c r="S87" s="256" t="s">
        <v>659</v>
      </c>
      <c r="T87" s="293">
        <v>46124.0</v>
      </c>
      <c r="U87" s="114" t="str">
        <f>IF(V87="","No AIS",VLOOKUP(V87,'Voyage days'!$A$3:$B$1480,2,FALSE))</f>
        <v>East China + 4</v>
      </c>
      <c r="V87" s="114" t="str">
        <f>IF(VLOOKUP(A87,'1) Kpler'!$E$2:$P$1000,8, FALSE)="","",VLOOKUP(A87,'1) Kpler'!$E$2:$P$1000,8, FALSE))</f>
        <v>Jinshan Caojing</v>
      </c>
      <c r="W87" s="159">
        <f>IF(VLOOKUP(A87,'1) Kpler'!$E$2:$P$1000,9,FALSE)="","",VLOOKUP(A87,'1) Kpler'!$E$2:$P$1000,9,FALSE))</f>
        <v>46133.5</v>
      </c>
      <c r="X87" s="114" t="str">
        <f>VLOOKUP(A87,'1) Kpler'!$E$2:$I$1000,4,FALSE)</f>
        <v>ballast</v>
      </c>
      <c r="Y87" s="296" t="str">
        <f t="shared" si="1"/>
        <v/>
      </c>
      <c r="Z87" s="296" t="str">
        <f t="shared" si="2"/>
        <v>23-25 May</v>
      </c>
      <c r="AA87" s="296" t="str">
        <f t="shared" si="3"/>
        <v>23-25 May</v>
      </c>
      <c r="AB87" s="296" t="str">
        <f t="shared" si="4"/>
        <v/>
      </c>
      <c r="AC87" s="296" t="str">
        <f t="shared" si="5"/>
        <v>12-14 Jun</v>
      </c>
      <c r="AD87" s="296" t="str">
        <f t="shared" si="6"/>
        <v/>
      </c>
      <c r="AE87" s="297" t="str">
        <f t="shared" si="7"/>
        <v/>
      </c>
      <c r="AF87" s="119" t="str">
        <f t="shared" si="8"/>
        <v/>
      </c>
      <c r="AG87" s="163" t="str">
        <f t="shared" si="9"/>
        <v/>
      </c>
      <c r="AH87" s="122" t="str">
        <f>IFERROR($M87+VLOOKUP($L87,'Voyage days'!$F$38:$H$89,3,FALSE),"")</f>
        <v/>
      </c>
      <c r="AI87" s="122" t="str">
        <f>IFERROR(N87+VLOOKUP($L87,'Voyage days'!$F$38:$H$89,3,FALSE),"")</f>
        <v/>
      </c>
      <c r="AJ87" s="163" t="str">
        <f t="shared" si="10"/>
        <v>23-25 May</v>
      </c>
      <c r="AK87" s="122">
        <f>IFERROR($M87+VLOOKUP($L87,'Voyage days'!$F$94:$H$193,3,FALSE),"")</f>
        <v>46165</v>
      </c>
      <c r="AL87" s="122">
        <f>IFERROR($N87+VLOOKUP($L87,'Voyage days'!$F$94:$H$193,3,FALSE),"")</f>
        <v>46167</v>
      </c>
      <c r="AM87" s="163" t="str">
        <f t="shared" si="11"/>
        <v>23-25 May</v>
      </c>
      <c r="AN87" s="122">
        <f>IFERROR($M87+VLOOKUP($L87,'Voyage days'!$F$203:$H$256,3,FALSE),"")</f>
        <v>46165</v>
      </c>
      <c r="AO87" s="122">
        <f>IFERROR($N87+VLOOKUP($L87,'Voyage days'!$F$203:$H$256,3,FALSE),"")</f>
        <v>46167</v>
      </c>
      <c r="AP87" s="163" t="str">
        <f t="shared" si="12"/>
        <v/>
      </c>
      <c r="AQ87" s="122" t="str">
        <f>IFERROR($M87+VLOOKUP($L87,'Voyage days'!$F$294:$H$377,3,FALSE),"")</f>
        <v/>
      </c>
      <c r="AR87" s="122" t="str">
        <f>IFERROR($N87+VLOOKUP($L87,'Voyage days'!$F$294:$H$377,3,FALSE),"")</f>
        <v/>
      </c>
      <c r="AS87" s="163" t="str">
        <f t="shared" si="13"/>
        <v>12-14 Jun</v>
      </c>
      <c r="AT87" s="122">
        <f>IFERROR($M87+VLOOKUP($L87,'Voyage days'!$F$382:$H$446,3,FALSE),"")</f>
        <v>46185</v>
      </c>
      <c r="AU87" s="122">
        <f>IFERROR($N87+VLOOKUP($L87,'Voyage days'!$F$382:$H$446,3,FALSE),"")</f>
        <v>46187</v>
      </c>
      <c r="AV87" s="163" t="str">
        <f t="shared" si="14"/>
        <v/>
      </c>
      <c r="AW87" s="122" t="str">
        <f>IFERROR($M87+VLOOKUP($L87,'Voyage days'!$F$483:$H$538,3,FALSE),"")</f>
        <v/>
      </c>
      <c r="AX87" s="122" t="str">
        <f>IFERROR($N87+VLOOKUP($L87,'Voyage days'!$F$483:$H$538,3,FALSE),"")</f>
        <v/>
      </c>
      <c r="AY87" s="163" t="str">
        <f t="shared" si="15"/>
        <v/>
      </c>
      <c r="AZ87" s="122" t="str">
        <f>IFERROR($M87+VLOOKUP($L87,'Voyage days'!$F$540:$H$613,3,FALSE),"")</f>
        <v/>
      </c>
      <c r="BA87" s="122" t="str">
        <f>IFERROR($N87+VLOOKUP($L87,'Voyage days'!$F$540:$H$613,3,FALSE),"")</f>
        <v/>
      </c>
      <c r="BB87" s="163" t="str">
        <f t="shared" si="16"/>
        <v/>
      </c>
      <c r="BC87" s="121" t="str">
        <f>IFERROR($M87+VLOOKUP($L87,'Voyage days'!$F$448:$H$479,3,FALSE),"")</f>
        <v/>
      </c>
      <c r="BD87" s="121" t="str">
        <f>IFERROR($N87+VLOOKUP($L87,'Voyage days'!$F$448:$H$479,3,FALSE),"")</f>
        <v/>
      </c>
      <c r="BE87" s="163" t="str">
        <f t="shared" si="17"/>
        <v/>
      </c>
      <c r="BF87" s="122" t="str">
        <f>IFERROR($M87+VLOOKUP($L87,'Voyage days'!$F$620:$H$646,3,FALSE),"")</f>
        <v/>
      </c>
      <c r="BG87" s="122" t="str">
        <f>IFERROR($N87+VLOOKUP($L87,'Voyage days'!$F$620:$H$646,3,FALSE),"")</f>
        <v/>
      </c>
      <c r="BH87" s="163" t="str">
        <f t="shared" si="18"/>
        <v/>
      </c>
      <c r="BI87" s="123" t="str">
        <f>IFERROR($M87+VLOOKUP($L87,'Voyage days'!$F$702:$H$727,3,FALSE),"")</f>
        <v/>
      </c>
      <c r="BJ87" s="163" t="str">
        <f t="shared" si="19"/>
        <v/>
      </c>
      <c r="BK87" s="122" t="str">
        <f>IFERROR($M87+VLOOKUP($L87,'Voyage days'!$F$807:$H$878,3,FALSE),"")</f>
        <v/>
      </c>
      <c r="BL87" s="122" t="str">
        <f>IFERROR($N87+VLOOKUP($L87,'Voyage days'!$F$807:$H$878,3,FALSE),"")</f>
        <v/>
      </c>
      <c r="BM87" s="122" t="str">
        <f>IFERROR($N87+VLOOKUP($L87,'Voyage days'!$F$807:$K$878,6,FALSE),"")</f>
        <v/>
      </c>
      <c r="BN87" s="121" t="str">
        <f>if(L87="loads AG", IFERROR($M87+VLOOKUP($L87,'Voyage days'!$M$38:$O$38,3,FALSE),""),"")</f>
        <v/>
      </c>
      <c r="BO87" s="121">
        <f>if(L87="loads USG", IFERROR($M87+VLOOKUP($L87,'Voyage days'!$L$203:$N$203,3,FALSE),""),"")</f>
        <v>46197</v>
      </c>
    </row>
    <row r="88" ht="15.75" customHeight="1">
      <c r="A88" s="404" t="s">
        <v>337</v>
      </c>
      <c r="B88" s="202">
        <v>2016.0</v>
      </c>
      <c r="C88" s="102">
        <v>83000.0</v>
      </c>
      <c r="D88" s="112"/>
      <c r="E88" s="149"/>
      <c r="F88" s="150"/>
      <c r="G88" s="150"/>
      <c r="H88" s="150" t="s">
        <v>689</v>
      </c>
      <c r="I88" s="315" t="s">
        <v>882</v>
      </c>
      <c r="J88" s="151" t="str">
        <f t="shared" si="22"/>
        <v/>
      </c>
      <c r="K88" s="193"/>
      <c r="L88" s="153" t="s">
        <v>680</v>
      </c>
      <c r="M88" s="109">
        <v>46148.0</v>
      </c>
      <c r="N88" s="109">
        <v>46149.0</v>
      </c>
      <c r="O88" s="186"/>
      <c r="P88" s="108" t="s">
        <v>883</v>
      </c>
      <c r="Q88" s="405"/>
      <c r="R88" s="153" t="s">
        <v>884</v>
      </c>
      <c r="S88" s="256" t="s">
        <v>659</v>
      </c>
      <c r="T88" s="293">
        <v>46124.0</v>
      </c>
      <c r="U88" s="114" t="str">
        <f>IF(V88="","No AIS",VLOOKUP(V88,'Voyage days'!$A$3:$B$1480,2,FALSE))</f>
        <v>Panama</v>
      </c>
      <c r="V88" s="114" t="str">
        <f>IF(VLOOKUP(A88,'1) Kpler'!$E$2:$P$1000,8, FALSE)="","",VLOOKUP(A88,'1) Kpler'!$E$2:$P$1000,8, FALSE))</f>
        <v>Panama Canal</v>
      </c>
      <c r="W88" s="159">
        <f>IF(VLOOKUP(A88,'1) Kpler'!$E$2:$P$1000,9,FALSE)="","",VLOOKUP(A88,'1) Kpler'!$E$2:$P$1000,9,FALSE))</f>
        <v>46137.125</v>
      </c>
      <c r="X88" s="114" t="str">
        <f>VLOOKUP(A88,'1) Kpler'!$E$2:$I$1000,4,FALSE)</f>
        <v>ballast</v>
      </c>
      <c r="Y88" s="272" t="str">
        <f t="shared" si="1"/>
        <v/>
      </c>
      <c r="Z88" s="272" t="str">
        <f t="shared" si="2"/>
        <v>06-07 May</v>
      </c>
      <c r="AA88" s="272" t="str">
        <f t="shared" si="3"/>
        <v>06-07 May</v>
      </c>
      <c r="AB88" s="272" t="str">
        <f t="shared" si="4"/>
        <v/>
      </c>
      <c r="AC88" s="272" t="str">
        <f t="shared" si="5"/>
        <v>26-27 May</v>
      </c>
      <c r="AD88" s="272" t="str">
        <f t="shared" si="6"/>
        <v/>
      </c>
      <c r="AE88" s="273" t="str">
        <f t="shared" si="7"/>
        <v/>
      </c>
      <c r="AF88" s="162" t="str">
        <f t="shared" si="8"/>
        <v/>
      </c>
      <c r="AG88" s="163" t="str">
        <f t="shared" si="9"/>
        <v/>
      </c>
      <c r="AH88" s="122" t="str">
        <f>IFERROR($M88+VLOOKUP($L88,'Voyage days'!$F$38:$H$89,3,FALSE),"")</f>
        <v/>
      </c>
      <c r="AI88" s="122" t="str">
        <f>IFERROR(N88+VLOOKUP($L88,'Voyage days'!$F$38:$H$89,3,FALSE),"")</f>
        <v/>
      </c>
      <c r="AJ88" s="163" t="str">
        <f t="shared" si="10"/>
        <v>06-07 May</v>
      </c>
      <c r="AK88" s="122">
        <f>IFERROR($M88+VLOOKUP($L88,'Voyage days'!$F$94:$H$193,3,FALSE),"")</f>
        <v>46148</v>
      </c>
      <c r="AL88" s="122">
        <f>IFERROR($N88+VLOOKUP($L88,'Voyage days'!$F$94:$H$193,3,FALSE),"")</f>
        <v>46149</v>
      </c>
      <c r="AM88" s="163" t="str">
        <f t="shared" si="11"/>
        <v>06-07 May</v>
      </c>
      <c r="AN88" s="122">
        <f>IFERROR($M88+VLOOKUP($L88,'Voyage days'!$F$203:$H$256,3,FALSE),"")</f>
        <v>46148</v>
      </c>
      <c r="AO88" s="122">
        <f>IFERROR($N88+VLOOKUP($L88,'Voyage days'!$F$203:$H$256,3,FALSE),"")</f>
        <v>46149</v>
      </c>
      <c r="AP88" s="163" t="str">
        <f t="shared" si="12"/>
        <v/>
      </c>
      <c r="AQ88" s="122" t="str">
        <f>IFERROR($M88+VLOOKUP($L88,'Voyage days'!$F$294:$H$377,3,FALSE),"")</f>
        <v/>
      </c>
      <c r="AR88" s="122" t="str">
        <f>IFERROR($N88+VLOOKUP($L88,'Voyage days'!$F$294:$H$377,3,FALSE),"")</f>
        <v/>
      </c>
      <c r="AS88" s="163" t="str">
        <f t="shared" si="13"/>
        <v>26-27 May</v>
      </c>
      <c r="AT88" s="122">
        <f>IFERROR($M88+VLOOKUP($L88,'Voyage days'!$F$382:$H$446,3,FALSE),"")</f>
        <v>46168</v>
      </c>
      <c r="AU88" s="122">
        <f>IFERROR($N88+VLOOKUP($L88,'Voyage days'!$F$382:$H$446,3,FALSE),"")</f>
        <v>46169</v>
      </c>
      <c r="AV88" s="163" t="str">
        <f t="shared" si="14"/>
        <v/>
      </c>
      <c r="AW88" s="122" t="str">
        <f>IFERROR($M88+VLOOKUP($L88,'Voyage days'!$F$483:$H$538,3,FALSE),"")</f>
        <v/>
      </c>
      <c r="AX88" s="122" t="str">
        <f>IFERROR($N88+VLOOKUP($L88,'Voyage days'!$F$483:$H$538,3,FALSE),"")</f>
        <v/>
      </c>
      <c r="AY88" s="163" t="str">
        <f t="shared" si="15"/>
        <v/>
      </c>
      <c r="AZ88" s="122" t="str">
        <f>IFERROR($M88+VLOOKUP($L88,'Voyage days'!$F$540:$H$613,3,FALSE),"")</f>
        <v/>
      </c>
      <c r="BA88" s="122" t="str">
        <f>IFERROR($N88+VLOOKUP($L88,'Voyage days'!$F$540:$H$613,3,FALSE),"")</f>
        <v/>
      </c>
      <c r="BB88" s="163" t="str">
        <f t="shared" si="16"/>
        <v/>
      </c>
      <c r="BC88" s="121" t="str">
        <f>IFERROR($M88+VLOOKUP($L88,'Voyage days'!$F$448:$H$479,3,FALSE),"")</f>
        <v/>
      </c>
      <c r="BD88" s="121" t="str">
        <f>IFERROR($N88+VLOOKUP($L88,'Voyage days'!$F$448:$H$479,3,FALSE),"")</f>
        <v/>
      </c>
      <c r="BE88" s="163" t="str">
        <f t="shared" si="17"/>
        <v/>
      </c>
      <c r="BF88" s="122" t="str">
        <f>IFERROR($M88+VLOOKUP($L88,'Voyage days'!$F$620:$H$646,3,FALSE),"")</f>
        <v/>
      </c>
      <c r="BG88" s="122" t="str">
        <f>IFERROR($N88+VLOOKUP($L88,'Voyage days'!$F$620:$H$646,3,FALSE),"")</f>
        <v/>
      </c>
      <c r="BH88" s="163" t="str">
        <f t="shared" si="18"/>
        <v/>
      </c>
      <c r="BI88" s="123" t="str">
        <f>IFERROR($M88+VLOOKUP($L88,'Voyage days'!$F$702:$H$727,3,FALSE),"")</f>
        <v/>
      </c>
      <c r="BJ88" s="163" t="str">
        <f t="shared" si="19"/>
        <v/>
      </c>
      <c r="BK88" s="122" t="str">
        <f>IFERROR($M88+VLOOKUP($L88,'Voyage days'!$F$807:$H$878,3,FALSE),"")</f>
        <v/>
      </c>
      <c r="BL88" s="122" t="str">
        <f>IFERROR($N88+VLOOKUP($L88,'Voyage days'!$F$807:$H$878,3,FALSE),"")</f>
        <v/>
      </c>
      <c r="BM88" s="122" t="str">
        <f>IFERROR($N88+VLOOKUP($L88,'Voyage days'!$F$807:$K$878,6,FALSE),"")</f>
        <v/>
      </c>
      <c r="BN88" s="121" t="str">
        <f>if(L88="loads AG", IFERROR($M88+VLOOKUP($L88,'Voyage days'!$M$38:$O$38,3,FALSE),""),"")</f>
        <v/>
      </c>
      <c r="BO88" s="121">
        <f>if(L88="loads USG", IFERROR($M88+VLOOKUP($L88,'Voyage days'!$L$203:$N$203,3,FALSE),""),"")</f>
        <v>46180</v>
      </c>
    </row>
    <row r="89" ht="15.75" customHeight="1">
      <c r="A89" s="298" t="s">
        <v>340</v>
      </c>
      <c r="B89" s="148">
        <v>2021.0</v>
      </c>
      <c r="C89" s="102">
        <v>84000.0</v>
      </c>
      <c r="D89" s="103"/>
      <c r="E89" s="103"/>
      <c r="F89" s="104"/>
      <c r="G89" s="104"/>
      <c r="H89" s="104" t="s">
        <v>689</v>
      </c>
      <c r="I89" s="401" t="s">
        <v>878</v>
      </c>
      <c r="J89" s="106" t="str">
        <f t="shared" si="22"/>
        <v>Update</v>
      </c>
      <c r="K89" s="107"/>
      <c r="L89" s="108" t="s">
        <v>680</v>
      </c>
      <c r="M89" s="109">
        <v>46127.0</v>
      </c>
      <c r="N89" s="109">
        <v>46128.0</v>
      </c>
      <c r="O89" s="191"/>
      <c r="P89" s="108" t="s">
        <v>885</v>
      </c>
      <c r="Q89" s="211"/>
      <c r="R89" s="108" t="s">
        <v>886</v>
      </c>
      <c r="S89" s="256" t="s">
        <v>659</v>
      </c>
      <c r="T89" s="293">
        <v>46124.0</v>
      </c>
      <c r="U89" s="114" t="str">
        <f>IF(V89="","No AIS",VLOOKUP(V89,'Voyage days'!$A$3:$B$1480,2,FALSE))</f>
        <v>Panama</v>
      </c>
      <c r="V89" s="115" t="str">
        <f>IF(VLOOKUP(A89,'1) Kpler'!$E$2:$P$1000,8, FALSE)="","",VLOOKUP(A89,'1) Kpler'!$E$2:$P$1000,8, FALSE))</f>
        <v>Panama</v>
      </c>
      <c r="W89" s="116">
        <f>IF(VLOOKUP(A89,'1) Kpler'!$E$2:$P$1000,9,FALSE)="","",VLOOKUP(A89,'1) Kpler'!$E$2:$P$1000,9,FALSE))</f>
        <v>46136.95833</v>
      </c>
      <c r="X89" s="115" t="str">
        <f>VLOOKUP(A89,'1) Kpler'!$E$2:$I$1000,4,FALSE)</f>
        <v>loaded</v>
      </c>
      <c r="Y89" s="160" t="str">
        <f t="shared" si="1"/>
        <v/>
      </c>
      <c r="Z89" s="160" t="str">
        <f t="shared" si="2"/>
        <v>15-16 Apr</v>
      </c>
      <c r="AA89" s="160" t="str">
        <f t="shared" si="3"/>
        <v>15-16 Apr</v>
      </c>
      <c r="AB89" s="160" t="str">
        <f t="shared" si="4"/>
        <v/>
      </c>
      <c r="AC89" s="160" t="str">
        <f t="shared" si="5"/>
        <v>05-06 May</v>
      </c>
      <c r="AD89" s="160" t="str">
        <f t="shared" si="6"/>
        <v/>
      </c>
      <c r="AE89" s="161" t="str">
        <f t="shared" si="7"/>
        <v/>
      </c>
      <c r="AF89" s="162" t="str">
        <f t="shared" si="8"/>
        <v/>
      </c>
      <c r="AG89" s="120" t="str">
        <f t="shared" si="9"/>
        <v/>
      </c>
      <c r="AH89" s="121" t="str">
        <f>IFERROR($M89+VLOOKUP($L89,'Voyage days'!$F$38:$H$89,3,FALSE),"")</f>
        <v/>
      </c>
      <c r="AI89" s="121" t="str">
        <f>IFERROR(N89+VLOOKUP($L89,'Voyage days'!$F$38:$H$89,3,FALSE),"")</f>
        <v/>
      </c>
      <c r="AJ89" s="120" t="str">
        <f t="shared" si="10"/>
        <v>15-16 Apr</v>
      </c>
      <c r="AK89" s="121">
        <f>IFERROR($M89+VLOOKUP($L89,'Voyage days'!$F$94:$H$193,3,FALSE),"")</f>
        <v>46127</v>
      </c>
      <c r="AL89" s="121">
        <f>IFERROR($N89+VLOOKUP($L89,'Voyage days'!$F$94:$H$193,3,FALSE),"")</f>
        <v>46128</v>
      </c>
      <c r="AM89" s="120" t="str">
        <f t="shared" si="11"/>
        <v>15-16 Apr</v>
      </c>
      <c r="AN89" s="121">
        <f>IFERROR($M89+VLOOKUP($L89,'Voyage days'!$F$203:$H$256,3,FALSE),"")</f>
        <v>46127</v>
      </c>
      <c r="AO89" s="121">
        <f>IFERROR($N89+VLOOKUP($L89,'Voyage days'!$F$203:$H$256,3,FALSE),"")</f>
        <v>46128</v>
      </c>
      <c r="AP89" s="120" t="str">
        <f t="shared" si="12"/>
        <v/>
      </c>
      <c r="AQ89" s="121" t="str">
        <f>IFERROR($M89+VLOOKUP($L89,'Voyage days'!$F$294:$H$377,3,FALSE),"")</f>
        <v/>
      </c>
      <c r="AR89" s="121" t="str">
        <f>IFERROR($N89+VLOOKUP($L89,'Voyage days'!$F$294:$H$377,3,FALSE),"")</f>
        <v/>
      </c>
      <c r="AS89" s="120" t="str">
        <f t="shared" si="13"/>
        <v>05-06 May</v>
      </c>
      <c r="AT89" s="121">
        <f>IFERROR($M89+VLOOKUP($L89,'Voyage days'!$F$382:$H$446,3,FALSE),"")</f>
        <v>46147</v>
      </c>
      <c r="AU89" s="121">
        <f>IFERROR($N89+VLOOKUP($L89,'Voyage days'!$F$382:$H$446,3,FALSE),"")</f>
        <v>46148</v>
      </c>
      <c r="AV89" s="120" t="str">
        <f t="shared" si="14"/>
        <v/>
      </c>
      <c r="AW89" s="121" t="str">
        <f>IFERROR($M89+VLOOKUP($L89,'Voyage days'!$F$483:$H$538,3,FALSE),"")</f>
        <v/>
      </c>
      <c r="AX89" s="121" t="str">
        <f>IFERROR($N89+VLOOKUP($L89,'Voyage days'!$F$483:$H$538,3,FALSE),"")</f>
        <v/>
      </c>
      <c r="AY89" s="120" t="str">
        <f t="shared" si="15"/>
        <v/>
      </c>
      <c r="AZ89" s="121" t="str">
        <f>IFERROR($M89+VLOOKUP($L89,'Voyage days'!$F$540:$H$613,3,FALSE),"")</f>
        <v/>
      </c>
      <c r="BA89" s="121" t="str">
        <f>IFERROR($N89+VLOOKUP($L89,'Voyage days'!$F$540:$H$613,3,FALSE),"")</f>
        <v/>
      </c>
      <c r="BB89" s="120" t="str">
        <f t="shared" si="16"/>
        <v/>
      </c>
      <c r="BC89" s="121" t="str">
        <f>IFERROR($M89+VLOOKUP($L89,'Voyage days'!$F$448:$H$479,3,FALSE),"")</f>
        <v/>
      </c>
      <c r="BD89" s="121" t="str">
        <f>IFERROR($N89+VLOOKUP($L89,'Voyage days'!$F$448:$H$479,3,FALSE),"")</f>
        <v/>
      </c>
      <c r="BE89" s="120" t="str">
        <f t="shared" si="17"/>
        <v/>
      </c>
      <c r="BF89" s="122" t="str">
        <f>IFERROR($M89+VLOOKUP($L89,'Voyage days'!$F$620:$H$646,3,FALSE),"")</f>
        <v/>
      </c>
      <c r="BG89" s="122" t="str">
        <f>IFERROR($N89+VLOOKUP($L89,'Voyage days'!$F$620:$H$646,3,FALSE),"")</f>
        <v/>
      </c>
      <c r="BH89" s="120" t="str">
        <f t="shared" si="18"/>
        <v/>
      </c>
      <c r="BI89" s="123" t="str">
        <f>IFERROR($M89+VLOOKUP($L89,'Voyage days'!$F$702:$H$727,3,FALSE),"")</f>
        <v/>
      </c>
      <c r="BJ89" s="120" t="str">
        <f t="shared" si="19"/>
        <v/>
      </c>
      <c r="BK89" s="122" t="str">
        <f>IFERROR($M89+VLOOKUP($L89,'Voyage days'!$F$807:$H$878,3,FALSE),"")</f>
        <v/>
      </c>
      <c r="BL89" s="122" t="str">
        <f>IFERROR($N89+VLOOKUP($L89,'Voyage days'!$F$807:$H$878,3,FALSE),"")</f>
        <v/>
      </c>
      <c r="BM89" s="122" t="str">
        <f>IFERROR($N89+VLOOKUP($L89,'Voyage days'!$F$807:$K$878,6,FALSE),"")</f>
        <v/>
      </c>
      <c r="BN89" s="121" t="str">
        <f>if(L89="loads AG", IFERROR($M89+VLOOKUP($L89,'Voyage days'!$M$38:$O$38,3,FALSE),""),"")</f>
        <v/>
      </c>
      <c r="BO89" s="121">
        <f>if(L89="loads USG", IFERROR($M89+VLOOKUP($L89,'Voyage days'!$L$203:$N$203,3,FALSE),""),"")</f>
        <v>46159</v>
      </c>
    </row>
    <row r="90" ht="15.75" customHeight="1">
      <c r="A90" s="80" t="s">
        <v>230</v>
      </c>
      <c r="B90" s="148">
        <v>2023.0</v>
      </c>
      <c r="C90" s="102">
        <v>86700.0</v>
      </c>
      <c r="D90" s="103"/>
      <c r="E90" s="103"/>
      <c r="F90" s="192"/>
      <c r="G90" s="192"/>
      <c r="H90" s="192" t="s">
        <v>689</v>
      </c>
      <c r="I90" s="401" t="s">
        <v>878</v>
      </c>
      <c r="J90" s="106" t="str">
        <f t="shared" si="22"/>
        <v>Update</v>
      </c>
      <c r="K90" s="107"/>
      <c r="L90" s="108" t="s">
        <v>680</v>
      </c>
      <c r="M90" s="109">
        <v>46125.0</v>
      </c>
      <c r="N90" s="109">
        <v>46126.0</v>
      </c>
      <c r="O90" s="255"/>
      <c r="P90" s="192" t="s">
        <v>887</v>
      </c>
      <c r="Q90" s="211"/>
      <c r="R90" s="108" t="s">
        <v>888</v>
      </c>
      <c r="S90" s="256" t="s">
        <v>659</v>
      </c>
      <c r="T90" s="293">
        <v>46124.0</v>
      </c>
      <c r="U90" s="114" t="str">
        <f>IF(V90="","No AIS",VLOOKUP(V90,'Voyage days'!$A$3:$B$1480,2,FALSE))</f>
        <v>Panama</v>
      </c>
      <c r="V90" s="115" t="str">
        <f>IF(VLOOKUP(A90,'1) Kpler'!$E$2:$P$1000,8, FALSE)="","",VLOOKUP(A90,'1) Kpler'!$E$2:$P$1000,8, FALSE))</f>
        <v>Panama Canal</v>
      </c>
      <c r="W90" s="116">
        <f>IF(VLOOKUP(A90,'1) Kpler'!$E$2:$P$1000,9,FALSE)="","",VLOOKUP(A90,'1) Kpler'!$E$2:$P$1000,9,FALSE))</f>
        <v>46133.66667</v>
      </c>
      <c r="X90" s="115" t="str">
        <f>VLOOKUP(A90,'1) Kpler'!$E$2:$I$1000,4,FALSE)</f>
        <v>loaded</v>
      </c>
      <c r="Y90" s="117" t="str">
        <f t="shared" si="1"/>
        <v/>
      </c>
      <c r="Z90" s="117" t="str">
        <f t="shared" si="2"/>
        <v>13-14 Apr</v>
      </c>
      <c r="AA90" s="117" t="str">
        <f t="shared" si="3"/>
        <v>13-14 Apr</v>
      </c>
      <c r="AB90" s="117" t="str">
        <f t="shared" si="4"/>
        <v/>
      </c>
      <c r="AC90" s="117" t="str">
        <f t="shared" si="5"/>
        <v>03-04 May</v>
      </c>
      <c r="AD90" s="117" t="str">
        <f t="shared" si="6"/>
        <v/>
      </c>
      <c r="AE90" s="118" t="str">
        <f t="shared" si="7"/>
        <v/>
      </c>
      <c r="AF90" s="119" t="str">
        <f t="shared" si="8"/>
        <v/>
      </c>
      <c r="AG90" s="120" t="str">
        <f t="shared" si="9"/>
        <v/>
      </c>
      <c r="AH90" s="121" t="str">
        <f>IFERROR($M90+VLOOKUP($L90,'Voyage days'!$F$38:$H$89,3,FALSE),"")</f>
        <v/>
      </c>
      <c r="AI90" s="121" t="str">
        <f>IFERROR(N90+VLOOKUP($L90,'Voyage days'!$F$38:$H$89,3,FALSE),"")</f>
        <v/>
      </c>
      <c r="AJ90" s="120" t="str">
        <f t="shared" si="10"/>
        <v>13-14 Apr</v>
      </c>
      <c r="AK90" s="121">
        <f>IFERROR($M90+VLOOKUP($L90,'Voyage days'!$F$94:$H$193,3,FALSE),"")</f>
        <v>46125</v>
      </c>
      <c r="AL90" s="121">
        <f>IFERROR($N90+VLOOKUP($L90,'Voyage days'!$F$94:$H$193,3,FALSE),"")</f>
        <v>46126</v>
      </c>
      <c r="AM90" s="120" t="str">
        <f t="shared" si="11"/>
        <v>13-14 Apr</v>
      </c>
      <c r="AN90" s="121">
        <f>IFERROR($M90+VLOOKUP($L90,'Voyage days'!$F$203:$H$256,3,FALSE),"")</f>
        <v>46125</v>
      </c>
      <c r="AO90" s="121">
        <f>IFERROR($N90+VLOOKUP($L90,'Voyage days'!$F$203:$H$256,3,FALSE),"")</f>
        <v>46126</v>
      </c>
      <c r="AP90" s="120" t="str">
        <f t="shared" si="12"/>
        <v/>
      </c>
      <c r="AQ90" s="121" t="str">
        <f>IFERROR($M90+VLOOKUP($L90,'Voyage days'!$F$294:$H$377,3,FALSE),"")</f>
        <v/>
      </c>
      <c r="AR90" s="121" t="str">
        <f>IFERROR($N90+VLOOKUP($L90,'Voyage days'!$F$294:$H$377,3,FALSE),"")</f>
        <v/>
      </c>
      <c r="AS90" s="120" t="str">
        <f t="shared" si="13"/>
        <v>03-04 May</v>
      </c>
      <c r="AT90" s="121">
        <f>IFERROR($M90+VLOOKUP($L90,'Voyage days'!$F$382:$H$446,3,FALSE),"")</f>
        <v>46145</v>
      </c>
      <c r="AU90" s="121">
        <f>IFERROR($N90+VLOOKUP($L90,'Voyage days'!$F$382:$H$446,3,FALSE),"")</f>
        <v>46146</v>
      </c>
      <c r="AV90" s="120" t="str">
        <f t="shared" si="14"/>
        <v/>
      </c>
      <c r="AW90" s="121" t="str">
        <f>IFERROR($M90+VLOOKUP($L90,'Voyage days'!$F$483:$H$538,3,FALSE),"")</f>
        <v/>
      </c>
      <c r="AX90" s="121" t="str">
        <f>IFERROR($N90+VLOOKUP($L90,'Voyage days'!$F$483:$H$538,3,FALSE),"")</f>
        <v/>
      </c>
      <c r="AY90" s="120" t="str">
        <f t="shared" si="15"/>
        <v/>
      </c>
      <c r="AZ90" s="121" t="str">
        <f>IFERROR($M90+VLOOKUP($L90,'Voyage days'!$F$540:$H$613,3,FALSE),"")</f>
        <v/>
      </c>
      <c r="BA90" s="121" t="str">
        <f>IFERROR($N90+VLOOKUP($L90,'Voyage days'!$F$540:$H$613,3,FALSE),"")</f>
        <v/>
      </c>
      <c r="BB90" s="120" t="str">
        <f t="shared" si="16"/>
        <v/>
      </c>
      <c r="BC90" s="121" t="str">
        <f>IFERROR($M90+VLOOKUP($L90,'Voyage days'!$F$448:$H$479,3,FALSE),"")</f>
        <v/>
      </c>
      <c r="BD90" s="121" t="str">
        <f>IFERROR($N90+VLOOKUP($L90,'Voyage days'!$F$448:$H$479,3,FALSE),"")</f>
        <v/>
      </c>
      <c r="BE90" s="120" t="str">
        <f t="shared" si="17"/>
        <v/>
      </c>
      <c r="BF90" s="122" t="str">
        <f>IFERROR($M90+VLOOKUP($L90,'Voyage days'!$F$620:$H$646,3,FALSE),"")</f>
        <v/>
      </c>
      <c r="BG90" s="122" t="str">
        <f>IFERROR($N90+VLOOKUP($L90,'Voyage days'!$F$620:$H$646,3,FALSE),"")</f>
        <v/>
      </c>
      <c r="BH90" s="120" t="str">
        <f t="shared" si="18"/>
        <v/>
      </c>
      <c r="BI90" s="123" t="str">
        <f>IFERROR($M90+VLOOKUP($L90,'Voyage days'!$F$702:$H$727,3,FALSE),"")</f>
        <v/>
      </c>
      <c r="BJ90" s="120" t="str">
        <f t="shared" si="19"/>
        <v/>
      </c>
      <c r="BK90" s="122" t="str">
        <f>IFERROR($M90+VLOOKUP($L90,'Voyage days'!$F$807:$H$878,3,FALSE),"")</f>
        <v/>
      </c>
      <c r="BL90" s="122" t="str">
        <f>IFERROR($N90+VLOOKUP($L90,'Voyage days'!$F$807:$H$878,3,FALSE),"")</f>
        <v/>
      </c>
      <c r="BM90" s="122" t="str">
        <f>IFERROR($N90+VLOOKUP($L90,'Voyage days'!$F$807:$K$878,6,FALSE),"")</f>
        <v/>
      </c>
      <c r="BN90" s="121" t="str">
        <f>if(L90="loads AG", IFERROR($M90+VLOOKUP($L90,'Voyage days'!$M$38:$O$38,3,FALSE),""),"")</f>
        <v/>
      </c>
      <c r="BO90" s="121">
        <f>if(L90="loads USG", IFERROR($M90+VLOOKUP($L90,'Voyage days'!$L$203:$N$203,3,FALSE),""),"")</f>
        <v>46157</v>
      </c>
    </row>
    <row r="91" ht="15.75" customHeight="1">
      <c r="A91" s="406" t="s">
        <v>560</v>
      </c>
      <c r="B91" s="148">
        <v>2024.0</v>
      </c>
      <c r="C91" s="102">
        <v>86000.0</v>
      </c>
      <c r="D91" s="112"/>
      <c r="E91" s="112" t="s">
        <v>706</v>
      </c>
      <c r="F91" s="104"/>
      <c r="G91" s="104"/>
      <c r="H91" s="104" t="s">
        <v>666</v>
      </c>
      <c r="I91" s="401" t="s">
        <v>878</v>
      </c>
      <c r="J91" s="106" t="str">
        <f t="shared" si="22"/>
        <v/>
      </c>
      <c r="K91" s="107"/>
      <c r="L91" s="108" t="s">
        <v>680</v>
      </c>
      <c r="M91" s="109">
        <v>46149.0</v>
      </c>
      <c r="N91" s="109">
        <v>46150.0</v>
      </c>
      <c r="O91" s="407" t="s">
        <v>729</v>
      </c>
      <c r="P91" s="108" t="s">
        <v>889</v>
      </c>
      <c r="Q91" s="295"/>
      <c r="R91" s="295" t="s">
        <v>890</v>
      </c>
      <c r="S91" s="402" t="s">
        <v>659</v>
      </c>
      <c r="T91" s="293">
        <v>46124.0</v>
      </c>
      <c r="U91" s="114" t="str">
        <f>IF(V91="","No AIS",VLOOKUP(V91,'Voyage days'!$A$3:$B$1480,2,FALSE))</f>
        <v>East Med</v>
      </c>
      <c r="V91" s="115" t="str">
        <f>IF(VLOOKUP(A91,'1) Kpler'!$E$2:$P$1000,8, FALSE)="","",VLOOKUP(A91,'1) Kpler'!$E$2:$P$1000,8, FALSE))</f>
        <v>Gibraltar</v>
      </c>
      <c r="W91" s="116">
        <f>IF(VLOOKUP(A91,'1) Kpler'!$E$2:$P$1000,9,FALSE)="","",VLOOKUP(A91,'1) Kpler'!$E$2:$P$1000,9,FALSE))</f>
        <v>46135.5</v>
      </c>
      <c r="X91" s="115" t="str">
        <f>VLOOKUP(A91,'1) Kpler'!$E$2:$I$1000,4,FALSE)</f>
        <v>ballast</v>
      </c>
      <c r="Y91" s="160" t="str">
        <f t="shared" si="1"/>
        <v/>
      </c>
      <c r="Z91" s="160" t="str">
        <f t="shared" si="2"/>
        <v>07-08 May</v>
      </c>
      <c r="AA91" s="160" t="str">
        <f t="shared" si="3"/>
        <v>07-08 May</v>
      </c>
      <c r="AB91" s="160" t="str">
        <f t="shared" si="4"/>
        <v/>
      </c>
      <c r="AC91" s="160" t="str">
        <f t="shared" si="5"/>
        <v>27-28 May</v>
      </c>
      <c r="AD91" s="160" t="str">
        <f t="shared" si="6"/>
        <v/>
      </c>
      <c r="AE91" s="161" t="str">
        <f t="shared" si="7"/>
        <v/>
      </c>
      <c r="AF91" s="162" t="str">
        <f t="shared" si="8"/>
        <v/>
      </c>
      <c r="AG91" s="120" t="str">
        <f t="shared" si="9"/>
        <v/>
      </c>
      <c r="AH91" s="121" t="str">
        <f>IFERROR($M91+VLOOKUP($L91,'Voyage days'!$F$38:$H$89,3,FALSE),"")</f>
        <v/>
      </c>
      <c r="AI91" s="121" t="str">
        <f>IFERROR(N91+VLOOKUP($L91,'Voyage days'!$F$38:$H$89,3,FALSE),"")</f>
        <v/>
      </c>
      <c r="AJ91" s="120" t="str">
        <f t="shared" si="10"/>
        <v>07-08 May</v>
      </c>
      <c r="AK91" s="121">
        <f>IFERROR($M91+VLOOKUP($L91,'Voyage days'!$F$94:$H$193,3,FALSE),"")</f>
        <v>46149</v>
      </c>
      <c r="AL91" s="121">
        <f>IFERROR($N91+VLOOKUP($L91,'Voyage days'!$F$94:$H$193,3,FALSE),"")</f>
        <v>46150</v>
      </c>
      <c r="AM91" s="120" t="str">
        <f t="shared" si="11"/>
        <v>07-08 May</v>
      </c>
      <c r="AN91" s="121">
        <f>IFERROR($M91+VLOOKUP($L91,'Voyage days'!$F$203:$H$256,3,FALSE),"")</f>
        <v>46149</v>
      </c>
      <c r="AO91" s="121">
        <f>IFERROR($N91+VLOOKUP($L91,'Voyage days'!$F$203:$H$256,3,FALSE),"")</f>
        <v>46150</v>
      </c>
      <c r="AP91" s="120" t="str">
        <f t="shared" si="12"/>
        <v/>
      </c>
      <c r="AQ91" s="121" t="str">
        <f>IFERROR($M91+VLOOKUP($L91,'Voyage days'!$F$294:$H$377,3,FALSE),"")</f>
        <v/>
      </c>
      <c r="AR91" s="121" t="str">
        <f>IFERROR($N91+VLOOKUP($L91,'Voyage days'!$F$294:$H$377,3,FALSE),"")</f>
        <v/>
      </c>
      <c r="AS91" s="120" t="str">
        <f t="shared" si="13"/>
        <v>27-28 May</v>
      </c>
      <c r="AT91" s="121">
        <f>IFERROR($M91+VLOOKUP($L91,'Voyage days'!$F$382:$H$446,3,FALSE),"")</f>
        <v>46169</v>
      </c>
      <c r="AU91" s="121">
        <f>IFERROR($N91+VLOOKUP($L91,'Voyage days'!$F$382:$H$446,3,FALSE),"")</f>
        <v>46170</v>
      </c>
      <c r="AV91" s="120" t="str">
        <f t="shared" si="14"/>
        <v/>
      </c>
      <c r="AW91" s="121" t="str">
        <f>IFERROR($M91+VLOOKUP($L91,'Voyage days'!$F$483:$H$538,3,FALSE),"")</f>
        <v/>
      </c>
      <c r="AX91" s="121" t="str">
        <f>IFERROR($N91+VLOOKUP($L91,'Voyage days'!$F$483:$H$538,3,FALSE),"")</f>
        <v/>
      </c>
      <c r="AY91" s="120" t="str">
        <f t="shared" si="15"/>
        <v/>
      </c>
      <c r="AZ91" s="121" t="str">
        <f>IFERROR($M91+VLOOKUP($L91,'Voyage days'!$F$540:$H$613,3,FALSE),"")</f>
        <v/>
      </c>
      <c r="BA91" s="121" t="str">
        <f>IFERROR($N91+VLOOKUP($L91,'Voyage days'!$F$540:$H$613,3,FALSE),"")</f>
        <v/>
      </c>
      <c r="BB91" s="120" t="str">
        <f t="shared" si="16"/>
        <v/>
      </c>
      <c r="BC91" s="121" t="str">
        <f>IFERROR($M91+VLOOKUP($L91,'Voyage days'!$F$448:$H$479,3,FALSE),"")</f>
        <v/>
      </c>
      <c r="BD91" s="121" t="str">
        <f>IFERROR($N91+VLOOKUP($L91,'Voyage days'!$F$448:$H$479,3,FALSE),"")</f>
        <v/>
      </c>
      <c r="BE91" s="120" t="str">
        <f t="shared" si="17"/>
        <v/>
      </c>
      <c r="BF91" s="122" t="str">
        <f>IFERROR($M91+VLOOKUP($L91,'Voyage days'!$F$620:$H$646,3,FALSE),"")</f>
        <v/>
      </c>
      <c r="BG91" s="122" t="str">
        <f>IFERROR($N91+VLOOKUP($L91,'Voyage days'!$F$620:$H$646,3,FALSE),"")</f>
        <v/>
      </c>
      <c r="BH91" s="120" t="str">
        <f t="shared" si="18"/>
        <v/>
      </c>
      <c r="BI91" s="123" t="str">
        <f>IFERROR($M91+VLOOKUP($L91,'Voyage days'!$F$702:$H$727,3,FALSE),"")</f>
        <v/>
      </c>
      <c r="BJ91" s="120" t="str">
        <f t="shared" si="19"/>
        <v/>
      </c>
      <c r="BK91" s="122" t="str">
        <f>IFERROR($M91+VLOOKUP($L91,'Voyage days'!$F$807:$H$878,3,FALSE),"")</f>
        <v/>
      </c>
      <c r="BL91" s="122" t="str">
        <f>IFERROR($N91+VLOOKUP($L91,'Voyage days'!$F$807:$H$878,3,FALSE),"")</f>
        <v/>
      </c>
      <c r="BM91" s="122" t="str">
        <f>IFERROR($N91+VLOOKUP($L91,'Voyage days'!$F$807:$K$878,6,FALSE),"")</f>
        <v/>
      </c>
      <c r="BN91" s="121" t="str">
        <f>if(L91="loads AG", IFERROR($M91+VLOOKUP($L91,'Voyage days'!$M$38:$O$38,3,FALSE),""),"")</f>
        <v/>
      </c>
      <c r="BO91" s="121">
        <f>if(L91="loads USG", IFERROR($M91+VLOOKUP($L91,'Voyage days'!$L$203:$N$203,3,FALSE),""),"")</f>
        <v>46181</v>
      </c>
    </row>
    <row r="92" ht="15.75" customHeight="1">
      <c r="A92" s="408" t="s">
        <v>544</v>
      </c>
      <c r="B92" s="189">
        <v>38139.0</v>
      </c>
      <c r="C92" s="190">
        <v>78918.0</v>
      </c>
      <c r="D92" s="409"/>
      <c r="E92" s="409"/>
      <c r="F92" s="207"/>
      <c r="G92" s="207"/>
      <c r="H92" s="207"/>
      <c r="I92" s="208" t="s">
        <v>878</v>
      </c>
      <c r="J92" s="209" t="str">
        <f t="shared" si="22"/>
        <v/>
      </c>
      <c r="K92" s="210"/>
      <c r="L92" s="211" t="s">
        <v>656</v>
      </c>
      <c r="M92" s="173">
        <v>46162.0</v>
      </c>
      <c r="N92" s="254">
        <v>46166.0</v>
      </c>
      <c r="O92" s="410"/>
      <c r="P92" s="211" t="s">
        <v>891</v>
      </c>
      <c r="Q92" s="411"/>
      <c r="R92" s="412" t="s">
        <v>892</v>
      </c>
      <c r="S92" s="380" t="s">
        <v>659</v>
      </c>
      <c r="T92" s="413">
        <v>46124.0</v>
      </c>
      <c r="U92" s="216" t="str">
        <f>IF(V92="","No AIS",VLOOKUP(V92,'Voyage days'!$A$3:$B$1480,2,FALSE))</f>
        <v>Japan + 6</v>
      </c>
      <c r="V92" s="217" t="str">
        <f>IF(VLOOKUP(A92,'1) Kpler'!$E$2:$P$1000,8, FALSE)="","",VLOOKUP(A92,'1) Kpler'!$E$2:$P$1000,8, FALSE))</f>
        <v>Tokyo Bay</v>
      </c>
      <c r="W92" s="218">
        <f>IF(VLOOKUP(A92,'1) Kpler'!$E$2:$P$1000,9,FALSE)="","",VLOOKUP(A92,'1) Kpler'!$E$2:$P$1000,9,FALSE))</f>
        <v>46154.47917</v>
      </c>
      <c r="X92" s="217" t="str">
        <f>VLOOKUP(A92,'1) Kpler'!$E$2:$I$1000,4,FALSE)</f>
        <v>loaded</v>
      </c>
      <c r="Y92" s="414" t="str">
        <f t="shared" si="1"/>
        <v>07-11 Jun</v>
      </c>
      <c r="Z92" s="414" t="str">
        <f t="shared" si="2"/>
        <v>20-24 Jun</v>
      </c>
      <c r="AA92" s="414" t="str">
        <f t="shared" si="3"/>
        <v>27-01 Jul</v>
      </c>
      <c r="AB92" s="414" t="str">
        <f t="shared" si="4"/>
        <v>19-23 Jun</v>
      </c>
      <c r="AC92" s="414" t="str">
        <f t="shared" si="5"/>
        <v>25-29 Jun</v>
      </c>
      <c r="AD92" s="414" t="str">
        <f t="shared" si="6"/>
        <v>28-01 Jun</v>
      </c>
      <c r="AE92" s="415" t="str">
        <f t="shared" si="7"/>
        <v>28-01 Jun</v>
      </c>
      <c r="AF92" s="162" t="str">
        <f t="shared" si="8"/>
        <v>05-09 Jul</v>
      </c>
      <c r="AG92" s="120" t="str">
        <f t="shared" si="9"/>
        <v>07-11 Jun</v>
      </c>
      <c r="AH92" s="121">
        <f>IFERROR($M92+VLOOKUP($L92,'Voyage days'!$F$38:$H$89,3,FALSE),"")</f>
        <v>46180</v>
      </c>
      <c r="AI92" s="121">
        <f>IFERROR(N92+VLOOKUP($L92,'Voyage days'!$F$38:$H$89,3,FALSE),"")</f>
        <v>46184</v>
      </c>
      <c r="AJ92" s="120" t="str">
        <f t="shared" si="10"/>
        <v>20-24 Jun</v>
      </c>
      <c r="AK92" s="121">
        <f>IFERROR($M92+VLOOKUP($L92,'Voyage days'!$F$94:$H$193,3,FALSE),"")</f>
        <v>46193</v>
      </c>
      <c r="AL92" s="121">
        <f>IFERROR($N92+VLOOKUP($L92,'Voyage days'!$F$94:$H$193,3,FALSE),"")</f>
        <v>46197</v>
      </c>
      <c r="AM92" s="120" t="str">
        <f t="shared" si="11"/>
        <v>27-01 Jul</v>
      </c>
      <c r="AN92" s="121">
        <f>IFERROR($M92+VLOOKUP($L92,'Voyage days'!$F$203:$H$256,3,FALSE),"")</f>
        <v>46200</v>
      </c>
      <c r="AO92" s="121">
        <f>IFERROR($N92+VLOOKUP($L92,'Voyage days'!$F$203:$H$256,3,FALSE),"")</f>
        <v>46204</v>
      </c>
      <c r="AP92" s="120" t="str">
        <f t="shared" si="12"/>
        <v>19-23 Jun</v>
      </c>
      <c r="AQ92" s="121">
        <f>IFERROR($M92+VLOOKUP($L92,'Voyage days'!$F$294:$H$377,3,FALSE),"")</f>
        <v>46192</v>
      </c>
      <c r="AR92" s="121">
        <f>IFERROR($N92+VLOOKUP($L92,'Voyage days'!$F$294:$H$377,3,FALSE),"")</f>
        <v>46196</v>
      </c>
      <c r="AS92" s="120" t="str">
        <f t="shared" si="13"/>
        <v>25-29 Jun</v>
      </c>
      <c r="AT92" s="121">
        <f>IFERROR($M92+VLOOKUP($L92,'Voyage days'!$F$382:$H$446,3,FALSE),"")</f>
        <v>46198</v>
      </c>
      <c r="AU92" s="121">
        <f>IFERROR($N92+VLOOKUP($L92,'Voyage days'!$F$382:$H$446,3,FALSE),"")</f>
        <v>46202</v>
      </c>
      <c r="AV92" s="120" t="str">
        <f t="shared" si="14"/>
        <v>02-06 Jun</v>
      </c>
      <c r="AW92" s="121">
        <f>IFERROR($M92+VLOOKUP($L92,'Voyage days'!$F$483:$H$538,3,FALSE),"")</f>
        <v>46175</v>
      </c>
      <c r="AX92" s="121">
        <f>IFERROR($N92+VLOOKUP($L92,'Voyage days'!$F$483:$H$538,3,FALSE),"")</f>
        <v>46179</v>
      </c>
      <c r="AY92" s="120" t="str">
        <f t="shared" si="15"/>
        <v>28-01 Jun</v>
      </c>
      <c r="AZ92" s="121">
        <f>IFERROR($M92+VLOOKUP($L92,'Voyage days'!$F$540:$H$613,3,FALSE),"")</f>
        <v>46170.25</v>
      </c>
      <c r="BA92" s="121">
        <f>IFERROR($N92+VLOOKUP($L92,'Voyage days'!$F$540:$H$613,3,FALSE),"")</f>
        <v>46174.25</v>
      </c>
      <c r="BB92" s="120" t="str">
        <f t="shared" si="16"/>
        <v>28-01 Jun</v>
      </c>
      <c r="BC92" s="121">
        <f>IFERROR($M92+VLOOKUP($L92,'Voyage days'!$F$448:$H$479,3,FALSE),"")</f>
        <v>46170</v>
      </c>
      <c r="BD92" s="121">
        <f>IFERROR($N92+VLOOKUP($L92,'Voyage days'!$F$448:$H$479,3,FALSE),"")</f>
        <v>46174</v>
      </c>
      <c r="BE92" s="120" t="str">
        <f t="shared" si="17"/>
        <v>31-04 Jun</v>
      </c>
      <c r="BF92" s="122">
        <f>IFERROR($M92+VLOOKUP($L92,'Voyage days'!$F$620:$H$646,3,FALSE),"")</f>
        <v>46173</v>
      </c>
      <c r="BG92" s="122">
        <f>IFERROR($N92+VLOOKUP($L92,'Voyage days'!$F$620:$H$646,3,FALSE),"")</f>
        <v>46177</v>
      </c>
      <c r="BH92" s="120" t="str">
        <f t="shared" si="18"/>
        <v>28-09 Jul</v>
      </c>
      <c r="BI92" s="123">
        <f>IFERROR($M92+VLOOKUP($L92,'Voyage days'!$F$702:$H$727,3,FALSE),"")</f>
        <v>46170.25</v>
      </c>
      <c r="BJ92" s="120" t="str">
        <f t="shared" si="19"/>
        <v>05-09 Jul</v>
      </c>
      <c r="BK92" s="122">
        <f>IFERROR($M92+VLOOKUP($L92,'Voyage days'!$F$807:$H$878,3,FALSE),"")</f>
        <v>46208</v>
      </c>
      <c r="BL92" s="122">
        <f>IFERROR($N92+VLOOKUP($L92,'Voyage days'!$F$807:$H$878,3,FALSE),"")</f>
        <v>46212</v>
      </c>
      <c r="BM92" s="122">
        <f>IFERROR($N92+VLOOKUP($L92,'Voyage days'!$F$807:$K$878,6,FALSE),"")</f>
        <v>46186</v>
      </c>
      <c r="BN92" s="121" t="str">
        <f>if(L92="loads AG", IFERROR($M92+VLOOKUP($L92,'Voyage days'!$M$38:$O$38,3,FALSE),""),"")</f>
        <v/>
      </c>
      <c r="BO92" s="121" t="str">
        <f>if(L92="loads USG", IFERROR($M92+VLOOKUP($L92,'Voyage days'!$L$203:$N$203,3,FALSE),""),"")</f>
        <v/>
      </c>
    </row>
    <row r="93" ht="15.75" customHeight="1">
      <c r="A93" s="416" t="s">
        <v>317</v>
      </c>
      <c r="B93" s="417">
        <v>2017.0</v>
      </c>
      <c r="C93" s="232">
        <v>83000.0</v>
      </c>
      <c r="D93" s="233" t="s">
        <v>603</v>
      </c>
      <c r="E93" s="233"/>
      <c r="F93" s="234"/>
      <c r="G93" s="234"/>
      <c r="H93" s="234"/>
      <c r="I93" s="418" t="s">
        <v>893</v>
      </c>
      <c r="J93" s="236" t="str">
        <f t="shared" si="22"/>
        <v/>
      </c>
      <c r="K93" s="237"/>
      <c r="L93" s="235" t="s">
        <v>773</v>
      </c>
      <c r="M93" s="238">
        <v>46143.0</v>
      </c>
      <c r="N93" s="238">
        <v>46144.0</v>
      </c>
      <c r="O93" s="419" t="s">
        <v>729</v>
      </c>
      <c r="P93" s="240" t="s">
        <v>894</v>
      </c>
      <c r="Q93" s="291"/>
      <c r="R93" s="235" t="s">
        <v>895</v>
      </c>
      <c r="S93" s="292" t="s">
        <v>659</v>
      </c>
      <c r="T93" s="420">
        <v>46124.0</v>
      </c>
      <c r="U93" s="244" t="str">
        <f>IF(V93="","No AIS",VLOOKUP(V93,'Voyage days'!$A$3:$B$1480,2,FALSE))</f>
        <v>Eu + 4</v>
      </c>
      <c r="V93" s="244" t="str">
        <f>IF(VLOOKUP(A93,'1) Kpler'!$E$2:$P$1000,8, FALSE)="","",VLOOKUP(A93,'1) Kpler'!$E$2:$P$1000,8, FALSE))</f>
        <v>Stenungsund</v>
      </c>
      <c r="W93" s="245">
        <f>IF(VLOOKUP(A93,'1) Kpler'!$E$2:$P$1000,9,FALSE)="","",VLOOKUP(A93,'1) Kpler'!$E$2:$P$1000,9,FALSE))</f>
        <v>46138.5</v>
      </c>
      <c r="X93" s="244" t="str">
        <f>VLOOKUP(A93,'1) Kpler'!$E$2:$I$1000,4,FALSE)</f>
        <v>loaded</v>
      </c>
      <c r="Y93" s="421" t="str">
        <f t="shared" si="1"/>
        <v/>
      </c>
      <c r="Z93" s="421" t="str">
        <f t="shared" si="2"/>
        <v>15-16 May</v>
      </c>
      <c r="AA93" s="421" t="str">
        <f t="shared" si="3"/>
        <v>16-17 May</v>
      </c>
      <c r="AB93" s="421" t="str">
        <f t="shared" si="4"/>
        <v>12-13 May</v>
      </c>
      <c r="AC93" s="421" t="str">
        <f t="shared" si="5"/>
        <v>03-04 May</v>
      </c>
      <c r="AD93" s="421" t="str">
        <f t="shared" si="6"/>
        <v/>
      </c>
      <c r="AE93" s="422" t="str">
        <f t="shared" si="7"/>
        <v/>
      </c>
      <c r="AF93" s="423" t="str">
        <f t="shared" si="8"/>
        <v>15-16 May</v>
      </c>
      <c r="AG93" s="249" t="str">
        <f t="shared" si="9"/>
        <v/>
      </c>
      <c r="AH93" s="250" t="str">
        <f>IFERROR($M93+VLOOKUP($L93,'Voyage days'!$F$38:$H$89,3,FALSE),"")</f>
        <v/>
      </c>
      <c r="AI93" s="250" t="str">
        <f>IFERROR(N93+VLOOKUP($L93,'Voyage days'!$F$38:$H$89,3,FALSE),"")</f>
        <v/>
      </c>
      <c r="AJ93" s="249" t="str">
        <f t="shared" si="10"/>
        <v>15-16 May</v>
      </c>
      <c r="AK93" s="250">
        <f>IFERROR($M93+VLOOKUP($L93,'Voyage days'!$F$94:$H$193,3,FALSE),"")</f>
        <v>46157</v>
      </c>
      <c r="AL93" s="250">
        <f>IFERROR($N93+VLOOKUP($L93,'Voyage days'!$F$94:$H$193,3,FALSE),"")</f>
        <v>46158</v>
      </c>
      <c r="AM93" s="249" t="str">
        <f t="shared" si="11"/>
        <v>16-17 May</v>
      </c>
      <c r="AN93" s="250">
        <f>IFERROR($M93+VLOOKUP($L93,'Voyage days'!$F$203:$H$256,3,FALSE),"")</f>
        <v>46158</v>
      </c>
      <c r="AO93" s="250">
        <f>IFERROR($N93+VLOOKUP($L93,'Voyage days'!$F$203:$H$256,3,FALSE),"")</f>
        <v>46159</v>
      </c>
      <c r="AP93" s="249" t="str">
        <f t="shared" si="12"/>
        <v>12-13 May</v>
      </c>
      <c r="AQ93" s="250">
        <f>IFERROR($M93+VLOOKUP($L93,'Voyage days'!$F$294:$H$377,3,FALSE),"")</f>
        <v>46154</v>
      </c>
      <c r="AR93" s="250">
        <f>IFERROR($N93+VLOOKUP($L93,'Voyage days'!$F$294:$H$377,3,FALSE),"")</f>
        <v>46155</v>
      </c>
      <c r="AS93" s="249" t="str">
        <f t="shared" si="13"/>
        <v>03-04 May</v>
      </c>
      <c r="AT93" s="250">
        <f>IFERROR($M93+VLOOKUP($L93,'Voyage days'!$F$382:$H$446,3,FALSE),"")</f>
        <v>46145</v>
      </c>
      <c r="AU93" s="250">
        <f>IFERROR($N93+VLOOKUP($L93,'Voyage days'!$F$382:$H$446,3,FALSE),"")</f>
        <v>46146</v>
      </c>
      <c r="AV93" s="249" t="str">
        <f t="shared" si="14"/>
        <v/>
      </c>
      <c r="AW93" s="250" t="str">
        <f>IFERROR($M93+VLOOKUP($L93,'Voyage days'!$F$483:$H$538,3,FALSE),"")</f>
        <v/>
      </c>
      <c r="AX93" s="250" t="str">
        <f>IFERROR($N93+VLOOKUP($L93,'Voyage days'!$F$483:$H$538,3,FALSE),"")</f>
        <v/>
      </c>
      <c r="AY93" s="249" t="str">
        <f t="shared" si="15"/>
        <v/>
      </c>
      <c r="AZ93" s="250" t="str">
        <f>IFERROR($M93+VLOOKUP($L93,'Voyage days'!$F$540:$H$613,3,FALSE),"")</f>
        <v/>
      </c>
      <c r="BA93" s="250" t="str">
        <f>IFERROR($N93+VLOOKUP($L93,'Voyage days'!$F$540:$H$613,3,FALSE),"")</f>
        <v/>
      </c>
      <c r="BB93" s="249" t="str">
        <f t="shared" si="16"/>
        <v/>
      </c>
      <c r="BC93" s="250" t="str">
        <f>IFERROR($M93+VLOOKUP($L93,'Voyage days'!$F$448:$H$479,3,FALSE),"")</f>
        <v/>
      </c>
      <c r="BD93" s="250" t="str">
        <f>IFERROR($N93+VLOOKUP($L93,'Voyage days'!$F$448:$H$479,3,FALSE),"")</f>
        <v/>
      </c>
      <c r="BE93" s="249" t="str">
        <f t="shared" si="17"/>
        <v/>
      </c>
      <c r="BF93" s="250" t="str">
        <f>IFERROR($M93+VLOOKUP($L93,'Voyage days'!$F$620:$H$646,3,FALSE),"")</f>
        <v/>
      </c>
      <c r="BG93" s="250" t="str">
        <f>IFERROR($N93+VLOOKUP($L93,'Voyage days'!$F$620:$H$646,3,FALSE),"")</f>
        <v/>
      </c>
      <c r="BH93" s="249" t="str">
        <f t="shared" si="18"/>
        <v/>
      </c>
      <c r="BI93" s="251" t="str">
        <f>IFERROR($M93+VLOOKUP($L93,'Voyage days'!$F$702:$H$727,3,FALSE),"")</f>
        <v/>
      </c>
      <c r="BJ93" s="249" t="str">
        <f t="shared" si="19"/>
        <v>15-16 May</v>
      </c>
      <c r="BK93" s="250">
        <f>IFERROR($M93+VLOOKUP($L93,'Voyage days'!$F$807:$H$878,3,FALSE),"")</f>
        <v>46157</v>
      </c>
      <c r="BL93" s="250">
        <f>IFERROR($N93+VLOOKUP($L93,'Voyage days'!$F$807:$H$878,3,FALSE),"")</f>
        <v>46158</v>
      </c>
      <c r="BM93" s="250">
        <f>IFERROR($N93+VLOOKUP($L93,'Voyage days'!$F$807:$K$878,6,FALSE),"")</f>
        <v>46144</v>
      </c>
      <c r="BN93" s="250" t="str">
        <f>if(L93="loads AG", IFERROR($M93+VLOOKUP($L93,'Voyage days'!$M$38:$O$38,3,FALSE),""),"")</f>
        <v/>
      </c>
      <c r="BO93" s="250" t="str">
        <f>if(L93="loads USG", IFERROR($M93+VLOOKUP($L93,'Voyage days'!$L$203:$N$203,3,FALSE),""),"")</f>
        <v/>
      </c>
      <c r="BP93" s="252"/>
    </row>
    <row r="94" ht="15.75" customHeight="1">
      <c r="A94" s="100" t="s">
        <v>896</v>
      </c>
      <c r="B94" s="101">
        <v>43617.0</v>
      </c>
      <c r="C94" s="102">
        <v>82200.0</v>
      </c>
      <c r="D94" s="112" t="s">
        <v>603</v>
      </c>
      <c r="E94" s="103"/>
      <c r="F94" s="104"/>
      <c r="G94" s="104"/>
      <c r="H94" s="104" t="s">
        <v>689</v>
      </c>
      <c r="I94" s="332" t="s">
        <v>893</v>
      </c>
      <c r="J94" s="106" t="str">
        <f t="shared" si="22"/>
        <v>Update</v>
      </c>
      <c r="K94" s="107"/>
      <c r="L94" s="108" t="s">
        <v>773</v>
      </c>
      <c r="M94" s="109">
        <v>46131.0</v>
      </c>
      <c r="N94" s="109">
        <v>46132.0</v>
      </c>
      <c r="O94" s="191" t="s">
        <v>729</v>
      </c>
      <c r="P94" s="108" t="s">
        <v>897</v>
      </c>
      <c r="Q94" s="187"/>
      <c r="R94" s="108" t="s">
        <v>898</v>
      </c>
      <c r="S94" s="402" t="s">
        <v>659</v>
      </c>
      <c r="T94" s="318">
        <v>46124.0</v>
      </c>
      <c r="U94" s="114" t="str">
        <f>IF(V94="","No AIS",VLOOKUP(V94,'Voyage days'!$A$3:$B$1480,2,FALSE))</f>
        <v>Eu + 4</v>
      </c>
      <c r="V94" s="216" t="str">
        <f>IF(VLOOKUP(A94,'1) Kpler'!$E$2:$P$1000,8, FALSE)="","",VLOOKUP(A94,'1) Kpler'!$E$2:$P$1000,8, FALSE))</f>
        <v>Vlissingen</v>
      </c>
      <c r="W94" s="424">
        <f>IF(VLOOKUP(A94,'1) Kpler'!$E$2:$P$1000,9,FALSE)="","",VLOOKUP(A94,'1) Kpler'!$E$2:$P$1000,9,FALSE))</f>
        <v>46134.03819</v>
      </c>
      <c r="X94" s="425" t="str">
        <f>VLOOKUP(A94,'1) Kpler'!$E$2:$I$1000,4,FALSE)</f>
        <v>loaded</v>
      </c>
      <c r="Y94" s="117" t="str">
        <f t="shared" si="1"/>
        <v/>
      </c>
      <c r="Z94" s="117" t="str">
        <f t="shared" si="2"/>
        <v>03-04 May</v>
      </c>
      <c r="AA94" s="117" t="str">
        <f t="shared" si="3"/>
        <v>04-05 May</v>
      </c>
      <c r="AB94" s="117" t="str">
        <f t="shared" si="4"/>
        <v>30-01 May</v>
      </c>
      <c r="AC94" s="117" t="str">
        <f t="shared" si="5"/>
        <v>21-22 Apr</v>
      </c>
      <c r="AD94" s="117" t="str">
        <f t="shared" si="6"/>
        <v/>
      </c>
      <c r="AE94" s="118" t="str">
        <f t="shared" si="7"/>
        <v/>
      </c>
      <c r="AF94" s="119" t="str">
        <f t="shared" si="8"/>
        <v>03-04 May</v>
      </c>
      <c r="AG94" s="120" t="str">
        <f t="shared" si="9"/>
        <v/>
      </c>
      <c r="AH94" s="121" t="str">
        <f>IFERROR($M94+VLOOKUP($L94,'Voyage days'!$F$38:$H$89,3,FALSE),"")</f>
        <v/>
      </c>
      <c r="AI94" s="121" t="str">
        <f>IFERROR(N94+VLOOKUP($L94,'Voyage days'!$F$38:$H$89,3,FALSE),"")</f>
        <v/>
      </c>
      <c r="AJ94" s="120" t="str">
        <f t="shared" si="10"/>
        <v>03-04 May</v>
      </c>
      <c r="AK94" s="121">
        <f>IFERROR($M94+VLOOKUP($L94,'Voyage days'!$F$94:$H$193,3,FALSE),"")</f>
        <v>46145</v>
      </c>
      <c r="AL94" s="121">
        <f>IFERROR($N94+VLOOKUP($L94,'Voyage days'!$F$94:$H$193,3,FALSE),"")</f>
        <v>46146</v>
      </c>
      <c r="AM94" s="120" t="str">
        <f t="shared" si="11"/>
        <v>04-05 May</v>
      </c>
      <c r="AN94" s="121">
        <f>IFERROR($M94+VLOOKUP($L94,'Voyage days'!$F$203:$H$256,3,FALSE),"")</f>
        <v>46146</v>
      </c>
      <c r="AO94" s="121">
        <f>IFERROR($N94+VLOOKUP($L94,'Voyage days'!$F$203:$H$256,3,FALSE),"")</f>
        <v>46147</v>
      </c>
      <c r="AP94" s="120" t="str">
        <f t="shared" si="12"/>
        <v>30-01 May</v>
      </c>
      <c r="AQ94" s="121">
        <f>IFERROR($M94+VLOOKUP($L94,'Voyage days'!$F$294:$H$377,3,FALSE),"")</f>
        <v>46142</v>
      </c>
      <c r="AR94" s="121">
        <f>IFERROR($N94+VLOOKUP($L94,'Voyage days'!$F$294:$H$377,3,FALSE),"")</f>
        <v>46143</v>
      </c>
      <c r="AS94" s="120" t="str">
        <f t="shared" si="13"/>
        <v>21-22 Apr</v>
      </c>
      <c r="AT94" s="121">
        <f>IFERROR($M94+VLOOKUP($L94,'Voyage days'!$F$382:$H$446,3,FALSE),"")</f>
        <v>46133</v>
      </c>
      <c r="AU94" s="121">
        <f>IFERROR($N94+VLOOKUP($L94,'Voyage days'!$F$382:$H$446,3,FALSE),"")</f>
        <v>46134</v>
      </c>
      <c r="AV94" s="120" t="str">
        <f t="shared" si="14"/>
        <v/>
      </c>
      <c r="AW94" s="121" t="str">
        <f>IFERROR($M94+VLOOKUP($L94,'Voyage days'!$F$483:$H$538,3,FALSE),"")</f>
        <v/>
      </c>
      <c r="AX94" s="121" t="str">
        <f>IFERROR($N94+VLOOKUP($L94,'Voyage days'!$F$483:$H$538,3,FALSE),"")</f>
        <v/>
      </c>
      <c r="AY94" s="120" t="str">
        <f t="shared" si="15"/>
        <v/>
      </c>
      <c r="AZ94" s="121" t="str">
        <f>IFERROR($M94+VLOOKUP($L94,'Voyage days'!$F$540:$H$613,3,FALSE),"")</f>
        <v/>
      </c>
      <c r="BA94" s="121" t="str">
        <f>IFERROR($N94+VLOOKUP($L94,'Voyage days'!$F$540:$H$613,3,FALSE),"")</f>
        <v/>
      </c>
      <c r="BB94" s="120" t="str">
        <f t="shared" si="16"/>
        <v/>
      </c>
      <c r="BC94" s="121" t="str">
        <f>IFERROR($M94+VLOOKUP($L94,'Voyage days'!$F$448:$H$479,3,FALSE),"")</f>
        <v/>
      </c>
      <c r="BD94" s="121" t="str">
        <f>IFERROR($N94+VLOOKUP($L94,'Voyage days'!$F$448:$H$479,3,FALSE),"")</f>
        <v/>
      </c>
      <c r="BE94" s="120" t="str">
        <f t="shared" si="17"/>
        <v/>
      </c>
      <c r="BF94" s="122" t="str">
        <f>IFERROR($M94+VLOOKUP($L94,'Voyage days'!$F$620:$H$646,3,FALSE),"")</f>
        <v/>
      </c>
      <c r="BG94" s="122" t="str">
        <f>IFERROR($N94+VLOOKUP($L94,'Voyage days'!$F$620:$H$646,3,FALSE),"")</f>
        <v/>
      </c>
      <c r="BH94" s="120" t="str">
        <f t="shared" si="18"/>
        <v/>
      </c>
      <c r="BI94" s="123" t="str">
        <f>IFERROR($M94+VLOOKUP($L94,'Voyage days'!$F$702:$H$727,3,FALSE),"")</f>
        <v/>
      </c>
      <c r="BJ94" s="120" t="str">
        <f t="shared" si="19"/>
        <v>03-04 May</v>
      </c>
      <c r="BK94" s="122">
        <f>IFERROR($M94+VLOOKUP($L94,'Voyage days'!$F$807:$H$878,3,FALSE),"")</f>
        <v>46145</v>
      </c>
      <c r="BL94" s="122">
        <f>IFERROR($N94+VLOOKUP($L94,'Voyage days'!$F$807:$H$878,3,FALSE),"")</f>
        <v>46146</v>
      </c>
      <c r="BM94" s="122">
        <f>IFERROR($N94+VLOOKUP($L94,'Voyage days'!$F$807:$K$878,6,FALSE),"")</f>
        <v>46132</v>
      </c>
      <c r="BN94" s="121" t="str">
        <f>if(L94="loads AG", IFERROR($M94+VLOOKUP($L94,'Voyage days'!$M$38:$O$38,3,FALSE),""),"")</f>
        <v/>
      </c>
      <c r="BO94" s="121" t="str">
        <f>if(L94="loads USG", IFERROR($M94+VLOOKUP($L94,'Voyage days'!$L$203:$N$203,3,FALSE),""),"")</f>
        <v/>
      </c>
    </row>
    <row r="95" ht="15.75" customHeight="1">
      <c r="A95" s="373" t="s">
        <v>558</v>
      </c>
      <c r="B95" s="222">
        <v>42217.0</v>
      </c>
      <c r="C95" s="166">
        <v>84000.0</v>
      </c>
      <c r="D95" s="112" t="s">
        <v>603</v>
      </c>
      <c r="E95" s="374"/>
      <c r="F95" s="282"/>
      <c r="G95" s="282"/>
      <c r="H95" s="282"/>
      <c r="I95" s="426" t="s">
        <v>893</v>
      </c>
      <c r="J95" s="364" t="str">
        <f t="shared" si="22"/>
        <v>Update</v>
      </c>
      <c r="K95" s="171"/>
      <c r="L95" s="285" t="s">
        <v>680</v>
      </c>
      <c r="M95" s="109">
        <v>46131.0</v>
      </c>
      <c r="N95" s="173">
        <v>46132.0</v>
      </c>
      <c r="O95" s="326" t="s">
        <v>729</v>
      </c>
      <c r="P95" s="366" t="s">
        <v>899</v>
      </c>
      <c r="Q95" s="285"/>
      <c r="R95" s="285" t="s">
        <v>900</v>
      </c>
      <c r="S95" s="358" t="s">
        <v>659</v>
      </c>
      <c r="T95" s="176">
        <v>46124.0</v>
      </c>
      <c r="U95" s="177" t="str">
        <f>IF(V95="","No AIS",VLOOKUP(V95,'Voyage days'!$A$3:$B$1480,2,FALSE))</f>
        <v>USG</v>
      </c>
      <c r="V95" s="177" t="str">
        <f>IF(VLOOKUP(A95,'1) Kpler'!$E$2:$P$1000,8, FALSE)="","",VLOOKUP(A95,'1) Kpler'!$E$2:$P$1000,8, FALSE))</f>
        <v>Energy Transfer Marcus Hook</v>
      </c>
      <c r="W95" s="370">
        <f>IF(VLOOKUP(A95,'1) Kpler'!$E$2:$P$1000,9,FALSE)="","",VLOOKUP(A95,'1) Kpler'!$E$2:$P$1000,9,FALSE))</f>
        <v>46132.25</v>
      </c>
      <c r="X95" s="177" t="str">
        <f>VLOOKUP(A95,'1) Kpler'!$E$2:$I$1000,4,FALSE)</f>
        <v>ballast</v>
      </c>
      <c r="Y95" s="120" t="str">
        <f t="shared" si="1"/>
        <v/>
      </c>
      <c r="Z95" s="120" t="str">
        <f t="shared" si="2"/>
        <v>19-20 Apr</v>
      </c>
      <c r="AA95" s="120" t="str">
        <f t="shared" si="3"/>
        <v>19-20 Apr</v>
      </c>
      <c r="AB95" s="120" t="str">
        <f t="shared" si="4"/>
        <v/>
      </c>
      <c r="AC95" s="120" t="str">
        <f t="shared" si="5"/>
        <v>09-10 May</v>
      </c>
      <c r="AD95" s="120" t="str">
        <f t="shared" si="6"/>
        <v/>
      </c>
      <c r="AE95" s="228" t="str">
        <f t="shared" si="7"/>
        <v/>
      </c>
      <c r="AF95" s="229" t="str">
        <f t="shared" si="8"/>
        <v/>
      </c>
      <c r="AG95" s="120" t="str">
        <f t="shared" si="9"/>
        <v/>
      </c>
      <c r="AH95" s="121" t="str">
        <f>IFERROR($M95+VLOOKUP($L95,'Voyage days'!$F$38:$H$89,3,FALSE),"")</f>
        <v/>
      </c>
      <c r="AI95" s="121" t="str">
        <f>IFERROR(N95+VLOOKUP($L95,'Voyage days'!$F$38:$H$89,3,FALSE),"")</f>
        <v/>
      </c>
      <c r="AJ95" s="120" t="str">
        <f t="shared" si="10"/>
        <v>19-20 Apr</v>
      </c>
      <c r="AK95" s="121">
        <f>IFERROR($M95+VLOOKUP($L95,'Voyage days'!$F$94:$H$193,3,FALSE),"")</f>
        <v>46131</v>
      </c>
      <c r="AL95" s="121">
        <f>IFERROR($N95+VLOOKUP($L95,'Voyage days'!$F$94:$H$193,3,FALSE),"")</f>
        <v>46132</v>
      </c>
      <c r="AM95" s="120" t="str">
        <f t="shared" si="11"/>
        <v>19-20 Apr</v>
      </c>
      <c r="AN95" s="121">
        <f>IFERROR($M95+VLOOKUP($L95,'Voyage days'!$F$203:$H$256,3,FALSE),"")</f>
        <v>46131</v>
      </c>
      <c r="AO95" s="121">
        <f>IFERROR($N95+VLOOKUP($L95,'Voyage days'!$F$203:$H$256,3,FALSE),"")</f>
        <v>46132</v>
      </c>
      <c r="AP95" s="120" t="str">
        <f t="shared" si="12"/>
        <v/>
      </c>
      <c r="AQ95" s="121" t="str">
        <f>IFERROR($M95+VLOOKUP($L95,'Voyage days'!$F$294:$H$377,3,FALSE),"")</f>
        <v/>
      </c>
      <c r="AR95" s="121" t="str">
        <f>IFERROR($N95+VLOOKUP($L95,'Voyage days'!$F$294:$H$377,3,FALSE),"")</f>
        <v/>
      </c>
      <c r="AS95" s="120" t="str">
        <f t="shared" si="13"/>
        <v>09-10 May</v>
      </c>
      <c r="AT95" s="121">
        <f>IFERROR($M95+VLOOKUP($L95,'Voyage days'!$F$382:$H$446,3,FALSE),"")</f>
        <v>46151</v>
      </c>
      <c r="AU95" s="121">
        <f>IFERROR($N95+VLOOKUP($L95,'Voyage days'!$F$382:$H$446,3,FALSE),"")</f>
        <v>46152</v>
      </c>
      <c r="AV95" s="120" t="str">
        <f t="shared" si="14"/>
        <v/>
      </c>
      <c r="AW95" s="121" t="str">
        <f>IFERROR($M95+VLOOKUP($L95,'Voyage days'!$F$483:$H$538,3,FALSE),"")</f>
        <v/>
      </c>
      <c r="AX95" s="121" t="str">
        <f>IFERROR($N95+VLOOKUP($L95,'Voyage days'!$F$483:$H$538,3,FALSE),"")</f>
        <v/>
      </c>
      <c r="AY95" s="120" t="str">
        <f t="shared" si="15"/>
        <v/>
      </c>
      <c r="AZ95" s="121" t="str">
        <f>IFERROR($M95+VLOOKUP($L95,'Voyage days'!$F$540:$H$613,3,FALSE),"")</f>
        <v/>
      </c>
      <c r="BA95" s="121" t="str">
        <f>IFERROR($N95+VLOOKUP($L95,'Voyage days'!$F$540:$H$613,3,FALSE),"")</f>
        <v/>
      </c>
      <c r="BB95" s="120" t="str">
        <f t="shared" si="16"/>
        <v/>
      </c>
      <c r="BC95" s="121" t="str">
        <f>IFERROR($M95+VLOOKUP($L95,'Voyage days'!$F$448:$H$479,3,FALSE),"")</f>
        <v/>
      </c>
      <c r="BD95" s="121" t="str">
        <f>IFERROR($N95+VLOOKUP($L95,'Voyage days'!$F$448:$H$479,3,FALSE),"")</f>
        <v/>
      </c>
      <c r="BE95" s="120" t="str">
        <f t="shared" si="17"/>
        <v/>
      </c>
      <c r="BF95" s="122" t="str">
        <f>IFERROR($M95+VLOOKUP($L95,'Voyage days'!$F$620:$H$646,3,FALSE),"")</f>
        <v/>
      </c>
      <c r="BG95" s="122" t="str">
        <f>IFERROR($N95+VLOOKUP($L95,'Voyage days'!$F$620:$H$646,3,FALSE),"")</f>
        <v/>
      </c>
      <c r="BH95" s="120" t="str">
        <f t="shared" si="18"/>
        <v/>
      </c>
      <c r="BI95" s="123" t="str">
        <f>IFERROR($M95+VLOOKUP($L95,'Voyage days'!$F$702:$H$727,3,FALSE),"")</f>
        <v/>
      </c>
      <c r="BJ95" s="120" t="str">
        <f t="shared" si="19"/>
        <v/>
      </c>
      <c r="BK95" s="122" t="str">
        <f>IFERROR($M95+VLOOKUP($L95,'Voyage days'!$F$807:$H$878,3,FALSE),"")</f>
        <v/>
      </c>
      <c r="BL95" s="122" t="str">
        <f>IFERROR($N95+VLOOKUP($L95,'Voyage days'!$F$807:$H$878,3,FALSE),"")</f>
        <v/>
      </c>
      <c r="BM95" s="122" t="str">
        <f>IFERROR($N95+VLOOKUP($L95,'Voyage days'!$F$807:$K$878,6,FALSE),"")</f>
        <v/>
      </c>
      <c r="BN95" s="121" t="str">
        <f>if(L95="loads AG", IFERROR($M95+VLOOKUP($L95,'Voyage days'!$M$38:$O$38,3,FALSE),""),"")</f>
        <v/>
      </c>
      <c r="BO95" s="121">
        <f>if(L95="loads USG", IFERROR($M95+VLOOKUP($L95,'Voyage days'!$L$203:$N$203,3,FALSE),""),"")</f>
        <v>46163</v>
      </c>
    </row>
    <row r="96" ht="15.75" customHeight="1">
      <c r="A96" s="427" t="s">
        <v>155</v>
      </c>
      <c r="B96" s="148">
        <v>2022.0</v>
      </c>
      <c r="C96" s="102">
        <v>84000.0</v>
      </c>
      <c r="D96" s="149"/>
      <c r="E96" s="149"/>
      <c r="F96" s="150"/>
      <c r="G96" s="150"/>
      <c r="H96" s="150" t="s">
        <v>666</v>
      </c>
      <c r="I96" s="329" t="s">
        <v>901</v>
      </c>
      <c r="J96" s="151" t="str">
        <f t="shared" si="22"/>
        <v/>
      </c>
      <c r="K96" s="152"/>
      <c r="L96" s="153" t="s">
        <v>680</v>
      </c>
      <c r="M96" s="238">
        <v>46143.0</v>
      </c>
      <c r="N96" s="238">
        <v>46147.0</v>
      </c>
      <c r="O96" s="428"/>
      <c r="P96" s="197" t="s">
        <v>902</v>
      </c>
      <c r="Q96" s="157"/>
      <c r="R96" s="108" t="s">
        <v>903</v>
      </c>
      <c r="S96" s="256" t="s">
        <v>659</v>
      </c>
      <c r="T96" s="293">
        <v>46125.0</v>
      </c>
      <c r="U96" s="114" t="str">
        <f>IF(V96="","No AIS",VLOOKUP(V96,'Voyage days'!$A$3:$B$1480,2,FALSE))</f>
        <v>Panama</v>
      </c>
      <c r="V96" s="114" t="str">
        <f>IF(VLOOKUP(A96,'1) Kpler'!$E$2:$P$1000,8, FALSE)="","",VLOOKUP(A96,'1) Kpler'!$E$2:$P$1000,8, FALSE))</f>
        <v>Panama Canal</v>
      </c>
      <c r="W96" s="159">
        <f>IF(VLOOKUP(A96,'1) Kpler'!$E$2:$P$1000,9,FALSE)="","",VLOOKUP(A96,'1) Kpler'!$E$2:$P$1000,9,FALSE))</f>
        <v>46136.95833</v>
      </c>
      <c r="X96" s="114" t="str">
        <f>VLOOKUP(A96,'1) Kpler'!$E$2:$I$1000,4,FALSE)</f>
        <v>ballast</v>
      </c>
      <c r="Y96" s="296" t="str">
        <f t="shared" si="1"/>
        <v/>
      </c>
      <c r="Z96" s="296" t="str">
        <f t="shared" si="2"/>
        <v>01-05 May</v>
      </c>
      <c r="AA96" s="296" t="str">
        <f t="shared" si="3"/>
        <v>01-05 May</v>
      </c>
      <c r="AB96" s="296" t="str">
        <f t="shared" si="4"/>
        <v/>
      </c>
      <c r="AC96" s="296" t="str">
        <f t="shared" si="5"/>
        <v>21-25 May</v>
      </c>
      <c r="AD96" s="296" t="str">
        <f t="shared" si="6"/>
        <v/>
      </c>
      <c r="AE96" s="297" t="str">
        <f t="shared" si="7"/>
        <v/>
      </c>
      <c r="AF96" s="119" t="str">
        <f t="shared" si="8"/>
        <v/>
      </c>
      <c r="AG96" s="163" t="str">
        <f t="shared" si="9"/>
        <v/>
      </c>
      <c r="AH96" s="122" t="str">
        <f>IFERROR($M96+VLOOKUP($L96,'Voyage days'!$F$38:$H$89,3,FALSE),"")</f>
        <v/>
      </c>
      <c r="AI96" s="122" t="str">
        <f>IFERROR(N96+VLOOKUP($L96,'Voyage days'!$F$38:$H$89,3,FALSE),"")</f>
        <v/>
      </c>
      <c r="AJ96" s="163" t="str">
        <f t="shared" si="10"/>
        <v>01-05 May</v>
      </c>
      <c r="AK96" s="122">
        <f>IFERROR($M96+VLOOKUP($L96,'Voyage days'!$F$94:$H$193,3,FALSE),"")</f>
        <v>46143</v>
      </c>
      <c r="AL96" s="122">
        <f>IFERROR($N96+VLOOKUP($L96,'Voyage days'!$F$94:$H$193,3,FALSE),"")</f>
        <v>46147</v>
      </c>
      <c r="AM96" s="163" t="str">
        <f t="shared" si="11"/>
        <v>01-05 May</v>
      </c>
      <c r="AN96" s="122">
        <f>IFERROR($M96+VLOOKUP($L96,'Voyage days'!$F$203:$H$256,3,FALSE),"")</f>
        <v>46143</v>
      </c>
      <c r="AO96" s="122">
        <f>IFERROR($N96+VLOOKUP($L96,'Voyage days'!$F$203:$H$256,3,FALSE),"")</f>
        <v>46147</v>
      </c>
      <c r="AP96" s="163" t="str">
        <f t="shared" si="12"/>
        <v/>
      </c>
      <c r="AQ96" s="122" t="str">
        <f>IFERROR($M96+VLOOKUP($L96,'Voyage days'!$F$294:$H$377,3,FALSE),"")</f>
        <v/>
      </c>
      <c r="AR96" s="122" t="str">
        <f>IFERROR($N96+VLOOKUP($L96,'Voyage days'!$F$294:$H$377,3,FALSE),"")</f>
        <v/>
      </c>
      <c r="AS96" s="163" t="str">
        <f t="shared" si="13"/>
        <v>21-25 May</v>
      </c>
      <c r="AT96" s="122">
        <f>IFERROR($M96+VLOOKUP($L96,'Voyage days'!$F$382:$H$446,3,FALSE),"")</f>
        <v>46163</v>
      </c>
      <c r="AU96" s="122">
        <f>IFERROR($N96+VLOOKUP($L96,'Voyage days'!$F$382:$H$446,3,FALSE),"")</f>
        <v>46167</v>
      </c>
      <c r="AV96" s="163" t="str">
        <f t="shared" si="14"/>
        <v/>
      </c>
      <c r="AW96" s="122" t="str">
        <f>IFERROR($M96+VLOOKUP($L96,'Voyage days'!$F$483:$H$538,3,FALSE),"")</f>
        <v/>
      </c>
      <c r="AX96" s="122" t="str">
        <f>IFERROR($N96+VLOOKUP($L96,'Voyage days'!$F$483:$H$538,3,FALSE),"")</f>
        <v/>
      </c>
      <c r="AY96" s="163" t="str">
        <f t="shared" si="15"/>
        <v/>
      </c>
      <c r="AZ96" s="122" t="str">
        <f>IFERROR($M96+VLOOKUP($L96,'Voyage days'!$F$540:$H$613,3,FALSE),"")</f>
        <v/>
      </c>
      <c r="BA96" s="122" t="str">
        <f>IFERROR($N96+VLOOKUP($L96,'Voyage days'!$F$540:$H$613,3,FALSE),"")</f>
        <v/>
      </c>
      <c r="BB96" s="163" t="str">
        <f t="shared" si="16"/>
        <v/>
      </c>
      <c r="BC96" s="121" t="str">
        <f>IFERROR($M96+VLOOKUP($L96,'Voyage days'!$F$448:$H$479,3,FALSE),"")</f>
        <v/>
      </c>
      <c r="BD96" s="121" t="str">
        <f>IFERROR($N96+VLOOKUP($L96,'Voyage days'!$F$448:$H$479,3,FALSE),"")</f>
        <v/>
      </c>
      <c r="BE96" s="163" t="str">
        <f t="shared" si="17"/>
        <v/>
      </c>
      <c r="BF96" s="122" t="str">
        <f>IFERROR($M96+VLOOKUP($L96,'Voyage days'!$F$620:$H$646,3,FALSE),"")</f>
        <v/>
      </c>
      <c r="BG96" s="122" t="str">
        <f>IFERROR($N96+VLOOKUP($L96,'Voyage days'!$F$620:$H$646,3,FALSE),"")</f>
        <v/>
      </c>
      <c r="BH96" s="163" t="str">
        <f t="shared" si="18"/>
        <v/>
      </c>
      <c r="BI96" s="123" t="str">
        <f>IFERROR($M96+VLOOKUP($L96,'Voyage days'!$F$702:$H$727,3,FALSE),"")</f>
        <v/>
      </c>
      <c r="BJ96" s="163" t="str">
        <f t="shared" si="19"/>
        <v/>
      </c>
      <c r="BK96" s="122" t="str">
        <f>IFERROR($M96+VLOOKUP($L96,'Voyage days'!$F$807:$H$878,3,FALSE),"")</f>
        <v/>
      </c>
      <c r="BL96" s="122" t="str">
        <f>IFERROR($N96+VLOOKUP($L96,'Voyage days'!$F$807:$H$878,3,FALSE),"")</f>
        <v/>
      </c>
      <c r="BM96" s="122" t="str">
        <f>IFERROR($N96+VLOOKUP($L96,'Voyage days'!$F$807:$K$878,6,FALSE),"")</f>
        <v/>
      </c>
      <c r="BN96" s="121" t="str">
        <f>if(L96="loads AG", IFERROR($M96+VLOOKUP($L96,'Voyage days'!$M$38:$O$38,3,FALSE),""),"")</f>
        <v/>
      </c>
      <c r="BO96" s="121">
        <f>if(L96="loads USG", IFERROR($M96+VLOOKUP($L96,'Voyage days'!$L$203:$N$203,3,FALSE),""),"")</f>
        <v>46175</v>
      </c>
    </row>
    <row r="97" ht="15.75" customHeight="1">
      <c r="A97" s="429" t="s">
        <v>177</v>
      </c>
      <c r="B97" s="101">
        <v>41635.0</v>
      </c>
      <c r="C97" s="102">
        <v>84000.0</v>
      </c>
      <c r="D97" s="112" t="s">
        <v>603</v>
      </c>
      <c r="E97" s="103"/>
      <c r="F97" s="104"/>
      <c r="G97" s="104"/>
      <c r="H97" s="104" t="s">
        <v>689</v>
      </c>
      <c r="I97" s="332" t="s">
        <v>901</v>
      </c>
      <c r="J97" s="106" t="str">
        <f t="shared" si="22"/>
        <v>NO AIS</v>
      </c>
      <c r="K97" s="107"/>
      <c r="L97" s="199" t="s">
        <v>671</v>
      </c>
      <c r="M97" s="109">
        <v>46103.0</v>
      </c>
      <c r="N97" s="109">
        <v>46103.0</v>
      </c>
      <c r="O97" s="255"/>
      <c r="P97" s="295" t="s">
        <v>904</v>
      </c>
      <c r="Q97" s="108" t="s">
        <v>905</v>
      </c>
      <c r="R97" s="108" t="s">
        <v>906</v>
      </c>
      <c r="S97" s="256" t="s">
        <v>659</v>
      </c>
      <c r="T97" s="188">
        <v>46125.0</v>
      </c>
      <c r="U97" s="114" t="str">
        <f>IF(V97="","No AIS",VLOOKUP(V97,'Voyage days'!$A$3:$B$1480,2,FALSE))</f>
        <v>No AIS</v>
      </c>
      <c r="V97" s="115" t="str">
        <f>IF(VLOOKUP(A97,'1) Kpler'!$E$2:$P$1000,8, FALSE)="","",VLOOKUP(A97,'1) Kpler'!$E$2:$P$1000,8, FALSE))</f>
        <v/>
      </c>
      <c r="W97" s="116" t="str">
        <f>IF(VLOOKUP(A97,'1) Kpler'!$E$2:$P$1000,9,FALSE)="","",VLOOKUP(A97,'1) Kpler'!$E$2:$P$1000,9,FALSE))</f>
        <v/>
      </c>
      <c r="X97" s="115" t="str">
        <f>VLOOKUP(A97,'1) Kpler'!$E$2:$I$1000,4,FALSE)</f>
        <v>loaded</v>
      </c>
      <c r="Y97" s="160" t="str">
        <f t="shared" si="1"/>
        <v/>
      </c>
      <c r="Z97" s="160" t="str">
        <f t="shared" si="2"/>
        <v/>
      </c>
      <c r="AA97" s="160" t="str">
        <f t="shared" si="3"/>
        <v>12-12 Apr</v>
      </c>
      <c r="AB97" s="160" t="str">
        <f t="shared" si="4"/>
        <v>01-01 Apr</v>
      </c>
      <c r="AC97" s="160" t="str">
        <f t="shared" si="5"/>
        <v>07-07 Apr</v>
      </c>
      <c r="AD97" s="160" t="str">
        <f t="shared" si="6"/>
        <v>07-07 Apr</v>
      </c>
      <c r="AE97" s="161" t="str">
        <f t="shared" si="7"/>
        <v/>
      </c>
      <c r="AF97" s="162" t="str">
        <f t="shared" si="8"/>
        <v>14-14 Apr</v>
      </c>
      <c r="AG97" s="120" t="str">
        <f t="shared" si="9"/>
        <v/>
      </c>
      <c r="AH97" s="121" t="str">
        <f>IFERROR($M97+VLOOKUP($L97,'Voyage days'!$F$38:$H$89,3,FALSE),"")</f>
        <v/>
      </c>
      <c r="AI97" s="121" t="str">
        <f>IFERROR(N97+VLOOKUP($L97,'Voyage days'!$F$38:$H$89,3,FALSE),"")</f>
        <v/>
      </c>
      <c r="AJ97" s="120" t="str">
        <f t="shared" si="10"/>
        <v/>
      </c>
      <c r="AK97" s="121" t="str">
        <f>IFERROR($M97+VLOOKUP($L97,'Voyage days'!$F$94:$H$193,3,FALSE),"")</f>
        <v/>
      </c>
      <c r="AL97" s="121" t="str">
        <f>IFERROR($N97+VLOOKUP($L97,'Voyage days'!$F$94:$H$193,3,FALSE),"")</f>
        <v/>
      </c>
      <c r="AM97" s="120" t="str">
        <f t="shared" si="11"/>
        <v>12-12 Apr</v>
      </c>
      <c r="AN97" s="121">
        <f>IFERROR($M97+VLOOKUP($L97,'Voyage days'!$F$203:$H$256,3,FALSE),"")</f>
        <v>46124</v>
      </c>
      <c r="AO97" s="121">
        <f>IFERROR($N97+VLOOKUP($L97,'Voyage days'!$F$203:$H$256,3,FALSE),"")</f>
        <v>46124</v>
      </c>
      <c r="AP97" s="120" t="str">
        <f t="shared" si="12"/>
        <v>01-01 Apr</v>
      </c>
      <c r="AQ97" s="121">
        <f>IFERROR($M97+VLOOKUP($L97,'Voyage days'!$F$294:$H$377,3,FALSE),"")</f>
        <v>46113</v>
      </c>
      <c r="AR97" s="121">
        <f>IFERROR($N97+VLOOKUP($L97,'Voyage days'!$F$294:$H$377,3,FALSE),"")</f>
        <v>46113</v>
      </c>
      <c r="AS97" s="120" t="str">
        <f t="shared" si="13"/>
        <v>07-07 Apr</v>
      </c>
      <c r="AT97" s="121">
        <f>IFERROR($M97+VLOOKUP($L97,'Voyage days'!$F$382:$H$446,3,FALSE),"")</f>
        <v>46119</v>
      </c>
      <c r="AU97" s="121">
        <f>IFERROR($N97+VLOOKUP($L97,'Voyage days'!$F$382:$H$446,3,FALSE),"")</f>
        <v>46119</v>
      </c>
      <c r="AV97" s="120" t="str">
        <f t="shared" si="14"/>
        <v/>
      </c>
      <c r="AW97" s="121" t="str">
        <f>IFERROR($M97+VLOOKUP($L97,'Voyage days'!$F$483:$H$538,3,FALSE),"")</f>
        <v/>
      </c>
      <c r="AX97" s="121" t="str">
        <f>IFERROR($N97+VLOOKUP($L97,'Voyage days'!$F$483:$H$538,3,FALSE),"")</f>
        <v/>
      </c>
      <c r="AY97" s="120" t="str">
        <f t="shared" si="15"/>
        <v/>
      </c>
      <c r="AZ97" s="121" t="str">
        <f>IFERROR($M97+VLOOKUP($L97,'Voyage days'!$F$540:$H$613,3,FALSE),"")</f>
        <v/>
      </c>
      <c r="BA97" s="121" t="str">
        <f>IFERROR($N97+VLOOKUP($L97,'Voyage days'!$F$540:$H$613,3,FALSE),"")</f>
        <v/>
      </c>
      <c r="BB97" s="120" t="str">
        <f t="shared" si="16"/>
        <v>07-07 Apr</v>
      </c>
      <c r="BC97" s="121">
        <f>IFERROR($M97+VLOOKUP($L97,'Voyage days'!$F$448:$H$479,3,FALSE),"")</f>
        <v>46119</v>
      </c>
      <c r="BD97" s="121">
        <f>IFERROR($N97+VLOOKUP($L97,'Voyage days'!$F$448:$H$479,3,FALSE),"")</f>
        <v>46119</v>
      </c>
      <c r="BE97" s="120" t="str">
        <f t="shared" si="17"/>
        <v/>
      </c>
      <c r="BF97" s="122" t="str">
        <f>IFERROR($M97+VLOOKUP($L97,'Voyage days'!$F$620:$H$646,3,FALSE),"")</f>
        <v/>
      </c>
      <c r="BG97" s="122" t="str">
        <f>IFERROR($N97+VLOOKUP($L97,'Voyage days'!$F$620:$H$646,3,FALSE),"")</f>
        <v/>
      </c>
      <c r="BH97" s="120" t="str">
        <f t="shared" si="18"/>
        <v/>
      </c>
      <c r="BI97" s="123" t="str">
        <f>IFERROR($M97+VLOOKUP($L97,'Voyage days'!$F$702:$H$727,3,FALSE),"")</f>
        <v/>
      </c>
      <c r="BJ97" s="120" t="str">
        <f t="shared" si="19"/>
        <v>14-14 Apr</v>
      </c>
      <c r="BK97" s="122">
        <f>IFERROR($M97+VLOOKUP($L97,'Voyage days'!$F$807:$H$878,3,FALSE),"")</f>
        <v>46126</v>
      </c>
      <c r="BL97" s="122">
        <f>IFERROR($N97+VLOOKUP($L97,'Voyage days'!$F$807:$H$878,3,FALSE),"")</f>
        <v>46126</v>
      </c>
      <c r="BM97" s="122">
        <f>IFERROR($N97+VLOOKUP($L97,'Voyage days'!$F$807:$K$878,6,FALSE),"")</f>
        <v>46103</v>
      </c>
      <c r="BN97" s="121" t="str">
        <f>if(L97="loads AG", IFERROR($M97+VLOOKUP($L97,'Voyage days'!$M$38:$O$38,3,FALSE),""),"")</f>
        <v/>
      </c>
      <c r="BO97" s="121" t="str">
        <f>if(L97="loads USG", IFERROR($M97+VLOOKUP($L97,'Voyage days'!$L$203:$N$203,3,FALSE),""),"")</f>
        <v/>
      </c>
    </row>
    <row r="98" ht="15.75" customHeight="1">
      <c r="A98" s="430" t="s">
        <v>204</v>
      </c>
      <c r="B98" s="148">
        <v>2020.0</v>
      </c>
      <c r="C98" s="102">
        <v>82000.0</v>
      </c>
      <c r="D98" s="103"/>
      <c r="E98" s="103"/>
      <c r="F98" s="104"/>
      <c r="G98" s="104"/>
      <c r="H98" s="104" t="s">
        <v>689</v>
      </c>
      <c r="I98" s="332" t="s">
        <v>901</v>
      </c>
      <c r="J98" s="106" t="str">
        <f t="shared" si="22"/>
        <v/>
      </c>
      <c r="K98" s="107"/>
      <c r="L98" s="108" t="s">
        <v>680</v>
      </c>
      <c r="M98" s="109">
        <v>46143.0</v>
      </c>
      <c r="N98" s="109">
        <v>46147.0</v>
      </c>
      <c r="O98" s="431"/>
      <c r="P98" s="108" t="s">
        <v>907</v>
      </c>
      <c r="Q98" s="185"/>
      <c r="R98" s="108" t="s">
        <v>903</v>
      </c>
      <c r="S98" s="256" t="s">
        <v>659</v>
      </c>
      <c r="T98" s="188">
        <v>46125.0</v>
      </c>
      <c r="U98" s="114" t="str">
        <f>IF(V98="","No AIS",VLOOKUP(V98,'Voyage days'!$A$3:$B$1480,2,FALSE))</f>
        <v>Panama</v>
      </c>
      <c r="V98" s="115" t="str">
        <f>IF(VLOOKUP(A98,'1) Kpler'!$E$2:$P$1000,8, FALSE)="","",VLOOKUP(A98,'1) Kpler'!$E$2:$P$1000,8, FALSE))</f>
        <v>Panama Canal</v>
      </c>
      <c r="W98" s="116">
        <f>IF(VLOOKUP(A98,'1) Kpler'!$E$2:$P$1000,9,FALSE)="","",VLOOKUP(A98,'1) Kpler'!$E$2:$P$1000,9,FALSE))</f>
        <v>46134.00069</v>
      </c>
      <c r="X98" s="115" t="str">
        <f>VLOOKUP(A98,'1) Kpler'!$E$2:$I$1000,4,FALSE)</f>
        <v>ballast</v>
      </c>
      <c r="Y98" s="117" t="str">
        <f t="shared" si="1"/>
        <v/>
      </c>
      <c r="Z98" s="117" t="str">
        <f t="shared" si="2"/>
        <v>01-05 May</v>
      </c>
      <c r="AA98" s="117" t="str">
        <f t="shared" si="3"/>
        <v>01-05 May</v>
      </c>
      <c r="AB98" s="117" t="str">
        <f t="shared" si="4"/>
        <v/>
      </c>
      <c r="AC98" s="117" t="str">
        <f t="shared" si="5"/>
        <v>21-25 May</v>
      </c>
      <c r="AD98" s="117" t="str">
        <f t="shared" si="6"/>
        <v/>
      </c>
      <c r="AE98" s="118" t="str">
        <f t="shared" si="7"/>
        <v/>
      </c>
      <c r="AF98" s="119" t="str">
        <f t="shared" si="8"/>
        <v/>
      </c>
      <c r="AG98" s="120" t="str">
        <f t="shared" si="9"/>
        <v/>
      </c>
      <c r="AH98" s="121" t="str">
        <f>IFERROR($M98+VLOOKUP($L98,'Voyage days'!$F$38:$H$89,3,FALSE),"")</f>
        <v/>
      </c>
      <c r="AI98" s="121" t="str">
        <f>IFERROR(N98+VLOOKUP($L98,'Voyage days'!$F$38:$H$89,3,FALSE),"")</f>
        <v/>
      </c>
      <c r="AJ98" s="120" t="str">
        <f t="shared" si="10"/>
        <v>01-05 May</v>
      </c>
      <c r="AK98" s="121">
        <f>IFERROR($M98+VLOOKUP($L98,'Voyage days'!$F$94:$H$193,3,FALSE),"")</f>
        <v>46143</v>
      </c>
      <c r="AL98" s="121">
        <f>IFERROR($N98+VLOOKUP($L98,'Voyage days'!$F$94:$H$193,3,FALSE),"")</f>
        <v>46147</v>
      </c>
      <c r="AM98" s="120" t="str">
        <f t="shared" si="11"/>
        <v>01-05 May</v>
      </c>
      <c r="AN98" s="121">
        <f>IFERROR($M98+VLOOKUP($L98,'Voyage days'!$F$203:$H$256,3,FALSE),"")</f>
        <v>46143</v>
      </c>
      <c r="AO98" s="121">
        <f>IFERROR($N98+VLOOKUP($L98,'Voyage days'!$F$203:$H$256,3,FALSE),"")</f>
        <v>46147</v>
      </c>
      <c r="AP98" s="120" t="str">
        <f t="shared" si="12"/>
        <v/>
      </c>
      <c r="AQ98" s="121" t="str">
        <f>IFERROR($M98+VLOOKUP($L98,'Voyage days'!$F$294:$H$377,3,FALSE),"")</f>
        <v/>
      </c>
      <c r="AR98" s="121" t="str">
        <f>IFERROR($N98+VLOOKUP($L98,'Voyage days'!$F$294:$H$377,3,FALSE),"")</f>
        <v/>
      </c>
      <c r="AS98" s="120" t="str">
        <f t="shared" si="13"/>
        <v>21-25 May</v>
      </c>
      <c r="AT98" s="121">
        <f>IFERROR($M98+VLOOKUP($L98,'Voyage days'!$F$382:$H$446,3,FALSE),"")</f>
        <v>46163</v>
      </c>
      <c r="AU98" s="121">
        <f>IFERROR($N98+VLOOKUP($L98,'Voyage days'!$F$382:$H$446,3,FALSE),"")</f>
        <v>46167</v>
      </c>
      <c r="AV98" s="120" t="str">
        <f t="shared" si="14"/>
        <v/>
      </c>
      <c r="AW98" s="121" t="str">
        <f>IFERROR($M98+VLOOKUP($L98,'Voyage days'!$F$483:$H$538,3,FALSE),"")</f>
        <v/>
      </c>
      <c r="AX98" s="121" t="str">
        <f>IFERROR($N98+VLOOKUP($L98,'Voyage days'!$F$483:$H$538,3,FALSE),"")</f>
        <v/>
      </c>
      <c r="AY98" s="120" t="str">
        <f t="shared" si="15"/>
        <v/>
      </c>
      <c r="AZ98" s="121" t="str">
        <f>IFERROR($M98+VLOOKUP($L98,'Voyage days'!$F$540:$H$613,3,FALSE),"")</f>
        <v/>
      </c>
      <c r="BA98" s="121" t="str">
        <f>IFERROR($N98+VLOOKUP($L98,'Voyage days'!$F$540:$H$613,3,FALSE),"")</f>
        <v/>
      </c>
      <c r="BB98" s="120" t="str">
        <f t="shared" si="16"/>
        <v/>
      </c>
      <c r="BC98" s="121" t="str">
        <f>IFERROR($M98+VLOOKUP($L98,'Voyage days'!$F$448:$H$479,3,FALSE),"")</f>
        <v/>
      </c>
      <c r="BD98" s="121" t="str">
        <f>IFERROR($N98+VLOOKUP($L98,'Voyage days'!$F$448:$H$479,3,FALSE),"")</f>
        <v/>
      </c>
      <c r="BE98" s="120" t="str">
        <f t="shared" si="17"/>
        <v/>
      </c>
      <c r="BF98" s="122" t="str">
        <f>IFERROR($M98+VLOOKUP($L98,'Voyage days'!$F$620:$H$646,3,FALSE),"")</f>
        <v/>
      </c>
      <c r="BG98" s="122" t="str">
        <f>IFERROR($N98+VLOOKUP($L98,'Voyage days'!$F$620:$H$646,3,FALSE),"")</f>
        <v/>
      </c>
      <c r="BH98" s="120" t="str">
        <f t="shared" si="18"/>
        <v/>
      </c>
      <c r="BI98" s="123" t="str">
        <f>IFERROR($M98+VLOOKUP($L98,'Voyage days'!$F$702:$H$727,3,FALSE),"")</f>
        <v/>
      </c>
      <c r="BJ98" s="120" t="str">
        <f t="shared" si="19"/>
        <v/>
      </c>
      <c r="BK98" s="122" t="str">
        <f>IFERROR($M98+VLOOKUP($L98,'Voyage days'!$F$807:$H$878,3,FALSE),"")</f>
        <v/>
      </c>
      <c r="BL98" s="122" t="str">
        <f>IFERROR($N98+VLOOKUP($L98,'Voyage days'!$F$807:$H$878,3,FALSE),"")</f>
        <v/>
      </c>
      <c r="BM98" s="122" t="str">
        <f>IFERROR($N98+VLOOKUP($L98,'Voyage days'!$F$807:$K$878,6,FALSE),"")</f>
        <v/>
      </c>
      <c r="BN98" s="121" t="str">
        <f>if(L98="loads AG", IFERROR($M98+VLOOKUP($L98,'Voyage days'!$M$38:$O$38,3,FALSE),""),"")</f>
        <v/>
      </c>
      <c r="BO98" s="121">
        <f>if(L98="loads USG", IFERROR($M98+VLOOKUP($L98,'Voyage days'!$L$203:$N$203,3,FALSE),""),"")</f>
        <v>46175</v>
      </c>
    </row>
    <row r="99" ht="15.75" customHeight="1">
      <c r="A99" s="430" t="s">
        <v>212</v>
      </c>
      <c r="B99" s="101">
        <v>41579.0</v>
      </c>
      <c r="C99" s="102">
        <v>82200.0</v>
      </c>
      <c r="D99" s="103"/>
      <c r="E99" s="103"/>
      <c r="F99" s="104"/>
      <c r="G99" s="104"/>
      <c r="H99" s="104" t="s">
        <v>689</v>
      </c>
      <c r="I99" s="332" t="s">
        <v>901</v>
      </c>
      <c r="J99" s="106" t="str">
        <f t="shared" si="22"/>
        <v>Update</v>
      </c>
      <c r="K99" s="107"/>
      <c r="L99" s="108" t="s">
        <v>680</v>
      </c>
      <c r="M99" s="109">
        <v>46126.0</v>
      </c>
      <c r="N99" s="109">
        <v>46127.0</v>
      </c>
      <c r="O99" s="255"/>
      <c r="P99" s="108" t="s">
        <v>908</v>
      </c>
      <c r="Q99" s="108"/>
      <c r="R99" s="108" t="s">
        <v>909</v>
      </c>
      <c r="S99" s="256" t="s">
        <v>659</v>
      </c>
      <c r="T99" s="188">
        <v>46125.0</v>
      </c>
      <c r="U99" s="114" t="str">
        <f>IF(V99="","No AIS",VLOOKUP(V99,'Voyage days'!$A$3:$B$1480,2,FALSE))</f>
        <v>Port Louis</v>
      </c>
      <c r="V99" s="115" t="str">
        <f>IF(VLOOKUP(A99,'1) Kpler'!$E$2:$P$1000,8, FALSE)="","",VLOOKUP(A99,'1) Kpler'!$E$2:$P$1000,8, FALSE))</f>
        <v>Port Louis</v>
      </c>
      <c r="W99" s="116">
        <f>IF(VLOOKUP(A99,'1) Kpler'!$E$2:$P$1000,9,FALSE)="","",VLOOKUP(A99,'1) Kpler'!$E$2:$P$1000,9,FALSE))</f>
        <v>46155.58333</v>
      </c>
      <c r="X99" s="115" t="str">
        <f>VLOOKUP(A99,'1) Kpler'!$E$2:$I$1000,4,FALSE)</f>
        <v>loaded</v>
      </c>
      <c r="Y99" s="160" t="str">
        <f t="shared" si="1"/>
        <v/>
      </c>
      <c r="Z99" s="160" t="str">
        <f t="shared" si="2"/>
        <v>14-15 Apr</v>
      </c>
      <c r="AA99" s="160" t="str">
        <f t="shared" si="3"/>
        <v>14-15 Apr</v>
      </c>
      <c r="AB99" s="160" t="str">
        <f t="shared" si="4"/>
        <v/>
      </c>
      <c r="AC99" s="160" t="str">
        <f t="shared" si="5"/>
        <v>04-05 May</v>
      </c>
      <c r="AD99" s="160" t="str">
        <f t="shared" si="6"/>
        <v/>
      </c>
      <c r="AE99" s="161" t="str">
        <f t="shared" si="7"/>
        <v/>
      </c>
      <c r="AF99" s="162" t="str">
        <f t="shared" si="8"/>
        <v/>
      </c>
      <c r="AG99" s="120" t="str">
        <f t="shared" si="9"/>
        <v/>
      </c>
      <c r="AH99" s="121" t="str">
        <f>IFERROR($M99+VLOOKUP($L99,'Voyage days'!$F$38:$H$89,3,FALSE),"")</f>
        <v/>
      </c>
      <c r="AI99" s="121" t="str">
        <f>IFERROR(N99+VLOOKUP($L99,'Voyage days'!$F$38:$H$89,3,FALSE),"")</f>
        <v/>
      </c>
      <c r="AJ99" s="120" t="str">
        <f t="shared" si="10"/>
        <v>14-15 Apr</v>
      </c>
      <c r="AK99" s="121">
        <f>IFERROR($M99+VLOOKUP($L99,'Voyage days'!$F$94:$H$193,3,FALSE),"")</f>
        <v>46126</v>
      </c>
      <c r="AL99" s="121">
        <f>IFERROR($N99+VLOOKUP($L99,'Voyage days'!$F$94:$H$193,3,FALSE),"")</f>
        <v>46127</v>
      </c>
      <c r="AM99" s="120" t="str">
        <f t="shared" si="11"/>
        <v>14-15 Apr</v>
      </c>
      <c r="AN99" s="121">
        <f>IFERROR($M99+VLOOKUP($L99,'Voyage days'!$F$203:$H$256,3,FALSE),"")</f>
        <v>46126</v>
      </c>
      <c r="AO99" s="121">
        <f>IFERROR($N99+VLOOKUP($L99,'Voyage days'!$F$203:$H$256,3,FALSE),"")</f>
        <v>46127</v>
      </c>
      <c r="AP99" s="120" t="str">
        <f t="shared" si="12"/>
        <v/>
      </c>
      <c r="AQ99" s="121" t="str">
        <f>IFERROR($M99+VLOOKUP($L99,'Voyage days'!$F$294:$H$377,3,FALSE),"")</f>
        <v/>
      </c>
      <c r="AR99" s="121" t="str">
        <f>IFERROR($N99+VLOOKUP($L99,'Voyage days'!$F$294:$H$377,3,FALSE),"")</f>
        <v/>
      </c>
      <c r="AS99" s="120" t="str">
        <f t="shared" si="13"/>
        <v>04-05 May</v>
      </c>
      <c r="AT99" s="121">
        <f>IFERROR($M99+VLOOKUP($L99,'Voyage days'!$F$382:$H$446,3,FALSE),"")</f>
        <v>46146</v>
      </c>
      <c r="AU99" s="121">
        <f>IFERROR($N99+VLOOKUP($L99,'Voyage days'!$F$382:$H$446,3,FALSE),"")</f>
        <v>46147</v>
      </c>
      <c r="AV99" s="120" t="str">
        <f t="shared" si="14"/>
        <v/>
      </c>
      <c r="AW99" s="121" t="str">
        <f>IFERROR($M99+VLOOKUP($L99,'Voyage days'!$F$483:$H$538,3,FALSE),"")</f>
        <v/>
      </c>
      <c r="AX99" s="121" t="str">
        <f>IFERROR($N99+VLOOKUP($L99,'Voyage days'!$F$483:$H$538,3,FALSE),"")</f>
        <v/>
      </c>
      <c r="AY99" s="120" t="str">
        <f t="shared" si="15"/>
        <v/>
      </c>
      <c r="AZ99" s="121" t="str">
        <f>IFERROR($M99+VLOOKUP($L99,'Voyage days'!$F$540:$H$613,3,FALSE),"")</f>
        <v/>
      </c>
      <c r="BA99" s="121" t="str">
        <f>IFERROR($N99+VLOOKUP($L99,'Voyage days'!$F$540:$H$613,3,FALSE),"")</f>
        <v/>
      </c>
      <c r="BB99" s="120" t="str">
        <f t="shared" si="16"/>
        <v/>
      </c>
      <c r="BC99" s="121" t="str">
        <f>IFERROR($M99+VLOOKUP($L99,'Voyage days'!$F$448:$H$479,3,FALSE),"")</f>
        <v/>
      </c>
      <c r="BD99" s="121" t="str">
        <f>IFERROR($N99+VLOOKUP($L99,'Voyage days'!$F$448:$H$479,3,FALSE),"")</f>
        <v/>
      </c>
      <c r="BE99" s="120" t="str">
        <f t="shared" si="17"/>
        <v/>
      </c>
      <c r="BF99" s="122" t="str">
        <f>IFERROR($M99+VLOOKUP($L99,'Voyage days'!$F$620:$H$646,3,FALSE),"")</f>
        <v/>
      </c>
      <c r="BG99" s="122" t="str">
        <f>IFERROR($N99+VLOOKUP($L99,'Voyage days'!$F$620:$H$646,3,FALSE),"")</f>
        <v/>
      </c>
      <c r="BH99" s="120" t="str">
        <f t="shared" si="18"/>
        <v/>
      </c>
      <c r="BI99" s="123" t="str">
        <f>IFERROR($M99+VLOOKUP($L99,'Voyage days'!$F$702:$H$727,3,FALSE),"")</f>
        <v/>
      </c>
      <c r="BJ99" s="120" t="str">
        <f t="shared" si="19"/>
        <v/>
      </c>
      <c r="BK99" s="122" t="str">
        <f>IFERROR($M99+VLOOKUP($L99,'Voyage days'!$F$807:$H$878,3,FALSE),"")</f>
        <v/>
      </c>
      <c r="BL99" s="122" t="str">
        <f>IFERROR($N99+VLOOKUP($L99,'Voyage days'!$F$807:$H$878,3,FALSE),"")</f>
        <v/>
      </c>
      <c r="BM99" s="122" t="str">
        <f>IFERROR($N99+VLOOKUP($L99,'Voyage days'!$F$807:$K$878,6,FALSE),"")</f>
        <v/>
      </c>
      <c r="BN99" s="121" t="str">
        <f>if(L99="loads AG", IFERROR($M99+VLOOKUP($L99,'Voyage days'!$M$38:$O$38,3,FALSE),""),"")</f>
        <v/>
      </c>
      <c r="BO99" s="121">
        <f>if(L99="loads USG", IFERROR($M99+VLOOKUP($L99,'Voyage days'!$L$203:$N$203,3,FALSE),""),"")</f>
        <v>46158</v>
      </c>
    </row>
    <row r="100" ht="15.75" customHeight="1">
      <c r="A100" s="432" t="s">
        <v>213</v>
      </c>
      <c r="B100" s="148">
        <v>2022.0</v>
      </c>
      <c r="C100" s="102">
        <v>84000.0</v>
      </c>
      <c r="D100" s="103"/>
      <c r="E100" s="103"/>
      <c r="F100" s="104"/>
      <c r="G100" s="104"/>
      <c r="H100" s="104" t="s">
        <v>666</v>
      </c>
      <c r="I100" s="332" t="s">
        <v>901</v>
      </c>
      <c r="J100" s="106" t="str">
        <f t="shared" si="22"/>
        <v>Update</v>
      </c>
      <c r="K100" s="107"/>
      <c r="L100" s="108" t="s">
        <v>680</v>
      </c>
      <c r="M100" s="109">
        <v>46125.0</v>
      </c>
      <c r="N100" s="109">
        <v>46126.0</v>
      </c>
      <c r="O100" s="110"/>
      <c r="P100" s="108" t="s">
        <v>910</v>
      </c>
      <c r="Q100" s="108"/>
      <c r="R100" s="108" t="s">
        <v>911</v>
      </c>
      <c r="S100" s="256" t="s">
        <v>659</v>
      </c>
      <c r="T100" s="188">
        <v>46125.0</v>
      </c>
      <c r="U100" s="114" t="str">
        <f>IF(V100="","No AIS",VLOOKUP(V100,'Voyage days'!$A$3:$B$1480,2,FALSE))</f>
        <v>Panama</v>
      </c>
      <c r="V100" s="115" t="str">
        <f>IF(VLOOKUP(A100,'1) Kpler'!$E$2:$P$1000,8, FALSE)="","",VLOOKUP(A100,'1) Kpler'!$E$2:$P$1000,8, FALSE))</f>
        <v>Panama Canal</v>
      </c>
      <c r="W100" s="116">
        <f>IF(VLOOKUP(A100,'1) Kpler'!$E$2:$P$1000,9,FALSE)="","",VLOOKUP(A100,'1) Kpler'!$E$2:$P$1000,9,FALSE))</f>
        <v>46133.375</v>
      </c>
      <c r="X100" s="115" t="str">
        <f>VLOOKUP(A100,'1) Kpler'!$E$2:$I$1000,4,FALSE)</f>
        <v>loaded</v>
      </c>
      <c r="Y100" s="117" t="str">
        <f t="shared" si="1"/>
        <v/>
      </c>
      <c r="Z100" s="117" t="str">
        <f t="shared" si="2"/>
        <v>13-14 Apr</v>
      </c>
      <c r="AA100" s="117" t="str">
        <f t="shared" si="3"/>
        <v>13-14 Apr</v>
      </c>
      <c r="AB100" s="117" t="str">
        <f t="shared" si="4"/>
        <v/>
      </c>
      <c r="AC100" s="117" t="str">
        <f t="shared" si="5"/>
        <v>03-04 May</v>
      </c>
      <c r="AD100" s="117" t="str">
        <f t="shared" si="6"/>
        <v/>
      </c>
      <c r="AE100" s="118" t="str">
        <f t="shared" si="7"/>
        <v/>
      </c>
      <c r="AF100" s="119" t="str">
        <f t="shared" si="8"/>
        <v/>
      </c>
      <c r="AG100" s="120" t="str">
        <f t="shared" si="9"/>
        <v/>
      </c>
      <c r="AH100" s="121" t="str">
        <f>IFERROR($M100+VLOOKUP($L100,'Voyage days'!$F$38:$H$89,3,FALSE),"")</f>
        <v/>
      </c>
      <c r="AI100" s="121" t="str">
        <f>IFERROR(N100+VLOOKUP($L100,'Voyage days'!$F$38:$H$89,3,FALSE),"")</f>
        <v/>
      </c>
      <c r="AJ100" s="120" t="str">
        <f t="shared" si="10"/>
        <v>13-14 Apr</v>
      </c>
      <c r="AK100" s="121">
        <f>IFERROR($M100+VLOOKUP($L100,'Voyage days'!$F$94:$H$193,3,FALSE),"")</f>
        <v>46125</v>
      </c>
      <c r="AL100" s="121">
        <f>IFERROR($N100+VLOOKUP($L100,'Voyage days'!$F$94:$H$193,3,FALSE),"")</f>
        <v>46126</v>
      </c>
      <c r="AM100" s="120" t="str">
        <f t="shared" si="11"/>
        <v>13-14 Apr</v>
      </c>
      <c r="AN100" s="121">
        <f>IFERROR($M100+VLOOKUP($L100,'Voyage days'!$F$203:$H$256,3,FALSE),"")</f>
        <v>46125</v>
      </c>
      <c r="AO100" s="121">
        <f>IFERROR($N100+VLOOKUP($L100,'Voyage days'!$F$203:$H$256,3,FALSE),"")</f>
        <v>46126</v>
      </c>
      <c r="AP100" s="120" t="str">
        <f t="shared" si="12"/>
        <v/>
      </c>
      <c r="AQ100" s="121" t="str">
        <f>IFERROR($M100+VLOOKUP($L100,'Voyage days'!$F$294:$H$377,3,FALSE),"")</f>
        <v/>
      </c>
      <c r="AR100" s="121" t="str">
        <f>IFERROR($N100+VLOOKUP($L100,'Voyage days'!$F$294:$H$377,3,FALSE),"")</f>
        <v/>
      </c>
      <c r="AS100" s="120" t="str">
        <f t="shared" si="13"/>
        <v>03-04 May</v>
      </c>
      <c r="AT100" s="121">
        <f>IFERROR($M100+VLOOKUP($L100,'Voyage days'!$F$382:$H$446,3,FALSE),"")</f>
        <v>46145</v>
      </c>
      <c r="AU100" s="121">
        <f>IFERROR($N100+VLOOKUP($L100,'Voyage days'!$F$382:$H$446,3,FALSE),"")</f>
        <v>46146</v>
      </c>
      <c r="AV100" s="120" t="str">
        <f t="shared" si="14"/>
        <v/>
      </c>
      <c r="AW100" s="121" t="str">
        <f>IFERROR($M100+VLOOKUP($L100,'Voyage days'!$F$483:$H$538,3,FALSE),"")</f>
        <v/>
      </c>
      <c r="AX100" s="121" t="str">
        <f>IFERROR($N100+VLOOKUP($L100,'Voyage days'!$F$483:$H$538,3,FALSE),"")</f>
        <v/>
      </c>
      <c r="AY100" s="120" t="str">
        <f t="shared" si="15"/>
        <v/>
      </c>
      <c r="AZ100" s="121" t="str">
        <f>IFERROR($M100+VLOOKUP($L100,'Voyage days'!$F$540:$H$613,3,FALSE),"")</f>
        <v/>
      </c>
      <c r="BA100" s="121" t="str">
        <f>IFERROR($N100+VLOOKUP($L100,'Voyage days'!$F$540:$H$613,3,FALSE),"")</f>
        <v/>
      </c>
      <c r="BB100" s="120" t="str">
        <f t="shared" si="16"/>
        <v/>
      </c>
      <c r="BC100" s="121" t="str">
        <f>IFERROR($M100+VLOOKUP($L100,'Voyage days'!$F$448:$H$479,3,FALSE),"")</f>
        <v/>
      </c>
      <c r="BD100" s="121" t="str">
        <f>IFERROR($N100+VLOOKUP($L100,'Voyage days'!$F$448:$H$479,3,FALSE),"")</f>
        <v/>
      </c>
      <c r="BE100" s="120" t="str">
        <f t="shared" si="17"/>
        <v/>
      </c>
      <c r="BF100" s="122" t="str">
        <f>IFERROR($M100+VLOOKUP($L100,'Voyage days'!$F$620:$H$646,3,FALSE),"")</f>
        <v/>
      </c>
      <c r="BG100" s="122" t="str">
        <f>IFERROR($N100+VLOOKUP($L100,'Voyage days'!$F$620:$H$646,3,FALSE),"")</f>
        <v/>
      </c>
      <c r="BH100" s="120" t="str">
        <f t="shared" si="18"/>
        <v/>
      </c>
      <c r="BI100" s="123" t="str">
        <f>IFERROR($M100+VLOOKUP($L100,'Voyage days'!$F$702:$H$727,3,FALSE),"")</f>
        <v/>
      </c>
      <c r="BJ100" s="120" t="str">
        <f t="shared" si="19"/>
        <v/>
      </c>
      <c r="BK100" s="122" t="str">
        <f>IFERROR($M100+VLOOKUP($L100,'Voyage days'!$F$807:$H$878,3,FALSE),"")</f>
        <v/>
      </c>
      <c r="BL100" s="122" t="str">
        <f>IFERROR($N100+VLOOKUP($L100,'Voyage days'!$F$807:$H$878,3,FALSE),"")</f>
        <v/>
      </c>
      <c r="BM100" s="122" t="str">
        <f>IFERROR($N100+VLOOKUP($L100,'Voyage days'!$F$807:$K$878,6,FALSE),"")</f>
        <v/>
      </c>
      <c r="BN100" s="121" t="str">
        <f>if(L100="loads AG", IFERROR($M100+VLOOKUP($L100,'Voyage days'!$M$38:$O$38,3,FALSE),""),"")</f>
        <v/>
      </c>
      <c r="BO100" s="121">
        <f>if(L100="loads USG", IFERROR($M100+VLOOKUP($L100,'Voyage days'!$L$203:$N$203,3,FALSE),""),"")</f>
        <v>46157</v>
      </c>
    </row>
    <row r="101" ht="15.75" customHeight="1">
      <c r="A101" s="430" t="s">
        <v>238</v>
      </c>
      <c r="B101" s="148">
        <v>2021.0</v>
      </c>
      <c r="C101" s="102">
        <v>86000.0</v>
      </c>
      <c r="D101" s="103"/>
      <c r="E101" s="103"/>
      <c r="F101" s="104"/>
      <c r="G101" s="104"/>
      <c r="H101" s="104" t="s">
        <v>666</v>
      </c>
      <c r="I101" s="332" t="s">
        <v>901</v>
      </c>
      <c r="J101" s="106" t="str">
        <f t="shared" si="22"/>
        <v>Update</v>
      </c>
      <c r="K101" s="107"/>
      <c r="L101" s="108" t="s">
        <v>680</v>
      </c>
      <c r="M101" s="109">
        <v>46128.0</v>
      </c>
      <c r="N101" s="109">
        <v>46132.0</v>
      </c>
      <c r="O101" s="110"/>
      <c r="P101" s="108" t="s">
        <v>912</v>
      </c>
      <c r="Q101" s="108"/>
      <c r="R101" s="108" t="s">
        <v>913</v>
      </c>
      <c r="S101" s="256" t="s">
        <v>659</v>
      </c>
      <c r="T101" s="188">
        <v>46125.0</v>
      </c>
      <c r="U101" s="114" t="str">
        <f>IF(V101="","No AIS",VLOOKUP(V101,'Voyage days'!$A$3:$B$1480,2,FALSE))</f>
        <v>USG</v>
      </c>
      <c r="V101" s="115" t="str">
        <f>IF(VLOOKUP(A101,'1) Kpler'!$E$2:$P$1000,8, FALSE)="","",VLOOKUP(A101,'1) Kpler'!$E$2:$P$1000,8, FALSE))</f>
        <v>Houston</v>
      </c>
      <c r="W101" s="116">
        <f>IF(VLOOKUP(A101,'1) Kpler'!$E$2:$P$1000,9,FALSE)="","",VLOOKUP(A101,'1) Kpler'!$E$2:$P$1000,9,FALSE))</f>
        <v>46132.5</v>
      </c>
      <c r="X101" s="115" t="str">
        <f>VLOOKUP(A101,'1) Kpler'!$E$2:$I$1000,4,FALSE)</f>
        <v>ballast</v>
      </c>
      <c r="Y101" s="160" t="str">
        <f t="shared" si="1"/>
        <v/>
      </c>
      <c r="Z101" s="160" t="str">
        <f t="shared" si="2"/>
        <v>16-20 Apr</v>
      </c>
      <c r="AA101" s="160" t="str">
        <f t="shared" si="3"/>
        <v>16-20 Apr</v>
      </c>
      <c r="AB101" s="160" t="str">
        <f t="shared" si="4"/>
        <v/>
      </c>
      <c r="AC101" s="160" t="str">
        <f t="shared" si="5"/>
        <v>06-10 May</v>
      </c>
      <c r="AD101" s="160" t="str">
        <f t="shared" si="6"/>
        <v/>
      </c>
      <c r="AE101" s="161" t="str">
        <f t="shared" si="7"/>
        <v/>
      </c>
      <c r="AF101" s="162" t="str">
        <f t="shared" si="8"/>
        <v/>
      </c>
      <c r="AG101" s="120" t="str">
        <f t="shared" si="9"/>
        <v/>
      </c>
      <c r="AH101" s="121" t="str">
        <f>IFERROR($M101+VLOOKUP($L101,'Voyage days'!$F$38:$H$89,3,FALSE),"")</f>
        <v/>
      </c>
      <c r="AI101" s="121" t="str">
        <f>IFERROR(N101+VLOOKUP($L101,'Voyage days'!$F$38:$H$89,3,FALSE),"")</f>
        <v/>
      </c>
      <c r="AJ101" s="120" t="str">
        <f t="shared" si="10"/>
        <v>16-20 Apr</v>
      </c>
      <c r="AK101" s="121">
        <f>IFERROR($M101+VLOOKUP($L101,'Voyage days'!$F$94:$H$193,3,FALSE),"")</f>
        <v>46128</v>
      </c>
      <c r="AL101" s="121">
        <f>IFERROR($N101+VLOOKUP($L101,'Voyage days'!$F$94:$H$193,3,FALSE),"")</f>
        <v>46132</v>
      </c>
      <c r="AM101" s="120" t="str">
        <f t="shared" si="11"/>
        <v>16-20 Apr</v>
      </c>
      <c r="AN101" s="121">
        <f>IFERROR($M101+VLOOKUP($L101,'Voyage days'!$F$203:$H$256,3,FALSE),"")</f>
        <v>46128</v>
      </c>
      <c r="AO101" s="121">
        <f>IFERROR($N101+VLOOKUP($L101,'Voyage days'!$F$203:$H$256,3,FALSE),"")</f>
        <v>46132</v>
      </c>
      <c r="AP101" s="120" t="str">
        <f t="shared" si="12"/>
        <v/>
      </c>
      <c r="AQ101" s="121" t="str">
        <f>IFERROR($M101+VLOOKUP($L101,'Voyage days'!$F$294:$H$377,3,FALSE),"")</f>
        <v/>
      </c>
      <c r="AR101" s="121" t="str">
        <f>IFERROR($N101+VLOOKUP($L101,'Voyage days'!$F$294:$H$377,3,FALSE),"")</f>
        <v/>
      </c>
      <c r="AS101" s="120" t="str">
        <f t="shared" si="13"/>
        <v>06-10 May</v>
      </c>
      <c r="AT101" s="121">
        <f>IFERROR($M101+VLOOKUP($L101,'Voyage days'!$F$382:$H$446,3,FALSE),"")</f>
        <v>46148</v>
      </c>
      <c r="AU101" s="121">
        <f>IFERROR($N101+VLOOKUP($L101,'Voyage days'!$F$382:$H$446,3,FALSE),"")</f>
        <v>46152</v>
      </c>
      <c r="AV101" s="120" t="str">
        <f t="shared" si="14"/>
        <v/>
      </c>
      <c r="AW101" s="121" t="str">
        <f>IFERROR($M101+VLOOKUP($L101,'Voyage days'!$F$483:$H$538,3,FALSE),"")</f>
        <v/>
      </c>
      <c r="AX101" s="121" t="str">
        <f>IFERROR($N101+VLOOKUP($L101,'Voyage days'!$F$483:$H$538,3,FALSE),"")</f>
        <v/>
      </c>
      <c r="AY101" s="120" t="str">
        <f t="shared" si="15"/>
        <v/>
      </c>
      <c r="AZ101" s="121" t="str">
        <f>IFERROR($M101+VLOOKUP($L101,'Voyage days'!$F$540:$H$613,3,FALSE),"")</f>
        <v/>
      </c>
      <c r="BA101" s="121" t="str">
        <f>IFERROR($N101+VLOOKUP($L101,'Voyage days'!$F$540:$H$613,3,FALSE),"")</f>
        <v/>
      </c>
      <c r="BB101" s="120" t="str">
        <f t="shared" si="16"/>
        <v/>
      </c>
      <c r="BC101" s="121" t="str">
        <f>IFERROR($M101+VLOOKUP($L101,'Voyage days'!$F$448:$H$479,3,FALSE),"")</f>
        <v/>
      </c>
      <c r="BD101" s="121" t="str">
        <f>IFERROR($N101+VLOOKUP($L101,'Voyage days'!$F$448:$H$479,3,FALSE),"")</f>
        <v/>
      </c>
      <c r="BE101" s="120" t="str">
        <f t="shared" si="17"/>
        <v/>
      </c>
      <c r="BF101" s="122" t="str">
        <f>IFERROR($M101+VLOOKUP($L101,'Voyage days'!$F$620:$H$646,3,FALSE),"")</f>
        <v/>
      </c>
      <c r="BG101" s="122" t="str">
        <f>IFERROR($N101+VLOOKUP($L101,'Voyage days'!$F$620:$H$646,3,FALSE),"")</f>
        <v/>
      </c>
      <c r="BH101" s="120" t="str">
        <f t="shared" si="18"/>
        <v/>
      </c>
      <c r="BI101" s="123" t="str">
        <f>IFERROR($M101+VLOOKUP($L101,'Voyage days'!$F$702:$H$727,3,FALSE),"")</f>
        <v/>
      </c>
      <c r="BJ101" s="120" t="str">
        <f t="shared" si="19"/>
        <v/>
      </c>
      <c r="BK101" s="122" t="str">
        <f>IFERROR($M101+VLOOKUP($L101,'Voyage days'!$F$807:$H$878,3,FALSE),"")</f>
        <v/>
      </c>
      <c r="BL101" s="122" t="str">
        <f>IFERROR($N101+VLOOKUP($L101,'Voyage days'!$F$807:$H$878,3,FALSE),"")</f>
        <v/>
      </c>
      <c r="BM101" s="122" t="str">
        <f>IFERROR($N101+VLOOKUP($L101,'Voyage days'!$F$807:$K$878,6,FALSE),"")</f>
        <v/>
      </c>
      <c r="BN101" s="121" t="str">
        <f>if(L101="loads AG", IFERROR($M101+VLOOKUP($L101,'Voyage days'!$M$38:$O$38,3,FALSE),""),"")</f>
        <v/>
      </c>
      <c r="BO101" s="121">
        <f>if(L101="loads USG", IFERROR($M101+VLOOKUP($L101,'Voyage days'!$L$203:$N$203,3,FALSE),""),"")</f>
        <v>46160</v>
      </c>
    </row>
    <row r="102" ht="15.75" customHeight="1">
      <c r="A102" s="430" t="s">
        <v>239</v>
      </c>
      <c r="B102" s="148">
        <v>2021.0</v>
      </c>
      <c r="C102" s="102">
        <v>86000.0</v>
      </c>
      <c r="D102" s="103"/>
      <c r="E102" s="103"/>
      <c r="F102" s="104"/>
      <c r="G102" s="104"/>
      <c r="H102" s="104" t="s">
        <v>666</v>
      </c>
      <c r="I102" s="332" t="s">
        <v>901</v>
      </c>
      <c r="J102" s="106" t="str">
        <f t="shared" si="22"/>
        <v>Update</v>
      </c>
      <c r="K102" s="107"/>
      <c r="L102" s="108" t="s">
        <v>680</v>
      </c>
      <c r="M102" s="109">
        <v>46120.0</v>
      </c>
      <c r="N102" s="109">
        <v>46120.0</v>
      </c>
      <c r="O102" s="191"/>
      <c r="P102" s="108" t="s">
        <v>914</v>
      </c>
      <c r="Q102" s="185"/>
      <c r="R102" s="108" t="s">
        <v>915</v>
      </c>
      <c r="S102" s="256" t="s">
        <v>659</v>
      </c>
      <c r="T102" s="188">
        <v>46125.0</v>
      </c>
      <c r="U102" s="114" t="str">
        <f>IF(V102="","No AIS",VLOOKUP(V102,'Voyage days'!$A$3:$B$1480,2,FALSE))</f>
        <v>Port Louis</v>
      </c>
      <c r="V102" s="115" t="str">
        <f>IF(VLOOKUP(A102,'1) Kpler'!$E$2:$P$1000,8, FALSE)="","",VLOOKUP(A102,'1) Kpler'!$E$2:$P$1000,8, FALSE))</f>
        <v>Port Louis</v>
      </c>
      <c r="W102" s="116">
        <f>IF(VLOOKUP(A102,'1) Kpler'!$E$2:$P$1000,9,FALSE)="","",VLOOKUP(A102,'1) Kpler'!$E$2:$P$1000,9,FALSE))</f>
        <v>46150.58333</v>
      </c>
      <c r="X102" s="115" t="str">
        <f>VLOOKUP(A102,'1) Kpler'!$E$2:$I$1000,4,FALSE)</f>
        <v>loaded</v>
      </c>
      <c r="Y102" s="117" t="str">
        <f t="shared" si="1"/>
        <v/>
      </c>
      <c r="Z102" s="117" t="str">
        <f t="shared" si="2"/>
        <v>08-08 Apr</v>
      </c>
      <c r="AA102" s="117" t="str">
        <f t="shared" si="3"/>
        <v>08-08 Apr</v>
      </c>
      <c r="AB102" s="117" t="str">
        <f t="shared" si="4"/>
        <v/>
      </c>
      <c r="AC102" s="117" t="str">
        <f t="shared" si="5"/>
        <v>28-28 Apr</v>
      </c>
      <c r="AD102" s="117" t="str">
        <f t="shared" si="6"/>
        <v/>
      </c>
      <c r="AE102" s="118" t="str">
        <f t="shared" si="7"/>
        <v/>
      </c>
      <c r="AF102" s="119" t="str">
        <f t="shared" si="8"/>
        <v/>
      </c>
      <c r="AG102" s="120" t="str">
        <f t="shared" si="9"/>
        <v/>
      </c>
      <c r="AH102" s="121" t="str">
        <f>IFERROR($M102+VLOOKUP($L102,'Voyage days'!$F$38:$H$89,3,FALSE),"")</f>
        <v/>
      </c>
      <c r="AI102" s="121" t="str">
        <f>IFERROR(N102+VLOOKUP($L102,'Voyage days'!$F$38:$H$89,3,FALSE),"")</f>
        <v/>
      </c>
      <c r="AJ102" s="120" t="str">
        <f t="shared" si="10"/>
        <v>08-08 Apr</v>
      </c>
      <c r="AK102" s="121">
        <f>IFERROR($M102+VLOOKUP($L102,'Voyage days'!$F$94:$H$193,3,FALSE),"")</f>
        <v>46120</v>
      </c>
      <c r="AL102" s="121">
        <f>IFERROR($N102+VLOOKUP($L102,'Voyage days'!$F$94:$H$193,3,FALSE),"")</f>
        <v>46120</v>
      </c>
      <c r="AM102" s="120" t="str">
        <f t="shared" si="11"/>
        <v>08-08 Apr</v>
      </c>
      <c r="AN102" s="121">
        <f>IFERROR($M102+VLOOKUP($L102,'Voyage days'!$F$203:$H$256,3,FALSE),"")</f>
        <v>46120</v>
      </c>
      <c r="AO102" s="121">
        <f>IFERROR($N102+VLOOKUP($L102,'Voyage days'!$F$203:$H$256,3,FALSE),"")</f>
        <v>46120</v>
      </c>
      <c r="AP102" s="120" t="str">
        <f t="shared" si="12"/>
        <v/>
      </c>
      <c r="AQ102" s="121" t="str">
        <f>IFERROR($M102+VLOOKUP($L102,'Voyage days'!$F$294:$H$377,3,FALSE),"")</f>
        <v/>
      </c>
      <c r="AR102" s="121" t="str">
        <f>IFERROR($N102+VLOOKUP($L102,'Voyage days'!$F$294:$H$377,3,FALSE),"")</f>
        <v/>
      </c>
      <c r="AS102" s="120" t="str">
        <f t="shared" si="13"/>
        <v>28-28 Apr</v>
      </c>
      <c r="AT102" s="121">
        <f>IFERROR($M102+VLOOKUP($L102,'Voyage days'!$F$382:$H$446,3,FALSE),"")</f>
        <v>46140</v>
      </c>
      <c r="AU102" s="121">
        <f>IFERROR($N102+VLOOKUP($L102,'Voyage days'!$F$382:$H$446,3,FALSE),"")</f>
        <v>46140</v>
      </c>
      <c r="AV102" s="120" t="str">
        <f t="shared" si="14"/>
        <v/>
      </c>
      <c r="AW102" s="121" t="str">
        <f>IFERROR($M102+VLOOKUP($L102,'Voyage days'!$F$483:$H$538,3,FALSE),"")</f>
        <v/>
      </c>
      <c r="AX102" s="121" t="str">
        <f>IFERROR($N102+VLOOKUP($L102,'Voyage days'!$F$483:$H$538,3,FALSE),"")</f>
        <v/>
      </c>
      <c r="AY102" s="120" t="str">
        <f t="shared" si="15"/>
        <v/>
      </c>
      <c r="AZ102" s="121" t="str">
        <f>IFERROR($M102+VLOOKUP($L102,'Voyage days'!$F$540:$H$613,3,FALSE),"")</f>
        <v/>
      </c>
      <c r="BA102" s="121" t="str">
        <f>IFERROR($N102+VLOOKUP($L102,'Voyage days'!$F$540:$H$613,3,FALSE),"")</f>
        <v/>
      </c>
      <c r="BB102" s="120" t="str">
        <f t="shared" si="16"/>
        <v/>
      </c>
      <c r="BC102" s="121" t="str">
        <f>IFERROR($M102+VLOOKUP($L102,'Voyage days'!$F$448:$H$479,3,FALSE),"")</f>
        <v/>
      </c>
      <c r="BD102" s="121" t="str">
        <f>IFERROR($N102+VLOOKUP($L102,'Voyage days'!$F$448:$H$479,3,FALSE),"")</f>
        <v/>
      </c>
      <c r="BE102" s="120" t="str">
        <f t="shared" si="17"/>
        <v/>
      </c>
      <c r="BF102" s="122" t="str">
        <f>IFERROR($M102+VLOOKUP($L102,'Voyage days'!$F$620:$H$646,3,FALSE),"")</f>
        <v/>
      </c>
      <c r="BG102" s="122" t="str">
        <f>IFERROR($N102+VLOOKUP($L102,'Voyage days'!$F$620:$H$646,3,FALSE),"")</f>
        <v/>
      </c>
      <c r="BH102" s="120" t="str">
        <f t="shared" si="18"/>
        <v/>
      </c>
      <c r="BI102" s="123" t="str">
        <f>IFERROR($M102+VLOOKUP($L102,'Voyage days'!$F$702:$H$727,3,FALSE),"")</f>
        <v/>
      </c>
      <c r="BJ102" s="120" t="str">
        <f t="shared" si="19"/>
        <v/>
      </c>
      <c r="BK102" s="122" t="str">
        <f>IFERROR($M102+VLOOKUP($L102,'Voyage days'!$F$807:$H$878,3,FALSE),"")</f>
        <v/>
      </c>
      <c r="BL102" s="122" t="str">
        <f>IFERROR($N102+VLOOKUP($L102,'Voyage days'!$F$807:$H$878,3,FALSE),"")</f>
        <v/>
      </c>
      <c r="BM102" s="122" t="str">
        <f>IFERROR($N102+VLOOKUP($L102,'Voyage days'!$F$807:$K$878,6,FALSE),"")</f>
        <v/>
      </c>
      <c r="BN102" s="121" t="str">
        <f>if(L102="loads AG", IFERROR($M102+VLOOKUP($L102,'Voyage days'!$M$38:$O$38,3,FALSE),""),"")</f>
        <v/>
      </c>
      <c r="BO102" s="121">
        <f>if(L102="loads USG", IFERROR($M102+VLOOKUP($L102,'Voyage days'!$L$203:$N$203,3,FALSE),""),"")</f>
        <v>46152</v>
      </c>
    </row>
    <row r="103" ht="15.75" customHeight="1">
      <c r="A103" s="430" t="s">
        <v>518</v>
      </c>
      <c r="B103" s="101">
        <v>43831.0</v>
      </c>
      <c r="C103" s="102">
        <v>84000.0</v>
      </c>
      <c r="D103" s="103"/>
      <c r="E103" s="103"/>
      <c r="F103" s="104"/>
      <c r="G103" s="104"/>
      <c r="H103" s="104" t="s">
        <v>689</v>
      </c>
      <c r="I103" s="332" t="s">
        <v>901</v>
      </c>
      <c r="J103" s="106" t="str">
        <f t="shared" si="22"/>
        <v>Update</v>
      </c>
      <c r="K103" s="107"/>
      <c r="L103" s="108" t="s">
        <v>668</v>
      </c>
      <c r="M103" s="109">
        <v>46127.0</v>
      </c>
      <c r="N103" s="109">
        <v>46128.0</v>
      </c>
      <c r="O103" s="191"/>
      <c r="P103" s="108" t="s">
        <v>916</v>
      </c>
      <c r="Q103" s="111"/>
      <c r="R103" s="108" t="s">
        <v>917</v>
      </c>
      <c r="S103" s="256" t="s">
        <v>659</v>
      </c>
      <c r="T103" s="188">
        <v>46125.0</v>
      </c>
      <c r="U103" s="114" t="str">
        <f>IF(V103="","No AIS",VLOOKUP(V103,'Voyage days'!$A$3:$B$1480,2,FALSE))</f>
        <v>Panama</v>
      </c>
      <c r="V103" s="115" t="str">
        <f>IF(VLOOKUP(A103,'1) Kpler'!$E$2:$P$1000,8, FALSE)="","",VLOOKUP(A103,'1) Kpler'!$E$2:$P$1000,8, FALSE))</f>
        <v>Panama Canal</v>
      </c>
      <c r="W103" s="116">
        <f>IF(VLOOKUP(A103,'1) Kpler'!$E$2:$P$1000,9,FALSE)="","",VLOOKUP(A103,'1) Kpler'!$E$2:$P$1000,9,FALSE))</f>
        <v>46148.70833</v>
      </c>
      <c r="X103" s="115" t="str">
        <f>VLOOKUP(A103,'1) Kpler'!$E$2:$I$1000,4,FALSE)</f>
        <v>ballast</v>
      </c>
      <c r="Y103" s="160" t="str">
        <f t="shared" si="1"/>
        <v>03-04 May</v>
      </c>
      <c r="Z103" s="160" t="str">
        <f t="shared" si="2"/>
        <v>17-18 May</v>
      </c>
      <c r="AA103" s="160" t="str">
        <f t="shared" si="3"/>
        <v>27-28 May</v>
      </c>
      <c r="AB103" s="160" t="str">
        <f t="shared" si="4"/>
        <v>15-16 May</v>
      </c>
      <c r="AC103" s="160" t="str">
        <f t="shared" si="5"/>
        <v>21-22 May</v>
      </c>
      <c r="AD103" s="160" t="str">
        <f t="shared" si="6"/>
        <v>23-24 Apr</v>
      </c>
      <c r="AE103" s="161" t="str">
        <f t="shared" si="7"/>
        <v>23-24 Apr</v>
      </c>
      <c r="AF103" s="162" t="str">
        <f t="shared" si="8"/>
        <v>31-01 Jun</v>
      </c>
      <c r="AG103" s="120" t="str">
        <f t="shared" si="9"/>
        <v>03-04 May</v>
      </c>
      <c r="AH103" s="121">
        <f>IFERROR($M103+VLOOKUP($L103,'Voyage days'!$F$38:$H$89,3,FALSE),"")</f>
        <v>46145</v>
      </c>
      <c r="AI103" s="121">
        <f>IFERROR(N103+VLOOKUP($L103,'Voyage days'!$F$38:$H$89,3,FALSE),"")</f>
        <v>46146</v>
      </c>
      <c r="AJ103" s="120" t="str">
        <f t="shared" si="10"/>
        <v>17-18 May</v>
      </c>
      <c r="AK103" s="121">
        <f>IFERROR($M103+VLOOKUP($L103,'Voyage days'!$F$94:$H$193,3,FALSE),"")</f>
        <v>46159</v>
      </c>
      <c r="AL103" s="121">
        <f>IFERROR($N103+VLOOKUP($L103,'Voyage days'!$F$94:$H$193,3,FALSE),"")</f>
        <v>46160</v>
      </c>
      <c r="AM103" s="120" t="str">
        <f t="shared" si="11"/>
        <v>27-28 May</v>
      </c>
      <c r="AN103" s="121">
        <f>IFERROR($M103+VLOOKUP($L103,'Voyage days'!$F$203:$H$256,3,FALSE),"")</f>
        <v>46169</v>
      </c>
      <c r="AO103" s="121">
        <f>IFERROR($N103+VLOOKUP($L103,'Voyage days'!$F$203:$H$256,3,FALSE),"")</f>
        <v>46170</v>
      </c>
      <c r="AP103" s="120" t="str">
        <f t="shared" si="12"/>
        <v>15-16 May</v>
      </c>
      <c r="AQ103" s="121">
        <f>IFERROR($M103+VLOOKUP($L103,'Voyage days'!$F$294:$H$377,3,FALSE),"")</f>
        <v>46157</v>
      </c>
      <c r="AR103" s="121">
        <f>IFERROR($N103+VLOOKUP($L103,'Voyage days'!$F$294:$H$377,3,FALSE),"")</f>
        <v>46158</v>
      </c>
      <c r="AS103" s="120" t="str">
        <f t="shared" si="13"/>
        <v>21-22 May</v>
      </c>
      <c r="AT103" s="121">
        <f>IFERROR($M103+VLOOKUP($L103,'Voyage days'!$F$382:$H$446,3,FALSE),"")</f>
        <v>46163</v>
      </c>
      <c r="AU103" s="121">
        <f>IFERROR($N103+VLOOKUP($L103,'Voyage days'!$F$382:$H$446,3,FALSE),"")</f>
        <v>46164</v>
      </c>
      <c r="AV103" s="120" t="str">
        <f t="shared" si="14"/>
        <v>28-29 Apr</v>
      </c>
      <c r="AW103" s="121">
        <f>IFERROR($M103+VLOOKUP($L103,'Voyage days'!$F$483:$H$538,3,FALSE),"")</f>
        <v>46140</v>
      </c>
      <c r="AX103" s="121">
        <f>IFERROR($N103+VLOOKUP($L103,'Voyage days'!$F$483:$H$538,3,FALSE),"")</f>
        <v>46141</v>
      </c>
      <c r="AY103" s="120" t="str">
        <f t="shared" si="15"/>
        <v>23-24 Apr</v>
      </c>
      <c r="AZ103" s="121">
        <f>IFERROR($M103+VLOOKUP($L103,'Voyage days'!$F$540:$H$613,3,FALSE),"")</f>
        <v>46135.25</v>
      </c>
      <c r="BA103" s="121">
        <f>IFERROR($N103+VLOOKUP($L103,'Voyage days'!$F$540:$H$613,3,FALSE),"")</f>
        <v>46136.25</v>
      </c>
      <c r="BB103" s="120" t="str">
        <f t="shared" si="16"/>
        <v>23-24 Apr</v>
      </c>
      <c r="BC103" s="121">
        <f>IFERROR($M103+VLOOKUP($L103,'Voyage days'!$F$448:$H$479,3,FALSE),"")</f>
        <v>46135</v>
      </c>
      <c r="BD103" s="121">
        <f>IFERROR($N103+VLOOKUP($L103,'Voyage days'!$F$448:$H$479,3,FALSE),"")</f>
        <v>46136</v>
      </c>
      <c r="BE103" s="120" t="str">
        <f t="shared" si="17"/>
        <v>26-27 Apr</v>
      </c>
      <c r="BF103" s="122">
        <f>IFERROR($M103+VLOOKUP($L103,'Voyage days'!$F$620:$H$646,3,FALSE),"")</f>
        <v>46138</v>
      </c>
      <c r="BG103" s="122">
        <f>IFERROR($N103+VLOOKUP($L103,'Voyage days'!$F$620:$H$646,3,FALSE),"")</f>
        <v>46139</v>
      </c>
      <c r="BH103" s="120" t="str">
        <f t="shared" si="18"/>
        <v>23-01 Jun</v>
      </c>
      <c r="BI103" s="123">
        <f>IFERROR($M103+VLOOKUP($L103,'Voyage days'!$F$702:$H$727,3,FALSE),"")</f>
        <v>46135.25</v>
      </c>
      <c r="BJ103" s="120" t="str">
        <f t="shared" si="19"/>
        <v>31-01 Jun</v>
      </c>
      <c r="BK103" s="122">
        <f>IFERROR($M103+VLOOKUP($L103,'Voyage days'!$F$807:$H$878,3,FALSE),"")</f>
        <v>46173</v>
      </c>
      <c r="BL103" s="122">
        <f>IFERROR($N103+VLOOKUP($L103,'Voyage days'!$F$807:$H$878,3,FALSE),"")</f>
        <v>46174</v>
      </c>
      <c r="BM103" s="122">
        <f>IFERROR($N103+VLOOKUP($L103,'Voyage days'!$F$807:$K$878,6,FALSE),"")</f>
        <v>46148</v>
      </c>
      <c r="BN103" s="121" t="str">
        <f>if(L103="loads AG", IFERROR($M103+VLOOKUP($L103,'Voyage days'!$M$38:$O$38,3,FALSE),""),"")</f>
        <v/>
      </c>
      <c r="BO103" s="121" t="str">
        <f>if(L103="loads USG", IFERROR($M103+VLOOKUP($L103,'Voyage days'!$L$203:$N$203,3,FALSE),""),"")</f>
        <v/>
      </c>
    </row>
    <row r="104" ht="15.75" customHeight="1">
      <c r="A104" s="221" t="s">
        <v>523</v>
      </c>
      <c r="B104" s="222">
        <v>41275.0</v>
      </c>
      <c r="C104" s="166">
        <v>83000.0</v>
      </c>
      <c r="D104" s="223"/>
      <c r="E104" s="223"/>
      <c r="F104" s="168"/>
      <c r="G104" s="168"/>
      <c r="H104" s="168"/>
      <c r="I104" s="397" t="s">
        <v>901</v>
      </c>
      <c r="J104" s="170" t="str">
        <f t="shared" si="22"/>
        <v/>
      </c>
      <c r="K104" s="171"/>
      <c r="L104" s="172" t="s">
        <v>677</v>
      </c>
      <c r="M104" s="109">
        <v>46141.0</v>
      </c>
      <c r="N104" s="173">
        <v>46142.0</v>
      </c>
      <c r="O104" s="433" t="s">
        <v>70</v>
      </c>
      <c r="P104" s="172" t="s">
        <v>725</v>
      </c>
      <c r="Q104" s="172"/>
      <c r="R104" s="172" t="s">
        <v>918</v>
      </c>
      <c r="S104" s="358" t="s">
        <v>659</v>
      </c>
      <c r="T104" s="176">
        <v>46125.0</v>
      </c>
      <c r="U104" s="177" t="str">
        <f>IF(V104="","No AIS",VLOOKUP(V104,'Voyage days'!$A$3:$B$1480,2,FALSE))</f>
        <v>Panama</v>
      </c>
      <c r="V104" s="178" t="str">
        <f>IF(VLOOKUP(A104,'1) Kpler'!$E$2:$P$1000,8, FALSE)="","",VLOOKUP(A104,'1) Kpler'!$E$2:$P$1000,8, FALSE))</f>
        <v>Panama Canal</v>
      </c>
      <c r="W104" s="179">
        <f>IF(VLOOKUP(A104,'1) Kpler'!$E$2:$P$1000,9,FALSE)="","",VLOOKUP(A104,'1) Kpler'!$E$2:$P$1000,9,FALSE))</f>
        <v>46141.91667</v>
      </c>
      <c r="X104" s="178" t="str">
        <f>VLOOKUP(A104,'1) Kpler'!$E$2:$I$1000,4,FALSE)</f>
        <v>ballast</v>
      </c>
      <c r="Y104" s="180" t="str">
        <f t="shared" si="1"/>
        <v/>
      </c>
      <c r="Z104" s="180" t="str">
        <f t="shared" si="2"/>
        <v>10-11 May</v>
      </c>
      <c r="AA104" s="180" t="str">
        <f t="shared" si="3"/>
        <v/>
      </c>
      <c r="AB104" s="180" t="str">
        <f t="shared" si="4"/>
        <v/>
      </c>
      <c r="AC104" s="180" t="str">
        <f t="shared" si="5"/>
        <v/>
      </c>
      <c r="AD104" s="180" t="str">
        <f t="shared" si="6"/>
        <v/>
      </c>
      <c r="AE104" s="181" t="str">
        <f t="shared" si="7"/>
        <v/>
      </c>
      <c r="AF104" s="182" t="str">
        <f t="shared" si="8"/>
        <v/>
      </c>
      <c r="AG104" s="120" t="str">
        <f t="shared" si="9"/>
        <v/>
      </c>
      <c r="AH104" s="121" t="str">
        <f>IFERROR($M104+VLOOKUP($L104,'Voyage days'!$F$38:$H$89,3,FALSE),"")</f>
        <v/>
      </c>
      <c r="AI104" s="121" t="str">
        <f>IFERROR(N104+VLOOKUP($L104,'Voyage days'!$F$38:$H$89,3,FALSE),"")</f>
        <v/>
      </c>
      <c r="AJ104" s="120" t="str">
        <f t="shared" si="10"/>
        <v>10-11 May</v>
      </c>
      <c r="AK104" s="121">
        <f>IFERROR($M104+VLOOKUP($L104,'Voyage days'!$F$94:$H$193,3,FALSE),"")</f>
        <v>46152</v>
      </c>
      <c r="AL104" s="121">
        <f>IFERROR($N104+VLOOKUP($L104,'Voyage days'!$F$94:$H$193,3,FALSE),"")</f>
        <v>46153</v>
      </c>
      <c r="AM104" s="120" t="str">
        <f t="shared" si="11"/>
        <v/>
      </c>
      <c r="AN104" s="121" t="str">
        <f>IFERROR($M104+VLOOKUP($L104,'Voyage days'!$F$203:$H$256,3,FALSE),"")</f>
        <v/>
      </c>
      <c r="AO104" s="121" t="str">
        <f>IFERROR($N104+VLOOKUP($L104,'Voyage days'!$F$203:$H$256,3,FALSE),"")</f>
        <v/>
      </c>
      <c r="AP104" s="120" t="str">
        <f t="shared" si="12"/>
        <v/>
      </c>
      <c r="AQ104" s="121" t="str">
        <f>IFERROR($M104+VLOOKUP($L104,'Voyage days'!$F$294:$H$377,3,FALSE),"")</f>
        <v/>
      </c>
      <c r="AR104" s="121" t="str">
        <f>IFERROR($N104+VLOOKUP($L104,'Voyage days'!$F$294:$H$377,3,FALSE),"")</f>
        <v/>
      </c>
      <c r="AS104" s="120" t="str">
        <f t="shared" si="13"/>
        <v/>
      </c>
      <c r="AT104" s="121" t="str">
        <f>IFERROR($M104+VLOOKUP($L104,'Voyage days'!$F$382:$H$446,3,FALSE),"")</f>
        <v/>
      </c>
      <c r="AU104" s="121" t="str">
        <f>IFERROR($N104+VLOOKUP($L104,'Voyage days'!$F$382:$H$446,3,FALSE),"")</f>
        <v/>
      </c>
      <c r="AV104" s="120" t="str">
        <f t="shared" si="14"/>
        <v/>
      </c>
      <c r="AW104" s="121" t="str">
        <f>IFERROR($M104+VLOOKUP($L104,'Voyage days'!$F$483:$H$538,3,FALSE),"")</f>
        <v/>
      </c>
      <c r="AX104" s="121" t="str">
        <f>IFERROR($N104+VLOOKUP($L104,'Voyage days'!$F$483:$H$538,3,FALSE),"")</f>
        <v/>
      </c>
      <c r="AY104" s="120" t="str">
        <f t="shared" si="15"/>
        <v/>
      </c>
      <c r="AZ104" s="121" t="str">
        <f>IFERROR($M104+VLOOKUP($L104,'Voyage days'!$F$540:$H$613,3,FALSE),"")</f>
        <v/>
      </c>
      <c r="BA104" s="121" t="str">
        <f>IFERROR($N104+VLOOKUP($L104,'Voyage days'!$F$540:$H$613,3,FALSE),"")</f>
        <v/>
      </c>
      <c r="BB104" s="120" t="str">
        <f t="shared" si="16"/>
        <v/>
      </c>
      <c r="BC104" s="121" t="str">
        <f>IFERROR($M104+VLOOKUP($L104,'Voyage days'!$F$448:$H$479,3,FALSE),"")</f>
        <v/>
      </c>
      <c r="BD104" s="121" t="str">
        <f>IFERROR($N104+VLOOKUP($L104,'Voyage days'!$F$448:$H$479,3,FALSE),"")</f>
        <v/>
      </c>
      <c r="BE104" s="120" t="str">
        <f t="shared" si="17"/>
        <v/>
      </c>
      <c r="BF104" s="122" t="str">
        <f>IFERROR($M104+VLOOKUP($L104,'Voyage days'!$F$620:$H$646,3,FALSE),"")</f>
        <v/>
      </c>
      <c r="BG104" s="122" t="str">
        <f>IFERROR($N104+VLOOKUP($L104,'Voyage days'!$F$620:$H$646,3,FALSE),"")</f>
        <v/>
      </c>
      <c r="BH104" s="120" t="str">
        <f t="shared" si="18"/>
        <v/>
      </c>
      <c r="BI104" s="123" t="str">
        <f>IFERROR($M104+VLOOKUP($L104,'Voyage days'!$F$702:$H$727,3,FALSE),"")</f>
        <v/>
      </c>
      <c r="BJ104" s="120" t="str">
        <f t="shared" si="19"/>
        <v/>
      </c>
      <c r="BK104" s="122" t="str">
        <f>IFERROR($M104+VLOOKUP($L104,'Voyage days'!$F$807:$H$878,3,FALSE),"")</f>
        <v/>
      </c>
      <c r="BL104" s="122" t="str">
        <f>IFERROR($N104+VLOOKUP($L104,'Voyage days'!$F$807:$H$878,3,FALSE),"")</f>
        <v/>
      </c>
      <c r="BM104" s="122" t="str">
        <f>IFERROR($N104+VLOOKUP($L104,'Voyage days'!$F$807:$K$878,6,FALSE),"")</f>
        <v/>
      </c>
      <c r="BN104" s="121" t="str">
        <f>if(L104="loads AG", IFERROR($M104+VLOOKUP($L104,'Voyage days'!$M$38:$O$38,3,FALSE),""),"")</f>
        <v/>
      </c>
      <c r="BO104" s="121" t="str">
        <f>if(L104="loads USG", IFERROR($M104+VLOOKUP($L104,'Voyage days'!$L$203:$N$203,3,FALSE),""),"")</f>
        <v/>
      </c>
    </row>
    <row r="105" ht="15.75" customHeight="1">
      <c r="A105" s="230" t="s">
        <v>79</v>
      </c>
      <c r="B105" s="417">
        <v>2013.0</v>
      </c>
      <c r="C105" s="232">
        <v>82000.0</v>
      </c>
      <c r="D105" s="227"/>
      <c r="E105" s="242"/>
      <c r="F105" s="434"/>
      <c r="G105" s="434"/>
      <c r="H105" s="434" t="s">
        <v>689</v>
      </c>
      <c r="I105" s="435" t="s">
        <v>919</v>
      </c>
      <c r="J105" s="436" t="str">
        <f t="shared" si="22"/>
        <v>Update</v>
      </c>
      <c r="K105" s="386"/>
      <c r="L105" s="437" t="s">
        <v>680</v>
      </c>
      <c r="M105" s="438">
        <v>46126.0</v>
      </c>
      <c r="N105" s="438">
        <v>46127.0</v>
      </c>
      <c r="O105" s="213"/>
      <c r="P105" s="387" t="s">
        <v>920</v>
      </c>
      <c r="Q105" s="437"/>
      <c r="R105" s="437" t="s">
        <v>921</v>
      </c>
      <c r="S105" s="402" t="s">
        <v>659</v>
      </c>
      <c r="T105" s="318">
        <v>46125.0</v>
      </c>
      <c r="U105" s="439" t="str">
        <f>IF(V105="","No AIS",VLOOKUP(V105,'Voyage days'!$A$3:$B$1480,2,FALSE))</f>
        <v>WCI + 5</v>
      </c>
      <c r="V105" s="439" t="str">
        <f>IF(VLOOKUP(A105,'1) Kpler'!$E$2:$P$1000,8, FALSE)="","",VLOOKUP(A105,'1) Kpler'!$E$2:$P$1000,8, FALSE))</f>
        <v>Mangalore</v>
      </c>
      <c r="W105" s="440">
        <f>IF(VLOOKUP(A105,'1) Kpler'!$E$2:$P$1000,9,FALSE)="","",VLOOKUP(A105,'1) Kpler'!$E$2:$P$1000,9,FALSE))</f>
        <v>46169.5</v>
      </c>
      <c r="X105" s="439" t="str">
        <f>VLOOKUP(A105,'1) Kpler'!$E$2:$I$1000,4,FALSE)</f>
        <v>loaded</v>
      </c>
      <c r="Y105" s="441" t="str">
        <f t="shared" si="1"/>
        <v/>
      </c>
      <c r="Z105" s="441" t="str">
        <f t="shared" si="2"/>
        <v>14-15 Apr</v>
      </c>
      <c r="AA105" s="441" t="str">
        <f t="shared" si="3"/>
        <v>14-15 Apr</v>
      </c>
      <c r="AB105" s="441" t="str">
        <f t="shared" si="4"/>
        <v/>
      </c>
      <c r="AC105" s="441" t="str">
        <f t="shared" si="5"/>
        <v>04-05 May</v>
      </c>
      <c r="AD105" s="441" t="str">
        <f t="shared" si="6"/>
        <v/>
      </c>
      <c r="AE105" s="442" t="str">
        <f t="shared" si="7"/>
        <v/>
      </c>
      <c r="AF105" s="162" t="str">
        <f t="shared" si="8"/>
        <v/>
      </c>
      <c r="AG105" s="443" t="str">
        <f t="shared" si="9"/>
        <v/>
      </c>
      <c r="AH105" s="444" t="str">
        <f>IFERROR($M105+VLOOKUP($L105,'Voyage days'!$F$38:$H$89,3,FALSE),"")</f>
        <v/>
      </c>
      <c r="AI105" s="444" t="str">
        <f>IFERROR(N105+VLOOKUP($L105,'Voyage days'!$F$38:$H$89,3,FALSE),"")</f>
        <v/>
      </c>
      <c r="AJ105" s="443" t="str">
        <f t="shared" si="10"/>
        <v>14-15 Apr</v>
      </c>
      <c r="AK105" s="444">
        <f>IFERROR($M105+VLOOKUP($L105,'Voyage days'!$F$94:$H$193,3,FALSE),"")</f>
        <v>46126</v>
      </c>
      <c r="AL105" s="444">
        <f>IFERROR($N105+VLOOKUP($L105,'Voyage days'!$F$94:$H$193,3,FALSE),"")</f>
        <v>46127</v>
      </c>
      <c r="AM105" s="443" t="str">
        <f t="shared" si="11"/>
        <v>14-15 Apr</v>
      </c>
      <c r="AN105" s="444">
        <f>IFERROR($M105+VLOOKUP($L105,'Voyage days'!$F$203:$H$256,3,FALSE),"")</f>
        <v>46126</v>
      </c>
      <c r="AO105" s="444">
        <f>IFERROR($N105+VLOOKUP($L105,'Voyage days'!$F$203:$H$256,3,FALSE),"")</f>
        <v>46127</v>
      </c>
      <c r="AP105" s="443" t="str">
        <f t="shared" si="12"/>
        <v/>
      </c>
      <c r="AQ105" s="444" t="str">
        <f>IFERROR($M105+VLOOKUP($L105,'Voyage days'!$F$294:$H$377,3,FALSE),"")</f>
        <v/>
      </c>
      <c r="AR105" s="444" t="str">
        <f>IFERROR($N105+VLOOKUP($L105,'Voyage days'!$F$294:$H$377,3,FALSE),"")</f>
        <v/>
      </c>
      <c r="AS105" s="443" t="str">
        <f t="shared" si="13"/>
        <v>04-05 May</v>
      </c>
      <c r="AT105" s="444">
        <f>IFERROR($M105+VLOOKUP($L105,'Voyage days'!$F$382:$H$446,3,FALSE),"")</f>
        <v>46146</v>
      </c>
      <c r="AU105" s="444">
        <f>IFERROR($N105+VLOOKUP($L105,'Voyage days'!$F$382:$H$446,3,FALSE),"")</f>
        <v>46147</v>
      </c>
      <c r="AV105" s="443" t="str">
        <f t="shared" si="14"/>
        <v/>
      </c>
      <c r="AW105" s="444" t="str">
        <f>IFERROR($M105+VLOOKUP($L105,'Voyage days'!$F$483:$H$538,3,FALSE),"")</f>
        <v/>
      </c>
      <c r="AX105" s="444" t="str">
        <f>IFERROR($N105+VLOOKUP($L105,'Voyage days'!$F$483:$H$538,3,FALSE),"")</f>
        <v/>
      </c>
      <c r="AY105" s="443" t="str">
        <f t="shared" si="15"/>
        <v/>
      </c>
      <c r="AZ105" s="444" t="str">
        <f>IFERROR($M105+VLOOKUP($L105,'Voyage days'!$F$540:$H$613,3,FALSE),"")</f>
        <v/>
      </c>
      <c r="BA105" s="444" t="str">
        <f>IFERROR($N105+VLOOKUP($L105,'Voyage days'!$F$540:$H$613,3,FALSE),"")</f>
        <v/>
      </c>
      <c r="BB105" s="443" t="str">
        <f t="shared" si="16"/>
        <v/>
      </c>
      <c r="BC105" s="445" t="str">
        <f>IFERROR($M105+VLOOKUP($L105,'Voyage days'!$F$448:$H$479,3,FALSE),"")</f>
        <v/>
      </c>
      <c r="BD105" s="445" t="str">
        <f>IFERROR($N105+VLOOKUP($L105,'Voyage days'!$F$448:$H$479,3,FALSE),"")</f>
        <v/>
      </c>
      <c r="BE105" s="443" t="str">
        <f t="shared" si="17"/>
        <v/>
      </c>
      <c r="BF105" s="444" t="str">
        <f>IFERROR($M105+VLOOKUP($L105,'Voyage days'!$F$620:$H$646,3,FALSE),"")</f>
        <v/>
      </c>
      <c r="BG105" s="444" t="str">
        <f>IFERROR($N105+VLOOKUP($L105,'Voyage days'!$F$620:$H$646,3,FALSE),"")</f>
        <v/>
      </c>
      <c r="BH105" s="443" t="str">
        <f t="shared" si="18"/>
        <v/>
      </c>
      <c r="BI105" s="446" t="str">
        <f>IFERROR($M105+VLOOKUP($L105,'Voyage days'!$F$702:$H$727,3,FALSE),"")</f>
        <v/>
      </c>
      <c r="BJ105" s="443" t="str">
        <f t="shared" si="19"/>
        <v/>
      </c>
      <c r="BK105" s="444" t="str">
        <f>IFERROR($M105+VLOOKUP($L105,'Voyage days'!$F$807:$H$878,3,FALSE),"")</f>
        <v/>
      </c>
      <c r="BL105" s="444" t="str">
        <f>IFERROR($N105+VLOOKUP($L105,'Voyage days'!$F$807:$H$878,3,FALSE),"")</f>
        <v/>
      </c>
      <c r="BM105" s="447" t="str">
        <f>IFERROR($N105+VLOOKUP($L105,'Voyage days'!$F$807:$K$878,6,FALSE),"")</f>
        <v/>
      </c>
      <c r="BN105" s="445" t="str">
        <f>if(L105="loads AG", IFERROR($M105+VLOOKUP($L105,'Voyage days'!$M$38:$O$38,3,FALSE),""),"")</f>
        <v/>
      </c>
      <c r="BO105" s="445">
        <f>if(L105="loads USG", IFERROR($M105+VLOOKUP($L105,'Voyage days'!$L$203:$N$203,3,FALSE),""),"")</f>
        <v>46158</v>
      </c>
    </row>
    <row r="106" ht="15.0" customHeight="1">
      <c r="A106" s="341" t="s">
        <v>922</v>
      </c>
      <c r="B106" s="101">
        <v>42674.0</v>
      </c>
      <c r="C106" s="102">
        <v>84000.0</v>
      </c>
      <c r="D106" s="112" t="s">
        <v>603</v>
      </c>
      <c r="E106" s="103"/>
      <c r="F106" s="104"/>
      <c r="G106" s="104"/>
      <c r="H106" s="104" t="s">
        <v>666</v>
      </c>
      <c r="I106" s="401" t="s">
        <v>919</v>
      </c>
      <c r="J106" s="336" t="str">
        <f t="shared" si="22"/>
        <v/>
      </c>
      <c r="K106" s="107"/>
      <c r="L106" s="108" t="s">
        <v>755</v>
      </c>
      <c r="M106" s="109">
        <v>46151.0</v>
      </c>
      <c r="N106" s="109">
        <v>46152.0</v>
      </c>
      <c r="O106" s="191"/>
      <c r="P106" s="108" t="s">
        <v>923</v>
      </c>
      <c r="Q106" s="153"/>
      <c r="R106" s="153" t="s">
        <v>924</v>
      </c>
      <c r="S106" s="256" t="s">
        <v>659</v>
      </c>
      <c r="T106" s="293">
        <v>46125.0</v>
      </c>
      <c r="U106" s="114" t="str">
        <f>IF(V106="","No AIS",VLOOKUP(V106,'Voyage days'!$A$3:$B$1480,2,FALSE))</f>
        <v>Indo + 4 (STS)</v>
      </c>
      <c r="V106" s="115" t="str">
        <f>IF(VLOOKUP(A106,'1) Kpler'!$E$2:$P$1000,8, FALSE)="","",VLOOKUP(A106,'1) Kpler'!$E$2:$P$1000,8, FALSE))</f>
        <v>Kalbut</v>
      </c>
      <c r="W106" s="116">
        <f>IF(VLOOKUP(A106,'1) Kpler'!$E$2:$P$1000,9,FALSE)="","",VLOOKUP(A106,'1) Kpler'!$E$2:$P$1000,9,FALSE))</f>
        <v>46148.20833</v>
      </c>
      <c r="X106" s="115" t="str">
        <f>VLOOKUP(A106,'1) Kpler'!$E$2:$I$1000,4,FALSE)</f>
        <v>loaded</v>
      </c>
      <c r="Y106" s="117" t="str">
        <f t="shared" si="1"/>
        <v>20-21 May</v>
      </c>
      <c r="Z106" s="117" t="str">
        <f t="shared" si="2"/>
        <v>17-18 Jun</v>
      </c>
      <c r="AA106" s="117" t="str">
        <f t="shared" si="3"/>
        <v>15-16 Jun</v>
      </c>
      <c r="AB106" s="117" t="str">
        <f t="shared" si="4"/>
        <v>29-30 May</v>
      </c>
      <c r="AC106" s="117" t="str">
        <f t="shared" si="5"/>
        <v>07-08 Jun</v>
      </c>
      <c r="AD106" s="117" t="str">
        <f t="shared" si="6"/>
        <v>12-13 May</v>
      </c>
      <c r="AE106" s="118" t="str">
        <f t="shared" si="7"/>
        <v>13-14 May</v>
      </c>
      <c r="AF106" s="119" t="str">
        <f t="shared" si="8"/>
        <v>15-16 Jun</v>
      </c>
      <c r="AG106" s="120" t="str">
        <f t="shared" si="9"/>
        <v>20-21 May</v>
      </c>
      <c r="AH106" s="121">
        <f>IFERROR($M106+VLOOKUP($L106,'Voyage days'!$F$38:$H$89,3,FALSE),"")</f>
        <v>46162</v>
      </c>
      <c r="AI106" s="121">
        <f>IFERROR(N106+VLOOKUP($L106,'Voyage days'!$F$38:$H$89,3,FALSE),"")</f>
        <v>46163</v>
      </c>
      <c r="AJ106" s="120" t="str">
        <f t="shared" si="10"/>
        <v>17-18 Jun</v>
      </c>
      <c r="AK106" s="121">
        <f>IFERROR($M106+VLOOKUP($L106,'Voyage days'!$F$94:$H$193,3,FALSE),"")</f>
        <v>46190</v>
      </c>
      <c r="AL106" s="121">
        <f>IFERROR($N106+VLOOKUP($L106,'Voyage days'!$F$94:$H$193,3,FALSE),"")</f>
        <v>46191</v>
      </c>
      <c r="AM106" s="120" t="str">
        <f t="shared" si="11"/>
        <v>15-16 Jun</v>
      </c>
      <c r="AN106" s="121">
        <f>IFERROR($M106+VLOOKUP($L106,'Voyage days'!$F$203:$H$256,3,FALSE),"")</f>
        <v>46188</v>
      </c>
      <c r="AO106" s="121">
        <f>IFERROR($N106+VLOOKUP($L106,'Voyage days'!$F$203:$H$256,3,FALSE),"")</f>
        <v>46189</v>
      </c>
      <c r="AP106" s="120" t="str">
        <f t="shared" si="12"/>
        <v>29-30 May</v>
      </c>
      <c r="AQ106" s="121">
        <f>IFERROR($M106+VLOOKUP($L106,'Voyage days'!$F$294:$H$377,3,FALSE),"")</f>
        <v>46171</v>
      </c>
      <c r="AR106" s="121">
        <f>IFERROR($N106+VLOOKUP($L106,'Voyage days'!$F$294:$H$377,3,FALSE),"")</f>
        <v>46172</v>
      </c>
      <c r="AS106" s="120" t="str">
        <f t="shared" si="13"/>
        <v>07-08 Jun</v>
      </c>
      <c r="AT106" s="121">
        <f>IFERROR($M106+VLOOKUP($L106,'Voyage days'!$F$382:$H$446,3,FALSE),"")</f>
        <v>46180</v>
      </c>
      <c r="AU106" s="121">
        <f>IFERROR($N106+VLOOKUP($L106,'Voyage days'!$F$382:$H$446,3,FALSE),"")</f>
        <v>46181</v>
      </c>
      <c r="AV106" s="120" t="str">
        <f t="shared" si="14"/>
        <v>18-19 May</v>
      </c>
      <c r="AW106" s="121">
        <f>IFERROR($M106+VLOOKUP($L106,'Voyage days'!$F$483:$H$538,3,FALSE),"")</f>
        <v>46160</v>
      </c>
      <c r="AX106" s="121">
        <f>IFERROR($N106+VLOOKUP($L106,'Voyage days'!$F$483:$H$538,3,FALSE),"")</f>
        <v>46161</v>
      </c>
      <c r="AY106" s="120" t="str">
        <f t="shared" si="15"/>
        <v>13-14 May</v>
      </c>
      <c r="AZ106" s="121">
        <f>IFERROR($M106+VLOOKUP($L106,'Voyage days'!$F$540:$H$613,3,FALSE),"")</f>
        <v>46155</v>
      </c>
      <c r="BA106" s="121">
        <f>IFERROR($N106+VLOOKUP($L106,'Voyage days'!$F$540:$H$613,3,FALSE),"")</f>
        <v>46156</v>
      </c>
      <c r="BB106" s="120" t="str">
        <f t="shared" si="16"/>
        <v>12-13 May</v>
      </c>
      <c r="BC106" s="121">
        <f>IFERROR($M106+VLOOKUP($L106,'Voyage days'!$F$448:$H$479,3,FALSE),"")</f>
        <v>46154</v>
      </c>
      <c r="BD106" s="121">
        <f>IFERROR($N106+VLOOKUP($L106,'Voyage days'!$F$448:$H$479,3,FALSE),"")</f>
        <v>46155</v>
      </c>
      <c r="BE106" s="120" t="str">
        <f t="shared" si="17"/>
        <v/>
      </c>
      <c r="BF106" s="122" t="str">
        <f>IFERROR($M106+VLOOKUP($L106,'Voyage days'!$F$620:$H$646,3,FALSE),"")</f>
        <v/>
      </c>
      <c r="BG106" s="122" t="str">
        <f>IFERROR($N106+VLOOKUP($L106,'Voyage days'!$F$620:$H$646,3,FALSE),"")</f>
        <v/>
      </c>
      <c r="BH106" s="120" t="str">
        <f t="shared" si="18"/>
        <v>17-16 Jun</v>
      </c>
      <c r="BI106" s="123">
        <f>IFERROR($M106+VLOOKUP($L106,'Voyage days'!$F$702:$H$727,3,FALSE),"")</f>
        <v>46159</v>
      </c>
      <c r="BJ106" s="120" t="str">
        <f t="shared" si="19"/>
        <v>15-16 Jun</v>
      </c>
      <c r="BK106" s="122">
        <f>IFERROR($M106+VLOOKUP($L106,'Voyage days'!$F$807:$H$878,3,FALSE),"")</f>
        <v>46188</v>
      </c>
      <c r="BL106" s="122">
        <f>IFERROR($N106+VLOOKUP($L106,'Voyage days'!$F$807:$H$878,3,FALSE),"")</f>
        <v>46189</v>
      </c>
      <c r="BM106" s="122">
        <f>IFERROR($N106+VLOOKUP($L106,'Voyage days'!$F$807:$K$878,6,FALSE),"")</f>
        <v>46165</v>
      </c>
      <c r="BN106" s="121" t="str">
        <f>if(L106="loads AG", IFERROR($M106+VLOOKUP($L106,'Voyage days'!$M$38:$O$38,3,FALSE),""),"")</f>
        <v/>
      </c>
      <c r="BO106" s="121" t="str">
        <f>if(L106="loads USG", IFERROR($M106+VLOOKUP($L106,'Voyage days'!$L$203:$N$203,3,FALSE),""),"")</f>
        <v/>
      </c>
    </row>
    <row r="107" ht="15.75" customHeight="1">
      <c r="A107" s="100" t="s">
        <v>925</v>
      </c>
      <c r="B107" s="101">
        <v>42741.0</v>
      </c>
      <c r="C107" s="203">
        <v>84180.0</v>
      </c>
      <c r="D107" s="112" t="s">
        <v>603</v>
      </c>
      <c r="E107" s="103"/>
      <c r="F107" s="104"/>
      <c r="G107" s="104"/>
      <c r="H107" s="104" t="s">
        <v>666</v>
      </c>
      <c r="I107" s="401" t="s">
        <v>919</v>
      </c>
      <c r="J107" s="106" t="str">
        <f t="shared" si="22"/>
        <v/>
      </c>
      <c r="K107" s="205"/>
      <c r="L107" s="108" t="s">
        <v>680</v>
      </c>
      <c r="M107" s="109">
        <v>46138.0</v>
      </c>
      <c r="N107" s="109">
        <v>46139.0</v>
      </c>
      <c r="O107" s="191"/>
      <c r="P107" s="197" t="s">
        <v>926</v>
      </c>
      <c r="Q107" s="108"/>
      <c r="R107" s="153" t="s">
        <v>924</v>
      </c>
      <c r="S107" s="256" t="s">
        <v>659</v>
      </c>
      <c r="T107" s="293">
        <v>46125.0</v>
      </c>
      <c r="U107" s="114" t="str">
        <f>IF(V107="","No AIS",VLOOKUP(V107,'Voyage days'!$A$3:$B$1480,2,FALSE))</f>
        <v>USG</v>
      </c>
      <c r="V107" s="115" t="str">
        <f>IF(VLOOKUP(A107,'1) Kpler'!$E$2:$P$1000,8, FALSE)="","",VLOOKUP(A107,'1) Kpler'!$E$2:$P$1000,8, FALSE))</f>
        <v>Energy Transfer Nederland</v>
      </c>
      <c r="W107" s="116">
        <f>IF(VLOOKUP(A107,'1) Kpler'!$E$2:$P$1000,9,FALSE)="","",VLOOKUP(A107,'1) Kpler'!$E$2:$P$1000,9,FALSE))</f>
        <v>46138.375</v>
      </c>
      <c r="X107" s="115" t="str">
        <f>VLOOKUP(A107,'1) Kpler'!$E$2:$I$1000,4,FALSE)</f>
        <v>ballast</v>
      </c>
      <c r="Y107" s="160" t="str">
        <f t="shared" si="1"/>
        <v/>
      </c>
      <c r="Z107" s="160" t="str">
        <f t="shared" si="2"/>
        <v>26-27 Apr</v>
      </c>
      <c r="AA107" s="160" t="str">
        <f t="shared" si="3"/>
        <v>26-27 Apr</v>
      </c>
      <c r="AB107" s="160" t="str">
        <f t="shared" si="4"/>
        <v/>
      </c>
      <c r="AC107" s="160" t="str">
        <f t="shared" si="5"/>
        <v>16-17 May</v>
      </c>
      <c r="AD107" s="160" t="str">
        <f t="shared" si="6"/>
        <v/>
      </c>
      <c r="AE107" s="161" t="str">
        <f t="shared" si="7"/>
        <v/>
      </c>
      <c r="AF107" s="162" t="str">
        <f t="shared" si="8"/>
        <v/>
      </c>
      <c r="AG107" s="120" t="str">
        <f t="shared" si="9"/>
        <v/>
      </c>
      <c r="AH107" s="121" t="str">
        <f>IFERROR($M107+VLOOKUP($L107,'Voyage days'!$F$38:$H$89,3,FALSE),"")</f>
        <v/>
      </c>
      <c r="AI107" s="121" t="str">
        <f>IFERROR(N107+VLOOKUP($L107,'Voyage days'!$F$38:$H$89,3,FALSE),"")</f>
        <v/>
      </c>
      <c r="AJ107" s="120" t="str">
        <f t="shared" si="10"/>
        <v>26-27 Apr</v>
      </c>
      <c r="AK107" s="121">
        <f>IFERROR($M107+VLOOKUP($L107,'Voyage days'!$F$94:$H$193,3,FALSE),"")</f>
        <v>46138</v>
      </c>
      <c r="AL107" s="121">
        <f>IFERROR($N107+VLOOKUP($L107,'Voyage days'!$F$94:$H$193,3,FALSE),"")</f>
        <v>46139</v>
      </c>
      <c r="AM107" s="120" t="str">
        <f t="shared" si="11"/>
        <v>26-27 Apr</v>
      </c>
      <c r="AN107" s="121">
        <f>IFERROR($M107+VLOOKUP($L107,'Voyage days'!$F$203:$H$256,3,FALSE),"")</f>
        <v>46138</v>
      </c>
      <c r="AO107" s="121">
        <f>IFERROR($N107+VLOOKUP($L107,'Voyage days'!$F$203:$H$256,3,FALSE),"")</f>
        <v>46139</v>
      </c>
      <c r="AP107" s="120" t="str">
        <f t="shared" si="12"/>
        <v/>
      </c>
      <c r="AQ107" s="121" t="str">
        <f>IFERROR($M107+VLOOKUP($L107,'Voyage days'!$F$294:$H$377,3,FALSE),"")</f>
        <v/>
      </c>
      <c r="AR107" s="121" t="str">
        <f>IFERROR($N107+VLOOKUP($L107,'Voyage days'!$F$294:$H$377,3,FALSE),"")</f>
        <v/>
      </c>
      <c r="AS107" s="120" t="str">
        <f t="shared" si="13"/>
        <v>16-17 May</v>
      </c>
      <c r="AT107" s="121">
        <f>IFERROR($M107+VLOOKUP($L107,'Voyage days'!$F$382:$H$446,3,FALSE),"")</f>
        <v>46158</v>
      </c>
      <c r="AU107" s="121">
        <f>IFERROR($N107+VLOOKUP($L107,'Voyage days'!$F$382:$H$446,3,FALSE),"")</f>
        <v>46159</v>
      </c>
      <c r="AV107" s="120" t="str">
        <f t="shared" si="14"/>
        <v/>
      </c>
      <c r="AW107" s="121" t="str">
        <f>IFERROR($M107+VLOOKUP($L107,'Voyage days'!$F$483:$H$538,3,FALSE),"")</f>
        <v/>
      </c>
      <c r="AX107" s="121" t="str">
        <f>IFERROR($N107+VLOOKUP($L107,'Voyage days'!$F$483:$H$538,3,FALSE),"")</f>
        <v/>
      </c>
      <c r="AY107" s="120" t="str">
        <f t="shared" si="15"/>
        <v/>
      </c>
      <c r="AZ107" s="121" t="str">
        <f>IFERROR($M107+VLOOKUP($L107,'Voyage days'!$F$540:$H$613,3,FALSE),"")</f>
        <v/>
      </c>
      <c r="BA107" s="121" t="str">
        <f>IFERROR($N107+VLOOKUP($L107,'Voyage days'!$F$540:$H$613,3,FALSE),"")</f>
        <v/>
      </c>
      <c r="BB107" s="120" t="str">
        <f t="shared" si="16"/>
        <v/>
      </c>
      <c r="BC107" s="121" t="str">
        <f>IFERROR($M107+VLOOKUP($L107,'Voyage days'!$F$448:$H$479,3,FALSE),"")</f>
        <v/>
      </c>
      <c r="BD107" s="121" t="str">
        <f>IFERROR($N107+VLOOKUP($L107,'Voyage days'!$F$448:$H$479,3,FALSE),"")</f>
        <v/>
      </c>
      <c r="BE107" s="120" t="str">
        <f t="shared" si="17"/>
        <v/>
      </c>
      <c r="BF107" s="122" t="str">
        <f>IFERROR($M107+VLOOKUP($L107,'Voyage days'!$F$620:$H$646,3,FALSE),"")</f>
        <v/>
      </c>
      <c r="BG107" s="122" t="str">
        <f>IFERROR($N107+VLOOKUP($L107,'Voyage days'!$F$620:$H$646,3,FALSE),"")</f>
        <v/>
      </c>
      <c r="BH107" s="120" t="str">
        <f t="shared" si="18"/>
        <v/>
      </c>
      <c r="BI107" s="123" t="str">
        <f>IFERROR($M107+VLOOKUP($L107,'Voyage days'!$F$702:$H$727,3,FALSE),"")</f>
        <v/>
      </c>
      <c r="BJ107" s="120" t="str">
        <f t="shared" si="19"/>
        <v/>
      </c>
      <c r="BK107" s="122" t="str">
        <f>IFERROR($M107+VLOOKUP($L107,'Voyage days'!$F$807:$H$878,3,FALSE),"")</f>
        <v/>
      </c>
      <c r="BL107" s="122" t="str">
        <f>IFERROR($N107+VLOOKUP($L107,'Voyage days'!$F$807:$H$878,3,FALSE),"")</f>
        <v/>
      </c>
      <c r="BM107" s="122" t="str">
        <f>IFERROR($N107+VLOOKUP($L107,'Voyage days'!$F$807:$K$878,6,FALSE),"")</f>
        <v/>
      </c>
      <c r="BN107" s="121" t="str">
        <f>if(L107="loads AG", IFERROR($M107+VLOOKUP($L107,'Voyage days'!$M$38:$O$38,3,FALSE),""),"")</f>
        <v/>
      </c>
      <c r="BO107" s="121">
        <f>if(L107="loads USG", IFERROR($M107+VLOOKUP($L107,'Voyage days'!$L$203:$N$203,3,FALSE),""),"")</f>
        <v>46170</v>
      </c>
    </row>
    <row r="108" ht="15.75" customHeight="1">
      <c r="A108" s="448" t="s">
        <v>187</v>
      </c>
      <c r="B108" s="202">
        <v>2015.0</v>
      </c>
      <c r="C108" s="102">
        <v>84000.0</v>
      </c>
      <c r="D108" s="112" t="s">
        <v>603</v>
      </c>
      <c r="E108" s="103"/>
      <c r="F108" s="104"/>
      <c r="G108" s="104"/>
      <c r="H108" s="104" t="s">
        <v>689</v>
      </c>
      <c r="I108" s="295" t="s">
        <v>927</v>
      </c>
      <c r="J108" s="106" t="str">
        <f t="shared" si="22"/>
        <v>Update</v>
      </c>
      <c r="K108" s="205"/>
      <c r="L108" s="108" t="s">
        <v>677</v>
      </c>
      <c r="M108" s="109">
        <v>46125.0</v>
      </c>
      <c r="N108" s="109">
        <v>46126.0</v>
      </c>
      <c r="O108" s="191"/>
      <c r="P108" s="153" t="s">
        <v>692</v>
      </c>
      <c r="Q108" s="192"/>
      <c r="R108" s="192" t="s">
        <v>928</v>
      </c>
      <c r="S108" s="256" t="s">
        <v>659</v>
      </c>
      <c r="T108" s="293">
        <v>46125.0</v>
      </c>
      <c r="U108" s="114" t="str">
        <f>IF(V108="","No AIS",VLOOKUP(V108,'Voyage days'!$A$3:$B$1480,2,FALSE))</f>
        <v>East China + 4</v>
      </c>
      <c r="V108" s="115" t="str">
        <f>IF(VLOOKUP(A108,'1) Kpler'!$E$2:$P$1000,8, FALSE)="","",VLOOKUP(A108,'1) Kpler'!$E$2:$P$1000,8, FALSE))</f>
        <v>China</v>
      </c>
      <c r="W108" s="116">
        <f>IF(VLOOKUP(A108,'1) Kpler'!$E$2:$P$1000,9,FALSE)="","",VLOOKUP(A108,'1) Kpler'!$E$2:$P$1000,9,FALSE))</f>
        <v>46133.625</v>
      </c>
      <c r="X108" s="115" t="str">
        <f>VLOOKUP(A108,'1) Kpler'!$E$2:$I$1000,4,FALSE)</f>
        <v>ballast</v>
      </c>
      <c r="Y108" s="296" t="str">
        <f t="shared" si="1"/>
        <v/>
      </c>
      <c r="Z108" s="296" t="str">
        <f t="shared" si="2"/>
        <v>24-25 Apr</v>
      </c>
      <c r="AA108" s="296" t="str">
        <f t="shared" si="3"/>
        <v/>
      </c>
      <c r="AB108" s="296" t="str">
        <f t="shared" si="4"/>
        <v/>
      </c>
      <c r="AC108" s="296" t="str">
        <f t="shared" si="5"/>
        <v/>
      </c>
      <c r="AD108" s="296" t="str">
        <f t="shared" si="6"/>
        <v/>
      </c>
      <c r="AE108" s="297" t="str">
        <f t="shared" si="7"/>
        <v/>
      </c>
      <c r="AF108" s="119" t="str">
        <f t="shared" si="8"/>
        <v/>
      </c>
      <c r="AG108" s="120" t="str">
        <f t="shared" si="9"/>
        <v/>
      </c>
      <c r="AH108" s="121" t="str">
        <f>IFERROR($M108+VLOOKUP($L108,'Voyage days'!$F$38:$H$89,3,FALSE),"")</f>
        <v/>
      </c>
      <c r="AI108" s="121" t="str">
        <f>IFERROR(N108+VLOOKUP($L108,'Voyage days'!$F$38:$H$89,3,FALSE),"")</f>
        <v/>
      </c>
      <c r="AJ108" s="120" t="str">
        <f t="shared" si="10"/>
        <v>24-25 Apr</v>
      </c>
      <c r="AK108" s="121">
        <f>IFERROR($M108+VLOOKUP($L108,'Voyage days'!$F$94:$H$193,3,FALSE),"")</f>
        <v>46136</v>
      </c>
      <c r="AL108" s="121">
        <f>IFERROR($N108+VLOOKUP($L108,'Voyage days'!$F$94:$H$193,3,FALSE),"")</f>
        <v>46137</v>
      </c>
      <c r="AM108" s="120" t="str">
        <f t="shared" si="11"/>
        <v/>
      </c>
      <c r="AN108" s="121" t="str">
        <f>IFERROR($M108+VLOOKUP($L108,'Voyage days'!$F$203:$H$256,3,FALSE),"")</f>
        <v/>
      </c>
      <c r="AO108" s="121" t="str">
        <f>IFERROR($N108+VLOOKUP($L108,'Voyage days'!$F$203:$H$256,3,FALSE),"")</f>
        <v/>
      </c>
      <c r="AP108" s="120" t="str">
        <f t="shared" si="12"/>
        <v/>
      </c>
      <c r="AQ108" s="121" t="str">
        <f>IFERROR($M108+VLOOKUP($L108,'Voyage days'!$F$294:$H$377,3,FALSE),"")</f>
        <v/>
      </c>
      <c r="AR108" s="121" t="str">
        <f>IFERROR($N108+VLOOKUP($L108,'Voyage days'!$F$294:$H$377,3,FALSE),"")</f>
        <v/>
      </c>
      <c r="AS108" s="120" t="str">
        <f t="shared" si="13"/>
        <v/>
      </c>
      <c r="AT108" s="121" t="str">
        <f>IFERROR($M108+VLOOKUP($L108,'Voyage days'!$F$382:$H$446,3,FALSE),"")</f>
        <v/>
      </c>
      <c r="AU108" s="121" t="str">
        <f>IFERROR($N108+VLOOKUP($L108,'Voyage days'!$F$382:$H$446,3,FALSE),"")</f>
        <v/>
      </c>
      <c r="AV108" s="120" t="str">
        <f t="shared" si="14"/>
        <v/>
      </c>
      <c r="AW108" s="121" t="str">
        <f>IFERROR($M108+VLOOKUP($L108,'Voyage days'!$F$483:$H$538,3,FALSE),"")</f>
        <v/>
      </c>
      <c r="AX108" s="121" t="str">
        <f>IFERROR($N108+VLOOKUP($L108,'Voyage days'!$F$483:$H$538,3,FALSE),"")</f>
        <v/>
      </c>
      <c r="AY108" s="120" t="str">
        <f t="shared" si="15"/>
        <v/>
      </c>
      <c r="AZ108" s="121" t="str">
        <f>IFERROR($M108+VLOOKUP($L108,'Voyage days'!$F$540:$H$613,3,FALSE),"")</f>
        <v/>
      </c>
      <c r="BA108" s="121" t="str">
        <f>IFERROR($N108+VLOOKUP($L108,'Voyage days'!$F$540:$H$613,3,FALSE),"")</f>
        <v/>
      </c>
      <c r="BB108" s="120" t="str">
        <f t="shared" si="16"/>
        <v/>
      </c>
      <c r="BC108" s="121" t="str">
        <f>IFERROR($M108+VLOOKUP($L108,'Voyage days'!$F$448:$H$479,3,FALSE),"")</f>
        <v/>
      </c>
      <c r="BD108" s="121" t="str">
        <f>IFERROR($N108+VLOOKUP($L108,'Voyage days'!$F$448:$H$479,3,FALSE),"")</f>
        <v/>
      </c>
      <c r="BE108" s="120" t="str">
        <f t="shared" si="17"/>
        <v/>
      </c>
      <c r="BF108" s="122" t="str">
        <f>IFERROR($M108+VLOOKUP($L108,'Voyage days'!$F$620:$H$646,3,FALSE),"")</f>
        <v/>
      </c>
      <c r="BG108" s="122" t="str">
        <f>IFERROR($N108+VLOOKUP($L108,'Voyage days'!$F$620:$H$646,3,FALSE),"")</f>
        <v/>
      </c>
      <c r="BH108" s="120" t="str">
        <f t="shared" si="18"/>
        <v/>
      </c>
      <c r="BI108" s="123" t="str">
        <f>IFERROR($M108+VLOOKUP($L108,'Voyage days'!$F$702:$H$727,3,FALSE),"")</f>
        <v/>
      </c>
      <c r="BJ108" s="120" t="str">
        <f t="shared" si="19"/>
        <v/>
      </c>
      <c r="BK108" s="122" t="str">
        <f>IFERROR($M108+VLOOKUP($L108,'Voyage days'!$F$807:$H$878,3,FALSE),"")</f>
        <v/>
      </c>
      <c r="BL108" s="122" t="str">
        <f>IFERROR($N108+VLOOKUP($L108,'Voyage days'!$F$807:$H$878,3,FALSE),"")</f>
        <v/>
      </c>
      <c r="BM108" s="122" t="str">
        <f>IFERROR($N108+VLOOKUP($L108,'Voyage days'!$F$807:$K$878,6,FALSE),"")</f>
        <v/>
      </c>
      <c r="BN108" s="121" t="str">
        <f>if(L108="loads AG", IFERROR($M108+VLOOKUP($L108,'Voyage days'!$M$38:$O$38,3,FALSE),""),"")</f>
        <v/>
      </c>
      <c r="BO108" s="121" t="str">
        <f>if(L108="loads USG", IFERROR($M108+VLOOKUP($L108,'Voyage days'!$L$203:$N$203,3,FALSE),""),"")</f>
        <v/>
      </c>
    </row>
    <row r="109" ht="15.75" customHeight="1">
      <c r="A109" s="449" t="s">
        <v>281</v>
      </c>
      <c r="B109" s="101">
        <v>39479.0</v>
      </c>
      <c r="C109" s="102">
        <v>82000.0</v>
      </c>
      <c r="D109" s="103"/>
      <c r="E109" s="103"/>
      <c r="F109" s="104"/>
      <c r="G109" s="104"/>
      <c r="H109" s="104"/>
      <c r="I109" s="315" t="s">
        <v>919</v>
      </c>
      <c r="J109" s="106" t="str">
        <f t="shared" si="22"/>
        <v/>
      </c>
      <c r="K109" s="107"/>
      <c r="L109" s="108" t="s">
        <v>680</v>
      </c>
      <c r="M109" s="109">
        <v>46157.0</v>
      </c>
      <c r="N109" s="109">
        <v>46158.0</v>
      </c>
      <c r="O109" s="255"/>
      <c r="P109" s="153" t="s">
        <v>749</v>
      </c>
      <c r="Q109" s="450"/>
      <c r="R109" s="108" t="s">
        <v>929</v>
      </c>
      <c r="S109" s="256" t="s">
        <v>659</v>
      </c>
      <c r="T109" s="113">
        <v>46124.0</v>
      </c>
      <c r="U109" s="114" t="str">
        <f>IF(V109="","No AIS",VLOOKUP(V109,'Voyage days'!$A$3:$B$1480,2,FALSE))</f>
        <v>Cape (as proxy)</v>
      </c>
      <c r="V109" s="115" t="str">
        <f>IF(VLOOKUP(A109,'1) Kpler'!$E$2:$P$1000,8, FALSE)="","",VLOOKUP(A109,'1) Kpler'!$E$2:$P$1000,8, FALSE))</f>
        <v>Port Elizabeth</v>
      </c>
      <c r="W109" s="116">
        <f>IF(VLOOKUP(A109,'1) Kpler'!$E$2:$P$1000,9,FALSE)="","",VLOOKUP(A109,'1) Kpler'!$E$2:$P$1000,9,FALSE))</f>
        <v>46132.70417</v>
      </c>
      <c r="X109" s="115" t="str">
        <f>VLOOKUP(A109,'1) Kpler'!$E$2:$I$1000,4,FALSE)</f>
        <v>ballast</v>
      </c>
      <c r="Y109" s="160" t="str">
        <f t="shared" si="1"/>
        <v/>
      </c>
      <c r="Z109" s="451" t="str">
        <f t="shared" si="2"/>
        <v>15-16 May</v>
      </c>
      <c r="AA109" s="160" t="str">
        <f t="shared" si="3"/>
        <v>15-16 May</v>
      </c>
      <c r="AB109" s="160" t="str">
        <f t="shared" si="4"/>
        <v/>
      </c>
      <c r="AC109" s="160" t="str">
        <f t="shared" si="5"/>
        <v>04-05 Jun</v>
      </c>
      <c r="AD109" s="160" t="str">
        <f t="shared" si="6"/>
        <v/>
      </c>
      <c r="AE109" s="161" t="str">
        <f t="shared" si="7"/>
        <v/>
      </c>
      <c r="AF109" s="162" t="str">
        <f t="shared" si="8"/>
        <v/>
      </c>
      <c r="AG109" s="120" t="str">
        <f t="shared" si="9"/>
        <v/>
      </c>
      <c r="AH109" s="121" t="str">
        <f>IFERROR($M109+VLOOKUP($L109,'Voyage days'!$F$38:$H$89,3,FALSE),"")</f>
        <v/>
      </c>
      <c r="AI109" s="121" t="str">
        <f>IFERROR(N109+VLOOKUP($L109,'Voyage days'!$F$38:$H$89,3,FALSE),"")</f>
        <v/>
      </c>
      <c r="AJ109" s="120" t="str">
        <f t="shared" si="10"/>
        <v>15-16 May</v>
      </c>
      <c r="AK109" s="121">
        <f>IFERROR($M109+VLOOKUP($L109,'Voyage days'!$F$94:$H$193,3,FALSE),"")</f>
        <v>46157</v>
      </c>
      <c r="AL109" s="121">
        <f>IFERROR($N109+VLOOKUP($L109,'Voyage days'!$F$94:$H$193,3,FALSE),"")</f>
        <v>46158</v>
      </c>
      <c r="AM109" s="120" t="str">
        <f t="shared" si="11"/>
        <v>15-16 May</v>
      </c>
      <c r="AN109" s="121">
        <f>IFERROR($M109+VLOOKUP($L109,'Voyage days'!$F$203:$H$256,3,FALSE),"")</f>
        <v>46157</v>
      </c>
      <c r="AO109" s="121">
        <f>IFERROR($N109+VLOOKUP($L109,'Voyage days'!$F$203:$H$256,3,FALSE),"")</f>
        <v>46158</v>
      </c>
      <c r="AP109" s="120" t="str">
        <f t="shared" si="12"/>
        <v/>
      </c>
      <c r="AQ109" s="121" t="str">
        <f>IFERROR($M109+VLOOKUP($L109,'Voyage days'!$F$294:$H$377,3,FALSE),"")</f>
        <v/>
      </c>
      <c r="AR109" s="121" t="str">
        <f>IFERROR($N109+VLOOKUP($L109,'Voyage days'!$F$294:$H$377,3,FALSE),"")</f>
        <v/>
      </c>
      <c r="AS109" s="120" t="str">
        <f t="shared" si="13"/>
        <v>04-05 Jun</v>
      </c>
      <c r="AT109" s="121">
        <f>IFERROR($M109+VLOOKUP($L109,'Voyage days'!$F$382:$H$446,3,FALSE),"")</f>
        <v>46177</v>
      </c>
      <c r="AU109" s="121">
        <f>IFERROR($N109+VLOOKUP($L109,'Voyage days'!$F$382:$H$446,3,FALSE),"")</f>
        <v>46178</v>
      </c>
      <c r="AV109" s="120" t="str">
        <f t="shared" si="14"/>
        <v/>
      </c>
      <c r="AW109" s="121" t="str">
        <f>IFERROR($M109+VLOOKUP($L109,'Voyage days'!$F$483:$H$538,3,FALSE),"")</f>
        <v/>
      </c>
      <c r="AX109" s="121" t="str">
        <f>IFERROR($N109+VLOOKUP($L109,'Voyage days'!$F$483:$H$538,3,FALSE),"")</f>
        <v/>
      </c>
      <c r="AY109" s="120" t="str">
        <f t="shared" si="15"/>
        <v/>
      </c>
      <c r="AZ109" s="121" t="str">
        <f>IFERROR($M109+VLOOKUP($L109,'Voyage days'!$F$540:$H$613,3,FALSE),"")</f>
        <v/>
      </c>
      <c r="BA109" s="121" t="str">
        <f>IFERROR($N109+VLOOKUP($L109,'Voyage days'!$F$540:$H$613,3,FALSE),"")</f>
        <v/>
      </c>
      <c r="BB109" s="120" t="str">
        <f t="shared" si="16"/>
        <v/>
      </c>
      <c r="BC109" s="121" t="str">
        <f>IFERROR($M109+VLOOKUP($L109,'Voyage days'!$F$448:$H$479,3,FALSE),"")</f>
        <v/>
      </c>
      <c r="BD109" s="121" t="str">
        <f>IFERROR($N109+VLOOKUP($L109,'Voyage days'!$F$448:$H$479,3,FALSE),"")</f>
        <v/>
      </c>
      <c r="BE109" s="120" t="str">
        <f t="shared" si="17"/>
        <v/>
      </c>
      <c r="BF109" s="122" t="str">
        <f>IFERROR($M109+VLOOKUP($L109,'Voyage days'!$F$620:$H$646,3,FALSE),"")</f>
        <v/>
      </c>
      <c r="BG109" s="122" t="str">
        <f>IFERROR($N109+VLOOKUP($L109,'Voyage days'!$F$620:$H$646,3,FALSE),"")</f>
        <v/>
      </c>
      <c r="BH109" s="120" t="str">
        <f t="shared" si="18"/>
        <v/>
      </c>
      <c r="BI109" s="123" t="str">
        <f>IFERROR($M109+VLOOKUP($L109,'Voyage days'!$F$702:$H$727,3,FALSE),"")</f>
        <v/>
      </c>
      <c r="BJ109" s="120" t="str">
        <f t="shared" si="19"/>
        <v/>
      </c>
      <c r="BK109" s="122" t="str">
        <f>IFERROR($M109+VLOOKUP($L109,'Voyage days'!$F$807:$H$878,3,FALSE),"")</f>
        <v/>
      </c>
      <c r="BL109" s="122" t="str">
        <f>IFERROR($N109+VLOOKUP($L109,'Voyage days'!$F$807:$H$878,3,FALSE),"")</f>
        <v/>
      </c>
      <c r="BM109" s="122" t="str">
        <f>IFERROR($N109+VLOOKUP($L109,'Voyage days'!$F$807:$K$878,6,FALSE),"")</f>
        <v/>
      </c>
      <c r="BN109" s="121" t="str">
        <f>if(L109="loads AG", IFERROR($M109+VLOOKUP($L109,'Voyage days'!$M$38:$O$38,3,FALSE),""),"")</f>
        <v/>
      </c>
      <c r="BO109" s="121">
        <f>if(L109="loads USG", IFERROR($M109+VLOOKUP($L109,'Voyage days'!$L$203:$N$203,3,FALSE),""),"")</f>
        <v>46189</v>
      </c>
    </row>
    <row r="110" ht="15.75" customHeight="1">
      <c r="A110" s="452" t="s">
        <v>395</v>
      </c>
      <c r="B110" s="194">
        <v>40422.0</v>
      </c>
      <c r="C110" s="102">
        <v>80199.0</v>
      </c>
      <c r="D110" s="112" t="s">
        <v>603</v>
      </c>
      <c r="E110" s="112"/>
      <c r="F110" s="104"/>
      <c r="G110" s="104"/>
      <c r="H110" s="104"/>
      <c r="I110" s="295" t="s">
        <v>919</v>
      </c>
      <c r="J110" s="106" t="str">
        <f t="shared" si="22"/>
        <v/>
      </c>
      <c r="K110" s="107"/>
      <c r="L110" s="108" t="s">
        <v>809</v>
      </c>
      <c r="M110" s="109">
        <v>46142.0</v>
      </c>
      <c r="N110" s="109">
        <v>46143.0</v>
      </c>
      <c r="O110" s="191"/>
      <c r="P110" s="197" t="s">
        <v>930</v>
      </c>
      <c r="Q110" s="111"/>
      <c r="R110" s="108" t="s">
        <v>931</v>
      </c>
      <c r="S110" s="256" t="s">
        <v>659</v>
      </c>
      <c r="T110" s="293">
        <v>46125.0</v>
      </c>
      <c r="U110" s="114" t="str">
        <f>IF(V110="","No AIS",VLOOKUP(V110,'Voyage days'!$A$3:$B$1480,2,FALSE))</f>
        <v>Vietnam + 3</v>
      </c>
      <c r="V110" s="115" t="str">
        <f>IF(VLOOKUP(A110,'1) Kpler'!$E$2:$P$1000,8, FALSE)="","",VLOOKUP(A110,'1) Kpler'!$E$2:$P$1000,8, FALSE))</f>
        <v>PV Vung Tau</v>
      </c>
      <c r="W110" s="116">
        <f>IF(VLOOKUP(A110,'1) Kpler'!$E$2:$P$1000,9,FALSE)="","",VLOOKUP(A110,'1) Kpler'!$E$2:$P$1000,9,FALSE))</f>
        <v>46140.41667</v>
      </c>
      <c r="X110" s="115" t="str">
        <f>VLOOKUP(A110,'1) Kpler'!$E$2:$I$1000,4,FALSE)</f>
        <v>loaded</v>
      </c>
      <c r="Y110" s="117" t="str">
        <f t="shared" si="1"/>
        <v>13-14 May</v>
      </c>
      <c r="Z110" s="117" t="str">
        <f t="shared" si="2"/>
        <v>06-07 Jun</v>
      </c>
      <c r="AA110" s="117" t="str">
        <f t="shared" si="3"/>
        <v>08-09 Jun</v>
      </c>
      <c r="AB110" s="160" t="str">
        <f t="shared" si="4"/>
        <v>24-25 May</v>
      </c>
      <c r="AC110" s="160" t="str">
        <f t="shared" si="5"/>
        <v>30-31 May</v>
      </c>
      <c r="AD110" s="160" t="str">
        <f t="shared" si="6"/>
        <v>02-03 May</v>
      </c>
      <c r="AE110" s="161" t="str">
        <f t="shared" si="7"/>
        <v>06-07 May</v>
      </c>
      <c r="AF110" s="162" t="str">
        <f t="shared" si="8"/>
        <v>09-10 Jun</v>
      </c>
      <c r="AG110" s="120" t="str">
        <f t="shared" si="9"/>
        <v>13-14 May</v>
      </c>
      <c r="AH110" s="121">
        <f>IFERROR($M110+VLOOKUP($L110,'Voyage days'!$F$38:$H$89,3,FALSE),"")</f>
        <v>46155</v>
      </c>
      <c r="AI110" s="121">
        <f>IFERROR(N110+VLOOKUP($L110,'Voyage days'!$F$38:$H$89,3,FALSE),"")</f>
        <v>46156</v>
      </c>
      <c r="AJ110" s="120" t="str">
        <f t="shared" si="10"/>
        <v>06-07 Jun</v>
      </c>
      <c r="AK110" s="121">
        <f>IFERROR($M110+VLOOKUP($L110,'Voyage days'!$F$94:$H$193,3,FALSE),"")</f>
        <v>46179</v>
      </c>
      <c r="AL110" s="121">
        <f>IFERROR($N110+VLOOKUP($L110,'Voyage days'!$F$94:$H$193,3,FALSE),"")</f>
        <v>46180</v>
      </c>
      <c r="AM110" s="120" t="str">
        <f t="shared" si="11"/>
        <v>08-09 Jun</v>
      </c>
      <c r="AN110" s="121">
        <f>IFERROR($M110+VLOOKUP($L110,'Voyage days'!$F$203:$H$256,3,FALSE),"")</f>
        <v>46181</v>
      </c>
      <c r="AO110" s="121">
        <f>IFERROR($N110+VLOOKUP($L110,'Voyage days'!$F$203:$H$256,3,FALSE),"")</f>
        <v>46182</v>
      </c>
      <c r="AP110" s="120" t="str">
        <f t="shared" si="12"/>
        <v>24-25 May</v>
      </c>
      <c r="AQ110" s="121">
        <f>IFERROR($M110+VLOOKUP($L110,'Voyage days'!$F$294:$H$377,3,FALSE),"")</f>
        <v>46166</v>
      </c>
      <c r="AR110" s="121">
        <f>IFERROR($N110+VLOOKUP($L110,'Voyage days'!$F$294:$H$377,3,FALSE),"")</f>
        <v>46167</v>
      </c>
      <c r="AS110" s="120" t="str">
        <f t="shared" si="13"/>
        <v>30-31 May</v>
      </c>
      <c r="AT110" s="121">
        <f>IFERROR($M110+VLOOKUP($L110,'Voyage days'!$F$382:$H$446,3,FALSE),"")</f>
        <v>46172</v>
      </c>
      <c r="AU110" s="121">
        <f>IFERROR($N110+VLOOKUP($L110,'Voyage days'!$F$382:$H$446,3,FALSE),"")</f>
        <v>46173</v>
      </c>
      <c r="AV110" s="120" t="str">
        <f t="shared" si="14"/>
        <v>12-13 May</v>
      </c>
      <c r="AW110" s="121">
        <f>IFERROR($M110+VLOOKUP($L110,'Voyage days'!$F$483:$H$538,3,FALSE),"")</f>
        <v>46154</v>
      </c>
      <c r="AX110" s="121">
        <f>IFERROR($N110+VLOOKUP($L110,'Voyage days'!$F$483:$H$538,3,FALSE),"")</f>
        <v>46155</v>
      </c>
      <c r="AY110" s="120" t="str">
        <f t="shared" si="15"/>
        <v>06-07 May</v>
      </c>
      <c r="AZ110" s="121">
        <f>IFERROR($M110+VLOOKUP($L110,'Voyage days'!$F$540:$H$613,3,FALSE),"")</f>
        <v>46148.25</v>
      </c>
      <c r="BA110" s="121">
        <f>IFERROR($N110+VLOOKUP($L110,'Voyage days'!$F$540:$H$613,3,FALSE),"")</f>
        <v>46149.25</v>
      </c>
      <c r="BB110" s="120" t="str">
        <f t="shared" si="16"/>
        <v>02-03 May</v>
      </c>
      <c r="BC110" s="121">
        <f>IFERROR($M110+VLOOKUP($L110,'Voyage days'!$F$448:$H$479,3,FALSE),"")</f>
        <v>46144</v>
      </c>
      <c r="BD110" s="121">
        <f>IFERROR($N110+VLOOKUP($L110,'Voyage days'!$F$448:$H$479,3,FALSE),"")</f>
        <v>46145</v>
      </c>
      <c r="BE110" s="120" t="str">
        <f t="shared" si="17"/>
        <v/>
      </c>
      <c r="BF110" s="122" t="str">
        <f>IFERROR($M110+VLOOKUP($L110,'Voyage days'!$F$620:$H$646,3,FALSE),"")</f>
        <v/>
      </c>
      <c r="BG110" s="122" t="str">
        <f>IFERROR($N110+VLOOKUP($L110,'Voyage days'!$F$620:$H$646,3,FALSE),"")</f>
        <v/>
      </c>
      <c r="BH110" s="120" t="str">
        <f t="shared" si="18"/>
        <v>06-10 Jun</v>
      </c>
      <c r="BI110" s="123">
        <f>IFERROR($M110+VLOOKUP($L110,'Voyage days'!$F$702:$H$727,3,FALSE),"")</f>
        <v>46148.25</v>
      </c>
      <c r="BJ110" s="120" t="str">
        <f t="shared" si="19"/>
        <v>09-10 Jun</v>
      </c>
      <c r="BK110" s="122">
        <f>IFERROR($M110+VLOOKUP($L110,'Voyage days'!$F$807:$H$878,3,FALSE),"")</f>
        <v>46182</v>
      </c>
      <c r="BL110" s="122">
        <f>IFERROR($N110+VLOOKUP($L110,'Voyage days'!$F$807:$H$878,3,FALSE),"")</f>
        <v>46183</v>
      </c>
      <c r="BM110" s="122">
        <f>IFERROR($N110+VLOOKUP($L110,'Voyage days'!$F$807:$K$878,6,FALSE),"")</f>
        <v>46157</v>
      </c>
      <c r="BN110" s="121" t="str">
        <f>if(L110="loads AG", IFERROR($M110+VLOOKUP($L110,'Voyage days'!$M$38:$O$38,3,FALSE),""),"")</f>
        <v/>
      </c>
      <c r="BO110" s="121" t="str">
        <f>if(L110="loads USG", IFERROR($M110+VLOOKUP($L110,'Voyage days'!$L$203:$N$203,3,FALSE),""),"")</f>
        <v/>
      </c>
    </row>
    <row r="111" ht="15.75" customHeight="1">
      <c r="A111" s="100" t="s">
        <v>425</v>
      </c>
      <c r="B111" s="101">
        <v>39783.0</v>
      </c>
      <c r="C111" s="190">
        <v>78000.0</v>
      </c>
      <c r="D111" s="103"/>
      <c r="E111" s="103"/>
      <c r="F111" s="104"/>
      <c r="G111" s="104"/>
      <c r="H111" s="104"/>
      <c r="I111" s="108" t="s">
        <v>919</v>
      </c>
      <c r="J111" s="106" t="str">
        <f t="shared" si="22"/>
        <v>Update</v>
      </c>
      <c r="K111" s="107"/>
      <c r="L111" s="108" t="s">
        <v>698</v>
      </c>
      <c r="M111" s="109">
        <v>46125.0</v>
      </c>
      <c r="N111" s="109">
        <v>46126.0</v>
      </c>
      <c r="O111" s="453" t="s">
        <v>709</v>
      </c>
      <c r="P111" s="108" t="s">
        <v>932</v>
      </c>
      <c r="Q111" s="454"/>
      <c r="R111" s="108" t="s">
        <v>933</v>
      </c>
      <c r="S111" s="256" t="s">
        <v>934</v>
      </c>
      <c r="T111" s="293">
        <v>46125.0</v>
      </c>
      <c r="U111" s="114" t="str">
        <f>IF(V111="","No AIS",VLOOKUP(V111,'Voyage days'!$A$3:$B$1480,2,FALSE))</f>
        <v>USG</v>
      </c>
      <c r="V111" s="115" t="str">
        <f>IF(VLOOKUP(A111,'1) Kpler'!$E$2:$P$1000,8, FALSE)="","",VLOOKUP(A111,'1) Kpler'!$E$2:$P$1000,8, FALSE))</f>
        <v>Houston</v>
      </c>
      <c r="W111" s="116">
        <f>IF(VLOOKUP(A111,'1) Kpler'!$E$2:$P$1000,9,FALSE)="","",VLOOKUP(A111,'1) Kpler'!$E$2:$P$1000,9,FALSE))</f>
        <v>46163.83333</v>
      </c>
      <c r="X111" s="115" t="str">
        <f>VLOOKUP(A111,'1) Kpler'!$E$2:$I$1000,4,FALSE)</f>
        <v>ballast</v>
      </c>
      <c r="Y111" s="160" t="str">
        <f t="shared" si="1"/>
        <v>23-24 Apr</v>
      </c>
      <c r="Z111" s="160" t="str">
        <f t="shared" si="2"/>
        <v>16-17 May</v>
      </c>
      <c r="AA111" s="160" t="str">
        <f t="shared" si="3"/>
        <v>17-18 May</v>
      </c>
      <c r="AB111" s="160" t="str">
        <f t="shared" si="4"/>
        <v>03-04 May</v>
      </c>
      <c r="AC111" s="160" t="str">
        <f t="shared" si="5"/>
        <v>11-12 May</v>
      </c>
      <c r="AD111" s="160" t="str">
        <f t="shared" si="6"/>
        <v>13-14 Apr</v>
      </c>
      <c r="AE111" s="161" t="str">
        <f t="shared" si="7"/>
        <v>18-19 Apr</v>
      </c>
      <c r="AF111" s="162" t="str">
        <f t="shared" si="8"/>
        <v>20-21 May</v>
      </c>
      <c r="AG111" s="120" t="str">
        <f t="shared" si="9"/>
        <v>23-24 Apr</v>
      </c>
      <c r="AH111" s="121">
        <f>IFERROR($M111+VLOOKUP($L111,'Voyage days'!$F$38:$H$89,3,FALSE),"")</f>
        <v>46135</v>
      </c>
      <c r="AI111" s="121">
        <f>IFERROR(N111+VLOOKUP($L111,'Voyage days'!$F$38:$H$89,3,FALSE),"")</f>
        <v>46136</v>
      </c>
      <c r="AJ111" s="120" t="str">
        <f t="shared" si="10"/>
        <v>16-17 May</v>
      </c>
      <c r="AK111" s="121">
        <f>IFERROR($M111+VLOOKUP($L111,'Voyage days'!$F$94:$H$193,3,FALSE),"")</f>
        <v>46158</v>
      </c>
      <c r="AL111" s="121">
        <f>IFERROR($N111+VLOOKUP($L111,'Voyage days'!$F$94:$H$193,3,FALSE),"")</f>
        <v>46159</v>
      </c>
      <c r="AM111" s="120" t="str">
        <f t="shared" si="11"/>
        <v>17-18 May</v>
      </c>
      <c r="AN111" s="121">
        <f>IFERROR($M111+VLOOKUP($L111,'Voyage days'!$F$203:$H$256,3,FALSE),"")</f>
        <v>46159</v>
      </c>
      <c r="AO111" s="121">
        <f>IFERROR($N111+VLOOKUP($L111,'Voyage days'!$F$203:$H$256,3,FALSE),"")</f>
        <v>46160</v>
      </c>
      <c r="AP111" s="120" t="str">
        <f t="shared" si="12"/>
        <v>03-04 May</v>
      </c>
      <c r="AQ111" s="121">
        <f>IFERROR($M111+VLOOKUP($L111,'Voyage days'!$F$294:$H$377,3,FALSE),"")</f>
        <v>46145</v>
      </c>
      <c r="AR111" s="121">
        <f>IFERROR($N111+VLOOKUP($L111,'Voyage days'!$F$294:$H$377,3,FALSE),"")</f>
        <v>46146</v>
      </c>
      <c r="AS111" s="120" t="str">
        <f t="shared" si="13"/>
        <v>11-12 May</v>
      </c>
      <c r="AT111" s="121">
        <f>IFERROR($M111+VLOOKUP($L111,'Voyage days'!$F$382:$H$446,3,FALSE),"")</f>
        <v>46153</v>
      </c>
      <c r="AU111" s="121">
        <f>IFERROR($N111+VLOOKUP($L111,'Voyage days'!$F$382:$H$446,3,FALSE),"")</f>
        <v>46154</v>
      </c>
      <c r="AV111" s="120" t="str">
        <f t="shared" si="14"/>
        <v>24-25 Apr</v>
      </c>
      <c r="AW111" s="121">
        <f>IFERROR($M111+VLOOKUP($L111,'Voyage days'!$F$483:$H$538,3,FALSE),"")</f>
        <v>46136</v>
      </c>
      <c r="AX111" s="121">
        <f>IFERROR($N111+VLOOKUP($L111,'Voyage days'!$F$483:$H$538,3,FALSE),"")</f>
        <v>46137</v>
      </c>
      <c r="AY111" s="120" t="str">
        <f t="shared" si="15"/>
        <v>18-19 Apr</v>
      </c>
      <c r="AZ111" s="121">
        <f>IFERROR($M111+VLOOKUP($L111,'Voyage days'!$F$540:$H$613,3,FALSE),"")</f>
        <v>46130.25</v>
      </c>
      <c r="BA111" s="121">
        <f>IFERROR($N111+VLOOKUP($L111,'Voyage days'!$F$540:$H$613,3,FALSE),"")</f>
        <v>46131.25</v>
      </c>
      <c r="BB111" s="120" t="str">
        <f t="shared" si="16"/>
        <v>13-14 Apr</v>
      </c>
      <c r="BC111" s="121">
        <f>IFERROR($M111+VLOOKUP($L111,'Voyage days'!$F$448:$H$479,3,FALSE),"")</f>
        <v>46125</v>
      </c>
      <c r="BD111" s="121">
        <f>IFERROR($N111+VLOOKUP($L111,'Voyage days'!$F$448:$H$479,3,FALSE),"")</f>
        <v>46126</v>
      </c>
      <c r="BE111" s="120" t="str">
        <f t="shared" si="17"/>
        <v/>
      </c>
      <c r="BF111" s="122" t="str">
        <f>IFERROR($M111+VLOOKUP($L111,'Voyage days'!$F$620:$H$646,3,FALSE),"")</f>
        <v/>
      </c>
      <c r="BG111" s="122" t="str">
        <f>IFERROR($N111+VLOOKUP($L111,'Voyage days'!$F$620:$H$646,3,FALSE),"")</f>
        <v/>
      </c>
      <c r="BH111" s="120" t="str">
        <f t="shared" si="18"/>
        <v>23-21 May</v>
      </c>
      <c r="BI111" s="123">
        <f>IFERROR($M111+VLOOKUP($L111,'Voyage days'!$F$702:$H$727,3,FALSE),"")</f>
        <v>46135</v>
      </c>
      <c r="BJ111" s="120" t="str">
        <f t="shared" si="19"/>
        <v>20-21 May</v>
      </c>
      <c r="BK111" s="122">
        <f>IFERROR($M111+VLOOKUP($L111,'Voyage days'!$F$807:$H$878,3,FALSE),"")</f>
        <v>46162</v>
      </c>
      <c r="BL111" s="122">
        <f>IFERROR($N111+VLOOKUP($L111,'Voyage days'!$F$807:$H$878,3,FALSE),"")</f>
        <v>46163</v>
      </c>
      <c r="BM111" s="122">
        <f>IFERROR($N111+VLOOKUP($L111,'Voyage days'!$F$807:$K$878,6,FALSE),"")</f>
        <v>46139</v>
      </c>
      <c r="BN111" s="121" t="str">
        <f>if(L111="loads AG", IFERROR($M111+VLOOKUP($L111,'Voyage days'!$M$38:$O$38,3,FALSE),""),"")</f>
        <v/>
      </c>
      <c r="BO111" s="121" t="str">
        <f>if(L111="loads USG", IFERROR($M111+VLOOKUP($L111,'Voyage days'!$L$203:$N$203,3,FALSE),""),"")</f>
        <v/>
      </c>
    </row>
    <row r="112" ht="16.5" customHeight="1">
      <c r="A112" s="204" t="s">
        <v>391</v>
      </c>
      <c r="B112" s="101">
        <v>42326.0</v>
      </c>
      <c r="C112" s="102">
        <v>84000.0</v>
      </c>
      <c r="D112" s="112" t="s">
        <v>603</v>
      </c>
      <c r="E112" s="103"/>
      <c r="F112" s="104"/>
      <c r="G112" s="104"/>
      <c r="H112" s="104"/>
      <c r="I112" s="401" t="s">
        <v>919</v>
      </c>
      <c r="J112" s="336" t="str">
        <f t="shared" si="22"/>
        <v>Update</v>
      </c>
      <c r="K112" s="107"/>
      <c r="L112" s="108" t="s">
        <v>755</v>
      </c>
      <c r="M112" s="109">
        <v>46128.0</v>
      </c>
      <c r="N112" s="109">
        <v>46131.0</v>
      </c>
      <c r="O112" s="191" t="s">
        <v>699</v>
      </c>
      <c r="P112" s="108" t="s">
        <v>935</v>
      </c>
      <c r="Q112" s="153"/>
      <c r="R112" s="153" t="s">
        <v>936</v>
      </c>
      <c r="S112" s="256" t="s">
        <v>659</v>
      </c>
      <c r="T112" s="293">
        <v>46125.0</v>
      </c>
      <c r="U112" s="114" t="str">
        <f>IF(V112="","No AIS",VLOOKUP(V112,'Voyage days'!$A$3:$B$1480,2,FALSE))</f>
        <v>USG</v>
      </c>
      <c r="V112" s="115" t="str">
        <f>IF(VLOOKUP(A112,'1) Kpler'!$E$2:$P$1000,8, FALSE)="","",VLOOKUP(A112,'1) Kpler'!$E$2:$P$1000,8, FALSE))</f>
        <v>Houston</v>
      </c>
      <c r="W112" s="116">
        <f>IF(VLOOKUP(A112,'1) Kpler'!$E$2:$P$1000,9,FALSE)="","",VLOOKUP(A112,'1) Kpler'!$E$2:$P$1000,9,FALSE))</f>
        <v>46166.00069</v>
      </c>
      <c r="X112" s="115" t="str">
        <f>VLOOKUP(A112,'1) Kpler'!$E$2:$I$1000,4,FALSE)</f>
        <v>ballast</v>
      </c>
      <c r="Y112" s="117" t="str">
        <f t="shared" si="1"/>
        <v>27-30 Apr</v>
      </c>
      <c r="Z112" s="117" t="str">
        <f t="shared" si="2"/>
        <v>25-28 May</v>
      </c>
      <c r="AA112" s="117" t="str">
        <f t="shared" si="3"/>
        <v>23-26 May</v>
      </c>
      <c r="AB112" s="117" t="str">
        <f t="shared" si="4"/>
        <v>06-09 May</v>
      </c>
      <c r="AC112" s="117" t="str">
        <f t="shared" si="5"/>
        <v>15-18 May</v>
      </c>
      <c r="AD112" s="117" t="str">
        <f t="shared" si="6"/>
        <v>19-22 Apr</v>
      </c>
      <c r="AE112" s="118" t="str">
        <f t="shared" si="7"/>
        <v>20-23 Apr</v>
      </c>
      <c r="AF112" s="119" t="str">
        <f t="shared" si="8"/>
        <v>23-26 May</v>
      </c>
      <c r="AG112" s="120" t="str">
        <f t="shared" si="9"/>
        <v>27-30 Apr</v>
      </c>
      <c r="AH112" s="121">
        <f>IFERROR($M112+VLOOKUP($L112,'Voyage days'!$F$38:$H$89,3,FALSE),"")</f>
        <v>46139</v>
      </c>
      <c r="AI112" s="121">
        <f>IFERROR(N112+VLOOKUP($L112,'Voyage days'!$F$38:$H$89,3,FALSE),"")</f>
        <v>46142</v>
      </c>
      <c r="AJ112" s="120" t="str">
        <f t="shared" si="10"/>
        <v>25-28 May</v>
      </c>
      <c r="AK112" s="121">
        <f>IFERROR($M112+VLOOKUP($L112,'Voyage days'!$F$94:$H$193,3,FALSE),"")</f>
        <v>46167</v>
      </c>
      <c r="AL112" s="121">
        <f>IFERROR($N112+VLOOKUP($L112,'Voyage days'!$F$94:$H$193,3,FALSE),"")</f>
        <v>46170</v>
      </c>
      <c r="AM112" s="120" t="str">
        <f t="shared" si="11"/>
        <v>23-26 May</v>
      </c>
      <c r="AN112" s="121">
        <f>IFERROR($M112+VLOOKUP($L112,'Voyage days'!$F$203:$H$256,3,FALSE),"")</f>
        <v>46165</v>
      </c>
      <c r="AO112" s="121">
        <f>IFERROR($N112+VLOOKUP($L112,'Voyage days'!$F$203:$H$256,3,FALSE),"")</f>
        <v>46168</v>
      </c>
      <c r="AP112" s="120" t="str">
        <f t="shared" si="12"/>
        <v>06-09 May</v>
      </c>
      <c r="AQ112" s="121">
        <f>IFERROR($M112+VLOOKUP($L112,'Voyage days'!$F$294:$H$377,3,FALSE),"")</f>
        <v>46148</v>
      </c>
      <c r="AR112" s="121">
        <f>IFERROR($N112+VLOOKUP($L112,'Voyage days'!$F$294:$H$377,3,FALSE),"")</f>
        <v>46151</v>
      </c>
      <c r="AS112" s="120" t="str">
        <f t="shared" si="13"/>
        <v>15-18 May</v>
      </c>
      <c r="AT112" s="121">
        <f>IFERROR($M112+VLOOKUP($L112,'Voyage days'!$F$382:$H$446,3,FALSE),"")</f>
        <v>46157</v>
      </c>
      <c r="AU112" s="121">
        <f>IFERROR($N112+VLOOKUP($L112,'Voyage days'!$F$382:$H$446,3,FALSE),"")</f>
        <v>46160</v>
      </c>
      <c r="AV112" s="120" t="str">
        <f t="shared" si="14"/>
        <v>25-28 Apr</v>
      </c>
      <c r="AW112" s="121">
        <f>IFERROR($M112+VLOOKUP($L112,'Voyage days'!$F$483:$H$538,3,FALSE),"")</f>
        <v>46137</v>
      </c>
      <c r="AX112" s="121">
        <f>IFERROR($N112+VLOOKUP($L112,'Voyage days'!$F$483:$H$538,3,FALSE),"")</f>
        <v>46140</v>
      </c>
      <c r="AY112" s="120" t="str">
        <f t="shared" si="15"/>
        <v>20-23 Apr</v>
      </c>
      <c r="AZ112" s="121">
        <f>IFERROR($M112+VLOOKUP($L112,'Voyage days'!$F$540:$H$613,3,FALSE),"")</f>
        <v>46132</v>
      </c>
      <c r="BA112" s="121">
        <f>IFERROR($N112+VLOOKUP($L112,'Voyage days'!$F$540:$H$613,3,FALSE),"")</f>
        <v>46135</v>
      </c>
      <c r="BB112" s="120" t="str">
        <f t="shared" si="16"/>
        <v>19-22 Apr</v>
      </c>
      <c r="BC112" s="121">
        <f>IFERROR($M112+VLOOKUP($L112,'Voyage days'!$F$448:$H$479,3,FALSE),"")</f>
        <v>46131</v>
      </c>
      <c r="BD112" s="121">
        <f>IFERROR($N112+VLOOKUP($L112,'Voyage days'!$F$448:$H$479,3,FALSE),"")</f>
        <v>46134</v>
      </c>
      <c r="BE112" s="120" t="str">
        <f t="shared" si="17"/>
        <v/>
      </c>
      <c r="BF112" s="122" t="str">
        <f>IFERROR($M112+VLOOKUP($L112,'Voyage days'!$F$620:$H$646,3,FALSE),"")</f>
        <v/>
      </c>
      <c r="BG112" s="122" t="str">
        <f>IFERROR($N112+VLOOKUP($L112,'Voyage days'!$F$620:$H$646,3,FALSE),"")</f>
        <v/>
      </c>
      <c r="BH112" s="120" t="str">
        <f t="shared" si="18"/>
        <v>24-26 May</v>
      </c>
      <c r="BI112" s="123">
        <f>IFERROR($M112+VLOOKUP($L112,'Voyage days'!$F$702:$H$727,3,FALSE),"")</f>
        <v>46136</v>
      </c>
      <c r="BJ112" s="120" t="str">
        <f t="shared" si="19"/>
        <v>23-26 May</v>
      </c>
      <c r="BK112" s="122">
        <f>IFERROR($M112+VLOOKUP($L112,'Voyage days'!$F$807:$H$878,3,FALSE),"")</f>
        <v>46165</v>
      </c>
      <c r="BL112" s="122">
        <f>IFERROR($N112+VLOOKUP($L112,'Voyage days'!$F$807:$H$878,3,FALSE),"")</f>
        <v>46168</v>
      </c>
      <c r="BM112" s="122">
        <f>IFERROR($N112+VLOOKUP($L112,'Voyage days'!$F$807:$K$878,6,FALSE),"")</f>
        <v>46144</v>
      </c>
      <c r="BN112" s="121" t="str">
        <f>if(L112="loads AG", IFERROR($M112+VLOOKUP($L112,'Voyage days'!$M$38:$O$38,3,FALSE),""),"")</f>
        <v/>
      </c>
      <c r="BO112" s="121" t="str">
        <f>if(L112="loads USG", IFERROR($M112+VLOOKUP($L112,'Voyage days'!$L$203:$N$203,3,FALSE),""),"")</f>
        <v/>
      </c>
    </row>
    <row r="113" ht="15.75" customHeight="1">
      <c r="A113" s="455" t="s">
        <v>497</v>
      </c>
      <c r="B113" s="202">
        <v>2023.0</v>
      </c>
      <c r="C113" s="203">
        <v>87000.0</v>
      </c>
      <c r="D113" s="112" t="s">
        <v>603</v>
      </c>
      <c r="E113" s="409"/>
      <c r="F113" s="207"/>
      <c r="G113" s="207"/>
      <c r="H113" s="207"/>
      <c r="I113" s="208" t="s">
        <v>919</v>
      </c>
      <c r="J113" s="456"/>
      <c r="K113" s="205"/>
      <c r="L113" s="211" t="s">
        <v>680</v>
      </c>
      <c r="M113" s="457">
        <v>46144.0</v>
      </c>
      <c r="N113" s="457">
        <v>46146.0</v>
      </c>
      <c r="O113" s="410"/>
      <c r="P113" s="108" t="s">
        <v>937</v>
      </c>
      <c r="Q113" s="387"/>
      <c r="R113" s="153" t="s">
        <v>938</v>
      </c>
      <c r="S113" s="256" t="s">
        <v>659</v>
      </c>
      <c r="T113" s="293">
        <v>46125.0</v>
      </c>
      <c r="U113" s="114" t="str">
        <f>IF(V113="","No AIS",VLOOKUP(V113,'Voyage days'!$A$3:$B$1480,2,FALSE))</f>
        <v>Panama</v>
      </c>
      <c r="V113" s="115" t="str">
        <f>IF(VLOOKUP(A113,'1) Kpler'!$E$2:$P$1000,8, FALSE)="","",VLOOKUP(A113,'1) Kpler'!$E$2:$P$1000,8, FALSE))</f>
        <v>Panama Canal</v>
      </c>
      <c r="W113" s="116">
        <f>IF(VLOOKUP(A113,'1) Kpler'!$E$2:$P$1000,9,FALSE)="","",VLOOKUP(A113,'1) Kpler'!$E$2:$P$1000,9,FALSE))</f>
        <v>46132.48681</v>
      </c>
      <c r="X113" s="115" t="str">
        <f>VLOOKUP(A113,'1) Kpler'!$E$2:$I$1000,4,FALSE)</f>
        <v>ballast</v>
      </c>
      <c r="Y113" s="160" t="str">
        <f t="shared" si="1"/>
        <v/>
      </c>
      <c r="Z113" s="160" t="str">
        <f t="shared" si="2"/>
        <v>02-04 May</v>
      </c>
      <c r="AA113" s="160" t="str">
        <f t="shared" si="3"/>
        <v>02-04 May</v>
      </c>
      <c r="AB113" s="160" t="str">
        <f t="shared" si="4"/>
        <v/>
      </c>
      <c r="AC113" s="160" t="str">
        <f t="shared" si="5"/>
        <v>22-24 May</v>
      </c>
      <c r="AD113" s="160" t="str">
        <f t="shared" si="6"/>
        <v/>
      </c>
      <c r="AE113" s="161" t="str">
        <f t="shared" si="7"/>
        <v/>
      </c>
      <c r="AF113" s="162" t="str">
        <f t="shared" si="8"/>
        <v/>
      </c>
      <c r="AG113" s="120" t="str">
        <f t="shared" si="9"/>
        <v/>
      </c>
      <c r="AH113" s="121" t="str">
        <f>IFERROR($M113+VLOOKUP($L113,'Voyage days'!$F$38:$H$89,3,FALSE),"")</f>
        <v/>
      </c>
      <c r="AI113" s="121" t="str">
        <f>IFERROR(N113+VLOOKUP($L113,'Voyage days'!$F$38:$H$89,3,FALSE),"")</f>
        <v/>
      </c>
      <c r="AJ113" s="120" t="str">
        <f t="shared" si="10"/>
        <v>02-04 May</v>
      </c>
      <c r="AK113" s="121">
        <f>IFERROR($M113+VLOOKUP($L113,'Voyage days'!$F$94:$H$193,3,FALSE),"")</f>
        <v>46144</v>
      </c>
      <c r="AL113" s="121">
        <f>IFERROR($N113+VLOOKUP($L113,'Voyage days'!$F$94:$H$193,3,FALSE),"")</f>
        <v>46146</v>
      </c>
      <c r="AM113" s="120" t="str">
        <f t="shared" si="11"/>
        <v>02-04 May</v>
      </c>
      <c r="AN113" s="121">
        <f>IFERROR($M113+VLOOKUP($L113,'Voyage days'!$F$203:$H$256,3,FALSE),"")</f>
        <v>46144</v>
      </c>
      <c r="AO113" s="121">
        <f>IFERROR($N113+VLOOKUP($L113,'Voyage days'!$F$203:$H$256,3,FALSE),"")</f>
        <v>46146</v>
      </c>
      <c r="AP113" s="120" t="str">
        <f t="shared" si="12"/>
        <v/>
      </c>
      <c r="AQ113" s="121" t="str">
        <f>IFERROR($M113+VLOOKUP($L113,'Voyage days'!$F$294:$H$377,3,FALSE),"")</f>
        <v/>
      </c>
      <c r="AR113" s="121" t="str">
        <f>IFERROR($N113+VLOOKUP($L113,'Voyage days'!$F$294:$H$377,3,FALSE),"")</f>
        <v/>
      </c>
      <c r="AS113" s="120" t="str">
        <f t="shared" si="13"/>
        <v>22-24 May</v>
      </c>
      <c r="AT113" s="121">
        <f>IFERROR($M113+VLOOKUP($L113,'Voyage days'!$F$382:$H$446,3,FALSE),"")</f>
        <v>46164</v>
      </c>
      <c r="AU113" s="121">
        <f>IFERROR($N113+VLOOKUP($L113,'Voyage days'!$F$382:$H$446,3,FALSE),"")</f>
        <v>46166</v>
      </c>
      <c r="AV113" s="120" t="str">
        <f t="shared" si="14"/>
        <v/>
      </c>
      <c r="AW113" s="121" t="str">
        <f>IFERROR($M113+VLOOKUP($L113,'Voyage days'!$F$483:$H$538,3,FALSE),"")</f>
        <v/>
      </c>
      <c r="AX113" s="121" t="str">
        <f>IFERROR($N113+VLOOKUP($L113,'Voyage days'!$F$483:$H$538,3,FALSE),"")</f>
        <v/>
      </c>
      <c r="AY113" s="120" t="str">
        <f t="shared" si="15"/>
        <v/>
      </c>
      <c r="AZ113" s="121" t="str">
        <f>IFERROR($M113+VLOOKUP($L113,'Voyage days'!$F$540:$H$613,3,FALSE),"")</f>
        <v/>
      </c>
      <c r="BA113" s="121" t="str">
        <f>IFERROR($N113+VLOOKUP($L113,'Voyage days'!$F$540:$H$613,3,FALSE),"")</f>
        <v/>
      </c>
      <c r="BB113" s="120" t="str">
        <f t="shared" si="16"/>
        <v/>
      </c>
      <c r="BC113" s="121" t="str">
        <f>IFERROR($M113+VLOOKUP($L113,'Voyage days'!$F$448:$H$479,3,FALSE),"")</f>
        <v/>
      </c>
      <c r="BD113" s="121" t="str">
        <f>IFERROR($N113+VLOOKUP($L113,'Voyage days'!$F$448:$H$479,3,FALSE),"")</f>
        <v/>
      </c>
      <c r="BE113" s="120" t="str">
        <f t="shared" si="17"/>
        <v/>
      </c>
      <c r="BF113" s="122" t="str">
        <f>IFERROR($M113+VLOOKUP($L113,'Voyage days'!$F$620:$H$646,3,FALSE),"")</f>
        <v/>
      </c>
      <c r="BG113" s="122" t="str">
        <f>IFERROR($N113+VLOOKUP($L113,'Voyage days'!$F$620:$H$646,3,FALSE),"")</f>
        <v/>
      </c>
      <c r="BH113" s="120" t="str">
        <f t="shared" si="18"/>
        <v/>
      </c>
      <c r="BI113" s="123" t="str">
        <f>IFERROR($M113+VLOOKUP($L113,'Voyage days'!$F$702:$H$727,3,FALSE),"")</f>
        <v/>
      </c>
      <c r="BJ113" s="120" t="str">
        <f t="shared" si="19"/>
        <v/>
      </c>
      <c r="BK113" s="122" t="str">
        <f>IFERROR($M113+VLOOKUP($L113,'Voyage days'!$F$807:$H$878,3,FALSE),"")</f>
        <v/>
      </c>
      <c r="BL113" s="122" t="str">
        <f>IFERROR($N113+VLOOKUP($L113,'Voyage days'!$F$807:$H$878,3,FALSE),"")</f>
        <v/>
      </c>
      <c r="BM113" s="122" t="str">
        <f>IFERROR($N113+VLOOKUP($L113,'Voyage days'!$F$807:$K$878,6,FALSE),"")</f>
        <v/>
      </c>
      <c r="BN113" s="121" t="str">
        <f>if(L113="loads AG", IFERROR($M113+VLOOKUP($L113,'Voyage days'!$M$38:$O$38,3,FALSE),""),"")</f>
        <v/>
      </c>
      <c r="BO113" s="121">
        <f>if(L113="loads USG", IFERROR($M113+VLOOKUP($L113,'Voyage days'!$L$203:$N$203,3,FALSE),""),"")</f>
        <v>46176</v>
      </c>
    </row>
    <row r="114" ht="15.75" customHeight="1">
      <c r="A114" s="458" t="s">
        <v>939</v>
      </c>
      <c r="B114" s="280">
        <v>2016.0</v>
      </c>
      <c r="C114" s="166">
        <v>84000.0</v>
      </c>
      <c r="D114" s="175" t="s">
        <v>603</v>
      </c>
      <c r="E114" s="223"/>
      <c r="F114" s="168"/>
      <c r="G114" s="168"/>
      <c r="H114" s="168"/>
      <c r="I114" s="324" t="s">
        <v>919</v>
      </c>
      <c r="J114" s="170" t="str">
        <f t="shared" ref="J114:J116" si="23">IF(W114="","NO AIS",IF((W114-M114-1)&gt;0,"Update",""))</f>
        <v/>
      </c>
      <c r="K114" s="171"/>
      <c r="L114" s="172" t="s">
        <v>680</v>
      </c>
      <c r="M114" s="109">
        <v>46133.0</v>
      </c>
      <c r="N114" s="109">
        <v>46134.0</v>
      </c>
      <c r="O114" s="284"/>
      <c r="P114" s="172" t="s">
        <v>940</v>
      </c>
      <c r="Q114" s="172"/>
      <c r="R114" s="172" t="s">
        <v>941</v>
      </c>
      <c r="S114" s="358" t="s">
        <v>659</v>
      </c>
      <c r="T114" s="293">
        <v>46125.0</v>
      </c>
      <c r="U114" s="177" t="str">
        <f>IF(V114="","No AIS",VLOOKUP(V114,'Voyage days'!$A$3:$B$1480,2,FALSE))</f>
        <v>USG</v>
      </c>
      <c r="V114" s="178" t="str">
        <f>IF(VLOOKUP(A114,'1) Kpler'!$E$2:$P$1000,8, FALSE)="","",VLOOKUP(A114,'1) Kpler'!$E$2:$P$1000,8, FALSE))</f>
        <v>Freeport Texas</v>
      </c>
      <c r="W114" s="179">
        <f>IF(VLOOKUP(A114,'1) Kpler'!$E$2:$P$1000,9,FALSE)="","",VLOOKUP(A114,'1) Kpler'!$E$2:$P$1000,9,FALSE))</f>
        <v>46132.04167</v>
      </c>
      <c r="X114" s="178" t="str">
        <f>VLOOKUP(A114,'1) Kpler'!$E$2:$I$1000,4,FALSE)</f>
        <v>ballast</v>
      </c>
      <c r="Y114" s="180" t="str">
        <f t="shared" si="1"/>
        <v/>
      </c>
      <c r="Z114" s="180" t="str">
        <f t="shared" si="2"/>
        <v>21-22 Apr</v>
      </c>
      <c r="AA114" s="180" t="str">
        <f t="shared" si="3"/>
        <v>21-22 Apr</v>
      </c>
      <c r="AB114" s="180" t="str">
        <f t="shared" si="4"/>
        <v/>
      </c>
      <c r="AC114" s="180" t="str">
        <f t="shared" si="5"/>
        <v>11-12 May</v>
      </c>
      <c r="AD114" s="180" t="str">
        <f t="shared" si="6"/>
        <v/>
      </c>
      <c r="AE114" s="181" t="str">
        <f t="shared" si="7"/>
        <v/>
      </c>
      <c r="AF114" s="182" t="str">
        <f t="shared" si="8"/>
        <v/>
      </c>
      <c r="AG114" s="120" t="str">
        <f t="shared" si="9"/>
        <v/>
      </c>
      <c r="AH114" s="121" t="str">
        <f>IFERROR($M114+VLOOKUP($L114,'Voyage days'!$F$38:$H$89,3,FALSE),"")</f>
        <v/>
      </c>
      <c r="AI114" s="121" t="str">
        <f>IFERROR(N114+VLOOKUP($L114,'Voyage days'!$F$38:$H$89,3,FALSE),"")</f>
        <v/>
      </c>
      <c r="AJ114" s="120" t="str">
        <f t="shared" si="10"/>
        <v>21-22 Apr</v>
      </c>
      <c r="AK114" s="121">
        <f>IFERROR($M114+VLOOKUP($L114,'Voyage days'!$F$94:$H$193,3,FALSE),"")</f>
        <v>46133</v>
      </c>
      <c r="AL114" s="121">
        <f>IFERROR($N114+VLOOKUP($L114,'Voyage days'!$F$94:$H$193,3,FALSE),"")</f>
        <v>46134</v>
      </c>
      <c r="AM114" s="120" t="str">
        <f t="shared" si="11"/>
        <v>21-22 Apr</v>
      </c>
      <c r="AN114" s="121">
        <f>IFERROR($M114+VLOOKUP($L114,'Voyage days'!$F$203:$H$256,3,FALSE),"")</f>
        <v>46133</v>
      </c>
      <c r="AO114" s="121">
        <f>IFERROR($N114+VLOOKUP($L114,'Voyage days'!$F$203:$H$256,3,FALSE),"")</f>
        <v>46134</v>
      </c>
      <c r="AP114" s="120" t="str">
        <f t="shared" si="12"/>
        <v/>
      </c>
      <c r="AQ114" s="121" t="str">
        <f>IFERROR($M114+VLOOKUP($L114,'Voyage days'!$F$294:$H$377,3,FALSE),"")</f>
        <v/>
      </c>
      <c r="AR114" s="121" t="str">
        <f>IFERROR($N114+VLOOKUP($L114,'Voyage days'!$F$294:$H$377,3,FALSE),"")</f>
        <v/>
      </c>
      <c r="AS114" s="120" t="str">
        <f t="shared" si="13"/>
        <v>11-12 May</v>
      </c>
      <c r="AT114" s="121">
        <f>IFERROR($M114+VLOOKUP($L114,'Voyage days'!$F$382:$H$446,3,FALSE),"")</f>
        <v>46153</v>
      </c>
      <c r="AU114" s="121">
        <f>IFERROR($N114+VLOOKUP($L114,'Voyage days'!$F$382:$H$446,3,FALSE),"")</f>
        <v>46154</v>
      </c>
      <c r="AV114" s="120" t="str">
        <f t="shared" si="14"/>
        <v/>
      </c>
      <c r="AW114" s="121" t="str">
        <f>IFERROR($M114+VLOOKUP($L114,'Voyage days'!$F$483:$H$538,3,FALSE),"")</f>
        <v/>
      </c>
      <c r="AX114" s="121" t="str">
        <f>IFERROR($N114+VLOOKUP($L114,'Voyage days'!$F$483:$H$538,3,FALSE),"")</f>
        <v/>
      </c>
      <c r="AY114" s="120" t="str">
        <f t="shared" si="15"/>
        <v/>
      </c>
      <c r="AZ114" s="121" t="str">
        <f>IFERROR($M114+VLOOKUP($L114,'Voyage days'!$F$540:$H$613,3,FALSE),"")</f>
        <v/>
      </c>
      <c r="BA114" s="121" t="str">
        <f>IFERROR($N114+VLOOKUP($L114,'Voyage days'!$F$540:$H$613,3,FALSE),"")</f>
        <v/>
      </c>
      <c r="BB114" s="120" t="str">
        <f t="shared" si="16"/>
        <v/>
      </c>
      <c r="BC114" s="121" t="str">
        <f>IFERROR($M114+VLOOKUP($L114,'Voyage days'!$F$448:$H$479,3,FALSE),"")</f>
        <v/>
      </c>
      <c r="BD114" s="121" t="str">
        <f>IFERROR($N114+VLOOKUP($L114,'Voyage days'!$F$448:$H$479,3,FALSE),"")</f>
        <v/>
      </c>
      <c r="BE114" s="120" t="str">
        <f t="shared" si="17"/>
        <v/>
      </c>
      <c r="BF114" s="122" t="str">
        <f>IFERROR($M114+VLOOKUP($L114,'Voyage days'!$F$620:$H$646,3,FALSE),"")</f>
        <v/>
      </c>
      <c r="BG114" s="122" t="str">
        <f>IFERROR($N114+VLOOKUP($L114,'Voyage days'!$F$620:$H$646,3,FALSE),"")</f>
        <v/>
      </c>
      <c r="BH114" s="120" t="str">
        <f t="shared" si="18"/>
        <v/>
      </c>
      <c r="BI114" s="123" t="str">
        <f>IFERROR($M114+VLOOKUP($L114,'Voyage days'!$F$702:$H$727,3,FALSE),"")</f>
        <v/>
      </c>
      <c r="BJ114" s="120" t="str">
        <f t="shared" si="19"/>
        <v/>
      </c>
      <c r="BK114" s="122" t="str">
        <f>IFERROR($M114+VLOOKUP($L114,'Voyage days'!$F$807:$H$878,3,FALSE),"")</f>
        <v/>
      </c>
      <c r="BL114" s="122" t="str">
        <f>IFERROR($N114+VLOOKUP($L114,'Voyage days'!$F$807:$H$878,3,FALSE),"")</f>
        <v/>
      </c>
      <c r="BM114" s="122" t="str">
        <f>IFERROR($N114+VLOOKUP($L114,'Voyage days'!$F$807:$K$878,6,FALSE),"")</f>
        <v/>
      </c>
      <c r="BN114" s="121" t="str">
        <f>if(L114="loads AG", IFERROR($M114+VLOOKUP($L114,'Voyage days'!$M$38:$O$38,3,FALSE),""),"")</f>
        <v/>
      </c>
      <c r="BO114" s="121">
        <f>if(L114="loads USG", IFERROR($M114+VLOOKUP($L114,'Voyage days'!$L$203:$N$203,3,FALSE),""),"")</f>
        <v>46165</v>
      </c>
    </row>
    <row r="115" ht="15.75" customHeight="1">
      <c r="A115" s="375" t="s">
        <v>61</v>
      </c>
      <c r="B115" s="101">
        <v>39814.0</v>
      </c>
      <c r="C115" s="102">
        <v>75000.0</v>
      </c>
      <c r="D115" s="149"/>
      <c r="E115" s="149"/>
      <c r="F115" s="150"/>
      <c r="G115" s="150"/>
      <c r="H115" s="150" t="s">
        <v>689</v>
      </c>
      <c r="I115" s="329" t="s">
        <v>942</v>
      </c>
      <c r="J115" s="236" t="str">
        <f t="shared" si="23"/>
        <v>NO AIS</v>
      </c>
      <c r="K115" s="152"/>
      <c r="L115" s="316" t="s">
        <v>943</v>
      </c>
      <c r="M115" s="238">
        <v>46122.0</v>
      </c>
      <c r="N115" s="238">
        <v>46122.0</v>
      </c>
      <c r="O115" s="277"/>
      <c r="P115" s="108" t="s">
        <v>944</v>
      </c>
      <c r="Q115" s="153"/>
      <c r="R115" s="153" t="s">
        <v>945</v>
      </c>
      <c r="S115" s="256" t="s">
        <v>659</v>
      </c>
      <c r="T115" s="459">
        <v>46124.0</v>
      </c>
      <c r="U115" s="114" t="str">
        <f>IF(V115="","No AIS",VLOOKUP(V115,'Voyage days'!$A$3:$B$1480,2,FALSE))</f>
        <v>No AIS</v>
      </c>
      <c r="V115" s="114" t="str">
        <f>IF(VLOOKUP(A115,'1) Kpler'!$E$2:$P$1000,8, FALSE)="","",VLOOKUP(A115,'1) Kpler'!$E$2:$P$1000,8, FALSE))</f>
        <v/>
      </c>
      <c r="W115" s="159" t="str">
        <f>IF(VLOOKUP(A115,'1) Kpler'!$E$2:$P$1000,9,FALSE)="","",VLOOKUP(A115,'1) Kpler'!$E$2:$P$1000,9,FALSE))</f>
        <v/>
      </c>
      <c r="X115" s="114" t="str">
        <f>VLOOKUP(A115,'1) Kpler'!$E$2:$I$1000,4,FALSE)</f>
        <v>loaded</v>
      </c>
      <c r="Y115" s="272" t="str">
        <f t="shared" si="1"/>
        <v/>
      </c>
      <c r="Z115" s="272" t="str">
        <f t="shared" si="2"/>
        <v>15-15 Apr</v>
      </c>
      <c r="AA115" s="272" t="str">
        <f t="shared" si="3"/>
        <v>15-15 Apr</v>
      </c>
      <c r="AB115" s="272" t="str">
        <f t="shared" si="4"/>
        <v>23-23 Apr</v>
      </c>
      <c r="AC115" s="272" t="str">
        <f t="shared" si="5"/>
        <v>28-28 Apr</v>
      </c>
      <c r="AD115" s="272" t="str">
        <f t="shared" si="6"/>
        <v/>
      </c>
      <c r="AE115" s="273" t="str">
        <f t="shared" si="7"/>
        <v/>
      </c>
      <c r="AF115" s="162" t="str">
        <f t="shared" si="8"/>
        <v/>
      </c>
      <c r="AG115" s="163" t="str">
        <f t="shared" si="9"/>
        <v/>
      </c>
      <c r="AH115" s="122" t="str">
        <f>IFERROR($M115+VLOOKUP($L115,'Voyage days'!$F$38:$H$89,3,FALSE),"")</f>
        <v/>
      </c>
      <c r="AI115" s="122" t="str">
        <f>IFERROR(N115+VLOOKUP($L115,'Voyage days'!$F$38:$H$89,3,FALSE),"")</f>
        <v/>
      </c>
      <c r="AJ115" s="163" t="str">
        <f t="shared" si="10"/>
        <v>15-15 Apr</v>
      </c>
      <c r="AK115" s="122">
        <f>IFERROR($M115+VLOOKUP($L115,'Voyage days'!$F$94:$H$193,3,FALSE),"")</f>
        <v>46127</v>
      </c>
      <c r="AL115" s="122">
        <f>IFERROR($N115+VLOOKUP($L115,'Voyage days'!$F$94:$H$193,3,FALSE),"")</f>
        <v>46127</v>
      </c>
      <c r="AM115" s="163" t="str">
        <f t="shared" si="11"/>
        <v>15-15 Apr</v>
      </c>
      <c r="AN115" s="122">
        <f>IFERROR($M115+VLOOKUP($L115,'Voyage days'!$F$203:$H$256,3,FALSE),"")</f>
        <v>46127</v>
      </c>
      <c r="AO115" s="122">
        <f>IFERROR($N115+VLOOKUP($L115,'Voyage days'!$F$203:$H$256,3,FALSE),"")</f>
        <v>46127</v>
      </c>
      <c r="AP115" s="163" t="str">
        <f t="shared" si="12"/>
        <v>23-23 Apr</v>
      </c>
      <c r="AQ115" s="122">
        <f>IFERROR($M115+VLOOKUP($L115,'Voyage days'!$F$294:$H$377,3,FALSE),"")</f>
        <v>46135</v>
      </c>
      <c r="AR115" s="122">
        <f>IFERROR($N115+VLOOKUP($L115,'Voyage days'!$F$294:$H$377,3,FALSE),"")</f>
        <v>46135</v>
      </c>
      <c r="AS115" s="163" t="str">
        <f t="shared" si="13"/>
        <v>28-28 Apr</v>
      </c>
      <c r="AT115" s="122">
        <f>IFERROR($M115+VLOOKUP($L115,'Voyage days'!$F$382:$H$446,3,FALSE),"")</f>
        <v>46140</v>
      </c>
      <c r="AU115" s="122">
        <f>IFERROR($N115+VLOOKUP($L115,'Voyage days'!$F$382:$H$446,3,FALSE),"")</f>
        <v>46140</v>
      </c>
      <c r="AV115" s="163" t="str">
        <f t="shared" si="14"/>
        <v/>
      </c>
      <c r="AW115" s="122" t="str">
        <f>IFERROR($M115+VLOOKUP($L115,'Voyage days'!$F$483:$H$538,3,FALSE),"")</f>
        <v/>
      </c>
      <c r="AX115" s="122" t="str">
        <f>IFERROR($N115+VLOOKUP($L115,'Voyage days'!$F$483:$H$538,3,FALSE),"")</f>
        <v/>
      </c>
      <c r="AY115" s="163" t="str">
        <f t="shared" si="15"/>
        <v/>
      </c>
      <c r="AZ115" s="122" t="str">
        <f>IFERROR($M115+VLOOKUP($L115,'Voyage days'!$F$540:$H$613,3,FALSE),"")</f>
        <v/>
      </c>
      <c r="BA115" s="122" t="str">
        <f>IFERROR($N115+VLOOKUP($L115,'Voyage days'!$F$540:$H$613,3,FALSE),"")</f>
        <v/>
      </c>
      <c r="BB115" s="163" t="str">
        <f t="shared" si="16"/>
        <v/>
      </c>
      <c r="BC115" s="121" t="str">
        <f>IFERROR($M115+VLOOKUP($L115,'Voyage days'!$F$448:$H$479,3,FALSE),"")</f>
        <v/>
      </c>
      <c r="BD115" s="121" t="str">
        <f>IFERROR($N115+VLOOKUP($L115,'Voyage days'!$F$448:$H$479,3,FALSE),"")</f>
        <v/>
      </c>
      <c r="BE115" s="163" t="str">
        <f t="shared" si="17"/>
        <v/>
      </c>
      <c r="BF115" s="122" t="str">
        <f>IFERROR($M115+VLOOKUP($L115,'Voyage days'!$F$620:$H$646,3,FALSE),"")</f>
        <v/>
      </c>
      <c r="BG115" s="122" t="str">
        <f>IFERROR($N115+VLOOKUP($L115,'Voyage days'!$F$620:$H$646,3,FALSE),"")</f>
        <v/>
      </c>
      <c r="BH115" s="163" t="str">
        <f t="shared" si="18"/>
        <v/>
      </c>
      <c r="BI115" s="123" t="str">
        <f>IFERROR($M115+VLOOKUP($L115,'Voyage days'!$F$702:$H$727,3,FALSE),"")</f>
        <v/>
      </c>
      <c r="BJ115" s="163" t="str">
        <f t="shared" si="19"/>
        <v/>
      </c>
      <c r="BK115" s="122" t="str">
        <f>IFERROR($M115+VLOOKUP($L115,'Voyage days'!$F$807:$H$878,3,FALSE),"")</f>
        <v/>
      </c>
      <c r="BL115" s="122" t="str">
        <f>IFERROR($N115+VLOOKUP($L115,'Voyage days'!$F$807:$H$878,3,FALSE),"")</f>
        <v/>
      </c>
      <c r="BM115" s="122" t="str">
        <f>IFERROR($N115+VLOOKUP($L115,'Voyage days'!$F$807:$K$878,6,FALSE),"")</f>
        <v/>
      </c>
      <c r="BN115" s="121" t="str">
        <f>if(L115="loads AG", IFERROR($M115+VLOOKUP($L115,'Voyage days'!$M$38:$O$38,3,FALSE),""),"")</f>
        <v/>
      </c>
      <c r="BO115" s="121" t="str">
        <f>if(L115="loads USG", IFERROR($M115+VLOOKUP($L115,'Voyage days'!$L$203:$N$203,3,FALSE),""),"")</f>
        <v/>
      </c>
    </row>
    <row r="116" ht="15.75" customHeight="1">
      <c r="A116" s="80" t="s">
        <v>242</v>
      </c>
      <c r="B116" s="148">
        <v>2022.0</v>
      </c>
      <c r="C116" s="102">
        <v>90000.0</v>
      </c>
      <c r="D116" s="103"/>
      <c r="E116" s="103"/>
      <c r="F116" s="104"/>
      <c r="G116" s="104"/>
      <c r="H116" s="104" t="s">
        <v>666</v>
      </c>
      <c r="I116" s="332" t="s">
        <v>942</v>
      </c>
      <c r="J116" s="106" t="str">
        <f t="shared" si="23"/>
        <v/>
      </c>
      <c r="K116" s="205" t="s">
        <v>765</v>
      </c>
      <c r="L116" s="108" t="s">
        <v>211</v>
      </c>
      <c r="M116" s="109">
        <v>46136.0</v>
      </c>
      <c r="N116" s="109">
        <v>46137.0</v>
      </c>
      <c r="O116" s="255"/>
      <c r="P116" s="108" t="s">
        <v>946</v>
      </c>
      <c r="Q116" s="185"/>
      <c r="R116" s="192" t="s">
        <v>947</v>
      </c>
      <c r="S116" s="256" t="s">
        <v>659</v>
      </c>
      <c r="T116" s="113">
        <v>46124.0</v>
      </c>
      <c r="U116" s="114" t="str">
        <f>IF(V116="","No AIS",VLOOKUP(V116,'Voyage days'!$A$3:$B$1480,2,FALSE))</f>
        <v>India?/SG-JP?</v>
      </c>
      <c r="V116" s="115" t="str">
        <f>IF(VLOOKUP(A116,'1) Kpler'!$E$2:$P$1000,8, FALSE)="","",VLOOKUP(A116,'1) Kpler'!$E$2:$P$1000,8, FALSE))</f>
        <v>Eastern Asia</v>
      </c>
      <c r="W116" s="116">
        <f>IF(VLOOKUP(A116,'1) Kpler'!$E$2:$P$1000,9,FALSE)="","",VLOOKUP(A116,'1) Kpler'!$E$2:$P$1000,9,FALSE))</f>
        <v>46132.46389</v>
      </c>
      <c r="X116" s="115" t="str">
        <f>VLOOKUP(A116,'1) Kpler'!$E$2:$I$1000,4,FALSE)</f>
        <v>loaded</v>
      </c>
      <c r="Y116" s="117" t="str">
        <f t="shared" si="1"/>
        <v>29-30 Apr</v>
      </c>
      <c r="Z116" s="117" t="str">
        <f t="shared" si="2"/>
        <v/>
      </c>
      <c r="AA116" s="117" t="str">
        <f t="shared" si="3"/>
        <v>25-26 May</v>
      </c>
      <c r="AB116" s="117" t="str">
        <f t="shared" si="4"/>
        <v>12-13 May</v>
      </c>
      <c r="AC116" s="117" t="str">
        <f t="shared" si="5"/>
        <v>20-21 May</v>
      </c>
      <c r="AD116" s="117" t="str">
        <f t="shared" si="6"/>
        <v>30-01 May</v>
      </c>
      <c r="AE116" s="118" t="str">
        <f t="shared" si="7"/>
        <v/>
      </c>
      <c r="AF116" s="119" t="str">
        <f t="shared" si="8"/>
        <v>06-07 Jun</v>
      </c>
      <c r="AG116" s="120" t="str">
        <f t="shared" si="9"/>
        <v>29-30 Apr</v>
      </c>
      <c r="AH116" s="121">
        <f>IFERROR($M116+VLOOKUP($L116,'Voyage days'!$F$38:$H$89,3,FALSE),"")</f>
        <v>46141</v>
      </c>
      <c r="AI116" s="121">
        <f>IFERROR(N116+VLOOKUP($L116,'Voyage days'!$F$38:$H$89,3,FALSE),"")</f>
        <v>46142</v>
      </c>
      <c r="AJ116" s="120" t="str">
        <f t="shared" si="10"/>
        <v/>
      </c>
      <c r="AK116" s="121" t="str">
        <f>IFERROR($M116+VLOOKUP($L116,'Voyage days'!$F$94:$H$193,3,FALSE),"")</f>
        <v/>
      </c>
      <c r="AL116" s="121" t="str">
        <f>IFERROR($N116+VLOOKUP($L116,'Voyage days'!$F$94:$H$193,3,FALSE),"")</f>
        <v/>
      </c>
      <c r="AM116" s="120" t="str">
        <f t="shared" si="11"/>
        <v>25-26 May</v>
      </c>
      <c r="AN116" s="121">
        <f>IFERROR($M116+VLOOKUP($L116,'Voyage days'!$F$203:$H$256,3,FALSE),"")</f>
        <v>46167</v>
      </c>
      <c r="AO116" s="121">
        <f>IFERROR($N116+VLOOKUP($L116,'Voyage days'!$F$203:$H$256,3,FALSE),"")</f>
        <v>46168</v>
      </c>
      <c r="AP116" s="120" t="str">
        <f t="shared" si="12"/>
        <v>12-13 May</v>
      </c>
      <c r="AQ116" s="121">
        <f>IFERROR($M116+VLOOKUP($L116,'Voyage days'!$F$294:$H$377,3,FALSE),"")</f>
        <v>46154</v>
      </c>
      <c r="AR116" s="121">
        <f>IFERROR($N116+VLOOKUP($L116,'Voyage days'!$F$294:$H$377,3,FALSE),"")</f>
        <v>46155</v>
      </c>
      <c r="AS116" s="120" t="str">
        <f t="shared" si="13"/>
        <v>20-21 May</v>
      </c>
      <c r="AT116" s="121">
        <f>IFERROR($M116+VLOOKUP($L116,'Voyage days'!$F$382:$H$446,3,FALSE),"")</f>
        <v>46162</v>
      </c>
      <c r="AU116" s="121">
        <f>IFERROR($N116+VLOOKUP($L116,'Voyage days'!$F$382:$H$446,3,FALSE),"")</f>
        <v>46163</v>
      </c>
      <c r="AV116" s="120" t="str">
        <f t="shared" si="14"/>
        <v/>
      </c>
      <c r="AW116" s="121" t="str">
        <f>IFERROR($M116+VLOOKUP($L116,'Voyage days'!$F$483:$H$538,3,FALSE),"")</f>
        <v/>
      </c>
      <c r="AX116" s="121" t="str">
        <f>IFERROR($N116+VLOOKUP($L116,'Voyage days'!$F$483:$H$538,3,FALSE),"")</f>
        <v/>
      </c>
      <c r="AY116" s="120" t="str">
        <f t="shared" si="15"/>
        <v/>
      </c>
      <c r="AZ116" s="121" t="str">
        <f>IFERROR($M116+VLOOKUP($L116,'Voyage days'!$F$540:$H$613,3,FALSE),"")</f>
        <v/>
      </c>
      <c r="BA116" s="121" t="str">
        <f>IFERROR($N116+VLOOKUP($L116,'Voyage days'!$F$540:$H$613,3,FALSE),"")</f>
        <v/>
      </c>
      <c r="BB116" s="120" t="str">
        <f t="shared" si="16"/>
        <v>30-01 May</v>
      </c>
      <c r="BC116" s="121">
        <f>IFERROR($M116+VLOOKUP($L116,'Voyage days'!$F$448:$H$479,3,FALSE),"")</f>
        <v>46142</v>
      </c>
      <c r="BD116" s="121">
        <f>IFERROR($N116+VLOOKUP($L116,'Voyage days'!$F$448:$H$479,3,FALSE),"")</f>
        <v>46143</v>
      </c>
      <c r="BE116" s="120" t="str">
        <f t="shared" si="17"/>
        <v/>
      </c>
      <c r="BF116" s="122" t="str">
        <f>IFERROR($M116+VLOOKUP($L116,'Voyage days'!$F$620:$H$646,3,FALSE),"")</f>
        <v/>
      </c>
      <c r="BG116" s="122" t="str">
        <f>IFERROR($N116+VLOOKUP($L116,'Voyage days'!$F$620:$H$646,3,FALSE),"")</f>
        <v/>
      </c>
      <c r="BH116" s="120" t="str">
        <f t="shared" si="18"/>
        <v/>
      </c>
      <c r="BI116" s="123" t="str">
        <f>IFERROR($M116+VLOOKUP($L116,'Voyage days'!$F$702:$H$727,3,FALSE),"")</f>
        <v/>
      </c>
      <c r="BJ116" s="120" t="str">
        <f t="shared" si="19"/>
        <v>06-07 Jun</v>
      </c>
      <c r="BK116" s="122">
        <f>IFERROR($M116+VLOOKUP($L116,'Voyage days'!$F$807:$H$878,3,FALSE),"")</f>
        <v>46179</v>
      </c>
      <c r="BL116" s="122">
        <f>IFERROR($N116+VLOOKUP($L116,'Voyage days'!$F$807:$H$878,3,FALSE),"")</f>
        <v>46180</v>
      </c>
      <c r="BM116" s="122">
        <f>IFERROR($N116+VLOOKUP($L116,'Voyage days'!$F$807:$K$878,6,FALSE),"")</f>
        <v>46145</v>
      </c>
      <c r="BN116" s="121" t="str">
        <f>if(L116="loads AG", IFERROR($M116+VLOOKUP($L116,'Voyage days'!$M$38:$O$38,3,FALSE),""),"")</f>
        <v/>
      </c>
      <c r="BO116" s="121" t="str">
        <f>if(L116="loads USG", IFERROR($M116+VLOOKUP($L116,'Voyage days'!$L$203:$N$203,3,FALSE),""),"")</f>
        <v/>
      </c>
    </row>
    <row r="117" ht="15.75" customHeight="1">
      <c r="A117" s="80" t="s">
        <v>222</v>
      </c>
      <c r="B117" s="202">
        <v>2025.0</v>
      </c>
      <c r="C117" s="184">
        <v>88000.0</v>
      </c>
      <c r="D117" s="103"/>
      <c r="E117" s="103"/>
      <c r="F117" s="104"/>
      <c r="G117" s="104"/>
      <c r="H117" s="104"/>
      <c r="I117" s="401" t="s">
        <v>948</v>
      </c>
      <c r="J117" s="106"/>
      <c r="K117" s="205"/>
      <c r="L117" s="108" t="s">
        <v>677</v>
      </c>
      <c r="M117" s="109">
        <v>46139.0</v>
      </c>
      <c r="N117" s="109">
        <v>46140.0</v>
      </c>
      <c r="O117" s="191" t="s">
        <v>699</v>
      </c>
      <c r="P117" s="108" t="s">
        <v>949</v>
      </c>
      <c r="Q117" s="108"/>
      <c r="R117" s="108" t="s">
        <v>950</v>
      </c>
      <c r="S117" s="256" t="s">
        <v>659</v>
      </c>
      <c r="T117" s="113">
        <v>46124.0</v>
      </c>
      <c r="U117" s="114" t="str">
        <f>IF(V117="","No AIS",VLOOKUP(V117,'Voyage days'!$A$3:$B$1480,2,FALSE))</f>
        <v>Panama</v>
      </c>
      <c r="V117" s="115" t="str">
        <f>IF(VLOOKUP(A117,'1) Kpler'!$E$2:$P$1000,8, FALSE)="","",VLOOKUP(A117,'1) Kpler'!$E$2:$P$1000,8, FALSE))</f>
        <v>Panama Canal</v>
      </c>
      <c r="W117" s="116">
        <f>IF(VLOOKUP(A117,'1) Kpler'!$E$2:$P$1000,9,FALSE)="","",VLOOKUP(A117,'1) Kpler'!$E$2:$P$1000,9,FALSE))</f>
        <v>46139.875</v>
      </c>
      <c r="X117" s="115" t="str">
        <f>VLOOKUP(A117,'1) Kpler'!$E$2:$I$1000,4,FALSE)</f>
        <v>ballast</v>
      </c>
      <c r="Y117" s="160" t="str">
        <f t="shared" si="1"/>
        <v/>
      </c>
      <c r="Z117" s="160" t="str">
        <f t="shared" si="2"/>
        <v>08-09 May</v>
      </c>
      <c r="AA117" s="160" t="str">
        <f t="shared" si="3"/>
        <v/>
      </c>
      <c r="AB117" s="160" t="str">
        <f t="shared" si="4"/>
        <v/>
      </c>
      <c r="AC117" s="160" t="str">
        <f t="shared" si="5"/>
        <v/>
      </c>
      <c r="AD117" s="160" t="str">
        <f t="shared" si="6"/>
        <v/>
      </c>
      <c r="AE117" s="161" t="str">
        <f t="shared" si="7"/>
        <v/>
      </c>
      <c r="AF117" s="162" t="str">
        <f t="shared" si="8"/>
        <v/>
      </c>
      <c r="AG117" s="120" t="str">
        <f t="shared" si="9"/>
        <v/>
      </c>
      <c r="AH117" s="121" t="str">
        <f>IFERROR($M117+VLOOKUP($L117,'Voyage days'!$F$38:$H$89,3,FALSE),"")</f>
        <v/>
      </c>
      <c r="AI117" s="121" t="str">
        <f>IFERROR(N117+VLOOKUP($L117,'Voyage days'!$F$38:$H$89,3,FALSE),"")</f>
        <v/>
      </c>
      <c r="AJ117" s="120" t="str">
        <f t="shared" si="10"/>
        <v>08-09 May</v>
      </c>
      <c r="AK117" s="121">
        <f>IFERROR($M117+VLOOKUP($L117,'Voyage days'!$F$94:$H$193,3,FALSE),"")</f>
        <v>46150</v>
      </c>
      <c r="AL117" s="121">
        <f>IFERROR($N117+VLOOKUP($L117,'Voyage days'!$F$94:$H$193,3,FALSE),"")</f>
        <v>46151</v>
      </c>
      <c r="AM117" s="120" t="str">
        <f t="shared" si="11"/>
        <v/>
      </c>
      <c r="AN117" s="121" t="str">
        <f>IFERROR($M117+VLOOKUP($L117,'Voyage days'!$F$203:$H$256,3,FALSE),"")</f>
        <v/>
      </c>
      <c r="AO117" s="121" t="str">
        <f>IFERROR($N117+VLOOKUP($L117,'Voyage days'!$F$203:$H$256,3,FALSE),"")</f>
        <v/>
      </c>
      <c r="AP117" s="120" t="str">
        <f t="shared" si="12"/>
        <v/>
      </c>
      <c r="AQ117" s="121" t="str">
        <f>IFERROR($M117+VLOOKUP($L117,'Voyage days'!$F$294:$H$377,3,FALSE),"")</f>
        <v/>
      </c>
      <c r="AR117" s="121" t="str">
        <f>IFERROR($N117+VLOOKUP($L117,'Voyage days'!$F$294:$H$377,3,FALSE),"")</f>
        <v/>
      </c>
      <c r="AS117" s="120" t="str">
        <f t="shared" si="13"/>
        <v/>
      </c>
      <c r="AT117" s="121" t="str">
        <f>IFERROR($M117+VLOOKUP($L117,'Voyage days'!$F$382:$H$446,3,FALSE),"")</f>
        <v/>
      </c>
      <c r="AU117" s="121" t="str">
        <f>IFERROR($N117+VLOOKUP($L117,'Voyage days'!$F$382:$H$446,3,FALSE),"")</f>
        <v/>
      </c>
      <c r="AV117" s="120" t="str">
        <f t="shared" si="14"/>
        <v/>
      </c>
      <c r="AW117" s="121" t="str">
        <f>IFERROR($M117+VLOOKUP($L117,'Voyage days'!$F$483:$H$538,3,FALSE),"")</f>
        <v/>
      </c>
      <c r="AX117" s="121" t="str">
        <f>IFERROR($N117+VLOOKUP($L117,'Voyage days'!$F$483:$H$538,3,FALSE),"")</f>
        <v/>
      </c>
      <c r="AY117" s="120" t="str">
        <f t="shared" si="15"/>
        <v/>
      </c>
      <c r="AZ117" s="121" t="str">
        <f>IFERROR($M117+VLOOKUP($L117,'Voyage days'!$F$540:$H$613,3,FALSE),"")</f>
        <v/>
      </c>
      <c r="BA117" s="121" t="str">
        <f>IFERROR($N117+VLOOKUP($L117,'Voyage days'!$F$540:$H$613,3,FALSE),"")</f>
        <v/>
      </c>
      <c r="BB117" s="120" t="str">
        <f t="shared" si="16"/>
        <v/>
      </c>
      <c r="BC117" s="121" t="str">
        <f>IFERROR($M117+VLOOKUP($L117,'Voyage days'!$F$448:$H$479,3,FALSE),"")</f>
        <v/>
      </c>
      <c r="BD117" s="121" t="str">
        <f>IFERROR($N117+VLOOKUP($L117,'Voyage days'!$F$448:$H$479,3,FALSE),"")</f>
        <v/>
      </c>
      <c r="BE117" s="120" t="str">
        <f t="shared" si="17"/>
        <v/>
      </c>
      <c r="BF117" s="122" t="str">
        <f>IFERROR($M117+VLOOKUP($L117,'Voyage days'!$F$620:$H$646,3,FALSE),"")</f>
        <v/>
      </c>
      <c r="BG117" s="122" t="str">
        <f>IFERROR($N117+VLOOKUP($L117,'Voyage days'!$F$620:$H$646,3,FALSE),"")</f>
        <v/>
      </c>
      <c r="BH117" s="120" t="str">
        <f t="shared" si="18"/>
        <v/>
      </c>
      <c r="BI117" s="123" t="str">
        <f>IFERROR($M117+VLOOKUP($L117,'Voyage days'!$F$702:$H$727,3,FALSE),"")</f>
        <v/>
      </c>
      <c r="BJ117" s="120" t="str">
        <f t="shared" si="19"/>
        <v/>
      </c>
      <c r="BK117" s="122" t="str">
        <f>IFERROR($M117+VLOOKUP($L117,'Voyage days'!$F$807:$H$878,3,FALSE),"")</f>
        <v/>
      </c>
      <c r="BL117" s="122" t="str">
        <f>IFERROR($N117+VLOOKUP($L117,'Voyage days'!$F$807:$H$878,3,FALSE),"")</f>
        <v/>
      </c>
      <c r="BM117" s="122" t="str">
        <f>IFERROR($N117+VLOOKUP($L117,'Voyage days'!$F$807:$K$878,6,FALSE),"")</f>
        <v/>
      </c>
      <c r="BN117" s="121" t="str">
        <f>if(L117="loads AG", IFERROR($M117+VLOOKUP($L117,'Voyage days'!$M$38:$O$38,3,FALSE),""),"")</f>
        <v/>
      </c>
      <c r="BO117" s="121" t="str">
        <f>if(L117="loads USG", IFERROR($M117+VLOOKUP($L117,'Voyage days'!$L$203:$N$203,3,FALSE),""),"")</f>
        <v/>
      </c>
    </row>
    <row r="118" ht="15.75" customHeight="1">
      <c r="A118" s="80" t="s">
        <v>394</v>
      </c>
      <c r="B118" s="148">
        <v>2022.0</v>
      </c>
      <c r="C118" s="102">
        <v>90000.0</v>
      </c>
      <c r="D118" s="103"/>
      <c r="E118" s="103"/>
      <c r="F118" s="104"/>
      <c r="G118" s="104"/>
      <c r="H118" s="104" t="s">
        <v>666</v>
      </c>
      <c r="I118" s="332" t="s">
        <v>942</v>
      </c>
      <c r="J118" s="106" t="str">
        <f t="shared" ref="J118:J120" si="24">IF(W118="","NO AIS",IF((W118-M118-1)&gt;0,"Update",""))</f>
        <v>NO AIS</v>
      </c>
      <c r="K118" s="107"/>
      <c r="L118" s="108" t="s">
        <v>951</v>
      </c>
      <c r="M118" s="109">
        <v>46129.0</v>
      </c>
      <c r="N118" s="109">
        <v>46130.0</v>
      </c>
      <c r="O118" s="334"/>
      <c r="P118" s="197" t="s">
        <v>952</v>
      </c>
      <c r="Q118" s="185"/>
      <c r="R118" s="108" t="s">
        <v>953</v>
      </c>
      <c r="S118" s="256" t="s">
        <v>659</v>
      </c>
      <c r="T118" s="113">
        <v>46124.0</v>
      </c>
      <c r="U118" s="114" t="str">
        <f>IF(V118="","No AIS",VLOOKUP(V118,'Voyage days'!$A$3:$B$1480,2,FALSE))</f>
        <v>No AIS</v>
      </c>
      <c r="V118" s="115" t="str">
        <f>IF(VLOOKUP(A118,'1) Kpler'!$E$2:$P$1000,8, FALSE)="","",VLOOKUP(A118,'1) Kpler'!$E$2:$P$1000,8, FALSE))</f>
        <v/>
      </c>
      <c r="W118" s="116" t="str">
        <f>IF(VLOOKUP(A118,'1) Kpler'!$E$2:$P$1000,9,FALSE)="","",VLOOKUP(A118,'1) Kpler'!$E$2:$P$1000,9,FALSE))</f>
        <v/>
      </c>
      <c r="X118" s="115" t="str">
        <f>VLOOKUP(A118,'1) Kpler'!$E$2:$I$1000,4,FALSE)</f>
        <v>loaded</v>
      </c>
      <c r="Y118" s="160" t="str">
        <f t="shared" si="1"/>
        <v>26-27 Apr</v>
      </c>
      <c r="Z118" s="160" t="str">
        <f t="shared" si="2"/>
        <v>04-05 Jun</v>
      </c>
      <c r="AA118" s="160" t="str">
        <f t="shared" si="3"/>
        <v>14-15 May</v>
      </c>
      <c r="AB118" s="160" t="str">
        <f t="shared" si="4"/>
        <v>01-02 May</v>
      </c>
      <c r="AC118" s="160" t="str">
        <f t="shared" si="5"/>
        <v>02-03 May</v>
      </c>
      <c r="AD118" s="160" t="str">
        <f t="shared" si="6"/>
        <v>28-29 Apr</v>
      </c>
      <c r="AE118" s="161" t="str">
        <f t="shared" si="7"/>
        <v>02-03 May</v>
      </c>
      <c r="AF118" s="162" t="str">
        <f t="shared" si="8"/>
        <v>17-18 Apr</v>
      </c>
      <c r="AG118" s="120" t="str">
        <f t="shared" si="9"/>
        <v>26-27 Apr</v>
      </c>
      <c r="AH118" s="121">
        <f>IFERROR($M118+VLOOKUP($L118,'Voyage days'!$F$38:$H$89,3,FALSE),"")</f>
        <v>46138</v>
      </c>
      <c r="AI118" s="121">
        <f>IFERROR(N118+VLOOKUP($L118,'Voyage days'!$F$38:$H$89,3,FALSE),"")</f>
        <v>46139</v>
      </c>
      <c r="AJ118" s="120" t="str">
        <f t="shared" si="10"/>
        <v>04-05 Jun</v>
      </c>
      <c r="AK118" s="121">
        <f>IFERROR($M118+VLOOKUP($L118,'Voyage days'!$F$94:$H$193,3,FALSE),"")</f>
        <v>46177</v>
      </c>
      <c r="AL118" s="121">
        <f>IFERROR($N118+VLOOKUP($L118,'Voyage days'!$F$94:$H$193,3,FALSE),"")</f>
        <v>46178</v>
      </c>
      <c r="AM118" s="120" t="str">
        <f t="shared" si="11"/>
        <v>14-15 May</v>
      </c>
      <c r="AN118" s="121">
        <f>IFERROR($M118+VLOOKUP($L118,'Voyage days'!$F$203:$H$256,3,FALSE),"")</f>
        <v>46156</v>
      </c>
      <c r="AO118" s="121">
        <f>IFERROR($N118+VLOOKUP($L118,'Voyage days'!$F$203:$H$256,3,FALSE),"")</f>
        <v>46157</v>
      </c>
      <c r="AP118" s="120" t="str">
        <f t="shared" si="12"/>
        <v>01-02 May</v>
      </c>
      <c r="AQ118" s="121">
        <f>IFERROR($M118+VLOOKUP($L118,'Voyage days'!$F$294:$H$377,3,FALSE),"")</f>
        <v>46143</v>
      </c>
      <c r="AR118" s="121">
        <f>IFERROR($N118+VLOOKUP($L118,'Voyage days'!$F$294:$H$377,3,FALSE),"")</f>
        <v>46144</v>
      </c>
      <c r="AS118" s="120" t="str">
        <f t="shared" si="13"/>
        <v>02-03 May</v>
      </c>
      <c r="AT118" s="121">
        <f>IFERROR($M118+VLOOKUP($L118,'Voyage days'!$F$382:$H$446,3,FALSE),"")</f>
        <v>46144</v>
      </c>
      <c r="AU118" s="121">
        <f>IFERROR($N118+VLOOKUP($L118,'Voyage days'!$F$382:$H$446,3,FALSE),"")</f>
        <v>46145</v>
      </c>
      <c r="AV118" s="120" t="str">
        <f t="shared" si="14"/>
        <v>04-05 May</v>
      </c>
      <c r="AW118" s="121">
        <f>IFERROR($M118+VLOOKUP($L118,'Voyage days'!$F$483:$H$538,3,FALSE),"")</f>
        <v>46146</v>
      </c>
      <c r="AX118" s="121">
        <f>IFERROR($N118+VLOOKUP($L118,'Voyage days'!$F$483:$H$538,3,FALSE),"")</f>
        <v>46147</v>
      </c>
      <c r="AY118" s="120" t="str">
        <f t="shared" si="15"/>
        <v>02-03 May</v>
      </c>
      <c r="AZ118" s="121">
        <f>IFERROR($M118+VLOOKUP($L118,'Voyage days'!$F$540:$H$613,3,FALSE),"")</f>
        <v>46144</v>
      </c>
      <c r="BA118" s="121">
        <f>IFERROR($N118+VLOOKUP($L118,'Voyage days'!$F$540:$H$613,3,FALSE),"")</f>
        <v>46145</v>
      </c>
      <c r="BB118" s="120" t="str">
        <f t="shared" si="16"/>
        <v>28-29 Apr</v>
      </c>
      <c r="BC118" s="121">
        <f>IFERROR($M118+VLOOKUP($L118,'Voyage days'!$F$448:$H$479,3,FALSE),"")</f>
        <v>46140</v>
      </c>
      <c r="BD118" s="121">
        <f>IFERROR($N118+VLOOKUP($L118,'Voyage days'!$F$448:$H$479,3,FALSE),"")</f>
        <v>46141</v>
      </c>
      <c r="BE118" s="120" t="str">
        <f t="shared" si="17"/>
        <v/>
      </c>
      <c r="BF118" s="122" t="str">
        <f>IFERROR($M118+VLOOKUP($L118,'Voyage days'!$F$620:$H$646,3,FALSE),"")</f>
        <v/>
      </c>
      <c r="BG118" s="122" t="str">
        <f>IFERROR($N118+VLOOKUP($L118,'Voyage days'!$F$620:$H$646,3,FALSE),"")</f>
        <v/>
      </c>
      <c r="BH118" s="120" t="str">
        <f t="shared" si="18"/>
        <v>02-18 Apr</v>
      </c>
      <c r="BI118" s="123">
        <f>IFERROR($M118+VLOOKUP($L118,'Voyage days'!$F$702:$H$727,3,FALSE),"")</f>
        <v>46144</v>
      </c>
      <c r="BJ118" s="120" t="str">
        <f t="shared" si="19"/>
        <v>17-18 Apr</v>
      </c>
      <c r="BK118" s="122">
        <f>IFERROR($M118+VLOOKUP($L118,'Voyage days'!$F$807:$H$878,3,FALSE),"")</f>
        <v>46129</v>
      </c>
      <c r="BL118" s="122">
        <f>IFERROR($N118+VLOOKUP($L118,'Voyage days'!$F$807:$H$878,3,FALSE),"")</f>
        <v>46130</v>
      </c>
      <c r="BM118" s="122">
        <f>IFERROR($N118+VLOOKUP($L118,'Voyage days'!$F$807:$K$878,6,FALSE),"")</f>
        <v>46143</v>
      </c>
      <c r="BN118" s="121" t="str">
        <f>if(L118="loads AG", IFERROR($M118+VLOOKUP($L118,'Voyage days'!$M$38:$O$38,3,FALSE),""),"")</f>
        <v/>
      </c>
      <c r="BO118" s="121" t="str">
        <f>if(L118="loads USG", IFERROR($M118+VLOOKUP($L118,'Voyage days'!$L$203:$N$203,3,FALSE),""),"")</f>
        <v/>
      </c>
    </row>
    <row r="119" ht="15.75" customHeight="1">
      <c r="A119" s="164" t="s">
        <v>452</v>
      </c>
      <c r="B119" s="165">
        <v>2024.0</v>
      </c>
      <c r="C119" s="166">
        <v>88000.0</v>
      </c>
      <c r="D119" s="223"/>
      <c r="E119" s="223"/>
      <c r="F119" s="168"/>
      <c r="G119" s="168"/>
      <c r="H119" s="168" t="s">
        <v>666</v>
      </c>
      <c r="I119" s="397" t="s">
        <v>942</v>
      </c>
      <c r="J119" s="170" t="str">
        <f t="shared" si="24"/>
        <v>NO AIS</v>
      </c>
      <c r="K119" s="171"/>
      <c r="L119" s="172" t="s">
        <v>680</v>
      </c>
      <c r="M119" s="173">
        <v>46143.0</v>
      </c>
      <c r="N119" s="173">
        <v>46147.0</v>
      </c>
      <c r="O119" s="167"/>
      <c r="P119" s="172" t="s">
        <v>954</v>
      </c>
      <c r="Q119" s="312"/>
      <c r="R119" s="172" t="s">
        <v>955</v>
      </c>
      <c r="S119" s="175" t="s">
        <v>659</v>
      </c>
      <c r="T119" s="176">
        <v>46124.0</v>
      </c>
      <c r="U119" s="177" t="str">
        <f>IF(V119="","No AIS",VLOOKUP(V119,'Voyage days'!$A$3:$B$1480,2,FALSE))</f>
        <v>No AIS</v>
      </c>
      <c r="V119" s="178" t="str">
        <f>IF(VLOOKUP(A119,'1) Kpler'!$E$2:$P$1000,8, FALSE)="","",VLOOKUP(A119,'1) Kpler'!$E$2:$P$1000,8, FALSE))</f>
        <v/>
      </c>
      <c r="W119" s="179" t="str">
        <f>IF(VLOOKUP(A119,'1) Kpler'!$E$2:$P$1000,9,FALSE)="","",VLOOKUP(A119,'1) Kpler'!$E$2:$P$1000,9,FALSE))</f>
        <v/>
      </c>
      <c r="X119" s="178" t="str">
        <f>VLOOKUP(A119,'1) Kpler'!$E$2:$I$1000,4,FALSE)</f>
        <v>ballast</v>
      </c>
      <c r="Y119" s="180" t="str">
        <f t="shared" si="1"/>
        <v/>
      </c>
      <c r="Z119" s="180" t="str">
        <f t="shared" si="2"/>
        <v>01-05 May</v>
      </c>
      <c r="AA119" s="180" t="str">
        <f t="shared" si="3"/>
        <v>01-05 May</v>
      </c>
      <c r="AB119" s="180" t="str">
        <f t="shared" si="4"/>
        <v/>
      </c>
      <c r="AC119" s="180" t="str">
        <f t="shared" si="5"/>
        <v>21-25 May</v>
      </c>
      <c r="AD119" s="180" t="str">
        <f t="shared" si="6"/>
        <v/>
      </c>
      <c r="AE119" s="181" t="str">
        <f t="shared" si="7"/>
        <v/>
      </c>
      <c r="AF119" s="182" t="str">
        <f t="shared" si="8"/>
        <v/>
      </c>
      <c r="AG119" s="120" t="str">
        <f t="shared" si="9"/>
        <v/>
      </c>
      <c r="AH119" s="121" t="str">
        <f>IFERROR($M119+VLOOKUP($L119,'Voyage days'!$F$38:$H$89,3,FALSE),"")</f>
        <v/>
      </c>
      <c r="AI119" s="121" t="str">
        <f>IFERROR(N119+VLOOKUP($L119,'Voyage days'!$F$38:$H$89,3,FALSE),"")</f>
        <v/>
      </c>
      <c r="AJ119" s="120" t="str">
        <f t="shared" si="10"/>
        <v>01-05 May</v>
      </c>
      <c r="AK119" s="121">
        <f>IFERROR($M119+VLOOKUP($L119,'Voyage days'!$F$94:$H$193,3,FALSE),"")</f>
        <v>46143</v>
      </c>
      <c r="AL119" s="121">
        <f>IFERROR($N119+VLOOKUP($L119,'Voyage days'!$F$94:$H$193,3,FALSE),"")</f>
        <v>46147</v>
      </c>
      <c r="AM119" s="120" t="str">
        <f t="shared" si="11"/>
        <v>01-05 May</v>
      </c>
      <c r="AN119" s="121">
        <f>IFERROR($M119+VLOOKUP($L119,'Voyage days'!$F$203:$H$256,3,FALSE),"")</f>
        <v>46143</v>
      </c>
      <c r="AO119" s="121">
        <f>IFERROR($N119+VLOOKUP($L119,'Voyage days'!$F$203:$H$256,3,FALSE),"")</f>
        <v>46147</v>
      </c>
      <c r="AP119" s="120" t="str">
        <f t="shared" si="12"/>
        <v/>
      </c>
      <c r="AQ119" s="121" t="str">
        <f>IFERROR($M119+VLOOKUP($L119,'Voyage days'!$F$294:$H$377,3,FALSE),"")</f>
        <v/>
      </c>
      <c r="AR119" s="121" t="str">
        <f>IFERROR($N119+VLOOKUP($L119,'Voyage days'!$F$294:$H$377,3,FALSE),"")</f>
        <v/>
      </c>
      <c r="AS119" s="120" t="str">
        <f t="shared" si="13"/>
        <v>21-25 May</v>
      </c>
      <c r="AT119" s="121">
        <f>IFERROR($M119+VLOOKUP($L119,'Voyage days'!$F$382:$H$446,3,FALSE),"")</f>
        <v>46163</v>
      </c>
      <c r="AU119" s="121">
        <f>IFERROR($N119+VLOOKUP($L119,'Voyage days'!$F$382:$H$446,3,FALSE),"")</f>
        <v>46167</v>
      </c>
      <c r="AV119" s="120" t="str">
        <f t="shared" si="14"/>
        <v/>
      </c>
      <c r="AW119" s="121" t="str">
        <f>IFERROR($M119+VLOOKUP($L119,'Voyage days'!$F$483:$H$538,3,FALSE),"")</f>
        <v/>
      </c>
      <c r="AX119" s="121" t="str">
        <f>IFERROR($N119+VLOOKUP($L119,'Voyage days'!$F$483:$H$538,3,FALSE),"")</f>
        <v/>
      </c>
      <c r="AY119" s="120" t="str">
        <f t="shared" si="15"/>
        <v/>
      </c>
      <c r="AZ119" s="121" t="str">
        <f>IFERROR($M119+VLOOKUP($L119,'Voyage days'!$F$540:$H$613,3,FALSE),"")</f>
        <v/>
      </c>
      <c r="BA119" s="121" t="str">
        <f>IFERROR($N119+VLOOKUP($L119,'Voyage days'!$F$540:$H$613,3,FALSE),"")</f>
        <v/>
      </c>
      <c r="BB119" s="120" t="str">
        <f t="shared" si="16"/>
        <v/>
      </c>
      <c r="BC119" s="121" t="str">
        <f>IFERROR($M119+VLOOKUP($L119,'Voyage days'!$F$448:$H$479,3,FALSE),"")</f>
        <v/>
      </c>
      <c r="BD119" s="121" t="str">
        <f>IFERROR($N119+VLOOKUP($L119,'Voyage days'!$F$448:$H$479,3,FALSE),"")</f>
        <v/>
      </c>
      <c r="BE119" s="120" t="str">
        <f t="shared" si="17"/>
        <v/>
      </c>
      <c r="BF119" s="122" t="str">
        <f>IFERROR($M119+VLOOKUP($L119,'Voyage days'!$F$620:$H$646,3,FALSE),"")</f>
        <v/>
      </c>
      <c r="BG119" s="122" t="str">
        <f>IFERROR($N119+VLOOKUP($L119,'Voyage days'!$F$620:$H$646,3,FALSE),"")</f>
        <v/>
      </c>
      <c r="BH119" s="120" t="str">
        <f t="shared" si="18"/>
        <v/>
      </c>
      <c r="BI119" s="123" t="str">
        <f>IFERROR($M119+VLOOKUP($L119,'Voyage days'!$F$702:$H$727,3,FALSE),"")</f>
        <v/>
      </c>
      <c r="BJ119" s="120" t="str">
        <f t="shared" si="19"/>
        <v/>
      </c>
      <c r="BK119" s="122" t="str">
        <f>IFERROR($M119+VLOOKUP($L119,'Voyage days'!$F$807:$H$878,3,FALSE),"")</f>
        <v/>
      </c>
      <c r="BL119" s="122" t="str">
        <f>IFERROR($N119+VLOOKUP($L119,'Voyage days'!$F$807:$H$878,3,FALSE),"")</f>
        <v/>
      </c>
      <c r="BM119" s="122" t="str">
        <f>IFERROR($N119+VLOOKUP($L119,'Voyage days'!$F$807:$K$878,6,FALSE),"")</f>
        <v/>
      </c>
      <c r="BN119" s="121" t="str">
        <f>if(L119="loads AG", IFERROR($M119+VLOOKUP($L119,'Voyage days'!$M$38:$O$38,3,FALSE),""),"")</f>
        <v/>
      </c>
      <c r="BO119" s="121">
        <f>if(L119="loads USG", IFERROR($M119+VLOOKUP($L119,'Voyage days'!$L$203:$N$203,3,FALSE),""),"")</f>
        <v>46175</v>
      </c>
    </row>
    <row r="120" ht="15.75" customHeight="1">
      <c r="A120" s="80" t="s">
        <v>444</v>
      </c>
      <c r="B120" s="148">
        <v>2023.0</v>
      </c>
      <c r="C120" s="184">
        <v>91000.0</v>
      </c>
      <c r="D120" s="103"/>
      <c r="E120" s="103"/>
      <c r="F120" s="104"/>
      <c r="G120" s="104"/>
      <c r="H120" s="104" t="s">
        <v>666</v>
      </c>
      <c r="I120" s="332" t="s">
        <v>956</v>
      </c>
      <c r="J120" s="106" t="str">
        <f t="shared" si="24"/>
        <v/>
      </c>
      <c r="K120" s="107"/>
      <c r="L120" s="108" t="s">
        <v>957</v>
      </c>
      <c r="M120" s="109">
        <v>46134.0</v>
      </c>
      <c r="N120" s="109">
        <v>46135.0</v>
      </c>
      <c r="O120" s="191"/>
      <c r="P120" s="108" t="s">
        <v>958</v>
      </c>
      <c r="Q120" s="108"/>
      <c r="R120" s="108" t="s">
        <v>959</v>
      </c>
      <c r="S120" s="256" t="s">
        <v>659</v>
      </c>
      <c r="T120" s="113">
        <v>46124.0</v>
      </c>
      <c r="U120" s="114" t="str">
        <f>IF(V120="","No AIS",VLOOKUP(V120,'Voyage days'!$A$3:$B$1480,2,FALSE))</f>
        <v>Taiwan + 2</v>
      </c>
      <c r="V120" s="115" t="str">
        <f>IF(VLOOKUP(A120,'1) Kpler'!$E$2:$P$1000,8, FALSE)="","",VLOOKUP(A120,'1) Kpler'!$E$2:$P$1000,8, FALSE))</f>
        <v>Mailiao</v>
      </c>
      <c r="W120" s="116">
        <f>IF(VLOOKUP(A120,'1) Kpler'!$E$2:$P$1000,9,FALSE)="","",VLOOKUP(A120,'1) Kpler'!$E$2:$P$1000,9,FALSE))</f>
        <v>46132.79167</v>
      </c>
      <c r="X120" s="115" t="str">
        <f>VLOOKUP(A120,'1) Kpler'!$E$2:$I$1000,4,FALSE)</f>
        <v>loaded</v>
      </c>
      <c r="Y120" s="117" t="str">
        <f t="shared" si="1"/>
        <v>08-09 May</v>
      </c>
      <c r="Z120" s="117" t="str">
        <f t="shared" si="2"/>
        <v>28-29 May</v>
      </c>
      <c r="AA120" s="117" t="str">
        <f t="shared" si="3"/>
        <v>05-06 Jun</v>
      </c>
      <c r="AB120" s="117" t="str">
        <f t="shared" si="4"/>
        <v>20-21 May</v>
      </c>
      <c r="AC120" s="117" t="str">
        <f t="shared" si="5"/>
        <v>26-27 May</v>
      </c>
      <c r="AD120" s="117" t="str">
        <f t="shared" si="6"/>
        <v>28-29 Apr</v>
      </c>
      <c r="AE120" s="118" t="str">
        <f t="shared" si="7"/>
        <v>29-30 Apr</v>
      </c>
      <c r="AF120" s="119" t="str">
        <f t="shared" si="8"/>
        <v>05-06 Jun</v>
      </c>
      <c r="AG120" s="120" t="str">
        <f t="shared" si="9"/>
        <v>08-09 May</v>
      </c>
      <c r="AH120" s="121">
        <f>IFERROR($M120+VLOOKUP($L120,'Voyage days'!$F$38:$H$89,3,FALSE),"")</f>
        <v>46150</v>
      </c>
      <c r="AI120" s="121">
        <f>IFERROR(N120+VLOOKUP($L120,'Voyage days'!$F$38:$H$89,3,FALSE),"")</f>
        <v>46151</v>
      </c>
      <c r="AJ120" s="120" t="str">
        <f t="shared" si="10"/>
        <v>28-29 May</v>
      </c>
      <c r="AK120" s="121">
        <f>IFERROR($M120+VLOOKUP($L120,'Voyage days'!$F$94:$H$193,3,FALSE),"")</f>
        <v>46170</v>
      </c>
      <c r="AL120" s="121">
        <f>IFERROR($N120+VLOOKUP($L120,'Voyage days'!$F$94:$H$193,3,FALSE),"")</f>
        <v>46171</v>
      </c>
      <c r="AM120" s="120" t="str">
        <f t="shared" si="11"/>
        <v>05-06 Jun</v>
      </c>
      <c r="AN120" s="121">
        <f>IFERROR($M120+VLOOKUP($L120,'Voyage days'!$F$203:$H$256,3,FALSE),"")</f>
        <v>46178</v>
      </c>
      <c r="AO120" s="121">
        <f>IFERROR($N120+VLOOKUP($L120,'Voyage days'!$F$203:$H$256,3,FALSE),"")</f>
        <v>46179</v>
      </c>
      <c r="AP120" s="120" t="str">
        <f t="shared" si="12"/>
        <v>20-21 May</v>
      </c>
      <c r="AQ120" s="121">
        <f>IFERROR($M120+VLOOKUP($L120,'Voyage days'!$F$294:$H$377,3,FALSE),"")</f>
        <v>46162</v>
      </c>
      <c r="AR120" s="121">
        <f>IFERROR($N120+VLOOKUP($L120,'Voyage days'!$F$294:$H$377,3,FALSE),"")</f>
        <v>46163</v>
      </c>
      <c r="AS120" s="120" t="str">
        <f t="shared" si="13"/>
        <v>26-27 May</v>
      </c>
      <c r="AT120" s="121">
        <f>IFERROR($M120+VLOOKUP($L120,'Voyage days'!$F$382:$H$446,3,FALSE),"")</f>
        <v>46168</v>
      </c>
      <c r="AU120" s="121">
        <f>IFERROR($N120+VLOOKUP($L120,'Voyage days'!$F$382:$H$446,3,FALSE),"")</f>
        <v>46169</v>
      </c>
      <c r="AV120" s="120" t="str">
        <f t="shared" si="14"/>
        <v>05-06 May</v>
      </c>
      <c r="AW120" s="121">
        <f>IFERROR($M120+VLOOKUP($L120,'Voyage days'!$F$483:$H$538,3,FALSE),"")</f>
        <v>46147</v>
      </c>
      <c r="AX120" s="121">
        <f>IFERROR($N120+VLOOKUP($L120,'Voyage days'!$F$483:$H$538,3,FALSE),"")</f>
        <v>46148</v>
      </c>
      <c r="AY120" s="120" t="str">
        <f t="shared" si="15"/>
        <v>29-30 Apr</v>
      </c>
      <c r="AZ120" s="121">
        <f>IFERROR($M120+VLOOKUP($L120,'Voyage days'!$F$540:$H$613,3,FALSE),"")</f>
        <v>46141</v>
      </c>
      <c r="BA120" s="121">
        <f>IFERROR($N120+VLOOKUP($L120,'Voyage days'!$F$540:$H$613,3,FALSE),"")</f>
        <v>46142</v>
      </c>
      <c r="BB120" s="120" t="str">
        <f t="shared" si="16"/>
        <v>28-29 Apr</v>
      </c>
      <c r="BC120" s="121">
        <f>IFERROR($M120+VLOOKUP($L120,'Voyage days'!$F$448:$H$479,3,FALSE),"")</f>
        <v>46140</v>
      </c>
      <c r="BD120" s="121">
        <f>IFERROR($N120+VLOOKUP($L120,'Voyage days'!$F$448:$H$479,3,FALSE),"")</f>
        <v>46141</v>
      </c>
      <c r="BE120" s="120" t="str">
        <f t="shared" si="17"/>
        <v>06-07 May</v>
      </c>
      <c r="BF120" s="122">
        <f>IFERROR($M120+VLOOKUP($L120,'Voyage days'!$F$620:$H$646,3,FALSE),"")</f>
        <v>46148</v>
      </c>
      <c r="BG120" s="122">
        <f>IFERROR($N120+VLOOKUP($L120,'Voyage days'!$F$620:$H$646,3,FALSE),"")</f>
        <v>46149</v>
      </c>
      <c r="BH120" s="120" t="str">
        <f t="shared" si="18"/>
        <v>29-06 Jun</v>
      </c>
      <c r="BI120" s="123">
        <f>IFERROR($M120+VLOOKUP($L120,'Voyage days'!$F$702:$H$727,3,FALSE),"")</f>
        <v>46141</v>
      </c>
      <c r="BJ120" s="120" t="str">
        <f t="shared" si="19"/>
        <v>05-06 Jun</v>
      </c>
      <c r="BK120" s="122">
        <f>IFERROR($M120+VLOOKUP($L120,'Voyage days'!$F$807:$H$878,3,FALSE),"")</f>
        <v>46178</v>
      </c>
      <c r="BL120" s="122">
        <f>IFERROR($N120+VLOOKUP($L120,'Voyage days'!$F$807:$H$878,3,FALSE),"")</f>
        <v>46179</v>
      </c>
      <c r="BM120" s="122">
        <f>IFERROR($N120+VLOOKUP($L120,'Voyage days'!$F$807:$K$878,6,FALSE),"")</f>
        <v>46152</v>
      </c>
      <c r="BN120" s="121" t="str">
        <f>if(L120="loads AG", IFERROR($M120+VLOOKUP($L120,'Voyage days'!$M$38:$O$38,3,FALSE),""),"")</f>
        <v/>
      </c>
      <c r="BO120" s="121" t="str">
        <f>if(L120="loads USG", IFERROR($M120+VLOOKUP($L120,'Voyage days'!$L$203:$N$203,3,FALSE),""),"")</f>
        <v/>
      </c>
    </row>
    <row r="121" ht="15.75" customHeight="1">
      <c r="A121" s="460" t="s">
        <v>520</v>
      </c>
      <c r="B121" s="202">
        <v>2025.0</v>
      </c>
      <c r="C121" s="203">
        <v>88000.0</v>
      </c>
      <c r="D121" s="103"/>
      <c r="E121" s="103"/>
      <c r="F121" s="104"/>
      <c r="G121" s="104"/>
      <c r="H121" s="104" t="s">
        <v>666</v>
      </c>
      <c r="I121" s="332" t="s">
        <v>956</v>
      </c>
      <c r="J121" s="336"/>
      <c r="K121" s="107"/>
      <c r="L121" s="199" t="s">
        <v>680</v>
      </c>
      <c r="M121" s="109">
        <v>46125.0</v>
      </c>
      <c r="N121" s="109">
        <v>46126.0</v>
      </c>
      <c r="O121" s="191"/>
      <c r="P121" s="108" t="s">
        <v>876</v>
      </c>
      <c r="Q121" s="108"/>
      <c r="R121" s="108" t="s">
        <v>960</v>
      </c>
      <c r="S121" s="256" t="s">
        <v>659</v>
      </c>
      <c r="T121" s="113">
        <v>46125.0</v>
      </c>
      <c r="U121" s="114" t="str">
        <f>IF(V121="","No AIS",VLOOKUP(V121,'Voyage days'!$A$3:$B$1480,2,FALSE))</f>
        <v>Panama</v>
      </c>
      <c r="V121" s="115" t="str">
        <f>IF(VLOOKUP(A121,'1) Kpler'!$E$2:$P$1000,8, FALSE)="","",VLOOKUP(A121,'1) Kpler'!$E$2:$P$1000,8, FALSE))</f>
        <v>Panama Canal</v>
      </c>
      <c r="W121" s="116">
        <f>IF(VLOOKUP(A121,'1) Kpler'!$E$2:$P$1000,9,FALSE)="","",VLOOKUP(A121,'1) Kpler'!$E$2:$P$1000,9,FALSE))</f>
        <v>46133.25</v>
      </c>
      <c r="X121" s="115" t="str">
        <f>VLOOKUP(A121,'1) Kpler'!$E$2:$I$1000,4,FALSE)</f>
        <v>loaded</v>
      </c>
      <c r="Y121" s="117" t="str">
        <f t="shared" si="1"/>
        <v/>
      </c>
      <c r="Z121" s="117" t="str">
        <f t="shared" si="2"/>
        <v>13-14 Apr</v>
      </c>
      <c r="AA121" s="117" t="str">
        <f t="shared" si="3"/>
        <v>13-14 Apr</v>
      </c>
      <c r="AB121" s="117" t="str">
        <f t="shared" si="4"/>
        <v/>
      </c>
      <c r="AC121" s="117" t="str">
        <f t="shared" si="5"/>
        <v>03-04 May</v>
      </c>
      <c r="AD121" s="117" t="str">
        <f t="shared" si="6"/>
        <v/>
      </c>
      <c r="AE121" s="118" t="str">
        <f t="shared" si="7"/>
        <v/>
      </c>
      <c r="AF121" s="119" t="str">
        <f t="shared" si="8"/>
        <v/>
      </c>
      <c r="AG121" s="120" t="str">
        <f t="shared" si="9"/>
        <v/>
      </c>
      <c r="AH121" s="121" t="str">
        <f>IFERROR($M121+VLOOKUP($L121,'Voyage days'!$F$38:$H$89,3,FALSE),"")</f>
        <v/>
      </c>
      <c r="AI121" s="121" t="str">
        <f>IFERROR(N121+VLOOKUP($L121,'Voyage days'!$F$38:$H$89,3,FALSE),"")</f>
        <v/>
      </c>
      <c r="AJ121" s="120" t="str">
        <f t="shared" si="10"/>
        <v>13-14 Apr</v>
      </c>
      <c r="AK121" s="121">
        <f>IFERROR($M121+VLOOKUP($L121,'Voyage days'!$F$94:$H$193,3,FALSE),"")</f>
        <v>46125</v>
      </c>
      <c r="AL121" s="121">
        <f>IFERROR($N121+VLOOKUP($L121,'Voyage days'!$F$94:$H$193,3,FALSE),"")</f>
        <v>46126</v>
      </c>
      <c r="AM121" s="120" t="str">
        <f t="shared" si="11"/>
        <v>13-14 Apr</v>
      </c>
      <c r="AN121" s="121">
        <f>IFERROR($M121+VLOOKUP($L121,'Voyage days'!$F$203:$H$256,3,FALSE),"")</f>
        <v>46125</v>
      </c>
      <c r="AO121" s="121">
        <f>IFERROR($N121+VLOOKUP($L121,'Voyage days'!$F$203:$H$256,3,FALSE),"")</f>
        <v>46126</v>
      </c>
      <c r="AP121" s="120" t="str">
        <f t="shared" si="12"/>
        <v/>
      </c>
      <c r="AQ121" s="121" t="str">
        <f>IFERROR($M121+VLOOKUP($L121,'Voyage days'!$F$294:$H$377,3,FALSE),"")</f>
        <v/>
      </c>
      <c r="AR121" s="121" t="str">
        <f>IFERROR($N121+VLOOKUP($L121,'Voyage days'!$F$294:$H$377,3,FALSE),"")</f>
        <v/>
      </c>
      <c r="AS121" s="120" t="str">
        <f t="shared" si="13"/>
        <v>03-04 May</v>
      </c>
      <c r="AT121" s="121">
        <f>IFERROR($M121+VLOOKUP($L121,'Voyage days'!$F$382:$H$446,3,FALSE),"")</f>
        <v>46145</v>
      </c>
      <c r="AU121" s="121">
        <f>IFERROR($N121+VLOOKUP($L121,'Voyage days'!$F$382:$H$446,3,FALSE),"")</f>
        <v>46146</v>
      </c>
      <c r="AV121" s="120" t="str">
        <f t="shared" si="14"/>
        <v/>
      </c>
      <c r="AW121" s="121" t="str">
        <f>IFERROR($M121+VLOOKUP($L121,'Voyage days'!$F$483:$H$538,3,FALSE),"")</f>
        <v/>
      </c>
      <c r="AX121" s="121" t="str">
        <f>IFERROR($N121+VLOOKUP($L121,'Voyage days'!$F$483:$H$538,3,FALSE),"")</f>
        <v/>
      </c>
      <c r="AY121" s="120" t="str">
        <f t="shared" si="15"/>
        <v/>
      </c>
      <c r="AZ121" s="121" t="str">
        <f>IFERROR($M121+VLOOKUP($L121,'Voyage days'!$F$540:$H$613,3,FALSE),"")</f>
        <v/>
      </c>
      <c r="BA121" s="121" t="str">
        <f>IFERROR($N121+VLOOKUP($L121,'Voyage days'!$F$540:$H$613,3,FALSE),"")</f>
        <v/>
      </c>
      <c r="BB121" s="120" t="str">
        <f t="shared" si="16"/>
        <v/>
      </c>
      <c r="BC121" s="121" t="str">
        <f>IFERROR($M121+VLOOKUP($L121,'Voyage days'!$F$448:$H$479,3,FALSE),"")</f>
        <v/>
      </c>
      <c r="BD121" s="121" t="str">
        <f>IFERROR($N121+VLOOKUP($L121,'Voyage days'!$F$448:$H$479,3,FALSE),"")</f>
        <v/>
      </c>
      <c r="BE121" s="120" t="str">
        <f t="shared" si="17"/>
        <v/>
      </c>
      <c r="BF121" s="122" t="str">
        <f>IFERROR($M121+VLOOKUP($L121,'Voyage days'!$F$620:$H$646,3,FALSE),"")</f>
        <v/>
      </c>
      <c r="BG121" s="122" t="str">
        <f>IFERROR($N121+VLOOKUP($L121,'Voyage days'!$F$620:$H$646,3,FALSE),"")</f>
        <v/>
      </c>
      <c r="BH121" s="120" t="str">
        <f t="shared" si="18"/>
        <v/>
      </c>
      <c r="BI121" s="123" t="str">
        <f>IFERROR($M121+VLOOKUP($L121,'Voyage days'!$F$702:$H$727,3,FALSE),"")</f>
        <v/>
      </c>
      <c r="BJ121" s="120" t="str">
        <f t="shared" si="19"/>
        <v/>
      </c>
      <c r="BK121" s="122" t="str">
        <f>IFERROR($M121+VLOOKUP($L121,'Voyage days'!$F$807:$H$878,3,FALSE),"")</f>
        <v/>
      </c>
      <c r="BL121" s="122" t="str">
        <f>IFERROR($N121+VLOOKUP($L121,'Voyage days'!$F$807:$H$878,3,FALSE),"")</f>
        <v/>
      </c>
      <c r="BM121" s="122" t="str">
        <f>IFERROR($N121+VLOOKUP($L121,'Voyage days'!$F$807:$K$878,6,FALSE),"")</f>
        <v/>
      </c>
      <c r="BN121" s="121" t="str">
        <f>if(L121="loads AG", IFERROR($M121+VLOOKUP($L121,'Voyage days'!$M$38:$O$38,3,FALSE),""),"")</f>
        <v/>
      </c>
      <c r="BO121" s="121">
        <f>if(L121="loads USG", IFERROR($M121+VLOOKUP($L121,'Voyage days'!$L$203:$N$203,3,FALSE),""),"")</f>
        <v>46157</v>
      </c>
    </row>
    <row r="122" ht="15.75" customHeight="1">
      <c r="A122" s="460" t="s">
        <v>566</v>
      </c>
      <c r="B122" s="202">
        <v>2026.0</v>
      </c>
      <c r="C122" s="203">
        <v>88000.0</v>
      </c>
      <c r="D122" s="112"/>
      <c r="E122" s="103"/>
      <c r="F122" s="104"/>
      <c r="G122" s="104"/>
      <c r="H122" s="104"/>
      <c r="I122" s="332" t="s">
        <v>956</v>
      </c>
      <c r="J122" s="336"/>
      <c r="K122" s="107"/>
      <c r="L122" s="199" t="s">
        <v>708</v>
      </c>
      <c r="M122" s="109">
        <v>46121.0</v>
      </c>
      <c r="N122" s="109">
        <v>46122.0</v>
      </c>
      <c r="O122" s="191"/>
      <c r="P122" s="108" t="s">
        <v>961</v>
      </c>
      <c r="Q122" s="108"/>
      <c r="R122" s="108" t="s">
        <v>962</v>
      </c>
      <c r="S122" s="256" t="s">
        <v>659</v>
      </c>
      <c r="T122" s="113">
        <v>46124.0</v>
      </c>
      <c r="U122" s="114" t="str">
        <f>IF(V122="","No AIS",VLOOKUP(V122,'Voyage days'!$A$3:$B$1480,2,FALSE))</f>
        <v>USG</v>
      </c>
      <c r="V122" s="115" t="str">
        <f>IF(VLOOKUP(A122,'1) Kpler'!$E$2:$P$1000,8, FALSE)="","",VLOOKUP(A122,'1) Kpler'!$E$2:$P$1000,8, FALSE))</f>
        <v>Houston</v>
      </c>
      <c r="W122" s="116">
        <f>IF(VLOOKUP(A122,'1) Kpler'!$E$2:$P$1000,9,FALSE)="","",VLOOKUP(A122,'1) Kpler'!$E$2:$P$1000,9,FALSE))</f>
        <v>46147.625</v>
      </c>
      <c r="X122" s="115" t="str">
        <f>VLOOKUP(A122,'1) Kpler'!$E$2:$I$1000,4,FALSE)</f>
        <v>ballast</v>
      </c>
      <c r="Y122" s="117" t="str">
        <f t="shared" si="1"/>
        <v/>
      </c>
      <c r="Z122" s="117" t="str">
        <f t="shared" si="2"/>
        <v/>
      </c>
      <c r="AA122" s="117" t="str">
        <f t="shared" si="3"/>
        <v>05-06 May</v>
      </c>
      <c r="AB122" s="117" t="str">
        <f t="shared" si="4"/>
        <v>22-23 Apr</v>
      </c>
      <c r="AC122" s="117" t="str">
        <f t="shared" si="5"/>
        <v>01-02 May</v>
      </c>
      <c r="AD122" s="117" t="str">
        <f t="shared" si="6"/>
        <v/>
      </c>
      <c r="AE122" s="118" t="str">
        <f t="shared" si="7"/>
        <v/>
      </c>
      <c r="AF122" s="119" t="str">
        <f t="shared" si="8"/>
        <v>06-07 May</v>
      </c>
      <c r="AG122" s="120" t="str">
        <f t="shared" si="9"/>
        <v/>
      </c>
      <c r="AH122" s="121" t="str">
        <f>IFERROR($M122+VLOOKUP($L122,'Voyage days'!$F$38:$H$89,3,FALSE),"")</f>
        <v/>
      </c>
      <c r="AI122" s="121" t="str">
        <f>IFERROR(N122+VLOOKUP($L122,'Voyage days'!$F$38:$H$89,3,FALSE),"")</f>
        <v/>
      </c>
      <c r="AJ122" s="120" t="str">
        <f t="shared" si="10"/>
        <v/>
      </c>
      <c r="AK122" s="121" t="str">
        <f>IFERROR($M122+VLOOKUP($L122,'Voyage days'!$F$94:$H$193,3,FALSE),"")</f>
        <v/>
      </c>
      <c r="AL122" s="121" t="str">
        <f>IFERROR($N122+VLOOKUP($L122,'Voyage days'!$F$94:$H$193,3,FALSE),"")</f>
        <v/>
      </c>
      <c r="AM122" s="120" t="str">
        <f t="shared" si="11"/>
        <v>05-06 May</v>
      </c>
      <c r="AN122" s="121">
        <f>IFERROR($M122+VLOOKUP($L122,'Voyage days'!$F$203:$H$256,3,FALSE),"")</f>
        <v>46147</v>
      </c>
      <c r="AO122" s="121">
        <f>IFERROR($N122+VLOOKUP($L122,'Voyage days'!$F$203:$H$256,3,FALSE),"")</f>
        <v>46148</v>
      </c>
      <c r="AP122" s="120" t="str">
        <f t="shared" si="12"/>
        <v>22-23 Apr</v>
      </c>
      <c r="AQ122" s="121">
        <f>IFERROR($M122+VLOOKUP($L122,'Voyage days'!$F$294:$H$377,3,FALSE),"")</f>
        <v>46134</v>
      </c>
      <c r="AR122" s="121">
        <f>IFERROR($N122+VLOOKUP($L122,'Voyage days'!$F$294:$H$377,3,FALSE),"")</f>
        <v>46135</v>
      </c>
      <c r="AS122" s="120" t="str">
        <f t="shared" si="13"/>
        <v>01-02 May</v>
      </c>
      <c r="AT122" s="121">
        <f>IFERROR($M122+VLOOKUP($L122,'Voyage days'!$F$382:$H$446,3,FALSE),"")</f>
        <v>46143</v>
      </c>
      <c r="AU122" s="121">
        <f>IFERROR($N122+VLOOKUP($L122,'Voyage days'!$F$382:$H$446,3,FALSE),"")</f>
        <v>46144</v>
      </c>
      <c r="AV122" s="120" t="str">
        <f t="shared" si="14"/>
        <v/>
      </c>
      <c r="AW122" s="121" t="str">
        <f>IFERROR($M122+VLOOKUP($L122,'Voyage days'!$F$483:$H$538,3,FALSE),"")</f>
        <v/>
      </c>
      <c r="AX122" s="121" t="str">
        <f>IFERROR($N122+VLOOKUP($L122,'Voyage days'!$F$483:$H$538,3,FALSE),"")</f>
        <v/>
      </c>
      <c r="AY122" s="120" t="str">
        <f t="shared" si="15"/>
        <v/>
      </c>
      <c r="AZ122" s="121" t="str">
        <f>IFERROR($M122+VLOOKUP($L122,'Voyage days'!$F$540:$H$613,3,FALSE),"")</f>
        <v/>
      </c>
      <c r="BA122" s="121" t="str">
        <f>IFERROR($N122+VLOOKUP($L122,'Voyage days'!$F$540:$H$613,3,FALSE),"")</f>
        <v/>
      </c>
      <c r="BB122" s="120" t="str">
        <f t="shared" si="16"/>
        <v/>
      </c>
      <c r="BC122" s="121" t="str">
        <f>IFERROR($M122+VLOOKUP($L122,'Voyage days'!$F$448:$H$479,3,FALSE),"")</f>
        <v/>
      </c>
      <c r="BD122" s="121" t="str">
        <f>IFERROR($N122+VLOOKUP($L122,'Voyage days'!$F$448:$H$479,3,FALSE),"")</f>
        <v/>
      </c>
      <c r="BE122" s="120" t="str">
        <f t="shared" si="17"/>
        <v/>
      </c>
      <c r="BF122" s="122" t="str">
        <f>IFERROR($M122+VLOOKUP($L122,'Voyage days'!$F$620:$H$646,3,FALSE),"")</f>
        <v/>
      </c>
      <c r="BG122" s="122" t="str">
        <f>IFERROR($N122+VLOOKUP($L122,'Voyage days'!$F$620:$H$646,3,FALSE),"")</f>
        <v/>
      </c>
      <c r="BH122" s="120" t="str">
        <f t="shared" si="18"/>
        <v/>
      </c>
      <c r="BI122" s="123" t="str">
        <f>IFERROR($M122+VLOOKUP($L122,'Voyage days'!$F$702:$H$727,3,FALSE),"")</f>
        <v/>
      </c>
      <c r="BJ122" s="120" t="str">
        <f t="shared" si="19"/>
        <v>06-07 May</v>
      </c>
      <c r="BK122" s="122">
        <f>IFERROR($M122+VLOOKUP($L122,'Voyage days'!$F$807:$H$878,3,FALSE),"")</f>
        <v>46148</v>
      </c>
      <c r="BL122" s="122">
        <f>IFERROR($N122+VLOOKUP($L122,'Voyage days'!$F$807:$H$878,3,FALSE),"")</f>
        <v>46149</v>
      </c>
      <c r="BM122" s="122">
        <f>IFERROR($N122+VLOOKUP($L122,'Voyage days'!$F$807:$K$878,6,FALSE),"")</f>
        <v>46122</v>
      </c>
      <c r="BN122" s="121" t="str">
        <f>if(L122="loads AG", IFERROR($M122+VLOOKUP($L122,'Voyage days'!$M$38:$O$38,3,FALSE),""),"")</f>
        <v/>
      </c>
      <c r="BO122" s="121" t="str">
        <f>if(L122="loads USG", IFERROR($M122+VLOOKUP($L122,'Voyage days'!$L$203:$N$203,3,FALSE),""),"")</f>
        <v/>
      </c>
    </row>
    <row r="123" ht="15.75" customHeight="1">
      <c r="A123" s="406" t="s">
        <v>574</v>
      </c>
      <c r="B123" s="101">
        <v>43039.0</v>
      </c>
      <c r="C123" s="102">
        <v>78700.0</v>
      </c>
      <c r="D123" s="112" t="s">
        <v>603</v>
      </c>
      <c r="E123" s="103"/>
      <c r="F123" s="104"/>
      <c r="G123" s="104"/>
      <c r="H123" s="104"/>
      <c r="I123" s="332" t="s">
        <v>956</v>
      </c>
      <c r="J123" s="106" t="str">
        <f t="shared" ref="J123:J150" si="25">IF(W123="","NO AIS",IF((W123-M123-1)&gt;0,"Update",""))</f>
        <v/>
      </c>
      <c r="K123" s="107"/>
      <c r="L123" s="199" t="s">
        <v>963</v>
      </c>
      <c r="M123" s="109">
        <v>46151.0</v>
      </c>
      <c r="N123" s="109">
        <v>46152.0</v>
      </c>
      <c r="O123" s="191"/>
      <c r="P123" s="108" t="s">
        <v>964</v>
      </c>
      <c r="Q123" s="185"/>
      <c r="R123" s="108" t="s">
        <v>965</v>
      </c>
      <c r="S123" s="256" t="s">
        <v>659</v>
      </c>
      <c r="T123" s="113">
        <v>46124.0</v>
      </c>
      <c r="U123" s="114" t="str">
        <f>IF(V123="","No AIS",VLOOKUP(V123,'Voyage days'!$A$3:$B$1480,2,FALSE))</f>
        <v>North China +4</v>
      </c>
      <c r="V123" s="115" t="str">
        <f>IF(VLOOKUP(A123,'1) Kpler'!$E$2:$P$1000,8, FALSE)="","",VLOOKUP(A123,'1) Kpler'!$E$2:$P$1000,8, FALSE))</f>
        <v>Qingdao Huangdao</v>
      </c>
      <c r="W123" s="116">
        <f>IF(VLOOKUP(A123,'1) Kpler'!$E$2:$P$1000,9,FALSE)="","",VLOOKUP(A123,'1) Kpler'!$E$2:$P$1000,9,FALSE))</f>
        <v>46148.45833</v>
      </c>
      <c r="X123" s="115" t="str">
        <f>VLOOKUP(A123,'1) Kpler'!$E$2:$I$1000,4,FALSE)</f>
        <v>loaded</v>
      </c>
      <c r="Y123" s="160" t="str">
        <f t="shared" si="1"/>
        <v>27-28 May</v>
      </c>
      <c r="Z123" s="160" t="str">
        <f t="shared" si="2"/>
        <v>11-12 Jun</v>
      </c>
      <c r="AA123" s="160" t="str">
        <f t="shared" si="3"/>
        <v>20-21 Jun</v>
      </c>
      <c r="AB123" s="160" t="str">
        <f t="shared" si="4"/>
        <v>07-08 Jun</v>
      </c>
      <c r="AC123" s="160" t="str">
        <f t="shared" si="5"/>
        <v>13-14 Jun</v>
      </c>
      <c r="AD123" s="160" t="str">
        <f t="shared" si="6"/>
        <v>17-18 May</v>
      </c>
      <c r="AE123" s="161" t="str">
        <f t="shared" si="7"/>
        <v>18-19 May</v>
      </c>
      <c r="AF123" s="162" t="str">
        <f t="shared" si="8"/>
        <v>24-25 Jun</v>
      </c>
      <c r="AG123" s="120" t="str">
        <f t="shared" si="9"/>
        <v>27-28 May</v>
      </c>
      <c r="AH123" s="121">
        <f>IFERROR($M123+VLOOKUP($L123,'Voyage days'!$F$38:$H$89,3,FALSE),"")</f>
        <v>46169</v>
      </c>
      <c r="AI123" s="121">
        <f>IFERROR(N123+VLOOKUP($L123,'Voyage days'!$F$38:$H$89,3,FALSE),"")</f>
        <v>46170</v>
      </c>
      <c r="AJ123" s="120" t="str">
        <f t="shared" si="10"/>
        <v>11-12 Jun</v>
      </c>
      <c r="AK123" s="121">
        <f>IFERROR($M123+VLOOKUP($L123,'Voyage days'!$F$94:$H$193,3,FALSE),"")</f>
        <v>46184</v>
      </c>
      <c r="AL123" s="121">
        <f>IFERROR($N123+VLOOKUP($L123,'Voyage days'!$F$94:$H$193,3,FALSE),"")</f>
        <v>46185</v>
      </c>
      <c r="AM123" s="120" t="str">
        <f t="shared" si="11"/>
        <v>20-21 Jun</v>
      </c>
      <c r="AN123" s="121">
        <f>IFERROR($M123+VLOOKUP($L123,'Voyage days'!$F$203:$H$256,3,FALSE),"")</f>
        <v>46193</v>
      </c>
      <c r="AO123" s="121">
        <f>IFERROR($N123+VLOOKUP($L123,'Voyage days'!$F$203:$H$256,3,FALSE),"")</f>
        <v>46194</v>
      </c>
      <c r="AP123" s="120" t="str">
        <f t="shared" si="12"/>
        <v>07-08 Jun</v>
      </c>
      <c r="AQ123" s="121">
        <f>IFERROR($M123+VLOOKUP($L123,'Voyage days'!$F$294:$H$377,3,FALSE),"")</f>
        <v>46180</v>
      </c>
      <c r="AR123" s="121">
        <f>IFERROR($N123+VLOOKUP($L123,'Voyage days'!$F$294:$H$377,3,FALSE),"")</f>
        <v>46181</v>
      </c>
      <c r="AS123" s="120" t="str">
        <f t="shared" si="13"/>
        <v>13-14 Jun</v>
      </c>
      <c r="AT123" s="121">
        <f>IFERROR($M123+VLOOKUP($L123,'Voyage days'!$F$382:$H$446,3,FALSE),"")</f>
        <v>46186</v>
      </c>
      <c r="AU123" s="121">
        <f>IFERROR($N123+VLOOKUP($L123,'Voyage days'!$F$382:$H$446,3,FALSE),"")</f>
        <v>46187</v>
      </c>
      <c r="AV123" s="120" t="str">
        <f t="shared" si="14"/>
        <v>24-25 May</v>
      </c>
      <c r="AW123" s="121">
        <f>IFERROR($M123+VLOOKUP($L123,'Voyage days'!$F$483:$H$538,3,FALSE),"")</f>
        <v>46166</v>
      </c>
      <c r="AX123" s="121">
        <f>IFERROR($N123+VLOOKUP($L123,'Voyage days'!$F$483:$H$538,3,FALSE),"")</f>
        <v>46167</v>
      </c>
      <c r="AY123" s="120" t="str">
        <f t="shared" si="15"/>
        <v>18-19 May</v>
      </c>
      <c r="AZ123" s="121">
        <f>IFERROR($M123+VLOOKUP($L123,'Voyage days'!$F$540:$H$613,3,FALSE),"")</f>
        <v>46160</v>
      </c>
      <c r="BA123" s="121">
        <f>IFERROR($N123+VLOOKUP($L123,'Voyage days'!$F$540:$H$613,3,FALSE),"")</f>
        <v>46161</v>
      </c>
      <c r="BB123" s="120" t="str">
        <f t="shared" si="16"/>
        <v>17-18 May</v>
      </c>
      <c r="BC123" s="121">
        <f>IFERROR($M123+VLOOKUP($L123,'Voyage days'!$F$448:$H$479,3,FALSE),"")</f>
        <v>46159</v>
      </c>
      <c r="BD123" s="121">
        <f>IFERROR($N123+VLOOKUP($L123,'Voyage days'!$F$448:$H$479,3,FALSE),"")</f>
        <v>46160</v>
      </c>
      <c r="BE123" s="120" t="str">
        <f t="shared" si="17"/>
        <v>22-23 May</v>
      </c>
      <c r="BF123" s="122">
        <f>IFERROR($M123+VLOOKUP($L123,'Voyage days'!$F$620:$H$646,3,FALSE),"")</f>
        <v>46164</v>
      </c>
      <c r="BG123" s="122">
        <f>IFERROR($N123+VLOOKUP($L123,'Voyage days'!$F$620:$H$646,3,FALSE),"")</f>
        <v>46165</v>
      </c>
      <c r="BH123" s="120" t="str">
        <f t="shared" si="18"/>
        <v>18-25 Jun</v>
      </c>
      <c r="BI123" s="123">
        <f>IFERROR($M123+VLOOKUP($L123,'Voyage days'!$F$702:$H$727,3,FALSE),"")</f>
        <v>46160</v>
      </c>
      <c r="BJ123" s="120" t="str">
        <f t="shared" si="19"/>
        <v>24-25 Jun</v>
      </c>
      <c r="BK123" s="122">
        <f>IFERROR($M123+VLOOKUP($L123,'Voyage days'!$F$807:$H$878,3,FALSE),"")</f>
        <v>46197</v>
      </c>
      <c r="BL123" s="122">
        <f>IFERROR($N123+VLOOKUP($L123,'Voyage days'!$F$807:$H$878,3,FALSE),"")</f>
        <v>46198</v>
      </c>
      <c r="BM123" s="122">
        <f>IFERROR($N123+VLOOKUP($L123,'Voyage days'!$F$807:$K$878,6,FALSE),"")</f>
        <v>46172</v>
      </c>
      <c r="BN123" s="121" t="str">
        <f>if(L123="loads AG", IFERROR($M123+VLOOKUP($L123,'Voyage days'!$M$38:$O$38,3,FALSE),""),"")</f>
        <v/>
      </c>
      <c r="BO123" s="121" t="str">
        <f>if(L123="loads USG", IFERROR($M123+VLOOKUP($L123,'Voyage days'!$L$203:$N$203,3,FALSE),""),"")</f>
        <v/>
      </c>
    </row>
    <row r="124" ht="15.75" customHeight="1">
      <c r="A124" s="461" t="s">
        <v>572</v>
      </c>
      <c r="B124" s="222">
        <v>43104.0</v>
      </c>
      <c r="C124" s="166">
        <v>78700.0</v>
      </c>
      <c r="D124" s="175" t="s">
        <v>603</v>
      </c>
      <c r="E124" s="223"/>
      <c r="F124" s="168"/>
      <c r="G124" s="168"/>
      <c r="H124" s="168"/>
      <c r="I124" s="397" t="s">
        <v>956</v>
      </c>
      <c r="J124" s="170" t="str">
        <f t="shared" si="25"/>
        <v/>
      </c>
      <c r="K124" s="225"/>
      <c r="L124" s="172" t="s">
        <v>680</v>
      </c>
      <c r="M124" s="462">
        <v>46137.0</v>
      </c>
      <c r="N124" s="173">
        <v>46138.0</v>
      </c>
      <c r="O124" s="226" t="s">
        <v>729</v>
      </c>
      <c r="P124" s="357" t="s">
        <v>966</v>
      </c>
      <c r="Q124" s="463"/>
      <c r="R124" s="172" t="s">
        <v>967</v>
      </c>
      <c r="S124" s="358" t="s">
        <v>659</v>
      </c>
      <c r="T124" s="176">
        <v>46124.0</v>
      </c>
      <c r="U124" s="177" t="str">
        <f>IF(V124="","No AIS",VLOOKUP(V124,'Voyage days'!$A$3:$B$1480,2,FALSE))</f>
        <v>USG</v>
      </c>
      <c r="V124" s="178" t="str">
        <f>IF(VLOOKUP(A124,'1) Kpler'!$E$2:$P$1000,8, FALSE)="","",VLOOKUP(A124,'1) Kpler'!$E$2:$P$1000,8, FALSE))</f>
        <v>Houston</v>
      </c>
      <c r="W124" s="179">
        <f>IF(VLOOKUP(A124,'1) Kpler'!$E$2:$P$1000,9,FALSE)="","",VLOOKUP(A124,'1) Kpler'!$E$2:$P$1000,9,FALSE))</f>
        <v>46137.70833</v>
      </c>
      <c r="X124" s="178" t="str">
        <f>VLOOKUP(A124,'1) Kpler'!$E$2:$I$1000,4,FALSE)</f>
        <v>ballast</v>
      </c>
      <c r="Y124" s="180" t="str">
        <f t="shared" si="1"/>
        <v/>
      </c>
      <c r="Z124" s="180" t="str">
        <f t="shared" si="2"/>
        <v>25-26 Apr</v>
      </c>
      <c r="AA124" s="180" t="str">
        <f t="shared" si="3"/>
        <v>25-26 Apr</v>
      </c>
      <c r="AB124" s="180" t="str">
        <f t="shared" si="4"/>
        <v/>
      </c>
      <c r="AC124" s="180" t="str">
        <f t="shared" si="5"/>
        <v>15-16 May</v>
      </c>
      <c r="AD124" s="180" t="str">
        <f t="shared" si="6"/>
        <v/>
      </c>
      <c r="AE124" s="181" t="str">
        <f t="shared" si="7"/>
        <v/>
      </c>
      <c r="AF124" s="182" t="str">
        <f t="shared" si="8"/>
        <v/>
      </c>
      <c r="AG124" s="120" t="str">
        <f t="shared" si="9"/>
        <v/>
      </c>
      <c r="AH124" s="121" t="str">
        <f>IFERROR($M124+VLOOKUP($L124,'Voyage days'!$F$38:$H$89,3,FALSE),"")</f>
        <v/>
      </c>
      <c r="AI124" s="121" t="str">
        <f>IFERROR(N124+VLOOKUP($L124,'Voyage days'!$F$38:$H$89,3,FALSE),"")</f>
        <v/>
      </c>
      <c r="AJ124" s="120" t="str">
        <f t="shared" si="10"/>
        <v>25-26 Apr</v>
      </c>
      <c r="AK124" s="121">
        <f>IFERROR($M124+VLOOKUP($L124,'Voyage days'!$F$94:$H$193,3,FALSE),"")</f>
        <v>46137</v>
      </c>
      <c r="AL124" s="121">
        <f>IFERROR($N124+VLOOKUP($L124,'Voyage days'!$F$94:$H$193,3,FALSE),"")</f>
        <v>46138</v>
      </c>
      <c r="AM124" s="120" t="str">
        <f t="shared" si="11"/>
        <v>25-26 Apr</v>
      </c>
      <c r="AN124" s="121">
        <f>IFERROR($M124+VLOOKUP($L124,'Voyage days'!$F$203:$H$256,3,FALSE),"")</f>
        <v>46137</v>
      </c>
      <c r="AO124" s="121">
        <f>IFERROR($N124+VLOOKUP($L124,'Voyage days'!$F$203:$H$256,3,FALSE),"")</f>
        <v>46138</v>
      </c>
      <c r="AP124" s="120" t="str">
        <f t="shared" si="12"/>
        <v/>
      </c>
      <c r="AQ124" s="121" t="str">
        <f>IFERROR($M124+VLOOKUP($L124,'Voyage days'!$F$294:$H$377,3,FALSE),"")</f>
        <v/>
      </c>
      <c r="AR124" s="121" t="str">
        <f>IFERROR($N124+VLOOKUP($L124,'Voyage days'!$F$294:$H$377,3,FALSE),"")</f>
        <v/>
      </c>
      <c r="AS124" s="120" t="str">
        <f t="shared" si="13"/>
        <v>15-16 May</v>
      </c>
      <c r="AT124" s="121">
        <f>IFERROR($M124+VLOOKUP($L124,'Voyage days'!$F$382:$H$446,3,FALSE),"")</f>
        <v>46157</v>
      </c>
      <c r="AU124" s="121">
        <f>IFERROR($N124+VLOOKUP($L124,'Voyage days'!$F$382:$H$446,3,FALSE),"")</f>
        <v>46158</v>
      </c>
      <c r="AV124" s="120" t="str">
        <f t="shared" si="14"/>
        <v/>
      </c>
      <c r="AW124" s="121" t="str">
        <f>IFERROR($M124+VLOOKUP($L124,'Voyage days'!$F$483:$H$538,3,FALSE),"")</f>
        <v/>
      </c>
      <c r="AX124" s="121" t="str">
        <f>IFERROR($N124+VLOOKUP($L124,'Voyage days'!$F$483:$H$538,3,FALSE),"")</f>
        <v/>
      </c>
      <c r="AY124" s="120" t="str">
        <f t="shared" si="15"/>
        <v/>
      </c>
      <c r="AZ124" s="121" t="str">
        <f>IFERROR($M124+VLOOKUP($L124,'Voyage days'!$F$540:$H$613,3,FALSE),"")</f>
        <v/>
      </c>
      <c r="BA124" s="121" t="str">
        <f>IFERROR($N124+VLOOKUP($L124,'Voyage days'!$F$540:$H$613,3,FALSE),"")</f>
        <v/>
      </c>
      <c r="BB124" s="120" t="str">
        <f t="shared" si="16"/>
        <v/>
      </c>
      <c r="BC124" s="121" t="str">
        <f>IFERROR($M124+VLOOKUP($L124,'Voyage days'!$F$448:$H$479,3,FALSE),"")</f>
        <v/>
      </c>
      <c r="BD124" s="121" t="str">
        <f>IFERROR($N124+VLOOKUP($L124,'Voyage days'!$F$448:$H$479,3,FALSE),"")</f>
        <v/>
      </c>
      <c r="BE124" s="120" t="str">
        <f t="shared" si="17"/>
        <v/>
      </c>
      <c r="BF124" s="122" t="str">
        <f>IFERROR($M124+VLOOKUP($L124,'Voyage days'!$F$620:$H$646,3,FALSE),"")</f>
        <v/>
      </c>
      <c r="BG124" s="122" t="str">
        <f>IFERROR($N124+VLOOKUP($L124,'Voyage days'!$F$620:$H$646,3,FALSE),"")</f>
        <v/>
      </c>
      <c r="BH124" s="120" t="str">
        <f t="shared" si="18"/>
        <v/>
      </c>
      <c r="BI124" s="123" t="str">
        <f>IFERROR($M124+VLOOKUP($L124,'Voyage days'!$F$702:$H$727,3,FALSE),"")</f>
        <v/>
      </c>
      <c r="BJ124" s="120" t="str">
        <f t="shared" si="19"/>
        <v/>
      </c>
      <c r="BK124" s="122" t="str">
        <f>IFERROR($M124+VLOOKUP($L124,'Voyage days'!$F$807:$H$878,3,FALSE),"")</f>
        <v/>
      </c>
      <c r="BL124" s="122" t="str">
        <f>IFERROR($N124+VLOOKUP($L124,'Voyage days'!$F$807:$H$878,3,FALSE),"")</f>
        <v/>
      </c>
      <c r="BM124" s="122" t="str">
        <f>IFERROR($N124+VLOOKUP($L124,'Voyage days'!$F$807:$K$878,6,FALSE),"")</f>
        <v/>
      </c>
      <c r="BN124" s="121" t="str">
        <f>if(L124="loads AG", IFERROR($M124+VLOOKUP($L124,'Voyage days'!$M$38:$O$38,3,FALSE),""),"")</f>
        <v/>
      </c>
      <c r="BO124" s="121">
        <f>if(L124="loads USG", IFERROR($M124+VLOOKUP($L124,'Voyage days'!$L$203:$N$203,3,FALSE),""),"")</f>
        <v>46169</v>
      </c>
    </row>
    <row r="125" ht="15.75" customHeight="1">
      <c r="A125" s="274" t="s">
        <v>74</v>
      </c>
      <c r="B125" s="148">
        <v>2023.0</v>
      </c>
      <c r="C125" s="184">
        <v>86700.0</v>
      </c>
      <c r="D125" s="149"/>
      <c r="E125" s="149"/>
      <c r="F125" s="150"/>
      <c r="G125" s="150"/>
      <c r="H125" s="150" t="s">
        <v>666</v>
      </c>
      <c r="I125" s="321" t="s">
        <v>968</v>
      </c>
      <c r="J125" s="151" t="str">
        <f t="shared" si="25"/>
        <v/>
      </c>
      <c r="K125" s="152"/>
      <c r="L125" s="108" t="s">
        <v>656</v>
      </c>
      <c r="M125" s="238">
        <v>46165.0</v>
      </c>
      <c r="N125" s="238">
        <v>46166.0</v>
      </c>
      <c r="O125" s="277"/>
      <c r="P125" s="153" t="s">
        <v>969</v>
      </c>
      <c r="Q125" s="153"/>
      <c r="R125" s="153" t="s">
        <v>970</v>
      </c>
      <c r="S125" s="256" t="s">
        <v>659</v>
      </c>
      <c r="T125" s="293">
        <v>46125.0</v>
      </c>
      <c r="U125" s="114" t="str">
        <f>IF(V125="","No AIS",VLOOKUP(V125,'Voyage days'!$A$3:$B$1480,2,FALSE))</f>
        <v>+14 days to Far East</v>
      </c>
      <c r="V125" s="114" t="str">
        <f>IF(VLOOKUP(A125,'1) Kpler'!$E$2:$P$1000,8, FALSE)="","",VLOOKUP(A125,'1) Kpler'!$E$2:$P$1000,8, FALSE))</f>
        <v>RIPET</v>
      </c>
      <c r="W125" s="159">
        <f>IF(VLOOKUP(A125,'1) Kpler'!$E$2:$P$1000,9,FALSE)="","",VLOOKUP(A125,'1) Kpler'!$E$2:$P$1000,9,FALSE))</f>
        <v>46133.83333</v>
      </c>
      <c r="X125" s="114" t="str">
        <f>VLOOKUP(A125,'1) Kpler'!$E$2:$I$1000,4,FALSE)</f>
        <v>ballast</v>
      </c>
      <c r="Y125" s="272" t="str">
        <f t="shared" si="1"/>
        <v>10-11 Jun</v>
      </c>
      <c r="Z125" s="272" t="str">
        <f t="shared" si="2"/>
        <v>23-24 Jun</v>
      </c>
      <c r="AA125" s="272" t="str">
        <f t="shared" si="3"/>
        <v>30-01 Jul</v>
      </c>
      <c r="AB125" s="272" t="str">
        <f t="shared" si="4"/>
        <v>22-23 Jun</v>
      </c>
      <c r="AC125" s="272" t="str">
        <f t="shared" si="5"/>
        <v>28-29 Jun</v>
      </c>
      <c r="AD125" s="272" t="str">
        <f t="shared" si="6"/>
        <v>31-01 Jun</v>
      </c>
      <c r="AE125" s="273" t="str">
        <f t="shared" si="7"/>
        <v>31-01 Jun</v>
      </c>
      <c r="AF125" s="162" t="str">
        <f t="shared" si="8"/>
        <v>08-09 Jul</v>
      </c>
      <c r="AG125" s="163" t="str">
        <f t="shared" si="9"/>
        <v>10-11 Jun</v>
      </c>
      <c r="AH125" s="122">
        <f>IFERROR($M125+VLOOKUP($L125,'Voyage days'!$F$38:$H$89,3,FALSE),"")</f>
        <v>46183</v>
      </c>
      <c r="AI125" s="122">
        <f>IFERROR(N125+VLOOKUP($L125,'Voyage days'!$F$38:$H$89,3,FALSE),"")</f>
        <v>46184</v>
      </c>
      <c r="AJ125" s="163" t="str">
        <f t="shared" si="10"/>
        <v>23-24 Jun</v>
      </c>
      <c r="AK125" s="122">
        <f>IFERROR($M125+VLOOKUP($L125,'Voyage days'!$F$94:$H$193,3,FALSE),"")</f>
        <v>46196</v>
      </c>
      <c r="AL125" s="122">
        <f>IFERROR($N125+VLOOKUP($L125,'Voyage days'!$F$94:$H$193,3,FALSE),"")</f>
        <v>46197</v>
      </c>
      <c r="AM125" s="163" t="str">
        <f t="shared" si="11"/>
        <v>30-01 Jul</v>
      </c>
      <c r="AN125" s="122">
        <f>IFERROR($M125+VLOOKUP($L125,'Voyage days'!$F$203:$H$256,3,FALSE),"")</f>
        <v>46203</v>
      </c>
      <c r="AO125" s="122">
        <f>IFERROR($N125+VLOOKUP($L125,'Voyage days'!$F$203:$H$256,3,FALSE),"")</f>
        <v>46204</v>
      </c>
      <c r="AP125" s="163" t="str">
        <f t="shared" si="12"/>
        <v>22-23 Jun</v>
      </c>
      <c r="AQ125" s="122">
        <f>IFERROR($M125+VLOOKUP($L125,'Voyage days'!$F$294:$H$377,3,FALSE),"")</f>
        <v>46195</v>
      </c>
      <c r="AR125" s="122">
        <f>IFERROR($N125+VLOOKUP($L125,'Voyage days'!$F$294:$H$377,3,FALSE),"")</f>
        <v>46196</v>
      </c>
      <c r="AS125" s="163" t="str">
        <f t="shared" si="13"/>
        <v>28-29 Jun</v>
      </c>
      <c r="AT125" s="122">
        <f>IFERROR($M125+VLOOKUP($L125,'Voyage days'!$F$382:$H$446,3,FALSE),"")</f>
        <v>46201</v>
      </c>
      <c r="AU125" s="122">
        <f>IFERROR($N125+VLOOKUP($L125,'Voyage days'!$F$382:$H$446,3,FALSE),"")</f>
        <v>46202</v>
      </c>
      <c r="AV125" s="163" t="str">
        <f t="shared" si="14"/>
        <v>05-06 Jun</v>
      </c>
      <c r="AW125" s="122">
        <f>IFERROR($M125+VLOOKUP($L125,'Voyage days'!$F$483:$H$538,3,FALSE),"")</f>
        <v>46178</v>
      </c>
      <c r="AX125" s="122">
        <f>IFERROR($N125+VLOOKUP($L125,'Voyage days'!$F$483:$H$538,3,FALSE),"")</f>
        <v>46179</v>
      </c>
      <c r="AY125" s="163" t="str">
        <f t="shared" si="15"/>
        <v>31-01 Jun</v>
      </c>
      <c r="AZ125" s="122">
        <f>IFERROR($M125+VLOOKUP($L125,'Voyage days'!$F$540:$H$613,3,FALSE),"")</f>
        <v>46173.25</v>
      </c>
      <c r="BA125" s="122">
        <f>IFERROR($N125+VLOOKUP($L125,'Voyage days'!$F$540:$H$613,3,FALSE),"")</f>
        <v>46174.25</v>
      </c>
      <c r="BB125" s="163" t="str">
        <f t="shared" si="16"/>
        <v>31-01 Jun</v>
      </c>
      <c r="BC125" s="121">
        <f>IFERROR($M125+VLOOKUP($L125,'Voyage days'!$F$448:$H$479,3,FALSE),"")</f>
        <v>46173</v>
      </c>
      <c r="BD125" s="121">
        <f>IFERROR($N125+VLOOKUP($L125,'Voyage days'!$F$448:$H$479,3,FALSE),"")</f>
        <v>46174</v>
      </c>
      <c r="BE125" s="163" t="str">
        <f t="shared" si="17"/>
        <v>03-04 Jun</v>
      </c>
      <c r="BF125" s="122">
        <f>IFERROR($M125+VLOOKUP($L125,'Voyage days'!$F$620:$H$646,3,FALSE),"")</f>
        <v>46176</v>
      </c>
      <c r="BG125" s="122">
        <f>IFERROR($N125+VLOOKUP($L125,'Voyage days'!$F$620:$H$646,3,FALSE),"")</f>
        <v>46177</v>
      </c>
      <c r="BH125" s="163" t="str">
        <f t="shared" si="18"/>
        <v>31-09 Jul</v>
      </c>
      <c r="BI125" s="123">
        <f>IFERROR($M125+VLOOKUP($L125,'Voyage days'!$F$702:$H$727,3,FALSE),"")</f>
        <v>46173.25</v>
      </c>
      <c r="BJ125" s="163" t="str">
        <f t="shared" si="19"/>
        <v>08-09 Jul</v>
      </c>
      <c r="BK125" s="122">
        <f>IFERROR($M125+VLOOKUP($L125,'Voyage days'!$F$807:$H$878,3,FALSE),"")</f>
        <v>46211</v>
      </c>
      <c r="BL125" s="122">
        <f>IFERROR($N125+VLOOKUP($L125,'Voyage days'!$F$807:$H$878,3,FALSE),"")</f>
        <v>46212</v>
      </c>
      <c r="BM125" s="122">
        <f>IFERROR($N125+VLOOKUP($L125,'Voyage days'!$F$807:$K$878,6,FALSE),"")</f>
        <v>46186</v>
      </c>
      <c r="BN125" s="121" t="str">
        <f>if(L125="loads AG", IFERROR($M125+VLOOKUP($L125,'Voyage days'!$M$38:$O$38,3,FALSE),""),"")</f>
        <v/>
      </c>
      <c r="BO125" s="121" t="str">
        <f>if(L125="loads USG", IFERROR($M125+VLOOKUP($L125,'Voyage days'!$L$203:$N$203,3,FALSE),""),"")</f>
        <v/>
      </c>
    </row>
    <row r="126" ht="15.75" customHeight="1">
      <c r="A126" s="80" t="s">
        <v>971</v>
      </c>
      <c r="B126" s="148">
        <v>2024.0</v>
      </c>
      <c r="C126" s="184">
        <v>87000.0</v>
      </c>
      <c r="D126" s="103"/>
      <c r="E126" s="103"/>
      <c r="F126" s="104"/>
      <c r="G126" s="104"/>
      <c r="H126" s="104" t="s">
        <v>666</v>
      </c>
      <c r="I126" s="464" t="s">
        <v>968</v>
      </c>
      <c r="J126" s="106" t="str">
        <f t="shared" si="25"/>
        <v>Update</v>
      </c>
      <c r="K126" s="465"/>
      <c r="L126" s="187" t="s">
        <v>671</v>
      </c>
      <c r="M126" s="109">
        <v>46116.0</v>
      </c>
      <c r="N126" s="154">
        <v>46116.0</v>
      </c>
      <c r="O126" s="255" t="s">
        <v>699</v>
      </c>
      <c r="P126" s="108" t="s">
        <v>972</v>
      </c>
      <c r="Q126" s="108"/>
      <c r="R126" s="108" t="s">
        <v>973</v>
      </c>
      <c r="S126" s="256" t="s">
        <v>659</v>
      </c>
      <c r="T126" s="293">
        <v>46125.0</v>
      </c>
      <c r="U126" s="114" t="str">
        <f>IF(V126="","No AIS",VLOOKUP(V126,'Voyage days'!$A$3:$B$1480,2,FALSE))</f>
        <v>USG</v>
      </c>
      <c r="V126" s="115" t="str">
        <f>IF(VLOOKUP(A126,'1) Kpler'!$E$2:$P$1000,8, FALSE)="","",VLOOKUP(A126,'1) Kpler'!$E$2:$P$1000,8, FALSE))</f>
        <v>Houston</v>
      </c>
      <c r="W126" s="116">
        <f>IF(VLOOKUP(A126,'1) Kpler'!$E$2:$P$1000,9,FALSE)="","",VLOOKUP(A126,'1) Kpler'!$E$2:$P$1000,9,FALSE))</f>
        <v>46137.29167</v>
      </c>
      <c r="X126" s="115" t="str">
        <f>VLOOKUP(A126,'1) Kpler'!$E$2:$I$1000,4,FALSE)</f>
        <v>ballast</v>
      </c>
      <c r="Y126" s="117" t="str">
        <f t="shared" si="1"/>
        <v/>
      </c>
      <c r="Z126" s="117" t="str">
        <f t="shared" si="2"/>
        <v/>
      </c>
      <c r="AA126" s="117" t="str">
        <f t="shared" si="3"/>
        <v>25-25 Apr</v>
      </c>
      <c r="AB126" s="117" t="str">
        <f t="shared" si="4"/>
        <v>14-14 Apr</v>
      </c>
      <c r="AC126" s="117" t="str">
        <f t="shared" si="5"/>
        <v>20-20 Apr</v>
      </c>
      <c r="AD126" s="117" t="str">
        <f t="shared" si="6"/>
        <v>20-20 Apr</v>
      </c>
      <c r="AE126" s="118" t="str">
        <f t="shared" si="7"/>
        <v/>
      </c>
      <c r="AF126" s="119" t="str">
        <f t="shared" si="8"/>
        <v>27-27 Apr</v>
      </c>
      <c r="AG126" s="120" t="str">
        <f t="shared" si="9"/>
        <v/>
      </c>
      <c r="AH126" s="121" t="str">
        <f>IFERROR($M126+VLOOKUP($L126,'Voyage days'!$F$38:$H$89,3,FALSE),"")</f>
        <v/>
      </c>
      <c r="AI126" s="121" t="str">
        <f>IFERROR(N126+VLOOKUP($L126,'Voyage days'!$F$38:$H$89,3,FALSE),"")</f>
        <v/>
      </c>
      <c r="AJ126" s="120" t="str">
        <f t="shared" si="10"/>
        <v/>
      </c>
      <c r="AK126" s="121" t="str">
        <f>IFERROR($M126+VLOOKUP($L126,'Voyage days'!$F$94:$H$193,3,FALSE),"")</f>
        <v/>
      </c>
      <c r="AL126" s="121" t="str">
        <f>IFERROR($N126+VLOOKUP($L126,'Voyage days'!$F$94:$H$193,3,FALSE),"")</f>
        <v/>
      </c>
      <c r="AM126" s="120" t="str">
        <f t="shared" si="11"/>
        <v>25-25 Apr</v>
      </c>
      <c r="AN126" s="121">
        <f>IFERROR($M126+VLOOKUP($L126,'Voyage days'!$F$203:$H$256,3,FALSE),"")</f>
        <v>46137</v>
      </c>
      <c r="AO126" s="121">
        <f>IFERROR($N126+VLOOKUP($L126,'Voyage days'!$F$203:$H$256,3,FALSE),"")</f>
        <v>46137</v>
      </c>
      <c r="AP126" s="120" t="str">
        <f t="shared" si="12"/>
        <v>14-14 Apr</v>
      </c>
      <c r="AQ126" s="121">
        <f>IFERROR($M126+VLOOKUP($L126,'Voyage days'!$F$294:$H$377,3,FALSE),"")</f>
        <v>46126</v>
      </c>
      <c r="AR126" s="121">
        <f>IFERROR($N126+VLOOKUP($L126,'Voyage days'!$F$294:$H$377,3,FALSE),"")</f>
        <v>46126</v>
      </c>
      <c r="AS126" s="120" t="str">
        <f t="shared" si="13"/>
        <v>20-20 Apr</v>
      </c>
      <c r="AT126" s="121">
        <f>IFERROR($M126+VLOOKUP($L126,'Voyage days'!$F$382:$H$446,3,FALSE),"")</f>
        <v>46132</v>
      </c>
      <c r="AU126" s="121">
        <f>IFERROR($N126+VLOOKUP($L126,'Voyage days'!$F$382:$H$446,3,FALSE),"")</f>
        <v>46132</v>
      </c>
      <c r="AV126" s="120" t="str">
        <f t="shared" si="14"/>
        <v/>
      </c>
      <c r="AW126" s="121" t="str">
        <f>IFERROR($M126+VLOOKUP($L126,'Voyage days'!$F$483:$H$538,3,FALSE),"")</f>
        <v/>
      </c>
      <c r="AX126" s="121" t="str">
        <f>IFERROR($N126+VLOOKUP($L126,'Voyage days'!$F$483:$H$538,3,FALSE),"")</f>
        <v/>
      </c>
      <c r="AY126" s="120" t="str">
        <f t="shared" si="15"/>
        <v/>
      </c>
      <c r="AZ126" s="121" t="str">
        <f>IFERROR($M126+VLOOKUP($L126,'Voyage days'!$F$540:$H$613,3,FALSE),"")</f>
        <v/>
      </c>
      <c r="BA126" s="121" t="str">
        <f>IFERROR($N126+VLOOKUP($L126,'Voyage days'!$F$540:$H$613,3,FALSE),"")</f>
        <v/>
      </c>
      <c r="BB126" s="120" t="str">
        <f t="shared" si="16"/>
        <v>20-20 Apr</v>
      </c>
      <c r="BC126" s="121">
        <f>IFERROR($M126+VLOOKUP($L126,'Voyage days'!$F$448:$H$479,3,FALSE),"")</f>
        <v>46132</v>
      </c>
      <c r="BD126" s="121">
        <f>IFERROR($N126+VLOOKUP($L126,'Voyage days'!$F$448:$H$479,3,FALSE),"")</f>
        <v>46132</v>
      </c>
      <c r="BE126" s="120" t="str">
        <f t="shared" si="17"/>
        <v/>
      </c>
      <c r="BF126" s="122" t="str">
        <f>IFERROR($M126+VLOOKUP($L126,'Voyage days'!$F$620:$H$646,3,FALSE),"")</f>
        <v/>
      </c>
      <c r="BG126" s="122" t="str">
        <f>IFERROR($N126+VLOOKUP($L126,'Voyage days'!$F$620:$H$646,3,FALSE),"")</f>
        <v/>
      </c>
      <c r="BH126" s="120" t="str">
        <f t="shared" si="18"/>
        <v/>
      </c>
      <c r="BI126" s="123" t="str">
        <f>IFERROR($M126+VLOOKUP($L126,'Voyage days'!$F$702:$H$727,3,FALSE),"")</f>
        <v/>
      </c>
      <c r="BJ126" s="120" t="str">
        <f t="shared" si="19"/>
        <v>27-27 Apr</v>
      </c>
      <c r="BK126" s="122">
        <f>IFERROR($M126+VLOOKUP($L126,'Voyage days'!$F$807:$H$878,3,FALSE),"")</f>
        <v>46139</v>
      </c>
      <c r="BL126" s="122">
        <f>IFERROR($N126+VLOOKUP($L126,'Voyage days'!$F$807:$H$878,3,FALSE),"")</f>
        <v>46139</v>
      </c>
      <c r="BM126" s="122">
        <f>IFERROR($N126+VLOOKUP($L126,'Voyage days'!$F$807:$K$878,6,FALSE),"")</f>
        <v>46116</v>
      </c>
      <c r="BN126" s="121" t="str">
        <f>if(L126="loads AG", IFERROR($M126+VLOOKUP($L126,'Voyage days'!$M$38:$O$38,3,FALSE),""),"")</f>
        <v/>
      </c>
      <c r="BO126" s="121" t="str">
        <f>if(L126="loads USG", IFERROR($M126+VLOOKUP($L126,'Voyage days'!$L$203:$N$203,3,FALSE),""),"")</f>
        <v/>
      </c>
    </row>
    <row r="127" ht="15.75" customHeight="1">
      <c r="A127" s="80" t="s">
        <v>226</v>
      </c>
      <c r="B127" s="148">
        <v>2021.0</v>
      </c>
      <c r="C127" s="184">
        <v>84000.0</v>
      </c>
      <c r="D127" s="103"/>
      <c r="E127" s="103"/>
      <c r="F127" s="104"/>
      <c r="G127" s="104"/>
      <c r="H127" s="104" t="s">
        <v>689</v>
      </c>
      <c r="I127" s="401" t="s">
        <v>968</v>
      </c>
      <c r="J127" s="106" t="str">
        <f t="shared" si="25"/>
        <v/>
      </c>
      <c r="K127" s="107"/>
      <c r="L127" s="108" t="s">
        <v>668</v>
      </c>
      <c r="M127" s="109">
        <v>46136.0</v>
      </c>
      <c r="N127" s="109">
        <v>46137.0</v>
      </c>
      <c r="O127" s="191"/>
      <c r="P127" s="108" t="s">
        <v>974</v>
      </c>
      <c r="Q127" s="108"/>
      <c r="R127" s="108" t="s">
        <v>975</v>
      </c>
      <c r="S127" s="256" t="s">
        <v>659</v>
      </c>
      <c r="T127" s="293">
        <v>46125.0</v>
      </c>
      <c r="U127" s="114" t="str">
        <f>IF(V127="","No AIS",VLOOKUP(V127,'Voyage days'!$A$3:$B$1480,2,FALSE))</f>
        <v>Japan + 6</v>
      </c>
      <c r="V127" s="115" t="str">
        <f>IF(VLOOKUP(A127,'1) Kpler'!$E$2:$P$1000,8, FALSE)="","",VLOOKUP(A127,'1) Kpler'!$E$2:$P$1000,8, FALSE))</f>
        <v>Mizushima</v>
      </c>
      <c r="W127" s="116">
        <f>IF(VLOOKUP(A127,'1) Kpler'!$E$2:$P$1000,9,FALSE)="","",VLOOKUP(A127,'1) Kpler'!$E$2:$P$1000,9,FALSE))</f>
        <v>46133.28819</v>
      </c>
      <c r="X127" s="115" t="str">
        <f>VLOOKUP(A127,'1) Kpler'!$E$2:$I$1000,4,FALSE)</f>
        <v>loaded</v>
      </c>
      <c r="Y127" s="160" t="str">
        <f t="shared" si="1"/>
        <v>12-13 May</v>
      </c>
      <c r="Z127" s="160" t="str">
        <f t="shared" si="2"/>
        <v>26-27 May</v>
      </c>
      <c r="AA127" s="160" t="str">
        <f t="shared" si="3"/>
        <v>05-06 Jun</v>
      </c>
      <c r="AB127" s="160" t="str">
        <f t="shared" si="4"/>
        <v>24-25 May</v>
      </c>
      <c r="AC127" s="160" t="str">
        <f t="shared" si="5"/>
        <v>30-31 May</v>
      </c>
      <c r="AD127" s="160" t="str">
        <f t="shared" si="6"/>
        <v>02-03 May</v>
      </c>
      <c r="AE127" s="161" t="str">
        <f t="shared" si="7"/>
        <v>02-03 May</v>
      </c>
      <c r="AF127" s="162" t="str">
        <f t="shared" si="8"/>
        <v>09-10 Jun</v>
      </c>
      <c r="AG127" s="120" t="str">
        <f t="shared" si="9"/>
        <v>12-13 May</v>
      </c>
      <c r="AH127" s="121">
        <f>IFERROR($M127+VLOOKUP($L127,'Voyage days'!$F$38:$H$89,3,FALSE),"")</f>
        <v>46154</v>
      </c>
      <c r="AI127" s="121">
        <f>IFERROR(N127+VLOOKUP($L127,'Voyage days'!$F$38:$H$89,3,FALSE),"")</f>
        <v>46155</v>
      </c>
      <c r="AJ127" s="120" t="str">
        <f t="shared" si="10"/>
        <v>26-27 May</v>
      </c>
      <c r="AK127" s="121">
        <f>IFERROR($M127+VLOOKUP($L127,'Voyage days'!$F$94:$H$193,3,FALSE),"")</f>
        <v>46168</v>
      </c>
      <c r="AL127" s="121">
        <f>IFERROR($N127+VLOOKUP($L127,'Voyage days'!$F$94:$H$193,3,FALSE),"")</f>
        <v>46169</v>
      </c>
      <c r="AM127" s="120" t="str">
        <f t="shared" si="11"/>
        <v>05-06 Jun</v>
      </c>
      <c r="AN127" s="121">
        <f>IFERROR($M127+VLOOKUP($L127,'Voyage days'!$F$203:$H$256,3,FALSE),"")</f>
        <v>46178</v>
      </c>
      <c r="AO127" s="121">
        <f>IFERROR($N127+VLOOKUP($L127,'Voyage days'!$F$203:$H$256,3,FALSE),"")</f>
        <v>46179</v>
      </c>
      <c r="AP127" s="120" t="str">
        <f t="shared" si="12"/>
        <v>24-25 May</v>
      </c>
      <c r="AQ127" s="121">
        <f>IFERROR($M127+VLOOKUP($L127,'Voyage days'!$F$294:$H$377,3,FALSE),"")</f>
        <v>46166</v>
      </c>
      <c r="AR127" s="121">
        <f>IFERROR($N127+VLOOKUP($L127,'Voyage days'!$F$294:$H$377,3,FALSE),"")</f>
        <v>46167</v>
      </c>
      <c r="AS127" s="120" t="str">
        <f t="shared" si="13"/>
        <v>30-31 May</v>
      </c>
      <c r="AT127" s="121">
        <f>IFERROR($M127+VLOOKUP($L127,'Voyage days'!$F$382:$H$446,3,FALSE),"")</f>
        <v>46172</v>
      </c>
      <c r="AU127" s="121">
        <f>IFERROR($N127+VLOOKUP($L127,'Voyage days'!$F$382:$H$446,3,FALSE),"")</f>
        <v>46173</v>
      </c>
      <c r="AV127" s="120" t="str">
        <f t="shared" si="14"/>
        <v>07-08 May</v>
      </c>
      <c r="AW127" s="121">
        <f>IFERROR($M127+VLOOKUP($L127,'Voyage days'!$F$483:$H$538,3,FALSE),"")</f>
        <v>46149</v>
      </c>
      <c r="AX127" s="121">
        <f>IFERROR($N127+VLOOKUP($L127,'Voyage days'!$F$483:$H$538,3,FALSE),"")</f>
        <v>46150</v>
      </c>
      <c r="AY127" s="120" t="str">
        <f t="shared" si="15"/>
        <v>02-03 May</v>
      </c>
      <c r="AZ127" s="121">
        <f>IFERROR($M127+VLOOKUP($L127,'Voyage days'!$F$540:$H$613,3,FALSE),"")</f>
        <v>46144.25</v>
      </c>
      <c r="BA127" s="121">
        <f>IFERROR($N127+VLOOKUP($L127,'Voyage days'!$F$540:$H$613,3,FALSE),"")</f>
        <v>46145.25</v>
      </c>
      <c r="BB127" s="120" t="str">
        <f t="shared" si="16"/>
        <v>02-03 May</v>
      </c>
      <c r="BC127" s="121">
        <f>IFERROR($M127+VLOOKUP($L127,'Voyage days'!$F$448:$H$479,3,FALSE),"")</f>
        <v>46144</v>
      </c>
      <c r="BD127" s="121">
        <f>IFERROR($N127+VLOOKUP($L127,'Voyage days'!$F$448:$H$479,3,FALSE),"")</f>
        <v>46145</v>
      </c>
      <c r="BE127" s="120" t="str">
        <f t="shared" si="17"/>
        <v>05-06 May</v>
      </c>
      <c r="BF127" s="122">
        <f>IFERROR($M127+VLOOKUP($L127,'Voyage days'!$F$620:$H$646,3,FALSE),"")</f>
        <v>46147</v>
      </c>
      <c r="BG127" s="122">
        <f>IFERROR($N127+VLOOKUP($L127,'Voyage days'!$F$620:$H$646,3,FALSE),"")</f>
        <v>46148</v>
      </c>
      <c r="BH127" s="120" t="str">
        <f t="shared" si="18"/>
        <v>02-10 Jun</v>
      </c>
      <c r="BI127" s="123">
        <f>IFERROR($M127+VLOOKUP($L127,'Voyage days'!$F$702:$H$727,3,FALSE),"")</f>
        <v>46144.25</v>
      </c>
      <c r="BJ127" s="120" t="str">
        <f t="shared" si="19"/>
        <v>09-10 Jun</v>
      </c>
      <c r="BK127" s="122">
        <f>IFERROR($M127+VLOOKUP($L127,'Voyage days'!$F$807:$H$878,3,FALSE),"")</f>
        <v>46182</v>
      </c>
      <c r="BL127" s="122">
        <f>IFERROR($N127+VLOOKUP($L127,'Voyage days'!$F$807:$H$878,3,FALSE),"")</f>
        <v>46183</v>
      </c>
      <c r="BM127" s="122">
        <f>IFERROR($N127+VLOOKUP($L127,'Voyage days'!$F$807:$K$878,6,FALSE),"")</f>
        <v>46157</v>
      </c>
      <c r="BN127" s="121" t="str">
        <f>if(L127="loads AG", IFERROR($M127+VLOOKUP($L127,'Voyage days'!$M$38:$O$38,3,FALSE),""),"")</f>
        <v/>
      </c>
      <c r="BO127" s="121" t="str">
        <f>if(L127="loads USG", IFERROR($M127+VLOOKUP($L127,'Voyage days'!$L$203:$N$203,3,FALSE),""),"")</f>
        <v/>
      </c>
    </row>
    <row r="128" ht="15.75" customHeight="1">
      <c r="A128" s="80" t="s">
        <v>259</v>
      </c>
      <c r="B128" s="202">
        <v>2014.0</v>
      </c>
      <c r="C128" s="294">
        <v>82400.0</v>
      </c>
      <c r="D128" s="103"/>
      <c r="E128" s="103"/>
      <c r="F128" s="104"/>
      <c r="G128" s="104"/>
      <c r="H128" s="104"/>
      <c r="I128" s="401" t="s">
        <v>968</v>
      </c>
      <c r="J128" s="106" t="str">
        <f t="shared" si="25"/>
        <v/>
      </c>
      <c r="K128" s="107"/>
      <c r="L128" s="108" t="s">
        <v>680</v>
      </c>
      <c r="M128" s="109">
        <v>46163.0</v>
      </c>
      <c r="N128" s="109">
        <v>46164.0</v>
      </c>
      <c r="O128" s="191"/>
      <c r="P128" s="108" t="s">
        <v>976</v>
      </c>
      <c r="Q128" s="108"/>
      <c r="R128" s="108" t="s">
        <v>977</v>
      </c>
      <c r="S128" s="256" t="s">
        <v>659</v>
      </c>
      <c r="T128" s="113">
        <v>46124.0</v>
      </c>
      <c r="U128" s="114" t="str">
        <f>IF(V128="","No AIS",VLOOKUP(V128,'Voyage days'!$A$3:$B$1480,2,FALSE))</f>
        <v>Korea + 4</v>
      </c>
      <c r="V128" s="115" t="str">
        <f>IF(VLOOKUP(A128,'1) Kpler'!$E$2:$P$1000,8, FALSE)="","",VLOOKUP(A128,'1) Kpler'!$E$2:$P$1000,8, FALSE))</f>
        <v>Ulsan</v>
      </c>
      <c r="W128" s="116">
        <f>IF(VLOOKUP(A128,'1) Kpler'!$E$2:$P$1000,9,FALSE)="","",VLOOKUP(A128,'1) Kpler'!$E$2:$P$1000,9,FALSE))</f>
        <v>46133.5</v>
      </c>
      <c r="X128" s="115" t="str">
        <f>VLOOKUP(A128,'1) Kpler'!$E$2:$I$1000,4,FALSE)</f>
        <v>ballast</v>
      </c>
      <c r="Y128" s="117" t="str">
        <f t="shared" si="1"/>
        <v/>
      </c>
      <c r="Z128" s="117" t="str">
        <f t="shared" si="2"/>
        <v>21-22 May</v>
      </c>
      <c r="AA128" s="117" t="str">
        <f t="shared" si="3"/>
        <v>21-22 May</v>
      </c>
      <c r="AB128" s="117" t="str">
        <f t="shared" si="4"/>
        <v/>
      </c>
      <c r="AC128" s="117" t="str">
        <f t="shared" si="5"/>
        <v>10-11 Jun</v>
      </c>
      <c r="AD128" s="117" t="str">
        <f t="shared" si="6"/>
        <v/>
      </c>
      <c r="AE128" s="118" t="str">
        <f t="shared" si="7"/>
        <v/>
      </c>
      <c r="AF128" s="119" t="str">
        <f t="shared" si="8"/>
        <v/>
      </c>
      <c r="AG128" s="120" t="str">
        <f t="shared" si="9"/>
        <v/>
      </c>
      <c r="AH128" s="121" t="str">
        <f>IFERROR($M128+VLOOKUP($L128,'Voyage days'!$F$38:$H$89,3,FALSE),"")</f>
        <v/>
      </c>
      <c r="AI128" s="121" t="str">
        <f>IFERROR(N128+VLOOKUP($L128,'Voyage days'!$F$38:$H$89,3,FALSE),"")</f>
        <v/>
      </c>
      <c r="AJ128" s="120" t="str">
        <f t="shared" si="10"/>
        <v>21-22 May</v>
      </c>
      <c r="AK128" s="121">
        <f>IFERROR($M128+VLOOKUP($L128,'Voyage days'!$F$94:$H$193,3,FALSE),"")</f>
        <v>46163</v>
      </c>
      <c r="AL128" s="121">
        <f>IFERROR($N128+VLOOKUP($L128,'Voyage days'!$F$94:$H$193,3,FALSE),"")</f>
        <v>46164</v>
      </c>
      <c r="AM128" s="120" t="str">
        <f t="shared" si="11"/>
        <v>21-22 May</v>
      </c>
      <c r="AN128" s="121">
        <f>IFERROR($M128+VLOOKUP($L128,'Voyage days'!$F$203:$H$256,3,FALSE),"")</f>
        <v>46163</v>
      </c>
      <c r="AO128" s="121">
        <f>IFERROR($N128+VLOOKUP($L128,'Voyage days'!$F$203:$H$256,3,FALSE),"")</f>
        <v>46164</v>
      </c>
      <c r="AP128" s="120" t="str">
        <f t="shared" si="12"/>
        <v/>
      </c>
      <c r="AQ128" s="121" t="str">
        <f>IFERROR($M128+VLOOKUP($L128,'Voyage days'!$F$294:$H$377,3,FALSE),"")</f>
        <v/>
      </c>
      <c r="AR128" s="121" t="str">
        <f>IFERROR($N128+VLOOKUP($L128,'Voyage days'!$F$294:$H$377,3,FALSE),"")</f>
        <v/>
      </c>
      <c r="AS128" s="120" t="str">
        <f t="shared" si="13"/>
        <v>10-11 Jun</v>
      </c>
      <c r="AT128" s="121">
        <f>IFERROR($M128+VLOOKUP($L128,'Voyage days'!$F$382:$H$446,3,FALSE),"")</f>
        <v>46183</v>
      </c>
      <c r="AU128" s="121">
        <f>IFERROR($N128+VLOOKUP($L128,'Voyage days'!$F$382:$H$446,3,FALSE),"")</f>
        <v>46184</v>
      </c>
      <c r="AV128" s="120" t="str">
        <f t="shared" si="14"/>
        <v/>
      </c>
      <c r="AW128" s="121" t="str">
        <f>IFERROR($M128+VLOOKUP($L128,'Voyage days'!$F$483:$H$538,3,FALSE),"")</f>
        <v/>
      </c>
      <c r="AX128" s="121" t="str">
        <f>IFERROR($N128+VLOOKUP($L128,'Voyage days'!$F$483:$H$538,3,FALSE),"")</f>
        <v/>
      </c>
      <c r="AY128" s="120" t="str">
        <f t="shared" si="15"/>
        <v/>
      </c>
      <c r="AZ128" s="121" t="str">
        <f>IFERROR($M128+VLOOKUP($L128,'Voyage days'!$F$540:$H$613,3,FALSE),"")</f>
        <v/>
      </c>
      <c r="BA128" s="121" t="str">
        <f>IFERROR($N128+VLOOKUP($L128,'Voyage days'!$F$540:$H$613,3,FALSE),"")</f>
        <v/>
      </c>
      <c r="BB128" s="120" t="str">
        <f t="shared" si="16"/>
        <v/>
      </c>
      <c r="BC128" s="121" t="str">
        <f>IFERROR($M128+VLOOKUP($L128,'Voyage days'!$F$448:$H$479,3,FALSE),"")</f>
        <v/>
      </c>
      <c r="BD128" s="121" t="str">
        <f>IFERROR($N128+VLOOKUP($L128,'Voyage days'!$F$448:$H$479,3,FALSE),"")</f>
        <v/>
      </c>
      <c r="BE128" s="120" t="str">
        <f t="shared" si="17"/>
        <v/>
      </c>
      <c r="BF128" s="122" t="str">
        <f>IFERROR($M128+VLOOKUP($L128,'Voyage days'!$F$620:$H$646,3,FALSE),"")</f>
        <v/>
      </c>
      <c r="BG128" s="122" t="str">
        <f>IFERROR($N128+VLOOKUP($L128,'Voyage days'!$F$620:$H$646,3,FALSE),"")</f>
        <v/>
      </c>
      <c r="BH128" s="120" t="str">
        <f t="shared" si="18"/>
        <v/>
      </c>
      <c r="BI128" s="123" t="str">
        <f>IFERROR($M128+VLOOKUP($L128,'Voyage days'!$F$702:$H$727,3,FALSE),"")</f>
        <v/>
      </c>
      <c r="BJ128" s="120" t="str">
        <f t="shared" si="19"/>
        <v/>
      </c>
      <c r="BK128" s="122" t="str">
        <f>IFERROR($M128+VLOOKUP($L128,'Voyage days'!$F$807:$H$878,3,FALSE),"")</f>
        <v/>
      </c>
      <c r="BL128" s="122" t="str">
        <f>IFERROR($N128+VLOOKUP($L128,'Voyage days'!$F$807:$H$878,3,FALSE),"")</f>
        <v/>
      </c>
      <c r="BM128" s="122" t="str">
        <f>IFERROR($N128+VLOOKUP($L128,'Voyage days'!$F$807:$K$878,6,FALSE),"")</f>
        <v/>
      </c>
      <c r="BN128" s="121" t="str">
        <f>if(L128="loads AG", IFERROR($M128+VLOOKUP($L128,'Voyage days'!$M$38:$O$38,3,FALSE),""),"")</f>
        <v/>
      </c>
      <c r="BO128" s="121">
        <f>if(L128="loads USG", IFERROR($M128+VLOOKUP($L128,'Voyage days'!$L$203:$N$203,3,FALSE),""),"")</f>
        <v>46195</v>
      </c>
    </row>
    <row r="129" ht="15.75" customHeight="1">
      <c r="A129" s="80" t="s">
        <v>328</v>
      </c>
      <c r="B129" s="202">
        <v>2017.0</v>
      </c>
      <c r="C129" s="184">
        <v>84000.0</v>
      </c>
      <c r="D129" s="103"/>
      <c r="E129" s="103"/>
      <c r="F129" s="104"/>
      <c r="G129" s="104"/>
      <c r="H129" s="104" t="s">
        <v>689</v>
      </c>
      <c r="I129" s="401" t="s">
        <v>968</v>
      </c>
      <c r="J129" s="106" t="str">
        <f t="shared" si="25"/>
        <v/>
      </c>
      <c r="K129" s="205" t="s">
        <v>709</v>
      </c>
      <c r="L129" s="108" t="s">
        <v>668</v>
      </c>
      <c r="M129" s="109">
        <v>46133.0</v>
      </c>
      <c r="N129" s="109">
        <v>46134.0</v>
      </c>
      <c r="O129" s="191"/>
      <c r="P129" s="108" t="s">
        <v>978</v>
      </c>
      <c r="Q129" s="108" t="s">
        <v>979</v>
      </c>
      <c r="R129" s="108" t="s">
        <v>980</v>
      </c>
      <c r="S129" s="256" t="s">
        <v>33</v>
      </c>
      <c r="T129" s="113">
        <v>46125.0</v>
      </c>
      <c r="U129" s="114" t="str">
        <f>IF(V129="","No AIS",VLOOKUP(V129,'Voyage days'!$A$3:$B$1480,2,FALSE))</f>
        <v>Korea+3/+1 bunkers</v>
      </c>
      <c r="V129" s="115" t="str">
        <f>IF(VLOOKUP(A129,'1) Kpler'!$E$2:$P$1000,8, FALSE)="","",VLOOKUP(A129,'1) Kpler'!$E$2:$P$1000,8, FALSE))</f>
        <v>Yeosu</v>
      </c>
      <c r="W129" s="116">
        <f>IF(VLOOKUP(A129,'1) Kpler'!$E$2:$P$1000,9,FALSE)="","",VLOOKUP(A129,'1) Kpler'!$E$2:$P$1000,9,FALSE))</f>
        <v>46131.83333</v>
      </c>
      <c r="X129" s="115" t="str">
        <f>VLOOKUP(A129,'1) Kpler'!$E$2:$I$1000,4,FALSE)</f>
        <v>loaded</v>
      </c>
      <c r="Y129" s="160" t="str">
        <f t="shared" si="1"/>
        <v>09-10 May</v>
      </c>
      <c r="Z129" s="160" t="str">
        <f t="shared" si="2"/>
        <v>23-24 May</v>
      </c>
      <c r="AA129" s="160" t="str">
        <f t="shared" si="3"/>
        <v>02-03 Jun</v>
      </c>
      <c r="AB129" s="160" t="str">
        <f t="shared" si="4"/>
        <v>21-22 May</v>
      </c>
      <c r="AC129" s="160" t="str">
        <f t="shared" si="5"/>
        <v>27-28 May</v>
      </c>
      <c r="AD129" s="160" t="str">
        <f t="shared" si="6"/>
        <v>29-30 Apr</v>
      </c>
      <c r="AE129" s="161" t="str">
        <f t="shared" si="7"/>
        <v>29-30 Apr</v>
      </c>
      <c r="AF129" s="162" t="str">
        <f t="shared" si="8"/>
        <v>06-07 Jun</v>
      </c>
      <c r="AG129" s="120" t="str">
        <f t="shared" si="9"/>
        <v>09-10 May</v>
      </c>
      <c r="AH129" s="121">
        <f>IFERROR($M129+VLOOKUP($L129,'Voyage days'!$F$38:$H$89,3,FALSE),"")</f>
        <v>46151</v>
      </c>
      <c r="AI129" s="121">
        <f>IFERROR(N129+VLOOKUP($L129,'Voyage days'!$F$38:$H$89,3,FALSE),"")</f>
        <v>46152</v>
      </c>
      <c r="AJ129" s="120" t="str">
        <f t="shared" si="10"/>
        <v>23-24 May</v>
      </c>
      <c r="AK129" s="121">
        <f>IFERROR($M129+VLOOKUP($L129,'Voyage days'!$F$94:$H$193,3,FALSE),"")</f>
        <v>46165</v>
      </c>
      <c r="AL129" s="121">
        <f>IFERROR($N129+VLOOKUP($L129,'Voyage days'!$F$94:$H$193,3,FALSE),"")</f>
        <v>46166</v>
      </c>
      <c r="AM129" s="120" t="str">
        <f t="shared" si="11"/>
        <v>02-03 Jun</v>
      </c>
      <c r="AN129" s="121">
        <f>IFERROR($M129+VLOOKUP($L129,'Voyage days'!$F$203:$H$256,3,FALSE),"")</f>
        <v>46175</v>
      </c>
      <c r="AO129" s="121">
        <f>IFERROR($N129+VLOOKUP($L129,'Voyage days'!$F$203:$H$256,3,FALSE),"")</f>
        <v>46176</v>
      </c>
      <c r="AP129" s="120" t="str">
        <f t="shared" si="12"/>
        <v>21-22 May</v>
      </c>
      <c r="AQ129" s="121">
        <f>IFERROR($M129+VLOOKUP($L129,'Voyage days'!$F$294:$H$377,3,FALSE),"")</f>
        <v>46163</v>
      </c>
      <c r="AR129" s="121">
        <f>IFERROR($N129+VLOOKUP($L129,'Voyage days'!$F$294:$H$377,3,FALSE),"")</f>
        <v>46164</v>
      </c>
      <c r="AS129" s="120" t="str">
        <f t="shared" si="13"/>
        <v>27-28 May</v>
      </c>
      <c r="AT129" s="121">
        <f>IFERROR($M129+VLOOKUP($L129,'Voyage days'!$F$382:$H$446,3,FALSE),"")</f>
        <v>46169</v>
      </c>
      <c r="AU129" s="121">
        <f>IFERROR($N129+VLOOKUP($L129,'Voyage days'!$F$382:$H$446,3,FALSE),"")</f>
        <v>46170</v>
      </c>
      <c r="AV129" s="120" t="str">
        <f t="shared" si="14"/>
        <v>04-05 May</v>
      </c>
      <c r="AW129" s="121">
        <f>IFERROR($M129+VLOOKUP($L129,'Voyage days'!$F$483:$H$538,3,FALSE),"")</f>
        <v>46146</v>
      </c>
      <c r="AX129" s="121">
        <f>IFERROR($N129+VLOOKUP($L129,'Voyage days'!$F$483:$H$538,3,FALSE),"")</f>
        <v>46147</v>
      </c>
      <c r="AY129" s="120" t="str">
        <f t="shared" si="15"/>
        <v>29-30 Apr</v>
      </c>
      <c r="AZ129" s="121">
        <f>IFERROR($M129+VLOOKUP($L129,'Voyage days'!$F$540:$H$613,3,FALSE),"")</f>
        <v>46141.25</v>
      </c>
      <c r="BA129" s="121">
        <f>IFERROR($N129+VLOOKUP($L129,'Voyage days'!$F$540:$H$613,3,FALSE),"")</f>
        <v>46142.25</v>
      </c>
      <c r="BB129" s="120" t="str">
        <f t="shared" si="16"/>
        <v>29-30 Apr</v>
      </c>
      <c r="BC129" s="121">
        <f>IFERROR($M129+VLOOKUP($L129,'Voyage days'!$F$448:$H$479,3,FALSE),"")</f>
        <v>46141</v>
      </c>
      <c r="BD129" s="121">
        <f>IFERROR($N129+VLOOKUP($L129,'Voyage days'!$F$448:$H$479,3,FALSE),"")</f>
        <v>46142</v>
      </c>
      <c r="BE129" s="120" t="str">
        <f t="shared" si="17"/>
        <v>02-03 May</v>
      </c>
      <c r="BF129" s="122">
        <f>IFERROR($M129+VLOOKUP($L129,'Voyage days'!$F$620:$H$646,3,FALSE),"")</f>
        <v>46144</v>
      </c>
      <c r="BG129" s="122">
        <f>IFERROR($N129+VLOOKUP($L129,'Voyage days'!$F$620:$H$646,3,FALSE),"")</f>
        <v>46145</v>
      </c>
      <c r="BH129" s="120" t="str">
        <f t="shared" si="18"/>
        <v>29-07 Jun</v>
      </c>
      <c r="BI129" s="123">
        <f>IFERROR($M129+VLOOKUP($L129,'Voyage days'!$F$702:$H$727,3,FALSE),"")</f>
        <v>46141.25</v>
      </c>
      <c r="BJ129" s="120" t="str">
        <f t="shared" si="19"/>
        <v>06-07 Jun</v>
      </c>
      <c r="BK129" s="122">
        <f>IFERROR($M129+VLOOKUP($L129,'Voyage days'!$F$807:$H$878,3,FALSE),"")</f>
        <v>46179</v>
      </c>
      <c r="BL129" s="122">
        <f>IFERROR($N129+VLOOKUP($L129,'Voyage days'!$F$807:$H$878,3,FALSE),"")</f>
        <v>46180</v>
      </c>
      <c r="BM129" s="122">
        <f>IFERROR($N129+VLOOKUP($L129,'Voyage days'!$F$807:$K$878,6,FALSE),"")</f>
        <v>46154</v>
      </c>
      <c r="BN129" s="121" t="str">
        <f>if(L129="loads AG", IFERROR($M129+VLOOKUP($L129,'Voyage days'!$M$38:$O$38,3,FALSE),""),"")</f>
        <v/>
      </c>
      <c r="BO129" s="121" t="str">
        <f>if(L129="loads USG", IFERROR($M129+VLOOKUP($L129,'Voyage days'!$L$203:$N$203,3,FALSE),""),"")</f>
        <v/>
      </c>
    </row>
    <row r="130" ht="14.25" customHeight="1">
      <c r="A130" s="466" t="s">
        <v>333</v>
      </c>
      <c r="B130" s="202">
        <v>2018.0</v>
      </c>
      <c r="C130" s="184">
        <v>82200.0</v>
      </c>
      <c r="D130" s="103"/>
      <c r="E130" s="103"/>
      <c r="F130" s="104"/>
      <c r="G130" s="104"/>
      <c r="H130" s="104"/>
      <c r="I130" s="401" t="s">
        <v>968</v>
      </c>
      <c r="J130" s="106" t="str">
        <f t="shared" si="25"/>
        <v/>
      </c>
      <c r="K130" s="107"/>
      <c r="L130" s="108" t="s">
        <v>668</v>
      </c>
      <c r="M130" s="109">
        <v>46137.0</v>
      </c>
      <c r="N130" s="109">
        <v>46138.0</v>
      </c>
      <c r="O130" s="191"/>
      <c r="P130" s="108" t="s">
        <v>981</v>
      </c>
      <c r="Q130" s="108"/>
      <c r="R130" s="108" t="s">
        <v>982</v>
      </c>
      <c r="S130" s="256" t="s">
        <v>659</v>
      </c>
      <c r="T130" s="113">
        <v>46125.0</v>
      </c>
      <c r="U130" s="114" t="str">
        <f>IF(V130="","No AIS",VLOOKUP(V130,'Voyage days'!$A$3:$B$1480,2,FALSE))</f>
        <v>Japan + 6</v>
      </c>
      <c r="V130" s="115" t="str">
        <f>IF(VLOOKUP(A130,'1) Kpler'!$E$2:$P$1000,8, FALSE)="","",VLOOKUP(A130,'1) Kpler'!$E$2:$P$1000,8, FALSE))</f>
        <v>Nagoya</v>
      </c>
      <c r="W130" s="116">
        <f>IF(VLOOKUP(A130,'1) Kpler'!$E$2:$P$1000,9,FALSE)="","",VLOOKUP(A130,'1) Kpler'!$E$2:$P$1000,9,FALSE))</f>
        <v>46133.27083</v>
      </c>
      <c r="X130" s="115" t="str">
        <f>VLOOKUP(A130,'1) Kpler'!$E$2:$I$1000,4,FALSE)</f>
        <v>loaded</v>
      </c>
      <c r="Y130" s="117" t="str">
        <f t="shared" si="1"/>
        <v>13-14 May</v>
      </c>
      <c r="Z130" s="117" t="str">
        <f t="shared" si="2"/>
        <v>27-28 May</v>
      </c>
      <c r="AA130" s="117" t="str">
        <f t="shared" si="3"/>
        <v>06-07 Jun</v>
      </c>
      <c r="AB130" s="117" t="str">
        <f t="shared" si="4"/>
        <v>25-26 May</v>
      </c>
      <c r="AC130" s="117" t="str">
        <f t="shared" si="5"/>
        <v>31-01 Jun</v>
      </c>
      <c r="AD130" s="117" t="str">
        <f t="shared" si="6"/>
        <v>03-04 May</v>
      </c>
      <c r="AE130" s="118" t="str">
        <f t="shared" si="7"/>
        <v>03-04 May</v>
      </c>
      <c r="AF130" s="119" t="str">
        <f t="shared" si="8"/>
        <v>10-11 Jun</v>
      </c>
      <c r="AG130" s="120" t="str">
        <f t="shared" si="9"/>
        <v>13-14 May</v>
      </c>
      <c r="AH130" s="121">
        <f>IFERROR($M130+VLOOKUP($L130,'Voyage days'!$F$38:$H$89,3,FALSE),"")</f>
        <v>46155</v>
      </c>
      <c r="AI130" s="121">
        <f>IFERROR(N130+VLOOKUP($L130,'Voyage days'!$F$38:$H$89,3,FALSE),"")</f>
        <v>46156</v>
      </c>
      <c r="AJ130" s="120" t="str">
        <f t="shared" si="10"/>
        <v>27-28 May</v>
      </c>
      <c r="AK130" s="121">
        <f>IFERROR($M130+VLOOKUP($L130,'Voyage days'!$F$94:$H$193,3,FALSE),"")</f>
        <v>46169</v>
      </c>
      <c r="AL130" s="121">
        <f>IFERROR($N130+VLOOKUP($L130,'Voyage days'!$F$94:$H$193,3,FALSE),"")</f>
        <v>46170</v>
      </c>
      <c r="AM130" s="120" t="str">
        <f t="shared" si="11"/>
        <v>06-07 Jun</v>
      </c>
      <c r="AN130" s="121">
        <f>IFERROR($M130+VLOOKUP($L130,'Voyage days'!$F$203:$H$256,3,FALSE),"")</f>
        <v>46179</v>
      </c>
      <c r="AO130" s="121">
        <f>IFERROR($N130+VLOOKUP($L130,'Voyage days'!$F$203:$H$256,3,FALSE),"")</f>
        <v>46180</v>
      </c>
      <c r="AP130" s="120" t="str">
        <f t="shared" si="12"/>
        <v>25-26 May</v>
      </c>
      <c r="AQ130" s="121">
        <f>IFERROR($M130+VLOOKUP($L130,'Voyage days'!$F$294:$H$377,3,FALSE),"")</f>
        <v>46167</v>
      </c>
      <c r="AR130" s="121">
        <f>IFERROR($N130+VLOOKUP($L130,'Voyage days'!$F$294:$H$377,3,FALSE),"")</f>
        <v>46168</v>
      </c>
      <c r="AS130" s="120" t="str">
        <f t="shared" si="13"/>
        <v>31-01 Jun</v>
      </c>
      <c r="AT130" s="121">
        <f>IFERROR($M130+VLOOKUP($L130,'Voyage days'!$F$382:$H$446,3,FALSE),"")</f>
        <v>46173</v>
      </c>
      <c r="AU130" s="121">
        <f>IFERROR($N130+VLOOKUP($L130,'Voyage days'!$F$382:$H$446,3,FALSE),"")</f>
        <v>46174</v>
      </c>
      <c r="AV130" s="120" t="str">
        <f t="shared" si="14"/>
        <v>08-09 May</v>
      </c>
      <c r="AW130" s="121">
        <f>IFERROR($M130+VLOOKUP($L130,'Voyage days'!$F$483:$H$538,3,FALSE),"")</f>
        <v>46150</v>
      </c>
      <c r="AX130" s="121">
        <f>IFERROR($N130+VLOOKUP($L130,'Voyage days'!$F$483:$H$538,3,FALSE),"")</f>
        <v>46151</v>
      </c>
      <c r="AY130" s="120" t="str">
        <f t="shared" si="15"/>
        <v>03-04 May</v>
      </c>
      <c r="AZ130" s="121">
        <f>IFERROR($M130+VLOOKUP($L130,'Voyage days'!$F$540:$H$613,3,FALSE),"")</f>
        <v>46145.25</v>
      </c>
      <c r="BA130" s="121">
        <f>IFERROR($N130+VLOOKUP($L130,'Voyage days'!$F$540:$H$613,3,FALSE),"")</f>
        <v>46146.25</v>
      </c>
      <c r="BB130" s="120" t="str">
        <f t="shared" si="16"/>
        <v>03-04 May</v>
      </c>
      <c r="BC130" s="121">
        <f>IFERROR($M130+VLOOKUP($L130,'Voyage days'!$F$448:$H$479,3,FALSE),"")</f>
        <v>46145</v>
      </c>
      <c r="BD130" s="121">
        <f>IFERROR($N130+VLOOKUP($L130,'Voyage days'!$F$448:$H$479,3,FALSE),"")</f>
        <v>46146</v>
      </c>
      <c r="BE130" s="120" t="str">
        <f t="shared" si="17"/>
        <v>06-07 May</v>
      </c>
      <c r="BF130" s="122">
        <f>IFERROR($M130+VLOOKUP($L130,'Voyage days'!$F$620:$H$646,3,FALSE),"")</f>
        <v>46148</v>
      </c>
      <c r="BG130" s="122">
        <f>IFERROR($N130+VLOOKUP($L130,'Voyage days'!$F$620:$H$646,3,FALSE),"")</f>
        <v>46149</v>
      </c>
      <c r="BH130" s="120" t="str">
        <f t="shared" si="18"/>
        <v>03-11 Jun</v>
      </c>
      <c r="BI130" s="123">
        <f>IFERROR($M130+VLOOKUP($L130,'Voyage days'!$F$702:$H$727,3,FALSE),"")</f>
        <v>46145.25</v>
      </c>
      <c r="BJ130" s="120" t="str">
        <f t="shared" si="19"/>
        <v>10-11 Jun</v>
      </c>
      <c r="BK130" s="122">
        <f>IFERROR($M130+VLOOKUP($L130,'Voyage days'!$F$807:$H$878,3,FALSE),"")</f>
        <v>46183</v>
      </c>
      <c r="BL130" s="122">
        <f>IFERROR($N130+VLOOKUP($L130,'Voyage days'!$F$807:$H$878,3,FALSE),"")</f>
        <v>46184</v>
      </c>
      <c r="BM130" s="122">
        <f>IFERROR($N130+VLOOKUP($L130,'Voyage days'!$F$807:$K$878,6,FALSE),"")</f>
        <v>46158</v>
      </c>
      <c r="BN130" s="121" t="str">
        <f>if(L130="loads AG", IFERROR($M130+VLOOKUP($L130,'Voyage days'!$M$38:$O$38,3,FALSE),""),"")</f>
        <v/>
      </c>
      <c r="BO130" s="121" t="str">
        <f>if(L130="loads USG", IFERROR($M130+VLOOKUP($L130,'Voyage days'!$L$203:$N$203,3,FALSE),""),"")</f>
        <v/>
      </c>
    </row>
    <row r="131" ht="15.75" customHeight="1">
      <c r="A131" s="80" t="s">
        <v>453</v>
      </c>
      <c r="B131" s="202">
        <v>2009.0</v>
      </c>
      <c r="C131" s="294">
        <v>83300.0</v>
      </c>
      <c r="D131" s="103"/>
      <c r="E131" s="103"/>
      <c r="F131" s="104"/>
      <c r="G131" s="104"/>
      <c r="H131" s="104" t="s">
        <v>689</v>
      </c>
      <c r="I131" s="401" t="s">
        <v>968</v>
      </c>
      <c r="J131" s="106" t="str">
        <f t="shared" si="25"/>
        <v>NO AIS</v>
      </c>
      <c r="K131" s="205"/>
      <c r="L131" s="108" t="s">
        <v>680</v>
      </c>
      <c r="M131" s="109">
        <v>46129.0</v>
      </c>
      <c r="N131" s="109">
        <v>46130.0</v>
      </c>
      <c r="O131" s="191"/>
      <c r="P131" s="187" t="s">
        <v>983</v>
      </c>
      <c r="Q131" s="108"/>
      <c r="R131" s="108" t="s">
        <v>984</v>
      </c>
      <c r="S131" s="256" t="s">
        <v>659</v>
      </c>
      <c r="T131" s="113">
        <v>46125.0</v>
      </c>
      <c r="U131" s="114" t="str">
        <f>IF(V131="","No AIS",VLOOKUP(V131,'Voyage days'!$A$3:$B$1480,2,FALSE))</f>
        <v>No AIS</v>
      </c>
      <c r="V131" s="115" t="str">
        <f>IF(VLOOKUP(A131,'1) Kpler'!$E$2:$P$1000,8, FALSE)="","",VLOOKUP(A131,'1) Kpler'!$E$2:$P$1000,8, FALSE))</f>
        <v/>
      </c>
      <c r="W131" s="116" t="str">
        <f>IF(VLOOKUP(A131,'1) Kpler'!$E$2:$P$1000,9,FALSE)="","",VLOOKUP(A131,'1) Kpler'!$E$2:$P$1000,9,FALSE))</f>
        <v/>
      </c>
      <c r="X131" s="115" t="str">
        <f>VLOOKUP(A131,'1) Kpler'!$E$2:$I$1000,4,FALSE)</f>
        <v>loaded</v>
      </c>
      <c r="Y131" s="160" t="str">
        <f t="shared" si="1"/>
        <v/>
      </c>
      <c r="Z131" s="160" t="str">
        <f t="shared" si="2"/>
        <v>17-18 Apr</v>
      </c>
      <c r="AA131" s="160" t="str">
        <f t="shared" si="3"/>
        <v>17-18 Apr</v>
      </c>
      <c r="AB131" s="160" t="str">
        <f t="shared" si="4"/>
        <v/>
      </c>
      <c r="AC131" s="160" t="str">
        <f t="shared" si="5"/>
        <v>07-08 May</v>
      </c>
      <c r="AD131" s="160" t="str">
        <f t="shared" si="6"/>
        <v/>
      </c>
      <c r="AE131" s="161" t="str">
        <f t="shared" si="7"/>
        <v/>
      </c>
      <c r="AF131" s="162" t="str">
        <f t="shared" si="8"/>
        <v/>
      </c>
      <c r="AG131" s="120" t="str">
        <f t="shared" si="9"/>
        <v/>
      </c>
      <c r="AH131" s="121" t="str">
        <f>IFERROR($M131+VLOOKUP($L131,'Voyage days'!$F$38:$H$89,3,FALSE),"")</f>
        <v/>
      </c>
      <c r="AI131" s="121" t="str">
        <f>IFERROR(N131+VLOOKUP($L131,'Voyage days'!$F$38:$H$89,3,FALSE),"")</f>
        <v/>
      </c>
      <c r="AJ131" s="120" t="str">
        <f t="shared" si="10"/>
        <v>17-18 Apr</v>
      </c>
      <c r="AK131" s="121">
        <f>IFERROR($M131+VLOOKUP($L131,'Voyage days'!$F$94:$H$193,3,FALSE),"")</f>
        <v>46129</v>
      </c>
      <c r="AL131" s="121">
        <f>IFERROR($N131+VLOOKUP($L131,'Voyage days'!$F$94:$H$193,3,FALSE),"")</f>
        <v>46130</v>
      </c>
      <c r="AM131" s="120" t="str">
        <f t="shared" si="11"/>
        <v>17-18 Apr</v>
      </c>
      <c r="AN131" s="121">
        <f>IFERROR($M131+VLOOKUP($L131,'Voyage days'!$F$203:$H$256,3,FALSE),"")</f>
        <v>46129</v>
      </c>
      <c r="AO131" s="121">
        <f>IFERROR($N131+VLOOKUP($L131,'Voyage days'!$F$203:$H$256,3,FALSE),"")</f>
        <v>46130</v>
      </c>
      <c r="AP131" s="120" t="str">
        <f t="shared" si="12"/>
        <v/>
      </c>
      <c r="AQ131" s="121" t="str">
        <f>IFERROR($M131+VLOOKUP($L131,'Voyage days'!$F$294:$H$377,3,FALSE),"")</f>
        <v/>
      </c>
      <c r="AR131" s="121" t="str">
        <f>IFERROR($N131+VLOOKUP($L131,'Voyage days'!$F$294:$H$377,3,FALSE),"")</f>
        <v/>
      </c>
      <c r="AS131" s="120" t="str">
        <f t="shared" si="13"/>
        <v>07-08 May</v>
      </c>
      <c r="AT131" s="121">
        <f>IFERROR($M131+VLOOKUP($L131,'Voyage days'!$F$382:$H$446,3,FALSE),"")</f>
        <v>46149</v>
      </c>
      <c r="AU131" s="121">
        <f>IFERROR($N131+VLOOKUP($L131,'Voyage days'!$F$382:$H$446,3,FALSE),"")</f>
        <v>46150</v>
      </c>
      <c r="AV131" s="120" t="str">
        <f t="shared" si="14"/>
        <v/>
      </c>
      <c r="AW131" s="121" t="str">
        <f>IFERROR($M131+VLOOKUP($L131,'Voyage days'!$F$483:$H$538,3,FALSE),"")</f>
        <v/>
      </c>
      <c r="AX131" s="121" t="str">
        <f>IFERROR($N131+VLOOKUP($L131,'Voyage days'!$F$483:$H$538,3,FALSE),"")</f>
        <v/>
      </c>
      <c r="AY131" s="120" t="str">
        <f t="shared" si="15"/>
        <v/>
      </c>
      <c r="AZ131" s="121" t="str">
        <f>IFERROR($M131+VLOOKUP($L131,'Voyage days'!$F$540:$H$613,3,FALSE),"")</f>
        <v/>
      </c>
      <c r="BA131" s="121" t="str">
        <f>IFERROR($N131+VLOOKUP($L131,'Voyage days'!$F$540:$H$613,3,FALSE),"")</f>
        <v/>
      </c>
      <c r="BB131" s="120" t="str">
        <f t="shared" si="16"/>
        <v/>
      </c>
      <c r="BC131" s="121" t="str">
        <f>IFERROR($M131+VLOOKUP($L131,'Voyage days'!$F$448:$H$479,3,FALSE),"")</f>
        <v/>
      </c>
      <c r="BD131" s="121" t="str">
        <f>IFERROR($N131+VLOOKUP($L131,'Voyage days'!$F$448:$H$479,3,FALSE),"")</f>
        <v/>
      </c>
      <c r="BE131" s="120" t="str">
        <f t="shared" si="17"/>
        <v/>
      </c>
      <c r="BF131" s="122" t="str">
        <f>IFERROR($M131+VLOOKUP($L131,'Voyage days'!$F$620:$H$646,3,FALSE),"")</f>
        <v/>
      </c>
      <c r="BG131" s="122" t="str">
        <f>IFERROR($N131+VLOOKUP($L131,'Voyage days'!$F$620:$H$646,3,FALSE),"")</f>
        <v/>
      </c>
      <c r="BH131" s="120" t="str">
        <f t="shared" si="18"/>
        <v/>
      </c>
      <c r="BI131" s="123" t="str">
        <f>IFERROR($M131+VLOOKUP($L131,'Voyage days'!$F$702:$H$727,3,FALSE),"")</f>
        <v/>
      </c>
      <c r="BJ131" s="120" t="str">
        <f t="shared" si="19"/>
        <v/>
      </c>
      <c r="BK131" s="122" t="str">
        <f>IFERROR($M131+VLOOKUP($L131,'Voyage days'!$F$807:$H$878,3,FALSE),"")</f>
        <v/>
      </c>
      <c r="BL131" s="122" t="str">
        <f>IFERROR($N131+VLOOKUP($L131,'Voyage days'!$F$807:$H$878,3,FALSE),"")</f>
        <v/>
      </c>
      <c r="BM131" s="122" t="str">
        <f>IFERROR($N131+VLOOKUP($L131,'Voyage days'!$F$807:$K$878,6,FALSE),"")</f>
        <v/>
      </c>
      <c r="BN131" s="121" t="str">
        <f>if(L131="loads AG", IFERROR($M131+VLOOKUP($L131,'Voyage days'!$M$38:$O$38,3,FALSE),""),"")</f>
        <v/>
      </c>
      <c r="BO131" s="121">
        <f>if(L131="loads USG", IFERROR($M131+VLOOKUP($L131,'Voyage days'!$L$203:$N$203,3,FALSE),""),"")</f>
        <v>46161</v>
      </c>
    </row>
    <row r="132" ht="14.25" customHeight="1">
      <c r="A132" s="80" t="s">
        <v>505</v>
      </c>
      <c r="B132" s="202">
        <v>2017.0</v>
      </c>
      <c r="C132" s="184">
        <v>82200.0</v>
      </c>
      <c r="D132" s="103"/>
      <c r="E132" s="103"/>
      <c r="F132" s="104"/>
      <c r="G132" s="104"/>
      <c r="H132" s="104"/>
      <c r="I132" s="401" t="s">
        <v>968</v>
      </c>
      <c r="J132" s="106" t="str">
        <f t="shared" si="25"/>
        <v>NO AIS</v>
      </c>
      <c r="K132" s="107"/>
      <c r="L132" s="108" t="s">
        <v>708</v>
      </c>
      <c r="M132" s="154">
        <v>46117.0</v>
      </c>
      <c r="N132" s="457">
        <v>46118.0</v>
      </c>
      <c r="O132" s="191"/>
      <c r="P132" s="108" t="s">
        <v>985</v>
      </c>
      <c r="Q132" s="108"/>
      <c r="R132" s="108" t="s">
        <v>986</v>
      </c>
      <c r="S132" s="256" t="s">
        <v>659</v>
      </c>
      <c r="T132" s="113">
        <v>46125.0</v>
      </c>
      <c r="U132" s="114" t="str">
        <f>IF(V132="","No AIS",VLOOKUP(V132,'Voyage days'!$A$3:$B$1480,2,FALSE))</f>
        <v>No AIS</v>
      </c>
      <c r="V132" s="115" t="str">
        <f>IF(VLOOKUP(A132,'1) Kpler'!$E$2:$P$1000,8, FALSE)="","",VLOOKUP(A132,'1) Kpler'!$E$2:$P$1000,8, FALSE))</f>
        <v/>
      </c>
      <c r="W132" s="116" t="str">
        <f>IF(VLOOKUP(A132,'1) Kpler'!$E$2:$P$1000,9,FALSE)="","",VLOOKUP(A132,'1) Kpler'!$E$2:$P$1000,9,FALSE))</f>
        <v/>
      </c>
      <c r="X132" s="115" t="str">
        <f>VLOOKUP(A132,'1) Kpler'!$E$2:$I$1000,4,FALSE)</f>
        <v>ballast</v>
      </c>
      <c r="Y132" s="117" t="str">
        <f t="shared" si="1"/>
        <v/>
      </c>
      <c r="Z132" s="117" t="str">
        <f t="shared" si="2"/>
        <v/>
      </c>
      <c r="AA132" s="117" t="str">
        <f t="shared" si="3"/>
        <v>01-02 May</v>
      </c>
      <c r="AB132" s="117" t="str">
        <f t="shared" si="4"/>
        <v>18-19 Apr</v>
      </c>
      <c r="AC132" s="117" t="str">
        <f t="shared" si="5"/>
        <v>27-28 Apr</v>
      </c>
      <c r="AD132" s="117" t="str">
        <f t="shared" si="6"/>
        <v/>
      </c>
      <c r="AE132" s="118" t="str">
        <f t="shared" si="7"/>
        <v/>
      </c>
      <c r="AF132" s="119" t="str">
        <f t="shared" si="8"/>
        <v>02-03 May</v>
      </c>
      <c r="AG132" s="120" t="str">
        <f t="shared" si="9"/>
        <v/>
      </c>
      <c r="AH132" s="121" t="str">
        <f>IFERROR($M132+VLOOKUP($L132,'Voyage days'!$F$38:$H$89,3,FALSE),"")</f>
        <v/>
      </c>
      <c r="AI132" s="121" t="str">
        <f>IFERROR(N132+VLOOKUP($L132,'Voyage days'!$F$38:$H$89,3,FALSE),"")</f>
        <v/>
      </c>
      <c r="AJ132" s="120" t="str">
        <f t="shared" si="10"/>
        <v/>
      </c>
      <c r="AK132" s="121" t="str">
        <f>IFERROR($M132+VLOOKUP($L132,'Voyage days'!$F$94:$H$193,3,FALSE),"")</f>
        <v/>
      </c>
      <c r="AL132" s="121" t="str">
        <f>IFERROR($N132+VLOOKUP($L132,'Voyage days'!$F$94:$H$193,3,FALSE),"")</f>
        <v/>
      </c>
      <c r="AM132" s="120" t="str">
        <f t="shared" si="11"/>
        <v>01-02 May</v>
      </c>
      <c r="AN132" s="121">
        <f>IFERROR($M132+VLOOKUP($L132,'Voyage days'!$F$203:$H$256,3,FALSE),"")</f>
        <v>46143</v>
      </c>
      <c r="AO132" s="121">
        <f>IFERROR($N132+VLOOKUP($L132,'Voyage days'!$F$203:$H$256,3,FALSE),"")</f>
        <v>46144</v>
      </c>
      <c r="AP132" s="120" t="str">
        <f t="shared" si="12"/>
        <v>18-19 Apr</v>
      </c>
      <c r="AQ132" s="121">
        <f>IFERROR($M132+VLOOKUP($L132,'Voyage days'!$F$294:$H$377,3,FALSE),"")</f>
        <v>46130</v>
      </c>
      <c r="AR132" s="121">
        <f>IFERROR($N132+VLOOKUP($L132,'Voyage days'!$F$294:$H$377,3,FALSE),"")</f>
        <v>46131</v>
      </c>
      <c r="AS132" s="120" t="str">
        <f t="shared" si="13"/>
        <v>27-28 Apr</v>
      </c>
      <c r="AT132" s="121">
        <f>IFERROR($M132+VLOOKUP($L132,'Voyage days'!$F$382:$H$446,3,FALSE),"")</f>
        <v>46139</v>
      </c>
      <c r="AU132" s="121">
        <f>IFERROR($N132+VLOOKUP($L132,'Voyage days'!$F$382:$H$446,3,FALSE),"")</f>
        <v>46140</v>
      </c>
      <c r="AV132" s="120" t="str">
        <f t="shared" si="14"/>
        <v/>
      </c>
      <c r="AW132" s="121" t="str">
        <f>IFERROR($M132+VLOOKUP($L132,'Voyage days'!$F$483:$H$538,3,FALSE),"")</f>
        <v/>
      </c>
      <c r="AX132" s="121" t="str">
        <f>IFERROR($N132+VLOOKUP($L132,'Voyage days'!$F$483:$H$538,3,FALSE),"")</f>
        <v/>
      </c>
      <c r="AY132" s="120" t="str">
        <f t="shared" si="15"/>
        <v/>
      </c>
      <c r="AZ132" s="121" t="str">
        <f>IFERROR($M132+VLOOKUP($L132,'Voyage days'!$F$540:$H$613,3,FALSE),"")</f>
        <v/>
      </c>
      <c r="BA132" s="121" t="str">
        <f>IFERROR($N132+VLOOKUP($L132,'Voyage days'!$F$540:$H$613,3,FALSE),"")</f>
        <v/>
      </c>
      <c r="BB132" s="120" t="str">
        <f t="shared" si="16"/>
        <v/>
      </c>
      <c r="BC132" s="121" t="str">
        <f>IFERROR($M132+VLOOKUP($L132,'Voyage days'!$F$448:$H$479,3,FALSE),"")</f>
        <v/>
      </c>
      <c r="BD132" s="121" t="str">
        <f>IFERROR($N132+VLOOKUP($L132,'Voyage days'!$F$448:$H$479,3,FALSE),"")</f>
        <v/>
      </c>
      <c r="BE132" s="120" t="str">
        <f t="shared" si="17"/>
        <v/>
      </c>
      <c r="BF132" s="122" t="str">
        <f>IFERROR($M132+VLOOKUP($L132,'Voyage days'!$F$620:$H$646,3,FALSE),"")</f>
        <v/>
      </c>
      <c r="BG132" s="122" t="str">
        <f>IFERROR($N132+VLOOKUP($L132,'Voyage days'!$F$620:$H$646,3,FALSE),"")</f>
        <v/>
      </c>
      <c r="BH132" s="120" t="str">
        <f t="shared" si="18"/>
        <v/>
      </c>
      <c r="BI132" s="123" t="str">
        <f>IFERROR($M132+VLOOKUP($L132,'Voyage days'!$F$702:$H$727,3,FALSE),"")</f>
        <v/>
      </c>
      <c r="BJ132" s="120" t="str">
        <f t="shared" si="19"/>
        <v>02-03 May</v>
      </c>
      <c r="BK132" s="122">
        <f>IFERROR($M132+VLOOKUP($L132,'Voyage days'!$F$807:$H$878,3,FALSE),"")</f>
        <v>46144</v>
      </c>
      <c r="BL132" s="122">
        <f>IFERROR($N132+VLOOKUP($L132,'Voyage days'!$F$807:$H$878,3,FALSE),"")</f>
        <v>46145</v>
      </c>
      <c r="BM132" s="122">
        <f>IFERROR($N132+VLOOKUP($L132,'Voyage days'!$F$807:$K$878,6,FALSE),"")</f>
        <v>46118</v>
      </c>
      <c r="BN132" s="121" t="str">
        <f>if(L132="loads AG", IFERROR($M132+VLOOKUP($L132,'Voyage days'!$M$38:$O$38,3,FALSE),""),"")</f>
        <v/>
      </c>
      <c r="BO132" s="121" t="str">
        <f>if(L132="loads USG", IFERROR($M132+VLOOKUP($L132,'Voyage days'!$L$203:$N$203,3,FALSE),""),"")</f>
        <v/>
      </c>
    </row>
    <row r="133" ht="15.75" customHeight="1">
      <c r="A133" s="80" t="s">
        <v>506</v>
      </c>
      <c r="B133" s="202">
        <v>2019.0</v>
      </c>
      <c r="C133" s="184">
        <v>82000.0</v>
      </c>
      <c r="D133" s="103"/>
      <c r="E133" s="103"/>
      <c r="F133" s="104"/>
      <c r="G133" s="104"/>
      <c r="H133" s="104" t="s">
        <v>689</v>
      </c>
      <c r="I133" s="401" t="s">
        <v>968</v>
      </c>
      <c r="J133" s="336" t="str">
        <f t="shared" si="25"/>
        <v/>
      </c>
      <c r="K133" s="107"/>
      <c r="L133" s="108" t="s">
        <v>680</v>
      </c>
      <c r="M133" s="109">
        <v>46151.0</v>
      </c>
      <c r="N133" s="109">
        <v>46152.0</v>
      </c>
      <c r="O133" s="191"/>
      <c r="P133" s="108" t="s">
        <v>987</v>
      </c>
      <c r="Q133" s="108"/>
      <c r="R133" s="108" t="s">
        <v>988</v>
      </c>
      <c r="S133" s="256" t="s">
        <v>659</v>
      </c>
      <c r="T133" s="113">
        <v>46125.0</v>
      </c>
      <c r="U133" s="114" t="str">
        <f>IF(V133="","No AIS",VLOOKUP(V133,'Voyage days'!$A$3:$B$1480,2,FALSE))</f>
        <v>USG</v>
      </c>
      <c r="V133" s="115" t="str">
        <f>IF(VLOOKUP(A133,'1) Kpler'!$E$2:$P$1000,8, FALSE)="","",VLOOKUP(A133,'1) Kpler'!$E$2:$P$1000,8, FALSE))</f>
        <v>Houston</v>
      </c>
      <c r="W133" s="116">
        <f>IF(VLOOKUP(A133,'1) Kpler'!$E$2:$P$1000,9,FALSE)="","",VLOOKUP(A133,'1) Kpler'!$E$2:$P$1000,9,FALSE))</f>
        <v>46148.20833</v>
      </c>
      <c r="X133" s="115" t="str">
        <f>VLOOKUP(A133,'1) Kpler'!$E$2:$I$1000,4,FALSE)</f>
        <v>ballast</v>
      </c>
      <c r="Y133" s="160" t="str">
        <f t="shared" si="1"/>
        <v/>
      </c>
      <c r="Z133" s="160" t="str">
        <f t="shared" si="2"/>
        <v>09-10 May</v>
      </c>
      <c r="AA133" s="160" t="str">
        <f t="shared" si="3"/>
        <v>09-10 May</v>
      </c>
      <c r="AB133" s="160" t="str">
        <f t="shared" si="4"/>
        <v/>
      </c>
      <c r="AC133" s="160" t="str">
        <f t="shared" si="5"/>
        <v>29-30 May</v>
      </c>
      <c r="AD133" s="160" t="str">
        <f t="shared" si="6"/>
        <v/>
      </c>
      <c r="AE133" s="161" t="str">
        <f t="shared" si="7"/>
        <v/>
      </c>
      <c r="AF133" s="162" t="str">
        <f t="shared" si="8"/>
        <v/>
      </c>
      <c r="AG133" s="120" t="str">
        <f t="shared" si="9"/>
        <v/>
      </c>
      <c r="AH133" s="121" t="str">
        <f>IFERROR($M133+VLOOKUP($L133,'Voyage days'!$F$38:$H$89,3,FALSE),"")</f>
        <v/>
      </c>
      <c r="AI133" s="121" t="str">
        <f>IFERROR(N133+VLOOKUP($L133,'Voyage days'!$F$38:$H$89,3,FALSE),"")</f>
        <v/>
      </c>
      <c r="AJ133" s="120" t="str">
        <f t="shared" si="10"/>
        <v>09-10 May</v>
      </c>
      <c r="AK133" s="121">
        <f>IFERROR($M133+VLOOKUP($L133,'Voyage days'!$F$94:$H$193,3,FALSE),"")</f>
        <v>46151</v>
      </c>
      <c r="AL133" s="121">
        <f>IFERROR($N133+VLOOKUP($L133,'Voyage days'!$F$94:$H$193,3,FALSE),"")</f>
        <v>46152</v>
      </c>
      <c r="AM133" s="120" t="str">
        <f t="shared" si="11"/>
        <v>09-10 May</v>
      </c>
      <c r="AN133" s="121">
        <f>IFERROR($M133+VLOOKUP($L133,'Voyage days'!$F$203:$H$256,3,FALSE),"")</f>
        <v>46151</v>
      </c>
      <c r="AO133" s="121">
        <f>IFERROR($N133+VLOOKUP($L133,'Voyage days'!$F$203:$H$256,3,FALSE),"")</f>
        <v>46152</v>
      </c>
      <c r="AP133" s="120" t="str">
        <f t="shared" si="12"/>
        <v/>
      </c>
      <c r="AQ133" s="121" t="str">
        <f>IFERROR($M133+VLOOKUP($L133,'Voyage days'!$F$294:$H$377,3,FALSE),"")</f>
        <v/>
      </c>
      <c r="AR133" s="121" t="str">
        <f>IFERROR($N133+VLOOKUP($L133,'Voyage days'!$F$294:$H$377,3,FALSE),"")</f>
        <v/>
      </c>
      <c r="AS133" s="120" t="str">
        <f t="shared" si="13"/>
        <v>29-30 May</v>
      </c>
      <c r="AT133" s="121">
        <f>IFERROR($M133+VLOOKUP($L133,'Voyage days'!$F$382:$H$446,3,FALSE),"")</f>
        <v>46171</v>
      </c>
      <c r="AU133" s="121">
        <f>IFERROR($N133+VLOOKUP($L133,'Voyage days'!$F$382:$H$446,3,FALSE),"")</f>
        <v>46172</v>
      </c>
      <c r="AV133" s="120" t="str">
        <f t="shared" si="14"/>
        <v/>
      </c>
      <c r="AW133" s="121" t="str">
        <f>IFERROR($M133+VLOOKUP($L133,'Voyage days'!$F$483:$H$538,3,FALSE),"")</f>
        <v/>
      </c>
      <c r="AX133" s="121" t="str">
        <f>IFERROR($N133+VLOOKUP($L133,'Voyage days'!$F$483:$H$538,3,FALSE),"")</f>
        <v/>
      </c>
      <c r="AY133" s="120" t="str">
        <f t="shared" si="15"/>
        <v/>
      </c>
      <c r="AZ133" s="121" t="str">
        <f>IFERROR($M133+VLOOKUP($L133,'Voyage days'!$F$540:$H$613,3,FALSE),"")</f>
        <v/>
      </c>
      <c r="BA133" s="121" t="str">
        <f>IFERROR($N133+VLOOKUP($L133,'Voyage days'!$F$540:$H$613,3,FALSE),"")</f>
        <v/>
      </c>
      <c r="BB133" s="120" t="str">
        <f t="shared" si="16"/>
        <v/>
      </c>
      <c r="BC133" s="121" t="str">
        <f>IFERROR($M133+VLOOKUP($L133,'Voyage days'!$F$448:$H$479,3,FALSE),"")</f>
        <v/>
      </c>
      <c r="BD133" s="121" t="str">
        <f>IFERROR($N133+VLOOKUP($L133,'Voyage days'!$F$448:$H$479,3,FALSE),"")</f>
        <v/>
      </c>
      <c r="BE133" s="120" t="str">
        <f t="shared" si="17"/>
        <v/>
      </c>
      <c r="BF133" s="122" t="str">
        <f>IFERROR($M133+VLOOKUP($L133,'Voyage days'!$F$620:$H$646,3,FALSE),"")</f>
        <v/>
      </c>
      <c r="BG133" s="122" t="str">
        <f>IFERROR($N133+VLOOKUP($L133,'Voyage days'!$F$620:$H$646,3,FALSE),"")</f>
        <v/>
      </c>
      <c r="BH133" s="120" t="str">
        <f t="shared" si="18"/>
        <v/>
      </c>
      <c r="BI133" s="123" t="str">
        <f>IFERROR($M133+VLOOKUP($L133,'Voyage days'!$F$702:$H$727,3,FALSE),"")</f>
        <v/>
      </c>
      <c r="BJ133" s="120" t="str">
        <f t="shared" si="19"/>
        <v/>
      </c>
      <c r="BK133" s="122" t="str">
        <f>IFERROR($M133+VLOOKUP($L133,'Voyage days'!$F$807:$H$878,3,FALSE),"")</f>
        <v/>
      </c>
      <c r="BL133" s="122" t="str">
        <f>IFERROR($N133+VLOOKUP($L133,'Voyage days'!$F$807:$H$878,3,FALSE),"")</f>
        <v/>
      </c>
      <c r="BM133" s="122" t="str">
        <f>IFERROR($N133+VLOOKUP($L133,'Voyage days'!$F$807:$K$878,6,FALSE),"")</f>
        <v/>
      </c>
      <c r="BN133" s="121" t="str">
        <f>if(L133="loads AG", IFERROR($M133+VLOOKUP($L133,'Voyage days'!$M$38:$O$38,3,FALSE),""),"")</f>
        <v/>
      </c>
      <c r="BO133" s="121">
        <f>if(L133="loads USG", IFERROR($M133+VLOOKUP($L133,'Voyage days'!$L$203:$N$203,3,FALSE),""),"")</f>
        <v>46183</v>
      </c>
    </row>
    <row r="134" ht="15.0" customHeight="1">
      <c r="A134" s="80" t="s">
        <v>543</v>
      </c>
      <c r="B134" s="202">
        <v>2008.0</v>
      </c>
      <c r="C134" s="294">
        <v>80100.0</v>
      </c>
      <c r="D134" s="103"/>
      <c r="E134" s="103"/>
      <c r="F134" s="104"/>
      <c r="G134" s="104"/>
      <c r="H134" s="104"/>
      <c r="I134" s="401" t="s">
        <v>968</v>
      </c>
      <c r="J134" s="106" t="str">
        <f t="shared" si="25"/>
        <v/>
      </c>
      <c r="K134" s="107"/>
      <c r="L134" s="108" t="s">
        <v>755</v>
      </c>
      <c r="M134" s="109">
        <v>46159.0</v>
      </c>
      <c r="N134" s="457">
        <v>46160.0</v>
      </c>
      <c r="O134" s="191"/>
      <c r="P134" s="108" t="s">
        <v>989</v>
      </c>
      <c r="Q134" s="467"/>
      <c r="R134" s="108" t="s">
        <v>990</v>
      </c>
      <c r="S134" s="256" t="s">
        <v>659</v>
      </c>
      <c r="T134" s="113">
        <v>46125.0</v>
      </c>
      <c r="U134" s="114" t="str">
        <f>IF(V134="","No AIS",VLOOKUP(V134,'Voyage days'!$A$3:$B$1480,2,FALSE))</f>
        <v>Indo + 4</v>
      </c>
      <c r="V134" s="115" t="str">
        <f>IF(VLOOKUP(A134,'1) Kpler'!$E$2:$P$1000,8, FALSE)="","",VLOOKUP(A134,'1) Kpler'!$E$2:$P$1000,8, FALSE))</f>
        <v>Pupuk Ammonia</v>
      </c>
      <c r="W134" s="116">
        <f>IF(VLOOKUP(A134,'1) Kpler'!$E$2:$P$1000,9,FALSE)="","",VLOOKUP(A134,'1) Kpler'!$E$2:$P$1000,9,FALSE))</f>
        <v>46157.58333</v>
      </c>
      <c r="X134" s="115" t="str">
        <f>VLOOKUP(A134,'1) Kpler'!$E$2:$I$1000,4,FALSE)</f>
        <v>loaded</v>
      </c>
      <c r="Y134" s="117" t="str">
        <f t="shared" si="1"/>
        <v>28-29 May</v>
      </c>
      <c r="Z134" s="117" t="str">
        <f t="shared" si="2"/>
        <v>25-26 Jun</v>
      </c>
      <c r="AA134" s="117" t="str">
        <f t="shared" si="3"/>
        <v>23-24 Jun</v>
      </c>
      <c r="AB134" s="117" t="str">
        <f t="shared" si="4"/>
        <v>06-07 Jun</v>
      </c>
      <c r="AC134" s="117" t="str">
        <f t="shared" si="5"/>
        <v>15-16 Jun</v>
      </c>
      <c r="AD134" s="117" t="str">
        <f t="shared" si="6"/>
        <v>20-21 May</v>
      </c>
      <c r="AE134" s="118" t="str">
        <f t="shared" si="7"/>
        <v>21-22 May</v>
      </c>
      <c r="AF134" s="119" t="str">
        <f t="shared" si="8"/>
        <v>23-24 Jun</v>
      </c>
      <c r="AG134" s="120" t="str">
        <f t="shared" si="9"/>
        <v>28-29 May</v>
      </c>
      <c r="AH134" s="121">
        <f>IFERROR($M134+VLOOKUP($L134,'Voyage days'!$F$38:$H$89,3,FALSE),"")</f>
        <v>46170</v>
      </c>
      <c r="AI134" s="121">
        <f>IFERROR(N134+VLOOKUP($L134,'Voyage days'!$F$38:$H$89,3,FALSE),"")</f>
        <v>46171</v>
      </c>
      <c r="AJ134" s="120" t="str">
        <f t="shared" si="10"/>
        <v>25-26 Jun</v>
      </c>
      <c r="AK134" s="121">
        <f>IFERROR($M134+VLOOKUP($L134,'Voyage days'!$F$94:$H$193,3,FALSE),"")</f>
        <v>46198</v>
      </c>
      <c r="AL134" s="121">
        <f>IFERROR($N134+VLOOKUP($L134,'Voyage days'!$F$94:$H$193,3,FALSE),"")</f>
        <v>46199</v>
      </c>
      <c r="AM134" s="120" t="str">
        <f t="shared" si="11"/>
        <v>23-24 Jun</v>
      </c>
      <c r="AN134" s="121">
        <f>IFERROR($M134+VLOOKUP($L134,'Voyage days'!$F$203:$H$256,3,FALSE),"")</f>
        <v>46196</v>
      </c>
      <c r="AO134" s="121">
        <f>IFERROR($N134+VLOOKUP($L134,'Voyage days'!$F$203:$H$256,3,FALSE),"")</f>
        <v>46197</v>
      </c>
      <c r="AP134" s="120" t="str">
        <f t="shared" si="12"/>
        <v>06-07 Jun</v>
      </c>
      <c r="AQ134" s="121">
        <f>IFERROR($M134+VLOOKUP($L134,'Voyage days'!$F$294:$H$377,3,FALSE),"")</f>
        <v>46179</v>
      </c>
      <c r="AR134" s="121">
        <f>IFERROR($N134+VLOOKUP($L134,'Voyage days'!$F$294:$H$377,3,FALSE),"")</f>
        <v>46180</v>
      </c>
      <c r="AS134" s="120" t="str">
        <f t="shared" si="13"/>
        <v>15-16 Jun</v>
      </c>
      <c r="AT134" s="121">
        <f>IFERROR($M134+VLOOKUP($L134,'Voyage days'!$F$382:$H$446,3,FALSE),"")</f>
        <v>46188</v>
      </c>
      <c r="AU134" s="121">
        <f>IFERROR($N134+VLOOKUP($L134,'Voyage days'!$F$382:$H$446,3,FALSE),"")</f>
        <v>46189</v>
      </c>
      <c r="AV134" s="120" t="str">
        <f t="shared" si="14"/>
        <v>26-27 May</v>
      </c>
      <c r="AW134" s="121">
        <f>IFERROR($M134+VLOOKUP($L134,'Voyage days'!$F$483:$H$538,3,FALSE),"")</f>
        <v>46168</v>
      </c>
      <c r="AX134" s="121">
        <f>IFERROR($N134+VLOOKUP($L134,'Voyage days'!$F$483:$H$538,3,FALSE),"")</f>
        <v>46169</v>
      </c>
      <c r="AY134" s="120" t="str">
        <f t="shared" si="15"/>
        <v>21-22 May</v>
      </c>
      <c r="AZ134" s="121">
        <f>IFERROR($M134+VLOOKUP($L134,'Voyage days'!$F$540:$H$613,3,FALSE),"")</f>
        <v>46163</v>
      </c>
      <c r="BA134" s="121">
        <f>IFERROR($N134+VLOOKUP($L134,'Voyage days'!$F$540:$H$613,3,FALSE),"")</f>
        <v>46164</v>
      </c>
      <c r="BB134" s="120" t="str">
        <f t="shared" si="16"/>
        <v>20-21 May</v>
      </c>
      <c r="BC134" s="121">
        <f>IFERROR($M134+VLOOKUP($L134,'Voyage days'!$F$448:$H$479,3,FALSE),"")</f>
        <v>46162</v>
      </c>
      <c r="BD134" s="121">
        <f>IFERROR($N134+VLOOKUP($L134,'Voyage days'!$F$448:$H$479,3,FALSE),"")</f>
        <v>46163</v>
      </c>
      <c r="BE134" s="120" t="str">
        <f t="shared" si="17"/>
        <v/>
      </c>
      <c r="BF134" s="122" t="str">
        <f>IFERROR($M134+VLOOKUP($L134,'Voyage days'!$F$620:$H$646,3,FALSE),"")</f>
        <v/>
      </c>
      <c r="BG134" s="122" t="str">
        <f>IFERROR($N134+VLOOKUP($L134,'Voyage days'!$F$620:$H$646,3,FALSE),"")</f>
        <v/>
      </c>
      <c r="BH134" s="120" t="str">
        <f t="shared" si="18"/>
        <v>25-24 Jun</v>
      </c>
      <c r="BI134" s="123">
        <f>IFERROR($M134+VLOOKUP($L134,'Voyage days'!$F$702:$H$727,3,FALSE),"")</f>
        <v>46167</v>
      </c>
      <c r="BJ134" s="120" t="str">
        <f t="shared" si="19"/>
        <v>23-24 Jun</v>
      </c>
      <c r="BK134" s="122">
        <f>IFERROR($M134+VLOOKUP($L134,'Voyage days'!$F$807:$H$878,3,FALSE),"")</f>
        <v>46196</v>
      </c>
      <c r="BL134" s="122">
        <f>IFERROR($N134+VLOOKUP($L134,'Voyage days'!$F$807:$H$878,3,FALSE),"")</f>
        <v>46197</v>
      </c>
      <c r="BM134" s="122">
        <f>IFERROR($N134+VLOOKUP($L134,'Voyage days'!$F$807:$K$878,6,FALSE),"")</f>
        <v>46173</v>
      </c>
      <c r="BN134" s="121" t="str">
        <f>if(L134="loads AG", IFERROR($M134+VLOOKUP($L134,'Voyage days'!$M$38:$O$38,3,FALSE),""),"")</f>
        <v/>
      </c>
      <c r="BO134" s="121" t="str">
        <f>if(L134="loads USG", IFERROR($M134+VLOOKUP($L134,'Voyage days'!$L$203:$N$203,3,FALSE),""),"")</f>
        <v/>
      </c>
    </row>
    <row r="135" ht="15.75" customHeight="1">
      <c r="A135" s="164" t="s">
        <v>548</v>
      </c>
      <c r="B135" s="280">
        <v>2013.0</v>
      </c>
      <c r="C135" s="468">
        <v>83300.0</v>
      </c>
      <c r="D135" s="223"/>
      <c r="E135" s="223"/>
      <c r="F135" s="168"/>
      <c r="G135" s="168"/>
      <c r="H135" s="168" t="s">
        <v>689</v>
      </c>
      <c r="I135" s="324" t="s">
        <v>968</v>
      </c>
      <c r="J135" s="469" t="str">
        <f t="shared" si="25"/>
        <v/>
      </c>
      <c r="K135" s="171"/>
      <c r="L135" s="172" t="s">
        <v>680</v>
      </c>
      <c r="M135" s="173">
        <v>46152.0</v>
      </c>
      <c r="N135" s="462">
        <v>46153.0</v>
      </c>
      <c r="O135" s="226" t="s">
        <v>729</v>
      </c>
      <c r="P135" s="172" t="s">
        <v>991</v>
      </c>
      <c r="Q135" s="463"/>
      <c r="R135" s="172" t="s">
        <v>992</v>
      </c>
      <c r="S135" s="175" t="s">
        <v>659</v>
      </c>
      <c r="T135" s="286">
        <v>46124.0</v>
      </c>
      <c r="U135" s="177" t="str">
        <f>IF(V135="","No AIS",VLOOKUP(V135,'Voyage days'!$A$3:$B$1480,2,FALSE))</f>
        <v>USG</v>
      </c>
      <c r="V135" s="178" t="str">
        <f>IF(VLOOKUP(A135,'1) Kpler'!$E$2:$P$1000,8, FALSE)="","",VLOOKUP(A135,'1) Kpler'!$E$2:$P$1000,8, FALSE))</f>
        <v>PADD 3</v>
      </c>
      <c r="W135" s="179">
        <f>IF(VLOOKUP(A135,'1) Kpler'!$E$2:$P$1000,9,FALSE)="","",VLOOKUP(A135,'1) Kpler'!$E$2:$P$1000,9,FALSE))</f>
        <v>46152</v>
      </c>
      <c r="X135" s="178" t="str">
        <f>VLOOKUP(A135,'1) Kpler'!$E$2:$I$1000,4,FALSE)</f>
        <v>ballast</v>
      </c>
      <c r="Y135" s="120" t="str">
        <f t="shared" si="1"/>
        <v/>
      </c>
      <c r="Z135" s="120" t="str">
        <f t="shared" si="2"/>
        <v>10-11 May</v>
      </c>
      <c r="AA135" s="120" t="str">
        <f t="shared" si="3"/>
        <v>10-11 May</v>
      </c>
      <c r="AB135" s="120" t="str">
        <f t="shared" si="4"/>
        <v/>
      </c>
      <c r="AC135" s="120" t="str">
        <f t="shared" si="5"/>
        <v>30-31 May</v>
      </c>
      <c r="AD135" s="120" t="str">
        <f t="shared" si="6"/>
        <v/>
      </c>
      <c r="AE135" s="228" t="str">
        <f t="shared" si="7"/>
        <v/>
      </c>
      <c r="AF135" s="229" t="str">
        <f t="shared" si="8"/>
        <v/>
      </c>
      <c r="AG135" s="120" t="str">
        <f t="shared" si="9"/>
        <v/>
      </c>
      <c r="AH135" s="121" t="str">
        <f>IFERROR($M135+VLOOKUP($L135,'Voyage days'!$F$38:$H$89,3,FALSE),"")</f>
        <v/>
      </c>
      <c r="AI135" s="121" t="str">
        <f>IFERROR(N135+VLOOKUP($L135,'Voyage days'!$F$38:$H$89,3,FALSE),"")</f>
        <v/>
      </c>
      <c r="AJ135" s="120" t="str">
        <f t="shared" si="10"/>
        <v>10-11 May</v>
      </c>
      <c r="AK135" s="121">
        <f>IFERROR($M135+VLOOKUP($L135,'Voyage days'!$F$94:$H$193,3,FALSE),"")</f>
        <v>46152</v>
      </c>
      <c r="AL135" s="121">
        <f>IFERROR($N135+VLOOKUP($L135,'Voyage days'!$F$94:$H$193,3,FALSE),"")</f>
        <v>46153</v>
      </c>
      <c r="AM135" s="120" t="str">
        <f t="shared" si="11"/>
        <v>10-11 May</v>
      </c>
      <c r="AN135" s="121">
        <f>IFERROR($M135+VLOOKUP($L135,'Voyage days'!$F$203:$H$256,3,FALSE),"")</f>
        <v>46152</v>
      </c>
      <c r="AO135" s="121">
        <f>IFERROR($N135+VLOOKUP($L135,'Voyage days'!$F$203:$H$256,3,FALSE),"")</f>
        <v>46153</v>
      </c>
      <c r="AP135" s="120" t="str">
        <f t="shared" si="12"/>
        <v/>
      </c>
      <c r="AQ135" s="121" t="str">
        <f>IFERROR($M135+VLOOKUP($L135,'Voyage days'!$F$294:$H$377,3,FALSE),"")</f>
        <v/>
      </c>
      <c r="AR135" s="121" t="str">
        <f>IFERROR($N135+VLOOKUP($L135,'Voyage days'!$F$294:$H$377,3,FALSE),"")</f>
        <v/>
      </c>
      <c r="AS135" s="120" t="str">
        <f t="shared" si="13"/>
        <v>30-31 May</v>
      </c>
      <c r="AT135" s="121">
        <f>IFERROR($M135+VLOOKUP($L135,'Voyage days'!$F$382:$H$446,3,FALSE),"")</f>
        <v>46172</v>
      </c>
      <c r="AU135" s="121">
        <f>IFERROR($N135+VLOOKUP($L135,'Voyage days'!$F$382:$H$446,3,FALSE),"")</f>
        <v>46173</v>
      </c>
      <c r="AV135" s="120" t="str">
        <f t="shared" si="14"/>
        <v/>
      </c>
      <c r="AW135" s="121" t="str">
        <f>IFERROR($M135+VLOOKUP($L135,'Voyage days'!$F$483:$H$538,3,FALSE),"")</f>
        <v/>
      </c>
      <c r="AX135" s="121" t="str">
        <f>IFERROR($N135+VLOOKUP($L135,'Voyage days'!$F$483:$H$538,3,FALSE),"")</f>
        <v/>
      </c>
      <c r="AY135" s="120" t="str">
        <f t="shared" si="15"/>
        <v/>
      </c>
      <c r="AZ135" s="121" t="str">
        <f>IFERROR($M135+VLOOKUP($L135,'Voyage days'!$F$540:$H$613,3,FALSE),"")</f>
        <v/>
      </c>
      <c r="BA135" s="121" t="str">
        <f>IFERROR($N135+VLOOKUP($L135,'Voyage days'!$F$540:$H$613,3,FALSE),"")</f>
        <v/>
      </c>
      <c r="BB135" s="120" t="str">
        <f t="shared" si="16"/>
        <v/>
      </c>
      <c r="BC135" s="121" t="str">
        <f>IFERROR($M135+VLOOKUP($L135,'Voyage days'!$F$448:$H$479,3,FALSE),"")</f>
        <v/>
      </c>
      <c r="BD135" s="121" t="str">
        <f>IFERROR($N135+VLOOKUP($L135,'Voyage days'!$F$448:$H$479,3,FALSE),"")</f>
        <v/>
      </c>
      <c r="BE135" s="120" t="str">
        <f t="shared" si="17"/>
        <v/>
      </c>
      <c r="BF135" s="122" t="str">
        <f>IFERROR($M135+VLOOKUP($L135,'Voyage days'!$F$620:$H$646,3,FALSE),"")</f>
        <v/>
      </c>
      <c r="BG135" s="122" t="str">
        <f>IFERROR($N135+VLOOKUP($L135,'Voyage days'!$F$620:$H$646,3,FALSE),"")</f>
        <v/>
      </c>
      <c r="BH135" s="120" t="str">
        <f t="shared" si="18"/>
        <v/>
      </c>
      <c r="BI135" s="123" t="str">
        <f>IFERROR($M135+VLOOKUP($L135,'Voyage days'!$F$702:$H$727,3,FALSE),"")</f>
        <v/>
      </c>
      <c r="BJ135" s="120" t="str">
        <f t="shared" si="19"/>
        <v/>
      </c>
      <c r="BK135" s="122" t="str">
        <f>IFERROR($M135+VLOOKUP($L135,'Voyage days'!$F$807:$H$878,3,FALSE),"")</f>
        <v/>
      </c>
      <c r="BL135" s="122" t="str">
        <f>IFERROR($N135+VLOOKUP($L135,'Voyage days'!$F$807:$H$878,3,FALSE),"")</f>
        <v/>
      </c>
      <c r="BM135" s="122" t="str">
        <f>IFERROR($N135+VLOOKUP($L135,'Voyage days'!$F$807:$K$878,6,FALSE),"")</f>
        <v/>
      </c>
      <c r="BN135" s="121" t="str">
        <f>if(L135="loads AG", IFERROR($M135+VLOOKUP($L135,'Voyage days'!$M$38:$O$38,3,FALSE),""),"")</f>
        <v/>
      </c>
      <c r="BO135" s="121">
        <f>if(L135="loads USG", IFERROR($M135+VLOOKUP($L135,'Voyage days'!$L$203:$N$203,3,FALSE),""),"")</f>
        <v>46184</v>
      </c>
    </row>
    <row r="136" ht="15.75" customHeight="1">
      <c r="A136" s="404" t="s">
        <v>993</v>
      </c>
      <c r="B136" s="202">
        <v>2023.0</v>
      </c>
      <c r="C136" s="102">
        <v>86700.0</v>
      </c>
      <c r="D136" s="256"/>
      <c r="E136" s="256" t="s">
        <v>706</v>
      </c>
      <c r="F136" s="150"/>
      <c r="G136" s="150"/>
      <c r="H136" s="150" t="s">
        <v>666</v>
      </c>
      <c r="I136" s="401" t="s">
        <v>994</v>
      </c>
      <c r="J136" s="470" t="str">
        <f t="shared" si="25"/>
        <v>#N/A</v>
      </c>
      <c r="K136" s="152"/>
      <c r="L136" s="153" t="s">
        <v>680</v>
      </c>
      <c r="M136" s="109">
        <v>46151.0</v>
      </c>
      <c r="N136" s="109">
        <v>46152.0</v>
      </c>
      <c r="O136" s="277"/>
      <c r="P136" s="197" t="s">
        <v>995</v>
      </c>
      <c r="Q136" s="153"/>
      <c r="R136" s="153" t="s">
        <v>996</v>
      </c>
      <c r="S136" s="256" t="s">
        <v>659</v>
      </c>
      <c r="T136" s="318">
        <v>46125.0</v>
      </c>
      <c r="U136" s="114" t="str">
        <f>IF(V136="","No AIS",VLOOKUP(V136,'Voyage days'!$A$3:$B$1480,2,FALSE))</f>
        <v>#N/A</v>
      </c>
      <c r="V136" s="114" t="str">
        <f>IF(VLOOKUP(A136,'1) Kpler'!$E$2:$P$1000,8, FALSE)="","",VLOOKUP(A136,'1) Kpler'!$E$2:$P$1000,8, FALSE))</f>
        <v>#N/A</v>
      </c>
      <c r="W136" s="159" t="str">
        <f>IF(VLOOKUP(A136,'1) Kpler'!$E$2:$P$1000,9,FALSE)="","",VLOOKUP(A136,'1) Kpler'!$E$2:$P$1000,9,FALSE))</f>
        <v>#N/A</v>
      </c>
      <c r="X136" s="114" t="str">
        <f>VLOOKUP(A136,'1) Kpler'!$E$2:$I$1000,4,FALSE)</f>
        <v>#N/A</v>
      </c>
      <c r="Y136" s="296" t="str">
        <f t="shared" si="1"/>
        <v/>
      </c>
      <c r="Z136" s="296" t="str">
        <f t="shared" si="2"/>
        <v>09-10 May</v>
      </c>
      <c r="AA136" s="296" t="str">
        <f t="shared" si="3"/>
        <v>09-10 May</v>
      </c>
      <c r="AB136" s="296" t="str">
        <f t="shared" si="4"/>
        <v/>
      </c>
      <c r="AC136" s="296" t="str">
        <f t="shared" si="5"/>
        <v>29-30 May</v>
      </c>
      <c r="AD136" s="296" t="str">
        <f t="shared" si="6"/>
        <v/>
      </c>
      <c r="AE136" s="297" t="str">
        <f t="shared" si="7"/>
        <v/>
      </c>
      <c r="AF136" s="119" t="str">
        <f t="shared" si="8"/>
        <v/>
      </c>
      <c r="AG136" s="163" t="str">
        <f t="shared" si="9"/>
        <v/>
      </c>
      <c r="AH136" s="122" t="str">
        <f>IFERROR($M136+VLOOKUP($L136,'Voyage days'!$F$38:$H$89,3,FALSE),"")</f>
        <v/>
      </c>
      <c r="AI136" s="122" t="str">
        <f>IFERROR(N136+VLOOKUP($L136,'Voyage days'!$F$38:$H$89,3,FALSE),"")</f>
        <v/>
      </c>
      <c r="AJ136" s="163" t="str">
        <f t="shared" si="10"/>
        <v>09-10 May</v>
      </c>
      <c r="AK136" s="122">
        <f>IFERROR($M136+VLOOKUP($L136,'Voyage days'!$F$94:$H$193,3,FALSE),"")</f>
        <v>46151</v>
      </c>
      <c r="AL136" s="122">
        <f>IFERROR($N136+VLOOKUP($L136,'Voyage days'!$F$94:$H$193,3,FALSE),"")</f>
        <v>46152</v>
      </c>
      <c r="AM136" s="163" t="str">
        <f t="shared" si="11"/>
        <v>09-10 May</v>
      </c>
      <c r="AN136" s="122">
        <f>IFERROR($M136+VLOOKUP($L136,'Voyage days'!$F$203:$H$256,3,FALSE),"")</f>
        <v>46151</v>
      </c>
      <c r="AO136" s="122">
        <f>IFERROR($N136+VLOOKUP($L136,'Voyage days'!$F$203:$H$256,3,FALSE),"")</f>
        <v>46152</v>
      </c>
      <c r="AP136" s="163" t="str">
        <f t="shared" si="12"/>
        <v/>
      </c>
      <c r="AQ136" s="122" t="str">
        <f>IFERROR($M136+VLOOKUP($L136,'Voyage days'!$F$294:$H$377,3,FALSE),"")</f>
        <v/>
      </c>
      <c r="AR136" s="122" t="str">
        <f>IFERROR($N136+VLOOKUP($L136,'Voyage days'!$F$294:$H$377,3,FALSE),"")</f>
        <v/>
      </c>
      <c r="AS136" s="163" t="str">
        <f t="shared" si="13"/>
        <v>29-30 May</v>
      </c>
      <c r="AT136" s="122">
        <f>IFERROR($M136+VLOOKUP($L136,'Voyage days'!$F$382:$H$446,3,FALSE),"")</f>
        <v>46171</v>
      </c>
      <c r="AU136" s="122">
        <f>IFERROR($N136+VLOOKUP($L136,'Voyage days'!$F$382:$H$446,3,FALSE),"")</f>
        <v>46172</v>
      </c>
      <c r="AV136" s="163" t="str">
        <f t="shared" si="14"/>
        <v/>
      </c>
      <c r="AW136" s="122" t="str">
        <f>IFERROR($M136+VLOOKUP($L136,'Voyage days'!$F$483:$H$538,3,FALSE),"")</f>
        <v/>
      </c>
      <c r="AX136" s="122" t="str">
        <f>IFERROR($N136+VLOOKUP($L136,'Voyage days'!$F$483:$H$538,3,FALSE),"")</f>
        <v/>
      </c>
      <c r="AY136" s="163" t="str">
        <f t="shared" si="15"/>
        <v/>
      </c>
      <c r="AZ136" s="122" t="str">
        <f>IFERROR($M136+VLOOKUP($L136,'Voyage days'!$F$540:$H$613,3,FALSE),"")</f>
        <v/>
      </c>
      <c r="BA136" s="122" t="str">
        <f>IFERROR($N136+VLOOKUP($L136,'Voyage days'!$F$540:$H$613,3,FALSE),"")</f>
        <v/>
      </c>
      <c r="BB136" s="163" t="str">
        <f t="shared" si="16"/>
        <v/>
      </c>
      <c r="BC136" s="121" t="str">
        <f>IFERROR($M136+VLOOKUP($L136,'Voyage days'!$F$448:$H$479,3,FALSE),"")</f>
        <v/>
      </c>
      <c r="BD136" s="121" t="str">
        <f>IFERROR($N136+VLOOKUP($L136,'Voyage days'!$F$448:$H$479,3,FALSE),"")</f>
        <v/>
      </c>
      <c r="BE136" s="163" t="str">
        <f t="shared" si="17"/>
        <v/>
      </c>
      <c r="BF136" s="122" t="str">
        <f>IFERROR($M136+VLOOKUP($L136,'Voyage days'!$F$620:$H$646,3,FALSE),"")</f>
        <v/>
      </c>
      <c r="BG136" s="122" t="str">
        <f>IFERROR($N136+VLOOKUP($L136,'Voyage days'!$F$620:$H$646,3,FALSE),"")</f>
        <v/>
      </c>
      <c r="BH136" s="163" t="str">
        <f t="shared" si="18"/>
        <v/>
      </c>
      <c r="BI136" s="123" t="str">
        <f>IFERROR($M136+VLOOKUP($L136,'Voyage days'!$F$702:$H$727,3,FALSE),"")</f>
        <v/>
      </c>
      <c r="BJ136" s="163" t="str">
        <f t="shared" si="19"/>
        <v/>
      </c>
      <c r="BK136" s="122" t="str">
        <f>IFERROR($M136+VLOOKUP($L136,'Voyage days'!$F$807:$H$878,3,FALSE),"")</f>
        <v/>
      </c>
      <c r="BL136" s="122" t="str">
        <f>IFERROR($N136+VLOOKUP($L136,'Voyage days'!$F$807:$H$878,3,FALSE),"")</f>
        <v/>
      </c>
      <c r="BM136" s="122" t="str">
        <f>IFERROR($N136+VLOOKUP($L136,'Voyage days'!$F$807:$K$878,6,FALSE),"")</f>
        <v/>
      </c>
      <c r="BN136" s="121" t="str">
        <f>if(L136="loads AG", IFERROR($M136+VLOOKUP($L136,'Voyage days'!$M$38:$O$38,3,FALSE),""),"")</f>
        <v/>
      </c>
      <c r="BO136" s="121">
        <f>if(L136="loads USG", IFERROR($M136+VLOOKUP($L136,'Voyage days'!$L$203:$N$203,3,FALSE),""),"")</f>
        <v>46183</v>
      </c>
    </row>
    <row r="137" ht="15.75" customHeight="1">
      <c r="A137" s="274" t="s">
        <v>247</v>
      </c>
      <c r="B137" s="202">
        <v>2020.0</v>
      </c>
      <c r="C137" s="102">
        <v>83000.0</v>
      </c>
      <c r="D137" s="149"/>
      <c r="E137" s="149"/>
      <c r="F137" s="150"/>
      <c r="G137" s="150"/>
      <c r="H137" s="150" t="s">
        <v>689</v>
      </c>
      <c r="I137" s="401" t="s">
        <v>994</v>
      </c>
      <c r="J137" s="470" t="str">
        <f t="shared" si="25"/>
        <v/>
      </c>
      <c r="K137" s="471"/>
      <c r="L137" s="153" t="s">
        <v>755</v>
      </c>
      <c r="M137" s="109">
        <v>46148.0</v>
      </c>
      <c r="N137" s="109">
        <v>46150.0</v>
      </c>
      <c r="O137" s="277"/>
      <c r="P137" s="153" t="s">
        <v>997</v>
      </c>
      <c r="Q137" s="153"/>
      <c r="R137" s="153" t="s">
        <v>998</v>
      </c>
      <c r="S137" s="256" t="s">
        <v>659</v>
      </c>
      <c r="T137" s="293">
        <v>46125.0</v>
      </c>
      <c r="U137" s="114" t="str">
        <f>IF(V137="","No AIS",VLOOKUP(V137,'Voyage days'!$A$3:$B$1480,2,FALSE))</f>
        <v>Indo + 4</v>
      </c>
      <c r="V137" s="114" t="str">
        <f>IF(VLOOKUP(A137,'1) Kpler'!$E$2:$P$1000,8, FALSE)="","",VLOOKUP(A137,'1) Kpler'!$E$2:$P$1000,8, FALSE))</f>
        <v>Oiltank. Merak</v>
      </c>
      <c r="W137" s="159">
        <f>IF(VLOOKUP(A137,'1) Kpler'!$E$2:$P$1000,9,FALSE)="","",VLOOKUP(A137,'1) Kpler'!$E$2:$P$1000,9,FALSE))</f>
        <v>46143.375</v>
      </c>
      <c r="X137" s="114" t="str">
        <f>VLOOKUP(A137,'1) Kpler'!$E$2:$I$1000,4,FALSE)</f>
        <v>loaded</v>
      </c>
      <c r="Y137" s="160" t="str">
        <f t="shared" si="1"/>
        <v>17-19 May</v>
      </c>
      <c r="Z137" s="160" t="str">
        <f t="shared" si="2"/>
        <v>14-16 Jun</v>
      </c>
      <c r="AA137" s="160" t="str">
        <f t="shared" si="3"/>
        <v>12-14 Jun</v>
      </c>
      <c r="AB137" s="160" t="str">
        <f t="shared" si="4"/>
        <v>26-28 May</v>
      </c>
      <c r="AC137" s="160" t="str">
        <f t="shared" si="5"/>
        <v>04-06 Jun</v>
      </c>
      <c r="AD137" s="160" t="str">
        <f t="shared" si="6"/>
        <v>09-11 May</v>
      </c>
      <c r="AE137" s="161" t="str">
        <f t="shared" si="7"/>
        <v>10-12 May</v>
      </c>
      <c r="AF137" s="472" t="str">
        <f t="shared" si="8"/>
        <v>12-14 Jun</v>
      </c>
      <c r="AG137" s="120" t="str">
        <f t="shared" si="9"/>
        <v>17-19 May</v>
      </c>
      <c r="AH137" s="121">
        <f>IFERROR($M137+VLOOKUP($L137,'Voyage days'!$F$38:$H$89,3,FALSE),"")</f>
        <v>46159</v>
      </c>
      <c r="AI137" s="121">
        <f>IFERROR(N137+VLOOKUP($L137,'Voyage days'!$F$38:$H$89,3,FALSE),"")</f>
        <v>46161</v>
      </c>
      <c r="AJ137" s="120" t="str">
        <f t="shared" si="10"/>
        <v>14-16 Jun</v>
      </c>
      <c r="AK137" s="121">
        <f>IFERROR($M137+VLOOKUP($L137,'Voyage days'!$F$94:$H$193,3,FALSE),"")</f>
        <v>46187</v>
      </c>
      <c r="AL137" s="121">
        <f>IFERROR($N137+VLOOKUP($L137,'Voyage days'!$F$94:$H$193,3,FALSE),"")</f>
        <v>46189</v>
      </c>
      <c r="AM137" s="120" t="str">
        <f t="shared" si="11"/>
        <v>12-14 Jun</v>
      </c>
      <c r="AN137" s="121">
        <f>IFERROR($M137+VLOOKUP($L137,'Voyage days'!$F$203:$H$256,3,FALSE),"")</f>
        <v>46185</v>
      </c>
      <c r="AO137" s="121">
        <f>IFERROR($N137+VLOOKUP($L137,'Voyage days'!$F$203:$H$256,3,FALSE),"")</f>
        <v>46187</v>
      </c>
      <c r="AP137" s="120" t="str">
        <f t="shared" si="12"/>
        <v>26-28 May</v>
      </c>
      <c r="AQ137" s="121">
        <f>IFERROR($M137+VLOOKUP($L137,'Voyage days'!$F$294:$H$377,3,FALSE),"")</f>
        <v>46168</v>
      </c>
      <c r="AR137" s="121">
        <f>IFERROR($N137+VLOOKUP($L137,'Voyage days'!$F$294:$H$377,3,FALSE),"")</f>
        <v>46170</v>
      </c>
      <c r="AS137" s="120" t="str">
        <f t="shared" si="13"/>
        <v>04-06 Jun</v>
      </c>
      <c r="AT137" s="121">
        <f>IFERROR($M137+VLOOKUP($L137,'Voyage days'!$F$382:$H$446,3,FALSE),"")</f>
        <v>46177</v>
      </c>
      <c r="AU137" s="121">
        <f>IFERROR($N137+VLOOKUP($L137,'Voyage days'!$F$382:$H$446,3,FALSE),"")</f>
        <v>46179</v>
      </c>
      <c r="AV137" s="120" t="str">
        <f t="shared" si="14"/>
        <v>15-17 May</v>
      </c>
      <c r="AW137" s="121">
        <f>IFERROR($M137+VLOOKUP($L137,'Voyage days'!$F$483:$H$538,3,FALSE),"")</f>
        <v>46157</v>
      </c>
      <c r="AX137" s="121">
        <f>IFERROR($N137+VLOOKUP($L137,'Voyage days'!$F$483:$H$538,3,FALSE),"")</f>
        <v>46159</v>
      </c>
      <c r="AY137" s="120" t="str">
        <f t="shared" si="15"/>
        <v>10-12 May</v>
      </c>
      <c r="AZ137" s="121">
        <f>IFERROR($M137+VLOOKUP($L137,'Voyage days'!$F$540:$H$613,3,FALSE),"")</f>
        <v>46152</v>
      </c>
      <c r="BA137" s="121">
        <f>IFERROR($N137+VLOOKUP($L137,'Voyage days'!$F$540:$H$613,3,FALSE),"")</f>
        <v>46154</v>
      </c>
      <c r="BB137" s="120" t="str">
        <f t="shared" si="16"/>
        <v>09-11 May</v>
      </c>
      <c r="BC137" s="121">
        <f>IFERROR($M137+VLOOKUP($L137,'Voyage days'!$F$448:$H$479,3,FALSE),"")</f>
        <v>46151</v>
      </c>
      <c r="BD137" s="121">
        <f>IFERROR($N137+VLOOKUP($L137,'Voyage days'!$F$448:$H$479,3,FALSE),"")</f>
        <v>46153</v>
      </c>
      <c r="BE137" s="120" t="str">
        <f t="shared" si="17"/>
        <v/>
      </c>
      <c r="BF137" s="122" t="str">
        <f>IFERROR($M137+VLOOKUP($L137,'Voyage days'!$F$620:$H$646,3,FALSE),"")</f>
        <v/>
      </c>
      <c r="BG137" s="122" t="str">
        <f>IFERROR($N137+VLOOKUP($L137,'Voyage days'!$F$620:$H$646,3,FALSE),"")</f>
        <v/>
      </c>
      <c r="BH137" s="120" t="str">
        <f t="shared" si="18"/>
        <v>14-14 Jun</v>
      </c>
      <c r="BI137" s="123">
        <f>IFERROR($M137+VLOOKUP($L137,'Voyage days'!$F$702:$H$727,3,FALSE),"")</f>
        <v>46156</v>
      </c>
      <c r="BJ137" s="120" t="str">
        <f t="shared" si="19"/>
        <v>12-14 Jun</v>
      </c>
      <c r="BK137" s="122">
        <f>IFERROR($M137+VLOOKUP($L137,'Voyage days'!$F$807:$H$878,3,FALSE),"")</f>
        <v>46185</v>
      </c>
      <c r="BL137" s="122">
        <f>IFERROR($N137+VLOOKUP($L137,'Voyage days'!$F$807:$H$878,3,FALSE),"")</f>
        <v>46187</v>
      </c>
      <c r="BM137" s="122">
        <f>IFERROR($N137+VLOOKUP($L137,'Voyage days'!$F$807:$K$878,6,FALSE),"")</f>
        <v>46163</v>
      </c>
      <c r="BN137" s="121" t="str">
        <f>if(L137="loads AG", IFERROR($M137+VLOOKUP($L137,'Voyage days'!$M$38:$O$38,3,FALSE),""),"")</f>
        <v/>
      </c>
      <c r="BO137" s="121" t="str">
        <f>if(L137="loads USG", IFERROR($M137+VLOOKUP($L137,'Voyage days'!$L$203:$N$203,3,FALSE),""),"")</f>
        <v/>
      </c>
      <c r="BP137" s="9"/>
    </row>
    <row r="138" ht="15.75" customHeight="1">
      <c r="A138" s="427" t="s">
        <v>472</v>
      </c>
      <c r="B138" s="101">
        <v>42535.0</v>
      </c>
      <c r="C138" s="102">
        <v>84000.0</v>
      </c>
      <c r="D138" s="256"/>
      <c r="E138" s="256" t="s">
        <v>706</v>
      </c>
      <c r="F138" s="150"/>
      <c r="G138" s="150"/>
      <c r="H138" s="150"/>
      <c r="I138" s="401" t="s">
        <v>994</v>
      </c>
      <c r="J138" s="151" t="str">
        <f t="shared" si="25"/>
        <v/>
      </c>
      <c r="K138" s="107"/>
      <c r="L138" s="153" t="s">
        <v>680</v>
      </c>
      <c r="M138" s="109">
        <v>46157.0</v>
      </c>
      <c r="N138" s="109">
        <v>46158.0</v>
      </c>
      <c r="O138" s="277"/>
      <c r="P138" s="153" t="s">
        <v>999</v>
      </c>
      <c r="Q138" s="153" t="s">
        <v>1000</v>
      </c>
      <c r="R138" s="153" t="s">
        <v>1001</v>
      </c>
      <c r="S138" s="256" t="s">
        <v>659</v>
      </c>
      <c r="T138" s="293">
        <v>46125.0</v>
      </c>
      <c r="U138" s="114" t="str">
        <f>IF(V138="","No AIS",VLOOKUP(V138,'Voyage days'!$A$3:$B$1480,2,FALSE))</f>
        <v>Cape (as proxy)</v>
      </c>
      <c r="V138" s="114" t="str">
        <f>IF(VLOOKUP(A138,'1) Kpler'!$E$2:$P$1000,8, FALSE)="","",VLOOKUP(A138,'1) Kpler'!$E$2:$P$1000,8, FALSE))</f>
        <v>Port Elizabeth</v>
      </c>
      <c r="W138" s="159">
        <f>IF(VLOOKUP(A138,'1) Kpler'!$E$2:$P$1000,9,FALSE)="","",VLOOKUP(A138,'1) Kpler'!$E$2:$P$1000,9,FALSE))</f>
        <v>46133.5</v>
      </c>
      <c r="X138" s="114" t="str">
        <f>VLOOKUP(A138,'1) Kpler'!$E$2:$I$1000,4,FALSE)</f>
        <v>ballast</v>
      </c>
      <c r="Y138" s="117" t="str">
        <f t="shared" si="1"/>
        <v/>
      </c>
      <c r="Z138" s="117" t="str">
        <f t="shared" si="2"/>
        <v>15-16 May</v>
      </c>
      <c r="AA138" s="117" t="str">
        <f t="shared" si="3"/>
        <v>15-16 May</v>
      </c>
      <c r="AB138" s="117" t="str">
        <f t="shared" si="4"/>
        <v/>
      </c>
      <c r="AC138" s="117" t="str">
        <f t="shared" si="5"/>
        <v>04-05 Jun</v>
      </c>
      <c r="AD138" s="117" t="str">
        <f t="shared" si="6"/>
        <v/>
      </c>
      <c r="AE138" s="118" t="str">
        <f t="shared" si="7"/>
        <v/>
      </c>
      <c r="AF138" s="119" t="str">
        <f t="shared" si="8"/>
        <v/>
      </c>
      <c r="AG138" s="120" t="str">
        <f t="shared" si="9"/>
        <v/>
      </c>
      <c r="AH138" s="121" t="str">
        <f>IFERROR($M138+VLOOKUP($L138,'Voyage days'!$F$38:$H$89,3,FALSE),"")</f>
        <v/>
      </c>
      <c r="AI138" s="121" t="str">
        <f>IFERROR(N138+VLOOKUP($L138,'Voyage days'!$F$38:$H$89,3,FALSE),"")</f>
        <v/>
      </c>
      <c r="AJ138" s="120" t="str">
        <f t="shared" si="10"/>
        <v>15-16 May</v>
      </c>
      <c r="AK138" s="121">
        <f>IFERROR($M138+VLOOKUP($L138,'Voyage days'!$F$94:$H$193,3,FALSE),"")</f>
        <v>46157</v>
      </c>
      <c r="AL138" s="121">
        <f>IFERROR($N138+VLOOKUP($L138,'Voyage days'!$F$94:$H$193,3,FALSE),"")</f>
        <v>46158</v>
      </c>
      <c r="AM138" s="120" t="str">
        <f t="shared" si="11"/>
        <v>15-16 May</v>
      </c>
      <c r="AN138" s="121">
        <f>IFERROR($M138+VLOOKUP($L138,'Voyage days'!$F$203:$H$256,3,FALSE),"")</f>
        <v>46157</v>
      </c>
      <c r="AO138" s="121">
        <f>IFERROR($N138+VLOOKUP($L138,'Voyage days'!$F$203:$H$256,3,FALSE),"")</f>
        <v>46158</v>
      </c>
      <c r="AP138" s="120" t="str">
        <f t="shared" si="12"/>
        <v/>
      </c>
      <c r="AQ138" s="121" t="str">
        <f>IFERROR($M138+VLOOKUP($L138,'Voyage days'!$F$294:$H$377,3,FALSE),"")</f>
        <v/>
      </c>
      <c r="AR138" s="121" t="str">
        <f>IFERROR($N138+VLOOKUP($L138,'Voyage days'!$F$294:$H$377,3,FALSE),"")</f>
        <v/>
      </c>
      <c r="AS138" s="120" t="str">
        <f t="shared" si="13"/>
        <v>04-05 Jun</v>
      </c>
      <c r="AT138" s="121">
        <f>IFERROR($M138+VLOOKUP($L138,'Voyage days'!$F$382:$H$446,3,FALSE),"")</f>
        <v>46177</v>
      </c>
      <c r="AU138" s="121">
        <f>IFERROR($N138+VLOOKUP($L138,'Voyage days'!$F$382:$H$446,3,FALSE),"")</f>
        <v>46178</v>
      </c>
      <c r="AV138" s="120" t="str">
        <f t="shared" si="14"/>
        <v/>
      </c>
      <c r="AW138" s="121" t="str">
        <f>IFERROR($M138+VLOOKUP($L138,'Voyage days'!$F$483:$H$538,3,FALSE),"")</f>
        <v/>
      </c>
      <c r="AX138" s="121" t="str">
        <f>IFERROR($N138+VLOOKUP($L138,'Voyage days'!$F$483:$H$538,3,FALSE),"")</f>
        <v/>
      </c>
      <c r="AY138" s="120" t="str">
        <f t="shared" si="15"/>
        <v/>
      </c>
      <c r="AZ138" s="121" t="str">
        <f>IFERROR($M138+VLOOKUP($L138,'Voyage days'!$F$540:$H$613,3,FALSE),"")</f>
        <v/>
      </c>
      <c r="BA138" s="121" t="str">
        <f>IFERROR($N138+VLOOKUP($L138,'Voyage days'!$F$540:$H$613,3,FALSE),"")</f>
        <v/>
      </c>
      <c r="BB138" s="120" t="str">
        <f t="shared" si="16"/>
        <v/>
      </c>
      <c r="BC138" s="121" t="str">
        <f>IFERROR($M138+VLOOKUP($L138,'Voyage days'!$F$448:$H$479,3,FALSE),"")</f>
        <v/>
      </c>
      <c r="BD138" s="121" t="str">
        <f>IFERROR($N138+VLOOKUP($L138,'Voyage days'!$F$448:$H$479,3,FALSE),"")</f>
        <v/>
      </c>
      <c r="BE138" s="120" t="str">
        <f t="shared" si="17"/>
        <v/>
      </c>
      <c r="BF138" s="122" t="str">
        <f>IFERROR($M138+VLOOKUP($L138,'Voyage days'!$F$620:$H$646,3,FALSE),"")</f>
        <v/>
      </c>
      <c r="BG138" s="122" t="str">
        <f>IFERROR($N138+VLOOKUP($L138,'Voyage days'!$F$620:$H$646,3,FALSE),"")</f>
        <v/>
      </c>
      <c r="BH138" s="120" t="str">
        <f t="shared" si="18"/>
        <v/>
      </c>
      <c r="BI138" s="123" t="str">
        <f>IFERROR($M138+VLOOKUP($L138,'Voyage days'!$F$702:$H$727,3,FALSE),"")</f>
        <v/>
      </c>
      <c r="BJ138" s="120" t="str">
        <f t="shared" si="19"/>
        <v/>
      </c>
      <c r="BK138" s="122" t="str">
        <f>IFERROR($M138+VLOOKUP($L138,'Voyage days'!$F$807:$H$878,3,FALSE),"")</f>
        <v/>
      </c>
      <c r="BL138" s="122" t="str">
        <f>IFERROR($N138+VLOOKUP($L138,'Voyage days'!$F$807:$H$878,3,FALSE),"")</f>
        <v/>
      </c>
      <c r="BM138" s="122" t="str">
        <f>IFERROR($N138+VLOOKUP($L138,'Voyage days'!$F$807:$K$878,6,FALSE),"")</f>
        <v/>
      </c>
      <c r="BN138" s="121" t="str">
        <f>if(L138="loads AG", IFERROR($M138+VLOOKUP($L138,'Voyage days'!$M$38:$O$38,3,FALSE),""),"")</f>
        <v/>
      </c>
      <c r="BO138" s="121">
        <f>if(L138="loads USG", IFERROR($M138+VLOOKUP($L138,'Voyage days'!$L$203:$N$203,3,FALSE),""),"")</f>
        <v>46189</v>
      </c>
    </row>
    <row r="139" ht="15.75" customHeight="1">
      <c r="A139" s="473" t="s">
        <v>532</v>
      </c>
      <c r="B139" s="222">
        <v>42485.0</v>
      </c>
      <c r="C139" s="166">
        <v>84000.0</v>
      </c>
      <c r="D139" s="223"/>
      <c r="E139" s="223"/>
      <c r="F139" s="168"/>
      <c r="G139" s="168"/>
      <c r="H139" s="168"/>
      <c r="I139" s="324" t="s">
        <v>994</v>
      </c>
      <c r="J139" s="170" t="str">
        <f t="shared" si="25"/>
        <v>Update</v>
      </c>
      <c r="K139" s="171"/>
      <c r="L139" s="172" t="s">
        <v>663</v>
      </c>
      <c r="M139" s="173">
        <v>46126.0</v>
      </c>
      <c r="N139" s="173">
        <v>46127.0</v>
      </c>
      <c r="O139" s="226"/>
      <c r="P139" s="474" t="s">
        <v>1002</v>
      </c>
      <c r="Q139" s="187"/>
      <c r="R139" s="172" t="s">
        <v>1003</v>
      </c>
      <c r="S139" s="256" t="s">
        <v>659</v>
      </c>
      <c r="T139" s="176">
        <v>46125.0</v>
      </c>
      <c r="U139" s="177" t="str">
        <f>IF(V139="","No AIS",VLOOKUP(V139,'Voyage days'!$A$3:$B$1480,2,FALSE))</f>
        <v>Korea+3/+1 bunkers</v>
      </c>
      <c r="V139" s="178" t="str">
        <f>IF(VLOOKUP(A139,'1) Kpler'!$E$2:$P$1000,8, FALSE)="","",VLOOKUP(A139,'1) Kpler'!$E$2:$P$1000,8, FALSE))</f>
        <v>Yeosu</v>
      </c>
      <c r="W139" s="179">
        <f>IF(VLOOKUP(A139,'1) Kpler'!$E$2:$P$1000,9,FALSE)="","",VLOOKUP(A139,'1) Kpler'!$E$2:$P$1000,9,FALSE))</f>
        <v>46132.29167</v>
      </c>
      <c r="X139" s="178" t="str">
        <f>VLOOKUP(A139,'1) Kpler'!$E$2:$I$1000,4,FALSE)</f>
        <v>ballast</v>
      </c>
      <c r="Y139" s="180" t="str">
        <f t="shared" si="1"/>
        <v>01-02 May</v>
      </c>
      <c r="Z139" s="180" t="str">
        <f t="shared" si="2"/>
        <v>17-18 May</v>
      </c>
      <c r="AA139" s="180" t="str">
        <f t="shared" si="3"/>
        <v>28-29 May</v>
      </c>
      <c r="AB139" s="180" t="str">
        <f t="shared" si="4"/>
        <v>12-13 May</v>
      </c>
      <c r="AC139" s="180" t="str">
        <f t="shared" si="5"/>
        <v>19-20 May</v>
      </c>
      <c r="AD139" s="180" t="str">
        <f t="shared" si="6"/>
        <v>20-21 Apr</v>
      </c>
      <c r="AE139" s="181" t="str">
        <f t="shared" si="7"/>
        <v>21-22 Apr</v>
      </c>
      <c r="AF139" s="182" t="str">
        <f t="shared" si="8"/>
        <v>28-29 May</v>
      </c>
      <c r="AG139" s="120" t="str">
        <f t="shared" si="9"/>
        <v>01-02 May</v>
      </c>
      <c r="AH139" s="121">
        <f>IFERROR($M139+VLOOKUP($L139,'Voyage days'!$F$38:$H$89,3,FALSE),"")</f>
        <v>46143</v>
      </c>
      <c r="AI139" s="121">
        <f>IFERROR(N139+VLOOKUP($L139,'Voyage days'!$F$38:$H$89,3,FALSE),"")</f>
        <v>46144</v>
      </c>
      <c r="AJ139" s="120" t="str">
        <f t="shared" si="10"/>
        <v>17-18 May</v>
      </c>
      <c r="AK139" s="121">
        <f>IFERROR($M139+VLOOKUP($L139,'Voyage days'!$F$94:$H$193,3,FALSE),"")</f>
        <v>46159</v>
      </c>
      <c r="AL139" s="121">
        <f>IFERROR($N139+VLOOKUP($L139,'Voyage days'!$F$94:$H$193,3,FALSE),"")</f>
        <v>46160</v>
      </c>
      <c r="AM139" s="120" t="str">
        <f t="shared" si="11"/>
        <v>28-29 May</v>
      </c>
      <c r="AN139" s="121">
        <f>IFERROR($M139+VLOOKUP($L139,'Voyage days'!$F$203:$H$256,3,FALSE),"")</f>
        <v>46170</v>
      </c>
      <c r="AO139" s="121">
        <f>IFERROR($N139+VLOOKUP($L139,'Voyage days'!$F$203:$H$256,3,FALSE),"")</f>
        <v>46171</v>
      </c>
      <c r="AP139" s="120" t="str">
        <f t="shared" si="12"/>
        <v>12-13 May</v>
      </c>
      <c r="AQ139" s="121">
        <f>IFERROR($M139+VLOOKUP($L139,'Voyage days'!$F$294:$H$377,3,FALSE),"")</f>
        <v>46154</v>
      </c>
      <c r="AR139" s="121">
        <f>IFERROR($N139+VLOOKUP($L139,'Voyage days'!$F$294:$H$377,3,FALSE),"")</f>
        <v>46155</v>
      </c>
      <c r="AS139" s="120" t="str">
        <f t="shared" si="13"/>
        <v>19-20 May</v>
      </c>
      <c r="AT139" s="121">
        <f>IFERROR($M139+VLOOKUP($L139,'Voyage days'!$F$382:$H$446,3,FALSE),"")</f>
        <v>46161</v>
      </c>
      <c r="AU139" s="121">
        <f>IFERROR($N139+VLOOKUP($L139,'Voyage days'!$F$382:$H$446,3,FALSE),"")</f>
        <v>46162</v>
      </c>
      <c r="AV139" s="120" t="str">
        <f t="shared" si="14"/>
        <v>28-29 Apr</v>
      </c>
      <c r="AW139" s="121">
        <f>IFERROR($M139+VLOOKUP($L139,'Voyage days'!$F$483:$H$538,3,FALSE),"")</f>
        <v>46140</v>
      </c>
      <c r="AX139" s="121">
        <f>IFERROR($N139+VLOOKUP($L139,'Voyage days'!$F$483:$H$538,3,FALSE),"")</f>
        <v>46141</v>
      </c>
      <c r="AY139" s="120" t="str">
        <f t="shared" si="15"/>
        <v>21-22 Apr</v>
      </c>
      <c r="AZ139" s="121">
        <f>IFERROR($M139+VLOOKUP($L139,'Voyage days'!$F$540:$H$613,3,FALSE),"")</f>
        <v>46133.25</v>
      </c>
      <c r="BA139" s="121">
        <f>IFERROR($N139+VLOOKUP($L139,'Voyage days'!$F$540:$H$613,3,FALSE),"")</f>
        <v>46134.25</v>
      </c>
      <c r="BB139" s="120" t="str">
        <f t="shared" si="16"/>
        <v>20-21 Apr</v>
      </c>
      <c r="BC139" s="121">
        <f>IFERROR($M139+VLOOKUP($L139,'Voyage days'!$F$448:$H$479,3,FALSE),"")</f>
        <v>46132</v>
      </c>
      <c r="BD139" s="121">
        <f>IFERROR($N139+VLOOKUP($L139,'Voyage days'!$F$448:$H$479,3,FALSE),"")</f>
        <v>46133</v>
      </c>
      <c r="BE139" s="120" t="str">
        <f t="shared" si="17"/>
        <v>27-28 Apr</v>
      </c>
      <c r="BF139" s="122">
        <f>IFERROR($M139+VLOOKUP($L139,'Voyage days'!$F$620:$H$646,3,FALSE),"")</f>
        <v>46139</v>
      </c>
      <c r="BG139" s="122">
        <f>IFERROR($N139+VLOOKUP($L139,'Voyage days'!$F$620:$H$646,3,FALSE),"")</f>
        <v>46140</v>
      </c>
      <c r="BH139" s="120" t="str">
        <f t="shared" si="18"/>
        <v>21-29 May</v>
      </c>
      <c r="BI139" s="123">
        <f>IFERROR($M139+VLOOKUP($L139,'Voyage days'!$F$702:$H$727,3,FALSE),"")</f>
        <v>46133.25</v>
      </c>
      <c r="BJ139" s="120" t="str">
        <f t="shared" si="19"/>
        <v>28-29 May</v>
      </c>
      <c r="BK139" s="122">
        <f>IFERROR($M139+VLOOKUP($L139,'Voyage days'!$F$807:$H$878,3,FALSE),"")</f>
        <v>46170</v>
      </c>
      <c r="BL139" s="122">
        <f>IFERROR($N139+VLOOKUP($L139,'Voyage days'!$F$807:$H$878,3,FALSE),"")</f>
        <v>46171</v>
      </c>
      <c r="BM139" s="122">
        <f>IFERROR($N139+VLOOKUP($L139,'Voyage days'!$F$807:$K$878,6,FALSE),"")</f>
        <v>46145</v>
      </c>
      <c r="BN139" s="121" t="str">
        <f>if(L139="loads AG", IFERROR($M139+VLOOKUP($L139,'Voyage days'!$M$38:$O$38,3,FALSE),""),"")</f>
        <v/>
      </c>
      <c r="BO139" s="121" t="str">
        <f>if(L139="loads USG", IFERROR($M139+VLOOKUP($L139,'Voyage days'!$L$203:$N$203,3,FALSE),""),"")</f>
        <v/>
      </c>
    </row>
    <row r="140" ht="15.75" customHeight="1">
      <c r="A140" s="475" t="s">
        <v>1004</v>
      </c>
      <c r="B140" s="476">
        <v>42079.0</v>
      </c>
      <c r="C140" s="477">
        <v>84134.0</v>
      </c>
      <c r="D140" s="175" t="s">
        <v>603</v>
      </c>
      <c r="E140" s="478"/>
      <c r="F140" s="479"/>
      <c r="G140" s="479"/>
      <c r="H140" s="479" t="s">
        <v>666</v>
      </c>
      <c r="I140" s="480" t="s">
        <v>1005</v>
      </c>
      <c r="J140" s="481" t="str">
        <f t="shared" si="25"/>
        <v>Update</v>
      </c>
      <c r="K140" s="365"/>
      <c r="L140" s="482" t="s">
        <v>680</v>
      </c>
      <c r="M140" s="173">
        <v>46131.0</v>
      </c>
      <c r="N140" s="173">
        <v>46132.0</v>
      </c>
      <c r="O140" s="483"/>
      <c r="P140" s="482" t="s">
        <v>1006</v>
      </c>
      <c r="Q140" s="484"/>
      <c r="R140" s="482" t="s">
        <v>1007</v>
      </c>
      <c r="S140" s="485" t="s">
        <v>659</v>
      </c>
      <c r="T140" s="486">
        <v>46125.0</v>
      </c>
      <c r="U140" s="177" t="str">
        <f>IF(V140="","No AIS",VLOOKUP(V140,'Voyage days'!$A$3:$B$1480,2,FALSE))</f>
        <v>USG</v>
      </c>
      <c r="V140" s="177" t="str">
        <f>IF(VLOOKUP(A140,'1) Kpler'!$E$2:$P$1000,8, FALSE)="","",VLOOKUP(A140,'1) Kpler'!$E$2:$P$1000,8, FALSE))</f>
        <v>Freeport Texas</v>
      </c>
      <c r="W140" s="370">
        <f>IF(VLOOKUP(A140,'1) Kpler'!$E$2:$P$1000,9,FALSE)="","",VLOOKUP(A140,'1) Kpler'!$E$2:$P$1000,9,FALSE))</f>
        <v>46132.125</v>
      </c>
      <c r="X140" s="177" t="str">
        <f>VLOOKUP(A140,'1) Kpler'!$E$2:$I$1000,4,FALSE)</f>
        <v>ballast</v>
      </c>
      <c r="Y140" s="163" t="str">
        <f t="shared" si="1"/>
        <v/>
      </c>
      <c r="Z140" s="163" t="str">
        <f t="shared" si="2"/>
        <v>19-20 Apr</v>
      </c>
      <c r="AA140" s="163" t="str">
        <f t="shared" si="3"/>
        <v>19-20 Apr</v>
      </c>
      <c r="AB140" s="163" t="str">
        <f t="shared" si="4"/>
        <v/>
      </c>
      <c r="AC140" s="163" t="str">
        <f t="shared" si="5"/>
        <v>09-10 May</v>
      </c>
      <c r="AD140" s="163" t="str">
        <f t="shared" si="6"/>
        <v/>
      </c>
      <c r="AE140" s="371" t="str">
        <f t="shared" si="7"/>
        <v/>
      </c>
      <c r="AF140" s="229" t="str">
        <f t="shared" si="8"/>
        <v/>
      </c>
      <c r="AG140" s="163" t="str">
        <f t="shared" si="9"/>
        <v/>
      </c>
      <c r="AH140" s="122" t="str">
        <f>IFERROR($M140+VLOOKUP($L140,'Voyage days'!$F$38:$H$89,3,FALSE),"")</f>
        <v/>
      </c>
      <c r="AI140" s="122" t="str">
        <f>IFERROR(N140+VLOOKUP($L140,'Voyage days'!$F$38:$H$89,3,FALSE),"")</f>
        <v/>
      </c>
      <c r="AJ140" s="163" t="str">
        <f t="shared" si="10"/>
        <v>19-20 Apr</v>
      </c>
      <c r="AK140" s="122">
        <f>IFERROR($M140+VLOOKUP($L140,'Voyage days'!$F$94:$H$193,3,FALSE),"")</f>
        <v>46131</v>
      </c>
      <c r="AL140" s="122">
        <f>IFERROR($N140+VLOOKUP($L140,'Voyage days'!$F$94:$H$193,3,FALSE),"")</f>
        <v>46132</v>
      </c>
      <c r="AM140" s="163" t="str">
        <f t="shared" si="11"/>
        <v>19-20 Apr</v>
      </c>
      <c r="AN140" s="122">
        <f>IFERROR($M140+VLOOKUP($L140,'Voyage days'!$F$203:$H$256,3,FALSE),"")</f>
        <v>46131</v>
      </c>
      <c r="AO140" s="122">
        <f>IFERROR($N140+VLOOKUP($L140,'Voyage days'!$F$203:$H$256,3,FALSE),"")</f>
        <v>46132</v>
      </c>
      <c r="AP140" s="163" t="str">
        <f t="shared" si="12"/>
        <v/>
      </c>
      <c r="AQ140" s="122" t="str">
        <f>IFERROR($M140+VLOOKUP($L140,'Voyage days'!$F$294:$H$377,3,FALSE),"")</f>
        <v/>
      </c>
      <c r="AR140" s="122" t="str">
        <f>IFERROR($N140+VLOOKUP($L140,'Voyage days'!$F$294:$H$377,3,FALSE),"")</f>
        <v/>
      </c>
      <c r="AS140" s="163" t="str">
        <f t="shared" si="13"/>
        <v>09-10 May</v>
      </c>
      <c r="AT140" s="122">
        <f>IFERROR($M140+VLOOKUP($L140,'Voyage days'!$F$382:$H$446,3,FALSE),"")</f>
        <v>46151</v>
      </c>
      <c r="AU140" s="122">
        <f>IFERROR($N140+VLOOKUP($L140,'Voyage days'!$F$382:$H$446,3,FALSE),"")</f>
        <v>46152</v>
      </c>
      <c r="AV140" s="163" t="str">
        <f t="shared" si="14"/>
        <v/>
      </c>
      <c r="AW140" s="122" t="str">
        <f>IFERROR($M140+VLOOKUP($L140,'Voyage days'!$F$483:$H$538,3,FALSE),"")</f>
        <v/>
      </c>
      <c r="AX140" s="122" t="str">
        <f>IFERROR($N140+VLOOKUP($L140,'Voyage days'!$F$483:$H$538,3,FALSE),"")</f>
        <v/>
      </c>
      <c r="AY140" s="163" t="str">
        <f t="shared" si="15"/>
        <v/>
      </c>
      <c r="AZ140" s="122" t="str">
        <f>IFERROR($M140+VLOOKUP($L140,'Voyage days'!$F$540:$H$613,3,FALSE),"")</f>
        <v/>
      </c>
      <c r="BA140" s="122" t="str">
        <f>IFERROR($N140+VLOOKUP($L140,'Voyage days'!$F$540:$H$613,3,FALSE),"")</f>
        <v/>
      </c>
      <c r="BB140" s="163" t="str">
        <f t="shared" si="16"/>
        <v/>
      </c>
      <c r="BC140" s="121" t="str">
        <f>IFERROR($M140+VLOOKUP($L140,'Voyage days'!$F$448:$H$479,3,FALSE),"")</f>
        <v/>
      </c>
      <c r="BD140" s="121" t="str">
        <f>IFERROR($N140+VLOOKUP($L140,'Voyage days'!$F$448:$H$479,3,FALSE),"")</f>
        <v/>
      </c>
      <c r="BE140" s="163" t="str">
        <f t="shared" si="17"/>
        <v/>
      </c>
      <c r="BF140" s="122" t="str">
        <f>IFERROR($M140+VLOOKUP($L140,'Voyage days'!$F$620:$H$646,3,FALSE),"")</f>
        <v/>
      </c>
      <c r="BG140" s="122" t="str">
        <f>IFERROR($N140+VLOOKUP($L140,'Voyage days'!$F$620:$H$646,3,FALSE),"")</f>
        <v/>
      </c>
      <c r="BH140" s="163" t="str">
        <f t="shared" si="18"/>
        <v/>
      </c>
      <c r="BI140" s="123" t="str">
        <f>IFERROR($M140+VLOOKUP($L140,'Voyage days'!$F$702:$H$727,3,FALSE),"")</f>
        <v/>
      </c>
      <c r="BJ140" s="163" t="str">
        <f t="shared" si="19"/>
        <v/>
      </c>
      <c r="BK140" s="122" t="str">
        <f>IFERROR($M140+VLOOKUP($L140,'Voyage days'!$F$807:$H$878,3,FALSE),"")</f>
        <v/>
      </c>
      <c r="BL140" s="122" t="str">
        <f>IFERROR($N140+VLOOKUP($L140,'Voyage days'!$F$807:$H$878,3,FALSE),"")</f>
        <v/>
      </c>
      <c r="BM140" s="122" t="str">
        <f>IFERROR($N140+VLOOKUP($L140,'Voyage days'!$F$807:$K$878,6,FALSE),"")</f>
        <v/>
      </c>
      <c r="BN140" s="121" t="str">
        <f>if(L140="loads AG", IFERROR($M140+VLOOKUP($L140,'Voyage days'!$M$38:$O$38,3,FALSE),""),"")</f>
        <v/>
      </c>
      <c r="BO140" s="121">
        <f>if(L140="loads USG", IFERROR($M140+VLOOKUP($L140,'Voyage days'!$L$203:$N$203,3,FALSE),""),"")</f>
        <v>46163</v>
      </c>
    </row>
    <row r="141" ht="15.75" customHeight="1">
      <c r="A141" s="475" t="s">
        <v>235</v>
      </c>
      <c r="B141" s="394">
        <v>2020.0</v>
      </c>
      <c r="C141" s="102">
        <v>83000.0</v>
      </c>
      <c r="D141" s="103"/>
      <c r="E141" s="103"/>
      <c r="F141" s="104"/>
      <c r="G141" s="104"/>
      <c r="H141" s="104" t="s">
        <v>689</v>
      </c>
      <c r="I141" s="295" t="s">
        <v>1008</v>
      </c>
      <c r="J141" s="106" t="str">
        <f t="shared" si="25"/>
        <v>Update</v>
      </c>
      <c r="K141" s="107"/>
      <c r="L141" s="108" t="s">
        <v>680</v>
      </c>
      <c r="M141" s="391">
        <v>46133.0</v>
      </c>
      <c r="N141" s="391">
        <v>46134.0</v>
      </c>
      <c r="O141" s="191"/>
      <c r="P141" s="108" t="s">
        <v>1009</v>
      </c>
      <c r="Q141" s="108"/>
      <c r="R141" s="108" t="s">
        <v>1010</v>
      </c>
      <c r="S141" s="487" t="s">
        <v>659</v>
      </c>
      <c r="T141" s="293">
        <v>46125.0</v>
      </c>
      <c r="U141" s="114" t="str">
        <f>IF(V141="","No AIS",VLOOKUP(V141,'Voyage days'!$A$3:$B$1480,2,FALSE))</f>
        <v>Panama</v>
      </c>
      <c r="V141" s="115" t="str">
        <f>IF(VLOOKUP(A141,'1) Kpler'!$E$2:$P$1000,8, FALSE)="","",VLOOKUP(A141,'1) Kpler'!$E$2:$P$1000,8, FALSE))</f>
        <v>Panama Canal</v>
      </c>
      <c r="W141" s="116">
        <f>IF(VLOOKUP(A141,'1) Kpler'!$E$2:$P$1000,9,FALSE)="","",VLOOKUP(A141,'1) Kpler'!$E$2:$P$1000,9,FALSE))</f>
        <v>46136.64792</v>
      </c>
      <c r="X141" s="115" t="str">
        <f>VLOOKUP(A141,'1) Kpler'!$E$2:$I$1000,4,FALSE)</f>
        <v>loaded</v>
      </c>
      <c r="Y141" s="117" t="str">
        <f t="shared" si="1"/>
        <v/>
      </c>
      <c r="Z141" s="117" t="str">
        <f t="shared" si="2"/>
        <v>21-22 Apr</v>
      </c>
      <c r="AA141" s="117" t="str">
        <f t="shared" si="3"/>
        <v>21-22 Apr</v>
      </c>
      <c r="AB141" s="117" t="str">
        <f t="shared" si="4"/>
        <v/>
      </c>
      <c r="AC141" s="117" t="str">
        <f t="shared" si="5"/>
        <v>11-12 May</v>
      </c>
      <c r="AD141" s="117" t="str">
        <f t="shared" si="6"/>
        <v/>
      </c>
      <c r="AE141" s="118" t="str">
        <f t="shared" si="7"/>
        <v/>
      </c>
      <c r="AF141" s="119" t="str">
        <f t="shared" si="8"/>
        <v/>
      </c>
      <c r="AG141" s="120" t="str">
        <f t="shared" si="9"/>
        <v/>
      </c>
      <c r="AH141" s="121" t="str">
        <f>IFERROR($M141+VLOOKUP($L141,'Voyage days'!$F$38:$H$89,3,FALSE),"")</f>
        <v/>
      </c>
      <c r="AI141" s="121" t="str">
        <f>IFERROR(N141+VLOOKUP($L141,'Voyage days'!$F$38:$H$89,3,FALSE),"")</f>
        <v/>
      </c>
      <c r="AJ141" s="120" t="str">
        <f t="shared" si="10"/>
        <v>21-22 Apr</v>
      </c>
      <c r="AK141" s="121">
        <f>IFERROR($M141+VLOOKUP($L141,'Voyage days'!$F$94:$H$193,3,FALSE),"")</f>
        <v>46133</v>
      </c>
      <c r="AL141" s="121">
        <f>IFERROR($N141+VLOOKUP($L141,'Voyage days'!$F$94:$H$193,3,FALSE),"")</f>
        <v>46134</v>
      </c>
      <c r="AM141" s="120" t="str">
        <f t="shared" si="11"/>
        <v>21-22 Apr</v>
      </c>
      <c r="AN141" s="121">
        <f>IFERROR($M141+VLOOKUP($L141,'Voyage days'!$F$203:$H$256,3,FALSE),"")</f>
        <v>46133</v>
      </c>
      <c r="AO141" s="121">
        <f>IFERROR($N141+VLOOKUP($L141,'Voyage days'!$F$203:$H$256,3,FALSE),"")</f>
        <v>46134</v>
      </c>
      <c r="AP141" s="120" t="str">
        <f t="shared" si="12"/>
        <v/>
      </c>
      <c r="AQ141" s="121" t="str">
        <f>IFERROR($M141+VLOOKUP($L141,'Voyage days'!$F$294:$H$377,3,FALSE),"")</f>
        <v/>
      </c>
      <c r="AR141" s="121" t="str">
        <f>IFERROR($N141+VLOOKUP($L141,'Voyage days'!$F$294:$H$377,3,FALSE),"")</f>
        <v/>
      </c>
      <c r="AS141" s="120" t="str">
        <f t="shared" si="13"/>
        <v>11-12 May</v>
      </c>
      <c r="AT141" s="121">
        <f>IFERROR($M141+VLOOKUP($L141,'Voyage days'!$F$382:$H$446,3,FALSE),"")</f>
        <v>46153</v>
      </c>
      <c r="AU141" s="121">
        <f>IFERROR($N141+VLOOKUP($L141,'Voyage days'!$F$382:$H$446,3,FALSE),"")</f>
        <v>46154</v>
      </c>
      <c r="AV141" s="120" t="str">
        <f t="shared" si="14"/>
        <v/>
      </c>
      <c r="AW141" s="121" t="str">
        <f>IFERROR($M141+VLOOKUP($L141,'Voyage days'!$F$483:$H$538,3,FALSE),"")</f>
        <v/>
      </c>
      <c r="AX141" s="121" t="str">
        <f>IFERROR($N141+VLOOKUP($L141,'Voyage days'!$F$483:$H$538,3,FALSE),"")</f>
        <v/>
      </c>
      <c r="AY141" s="120" t="str">
        <f t="shared" si="15"/>
        <v/>
      </c>
      <c r="AZ141" s="121" t="str">
        <f>IFERROR($M141+VLOOKUP($L141,'Voyage days'!$F$540:$H$613,3,FALSE),"")</f>
        <v/>
      </c>
      <c r="BA141" s="121" t="str">
        <f>IFERROR($N141+VLOOKUP($L141,'Voyage days'!$F$540:$H$613,3,FALSE),"")</f>
        <v/>
      </c>
      <c r="BB141" s="120" t="str">
        <f t="shared" si="16"/>
        <v/>
      </c>
      <c r="BC141" s="121" t="str">
        <f>IFERROR($M141+VLOOKUP($L141,'Voyage days'!$F$448:$H$479,3,FALSE),"")</f>
        <v/>
      </c>
      <c r="BD141" s="121" t="str">
        <f>IFERROR($N141+VLOOKUP($L141,'Voyage days'!$F$448:$H$479,3,FALSE),"")</f>
        <v/>
      </c>
      <c r="BE141" s="120" t="str">
        <f t="shared" si="17"/>
        <v/>
      </c>
      <c r="BF141" s="122" t="str">
        <f>IFERROR($M141+VLOOKUP($L141,'Voyage days'!$F$620:$H$646,3,FALSE),"")</f>
        <v/>
      </c>
      <c r="BG141" s="122" t="str">
        <f>IFERROR($N141+VLOOKUP($L141,'Voyage days'!$F$620:$H$646,3,FALSE),"")</f>
        <v/>
      </c>
      <c r="BH141" s="120" t="str">
        <f t="shared" si="18"/>
        <v/>
      </c>
      <c r="BI141" s="123" t="str">
        <f>IFERROR($M141+VLOOKUP($L141,'Voyage days'!$F$702:$H$727,3,FALSE),"")</f>
        <v/>
      </c>
      <c r="BJ141" s="120" t="str">
        <f t="shared" si="19"/>
        <v/>
      </c>
      <c r="BK141" s="122" t="str">
        <f>IFERROR($M141+VLOOKUP($L141,'Voyage days'!$F$807:$H$878,3,FALSE),"")</f>
        <v/>
      </c>
      <c r="BL141" s="122" t="str">
        <f>IFERROR($N141+VLOOKUP($L141,'Voyage days'!$F$807:$H$878,3,FALSE),"")</f>
        <v/>
      </c>
      <c r="BM141" s="122" t="str">
        <f>IFERROR($N141+VLOOKUP($L141,'Voyage days'!$F$807:$K$878,6,FALSE),"")</f>
        <v/>
      </c>
      <c r="BN141" s="121" t="str">
        <f>if(L141="loads AG", IFERROR($M141+VLOOKUP($L141,'Voyage days'!$M$38:$O$38,3,FALSE),""),"")</f>
        <v/>
      </c>
      <c r="BO141" s="121">
        <f>if(L141="loads USG", IFERROR($M141+VLOOKUP($L141,'Voyage days'!$L$203:$N$203,3,FALSE),""),"")</f>
        <v>46165</v>
      </c>
    </row>
    <row r="142" ht="15.75" customHeight="1">
      <c r="A142" s="274" t="s">
        <v>279</v>
      </c>
      <c r="B142" s="148">
        <v>2020.0</v>
      </c>
      <c r="C142" s="102">
        <v>84000.0</v>
      </c>
      <c r="D142" s="256"/>
      <c r="E142" s="256"/>
      <c r="F142" s="150"/>
      <c r="G142" s="150"/>
      <c r="H142" s="150" t="s">
        <v>689</v>
      </c>
      <c r="I142" s="321" t="s">
        <v>1008</v>
      </c>
      <c r="J142" s="106" t="str">
        <f t="shared" si="25"/>
        <v/>
      </c>
      <c r="K142" s="193" t="s">
        <v>765</v>
      </c>
      <c r="L142" s="153" t="s">
        <v>860</v>
      </c>
      <c r="M142" s="276">
        <v>46151.0</v>
      </c>
      <c r="N142" s="276">
        <v>46152.0</v>
      </c>
      <c r="O142" s="277"/>
      <c r="P142" s="317" t="s">
        <v>1011</v>
      </c>
      <c r="Q142" s="153"/>
      <c r="R142" s="153" t="s">
        <v>1012</v>
      </c>
      <c r="S142" s="256" t="s">
        <v>659</v>
      </c>
      <c r="T142" s="318">
        <v>46125.0</v>
      </c>
      <c r="U142" s="114" t="str">
        <f>IF(V142="","No AIS",VLOOKUP(V142,'Voyage days'!$A$3:$B$1480,2,FALSE))</f>
        <v>Cape (as proxy)</v>
      </c>
      <c r="V142" s="114" t="str">
        <f>IF(VLOOKUP(A142,'1) Kpler'!$E$2:$P$1000,8, FALSE)="","",VLOOKUP(A142,'1) Kpler'!$E$2:$P$1000,8, FALSE))</f>
        <v>Cape Town</v>
      </c>
      <c r="W142" s="159">
        <f>IF(VLOOKUP(A142,'1) Kpler'!$E$2:$P$1000,9,FALSE)="","",VLOOKUP(A142,'1) Kpler'!$E$2:$P$1000,9,FALSE))</f>
        <v>46137.75</v>
      </c>
      <c r="X142" s="114" t="str">
        <f>VLOOKUP(A142,'1) Kpler'!$E$2:$I$1000,4,FALSE)</f>
        <v>loaded</v>
      </c>
      <c r="Y142" s="296" t="str">
        <f t="shared" si="1"/>
        <v>24-25 May</v>
      </c>
      <c r="Z142" s="296" t="str">
        <f t="shared" si="2"/>
        <v>16-17 Jun</v>
      </c>
      <c r="AA142" s="296" t="str">
        <f t="shared" si="3"/>
        <v>17-18 Jun</v>
      </c>
      <c r="AB142" s="296" t="str">
        <f t="shared" si="4"/>
        <v>03-04 Jun</v>
      </c>
      <c r="AC142" s="296" t="str">
        <f t="shared" si="5"/>
        <v>11-12 Jun</v>
      </c>
      <c r="AD142" s="296" t="str">
        <f t="shared" si="6"/>
        <v>16-17 May</v>
      </c>
      <c r="AE142" s="297" t="str">
        <f t="shared" si="7"/>
        <v>19-20 May</v>
      </c>
      <c r="AF142" s="119" t="str">
        <f t="shared" si="8"/>
        <v>21-22 Jun</v>
      </c>
      <c r="AG142" s="163" t="str">
        <f t="shared" si="9"/>
        <v>24-25 May</v>
      </c>
      <c r="AH142" s="122">
        <f>IFERROR($M142+VLOOKUP($L142,'Voyage days'!$F$38:$H$89,3,FALSE),"")</f>
        <v>46166</v>
      </c>
      <c r="AI142" s="122">
        <f>IFERROR(N142+VLOOKUP($L142,'Voyage days'!$F$38:$H$89,3,FALSE),"")</f>
        <v>46167</v>
      </c>
      <c r="AJ142" s="163" t="str">
        <f t="shared" si="10"/>
        <v>16-17 Jun</v>
      </c>
      <c r="AK142" s="122">
        <f>IFERROR($M142+VLOOKUP($L142,'Voyage days'!$F$94:$H$193,3,FALSE),"")</f>
        <v>46189</v>
      </c>
      <c r="AL142" s="122">
        <f>IFERROR($N142+VLOOKUP($L142,'Voyage days'!$F$94:$H$193,3,FALSE),"")</f>
        <v>46190</v>
      </c>
      <c r="AM142" s="163" t="str">
        <f t="shared" si="11"/>
        <v>17-18 Jun</v>
      </c>
      <c r="AN142" s="122">
        <f>IFERROR($M142+VLOOKUP($L142,'Voyage days'!$F$203:$H$256,3,FALSE),"")</f>
        <v>46190</v>
      </c>
      <c r="AO142" s="122">
        <f>IFERROR($N142+VLOOKUP($L142,'Voyage days'!$F$203:$H$256,3,FALSE),"")</f>
        <v>46191</v>
      </c>
      <c r="AP142" s="163" t="str">
        <f t="shared" si="12"/>
        <v>03-04 Jun</v>
      </c>
      <c r="AQ142" s="122">
        <f>IFERROR($M142+VLOOKUP($L142,'Voyage days'!$F$294:$H$377,3,FALSE),"")</f>
        <v>46176</v>
      </c>
      <c r="AR142" s="122">
        <f>IFERROR($N142+VLOOKUP($L142,'Voyage days'!$F$294:$H$377,3,FALSE),"")</f>
        <v>46177</v>
      </c>
      <c r="AS142" s="163" t="str">
        <f t="shared" si="13"/>
        <v>11-12 Jun</v>
      </c>
      <c r="AT142" s="122">
        <f>IFERROR($M142+VLOOKUP($L142,'Voyage days'!$F$382:$H$446,3,FALSE),"")</f>
        <v>46184</v>
      </c>
      <c r="AU142" s="122">
        <f>IFERROR($N142+VLOOKUP($L142,'Voyage days'!$F$382:$H$446,3,FALSE),"")</f>
        <v>46185</v>
      </c>
      <c r="AV142" s="163" t="str">
        <f t="shared" si="14"/>
        <v>25-26 May</v>
      </c>
      <c r="AW142" s="122">
        <f>IFERROR($M142+VLOOKUP($L142,'Voyage days'!$F$483:$H$538,3,FALSE),"")</f>
        <v>46167</v>
      </c>
      <c r="AX142" s="122">
        <f>IFERROR($N142+VLOOKUP($L142,'Voyage days'!$F$483:$H$538,3,FALSE),"")</f>
        <v>46168</v>
      </c>
      <c r="AY142" s="163" t="str">
        <f t="shared" si="15"/>
        <v>19-20 May</v>
      </c>
      <c r="AZ142" s="122">
        <f>IFERROR($M142+VLOOKUP($L142,'Voyage days'!$F$540:$H$613,3,FALSE),"")</f>
        <v>46161</v>
      </c>
      <c r="BA142" s="122">
        <f>IFERROR($N142+VLOOKUP($L142,'Voyage days'!$F$540:$H$613,3,FALSE),"")</f>
        <v>46162</v>
      </c>
      <c r="BB142" s="163" t="str">
        <f t="shared" si="16"/>
        <v>16-17 May</v>
      </c>
      <c r="BC142" s="121">
        <f>IFERROR($M142+VLOOKUP($L142,'Voyage days'!$F$448:$H$479,3,FALSE),"")</f>
        <v>46158</v>
      </c>
      <c r="BD142" s="121">
        <f>IFERROR($N142+VLOOKUP($L142,'Voyage days'!$F$448:$H$479,3,FALSE),"")</f>
        <v>46159</v>
      </c>
      <c r="BE142" s="163" t="str">
        <f t="shared" si="17"/>
        <v/>
      </c>
      <c r="BF142" s="122" t="str">
        <f>IFERROR($M142+VLOOKUP($L142,'Voyage days'!$F$620:$H$646,3,FALSE),"")</f>
        <v/>
      </c>
      <c r="BG142" s="122" t="str">
        <f>IFERROR($N142+VLOOKUP($L142,'Voyage days'!$F$620:$H$646,3,FALSE),"")</f>
        <v/>
      </c>
      <c r="BH142" s="163" t="str">
        <f t="shared" si="18"/>
        <v>24-22 Jun</v>
      </c>
      <c r="BI142" s="123">
        <f>IFERROR($M142+VLOOKUP($L142,'Voyage days'!$F$702:$H$727,3,FALSE),"")</f>
        <v>46166</v>
      </c>
      <c r="BJ142" s="163" t="str">
        <f t="shared" si="19"/>
        <v>21-22 Jun</v>
      </c>
      <c r="BK142" s="122">
        <f>IFERROR($M142+VLOOKUP($L142,'Voyage days'!$F$807:$H$878,3,FALSE),"")</f>
        <v>46194</v>
      </c>
      <c r="BL142" s="122">
        <f>IFERROR($N142+VLOOKUP($L142,'Voyage days'!$F$807:$H$878,3,FALSE),"")</f>
        <v>46195</v>
      </c>
      <c r="BM142" s="122">
        <f>IFERROR($N142+VLOOKUP($L142,'Voyage days'!$F$807:$K$878,6,FALSE),"")</f>
        <v>46171</v>
      </c>
      <c r="BN142" s="121" t="str">
        <f>if(L142="loads AG", IFERROR($M142+VLOOKUP($L142,'Voyage days'!$M$38:$O$38,3,FALSE),""),"")</f>
        <v/>
      </c>
      <c r="BO142" s="121" t="str">
        <f>if(L142="loads USG", IFERROR($M142+VLOOKUP($L142,'Voyage days'!$L$203:$N$203,3,FALSE),""),"")</f>
        <v/>
      </c>
    </row>
    <row r="143" ht="15.75" customHeight="1">
      <c r="A143" s="488" t="s">
        <v>308</v>
      </c>
      <c r="B143" s="101">
        <v>44007.0</v>
      </c>
      <c r="C143" s="102">
        <v>84000.0</v>
      </c>
      <c r="D143" s="112"/>
      <c r="E143" s="256"/>
      <c r="F143" s="104"/>
      <c r="G143" s="104"/>
      <c r="H143" s="104" t="s">
        <v>689</v>
      </c>
      <c r="I143" s="401" t="s">
        <v>1008</v>
      </c>
      <c r="J143" s="106" t="str">
        <f t="shared" si="25"/>
        <v>Update</v>
      </c>
      <c r="K143" s="205"/>
      <c r="L143" s="108" t="s">
        <v>668</v>
      </c>
      <c r="M143" s="276">
        <v>46130.0</v>
      </c>
      <c r="N143" s="276">
        <v>46131.0</v>
      </c>
      <c r="O143" s="277"/>
      <c r="P143" s="187" t="s">
        <v>1013</v>
      </c>
      <c r="Q143" s="304"/>
      <c r="R143" s="108" t="s">
        <v>1014</v>
      </c>
      <c r="S143" s="256" t="s">
        <v>659</v>
      </c>
      <c r="T143" s="318">
        <v>46125.0</v>
      </c>
      <c r="U143" s="114" t="str">
        <f>IF(V143="","No AIS",VLOOKUP(V143,'Voyage days'!$A$3:$B$1480,2,FALSE))</f>
        <v>Panama</v>
      </c>
      <c r="V143" s="115" t="str">
        <f>IF(VLOOKUP(A143,'1) Kpler'!$E$2:$P$1000,8, FALSE)="","",VLOOKUP(A143,'1) Kpler'!$E$2:$P$1000,8, FALSE))</f>
        <v>Panama Canal</v>
      </c>
      <c r="W143" s="116">
        <f>IF(VLOOKUP(A143,'1) Kpler'!$E$2:$P$1000,9,FALSE)="","",VLOOKUP(A143,'1) Kpler'!$E$2:$P$1000,9,FALSE))</f>
        <v>46150.79167</v>
      </c>
      <c r="X143" s="115" t="str">
        <f>VLOOKUP(A143,'1) Kpler'!$E$2:$I$1000,4,FALSE)</f>
        <v>ballast</v>
      </c>
      <c r="Y143" s="160" t="str">
        <f t="shared" si="1"/>
        <v>06-07 May</v>
      </c>
      <c r="Z143" s="160" t="str">
        <f t="shared" si="2"/>
        <v>20-21 May</v>
      </c>
      <c r="AA143" s="160" t="str">
        <f t="shared" si="3"/>
        <v>30-31 May</v>
      </c>
      <c r="AB143" s="160" t="str">
        <f t="shared" si="4"/>
        <v>18-19 May</v>
      </c>
      <c r="AC143" s="160" t="str">
        <f t="shared" si="5"/>
        <v>24-25 May</v>
      </c>
      <c r="AD143" s="160" t="str">
        <f t="shared" si="6"/>
        <v>26-27 Apr</v>
      </c>
      <c r="AE143" s="161" t="str">
        <f t="shared" si="7"/>
        <v>26-27 Apr</v>
      </c>
      <c r="AF143" s="162" t="str">
        <f t="shared" si="8"/>
        <v>03-04 Jun</v>
      </c>
      <c r="AG143" s="120" t="str">
        <f t="shared" si="9"/>
        <v>06-07 May</v>
      </c>
      <c r="AH143" s="121">
        <f>IFERROR($M143+VLOOKUP($L143,'Voyage days'!$F$38:$H$89,3,FALSE),"")</f>
        <v>46148</v>
      </c>
      <c r="AI143" s="121">
        <f>IFERROR(N143+VLOOKUP($L143,'Voyage days'!$F$38:$H$89,3,FALSE),"")</f>
        <v>46149</v>
      </c>
      <c r="AJ143" s="120" t="str">
        <f t="shared" si="10"/>
        <v>20-21 May</v>
      </c>
      <c r="AK143" s="121">
        <f>IFERROR($M143+VLOOKUP($L143,'Voyage days'!$F$94:$H$193,3,FALSE),"")</f>
        <v>46162</v>
      </c>
      <c r="AL143" s="121">
        <f>IFERROR($N143+VLOOKUP($L143,'Voyage days'!$F$94:$H$193,3,FALSE),"")</f>
        <v>46163</v>
      </c>
      <c r="AM143" s="120" t="str">
        <f t="shared" si="11"/>
        <v>30-31 May</v>
      </c>
      <c r="AN143" s="121">
        <f>IFERROR($M143+VLOOKUP($L143,'Voyage days'!$F$203:$H$256,3,FALSE),"")</f>
        <v>46172</v>
      </c>
      <c r="AO143" s="121">
        <f>IFERROR($N143+VLOOKUP($L143,'Voyage days'!$F$203:$H$256,3,FALSE),"")</f>
        <v>46173</v>
      </c>
      <c r="AP143" s="120" t="str">
        <f t="shared" si="12"/>
        <v>18-19 May</v>
      </c>
      <c r="AQ143" s="121">
        <f>IFERROR($M143+VLOOKUP($L143,'Voyage days'!$F$294:$H$377,3,FALSE),"")</f>
        <v>46160</v>
      </c>
      <c r="AR143" s="121">
        <f>IFERROR($N143+VLOOKUP($L143,'Voyage days'!$F$294:$H$377,3,FALSE),"")</f>
        <v>46161</v>
      </c>
      <c r="AS143" s="120" t="str">
        <f t="shared" si="13"/>
        <v>24-25 May</v>
      </c>
      <c r="AT143" s="121">
        <f>IFERROR($M143+VLOOKUP($L143,'Voyage days'!$F$382:$H$446,3,FALSE),"")</f>
        <v>46166</v>
      </c>
      <c r="AU143" s="121">
        <f>IFERROR($N143+VLOOKUP($L143,'Voyage days'!$F$382:$H$446,3,FALSE),"")</f>
        <v>46167</v>
      </c>
      <c r="AV143" s="120" t="str">
        <f t="shared" si="14"/>
        <v>01-02 May</v>
      </c>
      <c r="AW143" s="121">
        <f>IFERROR($M143+VLOOKUP($L143,'Voyage days'!$F$483:$H$538,3,FALSE),"")</f>
        <v>46143</v>
      </c>
      <c r="AX143" s="121">
        <f>IFERROR($N143+VLOOKUP($L143,'Voyage days'!$F$483:$H$538,3,FALSE),"")</f>
        <v>46144</v>
      </c>
      <c r="AY143" s="120" t="str">
        <f t="shared" si="15"/>
        <v>26-27 Apr</v>
      </c>
      <c r="AZ143" s="121">
        <f>IFERROR($M143+VLOOKUP($L143,'Voyage days'!$F$540:$H$613,3,FALSE),"")</f>
        <v>46138.25</v>
      </c>
      <c r="BA143" s="121">
        <f>IFERROR($N143+VLOOKUP($L143,'Voyage days'!$F$540:$H$613,3,FALSE),"")</f>
        <v>46139.25</v>
      </c>
      <c r="BB143" s="120" t="str">
        <f t="shared" si="16"/>
        <v>26-27 Apr</v>
      </c>
      <c r="BC143" s="121">
        <f>IFERROR($M143+VLOOKUP($L143,'Voyage days'!$F$448:$H$479,3,FALSE),"")</f>
        <v>46138</v>
      </c>
      <c r="BD143" s="121">
        <f>IFERROR($N143+VLOOKUP($L143,'Voyage days'!$F$448:$H$479,3,FALSE),"")</f>
        <v>46139</v>
      </c>
      <c r="BE143" s="120" t="str">
        <f t="shared" si="17"/>
        <v>29-30 Apr</v>
      </c>
      <c r="BF143" s="122">
        <f>IFERROR($M143+VLOOKUP($L143,'Voyage days'!$F$620:$H$646,3,FALSE),"")</f>
        <v>46141</v>
      </c>
      <c r="BG143" s="122">
        <f>IFERROR($N143+VLOOKUP($L143,'Voyage days'!$F$620:$H$646,3,FALSE),"")</f>
        <v>46142</v>
      </c>
      <c r="BH143" s="120" t="str">
        <f t="shared" si="18"/>
        <v>26-04 Jun</v>
      </c>
      <c r="BI143" s="123">
        <f>IFERROR($M143+VLOOKUP($L143,'Voyage days'!$F$702:$H$727,3,FALSE),"")</f>
        <v>46138.25</v>
      </c>
      <c r="BJ143" s="120" t="str">
        <f t="shared" si="19"/>
        <v>03-04 Jun</v>
      </c>
      <c r="BK143" s="122">
        <f>IFERROR($M143+VLOOKUP($L143,'Voyage days'!$F$807:$H$878,3,FALSE),"")</f>
        <v>46176</v>
      </c>
      <c r="BL143" s="122">
        <f>IFERROR($N143+VLOOKUP($L143,'Voyage days'!$F$807:$H$878,3,FALSE),"")</f>
        <v>46177</v>
      </c>
      <c r="BM143" s="122">
        <f>IFERROR($N143+VLOOKUP($L143,'Voyage days'!$F$807:$K$878,6,FALSE),"")</f>
        <v>46151</v>
      </c>
      <c r="BN143" s="121" t="str">
        <f>if(L143="loads AG", IFERROR($M143+VLOOKUP($L143,'Voyage days'!$M$38:$O$38,3,FALSE),""),"")</f>
        <v/>
      </c>
      <c r="BO143" s="121" t="str">
        <f>if(L143="loads USG", IFERROR($M143+VLOOKUP($L143,'Voyage days'!$L$203:$N$203,3,FALSE),""),"")</f>
        <v/>
      </c>
    </row>
    <row r="144" ht="15.0" customHeight="1">
      <c r="A144" s="408" t="s">
        <v>306</v>
      </c>
      <c r="B144" s="183">
        <v>2023.0</v>
      </c>
      <c r="C144" s="184">
        <v>93000.0</v>
      </c>
      <c r="D144" s="489"/>
      <c r="E144" s="380"/>
      <c r="F144" s="490"/>
      <c r="G144" s="490"/>
      <c r="H144" s="490" t="s">
        <v>666</v>
      </c>
      <c r="I144" s="491" t="s">
        <v>1008</v>
      </c>
      <c r="J144" s="456" t="str">
        <f t="shared" si="25"/>
        <v>Update</v>
      </c>
      <c r="K144" s="210"/>
      <c r="L144" s="214" t="s">
        <v>680</v>
      </c>
      <c r="M144" s="254">
        <v>46130.0</v>
      </c>
      <c r="N144" s="254">
        <v>46131.0</v>
      </c>
      <c r="O144" s="492" t="s">
        <v>699</v>
      </c>
      <c r="P144" s="187" t="s">
        <v>1015</v>
      </c>
      <c r="Q144" s="493"/>
      <c r="R144" s="211" t="s">
        <v>1016</v>
      </c>
      <c r="S144" s="256" t="s">
        <v>659</v>
      </c>
      <c r="T144" s="318">
        <v>46125.0</v>
      </c>
      <c r="U144" s="216" t="str">
        <f>IF(V144="","No AIS",VLOOKUP(V144,'Voyage days'!$A$3:$B$1480,2,FALSE))</f>
        <v>Panama</v>
      </c>
      <c r="V144" s="217" t="str">
        <f>IF(VLOOKUP(A144,'1) Kpler'!$E$2:$P$1000,8, FALSE)="","",VLOOKUP(A144,'1) Kpler'!$E$2:$P$1000,8, FALSE))</f>
        <v>Panama</v>
      </c>
      <c r="W144" s="218">
        <f>IF(VLOOKUP(A144,'1) Kpler'!$E$2:$P$1000,9,FALSE)="","",VLOOKUP(A144,'1) Kpler'!$E$2:$P$1000,9,FALSE))</f>
        <v>46131.875</v>
      </c>
      <c r="X144" s="217" t="str">
        <f>VLOOKUP(A144,'1) Kpler'!$E$2:$I$1000,4,FALSE)</f>
        <v>ballast</v>
      </c>
      <c r="Y144" s="494" t="str">
        <f t="shared" si="1"/>
        <v/>
      </c>
      <c r="Z144" s="494" t="str">
        <f t="shared" si="2"/>
        <v>18-19 Apr</v>
      </c>
      <c r="AA144" s="494" t="str">
        <f t="shared" si="3"/>
        <v>18-19 Apr</v>
      </c>
      <c r="AB144" s="494" t="str">
        <f t="shared" si="4"/>
        <v/>
      </c>
      <c r="AC144" s="494" t="str">
        <f t="shared" si="5"/>
        <v>08-09 May</v>
      </c>
      <c r="AD144" s="494" t="str">
        <f t="shared" si="6"/>
        <v/>
      </c>
      <c r="AE144" s="495" t="str">
        <f t="shared" si="7"/>
        <v/>
      </c>
      <c r="AF144" s="119" t="str">
        <f t="shared" si="8"/>
        <v/>
      </c>
      <c r="AG144" s="414" t="str">
        <f t="shared" si="9"/>
        <v/>
      </c>
      <c r="AH144" s="445" t="str">
        <f>IFERROR($M144+VLOOKUP($L144,'Voyage days'!$F$38:$H$89,3,FALSE),"")</f>
        <v/>
      </c>
      <c r="AI144" s="445" t="str">
        <f>IFERROR(N144+VLOOKUP($L144,'Voyage days'!$F$38:$H$89,3,FALSE),"")</f>
        <v/>
      </c>
      <c r="AJ144" s="414" t="str">
        <f t="shared" si="10"/>
        <v>18-19 Apr</v>
      </c>
      <c r="AK144" s="445">
        <f>IFERROR($M144+VLOOKUP($L144,'Voyage days'!$F$94:$H$193,3,FALSE),"")</f>
        <v>46130</v>
      </c>
      <c r="AL144" s="445">
        <f>IFERROR($N144+VLOOKUP($L144,'Voyage days'!$F$94:$H$193,3,FALSE),"")</f>
        <v>46131</v>
      </c>
      <c r="AM144" s="414" t="str">
        <f t="shared" si="11"/>
        <v>18-19 Apr</v>
      </c>
      <c r="AN144" s="445">
        <f>IFERROR($M144+VLOOKUP($L144,'Voyage days'!$F$203:$H$256,3,FALSE),"")</f>
        <v>46130</v>
      </c>
      <c r="AO144" s="445">
        <f>IFERROR($N144+VLOOKUP($L144,'Voyage days'!$F$203:$H$256,3,FALSE),"")</f>
        <v>46131</v>
      </c>
      <c r="AP144" s="414" t="str">
        <f t="shared" si="12"/>
        <v/>
      </c>
      <c r="AQ144" s="445" t="str">
        <f>IFERROR($M144+VLOOKUP($L144,'Voyage days'!$F$294:$H$377,3,FALSE),"")</f>
        <v/>
      </c>
      <c r="AR144" s="445" t="str">
        <f>IFERROR($N144+VLOOKUP($L144,'Voyage days'!$F$294:$H$377,3,FALSE),"")</f>
        <v/>
      </c>
      <c r="AS144" s="414" t="str">
        <f t="shared" si="13"/>
        <v>08-09 May</v>
      </c>
      <c r="AT144" s="445">
        <f>IFERROR($M144+VLOOKUP($L144,'Voyage days'!$F$382:$H$446,3,FALSE),"")</f>
        <v>46150</v>
      </c>
      <c r="AU144" s="445">
        <f>IFERROR($N144+VLOOKUP($L144,'Voyage days'!$F$382:$H$446,3,FALSE),"")</f>
        <v>46151</v>
      </c>
      <c r="AV144" s="414" t="str">
        <f t="shared" si="14"/>
        <v/>
      </c>
      <c r="AW144" s="445" t="str">
        <f>IFERROR($M144+VLOOKUP($L144,'Voyage days'!$F$483:$H$538,3,FALSE),"")</f>
        <v/>
      </c>
      <c r="AX144" s="445" t="str">
        <f>IFERROR($N144+VLOOKUP($L144,'Voyage days'!$F$483:$H$538,3,FALSE),"")</f>
        <v/>
      </c>
      <c r="AY144" s="414" t="str">
        <f t="shared" si="15"/>
        <v/>
      </c>
      <c r="AZ144" s="445" t="str">
        <f>IFERROR($M144+VLOOKUP($L144,'Voyage days'!$F$540:$H$613,3,FALSE),"")</f>
        <v/>
      </c>
      <c r="BA144" s="445" t="str">
        <f>IFERROR($N144+VLOOKUP($L144,'Voyage days'!$F$540:$H$613,3,FALSE),"")</f>
        <v/>
      </c>
      <c r="BB144" s="414" t="str">
        <f t="shared" si="16"/>
        <v/>
      </c>
      <c r="BC144" s="445" t="str">
        <f>IFERROR($M144+VLOOKUP($L144,'Voyage days'!$F$448:$H$479,3,FALSE),"")</f>
        <v/>
      </c>
      <c r="BD144" s="445" t="str">
        <f>IFERROR($N144+VLOOKUP($L144,'Voyage days'!$F$448:$H$479,3,FALSE),"")</f>
        <v/>
      </c>
      <c r="BE144" s="414" t="str">
        <f t="shared" si="17"/>
        <v/>
      </c>
      <c r="BF144" s="447" t="str">
        <f>IFERROR($M144+VLOOKUP($L144,'Voyage days'!$F$620:$H$646,3,FALSE),"")</f>
        <v/>
      </c>
      <c r="BG144" s="447" t="str">
        <f>IFERROR($N144+VLOOKUP($L144,'Voyage days'!$F$620:$H$646,3,FALSE),"")</f>
        <v/>
      </c>
      <c r="BH144" s="414" t="str">
        <f t="shared" si="18"/>
        <v/>
      </c>
      <c r="BI144" s="496" t="str">
        <f>IFERROR($M144+VLOOKUP($L144,'Voyage days'!$F$702:$H$727,3,FALSE),"")</f>
        <v/>
      </c>
      <c r="BJ144" s="414" t="str">
        <f t="shared" si="19"/>
        <v/>
      </c>
      <c r="BK144" s="447" t="str">
        <f>IFERROR($M144+VLOOKUP($L144,'Voyage days'!$F$807:$H$878,3,FALSE),"")</f>
        <v/>
      </c>
      <c r="BL144" s="447" t="str">
        <f>IFERROR($N144+VLOOKUP($L144,'Voyage days'!$F$807:$H$878,3,FALSE),"")</f>
        <v/>
      </c>
      <c r="BM144" s="447" t="str">
        <f>IFERROR($N144+VLOOKUP($L144,'Voyage days'!$F$807:$K$878,6,FALSE),"")</f>
        <v/>
      </c>
      <c r="BN144" s="445" t="str">
        <f>if(L144="loads AG", IFERROR($M144+VLOOKUP($L144,'Voyage days'!$M$38:$O$38,3,FALSE),""),"")</f>
        <v/>
      </c>
      <c r="BO144" s="445">
        <f>if(L144="loads USG", IFERROR($M144+VLOOKUP($L144,'Voyage days'!$L$203:$N$203,3,FALSE),""),"")</f>
        <v>46162</v>
      </c>
    </row>
    <row r="145" ht="15.75" customHeight="1">
      <c r="A145" s="448" t="s">
        <v>313</v>
      </c>
      <c r="B145" s="202">
        <v>2016.0</v>
      </c>
      <c r="C145" s="102">
        <v>83000.0</v>
      </c>
      <c r="D145" s="380"/>
      <c r="E145" s="380" t="s">
        <v>706</v>
      </c>
      <c r="F145" s="383"/>
      <c r="G145" s="383"/>
      <c r="H145" s="383"/>
      <c r="I145" s="497" t="s">
        <v>1008</v>
      </c>
      <c r="J145" s="398" t="str">
        <f t="shared" si="25"/>
        <v/>
      </c>
      <c r="K145" s="386"/>
      <c r="L145" s="387" t="s">
        <v>668</v>
      </c>
      <c r="M145" s="498">
        <v>46138.0</v>
      </c>
      <c r="N145" s="498">
        <v>46140.0</v>
      </c>
      <c r="O145" s="499"/>
      <c r="P145" s="387" t="s">
        <v>1017</v>
      </c>
      <c r="Q145" s="500"/>
      <c r="R145" s="387" t="s">
        <v>1018</v>
      </c>
      <c r="S145" s="256" t="s">
        <v>659</v>
      </c>
      <c r="T145" s="318">
        <v>46125.0</v>
      </c>
      <c r="U145" s="216" t="str">
        <f>IF(V145="","No AIS",VLOOKUP(V145,'Voyage days'!$A$3:$B$1480,2,FALSE))</f>
        <v>Japan + 6</v>
      </c>
      <c r="V145" s="216" t="str">
        <f>IF(VLOOKUP(A145,'1) Kpler'!$E$2:$P$1000,8, FALSE)="","",VLOOKUP(A145,'1) Kpler'!$E$2:$P$1000,8, FALSE))</f>
        <v>Aomori</v>
      </c>
      <c r="W145" s="501">
        <f>IF(VLOOKUP(A145,'1) Kpler'!$E$2:$P$1000,9,FALSE)="","",VLOOKUP(A145,'1) Kpler'!$E$2:$P$1000,9,FALSE))</f>
        <v>46135.33333</v>
      </c>
      <c r="X145" s="216" t="str">
        <f>VLOOKUP(A145,'1) Kpler'!$E$2:$I$1000,4,FALSE)</f>
        <v>loaded</v>
      </c>
      <c r="Y145" s="441" t="str">
        <f t="shared" si="1"/>
        <v>14-16 May</v>
      </c>
      <c r="Z145" s="441" t="str">
        <f t="shared" si="2"/>
        <v>28-30 May</v>
      </c>
      <c r="AA145" s="441" t="str">
        <f t="shared" si="3"/>
        <v>07-09 Jun</v>
      </c>
      <c r="AB145" s="441" t="str">
        <f t="shared" si="4"/>
        <v>26-28 May</v>
      </c>
      <c r="AC145" s="441" t="str">
        <f t="shared" si="5"/>
        <v>01-03 Jun</v>
      </c>
      <c r="AD145" s="441" t="str">
        <f t="shared" si="6"/>
        <v>04-06 May</v>
      </c>
      <c r="AE145" s="442" t="str">
        <f t="shared" si="7"/>
        <v>04-06 May</v>
      </c>
      <c r="AF145" s="162" t="str">
        <f t="shared" si="8"/>
        <v>11-13 Jun</v>
      </c>
      <c r="AG145" s="441" t="str">
        <f t="shared" si="9"/>
        <v>14-16 May</v>
      </c>
      <c r="AH145" s="447">
        <f>IFERROR($M145+VLOOKUP($L145,'Voyage days'!$F$38:$H$89,3,FALSE),"")</f>
        <v>46156</v>
      </c>
      <c r="AI145" s="447">
        <f>IFERROR(N145+VLOOKUP($L145,'Voyage days'!$F$38:$H$89,3,FALSE),"")</f>
        <v>46158</v>
      </c>
      <c r="AJ145" s="441" t="str">
        <f t="shared" si="10"/>
        <v>28-30 May</v>
      </c>
      <c r="AK145" s="447">
        <f>IFERROR($M145+VLOOKUP($L145,'Voyage days'!$F$94:$H$193,3,FALSE),"")</f>
        <v>46170</v>
      </c>
      <c r="AL145" s="447">
        <f>IFERROR($N145+VLOOKUP($L145,'Voyage days'!$F$94:$H$193,3,FALSE),"")</f>
        <v>46172</v>
      </c>
      <c r="AM145" s="441" t="str">
        <f t="shared" si="11"/>
        <v>07-09 Jun</v>
      </c>
      <c r="AN145" s="447">
        <f>IFERROR($M145+VLOOKUP($L145,'Voyage days'!$F$203:$H$256,3,FALSE),"")</f>
        <v>46180</v>
      </c>
      <c r="AO145" s="447">
        <f>IFERROR($N145+VLOOKUP($L145,'Voyage days'!$F$203:$H$256,3,FALSE),"")</f>
        <v>46182</v>
      </c>
      <c r="AP145" s="441" t="str">
        <f t="shared" si="12"/>
        <v>26-28 May</v>
      </c>
      <c r="AQ145" s="447">
        <f>IFERROR($M145+VLOOKUP($L145,'Voyage days'!$F$294:$H$377,3,FALSE),"")</f>
        <v>46168</v>
      </c>
      <c r="AR145" s="447">
        <f>IFERROR($N145+VLOOKUP($L145,'Voyage days'!$F$294:$H$377,3,FALSE),"")</f>
        <v>46170</v>
      </c>
      <c r="AS145" s="441" t="str">
        <f t="shared" si="13"/>
        <v>01-03 Jun</v>
      </c>
      <c r="AT145" s="447">
        <f>IFERROR($M145+VLOOKUP($L145,'Voyage days'!$F$382:$H$446,3,FALSE),"")</f>
        <v>46174</v>
      </c>
      <c r="AU145" s="447">
        <f>IFERROR($N145+VLOOKUP($L145,'Voyage days'!$F$382:$H$446,3,FALSE),"")</f>
        <v>46176</v>
      </c>
      <c r="AV145" s="441" t="str">
        <f t="shared" si="14"/>
        <v>09-11 May</v>
      </c>
      <c r="AW145" s="447">
        <f>IFERROR($M145+VLOOKUP($L145,'Voyage days'!$F$483:$H$538,3,FALSE),"")</f>
        <v>46151</v>
      </c>
      <c r="AX145" s="447">
        <f>IFERROR($N145+VLOOKUP($L145,'Voyage days'!$F$483:$H$538,3,FALSE),"")</f>
        <v>46153</v>
      </c>
      <c r="AY145" s="441" t="str">
        <f t="shared" si="15"/>
        <v>04-06 May</v>
      </c>
      <c r="AZ145" s="447">
        <f>IFERROR($M145+VLOOKUP($L145,'Voyage days'!$F$540:$H$613,3,FALSE),"")</f>
        <v>46146.25</v>
      </c>
      <c r="BA145" s="447">
        <f>IFERROR($N145+VLOOKUP($L145,'Voyage days'!$F$540:$H$613,3,FALSE),"")</f>
        <v>46148.25</v>
      </c>
      <c r="BB145" s="441" t="str">
        <f t="shared" si="16"/>
        <v>04-06 May</v>
      </c>
      <c r="BC145" s="447">
        <f>IFERROR($M145+VLOOKUP($L145,'Voyage days'!$F$448:$H$479,3,FALSE),"")</f>
        <v>46146</v>
      </c>
      <c r="BD145" s="447">
        <f>IFERROR($N145+VLOOKUP($L145,'Voyage days'!$F$448:$H$479,3,FALSE),"")</f>
        <v>46148</v>
      </c>
      <c r="BE145" s="441" t="str">
        <f t="shared" si="17"/>
        <v>07-09 May</v>
      </c>
      <c r="BF145" s="447">
        <f>IFERROR($M145+VLOOKUP($L145,'Voyage days'!$F$620:$H$646,3,FALSE),"")</f>
        <v>46149</v>
      </c>
      <c r="BG145" s="447">
        <f>IFERROR($N145+VLOOKUP($L145,'Voyage days'!$F$620:$H$646,3,FALSE),"")</f>
        <v>46151</v>
      </c>
      <c r="BH145" s="441" t="str">
        <f t="shared" si="18"/>
        <v>04-13 Jun</v>
      </c>
      <c r="BI145" s="496">
        <f>IFERROR($M145+VLOOKUP($L145,'Voyage days'!$F$702:$H$727,3,FALSE),"")</f>
        <v>46146.25</v>
      </c>
      <c r="BJ145" s="441" t="str">
        <f t="shared" si="19"/>
        <v>11-13 Jun</v>
      </c>
      <c r="BK145" s="447">
        <f>IFERROR($M145+VLOOKUP($L145,'Voyage days'!$F$807:$H$878,3,FALSE),"")</f>
        <v>46184</v>
      </c>
      <c r="BL145" s="447">
        <f>IFERROR($N145+VLOOKUP($L145,'Voyage days'!$F$807:$H$878,3,FALSE),"")</f>
        <v>46186</v>
      </c>
      <c r="BM145" s="447">
        <f>IFERROR($N145+VLOOKUP($L145,'Voyage days'!$F$807:$K$878,6,FALSE),"")</f>
        <v>46160</v>
      </c>
      <c r="BN145" s="447" t="str">
        <f>if(L145="loads AG", IFERROR($M145+VLOOKUP($L145,'Voyage days'!$M$38:$O$38,3,FALSE),""),"")</f>
        <v/>
      </c>
      <c r="BO145" s="447" t="str">
        <f>if(L145="loads USG", IFERROR($M145+VLOOKUP($L145,'Voyage days'!$L$203:$N$203,3,FALSE),""),"")</f>
        <v/>
      </c>
    </row>
    <row r="146" ht="15.75" customHeight="1">
      <c r="A146" s="274" t="s">
        <v>334</v>
      </c>
      <c r="B146" s="148">
        <v>2013.0</v>
      </c>
      <c r="C146" s="502">
        <v>82000.0</v>
      </c>
      <c r="D146" s="503"/>
      <c r="E146" s="256"/>
      <c r="F146" s="504"/>
      <c r="G146" s="504"/>
      <c r="H146" s="504"/>
      <c r="I146" s="153" t="s">
        <v>1008</v>
      </c>
      <c r="J146" s="151" t="str">
        <f t="shared" si="25"/>
        <v/>
      </c>
      <c r="K146" s="152"/>
      <c r="L146" s="153" t="s">
        <v>668</v>
      </c>
      <c r="M146" s="276">
        <v>46147.0</v>
      </c>
      <c r="N146" s="276">
        <v>46148.0</v>
      </c>
      <c r="O146" s="186"/>
      <c r="P146" s="505" t="s">
        <v>1019</v>
      </c>
      <c r="Q146" s="317"/>
      <c r="R146" s="505" t="s">
        <v>1020</v>
      </c>
      <c r="S146" s="256" t="s">
        <v>659</v>
      </c>
      <c r="T146" s="318">
        <v>46125.0</v>
      </c>
      <c r="U146" s="114" t="str">
        <f>IF(V146="","No AIS",VLOOKUP(V146,'Voyage days'!$A$3:$B$1480,2,FALSE))</f>
        <v>Korea + 4</v>
      </c>
      <c r="V146" s="114" t="str">
        <f>IF(VLOOKUP(A146,'1) Kpler'!$E$2:$P$1000,8, FALSE)="","",VLOOKUP(A146,'1) Kpler'!$E$2:$P$1000,8, FALSE))</f>
        <v>Total Daesan Hanwha Refinery</v>
      </c>
      <c r="W146" s="159">
        <f>IF(VLOOKUP(A146,'1) Kpler'!$E$2:$P$1000,9,FALSE)="","",VLOOKUP(A146,'1) Kpler'!$E$2:$P$1000,9,FALSE))</f>
        <v>46145.375</v>
      </c>
      <c r="X146" s="114" t="str">
        <f>VLOOKUP(A146,'1) Kpler'!$E$2:$I$1000,4,FALSE)</f>
        <v>loaded</v>
      </c>
      <c r="Y146" s="296" t="str">
        <f t="shared" si="1"/>
        <v>23-24 May</v>
      </c>
      <c r="Z146" s="296" t="str">
        <f t="shared" si="2"/>
        <v>06-07 Jun</v>
      </c>
      <c r="AA146" s="296" t="str">
        <f t="shared" si="3"/>
        <v>16-17 Jun</v>
      </c>
      <c r="AB146" s="296" t="str">
        <f t="shared" si="4"/>
        <v>04-05 Jun</v>
      </c>
      <c r="AC146" s="296" t="str">
        <f t="shared" si="5"/>
        <v>10-11 Jun</v>
      </c>
      <c r="AD146" s="296" t="str">
        <f t="shared" si="6"/>
        <v>13-14 May</v>
      </c>
      <c r="AE146" s="297" t="str">
        <f t="shared" si="7"/>
        <v>13-14 May</v>
      </c>
      <c r="AF146" s="119" t="str">
        <f t="shared" si="8"/>
        <v>20-21 Jun</v>
      </c>
      <c r="AG146" s="163" t="str">
        <f t="shared" si="9"/>
        <v>23-24 May</v>
      </c>
      <c r="AH146" s="122">
        <f>IFERROR($M146+VLOOKUP($L146,'Voyage days'!$F$38:$H$89,3,FALSE),"")</f>
        <v>46165</v>
      </c>
      <c r="AI146" s="122">
        <f>IFERROR(N146+VLOOKUP($L146,'Voyage days'!$F$38:$H$89,3,FALSE),"")</f>
        <v>46166</v>
      </c>
      <c r="AJ146" s="163" t="str">
        <f t="shared" si="10"/>
        <v>06-07 Jun</v>
      </c>
      <c r="AK146" s="122">
        <f>IFERROR($M146+VLOOKUP($L146,'Voyage days'!$F$94:$H$193,3,FALSE),"")</f>
        <v>46179</v>
      </c>
      <c r="AL146" s="122">
        <f>IFERROR($N146+VLOOKUP($L146,'Voyage days'!$F$94:$H$193,3,FALSE),"")</f>
        <v>46180</v>
      </c>
      <c r="AM146" s="163" t="str">
        <f t="shared" si="11"/>
        <v>16-17 Jun</v>
      </c>
      <c r="AN146" s="122">
        <f>IFERROR($M146+VLOOKUP($L146,'Voyage days'!$F$203:$H$256,3,FALSE),"")</f>
        <v>46189</v>
      </c>
      <c r="AO146" s="122">
        <f>IFERROR($N146+VLOOKUP($L146,'Voyage days'!$F$203:$H$256,3,FALSE),"")</f>
        <v>46190</v>
      </c>
      <c r="AP146" s="163" t="str">
        <f t="shared" si="12"/>
        <v>04-05 Jun</v>
      </c>
      <c r="AQ146" s="122">
        <f>IFERROR($M146+VLOOKUP($L146,'Voyage days'!$F$294:$H$377,3,FALSE),"")</f>
        <v>46177</v>
      </c>
      <c r="AR146" s="122">
        <f>IFERROR($N146+VLOOKUP($L146,'Voyage days'!$F$294:$H$377,3,FALSE),"")</f>
        <v>46178</v>
      </c>
      <c r="AS146" s="163" t="str">
        <f t="shared" si="13"/>
        <v>10-11 Jun</v>
      </c>
      <c r="AT146" s="122">
        <f>IFERROR($M146+VLOOKUP($L146,'Voyage days'!$F$382:$H$446,3,FALSE),"")</f>
        <v>46183</v>
      </c>
      <c r="AU146" s="122">
        <f>IFERROR($N146+VLOOKUP($L146,'Voyage days'!$F$382:$H$446,3,FALSE),"")</f>
        <v>46184</v>
      </c>
      <c r="AV146" s="163" t="str">
        <f t="shared" si="14"/>
        <v>18-19 May</v>
      </c>
      <c r="AW146" s="122">
        <f>IFERROR($M146+VLOOKUP($L146,'Voyage days'!$F$483:$H$538,3,FALSE),"")</f>
        <v>46160</v>
      </c>
      <c r="AX146" s="122">
        <f>IFERROR($N146+VLOOKUP($L146,'Voyage days'!$F$483:$H$538,3,FALSE),"")</f>
        <v>46161</v>
      </c>
      <c r="AY146" s="163" t="str">
        <f t="shared" si="15"/>
        <v>13-14 May</v>
      </c>
      <c r="AZ146" s="122">
        <f>IFERROR($M146+VLOOKUP($L146,'Voyage days'!$F$540:$H$613,3,FALSE),"")</f>
        <v>46155.25</v>
      </c>
      <c r="BA146" s="122">
        <f>IFERROR($N146+VLOOKUP($L146,'Voyage days'!$F$540:$H$613,3,FALSE),"")</f>
        <v>46156.25</v>
      </c>
      <c r="BB146" s="163" t="str">
        <f t="shared" si="16"/>
        <v>13-14 May</v>
      </c>
      <c r="BC146" s="122">
        <f>IFERROR($M146+VLOOKUP($L146,'Voyage days'!$F$448:$H$479,3,FALSE),"")</f>
        <v>46155</v>
      </c>
      <c r="BD146" s="122">
        <f>IFERROR($N146+VLOOKUP($L146,'Voyage days'!$F$448:$H$479,3,FALSE),"")</f>
        <v>46156</v>
      </c>
      <c r="BE146" s="163" t="str">
        <f t="shared" si="17"/>
        <v>16-17 May</v>
      </c>
      <c r="BF146" s="122">
        <f>IFERROR($M146+VLOOKUP($L146,'Voyage days'!$F$620:$H$646,3,FALSE),"")</f>
        <v>46158</v>
      </c>
      <c r="BG146" s="122">
        <f>IFERROR($N146+VLOOKUP($L146,'Voyage days'!$F$620:$H$646,3,FALSE),"")</f>
        <v>46159</v>
      </c>
      <c r="BH146" s="163" t="str">
        <f t="shared" si="18"/>
        <v>13-21 Jun</v>
      </c>
      <c r="BI146" s="123">
        <f>IFERROR($M146+VLOOKUP($L146,'Voyage days'!$F$702:$H$727,3,FALSE),"")</f>
        <v>46155.25</v>
      </c>
      <c r="BJ146" s="163" t="str">
        <f t="shared" si="19"/>
        <v>20-21 Jun</v>
      </c>
      <c r="BK146" s="122">
        <f>IFERROR($M146+VLOOKUP($L146,'Voyage days'!$F$807:$H$878,3,FALSE),"")</f>
        <v>46193</v>
      </c>
      <c r="BL146" s="122">
        <f>IFERROR($N146+VLOOKUP($L146,'Voyage days'!$F$807:$H$878,3,FALSE),"")</f>
        <v>46194</v>
      </c>
      <c r="BM146" s="122">
        <f>IFERROR($N146+VLOOKUP($L146,'Voyage days'!$F$807:$K$878,6,FALSE),"")</f>
        <v>46168</v>
      </c>
      <c r="BN146" s="122" t="str">
        <f>if(L146="loads AG", IFERROR($M146+VLOOKUP($L146,'Voyage days'!$M$38:$O$38,3,FALSE),""),"")</f>
        <v/>
      </c>
      <c r="BO146" s="122" t="str">
        <f>if(L146="loads USG", IFERROR($M146+VLOOKUP($L146,'Voyage days'!$L$203:$N$203,3,FALSE),""),"")</f>
        <v/>
      </c>
    </row>
    <row r="147" ht="15.75" customHeight="1">
      <c r="A147" s="147" t="s">
        <v>341</v>
      </c>
      <c r="B147" s="506">
        <v>2020.0</v>
      </c>
      <c r="C147" s="102">
        <v>84000.0</v>
      </c>
      <c r="D147" s="103"/>
      <c r="E147" s="103"/>
      <c r="F147" s="104"/>
      <c r="G147" s="104"/>
      <c r="H147" s="104" t="s">
        <v>689</v>
      </c>
      <c r="I147" s="295" t="s">
        <v>1008</v>
      </c>
      <c r="J147" s="106" t="str">
        <f t="shared" si="25"/>
        <v>Update</v>
      </c>
      <c r="K147" s="205" t="s">
        <v>765</v>
      </c>
      <c r="L147" s="108" t="s">
        <v>671</v>
      </c>
      <c r="M147" s="391">
        <v>46122.0</v>
      </c>
      <c r="N147" s="109">
        <v>46123.0</v>
      </c>
      <c r="O147" s="255"/>
      <c r="P147" s="187" t="s">
        <v>1021</v>
      </c>
      <c r="Q147" s="108"/>
      <c r="R147" s="108" t="s">
        <v>1022</v>
      </c>
      <c r="S147" s="256" t="s">
        <v>659</v>
      </c>
      <c r="T147" s="318">
        <v>46125.0</v>
      </c>
      <c r="U147" s="114" t="str">
        <f>IF(V147="","No AIS",VLOOKUP(V147,'Voyage days'!$A$3:$B$1480,2,FALSE))</f>
        <v>Cayman</v>
      </c>
      <c r="V147" s="115" t="str">
        <f>IF(VLOOKUP(A147,'1) Kpler'!$E$2:$P$1000,8, FALSE)="","",VLOOKUP(A147,'1) Kpler'!$E$2:$P$1000,8, FALSE))</f>
        <v>Bonaire Sint Eustatius</v>
      </c>
      <c r="W147" s="116">
        <f>IF(VLOOKUP(A147,'1) Kpler'!$E$2:$P$1000,9,FALSE)="","",VLOOKUP(A147,'1) Kpler'!$E$2:$P$1000,9,FALSE))</f>
        <v>46137.8125</v>
      </c>
      <c r="X147" s="115" t="str">
        <f>VLOOKUP(A147,'1) Kpler'!$E$2:$I$1000,4,FALSE)</f>
        <v>ballast</v>
      </c>
      <c r="Y147" s="160" t="str">
        <f t="shared" si="1"/>
        <v/>
      </c>
      <c r="Z147" s="160" t="str">
        <f t="shared" si="2"/>
        <v/>
      </c>
      <c r="AA147" s="160" t="str">
        <f t="shared" si="3"/>
        <v>01-02 May</v>
      </c>
      <c r="AB147" s="160" t="str">
        <f t="shared" si="4"/>
        <v>20-21 Apr</v>
      </c>
      <c r="AC147" s="160" t="str">
        <f t="shared" si="5"/>
        <v>26-27 Apr</v>
      </c>
      <c r="AD147" s="160" t="str">
        <f t="shared" si="6"/>
        <v>26-27 Apr</v>
      </c>
      <c r="AE147" s="161" t="str">
        <f t="shared" si="7"/>
        <v/>
      </c>
      <c r="AF147" s="162" t="str">
        <f t="shared" si="8"/>
        <v>03-04 May</v>
      </c>
      <c r="AG147" s="120" t="str">
        <f t="shared" si="9"/>
        <v/>
      </c>
      <c r="AH147" s="121" t="str">
        <f>IFERROR($M147+VLOOKUP($L147,'Voyage days'!$F$38:$H$89,3,FALSE),"")</f>
        <v/>
      </c>
      <c r="AI147" s="121" t="str">
        <f>IFERROR(N147+VLOOKUP($L147,'Voyage days'!$F$38:$H$89,3,FALSE),"")</f>
        <v/>
      </c>
      <c r="AJ147" s="120" t="str">
        <f t="shared" si="10"/>
        <v/>
      </c>
      <c r="AK147" s="121" t="str">
        <f>IFERROR($M147+VLOOKUP($L147,'Voyage days'!$F$94:$H$193,3,FALSE),"")</f>
        <v/>
      </c>
      <c r="AL147" s="121" t="str">
        <f>IFERROR($N147+VLOOKUP($L147,'Voyage days'!$F$94:$H$193,3,FALSE),"")</f>
        <v/>
      </c>
      <c r="AM147" s="120" t="str">
        <f t="shared" si="11"/>
        <v>01-02 May</v>
      </c>
      <c r="AN147" s="121">
        <f>IFERROR($M147+VLOOKUP($L147,'Voyage days'!$F$203:$H$256,3,FALSE),"")</f>
        <v>46143</v>
      </c>
      <c r="AO147" s="121">
        <f>IFERROR($N147+VLOOKUP($L147,'Voyage days'!$F$203:$H$256,3,FALSE),"")</f>
        <v>46144</v>
      </c>
      <c r="AP147" s="120" t="str">
        <f t="shared" si="12"/>
        <v>20-21 Apr</v>
      </c>
      <c r="AQ147" s="121">
        <f>IFERROR($M147+VLOOKUP($L147,'Voyage days'!$F$294:$H$377,3,FALSE),"")</f>
        <v>46132</v>
      </c>
      <c r="AR147" s="121">
        <f>IFERROR($N147+VLOOKUP($L147,'Voyage days'!$F$294:$H$377,3,FALSE),"")</f>
        <v>46133</v>
      </c>
      <c r="AS147" s="120" t="str">
        <f t="shared" si="13"/>
        <v>26-27 Apr</v>
      </c>
      <c r="AT147" s="121">
        <f>IFERROR($M147+VLOOKUP($L147,'Voyage days'!$F$382:$H$446,3,FALSE),"")</f>
        <v>46138</v>
      </c>
      <c r="AU147" s="121">
        <f>IFERROR($N147+VLOOKUP($L147,'Voyage days'!$F$382:$H$446,3,FALSE),"")</f>
        <v>46139</v>
      </c>
      <c r="AV147" s="120" t="str">
        <f t="shared" si="14"/>
        <v/>
      </c>
      <c r="AW147" s="121" t="str">
        <f>IFERROR($M147+VLOOKUP($L147,'Voyage days'!$F$483:$H$538,3,FALSE),"")</f>
        <v/>
      </c>
      <c r="AX147" s="121" t="str">
        <f>IFERROR($N147+VLOOKUP($L147,'Voyage days'!$F$483:$H$538,3,FALSE),"")</f>
        <v/>
      </c>
      <c r="AY147" s="120" t="str">
        <f t="shared" si="15"/>
        <v/>
      </c>
      <c r="AZ147" s="121" t="str">
        <f>IFERROR($M147+VLOOKUP($L147,'Voyage days'!$F$540:$H$613,3,FALSE),"")</f>
        <v/>
      </c>
      <c r="BA147" s="121" t="str">
        <f>IFERROR($N147+VLOOKUP($L147,'Voyage days'!$F$540:$H$613,3,FALSE),"")</f>
        <v/>
      </c>
      <c r="BB147" s="120" t="str">
        <f t="shared" si="16"/>
        <v>26-27 Apr</v>
      </c>
      <c r="BC147" s="121">
        <f>IFERROR($M147+VLOOKUP($L147,'Voyage days'!$F$448:$H$479,3,FALSE),"")</f>
        <v>46138</v>
      </c>
      <c r="BD147" s="121">
        <f>IFERROR($N147+VLOOKUP($L147,'Voyage days'!$F$448:$H$479,3,FALSE),"")</f>
        <v>46139</v>
      </c>
      <c r="BE147" s="120" t="str">
        <f t="shared" si="17"/>
        <v/>
      </c>
      <c r="BF147" s="122" t="str">
        <f>IFERROR($M147+VLOOKUP($L147,'Voyage days'!$F$620:$H$646,3,FALSE),"")</f>
        <v/>
      </c>
      <c r="BG147" s="122" t="str">
        <f>IFERROR($N147+VLOOKUP($L147,'Voyage days'!$F$620:$H$646,3,FALSE),"")</f>
        <v/>
      </c>
      <c r="BH147" s="120" t="str">
        <f t="shared" si="18"/>
        <v/>
      </c>
      <c r="BI147" s="123" t="str">
        <f>IFERROR($M147+VLOOKUP($L147,'Voyage days'!$F$702:$H$727,3,FALSE),"")</f>
        <v/>
      </c>
      <c r="BJ147" s="120" t="str">
        <f t="shared" si="19"/>
        <v>03-04 May</v>
      </c>
      <c r="BK147" s="122">
        <f>IFERROR($M147+VLOOKUP($L147,'Voyage days'!$F$807:$H$878,3,FALSE),"")</f>
        <v>46145</v>
      </c>
      <c r="BL147" s="122">
        <f>IFERROR($N147+VLOOKUP($L147,'Voyage days'!$F$807:$H$878,3,FALSE),"")</f>
        <v>46146</v>
      </c>
      <c r="BM147" s="122">
        <f>IFERROR($N147+VLOOKUP($L147,'Voyage days'!$F$807:$K$878,6,FALSE),"")</f>
        <v>46123</v>
      </c>
      <c r="BN147" s="121" t="str">
        <f>if(L147="loads AG", IFERROR($M147+VLOOKUP($L147,'Voyage days'!$M$38:$O$38,3,FALSE),""),"")</f>
        <v/>
      </c>
      <c r="BO147" s="121" t="str">
        <f>if(L147="loads USG", IFERROR($M147+VLOOKUP($L147,'Voyage days'!$L$203:$N$203,3,FALSE),""),"")</f>
        <v/>
      </c>
    </row>
    <row r="148" ht="15.0" customHeight="1">
      <c r="A148" s="100" t="s">
        <v>550</v>
      </c>
      <c r="B148" s="101">
        <v>39722.0</v>
      </c>
      <c r="C148" s="102">
        <v>80186.0</v>
      </c>
      <c r="D148" s="103"/>
      <c r="E148" s="103"/>
      <c r="F148" s="104"/>
      <c r="G148" s="104"/>
      <c r="H148" s="104"/>
      <c r="I148" s="401" t="s">
        <v>1008</v>
      </c>
      <c r="J148" s="106" t="str">
        <f t="shared" si="25"/>
        <v>Update</v>
      </c>
      <c r="K148" s="107"/>
      <c r="L148" s="108" t="s">
        <v>680</v>
      </c>
      <c r="M148" s="109">
        <v>46128.0</v>
      </c>
      <c r="N148" s="109">
        <v>46129.0</v>
      </c>
      <c r="O148" s="191"/>
      <c r="P148" s="108" t="s">
        <v>1023</v>
      </c>
      <c r="Q148" s="108"/>
      <c r="R148" s="153" t="s">
        <v>1024</v>
      </c>
      <c r="S148" s="256" t="s">
        <v>659</v>
      </c>
      <c r="T148" s="318">
        <v>46125.0</v>
      </c>
      <c r="U148" s="114" t="str">
        <f>IF(V148="","No AIS",VLOOKUP(V148,'Voyage days'!$A$3:$B$1480,2,FALSE))</f>
        <v>USG</v>
      </c>
      <c r="V148" s="115" t="str">
        <f>IF(VLOOKUP(A148,'1) Kpler'!$E$2:$P$1000,8, FALSE)="","",VLOOKUP(A148,'1) Kpler'!$E$2:$P$1000,8, FALSE))</f>
        <v>USGC (US Gulf Coast)</v>
      </c>
      <c r="W148" s="116">
        <f>IF(VLOOKUP(A148,'1) Kpler'!$E$2:$P$1000,9,FALSE)="","",VLOOKUP(A148,'1) Kpler'!$E$2:$P$1000,9,FALSE))</f>
        <v>46132</v>
      </c>
      <c r="X148" s="115" t="str">
        <f>VLOOKUP(A148,'1) Kpler'!$E$2:$I$1000,4,FALSE)</f>
        <v>loaded</v>
      </c>
      <c r="Y148" s="160" t="str">
        <f t="shared" si="1"/>
        <v/>
      </c>
      <c r="Z148" s="160" t="str">
        <f t="shared" si="2"/>
        <v>16-17 Apr</v>
      </c>
      <c r="AA148" s="160" t="str">
        <f t="shared" si="3"/>
        <v>16-17 Apr</v>
      </c>
      <c r="AB148" s="160" t="str">
        <f t="shared" si="4"/>
        <v/>
      </c>
      <c r="AC148" s="160" t="str">
        <f t="shared" si="5"/>
        <v>06-07 May</v>
      </c>
      <c r="AD148" s="160" t="str">
        <f t="shared" si="6"/>
        <v/>
      </c>
      <c r="AE148" s="161" t="str">
        <f t="shared" si="7"/>
        <v/>
      </c>
      <c r="AF148" s="162" t="str">
        <f t="shared" si="8"/>
        <v/>
      </c>
      <c r="AG148" s="120" t="str">
        <f t="shared" si="9"/>
        <v/>
      </c>
      <c r="AH148" s="121" t="str">
        <f>IFERROR($M148+VLOOKUP($L148,'Voyage days'!$F$38:$H$89,3,FALSE),"")</f>
        <v/>
      </c>
      <c r="AI148" s="121" t="str">
        <f>IFERROR(N148+VLOOKUP($L148,'Voyage days'!$F$38:$H$89,3,FALSE),"")</f>
        <v/>
      </c>
      <c r="AJ148" s="120" t="str">
        <f t="shared" si="10"/>
        <v>16-17 Apr</v>
      </c>
      <c r="AK148" s="121">
        <f>IFERROR($M148+VLOOKUP($L148,'Voyage days'!$F$94:$H$193,3,FALSE),"")</f>
        <v>46128</v>
      </c>
      <c r="AL148" s="121">
        <f>IFERROR($N148+VLOOKUP($L148,'Voyage days'!$F$94:$H$193,3,FALSE),"")</f>
        <v>46129</v>
      </c>
      <c r="AM148" s="120" t="str">
        <f t="shared" si="11"/>
        <v>16-17 Apr</v>
      </c>
      <c r="AN148" s="121">
        <f>IFERROR($M148+VLOOKUP($L148,'Voyage days'!$F$203:$H$256,3,FALSE),"")</f>
        <v>46128</v>
      </c>
      <c r="AO148" s="121">
        <f>IFERROR($N148+VLOOKUP($L148,'Voyage days'!$F$203:$H$256,3,FALSE),"")</f>
        <v>46129</v>
      </c>
      <c r="AP148" s="120" t="str">
        <f t="shared" si="12"/>
        <v/>
      </c>
      <c r="AQ148" s="121" t="str">
        <f>IFERROR($M148+VLOOKUP($L148,'Voyage days'!$F$294:$H$377,3,FALSE),"")</f>
        <v/>
      </c>
      <c r="AR148" s="121" t="str">
        <f>IFERROR($N148+VLOOKUP($L148,'Voyage days'!$F$294:$H$377,3,FALSE),"")</f>
        <v/>
      </c>
      <c r="AS148" s="120" t="str">
        <f t="shared" si="13"/>
        <v>06-07 May</v>
      </c>
      <c r="AT148" s="121">
        <f>IFERROR($M148+VLOOKUP($L148,'Voyage days'!$F$382:$H$446,3,FALSE),"")</f>
        <v>46148</v>
      </c>
      <c r="AU148" s="121">
        <f>IFERROR($N148+VLOOKUP($L148,'Voyage days'!$F$382:$H$446,3,FALSE),"")</f>
        <v>46149</v>
      </c>
      <c r="AV148" s="120" t="str">
        <f t="shared" si="14"/>
        <v/>
      </c>
      <c r="AW148" s="121" t="str">
        <f>IFERROR($M148+VLOOKUP($L148,'Voyage days'!$F$483:$H$538,3,FALSE),"")</f>
        <v/>
      </c>
      <c r="AX148" s="121" t="str">
        <f>IFERROR($N148+VLOOKUP($L148,'Voyage days'!$F$483:$H$538,3,FALSE),"")</f>
        <v/>
      </c>
      <c r="AY148" s="120" t="str">
        <f t="shared" si="15"/>
        <v/>
      </c>
      <c r="AZ148" s="121" t="str">
        <f>IFERROR($M148+VLOOKUP($L148,'Voyage days'!$F$540:$H$613,3,FALSE),"")</f>
        <v/>
      </c>
      <c r="BA148" s="121" t="str">
        <f>IFERROR($N148+VLOOKUP($L148,'Voyage days'!$F$540:$H$613,3,FALSE),"")</f>
        <v/>
      </c>
      <c r="BB148" s="120" t="str">
        <f t="shared" si="16"/>
        <v/>
      </c>
      <c r="BC148" s="121" t="str">
        <f>IFERROR($M148+VLOOKUP($L148,'Voyage days'!$F$448:$H$479,3,FALSE),"")</f>
        <v/>
      </c>
      <c r="BD148" s="121" t="str">
        <f>IFERROR($N148+VLOOKUP($L148,'Voyage days'!$F$448:$H$479,3,FALSE),"")</f>
        <v/>
      </c>
      <c r="BE148" s="120" t="str">
        <f t="shared" si="17"/>
        <v/>
      </c>
      <c r="BF148" s="122" t="str">
        <f>IFERROR($M148+VLOOKUP($L148,'Voyage days'!$F$620:$H$646,3,FALSE),"")</f>
        <v/>
      </c>
      <c r="BG148" s="122" t="str">
        <f>IFERROR($N148+VLOOKUP($L148,'Voyage days'!$F$620:$H$646,3,FALSE),"")</f>
        <v/>
      </c>
      <c r="BH148" s="120" t="str">
        <f t="shared" si="18"/>
        <v/>
      </c>
      <c r="BI148" s="123" t="str">
        <f>IFERROR($M148+VLOOKUP($L148,'Voyage days'!$F$702:$H$727,3,FALSE),"")</f>
        <v/>
      </c>
      <c r="BJ148" s="120" t="str">
        <f t="shared" si="19"/>
        <v/>
      </c>
      <c r="BK148" s="122" t="str">
        <f>IFERROR($M148+VLOOKUP($L148,'Voyage days'!$F$807:$H$878,3,FALSE),"")</f>
        <v/>
      </c>
      <c r="BL148" s="122" t="str">
        <f>IFERROR($N148+VLOOKUP($L148,'Voyage days'!$F$807:$H$878,3,FALSE),"")</f>
        <v/>
      </c>
      <c r="BM148" s="122" t="str">
        <f>IFERROR($N148+VLOOKUP($L148,'Voyage days'!$F$807:$K$878,6,FALSE),"")</f>
        <v/>
      </c>
      <c r="BN148" s="121" t="str">
        <f>if(L148="loads AG", IFERROR($M148+VLOOKUP($L148,'Voyage days'!$M$38:$O$38,3,FALSE),""),"")</f>
        <v/>
      </c>
      <c r="BO148" s="121">
        <f>if(L148="loads USG", IFERROR($M148+VLOOKUP($L148,'Voyage days'!$L$203:$N$203,3,FALSE),""),"")</f>
        <v>46160</v>
      </c>
    </row>
    <row r="149" ht="15.75" customHeight="1">
      <c r="A149" s="507" t="s">
        <v>567</v>
      </c>
      <c r="B149" s="148">
        <v>2020.0</v>
      </c>
      <c r="C149" s="102">
        <v>84000.0</v>
      </c>
      <c r="D149" s="227" t="s">
        <v>603</v>
      </c>
      <c r="E149" s="227"/>
      <c r="F149" s="207"/>
      <c r="G149" s="207"/>
      <c r="H149" s="207" t="s">
        <v>689</v>
      </c>
      <c r="I149" s="508" t="s">
        <v>1008</v>
      </c>
      <c r="J149" s="209" t="str">
        <f t="shared" si="25"/>
        <v/>
      </c>
      <c r="K149" s="509"/>
      <c r="L149" s="211" t="s">
        <v>957</v>
      </c>
      <c r="M149" s="254">
        <v>46135.0</v>
      </c>
      <c r="N149" s="254">
        <v>46137.0</v>
      </c>
      <c r="O149" s="213"/>
      <c r="P149" s="214" t="s">
        <v>1025</v>
      </c>
      <c r="Q149" s="510"/>
      <c r="R149" s="211" t="s">
        <v>1026</v>
      </c>
      <c r="S149" s="256" t="s">
        <v>659</v>
      </c>
      <c r="T149" s="318">
        <v>46125.0</v>
      </c>
      <c r="U149" s="114" t="str">
        <f>IF(V149="","No AIS",VLOOKUP(V149,'Voyage days'!$A$3:$B$1480,2,FALSE))</f>
        <v>Taiwan + 2</v>
      </c>
      <c r="V149" s="115" t="str">
        <f>IF(VLOOKUP(A149,'1) Kpler'!$E$2:$P$1000,8, FALSE)="","",VLOOKUP(A149,'1) Kpler'!$E$2:$P$1000,8, FALSE))</f>
        <v>Kaohsiung</v>
      </c>
      <c r="W149" s="116">
        <f>IF(VLOOKUP(A149,'1) Kpler'!$E$2:$P$1000,9,FALSE)="","",VLOOKUP(A149,'1) Kpler'!$E$2:$P$1000,9,FALSE))</f>
        <v>46133.125</v>
      </c>
      <c r="X149" s="115" t="str">
        <f>VLOOKUP(A149,'1) Kpler'!$E$2:$I$1000,4,FALSE)</f>
        <v>loaded</v>
      </c>
      <c r="Y149" s="160" t="str">
        <f t="shared" si="1"/>
        <v>09-11 May</v>
      </c>
      <c r="Z149" s="160" t="str">
        <f t="shared" si="2"/>
        <v>29-31 May</v>
      </c>
      <c r="AA149" s="160" t="str">
        <f t="shared" si="3"/>
        <v>06-08 Jun</v>
      </c>
      <c r="AB149" s="160" t="str">
        <f t="shared" si="4"/>
        <v>21-23 May</v>
      </c>
      <c r="AC149" s="160" t="str">
        <f t="shared" si="5"/>
        <v>27-29 May</v>
      </c>
      <c r="AD149" s="160" t="str">
        <f t="shared" si="6"/>
        <v>29-01 May</v>
      </c>
      <c r="AE149" s="161" t="str">
        <f t="shared" si="7"/>
        <v>30-02 May</v>
      </c>
      <c r="AF149" s="162" t="str">
        <f t="shared" si="8"/>
        <v>06-08 Jun</v>
      </c>
      <c r="AG149" s="120" t="str">
        <f t="shared" si="9"/>
        <v>09-11 May</v>
      </c>
      <c r="AH149" s="121">
        <f>IFERROR($M149+VLOOKUP($L149,'Voyage days'!$F$38:$H$89,3,FALSE),"")</f>
        <v>46151</v>
      </c>
      <c r="AI149" s="121">
        <f>IFERROR(N149+VLOOKUP($L149,'Voyage days'!$F$38:$H$89,3,FALSE),"")</f>
        <v>46153</v>
      </c>
      <c r="AJ149" s="120" t="str">
        <f t="shared" si="10"/>
        <v>29-31 May</v>
      </c>
      <c r="AK149" s="121">
        <f>IFERROR($M149+VLOOKUP($L149,'Voyage days'!$F$94:$H$193,3,FALSE),"")</f>
        <v>46171</v>
      </c>
      <c r="AL149" s="121">
        <f>IFERROR($N149+VLOOKUP($L149,'Voyage days'!$F$94:$H$193,3,FALSE),"")</f>
        <v>46173</v>
      </c>
      <c r="AM149" s="120" t="str">
        <f t="shared" si="11"/>
        <v>06-08 Jun</v>
      </c>
      <c r="AN149" s="121">
        <f>IFERROR($M149+VLOOKUP($L149,'Voyage days'!$F$203:$H$256,3,FALSE),"")</f>
        <v>46179</v>
      </c>
      <c r="AO149" s="121">
        <f>IFERROR($N149+VLOOKUP($L149,'Voyage days'!$F$203:$H$256,3,FALSE),"")</f>
        <v>46181</v>
      </c>
      <c r="AP149" s="120" t="str">
        <f t="shared" si="12"/>
        <v>21-23 May</v>
      </c>
      <c r="AQ149" s="121">
        <f>IFERROR($M149+VLOOKUP($L149,'Voyage days'!$F$294:$H$377,3,FALSE),"")</f>
        <v>46163</v>
      </c>
      <c r="AR149" s="121">
        <f>IFERROR($N149+VLOOKUP($L149,'Voyage days'!$F$294:$H$377,3,FALSE),"")</f>
        <v>46165</v>
      </c>
      <c r="AS149" s="120" t="str">
        <f t="shared" si="13"/>
        <v>27-29 May</v>
      </c>
      <c r="AT149" s="121">
        <f>IFERROR($M149+VLOOKUP($L149,'Voyage days'!$F$382:$H$446,3,FALSE),"")</f>
        <v>46169</v>
      </c>
      <c r="AU149" s="121">
        <f>IFERROR($N149+VLOOKUP($L149,'Voyage days'!$F$382:$H$446,3,FALSE),"")</f>
        <v>46171</v>
      </c>
      <c r="AV149" s="120" t="str">
        <f t="shared" si="14"/>
        <v>06-08 May</v>
      </c>
      <c r="AW149" s="121">
        <f>IFERROR($M149+VLOOKUP($L149,'Voyage days'!$F$483:$H$538,3,FALSE),"")</f>
        <v>46148</v>
      </c>
      <c r="AX149" s="121">
        <f>IFERROR($N149+VLOOKUP($L149,'Voyage days'!$F$483:$H$538,3,FALSE),"")</f>
        <v>46150</v>
      </c>
      <c r="AY149" s="120" t="str">
        <f t="shared" si="15"/>
        <v>30-02 May</v>
      </c>
      <c r="AZ149" s="121">
        <f>IFERROR($M149+VLOOKUP($L149,'Voyage days'!$F$540:$H$613,3,FALSE),"")</f>
        <v>46142</v>
      </c>
      <c r="BA149" s="121">
        <f>IFERROR($N149+VLOOKUP($L149,'Voyage days'!$F$540:$H$613,3,FALSE),"")</f>
        <v>46144</v>
      </c>
      <c r="BB149" s="120" t="str">
        <f t="shared" si="16"/>
        <v>29-01 May</v>
      </c>
      <c r="BC149" s="121">
        <f>IFERROR($M149+VLOOKUP($L149,'Voyage days'!$F$448:$H$479,3,FALSE),"")</f>
        <v>46141</v>
      </c>
      <c r="BD149" s="121">
        <f>IFERROR($N149+VLOOKUP($L149,'Voyage days'!$F$448:$H$479,3,FALSE),"")</f>
        <v>46143</v>
      </c>
      <c r="BE149" s="120" t="str">
        <f t="shared" si="17"/>
        <v>07-09 May</v>
      </c>
      <c r="BF149" s="122">
        <f>IFERROR($M149+VLOOKUP($L149,'Voyage days'!$F$620:$H$646,3,FALSE),"")</f>
        <v>46149</v>
      </c>
      <c r="BG149" s="122">
        <f>IFERROR($N149+VLOOKUP($L149,'Voyage days'!$F$620:$H$646,3,FALSE),"")</f>
        <v>46151</v>
      </c>
      <c r="BH149" s="120" t="str">
        <f t="shared" si="18"/>
        <v>30-08 Jun</v>
      </c>
      <c r="BI149" s="123">
        <f>IFERROR($M149+VLOOKUP($L149,'Voyage days'!$F$702:$H$727,3,FALSE),"")</f>
        <v>46142</v>
      </c>
      <c r="BJ149" s="120" t="str">
        <f t="shared" si="19"/>
        <v>06-08 Jun</v>
      </c>
      <c r="BK149" s="122">
        <f>IFERROR($M149+VLOOKUP($L149,'Voyage days'!$F$807:$H$878,3,FALSE),"")</f>
        <v>46179</v>
      </c>
      <c r="BL149" s="122">
        <f>IFERROR($N149+VLOOKUP($L149,'Voyage days'!$F$807:$H$878,3,FALSE),"")</f>
        <v>46181</v>
      </c>
      <c r="BM149" s="122">
        <f>IFERROR($N149+VLOOKUP($L149,'Voyage days'!$F$807:$K$878,6,FALSE),"")</f>
        <v>46154</v>
      </c>
      <c r="BN149" s="121" t="str">
        <f>if(L149="loads AG", IFERROR($M149+VLOOKUP($L149,'Voyage days'!$M$38:$O$38,3,FALSE),""),"")</f>
        <v/>
      </c>
      <c r="BO149" s="121" t="str">
        <f>if(L149="loads USG", IFERROR($M149+VLOOKUP($L149,'Voyage days'!$L$203:$N$203,3,FALSE),""),"")</f>
        <v/>
      </c>
    </row>
    <row r="150" ht="15.75" customHeight="1">
      <c r="A150" s="511" t="s">
        <v>571</v>
      </c>
      <c r="B150" s="512">
        <v>2020.0</v>
      </c>
      <c r="C150" s="102">
        <v>84000.0</v>
      </c>
      <c r="D150" s="513" t="s">
        <v>603</v>
      </c>
      <c r="E150" s="513"/>
      <c r="F150" s="514"/>
      <c r="G150" s="514"/>
      <c r="H150" s="514" t="s">
        <v>689</v>
      </c>
      <c r="I150" s="384" t="s">
        <v>1027</v>
      </c>
      <c r="J150" s="209" t="str">
        <f t="shared" si="25"/>
        <v>Update</v>
      </c>
      <c r="K150" s="509"/>
      <c r="L150" s="211" t="s">
        <v>680</v>
      </c>
      <c r="M150" s="254">
        <v>46127.0</v>
      </c>
      <c r="N150" s="254">
        <v>46128.0</v>
      </c>
      <c r="O150" s="213"/>
      <c r="P150" s="474" t="s">
        <v>1028</v>
      </c>
      <c r="Q150" s="510"/>
      <c r="R150" s="474" t="s">
        <v>1029</v>
      </c>
      <c r="S150" s="380" t="s">
        <v>659</v>
      </c>
      <c r="T150" s="413">
        <v>46125.0</v>
      </c>
      <c r="U150" s="114" t="str">
        <f>IF(V150="","No AIS",VLOOKUP(V150,'Voyage days'!$A$3:$B$1480,2,FALSE))</f>
        <v>ECI + 5</v>
      </c>
      <c r="V150" s="115" t="str">
        <f>IF(VLOOKUP(A150,'1) Kpler'!$E$2:$P$1000,8, FALSE)="","",VLOOKUP(A150,'1) Kpler'!$E$2:$P$1000,8, FALSE))</f>
        <v>Ennore Port</v>
      </c>
      <c r="W150" s="116">
        <f>IF(VLOOKUP(A150,'1) Kpler'!$E$2:$P$1000,9,FALSE)="","",VLOOKUP(A150,'1) Kpler'!$E$2:$P$1000,9,FALSE))</f>
        <v>46162.00069</v>
      </c>
      <c r="X150" s="115" t="str">
        <f>VLOOKUP(A150,'1) Kpler'!$E$2:$I$1000,4,FALSE)</f>
        <v>loaded</v>
      </c>
      <c r="Y150" s="160" t="str">
        <f t="shared" si="1"/>
        <v/>
      </c>
      <c r="Z150" s="160" t="str">
        <f t="shared" si="2"/>
        <v>15-16 Apr</v>
      </c>
      <c r="AA150" s="160" t="str">
        <f t="shared" si="3"/>
        <v>15-16 Apr</v>
      </c>
      <c r="AB150" s="160" t="str">
        <f t="shared" si="4"/>
        <v/>
      </c>
      <c r="AC150" s="160" t="str">
        <f t="shared" si="5"/>
        <v>05-06 May</v>
      </c>
      <c r="AD150" s="160" t="str">
        <f t="shared" si="6"/>
        <v/>
      </c>
      <c r="AE150" s="161" t="str">
        <f t="shared" si="7"/>
        <v/>
      </c>
      <c r="AF150" s="162" t="str">
        <f t="shared" si="8"/>
        <v/>
      </c>
      <c r="AG150" s="120" t="str">
        <f t="shared" si="9"/>
        <v/>
      </c>
      <c r="AH150" s="121" t="str">
        <f>IFERROR($M150+VLOOKUP($L150,'Voyage days'!$F$38:$H$89,3,FALSE),"")</f>
        <v/>
      </c>
      <c r="AI150" s="121" t="str">
        <f>IFERROR(N150+VLOOKUP($L150,'Voyage days'!$F$38:$H$89,3,FALSE),"")</f>
        <v/>
      </c>
      <c r="AJ150" s="120" t="str">
        <f t="shared" si="10"/>
        <v>15-16 Apr</v>
      </c>
      <c r="AK150" s="121">
        <f>IFERROR($M150+VLOOKUP($L150,'Voyage days'!$F$94:$H$193,3,FALSE),"")</f>
        <v>46127</v>
      </c>
      <c r="AL150" s="121">
        <f>IFERROR($N150+VLOOKUP($L150,'Voyage days'!$F$94:$H$193,3,FALSE),"")</f>
        <v>46128</v>
      </c>
      <c r="AM150" s="120" t="str">
        <f t="shared" si="11"/>
        <v>15-16 Apr</v>
      </c>
      <c r="AN150" s="121">
        <f>IFERROR($M150+VLOOKUP($L150,'Voyage days'!$F$203:$H$256,3,FALSE),"")</f>
        <v>46127</v>
      </c>
      <c r="AO150" s="121">
        <f>IFERROR($N150+VLOOKUP($L150,'Voyage days'!$F$203:$H$256,3,FALSE),"")</f>
        <v>46128</v>
      </c>
      <c r="AP150" s="120" t="str">
        <f t="shared" si="12"/>
        <v/>
      </c>
      <c r="AQ150" s="121" t="str">
        <f>IFERROR($M150+VLOOKUP($L150,'Voyage days'!$F$294:$H$377,3,FALSE),"")</f>
        <v/>
      </c>
      <c r="AR150" s="121" t="str">
        <f>IFERROR($N150+VLOOKUP($L150,'Voyage days'!$F$294:$H$377,3,FALSE),"")</f>
        <v/>
      </c>
      <c r="AS150" s="120" t="str">
        <f t="shared" si="13"/>
        <v>05-06 May</v>
      </c>
      <c r="AT150" s="121">
        <f>IFERROR($M150+VLOOKUP($L150,'Voyage days'!$F$382:$H$446,3,FALSE),"")</f>
        <v>46147</v>
      </c>
      <c r="AU150" s="121">
        <f>IFERROR($N150+VLOOKUP($L150,'Voyage days'!$F$382:$H$446,3,FALSE),"")</f>
        <v>46148</v>
      </c>
      <c r="AV150" s="120" t="str">
        <f t="shared" si="14"/>
        <v/>
      </c>
      <c r="AW150" s="121" t="str">
        <f>IFERROR($M150+VLOOKUP($L150,'Voyage days'!$F$483:$H$538,3,FALSE),"")</f>
        <v/>
      </c>
      <c r="AX150" s="121" t="str">
        <f>IFERROR($N150+VLOOKUP($L150,'Voyage days'!$F$483:$H$538,3,FALSE),"")</f>
        <v/>
      </c>
      <c r="AY150" s="120" t="str">
        <f t="shared" si="15"/>
        <v/>
      </c>
      <c r="AZ150" s="121" t="str">
        <f>IFERROR($M150+VLOOKUP($L150,'Voyage days'!$F$540:$H$613,3,FALSE),"")</f>
        <v/>
      </c>
      <c r="BA150" s="121" t="str">
        <f>IFERROR($N150+VLOOKUP($L150,'Voyage days'!$F$540:$H$613,3,FALSE),"")</f>
        <v/>
      </c>
      <c r="BB150" s="120" t="str">
        <f t="shared" si="16"/>
        <v/>
      </c>
      <c r="BC150" s="121" t="str">
        <f>IFERROR($M150+VLOOKUP($L150,'Voyage days'!$F$448:$H$479,3,FALSE),"")</f>
        <v/>
      </c>
      <c r="BD150" s="121" t="str">
        <f>IFERROR($N150+VLOOKUP($L150,'Voyage days'!$F$448:$H$479,3,FALSE),"")</f>
        <v/>
      </c>
      <c r="BE150" s="120" t="str">
        <f t="shared" si="17"/>
        <v/>
      </c>
      <c r="BF150" s="122" t="str">
        <f>IFERROR($M150+VLOOKUP($L150,'Voyage days'!$F$620:$H$646,3,FALSE),"")</f>
        <v/>
      </c>
      <c r="BG150" s="122" t="str">
        <f>IFERROR($N150+VLOOKUP($L150,'Voyage days'!$F$620:$H$646,3,FALSE),"")</f>
        <v/>
      </c>
      <c r="BH150" s="120" t="str">
        <f t="shared" si="18"/>
        <v/>
      </c>
      <c r="BI150" s="123" t="str">
        <f>IFERROR($M150+VLOOKUP($L150,'Voyage days'!$F$702:$H$727,3,FALSE),"")</f>
        <v/>
      </c>
      <c r="BJ150" s="120" t="str">
        <f t="shared" si="19"/>
        <v/>
      </c>
      <c r="BK150" s="122" t="str">
        <f>IFERROR($M150+VLOOKUP($L150,'Voyage days'!$F$807:$H$878,3,FALSE),"")</f>
        <v/>
      </c>
      <c r="BL150" s="122" t="str">
        <f>IFERROR($N150+VLOOKUP($L150,'Voyage days'!$F$807:$H$878,3,FALSE),"")</f>
        <v/>
      </c>
      <c r="BM150" s="122" t="str">
        <f>IFERROR($N150+VLOOKUP($L150,'Voyage days'!$F$807:$K$878,6,FALSE),"")</f>
        <v/>
      </c>
      <c r="BN150" s="121" t="str">
        <f>if(L150="loads AG", IFERROR($M150+VLOOKUP($L150,'Voyage days'!$M$38:$O$38,3,FALSE),""),"")</f>
        <v/>
      </c>
      <c r="BO150" s="121">
        <f>if(L150="loads USG", IFERROR($M150+VLOOKUP($L150,'Voyage days'!$L$203:$N$203,3,FALSE),""),"")</f>
        <v>46159</v>
      </c>
    </row>
    <row r="151" ht="15.75" customHeight="1">
      <c r="A151" s="515" t="s">
        <v>434</v>
      </c>
      <c r="B151" s="288">
        <v>42197.0</v>
      </c>
      <c r="C151" s="232">
        <v>84000.0</v>
      </c>
      <c r="D151" s="233"/>
      <c r="E151" s="233"/>
      <c r="F151" s="234"/>
      <c r="G151" s="234"/>
      <c r="H151" s="234"/>
      <c r="I151" s="516" t="s">
        <v>1030</v>
      </c>
      <c r="J151" s="517"/>
      <c r="K151" s="237"/>
      <c r="L151" s="235" t="s">
        <v>1031</v>
      </c>
      <c r="M151" s="438">
        <v>46127.0</v>
      </c>
      <c r="N151" s="518">
        <v>46128.0</v>
      </c>
      <c r="O151" s="519"/>
      <c r="P151" s="235" t="s">
        <v>1032</v>
      </c>
      <c r="Q151" s="240"/>
      <c r="R151" s="520" t="s">
        <v>1033</v>
      </c>
      <c r="S151" s="292" t="s">
        <v>659</v>
      </c>
      <c r="T151" s="521">
        <v>46125.0</v>
      </c>
      <c r="U151" s="244" t="str">
        <f>IF(V151="","No AIS",VLOOKUP(V151,'Voyage days'!$A$3:$B$1480,2,FALSE))</f>
        <v>WCI + 5</v>
      </c>
      <c r="V151" s="244" t="str">
        <f>IF(VLOOKUP(A151,'1) Kpler'!$E$2:$P$1000,8, FALSE)="","",VLOOKUP(A151,'1) Kpler'!$E$2:$P$1000,8, FALSE))</f>
        <v>Mangalore</v>
      </c>
      <c r="W151" s="245">
        <f>IF(VLOOKUP(A151,'1) Kpler'!$E$2:$P$1000,9,FALSE)="","",VLOOKUP(A151,'1) Kpler'!$E$2:$P$1000,9,FALSE))</f>
        <v>46136.00069</v>
      </c>
      <c r="X151" s="244" t="str">
        <f>VLOOKUP(A151,'1) Kpler'!$E$2:$I$1000,4,FALSE)</f>
        <v>loaded</v>
      </c>
      <c r="Y151" s="246" t="str">
        <f t="shared" si="1"/>
        <v>15-16 Apr</v>
      </c>
      <c r="Z151" s="246" t="str">
        <f t="shared" si="2"/>
        <v/>
      </c>
      <c r="AA151" s="246" t="str">
        <f t="shared" si="3"/>
        <v/>
      </c>
      <c r="AB151" s="246" t="str">
        <f t="shared" si="4"/>
        <v/>
      </c>
      <c r="AC151" s="246" t="str">
        <f t="shared" si="5"/>
        <v/>
      </c>
      <c r="AD151" s="246" t="str">
        <f t="shared" si="6"/>
        <v/>
      </c>
      <c r="AE151" s="247" t="str">
        <f t="shared" si="7"/>
        <v>04-05 May</v>
      </c>
      <c r="AF151" s="248" t="str">
        <f t="shared" si="8"/>
        <v>15-16 Apr</v>
      </c>
      <c r="AG151" s="249" t="str">
        <f t="shared" si="9"/>
        <v>15-16 Apr</v>
      </c>
      <c r="AH151" s="250">
        <f>IFERROR($M151+VLOOKUP($L151,'Voyage days'!$F$38:$H$89,3,FALSE),"")</f>
        <v>46127</v>
      </c>
      <c r="AI151" s="250">
        <f>IFERROR(N151+VLOOKUP($L151,'Voyage days'!$F$38:$H$89,3,FALSE),"")</f>
        <v>46128</v>
      </c>
      <c r="AJ151" s="249" t="str">
        <f t="shared" si="10"/>
        <v/>
      </c>
      <c r="AK151" s="250" t="str">
        <f>IFERROR($M151+VLOOKUP($L151,'Voyage days'!$F$94:$H$193,3,FALSE),"")</f>
        <v/>
      </c>
      <c r="AL151" s="250" t="str">
        <f>IFERROR($N151+VLOOKUP($L151,'Voyage days'!$F$94:$H$193,3,FALSE),"")</f>
        <v/>
      </c>
      <c r="AM151" s="249" t="str">
        <f t="shared" si="11"/>
        <v/>
      </c>
      <c r="AN151" s="250" t="str">
        <f>IFERROR($M151+VLOOKUP($L151,'Voyage days'!$F$203:$H$256,3,FALSE),"")</f>
        <v/>
      </c>
      <c r="AO151" s="250" t="str">
        <f>IFERROR($N151+VLOOKUP($L151,'Voyage days'!$F$203:$H$256,3,FALSE),"")</f>
        <v/>
      </c>
      <c r="AP151" s="249" t="str">
        <f t="shared" si="12"/>
        <v/>
      </c>
      <c r="AQ151" s="250" t="str">
        <f>IFERROR($M151+VLOOKUP($L151,'Voyage days'!$F$294:$H$377,3,FALSE),"")</f>
        <v/>
      </c>
      <c r="AR151" s="250" t="str">
        <f>IFERROR($N151+VLOOKUP($L151,'Voyage days'!$F$294:$H$377,3,FALSE),"")</f>
        <v/>
      </c>
      <c r="AS151" s="249" t="str">
        <f t="shared" si="13"/>
        <v/>
      </c>
      <c r="AT151" s="250" t="str">
        <f>IFERROR($M151+VLOOKUP($L151,'Voyage days'!$F$382:$H$446,3,FALSE),"")</f>
        <v/>
      </c>
      <c r="AU151" s="250" t="str">
        <f>IFERROR($N151+VLOOKUP($L151,'Voyage days'!$F$382:$H$446,3,FALSE),"")</f>
        <v/>
      </c>
      <c r="AV151" s="249" t="str">
        <f t="shared" si="14"/>
        <v/>
      </c>
      <c r="AW151" s="250" t="str">
        <f>IFERROR($M151+VLOOKUP($L151,'Voyage days'!$F$483:$H$538,3,FALSE),"")</f>
        <v/>
      </c>
      <c r="AX151" s="250" t="str">
        <f>IFERROR($N151+VLOOKUP($L151,'Voyage days'!$F$483:$H$538,3,FALSE),"")</f>
        <v/>
      </c>
      <c r="AY151" s="249" t="str">
        <f t="shared" si="15"/>
        <v>04-05 May</v>
      </c>
      <c r="AZ151" s="250">
        <f>IFERROR($M151+VLOOKUP($L151,'Voyage days'!$F$540:$H$613,3,FALSE),"")</f>
        <v>46146</v>
      </c>
      <c r="BA151" s="250">
        <f>IFERROR($N151+VLOOKUP($L151,'Voyage days'!$F$540:$H$613,3,FALSE),"")</f>
        <v>46147</v>
      </c>
      <c r="BB151" s="249" t="str">
        <f t="shared" si="16"/>
        <v/>
      </c>
      <c r="BC151" s="250" t="str">
        <f>IFERROR($M151+VLOOKUP($L151,'Voyage days'!$F$448:$H$479,3,FALSE),"")</f>
        <v/>
      </c>
      <c r="BD151" s="250" t="str">
        <f>IFERROR($N151+VLOOKUP($L151,'Voyage days'!$F$448:$H$479,3,FALSE),"")</f>
        <v/>
      </c>
      <c r="BE151" s="249" t="str">
        <f t="shared" si="17"/>
        <v/>
      </c>
      <c r="BF151" s="250" t="str">
        <f>IFERROR($M151+VLOOKUP($L151,'Voyage days'!$F$620:$H$646,3,FALSE),"")</f>
        <v/>
      </c>
      <c r="BG151" s="250" t="str">
        <f>IFERROR($N151+VLOOKUP($L151,'Voyage days'!$F$620:$H$646,3,FALSE),"")</f>
        <v/>
      </c>
      <c r="BH151" s="249" t="str">
        <f t="shared" si="18"/>
        <v/>
      </c>
      <c r="BI151" s="251" t="str">
        <f>IFERROR($M151+VLOOKUP($L151,'Voyage days'!$F$702:$H$727,3,FALSE),"")</f>
        <v/>
      </c>
      <c r="BJ151" s="249" t="str">
        <f t="shared" si="19"/>
        <v>15-16 Apr</v>
      </c>
      <c r="BK151" s="250">
        <f>IFERROR($M151+VLOOKUP($L151,'Voyage days'!$F$807:$H$878,3,FALSE),"")</f>
        <v>46127</v>
      </c>
      <c r="BL151" s="250">
        <f>IFERROR($N151+VLOOKUP($L151,'Voyage days'!$F$807:$H$878,3,FALSE),"")</f>
        <v>46128</v>
      </c>
      <c r="BM151" s="250">
        <f>IFERROR($N151+VLOOKUP($L151,'Voyage days'!$F$807:$K$878,6,FALSE),"")</f>
        <v>46131</v>
      </c>
      <c r="BN151" s="250">
        <f>if(L151="loads AG", IFERROR($M151+VLOOKUP($L151,'Voyage days'!$M$38:$O$38,3,FALSE),""),"")</f>
        <v>46152</v>
      </c>
      <c r="BO151" s="250" t="str">
        <f>if(L151="loads USG", IFERROR($M151+VLOOKUP($L151,'Voyage days'!$L$203:$N$203,3,FALSE),""),"")</f>
        <v/>
      </c>
      <c r="BP151" s="252"/>
    </row>
    <row r="152" ht="15.75" customHeight="1">
      <c r="A152" s="455" t="s">
        <v>1034</v>
      </c>
      <c r="B152" s="202">
        <v>2026.0</v>
      </c>
      <c r="C152" s="203">
        <v>93000.0</v>
      </c>
      <c r="D152" s="227" t="s">
        <v>603</v>
      </c>
      <c r="E152" s="227"/>
      <c r="F152" s="207"/>
      <c r="G152" s="207"/>
      <c r="H152" s="207" t="s">
        <v>689</v>
      </c>
      <c r="I152" s="522" t="s">
        <v>1035</v>
      </c>
      <c r="J152" s="209" t="str">
        <f t="shared" ref="J152:J185" si="26">IF(W152="","NO AIS",IF((W152-M152-1)&gt;0,"Update",""))</f>
        <v>#N/A</v>
      </c>
      <c r="K152" s="509"/>
      <c r="L152" s="211" t="s">
        <v>770</v>
      </c>
      <c r="M152" s="254">
        <v>46144.0</v>
      </c>
      <c r="N152" s="254">
        <v>46145.0</v>
      </c>
      <c r="O152" s="213"/>
      <c r="P152" s="214" t="s">
        <v>1036</v>
      </c>
      <c r="Q152" s="510"/>
      <c r="R152" s="211" t="s">
        <v>1037</v>
      </c>
      <c r="S152" s="256" t="s">
        <v>659</v>
      </c>
      <c r="T152" s="318">
        <v>46125.0</v>
      </c>
      <c r="U152" s="114" t="str">
        <f>IF(V152="","No AIS",VLOOKUP(V152,'Voyage days'!$A$3:$B$1480,2,FALSE))</f>
        <v>#N/A</v>
      </c>
      <c r="V152" s="115" t="str">
        <f>IF(VLOOKUP(A152,'1) Kpler'!$E$2:$P$1000,8, FALSE)="","",VLOOKUP(A152,'1) Kpler'!$E$2:$P$1000,8, FALSE))</f>
        <v>#N/A</v>
      </c>
      <c r="W152" s="116" t="str">
        <f>IF(VLOOKUP(A152,'1) Kpler'!$E$2:$P$1000,9,FALSE)="","",VLOOKUP(A152,'1) Kpler'!$E$2:$P$1000,9,FALSE))</f>
        <v>#N/A</v>
      </c>
      <c r="X152" s="115" t="str">
        <f>VLOOKUP(A152,'1) Kpler'!$E$2:$I$1000,4,FALSE)</f>
        <v>#N/A</v>
      </c>
      <c r="Y152" s="160" t="str">
        <f t="shared" si="1"/>
        <v/>
      </c>
      <c r="Z152" s="160" t="str">
        <f t="shared" si="2"/>
        <v/>
      </c>
      <c r="AA152" s="160" t="str">
        <f t="shared" si="3"/>
        <v/>
      </c>
      <c r="AB152" s="160" t="str">
        <f t="shared" si="4"/>
        <v/>
      </c>
      <c r="AC152" s="160" t="str">
        <f t="shared" si="5"/>
        <v/>
      </c>
      <c r="AD152" s="160" t="str">
        <f t="shared" si="6"/>
        <v/>
      </c>
      <c r="AE152" s="161" t="str">
        <f t="shared" si="7"/>
        <v/>
      </c>
      <c r="AF152" s="162" t="str">
        <f t="shared" si="8"/>
        <v/>
      </c>
      <c r="AG152" s="163"/>
      <c r="AH152" s="122"/>
      <c r="AI152" s="122"/>
      <c r="AJ152" s="163"/>
      <c r="AK152" s="122"/>
      <c r="AL152" s="122"/>
      <c r="AM152" s="163"/>
      <c r="AN152" s="122"/>
      <c r="AO152" s="122"/>
      <c r="AP152" s="163"/>
      <c r="AQ152" s="122"/>
      <c r="AR152" s="122"/>
      <c r="AS152" s="163"/>
      <c r="AT152" s="122"/>
      <c r="AU152" s="122"/>
      <c r="AV152" s="163"/>
      <c r="AW152" s="122"/>
      <c r="AX152" s="122"/>
      <c r="AY152" s="163"/>
      <c r="AZ152" s="122"/>
      <c r="BA152" s="122"/>
      <c r="BB152" s="163"/>
      <c r="BC152" s="122"/>
      <c r="BD152" s="122"/>
      <c r="BE152" s="163"/>
      <c r="BF152" s="122"/>
      <c r="BG152" s="122"/>
      <c r="BH152" s="163"/>
      <c r="BI152" s="123"/>
      <c r="BJ152" s="163"/>
      <c r="BK152" s="122"/>
      <c r="BL152" s="122"/>
      <c r="BM152" s="122"/>
      <c r="BN152" s="122"/>
      <c r="BO152" s="122"/>
    </row>
    <row r="153" ht="15.75" customHeight="1">
      <c r="A153" s="523" t="s">
        <v>332</v>
      </c>
      <c r="B153" s="222">
        <v>43110.0</v>
      </c>
      <c r="C153" s="166">
        <v>83000.0</v>
      </c>
      <c r="D153" s="223"/>
      <c r="E153" s="223"/>
      <c r="F153" s="168"/>
      <c r="G153" s="168"/>
      <c r="H153" s="168"/>
      <c r="I153" s="224" t="s">
        <v>1038</v>
      </c>
      <c r="J153" s="170" t="str">
        <f t="shared" si="26"/>
        <v>Update</v>
      </c>
      <c r="K153" s="171"/>
      <c r="L153" s="319" t="s">
        <v>1039</v>
      </c>
      <c r="M153" s="173">
        <v>46129.0</v>
      </c>
      <c r="N153" s="173">
        <v>46130.0</v>
      </c>
      <c r="O153" s="226"/>
      <c r="P153" s="172" t="s">
        <v>1040</v>
      </c>
      <c r="Q153" s="172"/>
      <c r="R153" s="353" t="s">
        <v>1041</v>
      </c>
      <c r="S153" s="358" t="s">
        <v>659</v>
      </c>
      <c r="T153" s="524">
        <v>46125.0</v>
      </c>
      <c r="U153" s="177" t="str">
        <f>IF(V153="","No AIS",VLOOKUP(V153,'Voyage days'!$A$3:$B$1480,2,FALSE))</f>
        <v>South China + 4</v>
      </c>
      <c r="V153" s="177" t="str">
        <f>IF(VLOOKUP(A153,'1) Kpler'!$E$2:$P$1000,8, FALSE)="","",VLOOKUP(A153,'1) Kpler'!$E$2:$P$1000,8, FALSE))</f>
        <v>Guangzhou</v>
      </c>
      <c r="W153" s="179">
        <f>IF(VLOOKUP(A153,'1) Kpler'!$E$2:$P$1000,9,FALSE)="","",VLOOKUP(A153,'1) Kpler'!$E$2:$P$1000,9,FALSE))</f>
        <v>46144.16667</v>
      </c>
      <c r="X153" s="178" t="str">
        <f>VLOOKUP(A153,'1) Kpler'!$E$2:$I$1000,4,FALSE)</f>
        <v>floatingStorage</v>
      </c>
      <c r="Y153" s="180" t="str">
        <f t="shared" si="1"/>
        <v/>
      </c>
      <c r="Z153" s="180" t="str">
        <f t="shared" si="2"/>
        <v/>
      </c>
      <c r="AA153" s="180" t="str">
        <f t="shared" si="3"/>
        <v/>
      </c>
      <c r="AB153" s="180" t="str">
        <f t="shared" si="4"/>
        <v/>
      </c>
      <c r="AC153" s="180" t="str">
        <f t="shared" si="5"/>
        <v>30-01 May</v>
      </c>
      <c r="AD153" s="180" t="str">
        <f t="shared" si="6"/>
        <v/>
      </c>
      <c r="AE153" s="181" t="str">
        <f t="shared" si="7"/>
        <v/>
      </c>
      <c r="AF153" s="182" t="str">
        <f t="shared" si="8"/>
        <v/>
      </c>
      <c r="AG153" s="120" t="str">
        <f t="shared" ref="AG153:AG267" si="27">IF(AH153="","",TEXT(AH153,"dd")&amp;"-"&amp;TEXT(AI153,"dd mmm"))</f>
        <v/>
      </c>
      <c r="AH153" s="121" t="str">
        <f>IFERROR($M153+VLOOKUP($L153,'Voyage days'!$F$38:$H$89,3,FALSE),"")</f>
        <v/>
      </c>
      <c r="AI153" s="121" t="str">
        <f>IFERROR(N153+VLOOKUP($L153,'Voyage days'!$F$38:$H$89,3,FALSE),"")</f>
        <v/>
      </c>
      <c r="AJ153" s="120" t="str">
        <f t="shared" ref="AJ153:AJ344" si="28">IF(AK153="","",TEXT(AK153,"dd")&amp;"-"&amp;TEXT(AL153,"dd mmm"))</f>
        <v/>
      </c>
      <c r="AK153" s="121" t="str">
        <f>IFERROR($M153+VLOOKUP($L153,'Voyage days'!$F$94:$H$193,3,FALSE),"")</f>
        <v/>
      </c>
      <c r="AL153" s="121" t="str">
        <f>IFERROR($N153+VLOOKUP($L153,'Voyage days'!$F$94:$H$193,3,FALSE),"")</f>
        <v/>
      </c>
      <c r="AM153" s="120" t="str">
        <f t="shared" ref="AM153:AM344" si="29">IF(AN153="","",TEXT(AN153,"dd")&amp;"-"&amp;TEXT(AO153,"dd mmm"))</f>
        <v/>
      </c>
      <c r="AN153" s="121" t="str">
        <f>IFERROR($M153+VLOOKUP($L153,'Voyage days'!$F$203:$H$256,3,FALSE),"")</f>
        <v/>
      </c>
      <c r="AO153" s="121" t="str">
        <f>IFERROR($N153+VLOOKUP($L153,'Voyage days'!$F$203:$H$256,3,FALSE),"")</f>
        <v/>
      </c>
      <c r="AP153" s="120" t="str">
        <f t="shared" ref="AP153:AP344" si="30">IF(AQ153="","",TEXT(AQ153,"dd")&amp;"-"&amp;TEXT(AR153,"dd mmm"))</f>
        <v/>
      </c>
      <c r="AQ153" s="121" t="str">
        <f>IFERROR($M153+VLOOKUP($L153,'Voyage days'!$F$294:$H$377,3,FALSE),"")</f>
        <v/>
      </c>
      <c r="AR153" s="121" t="str">
        <f>IFERROR($N153+VLOOKUP($L153,'Voyage days'!$F$294:$H$377,3,FALSE),"")</f>
        <v/>
      </c>
      <c r="AS153" s="120" t="str">
        <f t="shared" ref="AS153:AS344" si="31">IF(AT153="","",TEXT(AT153,"dd")&amp;"-"&amp;TEXT(AU153,"dd mmm"))</f>
        <v>30-01 May</v>
      </c>
      <c r="AT153" s="121">
        <f>IFERROR($M153+VLOOKUP($L153,'Voyage days'!$F$382:$H$446,3,FALSE),"")</f>
        <v>46142</v>
      </c>
      <c r="AU153" s="121">
        <f>IFERROR($N153+VLOOKUP($L153,'Voyage days'!$F$382:$H$446,3,FALSE),"")</f>
        <v>46143</v>
      </c>
      <c r="AV153" s="120" t="str">
        <f t="shared" ref="AV153:AV344" si="32">IF(AW153="","",TEXT(AW153,"dd")&amp;"-"&amp;TEXT(AX153,"dd mmm"))</f>
        <v/>
      </c>
      <c r="AW153" s="121" t="str">
        <f>IFERROR($M153+VLOOKUP($L153,'Voyage days'!$F$483:$H$538,3,FALSE),"")</f>
        <v/>
      </c>
      <c r="AX153" s="121" t="str">
        <f>IFERROR($N153+VLOOKUP($L153,'Voyage days'!$F$483:$H$538,3,FALSE),"")</f>
        <v/>
      </c>
      <c r="AY153" s="120" t="str">
        <f t="shared" ref="AY153:AY344" si="33">IF(AZ153="","",TEXT(AZ153,"dd")&amp;"-"&amp;TEXT(BA153,"dd mmm"))</f>
        <v/>
      </c>
      <c r="AZ153" s="121" t="str">
        <f>IFERROR($M153+VLOOKUP($L153,'Voyage days'!$F$540:$H$613,3,FALSE),"")</f>
        <v/>
      </c>
      <c r="BA153" s="121" t="str">
        <f>IFERROR($N153+VLOOKUP($L153,'Voyage days'!$F$540:$H$613,3,FALSE),"")</f>
        <v/>
      </c>
      <c r="BB153" s="120" t="str">
        <f t="shared" ref="BB153:BB344" si="34">IF(BC153="","",TEXT(BC153,"dd")&amp;"-"&amp;TEXT(BD153,"dd mmm"))</f>
        <v/>
      </c>
      <c r="BC153" s="121" t="str">
        <f>IFERROR($M153+VLOOKUP($L153,'Voyage days'!$F$448:$H$479,3,FALSE),"")</f>
        <v/>
      </c>
      <c r="BD153" s="121" t="str">
        <f>IFERROR($N153+VLOOKUP($L153,'Voyage days'!$F$448:$H$479,3,FALSE),"")</f>
        <v/>
      </c>
      <c r="BE153" s="120" t="str">
        <f t="shared" ref="BE153:BE344" si="35">IF(BF153="","",TEXT(BF153,"dd")&amp;"-"&amp;TEXT(BG153,"dd mmm"))</f>
        <v/>
      </c>
      <c r="BF153" s="122" t="str">
        <f>IFERROR($M153+VLOOKUP($L153,'Voyage days'!$F$620:$H$646,3,FALSE),"")</f>
        <v/>
      </c>
      <c r="BG153" s="122" t="str">
        <f>IFERROR($N153+VLOOKUP($L153,'Voyage days'!$F$620:$H$646,3,FALSE),"")</f>
        <v/>
      </c>
      <c r="BH153" s="120" t="str">
        <f t="shared" ref="BH153:BH344" si="36">IF(BI153="","",TEXT(BI153,"dd")&amp;"-"&amp;TEXT(BL153,"dd mmm"))</f>
        <v/>
      </c>
      <c r="BI153" s="123" t="str">
        <f>IFERROR($M153+VLOOKUP($L153,'Voyage days'!$F$702:$H$727,3,FALSE),"")</f>
        <v/>
      </c>
      <c r="BJ153" s="120" t="str">
        <f t="shared" ref="BJ153:BJ344" si="37">IF(BK153="","",TEXT(BK153,"dd")&amp;"-"&amp;TEXT(BL153,"dd mmm"))</f>
        <v/>
      </c>
      <c r="BK153" s="122" t="str">
        <f>IFERROR($M153+VLOOKUP($L153,'Voyage days'!$F$807:$H$878,3,FALSE),"")</f>
        <v/>
      </c>
      <c r="BL153" s="122" t="str">
        <f>IFERROR($N153+VLOOKUP($L153,'Voyage days'!$F$807:$H$878,3,FALSE),"")</f>
        <v/>
      </c>
      <c r="BM153" s="122" t="str">
        <f>IFERROR($N153+VLOOKUP($L153,'Voyage days'!$F$807:$K$878,6,FALSE),"")</f>
        <v/>
      </c>
      <c r="BN153" s="121" t="str">
        <f>if(L153="loads AG", IFERROR($M153+VLOOKUP($L153,'Voyage days'!$M$38:$O$38,3,FALSE),""),"")</f>
        <v/>
      </c>
      <c r="BO153" s="121" t="str">
        <f>if(L153="loads USG", IFERROR($M153+VLOOKUP($L153,'Voyage days'!$L$203:$N$203,3,FALSE),""),"")</f>
        <v/>
      </c>
      <c r="BP153" s="313"/>
    </row>
    <row r="154" ht="15.75" customHeight="1">
      <c r="A154" s="274" t="s">
        <v>478</v>
      </c>
      <c r="B154" s="101">
        <v>42538.0</v>
      </c>
      <c r="C154" s="102">
        <v>84000.0</v>
      </c>
      <c r="D154" s="256"/>
      <c r="E154" s="256" t="s">
        <v>706</v>
      </c>
      <c r="F154" s="150"/>
      <c r="G154" s="150"/>
      <c r="H154" s="150"/>
      <c r="I154" s="321" t="s">
        <v>1042</v>
      </c>
      <c r="J154" s="151" t="str">
        <f t="shared" si="26"/>
        <v>Update</v>
      </c>
      <c r="K154" s="193" t="s">
        <v>765</v>
      </c>
      <c r="L154" s="153" t="s">
        <v>860</v>
      </c>
      <c r="M154" s="238">
        <v>46156.0</v>
      </c>
      <c r="N154" s="238">
        <v>46157.0</v>
      </c>
      <c r="O154" s="255"/>
      <c r="P154" s="300" t="s">
        <v>1043</v>
      </c>
      <c r="Q154" s="153"/>
      <c r="R154" s="153" t="s">
        <v>1044</v>
      </c>
      <c r="S154" s="256" t="s">
        <v>659</v>
      </c>
      <c r="T154" s="525">
        <v>46125.0</v>
      </c>
      <c r="U154" s="114" t="str">
        <f>IF(V154="","No AIS",VLOOKUP(V154,'Voyage days'!$A$3:$B$1480,2,FALSE))</f>
        <v>Singapore</v>
      </c>
      <c r="V154" s="114" t="str">
        <f>IF(VLOOKUP(A154,'1) Kpler'!$E$2:$P$1000,8, FALSE)="","",VLOOKUP(A154,'1) Kpler'!$E$2:$P$1000,8, FALSE))</f>
        <v>Singapore</v>
      </c>
      <c r="W154" s="159">
        <f>IF(VLOOKUP(A154,'1) Kpler'!$E$2:$P$1000,9,FALSE)="","",VLOOKUP(A154,'1) Kpler'!$E$2:$P$1000,9,FALSE))</f>
        <v>46157.75</v>
      </c>
      <c r="X154" s="114" t="str">
        <f>VLOOKUP(A154,'1) Kpler'!$E$2:$I$1000,4,FALSE)</f>
        <v>loaded</v>
      </c>
      <c r="Y154" s="272" t="str">
        <f t="shared" si="1"/>
        <v>29-30 May</v>
      </c>
      <c r="Z154" s="272" t="str">
        <f t="shared" si="2"/>
        <v>21-22 Jun</v>
      </c>
      <c r="AA154" s="272" t="str">
        <f t="shared" si="3"/>
        <v>22-23 Jun</v>
      </c>
      <c r="AB154" s="272" t="str">
        <f t="shared" si="4"/>
        <v>08-09 Jun</v>
      </c>
      <c r="AC154" s="272" t="str">
        <f t="shared" si="5"/>
        <v>16-17 Jun</v>
      </c>
      <c r="AD154" s="272" t="str">
        <f t="shared" si="6"/>
        <v>21-22 May</v>
      </c>
      <c r="AE154" s="273" t="str">
        <f t="shared" si="7"/>
        <v>24-25 May</v>
      </c>
      <c r="AF154" s="162" t="str">
        <f t="shared" si="8"/>
        <v>26-27 Jun</v>
      </c>
      <c r="AG154" s="163" t="str">
        <f t="shared" si="27"/>
        <v>29-30 May</v>
      </c>
      <c r="AH154" s="122">
        <f>IFERROR($M154+VLOOKUP($L154,'Voyage days'!$F$38:$H$89,3,FALSE),"")</f>
        <v>46171</v>
      </c>
      <c r="AI154" s="122">
        <f>IFERROR(N154+VLOOKUP($L154,'Voyage days'!$F$38:$H$89,3,FALSE),"")</f>
        <v>46172</v>
      </c>
      <c r="AJ154" s="163" t="str">
        <f t="shared" si="28"/>
        <v>21-22 Jun</v>
      </c>
      <c r="AK154" s="122">
        <f>IFERROR($M154+VLOOKUP($L154,'Voyage days'!$F$94:$H$193,3,FALSE),"")</f>
        <v>46194</v>
      </c>
      <c r="AL154" s="122">
        <f>IFERROR($N154+VLOOKUP($L154,'Voyage days'!$F$94:$H$193,3,FALSE),"")</f>
        <v>46195</v>
      </c>
      <c r="AM154" s="163" t="str">
        <f t="shared" si="29"/>
        <v>22-23 Jun</v>
      </c>
      <c r="AN154" s="122">
        <f>IFERROR($M154+VLOOKUP($L154,'Voyage days'!$F$203:$H$256,3,FALSE),"")</f>
        <v>46195</v>
      </c>
      <c r="AO154" s="122">
        <f>IFERROR($N154+VLOOKUP($L154,'Voyage days'!$F$203:$H$256,3,FALSE),"")</f>
        <v>46196</v>
      </c>
      <c r="AP154" s="163" t="str">
        <f t="shared" si="30"/>
        <v>08-09 Jun</v>
      </c>
      <c r="AQ154" s="122">
        <f>IFERROR($M154+VLOOKUP($L154,'Voyage days'!$F$294:$H$377,3,FALSE),"")</f>
        <v>46181</v>
      </c>
      <c r="AR154" s="122">
        <f>IFERROR($N154+VLOOKUP($L154,'Voyage days'!$F$294:$H$377,3,FALSE),"")</f>
        <v>46182</v>
      </c>
      <c r="AS154" s="163" t="str">
        <f t="shared" si="31"/>
        <v>16-17 Jun</v>
      </c>
      <c r="AT154" s="122">
        <f>IFERROR($M154+VLOOKUP($L154,'Voyage days'!$F$382:$H$446,3,FALSE),"")</f>
        <v>46189</v>
      </c>
      <c r="AU154" s="122">
        <f>IFERROR($N154+VLOOKUP($L154,'Voyage days'!$F$382:$H$446,3,FALSE),"")</f>
        <v>46190</v>
      </c>
      <c r="AV154" s="163" t="str">
        <f t="shared" si="32"/>
        <v>30-31 May</v>
      </c>
      <c r="AW154" s="122">
        <f>IFERROR($M154+VLOOKUP($L154,'Voyage days'!$F$483:$H$538,3,FALSE),"")</f>
        <v>46172</v>
      </c>
      <c r="AX154" s="122">
        <f>IFERROR($N154+VLOOKUP($L154,'Voyage days'!$F$483:$H$538,3,FALSE),"")</f>
        <v>46173</v>
      </c>
      <c r="AY154" s="163" t="str">
        <f t="shared" si="33"/>
        <v>24-25 May</v>
      </c>
      <c r="AZ154" s="122">
        <f>IFERROR($M154+VLOOKUP($L154,'Voyage days'!$F$540:$H$613,3,FALSE),"")</f>
        <v>46166</v>
      </c>
      <c r="BA154" s="122">
        <f>IFERROR($N154+VLOOKUP($L154,'Voyage days'!$F$540:$H$613,3,FALSE),"")</f>
        <v>46167</v>
      </c>
      <c r="BB154" s="163" t="str">
        <f t="shared" si="34"/>
        <v>21-22 May</v>
      </c>
      <c r="BC154" s="122">
        <f>IFERROR($M154+VLOOKUP($L154,'Voyage days'!$F$448:$H$479,3,FALSE),"")</f>
        <v>46163</v>
      </c>
      <c r="BD154" s="122">
        <f>IFERROR($N154+VLOOKUP($L154,'Voyage days'!$F$448:$H$479,3,FALSE),"")</f>
        <v>46164</v>
      </c>
      <c r="BE154" s="163" t="str">
        <f t="shared" si="35"/>
        <v/>
      </c>
      <c r="BF154" s="122" t="str">
        <f>IFERROR($M154+VLOOKUP($L154,'Voyage days'!$F$620:$H$646,3,FALSE),"")</f>
        <v/>
      </c>
      <c r="BG154" s="122" t="str">
        <f>IFERROR($N154+VLOOKUP($L154,'Voyage days'!$F$620:$H$646,3,FALSE),"")</f>
        <v/>
      </c>
      <c r="BH154" s="163" t="str">
        <f t="shared" si="36"/>
        <v>29-27 Jun</v>
      </c>
      <c r="BI154" s="123">
        <f>IFERROR($M154+VLOOKUP($L154,'Voyage days'!$F$702:$H$727,3,FALSE),"")</f>
        <v>46171</v>
      </c>
      <c r="BJ154" s="163" t="str">
        <f t="shared" si="37"/>
        <v>26-27 Jun</v>
      </c>
      <c r="BK154" s="122">
        <f>IFERROR($M154+VLOOKUP($L154,'Voyage days'!$F$807:$H$878,3,FALSE),"")</f>
        <v>46199</v>
      </c>
      <c r="BL154" s="122">
        <f>IFERROR($N154+VLOOKUP($L154,'Voyage days'!$F$807:$H$878,3,FALSE),"")</f>
        <v>46200</v>
      </c>
      <c r="BM154" s="122">
        <f>IFERROR($N154+VLOOKUP($L154,'Voyage days'!$F$807:$K$878,6,FALSE),"")</f>
        <v>46176</v>
      </c>
      <c r="BN154" s="122" t="str">
        <f>if(L154="loads AG", IFERROR($M154+VLOOKUP($L154,'Voyage days'!$M$38:$O$38,3,FALSE),""),"")</f>
        <v/>
      </c>
      <c r="BO154" s="122" t="str">
        <f>if(L154="loads USG", IFERROR($M154+VLOOKUP($L154,'Voyage days'!$L$203:$N$203,3,FALSE),""),"")</f>
        <v/>
      </c>
    </row>
    <row r="155" ht="15.75" customHeight="1">
      <c r="A155" s="80" t="s">
        <v>479</v>
      </c>
      <c r="B155" s="101">
        <v>42472.0</v>
      </c>
      <c r="C155" s="102">
        <v>84000.0</v>
      </c>
      <c r="D155" s="112"/>
      <c r="E155" s="112" t="s">
        <v>706</v>
      </c>
      <c r="F155" s="104"/>
      <c r="G155" s="104"/>
      <c r="H155" s="104"/>
      <c r="I155" s="464" t="s">
        <v>1042</v>
      </c>
      <c r="J155" s="106" t="str">
        <f t="shared" si="26"/>
        <v/>
      </c>
      <c r="K155" s="107"/>
      <c r="L155" s="108" t="s">
        <v>680</v>
      </c>
      <c r="M155" s="109">
        <v>46137.0</v>
      </c>
      <c r="N155" s="109">
        <v>46138.0</v>
      </c>
      <c r="O155" s="255"/>
      <c r="P155" s="526" t="s">
        <v>1045</v>
      </c>
      <c r="Q155" s="187" t="s">
        <v>1046</v>
      </c>
      <c r="R155" s="108" t="s">
        <v>1047</v>
      </c>
      <c r="S155" s="112" t="s">
        <v>659</v>
      </c>
      <c r="T155" s="525">
        <v>46125.0</v>
      </c>
      <c r="U155" s="114" t="str">
        <f>IF(V155="","No AIS",VLOOKUP(V155,'Voyage days'!$A$3:$B$1480,2,FALSE))</f>
        <v>USG</v>
      </c>
      <c r="V155" s="115" t="str">
        <f>IF(VLOOKUP(A155,'1) Kpler'!$E$2:$P$1000,8, FALSE)="","",VLOOKUP(A155,'1) Kpler'!$E$2:$P$1000,8, FALSE))</f>
        <v>Houston</v>
      </c>
      <c r="W155" s="116">
        <f>IF(VLOOKUP(A155,'1) Kpler'!$E$2:$P$1000,9,FALSE)="","",VLOOKUP(A155,'1) Kpler'!$E$2:$P$1000,9,FALSE))</f>
        <v>46136.04167</v>
      </c>
      <c r="X155" s="115" t="str">
        <f>VLOOKUP(A155,'1) Kpler'!$E$2:$I$1000,4,FALSE)</f>
        <v>ballast</v>
      </c>
      <c r="Y155" s="117" t="str">
        <f t="shared" si="1"/>
        <v/>
      </c>
      <c r="Z155" s="117" t="str">
        <f t="shared" si="2"/>
        <v>25-26 Apr</v>
      </c>
      <c r="AA155" s="117" t="str">
        <f t="shared" si="3"/>
        <v>25-26 Apr</v>
      </c>
      <c r="AB155" s="117" t="str">
        <f t="shared" si="4"/>
        <v/>
      </c>
      <c r="AC155" s="117" t="str">
        <f t="shared" si="5"/>
        <v>15-16 May</v>
      </c>
      <c r="AD155" s="117" t="str">
        <f t="shared" si="6"/>
        <v/>
      </c>
      <c r="AE155" s="118" t="str">
        <f t="shared" si="7"/>
        <v/>
      </c>
      <c r="AF155" s="119" t="str">
        <f t="shared" si="8"/>
        <v/>
      </c>
      <c r="AG155" s="120" t="str">
        <f t="shared" si="27"/>
        <v/>
      </c>
      <c r="AH155" s="121" t="str">
        <f>IFERROR($M155+VLOOKUP($L155,'Voyage days'!$F$38:$H$89,3,FALSE),"")</f>
        <v/>
      </c>
      <c r="AI155" s="121" t="str">
        <f>IFERROR(N155+VLOOKUP($L155,'Voyage days'!$F$38:$H$89,3,FALSE),"")</f>
        <v/>
      </c>
      <c r="AJ155" s="120" t="str">
        <f t="shared" si="28"/>
        <v>25-26 Apr</v>
      </c>
      <c r="AK155" s="121">
        <f>IFERROR($M155+VLOOKUP($L155,'Voyage days'!$F$94:$H$193,3,FALSE),"")</f>
        <v>46137</v>
      </c>
      <c r="AL155" s="121">
        <f>IFERROR($N155+VLOOKUP($L155,'Voyage days'!$F$94:$H$193,3,FALSE),"")</f>
        <v>46138</v>
      </c>
      <c r="AM155" s="120" t="str">
        <f t="shared" si="29"/>
        <v>25-26 Apr</v>
      </c>
      <c r="AN155" s="121">
        <f>IFERROR($M155+VLOOKUP($L155,'Voyage days'!$F$203:$H$256,3,FALSE),"")</f>
        <v>46137</v>
      </c>
      <c r="AO155" s="121">
        <f>IFERROR($N155+VLOOKUP($L155,'Voyage days'!$F$203:$H$256,3,FALSE),"")</f>
        <v>46138</v>
      </c>
      <c r="AP155" s="120" t="str">
        <f t="shared" si="30"/>
        <v/>
      </c>
      <c r="AQ155" s="121" t="str">
        <f>IFERROR($M155+VLOOKUP($L155,'Voyage days'!$F$294:$H$377,3,FALSE),"")</f>
        <v/>
      </c>
      <c r="AR155" s="121" t="str">
        <f>IFERROR($N155+VLOOKUP($L155,'Voyage days'!$F$294:$H$377,3,FALSE),"")</f>
        <v/>
      </c>
      <c r="AS155" s="120" t="str">
        <f t="shared" si="31"/>
        <v>15-16 May</v>
      </c>
      <c r="AT155" s="121">
        <f>IFERROR($M155+VLOOKUP($L155,'Voyage days'!$F$382:$H$446,3,FALSE),"")</f>
        <v>46157</v>
      </c>
      <c r="AU155" s="121">
        <f>IFERROR($N155+VLOOKUP($L155,'Voyage days'!$F$382:$H$446,3,FALSE),"")</f>
        <v>46158</v>
      </c>
      <c r="AV155" s="120" t="str">
        <f t="shared" si="32"/>
        <v/>
      </c>
      <c r="AW155" s="121" t="str">
        <f>IFERROR($M155+VLOOKUP($L155,'Voyage days'!$F$483:$H$538,3,FALSE),"")</f>
        <v/>
      </c>
      <c r="AX155" s="121" t="str">
        <f>IFERROR($N155+VLOOKUP($L155,'Voyage days'!$F$483:$H$538,3,FALSE),"")</f>
        <v/>
      </c>
      <c r="AY155" s="120" t="str">
        <f t="shared" si="33"/>
        <v/>
      </c>
      <c r="AZ155" s="121" t="str">
        <f>IFERROR($M155+VLOOKUP($L155,'Voyage days'!$F$540:$H$613,3,FALSE),"")</f>
        <v/>
      </c>
      <c r="BA155" s="121" t="str">
        <f>IFERROR($N155+VLOOKUP($L155,'Voyage days'!$F$540:$H$613,3,FALSE),"")</f>
        <v/>
      </c>
      <c r="BB155" s="120" t="str">
        <f t="shared" si="34"/>
        <v/>
      </c>
      <c r="BC155" s="121" t="str">
        <f>IFERROR($M155+VLOOKUP($L155,'Voyage days'!$F$448:$H$479,3,FALSE),"")</f>
        <v/>
      </c>
      <c r="BD155" s="121" t="str">
        <f>IFERROR($N155+VLOOKUP($L155,'Voyage days'!$F$448:$H$479,3,FALSE),"")</f>
        <v/>
      </c>
      <c r="BE155" s="120" t="str">
        <f t="shared" si="35"/>
        <v/>
      </c>
      <c r="BF155" s="122" t="str">
        <f>IFERROR($M155+VLOOKUP($L155,'Voyage days'!$F$620:$H$646,3,FALSE),"")</f>
        <v/>
      </c>
      <c r="BG155" s="122" t="str">
        <f>IFERROR($N155+VLOOKUP($L155,'Voyage days'!$F$620:$H$646,3,FALSE),"")</f>
        <v/>
      </c>
      <c r="BH155" s="120" t="str">
        <f t="shared" si="36"/>
        <v/>
      </c>
      <c r="BI155" s="123" t="str">
        <f>IFERROR($M155+VLOOKUP($L155,'Voyage days'!$F$702:$H$727,3,FALSE),"")</f>
        <v/>
      </c>
      <c r="BJ155" s="120" t="str">
        <f t="shared" si="37"/>
        <v/>
      </c>
      <c r="BK155" s="122" t="str">
        <f>IFERROR($M155+VLOOKUP($L155,'Voyage days'!$F$807:$H$878,3,FALSE),"")</f>
        <v/>
      </c>
      <c r="BL155" s="122" t="str">
        <f>IFERROR($N155+VLOOKUP($L155,'Voyage days'!$F$807:$H$878,3,FALSE),"")</f>
        <v/>
      </c>
      <c r="BM155" s="122" t="str">
        <f>IFERROR($N155+VLOOKUP($L155,'Voyage days'!$F$807:$K$878,6,FALSE),"")</f>
        <v/>
      </c>
      <c r="BN155" s="121" t="str">
        <f>if(L155="loads AG", IFERROR($M155+VLOOKUP($L155,'Voyage days'!$M$38:$O$38,3,FALSE),""),"")</f>
        <v/>
      </c>
      <c r="BO155" s="121">
        <f>if(L155="loads USG", IFERROR($M155+VLOOKUP($L155,'Voyage days'!$L$203:$N$203,3,FALSE),""),"")</f>
        <v>46169</v>
      </c>
    </row>
    <row r="156" ht="15.75" customHeight="1">
      <c r="A156" s="80" t="s">
        <v>482</v>
      </c>
      <c r="B156" s="101">
        <v>42439.0</v>
      </c>
      <c r="C156" s="102">
        <v>84000.0</v>
      </c>
      <c r="D156" s="112"/>
      <c r="E156" s="112" t="s">
        <v>706</v>
      </c>
      <c r="F156" s="104"/>
      <c r="G156" s="104"/>
      <c r="H156" s="104"/>
      <c r="I156" s="464" t="s">
        <v>1042</v>
      </c>
      <c r="J156" s="106" t="str">
        <f t="shared" si="26"/>
        <v/>
      </c>
      <c r="K156" s="205" t="s">
        <v>765</v>
      </c>
      <c r="L156" s="108" t="s">
        <v>860</v>
      </c>
      <c r="M156" s="109">
        <v>46159.0</v>
      </c>
      <c r="N156" s="109">
        <v>46160.0</v>
      </c>
      <c r="O156" s="191"/>
      <c r="P156" s="108" t="s">
        <v>1048</v>
      </c>
      <c r="Q156" s="108"/>
      <c r="R156" s="153" t="s">
        <v>1049</v>
      </c>
      <c r="S156" s="112" t="s">
        <v>659</v>
      </c>
      <c r="T156" s="525">
        <v>46125.0</v>
      </c>
      <c r="U156" s="114" t="str">
        <f>IF(V156="","No AIS",VLOOKUP(V156,'Voyage days'!$A$3:$B$1480,2,FALSE))</f>
        <v>Port Louis</v>
      </c>
      <c r="V156" s="115" t="str">
        <f>IF(VLOOKUP(A156,'1) Kpler'!$E$2:$P$1000,8, FALSE)="","",VLOOKUP(A156,'1) Kpler'!$E$2:$P$1000,8, FALSE))</f>
        <v>Port Louis</v>
      </c>
      <c r="W156" s="116">
        <f>IF(VLOOKUP(A156,'1) Kpler'!$E$2:$P$1000,9,FALSE)="","",VLOOKUP(A156,'1) Kpler'!$E$2:$P$1000,9,FALSE))</f>
        <v>46144.79167</v>
      </c>
      <c r="X156" s="115" t="str">
        <f>VLOOKUP(A156,'1) Kpler'!$E$2:$I$1000,4,FALSE)</f>
        <v>loaded</v>
      </c>
      <c r="Y156" s="160" t="str">
        <f t="shared" si="1"/>
        <v>01-02 Jun</v>
      </c>
      <c r="Z156" s="160" t="str">
        <f t="shared" si="2"/>
        <v>24-25 Jun</v>
      </c>
      <c r="AA156" s="160" t="str">
        <f t="shared" si="3"/>
        <v>25-26 Jun</v>
      </c>
      <c r="AB156" s="160" t="str">
        <f t="shared" si="4"/>
        <v>11-12 Jun</v>
      </c>
      <c r="AC156" s="160" t="str">
        <f t="shared" si="5"/>
        <v>19-20 Jun</v>
      </c>
      <c r="AD156" s="160" t="str">
        <f t="shared" si="6"/>
        <v>24-25 May</v>
      </c>
      <c r="AE156" s="161" t="str">
        <f t="shared" si="7"/>
        <v>27-28 May</v>
      </c>
      <c r="AF156" s="162" t="str">
        <f t="shared" si="8"/>
        <v>29-30 Jun</v>
      </c>
      <c r="AG156" s="120" t="str">
        <f t="shared" si="27"/>
        <v>01-02 Jun</v>
      </c>
      <c r="AH156" s="121">
        <f>IFERROR($M156+VLOOKUP($L156,'Voyage days'!$F$38:$H$89,3,FALSE),"")</f>
        <v>46174</v>
      </c>
      <c r="AI156" s="121">
        <f>IFERROR(N156+VLOOKUP($L156,'Voyage days'!$F$38:$H$89,3,FALSE),"")</f>
        <v>46175</v>
      </c>
      <c r="AJ156" s="120" t="str">
        <f t="shared" si="28"/>
        <v>24-25 Jun</v>
      </c>
      <c r="AK156" s="121">
        <f>IFERROR($M156+VLOOKUP($L156,'Voyage days'!$F$94:$H$193,3,FALSE),"")</f>
        <v>46197</v>
      </c>
      <c r="AL156" s="121">
        <f>IFERROR($N156+VLOOKUP($L156,'Voyage days'!$F$94:$H$193,3,FALSE),"")</f>
        <v>46198</v>
      </c>
      <c r="AM156" s="120" t="str">
        <f t="shared" si="29"/>
        <v>25-26 Jun</v>
      </c>
      <c r="AN156" s="121">
        <f>IFERROR($M156+VLOOKUP($L156,'Voyage days'!$F$203:$H$256,3,FALSE),"")</f>
        <v>46198</v>
      </c>
      <c r="AO156" s="121">
        <f>IFERROR($N156+VLOOKUP($L156,'Voyage days'!$F$203:$H$256,3,FALSE),"")</f>
        <v>46199</v>
      </c>
      <c r="AP156" s="120" t="str">
        <f t="shared" si="30"/>
        <v>11-12 Jun</v>
      </c>
      <c r="AQ156" s="121">
        <f>IFERROR($M156+VLOOKUP($L156,'Voyage days'!$F$294:$H$377,3,FALSE),"")</f>
        <v>46184</v>
      </c>
      <c r="AR156" s="121">
        <f>IFERROR($N156+VLOOKUP($L156,'Voyage days'!$F$294:$H$377,3,FALSE),"")</f>
        <v>46185</v>
      </c>
      <c r="AS156" s="120" t="str">
        <f t="shared" si="31"/>
        <v>19-20 Jun</v>
      </c>
      <c r="AT156" s="121">
        <f>IFERROR($M156+VLOOKUP($L156,'Voyage days'!$F$382:$H$446,3,FALSE),"")</f>
        <v>46192</v>
      </c>
      <c r="AU156" s="121">
        <f>IFERROR($N156+VLOOKUP($L156,'Voyage days'!$F$382:$H$446,3,FALSE),"")</f>
        <v>46193</v>
      </c>
      <c r="AV156" s="120" t="str">
        <f t="shared" si="32"/>
        <v>02-03 Jun</v>
      </c>
      <c r="AW156" s="121">
        <f>IFERROR($M156+VLOOKUP($L156,'Voyage days'!$F$483:$H$538,3,FALSE),"")</f>
        <v>46175</v>
      </c>
      <c r="AX156" s="121">
        <f>IFERROR($N156+VLOOKUP($L156,'Voyage days'!$F$483:$H$538,3,FALSE),"")</f>
        <v>46176</v>
      </c>
      <c r="AY156" s="120" t="str">
        <f t="shared" si="33"/>
        <v>27-28 May</v>
      </c>
      <c r="AZ156" s="121">
        <f>IFERROR($M156+VLOOKUP($L156,'Voyage days'!$F$540:$H$613,3,FALSE),"")</f>
        <v>46169</v>
      </c>
      <c r="BA156" s="121">
        <f>IFERROR($N156+VLOOKUP($L156,'Voyage days'!$F$540:$H$613,3,FALSE),"")</f>
        <v>46170</v>
      </c>
      <c r="BB156" s="120" t="str">
        <f t="shared" si="34"/>
        <v>24-25 May</v>
      </c>
      <c r="BC156" s="121">
        <f>IFERROR($M156+VLOOKUP($L156,'Voyage days'!$F$448:$H$479,3,FALSE),"")</f>
        <v>46166</v>
      </c>
      <c r="BD156" s="121">
        <f>IFERROR($N156+VLOOKUP($L156,'Voyage days'!$F$448:$H$479,3,FALSE),"")</f>
        <v>46167</v>
      </c>
      <c r="BE156" s="120" t="str">
        <f t="shared" si="35"/>
        <v/>
      </c>
      <c r="BF156" s="122" t="str">
        <f>IFERROR($M156+VLOOKUP($L156,'Voyage days'!$F$620:$H$646,3,FALSE),"")</f>
        <v/>
      </c>
      <c r="BG156" s="122" t="str">
        <f>IFERROR($N156+VLOOKUP($L156,'Voyage days'!$F$620:$H$646,3,FALSE),"")</f>
        <v/>
      </c>
      <c r="BH156" s="120" t="str">
        <f t="shared" si="36"/>
        <v>01-30 Jun</v>
      </c>
      <c r="BI156" s="123">
        <f>IFERROR($M156+VLOOKUP($L156,'Voyage days'!$F$702:$H$727,3,FALSE),"")</f>
        <v>46174</v>
      </c>
      <c r="BJ156" s="120" t="str">
        <f t="shared" si="37"/>
        <v>29-30 Jun</v>
      </c>
      <c r="BK156" s="122">
        <f>IFERROR($M156+VLOOKUP($L156,'Voyage days'!$F$807:$H$878,3,FALSE),"")</f>
        <v>46202</v>
      </c>
      <c r="BL156" s="122">
        <f>IFERROR($N156+VLOOKUP($L156,'Voyage days'!$F$807:$H$878,3,FALSE),"")</f>
        <v>46203</v>
      </c>
      <c r="BM156" s="122">
        <f>IFERROR($N156+VLOOKUP($L156,'Voyage days'!$F$807:$K$878,6,FALSE),"")</f>
        <v>46179</v>
      </c>
      <c r="BN156" s="121" t="str">
        <f>if(L156="loads AG", IFERROR($M156+VLOOKUP($L156,'Voyage days'!$M$38:$O$38,3,FALSE),""),"")</f>
        <v/>
      </c>
      <c r="BO156" s="121" t="str">
        <f>if(L156="loads USG", IFERROR($M156+VLOOKUP($L156,'Voyage days'!$L$203:$N$203,3,FALSE),""),"")</f>
        <v/>
      </c>
    </row>
    <row r="157" ht="15.75" customHeight="1">
      <c r="A157" s="100" t="s">
        <v>483</v>
      </c>
      <c r="B157" s="101">
        <v>42571.0</v>
      </c>
      <c r="C157" s="102">
        <v>84000.0</v>
      </c>
      <c r="D157" s="112"/>
      <c r="E157" s="112" t="s">
        <v>706</v>
      </c>
      <c r="F157" s="104"/>
      <c r="G157" s="104"/>
      <c r="H157" s="104"/>
      <c r="I157" s="464" t="s">
        <v>1042</v>
      </c>
      <c r="J157" s="106" t="str">
        <f t="shared" si="26"/>
        <v>Update</v>
      </c>
      <c r="K157" s="107"/>
      <c r="L157" s="108" t="s">
        <v>680</v>
      </c>
      <c r="M157" s="109">
        <v>46130.0</v>
      </c>
      <c r="N157" s="109">
        <v>46131.0</v>
      </c>
      <c r="O157" s="255"/>
      <c r="P157" s="108" t="s">
        <v>723</v>
      </c>
      <c r="Q157" s="108"/>
      <c r="R157" s="108" t="s">
        <v>1050</v>
      </c>
      <c r="S157" s="112" t="s">
        <v>659</v>
      </c>
      <c r="T157" s="525">
        <v>46125.0</v>
      </c>
      <c r="U157" s="114" t="str">
        <f>IF(V157="","No AIS",VLOOKUP(V157,'Voyage days'!$A$3:$B$1480,2,FALSE))</f>
        <v>India?/SG-JP?</v>
      </c>
      <c r="V157" s="115" t="str">
        <f>IF(VLOOKUP(A157,'1) Kpler'!$E$2:$P$1000,8, FALSE)="","",VLOOKUP(A157,'1) Kpler'!$E$2:$P$1000,8, FALSE))</f>
        <v>Eastern Asia</v>
      </c>
      <c r="W157" s="116">
        <f>IF(VLOOKUP(A157,'1) Kpler'!$E$2:$P$1000,9,FALSE)="","",VLOOKUP(A157,'1) Kpler'!$E$2:$P$1000,9,FALSE))</f>
        <v>46168.56944</v>
      </c>
      <c r="X157" s="115" t="str">
        <f>VLOOKUP(A157,'1) Kpler'!$E$2:$I$1000,4,FALSE)</f>
        <v>loaded</v>
      </c>
      <c r="Y157" s="117" t="str">
        <f t="shared" si="1"/>
        <v/>
      </c>
      <c r="Z157" s="117" t="str">
        <f t="shared" si="2"/>
        <v>18-19 Apr</v>
      </c>
      <c r="AA157" s="117" t="str">
        <f t="shared" si="3"/>
        <v>18-19 Apr</v>
      </c>
      <c r="AB157" s="117" t="str">
        <f t="shared" si="4"/>
        <v/>
      </c>
      <c r="AC157" s="117" t="str">
        <f t="shared" si="5"/>
        <v>08-09 May</v>
      </c>
      <c r="AD157" s="117" t="str">
        <f t="shared" si="6"/>
        <v/>
      </c>
      <c r="AE157" s="118" t="str">
        <f t="shared" si="7"/>
        <v/>
      </c>
      <c r="AF157" s="119" t="str">
        <f t="shared" si="8"/>
        <v/>
      </c>
      <c r="AG157" s="120" t="str">
        <f t="shared" si="27"/>
        <v/>
      </c>
      <c r="AH157" s="121" t="str">
        <f>IFERROR($M157+VLOOKUP($L157,'Voyage days'!$F$38:$H$89,3,FALSE),"")</f>
        <v/>
      </c>
      <c r="AI157" s="121" t="str">
        <f>IFERROR(N157+VLOOKUP($L157,'Voyage days'!$F$38:$H$89,3,FALSE),"")</f>
        <v/>
      </c>
      <c r="AJ157" s="120" t="str">
        <f t="shared" si="28"/>
        <v>18-19 Apr</v>
      </c>
      <c r="AK157" s="121">
        <f>IFERROR($M157+VLOOKUP($L157,'Voyage days'!$F$94:$H$193,3,FALSE),"")</f>
        <v>46130</v>
      </c>
      <c r="AL157" s="121">
        <f>IFERROR($N157+VLOOKUP($L157,'Voyage days'!$F$94:$H$193,3,FALSE),"")</f>
        <v>46131</v>
      </c>
      <c r="AM157" s="120" t="str">
        <f t="shared" si="29"/>
        <v>18-19 Apr</v>
      </c>
      <c r="AN157" s="121">
        <f>IFERROR($M157+VLOOKUP($L157,'Voyage days'!$F$203:$H$256,3,FALSE),"")</f>
        <v>46130</v>
      </c>
      <c r="AO157" s="121">
        <f>IFERROR($N157+VLOOKUP($L157,'Voyage days'!$F$203:$H$256,3,FALSE),"")</f>
        <v>46131</v>
      </c>
      <c r="AP157" s="120" t="str">
        <f t="shared" si="30"/>
        <v/>
      </c>
      <c r="AQ157" s="121" t="str">
        <f>IFERROR($M157+VLOOKUP($L157,'Voyage days'!$F$294:$H$377,3,FALSE),"")</f>
        <v/>
      </c>
      <c r="AR157" s="121" t="str">
        <f>IFERROR($N157+VLOOKUP($L157,'Voyage days'!$F$294:$H$377,3,FALSE),"")</f>
        <v/>
      </c>
      <c r="AS157" s="120" t="str">
        <f t="shared" si="31"/>
        <v>08-09 May</v>
      </c>
      <c r="AT157" s="121">
        <f>IFERROR($M157+VLOOKUP($L157,'Voyage days'!$F$382:$H$446,3,FALSE),"")</f>
        <v>46150</v>
      </c>
      <c r="AU157" s="121">
        <f>IFERROR($N157+VLOOKUP($L157,'Voyage days'!$F$382:$H$446,3,FALSE),"")</f>
        <v>46151</v>
      </c>
      <c r="AV157" s="120" t="str">
        <f t="shared" si="32"/>
        <v/>
      </c>
      <c r="AW157" s="121" t="str">
        <f>IFERROR($M157+VLOOKUP($L157,'Voyage days'!$F$483:$H$538,3,FALSE),"")</f>
        <v/>
      </c>
      <c r="AX157" s="121" t="str">
        <f>IFERROR($N157+VLOOKUP($L157,'Voyage days'!$F$483:$H$538,3,FALSE),"")</f>
        <v/>
      </c>
      <c r="AY157" s="120" t="str">
        <f t="shared" si="33"/>
        <v/>
      </c>
      <c r="AZ157" s="121" t="str">
        <f>IFERROR($M157+VLOOKUP($L157,'Voyage days'!$F$540:$H$613,3,FALSE),"")</f>
        <v/>
      </c>
      <c r="BA157" s="121" t="str">
        <f>IFERROR($N157+VLOOKUP($L157,'Voyage days'!$F$540:$H$613,3,FALSE),"")</f>
        <v/>
      </c>
      <c r="BB157" s="120" t="str">
        <f t="shared" si="34"/>
        <v/>
      </c>
      <c r="BC157" s="121" t="str">
        <f>IFERROR($M157+VLOOKUP($L157,'Voyage days'!$F$448:$H$479,3,FALSE),"")</f>
        <v/>
      </c>
      <c r="BD157" s="121" t="str">
        <f>IFERROR($N157+VLOOKUP($L157,'Voyage days'!$F$448:$H$479,3,FALSE),"")</f>
        <v/>
      </c>
      <c r="BE157" s="120" t="str">
        <f t="shared" si="35"/>
        <v/>
      </c>
      <c r="BF157" s="122" t="str">
        <f>IFERROR($M157+VLOOKUP($L157,'Voyage days'!$F$620:$H$646,3,FALSE),"")</f>
        <v/>
      </c>
      <c r="BG157" s="122" t="str">
        <f>IFERROR($N157+VLOOKUP($L157,'Voyage days'!$F$620:$H$646,3,FALSE),"")</f>
        <v/>
      </c>
      <c r="BH157" s="120" t="str">
        <f t="shared" si="36"/>
        <v/>
      </c>
      <c r="BI157" s="123" t="str">
        <f>IFERROR($M157+VLOOKUP($L157,'Voyage days'!$F$702:$H$727,3,FALSE),"")</f>
        <v/>
      </c>
      <c r="BJ157" s="120" t="str">
        <f t="shared" si="37"/>
        <v/>
      </c>
      <c r="BK157" s="122" t="str">
        <f>IFERROR($M157+VLOOKUP($L157,'Voyage days'!$F$807:$H$878,3,FALSE),"")</f>
        <v/>
      </c>
      <c r="BL157" s="122" t="str">
        <f>IFERROR($N157+VLOOKUP($L157,'Voyage days'!$F$807:$H$878,3,FALSE),"")</f>
        <v/>
      </c>
      <c r="BM157" s="122" t="str">
        <f>IFERROR($N157+VLOOKUP($L157,'Voyage days'!$F$807:$K$878,6,FALSE),"")</f>
        <v/>
      </c>
      <c r="BN157" s="121" t="str">
        <f>if(L157="loads AG", IFERROR($M157+VLOOKUP($L157,'Voyage days'!$M$38:$O$38,3,FALSE),""),"")</f>
        <v/>
      </c>
      <c r="BO157" s="121">
        <f>if(L157="loads USG", IFERROR($M157+VLOOKUP($L157,'Voyage days'!$L$203:$N$203,3,FALSE),""),"")</f>
        <v>46162</v>
      </c>
    </row>
    <row r="158" ht="15.0" customHeight="1">
      <c r="A158" s="80" t="s">
        <v>433</v>
      </c>
      <c r="B158" s="148">
        <v>2024.0</v>
      </c>
      <c r="C158" s="102">
        <v>93000.0</v>
      </c>
      <c r="D158" s="112"/>
      <c r="E158" s="112" t="s">
        <v>706</v>
      </c>
      <c r="F158" s="104"/>
      <c r="G158" s="104"/>
      <c r="H158" s="104" t="s">
        <v>666</v>
      </c>
      <c r="I158" s="464" t="s">
        <v>1042</v>
      </c>
      <c r="J158" s="106" t="str">
        <f t="shared" si="26"/>
        <v>Update</v>
      </c>
      <c r="K158" s="107"/>
      <c r="L158" s="108" t="s">
        <v>698</v>
      </c>
      <c r="M158" s="109">
        <v>46123.0</v>
      </c>
      <c r="N158" s="109">
        <v>46123.0</v>
      </c>
      <c r="O158" s="191"/>
      <c r="P158" s="187" t="s">
        <v>1051</v>
      </c>
      <c r="Q158" s="467"/>
      <c r="R158" s="108" t="s">
        <v>1052</v>
      </c>
      <c r="S158" s="112" t="s">
        <v>659</v>
      </c>
      <c r="T158" s="525">
        <v>46125.0</v>
      </c>
      <c r="U158" s="114" t="str">
        <f>IF(V158="","No AIS",VLOOKUP(V158,'Voyage days'!$A$3:$B$1480,2,FALSE))</f>
        <v>USG</v>
      </c>
      <c r="V158" s="115" t="str">
        <f>IF(VLOOKUP(A158,'1) Kpler'!$E$2:$P$1000,8, FALSE)="","",VLOOKUP(A158,'1) Kpler'!$E$2:$P$1000,8, FALSE))</f>
        <v>Houston</v>
      </c>
      <c r="W158" s="116">
        <f>IF(VLOOKUP(A158,'1) Kpler'!$E$2:$P$1000,9,FALSE)="","",VLOOKUP(A158,'1) Kpler'!$E$2:$P$1000,9,FALSE))</f>
        <v>46163.625</v>
      </c>
      <c r="X158" s="115" t="str">
        <f>VLOOKUP(A158,'1) Kpler'!$E$2:$I$1000,4,FALSE)</f>
        <v>ballast</v>
      </c>
      <c r="Y158" s="160" t="str">
        <f t="shared" si="1"/>
        <v>21-21 Apr</v>
      </c>
      <c r="Z158" s="160" t="str">
        <f t="shared" si="2"/>
        <v>14-14 May</v>
      </c>
      <c r="AA158" s="160" t="str">
        <f t="shared" si="3"/>
        <v>15-15 May</v>
      </c>
      <c r="AB158" s="160" t="str">
        <f t="shared" si="4"/>
        <v>01-01 May</v>
      </c>
      <c r="AC158" s="160" t="str">
        <f t="shared" si="5"/>
        <v>09-09 May</v>
      </c>
      <c r="AD158" s="160" t="str">
        <f t="shared" si="6"/>
        <v>11-11 Apr</v>
      </c>
      <c r="AE158" s="161" t="str">
        <f t="shared" si="7"/>
        <v>16-16 Apr</v>
      </c>
      <c r="AF158" s="162" t="str">
        <f t="shared" si="8"/>
        <v>18-18 May</v>
      </c>
      <c r="AG158" s="120" t="str">
        <f t="shared" si="27"/>
        <v>21-21 Apr</v>
      </c>
      <c r="AH158" s="121">
        <f>IFERROR($M158+VLOOKUP($L158,'Voyage days'!$F$38:$H$89,3,FALSE),"")</f>
        <v>46133</v>
      </c>
      <c r="AI158" s="121">
        <f>IFERROR(N158+VLOOKUP($L158,'Voyage days'!$F$38:$H$89,3,FALSE),"")</f>
        <v>46133</v>
      </c>
      <c r="AJ158" s="120" t="str">
        <f t="shared" si="28"/>
        <v>14-14 May</v>
      </c>
      <c r="AK158" s="121">
        <f>IFERROR($M158+VLOOKUP($L158,'Voyage days'!$F$94:$H$193,3,FALSE),"")</f>
        <v>46156</v>
      </c>
      <c r="AL158" s="121">
        <f>IFERROR($N158+VLOOKUP($L158,'Voyage days'!$F$94:$H$193,3,FALSE),"")</f>
        <v>46156</v>
      </c>
      <c r="AM158" s="120" t="str">
        <f t="shared" si="29"/>
        <v>15-15 May</v>
      </c>
      <c r="AN158" s="121">
        <f>IFERROR($M158+VLOOKUP($L158,'Voyage days'!$F$203:$H$256,3,FALSE),"")</f>
        <v>46157</v>
      </c>
      <c r="AO158" s="121">
        <f>IFERROR($N158+VLOOKUP($L158,'Voyage days'!$F$203:$H$256,3,FALSE),"")</f>
        <v>46157</v>
      </c>
      <c r="AP158" s="120" t="str">
        <f t="shared" si="30"/>
        <v>01-01 May</v>
      </c>
      <c r="AQ158" s="121">
        <f>IFERROR($M158+VLOOKUP($L158,'Voyage days'!$F$294:$H$377,3,FALSE),"")</f>
        <v>46143</v>
      </c>
      <c r="AR158" s="121">
        <f>IFERROR($N158+VLOOKUP($L158,'Voyage days'!$F$294:$H$377,3,FALSE),"")</f>
        <v>46143</v>
      </c>
      <c r="AS158" s="120" t="str">
        <f t="shared" si="31"/>
        <v>09-09 May</v>
      </c>
      <c r="AT158" s="121">
        <f>IFERROR($M158+VLOOKUP($L158,'Voyage days'!$F$382:$H$446,3,FALSE),"")</f>
        <v>46151</v>
      </c>
      <c r="AU158" s="121">
        <f>IFERROR($N158+VLOOKUP($L158,'Voyage days'!$F$382:$H$446,3,FALSE),"")</f>
        <v>46151</v>
      </c>
      <c r="AV158" s="120" t="str">
        <f t="shared" si="32"/>
        <v>22-22 Apr</v>
      </c>
      <c r="AW158" s="121">
        <f>IFERROR($M158+VLOOKUP($L158,'Voyage days'!$F$483:$H$538,3,FALSE),"")</f>
        <v>46134</v>
      </c>
      <c r="AX158" s="121">
        <f>IFERROR($N158+VLOOKUP($L158,'Voyage days'!$F$483:$H$538,3,FALSE),"")</f>
        <v>46134</v>
      </c>
      <c r="AY158" s="120" t="str">
        <f t="shared" si="33"/>
        <v>16-16 Apr</v>
      </c>
      <c r="AZ158" s="121">
        <f>IFERROR($M158+VLOOKUP($L158,'Voyage days'!$F$540:$H$613,3,FALSE),"")</f>
        <v>46128.25</v>
      </c>
      <c r="BA158" s="121">
        <f>IFERROR($N158+VLOOKUP($L158,'Voyage days'!$F$540:$H$613,3,FALSE),"")</f>
        <v>46128.25</v>
      </c>
      <c r="BB158" s="120" t="str">
        <f t="shared" si="34"/>
        <v>11-11 Apr</v>
      </c>
      <c r="BC158" s="121">
        <f>IFERROR($M158+VLOOKUP($L158,'Voyage days'!$F$448:$H$479,3,FALSE),"")</f>
        <v>46123</v>
      </c>
      <c r="BD158" s="121">
        <f>IFERROR($N158+VLOOKUP($L158,'Voyage days'!$F$448:$H$479,3,FALSE),"")</f>
        <v>46123</v>
      </c>
      <c r="BE158" s="120" t="str">
        <f t="shared" si="35"/>
        <v/>
      </c>
      <c r="BF158" s="122" t="str">
        <f>IFERROR($M158+VLOOKUP($L158,'Voyage days'!$F$620:$H$646,3,FALSE),"")</f>
        <v/>
      </c>
      <c r="BG158" s="122" t="str">
        <f>IFERROR($N158+VLOOKUP($L158,'Voyage days'!$F$620:$H$646,3,FALSE),"")</f>
        <v/>
      </c>
      <c r="BH158" s="120" t="str">
        <f t="shared" si="36"/>
        <v>21-18 May</v>
      </c>
      <c r="BI158" s="123">
        <f>IFERROR($M158+VLOOKUP($L158,'Voyage days'!$F$702:$H$727,3,FALSE),"")</f>
        <v>46133</v>
      </c>
      <c r="BJ158" s="120" t="str">
        <f t="shared" si="37"/>
        <v>18-18 May</v>
      </c>
      <c r="BK158" s="122">
        <f>IFERROR($M158+VLOOKUP($L158,'Voyage days'!$F$807:$H$878,3,FALSE),"")</f>
        <v>46160</v>
      </c>
      <c r="BL158" s="122">
        <f>IFERROR($N158+VLOOKUP($L158,'Voyage days'!$F$807:$H$878,3,FALSE),"")</f>
        <v>46160</v>
      </c>
      <c r="BM158" s="122">
        <f>IFERROR($N158+VLOOKUP($L158,'Voyage days'!$F$807:$K$878,6,FALSE),"")</f>
        <v>46136</v>
      </c>
      <c r="BN158" s="121" t="str">
        <f>if(L158="loads AG", IFERROR($M158+VLOOKUP($L158,'Voyage days'!$M$38:$O$38,3,FALSE),""),"")</f>
        <v/>
      </c>
      <c r="BO158" s="121" t="str">
        <f>if(L158="loads USG", IFERROR($M158+VLOOKUP($L158,'Voyage days'!$L$203:$N$203,3,FALSE),""),"")</f>
        <v/>
      </c>
    </row>
    <row r="159" ht="15.0" customHeight="1">
      <c r="A159" s="100" t="s">
        <v>436</v>
      </c>
      <c r="B159" s="148">
        <v>2023.0</v>
      </c>
      <c r="C159" s="102">
        <v>93000.0</v>
      </c>
      <c r="D159" s="112"/>
      <c r="E159" s="112" t="s">
        <v>706</v>
      </c>
      <c r="F159" s="104"/>
      <c r="G159" s="104"/>
      <c r="H159" s="104" t="s">
        <v>666</v>
      </c>
      <c r="I159" s="464" t="s">
        <v>1042</v>
      </c>
      <c r="J159" s="106" t="str">
        <f t="shared" si="26"/>
        <v/>
      </c>
      <c r="K159" s="107"/>
      <c r="L159" s="187" t="s">
        <v>680</v>
      </c>
      <c r="M159" s="276">
        <v>46137.0</v>
      </c>
      <c r="N159" s="154">
        <v>46138.0</v>
      </c>
      <c r="O159" s="255"/>
      <c r="P159" s="108" t="s">
        <v>1053</v>
      </c>
      <c r="Q159" s="108"/>
      <c r="R159" s="108" t="s">
        <v>1054</v>
      </c>
      <c r="S159" s="112" t="s">
        <v>659</v>
      </c>
      <c r="T159" s="525">
        <v>46125.0</v>
      </c>
      <c r="U159" s="114" t="str">
        <f>IF(V159="","No AIS",VLOOKUP(V159,'Voyage days'!$A$3:$B$1480,2,FALSE))</f>
        <v>USG</v>
      </c>
      <c r="V159" s="115" t="str">
        <f>IF(VLOOKUP(A159,'1) Kpler'!$E$2:$P$1000,8, FALSE)="","",VLOOKUP(A159,'1) Kpler'!$E$2:$P$1000,8, FALSE))</f>
        <v>Houston</v>
      </c>
      <c r="W159" s="116">
        <f>IF(VLOOKUP(A159,'1) Kpler'!$E$2:$P$1000,9,FALSE)="","",VLOOKUP(A159,'1) Kpler'!$E$2:$P$1000,9,FALSE))</f>
        <v>46135.75</v>
      </c>
      <c r="X159" s="115" t="str">
        <f>VLOOKUP(A159,'1) Kpler'!$E$2:$I$1000,4,FALSE)</f>
        <v>ballast</v>
      </c>
      <c r="Y159" s="117" t="str">
        <f t="shared" si="1"/>
        <v/>
      </c>
      <c r="Z159" s="117" t="str">
        <f t="shared" si="2"/>
        <v>25-26 Apr</v>
      </c>
      <c r="AA159" s="117" t="str">
        <f t="shared" si="3"/>
        <v>25-26 Apr</v>
      </c>
      <c r="AB159" s="117" t="str">
        <f t="shared" si="4"/>
        <v/>
      </c>
      <c r="AC159" s="117" t="str">
        <f t="shared" si="5"/>
        <v>15-16 May</v>
      </c>
      <c r="AD159" s="117" t="str">
        <f t="shared" si="6"/>
        <v/>
      </c>
      <c r="AE159" s="118" t="str">
        <f t="shared" si="7"/>
        <v/>
      </c>
      <c r="AF159" s="119" t="str">
        <f t="shared" si="8"/>
        <v/>
      </c>
      <c r="AG159" s="120" t="str">
        <f t="shared" si="27"/>
        <v/>
      </c>
      <c r="AH159" s="121" t="str">
        <f>IFERROR($M159+VLOOKUP($L159,'Voyage days'!$F$38:$H$89,3,FALSE),"")</f>
        <v/>
      </c>
      <c r="AI159" s="121" t="str">
        <f>IFERROR(N159+VLOOKUP($L159,'Voyage days'!$F$38:$H$89,3,FALSE),"")</f>
        <v/>
      </c>
      <c r="AJ159" s="120" t="str">
        <f t="shared" si="28"/>
        <v>25-26 Apr</v>
      </c>
      <c r="AK159" s="121">
        <f>IFERROR($M159+VLOOKUP($L159,'Voyage days'!$F$94:$H$193,3,FALSE),"")</f>
        <v>46137</v>
      </c>
      <c r="AL159" s="121">
        <f>IFERROR($N159+VLOOKUP($L159,'Voyage days'!$F$94:$H$193,3,FALSE),"")</f>
        <v>46138</v>
      </c>
      <c r="AM159" s="120" t="str">
        <f t="shared" si="29"/>
        <v>25-26 Apr</v>
      </c>
      <c r="AN159" s="121">
        <f>IFERROR($M159+VLOOKUP($L159,'Voyage days'!$F$203:$H$256,3,FALSE),"")</f>
        <v>46137</v>
      </c>
      <c r="AO159" s="121">
        <f>IFERROR($N159+VLOOKUP($L159,'Voyage days'!$F$203:$H$256,3,FALSE),"")</f>
        <v>46138</v>
      </c>
      <c r="AP159" s="120" t="str">
        <f t="shared" si="30"/>
        <v/>
      </c>
      <c r="AQ159" s="121" t="str">
        <f>IFERROR($M159+VLOOKUP($L159,'Voyage days'!$F$294:$H$377,3,FALSE),"")</f>
        <v/>
      </c>
      <c r="AR159" s="121" t="str">
        <f>IFERROR($N159+VLOOKUP($L159,'Voyage days'!$F$294:$H$377,3,FALSE),"")</f>
        <v/>
      </c>
      <c r="AS159" s="120" t="str">
        <f t="shared" si="31"/>
        <v>15-16 May</v>
      </c>
      <c r="AT159" s="121">
        <f>IFERROR($M159+VLOOKUP($L159,'Voyage days'!$F$382:$H$446,3,FALSE),"")</f>
        <v>46157</v>
      </c>
      <c r="AU159" s="121">
        <f>IFERROR($N159+VLOOKUP($L159,'Voyage days'!$F$382:$H$446,3,FALSE),"")</f>
        <v>46158</v>
      </c>
      <c r="AV159" s="120" t="str">
        <f t="shared" si="32"/>
        <v/>
      </c>
      <c r="AW159" s="121" t="str">
        <f>IFERROR($M159+VLOOKUP($L159,'Voyage days'!$F$483:$H$538,3,FALSE),"")</f>
        <v/>
      </c>
      <c r="AX159" s="121" t="str">
        <f>IFERROR($N159+VLOOKUP($L159,'Voyage days'!$F$483:$H$538,3,FALSE),"")</f>
        <v/>
      </c>
      <c r="AY159" s="120" t="str">
        <f t="shared" si="33"/>
        <v/>
      </c>
      <c r="AZ159" s="121" t="str">
        <f>IFERROR($M159+VLOOKUP($L159,'Voyage days'!$F$540:$H$613,3,FALSE),"")</f>
        <v/>
      </c>
      <c r="BA159" s="121" t="str">
        <f>IFERROR($N159+VLOOKUP($L159,'Voyage days'!$F$540:$H$613,3,FALSE),"")</f>
        <v/>
      </c>
      <c r="BB159" s="120" t="str">
        <f t="shared" si="34"/>
        <v/>
      </c>
      <c r="BC159" s="121" t="str">
        <f>IFERROR($M159+VLOOKUP($L159,'Voyage days'!$F$448:$H$479,3,FALSE),"")</f>
        <v/>
      </c>
      <c r="BD159" s="121" t="str">
        <f>IFERROR($N159+VLOOKUP($L159,'Voyage days'!$F$448:$H$479,3,FALSE),"")</f>
        <v/>
      </c>
      <c r="BE159" s="120" t="str">
        <f t="shared" si="35"/>
        <v/>
      </c>
      <c r="BF159" s="122" t="str">
        <f>IFERROR($M159+VLOOKUP($L159,'Voyage days'!$F$620:$H$646,3,FALSE),"")</f>
        <v/>
      </c>
      <c r="BG159" s="122" t="str">
        <f>IFERROR($N159+VLOOKUP($L159,'Voyage days'!$F$620:$H$646,3,FALSE),"")</f>
        <v/>
      </c>
      <c r="BH159" s="120" t="str">
        <f t="shared" si="36"/>
        <v/>
      </c>
      <c r="BI159" s="123" t="str">
        <f>IFERROR($M159+VLOOKUP($L159,'Voyage days'!$F$702:$H$727,3,FALSE),"")</f>
        <v/>
      </c>
      <c r="BJ159" s="120" t="str">
        <f t="shared" si="37"/>
        <v/>
      </c>
      <c r="BK159" s="122" t="str">
        <f>IFERROR($M159+VLOOKUP($L159,'Voyage days'!$F$807:$H$878,3,FALSE),"")</f>
        <v/>
      </c>
      <c r="BL159" s="122" t="str">
        <f>IFERROR($N159+VLOOKUP($L159,'Voyage days'!$F$807:$H$878,3,FALSE),"")</f>
        <v/>
      </c>
      <c r="BM159" s="122" t="str">
        <f>IFERROR($N159+VLOOKUP($L159,'Voyage days'!$F$807:$K$878,6,FALSE),"")</f>
        <v/>
      </c>
      <c r="BN159" s="121" t="str">
        <f>if(L159="loads AG", IFERROR($M159+VLOOKUP($L159,'Voyage days'!$M$38:$O$38,3,FALSE),""),"")</f>
        <v/>
      </c>
      <c r="BO159" s="121">
        <f>if(L159="loads USG", IFERROR($M159+VLOOKUP($L159,'Voyage days'!$L$203:$N$203,3,FALSE),""),"")</f>
        <v>46169</v>
      </c>
    </row>
    <row r="160" ht="15.75" customHeight="1">
      <c r="A160" s="274" t="s">
        <v>396</v>
      </c>
      <c r="B160" s="101">
        <v>42644.0</v>
      </c>
      <c r="C160" s="184">
        <v>84000.0</v>
      </c>
      <c r="D160" s="149"/>
      <c r="E160" s="149"/>
      <c r="F160" s="150"/>
      <c r="G160" s="150"/>
      <c r="H160" s="150"/>
      <c r="I160" s="295" t="s">
        <v>1042</v>
      </c>
      <c r="J160" s="106" t="str">
        <f t="shared" si="26"/>
        <v>Update</v>
      </c>
      <c r="K160" s="107"/>
      <c r="L160" s="187" t="s">
        <v>680</v>
      </c>
      <c r="M160" s="276">
        <v>46126.0</v>
      </c>
      <c r="N160" s="276">
        <v>46127.0</v>
      </c>
      <c r="O160" s="277"/>
      <c r="P160" s="527" t="s">
        <v>1055</v>
      </c>
      <c r="Q160" s="153"/>
      <c r="R160" s="153" t="s">
        <v>1056</v>
      </c>
      <c r="S160" s="112" t="s">
        <v>659</v>
      </c>
      <c r="T160" s="525">
        <v>46125.0</v>
      </c>
      <c r="U160" s="114" t="str">
        <f>IF(V160="","No AIS",VLOOKUP(V160,'Voyage days'!$A$3:$B$1480,2,FALSE))</f>
        <v>Galle +2</v>
      </c>
      <c r="V160" s="114" t="str">
        <f>IF(VLOOKUP(A160,'1) Kpler'!$E$2:$P$1000,8, FALSE)="","",VLOOKUP(A160,'1) Kpler'!$E$2:$P$1000,8, FALSE))</f>
        <v>India</v>
      </c>
      <c r="W160" s="159">
        <f>IF(VLOOKUP(A160,'1) Kpler'!$E$2:$P$1000,9,FALSE)="","",VLOOKUP(A160,'1) Kpler'!$E$2:$P$1000,9,FALSE))</f>
        <v>46164.33333</v>
      </c>
      <c r="X160" s="114" t="str">
        <f>VLOOKUP(A160,'1) Kpler'!$E$2:$I$1000,4,FALSE)</f>
        <v>loaded</v>
      </c>
      <c r="Y160" s="296" t="str">
        <f t="shared" si="1"/>
        <v/>
      </c>
      <c r="Z160" s="296" t="str">
        <f t="shared" si="2"/>
        <v>14-15 Apr</v>
      </c>
      <c r="AA160" s="296" t="str">
        <f t="shared" si="3"/>
        <v>14-15 Apr</v>
      </c>
      <c r="AB160" s="296" t="str">
        <f t="shared" si="4"/>
        <v/>
      </c>
      <c r="AC160" s="296" t="str">
        <f t="shared" si="5"/>
        <v>04-05 May</v>
      </c>
      <c r="AD160" s="296" t="str">
        <f t="shared" si="6"/>
        <v/>
      </c>
      <c r="AE160" s="297" t="str">
        <f t="shared" si="7"/>
        <v/>
      </c>
      <c r="AF160" s="119" t="str">
        <f t="shared" si="8"/>
        <v/>
      </c>
      <c r="AG160" s="163" t="str">
        <f t="shared" si="27"/>
        <v/>
      </c>
      <c r="AH160" s="122" t="str">
        <f>IFERROR($M160+VLOOKUP($L160,'Voyage days'!$F$38:$H$89,3,FALSE),"")</f>
        <v/>
      </c>
      <c r="AI160" s="122" t="str">
        <f>IFERROR(N160+VLOOKUP($L160,'Voyage days'!$F$38:$H$89,3,FALSE),"")</f>
        <v/>
      </c>
      <c r="AJ160" s="163" t="str">
        <f t="shared" si="28"/>
        <v>14-15 Apr</v>
      </c>
      <c r="AK160" s="122">
        <f>IFERROR($M160+VLOOKUP($L160,'Voyage days'!$F$94:$H$193,3,FALSE),"")</f>
        <v>46126</v>
      </c>
      <c r="AL160" s="122">
        <f>IFERROR($N160+VLOOKUP($L160,'Voyage days'!$F$94:$H$193,3,FALSE),"")</f>
        <v>46127</v>
      </c>
      <c r="AM160" s="163" t="str">
        <f t="shared" si="29"/>
        <v>14-15 Apr</v>
      </c>
      <c r="AN160" s="122">
        <f>IFERROR($M160+VLOOKUP($L160,'Voyage days'!$F$203:$H$256,3,FALSE),"")</f>
        <v>46126</v>
      </c>
      <c r="AO160" s="122">
        <f>IFERROR($N160+VLOOKUP($L160,'Voyage days'!$F$203:$H$256,3,FALSE),"")</f>
        <v>46127</v>
      </c>
      <c r="AP160" s="163" t="str">
        <f t="shared" si="30"/>
        <v/>
      </c>
      <c r="AQ160" s="122" t="str">
        <f>IFERROR($M160+VLOOKUP($L160,'Voyage days'!$F$294:$H$377,3,FALSE),"")</f>
        <v/>
      </c>
      <c r="AR160" s="122" t="str">
        <f>IFERROR($N160+VLOOKUP($L160,'Voyage days'!$F$294:$H$377,3,FALSE),"")</f>
        <v/>
      </c>
      <c r="AS160" s="163" t="str">
        <f t="shared" si="31"/>
        <v>04-05 May</v>
      </c>
      <c r="AT160" s="122">
        <f>IFERROR($M160+VLOOKUP($L160,'Voyage days'!$F$382:$H$446,3,FALSE),"")</f>
        <v>46146</v>
      </c>
      <c r="AU160" s="122">
        <f>IFERROR($N160+VLOOKUP($L160,'Voyage days'!$F$382:$H$446,3,FALSE),"")</f>
        <v>46147</v>
      </c>
      <c r="AV160" s="163" t="str">
        <f t="shared" si="32"/>
        <v/>
      </c>
      <c r="AW160" s="122" t="str">
        <f>IFERROR($M160+VLOOKUP($L160,'Voyage days'!$F$483:$H$538,3,FALSE),"")</f>
        <v/>
      </c>
      <c r="AX160" s="122" t="str">
        <f>IFERROR($N160+VLOOKUP($L160,'Voyage days'!$F$483:$H$538,3,FALSE),"")</f>
        <v/>
      </c>
      <c r="AY160" s="163" t="str">
        <f t="shared" si="33"/>
        <v/>
      </c>
      <c r="AZ160" s="122" t="str">
        <f>IFERROR($M160+VLOOKUP($L160,'Voyage days'!$F$540:$H$613,3,FALSE),"")</f>
        <v/>
      </c>
      <c r="BA160" s="122" t="str">
        <f>IFERROR($N160+VLOOKUP($L160,'Voyage days'!$F$540:$H$613,3,FALSE),"")</f>
        <v/>
      </c>
      <c r="BB160" s="163" t="str">
        <f t="shared" si="34"/>
        <v/>
      </c>
      <c r="BC160" s="121" t="str">
        <f>IFERROR($M160+VLOOKUP($L160,'Voyage days'!$F$448:$H$479,3,FALSE),"")</f>
        <v/>
      </c>
      <c r="BD160" s="121" t="str">
        <f>IFERROR($N160+VLOOKUP($L160,'Voyage days'!$F$448:$H$479,3,FALSE),"")</f>
        <v/>
      </c>
      <c r="BE160" s="163" t="str">
        <f t="shared" si="35"/>
        <v/>
      </c>
      <c r="BF160" s="122" t="str">
        <f>IFERROR($M160+VLOOKUP($L160,'Voyage days'!$F$620:$H$646,3,FALSE),"")</f>
        <v/>
      </c>
      <c r="BG160" s="122" t="str">
        <f>IFERROR($N160+VLOOKUP($L160,'Voyage days'!$F$620:$H$646,3,FALSE),"")</f>
        <v/>
      </c>
      <c r="BH160" s="163" t="str">
        <f t="shared" si="36"/>
        <v/>
      </c>
      <c r="BI160" s="123" t="str">
        <f>IFERROR($M160+VLOOKUP($L160,'Voyage days'!$F$702:$H$727,3,FALSE),"")</f>
        <v/>
      </c>
      <c r="BJ160" s="163" t="str">
        <f t="shared" si="37"/>
        <v/>
      </c>
      <c r="BK160" s="122" t="str">
        <f>IFERROR($M160+VLOOKUP($L160,'Voyage days'!$F$807:$H$878,3,FALSE),"")</f>
        <v/>
      </c>
      <c r="BL160" s="122" t="str">
        <f>IFERROR($N160+VLOOKUP($L160,'Voyage days'!$F$807:$H$878,3,FALSE),"")</f>
        <v/>
      </c>
      <c r="BM160" s="122" t="str">
        <f>IFERROR($N160+VLOOKUP($L160,'Voyage days'!$F$807:$K$878,6,FALSE),"")</f>
        <v/>
      </c>
      <c r="BN160" s="121" t="str">
        <f>if(L160="loads AG", IFERROR($M160+VLOOKUP($L160,'Voyage days'!$M$38:$O$38,3,FALSE),""),"")</f>
        <v/>
      </c>
      <c r="BO160" s="121">
        <f>if(L160="loads USG", IFERROR($M160+VLOOKUP($L160,'Voyage days'!$L$203:$N$203,3,FALSE),""),"")</f>
        <v>46158</v>
      </c>
    </row>
    <row r="161" ht="15.0" customHeight="1">
      <c r="A161" s="528" t="s">
        <v>536</v>
      </c>
      <c r="B161" s="101">
        <v>42436.0</v>
      </c>
      <c r="C161" s="102">
        <v>84000.0</v>
      </c>
      <c r="D161" s="103"/>
      <c r="E161" s="103"/>
      <c r="F161" s="104"/>
      <c r="G161" s="104"/>
      <c r="H161" s="104"/>
      <c r="I161" s="464" t="s">
        <v>1042</v>
      </c>
      <c r="J161" s="106" t="str">
        <f t="shared" si="26"/>
        <v>Update</v>
      </c>
      <c r="K161" s="205"/>
      <c r="L161" s="108" t="s">
        <v>1039</v>
      </c>
      <c r="M161" s="276">
        <v>46129.0</v>
      </c>
      <c r="N161" s="154">
        <v>46130.0</v>
      </c>
      <c r="O161" s="191"/>
      <c r="P161" s="108" t="s">
        <v>1057</v>
      </c>
      <c r="Q161" s="108"/>
      <c r="R161" s="108" t="s">
        <v>1058</v>
      </c>
      <c r="S161" s="112" t="s">
        <v>659</v>
      </c>
      <c r="T161" s="525">
        <v>46125.0</v>
      </c>
      <c r="U161" s="114" t="str">
        <f>IF(V161="","No AIS",VLOOKUP(V161,'Voyage days'!$A$3:$B$1480,2,FALSE))</f>
        <v>East China + 4</v>
      </c>
      <c r="V161" s="115" t="str">
        <f>IF(VLOOKUP(A161,'1) Kpler'!$E$2:$P$1000,8, FALSE)="","",VLOOKUP(A161,'1) Kpler'!$E$2:$P$1000,8, FALSE))</f>
        <v>Zhangjiagang</v>
      </c>
      <c r="W161" s="116">
        <f>IF(VLOOKUP(A161,'1) Kpler'!$E$2:$P$1000,9,FALSE)="","",VLOOKUP(A161,'1) Kpler'!$E$2:$P$1000,9,FALSE))</f>
        <v>46141.5</v>
      </c>
      <c r="X161" s="115" t="str">
        <f>VLOOKUP(A161,'1) Kpler'!$E$2:$I$1000,4,FALSE)</f>
        <v>floatingStorage</v>
      </c>
      <c r="Y161" s="117" t="str">
        <f t="shared" si="1"/>
        <v/>
      </c>
      <c r="Z161" s="117" t="str">
        <f t="shared" si="2"/>
        <v/>
      </c>
      <c r="AA161" s="117" t="str">
        <f t="shared" si="3"/>
        <v/>
      </c>
      <c r="AB161" s="117" t="str">
        <f t="shared" si="4"/>
        <v/>
      </c>
      <c r="AC161" s="117" t="str">
        <f t="shared" si="5"/>
        <v>30-01 May</v>
      </c>
      <c r="AD161" s="117" t="str">
        <f t="shared" si="6"/>
        <v/>
      </c>
      <c r="AE161" s="118" t="str">
        <f t="shared" si="7"/>
        <v/>
      </c>
      <c r="AF161" s="119" t="str">
        <f t="shared" si="8"/>
        <v/>
      </c>
      <c r="AG161" s="120" t="str">
        <f t="shared" si="27"/>
        <v/>
      </c>
      <c r="AH161" s="121" t="str">
        <f>IFERROR($M161+VLOOKUP($L161,'Voyage days'!$F$38:$H$89,3,FALSE),"")</f>
        <v/>
      </c>
      <c r="AI161" s="121" t="str">
        <f>IFERROR(N161+VLOOKUP($L161,'Voyage days'!$F$38:$H$89,3,FALSE),"")</f>
        <v/>
      </c>
      <c r="AJ161" s="120" t="str">
        <f t="shared" si="28"/>
        <v/>
      </c>
      <c r="AK161" s="121" t="str">
        <f>IFERROR($M161+VLOOKUP($L161,'Voyage days'!$F$94:$H$193,3,FALSE),"")</f>
        <v/>
      </c>
      <c r="AL161" s="121" t="str">
        <f>IFERROR($N161+VLOOKUP($L161,'Voyage days'!$F$94:$H$193,3,FALSE),"")</f>
        <v/>
      </c>
      <c r="AM161" s="120" t="str">
        <f t="shared" si="29"/>
        <v/>
      </c>
      <c r="AN161" s="121" t="str">
        <f>IFERROR($M161+VLOOKUP($L161,'Voyage days'!$F$203:$H$256,3,FALSE),"")</f>
        <v/>
      </c>
      <c r="AO161" s="121" t="str">
        <f>IFERROR($N161+VLOOKUP($L161,'Voyage days'!$F$203:$H$256,3,FALSE),"")</f>
        <v/>
      </c>
      <c r="AP161" s="120" t="str">
        <f t="shared" si="30"/>
        <v/>
      </c>
      <c r="AQ161" s="121" t="str">
        <f>IFERROR($M161+VLOOKUP($L161,'Voyage days'!$F$294:$H$377,3,FALSE),"")</f>
        <v/>
      </c>
      <c r="AR161" s="121" t="str">
        <f>IFERROR($N161+VLOOKUP($L161,'Voyage days'!$F$294:$H$377,3,FALSE),"")</f>
        <v/>
      </c>
      <c r="AS161" s="120" t="str">
        <f t="shared" si="31"/>
        <v>30-01 May</v>
      </c>
      <c r="AT161" s="121">
        <f>IFERROR($M161+VLOOKUP($L161,'Voyage days'!$F$382:$H$446,3,FALSE),"")</f>
        <v>46142</v>
      </c>
      <c r="AU161" s="121">
        <f>IFERROR($N161+VLOOKUP($L161,'Voyage days'!$F$382:$H$446,3,FALSE),"")</f>
        <v>46143</v>
      </c>
      <c r="AV161" s="120" t="str">
        <f t="shared" si="32"/>
        <v/>
      </c>
      <c r="AW161" s="121" t="str">
        <f>IFERROR($M161+VLOOKUP($L161,'Voyage days'!$F$483:$H$538,3,FALSE),"")</f>
        <v/>
      </c>
      <c r="AX161" s="121" t="str">
        <f>IFERROR($N161+VLOOKUP($L161,'Voyage days'!$F$483:$H$538,3,FALSE),"")</f>
        <v/>
      </c>
      <c r="AY161" s="120" t="str">
        <f t="shared" si="33"/>
        <v/>
      </c>
      <c r="AZ161" s="121" t="str">
        <f>IFERROR($M161+VLOOKUP($L161,'Voyage days'!$F$540:$H$613,3,FALSE),"")</f>
        <v/>
      </c>
      <c r="BA161" s="121" t="str">
        <f>IFERROR($N161+VLOOKUP($L161,'Voyage days'!$F$540:$H$613,3,FALSE),"")</f>
        <v/>
      </c>
      <c r="BB161" s="120" t="str">
        <f t="shared" si="34"/>
        <v/>
      </c>
      <c r="BC161" s="121" t="str">
        <f>IFERROR($M161+VLOOKUP($L161,'Voyage days'!$F$448:$H$479,3,FALSE),"")</f>
        <v/>
      </c>
      <c r="BD161" s="121" t="str">
        <f>IFERROR($N161+VLOOKUP($L161,'Voyage days'!$F$448:$H$479,3,FALSE),"")</f>
        <v/>
      </c>
      <c r="BE161" s="120" t="str">
        <f t="shared" si="35"/>
        <v/>
      </c>
      <c r="BF161" s="122" t="str">
        <f>IFERROR($M161+VLOOKUP($L161,'Voyage days'!$F$620:$H$646,3,FALSE),"")</f>
        <v/>
      </c>
      <c r="BG161" s="122" t="str">
        <f>IFERROR($N161+VLOOKUP($L161,'Voyage days'!$F$620:$H$646,3,FALSE),"")</f>
        <v/>
      </c>
      <c r="BH161" s="120" t="str">
        <f t="shared" si="36"/>
        <v/>
      </c>
      <c r="BI161" s="123" t="str">
        <f>IFERROR($M161+VLOOKUP($L161,'Voyage days'!$F$702:$H$727,3,FALSE),"")</f>
        <v/>
      </c>
      <c r="BJ161" s="120" t="str">
        <f t="shared" si="37"/>
        <v/>
      </c>
      <c r="BK161" s="122" t="str">
        <f>IFERROR($M161+VLOOKUP($L161,'Voyage days'!$F$807:$H$878,3,FALSE),"")</f>
        <v/>
      </c>
      <c r="BL161" s="122" t="str">
        <f>IFERROR($N161+VLOOKUP($L161,'Voyage days'!$F$807:$H$878,3,FALSE),"")</f>
        <v/>
      </c>
      <c r="BM161" s="122" t="str">
        <f>IFERROR($N161+VLOOKUP($L161,'Voyage days'!$F$807:$K$878,6,FALSE),"")</f>
        <v/>
      </c>
      <c r="BN161" s="121" t="str">
        <f>if(L161="loads AG", IFERROR($M161+VLOOKUP($L161,'Voyage days'!$M$38:$O$38,3,FALSE),""),"")</f>
        <v/>
      </c>
      <c r="BO161" s="121" t="str">
        <f>if(L161="loads USG", IFERROR($M161+VLOOKUP($L161,'Voyage days'!$L$203:$N$203,3,FALSE),""),"")</f>
        <v/>
      </c>
    </row>
    <row r="162" ht="15.0" customHeight="1">
      <c r="A162" s="164" t="s">
        <v>549</v>
      </c>
      <c r="B162" s="222">
        <v>42550.0</v>
      </c>
      <c r="C162" s="166">
        <v>84000.0</v>
      </c>
      <c r="D162" s="223"/>
      <c r="E162" s="223"/>
      <c r="F162" s="168"/>
      <c r="G162" s="168"/>
      <c r="H162" s="168"/>
      <c r="I162" s="529" t="s">
        <v>1042</v>
      </c>
      <c r="J162" s="170" t="str">
        <f t="shared" si="26"/>
        <v>Update</v>
      </c>
      <c r="K162" s="171"/>
      <c r="L162" s="172" t="s">
        <v>680</v>
      </c>
      <c r="M162" s="530">
        <v>46127.0</v>
      </c>
      <c r="N162" s="254">
        <v>46128.0</v>
      </c>
      <c r="O162" s="226"/>
      <c r="P162" s="377" t="s">
        <v>1059</v>
      </c>
      <c r="Q162" s="312"/>
      <c r="R162" s="172" t="s">
        <v>1060</v>
      </c>
      <c r="S162" s="175" t="s">
        <v>659</v>
      </c>
      <c r="T162" s="176">
        <v>46125.0</v>
      </c>
      <c r="U162" s="177" t="str">
        <f>IF(V162="","No AIS",VLOOKUP(V162,'Voyage days'!$A$3:$B$1480,2,FALSE))</f>
        <v>India?/SG-JP?</v>
      </c>
      <c r="V162" s="178" t="str">
        <f>IF(VLOOKUP(A162,'1) Kpler'!$E$2:$P$1000,8, FALSE)="","",VLOOKUP(A162,'1) Kpler'!$E$2:$P$1000,8, FALSE))</f>
        <v>Eastern Asia</v>
      </c>
      <c r="W162" s="179">
        <f>IF(VLOOKUP(A162,'1) Kpler'!$E$2:$P$1000,9,FALSE)="","",VLOOKUP(A162,'1) Kpler'!$E$2:$P$1000,9,FALSE))</f>
        <v>46161.24514</v>
      </c>
      <c r="X162" s="178" t="str">
        <f>VLOOKUP(A162,'1) Kpler'!$E$2:$I$1000,4,FALSE)</f>
        <v>loaded</v>
      </c>
      <c r="Y162" s="120" t="str">
        <f t="shared" si="1"/>
        <v/>
      </c>
      <c r="Z162" s="120" t="str">
        <f t="shared" si="2"/>
        <v>15-16 Apr</v>
      </c>
      <c r="AA162" s="120" t="str">
        <f t="shared" si="3"/>
        <v>15-16 Apr</v>
      </c>
      <c r="AB162" s="120" t="str">
        <f t="shared" si="4"/>
        <v/>
      </c>
      <c r="AC162" s="120" t="str">
        <f t="shared" si="5"/>
        <v>05-06 May</v>
      </c>
      <c r="AD162" s="120" t="str">
        <f t="shared" si="6"/>
        <v/>
      </c>
      <c r="AE162" s="228" t="str">
        <f t="shared" si="7"/>
        <v/>
      </c>
      <c r="AF162" s="229" t="str">
        <f t="shared" si="8"/>
        <v/>
      </c>
      <c r="AG162" s="120" t="str">
        <f t="shared" si="27"/>
        <v/>
      </c>
      <c r="AH162" s="121" t="str">
        <f>IFERROR($M162+VLOOKUP($L162,'Voyage days'!$F$38:$H$89,3,FALSE),"")</f>
        <v/>
      </c>
      <c r="AI162" s="121" t="str">
        <f>IFERROR(N162+VLOOKUP($L162,'Voyage days'!$F$38:$H$89,3,FALSE),"")</f>
        <v/>
      </c>
      <c r="AJ162" s="120" t="str">
        <f t="shared" si="28"/>
        <v>15-16 Apr</v>
      </c>
      <c r="AK162" s="121">
        <f>IFERROR($M162+VLOOKUP($L162,'Voyage days'!$F$94:$H$193,3,FALSE),"")</f>
        <v>46127</v>
      </c>
      <c r="AL162" s="121">
        <f>IFERROR($N162+VLOOKUP($L162,'Voyage days'!$F$94:$H$193,3,FALSE),"")</f>
        <v>46128</v>
      </c>
      <c r="AM162" s="120" t="str">
        <f t="shared" si="29"/>
        <v>15-16 Apr</v>
      </c>
      <c r="AN162" s="121">
        <f>IFERROR($M162+VLOOKUP($L162,'Voyage days'!$F$203:$H$256,3,FALSE),"")</f>
        <v>46127</v>
      </c>
      <c r="AO162" s="121">
        <f>IFERROR($N162+VLOOKUP($L162,'Voyage days'!$F$203:$H$256,3,FALSE),"")</f>
        <v>46128</v>
      </c>
      <c r="AP162" s="120" t="str">
        <f t="shared" si="30"/>
        <v/>
      </c>
      <c r="AQ162" s="121" t="str">
        <f>IFERROR($M162+VLOOKUP($L162,'Voyage days'!$F$294:$H$377,3,FALSE),"")</f>
        <v/>
      </c>
      <c r="AR162" s="121" t="str">
        <f>IFERROR($N162+VLOOKUP($L162,'Voyage days'!$F$294:$H$377,3,FALSE),"")</f>
        <v/>
      </c>
      <c r="AS162" s="120" t="str">
        <f t="shared" si="31"/>
        <v>05-06 May</v>
      </c>
      <c r="AT162" s="121">
        <f>IFERROR($M162+VLOOKUP($L162,'Voyage days'!$F$382:$H$446,3,FALSE),"")</f>
        <v>46147</v>
      </c>
      <c r="AU162" s="121">
        <f>IFERROR($N162+VLOOKUP($L162,'Voyage days'!$F$382:$H$446,3,FALSE),"")</f>
        <v>46148</v>
      </c>
      <c r="AV162" s="120" t="str">
        <f t="shared" si="32"/>
        <v/>
      </c>
      <c r="AW162" s="121" t="str">
        <f>IFERROR($M162+VLOOKUP($L162,'Voyage days'!$F$483:$H$538,3,FALSE),"")</f>
        <v/>
      </c>
      <c r="AX162" s="121" t="str">
        <f>IFERROR($N162+VLOOKUP($L162,'Voyage days'!$F$483:$H$538,3,FALSE),"")</f>
        <v/>
      </c>
      <c r="AY162" s="120" t="str">
        <f t="shared" si="33"/>
        <v/>
      </c>
      <c r="AZ162" s="121" t="str">
        <f>IFERROR($M162+VLOOKUP($L162,'Voyage days'!$F$540:$H$613,3,FALSE),"")</f>
        <v/>
      </c>
      <c r="BA162" s="121" t="str">
        <f>IFERROR($N162+VLOOKUP($L162,'Voyage days'!$F$540:$H$613,3,FALSE),"")</f>
        <v/>
      </c>
      <c r="BB162" s="120" t="str">
        <f t="shared" si="34"/>
        <v/>
      </c>
      <c r="BC162" s="121" t="str">
        <f>IFERROR($M162+VLOOKUP($L162,'Voyage days'!$F$448:$H$479,3,FALSE),"")</f>
        <v/>
      </c>
      <c r="BD162" s="121" t="str">
        <f>IFERROR($N162+VLOOKUP($L162,'Voyage days'!$F$448:$H$479,3,FALSE),"")</f>
        <v/>
      </c>
      <c r="BE162" s="120" t="str">
        <f t="shared" si="35"/>
        <v/>
      </c>
      <c r="BF162" s="122" t="str">
        <f>IFERROR($M162+VLOOKUP($L162,'Voyage days'!$F$620:$H$646,3,FALSE),"")</f>
        <v/>
      </c>
      <c r="BG162" s="122" t="str">
        <f>IFERROR($N162+VLOOKUP($L162,'Voyage days'!$F$620:$H$646,3,FALSE),"")</f>
        <v/>
      </c>
      <c r="BH162" s="120" t="str">
        <f t="shared" si="36"/>
        <v/>
      </c>
      <c r="BI162" s="123" t="str">
        <f>IFERROR($M162+VLOOKUP($L162,'Voyage days'!$F$702:$H$727,3,FALSE),"")</f>
        <v/>
      </c>
      <c r="BJ162" s="120" t="str">
        <f t="shared" si="37"/>
        <v/>
      </c>
      <c r="BK162" s="122" t="str">
        <f>IFERROR($M162+VLOOKUP($L162,'Voyage days'!$F$807:$H$878,3,FALSE),"")</f>
        <v/>
      </c>
      <c r="BL162" s="122" t="str">
        <f>IFERROR($N162+VLOOKUP($L162,'Voyage days'!$F$807:$H$878,3,FALSE),"")</f>
        <v/>
      </c>
      <c r="BM162" s="122" t="str">
        <f>IFERROR($N162+VLOOKUP($L162,'Voyage days'!$F$807:$K$878,6,FALSE),"")</f>
        <v/>
      </c>
      <c r="BN162" s="121" t="str">
        <f>if(L162="loads AG", IFERROR($M162+VLOOKUP($L162,'Voyage days'!$M$38:$O$38,3,FALSE),""),"")</f>
        <v/>
      </c>
      <c r="BO162" s="121">
        <f>if(L162="loads USG", IFERROR($M162+VLOOKUP($L162,'Voyage days'!$L$203:$N$203,3,FALSE),""),"")</f>
        <v>46159</v>
      </c>
    </row>
    <row r="163">
      <c r="A163" s="375" t="s">
        <v>180</v>
      </c>
      <c r="B163" s="101">
        <v>42978.0</v>
      </c>
      <c r="C163" s="102">
        <v>78700.0</v>
      </c>
      <c r="D163" s="112" t="s">
        <v>603</v>
      </c>
      <c r="E163" s="149"/>
      <c r="F163" s="150"/>
      <c r="G163" s="150"/>
      <c r="H163" s="150" t="s">
        <v>689</v>
      </c>
      <c r="I163" s="321" t="s">
        <v>1061</v>
      </c>
      <c r="J163" s="151" t="str">
        <f t="shared" si="26"/>
        <v/>
      </c>
      <c r="K163" s="152"/>
      <c r="L163" s="322" t="s">
        <v>680</v>
      </c>
      <c r="M163" s="438">
        <v>46140.0</v>
      </c>
      <c r="N163" s="531">
        <v>46141.0</v>
      </c>
      <c r="O163" s="155"/>
      <c r="P163" s="153" t="s">
        <v>1062</v>
      </c>
      <c r="Q163" s="157"/>
      <c r="R163" s="153" t="s">
        <v>1063</v>
      </c>
      <c r="S163" s="256" t="s">
        <v>659</v>
      </c>
      <c r="T163" s="420">
        <v>46124.0</v>
      </c>
      <c r="U163" s="114" t="str">
        <f>IF(V163="","No AIS",VLOOKUP(V163,'Voyage days'!$A$3:$B$1480,2,FALSE))</f>
        <v>USG</v>
      </c>
      <c r="V163" s="114" t="str">
        <f>IF(VLOOKUP(A163,'1) Kpler'!$E$2:$P$1000,8, FALSE)="","",VLOOKUP(A163,'1) Kpler'!$E$2:$P$1000,8, FALSE))</f>
        <v>Freeport Texas</v>
      </c>
      <c r="W163" s="159">
        <f>IF(VLOOKUP(A163,'1) Kpler'!$E$2:$P$1000,9,FALSE)="","",VLOOKUP(A163,'1) Kpler'!$E$2:$P$1000,9,FALSE))</f>
        <v>46139.95833</v>
      </c>
      <c r="X163" s="114" t="str">
        <f>VLOOKUP(A163,'1) Kpler'!$E$2:$I$1000,4,FALSE)</f>
        <v>ballast</v>
      </c>
      <c r="Y163" s="296" t="str">
        <f t="shared" si="1"/>
        <v/>
      </c>
      <c r="Z163" s="296" t="str">
        <f t="shared" si="2"/>
        <v>28-29 Apr</v>
      </c>
      <c r="AA163" s="296" t="str">
        <f t="shared" si="3"/>
        <v>28-29 Apr</v>
      </c>
      <c r="AB163" s="296" t="str">
        <f t="shared" si="4"/>
        <v/>
      </c>
      <c r="AC163" s="296" t="str">
        <f t="shared" si="5"/>
        <v>18-19 May</v>
      </c>
      <c r="AD163" s="296" t="str">
        <f t="shared" si="6"/>
        <v/>
      </c>
      <c r="AE163" s="297" t="str">
        <f t="shared" si="7"/>
        <v/>
      </c>
      <c r="AF163" s="119" t="str">
        <f t="shared" si="8"/>
        <v/>
      </c>
      <c r="AG163" s="163" t="str">
        <f t="shared" si="27"/>
        <v/>
      </c>
      <c r="AH163" s="122" t="str">
        <f>IFERROR($M163+VLOOKUP($L163,'Voyage days'!$F$38:$H$89,3,FALSE),"")</f>
        <v/>
      </c>
      <c r="AI163" s="122" t="str">
        <f>IFERROR(N163+VLOOKUP($L163,'Voyage days'!$F$38:$H$89,3,FALSE),"")</f>
        <v/>
      </c>
      <c r="AJ163" s="163" t="str">
        <f t="shared" si="28"/>
        <v>28-29 Apr</v>
      </c>
      <c r="AK163" s="122">
        <f>IFERROR($M163+VLOOKUP($L163,'Voyage days'!$F$94:$H$193,3,FALSE),"")</f>
        <v>46140</v>
      </c>
      <c r="AL163" s="122">
        <f>IFERROR($N163+VLOOKUP($L163,'Voyage days'!$F$94:$H$193,3,FALSE),"")</f>
        <v>46141</v>
      </c>
      <c r="AM163" s="163" t="str">
        <f t="shared" si="29"/>
        <v>28-29 Apr</v>
      </c>
      <c r="AN163" s="122">
        <f>IFERROR($M163+VLOOKUP($L163,'Voyage days'!$F$203:$H$256,3,FALSE),"")</f>
        <v>46140</v>
      </c>
      <c r="AO163" s="122">
        <f>IFERROR($N163+VLOOKUP($L163,'Voyage days'!$F$203:$H$256,3,FALSE),"")</f>
        <v>46141</v>
      </c>
      <c r="AP163" s="163" t="str">
        <f t="shared" si="30"/>
        <v/>
      </c>
      <c r="AQ163" s="122" t="str">
        <f>IFERROR($M163+VLOOKUP($L163,'Voyage days'!$F$294:$H$377,3,FALSE),"")</f>
        <v/>
      </c>
      <c r="AR163" s="122" t="str">
        <f>IFERROR($N163+VLOOKUP($L163,'Voyage days'!$F$294:$H$377,3,FALSE),"")</f>
        <v/>
      </c>
      <c r="AS163" s="163" t="str">
        <f t="shared" si="31"/>
        <v>18-19 May</v>
      </c>
      <c r="AT163" s="122">
        <f>IFERROR($M163+VLOOKUP($L163,'Voyage days'!$F$382:$H$446,3,FALSE),"")</f>
        <v>46160</v>
      </c>
      <c r="AU163" s="122">
        <f>IFERROR($N163+VLOOKUP($L163,'Voyage days'!$F$382:$H$446,3,FALSE),"")</f>
        <v>46161</v>
      </c>
      <c r="AV163" s="163" t="str">
        <f t="shared" si="32"/>
        <v/>
      </c>
      <c r="AW163" s="122" t="str">
        <f>IFERROR($M163+VLOOKUP($L163,'Voyage days'!$F$483:$H$538,3,FALSE),"")</f>
        <v/>
      </c>
      <c r="AX163" s="122" t="str">
        <f>IFERROR($N163+VLOOKUP($L163,'Voyage days'!$F$483:$H$538,3,FALSE),"")</f>
        <v/>
      </c>
      <c r="AY163" s="163" t="str">
        <f t="shared" si="33"/>
        <v/>
      </c>
      <c r="AZ163" s="122" t="str">
        <f>IFERROR($M163+VLOOKUP($L163,'Voyage days'!$F$540:$H$613,3,FALSE),"")</f>
        <v/>
      </c>
      <c r="BA163" s="122" t="str">
        <f>IFERROR($N163+VLOOKUP($L163,'Voyage days'!$F$540:$H$613,3,FALSE),"")</f>
        <v/>
      </c>
      <c r="BB163" s="163" t="str">
        <f t="shared" si="34"/>
        <v/>
      </c>
      <c r="BC163" s="121" t="str">
        <f>IFERROR($M163+VLOOKUP($L163,'Voyage days'!$F$448:$H$479,3,FALSE),"")</f>
        <v/>
      </c>
      <c r="BD163" s="121" t="str">
        <f>IFERROR($N163+VLOOKUP($L163,'Voyage days'!$F$448:$H$479,3,FALSE),"")</f>
        <v/>
      </c>
      <c r="BE163" s="163" t="str">
        <f t="shared" si="35"/>
        <v/>
      </c>
      <c r="BF163" s="122" t="str">
        <f>IFERROR($M163+VLOOKUP($L163,'Voyage days'!$F$620:$H$646,3,FALSE),"")</f>
        <v/>
      </c>
      <c r="BG163" s="122" t="str">
        <f>IFERROR($N163+VLOOKUP($L163,'Voyage days'!$F$620:$H$646,3,FALSE),"")</f>
        <v/>
      </c>
      <c r="BH163" s="163" t="str">
        <f t="shared" si="36"/>
        <v/>
      </c>
      <c r="BI163" s="123" t="str">
        <f>IFERROR($M163+VLOOKUP($L163,'Voyage days'!$F$702:$H$727,3,FALSE),"")</f>
        <v/>
      </c>
      <c r="BJ163" s="163" t="str">
        <f t="shared" si="37"/>
        <v/>
      </c>
      <c r="BK163" s="122" t="str">
        <f>IFERROR($M163+VLOOKUP($L163,'Voyage days'!$F$807:$H$878,3,FALSE),"")</f>
        <v/>
      </c>
      <c r="BL163" s="122" t="str">
        <f>IFERROR($N163+VLOOKUP($L163,'Voyage days'!$F$807:$H$878,3,FALSE),"")</f>
        <v/>
      </c>
      <c r="BM163" s="122" t="str">
        <f>IFERROR($N163+VLOOKUP($L163,'Voyage days'!$F$807:$K$878,6,FALSE),"")</f>
        <v/>
      </c>
      <c r="BN163" s="121" t="str">
        <f>if(L163="loads AG", IFERROR($M163+VLOOKUP($L163,'Voyage days'!$M$38:$O$38,3,FALSE),""),"")</f>
        <v/>
      </c>
      <c r="BO163" s="121">
        <f>if(L163="loads USG", IFERROR($M163+VLOOKUP($L163,'Voyage days'!$L$203:$N$203,3,FALSE),""),"")</f>
        <v>46172</v>
      </c>
    </row>
    <row r="164" ht="15.75" customHeight="1">
      <c r="A164" s="396" t="s">
        <v>168</v>
      </c>
      <c r="B164" s="222">
        <v>42886.0</v>
      </c>
      <c r="C164" s="166">
        <v>78700.0</v>
      </c>
      <c r="D164" s="175" t="s">
        <v>603</v>
      </c>
      <c r="E164" s="223"/>
      <c r="F164" s="168"/>
      <c r="G164" s="168"/>
      <c r="H164" s="168" t="s">
        <v>689</v>
      </c>
      <c r="I164" s="324" t="s">
        <v>1061</v>
      </c>
      <c r="J164" s="170" t="str">
        <f t="shared" si="26"/>
        <v/>
      </c>
      <c r="K164" s="225"/>
      <c r="L164" s="172" t="s">
        <v>720</v>
      </c>
      <c r="M164" s="173">
        <v>46151.0</v>
      </c>
      <c r="N164" s="173">
        <v>46152.0</v>
      </c>
      <c r="O164" s="174"/>
      <c r="P164" s="172" t="s">
        <v>1064</v>
      </c>
      <c r="Q164" s="532"/>
      <c r="R164" s="377" t="s">
        <v>1065</v>
      </c>
      <c r="S164" s="533" t="s">
        <v>659</v>
      </c>
      <c r="T164" s="176">
        <v>46124.0</v>
      </c>
      <c r="U164" s="177" t="str">
        <f>IF(V164="","No AIS",VLOOKUP(V164,'Voyage days'!$A$3:$B$1480,2,FALSE))</f>
        <v>Korea + 4</v>
      </c>
      <c r="V164" s="178" t="str">
        <f>IF(VLOOKUP(A164,'1) Kpler'!$E$2:$P$1000,8, FALSE)="","",VLOOKUP(A164,'1) Kpler'!$E$2:$P$1000,8, FALSE))</f>
        <v>Total Daesan Hanwha Refinery</v>
      </c>
      <c r="W164" s="179">
        <f>IF(VLOOKUP(A164,'1) Kpler'!$E$2:$P$1000,9,FALSE)="","",VLOOKUP(A164,'1) Kpler'!$E$2:$P$1000,9,FALSE))</f>
        <v>46148.58333</v>
      </c>
      <c r="X164" s="178" t="str">
        <f>VLOOKUP(A164,'1) Kpler'!$E$2:$I$1000,4,FALSE)</f>
        <v>loaded</v>
      </c>
      <c r="Y164" s="120" t="str">
        <f t="shared" si="1"/>
        <v>27-28 May</v>
      </c>
      <c r="Z164" s="120" t="str">
        <f t="shared" si="2"/>
        <v>12-13 Jun</v>
      </c>
      <c r="AA164" s="120" t="str">
        <f t="shared" si="3"/>
        <v>19-20 Jun</v>
      </c>
      <c r="AB164" s="120" t="str">
        <f t="shared" si="4"/>
        <v>07-08 Jun</v>
      </c>
      <c r="AC164" s="120" t="str">
        <f t="shared" si="5"/>
        <v>13-14 Jun</v>
      </c>
      <c r="AD164" s="120" t="str">
        <f t="shared" si="6"/>
        <v>16-17 May</v>
      </c>
      <c r="AE164" s="228" t="str">
        <f t="shared" si="7"/>
        <v>17-18 May</v>
      </c>
      <c r="AF164" s="229" t="str">
        <f t="shared" si="8"/>
        <v>23-24 Jun</v>
      </c>
      <c r="AG164" s="120" t="str">
        <f t="shared" si="27"/>
        <v>27-28 May</v>
      </c>
      <c r="AH164" s="121">
        <f>IFERROR($M164+VLOOKUP($L164,'Voyage days'!$F$38:$H$89,3,FALSE),"")</f>
        <v>46169</v>
      </c>
      <c r="AI164" s="121">
        <f>IFERROR(N164+VLOOKUP($L164,'Voyage days'!$F$38:$H$89,3,FALSE),"")</f>
        <v>46170</v>
      </c>
      <c r="AJ164" s="120" t="str">
        <f t="shared" si="28"/>
        <v>12-13 Jun</v>
      </c>
      <c r="AK164" s="121">
        <f>IFERROR($M164+VLOOKUP($L164,'Voyage days'!$F$94:$H$193,3,FALSE),"")</f>
        <v>46185</v>
      </c>
      <c r="AL164" s="121">
        <f>IFERROR($N164+VLOOKUP($L164,'Voyage days'!$F$94:$H$193,3,FALSE),"")</f>
        <v>46186</v>
      </c>
      <c r="AM164" s="120" t="str">
        <f t="shared" si="29"/>
        <v>19-20 Jun</v>
      </c>
      <c r="AN164" s="121">
        <f>IFERROR($M164+VLOOKUP($L164,'Voyage days'!$F$203:$H$256,3,FALSE),"")</f>
        <v>46192</v>
      </c>
      <c r="AO164" s="121">
        <f>IFERROR($N164+VLOOKUP($L164,'Voyage days'!$F$203:$H$256,3,FALSE),"")</f>
        <v>46193</v>
      </c>
      <c r="AP164" s="120" t="str">
        <f t="shared" si="30"/>
        <v>07-08 Jun</v>
      </c>
      <c r="AQ164" s="121">
        <f>IFERROR($M164+VLOOKUP($L164,'Voyage days'!$F$294:$H$377,3,FALSE),"")</f>
        <v>46180</v>
      </c>
      <c r="AR164" s="121">
        <f>IFERROR($N164+VLOOKUP($L164,'Voyage days'!$F$294:$H$377,3,FALSE),"")</f>
        <v>46181</v>
      </c>
      <c r="AS164" s="120" t="str">
        <f t="shared" si="31"/>
        <v>13-14 Jun</v>
      </c>
      <c r="AT164" s="121">
        <f>IFERROR($M164+VLOOKUP($L164,'Voyage days'!$F$382:$H$446,3,FALSE),"")</f>
        <v>46186</v>
      </c>
      <c r="AU164" s="121">
        <f>IFERROR($N164+VLOOKUP($L164,'Voyage days'!$F$382:$H$446,3,FALSE),"")</f>
        <v>46187</v>
      </c>
      <c r="AV164" s="120" t="str">
        <f t="shared" si="32"/>
        <v>23-24 May</v>
      </c>
      <c r="AW164" s="121">
        <f>IFERROR($M164+VLOOKUP($L164,'Voyage days'!$F$483:$H$538,3,FALSE),"")</f>
        <v>46165</v>
      </c>
      <c r="AX164" s="121">
        <f>IFERROR($N164+VLOOKUP($L164,'Voyage days'!$F$483:$H$538,3,FALSE),"")</f>
        <v>46166</v>
      </c>
      <c r="AY164" s="120" t="str">
        <f t="shared" si="33"/>
        <v>17-18 May</v>
      </c>
      <c r="AZ164" s="121">
        <f>IFERROR($M164+VLOOKUP($L164,'Voyage days'!$F$540:$H$613,3,FALSE),"")</f>
        <v>46159</v>
      </c>
      <c r="BA164" s="121">
        <f>IFERROR($N164+VLOOKUP($L164,'Voyage days'!$F$540:$H$613,3,FALSE),"")</f>
        <v>46160</v>
      </c>
      <c r="BB164" s="120" t="str">
        <f t="shared" si="34"/>
        <v>16-17 May</v>
      </c>
      <c r="BC164" s="121">
        <f>IFERROR($M164+VLOOKUP($L164,'Voyage days'!$F$448:$H$479,3,FALSE),"")</f>
        <v>46158</v>
      </c>
      <c r="BD164" s="121">
        <f>IFERROR($N164+VLOOKUP($L164,'Voyage days'!$F$448:$H$479,3,FALSE),"")</f>
        <v>46159</v>
      </c>
      <c r="BE164" s="120" t="str">
        <f t="shared" si="35"/>
        <v>20-21 May</v>
      </c>
      <c r="BF164" s="122">
        <f>IFERROR($M164+VLOOKUP($L164,'Voyage days'!$F$620:$H$646,3,FALSE),"")</f>
        <v>46162</v>
      </c>
      <c r="BG164" s="122">
        <f>IFERROR($N164+VLOOKUP($L164,'Voyage days'!$F$620:$H$646,3,FALSE),"")</f>
        <v>46163</v>
      </c>
      <c r="BH164" s="120" t="str">
        <f t="shared" si="36"/>
        <v>17-24 Jun</v>
      </c>
      <c r="BI164" s="123">
        <f>IFERROR($M164+VLOOKUP($L164,'Voyage days'!$F$702:$H$727,3,FALSE),"")</f>
        <v>46159</v>
      </c>
      <c r="BJ164" s="120" t="str">
        <f t="shared" si="37"/>
        <v>23-24 Jun</v>
      </c>
      <c r="BK164" s="122">
        <f>IFERROR($M164+VLOOKUP($L164,'Voyage days'!$F$807:$H$878,3,FALSE),"")</f>
        <v>46196</v>
      </c>
      <c r="BL164" s="122">
        <f>IFERROR($N164+VLOOKUP($L164,'Voyage days'!$F$807:$H$878,3,FALSE),"")</f>
        <v>46197</v>
      </c>
      <c r="BM164" s="122">
        <f>IFERROR($N164+VLOOKUP($L164,'Voyage days'!$F$807:$K$878,6,FALSE),"")</f>
        <v>46171</v>
      </c>
      <c r="BN164" s="121" t="str">
        <f>if(L164="loads AG", IFERROR($M164+VLOOKUP($L164,'Voyage days'!$M$38:$O$38,3,FALSE),""),"")</f>
        <v/>
      </c>
      <c r="BO164" s="121" t="str">
        <f>if(L164="loads USG", IFERROR($M164+VLOOKUP($L164,'Voyage days'!$L$203:$N$203,3,FALSE),""),"")</f>
        <v/>
      </c>
    </row>
    <row r="165" ht="15.75" customHeight="1">
      <c r="A165" s="341" t="s">
        <v>268</v>
      </c>
      <c r="B165" s="101">
        <v>39546.0</v>
      </c>
      <c r="C165" s="102">
        <v>83783.0</v>
      </c>
      <c r="D165" s="149"/>
      <c r="E165" s="149"/>
      <c r="F165" s="150"/>
      <c r="G165" s="150"/>
      <c r="H165" s="150"/>
      <c r="I165" s="534" t="s">
        <v>1066</v>
      </c>
      <c r="J165" s="517" t="str">
        <f t="shared" si="26"/>
        <v>Update</v>
      </c>
      <c r="K165" s="107"/>
      <c r="L165" s="535" t="s">
        <v>755</v>
      </c>
      <c r="M165" s="238">
        <v>46132.0</v>
      </c>
      <c r="N165" s="238">
        <v>46133.0</v>
      </c>
      <c r="O165" s="431"/>
      <c r="P165" s="153" t="s">
        <v>1067</v>
      </c>
      <c r="Q165" s="536"/>
      <c r="R165" s="153" t="s">
        <v>1068</v>
      </c>
      <c r="S165" s="112" t="s">
        <v>659</v>
      </c>
      <c r="T165" s="420">
        <v>46124.0</v>
      </c>
      <c r="U165" s="114" t="str">
        <f>IF(V165="","No AIS",VLOOKUP(V165,'Voyage days'!$A$3:$B$1480,2,FALSE))</f>
        <v>Indo + 4 (STS)</v>
      </c>
      <c r="V165" s="114" t="str">
        <f>IF(VLOOKUP(A165,'1) Kpler'!$E$2:$P$1000,8, FALSE)="","",VLOOKUP(A165,'1) Kpler'!$E$2:$P$1000,8, FALSE))</f>
        <v>Balikpapan</v>
      </c>
      <c r="W165" s="159">
        <f>IF(VLOOKUP(A165,'1) Kpler'!$E$2:$P$1000,9,FALSE)="","",VLOOKUP(A165,'1) Kpler'!$E$2:$P$1000,9,FALSE))</f>
        <v>46134.625</v>
      </c>
      <c r="X165" s="114" t="str">
        <f>VLOOKUP(A165,'1) Kpler'!$E$2:$I$1000,4,FALSE)</f>
        <v>loaded</v>
      </c>
      <c r="Y165" s="272" t="str">
        <f t="shared" si="1"/>
        <v>01-02 May</v>
      </c>
      <c r="Z165" s="272" t="str">
        <f t="shared" si="2"/>
        <v>29-30 May</v>
      </c>
      <c r="AA165" s="272" t="str">
        <f t="shared" si="3"/>
        <v>27-28 May</v>
      </c>
      <c r="AB165" s="272" t="str">
        <f t="shared" si="4"/>
        <v>10-11 May</v>
      </c>
      <c r="AC165" s="272" t="str">
        <f t="shared" si="5"/>
        <v>19-20 May</v>
      </c>
      <c r="AD165" s="272" t="str">
        <f t="shared" si="6"/>
        <v>23-24 Apr</v>
      </c>
      <c r="AE165" s="273" t="str">
        <f t="shared" si="7"/>
        <v>24-25 Apr</v>
      </c>
      <c r="AF165" s="162" t="str">
        <f t="shared" si="8"/>
        <v>27-28 May</v>
      </c>
      <c r="AG165" s="163" t="str">
        <f t="shared" si="27"/>
        <v>01-02 May</v>
      </c>
      <c r="AH165" s="122">
        <f>IFERROR($M165+VLOOKUP($L165,'Voyage days'!$F$38:$H$89,3,FALSE),"")</f>
        <v>46143</v>
      </c>
      <c r="AI165" s="122">
        <f>IFERROR(N165+VLOOKUP($L165,'Voyage days'!$F$38:$H$89,3,FALSE),"")</f>
        <v>46144</v>
      </c>
      <c r="AJ165" s="163" t="str">
        <f t="shared" si="28"/>
        <v>29-30 May</v>
      </c>
      <c r="AK165" s="122">
        <f>IFERROR($M165+VLOOKUP($L165,'Voyage days'!$F$94:$H$193,3,FALSE),"")</f>
        <v>46171</v>
      </c>
      <c r="AL165" s="122">
        <f>IFERROR($N165+VLOOKUP($L165,'Voyage days'!$F$94:$H$193,3,FALSE),"")</f>
        <v>46172</v>
      </c>
      <c r="AM165" s="163" t="str">
        <f t="shared" si="29"/>
        <v>27-28 May</v>
      </c>
      <c r="AN165" s="122">
        <f>IFERROR($M165+VLOOKUP($L165,'Voyage days'!$F$203:$H$256,3,FALSE),"")</f>
        <v>46169</v>
      </c>
      <c r="AO165" s="122">
        <f>IFERROR($N165+VLOOKUP($L165,'Voyage days'!$F$203:$H$256,3,FALSE),"")</f>
        <v>46170</v>
      </c>
      <c r="AP165" s="163" t="str">
        <f t="shared" si="30"/>
        <v>10-11 May</v>
      </c>
      <c r="AQ165" s="122">
        <f>IFERROR($M165+VLOOKUP($L165,'Voyage days'!$F$294:$H$377,3,FALSE),"")</f>
        <v>46152</v>
      </c>
      <c r="AR165" s="122">
        <f>IFERROR($N165+VLOOKUP($L165,'Voyage days'!$F$294:$H$377,3,FALSE),"")</f>
        <v>46153</v>
      </c>
      <c r="AS165" s="163" t="str">
        <f t="shared" si="31"/>
        <v>19-20 May</v>
      </c>
      <c r="AT165" s="122">
        <f>IFERROR($M165+VLOOKUP($L165,'Voyage days'!$F$382:$H$446,3,FALSE),"")</f>
        <v>46161</v>
      </c>
      <c r="AU165" s="122">
        <f>IFERROR($N165+VLOOKUP($L165,'Voyage days'!$F$382:$H$446,3,FALSE),"")</f>
        <v>46162</v>
      </c>
      <c r="AV165" s="163" t="str">
        <f t="shared" si="32"/>
        <v>29-30 Apr</v>
      </c>
      <c r="AW165" s="122">
        <f>IFERROR($M165+VLOOKUP($L165,'Voyage days'!$F$483:$H$538,3,FALSE),"")</f>
        <v>46141</v>
      </c>
      <c r="AX165" s="122">
        <f>IFERROR($N165+VLOOKUP($L165,'Voyage days'!$F$483:$H$538,3,FALSE),"")</f>
        <v>46142</v>
      </c>
      <c r="AY165" s="163" t="str">
        <f t="shared" si="33"/>
        <v>24-25 Apr</v>
      </c>
      <c r="AZ165" s="122">
        <f>IFERROR($M165+VLOOKUP($L165,'Voyage days'!$F$540:$H$613,3,FALSE),"")</f>
        <v>46136</v>
      </c>
      <c r="BA165" s="122">
        <f>IFERROR($N165+VLOOKUP($L165,'Voyage days'!$F$540:$H$613,3,FALSE),"")</f>
        <v>46137</v>
      </c>
      <c r="BB165" s="163" t="str">
        <f t="shared" si="34"/>
        <v>23-24 Apr</v>
      </c>
      <c r="BC165" s="121">
        <f>IFERROR($M165+VLOOKUP($L165,'Voyage days'!$F$448:$H$479,3,FALSE),"")</f>
        <v>46135</v>
      </c>
      <c r="BD165" s="121">
        <f>IFERROR($N165+VLOOKUP($L165,'Voyage days'!$F$448:$H$479,3,FALSE),"")</f>
        <v>46136</v>
      </c>
      <c r="BE165" s="163" t="str">
        <f t="shared" si="35"/>
        <v/>
      </c>
      <c r="BF165" s="122" t="str">
        <f>IFERROR($M165+VLOOKUP($L165,'Voyage days'!$F$620:$H$646,3,FALSE),"")</f>
        <v/>
      </c>
      <c r="BG165" s="122" t="str">
        <f>IFERROR($N165+VLOOKUP($L165,'Voyage days'!$F$620:$H$646,3,FALSE),"")</f>
        <v/>
      </c>
      <c r="BH165" s="163" t="str">
        <f t="shared" si="36"/>
        <v>28-28 May</v>
      </c>
      <c r="BI165" s="123">
        <f>IFERROR($M165+VLOOKUP($L165,'Voyage days'!$F$702:$H$727,3,FALSE),"")</f>
        <v>46140</v>
      </c>
      <c r="BJ165" s="163" t="str">
        <f t="shared" si="37"/>
        <v>27-28 May</v>
      </c>
      <c r="BK165" s="122">
        <f>IFERROR($M165+VLOOKUP($L165,'Voyage days'!$F$807:$H$878,3,FALSE),"")</f>
        <v>46169</v>
      </c>
      <c r="BL165" s="122">
        <f>IFERROR($N165+VLOOKUP($L165,'Voyage days'!$F$807:$H$878,3,FALSE),"")</f>
        <v>46170</v>
      </c>
      <c r="BM165" s="122">
        <f>IFERROR($N165+VLOOKUP($L165,'Voyage days'!$F$807:$K$878,6,FALSE),"")</f>
        <v>46146</v>
      </c>
      <c r="BN165" s="121" t="str">
        <f>if(L165="loads AG", IFERROR($M165+VLOOKUP($L165,'Voyage days'!$M$38:$O$38,3,FALSE),""),"")</f>
        <v/>
      </c>
      <c r="BO165" s="121" t="str">
        <f>if(L165="loads USG", IFERROR($M165+VLOOKUP($L165,'Voyage days'!$L$203:$N$203,3,FALSE),""),"")</f>
        <v/>
      </c>
    </row>
    <row r="166" ht="15.75" customHeight="1">
      <c r="A166" s="537" t="s">
        <v>278</v>
      </c>
      <c r="B166" s="101">
        <v>39600.0</v>
      </c>
      <c r="C166" s="102">
        <v>82000.0</v>
      </c>
      <c r="D166" s="103"/>
      <c r="E166" s="103"/>
      <c r="F166" s="104"/>
      <c r="G166" s="104"/>
      <c r="H166" s="104"/>
      <c r="I166" s="538" t="s">
        <v>1066</v>
      </c>
      <c r="J166" s="106" t="str">
        <f t="shared" si="26"/>
        <v>NO AIS</v>
      </c>
      <c r="K166" s="107"/>
      <c r="L166" s="108" t="s">
        <v>755</v>
      </c>
      <c r="M166" s="276">
        <v>46141.0</v>
      </c>
      <c r="N166" s="276">
        <v>46142.0</v>
      </c>
      <c r="O166" s="110"/>
      <c r="P166" s="539" t="s">
        <v>1069</v>
      </c>
      <c r="Q166" s="333"/>
      <c r="R166" s="540" t="s">
        <v>1070</v>
      </c>
      <c r="S166" s="112" t="s">
        <v>659</v>
      </c>
      <c r="T166" s="113">
        <v>46124.0</v>
      </c>
      <c r="U166" s="541" t="str">
        <f>IF(V166="","No AIS",VLOOKUP(V166,'Voyage days'!$A$3:$B$1480,2,FALSE))</f>
        <v>No AIS</v>
      </c>
      <c r="V166" s="115" t="str">
        <f>IF(VLOOKUP(A166,'1) Kpler'!$E$2:$P$1000,8, FALSE)="","",VLOOKUP(A166,'1) Kpler'!$E$2:$P$1000,8, FALSE))</f>
        <v/>
      </c>
      <c r="W166" s="116" t="str">
        <f>IF(VLOOKUP(A166,'1) Kpler'!$E$2:$P$1000,9,FALSE)="","",VLOOKUP(A166,'1) Kpler'!$E$2:$P$1000,9,FALSE))</f>
        <v/>
      </c>
      <c r="X166" s="115" t="str">
        <f>VLOOKUP(A166,'1) Kpler'!$E$2:$I$1000,4,FALSE)</f>
        <v>floatingStorage</v>
      </c>
      <c r="Y166" s="160" t="str">
        <f t="shared" si="1"/>
        <v>10-11 May</v>
      </c>
      <c r="Z166" s="451" t="str">
        <f t="shared" si="2"/>
        <v>07-08 Jun</v>
      </c>
      <c r="AA166" s="451" t="str">
        <f t="shared" si="3"/>
        <v>05-06 Jun</v>
      </c>
      <c r="AB166" s="117" t="str">
        <f t="shared" si="4"/>
        <v>19-20 May</v>
      </c>
      <c r="AC166" s="117" t="str">
        <f t="shared" si="5"/>
        <v>28-29 May</v>
      </c>
      <c r="AD166" s="117" t="str">
        <f t="shared" si="6"/>
        <v>02-03 May</v>
      </c>
      <c r="AE166" s="118" t="str">
        <f t="shared" si="7"/>
        <v>03-04 May</v>
      </c>
      <c r="AF166" s="119" t="str">
        <f t="shared" si="8"/>
        <v>05-06 Jun</v>
      </c>
      <c r="AG166" s="120" t="str">
        <f t="shared" si="27"/>
        <v>10-11 May</v>
      </c>
      <c r="AH166" s="121">
        <f>IFERROR($M166+VLOOKUP($L166,'Voyage days'!$F$38:$H$89,3,FALSE),"")</f>
        <v>46152</v>
      </c>
      <c r="AI166" s="121">
        <f>IFERROR(N166+VLOOKUP($L166,'Voyage days'!$F$38:$H$89,3,FALSE),"")</f>
        <v>46153</v>
      </c>
      <c r="AJ166" s="120" t="str">
        <f t="shared" si="28"/>
        <v>07-08 Jun</v>
      </c>
      <c r="AK166" s="121">
        <f>IFERROR($M166+VLOOKUP($L166,'Voyage days'!$F$94:$H$193,3,FALSE),"")</f>
        <v>46180</v>
      </c>
      <c r="AL166" s="121">
        <f>IFERROR($N166+VLOOKUP($L166,'Voyage days'!$F$94:$H$193,3,FALSE),"")</f>
        <v>46181</v>
      </c>
      <c r="AM166" s="120" t="str">
        <f t="shared" si="29"/>
        <v>05-06 Jun</v>
      </c>
      <c r="AN166" s="121">
        <f>IFERROR($M166+VLOOKUP($L166,'Voyage days'!$F$203:$H$256,3,FALSE),"")</f>
        <v>46178</v>
      </c>
      <c r="AO166" s="121">
        <f>IFERROR($N166+VLOOKUP($L166,'Voyage days'!$F$203:$H$256,3,FALSE),"")</f>
        <v>46179</v>
      </c>
      <c r="AP166" s="120" t="str">
        <f t="shared" si="30"/>
        <v>19-20 May</v>
      </c>
      <c r="AQ166" s="121">
        <f>IFERROR($M166+VLOOKUP($L166,'Voyage days'!$F$294:$H$377,3,FALSE),"")</f>
        <v>46161</v>
      </c>
      <c r="AR166" s="121">
        <f>IFERROR($N166+VLOOKUP($L166,'Voyage days'!$F$294:$H$377,3,FALSE),"")</f>
        <v>46162</v>
      </c>
      <c r="AS166" s="120" t="str">
        <f t="shared" si="31"/>
        <v>28-29 May</v>
      </c>
      <c r="AT166" s="121">
        <f>IFERROR($M166+VLOOKUP($L166,'Voyage days'!$F$382:$H$446,3,FALSE),"")</f>
        <v>46170</v>
      </c>
      <c r="AU166" s="121">
        <f>IFERROR($N166+VLOOKUP($L166,'Voyage days'!$F$382:$H$446,3,FALSE),"")</f>
        <v>46171</v>
      </c>
      <c r="AV166" s="120" t="str">
        <f t="shared" si="32"/>
        <v>08-09 May</v>
      </c>
      <c r="AW166" s="121">
        <f>IFERROR($M166+VLOOKUP($L166,'Voyage days'!$F$483:$H$538,3,FALSE),"")</f>
        <v>46150</v>
      </c>
      <c r="AX166" s="121">
        <f>IFERROR($N166+VLOOKUP($L166,'Voyage days'!$F$483:$H$538,3,FALSE),"")</f>
        <v>46151</v>
      </c>
      <c r="AY166" s="120" t="str">
        <f t="shared" si="33"/>
        <v>03-04 May</v>
      </c>
      <c r="AZ166" s="121">
        <f>IFERROR($M166+VLOOKUP($L166,'Voyage days'!$F$540:$H$613,3,FALSE),"")</f>
        <v>46145</v>
      </c>
      <c r="BA166" s="121">
        <f>IFERROR($N166+VLOOKUP($L166,'Voyage days'!$F$540:$H$613,3,FALSE),"")</f>
        <v>46146</v>
      </c>
      <c r="BB166" s="120" t="str">
        <f t="shared" si="34"/>
        <v>02-03 May</v>
      </c>
      <c r="BC166" s="121">
        <f>IFERROR($M166+VLOOKUP($L166,'Voyage days'!$F$448:$H$479,3,FALSE),"")</f>
        <v>46144</v>
      </c>
      <c r="BD166" s="121">
        <f>IFERROR($N166+VLOOKUP($L166,'Voyage days'!$F$448:$H$479,3,FALSE),"")</f>
        <v>46145</v>
      </c>
      <c r="BE166" s="120" t="str">
        <f t="shared" si="35"/>
        <v/>
      </c>
      <c r="BF166" s="122" t="str">
        <f>IFERROR($M166+VLOOKUP($L166,'Voyage days'!$F$620:$H$646,3,FALSE),"")</f>
        <v/>
      </c>
      <c r="BG166" s="122" t="str">
        <f>IFERROR($N166+VLOOKUP($L166,'Voyage days'!$F$620:$H$646,3,FALSE),"")</f>
        <v/>
      </c>
      <c r="BH166" s="120" t="str">
        <f t="shared" si="36"/>
        <v>07-06 Jun</v>
      </c>
      <c r="BI166" s="123">
        <f>IFERROR($M166+VLOOKUP($L166,'Voyage days'!$F$702:$H$727,3,FALSE),"")</f>
        <v>46149</v>
      </c>
      <c r="BJ166" s="120" t="str">
        <f t="shared" si="37"/>
        <v>05-06 Jun</v>
      </c>
      <c r="BK166" s="122">
        <f>IFERROR($M166+VLOOKUP($L166,'Voyage days'!$F$807:$H$878,3,FALSE),"")</f>
        <v>46178</v>
      </c>
      <c r="BL166" s="122">
        <f>IFERROR($N166+VLOOKUP($L166,'Voyage days'!$F$807:$H$878,3,FALSE),"")</f>
        <v>46179</v>
      </c>
      <c r="BM166" s="122">
        <f>IFERROR($N166+VLOOKUP($L166,'Voyage days'!$F$807:$K$878,6,FALSE),"")</f>
        <v>46155</v>
      </c>
      <c r="BN166" s="121" t="str">
        <f>if(L166="loads AG", IFERROR($M166+VLOOKUP($L166,'Voyage days'!$M$38:$O$38,3,FALSE),""),"")</f>
        <v/>
      </c>
      <c r="BO166" s="121" t="str">
        <f>if(L166="loads USG", IFERROR($M166+VLOOKUP($L166,'Voyage days'!$L$203:$N$203,3,FALSE),""),"")</f>
        <v/>
      </c>
    </row>
    <row r="167" ht="15.75" customHeight="1">
      <c r="A167" s="537" t="s">
        <v>287</v>
      </c>
      <c r="B167" s="542">
        <v>39692.0</v>
      </c>
      <c r="C167" s="102">
        <v>82791.0</v>
      </c>
      <c r="D167" s="543"/>
      <c r="E167" s="543"/>
      <c r="F167" s="104"/>
      <c r="G167" s="104"/>
      <c r="H167" s="104"/>
      <c r="I167" s="538" t="s">
        <v>1066</v>
      </c>
      <c r="J167" s="106" t="str">
        <f t="shared" si="26"/>
        <v>NO AIS</v>
      </c>
      <c r="K167" s="107"/>
      <c r="L167" s="108" t="s">
        <v>755</v>
      </c>
      <c r="M167" s="276">
        <v>46141.0</v>
      </c>
      <c r="N167" s="276">
        <v>46142.0</v>
      </c>
      <c r="O167" s="334"/>
      <c r="P167" s="539" t="s">
        <v>1071</v>
      </c>
      <c r="Q167" s="111"/>
      <c r="R167" s="540" t="s">
        <v>1070</v>
      </c>
      <c r="S167" s="112" t="s">
        <v>659</v>
      </c>
      <c r="T167" s="113">
        <v>46124.0</v>
      </c>
      <c r="U167" s="541" t="str">
        <f>IF(V167="","No AIS",VLOOKUP(V167,'Voyage days'!$A$3:$B$1480,2,FALSE))</f>
        <v>No AIS</v>
      </c>
      <c r="V167" s="115" t="str">
        <f>IF(VLOOKUP(A167,'1) Kpler'!$E$2:$P$1000,8, FALSE)="","",VLOOKUP(A167,'1) Kpler'!$E$2:$P$1000,8, FALSE))</f>
        <v/>
      </c>
      <c r="W167" s="116" t="str">
        <f>IF(VLOOKUP(A167,'1) Kpler'!$E$2:$P$1000,9,FALSE)="","",VLOOKUP(A167,'1) Kpler'!$E$2:$P$1000,9,FALSE))</f>
        <v/>
      </c>
      <c r="X167" s="115" t="str">
        <f>VLOOKUP(A167,'1) Kpler'!$E$2:$I$1000,4,FALSE)</f>
        <v>ballast</v>
      </c>
      <c r="Y167" s="160" t="str">
        <f t="shared" si="1"/>
        <v>10-11 May</v>
      </c>
      <c r="Z167" s="451" t="str">
        <f t="shared" si="2"/>
        <v>07-08 Jun</v>
      </c>
      <c r="AA167" s="451" t="str">
        <f t="shared" si="3"/>
        <v>05-06 Jun</v>
      </c>
      <c r="AB167" s="117" t="str">
        <f t="shared" si="4"/>
        <v>19-20 May</v>
      </c>
      <c r="AC167" s="117" t="str">
        <f t="shared" si="5"/>
        <v>28-29 May</v>
      </c>
      <c r="AD167" s="117" t="str">
        <f t="shared" si="6"/>
        <v>02-03 May</v>
      </c>
      <c r="AE167" s="118" t="str">
        <f t="shared" si="7"/>
        <v>03-04 May</v>
      </c>
      <c r="AF167" s="119" t="str">
        <f t="shared" si="8"/>
        <v>05-06 Jun</v>
      </c>
      <c r="AG167" s="120" t="str">
        <f t="shared" si="27"/>
        <v>10-11 May</v>
      </c>
      <c r="AH167" s="121">
        <f>IFERROR($M167+VLOOKUP($L167,'Voyage days'!$F$38:$H$89,3,FALSE),"")</f>
        <v>46152</v>
      </c>
      <c r="AI167" s="121">
        <f>IFERROR(N167+VLOOKUP($L167,'Voyage days'!$F$38:$H$89,3,FALSE),"")</f>
        <v>46153</v>
      </c>
      <c r="AJ167" s="120" t="str">
        <f t="shared" si="28"/>
        <v>07-08 Jun</v>
      </c>
      <c r="AK167" s="121">
        <f>IFERROR($M167+VLOOKUP($L167,'Voyage days'!$F$94:$H$193,3,FALSE),"")</f>
        <v>46180</v>
      </c>
      <c r="AL167" s="121">
        <f>IFERROR($N167+VLOOKUP($L167,'Voyage days'!$F$94:$H$193,3,FALSE),"")</f>
        <v>46181</v>
      </c>
      <c r="AM167" s="120" t="str">
        <f t="shared" si="29"/>
        <v>05-06 Jun</v>
      </c>
      <c r="AN167" s="121">
        <f>IFERROR($M167+VLOOKUP($L167,'Voyage days'!$F$203:$H$256,3,FALSE),"")</f>
        <v>46178</v>
      </c>
      <c r="AO167" s="121">
        <f>IFERROR($N167+VLOOKUP($L167,'Voyage days'!$F$203:$H$256,3,FALSE),"")</f>
        <v>46179</v>
      </c>
      <c r="AP167" s="120" t="str">
        <f t="shared" si="30"/>
        <v>19-20 May</v>
      </c>
      <c r="AQ167" s="121">
        <f>IFERROR($M167+VLOOKUP($L167,'Voyage days'!$F$294:$H$377,3,FALSE),"")</f>
        <v>46161</v>
      </c>
      <c r="AR167" s="121">
        <f>IFERROR($N167+VLOOKUP($L167,'Voyage days'!$F$294:$H$377,3,FALSE),"")</f>
        <v>46162</v>
      </c>
      <c r="AS167" s="120" t="str">
        <f t="shared" si="31"/>
        <v>28-29 May</v>
      </c>
      <c r="AT167" s="121">
        <f>IFERROR($M167+VLOOKUP($L167,'Voyage days'!$F$382:$H$446,3,FALSE),"")</f>
        <v>46170</v>
      </c>
      <c r="AU167" s="121">
        <f>IFERROR($N167+VLOOKUP($L167,'Voyage days'!$F$382:$H$446,3,FALSE),"")</f>
        <v>46171</v>
      </c>
      <c r="AV167" s="120" t="str">
        <f t="shared" si="32"/>
        <v>08-09 May</v>
      </c>
      <c r="AW167" s="121">
        <f>IFERROR($M167+VLOOKUP($L167,'Voyage days'!$F$483:$H$538,3,FALSE),"")</f>
        <v>46150</v>
      </c>
      <c r="AX167" s="121">
        <f>IFERROR($N167+VLOOKUP($L167,'Voyage days'!$F$483:$H$538,3,FALSE),"")</f>
        <v>46151</v>
      </c>
      <c r="AY167" s="120" t="str">
        <f t="shared" si="33"/>
        <v>03-04 May</v>
      </c>
      <c r="AZ167" s="121">
        <f>IFERROR($M167+VLOOKUP($L167,'Voyage days'!$F$540:$H$613,3,FALSE),"")</f>
        <v>46145</v>
      </c>
      <c r="BA167" s="121">
        <f>IFERROR($N167+VLOOKUP($L167,'Voyage days'!$F$540:$H$613,3,FALSE),"")</f>
        <v>46146</v>
      </c>
      <c r="BB167" s="120" t="str">
        <f t="shared" si="34"/>
        <v>02-03 May</v>
      </c>
      <c r="BC167" s="121">
        <f>IFERROR($M167+VLOOKUP($L167,'Voyage days'!$F$448:$H$479,3,FALSE),"")</f>
        <v>46144</v>
      </c>
      <c r="BD167" s="121">
        <f>IFERROR($N167+VLOOKUP($L167,'Voyage days'!$F$448:$H$479,3,FALSE),"")</f>
        <v>46145</v>
      </c>
      <c r="BE167" s="120" t="str">
        <f t="shared" si="35"/>
        <v/>
      </c>
      <c r="BF167" s="122" t="str">
        <f>IFERROR($M167+VLOOKUP($L167,'Voyage days'!$F$620:$H$646,3,FALSE),"")</f>
        <v/>
      </c>
      <c r="BG167" s="122" t="str">
        <f>IFERROR($N167+VLOOKUP($L167,'Voyage days'!$F$620:$H$646,3,FALSE),"")</f>
        <v/>
      </c>
      <c r="BH167" s="120" t="str">
        <f t="shared" si="36"/>
        <v>07-06 Jun</v>
      </c>
      <c r="BI167" s="123">
        <f>IFERROR($M167+VLOOKUP($L167,'Voyage days'!$F$702:$H$727,3,FALSE),"")</f>
        <v>46149</v>
      </c>
      <c r="BJ167" s="120" t="str">
        <f t="shared" si="37"/>
        <v>05-06 Jun</v>
      </c>
      <c r="BK167" s="122">
        <f>IFERROR($M167+VLOOKUP($L167,'Voyage days'!$F$807:$H$878,3,FALSE),"")</f>
        <v>46178</v>
      </c>
      <c r="BL167" s="122">
        <f>IFERROR($N167+VLOOKUP($L167,'Voyage days'!$F$807:$H$878,3,FALSE),"")</f>
        <v>46179</v>
      </c>
      <c r="BM167" s="122">
        <f>IFERROR($N167+VLOOKUP($L167,'Voyage days'!$F$807:$K$878,6,FALSE),"")</f>
        <v>46155</v>
      </c>
      <c r="BN167" s="121" t="str">
        <f>if(L167="loads AG", IFERROR($M167+VLOOKUP($L167,'Voyage days'!$M$38:$O$38,3,FALSE),""),"")</f>
        <v/>
      </c>
      <c r="BO167" s="121" t="str">
        <f>if(L167="loads USG", IFERROR($M167+VLOOKUP($L167,'Voyage days'!$L$203:$N$203,3,FALSE),""),"")</f>
        <v/>
      </c>
    </row>
    <row r="168" ht="15.75" customHeight="1">
      <c r="A168" s="80" t="s">
        <v>487</v>
      </c>
      <c r="B168" s="101">
        <v>41518.0</v>
      </c>
      <c r="C168" s="102">
        <v>84000.0</v>
      </c>
      <c r="D168" s="103"/>
      <c r="E168" s="103"/>
      <c r="F168" s="103"/>
      <c r="G168" s="103"/>
      <c r="H168" s="103"/>
      <c r="I168" s="538" t="s">
        <v>1066</v>
      </c>
      <c r="J168" s="106" t="str">
        <f t="shared" si="26"/>
        <v/>
      </c>
      <c r="K168" s="205"/>
      <c r="L168" s="108" t="s">
        <v>755</v>
      </c>
      <c r="M168" s="276">
        <v>46203.0</v>
      </c>
      <c r="N168" s="276">
        <v>46204.0</v>
      </c>
      <c r="O168" s="334"/>
      <c r="P168" s="108" t="s">
        <v>1072</v>
      </c>
      <c r="Q168" s="111"/>
      <c r="R168" s="108" t="s">
        <v>1073</v>
      </c>
      <c r="S168" s="112" t="s">
        <v>659</v>
      </c>
      <c r="T168" s="113">
        <v>46124.0</v>
      </c>
      <c r="U168" s="114" t="str">
        <f>IF(V168="","No AIS",VLOOKUP(V168,'Voyage days'!$A$3:$B$1480,2,FALSE))</f>
        <v>USG</v>
      </c>
      <c r="V168" s="115" t="str">
        <f>IF(VLOOKUP(A168,'1) Kpler'!$E$2:$P$1000,8, FALSE)="","",VLOOKUP(A168,'1) Kpler'!$E$2:$P$1000,8, FALSE))</f>
        <v>Freeport Texas</v>
      </c>
      <c r="W168" s="116">
        <f>IF(VLOOKUP(A168,'1) Kpler'!$E$2:$P$1000,9,FALSE)="","",VLOOKUP(A168,'1) Kpler'!$E$2:$P$1000,9,FALSE))</f>
        <v>46162.75</v>
      </c>
      <c r="X168" s="115" t="str">
        <f>VLOOKUP(A168,'1) Kpler'!$E$2:$I$1000,4,FALSE)</f>
        <v>ballast</v>
      </c>
      <c r="Y168" s="160" t="str">
        <f t="shared" si="1"/>
        <v>11-12 Jul</v>
      </c>
      <c r="Z168" s="160" t="str">
        <f t="shared" si="2"/>
        <v>08-09 Aug</v>
      </c>
      <c r="AA168" s="160" t="str">
        <f t="shared" si="3"/>
        <v>06-07 Aug</v>
      </c>
      <c r="AB168" s="117" t="str">
        <f t="shared" si="4"/>
        <v>20-21 Jul</v>
      </c>
      <c r="AC168" s="117" t="str">
        <f t="shared" si="5"/>
        <v>29-30 Jul</v>
      </c>
      <c r="AD168" s="117" t="str">
        <f t="shared" si="6"/>
        <v>03-04 Jul</v>
      </c>
      <c r="AE168" s="118" t="str">
        <f t="shared" si="7"/>
        <v>04-05 Jul</v>
      </c>
      <c r="AF168" s="119" t="str">
        <f t="shared" si="8"/>
        <v>06-07 Aug</v>
      </c>
      <c r="AG168" s="120" t="str">
        <f t="shared" si="27"/>
        <v>11-12 Jul</v>
      </c>
      <c r="AH168" s="121">
        <f>IFERROR($M168+VLOOKUP($L168,'Voyage days'!$F$38:$H$89,3,FALSE),"")</f>
        <v>46214</v>
      </c>
      <c r="AI168" s="121">
        <f>IFERROR(N168+VLOOKUP($L168,'Voyage days'!$F$38:$H$89,3,FALSE),"")</f>
        <v>46215</v>
      </c>
      <c r="AJ168" s="120" t="str">
        <f t="shared" si="28"/>
        <v>08-09 Aug</v>
      </c>
      <c r="AK168" s="121">
        <f>IFERROR($M168+VLOOKUP($L168,'Voyage days'!$F$94:$H$193,3,FALSE),"")</f>
        <v>46242</v>
      </c>
      <c r="AL168" s="121">
        <f>IFERROR($N168+VLOOKUP($L168,'Voyage days'!$F$94:$H$193,3,FALSE),"")</f>
        <v>46243</v>
      </c>
      <c r="AM168" s="120" t="str">
        <f t="shared" si="29"/>
        <v>06-07 Aug</v>
      </c>
      <c r="AN168" s="121">
        <f>IFERROR($M168+VLOOKUP($L168,'Voyage days'!$F$203:$H$256,3,FALSE),"")</f>
        <v>46240</v>
      </c>
      <c r="AO168" s="121">
        <f>IFERROR($N168+VLOOKUP($L168,'Voyage days'!$F$203:$H$256,3,FALSE),"")</f>
        <v>46241</v>
      </c>
      <c r="AP168" s="120" t="str">
        <f t="shared" si="30"/>
        <v>20-21 Jul</v>
      </c>
      <c r="AQ168" s="121">
        <f>IFERROR($M168+VLOOKUP($L168,'Voyage days'!$F$294:$H$377,3,FALSE),"")</f>
        <v>46223</v>
      </c>
      <c r="AR168" s="121">
        <f>IFERROR($N168+VLOOKUP($L168,'Voyage days'!$F$294:$H$377,3,FALSE),"")</f>
        <v>46224</v>
      </c>
      <c r="AS168" s="120" t="str">
        <f t="shared" si="31"/>
        <v>29-30 Jul</v>
      </c>
      <c r="AT168" s="121">
        <f>IFERROR($M168+VLOOKUP($L168,'Voyage days'!$F$382:$H$446,3,FALSE),"")</f>
        <v>46232</v>
      </c>
      <c r="AU168" s="121">
        <f>IFERROR($N168+VLOOKUP($L168,'Voyage days'!$F$382:$H$446,3,FALSE),"")</f>
        <v>46233</v>
      </c>
      <c r="AV168" s="120" t="str">
        <f t="shared" si="32"/>
        <v>09-10 Jul</v>
      </c>
      <c r="AW168" s="121">
        <f>IFERROR($M168+VLOOKUP($L168,'Voyage days'!$F$483:$H$538,3,FALSE),"")</f>
        <v>46212</v>
      </c>
      <c r="AX168" s="121">
        <f>IFERROR($N168+VLOOKUP($L168,'Voyage days'!$F$483:$H$538,3,FALSE),"")</f>
        <v>46213</v>
      </c>
      <c r="AY168" s="120" t="str">
        <f t="shared" si="33"/>
        <v>04-05 Jul</v>
      </c>
      <c r="AZ168" s="121">
        <f>IFERROR($M168+VLOOKUP($L168,'Voyage days'!$F$540:$H$613,3,FALSE),"")</f>
        <v>46207</v>
      </c>
      <c r="BA168" s="121">
        <f>IFERROR($N168+VLOOKUP($L168,'Voyage days'!$F$540:$H$613,3,FALSE),"")</f>
        <v>46208</v>
      </c>
      <c r="BB168" s="120" t="str">
        <f t="shared" si="34"/>
        <v>03-04 Jul</v>
      </c>
      <c r="BC168" s="121">
        <f>IFERROR($M168+VLOOKUP($L168,'Voyage days'!$F$448:$H$479,3,FALSE),"")</f>
        <v>46206</v>
      </c>
      <c r="BD168" s="121">
        <f>IFERROR($N168+VLOOKUP($L168,'Voyage days'!$F$448:$H$479,3,FALSE),"")</f>
        <v>46207</v>
      </c>
      <c r="BE168" s="120" t="str">
        <f t="shared" si="35"/>
        <v/>
      </c>
      <c r="BF168" s="122" t="str">
        <f>IFERROR($M168+VLOOKUP($L168,'Voyage days'!$F$620:$H$646,3,FALSE),"")</f>
        <v/>
      </c>
      <c r="BG168" s="122" t="str">
        <f>IFERROR($N168+VLOOKUP($L168,'Voyage days'!$F$620:$H$646,3,FALSE),"")</f>
        <v/>
      </c>
      <c r="BH168" s="120" t="str">
        <f t="shared" si="36"/>
        <v>08-07 Aug</v>
      </c>
      <c r="BI168" s="123">
        <f>IFERROR($M168+VLOOKUP($L168,'Voyage days'!$F$702:$H$727,3,FALSE),"")</f>
        <v>46211</v>
      </c>
      <c r="BJ168" s="120" t="str">
        <f t="shared" si="37"/>
        <v>06-07 Aug</v>
      </c>
      <c r="BK168" s="122">
        <f>IFERROR($M168+VLOOKUP($L168,'Voyage days'!$F$807:$H$878,3,FALSE),"")</f>
        <v>46240</v>
      </c>
      <c r="BL168" s="122">
        <f>IFERROR($N168+VLOOKUP($L168,'Voyage days'!$F$807:$H$878,3,FALSE),"")</f>
        <v>46241</v>
      </c>
      <c r="BM168" s="122">
        <f>IFERROR($N168+VLOOKUP($L168,'Voyage days'!$F$807:$K$878,6,FALSE),"")</f>
        <v>46217</v>
      </c>
      <c r="BN168" s="121" t="str">
        <f>if(L168="loads AG", IFERROR($M168+VLOOKUP($L168,'Voyage days'!$M$38:$O$38,3,FALSE),""),"")</f>
        <v/>
      </c>
      <c r="BO168" s="121" t="str">
        <f>if(L168="loads USG", IFERROR($M168+VLOOKUP($L168,'Voyage days'!$L$203:$N$203,3,FALSE),""),"")</f>
        <v/>
      </c>
    </row>
    <row r="169" ht="15.75" customHeight="1">
      <c r="A169" s="80" t="s">
        <v>488</v>
      </c>
      <c r="B169" s="542">
        <v>41773.0</v>
      </c>
      <c r="C169" s="102">
        <v>84000.0</v>
      </c>
      <c r="D169" s="103"/>
      <c r="E169" s="103"/>
      <c r="F169" s="544"/>
      <c r="G169" s="544"/>
      <c r="H169" s="544"/>
      <c r="I169" s="545" t="s">
        <v>1066</v>
      </c>
      <c r="J169" s="106" t="str">
        <f t="shared" si="26"/>
        <v/>
      </c>
      <c r="K169" s="205"/>
      <c r="L169" s="197" t="s">
        <v>755</v>
      </c>
      <c r="M169" s="109">
        <v>46174.0</v>
      </c>
      <c r="N169" s="109">
        <v>46174.0</v>
      </c>
      <c r="O169" s="334"/>
      <c r="P169" s="187" t="s">
        <v>1074</v>
      </c>
      <c r="Q169" s="340"/>
      <c r="R169" s="197" t="s">
        <v>1075</v>
      </c>
      <c r="S169" s="112" t="s">
        <v>659</v>
      </c>
      <c r="T169" s="113">
        <v>46124.0</v>
      </c>
      <c r="U169" s="114" t="str">
        <f>IF(V169="","No AIS",VLOOKUP(V169,'Voyage days'!$A$3:$B$1480,2,FALSE))</f>
        <v>USG</v>
      </c>
      <c r="V169" s="115" t="str">
        <f>IF(VLOOKUP(A169,'1) Kpler'!$E$2:$P$1000,8, FALSE)="","",VLOOKUP(A169,'1) Kpler'!$E$2:$P$1000,8, FALSE))</f>
        <v>Freeport Texas</v>
      </c>
      <c r="W169" s="116">
        <f>IF(VLOOKUP(A169,'1) Kpler'!$E$2:$P$1000,9,FALSE)="","",VLOOKUP(A169,'1) Kpler'!$E$2:$P$1000,9,FALSE))</f>
        <v>46132.48681</v>
      </c>
      <c r="X169" s="115" t="str">
        <f>VLOOKUP(A169,'1) Kpler'!$E$2:$I$1000,4,FALSE)</f>
        <v>ballast</v>
      </c>
      <c r="Y169" s="160" t="str">
        <f t="shared" si="1"/>
        <v>12-12 Jun</v>
      </c>
      <c r="Z169" s="160" t="str">
        <f t="shared" si="2"/>
        <v>10-10 Jul</v>
      </c>
      <c r="AA169" s="160" t="str">
        <f t="shared" si="3"/>
        <v>08-08 Jul</v>
      </c>
      <c r="AB169" s="117" t="str">
        <f t="shared" si="4"/>
        <v>21-21 Jun</v>
      </c>
      <c r="AC169" s="117" t="str">
        <f t="shared" si="5"/>
        <v>30-30 Jun</v>
      </c>
      <c r="AD169" s="117" t="str">
        <f t="shared" si="6"/>
        <v>04-04 Jun</v>
      </c>
      <c r="AE169" s="118" t="str">
        <f t="shared" si="7"/>
        <v>05-05 Jun</v>
      </c>
      <c r="AF169" s="119" t="str">
        <f t="shared" si="8"/>
        <v>08-08 Jul</v>
      </c>
      <c r="AG169" s="120" t="str">
        <f t="shared" si="27"/>
        <v>12-12 Jun</v>
      </c>
      <c r="AH169" s="121">
        <f>IFERROR($M169+VLOOKUP($L169,'Voyage days'!$F$38:$H$89,3,FALSE),"")</f>
        <v>46185</v>
      </c>
      <c r="AI169" s="121">
        <f>IFERROR(N169+VLOOKUP($L169,'Voyage days'!$F$38:$H$89,3,FALSE),"")</f>
        <v>46185</v>
      </c>
      <c r="AJ169" s="120" t="str">
        <f t="shared" si="28"/>
        <v>10-10 Jul</v>
      </c>
      <c r="AK169" s="121">
        <f>IFERROR($M169+VLOOKUP($L169,'Voyage days'!$F$94:$H$193,3,FALSE),"")</f>
        <v>46213</v>
      </c>
      <c r="AL169" s="121">
        <f>IFERROR($N169+VLOOKUP($L169,'Voyage days'!$F$94:$H$193,3,FALSE),"")</f>
        <v>46213</v>
      </c>
      <c r="AM169" s="120" t="str">
        <f t="shared" si="29"/>
        <v>08-08 Jul</v>
      </c>
      <c r="AN169" s="121">
        <f>IFERROR($M169+VLOOKUP($L169,'Voyage days'!$F$203:$H$256,3,FALSE),"")</f>
        <v>46211</v>
      </c>
      <c r="AO169" s="121">
        <f>IFERROR($N169+VLOOKUP($L169,'Voyage days'!$F$203:$H$256,3,FALSE),"")</f>
        <v>46211</v>
      </c>
      <c r="AP169" s="120" t="str">
        <f t="shared" si="30"/>
        <v>21-21 Jun</v>
      </c>
      <c r="AQ169" s="121">
        <f>IFERROR($M169+VLOOKUP($L169,'Voyage days'!$F$294:$H$377,3,FALSE),"")</f>
        <v>46194</v>
      </c>
      <c r="AR169" s="121">
        <f>IFERROR($N169+VLOOKUP($L169,'Voyage days'!$F$294:$H$377,3,FALSE),"")</f>
        <v>46194</v>
      </c>
      <c r="AS169" s="120" t="str">
        <f t="shared" si="31"/>
        <v>30-30 Jun</v>
      </c>
      <c r="AT169" s="121">
        <f>IFERROR($M169+VLOOKUP($L169,'Voyage days'!$F$382:$H$446,3,FALSE),"")</f>
        <v>46203</v>
      </c>
      <c r="AU169" s="121">
        <f>IFERROR($N169+VLOOKUP($L169,'Voyage days'!$F$382:$H$446,3,FALSE),"")</f>
        <v>46203</v>
      </c>
      <c r="AV169" s="120" t="str">
        <f t="shared" si="32"/>
        <v>10-10 Jun</v>
      </c>
      <c r="AW169" s="121">
        <f>IFERROR($M169+VLOOKUP($L169,'Voyage days'!$F$483:$H$538,3,FALSE),"")</f>
        <v>46183</v>
      </c>
      <c r="AX169" s="121">
        <f>IFERROR($N169+VLOOKUP($L169,'Voyage days'!$F$483:$H$538,3,FALSE),"")</f>
        <v>46183</v>
      </c>
      <c r="AY169" s="120" t="str">
        <f t="shared" si="33"/>
        <v>05-05 Jun</v>
      </c>
      <c r="AZ169" s="121">
        <f>IFERROR($M169+VLOOKUP($L169,'Voyage days'!$F$540:$H$613,3,FALSE),"")</f>
        <v>46178</v>
      </c>
      <c r="BA169" s="121">
        <f>IFERROR($N169+VLOOKUP($L169,'Voyage days'!$F$540:$H$613,3,FALSE),"")</f>
        <v>46178</v>
      </c>
      <c r="BB169" s="120" t="str">
        <f t="shared" si="34"/>
        <v>04-04 Jun</v>
      </c>
      <c r="BC169" s="121">
        <f>IFERROR($M169+VLOOKUP($L169,'Voyage days'!$F$448:$H$479,3,FALSE),"")</f>
        <v>46177</v>
      </c>
      <c r="BD169" s="121">
        <f>IFERROR($N169+VLOOKUP($L169,'Voyage days'!$F$448:$H$479,3,FALSE),"")</f>
        <v>46177</v>
      </c>
      <c r="BE169" s="120" t="str">
        <f t="shared" si="35"/>
        <v/>
      </c>
      <c r="BF169" s="122" t="str">
        <f>IFERROR($M169+VLOOKUP($L169,'Voyage days'!$F$620:$H$646,3,FALSE),"")</f>
        <v/>
      </c>
      <c r="BG169" s="122" t="str">
        <f>IFERROR($N169+VLOOKUP($L169,'Voyage days'!$F$620:$H$646,3,FALSE),"")</f>
        <v/>
      </c>
      <c r="BH169" s="120" t="str">
        <f t="shared" si="36"/>
        <v>09-08 Jul</v>
      </c>
      <c r="BI169" s="123">
        <f>IFERROR($M169+VLOOKUP($L169,'Voyage days'!$F$702:$H$727,3,FALSE),"")</f>
        <v>46182</v>
      </c>
      <c r="BJ169" s="120" t="str">
        <f t="shared" si="37"/>
        <v>08-08 Jul</v>
      </c>
      <c r="BK169" s="122">
        <f>IFERROR($M169+VLOOKUP($L169,'Voyage days'!$F$807:$H$878,3,FALSE),"")</f>
        <v>46211</v>
      </c>
      <c r="BL169" s="122">
        <f>IFERROR($N169+VLOOKUP($L169,'Voyage days'!$F$807:$H$878,3,FALSE),"")</f>
        <v>46211</v>
      </c>
      <c r="BM169" s="122">
        <f>IFERROR($N169+VLOOKUP($L169,'Voyage days'!$F$807:$K$878,6,FALSE),"")</f>
        <v>46187</v>
      </c>
      <c r="BN169" s="121" t="str">
        <f>if(L169="loads AG", IFERROR($M169+VLOOKUP($L169,'Voyage days'!$M$38:$O$38,3,FALSE),""),"")</f>
        <v/>
      </c>
      <c r="BO169" s="121" t="str">
        <f>if(L169="loads USG", IFERROR($M169+VLOOKUP($L169,'Voyage days'!$L$203:$N$203,3,FALSE),""),"")</f>
        <v/>
      </c>
    </row>
    <row r="170" ht="15.75" customHeight="1">
      <c r="A170" s="100" t="s">
        <v>503</v>
      </c>
      <c r="B170" s="189">
        <v>37530.0</v>
      </c>
      <c r="C170" s="102">
        <v>82200.0</v>
      </c>
      <c r="D170" s="103"/>
      <c r="E170" s="103"/>
      <c r="F170" s="104"/>
      <c r="G170" s="104"/>
      <c r="H170" s="104"/>
      <c r="I170" s="538" t="s">
        <v>1066</v>
      </c>
      <c r="J170" s="106" t="str">
        <f t="shared" si="26"/>
        <v>NO AIS</v>
      </c>
      <c r="K170" s="205"/>
      <c r="L170" s="108" t="s">
        <v>755</v>
      </c>
      <c r="M170" s="109">
        <v>46129.0</v>
      </c>
      <c r="N170" s="109">
        <v>46130.0</v>
      </c>
      <c r="O170" s="255" t="s">
        <v>70</v>
      </c>
      <c r="P170" s="108" t="s">
        <v>1076</v>
      </c>
      <c r="Q170" s="111"/>
      <c r="R170" s="108" t="s">
        <v>1077</v>
      </c>
      <c r="S170" s="112" t="s">
        <v>659</v>
      </c>
      <c r="T170" s="113">
        <v>46124.0</v>
      </c>
      <c r="U170" s="114" t="str">
        <f>IF(V170="","No AIS",VLOOKUP(V170,'Voyage days'!$A$3:$B$1480,2,FALSE))</f>
        <v>No AIS</v>
      </c>
      <c r="V170" s="115" t="str">
        <f>IF(VLOOKUP(A170,'1) Kpler'!$E$2:$P$1000,8, FALSE)="","",VLOOKUP(A170,'1) Kpler'!$E$2:$P$1000,8, FALSE))</f>
        <v/>
      </c>
      <c r="W170" s="116" t="str">
        <f>IF(VLOOKUP(A170,'1) Kpler'!$E$2:$P$1000,9,FALSE)="","",VLOOKUP(A170,'1) Kpler'!$E$2:$P$1000,9,FALSE))</f>
        <v/>
      </c>
      <c r="X170" s="115" t="str">
        <f>VLOOKUP(A170,'1) Kpler'!$E$2:$I$1000,4,FALSE)</f>
        <v>ballast</v>
      </c>
      <c r="Y170" s="160" t="str">
        <f t="shared" si="1"/>
        <v>28-29 Apr</v>
      </c>
      <c r="Z170" s="160" t="str">
        <f t="shared" si="2"/>
        <v>26-27 May</v>
      </c>
      <c r="AA170" s="160" t="str">
        <f t="shared" si="3"/>
        <v>24-25 May</v>
      </c>
      <c r="AB170" s="117" t="str">
        <f t="shared" si="4"/>
        <v>07-08 May</v>
      </c>
      <c r="AC170" s="117" t="str">
        <f t="shared" si="5"/>
        <v>16-17 May</v>
      </c>
      <c r="AD170" s="117" t="str">
        <f t="shared" si="6"/>
        <v>20-21 Apr</v>
      </c>
      <c r="AE170" s="118" t="str">
        <f t="shared" si="7"/>
        <v>21-22 Apr</v>
      </c>
      <c r="AF170" s="119" t="str">
        <f t="shared" si="8"/>
        <v>24-25 May</v>
      </c>
      <c r="AG170" s="120" t="str">
        <f t="shared" si="27"/>
        <v>28-29 Apr</v>
      </c>
      <c r="AH170" s="121">
        <f>IFERROR($M170+VLOOKUP($L170,'Voyage days'!$F$38:$H$89,3,FALSE),"")</f>
        <v>46140</v>
      </c>
      <c r="AI170" s="121">
        <f>IFERROR(N170+VLOOKUP($L170,'Voyage days'!$F$38:$H$89,3,FALSE),"")</f>
        <v>46141</v>
      </c>
      <c r="AJ170" s="120" t="str">
        <f t="shared" si="28"/>
        <v>26-27 May</v>
      </c>
      <c r="AK170" s="121">
        <f>IFERROR($M170+VLOOKUP($L170,'Voyage days'!$F$94:$H$193,3,FALSE),"")</f>
        <v>46168</v>
      </c>
      <c r="AL170" s="121">
        <f>IFERROR($N170+VLOOKUP($L170,'Voyage days'!$F$94:$H$193,3,FALSE),"")</f>
        <v>46169</v>
      </c>
      <c r="AM170" s="120" t="str">
        <f t="shared" si="29"/>
        <v>24-25 May</v>
      </c>
      <c r="AN170" s="121">
        <f>IFERROR($M170+VLOOKUP($L170,'Voyage days'!$F$203:$H$256,3,FALSE),"")</f>
        <v>46166</v>
      </c>
      <c r="AO170" s="121">
        <f>IFERROR($N170+VLOOKUP($L170,'Voyage days'!$F$203:$H$256,3,FALSE),"")</f>
        <v>46167</v>
      </c>
      <c r="AP170" s="120" t="str">
        <f t="shared" si="30"/>
        <v>07-08 May</v>
      </c>
      <c r="AQ170" s="121">
        <f>IFERROR($M170+VLOOKUP($L170,'Voyage days'!$F$294:$H$377,3,FALSE),"")</f>
        <v>46149</v>
      </c>
      <c r="AR170" s="121">
        <f>IFERROR($N170+VLOOKUP($L170,'Voyage days'!$F$294:$H$377,3,FALSE),"")</f>
        <v>46150</v>
      </c>
      <c r="AS170" s="120" t="str">
        <f t="shared" si="31"/>
        <v>16-17 May</v>
      </c>
      <c r="AT170" s="121">
        <f>IFERROR($M170+VLOOKUP($L170,'Voyage days'!$F$382:$H$446,3,FALSE),"")</f>
        <v>46158</v>
      </c>
      <c r="AU170" s="121">
        <f>IFERROR($N170+VLOOKUP($L170,'Voyage days'!$F$382:$H$446,3,FALSE),"")</f>
        <v>46159</v>
      </c>
      <c r="AV170" s="120" t="str">
        <f t="shared" si="32"/>
        <v>26-27 Apr</v>
      </c>
      <c r="AW170" s="121">
        <f>IFERROR($M170+VLOOKUP($L170,'Voyage days'!$F$483:$H$538,3,FALSE),"")</f>
        <v>46138</v>
      </c>
      <c r="AX170" s="121">
        <f>IFERROR($N170+VLOOKUP($L170,'Voyage days'!$F$483:$H$538,3,FALSE),"")</f>
        <v>46139</v>
      </c>
      <c r="AY170" s="120" t="str">
        <f t="shared" si="33"/>
        <v>21-22 Apr</v>
      </c>
      <c r="AZ170" s="121">
        <f>IFERROR($M170+VLOOKUP($L170,'Voyage days'!$F$540:$H$613,3,FALSE),"")</f>
        <v>46133</v>
      </c>
      <c r="BA170" s="121">
        <f>IFERROR($N170+VLOOKUP($L170,'Voyage days'!$F$540:$H$613,3,FALSE),"")</f>
        <v>46134</v>
      </c>
      <c r="BB170" s="120" t="str">
        <f t="shared" si="34"/>
        <v>20-21 Apr</v>
      </c>
      <c r="BC170" s="121">
        <f>IFERROR($M170+VLOOKUP($L170,'Voyage days'!$F$448:$H$479,3,FALSE),"")</f>
        <v>46132</v>
      </c>
      <c r="BD170" s="121">
        <f>IFERROR($N170+VLOOKUP($L170,'Voyage days'!$F$448:$H$479,3,FALSE),"")</f>
        <v>46133</v>
      </c>
      <c r="BE170" s="120" t="str">
        <f t="shared" si="35"/>
        <v/>
      </c>
      <c r="BF170" s="122" t="str">
        <f>IFERROR($M170+VLOOKUP($L170,'Voyage days'!$F$620:$H$646,3,FALSE),"")</f>
        <v/>
      </c>
      <c r="BG170" s="122" t="str">
        <f>IFERROR($N170+VLOOKUP($L170,'Voyage days'!$F$620:$H$646,3,FALSE),"")</f>
        <v/>
      </c>
      <c r="BH170" s="120" t="str">
        <f t="shared" si="36"/>
        <v>25-25 May</v>
      </c>
      <c r="BI170" s="123">
        <f>IFERROR($M170+VLOOKUP($L170,'Voyage days'!$F$702:$H$727,3,FALSE),"")</f>
        <v>46137</v>
      </c>
      <c r="BJ170" s="120" t="str">
        <f t="shared" si="37"/>
        <v>24-25 May</v>
      </c>
      <c r="BK170" s="122">
        <f>IFERROR($M170+VLOOKUP($L170,'Voyage days'!$F$807:$H$878,3,FALSE),"")</f>
        <v>46166</v>
      </c>
      <c r="BL170" s="122">
        <f>IFERROR($N170+VLOOKUP($L170,'Voyage days'!$F$807:$H$878,3,FALSE),"")</f>
        <v>46167</v>
      </c>
      <c r="BM170" s="122">
        <f>IFERROR($N170+VLOOKUP($L170,'Voyage days'!$F$807:$K$878,6,FALSE),"")</f>
        <v>46143</v>
      </c>
      <c r="BN170" s="121" t="str">
        <f>if(L170="loads AG", IFERROR($M170+VLOOKUP($L170,'Voyage days'!$M$38:$O$38,3,FALSE),""),"")</f>
        <v/>
      </c>
      <c r="BO170" s="121" t="str">
        <f>if(L170="loads USG", IFERROR($M170+VLOOKUP($L170,'Voyage days'!$L$203:$N$203,3,FALSE),""),"")</f>
        <v/>
      </c>
    </row>
    <row r="171" ht="15.75" customHeight="1">
      <c r="A171" s="546" t="s">
        <v>575</v>
      </c>
      <c r="B171" s="222">
        <v>39539.0</v>
      </c>
      <c r="C171" s="166">
        <v>82500.0</v>
      </c>
      <c r="D171" s="223"/>
      <c r="E171" s="223"/>
      <c r="F171" s="168"/>
      <c r="G171" s="168"/>
      <c r="H171" s="168" t="s">
        <v>689</v>
      </c>
      <c r="I171" s="547" t="s">
        <v>1066</v>
      </c>
      <c r="J171" s="170" t="str">
        <f t="shared" si="26"/>
        <v/>
      </c>
      <c r="K171" s="171"/>
      <c r="L171" s="172" t="s">
        <v>755</v>
      </c>
      <c r="M171" s="173">
        <v>46193.0</v>
      </c>
      <c r="N171" s="173">
        <v>46194.0</v>
      </c>
      <c r="O171" s="433"/>
      <c r="P171" s="172" t="s">
        <v>1078</v>
      </c>
      <c r="Q171" s="172"/>
      <c r="R171" s="548" t="s">
        <v>1079</v>
      </c>
      <c r="S171" s="175" t="s">
        <v>659</v>
      </c>
      <c r="T171" s="176">
        <v>46124.0</v>
      </c>
      <c r="U171" s="177" t="str">
        <f>IF(V171="","No AIS",VLOOKUP(V171,'Voyage days'!$A$3:$B$1480,2,FALSE))</f>
        <v>USG</v>
      </c>
      <c r="V171" s="178" t="str">
        <f>IF(VLOOKUP(A171,'1) Kpler'!$E$2:$P$1000,8, FALSE)="","",VLOOKUP(A171,'1) Kpler'!$E$2:$P$1000,8, FALSE))</f>
        <v>Freeport Texas</v>
      </c>
      <c r="W171" s="179">
        <f>IF(VLOOKUP(A171,'1) Kpler'!$E$2:$P$1000,9,FALSE)="","",VLOOKUP(A171,'1) Kpler'!$E$2:$P$1000,9,FALSE))</f>
        <v>46152.625</v>
      </c>
      <c r="X171" s="178" t="str">
        <f>VLOOKUP(A171,'1) Kpler'!$E$2:$I$1000,4,FALSE)</f>
        <v>ballast</v>
      </c>
      <c r="Y171" s="120" t="str">
        <f t="shared" si="1"/>
        <v>01-02 Jul</v>
      </c>
      <c r="Z171" s="120" t="str">
        <f t="shared" si="2"/>
        <v>29-30 Jul</v>
      </c>
      <c r="AA171" s="120" t="str">
        <f t="shared" si="3"/>
        <v>27-28 Jul</v>
      </c>
      <c r="AB171" s="180" t="str">
        <f t="shared" si="4"/>
        <v>10-11 Jul</v>
      </c>
      <c r="AC171" s="180" t="str">
        <f t="shared" si="5"/>
        <v>19-20 Jul</v>
      </c>
      <c r="AD171" s="180" t="str">
        <f t="shared" si="6"/>
        <v>23-24 Jun</v>
      </c>
      <c r="AE171" s="181" t="str">
        <f t="shared" si="7"/>
        <v>24-25 Jun</v>
      </c>
      <c r="AF171" s="182" t="str">
        <f t="shared" si="8"/>
        <v>27-28 Jul</v>
      </c>
      <c r="AG171" s="120" t="str">
        <f t="shared" si="27"/>
        <v>01-02 Jul</v>
      </c>
      <c r="AH171" s="121">
        <f>IFERROR($M171+VLOOKUP($L171,'Voyage days'!$F$38:$H$89,3,FALSE),"")</f>
        <v>46204</v>
      </c>
      <c r="AI171" s="121">
        <f>IFERROR(N171+VLOOKUP($L171,'Voyage days'!$F$38:$H$89,3,FALSE),"")</f>
        <v>46205</v>
      </c>
      <c r="AJ171" s="120" t="str">
        <f t="shared" si="28"/>
        <v>29-30 Jul</v>
      </c>
      <c r="AK171" s="121">
        <f>IFERROR($M171+VLOOKUP($L171,'Voyage days'!$F$94:$H$193,3,FALSE),"")</f>
        <v>46232</v>
      </c>
      <c r="AL171" s="121">
        <f>IFERROR($N171+VLOOKUP($L171,'Voyage days'!$F$94:$H$193,3,FALSE),"")</f>
        <v>46233</v>
      </c>
      <c r="AM171" s="120" t="str">
        <f t="shared" si="29"/>
        <v>27-28 Jul</v>
      </c>
      <c r="AN171" s="121">
        <f>IFERROR($M171+VLOOKUP($L171,'Voyage days'!$F$203:$H$256,3,FALSE),"")</f>
        <v>46230</v>
      </c>
      <c r="AO171" s="121">
        <f>IFERROR($N171+VLOOKUP($L171,'Voyage days'!$F$203:$H$256,3,FALSE),"")</f>
        <v>46231</v>
      </c>
      <c r="AP171" s="120" t="str">
        <f t="shared" si="30"/>
        <v>10-11 Jul</v>
      </c>
      <c r="AQ171" s="121">
        <f>IFERROR($M171+VLOOKUP($L171,'Voyage days'!$F$294:$H$377,3,FALSE),"")</f>
        <v>46213</v>
      </c>
      <c r="AR171" s="121">
        <f>IFERROR($N171+VLOOKUP($L171,'Voyage days'!$F$294:$H$377,3,FALSE),"")</f>
        <v>46214</v>
      </c>
      <c r="AS171" s="120" t="str">
        <f t="shared" si="31"/>
        <v>19-20 Jul</v>
      </c>
      <c r="AT171" s="121">
        <f>IFERROR($M171+VLOOKUP($L171,'Voyage days'!$F$382:$H$446,3,FALSE),"")</f>
        <v>46222</v>
      </c>
      <c r="AU171" s="121">
        <f>IFERROR($N171+VLOOKUP($L171,'Voyage days'!$F$382:$H$446,3,FALSE),"")</f>
        <v>46223</v>
      </c>
      <c r="AV171" s="120" t="str">
        <f t="shared" si="32"/>
        <v>29-30 Jun</v>
      </c>
      <c r="AW171" s="121">
        <f>IFERROR($M171+VLOOKUP($L171,'Voyage days'!$F$483:$H$538,3,FALSE),"")</f>
        <v>46202</v>
      </c>
      <c r="AX171" s="121">
        <f>IFERROR($N171+VLOOKUP($L171,'Voyage days'!$F$483:$H$538,3,FALSE),"")</f>
        <v>46203</v>
      </c>
      <c r="AY171" s="120" t="str">
        <f t="shared" si="33"/>
        <v>24-25 Jun</v>
      </c>
      <c r="AZ171" s="121">
        <f>IFERROR($M171+VLOOKUP($L171,'Voyage days'!$F$540:$H$613,3,FALSE),"")</f>
        <v>46197</v>
      </c>
      <c r="BA171" s="121">
        <f>IFERROR($N171+VLOOKUP($L171,'Voyage days'!$F$540:$H$613,3,FALSE),"")</f>
        <v>46198</v>
      </c>
      <c r="BB171" s="120" t="str">
        <f t="shared" si="34"/>
        <v>23-24 Jun</v>
      </c>
      <c r="BC171" s="121">
        <f>IFERROR($M171+VLOOKUP($L171,'Voyage days'!$F$448:$H$479,3,FALSE),"")</f>
        <v>46196</v>
      </c>
      <c r="BD171" s="121">
        <f>IFERROR($N171+VLOOKUP($L171,'Voyage days'!$F$448:$H$479,3,FALSE),"")</f>
        <v>46197</v>
      </c>
      <c r="BE171" s="120" t="str">
        <f t="shared" si="35"/>
        <v/>
      </c>
      <c r="BF171" s="122" t="str">
        <f>IFERROR($M171+VLOOKUP($L171,'Voyage days'!$F$620:$H$646,3,FALSE),"")</f>
        <v/>
      </c>
      <c r="BG171" s="122" t="str">
        <f>IFERROR($N171+VLOOKUP($L171,'Voyage days'!$F$620:$H$646,3,FALSE),"")</f>
        <v/>
      </c>
      <c r="BH171" s="120" t="str">
        <f t="shared" si="36"/>
        <v>28-28 Jul</v>
      </c>
      <c r="BI171" s="123">
        <f>IFERROR($M171+VLOOKUP($L171,'Voyage days'!$F$702:$H$727,3,FALSE),"")</f>
        <v>46201</v>
      </c>
      <c r="BJ171" s="120" t="str">
        <f t="shared" si="37"/>
        <v>27-28 Jul</v>
      </c>
      <c r="BK171" s="122">
        <f>IFERROR($M171+VLOOKUP($L171,'Voyage days'!$F$807:$H$878,3,FALSE),"")</f>
        <v>46230</v>
      </c>
      <c r="BL171" s="122">
        <f>IFERROR($N171+VLOOKUP($L171,'Voyage days'!$F$807:$H$878,3,FALSE),"")</f>
        <v>46231</v>
      </c>
      <c r="BM171" s="122">
        <f>IFERROR($N171+VLOOKUP($L171,'Voyage days'!$F$807:$K$878,6,FALSE),"")</f>
        <v>46207</v>
      </c>
      <c r="BN171" s="121" t="str">
        <f>if(L171="loads AG", IFERROR($M171+VLOOKUP($L171,'Voyage days'!$M$38:$O$38,3,FALSE),""),"")</f>
        <v/>
      </c>
      <c r="BO171" s="121" t="str">
        <f>if(L171="loads USG", IFERROR($M171+VLOOKUP($L171,'Voyage days'!$L$203:$N$203,3,FALSE),""),"")</f>
        <v/>
      </c>
      <c r="BP171" s="313"/>
    </row>
    <row r="172" ht="15.75" customHeight="1">
      <c r="A172" s="274" t="s">
        <v>354</v>
      </c>
      <c r="B172" s="441">
        <v>2023.0</v>
      </c>
      <c r="C172" s="549">
        <v>93000.0</v>
      </c>
      <c r="D172" s="149"/>
      <c r="E172" s="149"/>
      <c r="F172" s="150"/>
      <c r="G172" s="150"/>
      <c r="H172" s="150" t="s">
        <v>666</v>
      </c>
      <c r="I172" s="321" t="s">
        <v>1080</v>
      </c>
      <c r="J172" s="151" t="str">
        <f t="shared" si="26"/>
        <v>Update</v>
      </c>
      <c r="K172" s="193"/>
      <c r="L172" s="153" t="s">
        <v>668</v>
      </c>
      <c r="M172" s="238">
        <v>46131.0</v>
      </c>
      <c r="N172" s="238">
        <v>46132.0</v>
      </c>
      <c r="O172" s="155"/>
      <c r="P172" s="153" t="s">
        <v>1081</v>
      </c>
      <c r="Q172" s="317"/>
      <c r="R172" s="153" t="s">
        <v>1082</v>
      </c>
      <c r="S172" s="256" t="s">
        <v>659</v>
      </c>
      <c r="T172" s="420">
        <v>46125.0</v>
      </c>
      <c r="U172" s="114" t="str">
        <f>IF(V172="","No AIS",VLOOKUP(V172,'Voyage days'!$A$3:$B$1480,2,FALSE))</f>
        <v>Japan + 6</v>
      </c>
      <c r="V172" s="114" t="str">
        <f>IF(VLOOKUP(A172,'1) Kpler'!$E$2:$P$1000,8, FALSE)="","",VLOOKUP(A172,'1) Kpler'!$E$2:$P$1000,8, FALSE))</f>
        <v>Imari</v>
      </c>
      <c r="W172" s="159">
        <f>IF(VLOOKUP(A172,'1) Kpler'!$E$2:$P$1000,9,FALSE)="","",VLOOKUP(A172,'1) Kpler'!$E$2:$P$1000,9,FALSE))</f>
        <v>46132.5</v>
      </c>
      <c r="X172" s="114" t="str">
        <f>VLOOKUP(A172,'1) Kpler'!$E$2:$I$1000,4,FALSE)</f>
        <v>loaded</v>
      </c>
      <c r="Y172" s="272" t="str">
        <f t="shared" si="1"/>
        <v>07-08 May</v>
      </c>
      <c r="Z172" s="272" t="str">
        <f t="shared" si="2"/>
        <v>21-22 May</v>
      </c>
      <c r="AA172" s="272" t="str">
        <f t="shared" si="3"/>
        <v>31-01 Jun</v>
      </c>
      <c r="AB172" s="272" t="str">
        <f t="shared" si="4"/>
        <v>19-20 May</v>
      </c>
      <c r="AC172" s="272" t="str">
        <f t="shared" si="5"/>
        <v>25-26 May</v>
      </c>
      <c r="AD172" s="272" t="str">
        <f t="shared" si="6"/>
        <v>27-28 Apr</v>
      </c>
      <c r="AE172" s="273" t="str">
        <f t="shared" si="7"/>
        <v>27-28 Apr</v>
      </c>
      <c r="AF172" s="162" t="str">
        <f t="shared" si="8"/>
        <v>04-05 Jun</v>
      </c>
      <c r="AG172" s="163" t="str">
        <f t="shared" si="27"/>
        <v>07-08 May</v>
      </c>
      <c r="AH172" s="122">
        <f>IFERROR($M172+VLOOKUP($L172,'Voyage days'!$F$38:$H$89,3,FALSE),"")</f>
        <v>46149</v>
      </c>
      <c r="AI172" s="122">
        <f>IFERROR(N172+VLOOKUP($L172,'Voyage days'!$F$38:$H$89,3,FALSE),"")</f>
        <v>46150</v>
      </c>
      <c r="AJ172" s="163" t="str">
        <f t="shared" si="28"/>
        <v>21-22 May</v>
      </c>
      <c r="AK172" s="122">
        <f>IFERROR($M172+VLOOKUP($L172,'Voyage days'!$F$94:$H$193,3,FALSE),"")</f>
        <v>46163</v>
      </c>
      <c r="AL172" s="122">
        <f>IFERROR($N172+VLOOKUP($L172,'Voyage days'!$F$94:$H$193,3,FALSE),"")</f>
        <v>46164</v>
      </c>
      <c r="AM172" s="163" t="str">
        <f t="shared" si="29"/>
        <v>31-01 Jun</v>
      </c>
      <c r="AN172" s="122">
        <f>IFERROR($M172+VLOOKUP($L172,'Voyage days'!$F$203:$H$256,3,FALSE),"")</f>
        <v>46173</v>
      </c>
      <c r="AO172" s="122">
        <f>IFERROR($N172+VLOOKUP($L172,'Voyage days'!$F$203:$H$256,3,FALSE),"")</f>
        <v>46174</v>
      </c>
      <c r="AP172" s="163" t="str">
        <f t="shared" si="30"/>
        <v>19-20 May</v>
      </c>
      <c r="AQ172" s="122">
        <f>IFERROR($M172+VLOOKUP($L172,'Voyage days'!$F$294:$H$377,3,FALSE),"")</f>
        <v>46161</v>
      </c>
      <c r="AR172" s="122">
        <f>IFERROR($N172+VLOOKUP($L172,'Voyage days'!$F$294:$H$377,3,FALSE),"")</f>
        <v>46162</v>
      </c>
      <c r="AS172" s="163" t="str">
        <f t="shared" si="31"/>
        <v>25-26 May</v>
      </c>
      <c r="AT172" s="122">
        <f>IFERROR($M172+VLOOKUP($L172,'Voyage days'!$F$382:$H$446,3,FALSE),"")</f>
        <v>46167</v>
      </c>
      <c r="AU172" s="122">
        <f>IFERROR($N172+VLOOKUP($L172,'Voyage days'!$F$382:$H$446,3,FALSE),"")</f>
        <v>46168</v>
      </c>
      <c r="AV172" s="163" t="str">
        <f t="shared" si="32"/>
        <v>02-03 May</v>
      </c>
      <c r="AW172" s="122">
        <f>IFERROR($M172+VLOOKUP($L172,'Voyage days'!$F$483:$H$538,3,FALSE),"")</f>
        <v>46144</v>
      </c>
      <c r="AX172" s="122">
        <f>IFERROR($N172+VLOOKUP($L172,'Voyage days'!$F$483:$H$538,3,FALSE),"")</f>
        <v>46145</v>
      </c>
      <c r="AY172" s="163" t="str">
        <f t="shared" si="33"/>
        <v>27-28 Apr</v>
      </c>
      <c r="AZ172" s="122">
        <f>IFERROR($M172+VLOOKUP($L172,'Voyage days'!$F$540:$H$613,3,FALSE),"")</f>
        <v>46139.25</v>
      </c>
      <c r="BA172" s="122">
        <f>IFERROR($N172+VLOOKUP($L172,'Voyage days'!$F$540:$H$613,3,FALSE),"")</f>
        <v>46140.25</v>
      </c>
      <c r="BB172" s="163" t="str">
        <f t="shared" si="34"/>
        <v>27-28 Apr</v>
      </c>
      <c r="BC172" s="122">
        <f>IFERROR($M172+VLOOKUP($L172,'Voyage days'!$F$448:$H$479,3,FALSE),"")</f>
        <v>46139</v>
      </c>
      <c r="BD172" s="122">
        <f>IFERROR($N172+VLOOKUP($L172,'Voyage days'!$F$448:$H$479,3,FALSE),"")</f>
        <v>46140</v>
      </c>
      <c r="BE172" s="163" t="str">
        <f t="shared" si="35"/>
        <v>30-01 May</v>
      </c>
      <c r="BF172" s="122">
        <f>IFERROR($M172+VLOOKUP($L172,'Voyage days'!$F$620:$H$646,3,FALSE),"")</f>
        <v>46142</v>
      </c>
      <c r="BG172" s="122">
        <f>IFERROR($N172+VLOOKUP($L172,'Voyage days'!$F$620:$H$646,3,FALSE),"")</f>
        <v>46143</v>
      </c>
      <c r="BH172" s="163" t="str">
        <f t="shared" si="36"/>
        <v>27-05 Jun</v>
      </c>
      <c r="BI172" s="123">
        <f>IFERROR($M172+VLOOKUP($L172,'Voyage days'!$F$702:$H$727,3,FALSE),"")</f>
        <v>46139.25</v>
      </c>
      <c r="BJ172" s="163" t="str">
        <f t="shared" si="37"/>
        <v>04-05 Jun</v>
      </c>
      <c r="BK172" s="122">
        <f>IFERROR($M172+VLOOKUP($L172,'Voyage days'!$F$807:$H$878,3,FALSE),"")</f>
        <v>46177</v>
      </c>
      <c r="BL172" s="122">
        <f>IFERROR($N172+VLOOKUP($L172,'Voyage days'!$F$807:$H$878,3,FALSE),"")</f>
        <v>46178</v>
      </c>
      <c r="BM172" s="122">
        <f>IFERROR($N172+VLOOKUP($L172,'Voyage days'!$F$807:$K$878,6,FALSE),"")</f>
        <v>46152</v>
      </c>
      <c r="BN172" s="122" t="str">
        <f>if(L172="loads AG", IFERROR($M172+VLOOKUP($L172,'Voyage days'!$M$38:$O$38,3,FALSE),""),"")</f>
        <v/>
      </c>
      <c r="BO172" s="122" t="str">
        <f>if(L172="loads USG", IFERROR($M172+VLOOKUP($L172,'Voyage days'!$L$203:$N$203,3,FALSE),""),"")</f>
        <v/>
      </c>
    </row>
    <row r="173" ht="15.75" customHeight="1">
      <c r="A173" s="80" t="s">
        <v>379</v>
      </c>
      <c r="B173" s="441">
        <v>2023.0</v>
      </c>
      <c r="C173" s="549">
        <v>93000.0</v>
      </c>
      <c r="D173" s="149"/>
      <c r="E173" s="103"/>
      <c r="F173" s="104"/>
      <c r="G173" s="104"/>
      <c r="H173" s="104" t="s">
        <v>666</v>
      </c>
      <c r="I173" s="401" t="s">
        <v>1080</v>
      </c>
      <c r="J173" s="106" t="str">
        <f t="shared" si="26"/>
        <v/>
      </c>
      <c r="K173" s="107"/>
      <c r="L173" s="108" t="s">
        <v>663</v>
      </c>
      <c r="M173" s="109">
        <v>46150.0</v>
      </c>
      <c r="N173" s="154">
        <v>46152.0</v>
      </c>
      <c r="O173" s="191"/>
      <c r="P173" s="108" t="s">
        <v>1083</v>
      </c>
      <c r="Q173" s="187"/>
      <c r="R173" s="187" t="s">
        <v>1084</v>
      </c>
      <c r="S173" s="256" t="s">
        <v>659</v>
      </c>
      <c r="T173" s="113">
        <v>46125.0</v>
      </c>
      <c r="U173" s="114" t="str">
        <f>IF(V173="","No AIS",VLOOKUP(V173,'Voyage days'!$A$3:$B$1480,2,FALSE))</f>
        <v>East China + 4</v>
      </c>
      <c r="V173" s="115" t="str">
        <f>IF(VLOOKUP(A173,'1) Kpler'!$E$2:$P$1000,8, FALSE)="","",VLOOKUP(A173,'1) Kpler'!$E$2:$P$1000,8, FALSE))</f>
        <v>Nanrong Petrochemical Terminal</v>
      </c>
      <c r="W173" s="116">
        <f>IF(VLOOKUP(A173,'1) Kpler'!$E$2:$P$1000,9,FALSE)="","",VLOOKUP(A173,'1) Kpler'!$E$2:$P$1000,9,FALSE))</f>
        <v>46146.41667</v>
      </c>
      <c r="X173" s="115" t="str">
        <f>VLOOKUP(A173,'1) Kpler'!$E$2:$I$1000,4,FALSE)</f>
        <v>loaded</v>
      </c>
      <c r="Y173" s="117" t="str">
        <f t="shared" si="1"/>
        <v>25-27 May</v>
      </c>
      <c r="Z173" s="117" t="str">
        <f t="shared" si="2"/>
        <v>10-12 Jun</v>
      </c>
      <c r="AA173" s="117" t="str">
        <f t="shared" si="3"/>
        <v>21-23 Jun</v>
      </c>
      <c r="AB173" s="117" t="str">
        <f t="shared" si="4"/>
        <v>05-07 Jun</v>
      </c>
      <c r="AC173" s="117" t="str">
        <f t="shared" si="5"/>
        <v>12-14 Jun</v>
      </c>
      <c r="AD173" s="117" t="str">
        <f t="shared" si="6"/>
        <v>14-16 May</v>
      </c>
      <c r="AE173" s="118" t="str">
        <f t="shared" si="7"/>
        <v>15-17 May</v>
      </c>
      <c r="AF173" s="119" t="str">
        <f t="shared" si="8"/>
        <v>21-23 Jun</v>
      </c>
      <c r="AG173" s="120" t="str">
        <f t="shared" si="27"/>
        <v>25-27 May</v>
      </c>
      <c r="AH173" s="121">
        <f>IFERROR($M173+VLOOKUP($L173,'Voyage days'!$F$38:$H$89,3,FALSE),"")</f>
        <v>46167</v>
      </c>
      <c r="AI173" s="121">
        <f>IFERROR(N173+VLOOKUP($L173,'Voyage days'!$F$38:$H$89,3,FALSE),"")</f>
        <v>46169</v>
      </c>
      <c r="AJ173" s="120" t="str">
        <f t="shared" si="28"/>
        <v>10-12 Jun</v>
      </c>
      <c r="AK173" s="121">
        <f>IFERROR($M173+VLOOKUP($L173,'Voyage days'!$F$94:$H$193,3,FALSE),"")</f>
        <v>46183</v>
      </c>
      <c r="AL173" s="121">
        <f>IFERROR($N173+VLOOKUP($L173,'Voyage days'!$F$94:$H$193,3,FALSE),"")</f>
        <v>46185</v>
      </c>
      <c r="AM173" s="120" t="str">
        <f t="shared" si="29"/>
        <v>21-23 Jun</v>
      </c>
      <c r="AN173" s="121">
        <f>IFERROR($M173+VLOOKUP($L173,'Voyage days'!$F$203:$H$256,3,FALSE),"")</f>
        <v>46194</v>
      </c>
      <c r="AO173" s="121">
        <f>IFERROR($N173+VLOOKUP($L173,'Voyage days'!$F$203:$H$256,3,FALSE),"")</f>
        <v>46196</v>
      </c>
      <c r="AP173" s="120" t="str">
        <f t="shared" si="30"/>
        <v>05-07 Jun</v>
      </c>
      <c r="AQ173" s="121">
        <f>IFERROR($M173+VLOOKUP($L173,'Voyage days'!$F$294:$H$377,3,FALSE),"")</f>
        <v>46178</v>
      </c>
      <c r="AR173" s="121">
        <f>IFERROR($N173+VLOOKUP($L173,'Voyage days'!$F$294:$H$377,3,FALSE),"")</f>
        <v>46180</v>
      </c>
      <c r="AS173" s="120" t="str">
        <f t="shared" si="31"/>
        <v>12-14 Jun</v>
      </c>
      <c r="AT173" s="121">
        <f>IFERROR($M173+VLOOKUP($L173,'Voyage days'!$F$382:$H$446,3,FALSE),"")</f>
        <v>46185</v>
      </c>
      <c r="AU173" s="121">
        <f>IFERROR($N173+VLOOKUP($L173,'Voyage days'!$F$382:$H$446,3,FALSE),"")</f>
        <v>46187</v>
      </c>
      <c r="AV173" s="120" t="str">
        <f t="shared" si="32"/>
        <v>22-24 May</v>
      </c>
      <c r="AW173" s="121">
        <f>IFERROR($M173+VLOOKUP($L173,'Voyage days'!$F$483:$H$538,3,FALSE),"")</f>
        <v>46164</v>
      </c>
      <c r="AX173" s="121">
        <f>IFERROR($N173+VLOOKUP($L173,'Voyage days'!$F$483:$H$538,3,FALSE),"")</f>
        <v>46166</v>
      </c>
      <c r="AY173" s="120" t="str">
        <f t="shared" si="33"/>
        <v>15-17 May</v>
      </c>
      <c r="AZ173" s="121">
        <f>IFERROR($M173+VLOOKUP($L173,'Voyage days'!$F$540:$H$613,3,FALSE),"")</f>
        <v>46157.25</v>
      </c>
      <c r="BA173" s="121">
        <f>IFERROR($N173+VLOOKUP($L173,'Voyage days'!$F$540:$H$613,3,FALSE),"")</f>
        <v>46159.25</v>
      </c>
      <c r="BB173" s="120" t="str">
        <f t="shared" si="34"/>
        <v>14-16 May</v>
      </c>
      <c r="BC173" s="121">
        <f>IFERROR($M173+VLOOKUP($L173,'Voyage days'!$F$448:$H$479,3,FALSE),"")</f>
        <v>46156</v>
      </c>
      <c r="BD173" s="121">
        <f>IFERROR($N173+VLOOKUP($L173,'Voyage days'!$F$448:$H$479,3,FALSE),"")</f>
        <v>46158</v>
      </c>
      <c r="BE173" s="120" t="str">
        <f t="shared" si="35"/>
        <v>21-23 May</v>
      </c>
      <c r="BF173" s="122">
        <f>IFERROR($M173+VLOOKUP($L173,'Voyage days'!$F$620:$H$646,3,FALSE),"")</f>
        <v>46163</v>
      </c>
      <c r="BG173" s="122">
        <f>IFERROR($N173+VLOOKUP($L173,'Voyage days'!$F$620:$H$646,3,FALSE),"")</f>
        <v>46165</v>
      </c>
      <c r="BH173" s="120" t="str">
        <f t="shared" si="36"/>
        <v>15-23 Jun</v>
      </c>
      <c r="BI173" s="123">
        <f>IFERROR($M173+VLOOKUP($L173,'Voyage days'!$F$702:$H$727,3,FALSE),"")</f>
        <v>46157.25</v>
      </c>
      <c r="BJ173" s="163" t="str">
        <f t="shared" si="37"/>
        <v>21-23 Jun</v>
      </c>
      <c r="BK173" s="122">
        <f>IFERROR($M173+VLOOKUP($L173,'Voyage days'!$F$807:$H$878,3,FALSE),"")</f>
        <v>46194</v>
      </c>
      <c r="BL173" s="122">
        <f>IFERROR($N173+VLOOKUP($L173,'Voyage days'!$F$807:$H$878,3,FALSE),"")</f>
        <v>46196</v>
      </c>
      <c r="BM173" s="122">
        <f>IFERROR($N173+VLOOKUP($L173,'Voyage days'!$F$807:$K$878,6,FALSE),"")</f>
        <v>46170</v>
      </c>
      <c r="BN173" s="121" t="str">
        <f>if(L173="loads AG", IFERROR($M173+VLOOKUP($L173,'Voyage days'!$M$38:$O$38,3,FALSE),""),"")</f>
        <v/>
      </c>
      <c r="BO173" s="121" t="str">
        <f>if(L173="loads USG", IFERROR($M173+VLOOKUP($L173,'Voyage days'!$L$203:$N$203,3,FALSE),""),"")</f>
        <v/>
      </c>
    </row>
    <row r="174" ht="15.75" customHeight="1">
      <c r="A174" s="80" t="s">
        <v>381</v>
      </c>
      <c r="B174" s="441">
        <v>2023.0</v>
      </c>
      <c r="C174" s="549">
        <v>93000.0</v>
      </c>
      <c r="D174" s="149"/>
      <c r="E174" s="103"/>
      <c r="F174" s="104"/>
      <c r="G174" s="104"/>
      <c r="H174" s="104" t="s">
        <v>666</v>
      </c>
      <c r="I174" s="401" t="s">
        <v>1080</v>
      </c>
      <c r="J174" s="106" t="str">
        <f t="shared" si="26"/>
        <v>NO AIS</v>
      </c>
      <c r="K174" s="205" t="s">
        <v>765</v>
      </c>
      <c r="L174" s="187" t="s">
        <v>1085</v>
      </c>
      <c r="M174" s="154">
        <v>46126.0</v>
      </c>
      <c r="N174" s="154">
        <v>46127.0</v>
      </c>
      <c r="O174" s="191"/>
      <c r="P174" s="108" t="s">
        <v>1086</v>
      </c>
      <c r="Q174" s="108"/>
      <c r="R174" s="108" t="s">
        <v>1087</v>
      </c>
      <c r="S174" s="256" t="s">
        <v>659</v>
      </c>
      <c r="T174" s="113">
        <v>46125.0</v>
      </c>
      <c r="U174" s="114" t="str">
        <f>IF(V174="","No AIS",VLOOKUP(V174,'Voyage days'!$A$3:$B$1480,2,FALSE))</f>
        <v>No AIS</v>
      </c>
      <c r="V174" s="115" t="str">
        <f>IF(VLOOKUP(A174,'1) Kpler'!$E$2:$P$1000,8, FALSE)="","",VLOOKUP(A174,'1) Kpler'!$E$2:$P$1000,8, FALSE))</f>
        <v/>
      </c>
      <c r="W174" s="116" t="str">
        <f>IF(VLOOKUP(A174,'1) Kpler'!$E$2:$P$1000,9,FALSE)="","",VLOOKUP(A174,'1) Kpler'!$E$2:$P$1000,9,FALSE))</f>
        <v/>
      </c>
      <c r="X174" s="115" t="str">
        <f>VLOOKUP(A174,'1) Kpler'!$E$2:$I$1000,4,FALSE)</f>
        <v>ballast</v>
      </c>
      <c r="Y174" s="160" t="str">
        <f t="shared" si="1"/>
        <v>19-20 Apr</v>
      </c>
      <c r="Z174" s="160" t="str">
        <f t="shared" si="2"/>
        <v/>
      </c>
      <c r="AA174" s="160" t="str">
        <f t="shared" si="3"/>
        <v>16-17 May</v>
      </c>
      <c r="AB174" s="160" t="str">
        <f t="shared" si="4"/>
        <v>03-04 May</v>
      </c>
      <c r="AC174" s="160" t="str">
        <f t="shared" si="5"/>
        <v>27-28 Apr</v>
      </c>
      <c r="AD174" s="160" t="str">
        <f t="shared" si="6"/>
        <v/>
      </c>
      <c r="AE174" s="161" t="str">
        <f t="shared" si="7"/>
        <v/>
      </c>
      <c r="AF174" s="162" t="str">
        <f t="shared" si="8"/>
        <v>19-20 May</v>
      </c>
      <c r="AG174" s="120" t="str">
        <f t="shared" si="27"/>
        <v>19-20 Apr</v>
      </c>
      <c r="AH174" s="121">
        <f>IFERROR($M174+VLOOKUP($L174,'Voyage days'!$F$38:$H$89,3,FALSE),"")</f>
        <v>46131</v>
      </c>
      <c r="AI174" s="121">
        <f>IFERROR(N174+VLOOKUP($L174,'Voyage days'!$F$38:$H$89,3,FALSE),"")</f>
        <v>46132</v>
      </c>
      <c r="AJ174" s="120" t="str">
        <f t="shared" si="28"/>
        <v/>
      </c>
      <c r="AK174" s="121" t="str">
        <f>IFERROR($M174+VLOOKUP($L174,'Voyage days'!$F$94:$H$193,3,FALSE),"")</f>
        <v/>
      </c>
      <c r="AL174" s="121" t="str">
        <f>IFERROR($N174+VLOOKUP($L174,'Voyage days'!$F$94:$H$193,3,FALSE),"")</f>
        <v/>
      </c>
      <c r="AM174" s="120" t="str">
        <f t="shared" si="29"/>
        <v>16-17 May</v>
      </c>
      <c r="AN174" s="121">
        <f>IFERROR($M174+VLOOKUP($L174,'Voyage days'!$F$203:$H$256,3,FALSE),"")</f>
        <v>46158</v>
      </c>
      <c r="AO174" s="121">
        <f>IFERROR($N174+VLOOKUP($L174,'Voyage days'!$F$203:$H$256,3,FALSE),"")</f>
        <v>46159</v>
      </c>
      <c r="AP174" s="120" t="str">
        <f t="shared" si="30"/>
        <v>03-04 May</v>
      </c>
      <c r="AQ174" s="121">
        <f>IFERROR($M174+VLOOKUP($L174,'Voyage days'!$F$294:$H$377,3,FALSE),"")</f>
        <v>46145</v>
      </c>
      <c r="AR174" s="121">
        <f>IFERROR($N174+VLOOKUP($L174,'Voyage days'!$F$294:$H$377,3,FALSE),"")</f>
        <v>46146</v>
      </c>
      <c r="AS174" s="120" t="str">
        <f t="shared" si="31"/>
        <v>27-28 Apr</v>
      </c>
      <c r="AT174" s="121">
        <f>IFERROR($M174+VLOOKUP($L174,'Voyage days'!$F$382:$H$446,3,FALSE),"")</f>
        <v>46139</v>
      </c>
      <c r="AU174" s="121">
        <f>IFERROR($N174+VLOOKUP($L174,'Voyage days'!$F$382:$H$446,3,FALSE),"")</f>
        <v>46140</v>
      </c>
      <c r="AV174" s="120" t="str">
        <f t="shared" si="32"/>
        <v/>
      </c>
      <c r="AW174" s="121" t="str">
        <f>IFERROR($M174+VLOOKUP($L174,'Voyage days'!$F$483:$H$538,3,FALSE),"")</f>
        <v/>
      </c>
      <c r="AX174" s="121" t="str">
        <f>IFERROR($N174+VLOOKUP($L174,'Voyage days'!$F$483:$H$538,3,FALSE),"")</f>
        <v/>
      </c>
      <c r="AY174" s="120" t="str">
        <f t="shared" si="33"/>
        <v/>
      </c>
      <c r="AZ174" s="121" t="str">
        <f>IFERROR($M174+VLOOKUP($L174,'Voyage days'!$F$540:$H$613,3,FALSE),"")</f>
        <v/>
      </c>
      <c r="BA174" s="121" t="str">
        <f>IFERROR($N174+VLOOKUP($L174,'Voyage days'!$F$540:$H$613,3,FALSE),"")</f>
        <v/>
      </c>
      <c r="BB174" s="120" t="str">
        <f t="shared" si="34"/>
        <v/>
      </c>
      <c r="BC174" s="121" t="str">
        <f>IFERROR($M174+VLOOKUP($L174,'Voyage days'!$F$448:$H$479,3,FALSE),"")</f>
        <v/>
      </c>
      <c r="BD174" s="121" t="str">
        <f>IFERROR($N174+VLOOKUP($L174,'Voyage days'!$F$448:$H$479,3,FALSE),"")</f>
        <v/>
      </c>
      <c r="BE174" s="120" t="str">
        <f t="shared" si="35"/>
        <v/>
      </c>
      <c r="BF174" s="122" t="str">
        <f>IFERROR($M174+VLOOKUP($L174,'Voyage days'!$F$620:$H$646,3,FALSE),"")</f>
        <v/>
      </c>
      <c r="BG174" s="122" t="str">
        <f>IFERROR($N174+VLOOKUP($L174,'Voyage days'!$F$620:$H$646,3,FALSE),"")</f>
        <v/>
      </c>
      <c r="BH174" s="120" t="str">
        <f t="shared" si="36"/>
        <v/>
      </c>
      <c r="BI174" s="123" t="str">
        <f>IFERROR($M174+VLOOKUP($L174,'Voyage days'!$F$702:$H$727,3,FALSE),"")</f>
        <v/>
      </c>
      <c r="BJ174" s="120" t="str">
        <f t="shared" si="37"/>
        <v>19-20 May</v>
      </c>
      <c r="BK174" s="122">
        <f>IFERROR($M174+VLOOKUP($L174,'Voyage days'!$F$807:$H$878,3,FALSE),"")</f>
        <v>46161</v>
      </c>
      <c r="BL174" s="122">
        <f>IFERROR($N174+VLOOKUP($L174,'Voyage days'!$F$807:$H$878,3,FALSE),"")</f>
        <v>46162</v>
      </c>
      <c r="BM174" s="122">
        <f>IFERROR($N174+VLOOKUP($L174,'Voyage days'!$F$807:$K$878,6,FALSE),"")</f>
        <v>46134</v>
      </c>
      <c r="BN174" s="121" t="str">
        <f>if(L174="loads AG", IFERROR($M174+VLOOKUP($L174,'Voyage days'!$M$38:$O$38,3,FALSE),""),"")</f>
        <v/>
      </c>
      <c r="BO174" s="121" t="str">
        <f>if(L174="loads USG", IFERROR($M174+VLOOKUP($L174,'Voyage days'!$L$203:$N$203,3,FALSE),""),"")</f>
        <v/>
      </c>
    </row>
    <row r="175" ht="15.75" customHeight="1">
      <c r="A175" s="80" t="s">
        <v>352</v>
      </c>
      <c r="B175" s="441">
        <v>2024.0</v>
      </c>
      <c r="C175" s="549">
        <v>93000.0</v>
      </c>
      <c r="D175" s="149"/>
      <c r="E175" s="103"/>
      <c r="F175" s="104"/>
      <c r="G175" s="104"/>
      <c r="H175" s="104" t="s">
        <v>666</v>
      </c>
      <c r="I175" s="401" t="s">
        <v>1080</v>
      </c>
      <c r="J175" s="106" t="str">
        <f t="shared" si="26"/>
        <v/>
      </c>
      <c r="K175" s="205" t="s">
        <v>765</v>
      </c>
      <c r="L175" s="108" t="s">
        <v>1085</v>
      </c>
      <c r="M175" s="254">
        <v>46162.0</v>
      </c>
      <c r="N175" s="109">
        <v>46163.0</v>
      </c>
      <c r="O175" s="191"/>
      <c r="P175" s="108" t="s">
        <v>1088</v>
      </c>
      <c r="Q175" s="108"/>
      <c r="R175" s="108" t="s">
        <v>1089</v>
      </c>
      <c r="S175" s="256" t="s">
        <v>659</v>
      </c>
      <c r="T175" s="113">
        <v>46125.0</v>
      </c>
      <c r="U175" s="114" t="str">
        <f>IF(V175="","No AIS",VLOOKUP(V175,'Voyage days'!$A$3:$B$1480,2,FALSE))</f>
        <v>WCI + 5</v>
      </c>
      <c r="V175" s="217" t="str">
        <f>IF(VLOOKUP(A175,'1) Kpler'!$E$2:$P$1000,8, FALSE)="","",VLOOKUP(A175,'1) Kpler'!$E$2:$P$1000,8, FALSE))</f>
        <v>Mangalore</v>
      </c>
      <c r="W175" s="218">
        <f>IF(VLOOKUP(A175,'1) Kpler'!$E$2:$P$1000,9,FALSE)="","",VLOOKUP(A175,'1) Kpler'!$E$2:$P$1000,9,FALSE))</f>
        <v>46158.625</v>
      </c>
      <c r="X175" s="217" t="str">
        <f>VLOOKUP(A175,'1) Kpler'!$E$2:$I$1000,4,FALSE)</f>
        <v>loaded</v>
      </c>
      <c r="Y175" s="117" t="str">
        <f t="shared" si="1"/>
        <v>25-26 May</v>
      </c>
      <c r="Z175" s="117" t="str">
        <f t="shared" si="2"/>
        <v/>
      </c>
      <c r="AA175" s="117" t="str">
        <f t="shared" si="3"/>
        <v>21-22 Jun</v>
      </c>
      <c r="AB175" s="117" t="str">
        <f t="shared" si="4"/>
        <v>08-09 Jun</v>
      </c>
      <c r="AC175" s="117" t="str">
        <f t="shared" si="5"/>
        <v>02-03 Jun</v>
      </c>
      <c r="AD175" s="117" t="str">
        <f t="shared" si="6"/>
        <v/>
      </c>
      <c r="AE175" s="118" t="str">
        <f t="shared" si="7"/>
        <v/>
      </c>
      <c r="AF175" s="119" t="str">
        <f t="shared" si="8"/>
        <v>24-25 Jun</v>
      </c>
      <c r="AG175" s="120" t="str">
        <f t="shared" si="27"/>
        <v>25-26 May</v>
      </c>
      <c r="AH175" s="121">
        <f>IFERROR($M175+VLOOKUP($L175,'Voyage days'!$F$38:$H$89,3,FALSE),"")</f>
        <v>46167</v>
      </c>
      <c r="AI175" s="121">
        <f>IFERROR(N175+VLOOKUP($L175,'Voyage days'!$F$38:$H$89,3,FALSE),"")</f>
        <v>46168</v>
      </c>
      <c r="AJ175" s="120" t="str">
        <f t="shared" si="28"/>
        <v/>
      </c>
      <c r="AK175" s="121" t="str">
        <f>IFERROR($M175+VLOOKUP($L175,'Voyage days'!$F$94:$H$193,3,FALSE),"")</f>
        <v/>
      </c>
      <c r="AL175" s="121" t="str">
        <f>IFERROR($N175+VLOOKUP($L175,'Voyage days'!$F$94:$H$193,3,FALSE),"")</f>
        <v/>
      </c>
      <c r="AM175" s="120" t="str">
        <f t="shared" si="29"/>
        <v>21-22 Jun</v>
      </c>
      <c r="AN175" s="121">
        <f>IFERROR($M175+VLOOKUP($L175,'Voyage days'!$F$203:$H$256,3,FALSE),"")</f>
        <v>46194</v>
      </c>
      <c r="AO175" s="121">
        <f>IFERROR($N175+VLOOKUP($L175,'Voyage days'!$F$203:$H$256,3,FALSE),"")</f>
        <v>46195</v>
      </c>
      <c r="AP175" s="120" t="str">
        <f t="shared" si="30"/>
        <v>08-09 Jun</v>
      </c>
      <c r="AQ175" s="121">
        <f>IFERROR($M175+VLOOKUP($L175,'Voyage days'!$F$294:$H$377,3,FALSE),"")</f>
        <v>46181</v>
      </c>
      <c r="AR175" s="121">
        <f>IFERROR($N175+VLOOKUP($L175,'Voyage days'!$F$294:$H$377,3,FALSE),"")</f>
        <v>46182</v>
      </c>
      <c r="AS175" s="120" t="str">
        <f t="shared" si="31"/>
        <v>02-03 Jun</v>
      </c>
      <c r="AT175" s="121">
        <f>IFERROR($M175+VLOOKUP($L175,'Voyage days'!$F$382:$H$446,3,FALSE),"")</f>
        <v>46175</v>
      </c>
      <c r="AU175" s="121">
        <f>IFERROR($N175+VLOOKUP($L175,'Voyage days'!$F$382:$H$446,3,FALSE),"")</f>
        <v>46176</v>
      </c>
      <c r="AV175" s="120" t="str">
        <f t="shared" si="32"/>
        <v/>
      </c>
      <c r="AW175" s="121" t="str">
        <f>IFERROR($M175+VLOOKUP($L175,'Voyage days'!$F$483:$H$538,3,FALSE),"")</f>
        <v/>
      </c>
      <c r="AX175" s="121" t="str">
        <f>IFERROR($N175+VLOOKUP($L175,'Voyage days'!$F$483:$H$538,3,FALSE),"")</f>
        <v/>
      </c>
      <c r="AY175" s="120" t="str">
        <f t="shared" si="33"/>
        <v/>
      </c>
      <c r="AZ175" s="121" t="str">
        <f>IFERROR($M175+VLOOKUP($L175,'Voyage days'!$F$540:$H$613,3,FALSE),"")</f>
        <v/>
      </c>
      <c r="BA175" s="121" t="str">
        <f>IFERROR($N175+VLOOKUP($L175,'Voyage days'!$F$540:$H$613,3,FALSE),"")</f>
        <v/>
      </c>
      <c r="BB175" s="120" t="str">
        <f t="shared" si="34"/>
        <v/>
      </c>
      <c r="BC175" s="121" t="str">
        <f>IFERROR($M175+VLOOKUP($L175,'Voyage days'!$F$448:$H$479,3,FALSE),"")</f>
        <v/>
      </c>
      <c r="BD175" s="121" t="str">
        <f>IFERROR($N175+VLOOKUP($L175,'Voyage days'!$F$448:$H$479,3,FALSE),"")</f>
        <v/>
      </c>
      <c r="BE175" s="120" t="str">
        <f t="shared" si="35"/>
        <v/>
      </c>
      <c r="BF175" s="122" t="str">
        <f>IFERROR($M175+VLOOKUP($L175,'Voyage days'!$F$620:$H$646,3,FALSE),"")</f>
        <v/>
      </c>
      <c r="BG175" s="122" t="str">
        <f>IFERROR($N175+VLOOKUP($L175,'Voyage days'!$F$620:$H$646,3,FALSE),"")</f>
        <v/>
      </c>
      <c r="BH175" s="120" t="str">
        <f t="shared" si="36"/>
        <v/>
      </c>
      <c r="BI175" s="123" t="str">
        <f>IFERROR($M175+VLOOKUP($L175,'Voyage days'!$F$702:$H$727,3,FALSE),"")</f>
        <v/>
      </c>
      <c r="BJ175" s="120" t="str">
        <f t="shared" si="37"/>
        <v>24-25 Jun</v>
      </c>
      <c r="BK175" s="122">
        <f>IFERROR($M175+VLOOKUP($L175,'Voyage days'!$F$807:$H$878,3,FALSE),"")</f>
        <v>46197</v>
      </c>
      <c r="BL175" s="122">
        <f>IFERROR($N175+VLOOKUP($L175,'Voyage days'!$F$807:$H$878,3,FALSE),"")</f>
        <v>46198</v>
      </c>
      <c r="BM175" s="122">
        <f>IFERROR($N175+VLOOKUP($L175,'Voyage days'!$F$807:$K$878,6,FALSE),"")</f>
        <v>46170</v>
      </c>
      <c r="BN175" s="121" t="str">
        <f>if(L175="loads AG", IFERROR($M175+VLOOKUP($L175,'Voyage days'!$M$38:$O$38,3,FALSE),""),"")</f>
        <v/>
      </c>
      <c r="BO175" s="121" t="str">
        <f>if(L175="loads USG", IFERROR($M175+VLOOKUP($L175,'Voyage days'!$L$203:$N$203,3,FALSE),""),"")</f>
        <v/>
      </c>
    </row>
    <row r="176" ht="15.75" customHeight="1">
      <c r="A176" s="100" t="s">
        <v>367</v>
      </c>
      <c r="B176" s="550">
        <v>2023.0</v>
      </c>
      <c r="C176" s="102">
        <v>93000.0</v>
      </c>
      <c r="D176" s="149"/>
      <c r="E176" s="103"/>
      <c r="F176" s="104"/>
      <c r="G176" s="104"/>
      <c r="H176" s="104" t="s">
        <v>666</v>
      </c>
      <c r="I176" s="295" t="s">
        <v>1080</v>
      </c>
      <c r="J176" s="106" t="str">
        <f t="shared" si="26"/>
        <v/>
      </c>
      <c r="K176" s="107"/>
      <c r="L176" s="153" t="s">
        <v>680</v>
      </c>
      <c r="M176" s="254">
        <v>46156.0</v>
      </c>
      <c r="N176" s="254">
        <v>46157.0</v>
      </c>
      <c r="O176" s="191" t="s">
        <v>699</v>
      </c>
      <c r="P176" s="108" t="s">
        <v>1090</v>
      </c>
      <c r="Q176" s="108"/>
      <c r="R176" s="108" t="s">
        <v>1091</v>
      </c>
      <c r="S176" s="256" t="s">
        <v>659</v>
      </c>
      <c r="T176" s="113">
        <v>46125.0</v>
      </c>
      <c r="U176" s="114" t="str">
        <f>IF(V176="","No AIS",VLOOKUP(V176,'Voyage days'!$A$3:$B$1480,2,FALSE))</f>
        <v>Panama</v>
      </c>
      <c r="V176" s="115" t="str">
        <f>IF(VLOOKUP(A176,'1) Kpler'!$E$2:$P$1000,8, FALSE)="","",VLOOKUP(A176,'1) Kpler'!$E$2:$P$1000,8, FALSE))</f>
        <v>Panama Canal</v>
      </c>
      <c r="W176" s="116">
        <f>IF(VLOOKUP(A176,'1) Kpler'!$E$2:$P$1000,9,FALSE)="","",VLOOKUP(A176,'1) Kpler'!$E$2:$P$1000,9,FALSE))</f>
        <v>46140.33333</v>
      </c>
      <c r="X176" s="115" t="str">
        <f>VLOOKUP(A176,'1) Kpler'!$E$2:$I$1000,4,FALSE)</f>
        <v>ballast</v>
      </c>
      <c r="Y176" s="160" t="str">
        <f t="shared" si="1"/>
        <v/>
      </c>
      <c r="Z176" s="160" t="str">
        <f t="shared" si="2"/>
        <v>14-15 May</v>
      </c>
      <c r="AA176" s="160" t="str">
        <f t="shared" si="3"/>
        <v>14-15 May</v>
      </c>
      <c r="AB176" s="160" t="str">
        <f t="shared" si="4"/>
        <v/>
      </c>
      <c r="AC176" s="160" t="str">
        <f t="shared" si="5"/>
        <v>03-04 Jun</v>
      </c>
      <c r="AD176" s="160" t="str">
        <f t="shared" si="6"/>
        <v/>
      </c>
      <c r="AE176" s="161" t="str">
        <f t="shared" si="7"/>
        <v/>
      </c>
      <c r="AF176" s="162" t="str">
        <f t="shared" si="8"/>
        <v/>
      </c>
      <c r="AG176" s="120" t="str">
        <f t="shared" si="27"/>
        <v/>
      </c>
      <c r="AH176" s="121" t="str">
        <f>IFERROR($M176+VLOOKUP($L176,'Voyage days'!$F$38:$H$89,3,FALSE),"")</f>
        <v/>
      </c>
      <c r="AI176" s="121" t="str">
        <f>IFERROR(N176+VLOOKUP($L176,'Voyage days'!$F$38:$H$89,3,FALSE),"")</f>
        <v/>
      </c>
      <c r="AJ176" s="120" t="str">
        <f t="shared" si="28"/>
        <v>14-15 May</v>
      </c>
      <c r="AK176" s="121">
        <f>IFERROR($M176+VLOOKUP($L176,'Voyage days'!$F$94:$H$193,3,FALSE),"")</f>
        <v>46156</v>
      </c>
      <c r="AL176" s="121">
        <f>IFERROR($N176+VLOOKUP($L176,'Voyage days'!$F$94:$H$193,3,FALSE),"")</f>
        <v>46157</v>
      </c>
      <c r="AM176" s="120" t="str">
        <f t="shared" si="29"/>
        <v>14-15 May</v>
      </c>
      <c r="AN176" s="121">
        <f>IFERROR($M176+VLOOKUP($L176,'Voyage days'!$F$203:$H$256,3,FALSE),"")</f>
        <v>46156</v>
      </c>
      <c r="AO176" s="121">
        <f>IFERROR($N176+VLOOKUP($L176,'Voyage days'!$F$203:$H$256,3,FALSE),"")</f>
        <v>46157</v>
      </c>
      <c r="AP176" s="120" t="str">
        <f t="shared" si="30"/>
        <v/>
      </c>
      <c r="AQ176" s="121" t="str">
        <f>IFERROR($M176+VLOOKUP($L176,'Voyage days'!$F$294:$H$377,3,FALSE),"")</f>
        <v/>
      </c>
      <c r="AR176" s="121" t="str">
        <f>IFERROR($N176+VLOOKUP($L176,'Voyage days'!$F$294:$H$377,3,FALSE),"")</f>
        <v/>
      </c>
      <c r="AS176" s="120" t="str">
        <f t="shared" si="31"/>
        <v>03-04 Jun</v>
      </c>
      <c r="AT176" s="121">
        <f>IFERROR($M176+VLOOKUP($L176,'Voyage days'!$F$382:$H$446,3,FALSE),"")</f>
        <v>46176</v>
      </c>
      <c r="AU176" s="121">
        <f>IFERROR($N176+VLOOKUP($L176,'Voyage days'!$F$382:$H$446,3,FALSE),"")</f>
        <v>46177</v>
      </c>
      <c r="AV176" s="120" t="str">
        <f t="shared" si="32"/>
        <v/>
      </c>
      <c r="AW176" s="121" t="str">
        <f>IFERROR($M176+VLOOKUP($L176,'Voyage days'!$F$483:$H$538,3,FALSE),"")</f>
        <v/>
      </c>
      <c r="AX176" s="121" t="str">
        <f>IFERROR($N176+VLOOKUP($L176,'Voyage days'!$F$483:$H$538,3,FALSE),"")</f>
        <v/>
      </c>
      <c r="AY176" s="120" t="str">
        <f t="shared" si="33"/>
        <v/>
      </c>
      <c r="AZ176" s="121" t="str">
        <f>IFERROR($M176+VLOOKUP($L176,'Voyage days'!$F$540:$H$613,3,FALSE),"")</f>
        <v/>
      </c>
      <c r="BA176" s="121" t="str">
        <f>IFERROR($N176+VLOOKUP($L176,'Voyage days'!$F$540:$H$613,3,FALSE),"")</f>
        <v/>
      </c>
      <c r="BB176" s="120" t="str">
        <f t="shared" si="34"/>
        <v/>
      </c>
      <c r="BC176" s="121" t="str">
        <f>IFERROR($M176+VLOOKUP($L176,'Voyage days'!$F$448:$H$479,3,FALSE),"")</f>
        <v/>
      </c>
      <c r="BD176" s="121" t="str">
        <f>IFERROR($N176+VLOOKUP($L176,'Voyage days'!$F$448:$H$479,3,FALSE),"")</f>
        <v/>
      </c>
      <c r="BE176" s="120" t="str">
        <f t="shared" si="35"/>
        <v/>
      </c>
      <c r="BF176" s="122" t="str">
        <f>IFERROR($M176+VLOOKUP($L176,'Voyage days'!$F$620:$H$646,3,FALSE),"")</f>
        <v/>
      </c>
      <c r="BG176" s="122" t="str">
        <f>IFERROR($N176+VLOOKUP($L176,'Voyage days'!$F$620:$H$646,3,FALSE),"")</f>
        <v/>
      </c>
      <c r="BH176" s="120" t="str">
        <f t="shared" si="36"/>
        <v/>
      </c>
      <c r="BI176" s="123" t="str">
        <f>IFERROR($M176+VLOOKUP($L176,'Voyage days'!$F$702:$H$727,3,FALSE),"")</f>
        <v/>
      </c>
      <c r="BJ176" s="120" t="str">
        <f t="shared" si="37"/>
        <v/>
      </c>
      <c r="BK176" s="122" t="str">
        <f>IFERROR($M176+VLOOKUP($L176,'Voyage days'!$F$807:$H$878,3,FALSE),"")</f>
        <v/>
      </c>
      <c r="BL176" s="122" t="str">
        <f>IFERROR($N176+VLOOKUP($L176,'Voyage days'!$F$807:$H$878,3,FALSE),"")</f>
        <v/>
      </c>
      <c r="BM176" s="122" t="str">
        <f>IFERROR($N176+VLOOKUP($L176,'Voyage days'!$F$807:$K$878,6,FALSE),"")</f>
        <v/>
      </c>
      <c r="BN176" s="121" t="str">
        <f>if(L176="loads AG", IFERROR($M176+VLOOKUP($L176,'Voyage days'!$M$38:$O$38,3,FALSE),""),"")</f>
        <v/>
      </c>
      <c r="BO176" s="121">
        <f>if(L176="loads USG", IFERROR($M176+VLOOKUP($L176,'Voyage days'!$L$203:$N$203,3,FALSE),""),"")</f>
        <v>46188</v>
      </c>
    </row>
    <row r="177" ht="15.75" customHeight="1">
      <c r="A177" s="507" t="s">
        <v>366</v>
      </c>
      <c r="B177" s="441">
        <v>2024.0</v>
      </c>
      <c r="C177" s="549">
        <v>93000.0</v>
      </c>
      <c r="D177" s="551"/>
      <c r="E177" s="409"/>
      <c r="F177" s="207"/>
      <c r="G177" s="207"/>
      <c r="H177" s="207" t="s">
        <v>666</v>
      </c>
      <c r="I177" s="491" t="s">
        <v>1080</v>
      </c>
      <c r="J177" s="209" t="str">
        <f t="shared" si="26"/>
        <v>Update</v>
      </c>
      <c r="K177" s="509" t="s">
        <v>765</v>
      </c>
      <c r="L177" s="153" t="s">
        <v>374</v>
      </c>
      <c r="M177" s="254">
        <v>46129.0</v>
      </c>
      <c r="N177" s="254">
        <v>46130.0</v>
      </c>
      <c r="O177" s="213" t="s">
        <v>699</v>
      </c>
      <c r="P177" s="211" t="s">
        <v>1092</v>
      </c>
      <c r="Q177" s="211"/>
      <c r="R177" s="211" t="s">
        <v>1093</v>
      </c>
      <c r="S177" s="256" t="s">
        <v>659</v>
      </c>
      <c r="T177" s="113">
        <v>46125.0</v>
      </c>
      <c r="U177" s="216" t="str">
        <f>IF(V177="","No AIS",VLOOKUP(V177,'Voyage days'!$A$3:$B$1480,2,FALSE))</f>
        <v>USG</v>
      </c>
      <c r="V177" s="217" t="str">
        <f>IF(VLOOKUP(A177,'1) Kpler'!$E$2:$P$1000,8, FALSE)="","",VLOOKUP(A177,'1) Kpler'!$E$2:$P$1000,8, FALSE))</f>
        <v>Houston</v>
      </c>
      <c r="W177" s="218">
        <f>IF(VLOOKUP(A177,'1) Kpler'!$E$2:$P$1000,9,FALSE)="","",VLOOKUP(A177,'1) Kpler'!$E$2:$P$1000,9,FALSE))</f>
        <v>46156.40694</v>
      </c>
      <c r="X177" s="217" t="str">
        <f>VLOOKUP(A177,'1) Kpler'!$E$2:$I$1000,4,FALSE)</f>
        <v>ballast</v>
      </c>
      <c r="Y177" s="494" t="str">
        <f t="shared" si="1"/>
        <v/>
      </c>
      <c r="Z177" s="494" t="str">
        <f t="shared" si="2"/>
        <v/>
      </c>
      <c r="AA177" s="494" t="str">
        <f t="shared" si="3"/>
        <v>09-10 May</v>
      </c>
      <c r="AB177" s="494" t="str">
        <f t="shared" si="4"/>
        <v>26-27 Apr</v>
      </c>
      <c r="AC177" s="494" t="str">
        <f t="shared" si="5"/>
        <v>04-05 May</v>
      </c>
      <c r="AD177" s="494" t="str">
        <f t="shared" si="6"/>
        <v>30-01 May</v>
      </c>
      <c r="AE177" s="495" t="str">
        <f t="shared" si="7"/>
        <v/>
      </c>
      <c r="AF177" s="119" t="str">
        <f t="shared" si="8"/>
        <v>11-12 May</v>
      </c>
      <c r="AG177" s="414" t="str">
        <f t="shared" si="27"/>
        <v/>
      </c>
      <c r="AH177" s="445" t="str">
        <f>IFERROR($M177+VLOOKUP($L177,'Voyage days'!$F$38:$H$89,3,FALSE),"")</f>
        <v/>
      </c>
      <c r="AI177" s="445" t="str">
        <f>IFERROR(N177+VLOOKUP($L177,'Voyage days'!$F$38:$H$89,3,FALSE),"")</f>
        <v/>
      </c>
      <c r="AJ177" s="414" t="str">
        <f t="shared" si="28"/>
        <v/>
      </c>
      <c r="AK177" s="445" t="str">
        <f>IFERROR($M177+VLOOKUP($L177,'Voyage days'!$F$94:$H$193,3,FALSE),"")</f>
        <v/>
      </c>
      <c r="AL177" s="445" t="str">
        <f>IFERROR($N177+VLOOKUP($L177,'Voyage days'!$F$94:$H$193,3,FALSE),"")</f>
        <v/>
      </c>
      <c r="AM177" s="414" t="str">
        <f t="shared" si="29"/>
        <v>09-10 May</v>
      </c>
      <c r="AN177" s="445">
        <f>IFERROR($M177+VLOOKUP($L177,'Voyage days'!$F$203:$H$256,3,FALSE),"")</f>
        <v>46151</v>
      </c>
      <c r="AO177" s="445">
        <f>IFERROR($N177+VLOOKUP($L177,'Voyage days'!$F$203:$H$256,3,FALSE),"")</f>
        <v>46152</v>
      </c>
      <c r="AP177" s="414" t="str">
        <f t="shared" si="30"/>
        <v>26-27 Apr</v>
      </c>
      <c r="AQ177" s="445">
        <f>IFERROR($M177+VLOOKUP($L177,'Voyage days'!$F$294:$H$377,3,FALSE),"")</f>
        <v>46138</v>
      </c>
      <c r="AR177" s="445">
        <f>IFERROR($N177+VLOOKUP($L177,'Voyage days'!$F$294:$H$377,3,FALSE),"")</f>
        <v>46139</v>
      </c>
      <c r="AS177" s="414" t="str">
        <f t="shared" si="31"/>
        <v>04-05 May</v>
      </c>
      <c r="AT177" s="445">
        <f>IFERROR($M177+VLOOKUP($L177,'Voyage days'!$F$382:$H$446,3,FALSE),"")</f>
        <v>46146</v>
      </c>
      <c r="AU177" s="445">
        <f>IFERROR($N177+VLOOKUP($L177,'Voyage days'!$F$382:$H$446,3,FALSE),"")</f>
        <v>46147</v>
      </c>
      <c r="AV177" s="414" t="str">
        <f t="shared" si="32"/>
        <v/>
      </c>
      <c r="AW177" s="445" t="str">
        <f>IFERROR($M177+VLOOKUP($L177,'Voyage days'!$F$483:$H$538,3,FALSE),"")</f>
        <v/>
      </c>
      <c r="AX177" s="445" t="str">
        <f>IFERROR($N177+VLOOKUP($L177,'Voyage days'!$F$483:$H$538,3,FALSE),"")</f>
        <v/>
      </c>
      <c r="AY177" s="414" t="str">
        <f t="shared" si="33"/>
        <v/>
      </c>
      <c r="AZ177" s="445" t="str">
        <f>IFERROR($M177+VLOOKUP($L177,'Voyage days'!$F$540:$H$613,3,FALSE),"")</f>
        <v/>
      </c>
      <c r="BA177" s="445" t="str">
        <f>IFERROR($N177+VLOOKUP($L177,'Voyage days'!$F$540:$H$613,3,FALSE),"")</f>
        <v/>
      </c>
      <c r="BB177" s="414" t="str">
        <f t="shared" si="34"/>
        <v>30-01 May</v>
      </c>
      <c r="BC177" s="445">
        <f>IFERROR($M177+VLOOKUP($L177,'Voyage days'!$F$448:$H$479,3,FALSE),"")</f>
        <v>46142</v>
      </c>
      <c r="BD177" s="445">
        <f>IFERROR($N177+VLOOKUP($L177,'Voyage days'!$F$448:$H$479,3,FALSE),"")</f>
        <v>46143</v>
      </c>
      <c r="BE177" s="414" t="str">
        <f t="shared" si="35"/>
        <v/>
      </c>
      <c r="BF177" s="447" t="str">
        <f>IFERROR($M177+VLOOKUP($L177,'Voyage days'!$F$620:$H$646,3,FALSE),"")</f>
        <v/>
      </c>
      <c r="BG177" s="447" t="str">
        <f>IFERROR($N177+VLOOKUP($L177,'Voyage days'!$F$620:$H$646,3,FALSE),"")</f>
        <v/>
      </c>
      <c r="BH177" s="414" t="str">
        <f t="shared" si="36"/>
        <v/>
      </c>
      <c r="BI177" s="496" t="str">
        <f>IFERROR($M177+VLOOKUP($L177,'Voyage days'!$F$702:$H$727,3,FALSE),"")</f>
        <v/>
      </c>
      <c r="BJ177" s="414" t="str">
        <f t="shared" si="37"/>
        <v>11-12 May</v>
      </c>
      <c r="BK177" s="447">
        <f>IFERROR($M177+VLOOKUP($L177,'Voyage days'!$F$807:$H$878,3,FALSE),"")</f>
        <v>46153</v>
      </c>
      <c r="BL177" s="447">
        <f>IFERROR($N177+VLOOKUP($L177,'Voyage days'!$F$807:$H$878,3,FALSE),"")</f>
        <v>46154</v>
      </c>
      <c r="BM177" s="447">
        <f>IFERROR($N177+VLOOKUP($L177,'Voyage days'!$F$807:$K$878,6,FALSE),"")</f>
        <v>46130</v>
      </c>
      <c r="BN177" s="445" t="str">
        <f>if(L177="loads AG", IFERROR($M177+VLOOKUP($L177,'Voyage days'!$M$38:$O$38,3,FALSE),""),"")</f>
        <v/>
      </c>
      <c r="BO177" s="445" t="str">
        <f>if(L177="loads USG", IFERROR($M177+VLOOKUP($L177,'Voyage days'!$L$203:$N$203,3,FALSE),""),"")</f>
        <v/>
      </c>
    </row>
    <row r="178" ht="15.75" customHeight="1">
      <c r="A178" s="552" t="s">
        <v>485</v>
      </c>
      <c r="B178" s="553">
        <v>2017.0</v>
      </c>
      <c r="C178" s="549">
        <v>78700.0</v>
      </c>
      <c r="D178" s="551"/>
      <c r="E178" s="409"/>
      <c r="F178" s="207"/>
      <c r="G178" s="207"/>
      <c r="H178" s="207"/>
      <c r="I178" s="491" t="s">
        <v>1080</v>
      </c>
      <c r="J178" s="209" t="str">
        <f t="shared" si="26"/>
        <v/>
      </c>
      <c r="K178" s="210"/>
      <c r="L178" s="211" t="s">
        <v>680</v>
      </c>
      <c r="M178" s="254">
        <v>46160.0</v>
      </c>
      <c r="N178" s="254">
        <v>46161.0</v>
      </c>
      <c r="O178" s="213"/>
      <c r="P178" s="211" t="s">
        <v>1094</v>
      </c>
      <c r="Q178" s="211"/>
      <c r="R178" s="211" t="s">
        <v>1095</v>
      </c>
      <c r="S178" s="256" t="s">
        <v>659</v>
      </c>
      <c r="T178" s="113">
        <v>46124.0</v>
      </c>
      <c r="U178" s="216" t="str">
        <f>IF(V178="","No AIS",VLOOKUP(V178,'Voyage days'!$A$3:$B$1480,2,FALSE))</f>
        <v>Panama</v>
      </c>
      <c r="V178" s="217" t="str">
        <f>IF(VLOOKUP(A178,'1) Kpler'!$E$2:$P$1000,8, FALSE)="","",VLOOKUP(A178,'1) Kpler'!$E$2:$P$1000,8, FALSE))</f>
        <v>Panama Canal</v>
      </c>
      <c r="W178" s="218">
        <f>IF(VLOOKUP(A178,'1) Kpler'!$E$2:$P$1000,9,FALSE)="","",VLOOKUP(A178,'1) Kpler'!$E$2:$P$1000,9,FALSE))</f>
        <v>46151.5</v>
      </c>
      <c r="X178" s="217" t="str">
        <f>VLOOKUP(A178,'1) Kpler'!$E$2:$I$1000,4,FALSE)</f>
        <v>ballast</v>
      </c>
      <c r="Y178" s="494" t="str">
        <f t="shared" si="1"/>
        <v/>
      </c>
      <c r="Z178" s="494" t="str">
        <f t="shared" si="2"/>
        <v>18-19 May</v>
      </c>
      <c r="AA178" s="494" t="str">
        <f t="shared" si="3"/>
        <v>18-19 May</v>
      </c>
      <c r="AB178" s="494" t="str">
        <f t="shared" si="4"/>
        <v/>
      </c>
      <c r="AC178" s="494" t="str">
        <f t="shared" si="5"/>
        <v>07-08 Jun</v>
      </c>
      <c r="AD178" s="494" t="str">
        <f t="shared" si="6"/>
        <v/>
      </c>
      <c r="AE178" s="495" t="str">
        <f t="shared" si="7"/>
        <v/>
      </c>
      <c r="AF178" s="119" t="str">
        <f t="shared" si="8"/>
        <v/>
      </c>
      <c r="AG178" s="414" t="str">
        <f t="shared" si="27"/>
        <v/>
      </c>
      <c r="AH178" s="445" t="str">
        <f>IFERROR($M178+VLOOKUP($L178,'Voyage days'!$F$38:$H$89,3,FALSE),"")</f>
        <v/>
      </c>
      <c r="AI178" s="445" t="str">
        <f>IFERROR(N178+VLOOKUP($L178,'Voyage days'!$F$38:$H$89,3,FALSE),"")</f>
        <v/>
      </c>
      <c r="AJ178" s="414" t="str">
        <f t="shared" si="28"/>
        <v>18-19 May</v>
      </c>
      <c r="AK178" s="445">
        <f>IFERROR($M178+VLOOKUP($L178,'Voyage days'!$F$94:$H$193,3,FALSE),"")</f>
        <v>46160</v>
      </c>
      <c r="AL178" s="445">
        <f>IFERROR($N178+VLOOKUP($L178,'Voyage days'!$F$94:$H$193,3,FALSE),"")</f>
        <v>46161</v>
      </c>
      <c r="AM178" s="414" t="str">
        <f t="shared" si="29"/>
        <v>18-19 May</v>
      </c>
      <c r="AN178" s="445">
        <f>IFERROR($M178+VLOOKUP($L178,'Voyage days'!$F$203:$H$256,3,FALSE),"")</f>
        <v>46160</v>
      </c>
      <c r="AO178" s="445">
        <f>IFERROR($N178+VLOOKUP($L178,'Voyage days'!$F$203:$H$256,3,FALSE),"")</f>
        <v>46161</v>
      </c>
      <c r="AP178" s="414" t="str">
        <f t="shared" si="30"/>
        <v/>
      </c>
      <c r="AQ178" s="445" t="str">
        <f>IFERROR($M178+VLOOKUP($L178,'Voyage days'!$F$294:$H$377,3,FALSE),"")</f>
        <v/>
      </c>
      <c r="AR178" s="445" t="str">
        <f>IFERROR($N178+VLOOKUP($L178,'Voyage days'!$F$294:$H$377,3,FALSE),"")</f>
        <v/>
      </c>
      <c r="AS178" s="414" t="str">
        <f t="shared" si="31"/>
        <v>07-08 Jun</v>
      </c>
      <c r="AT178" s="445">
        <f>IFERROR($M178+VLOOKUP($L178,'Voyage days'!$F$382:$H$446,3,FALSE),"")</f>
        <v>46180</v>
      </c>
      <c r="AU178" s="445">
        <f>IFERROR($N178+VLOOKUP($L178,'Voyage days'!$F$382:$H$446,3,FALSE),"")</f>
        <v>46181</v>
      </c>
      <c r="AV178" s="414" t="str">
        <f t="shared" si="32"/>
        <v/>
      </c>
      <c r="AW178" s="445" t="str">
        <f>IFERROR($M178+VLOOKUP($L178,'Voyage days'!$F$483:$H$538,3,FALSE),"")</f>
        <v/>
      </c>
      <c r="AX178" s="445" t="str">
        <f>IFERROR($N178+VLOOKUP($L178,'Voyage days'!$F$483:$H$538,3,FALSE),"")</f>
        <v/>
      </c>
      <c r="AY178" s="414" t="str">
        <f t="shared" si="33"/>
        <v/>
      </c>
      <c r="AZ178" s="445" t="str">
        <f>IFERROR($M178+VLOOKUP($L178,'Voyage days'!$F$540:$H$613,3,FALSE),"")</f>
        <v/>
      </c>
      <c r="BA178" s="445" t="str">
        <f>IFERROR($N178+VLOOKUP($L178,'Voyage days'!$F$540:$H$613,3,FALSE),"")</f>
        <v/>
      </c>
      <c r="BB178" s="414" t="str">
        <f t="shared" si="34"/>
        <v/>
      </c>
      <c r="BC178" s="445" t="str">
        <f>IFERROR($M178+VLOOKUP($L178,'Voyage days'!$F$448:$H$479,3,FALSE),"")</f>
        <v/>
      </c>
      <c r="BD178" s="445" t="str">
        <f>IFERROR($N178+VLOOKUP($L178,'Voyage days'!$F$448:$H$479,3,FALSE),"")</f>
        <v/>
      </c>
      <c r="BE178" s="414" t="str">
        <f t="shared" si="35"/>
        <v/>
      </c>
      <c r="BF178" s="447" t="str">
        <f>IFERROR($M178+VLOOKUP($L178,'Voyage days'!$F$620:$H$646,3,FALSE),"")</f>
        <v/>
      </c>
      <c r="BG178" s="447" t="str">
        <f>IFERROR($N178+VLOOKUP($L178,'Voyage days'!$F$620:$H$646,3,FALSE),"")</f>
        <v/>
      </c>
      <c r="BH178" s="414" t="str">
        <f t="shared" si="36"/>
        <v/>
      </c>
      <c r="BI178" s="496" t="str">
        <f>IFERROR($M178+VLOOKUP($L178,'Voyage days'!$F$702:$H$727,3,FALSE),"")</f>
        <v/>
      </c>
      <c r="BJ178" s="414" t="str">
        <f t="shared" si="37"/>
        <v/>
      </c>
      <c r="BK178" s="447" t="str">
        <f>IFERROR($M178+VLOOKUP($L178,'Voyage days'!$F$807:$H$878,3,FALSE),"")</f>
        <v/>
      </c>
      <c r="BL178" s="447" t="str">
        <f>IFERROR($N178+VLOOKUP($L178,'Voyage days'!$F$807:$H$878,3,FALSE),"")</f>
        <v/>
      </c>
      <c r="BM178" s="447" t="str">
        <f>IFERROR($N178+VLOOKUP($L178,'Voyage days'!$F$807:$K$878,6,FALSE),"")</f>
        <v/>
      </c>
      <c r="BN178" s="445" t="str">
        <f>if(L178="loads AG", IFERROR($M178+VLOOKUP($L178,'Voyage days'!$M$38:$O$38,3,FALSE),""),"")</f>
        <v/>
      </c>
      <c r="BO178" s="445">
        <f>if(L178="loads USG", IFERROR($M178+VLOOKUP($L178,'Voyage days'!$L$203:$N$203,3,FALSE),""),"")</f>
        <v>46192</v>
      </c>
    </row>
    <row r="179" ht="15.75" customHeight="1">
      <c r="A179" s="554" t="s">
        <v>501</v>
      </c>
      <c r="B179" s="542">
        <v>43123.0</v>
      </c>
      <c r="C179" s="102">
        <v>78700.0</v>
      </c>
      <c r="D179" s="555"/>
      <c r="E179" s="556"/>
      <c r="F179" s="150"/>
      <c r="G179" s="150"/>
      <c r="H179" s="150" t="s">
        <v>689</v>
      </c>
      <c r="I179" s="387" t="s">
        <v>1080</v>
      </c>
      <c r="J179" s="151" t="str">
        <f t="shared" si="26"/>
        <v/>
      </c>
      <c r="K179" s="152"/>
      <c r="L179" s="153" t="s">
        <v>680</v>
      </c>
      <c r="M179" s="276">
        <v>46149.0</v>
      </c>
      <c r="N179" s="276">
        <v>46150.0</v>
      </c>
      <c r="O179" s="277"/>
      <c r="P179" s="211" t="s">
        <v>1090</v>
      </c>
      <c r="Q179" s="405"/>
      <c r="R179" s="153" t="s">
        <v>1096</v>
      </c>
      <c r="S179" s="256" t="s">
        <v>659</v>
      </c>
      <c r="T179" s="113">
        <v>46125.0</v>
      </c>
      <c r="U179" s="114" t="str">
        <f>IF(V179="","No AIS",VLOOKUP(V179,'Voyage days'!$A$3:$B$1480,2,FALSE))</f>
        <v>Panama</v>
      </c>
      <c r="V179" s="114" t="str">
        <f>IF(VLOOKUP(A179,'1) Kpler'!$E$2:$P$1000,8, FALSE)="","",VLOOKUP(A179,'1) Kpler'!$E$2:$P$1000,8, FALSE))</f>
        <v>Panama Canal</v>
      </c>
      <c r="W179" s="159">
        <f>IF(VLOOKUP(A179,'1) Kpler'!$E$2:$P$1000,9,FALSE)="","",VLOOKUP(A179,'1) Kpler'!$E$2:$P$1000,9,FALSE))</f>
        <v>46140.625</v>
      </c>
      <c r="X179" s="114" t="str">
        <f>VLOOKUP(A179,'1) Kpler'!$E$2:$I$1000,4,FALSE)</f>
        <v>ballast</v>
      </c>
      <c r="Y179" s="296" t="str">
        <f t="shared" si="1"/>
        <v/>
      </c>
      <c r="Z179" s="296" t="str">
        <f t="shared" si="2"/>
        <v>07-08 May</v>
      </c>
      <c r="AA179" s="296" t="str">
        <f t="shared" si="3"/>
        <v>07-08 May</v>
      </c>
      <c r="AB179" s="296" t="str">
        <f t="shared" si="4"/>
        <v/>
      </c>
      <c r="AC179" s="296" t="str">
        <f t="shared" si="5"/>
        <v>27-28 May</v>
      </c>
      <c r="AD179" s="296" t="str">
        <f t="shared" si="6"/>
        <v/>
      </c>
      <c r="AE179" s="297" t="str">
        <f t="shared" si="7"/>
        <v/>
      </c>
      <c r="AF179" s="119" t="str">
        <f t="shared" si="8"/>
        <v/>
      </c>
      <c r="AG179" s="163" t="str">
        <f t="shared" si="27"/>
        <v/>
      </c>
      <c r="AH179" s="122" t="str">
        <f>IFERROR($M179+VLOOKUP($L179,'Voyage days'!$F$38:$H$89,3,FALSE),"")</f>
        <v/>
      </c>
      <c r="AI179" s="122" t="str">
        <f>IFERROR(N179+VLOOKUP($L179,'Voyage days'!$F$38:$H$89,3,FALSE),"")</f>
        <v/>
      </c>
      <c r="AJ179" s="163" t="str">
        <f t="shared" si="28"/>
        <v>07-08 May</v>
      </c>
      <c r="AK179" s="122">
        <f>IFERROR($M179+VLOOKUP($L179,'Voyage days'!$F$94:$H$193,3,FALSE),"")</f>
        <v>46149</v>
      </c>
      <c r="AL179" s="122">
        <f>IFERROR($N179+VLOOKUP($L179,'Voyage days'!$F$94:$H$193,3,FALSE),"")</f>
        <v>46150</v>
      </c>
      <c r="AM179" s="163" t="str">
        <f t="shared" si="29"/>
        <v>07-08 May</v>
      </c>
      <c r="AN179" s="122">
        <f>IFERROR($M179+VLOOKUP($L179,'Voyage days'!$F$203:$H$256,3,FALSE),"")</f>
        <v>46149</v>
      </c>
      <c r="AO179" s="122">
        <f>IFERROR($N179+VLOOKUP($L179,'Voyage days'!$F$203:$H$256,3,FALSE),"")</f>
        <v>46150</v>
      </c>
      <c r="AP179" s="163" t="str">
        <f t="shared" si="30"/>
        <v/>
      </c>
      <c r="AQ179" s="122" t="str">
        <f>IFERROR($M179+VLOOKUP($L179,'Voyage days'!$F$294:$H$377,3,FALSE),"")</f>
        <v/>
      </c>
      <c r="AR179" s="122" t="str">
        <f>IFERROR($N179+VLOOKUP($L179,'Voyage days'!$F$294:$H$377,3,FALSE),"")</f>
        <v/>
      </c>
      <c r="AS179" s="163" t="str">
        <f t="shared" si="31"/>
        <v>27-28 May</v>
      </c>
      <c r="AT179" s="122">
        <f>IFERROR($M179+VLOOKUP($L179,'Voyage days'!$F$382:$H$446,3,FALSE),"")</f>
        <v>46169</v>
      </c>
      <c r="AU179" s="122">
        <f>IFERROR($N179+VLOOKUP($L179,'Voyage days'!$F$382:$H$446,3,FALSE),"")</f>
        <v>46170</v>
      </c>
      <c r="AV179" s="163" t="str">
        <f t="shared" si="32"/>
        <v/>
      </c>
      <c r="AW179" s="122" t="str">
        <f>IFERROR($M179+VLOOKUP($L179,'Voyage days'!$F$483:$H$538,3,FALSE),"")</f>
        <v/>
      </c>
      <c r="AX179" s="122" t="str">
        <f>IFERROR($N179+VLOOKUP($L179,'Voyage days'!$F$483:$H$538,3,FALSE),"")</f>
        <v/>
      </c>
      <c r="AY179" s="163" t="str">
        <f t="shared" si="33"/>
        <v/>
      </c>
      <c r="AZ179" s="122" t="str">
        <f>IFERROR($M179+VLOOKUP($L179,'Voyage days'!$F$540:$H$613,3,FALSE),"")</f>
        <v/>
      </c>
      <c r="BA179" s="122" t="str">
        <f>IFERROR($N179+VLOOKUP($L179,'Voyage days'!$F$540:$H$613,3,FALSE),"")</f>
        <v/>
      </c>
      <c r="BB179" s="163" t="str">
        <f t="shared" si="34"/>
        <v/>
      </c>
      <c r="BC179" s="122" t="str">
        <f>IFERROR($M179+VLOOKUP($L179,'Voyage days'!$F$448:$H$479,3,FALSE),"")</f>
        <v/>
      </c>
      <c r="BD179" s="122" t="str">
        <f>IFERROR($N179+VLOOKUP($L179,'Voyage days'!$F$448:$H$479,3,FALSE),"")</f>
        <v/>
      </c>
      <c r="BE179" s="163" t="str">
        <f t="shared" si="35"/>
        <v/>
      </c>
      <c r="BF179" s="122" t="str">
        <f>IFERROR($M179+VLOOKUP($L179,'Voyage days'!$F$620:$H$646,3,FALSE),"")</f>
        <v/>
      </c>
      <c r="BG179" s="122" t="str">
        <f>IFERROR($N179+VLOOKUP($L179,'Voyage days'!$F$620:$H$646,3,FALSE),"")</f>
        <v/>
      </c>
      <c r="BH179" s="163" t="str">
        <f t="shared" si="36"/>
        <v/>
      </c>
      <c r="BI179" s="123" t="str">
        <f>IFERROR($M179+VLOOKUP($L179,'Voyage days'!$F$702:$H$727,3,FALSE),"")</f>
        <v/>
      </c>
      <c r="BJ179" s="163" t="str">
        <f t="shared" si="37"/>
        <v/>
      </c>
      <c r="BK179" s="122" t="str">
        <f>IFERROR($M179+VLOOKUP($L179,'Voyage days'!$F$807:$H$878,3,FALSE),"")</f>
        <v/>
      </c>
      <c r="BL179" s="122" t="str">
        <f>IFERROR($N179+VLOOKUP($L179,'Voyage days'!$F$807:$H$878,3,FALSE),"")</f>
        <v/>
      </c>
      <c r="BM179" s="122" t="str">
        <f>IFERROR($N179+VLOOKUP($L179,'Voyage days'!$F$807:$K$878,6,FALSE),"")</f>
        <v/>
      </c>
      <c r="BN179" s="122" t="str">
        <f>if(L179="loads AG", IFERROR($M179+VLOOKUP($L179,'Voyage days'!$M$38:$O$38,3,FALSE),""),"")</f>
        <v/>
      </c>
      <c r="BO179" s="122">
        <f>if(L179="loads USG", IFERROR($M179+VLOOKUP($L179,'Voyage days'!$L$203:$N$203,3,FALSE),""),"")</f>
        <v>46181</v>
      </c>
    </row>
    <row r="180" ht="15.75" customHeight="1">
      <c r="A180" s="557" t="s">
        <v>512</v>
      </c>
      <c r="B180" s="442">
        <v>2020.0</v>
      </c>
      <c r="C180" s="549">
        <v>84000.0</v>
      </c>
      <c r="D180" s="558"/>
      <c r="E180" s="558"/>
      <c r="F180" s="559"/>
      <c r="G180" s="559"/>
      <c r="H180" s="559" t="s">
        <v>689</v>
      </c>
      <c r="I180" s="208" t="s">
        <v>1080</v>
      </c>
      <c r="J180" s="106" t="str">
        <f t="shared" si="26"/>
        <v>Update</v>
      </c>
      <c r="K180" s="210"/>
      <c r="L180" s="560" t="s">
        <v>680</v>
      </c>
      <c r="M180" s="254">
        <v>46159.0</v>
      </c>
      <c r="N180" s="254">
        <v>46160.0</v>
      </c>
      <c r="O180" s="191"/>
      <c r="P180" s="211" t="s">
        <v>1097</v>
      </c>
      <c r="Q180" s="211"/>
      <c r="R180" s="108" t="s">
        <v>1098</v>
      </c>
      <c r="S180" s="256" t="s">
        <v>659</v>
      </c>
      <c r="T180" s="113">
        <v>46125.0</v>
      </c>
      <c r="U180" s="114" t="str">
        <f>IF(V180="","No AIS",VLOOKUP(V180,'Voyage days'!$A$3:$B$1480,2,FALSE))</f>
        <v>USG</v>
      </c>
      <c r="V180" s="217" t="str">
        <f>IF(VLOOKUP(A180,'1) Kpler'!$E$2:$P$1000,8, FALSE)="","",VLOOKUP(A180,'1) Kpler'!$E$2:$P$1000,8, FALSE))</f>
        <v>Energy Transfer Nederland</v>
      </c>
      <c r="W180" s="116">
        <f>IF(VLOOKUP(A180,'1) Kpler'!$E$2:$P$1000,9,FALSE)="","",VLOOKUP(A180,'1) Kpler'!$E$2:$P$1000,9,FALSE))</f>
        <v>46160.25</v>
      </c>
      <c r="X180" s="217" t="str">
        <f>VLOOKUP(A180,'1) Kpler'!$E$2:$I$1000,4,FALSE)</f>
        <v>ballast</v>
      </c>
      <c r="Y180" s="414" t="str">
        <f t="shared" si="1"/>
        <v/>
      </c>
      <c r="Z180" s="414" t="str">
        <f t="shared" si="2"/>
        <v>17-18 May</v>
      </c>
      <c r="AA180" s="414" t="str">
        <f t="shared" si="3"/>
        <v>17-18 May</v>
      </c>
      <c r="AB180" s="414" t="str">
        <f t="shared" si="4"/>
        <v/>
      </c>
      <c r="AC180" s="414" t="str">
        <f t="shared" si="5"/>
        <v>06-07 Jun</v>
      </c>
      <c r="AD180" s="414" t="str">
        <f t="shared" si="6"/>
        <v/>
      </c>
      <c r="AE180" s="415" t="str">
        <f t="shared" si="7"/>
        <v/>
      </c>
      <c r="AF180" s="162" t="str">
        <f t="shared" si="8"/>
        <v/>
      </c>
      <c r="AG180" s="414" t="str">
        <f t="shared" si="27"/>
        <v/>
      </c>
      <c r="AH180" s="445" t="str">
        <f>IFERROR($M180+VLOOKUP($L180,'Voyage days'!$F$38:$H$89,3,FALSE),"")</f>
        <v/>
      </c>
      <c r="AI180" s="445" t="str">
        <f>IFERROR(N180+VLOOKUP($L180,'Voyage days'!$F$38:$H$89,3,FALSE),"")</f>
        <v/>
      </c>
      <c r="AJ180" s="414" t="str">
        <f t="shared" si="28"/>
        <v>17-18 May</v>
      </c>
      <c r="AK180" s="445">
        <f>IFERROR($M180+VLOOKUP($L180,'Voyage days'!$F$94:$H$193,3,FALSE),"")</f>
        <v>46159</v>
      </c>
      <c r="AL180" s="445">
        <f>IFERROR($N180+VLOOKUP($L180,'Voyage days'!$F$94:$H$193,3,FALSE),"")</f>
        <v>46160</v>
      </c>
      <c r="AM180" s="414" t="str">
        <f t="shared" si="29"/>
        <v>17-18 May</v>
      </c>
      <c r="AN180" s="445">
        <f>IFERROR($M180+VLOOKUP($L180,'Voyage days'!$F$203:$H$256,3,FALSE),"")</f>
        <v>46159</v>
      </c>
      <c r="AO180" s="445">
        <f>IFERROR($N180+VLOOKUP($L180,'Voyage days'!$F$203:$H$256,3,FALSE),"")</f>
        <v>46160</v>
      </c>
      <c r="AP180" s="414" t="str">
        <f t="shared" si="30"/>
        <v/>
      </c>
      <c r="AQ180" s="445" t="str">
        <f>IFERROR($M180+VLOOKUP($L180,'Voyage days'!$F$294:$H$377,3,FALSE),"")</f>
        <v/>
      </c>
      <c r="AR180" s="445" t="str">
        <f>IFERROR($N180+VLOOKUP($L180,'Voyage days'!$F$294:$H$377,3,FALSE),"")</f>
        <v/>
      </c>
      <c r="AS180" s="414" t="str">
        <f t="shared" si="31"/>
        <v>06-07 Jun</v>
      </c>
      <c r="AT180" s="445">
        <f>IFERROR($M180+VLOOKUP($L180,'Voyage days'!$F$382:$H$446,3,FALSE),"")</f>
        <v>46179</v>
      </c>
      <c r="AU180" s="445">
        <f>IFERROR($N180+VLOOKUP($L180,'Voyage days'!$F$382:$H$446,3,FALSE),"")</f>
        <v>46180</v>
      </c>
      <c r="AV180" s="414" t="str">
        <f t="shared" si="32"/>
        <v/>
      </c>
      <c r="AW180" s="445" t="str">
        <f>IFERROR($M180+VLOOKUP($L180,'Voyage days'!$F$483:$H$538,3,FALSE),"")</f>
        <v/>
      </c>
      <c r="AX180" s="445" t="str">
        <f>IFERROR($N180+VLOOKUP($L180,'Voyage days'!$F$483:$H$538,3,FALSE),"")</f>
        <v/>
      </c>
      <c r="AY180" s="414" t="str">
        <f t="shared" si="33"/>
        <v/>
      </c>
      <c r="AZ180" s="445" t="str">
        <f>IFERROR($M180+VLOOKUP($L180,'Voyage days'!$F$540:$H$613,3,FALSE),"")</f>
        <v/>
      </c>
      <c r="BA180" s="445" t="str">
        <f>IFERROR($N180+VLOOKUP($L180,'Voyage days'!$F$540:$H$613,3,FALSE),"")</f>
        <v/>
      </c>
      <c r="BB180" s="414" t="str">
        <f t="shared" si="34"/>
        <v/>
      </c>
      <c r="BC180" s="121" t="str">
        <f>IFERROR($M180+VLOOKUP($L180,'Voyage days'!$F$448:$H$479,3,FALSE),"")</f>
        <v/>
      </c>
      <c r="BD180" s="121" t="str">
        <f>IFERROR($N180+VLOOKUP($L180,'Voyage days'!$F$448:$H$479,3,FALSE),"")</f>
        <v/>
      </c>
      <c r="BE180" s="414" t="str">
        <f t="shared" si="35"/>
        <v/>
      </c>
      <c r="BF180" s="447" t="str">
        <f>IFERROR($M180+VLOOKUP($L180,'Voyage days'!$F$620:$H$646,3,FALSE),"")</f>
        <v/>
      </c>
      <c r="BG180" s="447" t="str">
        <f>IFERROR($N180+VLOOKUP($L180,'Voyage days'!$F$620:$H$646,3,FALSE),"")</f>
        <v/>
      </c>
      <c r="BH180" s="414" t="str">
        <f t="shared" si="36"/>
        <v/>
      </c>
      <c r="BI180" s="496" t="str">
        <f>IFERROR($M180+VLOOKUP($L180,'Voyage days'!$F$702:$H$727,3,FALSE),"")</f>
        <v/>
      </c>
      <c r="BJ180" s="414" t="str">
        <f t="shared" si="37"/>
        <v/>
      </c>
      <c r="BK180" s="447" t="str">
        <f>IFERROR($M180+VLOOKUP($L180,'Voyage days'!$F$807:$H$878,3,FALSE),"")</f>
        <v/>
      </c>
      <c r="BL180" s="447" t="str">
        <f>IFERROR($N180+VLOOKUP($L180,'Voyage days'!$F$807:$H$878,3,FALSE),"")</f>
        <v/>
      </c>
      <c r="BM180" s="122" t="str">
        <f>IFERROR($N180+VLOOKUP($L180,'Voyage days'!$F$807:$K$878,6,FALSE),"")</f>
        <v/>
      </c>
      <c r="BN180" s="121" t="str">
        <f>if(L180="loads AG", IFERROR($M180+VLOOKUP($L180,'Voyage days'!$M$38:$O$38,3,FALSE),""),"")</f>
        <v/>
      </c>
      <c r="BO180" s="121">
        <f>if(L180="loads USG", IFERROR($M180+VLOOKUP($L180,'Voyage days'!$L$203:$N$203,3,FALSE),""),"")</f>
        <v>46191</v>
      </c>
    </row>
    <row r="181" ht="15.75" customHeight="1">
      <c r="A181" s="80" t="s">
        <v>513</v>
      </c>
      <c r="B181" s="148">
        <v>2020.0</v>
      </c>
      <c r="C181" s="102">
        <v>84000.0</v>
      </c>
      <c r="D181" s="103"/>
      <c r="E181" s="103"/>
      <c r="F181" s="104"/>
      <c r="G181" s="104"/>
      <c r="H181" s="104" t="s">
        <v>689</v>
      </c>
      <c r="I181" s="295" t="s">
        <v>1080</v>
      </c>
      <c r="J181" s="106" t="str">
        <f t="shared" si="26"/>
        <v/>
      </c>
      <c r="K181" s="205" t="s">
        <v>765</v>
      </c>
      <c r="L181" s="560" t="s">
        <v>755</v>
      </c>
      <c r="M181" s="109">
        <v>46145.0</v>
      </c>
      <c r="N181" s="109">
        <v>46146.0</v>
      </c>
      <c r="O181" s="191"/>
      <c r="P181" s="211" t="s">
        <v>1099</v>
      </c>
      <c r="Q181" s="108"/>
      <c r="R181" s="108" t="s">
        <v>1100</v>
      </c>
      <c r="S181" s="256" t="s">
        <v>659</v>
      </c>
      <c r="T181" s="113">
        <v>46125.0</v>
      </c>
      <c r="U181" s="114" t="str">
        <f>IF(V181="","No AIS",VLOOKUP(V181,'Voyage days'!$A$3:$B$1480,2,FALSE))</f>
        <v>Indo + 4</v>
      </c>
      <c r="V181" s="115" t="str">
        <f>IF(VLOOKUP(A181,'1) Kpler'!$E$2:$P$1000,8, FALSE)="","",VLOOKUP(A181,'1) Kpler'!$E$2:$P$1000,8, FALSE))</f>
        <v>Oiltank. Merak</v>
      </c>
      <c r="W181" s="116">
        <f>IF(VLOOKUP(A181,'1) Kpler'!$E$2:$P$1000,9,FALSE)="","",VLOOKUP(A181,'1) Kpler'!$E$2:$P$1000,9,FALSE))</f>
        <v>46141.75</v>
      </c>
      <c r="X181" s="115" t="str">
        <f>VLOOKUP(A181,'1) Kpler'!$E$2:$I$1000,4,FALSE)</f>
        <v>loaded</v>
      </c>
      <c r="Y181" s="117" t="str">
        <f t="shared" si="1"/>
        <v>14-15 May</v>
      </c>
      <c r="Z181" s="117" t="str">
        <f t="shared" si="2"/>
        <v>11-12 Jun</v>
      </c>
      <c r="AA181" s="117" t="str">
        <f t="shared" si="3"/>
        <v>09-10 Jun</v>
      </c>
      <c r="AB181" s="117" t="str">
        <f t="shared" si="4"/>
        <v>23-24 May</v>
      </c>
      <c r="AC181" s="117" t="str">
        <f t="shared" si="5"/>
        <v>01-02 Jun</v>
      </c>
      <c r="AD181" s="117" t="str">
        <f t="shared" si="6"/>
        <v>06-07 May</v>
      </c>
      <c r="AE181" s="118" t="str">
        <f t="shared" si="7"/>
        <v>07-08 May</v>
      </c>
      <c r="AF181" s="119" t="str">
        <f t="shared" si="8"/>
        <v>09-10 Jun</v>
      </c>
      <c r="AG181" s="120" t="str">
        <f t="shared" si="27"/>
        <v>14-15 May</v>
      </c>
      <c r="AH181" s="121">
        <f>IFERROR($M181+VLOOKUP($L181,'Voyage days'!$F$38:$H$89,3,FALSE),"")</f>
        <v>46156</v>
      </c>
      <c r="AI181" s="121">
        <f>IFERROR(N181+VLOOKUP($L181,'Voyage days'!$F$38:$H$89,3,FALSE),"")</f>
        <v>46157</v>
      </c>
      <c r="AJ181" s="120" t="str">
        <f t="shared" si="28"/>
        <v>11-12 Jun</v>
      </c>
      <c r="AK181" s="121">
        <f>IFERROR($M181+VLOOKUP($L181,'Voyage days'!$F$94:$H$193,3,FALSE),"")</f>
        <v>46184</v>
      </c>
      <c r="AL181" s="121">
        <f>IFERROR($N181+VLOOKUP($L181,'Voyage days'!$F$94:$H$193,3,FALSE),"")</f>
        <v>46185</v>
      </c>
      <c r="AM181" s="120" t="str">
        <f t="shared" si="29"/>
        <v>09-10 Jun</v>
      </c>
      <c r="AN181" s="121">
        <f>IFERROR($M181+VLOOKUP($L181,'Voyage days'!$F$203:$H$256,3,FALSE),"")</f>
        <v>46182</v>
      </c>
      <c r="AO181" s="121">
        <f>IFERROR($N181+VLOOKUP($L181,'Voyage days'!$F$203:$H$256,3,FALSE),"")</f>
        <v>46183</v>
      </c>
      <c r="AP181" s="120" t="str">
        <f t="shared" si="30"/>
        <v>23-24 May</v>
      </c>
      <c r="AQ181" s="121">
        <f>IFERROR($M181+VLOOKUP($L181,'Voyage days'!$F$294:$H$377,3,FALSE),"")</f>
        <v>46165</v>
      </c>
      <c r="AR181" s="121">
        <f>IFERROR($N181+VLOOKUP($L181,'Voyage days'!$F$294:$H$377,3,FALSE),"")</f>
        <v>46166</v>
      </c>
      <c r="AS181" s="120" t="str">
        <f t="shared" si="31"/>
        <v>01-02 Jun</v>
      </c>
      <c r="AT181" s="121">
        <f>IFERROR($M181+VLOOKUP($L181,'Voyage days'!$F$382:$H$446,3,FALSE),"")</f>
        <v>46174</v>
      </c>
      <c r="AU181" s="121">
        <f>IFERROR($N181+VLOOKUP($L181,'Voyage days'!$F$382:$H$446,3,FALSE),"")</f>
        <v>46175</v>
      </c>
      <c r="AV181" s="120" t="str">
        <f t="shared" si="32"/>
        <v>12-13 May</v>
      </c>
      <c r="AW181" s="121">
        <f>IFERROR($M181+VLOOKUP($L181,'Voyage days'!$F$483:$H$538,3,FALSE),"")</f>
        <v>46154</v>
      </c>
      <c r="AX181" s="121">
        <f>IFERROR($N181+VLOOKUP($L181,'Voyage days'!$F$483:$H$538,3,FALSE),"")</f>
        <v>46155</v>
      </c>
      <c r="AY181" s="120" t="str">
        <f t="shared" si="33"/>
        <v>07-08 May</v>
      </c>
      <c r="AZ181" s="121">
        <f>IFERROR($M181+VLOOKUP($L181,'Voyage days'!$F$540:$H$613,3,FALSE),"")</f>
        <v>46149</v>
      </c>
      <c r="BA181" s="121">
        <f>IFERROR($N181+VLOOKUP($L181,'Voyage days'!$F$540:$H$613,3,FALSE),"")</f>
        <v>46150</v>
      </c>
      <c r="BB181" s="120" t="str">
        <f t="shared" si="34"/>
        <v>06-07 May</v>
      </c>
      <c r="BC181" s="121">
        <f>IFERROR($M181+VLOOKUP($L181,'Voyage days'!$F$448:$H$479,3,FALSE),"")</f>
        <v>46148</v>
      </c>
      <c r="BD181" s="121">
        <f>IFERROR($N181+VLOOKUP($L181,'Voyage days'!$F$448:$H$479,3,FALSE),"")</f>
        <v>46149</v>
      </c>
      <c r="BE181" s="120" t="str">
        <f t="shared" si="35"/>
        <v/>
      </c>
      <c r="BF181" s="122" t="str">
        <f>IFERROR($M181+VLOOKUP($L181,'Voyage days'!$F$620:$H$646,3,FALSE),"")</f>
        <v/>
      </c>
      <c r="BG181" s="122" t="str">
        <f>IFERROR($N181+VLOOKUP($L181,'Voyage days'!$F$620:$H$646,3,FALSE),"")</f>
        <v/>
      </c>
      <c r="BH181" s="120" t="str">
        <f t="shared" si="36"/>
        <v>11-10 Jun</v>
      </c>
      <c r="BI181" s="123">
        <f>IFERROR($M181+VLOOKUP($L181,'Voyage days'!$F$702:$H$727,3,FALSE),"")</f>
        <v>46153</v>
      </c>
      <c r="BJ181" s="120" t="str">
        <f t="shared" si="37"/>
        <v>09-10 Jun</v>
      </c>
      <c r="BK181" s="122">
        <f>IFERROR($M181+VLOOKUP($L181,'Voyage days'!$F$807:$H$878,3,FALSE),"")</f>
        <v>46182</v>
      </c>
      <c r="BL181" s="122">
        <f>IFERROR($N181+VLOOKUP($L181,'Voyage days'!$F$807:$H$878,3,FALSE),"")</f>
        <v>46183</v>
      </c>
      <c r="BM181" s="122">
        <f>IFERROR($N181+VLOOKUP($L181,'Voyage days'!$F$807:$K$878,6,FALSE),"")</f>
        <v>46159</v>
      </c>
      <c r="BN181" s="121" t="str">
        <f>if(L181="loads AG", IFERROR($M181+VLOOKUP($L181,'Voyage days'!$M$38:$O$38,3,FALSE),""),"")</f>
        <v/>
      </c>
      <c r="BO181" s="121" t="str">
        <f>if(L181="loads USG", IFERROR($M181+VLOOKUP($L181,'Voyage days'!$L$203:$N$203,3,FALSE),""),"")</f>
        <v/>
      </c>
    </row>
    <row r="182" ht="15.75" customHeight="1">
      <c r="A182" s="204" t="s">
        <v>322</v>
      </c>
      <c r="B182" s="561">
        <v>42429.0</v>
      </c>
      <c r="C182" s="266">
        <v>84000.0</v>
      </c>
      <c r="D182" s="103"/>
      <c r="E182" s="103"/>
      <c r="F182" s="150"/>
      <c r="G182" s="150"/>
      <c r="H182" s="150"/>
      <c r="I182" s="108" t="s">
        <v>1101</v>
      </c>
      <c r="J182" s="106" t="str">
        <f t="shared" si="26"/>
        <v/>
      </c>
      <c r="K182" s="562"/>
      <c r="L182" s="197" t="s">
        <v>680</v>
      </c>
      <c r="M182" s="391">
        <v>46134.0</v>
      </c>
      <c r="N182" s="391">
        <v>46135.0</v>
      </c>
      <c r="O182" s="191"/>
      <c r="P182" s="192" t="s">
        <v>1102</v>
      </c>
      <c r="Q182" s="108"/>
      <c r="R182" s="108" t="s">
        <v>1103</v>
      </c>
      <c r="S182" s="256" t="s">
        <v>659</v>
      </c>
      <c r="T182" s="113">
        <v>46125.0</v>
      </c>
      <c r="U182" s="114" t="str">
        <f>IF(V182="","No AIS",VLOOKUP(V182,'Voyage days'!$A$3:$B$1480,2,FALSE))</f>
        <v>USG</v>
      </c>
      <c r="V182" s="115" t="str">
        <f>IF(VLOOKUP(A182,'1) Kpler'!$E$2:$P$1000,8, FALSE)="","",VLOOKUP(A182,'1) Kpler'!$E$2:$P$1000,8, FALSE))</f>
        <v>Houston</v>
      </c>
      <c r="W182" s="116">
        <f>IF(VLOOKUP(A182,'1) Kpler'!$E$2:$P$1000,9,FALSE)="","",VLOOKUP(A182,'1) Kpler'!$E$2:$P$1000,9,FALSE))</f>
        <v>46133.83333</v>
      </c>
      <c r="X182" s="115" t="str">
        <f>VLOOKUP(A182,'1) Kpler'!$E$2:$I$1000,4,FALSE)</f>
        <v>ballast</v>
      </c>
      <c r="Y182" s="117" t="str">
        <f t="shared" si="1"/>
        <v/>
      </c>
      <c r="Z182" s="117" t="str">
        <f t="shared" si="2"/>
        <v>22-23 Apr</v>
      </c>
      <c r="AA182" s="117" t="str">
        <f t="shared" si="3"/>
        <v>22-23 Apr</v>
      </c>
      <c r="AB182" s="117" t="str">
        <f t="shared" si="4"/>
        <v/>
      </c>
      <c r="AC182" s="117" t="str">
        <f t="shared" si="5"/>
        <v>12-13 May</v>
      </c>
      <c r="AD182" s="117" t="str">
        <f t="shared" si="6"/>
        <v/>
      </c>
      <c r="AE182" s="118" t="str">
        <f t="shared" si="7"/>
        <v/>
      </c>
      <c r="AF182" s="119" t="str">
        <f t="shared" si="8"/>
        <v/>
      </c>
      <c r="AG182" s="249" t="str">
        <f t="shared" si="27"/>
        <v/>
      </c>
      <c r="AH182" s="250" t="str">
        <f>IFERROR($M182+VLOOKUP($L182,'Voyage days'!$F$38:$H$89,3,FALSE),"")</f>
        <v/>
      </c>
      <c r="AI182" s="250" t="str">
        <f>IFERROR(N182+VLOOKUP($L182,'Voyage days'!$F$38:$H$89,3,FALSE),"")</f>
        <v/>
      </c>
      <c r="AJ182" s="249" t="str">
        <f t="shared" si="28"/>
        <v>22-23 Apr</v>
      </c>
      <c r="AK182" s="250">
        <f>IFERROR($M182+VLOOKUP($L182,'Voyage days'!$F$94:$H$193,3,FALSE),"")</f>
        <v>46134</v>
      </c>
      <c r="AL182" s="250">
        <f>IFERROR($N182+VLOOKUP($L182,'Voyage days'!$F$94:$H$193,3,FALSE),"")</f>
        <v>46135</v>
      </c>
      <c r="AM182" s="249" t="str">
        <f t="shared" si="29"/>
        <v>22-23 Apr</v>
      </c>
      <c r="AN182" s="250">
        <f>IFERROR($M182+VLOOKUP($L182,'Voyage days'!$F$203:$H$256,3,FALSE),"")</f>
        <v>46134</v>
      </c>
      <c r="AO182" s="250">
        <f>IFERROR($N182+VLOOKUP($L182,'Voyage days'!$F$203:$H$256,3,FALSE),"")</f>
        <v>46135</v>
      </c>
      <c r="AP182" s="249" t="str">
        <f t="shared" si="30"/>
        <v/>
      </c>
      <c r="AQ182" s="250" t="str">
        <f>IFERROR($M182+VLOOKUP($L182,'Voyage days'!$F$294:$H$377,3,FALSE),"")</f>
        <v/>
      </c>
      <c r="AR182" s="250" t="str">
        <f>IFERROR($N182+VLOOKUP($L182,'Voyage days'!$F$294:$H$377,3,FALSE),"")</f>
        <v/>
      </c>
      <c r="AS182" s="249" t="str">
        <f t="shared" si="31"/>
        <v>12-13 May</v>
      </c>
      <c r="AT182" s="250">
        <f>IFERROR($M182+VLOOKUP($L182,'Voyage days'!$F$382:$H$446,3,FALSE),"")</f>
        <v>46154</v>
      </c>
      <c r="AU182" s="250">
        <f>IFERROR($N182+VLOOKUP($L182,'Voyage days'!$F$382:$H$446,3,FALSE),"")</f>
        <v>46155</v>
      </c>
      <c r="AV182" s="249" t="str">
        <f t="shared" si="32"/>
        <v/>
      </c>
      <c r="AW182" s="250" t="str">
        <f>IFERROR($M182+VLOOKUP($L182,'Voyage days'!$F$483:$H$538,3,FALSE),"")</f>
        <v/>
      </c>
      <c r="AX182" s="250" t="str">
        <f>IFERROR($N182+VLOOKUP($L182,'Voyage days'!$F$483:$H$538,3,FALSE),"")</f>
        <v/>
      </c>
      <c r="AY182" s="249" t="str">
        <f t="shared" si="33"/>
        <v/>
      </c>
      <c r="AZ182" s="250" t="str">
        <f>IFERROR($M182+VLOOKUP($L182,'Voyage days'!$F$540:$H$613,3,FALSE),"")</f>
        <v/>
      </c>
      <c r="BA182" s="250" t="str">
        <f>IFERROR($N182+VLOOKUP($L182,'Voyage days'!$F$540:$H$613,3,FALSE),"")</f>
        <v/>
      </c>
      <c r="BB182" s="249" t="str">
        <f t="shared" si="34"/>
        <v/>
      </c>
      <c r="BC182" s="121" t="str">
        <f>IFERROR($M182+VLOOKUP($L182,'Voyage days'!$F$448:$H$479,3,FALSE),"")</f>
        <v/>
      </c>
      <c r="BD182" s="121" t="str">
        <f>IFERROR($N182+VLOOKUP($L182,'Voyage days'!$F$448:$H$479,3,FALSE),"")</f>
        <v/>
      </c>
      <c r="BE182" s="249" t="str">
        <f t="shared" si="35"/>
        <v/>
      </c>
      <c r="BF182" s="250" t="str">
        <f>IFERROR($M182+VLOOKUP($L182,'Voyage days'!$F$620:$H$646,3,FALSE),"")</f>
        <v/>
      </c>
      <c r="BG182" s="250" t="str">
        <f>IFERROR($N182+VLOOKUP($L182,'Voyage days'!$F$620:$H$646,3,FALSE),"")</f>
        <v/>
      </c>
      <c r="BH182" s="249" t="str">
        <f t="shared" si="36"/>
        <v/>
      </c>
      <c r="BI182" s="563" t="str">
        <f>IFERROR($M182+VLOOKUP($L182,'Voyage days'!$F$702:$H$727,3,FALSE),"")</f>
        <v/>
      </c>
      <c r="BJ182" s="249" t="str">
        <f t="shared" si="37"/>
        <v/>
      </c>
      <c r="BK182" s="250" t="str">
        <f>IFERROR($M182+VLOOKUP($L182,'Voyage days'!$F$807:$H$878,3,FALSE),"")</f>
        <v/>
      </c>
      <c r="BL182" s="250" t="str">
        <f>IFERROR($N182+VLOOKUP($L182,'Voyage days'!$F$807:$H$878,3,FALSE),"")</f>
        <v/>
      </c>
      <c r="BM182" s="122" t="str">
        <f>IFERROR($N182+VLOOKUP($L182,'Voyage days'!$F$807:$K$878,6,FALSE),"")</f>
        <v/>
      </c>
      <c r="BN182" s="121" t="str">
        <f>if(L182="loads AG", IFERROR($M182+VLOOKUP($L182,'Voyage days'!$M$38:$O$38,3,FALSE),""),"")</f>
        <v/>
      </c>
      <c r="BO182" s="121">
        <f>if(L182="loads USG", IFERROR($M182+VLOOKUP($L182,'Voyage days'!$L$203:$N$203,3,FALSE),""),"")</f>
        <v>46166</v>
      </c>
    </row>
    <row r="183" ht="15.75" customHeight="1">
      <c r="A183" s="274" t="s">
        <v>533</v>
      </c>
      <c r="B183" s="101">
        <v>42384.0</v>
      </c>
      <c r="C183" s="102">
        <v>84000.0</v>
      </c>
      <c r="D183" s="149"/>
      <c r="E183" s="149"/>
      <c r="F183" s="150"/>
      <c r="G183" s="150"/>
      <c r="H183" s="150"/>
      <c r="I183" s="497" t="s">
        <v>1080</v>
      </c>
      <c r="J183" s="336" t="str">
        <f t="shared" si="26"/>
        <v/>
      </c>
      <c r="K183" s="386"/>
      <c r="L183" s="153" t="s">
        <v>680</v>
      </c>
      <c r="M183" s="109">
        <v>46151.0</v>
      </c>
      <c r="N183" s="109">
        <v>46152.0</v>
      </c>
      <c r="O183" s="453"/>
      <c r="P183" s="153" t="s">
        <v>1104</v>
      </c>
      <c r="Q183" s="564"/>
      <c r="R183" s="108" t="s">
        <v>1105</v>
      </c>
      <c r="S183" s="256" t="s">
        <v>659</v>
      </c>
      <c r="T183" s="113">
        <v>46125.0</v>
      </c>
      <c r="U183" s="114" t="str">
        <f>IF(V183="","No AIS",VLOOKUP(V183,'Voyage days'!$A$3:$B$1480,2,FALSE))</f>
        <v>USG</v>
      </c>
      <c r="V183" s="114" t="str">
        <f>IF(VLOOKUP(A183,'1) Kpler'!$E$2:$P$1000,8, FALSE)="","",VLOOKUP(A183,'1) Kpler'!$E$2:$P$1000,8, FALSE))</f>
        <v>Freeport Texas</v>
      </c>
      <c r="W183" s="116">
        <f>IF(VLOOKUP(A183,'1) Kpler'!$E$2:$P$1000,9,FALSE)="","",VLOOKUP(A183,'1) Kpler'!$E$2:$P$1000,9,FALSE))</f>
        <v>46150.625</v>
      </c>
      <c r="X183" s="114" t="str">
        <f>VLOOKUP(A183,'1) Kpler'!$E$2:$I$1000,4,FALSE)</f>
        <v>ballast</v>
      </c>
      <c r="Y183" s="296" t="str">
        <f t="shared" si="1"/>
        <v/>
      </c>
      <c r="Z183" s="296" t="str">
        <f t="shared" si="2"/>
        <v>09-10 May</v>
      </c>
      <c r="AA183" s="296" t="str">
        <f t="shared" si="3"/>
        <v>09-10 May</v>
      </c>
      <c r="AB183" s="296" t="str">
        <f t="shared" si="4"/>
        <v/>
      </c>
      <c r="AC183" s="296" t="str">
        <f t="shared" si="5"/>
        <v>29-30 May</v>
      </c>
      <c r="AD183" s="296" t="str">
        <f t="shared" si="6"/>
        <v/>
      </c>
      <c r="AE183" s="297" t="str">
        <f t="shared" si="7"/>
        <v/>
      </c>
      <c r="AF183" s="119" t="str">
        <f t="shared" si="8"/>
        <v/>
      </c>
      <c r="AG183" s="163" t="str">
        <f t="shared" si="27"/>
        <v/>
      </c>
      <c r="AH183" s="122" t="str">
        <f>IFERROR($M183+VLOOKUP($L183,'Voyage days'!$F$38:$H$89,3,FALSE),"")</f>
        <v/>
      </c>
      <c r="AI183" s="122" t="str">
        <f>IFERROR(N183+VLOOKUP($L183,'Voyage days'!$F$38:$H$89,3,FALSE),"")</f>
        <v/>
      </c>
      <c r="AJ183" s="163" t="str">
        <f t="shared" si="28"/>
        <v>09-10 May</v>
      </c>
      <c r="AK183" s="122">
        <f>IFERROR($M183+VLOOKUP($L183,'Voyage days'!$F$94:$H$193,3,FALSE),"")</f>
        <v>46151</v>
      </c>
      <c r="AL183" s="122">
        <f>IFERROR($N183+VLOOKUP($L183,'Voyage days'!$F$94:$H$193,3,FALSE),"")</f>
        <v>46152</v>
      </c>
      <c r="AM183" s="163" t="str">
        <f t="shared" si="29"/>
        <v>09-10 May</v>
      </c>
      <c r="AN183" s="122">
        <f>IFERROR($M183+VLOOKUP($L183,'Voyage days'!$F$203:$H$256,3,FALSE),"")</f>
        <v>46151</v>
      </c>
      <c r="AO183" s="122">
        <f>IFERROR($N183+VLOOKUP($L183,'Voyage days'!$F$203:$H$256,3,FALSE),"")</f>
        <v>46152</v>
      </c>
      <c r="AP183" s="163" t="str">
        <f t="shared" si="30"/>
        <v/>
      </c>
      <c r="AQ183" s="122" t="str">
        <f>IFERROR($M183+VLOOKUP($L183,'Voyage days'!$F$294:$H$377,3,FALSE),"")</f>
        <v/>
      </c>
      <c r="AR183" s="122" t="str">
        <f>IFERROR($N183+VLOOKUP($L183,'Voyage days'!$F$294:$H$377,3,FALSE),"")</f>
        <v/>
      </c>
      <c r="AS183" s="163" t="str">
        <f t="shared" si="31"/>
        <v>29-30 May</v>
      </c>
      <c r="AT183" s="122">
        <f>IFERROR($M183+VLOOKUP($L183,'Voyage days'!$F$382:$H$446,3,FALSE),"")</f>
        <v>46171</v>
      </c>
      <c r="AU183" s="122">
        <f>IFERROR($N183+VLOOKUP($L183,'Voyage days'!$F$382:$H$446,3,FALSE),"")</f>
        <v>46172</v>
      </c>
      <c r="AV183" s="163" t="str">
        <f t="shared" si="32"/>
        <v/>
      </c>
      <c r="AW183" s="122" t="str">
        <f>IFERROR($M183+VLOOKUP($L183,'Voyage days'!$F$483:$H$538,3,FALSE),"")</f>
        <v/>
      </c>
      <c r="AX183" s="122" t="str">
        <f>IFERROR($N183+VLOOKUP($L183,'Voyage days'!$F$483:$H$538,3,FALSE),"")</f>
        <v/>
      </c>
      <c r="AY183" s="163" t="str">
        <f t="shared" si="33"/>
        <v/>
      </c>
      <c r="AZ183" s="122" t="str">
        <f>IFERROR($M183+VLOOKUP($L183,'Voyage days'!$F$540:$H$613,3,FALSE),"")</f>
        <v/>
      </c>
      <c r="BA183" s="122" t="str">
        <f>IFERROR($N183+VLOOKUP($L183,'Voyage days'!$F$540:$H$613,3,FALSE),"")</f>
        <v/>
      </c>
      <c r="BB183" s="163" t="str">
        <f t="shared" si="34"/>
        <v/>
      </c>
      <c r="BC183" s="121" t="str">
        <f>IFERROR($M183+VLOOKUP($L183,'Voyage days'!$F$448:$H$479,3,FALSE),"")</f>
        <v/>
      </c>
      <c r="BD183" s="121" t="str">
        <f>IFERROR($N183+VLOOKUP($L183,'Voyage days'!$F$448:$H$479,3,FALSE),"")</f>
        <v/>
      </c>
      <c r="BE183" s="163" t="str">
        <f t="shared" si="35"/>
        <v/>
      </c>
      <c r="BF183" s="122" t="str">
        <f>IFERROR($M183+VLOOKUP($L183,'Voyage days'!$F$620:$H$646,3,FALSE),"")</f>
        <v/>
      </c>
      <c r="BG183" s="122" t="str">
        <f>IFERROR($N183+VLOOKUP($L183,'Voyage days'!$F$620:$H$646,3,FALSE),"")</f>
        <v/>
      </c>
      <c r="BH183" s="163" t="str">
        <f t="shared" si="36"/>
        <v/>
      </c>
      <c r="BI183" s="123" t="str">
        <f>IFERROR($M183+VLOOKUP($L183,'Voyage days'!$F$702:$H$727,3,FALSE),"")</f>
        <v/>
      </c>
      <c r="BJ183" s="163" t="str">
        <f t="shared" si="37"/>
        <v/>
      </c>
      <c r="BK183" s="122" t="str">
        <f>IFERROR($M183+VLOOKUP($L183,'Voyage days'!$F$807:$H$878,3,FALSE),"")</f>
        <v/>
      </c>
      <c r="BL183" s="122" t="str">
        <f>IFERROR($N183+VLOOKUP($L183,'Voyage days'!$F$807:$H$878,3,FALSE),"")</f>
        <v/>
      </c>
      <c r="BM183" s="122" t="str">
        <f>IFERROR($N183+VLOOKUP($L183,'Voyage days'!$F$807:$K$878,6,FALSE),"")</f>
        <v/>
      </c>
      <c r="BN183" s="121" t="str">
        <f>if(L183="loads AG", IFERROR($M183+VLOOKUP($L183,'Voyage days'!$M$38:$O$38,3,FALSE),""),"")</f>
        <v/>
      </c>
      <c r="BO183" s="121">
        <f>if(L183="loads USG", IFERROR($M183+VLOOKUP($L183,'Voyage days'!$L$203:$N$203,3,FALSE),""),"")</f>
        <v>46183</v>
      </c>
    </row>
    <row r="184" ht="15.75" customHeight="1">
      <c r="A184" s="341" t="s">
        <v>538</v>
      </c>
      <c r="B184" s="565" t="s">
        <v>1106</v>
      </c>
      <c r="C184" s="102">
        <v>84000.0</v>
      </c>
      <c r="D184" s="149"/>
      <c r="E184" s="149"/>
      <c r="F184" s="150"/>
      <c r="G184" s="150"/>
      <c r="H184" s="150"/>
      <c r="I184" s="566" t="s">
        <v>1107</v>
      </c>
      <c r="J184" s="151" t="str">
        <f t="shared" si="26"/>
        <v>Update</v>
      </c>
      <c r="K184" s="152"/>
      <c r="L184" s="153" t="s">
        <v>680</v>
      </c>
      <c r="M184" s="109">
        <v>46113.0</v>
      </c>
      <c r="N184" s="109">
        <v>46114.0</v>
      </c>
      <c r="O184" s="277"/>
      <c r="P184" s="108" t="s">
        <v>1108</v>
      </c>
      <c r="Q184" s="153"/>
      <c r="R184" s="153" t="s">
        <v>1109</v>
      </c>
      <c r="S184" s="256" t="s">
        <v>659</v>
      </c>
      <c r="T184" s="113">
        <v>46125.0</v>
      </c>
      <c r="U184" s="114" t="str">
        <f>IF(V184="","No AIS",VLOOKUP(V184,'Voyage days'!$A$3:$B$1480,2,FALSE))</f>
        <v>South China + 4</v>
      </c>
      <c r="V184" s="114" t="str">
        <f>IF(VLOOKUP(A184,'1) Kpler'!$E$2:$P$1000,8, FALSE)="","",VLOOKUP(A184,'1) Kpler'!$E$2:$P$1000,8, FALSE))</f>
        <v>Sinopec Zhanjiang Dongxing Refinery</v>
      </c>
      <c r="W184" s="159">
        <f>IF(VLOOKUP(A184,'1) Kpler'!$E$2:$P$1000,9,FALSE)="","",VLOOKUP(A184,'1) Kpler'!$E$2:$P$1000,9,FALSE))</f>
        <v>46154.16667</v>
      </c>
      <c r="X184" s="114" t="str">
        <f>VLOOKUP(A184,'1) Kpler'!$E$2:$I$1000,4,FALSE)</f>
        <v>loaded</v>
      </c>
      <c r="Y184" s="272" t="str">
        <f t="shared" si="1"/>
        <v/>
      </c>
      <c r="Z184" s="272" t="str">
        <f t="shared" si="2"/>
        <v>01-02 Apr</v>
      </c>
      <c r="AA184" s="272" t="str">
        <f t="shared" si="3"/>
        <v>01-02 Apr</v>
      </c>
      <c r="AB184" s="272" t="str">
        <f t="shared" si="4"/>
        <v/>
      </c>
      <c r="AC184" s="272" t="str">
        <f t="shared" si="5"/>
        <v>21-22 Apr</v>
      </c>
      <c r="AD184" s="272" t="str">
        <f t="shared" si="6"/>
        <v/>
      </c>
      <c r="AE184" s="273" t="str">
        <f t="shared" si="7"/>
        <v/>
      </c>
      <c r="AF184" s="162" t="str">
        <f t="shared" si="8"/>
        <v/>
      </c>
      <c r="AG184" s="163" t="str">
        <f t="shared" si="27"/>
        <v/>
      </c>
      <c r="AH184" s="122" t="str">
        <f>IFERROR($M184+VLOOKUP($L184,'Voyage days'!$F$38:$H$89,3,FALSE),"")</f>
        <v/>
      </c>
      <c r="AI184" s="122" t="str">
        <f>IFERROR(N184+VLOOKUP($L184,'Voyage days'!$F$38:$H$89,3,FALSE),"")</f>
        <v/>
      </c>
      <c r="AJ184" s="163" t="str">
        <f t="shared" si="28"/>
        <v>01-02 Apr</v>
      </c>
      <c r="AK184" s="122">
        <f>IFERROR($M184+VLOOKUP($L184,'Voyage days'!$F$94:$H$193,3,FALSE),"")</f>
        <v>46113</v>
      </c>
      <c r="AL184" s="122">
        <f>IFERROR($N184+VLOOKUP($L184,'Voyage days'!$F$94:$H$193,3,FALSE),"")</f>
        <v>46114</v>
      </c>
      <c r="AM184" s="163" t="str">
        <f t="shared" si="29"/>
        <v>01-02 Apr</v>
      </c>
      <c r="AN184" s="122">
        <f>IFERROR($M184+VLOOKUP($L184,'Voyage days'!$F$203:$H$256,3,FALSE),"")</f>
        <v>46113</v>
      </c>
      <c r="AO184" s="122">
        <f>IFERROR($N184+VLOOKUP($L184,'Voyage days'!$F$203:$H$256,3,FALSE),"")</f>
        <v>46114</v>
      </c>
      <c r="AP184" s="163" t="str">
        <f t="shared" si="30"/>
        <v/>
      </c>
      <c r="AQ184" s="122" t="str">
        <f>IFERROR($M184+VLOOKUP($L184,'Voyage days'!$F$294:$H$377,3,FALSE),"")</f>
        <v/>
      </c>
      <c r="AR184" s="122" t="str">
        <f>IFERROR($N184+VLOOKUP($L184,'Voyage days'!$F$294:$H$377,3,FALSE),"")</f>
        <v/>
      </c>
      <c r="AS184" s="163" t="str">
        <f t="shared" si="31"/>
        <v>21-22 Apr</v>
      </c>
      <c r="AT184" s="122">
        <f>IFERROR($M184+VLOOKUP($L184,'Voyage days'!$F$382:$H$446,3,FALSE),"")</f>
        <v>46133</v>
      </c>
      <c r="AU184" s="122">
        <f>IFERROR($N184+VLOOKUP($L184,'Voyage days'!$F$382:$H$446,3,FALSE),"")</f>
        <v>46134</v>
      </c>
      <c r="AV184" s="163" t="str">
        <f t="shared" si="32"/>
        <v/>
      </c>
      <c r="AW184" s="122" t="str">
        <f>IFERROR($M184+VLOOKUP($L184,'Voyage days'!$F$483:$H$538,3,FALSE),"")</f>
        <v/>
      </c>
      <c r="AX184" s="122" t="str">
        <f>IFERROR($N184+VLOOKUP($L184,'Voyage days'!$F$483:$H$538,3,FALSE),"")</f>
        <v/>
      </c>
      <c r="AY184" s="163" t="str">
        <f t="shared" si="33"/>
        <v/>
      </c>
      <c r="AZ184" s="122" t="str">
        <f>IFERROR($M184+VLOOKUP($L184,'Voyage days'!$F$540:$H$613,3,FALSE),"")</f>
        <v/>
      </c>
      <c r="BA184" s="122" t="str">
        <f>IFERROR($N184+VLOOKUP($L184,'Voyage days'!$F$540:$H$613,3,FALSE),"")</f>
        <v/>
      </c>
      <c r="BB184" s="163" t="str">
        <f t="shared" si="34"/>
        <v/>
      </c>
      <c r="BC184" s="122" t="str">
        <f>IFERROR($M184+VLOOKUP($L184,'Voyage days'!$F$448:$H$479,3,FALSE),"")</f>
        <v/>
      </c>
      <c r="BD184" s="122" t="str">
        <f>IFERROR($N184+VLOOKUP($L184,'Voyage days'!$F$448:$H$479,3,FALSE),"")</f>
        <v/>
      </c>
      <c r="BE184" s="163" t="str">
        <f t="shared" si="35"/>
        <v/>
      </c>
      <c r="BF184" s="122" t="str">
        <f>IFERROR($M184+VLOOKUP($L184,'Voyage days'!$F$620:$H$646,3,FALSE),"")</f>
        <v/>
      </c>
      <c r="BG184" s="122" t="str">
        <f>IFERROR($N184+VLOOKUP($L184,'Voyage days'!$F$620:$H$646,3,FALSE),"")</f>
        <v/>
      </c>
      <c r="BH184" s="163" t="str">
        <f t="shared" si="36"/>
        <v/>
      </c>
      <c r="BI184" s="123" t="str">
        <f>IFERROR($M184+VLOOKUP($L184,'Voyage days'!$F$702:$H$727,3,FALSE),"")</f>
        <v/>
      </c>
      <c r="BJ184" s="163" t="str">
        <f t="shared" si="37"/>
        <v/>
      </c>
      <c r="BK184" s="122" t="str">
        <f>IFERROR($M184+VLOOKUP($L184,'Voyage days'!$F$807:$H$878,3,FALSE),"")</f>
        <v/>
      </c>
      <c r="BL184" s="122" t="str">
        <f>IFERROR($N184+VLOOKUP($L184,'Voyage days'!$F$807:$H$878,3,FALSE),"")</f>
        <v/>
      </c>
      <c r="BM184" s="122" t="str">
        <f>IFERROR($N184+VLOOKUP($L184,'Voyage days'!$F$807:$K$878,6,FALSE),"")</f>
        <v/>
      </c>
      <c r="BN184" s="122" t="str">
        <f>if(L184="loads AG", IFERROR($M184+VLOOKUP($L184,'Voyage days'!$M$38:$O$38,3,FALSE),""),"")</f>
        <v/>
      </c>
      <c r="BO184" s="122">
        <f>if(L184="loads USG", IFERROR($M184+VLOOKUP($L184,'Voyage days'!$L$203:$N$203,3,FALSE),""),"")</f>
        <v>46145</v>
      </c>
    </row>
    <row r="185" ht="15.75" customHeight="1">
      <c r="A185" s="458" t="s">
        <v>407</v>
      </c>
      <c r="B185" s="567">
        <v>2016.0</v>
      </c>
      <c r="C185" s="568">
        <v>84000.0</v>
      </c>
      <c r="D185" s="223"/>
      <c r="E185" s="223"/>
      <c r="F185" s="168"/>
      <c r="G185" s="168"/>
      <c r="H185" s="168"/>
      <c r="I185" s="224" t="s">
        <v>1080</v>
      </c>
      <c r="J185" s="170" t="str">
        <f t="shared" si="26"/>
        <v/>
      </c>
      <c r="K185" s="171"/>
      <c r="L185" s="353" t="s">
        <v>773</v>
      </c>
      <c r="M185" s="283">
        <v>46139.0</v>
      </c>
      <c r="N185" s="569">
        <v>46140.0</v>
      </c>
      <c r="O185" s="570"/>
      <c r="P185" s="172" t="s">
        <v>1110</v>
      </c>
      <c r="Q185" s="172"/>
      <c r="R185" s="172" t="s">
        <v>1111</v>
      </c>
      <c r="S185" s="175" t="s">
        <v>659</v>
      </c>
      <c r="T185" s="286">
        <v>46125.0</v>
      </c>
      <c r="U185" s="177" t="str">
        <f>IF(V185="","No AIS",VLOOKUP(V185,'Voyage days'!$A$3:$B$1480,2,FALSE))</f>
        <v>Eu + 4</v>
      </c>
      <c r="V185" s="177" t="str">
        <f>IF(VLOOKUP(A185,'1) Kpler'!$E$2:$P$1000,8, FALSE)="","",VLOOKUP(A185,'1) Kpler'!$E$2:$P$1000,8, FALSE))</f>
        <v>Antwerp</v>
      </c>
      <c r="W185" s="370">
        <f>IF(VLOOKUP(A185,'1) Kpler'!$E$2:$P$1000,9,FALSE)="","",VLOOKUP(A185,'1) Kpler'!$E$2:$P$1000,9,FALSE))</f>
        <v>46134.75</v>
      </c>
      <c r="X185" s="177" t="str">
        <f>VLOOKUP(A185,'1) Kpler'!$E$2:$I$1000,4,FALSE)</f>
        <v>loaded</v>
      </c>
      <c r="Y185" s="120" t="str">
        <f t="shared" si="1"/>
        <v/>
      </c>
      <c r="Z185" s="120" t="str">
        <f t="shared" si="2"/>
        <v>11-12 May</v>
      </c>
      <c r="AA185" s="120" t="str">
        <f t="shared" si="3"/>
        <v>12-13 May</v>
      </c>
      <c r="AB185" s="120" t="str">
        <f t="shared" si="4"/>
        <v>08-09 May</v>
      </c>
      <c r="AC185" s="120" t="str">
        <f t="shared" si="5"/>
        <v>29-30 Apr</v>
      </c>
      <c r="AD185" s="120" t="str">
        <f t="shared" si="6"/>
        <v/>
      </c>
      <c r="AE185" s="228" t="str">
        <f t="shared" si="7"/>
        <v/>
      </c>
      <c r="AF185" s="229" t="str">
        <f t="shared" si="8"/>
        <v>11-12 May</v>
      </c>
      <c r="AG185" s="120" t="str">
        <f t="shared" si="27"/>
        <v/>
      </c>
      <c r="AH185" s="121" t="str">
        <f>IFERROR($M185+VLOOKUP($L185,'Voyage days'!$F$38:$H$89,3,FALSE),"")</f>
        <v/>
      </c>
      <c r="AI185" s="121" t="str">
        <f>IFERROR(N185+VLOOKUP($L185,'Voyage days'!$F$38:$H$89,3,FALSE),"")</f>
        <v/>
      </c>
      <c r="AJ185" s="120" t="str">
        <f t="shared" si="28"/>
        <v>11-12 May</v>
      </c>
      <c r="AK185" s="121">
        <f>IFERROR($M185+VLOOKUP($L185,'Voyage days'!$F$94:$H$193,3,FALSE),"")</f>
        <v>46153</v>
      </c>
      <c r="AL185" s="121">
        <f>IFERROR($N185+VLOOKUP($L185,'Voyage days'!$F$94:$H$193,3,FALSE),"")</f>
        <v>46154</v>
      </c>
      <c r="AM185" s="120" t="str">
        <f t="shared" si="29"/>
        <v>12-13 May</v>
      </c>
      <c r="AN185" s="121">
        <f>IFERROR($M185+VLOOKUP($L185,'Voyage days'!$F$203:$H$256,3,FALSE),"")</f>
        <v>46154</v>
      </c>
      <c r="AO185" s="121">
        <f>IFERROR($N185+VLOOKUP($L185,'Voyage days'!$F$203:$H$256,3,FALSE),"")</f>
        <v>46155</v>
      </c>
      <c r="AP185" s="120" t="str">
        <f t="shared" si="30"/>
        <v>08-09 May</v>
      </c>
      <c r="AQ185" s="121">
        <f>IFERROR($M185+VLOOKUP($L185,'Voyage days'!$F$294:$H$377,3,FALSE),"")</f>
        <v>46150</v>
      </c>
      <c r="AR185" s="121">
        <f>IFERROR($N185+VLOOKUP($L185,'Voyage days'!$F$294:$H$377,3,FALSE),"")</f>
        <v>46151</v>
      </c>
      <c r="AS185" s="120" t="str">
        <f t="shared" si="31"/>
        <v>29-30 Apr</v>
      </c>
      <c r="AT185" s="121">
        <f>IFERROR($M185+VLOOKUP($L185,'Voyage days'!$F$382:$H$446,3,FALSE),"")</f>
        <v>46141</v>
      </c>
      <c r="AU185" s="121">
        <f>IFERROR($N185+VLOOKUP($L185,'Voyage days'!$F$382:$H$446,3,FALSE),"")</f>
        <v>46142</v>
      </c>
      <c r="AV185" s="120" t="str">
        <f t="shared" si="32"/>
        <v/>
      </c>
      <c r="AW185" s="121" t="str">
        <f>IFERROR($M185+VLOOKUP($L185,'Voyage days'!$F$483:$H$538,3,FALSE),"")</f>
        <v/>
      </c>
      <c r="AX185" s="121" t="str">
        <f>IFERROR($N185+VLOOKUP($L185,'Voyage days'!$F$483:$H$538,3,FALSE),"")</f>
        <v/>
      </c>
      <c r="AY185" s="120" t="str">
        <f t="shared" si="33"/>
        <v/>
      </c>
      <c r="AZ185" s="121" t="str">
        <f>IFERROR($M185+VLOOKUP($L185,'Voyage days'!$F$540:$H$613,3,FALSE),"")</f>
        <v/>
      </c>
      <c r="BA185" s="121" t="str">
        <f>IFERROR($N185+VLOOKUP($L185,'Voyage days'!$F$540:$H$613,3,FALSE),"")</f>
        <v/>
      </c>
      <c r="BB185" s="120" t="str">
        <f t="shared" si="34"/>
        <v/>
      </c>
      <c r="BC185" s="121" t="str">
        <f>IFERROR($M185+VLOOKUP($L185,'Voyage days'!$F$448:$H$479,3,FALSE),"")</f>
        <v/>
      </c>
      <c r="BD185" s="121" t="str">
        <f>IFERROR($N185+VLOOKUP($L185,'Voyage days'!$F$448:$H$479,3,FALSE),"")</f>
        <v/>
      </c>
      <c r="BE185" s="120" t="str">
        <f t="shared" si="35"/>
        <v/>
      </c>
      <c r="BF185" s="122" t="str">
        <f>IFERROR($M185+VLOOKUP($L185,'Voyage days'!$F$620:$H$646,3,FALSE),"")</f>
        <v/>
      </c>
      <c r="BG185" s="122" t="str">
        <f>IFERROR($N185+VLOOKUP($L185,'Voyage days'!$F$620:$H$646,3,FALSE),"")</f>
        <v/>
      </c>
      <c r="BH185" s="120" t="str">
        <f t="shared" si="36"/>
        <v/>
      </c>
      <c r="BI185" s="123" t="str">
        <f>IFERROR($M185+VLOOKUP($L185,'Voyage days'!$F$702:$H$727,3,FALSE),"")</f>
        <v/>
      </c>
      <c r="BJ185" s="120" t="str">
        <f t="shared" si="37"/>
        <v>11-12 May</v>
      </c>
      <c r="BK185" s="122">
        <f>IFERROR($M185+VLOOKUP($L185,'Voyage days'!$F$807:$H$878,3,FALSE),"")</f>
        <v>46153</v>
      </c>
      <c r="BL185" s="122">
        <f>IFERROR($N185+VLOOKUP($L185,'Voyage days'!$F$807:$H$878,3,FALSE),"")</f>
        <v>46154</v>
      </c>
      <c r="BM185" s="122">
        <f>IFERROR($N185+VLOOKUP($L185,'Voyage days'!$F$807:$K$878,6,FALSE),"")</f>
        <v>46140</v>
      </c>
      <c r="BN185" s="121" t="str">
        <f>if(L185="loads AG", IFERROR($M185+VLOOKUP($L185,'Voyage days'!$M$38:$O$38,3,FALSE),""),"")</f>
        <v/>
      </c>
      <c r="BO185" s="121" t="str">
        <f>if(L185="loads USG", IFERROR($M185+VLOOKUP($L185,'Voyage days'!$L$203:$N$203,3,FALSE),""),"")</f>
        <v/>
      </c>
      <c r="BP185" s="313"/>
    </row>
    <row r="186" ht="15.75" customHeight="1">
      <c r="A186" s="571" t="s">
        <v>393</v>
      </c>
      <c r="B186" s="572">
        <v>2016.0</v>
      </c>
      <c r="C186" s="166">
        <v>84000.0</v>
      </c>
      <c r="D186" s="374"/>
      <c r="E186" s="374"/>
      <c r="F186" s="282"/>
      <c r="G186" s="282"/>
      <c r="H186" s="282"/>
      <c r="I186" s="573" t="s">
        <v>1112</v>
      </c>
      <c r="J186" s="574"/>
      <c r="K186" s="365"/>
      <c r="L186" s="285" t="s">
        <v>680</v>
      </c>
      <c r="M186" s="283">
        <v>46133.0</v>
      </c>
      <c r="N186" s="283">
        <v>46134.0</v>
      </c>
      <c r="O186" s="453"/>
      <c r="P186" s="285" t="s">
        <v>1113</v>
      </c>
      <c r="Q186" s="285"/>
      <c r="R186" s="285" t="s">
        <v>1114</v>
      </c>
      <c r="S186" s="358" t="s">
        <v>659</v>
      </c>
      <c r="T186" s="369">
        <v>46125.0</v>
      </c>
      <c r="U186" s="177" t="str">
        <f>IF(V186="","No AIS",VLOOKUP(V186,'Voyage days'!$A$3:$B$1480,2,FALSE))</f>
        <v>USG</v>
      </c>
      <c r="V186" s="177" t="str">
        <f>IF(VLOOKUP(A186,'1) Kpler'!$E$2:$P$1000,8, FALSE)="","",VLOOKUP(A186,'1) Kpler'!$E$2:$P$1000,8, FALSE))</f>
        <v>Energy Transfer Nederland</v>
      </c>
      <c r="W186" s="370">
        <f>IF(VLOOKUP(A186,'1) Kpler'!$E$2:$P$1000,9,FALSE)="","",VLOOKUP(A186,'1) Kpler'!$E$2:$P$1000,9,FALSE))</f>
        <v>46132.20833</v>
      </c>
      <c r="X186" s="177" t="str">
        <f>VLOOKUP(A186,'1) Kpler'!$E$2:$I$1000,4,FALSE)</f>
        <v>ballast</v>
      </c>
      <c r="Y186" s="575" t="str">
        <f t="shared" si="1"/>
        <v/>
      </c>
      <c r="Z186" s="575" t="str">
        <f t="shared" si="2"/>
        <v>21-22 Apr</v>
      </c>
      <c r="AA186" s="575" t="str">
        <f t="shared" si="3"/>
        <v>21-22 Apr</v>
      </c>
      <c r="AB186" s="575" t="str">
        <f t="shared" si="4"/>
        <v/>
      </c>
      <c r="AC186" s="575" t="str">
        <f t="shared" si="5"/>
        <v>11-12 May</v>
      </c>
      <c r="AD186" s="575" t="str">
        <f t="shared" si="6"/>
        <v/>
      </c>
      <c r="AE186" s="576" t="str">
        <f t="shared" si="7"/>
        <v/>
      </c>
      <c r="AF186" s="182" t="str">
        <f t="shared" si="8"/>
        <v/>
      </c>
      <c r="AG186" s="163" t="str">
        <f t="shared" si="27"/>
        <v/>
      </c>
      <c r="AH186" s="122" t="str">
        <f>IFERROR($M186+VLOOKUP($L186,'Voyage days'!$F$38:$H$89,3,FALSE),"")</f>
        <v/>
      </c>
      <c r="AI186" s="122" t="str">
        <f>IFERROR(N186+VLOOKUP($L186,'Voyage days'!$F$38:$H$89,3,FALSE),"")</f>
        <v/>
      </c>
      <c r="AJ186" s="163" t="str">
        <f t="shared" si="28"/>
        <v>21-22 Apr</v>
      </c>
      <c r="AK186" s="122">
        <f>IFERROR($M186+VLOOKUP($L186,'Voyage days'!$F$94:$H$193,3,FALSE),"")</f>
        <v>46133</v>
      </c>
      <c r="AL186" s="122">
        <f>IFERROR($N186+VLOOKUP($L186,'Voyage days'!$F$94:$H$193,3,FALSE),"")</f>
        <v>46134</v>
      </c>
      <c r="AM186" s="163" t="str">
        <f t="shared" si="29"/>
        <v>21-22 Apr</v>
      </c>
      <c r="AN186" s="122">
        <f>IFERROR($M186+VLOOKUP($L186,'Voyage days'!$F$203:$H$256,3,FALSE),"")</f>
        <v>46133</v>
      </c>
      <c r="AO186" s="122">
        <f>IFERROR($N186+VLOOKUP($L186,'Voyage days'!$F$203:$H$256,3,FALSE),"")</f>
        <v>46134</v>
      </c>
      <c r="AP186" s="163" t="str">
        <f t="shared" si="30"/>
        <v/>
      </c>
      <c r="AQ186" s="122" t="str">
        <f>IFERROR($M186+VLOOKUP($L186,'Voyage days'!$F$294:$H$377,3,FALSE),"")</f>
        <v/>
      </c>
      <c r="AR186" s="122" t="str">
        <f>IFERROR($N186+VLOOKUP($L186,'Voyage days'!$F$294:$H$377,3,FALSE),"")</f>
        <v/>
      </c>
      <c r="AS186" s="163" t="str">
        <f t="shared" si="31"/>
        <v>11-12 May</v>
      </c>
      <c r="AT186" s="122">
        <f>IFERROR($M186+VLOOKUP($L186,'Voyage days'!$F$382:$H$446,3,FALSE),"")</f>
        <v>46153</v>
      </c>
      <c r="AU186" s="122">
        <f>IFERROR($N186+VLOOKUP($L186,'Voyage days'!$F$382:$H$446,3,FALSE),"")</f>
        <v>46154</v>
      </c>
      <c r="AV186" s="163" t="str">
        <f t="shared" si="32"/>
        <v/>
      </c>
      <c r="AW186" s="122" t="str">
        <f>IFERROR($M186+VLOOKUP($L186,'Voyage days'!$F$483:$H$538,3,FALSE),"")</f>
        <v/>
      </c>
      <c r="AX186" s="122" t="str">
        <f>IFERROR($N186+VLOOKUP($L186,'Voyage days'!$F$483:$H$538,3,FALSE),"")</f>
        <v/>
      </c>
      <c r="AY186" s="163" t="str">
        <f t="shared" si="33"/>
        <v/>
      </c>
      <c r="AZ186" s="122" t="str">
        <f>IFERROR($M186+VLOOKUP($L186,'Voyage days'!$F$540:$H$613,3,FALSE),"")</f>
        <v/>
      </c>
      <c r="BA186" s="122" t="str">
        <f>IFERROR($N186+VLOOKUP($L186,'Voyage days'!$F$540:$H$613,3,FALSE),"")</f>
        <v/>
      </c>
      <c r="BB186" s="163" t="str">
        <f t="shared" si="34"/>
        <v/>
      </c>
      <c r="BC186" s="122" t="str">
        <f>IFERROR($M186+VLOOKUP($L186,'Voyage days'!$F$448:$H$479,3,FALSE),"")</f>
        <v/>
      </c>
      <c r="BD186" s="122" t="str">
        <f>IFERROR($N186+VLOOKUP($L186,'Voyage days'!$F$448:$H$479,3,FALSE),"")</f>
        <v/>
      </c>
      <c r="BE186" s="163" t="str">
        <f t="shared" si="35"/>
        <v/>
      </c>
      <c r="BF186" s="122" t="str">
        <f>IFERROR($M186+VLOOKUP($L186,'Voyage days'!$F$620:$H$646,3,FALSE),"")</f>
        <v/>
      </c>
      <c r="BG186" s="122" t="str">
        <f>IFERROR($N186+VLOOKUP($L186,'Voyage days'!$F$620:$H$646,3,FALSE),"")</f>
        <v/>
      </c>
      <c r="BH186" s="163" t="str">
        <f t="shared" si="36"/>
        <v/>
      </c>
      <c r="BI186" s="123" t="str">
        <f>IFERROR($M186+VLOOKUP($L186,'Voyage days'!$F$702:$H$727,3,FALSE),"")</f>
        <v/>
      </c>
      <c r="BJ186" s="163" t="str">
        <f t="shared" si="37"/>
        <v/>
      </c>
      <c r="BK186" s="122" t="str">
        <f>IFERROR($M186+VLOOKUP($L186,'Voyage days'!$F$807:$H$878,3,FALSE),"")</f>
        <v/>
      </c>
      <c r="BL186" s="122" t="str">
        <f>IFERROR($N186+VLOOKUP($L186,'Voyage days'!$F$807:$H$878,3,FALSE),"")</f>
        <v/>
      </c>
      <c r="BM186" s="122" t="str">
        <f>IFERROR($N186+VLOOKUP($L186,'Voyage days'!$F$807:$K$878,6,FALSE),"")</f>
        <v/>
      </c>
      <c r="BN186" s="122" t="str">
        <f>if(L186="loads AG", IFERROR($M186+VLOOKUP($L186,'Voyage days'!$M$38:$O$38,3,FALSE),""),"")</f>
        <v/>
      </c>
      <c r="BO186" s="122">
        <f>if(L186="loads USG", IFERROR($M186+VLOOKUP($L186,'Voyage days'!$L$203:$N$203,3,FALSE),""),"")</f>
        <v>46165</v>
      </c>
    </row>
    <row r="187">
      <c r="A187" s="515" t="s">
        <v>294</v>
      </c>
      <c r="B187" s="231">
        <v>2022.0</v>
      </c>
      <c r="C187" s="232">
        <v>91000.0</v>
      </c>
      <c r="D187" s="233"/>
      <c r="E187" s="233"/>
      <c r="F187" s="577"/>
      <c r="G187" s="577"/>
      <c r="H187" s="577" t="s">
        <v>1115</v>
      </c>
      <c r="I187" s="578" t="s">
        <v>1116</v>
      </c>
      <c r="J187" s="470" t="str">
        <f t="shared" ref="J187:J219" si="38">IF(W187="","NO AIS",IF((W187-M187-1)&gt;0,"Update",""))</f>
        <v/>
      </c>
      <c r="K187" s="152"/>
      <c r="L187" s="235" t="s">
        <v>680</v>
      </c>
      <c r="M187" s="238">
        <v>46153.0</v>
      </c>
      <c r="N187" s="579">
        <v>46154.0</v>
      </c>
      <c r="O187" s="580"/>
      <c r="P187" s="295" t="s">
        <v>1117</v>
      </c>
      <c r="Q187" s="241"/>
      <c r="R187" s="153" t="s">
        <v>1118</v>
      </c>
      <c r="S187" s="581" t="s">
        <v>659</v>
      </c>
      <c r="T187" s="293">
        <v>46124.0</v>
      </c>
      <c r="U187" s="114" t="str">
        <f>IF(V187="","No AIS",VLOOKUP(V187,'Voyage days'!$A$3:$B$1480,2,FALSE))</f>
        <v>USG</v>
      </c>
      <c r="V187" s="114" t="str">
        <f>IF(VLOOKUP(A187,'1) Kpler'!$E$2:$P$1000,8, FALSE)="","",VLOOKUP(A187,'1) Kpler'!$E$2:$P$1000,8, FALSE))</f>
        <v>Houston</v>
      </c>
      <c r="W187" s="159">
        <f>IF(VLOOKUP(A187,'1) Kpler'!$E$2:$P$1000,9,FALSE)="","",VLOOKUP(A187,'1) Kpler'!$E$2:$P$1000,9,FALSE))</f>
        <v>46151.83333</v>
      </c>
      <c r="X187" s="114" t="str">
        <f>VLOOKUP(A187,'1) Kpler'!$E$2:$I$1000,4,FALSE)</f>
        <v>ballast</v>
      </c>
      <c r="Y187" s="296" t="str">
        <f t="shared" si="1"/>
        <v/>
      </c>
      <c r="Z187" s="296" t="str">
        <f t="shared" si="2"/>
        <v>11-12 May</v>
      </c>
      <c r="AA187" s="296" t="str">
        <f t="shared" si="3"/>
        <v>11-12 May</v>
      </c>
      <c r="AB187" s="296" t="str">
        <f t="shared" si="4"/>
        <v/>
      </c>
      <c r="AC187" s="296" t="str">
        <f t="shared" si="5"/>
        <v>31-01 Jun</v>
      </c>
      <c r="AD187" s="296" t="str">
        <f t="shared" si="6"/>
        <v/>
      </c>
      <c r="AE187" s="297" t="str">
        <f t="shared" si="7"/>
        <v/>
      </c>
      <c r="AF187" s="119" t="str">
        <f t="shared" si="8"/>
        <v/>
      </c>
      <c r="AG187" s="163" t="str">
        <f t="shared" si="27"/>
        <v/>
      </c>
      <c r="AH187" s="122" t="str">
        <f>IFERROR($M187+VLOOKUP($L187,'Voyage days'!$F$38:$H$89,3,FALSE),"")</f>
        <v/>
      </c>
      <c r="AI187" s="122" t="str">
        <f>IFERROR(N187+VLOOKUP($L187,'Voyage days'!$F$38:$H$89,3,FALSE),"")</f>
        <v/>
      </c>
      <c r="AJ187" s="163" t="str">
        <f t="shared" si="28"/>
        <v>11-12 May</v>
      </c>
      <c r="AK187" s="122">
        <f>IFERROR($M187+VLOOKUP($L187,'Voyage days'!$F$94:$H$193,3,FALSE),"")</f>
        <v>46153</v>
      </c>
      <c r="AL187" s="122">
        <f>IFERROR($N187+VLOOKUP($L187,'Voyage days'!$F$94:$H$193,3,FALSE),"")</f>
        <v>46154</v>
      </c>
      <c r="AM187" s="163" t="str">
        <f t="shared" si="29"/>
        <v>11-12 May</v>
      </c>
      <c r="AN187" s="122">
        <f>IFERROR($M187+VLOOKUP($L187,'Voyage days'!$F$203:$H$256,3,FALSE),"")</f>
        <v>46153</v>
      </c>
      <c r="AO187" s="122">
        <f>IFERROR($N187+VLOOKUP($L187,'Voyage days'!$F$203:$H$256,3,FALSE),"")</f>
        <v>46154</v>
      </c>
      <c r="AP187" s="163" t="str">
        <f t="shared" si="30"/>
        <v/>
      </c>
      <c r="AQ187" s="122" t="str">
        <f>IFERROR($M187+VLOOKUP($L187,'Voyage days'!$F$294:$H$377,3,FALSE),"")</f>
        <v/>
      </c>
      <c r="AR187" s="122" t="str">
        <f>IFERROR($N187+VLOOKUP($L187,'Voyage days'!$F$294:$H$377,3,FALSE),"")</f>
        <v/>
      </c>
      <c r="AS187" s="163" t="str">
        <f t="shared" si="31"/>
        <v>31-01 Jun</v>
      </c>
      <c r="AT187" s="122">
        <f>IFERROR($M187+VLOOKUP($L187,'Voyage days'!$F$382:$H$446,3,FALSE),"")</f>
        <v>46173</v>
      </c>
      <c r="AU187" s="122">
        <f>IFERROR($N187+VLOOKUP($L187,'Voyage days'!$F$382:$H$446,3,FALSE),"")</f>
        <v>46174</v>
      </c>
      <c r="AV187" s="163" t="str">
        <f t="shared" si="32"/>
        <v/>
      </c>
      <c r="AW187" s="122" t="str">
        <f>IFERROR($M187+VLOOKUP($L187,'Voyage days'!$F$483:$H$538,3,FALSE),"")</f>
        <v/>
      </c>
      <c r="AX187" s="122" t="str">
        <f>IFERROR($N187+VLOOKUP($L187,'Voyage days'!$F$483:$H$538,3,FALSE),"")</f>
        <v/>
      </c>
      <c r="AY187" s="163" t="str">
        <f t="shared" si="33"/>
        <v/>
      </c>
      <c r="AZ187" s="122" t="str">
        <f>IFERROR($M187+VLOOKUP($L187,'Voyage days'!$F$540:$H$613,3,FALSE),"")</f>
        <v/>
      </c>
      <c r="BA187" s="122" t="str">
        <f>IFERROR($N187+VLOOKUP($L187,'Voyage days'!$F$540:$H$613,3,FALSE),"")</f>
        <v/>
      </c>
      <c r="BB187" s="163" t="str">
        <f t="shared" si="34"/>
        <v/>
      </c>
      <c r="BC187" s="121" t="str">
        <f>IFERROR($M187+VLOOKUP($L187,'Voyage days'!$F$448:$H$479,3,FALSE),"")</f>
        <v/>
      </c>
      <c r="BD187" s="121" t="str">
        <f>IFERROR($N187+VLOOKUP($L187,'Voyage days'!$F$448:$H$479,3,FALSE),"")</f>
        <v/>
      </c>
      <c r="BE187" s="163" t="str">
        <f t="shared" si="35"/>
        <v/>
      </c>
      <c r="BF187" s="122" t="str">
        <f>IFERROR($M187+VLOOKUP($L187,'Voyage days'!$F$620:$H$646,3,FALSE),"")</f>
        <v/>
      </c>
      <c r="BG187" s="122" t="str">
        <f>IFERROR($N187+VLOOKUP($L187,'Voyage days'!$F$620:$H$646,3,FALSE),"")</f>
        <v/>
      </c>
      <c r="BH187" s="163" t="str">
        <f t="shared" si="36"/>
        <v/>
      </c>
      <c r="BI187" s="123" t="str">
        <f>IFERROR($M187+VLOOKUP($L187,'Voyage days'!$F$702:$H$727,3,FALSE),"")</f>
        <v/>
      </c>
      <c r="BJ187" s="163" t="str">
        <f t="shared" si="37"/>
        <v/>
      </c>
      <c r="BK187" s="122" t="str">
        <f>IFERROR($M187+VLOOKUP($L187,'Voyage days'!$F$807:$H$878,3,FALSE),"")</f>
        <v/>
      </c>
      <c r="BL187" s="122" t="str">
        <f>IFERROR($N187+VLOOKUP($L187,'Voyage days'!$F$807:$H$878,3,FALSE),"")</f>
        <v/>
      </c>
      <c r="BM187" s="122" t="str">
        <f>IFERROR($N187+VLOOKUP($L187,'Voyage days'!$F$807:$K$878,6,FALSE),"")</f>
        <v/>
      </c>
      <c r="BN187" s="121" t="str">
        <f>if(L187="loads AG", IFERROR($M187+VLOOKUP($L187,'Voyage days'!$M$38:$O$38,3,FALSE),""),"")</f>
        <v/>
      </c>
      <c r="BO187" s="121">
        <f>if(L187="loads USG", IFERROR($M187+VLOOKUP($L187,'Voyage days'!$L$203:$N$203,3,FALSE),""),"")</f>
        <v>46185</v>
      </c>
    </row>
    <row r="188" ht="15.75" customHeight="1">
      <c r="A188" s="473" t="s">
        <v>311</v>
      </c>
      <c r="B188" s="222">
        <v>40961.0</v>
      </c>
      <c r="C188" s="166">
        <v>78000.0</v>
      </c>
      <c r="D188" s="223"/>
      <c r="E188" s="223"/>
      <c r="F188" s="168"/>
      <c r="G188" s="168"/>
      <c r="H188" s="168" t="s">
        <v>689</v>
      </c>
      <c r="I188" s="324" t="s">
        <v>1116</v>
      </c>
      <c r="J188" s="469" t="str">
        <f t="shared" si="38"/>
        <v/>
      </c>
      <c r="K188" s="582"/>
      <c r="L188" s="353" t="s">
        <v>680</v>
      </c>
      <c r="M188" s="583">
        <v>46147.0</v>
      </c>
      <c r="N188" s="173">
        <v>46148.0</v>
      </c>
      <c r="O188" s="584"/>
      <c r="P188" s="172" t="s">
        <v>1119</v>
      </c>
      <c r="Q188" s="320" t="s">
        <v>1120</v>
      </c>
      <c r="R188" s="285" t="s">
        <v>1121</v>
      </c>
      <c r="S188" s="175" t="s">
        <v>659</v>
      </c>
      <c r="T188" s="176">
        <v>46124.0</v>
      </c>
      <c r="U188" s="177" t="str">
        <f>IF(V188="","No AIS",VLOOKUP(V188,'Voyage days'!$A$3:$B$1480,2,FALSE))</f>
        <v>USG</v>
      </c>
      <c r="V188" s="178" t="str">
        <f>IF(VLOOKUP(A188,'1) Kpler'!$E$2:$P$1000,8, FALSE)="","",VLOOKUP(A188,'1) Kpler'!$E$2:$P$1000,8, FALSE))</f>
        <v>Houston</v>
      </c>
      <c r="W188" s="179">
        <f>IF(VLOOKUP(A188,'1) Kpler'!$E$2:$P$1000,9,FALSE)="","",VLOOKUP(A188,'1) Kpler'!$E$2:$P$1000,9,FALSE))</f>
        <v>46144.25</v>
      </c>
      <c r="X188" s="178" t="str">
        <f>VLOOKUP(A188,'1) Kpler'!$E$2:$I$1000,4,FALSE)</f>
        <v>ballast</v>
      </c>
      <c r="Y188" s="120" t="str">
        <f t="shared" si="1"/>
        <v/>
      </c>
      <c r="Z188" s="120" t="str">
        <f t="shared" si="2"/>
        <v>05-06 May</v>
      </c>
      <c r="AA188" s="120" t="str">
        <f t="shared" si="3"/>
        <v>05-06 May</v>
      </c>
      <c r="AB188" s="120" t="str">
        <f t="shared" si="4"/>
        <v/>
      </c>
      <c r="AC188" s="120" t="str">
        <f t="shared" si="5"/>
        <v>25-26 May</v>
      </c>
      <c r="AD188" s="120" t="str">
        <f t="shared" si="6"/>
        <v/>
      </c>
      <c r="AE188" s="228" t="str">
        <f t="shared" si="7"/>
        <v/>
      </c>
      <c r="AF188" s="229" t="str">
        <f t="shared" si="8"/>
        <v/>
      </c>
      <c r="AG188" s="120" t="str">
        <f t="shared" si="27"/>
        <v/>
      </c>
      <c r="AH188" s="121" t="str">
        <f>IFERROR($M188+VLOOKUP($L188,'Voyage days'!$F$38:$H$89,3,FALSE),"")</f>
        <v/>
      </c>
      <c r="AI188" s="121" t="str">
        <f>IFERROR(N188+VLOOKUP($L188,'Voyage days'!$F$38:$H$89,3,FALSE),"")</f>
        <v/>
      </c>
      <c r="AJ188" s="120" t="str">
        <f t="shared" si="28"/>
        <v>05-06 May</v>
      </c>
      <c r="AK188" s="121">
        <f>IFERROR($M188+VLOOKUP($L188,'Voyage days'!$F$94:$H$193,3,FALSE),"")</f>
        <v>46147</v>
      </c>
      <c r="AL188" s="121">
        <f>IFERROR($N188+VLOOKUP($L188,'Voyage days'!$F$94:$H$193,3,FALSE),"")</f>
        <v>46148</v>
      </c>
      <c r="AM188" s="120" t="str">
        <f t="shared" si="29"/>
        <v>05-06 May</v>
      </c>
      <c r="AN188" s="121">
        <f>IFERROR($M188+VLOOKUP($L188,'Voyage days'!$F$203:$H$256,3,FALSE),"")</f>
        <v>46147</v>
      </c>
      <c r="AO188" s="121">
        <f>IFERROR($N188+VLOOKUP($L188,'Voyage days'!$F$203:$H$256,3,FALSE),"")</f>
        <v>46148</v>
      </c>
      <c r="AP188" s="120" t="str">
        <f t="shared" si="30"/>
        <v/>
      </c>
      <c r="AQ188" s="121" t="str">
        <f>IFERROR($M188+VLOOKUP($L188,'Voyage days'!$F$294:$H$377,3,FALSE),"")</f>
        <v/>
      </c>
      <c r="AR188" s="121" t="str">
        <f>IFERROR($N188+VLOOKUP($L188,'Voyage days'!$F$294:$H$377,3,FALSE),"")</f>
        <v/>
      </c>
      <c r="AS188" s="120" t="str">
        <f t="shared" si="31"/>
        <v>25-26 May</v>
      </c>
      <c r="AT188" s="121">
        <f>IFERROR($M188+VLOOKUP($L188,'Voyage days'!$F$382:$H$446,3,FALSE),"")</f>
        <v>46167</v>
      </c>
      <c r="AU188" s="121">
        <f>IFERROR($N188+VLOOKUP($L188,'Voyage days'!$F$382:$H$446,3,FALSE),"")</f>
        <v>46168</v>
      </c>
      <c r="AV188" s="120" t="str">
        <f t="shared" si="32"/>
        <v/>
      </c>
      <c r="AW188" s="121" t="str">
        <f>IFERROR($M188+VLOOKUP($L188,'Voyage days'!$F$483:$H$538,3,FALSE),"")</f>
        <v/>
      </c>
      <c r="AX188" s="121" t="str">
        <f>IFERROR($N188+VLOOKUP($L188,'Voyage days'!$F$483:$H$538,3,FALSE),"")</f>
        <v/>
      </c>
      <c r="AY188" s="120" t="str">
        <f t="shared" si="33"/>
        <v/>
      </c>
      <c r="AZ188" s="121" t="str">
        <f>IFERROR($M188+VLOOKUP($L188,'Voyage days'!$F$540:$H$613,3,FALSE),"")</f>
        <v/>
      </c>
      <c r="BA188" s="121" t="str">
        <f>IFERROR($N188+VLOOKUP($L188,'Voyage days'!$F$540:$H$613,3,FALSE),"")</f>
        <v/>
      </c>
      <c r="BB188" s="120" t="str">
        <f t="shared" si="34"/>
        <v/>
      </c>
      <c r="BC188" s="121" t="str">
        <f>IFERROR($M188+VLOOKUP($L188,'Voyage days'!$F$448:$H$479,3,FALSE),"")</f>
        <v/>
      </c>
      <c r="BD188" s="121" t="str">
        <f>IFERROR($N188+VLOOKUP($L188,'Voyage days'!$F$448:$H$479,3,FALSE),"")</f>
        <v/>
      </c>
      <c r="BE188" s="120" t="str">
        <f t="shared" si="35"/>
        <v/>
      </c>
      <c r="BF188" s="122" t="str">
        <f>IFERROR($M188+VLOOKUP($L188,'Voyage days'!$F$620:$H$646,3,FALSE),"")</f>
        <v/>
      </c>
      <c r="BG188" s="122" t="str">
        <f>IFERROR($N188+VLOOKUP($L188,'Voyage days'!$F$620:$H$646,3,FALSE),"")</f>
        <v/>
      </c>
      <c r="BH188" s="120" t="str">
        <f t="shared" si="36"/>
        <v/>
      </c>
      <c r="BI188" s="123" t="str">
        <f>IFERROR($M188+VLOOKUP($L188,'Voyage days'!$F$702:$H$727,3,FALSE),"")</f>
        <v/>
      </c>
      <c r="BJ188" s="120" t="str">
        <f t="shared" si="37"/>
        <v/>
      </c>
      <c r="BK188" s="122" t="str">
        <f>IFERROR($M188+VLOOKUP($L188,'Voyage days'!$F$807:$H$878,3,FALSE),"")</f>
        <v/>
      </c>
      <c r="BL188" s="122" t="str">
        <f>IFERROR($N188+VLOOKUP($L188,'Voyage days'!$F$807:$H$878,3,FALSE),"")</f>
        <v/>
      </c>
      <c r="BM188" s="122" t="str">
        <f>IFERROR($N188+VLOOKUP($L188,'Voyage days'!$F$807:$K$878,6,FALSE),"")</f>
        <v/>
      </c>
      <c r="BN188" s="121" t="str">
        <f>if(L188="loads AG", IFERROR($M188+VLOOKUP($L188,'Voyage days'!$M$38:$O$38,3,FALSE),""),"")</f>
        <v/>
      </c>
      <c r="BO188" s="121">
        <f>if(L188="loads USG", IFERROR($M188+VLOOKUP($L188,'Voyage days'!$L$203:$N$203,3,FALSE),""),"")</f>
        <v>46179</v>
      </c>
    </row>
    <row r="189" ht="15.75" customHeight="1">
      <c r="A189" s="341" t="s">
        <v>1122</v>
      </c>
      <c r="B189" s="101">
        <v>42062.0</v>
      </c>
      <c r="C189" s="203">
        <v>84154.0</v>
      </c>
      <c r="D189" s="149"/>
      <c r="E189" s="149"/>
      <c r="F189" s="150"/>
      <c r="G189" s="150"/>
      <c r="H189" s="150" t="s">
        <v>689</v>
      </c>
      <c r="I189" s="315" t="s">
        <v>1123</v>
      </c>
      <c r="J189" s="151" t="str">
        <f t="shared" si="38"/>
        <v/>
      </c>
      <c r="K189" s="152"/>
      <c r="L189" s="153" t="s">
        <v>680</v>
      </c>
      <c r="M189" s="238">
        <v>46157.0</v>
      </c>
      <c r="N189" s="238">
        <v>46158.0</v>
      </c>
      <c r="O189" s="519"/>
      <c r="P189" s="317" t="s">
        <v>1124</v>
      </c>
      <c r="Q189" s="153" t="s">
        <v>1125</v>
      </c>
      <c r="R189" s="153" t="s">
        <v>1126</v>
      </c>
      <c r="S189" s="256" t="s">
        <v>659</v>
      </c>
      <c r="T189" s="420">
        <v>46124.0</v>
      </c>
      <c r="U189" s="114" t="str">
        <f>IF(V189="","No AIS",VLOOKUP(V189,'Voyage days'!$A$3:$B$1480,2,FALSE))</f>
        <v>Panama</v>
      </c>
      <c r="V189" s="114" t="str">
        <f>IF(VLOOKUP(A189,'1) Kpler'!$E$2:$P$1000,8, FALSE)="","",VLOOKUP(A189,'1) Kpler'!$E$2:$P$1000,8, FALSE))</f>
        <v>Panama Canal</v>
      </c>
      <c r="W189" s="159">
        <f>IF(VLOOKUP(A189,'1) Kpler'!$E$2:$P$1000,9,FALSE)="","",VLOOKUP(A189,'1) Kpler'!$E$2:$P$1000,9,FALSE))</f>
        <v>46149.5</v>
      </c>
      <c r="X189" s="114" t="str">
        <f>VLOOKUP(A189,'1) Kpler'!$E$2:$I$1000,4,FALSE)</f>
        <v>ballast</v>
      </c>
      <c r="Y189" s="272" t="str">
        <f t="shared" si="1"/>
        <v/>
      </c>
      <c r="Z189" s="272" t="str">
        <f t="shared" si="2"/>
        <v>15-16 May</v>
      </c>
      <c r="AA189" s="272" t="str">
        <f t="shared" si="3"/>
        <v>15-16 May</v>
      </c>
      <c r="AB189" s="272" t="str">
        <f t="shared" si="4"/>
        <v/>
      </c>
      <c r="AC189" s="272" t="str">
        <f t="shared" si="5"/>
        <v>04-05 Jun</v>
      </c>
      <c r="AD189" s="272" t="str">
        <f t="shared" si="6"/>
        <v/>
      </c>
      <c r="AE189" s="273" t="str">
        <f t="shared" si="7"/>
        <v/>
      </c>
      <c r="AF189" s="162" t="str">
        <f t="shared" si="8"/>
        <v/>
      </c>
      <c r="AG189" s="163" t="str">
        <f t="shared" si="27"/>
        <v/>
      </c>
      <c r="AH189" s="122" t="str">
        <f>IFERROR($M189+VLOOKUP($L189,'Voyage days'!$F$38:$H$89,3,FALSE),"")</f>
        <v/>
      </c>
      <c r="AI189" s="122" t="str">
        <f>IFERROR(N189+VLOOKUP($L189,'Voyage days'!$F$38:$H$89,3,FALSE),"")</f>
        <v/>
      </c>
      <c r="AJ189" s="163" t="str">
        <f t="shared" si="28"/>
        <v>15-16 May</v>
      </c>
      <c r="AK189" s="122">
        <f>IFERROR($M189+VLOOKUP($L189,'Voyage days'!$F$94:$H$193,3,FALSE),"")</f>
        <v>46157</v>
      </c>
      <c r="AL189" s="122">
        <f>IFERROR($N189+VLOOKUP($L189,'Voyage days'!$F$94:$H$193,3,FALSE),"")</f>
        <v>46158</v>
      </c>
      <c r="AM189" s="163" t="str">
        <f t="shared" si="29"/>
        <v>15-16 May</v>
      </c>
      <c r="AN189" s="122">
        <f>IFERROR($M189+VLOOKUP($L189,'Voyage days'!$F$203:$H$256,3,FALSE),"")</f>
        <v>46157</v>
      </c>
      <c r="AO189" s="122">
        <f>IFERROR($N189+VLOOKUP($L189,'Voyage days'!$F$203:$H$256,3,FALSE),"")</f>
        <v>46158</v>
      </c>
      <c r="AP189" s="163" t="str">
        <f t="shared" si="30"/>
        <v/>
      </c>
      <c r="AQ189" s="122" t="str">
        <f>IFERROR($M189+VLOOKUP($L189,'Voyage days'!$F$294:$H$377,3,FALSE),"")</f>
        <v/>
      </c>
      <c r="AR189" s="122" t="str">
        <f>IFERROR($N189+VLOOKUP($L189,'Voyage days'!$F$294:$H$377,3,FALSE),"")</f>
        <v/>
      </c>
      <c r="AS189" s="163" t="str">
        <f t="shared" si="31"/>
        <v>04-05 Jun</v>
      </c>
      <c r="AT189" s="122">
        <f>IFERROR($M189+VLOOKUP($L189,'Voyage days'!$F$382:$H$446,3,FALSE),"")</f>
        <v>46177</v>
      </c>
      <c r="AU189" s="122">
        <f>IFERROR($N189+VLOOKUP($L189,'Voyage days'!$F$382:$H$446,3,FALSE),"")</f>
        <v>46178</v>
      </c>
      <c r="AV189" s="163" t="str">
        <f t="shared" si="32"/>
        <v/>
      </c>
      <c r="AW189" s="122" t="str">
        <f>IFERROR($M189+VLOOKUP($L189,'Voyage days'!$F$483:$H$538,3,FALSE),"")</f>
        <v/>
      </c>
      <c r="AX189" s="122" t="str">
        <f>IFERROR($N189+VLOOKUP($L189,'Voyage days'!$F$483:$H$538,3,FALSE),"")</f>
        <v/>
      </c>
      <c r="AY189" s="163" t="str">
        <f t="shared" si="33"/>
        <v/>
      </c>
      <c r="AZ189" s="122" t="str">
        <f>IFERROR($M189+VLOOKUP($L189,'Voyage days'!$F$540:$H$613,3,FALSE),"")</f>
        <v/>
      </c>
      <c r="BA189" s="122" t="str">
        <f>IFERROR($N189+VLOOKUP($L189,'Voyage days'!$F$540:$H$613,3,FALSE),"")</f>
        <v/>
      </c>
      <c r="BB189" s="163" t="str">
        <f t="shared" si="34"/>
        <v/>
      </c>
      <c r="BC189" s="121" t="str">
        <f>IFERROR($M189+VLOOKUP($L189,'Voyage days'!$F$448:$H$479,3,FALSE),"")</f>
        <v/>
      </c>
      <c r="BD189" s="121" t="str">
        <f>IFERROR($N189+VLOOKUP($L189,'Voyage days'!$F$448:$H$479,3,FALSE),"")</f>
        <v/>
      </c>
      <c r="BE189" s="163" t="str">
        <f t="shared" si="35"/>
        <v/>
      </c>
      <c r="BF189" s="122" t="str">
        <f>IFERROR($M189+VLOOKUP($L189,'Voyage days'!$F$620:$H$646,3,FALSE),"")</f>
        <v/>
      </c>
      <c r="BG189" s="122" t="str">
        <f>IFERROR($N189+VLOOKUP($L189,'Voyage days'!$F$620:$H$646,3,FALSE),"")</f>
        <v/>
      </c>
      <c r="BH189" s="163" t="str">
        <f t="shared" si="36"/>
        <v/>
      </c>
      <c r="BI189" s="123" t="str">
        <f>IFERROR($M189+VLOOKUP($L189,'Voyage days'!$F$702:$H$727,3,FALSE),"")</f>
        <v/>
      </c>
      <c r="BJ189" s="163" t="str">
        <f t="shared" si="37"/>
        <v/>
      </c>
      <c r="BK189" s="122" t="str">
        <f>IFERROR($M189+VLOOKUP($L189,'Voyage days'!$F$807:$H$878,3,FALSE),"")</f>
        <v/>
      </c>
      <c r="BL189" s="122" t="str">
        <f>IFERROR($N189+VLOOKUP($L189,'Voyage days'!$F$807:$H$878,3,FALSE),"")</f>
        <v/>
      </c>
      <c r="BM189" s="122" t="str">
        <f>IFERROR($N189+VLOOKUP($L189,'Voyage days'!$F$807:$K$878,6,FALSE),"")</f>
        <v/>
      </c>
      <c r="BN189" s="121" t="str">
        <f>if(L189="loads AG", IFERROR($M189+VLOOKUP($L189,'Voyage days'!$M$38:$O$38,3,FALSE),""),"")</f>
        <v/>
      </c>
      <c r="BO189" s="121">
        <f>if(L189="loads USG", IFERROR($M189+VLOOKUP($L189,'Voyage days'!$L$203:$N$203,3,FALSE),""),"")</f>
        <v>46189</v>
      </c>
    </row>
    <row r="190">
      <c r="A190" s="341" t="s">
        <v>1127</v>
      </c>
      <c r="B190" s="101">
        <v>42202.0</v>
      </c>
      <c r="C190" s="102">
        <v>83000.0</v>
      </c>
      <c r="D190" s="103"/>
      <c r="E190" s="103"/>
      <c r="F190" s="104"/>
      <c r="G190" s="104"/>
      <c r="H190" s="104" t="s">
        <v>689</v>
      </c>
      <c r="I190" s="295" t="s">
        <v>1123</v>
      </c>
      <c r="J190" s="106" t="str">
        <f t="shared" si="38"/>
        <v>Update</v>
      </c>
      <c r="K190" s="107"/>
      <c r="L190" s="108" t="s">
        <v>656</v>
      </c>
      <c r="M190" s="109">
        <v>46146.0</v>
      </c>
      <c r="N190" s="276">
        <v>46150.0</v>
      </c>
      <c r="O190" s="191"/>
      <c r="P190" s="108" t="s">
        <v>1128</v>
      </c>
      <c r="Q190" s="108"/>
      <c r="R190" s="108" t="s">
        <v>1129</v>
      </c>
      <c r="S190" s="256" t="s">
        <v>659</v>
      </c>
      <c r="T190" s="293">
        <v>46124.0</v>
      </c>
      <c r="U190" s="114" t="str">
        <f>IF(V190="","No AIS",VLOOKUP(V190,'Voyage days'!$A$3:$B$1480,2,FALSE))</f>
        <v>Korea+3/+1 bunkers</v>
      </c>
      <c r="V190" s="115" t="str">
        <f>IF(VLOOKUP(A190,'1) Kpler'!$E$2:$P$1000,8, FALSE)="","",VLOOKUP(A190,'1) Kpler'!$E$2:$P$1000,8, FALSE))</f>
        <v>Yeosu</v>
      </c>
      <c r="W190" s="116">
        <f>IF(VLOOKUP(A190,'1) Kpler'!$E$2:$P$1000,9,FALSE)="","",VLOOKUP(A190,'1) Kpler'!$E$2:$P$1000,9,FALSE))</f>
        <v>46153.58333</v>
      </c>
      <c r="X190" s="115" t="str">
        <f>VLOOKUP(A190,'1) Kpler'!$E$2:$I$1000,4,FALSE)</f>
        <v>loaded</v>
      </c>
      <c r="Y190" s="296" t="str">
        <f t="shared" si="1"/>
        <v>22-26 May</v>
      </c>
      <c r="Z190" s="296" t="str">
        <f t="shared" si="2"/>
        <v>04-08 Jun</v>
      </c>
      <c r="AA190" s="296" t="str">
        <f t="shared" si="3"/>
        <v>11-15 Jun</v>
      </c>
      <c r="AB190" s="296" t="str">
        <f t="shared" si="4"/>
        <v>03-07 Jun</v>
      </c>
      <c r="AC190" s="296" t="str">
        <f t="shared" si="5"/>
        <v>09-13 Jun</v>
      </c>
      <c r="AD190" s="296" t="str">
        <f t="shared" si="6"/>
        <v>12-16 May</v>
      </c>
      <c r="AE190" s="297" t="str">
        <f t="shared" si="7"/>
        <v>12-16 May</v>
      </c>
      <c r="AF190" s="119" t="str">
        <f t="shared" si="8"/>
        <v>19-23 Jun</v>
      </c>
      <c r="AG190" s="120" t="str">
        <f t="shared" si="27"/>
        <v>22-26 May</v>
      </c>
      <c r="AH190" s="121">
        <f>IFERROR($M190+VLOOKUP($L190,'Voyage days'!$F$38:$H$89,3,FALSE),"")</f>
        <v>46164</v>
      </c>
      <c r="AI190" s="121">
        <f>IFERROR(N190+VLOOKUP($L190,'Voyage days'!$F$38:$H$89,3,FALSE),"")</f>
        <v>46168</v>
      </c>
      <c r="AJ190" s="120" t="str">
        <f t="shared" si="28"/>
        <v>04-08 Jun</v>
      </c>
      <c r="AK190" s="121">
        <f>IFERROR($M190+VLOOKUP($L190,'Voyage days'!$F$94:$H$193,3,FALSE),"")</f>
        <v>46177</v>
      </c>
      <c r="AL190" s="121">
        <f>IFERROR($N190+VLOOKUP($L190,'Voyage days'!$F$94:$H$193,3,FALSE),"")</f>
        <v>46181</v>
      </c>
      <c r="AM190" s="120" t="str">
        <f t="shared" si="29"/>
        <v>11-15 Jun</v>
      </c>
      <c r="AN190" s="121">
        <f>IFERROR($M190+VLOOKUP($L190,'Voyage days'!$F$203:$H$256,3,FALSE),"")</f>
        <v>46184</v>
      </c>
      <c r="AO190" s="121">
        <f>IFERROR($N190+VLOOKUP($L190,'Voyage days'!$F$203:$H$256,3,FALSE),"")</f>
        <v>46188</v>
      </c>
      <c r="AP190" s="120" t="str">
        <f t="shared" si="30"/>
        <v>03-07 Jun</v>
      </c>
      <c r="AQ190" s="121">
        <f>IFERROR($M190+VLOOKUP($L190,'Voyage days'!$F$294:$H$377,3,FALSE),"")</f>
        <v>46176</v>
      </c>
      <c r="AR190" s="121">
        <f>IFERROR($N190+VLOOKUP($L190,'Voyage days'!$F$294:$H$377,3,FALSE),"")</f>
        <v>46180</v>
      </c>
      <c r="AS190" s="120" t="str">
        <f t="shared" si="31"/>
        <v>09-13 Jun</v>
      </c>
      <c r="AT190" s="121">
        <f>IFERROR($M190+VLOOKUP($L190,'Voyage days'!$F$382:$H$446,3,FALSE),"")</f>
        <v>46182</v>
      </c>
      <c r="AU190" s="121">
        <f>IFERROR($N190+VLOOKUP($L190,'Voyage days'!$F$382:$H$446,3,FALSE),"")</f>
        <v>46186</v>
      </c>
      <c r="AV190" s="120" t="str">
        <f t="shared" si="32"/>
        <v>17-21 May</v>
      </c>
      <c r="AW190" s="121">
        <f>IFERROR($M190+VLOOKUP($L190,'Voyage days'!$F$483:$H$538,3,FALSE),"")</f>
        <v>46159</v>
      </c>
      <c r="AX190" s="121">
        <f>IFERROR($N190+VLOOKUP($L190,'Voyage days'!$F$483:$H$538,3,FALSE),"")</f>
        <v>46163</v>
      </c>
      <c r="AY190" s="120" t="str">
        <f t="shared" si="33"/>
        <v>12-16 May</v>
      </c>
      <c r="AZ190" s="121">
        <f>IFERROR($M190+VLOOKUP($L190,'Voyage days'!$F$540:$H$613,3,FALSE),"")</f>
        <v>46154.25</v>
      </c>
      <c r="BA190" s="121">
        <f>IFERROR($N190+VLOOKUP($L190,'Voyage days'!$F$540:$H$613,3,FALSE),"")</f>
        <v>46158.25</v>
      </c>
      <c r="BB190" s="120" t="str">
        <f t="shared" si="34"/>
        <v>12-16 May</v>
      </c>
      <c r="BC190" s="121">
        <f>IFERROR($M190+VLOOKUP($L190,'Voyage days'!$F$448:$H$479,3,FALSE),"")</f>
        <v>46154</v>
      </c>
      <c r="BD190" s="121">
        <f>IFERROR($N190+VLOOKUP($L190,'Voyage days'!$F$448:$H$479,3,FALSE),"")</f>
        <v>46158</v>
      </c>
      <c r="BE190" s="120" t="str">
        <f t="shared" si="35"/>
        <v>15-19 May</v>
      </c>
      <c r="BF190" s="122">
        <f>IFERROR($M190+VLOOKUP($L190,'Voyage days'!$F$620:$H$646,3,FALSE),"")</f>
        <v>46157</v>
      </c>
      <c r="BG190" s="122">
        <f>IFERROR($N190+VLOOKUP($L190,'Voyage days'!$F$620:$H$646,3,FALSE),"")</f>
        <v>46161</v>
      </c>
      <c r="BH190" s="120" t="str">
        <f t="shared" si="36"/>
        <v>12-23 Jun</v>
      </c>
      <c r="BI190" s="123">
        <f>IFERROR($M190+VLOOKUP($L190,'Voyage days'!$F$702:$H$727,3,FALSE),"")</f>
        <v>46154.25</v>
      </c>
      <c r="BJ190" s="120" t="str">
        <f t="shared" si="37"/>
        <v>19-23 Jun</v>
      </c>
      <c r="BK190" s="122">
        <f>IFERROR($M190+VLOOKUP($L190,'Voyage days'!$F$807:$H$878,3,FALSE),"")</f>
        <v>46192</v>
      </c>
      <c r="BL190" s="122">
        <f>IFERROR($N190+VLOOKUP($L190,'Voyage days'!$F$807:$H$878,3,FALSE),"")</f>
        <v>46196</v>
      </c>
      <c r="BM190" s="122">
        <f>IFERROR($N190+VLOOKUP($L190,'Voyage days'!$F$807:$K$878,6,FALSE),"")</f>
        <v>46170</v>
      </c>
      <c r="BN190" s="121" t="str">
        <f>if(L190="loads AG", IFERROR($M190+VLOOKUP($L190,'Voyage days'!$M$38:$O$38,3,FALSE),""),"")</f>
        <v/>
      </c>
      <c r="BO190" s="121" t="str">
        <f>if(L190="loads USG", IFERROR($M190+VLOOKUP($L190,'Voyage days'!$L$203:$N$203,3,FALSE),""),"")</f>
        <v/>
      </c>
    </row>
    <row r="191">
      <c r="A191" s="80" t="s">
        <v>189</v>
      </c>
      <c r="B191" s="101">
        <v>42248.0</v>
      </c>
      <c r="C191" s="102">
        <v>84000.0</v>
      </c>
      <c r="D191" s="112" t="s">
        <v>603</v>
      </c>
      <c r="E191" s="103"/>
      <c r="F191" s="104"/>
      <c r="G191" s="104"/>
      <c r="H191" s="104"/>
      <c r="I191" s="401" t="s">
        <v>1123</v>
      </c>
      <c r="J191" s="106" t="str">
        <f t="shared" si="38"/>
        <v/>
      </c>
      <c r="K191" s="107"/>
      <c r="L191" s="108" t="s">
        <v>668</v>
      </c>
      <c r="M191" s="109">
        <v>46145.0</v>
      </c>
      <c r="N191" s="109">
        <v>46147.0</v>
      </c>
      <c r="O191" s="186"/>
      <c r="P191" s="192" t="s">
        <v>1130</v>
      </c>
      <c r="Q191" s="585"/>
      <c r="R191" s="108" t="s">
        <v>1131</v>
      </c>
      <c r="S191" s="256" t="s">
        <v>659</v>
      </c>
      <c r="T191" s="293">
        <v>46124.0</v>
      </c>
      <c r="U191" s="114" t="str">
        <f>IF(V191="","No AIS",VLOOKUP(V191,'Voyage days'!$A$3:$B$1480,2,FALSE))</f>
        <v>Japan + 6</v>
      </c>
      <c r="V191" s="115" t="str">
        <f>IF(VLOOKUP(A191,'1) Kpler'!$E$2:$P$1000,8, FALSE)="","",VLOOKUP(A191,'1) Kpler'!$E$2:$P$1000,8, FALSE))</f>
        <v>Chiba</v>
      </c>
      <c r="W191" s="116">
        <f>IF(VLOOKUP(A191,'1) Kpler'!$E$2:$P$1000,9,FALSE)="","",VLOOKUP(A191,'1) Kpler'!$E$2:$P$1000,9,FALSE))</f>
        <v>46139.45833</v>
      </c>
      <c r="X191" s="115" t="str">
        <f>VLOOKUP(A191,'1) Kpler'!$E$2:$I$1000,4,FALSE)</f>
        <v>loaded</v>
      </c>
      <c r="Y191" s="117" t="str">
        <f t="shared" si="1"/>
        <v>21-23 May</v>
      </c>
      <c r="Z191" s="117" t="str">
        <f t="shared" si="2"/>
        <v>04-06 Jun</v>
      </c>
      <c r="AA191" s="117" t="str">
        <f t="shared" si="3"/>
        <v>14-16 Jun</v>
      </c>
      <c r="AB191" s="117" t="str">
        <f t="shared" si="4"/>
        <v>02-04 Jun</v>
      </c>
      <c r="AC191" s="117" t="str">
        <f t="shared" si="5"/>
        <v>08-10 Jun</v>
      </c>
      <c r="AD191" s="117" t="str">
        <f t="shared" si="6"/>
        <v>11-13 May</v>
      </c>
      <c r="AE191" s="118" t="str">
        <f t="shared" si="7"/>
        <v>11-13 May</v>
      </c>
      <c r="AF191" s="119" t="str">
        <f t="shared" si="8"/>
        <v>18-20 Jun</v>
      </c>
      <c r="AG191" s="120" t="str">
        <f t="shared" si="27"/>
        <v>21-23 May</v>
      </c>
      <c r="AH191" s="121">
        <f>IFERROR($M191+VLOOKUP($L191,'Voyage days'!$F$38:$H$89,3,FALSE),"")</f>
        <v>46163</v>
      </c>
      <c r="AI191" s="121">
        <f>IFERROR(N191+VLOOKUP($L191,'Voyage days'!$F$38:$H$89,3,FALSE),"")</f>
        <v>46165</v>
      </c>
      <c r="AJ191" s="120" t="str">
        <f t="shared" si="28"/>
        <v>04-06 Jun</v>
      </c>
      <c r="AK191" s="121">
        <f>IFERROR($M191+VLOOKUP($L191,'Voyage days'!$F$94:$H$193,3,FALSE),"")</f>
        <v>46177</v>
      </c>
      <c r="AL191" s="121">
        <f>IFERROR($N191+VLOOKUP($L191,'Voyage days'!$F$94:$H$193,3,FALSE),"")</f>
        <v>46179</v>
      </c>
      <c r="AM191" s="120" t="str">
        <f t="shared" si="29"/>
        <v>14-16 Jun</v>
      </c>
      <c r="AN191" s="121">
        <f>IFERROR($M191+VLOOKUP($L191,'Voyage days'!$F$203:$H$256,3,FALSE),"")</f>
        <v>46187</v>
      </c>
      <c r="AO191" s="121">
        <f>IFERROR($N191+VLOOKUP($L191,'Voyage days'!$F$203:$H$256,3,FALSE),"")</f>
        <v>46189</v>
      </c>
      <c r="AP191" s="120" t="str">
        <f t="shared" si="30"/>
        <v>02-04 Jun</v>
      </c>
      <c r="AQ191" s="121">
        <f>IFERROR($M191+VLOOKUP($L191,'Voyage days'!$F$294:$H$377,3,FALSE),"")</f>
        <v>46175</v>
      </c>
      <c r="AR191" s="121">
        <f>IFERROR($N191+VLOOKUP($L191,'Voyage days'!$F$294:$H$377,3,FALSE),"")</f>
        <v>46177</v>
      </c>
      <c r="AS191" s="120" t="str">
        <f t="shared" si="31"/>
        <v>08-10 Jun</v>
      </c>
      <c r="AT191" s="121">
        <f>IFERROR($M191+VLOOKUP($L191,'Voyage days'!$F$382:$H$446,3,FALSE),"")</f>
        <v>46181</v>
      </c>
      <c r="AU191" s="121">
        <f>IFERROR($N191+VLOOKUP($L191,'Voyage days'!$F$382:$H$446,3,FALSE),"")</f>
        <v>46183</v>
      </c>
      <c r="AV191" s="120" t="str">
        <f t="shared" si="32"/>
        <v>16-18 May</v>
      </c>
      <c r="AW191" s="121">
        <f>IFERROR($M191+VLOOKUP($L191,'Voyage days'!$F$483:$H$538,3,FALSE),"")</f>
        <v>46158</v>
      </c>
      <c r="AX191" s="121">
        <f>IFERROR($N191+VLOOKUP($L191,'Voyage days'!$F$483:$H$538,3,FALSE),"")</f>
        <v>46160</v>
      </c>
      <c r="AY191" s="120" t="str">
        <f t="shared" si="33"/>
        <v>11-13 May</v>
      </c>
      <c r="AZ191" s="121">
        <f>IFERROR($M191+VLOOKUP($L191,'Voyage days'!$F$540:$H$613,3,FALSE),"")</f>
        <v>46153.25</v>
      </c>
      <c r="BA191" s="121">
        <f>IFERROR($N191+VLOOKUP($L191,'Voyage days'!$F$540:$H$613,3,FALSE),"")</f>
        <v>46155.25</v>
      </c>
      <c r="BB191" s="120" t="str">
        <f t="shared" si="34"/>
        <v>11-13 May</v>
      </c>
      <c r="BC191" s="121">
        <f>IFERROR($M191+VLOOKUP($L191,'Voyage days'!$F$448:$H$479,3,FALSE),"")</f>
        <v>46153</v>
      </c>
      <c r="BD191" s="121">
        <f>IFERROR($N191+VLOOKUP($L191,'Voyage days'!$F$448:$H$479,3,FALSE),"")</f>
        <v>46155</v>
      </c>
      <c r="BE191" s="120" t="str">
        <f t="shared" si="35"/>
        <v>14-16 May</v>
      </c>
      <c r="BF191" s="122">
        <f>IFERROR($M191+VLOOKUP($L191,'Voyage days'!$F$620:$H$646,3,FALSE),"")</f>
        <v>46156</v>
      </c>
      <c r="BG191" s="122">
        <f>IFERROR($N191+VLOOKUP($L191,'Voyage days'!$F$620:$H$646,3,FALSE),"")</f>
        <v>46158</v>
      </c>
      <c r="BH191" s="120" t="str">
        <f t="shared" si="36"/>
        <v>11-20 Jun</v>
      </c>
      <c r="BI191" s="123">
        <f>IFERROR($M191+VLOOKUP($L191,'Voyage days'!$F$702:$H$727,3,FALSE),"")</f>
        <v>46153.25</v>
      </c>
      <c r="BJ191" s="120" t="str">
        <f t="shared" si="37"/>
        <v>18-20 Jun</v>
      </c>
      <c r="BK191" s="122">
        <f>IFERROR($M191+VLOOKUP($L191,'Voyage days'!$F$807:$H$878,3,FALSE),"")</f>
        <v>46191</v>
      </c>
      <c r="BL191" s="122">
        <f>IFERROR($N191+VLOOKUP($L191,'Voyage days'!$F$807:$H$878,3,FALSE),"")</f>
        <v>46193</v>
      </c>
      <c r="BM191" s="122">
        <f>IFERROR($N191+VLOOKUP($L191,'Voyage days'!$F$807:$K$878,6,FALSE),"")</f>
        <v>46167</v>
      </c>
      <c r="BN191" s="121" t="str">
        <f>if(L191="loads AG", IFERROR($M191+VLOOKUP($L191,'Voyage days'!$M$38:$O$38,3,FALSE),""),"")</f>
        <v/>
      </c>
      <c r="BO191" s="121" t="str">
        <f>if(L191="loads USG", IFERROR($M191+VLOOKUP($L191,'Voyage days'!$L$203:$N$203,3,FALSE),""),"")</f>
        <v/>
      </c>
    </row>
    <row r="192" ht="15.75" customHeight="1">
      <c r="A192" s="473" t="s">
        <v>292</v>
      </c>
      <c r="B192" s="222">
        <v>43084.0</v>
      </c>
      <c r="C192" s="281">
        <v>84000.0</v>
      </c>
      <c r="D192" s="175"/>
      <c r="E192" s="175" t="s">
        <v>706</v>
      </c>
      <c r="F192" s="168"/>
      <c r="G192" s="168"/>
      <c r="H192" s="168" t="s">
        <v>666</v>
      </c>
      <c r="I192" s="529" t="s">
        <v>1123</v>
      </c>
      <c r="J192" s="170" t="str">
        <f t="shared" si="38"/>
        <v/>
      </c>
      <c r="K192" s="171"/>
      <c r="L192" s="172" t="s">
        <v>680</v>
      </c>
      <c r="M192" s="254">
        <v>46164.0</v>
      </c>
      <c r="N192" s="254">
        <v>46165.0</v>
      </c>
      <c r="O192" s="226"/>
      <c r="P192" s="377" t="s">
        <v>1132</v>
      </c>
      <c r="Q192" s="377"/>
      <c r="R192" s="172" t="s">
        <v>1133</v>
      </c>
      <c r="S192" s="358" t="s">
        <v>659</v>
      </c>
      <c r="T192" s="369">
        <v>46124.0</v>
      </c>
      <c r="U192" s="177" t="str">
        <f>IF(V192="","No AIS",VLOOKUP(V192,'Voyage days'!$A$3:$B$1480,2,FALSE))</f>
        <v>USG</v>
      </c>
      <c r="V192" s="178" t="str">
        <f>IF(VLOOKUP(A192,'1) Kpler'!$E$2:$P$1000,8, FALSE)="","",VLOOKUP(A192,'1) Kpler'!$E$2:$P$1000,8, FALSE))</f>
        <v>Houston</v>
      </c>
      <c r="W192" s="179">
        <f>IF(VLOOKUP(A192,'1) Kpler'!$E$2:$P$1000,9,FALSE)="","",VLOOKUP(A192,'1) Kpler'!$E$2:$P$1000,9,FALSE))</f>
        <v>46162.58333</v>
      </c>
      <c r="X192" s="178" t="str">
        <f>VLOOKUP(A192,'1) Kpler'!$E$2:$I$1000,4,FALSE)</f>
        <v>ballast</v>
      </c>
      <c r="Y192" s="120" t="str">
        <f t="shared" si="1"/>
        <v/>
      </c>
      <c r="Z192" s="120" t="str">
        <f t="shared" si="2"/>
        <v>22-23 May</v>
      </c>
      <c r="AA192" s="120" t="str">
        <f t="shared" si="3"/>
        <v>22-23 May</v>
      </c>
      <c r="AB192" s="120" t="str">
        <f t="shared" si="4"/>
        <v/>
      </c>
      <c r="AC192" s="120" t="str">
        <f t="shared" si="5"/>
        <v>11-12 Jun</v>
      </c>
      <c r="AD192" s="120" t="str">
        <f t="shared" si="6"/>
        <v/>
      </c>
      <c r="AE192" s="228" t="str">
        <f t="shared" si="7"/>
        <v/>
      </c>
      <c r="AF192" s="229" t="str">
        <f t="shared" si="8"/>
        <v/>
      </c>
      <c r="AG192" s="120" t="str">
        <f t="shared" si="27"/>
        <v/>
      </c>
      <c r="AH192" s="121" t="str">
        <f>IFERROR($M192+VLOOKUP($L192,'Voyage days'!$F$38:$H$89,3,FALSE),"")</f>
        <v/>
      </c>
      <c r="AI192" s="121" t="str">
        <f>IFERROR(N192+VLOOKUP($L192,'Voyage days'!$F$38:$H$89,3,FALSE),"")</f>
        <v/>
      </c>
      <c r="AJ192" s="120" t="str">
        <f t="shared" si="28"/>
        <v>22-23 May</v>
      </c>
      <c r="AK192" s="121">
        <f>IFERROR($M192+VLOOKUP($L192,'Voyage days'!$F$94:$H$193,3,FALSE),"")</f>
        <v>46164</v>
      </c>
      <c r="AL192" s="121">
        <f>IFERROR($N192+VLOOKUP($L192,'Voyage days'!$F$94:$H$193,3,FALSE),"")</f>
        <v>46165</v>
      </c>
      <c r="AM192" s="120" t="str">
        <f t="shared" si="29"/>
        <v>22-23 May</v>
      </c>
      <c r="AN192" s="121">
        <f>IFERROR($M192+VLOOKUP($L192,'Voyage days'!$F$203:$H$256,3,FALSE),"")</f>
        <v>46164</v>
      </c>
      <c r="AO192" s="121">
        <f>IFERROR($N192+VLOOKUP($L192,'Voyage days'!$F$203:$H$256,3,FALSE),"")</f>
        <v>46165</v>
      </c>
      <c r="AP192" s="120" t="str">
        <f t="shared" si="30"/>
        <v/>
      </c>
      <c r="AQ192" s="121" t="str">
        <f>IFERROR($M192+VLOOKUP($L192,'Voyage days'!$F$294:$H$377,3,FALSE),"")</f>
        <v/>
      </c>
      <c r="AR192" s="121" t="str">
        <f>IFERROR($N192+VLOOKUP($L192,'Voyage days'!$F$294:$H$377,3,FALSE),"")</f>
        <v/>
      </c>
      <c r="AS192" s="120" t="str">
        <f t="shared" si="31"/>
        <v>11-12 Jun</v>
      </c>
      <c r="AT192" s="121">
        <f>IFERROR($M192+VLOOKUP($L192,'Voyage days'!$F$382:$H$446,3,FALSE),"")</f>
        <v>46184</v>
      </c>
      <c r="AU192" s="121">
        <f>IFERROR($N192+VLOOKUP($L192,'Voyage days'!$F$382:$H$446,3,FALSE),"")</f>
        <v>46185</v>
      </c>
      <c r="AV192" s="120" t="str">
        <f t="shared" si="32"/>
        <v/>
      </c>
      <c r="AW192" s="121" t="str">
        <f>IFERROR($M192+VLOOKUP($L192,'Voyage days'!$F$483:$H$538,3,FALSE),"")</f>
        <v/>
      </c>
      <c r="AX192" s="121" t="str">
        <f>IFERROR($N192+VLOOKUP($L192,'Voyage days'!$F$483:$H$538,3,FALSE),"")</f>
        <v/>
      </c>
      <c r="AY192" s="120" t="str">
        <f t="shared" si="33"/>
        <v/>
      </c>
      <c r="AZ192" s="121" t="str">
        <f>IFERROR($M192+VLOOKUP($L192,'Voyage days'!$F$540:$H$613,3,FALSE),"")</f>
        <v/>
      </c>
      <c r="BA192" s="121" t="str">
        <f>IFERROR($N192+VLOOKUP($L192,'Voyage days'!$F$540:$H$613,3,FALSE),"")</f>
        <v/>
      </c>
      <c r="BB192" s="120" t="str">
        <f t="shared" si="34"/>
        <v/>
      </c>
      <c r="BC192" s="121" t="str">
        <f>IFERROR($M192+VLOOKUP($L192,'Voyage days'!$F$448:$H$479,3,FALSE),"")</f>
        <v/>
      </c>
      <c r="BD192" s="121" t="str">
        <f>IFERROR($N192+VLOOKUP($L192,'Voyage days'!$F$448:$H$479,3,FALSE),"")</f>
        <v/>
      </c>
      <c r="BE192" s="120" t="str">
        <f t="shared" si="35"/>
        <v/>
      </c>
      <c r="BF192" s="122" t="str">
        <f>IFERROR($M192+VLOOKUP($L192,'Voyage days'!$F$620:$H$646,3,FALSE),"")</f>
        <v/>
      </c>
      <c r="BG192" s="122" t="str">
        <f>IFERROR($N192+VLOOKUP($L192,'Voyage days'!$F$620:$H$646,3,FALSE),"")</f>
        <v/>
      </c>
      <c r="BH192" s="120" t="str">
        <f t="shared" si="36"/>
        <v/>
      </c>
      <c r="BI192" s="123" t="str">
        <f>IFERROR($M192+VLOOKUP($L192,'Voyage days'!$F$702:$H$727,3,FALSE),"")</f>
        <v/>
      </c>
      <c r="BJ192" s="120" t="str">
        <f t="shared" si="37"/>
        <v/>
      </c>
      <c r="BK192" s="122" t="str">
        <f>IFERROR($M192+VLOOKUP($L192,'Voyage days'!$F$807:$H$878,3,FALSE),"")</f>
        <v/>
      </c>
      <c r="BL192" s="122" t="str">
        <f>IFERROR($N192+VLOOKUP($L192,'Voyage days'!$F$807:$H$878,3,FALSE),"")</f>
        <v/>
      </c>
      <c r="BM192" s="122" t="str">
        <f>IFERROR($N192+VLOOKUP($L192,'Voyage days'!$F$807:$K$878,6,FALSE),"")</f>
        <v/>
      </c>
      <c r="BN192" s="121" t="str">
        <f>if(L192="loads AG", IFERROR($M192+VLOOKUP($L192,'Voyage days'!$M$38:$O$38,3,FALSE),""),"")</f>
        <v/>
      </c>
      <c r="BO192" s="121">
        <f>if(L192="loads USG", IFERROR($M192+VLOOKUP($L192,'Voyage days'!$L$203:$N$203,3,FALSE),""),"")</f>
        <v>46196</v>
      </c>
    </row>
    <row r="193" ht="15.75" customHeight="1">
      <c r="A193" s="342" t="s">
        <v>475</v>
      </c>
      <c r="B193" s="101">
        <v>42583.0</v>
      </c>
      <c r="C193" s="102">
        <v>84000.0</v>
      </c>
      <c r="D193" s="149"/>
      <c r="E193" s="149" t="s">
        <v>706</v>
      </c>
      <c r="F193" s="150"/>
      <c r="G193" s="150"/>
      <c r="H193" s="150"/>
      <c r="I193" s="315" t="s">
        <v>1134</v>
      </c>
      <c r="J193" s="151" t="str">
        <f t="shared" si="38"/>
        <v/>
      </c>
      <c r="K193" s="152"/>
      <c r="L193" s="322" t="s">
        <v>720</v>
      </c>
      <c r="M193" s="238">
        <v>46149.0</v>
      </c>
      <c r="N193" s="238">
        <v>46150.0</v>
      </c>
      <c r="O193" s="586"/>
      <c r="P193" s="153" t="s">
        <v>1135</v>
      </c>
      <c r="Q193" s="153"/>
      <c r="R193" s="153" t="s">
        <v>1136</v>
      </c>
      <c r="S193" s="256" t="s">
        <v>659</v>
      </c>
      <c r="T193" s="293">
        <v>46124.0</v>
      </c>
      <c r="U193" s="114" t="str">
        <f>IF(V193="","No AIS",VLOOKUP(V193,'Voyage days'!$A$3:$B$1480,2,FALSE))</f>
        <v>Korea + 4</v>
      </c>
      <c r="V193" s="114" t="str">
        <f>IF(VLOOKUP(A193,'1) Kpler'!$E$2:$P$1000,8, FALSE)="","",VLOOKUP(A193,'1) Kpler'!$E$2:$P$1000,8, FALSE))</f>
        <v>Ulsan</v>
      </c>
      <c r="W193" s="159">
        <f>IF(VLOOKUP(A193,'1) Kpler'!$E$2:$P$1000,9,FALSE)="","",VLOOKUP(A193,'1) Kpler'!$E$2:$P$1000,9,FALSE))</f>
        <v>46145.5</v>
      </c>
      <c r="X193" s="114" t="str">
        <f>VLOOKUP(A193,'1) Kpler'!$E$2:$I$1000,4,FALSE)</f>
        <v>loaded</v>
      </c>
      <c r="Y193" s="272" t="str">
        <f t="shared" si="1"/>
        <v>25-26 May</v>
      </c>
      <c r="Z193" s="272" t="str">
        <f t="shared" si="2"/>
        <v>10-11 Jun</v>
      </c>
      <c r="AA193" s="272" t="str">
        <f t="shared" si="3"/>
        <v>17-18 Jun</v>
      </c>
      <c r="AB193" s="272" t="str">
        <f t="shared" si="4"/>
        <v>05-06 Jun</v>
      </c>
      <c r="AC193" s="272" t="str">
        <f t="shared" si="5"/>
        <v>11-12 Jun</v>
      </c>
      <c r="AD193" s="272" t="str">
        <f t="shared" si="6"/>
        <v>14-15 May</v>
      </c>
      <c r="AE193" s="273" t="str">
        <f t="shared" si="7"/>
        <v>15-16 May</v>
      </c>
      <c r="AF193" s="162" t="str">
        <f t="shared" si="8"/>
        <v>21-22 Jun</v>
      </c>
      <c r="AG193" s="163" t="str">
        <f t="shared" si="27"/>
        <v>25-26 May</v>
      </c>
      <c r="AH193" s="122">
        <f>IFERROR($M193+VLOOKUP($L193,'Voyage days'!$F$38:$H$89,3,FALSE),"")</f>
        <v>46167</v>
      </c>
      <c r="AI193" s="122">
        <f>IFERROR(N193+VLOOKUP($L193,'Voyage days'!$F$38:$H$89,3,FALSE),"")</f>
        <v>46168</v>
      </c>
      <c r="AJ193" s="163" t="str">
        <f t="shared" si="28"/>
        <v>10-11 Jun</v>
      </c>
      <c r="AK193" s="122">
        <f>IFERROR($M193+VLOOKUP($L193,'Voyage days'!$F$94:$H$193,3,FALSE),"")</f>
        <v>46183</v>
      </c>
      <c r="AL193" s="122">
        <f>IFERROR($N193+VLOOKUP($L193,'Voyage days'!$F$94:$H$193,3,FALSE),"")</f>
        <v>46184</v>
      </c>
      <c r="AM193" s="163" t="str">
        <f t="shared" si="29"/>
        <v>17-18 Jun</v>
      </c>
      <c r="AN193" s="122">
        <f>IFERROR($M193+VLOOKUP($L193,'Voyage days'!$F$203:$H$256,3,FALSE),"")</f>
        <v>46190</v>
      </c>
      <c r="AO193" s="122">
        <f>IFERROR($N193+VLOOKUP($L193,'Voyage days'!$F$203:$H$256,3,FALSE),"")</f>
        <v>46191</v>
      </c>
      <c r="AP193" s="163" t="str">
        <f t="shared" si="30"/>
        <v>05-06 Jun</v>
      </c>
      <c r="AQ193" s="122">
        <f>IFERROR($M193+VLOOKUP($L193,'Voyage days'!$F$294:$H$377,3,FALSE),"")</f>
        <v>46178</v>
      </c>
      <c r="AR193" s="122">
        <f>IFERROR($N193+VLOOKUP($L193,'Voyage days'!$F$294:$H$377,3,FALSE),"")</f>
        <v>46179</v>
      </c>
      <c r="AS193" s="163" t="str">
        <f t="shared" si="31"/>
        <v>11-12 Jun</v>
      </c>
      <c r="AT193" s="122">
        <f>IFERROR($M193+VLOOKUP($L193,'Voyage days'!$F$382:$H$446,3,FALSE),"")</f>
        <v>46184</v>
      </c>
      <c r="AU193" s="122">
        <f>IFERROR($N193+VLOOKUP($L193,'Voyage days'!$F$382:$H$446,3,FALSE),"")</f>
        <v>46185</v>
      </c>
      <c r="AV193" s="163" t="str">
        <f t="shared" si="32"/>
        <v>21-22 May</v>
      </c>
      <c r="AW193" s="122">
        <f>IFERROR($M193+VLOOKUP($L193,'Voyage days'!$F$483:$H$538,3,FALSE),"")</f>
        <v>46163</v>
      </c>
      <c r="AX193" s="122">
        <f>IFERROR($N193+VLOOKUP($L193,'Voyage days'!$F$483:$H$538,3,FALSE),"")</f>
        <v>46164</v>
      </c>
      <c r="AY193" s="163" t="str">
        <f t="shared" si="33"/>
        <v>15-16 May</v>
      </c>
      <c r="AZ193" s="122">
        <f>IFERROR($M193+VLOOKUP($L193,'Voyage days'!$F$540:$H$613,3,FALSE),"")</f>
        <v>46157</v>
      </c>
      <c r="BA193" s="122">
        <f>IFERROR($N193+VLOOKUP($L193,'Voyage days'!$F$540:$H$613,3,FALSE),"")</f>
        <v>46158</v>
      </c>
      <c r="BB193" s="163" t="str">
        <f t="shared" si="34"/>
        <v>14-15 May</v>
      </c>
      <c r="BC193" s="121">
        <f>IFERROR($M193+VLOOKUP($L193,'Voyage days'!$F$448:$H$479,3,FALSE),"")</f>
        <v>46156</v>
      </c>
      <c r="BD193" s="121">
        <f>IFERROR($N193+VLOOKUP($L193,'Voyage days'!$F$448:$H$479,3,FALSE),"")</f>
        <v>46157</v>
      </c>
      <c r="BE193" s="163" t="str">
        <f t="shared" si="35"/>
        <v>18-19 May</v>
      </c>
      <c r="BF193" s="122">
        <f>IFERROR($M193+VLOOKUP($L193,'Voyage days'!$F$620:$H$646,3,FALSE),"")</f>
        <v>46160</v>
      </c>
      <c r="BG193" s="122">
        <f>IFERROR($N193+VLOOKUP($L193,'Voyage days'!$F$620:$H$646,3,FALSE),"")</f>
        <v>46161</v>
      </c>
      <c r="BH193" s="163" t="str">
        <f t="shared" si="36"/>
        <v>15-22 Jun</v>
      </c>
      <c r="BI193" s="123">
        <f>IFERROR($M193+VLOOKUP($L193,'Voyage days'!$F$702:$H$727,3,FALSE),"")</f>
        <v>46157</v>
      </c>
      <c r="BJ193" s="163" t="str">
        <f t="shared" si="37"/>
        <v>21-22 Jun</v>
      </c>
      <c r="BK193" s="122">
        <f>IFERROR($M193+VLOOKUP($L193,'Voyage days'!$F$807:$H$878,3,FALSE),"")</f>
        <v>46194</v>
      </c>
      <c r="BL193" s="122">
        <f>IFERROR($N193+VLOOKUP($L193,'Voyage days'!$F$807:$H$878,3,FALSE),"")</f>
        <v>46195</v>
      </c>
      <c r="BM193" s="122">
        <f>IFERROR($N193+VLOOKUP($L193,'Voyage days'!$F$807:$K$878,6,FALSE),"")</f>
        <v>46169</v>
      </c>
      <c r="BN193" s="121" t="str">
        <f>if(L193="loads AG", IFERROR($M193+VLOOKUP($L193,'Voyage days'!$M$38:$O$38,3,FALSE),""),"")</f>
        <v/>
      </c>
      <c r="BO193" s="121" t="str">
        <f>if(L193="loads USG", IFERROR($M193+VLOOKUP($L193,'Voyage days'!$L$203:$N$203,3,FALSE),""),"")</f>
        <v/>
      </c>
    </row>
    <row r="194">
      <c r="A194" s="341" t="s">
        <v>477</v>
      </c>
      <c r="B194" s="101">
        <v>42887.0</v>
      </c>
      <c r="C194" s="102">
        <v>84000.0</v>
      </c>
      <c r="D194" s="103"/>
      <c r="E194" s="103" t="s">
        <v>706</v>
      </c>
      <c r="F194" s="104"/>
      <c r="G194" s="104"/>
      <c r="H194" s="104"/>
      <c r="I194" s="295" t="s">
        <v>1134</v>
      </c>
      <c r="J194" s="106" t="str">
        <f t="shared" si="38"/>
        <v/>
      </c>
      <c r="K194" s="107"/>
      <c r="L194" s="108" t="s">
        <v>680</v>
      </c>
      <c r="M194" s="109">
        <v>46169.0</v>
      </c>
      <c r="N194" s="276">
        <v>46170.0</v>
      </c>
      <c r="O194" s="191"/>
      <c r="P194" s="108" t="s">
        <v>1137</v>
      </c>
      <c r="Q194" s="108" t="s">
        <v>1138</v>
      </c>
      <c r="R194" s="108" t="s">
        <v>1139</v>
      </c>
      <c r="S194" s="112" t="s">
        <v>659</v>
      </c>
      <c r="T194" s="113">
        <v>46124.0</v>
      </c>
      <c r="U194" s="114" t="str">
        <f>IF(V194="","No AIS",VLOOKUP(V194,'Voyage days'!$A$3:$B$1480,2,FALSE))</f>
        <v>USG</v>
      </c>
      <c r="V194" s="115" t="str">
        <f>IF(VLOOKUP(A194,'1) Kpler'!$E$2:$P$1000,8, FALSE)="","",VLOOKUP(A194,'1) Kpler'!$E$2:$P$1000,8, FALSE))</f>
        <v>PADD 3</v>
      </c>
      <c r="W194" s="116">
        <f>IF(VLOOKUP(A194,'1) Kpler'!$E$2:$P$1000,9,FALSE)="","",VLOOKUP(A194,'1) Kpler'!$E$2:$P$1000,9,FALSE))</f>
        <v>46169</v>
      </c>
      <c r="X194" s="115" t="str">
        <f>VLOOKUP(A194,'1) Kpler'!$E$2:$I$1000,4,FALSE)</f>
        <v>ballast</v>
      </c>
      <c r="Y194" s="296" t="str">
        <f t="shared" si="1"/>
        <v/>
      </c>
      <c r="Z194" s="296" t="str">
        <f t="shared" si="2"/>
        <v>27-28 May</v>
      </c>
      <c r="AA194" s="296" t="str">
        <f t="shared" si="3"/>
        <v>27-28 May</v>
      </c>
      <c r="AB194" s="296" t="str">
        <f t="shared" si="4"/>
        <v/>
      </c>
      <c r="AC194" s="296" t="str">
        <f t="shared" si="5"/>
        <v>16-17 Jun</v>
      </c>
      <c r="AD194" s="296" t="str">
        <f t="shared" si="6"/>
        <v/>
      </c>
      <c r="AE194" s="297" t="str">
        <f t="shared" si="7"/>
        <v/>
      </c>
      <c r="AF194" s="119" t="str">
        <f t="shared" si="8"/>
        <v/>
      </c>
      <c r="AG194" s="120" t="str">
        <f t="shared" si="27"/>
        <v/>
      </c>
      <c r="AH194" s="121" t="str">
        <f>IFERROR($M194+VLOOKUP($L194,'Voyage days'!$F$38:$H$89,3,FALSE),"")</f>
        <v/>
      </c>
      <c r="AI194" s="121" t="str">
        <f>IFERROR(N194+VLOOKUP($L194,'Voyage days'!$F$38:$H$89,3,FALSE),"")</f>
        <v/>
      </c>
      <c r="AJ194" s="120" t="str">
        <f t="shared" si="28"/>
        <v>27-28 May</v>
      </c>
      <c r="AK194" s="121">
        <f>IFERROR($M194+VLOOKUP($L194,'Voyage days'!$F$94:$H$193,3,FALSE),"")</f>
        <v>46169</v>
      </c>
      <c r="AL194" s="121">
        <f>IFERROR($N194+VLOOKUP($L194,'Voyage days'!$F$94:$H$193,3,FALSE),"")</f>
        <v>46170</v>
      </c>
      <c r="AM194" s="120" t="str">
        <f t="shared" si="29"/>
        <v>27-28 May</v>
      </c>
      <c r="AN194" s="121">
        <f>IFERROR($M194+VLOOKUP($L194,'Voyage days'!$F$203:$H$256,3,FALSE),"")</f>
        <v>46169</v>
      </c>
      <c r="AO194" s="121">
        <f>IFERROR($N194+VLOOKUP($L194,'Voyage days'!$F$203:$H$256,3,FALSE),"")</f>
        <v>46170</v>
      </c>
      <c r="AP194" s="120" t="str">
        <f t="shared" si="30"/>
        <v/>
      </c>
      <c r="AQ194" s="121" t="str">
        <f>IFERROR($M194+VLOOKUP($L194,'Voyage days'!$F$294:$H$377,3,FALSE),"")</f>
        <v/>
      </c>
      <c r="AR194" s="121" t="str">
        <f>IFERROR($N194+VLOOKUP($L194,'Voyage days'!$F$294:$H$377,3,FALSE),"")</f>
        <v/>
      </c>
      <c r="AS194" s="120" t="str">
        <f t="shared" si="31"/>
        <v>16-17 Jun</v>
      </c>
      <c r="AT194" s="121">
        <f>IFERROR($M194+VLOOKUP($L194,'Voyage days'!$F$382:$H$446,3,FALSE),"")</f>
        <v>46189</v>
      </c>
      <c r="AU194" s="121">
        <f>IFERROR($N194+VLOOKUP($L194,'Voyage days'!$F$382:$H$446,3,FALSE),"")</f>
        <v>46190</v>
      </c>
      <c r="AV194" s="120" t="str">
        <f t="shared" si="32"/>
        <v/>
      </c>
      <c r="AW194" s="121" t="str">
        <f>IFERROR($M194+VLOOKUP($L194,'Voyage days'!$F$483:$H$538,3,FALSE),"")</f>
        <v/>
      </c>
      <c r="AX194" s="121" t="str">
        <f>IFERROR($N194+VLOOKUP($L194,'Voyage days'!$F$483:$H$538,3,FALSE),"")</f>
        <v/>
      </c>
      <c r="AY194" s="120" t="str">
        <f t="shared" si="33"/>
        <v/>
      </c>
      <c r="AZ194" s="121" t="str">
        <f>IFERROR($M194+VLOOKUP($L194,'Voyage days'!$F$540:$H$613,3,FALSE),"")</f>
        <v/>
      </c>
      <c r="BA194" s="121" t="str">
        <f>IFERROR($N194+VLOOKUP($L194,'Voyage days'!$F$540:$H$613,3,FALSE),"")</f>
        <v/>
      </c>
      <c r="BB194" s="120" t="str">
        <f t="shared" si="34"/>
        <v/>
      </c>
      <c r="BC194" s="121" t="str">
        <f>IFERROR($M194+VLOOKUP($L194,'Voyage days'!$F$448:$H$479,3,FALSE),"")</f>
        <v/>
      </c>
      <c r="BD194" s="121" t="str">
        <f>IFERROR($N194+VLOOKUP($L194,'Voyage days'!$F$448:$H$479,3,FALSE),"")</f>
        <v/>
      </c>
      <c r="BE194" s="120" t="str">
        <f t="shared" si="35"/>
        <v/>
      </c>
      <c r="BF194" s="122" t="str">
        <f>IFERROR($M194+VLOOKUP($L194,'Voyage days'!$F$620:$H$646,3,FALSE),"")</f>
        <v/>
      </c>
      <c r="BG194" s="122" t="str">
        <f>IFERROR($N194+VLOOKUP($L194,'Voyage days'!$F$620:$H$646,3,FALSE),"")</f>
        <v/>
      </c>
      <c r="BH194" s="120" t="str">
        <f t="shared" si="36"/>
        <v/>
      </c>
      <c r="BI194" s="123" t="str">
        <f>IFERROR($M194+VLOOKUP($L194,'Voyage days'!$F$702:$H$727,3,FALSE),"")</f>
        <v/>
      </c>
      <c r="BJ194" s="120" t="str">
        <f t="shared" si="37"/>
        <v/>
      </c>
      <c r="BK194" s="122" t="str">
        <f>IFERROR($M194+VLOOKUP($L194,'Voyage days'!$F$807:$H$878,3,FALSE),"")</f>
        <v/>
      </c>
      <c r="BL194" s="122" t="str">
        <f>IFERROR($N194+VLOOKUP($L194,'Voyage days'!$F$807:$H$878,3,FALSE),"")</f>
        <v/>
      </c>
      <c r="BM194" s="122" t="str">
        <f>IFERROR($N194+VLOOKUP($L194,'Voyage days'!$F$807:$K$878,6,FALSE),"")</f>
        <v/>
      </c>
      <c r="BN194" s="121" t="str">
        <f>if(L194="loads AG", IFERROR($M194+VLOOKUP($L194,'Voyage days'!$M$38:$O$38,3,FALSE),""),"")</f>
        <v/>
      </c>
      <c r="BO194" s="121">
        <f>if(L194="loads USG", IFERROR($M194+VLOOKUP($L194,'Voyage days'!$L$203:$N$203,3,FALSE),""),"")</f>
        <v>46201</v>
      </c>
    </row>
    <row r="195">
      <c r="A195" s="100" t="s">
        <v>413</v>
      </c>
      <c r="B195" s="101">
        <v>42853.0</v>
      </c>
      <c r="C195" s="102">
        <v>83000.0</v>
      </c>
      <c r="D195" s="103"/>
      <c r="E195" s="103"/>
      <c r="F195" s="104"/>
      <c r="G195" s="104"/>
      <c r="H195" s="104"/>
      <c r="I195" s="295" t="s">
        <v>1134</v>
      </c>
      <c r="J195" s="106" t="str">
        <f t="shared" si="38"/>
        <v/>
      </c>
      <c r="K195" s="107"/>
      <c r="L195" s="108" t="s">
        <v>680</v>
      </c>
      <c r="M195" s="154">
        <v>46148.0</v>
      </c>
      <c r="N195" s="154">
        <v>46149.0</v>
      </c>
      <c r="O195" s="191"/>
      <c r="P195" s="108" t="s">
        <v>1140</v>
      </c>
      <c r="Q195" s="587"/>
      <c r="R195" s="108" t="s">
        <v>1141</v>
      </c>
      <c r="S195" s="112" t="s">
        <v>659</v>
      </c>
      <c r="T195" s="113">
        <v>46124.0</v>
      </c>
      <c r="U195" s="114" t="str">
        <f>IF(V195="","No AIS",VLOOKUP(V195,'Voyage days'!$A$3:$B$1480,2,FALSE))</f>
        <v>USG</v>
      </c>
      <c r="V195" s="115" t="str">
        <f>IF(VLOOKUP(A195,'1) Kpler'!$E$2:$P$1000,8, FALSE)="","",VLOOKUP(A195,'1) Kpler'!$E$2:$P$1000,8, FALSE))</f>
        <v>Energy Transfer Nederland</v>
      </c>
      <c r="W195" s="116">
        <f>IF(VLOOKUP(A195,'1) Kpler'!$E$2:$P$1000,9,FALSE)="","",VLOOKUP(A195,'1) Kpler'!$E$2:$P$1000,9,FALSE))</f>
        <v>46145.625</v>
      </c>
      <c r="X195" s="115" t="str">
        <f>VLOOKUP(A195,'1) Kpler'!$E$2:$I$1000,4,FALSE)</f>
        <v>ballast</v>
      </c>
      <c r="Y195" s="117" t="str">
        <f t="shared" si="1"/>
        <v/>
      </c>
      <c r="Z195" s="117" t="str">
        <f t="shared" si="2"/>
        <v>06-07 May</v>
      </c>
      <c r="AA195" s="117" t="str">
        <f t="shared" si="3"/>
        <v>06-07 May</v>
      </c>
      <c r="AB195" s="117" t="str">
        <f t="shared" si="4"/>
        <v/>
      </c>
      <c r="AC195" s="117" t="str">
        <f t="shared" si="5"/>
        <v>26-27 May</v>
      </c>
      <c r="AD195" s="117" t="str">
        <f t="shared" si="6"/>
        <v/>
      </c>
      <c r="AE195" s="118" t="str">
        <f t="shared" si="7"/>
        <v/>
      </c>
      <c r="AF195" s="119" t="str">
        <f t="shared" si="8"/>
        <v/>
      </c>
      <c r="AG195" s="120" t="str">
        <f t="shared" si="27"/>
        <v/>
      </c>
      <c r="AH195" s="121" t="str">
        <f>IFERROR($M195+VLOOKUP($L195,'Voyage days'!$F$38:$H$89,3,FALSE),"")</f>
        <v/>
      </c>
      <c r="AI195" s="121" t="str">
        <f>IFERROR(N195+VLOOKUP($L195,'Voyage days'!$F$38:$H$89,3,FALSE),"")</f>
        <v/>
      </c>
      <c r="AJ195" s="120" t="str">
        <f t="shared" si="28"/>
        <v>06-07 May</v>
      </c>
      <c r="AK195" s="121">
        <f>IFERROR($M195+VLOOKUP($L195,'Voyage days'!$F$94:$H$193,3,FALSE),"")</f>
        <v>46148</v>
      </c>
      <c r="AL195" s="121">
        <f>IFERROR($N195+VLOOKUP($L195,'Voyage days'!$F$94:$H$193,3,FALSE),"")</f>
        <v>46149</v>
      </c>
      <c r="AM195" s="120" t="str">
        <f t="shared" si="29"/>
        <v>06-07 May</v>
      </c>
      <c r="AN195" s="121">
        <f>IFERROR($M195+VLOOKUP($L195,'Voyage days'!$F$203:$H$256,3,FALSE),"")</f>
        <v>46148</v>
      </c>
      <c r="AO195" s="121">
        <f>IFERROR($N195+VLOOKUP($L195,'Voyage days'!$F$203:$H$256,3,FALSE),"")</f>
        <v>46149</v>
      </c>
      <c r="AP195" s="120" t="str">
        <f t="shared" si="30"/>
        <v/>
      </c>
      <c r="AQ195" s="121" t="str">
        <f>IFERROR($M195+VLOOKUP($L195,'Voyage days'!$F$294:$H$377,3,FALSE),"")</f>
        <v/>
      </c>
      <c r="AR195" s="121" t="str">
        <f>IFERROR($N195+VLOOKUP($L195,'Voyage days'!$F$294:$H$377,3,FALSE),"")</f>
        <v/>
      </c>
      <c r="AS195" s="120" t="str">
        <f t="shared" si="31"/>
        <v>26-27 May</v>
      </c>
      <c r="AT195" s="121">
        <f>IFERROR($M195+VLOOKUP($L195,'Voyage days'!$F$382:$H$446,3,FALSE),"")</f>
        <v>46168</v>
      </c>
      <c r="AU195" s="121">
        <f>IFERROR($N195+VLOOKUP($L195,'Voyage days'!$F$382:$H$446,3,FALSE),"")</f>
        <v>46169</v>
      </c>
      <c r="AV195" s="120" t="str">
        <f t="shared" si="32"/>
        <v/>
      </c>
      <c r="AW195" s="121" t="str">
        <f>IFERROR($M195+VLOOKUP($L195,'Voyage days'!$F$483:$H$538,3,FALSE),"")</f>
        <v/>
      </c>
      <c r="AX195" s="121" t="str">
        <f>IFERROR($N195+VLOOKUP($L195,'Voyage days'!$F$483:$H$538,3,FALSE),"")</f>
        <v/>
      </c>
      <c r="AY195" s="120" t="str">
        <f t="shared" si="33"/>
        <v/>
      </c>
      <c r="AZ195" s="121" t="str">
        <f>IFERROR($M195+VLOOKUP($L195,'Voyage days'!$F$540:$H$613,3,FALSE),"")</f>
        <v/>
      </c>
      <c r="BA195" s="121" t="str">
        <f>IFERROR($N195+VLOOKUP($L195,'Voyage days'!$F$540:$H$613,3,FALSE),"")</f>
        <v/>
      </c>
      <c r="BB195" s="120" t="str">
        <f t="shared" si="34"/>
        <v/>
      </c>
      <c r="BC195" s="121" t="str">
        <f>IFERROR($M195+VLOOKUP($L195,'Voyage days'!$F$448:$H$479,3,FALSE),"")</f>
        <v/>
      </c>
      <c r="BD195" s="121" t="str">
        <f>IFERROR($N195+VLOOKUP($L195,'Voyage days'!$F$448:$H$479,3,FALSE),"")</f>
        <v/>
      </c>
      <c r="BE195" s="120" t="str">
        <f t="shared" si="35"/>
        <v/>
      </c>
      <c r="BF195" s="122" t="str">
        <f>IFERROR($M195+VLOOKUP($L195,'Voyage days'!$F$620:$H$646,3,FALSE),"")</f>
        <v/>
      </c>
      <c r="BG195" s="122" t="str">
        <f>IFERROR($N195+VLOOKUP($L195,'Voyage days'!$F$620:$H$646,3,FALSE),"")</f>
        <v/>
      </c>
      <c r="BH195" s="120" t="str">
        <f t="shared" si="36"/>
        <v/>
      </c>
      <c r="BI195" s="123" t="str">
        <f>IFERROR($M195+VLOOKUP($L195,'Voyage days'!$F$702:$H$727,3,FALSE),"")</f>
        <v/>
      </c>
      <c r="BJ195" s="120" t="str">
        <f t="shared" si="37"/>
        <v/>
      </c>
      <c r="BK195" s="122" t="str">
        <f>IFERROR($M195+VLOOKUP($L195,'Voyage days'!$F$807:$H$878,3,FALSE),"")</f>
        <v/>
      </c>
      <c r="BL195" s="122" t="str">
        <f>IFERROR($N195+VLOOKUP($L195,'Voyage days'!$F$807:$H$878,3,FALSE),"")</f>
        <v/>
      </c>
      <c r="BM195" s="122" t="str">
        <f>IFERROR($N195+VLOOKUP($L195,'Voyage days'!$F$807:$K$878,6,FALSE),"")</f>
        <v/>
      </c>
      <c r="BN195" s="121" t="str">
        <f>if(L195="loads AG", IFERROR($M195+VLOOKUP($L195,'Voyage days'!$M$38:$O$38,3,FALSE),""),"")</f>
        <v/>
      </c>
      <c r="BO195" s="121">
        <f>if(L195="loads USG", IFERROR($M195+VLOOKUP($L195,'Voyage days'!$L$203:$N$203,3,FALSE),""),"")</f>
        <v>46180</v>
      </c>
    </row>
    <row r="196" ht="15.75" customHeight="1">
      <c r="A196" s="546" t="s">
        <v>458</v>
      </c>
      <c r="B196" s="222">
        <v>42249.0</v>
      </c>
      <c r="C196" s="166">
        <v>84000.0</v>
      </c>
      <c r="D196" s="223"/>
      <c r="E196" s="223"/>
      <c r="F196" s="168"/>
      <c r="G196" s="168"/>
      <c r="H196" s="168"/>
      <c r="I196" s="324" t="s">
        <v>1134</v>
      </c>
      <c r="J196" s="170" t="str">
        <f t="shared" si="38"/>
        <v>NO AIS</v>
      </c>
      <c r="K196" s="171"/>
      <c r="L196" s="172" t="s">
        <v>755</v>
      </c>
      <c r="M196" s="254">
        <v>46133.0</v>
      </c>
      <c r="N196" s="173">
        <v>46134.0</v>
      </c>
      <c r="O196" s="226"/>
      <c r="P196" s="172" t="s">
        <v>1142</v>
      </c>
      <c r="Q196" s="172"/>
      <c r="R196" s="172" t="s">
        <v>1143</v>
      </c>
      <c r="S196" s="175" t="s">
        <v>659</v>
      </c>
      <c r="T196" s="369">
        <v>46124.0</v>
      </c>
      <c r="U196" s="177" t="str">
        <f>IF(V196="","No AIS",VLOOKUP(V196,'Voyage days'!$A$3:$B$1480,2,FALSE))</f>
        <v>No AIS</v>
      </c>
      <c r="V196" s="178" t="str">
        <f>IF(VLOOKUP(A196,'1) Kpler'!$E$2:$P$1000,8, FALSE)="","",VLOOKUP(A196,'1) Kpler'!$E$2:$P$1000,8, FALSE))</f>
        <v/>
      </c>
      <c r="W196" s="179" t="str">
        <f>IF(VLOOKUP(A196,'1) Kpler'!$E$2:$P$1000,9,FALSE)="","",VLOOKUP(A196,'1) Kpler'!$E$2:$P$1000,9,FALSE))</f>
        <v/>
      </c>
      <c r="X196" s="178" t="str">
        <f>VLOOKUP(A196,'1) Kpler'!$E$2:$I$1000,4,FALSE)</f>
        <v>loaded</v>
      </c>
      <c r="Y196" s="180" t="str">
        <f t="shared" si="1"/>
        <v>02-03 May</v>
      </c>
      <c r="Z196" s="180" t="str">
        <f t="shared" si="2"/>
        <v>30-31 May</v>
      </c>
      <c r="AA196" s="180" t="str">
        <f t="shared" si="3"/>
        <v>28-29 May</v>
      </c>
      <c r="AB196" s="180" t="str">
        <f t="shared" si="4"/>
        <v>11-12 May</v>
      </c>
      <c r="AC196" s="180" t="str">
        <f t="shared" si="5"/>
        <v>20-21 May</v>
      </c>
      <c r="AD196" s="180" t="str">
        <f t="shared" si="6"/>
        <v>24-25 Apr</v>
      </c>
      <c r="AE196" s="181" t="str">
        <f t="shared" si="7"/>
        <v>25-26 Apr</v>
      </c>
      <c r="AF196" s="182" t="str">
        <f t="shared" si="8"/>
        <v>28-29 May</v>
      </c>
      <c r="AG196" s="120" t="str">
        <f t="shared" si="27"/>
        <v>02-03 May</v>
      </c>
      <c r="AH196" s="121">
        <f>IFERROR($M196+VLOOKUP($L196,'Voyage days'!$F$38:$H$89,3,FALSE),"")</f>
        <v>46144</v>
      </c>
      <c r="AI196" s="121">
        <f>IFERROR(N196+VLOOKUP($L196,'Voyage days'!$F$38:$H$89,3,FALSE),"")</f>
        <v>46145</v>
      </c>
      <c r="AJ196" s="120" t="str">
        <f t="shared" si="28"/>
        <v>30-31 May</v>
      </c>
      <c r="AK196" s="121">
        <f>IFERROR($M196+VLOOKUP($L196,'Voyage days'!$F$94:$H$193,3,FALSE),"")</f>
        <v>46172</v>
      </c>
      <c r="AL196" s="121">
        <f>IFERROR($N196+VLOOKUP($L196,'Voyage days'!$F$94:$H$193,3,FALSE),"")</f>
        <v>46173</v>
      </c>
      <c r="AM196" s="120" t="str">
        <f t="shared" si="29"/>
        <v>28-29 May</v>
      </c>
      <c r="AN196" s="121">
        <f>IFERROR($M196+VLOOKUP($L196,'Voyage days'!$F$203:$H$256,3,FALSE),"")</f>
        <v>46170</v>
      </c>
      <c r="AO196" s="121">
        <f>IFERROR($N196+VLOOKUP($L196,'Voyage days'!$F$203:$H$256,3,FALSE),"")</f>
        <v>46171</v>
      </c>
      <c r="AP196" s="120" t="str">
        <f t="shared" si="30"/>
        <v>11-12 May</v>
      </c>
      <c r="AQ196" s="121">
        <f>IFERROR($M196+VLOOKUP($L196,'Voyage days'!$F$294:$H$377,3,FALSE),"")</f>
        <v>46153</v>
      </c>
      <c r="AR196" s="121">
        <f>IFERROR($N196+VLOOKUP($L196,'Voyage days'!$F$294:$H$377,3,FALSE),"")</f>
        <v>46154</v>
      </c>
      <c r="AS196" s="120" t="str">
        <f t="shared" si="31"/>
        <v>20-21 May</v>
      </c>
      <c r="AT196" s="121">
        <f>IFERROR($M196+VLOOKUP($L196,'Voyage days'!$F$382:$H$446,3,FALSE),"")</f>
        <v>46162</v>
      </c>
      <c r="AU196" s="121">
        <f>IFERROR($N196+VLOOKUP($L196,'Voyage days'!$F$382:$H$446,3,FALSE),"")</f>
        <v>46163</v>
      </c>
      <c r="AV196" s="120" t="str">
        <f t="shared" si="32"/>
        <v>30-01 May</v>
      </c>
      <c r="AW196" s="121">
        <f>IFERROR($M196+VLOOKUP($L196,'Voyage days'!$F$483:$H$538,3,FALSE),"")</f>
        <v>46142</v>
      </c>
      <c r="AX196" s="121">
        <f>IFERROR($N196+VLOOKUP($L196,'Voyage days'!$F$483:$H$538,3,FALSE),"")</f>
        <v>46143</v>
      </c>
      <c r="AY196" s="120" t="str">
        <f t="shared" si="33"/>
        <v>25-26 Apr</v>
      </c>
      <c r="AZ196" s="121">
        <f>IFERROR($M196+VLOOKUP($L196,'Voyage days'!$F$540:$H$613,3,FALSE),"")</f>
        <v>46137</v>
      </c>
      <c r="BA196" s="121">
        <f>IFERROR($N196+VLOOKUP($L196,'Voyage days'!$F$540:$H$613,3,FALSE),"")</f>
        <v>46138</v>
      </c>
      <c r="BB196" s="120" t="str">
        <f t="shared" si="34"/>
        <v>24-25 Apr</v>
      </c>
      <c r="BC196" s="121">
        <f>IFERROR($M196+VLOOKUP($L196,'Voyage days'!$F$448:$H$479,3,FALSE),"")</f>
        <v>46136</v>
      </c>
      <c r="BD196" s="121">
        <f>IFERROR($N196+VLOOKUP($L196,'Voyage days'!$F$448:$H$479,3,FALSE),"")</f>
        <v>46137</v>
      </c>
      <c r="BE196" s="120" t="str">
        <f t="shared" si="35"/>
        <v/>
      </c>
      <c r="BF196" s="122" t="str">
        <f>IFERROR($M196+VLOOKUP($L196,'Voyage days'!$F$620:$H$646,3,FALSE),"")</f>
        <v/>
      </c>
      <c r="BG196" s="122" t="str">
        <f>IFERROR($N196+VLOOKUP($L196,'Voyage days'!$F$620:$H$646,3,FALSE),"")</f>
        <v/>
      </c>
      <c r="BH196" s="120" t="str">
        <f t="shared" si="36"/>
        <v>29-29 May</v>
      </c>
      <c r="BI196" s="123">
        <f>IFERROR($M196+VLOOKUP($L196,'Voyage days'!$F$702:$H$727,3,FALSE),"")</f>
        <v>46141</v>
      </c>
      <c r="BJ196" s="120" t="str">
        <f t="shared" si="37"/>
        <v>28-29 May</v>
      </c>
      <c r="BK196" s="122">
        <f>IFERROR($M196+VLOOKUP($L196,'Voyage days'!$F$807:$H$878,3,FALSE),"")</f>
        <v>46170</v>
      </c>
      <c r="BL196" s="122">
        <f>IFERROR($N196+VLOOKUP($L196,'Voyage days'!$F$807:$H$878,3,FALSE),"")</f>
        <v>46171</v>
      </c>
      <c r="BM196" s="122">
        <f>IFERROR($N196+VLOOKUP($L196,'Voyage days'!$F$807:$K$878,6,FALSE),"")</f>
        <v>46147</v>
      </c>
      <c r="BN196" s="121" t="str">
        <f>if(L196="loads AG", IFERROR($M196+VLOOKUP($L196,'Voyage days'!$M$38:$O$38,3,FALSE),""),"")</f>
        <v/>
      </c>
      <c r="BO196" s="121" t="str">
        <f>if(L196="loads USG", IFERROR($M196+VLOOKUP($L196,'Voyage days'!$L$203:$N$203,3,FALSE),""),"")</f>
        <v/>
      </c>
    </row>
    <row r="197" ht="15.75" customHeight="1">
      <c r="A197" s="274" t="s">
        <v>243</v>
      </c>
      <c r="B197" s="101">
        <v>39888.0</v>
      </c>
      <c r="C197" s="102">
        <v>82000.0</v>
      </c>
      <c r="D197" s="112" t="s">
        <v>603</v>
      </c>
      <c r="E197" s="149"/>
      <c r="F197" s="150"/>
      <c r="G197" s="150"/>
      <c r="H197" s="150" t="s">
        <v>689</v>
      </c>
      <c r="I197" s="321" t="s">
        <v>1144</v>
      </c>
      <c r="J197" s="588" t="str">
        <f t="shared" si="38"/>
        <v/>
      </c>
      <c r="K197" s="562" t="s">
        <v>765</v>
      </c>
      <c r="L197" s="153" t="s">
        <v>680</v>
      </c>
      <c r="M197" s="589">
        <v>46142.0</v>
      </c>
      <c r="N197" s="109">
        <v>46143.0</v>
      </c>
      <c r="O197" s="410"/>
      <c r="P197" s="317" t="s">
        <v>1145</v>
      </c>
      <c r="Q197" s="317"/>
      <c r="R197" s="317" t="s">
        <v>1146</v>
      </c>
      <c r="S197" s="256" t="s">
        <v>659</v>
      </c>
      <c r="T197" s="318">
        <v>46124.0</v>
      </c>
      <c r="U197" s="114" t="str">
        <f>IF(V197="","No AIS",VLOOKUP(V197,'Voyage days'!$A$3:$B$1480,2,FALSE))</f>
        <v>USG</v>
      </c>
      <c r="V197" s="114" t="str">
        <f>IF(VLOOKUP(A197,'1) Kpler'!$E$2:$P$1000,8, FALSE)="","",VLOOKUP(A197,'1) Kpler'!$E$2:$P$1000,8, FALSE))</f>
        <v>Freeport Texas</v>
      </c>
      <c r="W197" s="159">
        <f>IF(VLOOKUP(A197,'1) Kpler'!$E$2:$P$1000,9,FALSE)="","",VLOOKUP(A197,'1) Kpler'!$E$2:$P$1000,9,FALSE))</f>
        <v>46141.95833</v>
      </c>
      <c r="X197" s="114" t="str">
        <f>VLOOKUP(A197,'1) Kpler'!$E$2:$I$1000,4,FALSE)</f>
        <v>ballast</v>
      </c>
      <c r="Y197" s="272" t="str">
        <f t="shared" si="1"/>
        <v/>
      </c>
      <c r="Z197" s="272" t="str">
        <f t="shared" si="2"/>
        <v>30-01 May</v>
      </c>
      <c r="AA197" s="272" t="str">
        <f t="shared" si="3"/>
        <v>30-01 May</v>
      </c>
      <c r="AB197" s="272" t="str">
        <f t="shared" si="4"/>
        <v/>
      </c>
      <c r="AC197" s="272" t="str">
        <f t="shared" si="5"/>
        <v>20-21 May</v>
      </c>
      <c r="AD197" s="272" t="str">
        <f t="shared" si="6"/>
        <v/>
      </c>
      <c r="AE197" s="273" t="str">
        <f t="shared" si="7"/>
        <v/>
      </c>
      <c r="AF197" s="162" t="str">
        <f t="shared" si="8"/>
        <v/>
      </c>
      <c r="AG197" s="163" t="str">
        <f t="shared" si="27"/>
        <v/>
      </c>
      <c r="AH197" s="122" t="str">
        <f>IFERROR($M197+VLOOKUP($L197,'Voyage days'!$F$38:$H$89,3,FALSE),"")</f>
        <v/>
      </c>
      <c r="AI197" s="122" t="str">
        <f>IFERROR(N197+VLOOKUP($L197,'Voyage days'!$F$38:$H$89,3,FALSE),"")</f>
        <v/>
      </c>
      <c r="AJ197" s="163" t="str">
        <f t="shared" si="28"/>
        <v>30-01 May</v>
      </c>
      <c r="AK197" s="122">
        <f>IFERROR($M197+VLOOKUP($L197,'Voyage days'!$F$94:$H$193,3,FALSE),"")</f>
        <v>46142</v>
      </c>
      <c r="AL197" s="122">
        <f>IFERROR($N197+VLOOKUP($L197,'Voyage days'!$F$94:$H$193,3,FALSE),"")</f>
        <v>46143</v>
      </c>
      <c r="AM197" s="163" t="str">
        <f t="shared" si="29"/>
        <v>30-01 May</v>
      </c>
      <c r="AN197" s="122">
        <f>IFERROR($M197+VLOOKUP($L197,'Voyage days'!$F$203:$H$256,3,FALSE),"")</f>
        <v>46142</v>
      </c>
      <c r="AO197" s="122">
        <f>IFERROR($N197+VLOOKUP($L197,'Voyage days'!$F$203:$H$256,3,FALSE),"")</f>
        <v>46143</v>
      </c>
      <c r="AP197" s="163" t="str">
        <f t="shared" si="30"/>
        <v/>
      </c>
      <c r="AQ197" s="122" t="str">
        <f>IFERROR($M197+VLOOKUP($L197,'Voyage days'!$F$294:$H$377,3,FALSE),"")</f>
        <v/>
      </c>
      <c r="AR197" s="122" t="str">
        <f>IFERROR($N197+VLOOKUP($L197,'Voyage days'!$F$294:$H$377,3,FALSE),"")</f>
        <v/>
      </c>
      <c r="AS197" s="163" t="str">
        <f t="shared" si="31"/>
        <v>20-21 May</v>
      </c>
      <c r="AT197" s="122">
        <f>IFERROR($M197+VLOOKUP($L197,'Voyage days'!$F$382:$H$446,3,FALSE),"")</f>
        <v>46162</v>
      </c>
      <c r="AU197" s="122">
        <f>IFERROR($N197+VLOOKUP($L197,'Voyage days'!$F$382:$H$446,3,FALSE),"")</f>
        <v>46163</v>
      </c>
      <c r="AV197" s="163" t="str">
        <f t="shared" si="32"/>
        <v/>
      </c>
      <c r="AW197" s="122" t="str">
        <f>IFERROR($M197+VLOOKUP($L197,'Voyage days'!$F$483:$H$538,3,FALSE),"")</f>
        <v/>
      </c>
      <c r="AX197" s="122" t="str">
        <f>IFERROR($N197+VLOOKUP($L197,'Voyage days'!$F$483:$H$538,3,FALSE),"")</f>
        <v/>
      </c>
      <c r="AY197" s="163" t="str">
        <f t="shared" si="33"/>
        <v/>
      </c>
      <c r="AZ197" s="122" t="str">
        <f>IFERROR($M197+VLOOKUP($L197,'Voyage days'!$F$540:$H$613,3,FALSE),"")</f>
        <v/>
      </c>
      <c r="BA197" s="122" t="str">
        <f>IFERROR($N197+VLOOKUP($L197,'Voyage days'!$F$540:$H$613,3,FALSE),"")</f>
        <v/>
      </c>
      <c r="BB197" s="163" t="str">
        <f t="shared" si="34"/>
        <v/>
      </c>
      <c r="BC197" s="121" t="str">
        <f>IFERROR($M197+VLOOKUP($L197,'Voyage days'!$F$448:$H$479,3,FALSE),"")</f>
        <v/>
      </c>
      <c r="BD197" s="121" t="str">
        <f>IFERROR($N197+VLOOKUP($L197,'Voyage days'!$F$448:$H$479,3,FALSE),"")</f>
        <v/>
      </c>
      <c r="BE197" s="163" t="str">
        <f t="shared" si="35"/>
        <v/>
      </c>
      <c r="BF197" s="122" t="str">
        <f>IFERROR($M197+VLOOKUP($L197,'Voyage days'!$F$620:$H$646,3,FALSE),"")</f>
        <v/>
      </c>
      <c r="BG197" s="122" t="str">
        <f>IFERROR($N197+VLOOKUP($L197,'Voyage days'!$F$620:$H$646,3,FALSE),"")</f>
        <v/>
      </c>
      <c r="BH197" s="163" t="str">
        <f t="shared" si="36"/>
        <v/>
      </c>
      <c r="BI197" s="123" t="str">
        <f>IFERROR($M197+VLOOKUP($L197,'Voyage days'!$F$702:$H$727,3,FALSE),"")</f>
        <v/>
      </c>
      <c r="BJ197" s="163" t="str">
        <f t="shared" si="37"/>
        <v/>
      </c>
      <c r="BK197" s="122" t="str">
        <f>IFERROR($M197+VLOOKUP($L197,'Voyage days'!$F$807:$H$878,3,FALSE),"")</f>
        <v/>
      </c>
      <c r="BL197" s="122" t="str">
        <f>IFERROR($N197+VLOOKUP($L197,'Voyage days'!$F$807:$H$878,3,FALSE),"")</f>
        <v/>
      </c>
      <c r="BM197" s="122" t="str">
        <f>IFERROR($N197+VLOOKUP($L197,'Voyage days'!$F$807:$K$878,6,FALSE),"")</f>
        <v/>
      </c>
      <c r="BN197" s="121" t="str">
        <f>if(L197="loads AG", IFERROR($M197+VLOOKUP($L197,'Voyage days'!$M$38:$O$38,3,FALSE),""),"")</f>
        <v/>
      </c>
      <c r="BO197" s="121">
        <f>if(L197="loads USG", IFERROR($M197+VLOOKUP($L197,'Voyage days'!$L$203:$N$203,3,FALSE),""),"")</f>
        <v>46174</v>
      </c>
    </row>
    <row r="198" ht="15.75" customHeight="1">
      <c r="A198" s="473" t="s">
        <v>577</v>
      </c>
      <c r="B198" s="222">
        <v>39845.0</v>
      </c>
      <c r="C198" s="166">
        <v>82000.0</v>
      </c>
      <c r="D198" s="223"/>
      <c r="E198" s="223"/>
      <c r="F198" s="168"/>
      <c r="G198" s="168"/>
      <c r="H198" s="168"/>
      <c r="I198" s="324" t="s">
        <v>1144</v>
      </c>
      <c r="J198" s="170" t="str">
        <f t="shared" si="38"/>
        <v>Update</v>
      </c>
      <c r="K198" s="365"/>
      <c r="L198" s="172" t="s">
        <v>1147</v>
      </c>
      <c r="M198" s="173">
        <v>46129.0</v>
      </c>
      <c r="N198" s="590">
        <v>46130.0</v>
      </c>
      <c r="O198" s="326" t="s">
        <v>709</v>
      </c>
      <c r="P198" s="224" t="s">
        <v>1148</v>
      </c>
      <c r="Q198" s="320"/>
      <c r="R198" s="320" t="s">
        <v>1149</v>
      </c>
      <c r="S198" s="175" t="s">
        <v>659</v>
      </c>
      <c r="T198" s="176">
        <v>46124.0</v>
      </c>
      <c r="U198" s="177" t="str">
        <f>IF(V198="","No AIS",VLOOKUP(V198,'Voyage days'!$A$3:$B$1480,2,FALSE))</f>
        <v>Malaysia (bunkers)</v>
      </c>
      <c r="V198" s="178" t="str">
        <f>IF(VLOOKUP(A198,'1) Kpler'!$E$2:$P$1000,8, FALSE)="","",VLOOKUP(A198,'1) Kpler'!$E$2:$P$1000,8, FALSE))</f>
        <v>Westport</v>
      </c>
      <c r="W198" s="179">
        <f>IF(VLOOKUP(A198,'1) Kpler'!$E$2:$P$1000,9,FALSE)="","",VLOOKUP(A198,'1) Kpler'!$E$2:$P$1000,9,FALSE))</f>
        <v>46133.5</v>
      </c>
      <c r="X198" s="178" t="str">
        <f>VLOOKUP(A198,'1) Kpler'!$E$2:$I$1000,4,FALSE)</f>
        <v>loaded</v>
      </c>
      <c r="Y198" s="180" t="str">
        <f t="shared" si="1"/>
        <v>02-03 May</v>
      </c>
      <c r="Z198" s="180" t="str">
        <f t="shared" si="2"/>
        <v>25-26 May</v>
      </c>
      <c r="AA198" s="180" t="str">
        <f t="shared" si="3"/>
        <v>26-27 May</v>
      </c>
      <c r="AB198" s="180" t="str">
        <f t="shared" si="4"/>
        <v>12-13 May</v>
      </c>
      <c r="AC198" s="180" t="str">
        <f t="shared" si="5"/>
        <v>20-21 May</v>
      </c>
      <c r="AD198" s="180" t="str">
        <f t="shared" si="6"/>
        <v>22-23 Apr</v>
      </c>
      <c r="AE198" s="181" t="str">
        <f t="shared" si="7"/>
        <v>27-28 Apr</v>
      </c>
      <c r="AF198" s="182" t="str">
        <f t="shared" si="8"/>
        <v>30-31 May</v>
      </c>
      <c r="AG198" s="120" t="str">
        <f t="shared" si="27"/>
        <v>02-03 May</v>
      </c>
      <c r="AH198" s="121">
        <f>IFERROR($M198+VLOOKUP($L198,'Voyage days'!$F$38:$H$89,3,FALSE),"")</f>
        <v>46144</v>
      </c>
      <c r="AI198" s="121">
        <f>IFERROR(N198+VLOOKUP($L198,'Voyage days'!$F$38:$H$89,3,FALSE),"")</f>
        <v>46145</v>
      </c>
      <c r="AJ198" s="120" t="str">
        <f t="shared" si="28"/>
        <v>25-26 May</v>
      </c>
      <c r="AK198" s="121">
        <f>IFERROR($M198+VLOOKUP($L198,'Voyage days'!$F$94:$H$193,3,FALSE),"")</f>
        <v>46167</v>
      </c>
      <c r="AL198" s="121">
        <f>IFERROR($N198+VLOOKUP($L198,'Voyage days'!$F$94:$H$193,3,FALSE),"")</f>
        <v>46168</v>
      </c>
      <c r="AM198" s="120" t="str">
        <f t="shared" si="29"/>
        <v>26-27 May</v>
      </c>
      <c r="AN198" s="121">
        <f>IFERROR($M198+VLOOKUP($L198,'Voyage days'!$F$203:$H$256,3,FALSE),"")</f>
        <v>46168</v>
      </c>
      <c r="AO198" s="121">
        <f>IFERROR($N198+VLOOKUP($L198,'Voyage days'!$F$203:$H$256,3,FALSE),"")</f>
        <v>46169</v>
      </c>
      <c r="AP198" s="120" t="str">
        <f t="shared" si="30"/>
        <v>12-13 May</v>
      </c>
      <c r="AQ198" s="121">
        <f>IFERROR($M198+VLOOKUP($L198,'Voyage days'!$F$294:$H$377,3,FALSE),"")</f>
        <v>46154</v>
      </c>
      <c r="AR198" s="121">
        <f>IFERROR($N198+VLOOKUP($L198,'Voyage days'!$F$294:$H$377,3,FALSE),"")</f>
        <v>46155</v>
      </c>
      <c r="AS198" s="120" t="str">
        <f t="shared" si="31"/>
        <v>20-21 May</v>
      </c>
      <c r="AT198" s="121">
        <f>IFERROR($M198+VLOOKUP($L198,'Voyage days'!$F$382:$H$446,3,FALSE),"")</f>
        <v>46162</v>
      </c>
      <c r="AU198" s="121">
        <f>IFERROR($N198+VLOOKUP($L198,'Voyage days'!$F$382:$H$446,3,FALSE),"")</f>
        <v>46163</v>
      </c>
      <c r="AV198" s="120" t="str">
        <f t="shared" si="32"/>
        <v>03-04 May</v>
      </c>
      <c r="AW198" s="121">
        <f>IFERROR($M198+VLOOKUP($L198,'Voyage days'!$F$483:$H$538,3,FALSE),"")</f>
        <v>46145</v>
      </c>
      <c r="AX198" s="121">
        <f>IFERROR($N198+VLOOKUP($L198,'Voyage days'!$F$483:$H$538,3,FALSE),"")</f>
        <v>46146</v>
      </c>
      <c r="AY198" s="120" t="str">
        <f t="shared" si="33"/>
        <v>27-28 Apr</v>
      </c>
      <c r="AZ198" s="121">
        <f>IFERROR($M198+VLOOKUP($L198,'Voyage days'!$F$540:$H$613,3,FALSE),"")</f>
        <v>46139</v>
      </c>
      <c r="BA198" s="121">
        <f>IFERROR($N198+VLOOKUP($L198,'Voyage days'!$F$540:$H$613,3,FALSE),"")</f>
        <v>46140</v>
      </c>
      <c r="BB198" s="120" t="str">
        <f t="shared" si="34"/>
        <v>22-23 Apr</v>
      </c>
      <c r="BC198" s="121">
        <f>IFERROR($M198+VLOOKUP($L198,'Voyage days'!$F$448:$H$479,3,FALSE),"")</f>
        <v>46134</v>
      </c>
      <c r="BD198" s="121">
        <f>IFERROR($N198+VLOOKUP($L198,'Voyage days'!$F$448:$H$479,3,FALSE),"")</f>
        <v>46135</v>
      </c>
      <c r="BE198" s="120" t="str">
        <f t="shared" si="35"/>
        <v/>
      </c>
      <c r="BF198" s="122" t="str">
        <f>IFERROR($M198+VLOOKUP($L198,'Voyage days'!$F$620:$H$646,3,FALSE),"")</f>
        <v/>
      </c>
      <c r="BG198" s="122" t="str">
        <f>IFERROR($N198+VLOOKUP($L198,'Voyage days'!$F$620:$H$646,3,FALSE),"")</f>
        <v/>
      </c>
      <c r="BH198" s="120" t="str">
        <f t="shared" si="36"/>
        <v>02-31 May</v>
      </c>
      <c r="BI198" s="123">
        <f>IFERROR($M198+VLOOKUP($L198,'Voyage days'!$F$702:$H$727,3,FALSE),"")</f>
        <v>46144</v>
      </c>
      <c r="BJ198" s="120" t="str">
        <f t="shared" si="37"/>
        <v>30-31 May</v>
      </c>
      <c r="BK198" s="122">
        <f>IFERROR($M198+VLOOKUP($L198,'Voyage days'!$F$807:$H$878,3,FALSE),"")</f>
        <v>46172</v>
      </c>
      <c r="BL198" s="122">
        <f>IFERROR($N198+VLOOKUP($L198,'Voyage days'!$F$807:$H$878,3,FALSE),"")</f>
        <v>46173</v>
      </c>
      <c r="BM198" s="122">
        <f>IFERROR($N198+VLOOKUP($L198,'Voyage days'!$F$807:$K$878,6,FALSE),"")</f>
        <v>46147</v>
      </c>
      <c r="BN198" s="121" t="str">
        <f>if(L198="loads AG", IFERROR($M198+VLOOKUP($L198,'Voyage days'!$M$38:$O$38,3,FALSE),""),"")</f>
        <v/>
      </c>
      <c r="BO198" s="121" t="str">
        <f>if(L198="loads USG", IFERROR($M198+VLOOKUP($L198,'Voyage days'!$L$203:$N$203,3,FALSE),""),"")</f>
        <v/>
      </c>
    </row>
    <row r="199" ht="15.75" customHeight="1">
      <c r="A199" s="147" t="s">
        <v>1150</v>
      </c>
      <c r="B199" s="101">
        <v>40512.0</v>
      </c>
      <c r="C199" s="203">
        <v>83299.0</v>
      </c>
      <c r="D199" s="149"/>
      <c r="E199" s="149"/>
      <c r="F199" s="150"/>
      <c r="G199" s="150"/>
      <c r="H199" s="150"/>
      <c r="I199" s="321" t="s">
        <v>1151</v>
      </c>
      <c r="J199" s="236" t="str">
        <f t="shared" si="38"/>
        <v/>
      </c>
      <c r="K199" s="152"/>
      <c r="L199" s="153" t="s">
        <v>677</v>
      </c>
      <c r="M199" s="238">
        <v>46155.0</v>
      </c>
      <c r="N199" s="238">
        <v>46156.0</v>
      </c>
      <c r="O199" s="277"/>
      <c r="P199" s="153" t="s">
        <v>1152</v>
      </c>
      <c r="Q199" s="153"/>
      <c r="R199" s="153" t="s">
        <v>1153</v>
      </c>
      <c r="S199" s="112" t="s">
        <v>659</v>
      </c>
      <c r="T199" s="113">
        <v>46125.0</v>
      </c>
      <c r="U199" s="114" t="str">
        <f>IF(V199="","No AIS",VLOOKUP(V199,'Voyage days'!$A$3:$B$1480,2,FALSE))</f>
        <v>Panama</v>
      </c>
      <c r="V199" s="114" t="str">
        <f>IF(VLOOKUP(A199,'1) Kpler'!$E$2:$P$1000,8, FALSE)="","",VLOOKUP(A199,'1) Kpler'!$E$2:$P$1000,8, FALSE))</f>
        <v>Panama Canal</v>
      </c>
      <c r="W199" s="159">
        <f>IF(VLOOKUP(A199,'1) Kpler'!$E$2:$P$1000,9,FALSE)="","",VLOOKUP(A199,'1) Kpler'!$E$2:$P$1000,9,FALSE))</f>
        <v>46155.70833</v>
      </c>
      <c r="X199" s="114" t="str">
        <f>VLOOKUP(A199,'1) Kpler'!$E$2:$I$1000,4,FALSE)</f>
        <v>ballast</v>
      </c>
      <c r="Y199" s="296" t="str">
        <f t="shared" si="1"/>
        <v/>
      </c>
      <c r="Z199" s="296" t="str">
        <f t="shared" si="2"/>
        <v>24-25 May</v>
      </c>
      <c r="AA199" s="296" t="str">
        <f t="shared" si="3"/>
        <v/>
      </c>
      <c r="AB199" s="296" t="str">
        <f t="shared" si="4"/>
        <v/>
      </c>
      <c r="AC199" s="296" t="str">
        <f t="shared" si="5"/>
        <v/>
      </c>
      <c r="AD199" s="296" t="str">
        <f t="shared" si="6"/>
        <v/>
      </c>
      <c r="AE199" s="297" t="str">
        <f t="shared" si="7"/>
        <v/>
      </c>
      <c r="AF199" s="119" t="str">
        <f t="shared" si="8"/>
        <v/>
      </c>
      <c r="AG199" s="163" t="str">
        <f t="shared" si="27"/>
        <v/>
      </c>
      <c r="AH199" s="122" t="str">
        <f>IFERROR($M199+VLOOKUP($L199,'Voyage days'!$F$38:$H$89,3,FALSE),"")</f>
        <v/>
      </c>
      <c r="AI199" s="122" t="str">
        <f>IFERROR(N199+VLOOKUP($L199,'Voyage days'!$F$38:$H$89,3,FALSE),"")</f>
        <v/>
      </c>
      <c r="AJ199" s="163" t="str">
        <f t="shared" si="28"/>
        <v>24-25 May</v>
      </c>
      <c r="AK199" s="122">
        <f>IFERROR($M199+VLOOKUP($L199,'Voyage days'!$F$94:$H$193,3,FALSE),"")</f>
        <v>46166</v>
      </c>
      <c r="AL199" s="122">
        <f>IFERROR($N199+VLOOKUP($L199,'Voyage days'!$F$94:$H$193,3,FALSE),"")</f>
        <v>46167</v>
      </c>
      <c r="AM199" s="163" t="str">
        <f t="shared" si="29"/>
        <v/>
      </c>
      <c r="AN199" s="122" t="str">
        <f>IFERROR($M199+VLOOKUP($L199,'Voyage days'!$F$203:$H$256,3,FALSE),"")</f>
        <v/>
      </c>
      <c r="AO199" s="122" t="str">
        <f>IFERROR($N199+VLOOKUP($L199,'Voyage days'!$F$203:$H$256,3,FALSE),"")</f>
        <v/>
      </c>
      <c r="AP199" s="163" t="str">
        <f t="shared" si="30"/>
        <v/>
      </c>
      <c r="AQ199" s="122" t="str">
        <f>IFERROR($M199+VLOOKUP($L199,'Voyage days'!$F$294:$H$377,3,FALSE),"")</f>
        <v/>
      </c>
      <c r="AR199" s="122" t="str">
        <f>IFERROR($N199+VLOOKUP($L199,'Voyage days'!$F$294:$H$377,3,FALSE),"")</f>
        <v/>
      </c>
      <c r="AS199" s="163" t="str">
        <f t="shared" si="31"/>
        <v/>
      </c>
      <c r="AT199" s="122" t="str">
        <f>IFERROR($M199+VLOOKUP($L199,'Voyage days'!$F$382:$H$446,3,FALSE),"")</f>
        <v/>
      </c>
      <c r="AU199" s="122" t="str">
        <f>IFERROR($N199+VLOOKUP($L199,'Voyage days'!$F$382:$H$446,3,FALSE),"")</f>
        <v/>
      </c>
      <c r="AV199" s="163" t="str">
        <f t="shared" si="32"/>
        <v/>
      </c>
      <c r="AW199" s="122" t="str">
        <f>IFERROR($M199+VLOOKUP($L199,'Voyage days'!$F$483:$H$538,3,FALSE),"")</f>
        <v/>
      </c>
      <c r="AX199" s="122" t="str">
        <f>IFERROR($N199+VLOOKUP($L199,'Voyage days'!$F$483:$H$538,3,FALSE),"")</f>
        <v/>
      </c>
      <c r="AY199" s="163" t="str">
        <f t="shared" si="33"/>
        <v/>
      </c>
      <c r="AZ199" s="122" t="str">
        <f>IFERROR($M199+VLOOKUP($L199,'Voyage days'!$F$540:$H$613,3,FALSE),"")</f>
        <v/>
      </c>
      <c r="BA199" s="122" t="str">
        <f>IFERROR($N199+VLOOKUP($L199,'Voyage days'!$F$540:$H$613,3,FALSE),"")</f>
        <v/>
      </c>
      <c r="BB199" s="163" t="str">
        <f t="shared" si="34"/>
        <v/>
      </c>
      <c r="BC199" s="121" t="str">
        <f>IFERROR($M199+VLOOKUP($L199,'Voyage days'!$F$448:$H$479,3,FALSE),"")</f>
        <v/>
      </c>
      <c r="BD199" s="121" t="str">
        <f>IFERROR($N199+VLOOKUP($L199,'Voyage days'!$F$448:$H$479,3,FALSE),"")</f>
        <v/>
      </c>
      <c r="BE199" s="163" t="str">
        <f t="shared" si="35"/>
        <v/>
      </c>
      <c r="BF199" s="122" t="str">
        <f>IFERROR($M199+VLOOKUP($L199,'Voyage days'!$F$620:$H$646,3,FALSE),"")</f>
        <v/>
      </c>
      <c r="BG199" s="122" t="str">
        <f>IFERROR($N199+VLOOKUP($L199,'Voyage days'!$F$620:$H$646,3,FALSE),"")</f>
        <v/>
      </c>
      <c r="BH199" s="163" t="str">
        <f t="shared" si="36"/>
        <v/>
      </c>
      <c r="BI199" s="123" t="str">
        <f>IFERROR($M199+VLOOKUP($L199,'Voyage days'!$F$702:$H$727,3,FALSE),"")</f>
        <v/>
      </c>
      <c r="BJ199" s="163" t="str">
        <f t="shared" si="37"/>
        <v/>
      </c>
      <c r="BK199" s="122" t="str">
        <f>IFERROR($M199+VLOOKUP($L199,'Voyage days'!$F$807:$H$878,3,FALSE),"")</f>
        <v/>
      </c>
      <c r="BL199" s="122" t="str">
        <f>IFERROR($N199+VLOOKUP($L199,'Voyage days'!$F$807:$H$878,3,FALSE),"")</f>
        <v/>
      </c>
      <c r="BM199" s="122" t="str">
        <f>IFERROR($N199+VLOOKUP($L199,'Voyage days'!$F$807:$K$878,6,FALSE),"")</f>
        <v/>
      </c>
      <c r="BN199" s="121" t="str">
        <f>if(L199="loads AG", IFERROR($M199+VLOOKUP($L199,'Voyage days'!$M$38:$O$38,3,FALSE),""),"")</f>
        <v/>
      </c>
      <c r="BO199" s="121" t="str">
        <f>if(L199="loads USG", IFERROR($M199+VLOOKUP($L199,'Voyage days'!$L$203:$N$203,3,FALSE),""),"")</f>
        <v/>
      </c>
    </row>
    <row r="200">
      <c r="A200" s="147" t="s">
        <v>330</v>
      </c>
      <c r="B200" s="101">
        <v>43009.0</v>
      </c>
      <c r="C200" s="102">
        <v>84000.0</v>
      </c>
      <c r="D200" s="103"/>
      <c r="E200" s="103"/>
      <c r="F200" s="104"/>
      <c r="G200" s="104"/>
      <c r="H200" s="104" t="s">
        <v>689</v>
      </c>
      <c r="I200" s="401" t="s">
        <v>1151</v>
      </c>
      <c r="J200" s="336" t="str">
        <f t="shared" si="38"/>
        <v/>
      </c>
      <c r="K200" s="107"/>
      <c r="L200" s="108" t="s">
        <v>860</v>
      </c>
      <c r="M200" s="154">
        <v>46138.0</v>
      </c>
      <c r="N200" s="154">
        <v>46139.0</v>
      </c>
      <c r="O200" s="191"/>
      <c r="P200" s="108" t="s">
        <v>1154</v>
      </c>
      <c r="Q200" s="295"/>
      <c r="R200" s="295" t="s">
        <v>1155</v>
      </c>
      <c r="S200" s="112" t="s">
        <v>659</v>
      </c>
      <c r="T200" s="113">
        <v>46125.0</v>
      </c>
      <c r="U200" s="114" t="str">
        <f>IF(V200="","No AIS",VLOOKUP(V200,'Voyage days'!$A$3:$B$1480,2,FALSE))</f>
        <v>Singapore</v>
      </c>
      <c r="V200" s="115" t="str">
        <f>IF(VLOOKUP(A200,'1) Kpler'!$E$2:$P$1000,8, FALSE)="","",VLOOKUP(A200,'1) Kpler'!$E$2:$P$1000,8, FALSE))</f>
        <v>Singapore</v>
      </c>
      <c r="W200" s="116">
        <f>IF(VLOOKUP(A200,'1) Kpler'!$E$2:$P$1000,9,FALSE)="","",VLOOKUP(A200,'1) Kpler'!$E$2:$P$1000,9,FALSE))</f>
        <v>46138.95833</v>
      </c>
      <c r="X200" s="115" t="str">
        <f>VLOOKUP(A200,'1) Kpler'!$E$2:$I$1000,4,FALSE)</f>
        <v>loaded</v>
      </c>
      <c r="Y200" s="160" t="str">
        <f t="shared" si="1"/>
        <v>11-12 May</v>
      </c>
      <c r="Z200" s="160" t="str">
        <f t="shared" si="2"/>
        <v>03-04 Jun</v>
      </c>
      <c r="AA200" s="160" t="str">
        <f t="shared" si="3"/>
        <v>04-05 Jun</v>
      </c>
      <c r="AB200" s="160" t="str">
        <f t="shared" si="4"/>
        <v>21-22 May</v>
      </c>
      <c r="AC200" s="160" t="str">
        <f t="shared" si="5"/>
        <v>29-30 May</v>
      </c>
      <c r="AD200" s="160" t="str">
        <f t="shared" si="6"/>
        <v>03-04 May</v>
      </c>
      <c r="AE200" s="161" t="str">
        <f t="shared" si="7"/>
        <v>06-07 May</v>
      </c>
      <c r="AF200" s="162" t="str">
        <f t="shared" si="8"/>
        <v>08-09 Jun</v>
      </c>
      <c r="AG200" s="120" t="str">
        <f t="shared" si="27"/>
        <v>11-12 May</v>
      </c>
      <c r="AH200" s="121">
        <f>IFERROR($M200+VLOOKUP($L200,'Voyage days'!$F$38:$H$89,3,FALSE),"")</f>
        <v>46153</v>
      </c>
      <c r="AI200" s="121">
        <f>IFERROR(N200+VLOOKUP($L200,'Voyage days'!$F$38:$H$89,3,FALSE),"")</f>
        <v>46154</v>
      </c>
      <c r="AJ200" s="120" t="str">
        <f t="shared" si="28"/>
        <v>03-04 Jun</v>
      </c>
      <c r="AK200" s="121">
        <f>IFERROR($M200+VLOOKUP($L200,'Voyage days'!$F$94:$H$193,3,FALSE),"")</f>
        <v>46176</v>
      </c>
      <c r="AL200" s="121">
        <f>IFERROR($N200+VLOOKUP($L200,'Voyage days'!$F$94:$H$193,3,FALSE),"")</f>
        <v>46177</v>
      </c>
      <c r="AM200" s="120" t="str">
        <f t="shared" si="29"/>
        <v>04-05 Jun</v>
      </c>
      <c r="AN200" s="121">
        <f>IFERROR($M200+VLOOKUP($L200,'Voyage days'!$F$203:$H$256,3,FALSE),"")</f>
        <v>46177</v>
      </c>
      <c r="AO200" s="121">
        <f>IFERROR($N200+VLOOKUP($L200,'Voyage days'!$F$203:$H$256,3,FALSE),"")</f>
        <v>46178</v>
      </c>
      <c r="AP200" s="120" t="str">
        <f t="shared" si="30"/>
        <v>21-22 May</v>
      </c>
      <c r="AQ200" s="121">
        <f>IFERROR($M200+VLOOKUP($L200,'Voyage days'!$F$294:$H$377,3,FALSE),"")</f>
        <v>46163</v>
      </c>
      <c r="AR200" s="121">
        <f>IFERROR($N200+VLOOKUP($L200,'Voyage days'!$F$294:$H$377,3,FALSE),"")</f>
        <v>46164</v>
      </c>
      <c r="AS200" s="120" t="str">
        <f t="shared" si="31"/>
        <v>29-30 May</v>
      </c>
      <c r="AT200" s="121">
        <f>IFERROR($M200+VLOOKUP($L200,'Voyage days'!$F$382:$H$446,3,FALSE),"")</f>
        <v>46171</v>
      </c>
      <c r="AU200" s="121">
        <f>IFERROR($N200+VLOOKUP($L200,'Voyage days'!$F$382:$H$446,3,FALSE),"")</f>
        <v>46172</v>
      </c>
      <c r="AV200" s="120" t="str">
        <f t="shared" si="32"/>
        <v>12-13 May</v>
      </c>
      <c r="AW200" s="121">
        <f>IFERROR($M200+VLOOKUP($L200,'Voyage days'!$F$483:$H$538,3,FALSE),"")</f>
        <v>46154</v>
      </c>
      <c r="AX200" s="121">
        <f>IFERROR($N200+VLOOKUP($L200,'Voyage days'!$F$483:$H$538,3,FALSE),"")</f>
        <v>46155</v>
      </c>
      <c r="AY200" s="120" t="str">
        <f t="shared" si="33"/>
        <v>06-07 May</v>
      </c>
      <c r="AZ200" s="121">
        <f>IFERROR($M200+VLOOKUP($L200,'Voyage days'!$F$540:$H$613,3,FALSE),"")</f>
        <v>46148</v>
      </c>
      <c r="BA200" s="121">
        <f>IFERROR($N200+VLOOKUP($L200,'Voyage days'!$F$540:$H$613,3,FALSE),"")</f>
        <v>46149</v>
      </c>
      <c r="BB200" s="120" t="str">
        <f t="shared" si="34"/>
        <v>03-04 May</v>
      </c>
      <c r="BC200" s="121">
        <f>IFERROR($M200+VLOOKUP($L200,'Voyage days'!$F$448:$H$479,3,FALSE),"")</f>
        <v>46145</v>
      </c>
      <c r="BD200" s="121">
        <f>IFERROR($N200+VLOOKUP($L200,'Voyage days'!$F$448:$H$479,3,FALSE),"")</f>
        <v>46146</v>
      </c>
      <c r="BE200" s="120" t="str">
        <f t="shared" si="35"/>
        <v/>
      </c>
      <c r="BF200" s="122" t="str">
        <f>IFERROR($M200+VLOOKUP($L200,'Voyage days'!$F$620:$H$646,3,FALSE),"")</f>
        <v/>
      </c>
      <c r="BG200" s="122" t="str">
        <f>IFERROR($N200+VLOOKUP($L200,'Voyage days'!$F$620:$H$646,3,FALSE),"")</f>
        <v/>
      </c>
      <c r="BH200" s="120" t="str">
        <f t="shared" si="36"/>
        <v>11-09 Jun</v>
      </c>
      <c r="BI200" s="123">
        <f>IFERROR($M200+VLOOKUP($L200,'Voyage days'!$F$702:$H$727,3,FALSE),"")</f>
        <v>46153</v>
      </c>
      <c r="BJ200" s="120" t="str">
        <f t="shared" si="37"/>
        <v>08-09 Jun</v>
      </c>
      <c r="BK200" s="122">
        <f>IFERROR($M200+VLOOKUP($L200,'Voyage days'!$F$807:$H$878,3,FALSE),"")</f>
        <v>46181</v>
      </c>
      <c r="BL200" s="122">
        <f>IFERROR($N200+VLOOKUP($L200,'Voyage days'!$F$807:$H$878,3,FALSE),"")</f>
        <v>46182</v>
      </c>
      <c r="BM200" s="122">
        <f>IFERROR($N200+VLOOKUP($L200,'Voyage days'!$F$807:$K$878,6,FALSE),"")</f>
        <v>46158</v>
      </c>
      <c r="BN200" s="121" t="str">
        <f>if(L200="loads AG", IFERROR($M200+VLOOKUP($L200,'Voyage days'!$M$38:$O$38,3,FALSE),""),"")</f>
        <v/>
      </c>
      <c r="BO200" s="121" t="str">
        <f>if(L200="loads USG", IFERROR($M200+VLOOKUP($L200,'Voyage days'!$L$203:$N$203,3,FALSE),""),"")</f>
        <v/>
      </c>
    </row>
    <row r="201" ht="15.75" customHeight="1">
      <c r="A201" s="80" t="s">
        <v>250</v>
      </c>
      <c r="B201" s="101">
        <v>41450.0</v>
      </c>
      <c r="C201" s="102">
        <v>82000.0</v>
      </c>
      <c r="D201" s="103"/>
      <c r="E201" s="103"/>
      <c r="F201" s="104"/>
      <c r="G201" s="104"/>
      <c r="H201" s="104"/>
      <c r="I201" s="401" t="s">
        <v>1151</v>
      </c>
      <c r="J201" s="106" t="str">
        <f t="shared" si="38"/>
        <v/>
      </c>
      <c r="K201" s="107"/>
      <c r="L201" s="108" t="s">
        <v>720</v>
      </c>
      <c r="M201" s="154">
        <v>46140.0</v>
      </c>
      <c r="N201" s="154">
        <v>46141.0</v>
      </c>
      <c r="O201" s="255"/>
      <c r="P201" s="108" t="s">
        <v>1156</v>
      </c>
      <c r="Q201" s="187"/>
      <c r="R201" s="187" t="s">
        <v>1157</v>
      </c>
      <c r="S201" s="112" t="s">
        <v>659</v>
      </c>
      <c r="T201" s="113">
        <v>46125.0</v>
      </c>
      <c r="U201" s="114" t="str">
        <f>IF(V201="","No AIS",VLOOKUP(V201,'Voyage days'!$A$3:$B$1480,2,FALSE))</f>
        <v>Korea + 4</v>
      </c>
      <c r="V201" s="115" t="str">
        <f>IF(VLOOKUP(A201,'1) Kpler'!$E$2:$P$1000,8, FALSE)="","",VLOOKUP(A201,'1) Kpler'!$E$2:$P$1000,8, FALSE))</f>
        <v>Ulsan</v>
      </c>
      <c r="W201" s="116">
        <f>IF(VLOOKUP(A201,'1) Kpler'!$E$2:$P$1000,9,FALSE)="","",VLOOKUP(A201,'1) Kpler'!$E$2:$P$1000,9,FALSE))</f>
        <v>46137.04167</v>
      </c>
      <c r="X201" s="115" t="str">
        <f>VLOOKUP(A201,'1) Kpler'!$E$2:$I$1000,4,FALSE)</f>
        <v>loaded</v>
      </c>
      <c r="Y201" s="117" t="str">
        <f t="shared" si="1"/>
        <v>16-17 May</v>
      </c>
      <c r="Z201" s="117" t="str">
        <f t="shared" si="2"/>
        <v>01-02 Jun</v>
      </c>
      <c r="AA201" s="117" t="str">
        <f t="shared" si="3"/>
        <v>08-09 Jun</v>
      </c>
      <c r="AB201" s="117" t="str">
        <f t="shared" si="4"/>
        <v>27-28 May</v>
      </c>
      <c r="AC201" s="117" t="str">
        <f t="shared" si="5"/>
        <v>02-03 Jun</v>
      </c>
      <c r="AD201" s="117" t="str">
        <f t="shared" si="6"/>
        <v>05-06 May</v>
      </c>
      <c r="AE201" s="118" t="str">
        <f t="shared" si="7"/>
        <v>06-07 May</v>
      </c>
      <c r="AF201" s="119" t="str">
        <f t="shared" si="8"/>
        <v>12-13 Jun</v>
      </c>
      <c r="AG201" s="120" t="str">
        <f t="shared" si="27"/>
        <v>16-17 May</v>
      </c>
      <c r="AH201" s="121">
        <f>IFERROR($M201+VLOOKUP($L201,'Voyage days'!$F$38:$H$89,3,FALSE),"")</f>
        <v>46158</v>
      </c>
      <c r="AI201" s="121">
        <f>IFERROR(N201+VLOOKUP($L201,'Voyage days'!$F$38:$H$89,3,FALSE),"")</f>
        <v>46159</v>
      </c>
      <c r="AJ201" s="120" t="str">
        <f t="shared" si="28"/>
        <v>01-02 Jun</v>
      </c>
      <c r="AK201" s="121">
        <f>IFERROR($M201+VLOOKUP($L201,'Voyage days'!$F$94:$H$193,3,FALSE),"")</f>
        <v>46174</v>
      </c>
      <c r="AL201" s="121">
        <f>IFERROR($N201+VLOOKUP($L201,'Voyage days'!$F$94:$H$193,3,FALSE),"")</f>
        <v>46175</v>
      </c>
      <c r="AM201" s="120" t="str">
        <f t="shared" si="29"/>
        <v>08-09 Jun</v>
      </c>
      <c r="AN201" s="121">
        <f>IFERROR($M201+VLOOKUP($L201,'Voyage days'!$F$203:$H$256,3,FALSE),"")</f>
        <v>46181</v>
      </c>
      <c r="AO201" s="121">
        <f>IFERROR($N201+VLOOKUP($L201,'Voyage days'!$F$203:$H$256,3,FALSE),"")</f>
        <v>46182</v>
      </c>
      <c r="AP201" s="120" t="str">
        <f t="shared" si="30"/>
        <v>27-28 May</v>
      </c>
      <c r="AQ201" s="121">
        <f>IFERROR($M201+VLOOKUP($L201,'Voyage days'!$F$294:$H$377,3,FALSE),"")</f>
        <v>46169</v>
      </c>
      <c r="AR201" s="121">
        <f>IFERROR($N201+VLOOKUP($L201,'Voyage days'!$F$294:$H$377,3,FALSE),"")</f>
        <v>46170</v>
      </c>
      <c r="AS201" s="120" t="str">
        <f t="shared" si="31"/>
        <v>02-03 Jun</v>
      </c>
      <c r="AT201" s="121">
        <f>IFERROR($M201+VLOOKUP($L201,'Voyage days'!$F$382:$H$446,3,FALSE),"")</f>
        <v>46175</v>
      </c>
      <c r="AU201" s="121">
        <f>IFERROR($N201+VLOOKUP($L201,'Voyage days'!$F$382:$H$446,3,FALSE),"")</f>
        <v>46176</v>
      </c>
      <c r="AV201" s="120" t="str">
        <f t="shared" si="32"/>
        <v>12-13 May</v>
      </c>
      <c r="AW201" s="121">
        <f>IFERROR($M201+VLOOKUP($L201,'Voyage days'!$F$483:$H$538,3,FALSE),"")</f>
        <v>46154</v>
      </c>
      <c r="AX201" s="121">
        <f>IFERROR($N201+VLOOKUP($L201,'Voyage days'!$F$483:$H$538,3,FALSE),"")</f>
        <v>46155</v>
      </c>
      <c r="AY201" s="120" t="str">
        <f t="shared" si="33"/>
        <v>06-07 May</v>
      </c>
      <c r="AZ201" s="121">
        <f>IFERROR($M201+VLOOKUP($L201,'Voyage days'!$F$540:$H$613,3,FALSE),"")</f>
        <v>46148</v>
      </c>
      <c r="BA201" s="121">
        <f>IFERROR($N201+VLOOKUP($L201,'Voyage days'!$F$540:$H$613,3,FALSE),"")</f>
        <v>46149</v>
      </c>
      <c r="BB201" s="120" t="str">
        <f t="shared" si="34"/>
        <v>05-06 May</v>
      </c>
      <c r="BC201" s="121">
        <f>IFERROR($M201+VLOOKUP($L201,'Voyage days'!$F$448:$H$479,3,FALSE),"")</f>
        <v>46147</v>
      </c>
      <c r="BD201" s="121">
        <f>IFERROR($N201+VLOOKUP($L201,'Voyage days'!$F$448:$H$479,3,FALSE),"")</f>
        <v>46148</v>
      </c>
      <c r="BE201" s="120" t="str">
        <f t="shared" si="35"/>
        <v>09-10 May</v>
      </c>
      <c r="BF201" s="122">
        <f>IFERROR($M201+VLOOKUP($L201,'Voyage days'!$F$620:$H$646,3,FALSE),"")</f>
        <v>46151</v>
      </c>
      <c r="BG201" s="122">
        <f>IFERROR($N201+VLOOKUP($L201,'Voyage days'!$F$620:$H$646,3,FALSE),"")</f>
        <v>46152</v>
      </c>
      <c r="BH201" s="120" t="str">
        <f t="shared" si="36"/>
        <v>06-13 Jun</v>
      </c>
      <c r="BI201" s="123">
        <f>IFERROR($M201+VLOOKUP($L201,'Voyage days'!$F$702:$H$727,3,FALSE),"")</f>
        <v>46148</v>
      </c>
      <c r="BJ201" s="120" t="str">
        <f t="shared" si="37"/>
        <v>12-13 Jun</v>
      </c>
      <c r="BK201" s="122">
        <f>IFERROR($M201+VLOOKUP($L201,'Voyage days'!$F$807:$H$878,3,FALSE),"")</f>
        <v>46185</v>
      </c>
      <c r="BL201" s="122">
        <f>IFERROR($N201+VLOOKUP($L201,'Voyage days'!$F$807:$H$878,3,FALSE),"")</f>
        <v>46186</v>
      </c>
      <c r="BM201" s="122">
        <f>IFERROR($N201+VLOOKUP($L201,'Voyage days'!$F$807:$K$878,6,FALSE),"")</f>
        <v>46160</v>
      </c>
      <c r="BN201" s="121" t="str">
        <f>if(L201="loads AG", IFERROR($M201+VLOOKUP($L201,'Voyage days'!$M$38:$O$38,3,FALSE),""),"")</f>
        <v/>
      </c>
      <c r="BO201" s="121" t="str">
        <f>if(L201="loads USG", IFERROR($M201+VLOOKUP($L201,'Voyage days'!$L$203:$N$203,3,FALSE),""),"")</f>
        <v/>
      </c>
    </row>
    <row r="202" ht="15.75" customHeight="1">
      <c r="A202" s="100" t="s">
        <v>253</v>
      </c>
      <c r="B202" s="101">
        <v>43102.0</v>
      </c>
      <c r="C202" s="102">
        <v>84000.0</v>
      </c>
      <c r="D202" s="103"/>
      <c r="E202" s="103"/>
      <c r="F202" s="104"/>
      <c r="G202" s="104"/>
      <c r="H202" s="104" t="s">
        <v>689</v>
      </c>
      <c r="I202" s="401" t="s">
        <v>1151</v>
      </c>
      <c r="J202" s="106" t="str">
        <f t="shared" si="38"/>
        <v>Update</v>
      </c>
      <c r="K202" s="107"/>
      <c r="L202" s="108" t="s">
        <v>677</v>
      </c>
      <c r="M202" s="154">
        <v>46137.0</v>
      </c>
      <c r="N202" s="154">
        <v>46138.0</v>
      </c>
      <c r="O202" s="191"/>
      <c r="P202" s="108" t="s">
        <v>883</v>
      </c>
      <c r="Q202" s="187"/>
      <c r="R202" s="108" t="s">
        <v>1158</v>
      </c>
      <c r="S202" s="112" t="s">
        <v>659</v>
      </c>
      <c r="T202" s="113">
        <v>46125.0</v>
      </c>
      <c r="U202" s="114" t="str">
        <f>IF(V202="","No AIS",VLOOKUP(V202,'Voyage days'!$A$3:$B$1480,2,FALSE))</f>
        <v>Panama</v>
      </c>
      <c r="V202" s="115" t="str">
        <f>IF(VLOOKUP(A202,'1) Kpler'!$E$2:$P$1000,8, FALSE)="","",VLOOKUP(A202,'1) Kpler'!$E$2:$P$1000,8, FALSE))</f>
        <v>Panama Canal</v>
      </c>
      <c r="W202" s="116">
        <f>IF(VLOOKUP(A202,'1) Kpler'!$E$2:$P$1000,9,FALSE)="","",VLOOKUP(A202,'1) Kpler'!$E$2:$P$1000,9,FALSE))</f>
        <v>46138.625</v>
      </c>
      <c r="X202" s="115" t="str">
        <f>VLOOKUP(A202,'1) Kpler'!$E$2:$I$1000,4,FALSE)</f>
        <v>ballast</v>
      </c>
      <c r="Y202" s="160" t="str">
        <f t="shared" si="1"/>
        <v/>
      </c>
      <c r="Z202" s="160" t="str">
        <f t="shared" si="2"/>
        <v>06-07 May</v>
      </c>
      <c r="AA202" s="160" t="str">
        <f t="shared" si="3"/>
        <v/>
      </c>
      <c r="AB202" s="160" t="str">
        <f t="shared" si="4"/>
        <v/>
      </c>
      <c r="AC202" s="160" t="str">
        <f t="shared" si="5"/>
        <v/>
      </c>
      <c r="AD202" s="160" t="str">
        <f t="shared" si="6"/>
        <v/>
      </c>
      <c r="AE202" s="161" t="str">
        <f t="shared" si="7"/>
        <v/>
      </c>
      <c r="AF202" s="162" t="str">
        <f t="shared" si="8"/>
        <v/>
      </c>
      <c r="AG202" s="120" t="str">
        <f t="shared" si="27"/>
        <v/>
      </c>
      <c r="AH202" s="121" t="str">
        <f>IFERROR($M202+VLOOKUP($L202,'Voyage days'!$F$38:$H$89,3,FALSE),"")</f>
        <v/>
      </c>
      <c r="AI202" s="121" t="str">
        <f>IFERROR(N202+VLOOKUP($L202,'Voyage days'!$F$38:$H$89,3,FALSE),"")</f>
        <v/>
      </c>
      <c r="AJ202" s="120" t="str">
        <f t="shared" si="28"/>
        <v>06-07 May</v>
      </c>
      <c r="AK202" s="121">
        <f>IFERROR($M202+VLOOKUP($L202,'Voyage days'!$F$94:$H$193,3,FALSE),"")</f>
        <v>46148</v>
      </c>
      <c r="AL202" s="121">
        <f>IFERROR($N202+VLOOKUP($L202,'Voyage days'!$F$94:$H$193,3,FALSE),"")</f>
        <v>46149</v>
      </c>
      <c r="AM202" s="120" t="str">
        <f t="shared" si="29"/>
        <v/>
      </c>
      <c r="AN202" s="121" t="str">
        <f>IFERROR($M202+VLOOKUP($L202,'Voyage days'!$F$203:$H$256,3,FALSE),"")</f>
        <v/>
      </c>
      <c r="AO202" s="121" t="str">
        <f>IFERROR($N202+VLOOKUP($L202,'Voyage days'!$F$203:$H$256,3,FALSE),"")</f>
        <v/>
      </c>
      <c r="AP202" s="120" t="str">
        <f t="shared" si="30"/>
        <v/>
      </c>
      <c r="AQ202" s="121" t="str">
        <f>IFERROR($M202+VLOOKUP($L202,'Voyage days'!$F$294:$H$377,3,FALSE),"")</f>
        <v/>
      </c>
      <c r="AR202" s="121" t="str">
        <f>IFERROR($N202+VLOOKUP($L202,'Voyage days'!$F$294:$H$377,3,FALSE),"")</f>
        <v/>
      </c>
      <c r="AS202" s="120" t="str">
        <f t="shared" si="31"/>
        <v/>
      </c>
      <c r="AT202" s="121" t="str">
        <f>IFERROR($M202+VLOOKUP($L202,'Voyage days'!$F$382:$H$446,3,FALSE),"")</f>
        <v/>
      </c>
      <c r="AU202" s="121" t="str">
        <f>IFERROR($N202+VLOOKUP($L202,'Voyage days'!$F$382:$H$446,3,FALSE),"")</f>
        <v/>
      </c>
      <c r="AV202" s="120" t="str">
        <f t="shared" si="32"/>
        <v/>
      </c>
      <c r="AW202" s="121" t="str">
        <f>IFERROR($M202+VLOOKUP($L202,'Voyage days'!$F$483:$H$538,3,FALSE),"")</f>
        <v/>
      </c>
      <c r="AX202" s="121" t="str">
        <f>IFERROR($N202+VLOOKUP($L202,'Voyage days'!$F$483:$H$538,3,FALSE),"")</f>
        <v/>
      </c>
      <c r="AY202" s="120" t="str">
        <f t="shared" si="33"/>
        <v/>
      </c>
      <c r="AZ202" s="121" t="str">
        <f>IFERROR($M202+VLOOKUP($L202,'Voyage days'!$F$540:$H$613,3,FALSE),"")</f>
        <v/>
      </c>
      <c r="BA202" s="121" t="str">
        <f>IFERROR($N202+VLOOKUP($L202,'Voyage days'!$F$540:$H$613,3,FALSE),"")</f>
        <v/>
      </c>
      <c r="BB202" s="120" t="str">
        <f t="shared" si="34"/>
        <v/>
      </c>
      <c r="BC202" s="121" t="str">
        <f>IFERROR($M202+VLOOKUP($L202,'Voyage days'!$F$448:$H$479,3,FALSE),"")</f>
        <v/>
      </c>
      <c r="BD202" s="121" t="str">
        <f>IFERROR($N202+VLOOKUP($L202,'Voyage days'!$F$448:$H$479,3,FALSE),"")</f>
        <v/>
      </c>
      <c r="BE202" s="120" t="str">
        <f t="shared" si="35"/>
        <v/>
      </c>
      <c r="BF202" s="122" t="str">
        <f>IFERROR($M202+VLOOKUP($L202,'Voyage days'!$F$620:$H$646,3,FALSE),"")</f>
        <v/>
      </c>
      <c r="BG202" s="122" t="str">
        <f>IFERROR($N202+VLOOKUP($L202,'Voyage days'!$F$620:$H$646,3,FALSE),"")</f>
        <v/>
      </c>
      <c r="BH202" s="120" t="str">
        <f t="shared" si="36"/>
        <v/>
      </c>
      <c r="BI202" s="123" t="str">
        <f>IFERROR($M202+VLOOKUP($L202,'Voyage days'!$F$702:$H$727,3,FALSE),"")</f>
        <v/>
      </c>
      <c r="BJ202" s="120" t="str">
        <f t="shared" si="37"/>
        <v/>
      </c>
      <c r="BK202" s="122" t="str">
        <f>IFERROR($M202+VLOOKUP($L202,'Voyage days'!$F$807:$H$878,3,FALSE),"")</f>
        <v/>
      </c>
      <c r="BL202" s="122" t="str">
        <f>IFERROR($N202+VLOOKUP($L202,'Voyage days'!$F$807:$H$878,3,FALSE),"")</f>
        <v/>
      </c>
      <c r="BM202" s="122" t="str">
        <f>IFERROR($N202+VLOOKUP($L202,'Voyage days'!$F$807:$K$878,6,FALSE),"")</f>
        <v/>
      </c>
      <c r="BN202" s="121" t="str">
        <f>if(L202="loads AG", IFERROR($M202+VLOOKUP($L202,'Voyage days'!$M$38:$O$38,3,FALSE),""),"")</f>
        <v/>
      </c>
      <c r="BO202" s="121" t="str">
        <f>if(L202="loads USG", IFERROR($M202+VLOOKUP($L202,'Voyage days'!$L$203:$N$203,3,FALSE),""),"")</f>
        <v/>
      </c>
    </row>
    <row r="203" ht="15.75" customHeight="1">
      <c r="A203" s="100" t="s">
        <v>254</v>
      </c>
      <c r="B203" s="101">
        <v>39736.0</v>
      </c>
      <c r="C203" s="102">
        <v>82200.0</v>
      </c>
      <c r="D203" s="103"/>
      <c r="E203" s="103"/>
      <c r="F203" s="104"/>
      <c r="G203" s="104"/>
      <c r="H203" s="104"/>
      <c r="I203" s="401" t="s">
        <v>1151</v>
      </c>
      <c r="J203" s="106" t="str">
        <f t="shared" si="38"/>
        <v>Update</v>
      </c>
      <c r="K203" s="107"/>
      <c r="L203" s="108" t="s">
        <v>680</v>
      </c>
      <c r="M203" s="109">
        <v>46127.0</v>
      </c>
      <c r="N203" s="109">
        <v>46128.0</v>
      </c>
      <c r="O203" s="191"/>
      <c r="P203" s="108" t="s">
        <v>1159</v>
      </c>
      <c r="Q203" s="187"/>
      <c r="R203" s="108" t="s">
        <v>1160</v>
      </c>
      <c r="S203" s="112" t="s">
        <v>659</v>
      </c>
      <c r="T203" s="113">
        <v>46125.0</v>
      </c>
      <c r="U203" s="114" t="str">
        <f>IF(V203="","No AIS",VLOOKUP(V203,'Voyage days'!$A$3:$B$1480,2,FALSE))</f>
        <v>USG</v>
      </c>
      <c r="V203" s="115" t="str">
        <f>IF(VLOOKUP(A203,'1) Kpler'!$E$2:$P$1000,8, FALSE)="","",VLOOKUP(A203,'1) Kpler'!$E$2:$P$1000,8, FALSE))</f>
        <v>Houston</v>
      </c>
      <c r="W203" s="116">
        <f>IF(VLOOKUP(A203,'1) Kpler'!$E$2:$P$1000,9,FALSE)="","",VLOOKUP(A203,'1) Kpler'!$E$2:$P$1000,9,FALSE))</f>
        <v>46132.48681</v>
      </c>
      <c r="X203" s="115" t="str">
        <f>VLOOKUP(A203,'1) Kpler'!$E$2:$I$1000,4,FALSE)</f>
        <v>ballast</v>
      </c>
      <c r="Y203" s="117" t="str">
        <f t="shared" si="1"/>
        <v/>
      </c>
      <c r="Z203" s="117" t="str">
        <f t="shared" si="2"/>
        <v>15-16 Apr</v>
      </c>
      <c r="AA203" s="117" t="str">
        <f t="shared" si="3"/>
        <v>15-16 Apr</v>
      </c>
      <c r="AB203" s="117" t="str">
        <f t="shared" si="4"/>
        <v/>
      </c>
      <c r="AC203" s="117" t="str">
        <f t="shared" si="5"/>
        <v>05-06 May</v>
      </c>
      <c r="AD203" s="117" t="str">
        <f t="shared" si="6"/>
        <v/>
      </c>
      <c r="AE203" s="118" t="str">
        <f t="shared" si="7"/>
        <v/>
      </c>
      <c r="AF203" s="119" t="str">
        <f t="shared" si="8"/>
        <v/>
      </c>
      <c r="AG203" s="120" t="str">
        <f t="shared" si="27"/>
        <v/>
      </c>
      <c r="AH203" s="121" t="str">
        <f>IFERROR($M203+VLOOKUP($L203,'Voyage days'!$F$38:$H$89,3,FALSE),"")</f>
        <v/>
      </c>
      <c r="AI203" s="121" t="str">
        <f>IFERROR(N203+VLOOKUP($L203,'Voyage days'!$F$38:$H$89,3,FALSE),"")</f>
        <v/>
      </c>
      <c r="AJ203" s="120" t="str">
        <f t="shared" si="28"/>
        <v>15-16 Apr</v>
      </c>
      <c r="AK203" s="121">
        <f>IFERROR($M203+VLOOKUP($L203,'Voyage days'!$F$94:$H$193,3,FALSE),"")</f>
        <v>46127</v>
      </c>
      <c r="AL203" s="121">
        <f>IFERROR($N203+VLOOKUP($L203,'Voyage days'!$F$94:$H$193,3,FALSE),"")</f>
        <v>46128</v>
      </c>
      <c r="AM203" s="120" t="str">
        <f t="shared" si="29"/>
        <v>15-16 Apr</v>
      </c>
      <c r="AN203" s="121">
        <f>IFERROR($M203+VLOOKUP($L203,'Voyage days'!$F$203:$H$256,3,FALSE),"")</f>
        <v>46127</v>
      </c>
      <c r="AO203" s="121">
        <f>IFERROR($N203+VLOOKUP($L203,'Voyage days'!$F$203:$H$256,3,FALSE),"")</f>
        <v>46128</v>
      </c>
      <c r="AP203" s="120" t="str">
        <f t="shared" si="30"/>
        <v/>
      </c>
      <c r="AQ203" s="121" t="str">
        <f>IFERROR($M203+VLOOKUP($L203,'Voyage days'!$F$294:$H$377,3,FALSE),"")</f>
        <v/>
      </c>
      <c r="AR203" s="121" t="str">
        <f>IFERROR($N203+VLOOKUP($L203,'Voyage days'!$F$294:$H$377,3,FALSE),"")</f>
        <v/>
      </c>
      <c r="AS203" s="120" t="str">
        <f t="shared" si="31"/>
        <v>05-06 May</v>
      </c>
      <c r="AT203" s="121">
        <f>IFERROR($M203+VLOOKUP($L203,'Voyage days'!$F$382:$H$446,3,FALSE),"")</f>
        <v>46147</v>
      </c>
      <c r="AU203" s="121">
        <f>IFERROR($N203+VLOOKUP($L203,'Voyage days'!$F$382:$H$446,3,FALSE),"")</f>
        <v>46148</v>
      </c>
      <c r="AV203" s="120" t="str">
        <f t="shared" si="32"/>
        <v/>
      </c>
      <c r="AW203" s="121" t="str">
        <f>IFERROR($M203+VLOOKUP($L203,'Voyage days'!$F$483:$H$538,3,FALSE),"")</f>
        <v/>
      </c>
      <c r="AX203" s="121" t="str">
        <f>IFERROR($N203+VLOOKUP($L203,'Voyage days'!$F$483:$H$538,3,FALSE),"")</f>
        <v/>
      </c>
      <c r="AY203" s="120" t="str">
        <f t="shared" si="33"/>
        <v/>
      </c>
      <c r="AZ203" s="121" t="str">
        <f>IFERROR($M203+VLOOKUP($L203,'Voyage days'!$F$540:$H$613,3,FALSE),"")</f>
        <v/>
      </c>
      <c r="BA203" s="121" t="str">
        <f>IFERROR($N203+VLOOKUP($L203,'Voyage days'!$F$540:$H$613,3,FALSE),"")</f>
        <v/>
      </c>
      <c r="BB203" s="120" t="str">
        <f t="shared" si="34"/>
        <v/>
      </c>
      <c r="BC203" s="121" t="str">
        <f>IFERROR($M203+VLOOKUP($L203,'Voyage days'!$F$448:$H$479,3,FALSE),"")</f>
        <v/>
      </c>
      <c r="BD203" s="121" t="str">
        <f>IFERROR($N203+VLOOKUP($L203,'Voyage days'!$F$448:$H$479,3,FALSE),"")</f>
        <v/>
      </c>
      <c r="BE203" s="120" t="str">
        <f t="shared" si="35"/>
        <v/>
      </c>
      <c r="BF203" s="122" t="str">
        <f>IFERROR($M203+VLOOKUP($L203,'Voyage days'!$F$620:$H$646,3,FALSE),"")</f>
        <v/>
      </c>
      <c r="BG203" s="122" t="str">
        <f>IFERROR($N203+VLOOKUP($L203,'Voyage days'!$F$620:$H$646,3,FALSE),"")</f>
        <v/>
      </c>
      <c r="BH203" s="120" t="str">
        <f t="shared" si="36"/>
        <v/>
      </c>
      <c r="BI203" s="123" t="str">
        <f>IFERROR($M203+VLOOKUP($L203,'Voyage days'!$F$702:$H$727,3,FALSE),"")</f>
        <v/>
      </c>
      <c r="BJ203" s="120" t="str">
        <f t="shared" si="37"/>
        <v/>
      </c>
      <c r="BK203" s="122" t="str">
        <f>IFERROR($M203+VLOOKUP($L203,'Voyage days'!$F$807:$H$878,3,FALSE),"")</f>
        <v/>
      </c>
      <c r="BL203" s="122" t="str">
        <f>IFERROR($N203+VLOOKUP($L203,'Voyage days'!$F$807:$H$878,3,FALSE),"")</f>
        <v/>
      </c>
      <c r="BM203" s="122" t="str">
        <f>IFERROR($N203+VLOOKUP($L203,'Voyage days'!$F$807:$K$878,6,FALSE),"")</f>
        <v/>
      </c>
      <c r="BN203" s="121" t="str">
        <f>if(L203="loads AG", IFERROR($M203+VLOOKUP($L203,'Voyage days'!$M$38:$O$38,3,FALSE),""),"")</f>
        <v/>
      </c>
      <c r="BO203" s="121">
        <f>if(L203="loads USG", IFERROR($M203+VLOOKUP($L203,'Voyage days'!$L$203:$N$203,3,FALSE),""),"")</f>
        <v>46159</v>
      </c>
    </row>
    <row r="204" ht="15.75" customHeight="1">
      <c r="A204" s="100" t="s">
        <v>255</v>
      </c>
      <c r="B204" s="101">
        <v>41527.0</v>
      </c>
      <c r="C204" s="102">
        <v>82000.0</v>
      </c>
      <c r="D204" s="103"/>
      <c r="E204" s="103"/>
      <c r="F204" s="104"/>
      <c r="G204" s="104"/>
      <c r="H204" s="104"/>
      <c r="I204" s="401" t="s">
        <v>1151</v>
      </c>
      <c r="J204" s="106" t="str">
        <f t="shared" si="38"/>
        <v>Update</v>
      </c>
      <c r="K204" s="107"/>
      <c r="L204" s="108" t="s">
        <v>680</v>
      </c>
      <c r="M204" s="109">
        <v>46120.0</v>
      </c>
      <c r="N204" s="109">
        <v>46121.0</v>
      </c>
      <c r="O204" s="191"/>
      <c r="P204" s="108" t="s">
        <v>1161</v>
      </c>
      <c r="Q204" s="333"/>
      <c r="R204" s="108" t="s">
        <v>1162</v>
      </c>
      <c r="S204" s="112" t="s">
        <v>659</v>
      </c>
      <c r="T204" s="113">
        <v>46125.0</v>
      </c>
      <c r="U204" s="114" t="str">
        <f>IF(V204="","No AIS",VLOOKUP(V204,'Voyage days'!$A$3:$B$1480,2,FALSE))</f>
        <v>Korea + 4</v>
      </c>
      <c r="V204" s="115" t="str">
        <f>IF(VLOOKUP(A204,'1) Kpler'!$E$2:$P$1000,8, FALSE)="","",VLOOKUP(A204,'1) Kpler'!$E$2:$P$1000,8, FALSE))</f>
        <v>Ulsan</v>
      </c>
      <c r="W204" s="116">
        <f>IF(VLOOKUP(A204,'1) Kpler'!$E$2:$P$1000,9,FALSE)="","",VLOOKUP(A204,'1) Kpler'!$E$2:$P$1000,9,FALSE))</f>
        <v>46159.95833</v>
      </c>
      <c r="X204" s="115" t="str">
        <f>VLOOKUP(A204,'1) Kpler'!$E$2:$I$1000,4,FALSE)</f>
        <v>loaded</v>
      </c>
      <c r="Y204" s="160" t="str">
        <f t="shared" si="1"/>
        <v/>
      </c>
      <c r="Z204" s="160" t="str">
        <f t="shared" si="2"/>
        <v>08-09 Apr</v>
      </c>
      <c r="AA204" s="160" t="str">
        <f t="shared" si="3"/>
        <v>08-09 Apr</v>
      </c>
      <c r="AB204" s="160" t="str">
        <f t="shared" si="4"/>
        <v/>
      </c>
      <c r="AC204" s="160" t="str">
        <f t="shared" si="5"/>
        <v>28-29 Apr</v>
      </c>
      <c r="AD204" s="160" t="str">
        <f t="shared" si="6"/>
        <v/>
      </c>
      <c r="AE204" s="161" t="str">
        <f t="shared" si="7"/>
        <v/>
      </c>
      <c r="AF204" s="162" t="str">
        <f t="shared" si="8"/>
        <v/>
      </c>
      <c r="AG204" s="120" t="str">
        <f t="shared" si="27"/>
        <v/>
      </c>
      <c r="AH204" s="121" t="str">
        <f>IFERROR($M204+VLOOKUP($L204,'Voyage days'!$F$38:$H$89,3,FALSE),"")</f>
        <v/>
      </c>
      <c r="AI204" s="121" t="str">
        <f>IFERROR(N204+VLOOKUP($L204,'Voyage days'!$F$38:$H$89,3,FALSE),"")</f>
        <v/>
      </c>
      <c r="AJ204" s="120" t="str">
        <f t="shared" si="28"/>
        <v>08-09 Apr</v>
      </c>
      <c r="AK204" s="121">
        <f>IFERROR($M204+VLOOKUP($L204,'Voyage days'!$F$94:$H$193,3,FALSE),"")</f>
        <v>46120</v>
      </c>
      <c r="AL204" s="121">
        <f>IFERROR($N204+VLOOKUP($L204,'Voyage days'!$F$94:$H$193,3,FALSE),"")</f>
        <v>46121</v>
      </c>
      <c r="AM204" s="120" t="str">
        <f t="shared" si="29"/>
        <v>08-09 Apr</v>
      </c>
      <c r="AN204" s="121">
        <f>IFERROR($M204+VLOOKUP($L204,'Voyage days'!$F$203:$H$256,3,FALSE),"")</f>
        <v>46120</v>
      </c>
      <c r="AO204" s="121">
        <f>IFERROR($N204+VLOOKUP($L204,'Voyage days'!$F$203:$H$256,3,FALSE),"")</f>
        <v>46121</v>
      </c>
      <c r="AP204" s="120" t="str">
        <f t="shared" si="30"/>
        <v/>
      </c>
      <c r="AQ204" s="121" t="str">
        <f>IFERROR($M204+VLOOKUP($L204,'Voyage days'!$F$294:$H$377,3,FALSE),"")</f>
        <v/>
      </c>
      <c r="AR204" s="121" t="str">
        <f>IFERROR($N204+VLOOKUP($L204,'Voyage days'!$F$294:$H$377,3,FALSE),"")</f>
        <v/>
      </c>
      <c r="AS204" s="120" t="str">
        <f t="shared" si="31"/>
        <v>28-29 Apr</v>
      </c>
      <c r="AT204" s="121">
        <f>IFERROR($M204+VLOOKUP($L204,'Voyage days'!$F$382:$H$446,3,FALSE),"")</f>
        <v>46140</v>
      </c>
      <c r="AU204" s="121">
        <f>IFERROR($N204+VLOOKUP($L204,'Voyage days'!$F$382:$H$446,3,FALSE),"")</f>
        <v>46141</v>
      </c>
      <c r="AV204" s="120" t="str">
        <f t="shared" si="32"/>
        <v/>
      </c>
      <c r="AW204" s="121" t="str">
        <f>IFERROR($M204+VLOOKUP($L204,'Voyage days'!$F$483:$H$538,3,FALSE),"")</f>
        <v/>
      </c>
      <c r="AX204" s="121" t="str">
        <f>IFERROR($N204+VLOOKUP($L204,'Voyage days'!$F$483:$H$538,3,FALSE),"")</f>
        <v/>
      </c>
      <c r="AY204" s="120" t="str">
        <f t="shared" si="33"/>
        <v/>
      </c>
      <c r="AZ204" s="121" t="str">
        <f>IFERROR($M204+VLOOKUP($L204,'Voyage days'!$F$540:$H$613,3,FALSE),"")</f>
        <v/>
      </c>
      <c r="BA204" s="121" t="str">
        <f>IFERROR($N204+VLOOKUP($L204,'Voyage days'!$F$540:$H$613,3,FALSE),"")</f>
        <v/>
      </c>
      <c r="BB204" s="120" t="str">
        <f t="shared" si="34"/>
        <v/>
      </c>
      <c r="BC204" s="121" t="str">
        <f>IFERROR($M204+VLOOKUP($L204,'Voyage days'!$F$448:$H$479,3,FALSE),"")</f>
        <v/>
      </c>
      <c r="BD204" s="121" t="str">
        <f>IFERROR($N204+VLOOKUP($L204,'Voyage days'!$F$448:$H$479,3,FALSE),"")</f>
        <v/>
      </c>
      <c r="BE204" s="120" t="str">
        <f t="shared" si="35"/>
        <v/>
      </c>
      <c r="BF204" s="122" t="str">
        <f>IFERROR($M204+VLOOKUP($L204,'Voyage days'!$F$620:$H$646,3,FALSE),"")</f>
        <v/>
      </c>
      <c r="BG204" s="122" t="str">
        <f>IFERROR($N204+VLOOKUP($L204,'Voyage days'!$F$620:$H$646,3,FALSE),"")</f>
        <v/>
      </c>
      <c r="BH204" s="120" t="str">
        <f t="shared" si="36"/>
        <v/>
      </c>
      <c r="BI204" s="123" t="str">
        <f>IFERROR($M204+VLOOKUP($L204,'Voyage days'!$F$702:$H$727,3,FALSE),"")</f>
        <v/>
      </c>
      <c r="BJ204" s="120" t="str">
        <f t="shared" si="37"/>
        <v/>
      </c>
      <c r="BK204" s="122" t="str">
        <f>IFERROR($M204+VLOOKUP($L204,'Voyage days'!$F$807:$H$878,3,FALSE),"")</f>
        <v/>
      </c>
      <c r="BL204" s="122" t="str">
        <f>IFERROR($N204+VLOOKUP($L204,'Voyage days'!$F$807:$H$878,3,FALSE),"")</f>
        <v/>
      </c>
      <c r="BM204" s="122" t="str">
        <f>IFERROR($N204+VLOOKUP($L204,'Voyage days'!$F$807:$K$878,6,FALSE),"")</f>
        <v/>
      </c>
      <c r="BN204" s="121" t="str">
        <f>if(L204="loads AG", IFERROR($M204+VLOOKUP($L204,'Voyage days'!$M$38:$O$38,3,FALSE),""),"")</f>
        <v/>
      </c>
      <c r="BO204" s="121">
        <f>if(L204="loads USG", IFERROR($M204+VLOOKUP($L204,'Voyage days'!$L$203:$N$203,3,FALSE),""),"")</f>
        <v>46152</v>
      </c>
    </row>
    <row r="205" ht="15.75" customHeight="1">
      <c r="A205" s="100" t="s">
        <v>256</v>
      </c>
      <c r="B205" s="148">
        <v>2018.0</v>
      </c>
      <c r="C205" s="102">
        <v>84000.0</v>
      </c>
      <c r="D205" s="103"/>
      <c r="E205" s="103"/>
      <c r="F205" s="104"/>
      <c r="G205" s="104"/>
      <c r="H205" s="104" t="s">
        <v>689</v>
      </c>
      <c r="I205" s="401" t="s">
        <v>1151</v>
      </c>
      <c r="J205" s="106" t="str">
        <f t="shared" si="38"/>
        <v/>
      </c>
      <c r="K205" s="205"/>
      <c r="L205" s="108" t="s">
        <v>720</v>
      </c>
      <c r="M205" s="337">
        <v>46148.0</v>
      </c>
      <c r="N205" s="109">
        <v>46151.0</v>
      </c>
      <c r="O205" s="191"/>
      <c r="P205" s="108" t="s">
        <v>1163</v>
      </c>
      <c r="Q205" s="185"/>
      <c r="R205" s="108" t="s">
        <v>1164</v>
      </c>
      <c r="S205" s="112" t="s">
        <v>659</v>
      </c>
      <c r="T205" s="113">
        <v>46125.0</v>
      </c>
      <c r="U205" s="114" t="str">
        <f>IF(V205="","No AIS",VLOOKUP(V205,'Voyage days'!$A$3:$B$1480,2,FALSE))</f>
        <v>Korea + 4</v>
      </c>
      <c r="V205" s="115" t="str">
        <f>IF(VLOOKUP(A205,'1) Kpler'!$E$2:$P$1000,8, FALSE)="","",VLOOKUP(A205,'1) Kpler'!$E$2:$P$1000,8, FALSE))</f>
        <v>SK Gas Pyeongtaek</v>
      </c>
      <c r="W205" s="116">
        <f>IF(VLOOKUP(A205,'1) Kpler'!$E$2:$P$1000,9,FALSE)="","",VLOOKUP(A205,'1) Kpler'!$E$2:$P$1000,9,FALSE))</f>
        <v>46144.375</v>
      </c>
      <c r="X205" s="115" t="str">
        <f>VLOOKUP(A205,'1) Kpler'!$E$2:$I$1000,4,FALSE)</f>
        <v>loaded</v>
      </c>
      <c r="Y205" s="117" t="str">
        <f t="shared" si="1"/>
        <v>24-27 May</v>
      </c>
      <c r="Z205" s="117" t="str">
        <f t="shared" si="2"/>
        <v>09-12 Jun</v>
      </c>
      <c r="AA205" s="117" t="str">
        <f t="shared" si="3"/>
        <v>16-19 Jun</v>
      </c>
      <c r="AB205" s="117" t="str">
        <f t="shared" si="4"/>
        <v>04-07 Jun</v>
      </c>
      <c r="AC205" s="117" t="str">
        <f t="shared" si="5"/>
        <v>10-13 Jun</v>
      </c>
      <c r="AD205" s="117" t="str">
        <f t="shared" si="6"/>
        <v>13-16 May</v>
      </c>
      <c r="AE205" s="118" t="str">
        <f t="shared" si="7"/>
        <v>14-17 May</v>
      </c>
      <c r="AF205" s="119" t="str">
        <f t="shared" si="8"/>
        <v>20-23 Jun</v>
      </c>
      <c r="AG205" s="120" t="str">
        <f t="shared" si="27"/>
        <v>24-27 May</v>
      </c>
      <c r="AH205" s="121">
        <f>IFERROR($M205+VLOOKUP($L205,'Voyage days'!$F$38:$H$89,3,FALSE),"")</f>
        <v>46166</v>
      </c>
      <c r="AI205" s="121">
        <f>IFERROR(N205+VLOOKUP($L205,'Voyage days'!$F$38:$H$89,3,FALSE),"")</f>
        <v>46169</v>
      </c>
      <c r="AJ205" s="120" t="str">
        <f t="shared" si="28"/>
        <v>09-12 Jun</v>
      </c>
      <c r="AK205" s="121">
        <f>IFERROR($M205+VLOOKUP($L205,'Voyage days'!$F$94:$H$193,3,FALSE),"")</f>
        <v>46182</v>
      </c>
      <c r="AL205" s="121">
        <f>IFERROR($N205+VLOOKUP($L205,'Voyage days'!$F$94:$H$193,3,FALSE),"")</f>
        <v>46185</v>
      </c>
      <c r="AM205" s="120" t="str">
        <f t="shared" si="29"/>
        <v>16-19 Jun</v>
      </c>
      <c r="AN205" s="121">
        <f>IFERROR($M205+VLOOKUP($L205,'Voyage days'!$F$203:$H$256,3,FALSE),"")</f>
        <v>46189</v>
      </c>
      <c r="AO205" s="121">
        <f>IFERROR($N205+VLOOKUP($L205,'Voyage days'!$F$203:$H$256,3,FALSE),"")</f>
        <v>46192</v>
      </c>
      <c r="AP205" s="120" t="str">
        <f t="shared" si="30"/>
        <v>04-07 Jun</v>
      </c>
      <c r="AQ205" s="121">
        <f>IFERROR($M205+VLOOKUP($L205,'Voyage days'!$F$294:$H$377,3,FALSE),"")</f>
        <v>46177</v>
      </c>
      <c r="AR205" s="121">
        <f>IFERROR($N205+VLOOKUP($L205,'Voyage days'!$F$294:$H$377,3,FALSE),"")</f>
        <v>46180</v>
      </c>
      <c r="AS205" s="120" t="str">
        <f t="shared" si="31"/>
        <v>10-13 Jun</v>
      </c>
      <c r="AT205" s="121">
        <f>IFERROR($M205+VLOOKUP($L205,'Voyage days'!$F$382:$H$446,3,FALSE),"")</f>
        <v>46183</v>
      </c>
      <c r="AU205" s="121">
        <f>IFERROR($N205+VLOOKUP($L205,'Voyage days'!$F$382:$H$446,3,FALSE),"")</f>
        <v>46186</v>
      </c>
      <c r="AV205" s="120" t="str">
        <f t="shared" si="32"/>
        <v>20-23 May</v>
      </c>
      <c r="AW205" s="121">
        <f>IFERROR($M205+VLOOKUP($L205,'Voyage days'!$F$483:$H$538,3,FALSE),"")</f>
        <v>46162</v>
      </c>
      <c r="AX205" s="121">
        <f>IFERROR($N205+VLOOKUP($L205,'Voyage days'!$F$483:$H$538,3,FALSE),"")</f>
        <v>46165</v>
      </c>
      <c r="AY205" s="120" t="str">
        <f t="shared" si="33"/>
        <v>14-17 May</v>
      </c>
      <c r="AZ205" s="121">
        <f>IFERROR($M205+VLOOKUP($L205,'Voyage days'!$F$540:$H$613,3,FALSE),"")</f>
        <v>46156</v>
      </c>
      <c r="BA205" s="121">
        <f>IFERROR($N205+VLOOKUP($L205,'Voyage days'!$F$540:$H$613,3,FALSE),"")</f>
        <v>46159</v>
      </c>
      <c r="BB205" s="120" t="str">
        <f t="shared" si="34"/>
        <v>13-16 May</v>
      </c>
      <c r="BC205" s="121">
        <f>IFERROR($M205+VLOOKUP($L205,'Voyage days'!$F$448:$H$479,3,FALSE),"")</f>
        <v>46155</v>
      </c>
      <c r="BD205" s="121">
        <f>IFERROR($N205+VLOOKUP($L205,'Voyage days'!$F$448:$H$479,3,FALSE),"")</f>
        <v>46158</v>
      </c>
      <c r="BE205" s="120" t="str">
        <f t="shared" si="35"/>
        <v>17-20 May</v>
      </c>
      <c r="BF205" s="122">
        <f>IFERROR($M205+VLOOKUP($L205,'Voyage days'!$F$620:$H$646,3,FALSE),"")</f>
        <v>46159</v>
      </c>
      <c r="BG205" s="122">
        <f>IFERROR($N205+VLOOKUP($L205,'Voyage days'!$F$620:$H$646,3,FALSE),"")</f>
        <v>46162</v>
      </c>
      <c r="BH205" s="120" t="str">
        <f t="shared" si="36"/>
        <v>14-23 Jun</v>
      </c>
      <c r="BI205" s="123">
        <f>IFERROR($M205+VLOOKUP($L205,'Voyage days'!$F$702:$H$727,3,FALSE),"")</f>
        <v>46156</v>
      </c>
      <c r="BJ205" s="120" t="str">
        <f t="shared" si="37"/>
        <v>20-23 Jun</v>
      </c>
      <c r="BK205" s="122">
        <f>IFERROR($M205+VLOOKUP($L205,'Voyage days'!$F$807:$H$878,3,FALSE),"")</f>
        <v>46193</v>
      </c>
      <c r="BL205" s="122">
        <f>IFERROR($N205+VLOOKUP($L205,'Voyage days'!$F$807:$H$878,3,FALSE),"")</f>
        <v>46196</v>
      </c>
      <c r="BM205" s="122">
        <f>IFERROR($N205+VLOOKUP($L205,'Voyage days'!$F$807:$K$878,6,FALSE),"")</f>
        <v>46170</v>
      </c>
      <c r="BN205" s="121" t="str">
        <f>if(L205="loads AG", IFERROR($M205+VLOOKUP($L205,'Voyage days'!$M$38:$O$38,3,FALSE),""),"")</f>
        <v/>
      </c>
      <c r="BO205" s="121" t="str">
        <f>if(L205="loads USG", IFERROR($M205+VLOOKUP($L205,'Voyage days'!$L$203:$N$203,3,FALSE),""),"")</f>
        <v/>
      </c>
    </row>
    <row r="206" ht="15.75" customHeight="1">
      <c r="A206" s="473" t="s">
        <v>252</v>
      </c>
      <c r="B206" s="222">
        <v>41353.0</v>
      </c>
      <c r="C206" s="166">
        <v>82000.0</v>
      </c>
      <c r="D206" s="223"/>
      <c r="E206" s="223"/>
      <c r="F206" s="168"/>
      <c r="G206" s="168"/>
      <c r="H206" s="168" t="s">
        <v>689</v>
      </c>
      <c r="I206" s="463" t="s">
        <v>1151</v>
      </c>
      <c r="J206" s="170" t="str">
        <f t="shared" si="38"/>
        <v/>
      </c>
      <c r="K206" s="171"/>
      <c r="L206" s="172" t="s">
        <v>860</v>
      </c>
      <c r="M206" s="173">
        <v>46139.0</v>
      </c>
      <c r="N206" s="283">
        <v>46140.0</v>
      </c>
      <c r="O206" s="213"/>
      <c r="P206" s="172" t="s">
        <v>1165</v>
      </c>
      <c r="Q206" s="320"/>
      <c r="R206" s="320" t="s">
        <v>1166</v>
      </c>
      <c r="S206" s="175" t="s">
        <v>659</v>
      </c>
      <c r="T206" s="113">
        <v>46125.0</v>
      </c>
      <c r="U206" s="177" t="str">
        <f>IF(V206="","No AIS",VLOOKUP(V206,'Voyage days'!$A$3:$B$1480,2,FALSE))</f>
        <v>Singapore</v>
      </c>
      <c r="V206" s="178" t="str">
        <f>IF(VLOOKUP(A206,'1) Kpler'!$E$2:$P$1000,8, FALSE)="","",VLOOKUP(A206,'1) Kpler'!$E$2:$P$1000,8, FALSE))</f>
        <v>Singapore</v>
      </c>
      <c r="W206" s="179">
        <f>IF(VLOOKUP(A206,'1) Kpler'!$E$2:$P$1000,9,FALSE)="","",VLOOKUP(A206,'1) Kpler'!$E$2:$P$1000,9,FALSE))</f>
        <v>46139.83333</v>
      </c>
      <c r="X206" s="178" t="str">
        <f>VLOOKUP(A206,'1) Kpler'!$E$2:$I$1000,4,FALSE)</f>
        <v>loaded</v>
      </c>
      <c r="Y206" s="120" t="str">
        <f t="shared" si="1"/>
        <v>12-13 May</v>
      </c>
      <c r="Z206" s="120" t="str">
        <f t="shared" si="2"/>
        <v>04-05 Jun</v>
      </c>
      <c r="AA206" s="120" t="str">
        <f t="shared" si="3"/>
        <v>05-06 Jun</v>
      </c>
      <c r="AB206" s="120" t="str">
        <f t="shared" si="4"/>
        <v>22-23 May</v>
      </c>
      <c r="AC206" s="120" t="str">
        <f t="shared" si="5"/>
        <v>30-31 May</v>
      </c>
      <c r="AD206" s="120" t="str">
        <f t="shared" si="6"/>
        <v>04-05 May</v>
      </c>
      <c r="AE206" s="228" t="str">
        <f t="shared" si="7"/>
        <v>07-08 May</v>
      </c>
      <c r="AF206" s="229" t="str">
        <f t="shared" si="8"/>
        <v>09-10 Jun</v>
      </c>
      <c r="AG206" s="120" t="str">
        <f t="shared" si="27"/>
        <v>12-13 May</v>
      </c>
      <c r="AH206" s="121">
        <f>IFERROR($M206+VLOOKUP($L206,'Voyage days'!$F$38:$H$89,3,FALSE),"")</f>
        <v>46154</v>
      </c>
      <c r="AI206" s="121">
        <f>IFERROR(N206+VLOOKUP($L206,'Voyage days'!$F$38:$H$89,3,FALSE),"")</f>
        <v>46155</v>
      </c>
      <c r="AJ206" s="120" t="str">
        <f t="shared" si="28"/>
        <v>04-05 Jun</v>
      </c>
      <c r="AK206" s="121">
        <f>IFERROR($M206+VLOOKUP($L206,'Voyage days'!$F$94:$H$193,3,FALSE),"")</f>
        <v>46177</v>
      </c>
      <c r="AL206" s="121">
        <f>IFERROR($N206+VLOOKUP($L206,'Voyage days'!$F$94:$H$193,3,FALSE),"")</f>
        <v>46178</v>
      </c>
      <c r="AM206" s="120" t="str">
        <f t="shared" si="29"/>
        <v>05-06 Jun</v>
      </c>
      <c r="AN206" s="121">
        <f>IFERROR($M206+VLOOKUP($L206,'Voyage days'!$F$203:$H$256,3,FALSE),"")</f>
        <v>46178</v>
      </c>
      <c r="AO206" s="121">
        <f>IFERROR($N206+VLOOKUP($L206,'Voyage days'!$F$203:$H$256,3,FALSE),"")</f>
        <v>46179</v>
      </c>
      <c r="AP206" s="120" t="str">
        <f t="shared" si="30"/>
        <v>22-23 May</v>
      </c>
      <c r="AQ206" s="121">
        <f>IFERROR($M206+VLOOKUP($L206,'Voyage days'!$F$294:$H$377,3,FALSE),"")</f>
        <v>46164</v>
      </c>
      <c r="AR206" s="121">
        <f>IFERROR($N206+VLOOKUP($L206,'Voyage days'!$F$294:$H$377,3,FALSE),"")</f>
        <v>46165</v>
      </c>
      <c r="AS206" s="120" t="str">
        <f t="shared" si="31"/>
        <v>30-31 May</v>
      </c>
      <c r="AT206" s="121">
        <f>IFERROR($M206+VLOOKUP($L206,'Voyage days'!$F$382:$H$446,3,FALSE),"")</f>
        <v>46172</v>
      </c>
      <c r="AU206" s="121">
        <f>IFERROR($N206+VLOOKUP($L206,'Voyage days'!$F$382:$H$446,3,FALSE),"")</f>
        <v>46173</v>
      </c>
      <c r="AV206" s="120" t="str">
        <f t="shared" si="32"/>
        <v>13-14 May</v>
      </c>
      <c r="AW206" s="121">
        <f>IFERROR($M206+VLOOKUP($L206,'Voyage days'!$F$483:$H$538,3,FALSE),"")</f>
        <v>46155</v>
      </c>
      <c r="AX206" s="121">
        <f>IFERROR($N206+VLOOKUP($L206,'Voyage days'!$F$483:$H$538,3,FALSE),"")</f>
        <v>46156</v>
      </c>
      <c r="AY206" s="120" t="str">
        <f t="shared" si="33"/>
        <v>07-08 May</v>
      </c>
      <c r="AZ206" s="121">
        <f>IFERROR($M206+VLOOKUP($L206,'Voyage days'!$F$540:$H$613,3,FALSE),"")</f>
        <v>46149</v>
      </c>
      <c r="BA206" s="121">
        <f>IFERROR($N206+VLOOKUP($L206,'Voyage days'!$F$540:$H$613,3,FALSE),"")</f>
        <v>46150</v>
      </c>
      <c r="BB206" s="120" t="str">
        <f t="shared" si="34"/>
        <v>04-05 May</v>
      </c>
      <c r="BC206" s="121">
        <f>IFERROR($M206+VLOOKUP($L206,'Voyage days'!$F$448:$H$479,3,FALSE),"")</f>
        <v>46146</v>
      </c>
      <c r="BD206" s="121">
        <f>IFERROR($N206+VLOOKUP($L206,'Voyage days'!$F$448:$H$479,3,FALSE),"")</f>
        <v>46147</v>
      </c>
      <c r="BE206" s="120" t="str">
        <f t="shared" si="35"/>
        <v/>
      </c>
      <c r="BF206" s="122" t="str">
        <f>IFERROR($M206+VLOOKUP($L206,'Voyage days'!$F$620:$H$646,3,FALSE),"")</f>
        <v/>
      </c>
      <c r="BG206" s="122" t="str">
        <f>IFERROR($N206+VLOOKUP($L206,'Voyage days'!$F$620:$H$646,3,FALSE),"")</f>
        <v/>
      </c>
      <c r="BH206" s="120" t="str">
        <f t="shared" si="36"/>
        <v>12-10 Jun</v>
      </c>
      <c r="BI206" s="123">
        <f>IFERROR($M206+VLOOKUP($L206,'Voyage days'!$F$702:$H$727,3,FALSE),"")</f>
        <v>46154</v>
      </c>
      <c r="BJ206" s="120" t="str">
        <f t="shared" si="37"/>
        <v>09-10 Jun</v>
      </c>
      <c r="BK206" s="122">
        <f>IFERROR($M206+VLOOKUP($L206,'Voyage days'!$F$807:$H$878,3,FALSE),"")</f>
        <v>46182</v>
      </c>
      <c r="BL206" s="122">
        <f>IFERROR($N206+VLOOKUP($L206,'Voyage days'!$F$807:$H$878,3,FALSE),"")</f>
        <v>46183</v>
      </c>
      <c r="BM206" s="122">
        <f>IFERROR($N206+VLOOKUP($L206,'Voyage days'!$F$807:$K$878,6,FALSE),"")</f>
        <v>46159</v>
      </c>
      <c r="BN206" s="121" t="str">
        <f>if(L206="loads AG", IFERROR($M206+VLOOKUP($L206,'Voyage days'!$M$38:$O$38,3,FALSE),""),"")</f>
        <v/>
      </c>
      <c r="BO206" s="121" t="str">
        <f>if(L206="loads USG", IFERROR($M206+VLOOKUP($L206,'Voyage days'!$L$203:$N$203,3,FALSE),""),"")</f>
        <v/>
      </c>
    </row>
    <row r="207">
      <c r="A207" s="359" t="s">
        <v>163</v>
      </c>
      <c r="B207" s="222">
        <v>42377.0</v>
      </c>
      <c r="C207" s="166">
        <v>83000.0</v>
      </c>
      <c r="D207" s="358"/>
      <c r="E207" s="358" t="s">
        <v>706</v>
      </c>
      <c r="F207" s="282"/>
      <c r="G207" s="282"/>
      <c r="H207" s="282" t="s">
        <v>689</v>
      </c>
      <c r="I207" s="591" t="s">
        <v>1167</v>
      </c>
      <c r="J207" s="364" t="str">
        <f t="shared" si="38"/>
        <v/>
      </c>
      <c r="K207" s="365"/>
      <c r="L207" s="285" t="s">
        <v>703</v>
      </c>
      <c r="M207" s="367">
        <v>46142.0</v>
      </c>
      <c r="N207" s="173">
        <v>46143.0</v>
      </c>
      <c r="O207" s="483"/>
      <c r="P207" s="172" t="s">
        <v>1168</v>
      </c>
      <c r="Q207" s="482"/>
      <c r="R207" s="482" t="s">
        <v>1169</v>
      </c>
      <c r="S207" s="358" t="s">
        <v>659</v>
      </c>
      <c r="T207" s="486">
        <v>46125.0</v>
      </c>
      <c r="U207" s="177" t="str">
        <f>IF(V207="","No AIS",VLOOKUP(V207,'Voyage days'!$A$3:$B$1480,2,FALSE))</f>
        <v>South China + 4</v>
      </c>
      <c r="V207" s="177" t="str">
        <f>IF(VLOOKUP(A207,'1) Kpler'!$E$2:$P$1000,8, FALSE)="","",VLOOKUP(A207,'1) Kpler'!$E$2:$P$1000,8, FALSE))</f>
        <v>Guangzhou</v>
      </c>
      <c r="W207" s="370">
        <f>IF(VLOOKUP(A207,'1) Kpler'!$E$2:$P$1000,9,FALSE)="","",VLOOKUP(A207,'1) Kpler'!$E$2:$P$1000,9,FALSE))</f>
        <v>46139.41667</v>
      </c>
      <c r="X207" s="177" t="str">
        <f>VLOOKUP(A207,'1) Kpler'!$E$2:$I$1000,4,FALSE)</f>
        <v>loaded</v>
      </c>
      <c r="Y207" s="575" t="str">
        <f t="shared" si="1"/>
        <v>15-16 May</v>
      </c>
      <c r="Z207" s="575" t="str">
        <f t="shared" si="2"/>
        <v>06-07 Jun</v>
      </c>
      <c r="AA207" s="575" t="str">
        <f t="shared" si="3"/>
        <v>11-12 Jun</v>
      </c>
      <c r="AB207" s="575" t="str">
        <f t="shared" si="4"/>
        <v>26-27 May</v>
      </c>
      <c r="AC207" s="575" t="str">
        <f t="shared" si="5"/>
        <v>02-03 Jun</v>
      </c>
      <c r="AD207" s="575" t="str">
        <f t="shared" si="6"/>
        <v>04-05 May</v>
      </c>
      <c r="AE207" s="576" t="str">
        <f t="shared" si="7"/>
        <v>06-07 May</v>
      </c>
      <c r="AF207" s="182" t="str">
        <f t="shared" si="8"/>
        <v>11-12 Jun</v>
      </c>
      <c r="AG207" s="163" t="str">
        <f t="shared" si="27"/>
        <v>15-16 May</v>
      </c>
      <c r="AH207" s="122">
        <f>IFERROR($M207+VLOOKUP($L207,'Voyage days'!$F$38:$H$89,3,FALSE),"")</f>
        <v>46157</v>
      </c>
      <c r="AI207" s="122">
        <f>IFERROR(N207+VLOOKUP($L207,'Voyage days'!$F$38:$H$89,3,FALSE),"")</f>
        <v>46158</v>
      </c>
      <c r="AJ207" s="163" t="str">
        <f t="shared" si="28"/>
        <v>06-07 Jun</v>
      </c>
      <c r="AK207" s="122">
        <f>IFERROR($M207+VLOOKUP($L207,'Voyage days'!$F$94:$H$193,3,FALSE),"")</f>
        <v>46179</v>
      </c>
      <c r="AL207" s="122">
        <f>IFERROR($N207+VLOOKUP($L207,'Voyage days'!$F$94:$H$193,3,FALSE),"")</f>
        <v>46180</v>
      </c>
      <c r="AM207" s="163" t="str">
        <f t="shared" si="29"/>
        <v>11-12 Jun</v>
      </c>
      <c r="AN207" s="122">
        <f>IFERROR($M207+VLOOKUP($L207,'Voyage days'!$F$203:$H$256,3,FALSE),"")</f>
        <v>46184</v>
      </c>
      <c r="AO207" s="122">
        <f>IFERROR($N207+VLOOKUP($L207,'Voyage days'!$F$203:$H$256,3,FALSE),"")</f>
        <v>46185</v>
      </c>
      <c r="AP207" s="163" t="str">
        <f t="shared" si="30"/>
        <v>26-27 May</v>
      </c>
      <c r="AQ207" s="122">
        <f>IFERROR($M207+VLOOKUP($L207,'Voyage days'!$F$294:$H$377,3,FALSE),"")</f>
        <v>46168</v>
      </c>
      <c r="AR207" s="122">
        <f>IFERROR($N207+VLOOKUP($L207,'Voyage days'!$F$294:$H$377,3,FALSE),"")</f>
        <v>46169</v>
      </c>
      <c r="AS207" s="163" t="str">
        <f t="shared" si="31"/>
        <v>02-03 Jun</v>
      </c>
      <c r="AT207" s="122">
        <f>IFERROR($M207+VLOOKUP($L207,'Voyage days'!$F$382:$H$446,3,FALSE),"")</f>
        <v>46175</v>
      </c>
      <c r="AU207" s="122">
        <f>IFERROR($N207+VLOOKUP($L207,'Voyage days'!$F$382:$H$446,3,FALSE),"")</f>
        <v>46176</v>
      </c>
      <c r="AV207" s="163" t="str">
        <f t="shared" si="32"/>
        <v>14-15 May</v>
      </c>
      <c r="AW207" s="122">
        <f>IFERROR($M207+VLOOKUP($L207,'Voyage days'!$F$483:$H$538,3,FALSE),"")</f>
        <v>46156</v>
      </c>
      <c r="AX207" s="122">
        <f>IFERROR($N207+VLOOKUP($L207,'Voyage days'!$F$483:$H$538,3,FALSE),"")</f>
        <v>46157</v>
      </c>
      <c r="AY207" s="163" t="str">
        <f t="shared" si="33"/>
        <v>06-07 May</v>
      </c>
      <c r="AZ207" s="122">
        <f>IFERROR($M207+VLOOKUP($L207,'Voyage days'!$F$540:$H$613,3,FALSE),"")</f>
        <v>46148.75</v>
      </c>
      <c r="BA207" s="122">
        <f>IFERROR($N207+VLOOKUP($L207,'Voyage days'!$F$540:$H$613,3,FALSE),"")</f>
        <v>46149.75</v>
      </c>
      <c r="BB207" s="163" t="str">
        <f t="shared" si="34"/>
        <v>04-05 May</v>
      </c>
      <c r="BC207" s="121">
        <f>IFERROR($M207+VLOOKUP($L207,'Voyage days'!$F$448:$H$479,3,FALSE),"")</f>
        <v>46146</v>
      </c>
      <c r="BD207" s="121">
        <f>IFERROR($N207+VLOOKUP($L207,'Voyage days'!$F$448:$H$479,3,FALSE),"")</f>
        <v>46147</v>
      </c>
      <c r="BE207" s="163" t="str">
        <f t="shared" si="35"/>
        <v/>
      </c>
      <c r="BF207" s="122" t="str">
        <f>IFERROR($M207+VLOOKUP($L207,'Voyage days'!$F$620:$H$646,3,FALSE),"")</f>
        <v/>
      </c>
      <c r="BG207" s="122" t="str">
        <f>IFERROR($N207+VLOOKUP($L207,'Voyage days'!$F$620:$H$646,3,FALSE),"")</f>
        <v/>
      </c>
      <c r="BH207" s="163" t="str">
        <f t="shared" si="36"/>
        <v>06-12 Jun</v>
      </c>
      <c r="BI207" s="123">
        <f>IFERROR($M207+VLOOKUP($L207,'Voyage days'!$F$702:$H$727,3,FALSE),"")</f>
        <v>46148.75</v>
      </c>
      <c r="BJ207" s="163" t="str">
        <f t="shared" si="37"/>
        <v>11-12 Jun</v>
      </c>
      <c r="BK207" s="122">
        <f>IFERROR($M207+VLOOKUP($L207,'Voyage days'!$F$807:$H$878,3,FALSE),"")</f>
        <v>46184</v>
      </c>
      <c r="BL207" s="122">
        <f>IFERROR($N207+VLOOKUP($L207,'Voyage days'!$F$807:$H$878,3,FALSE),"")</f>
        <v>46185</v>
      </c>
      <c r="BM207" s="122">
        <f>IFERROR($N207+VLOOKUP($L207,'Voyage days'!$F$807:$K$878,6,FALSE),"")</f>
        <v>46160</v>
      </c>
      <c r="BN207" s="121" t="str">
        <f>if(L207="loads AG", IFERROR($M207+VLOOKUP($L207,'Voyage days'!$M$38:$O$38,3,FALSE),""),"")</f>
        <v/>
      </c>
      <c r="BO207" s="121" t="str">
        <f>if(L207="loads USG", IFERROR($M207+VLOOKUP($L207,'Voyage days'!$L$203:$N$203,3,FALSE),""),"")</f>
        <v/>
      </c>
    </row>
    <row r="208" ht="15.75" customHeight="1">
      <c r="A208" s="359" t="s">
        <v>484</v>
      </c>
      <c r="B208" s="360">
        <v>2022.0</v>
      </c>
      <c r="C208" s="352">
        <v>90000.0</v>
      </c>
      <c r="D208" s="361"/>
      <c r="E208" s="361"/>
      <c r="F208" s="362"/>
      <c r="G208" s="362"/>
      <c r="H208" s="362" t="s">
        <v>666</v>
      </c>
      <c r="I208" s="363" t="s">
        <v>1170</v>
      </c>
      <c r="J208" s="592" t="str">
        <f t="shared" si="38"/>
        <v>NO AIS</v>
      </c>
      <c r="K208" s="365"/>
      <c r="L208" s="366" t="s">
        <v>1171</v>
      </c>
      <c r="M208" s="367">
        <v>46141.0</v>
      </c>
      <c r="N208" s="173">
        <v>46142.0</v>
      </c>
      <c r="O208" s="361"/>
      <c r="P208" s="593" t="s">
        <v>1172</v>
      </c>
      <c r="Q208" s="594"/>
      <c r="R208" s="285" t="s">
        <v>1173</v>
      </c>
      <c r="S208" s="358" t="s">
        <v>659</v>
      </c>
      <c r="T208" s="486">
        <v>46125.0</v>
      </c>
      <c r="U208" s="177" t="str">
        <f>IF(V208="","No AIS",VLOOKUP(V208,'Voyage days'!$A$3:$B$1480,2,FALSE))</f>
        <v>No AIS</v>
      </c>
      <c r="V208" s="177" t="str">
        <f>IF(VLOOKUP(A208,'1) Kpler'!$E$2:$P$1000,8, FALSE)="","",VLOOKUP(A208,'1) Kpler'!$E$2:$P$1000,8, FALSE))</f>
        <v/>
      </c>
      <c r="W208" s="370" t="str">
        <f>IF(VLOOKUP(A208,'1) Kpler'!$E$2:$P$1000,9,FALSE)="","",VLOOKUP(A208,'1) Kpler'!$E$2:$P$1000,9,FALSE))</f>
        <v/>
      </c>
      <c r="X208" s="177" t="str">
        <f>VLOOKUP(A208,'1) Kpler'!$E$2:$I$1000,4,FALSE)</f>
        <v>loaded</v>
      </c>
      <c r="Y208" s="163" t="str">
        <f t="shared" si="1"/>
        <v>23-24 May</v>
      </c>
      <c r="Z208" s="163" t="str">
        <f t="shared" si="2"/>
        <v/>
      </c>
      <c r="AA208" s="163" t="str">
        <f t="shared" si="3"/>
        <v/>
      </c>
      <c r="AB208" s="163" t="str">
        <f t="shared" si="4"/>
        <v>29-30 Apr</v>
      </c>
      <c r="AC208" s="163" t="str">
        <f t="shared" si="5"/>
        <v>09-10 May</v>
      </c>
      <c r="AD208" s="163" t="str">
        <f t="shared" si="6"/>
        <v/>
      </c>
      <c r="AE208" s="371" t="str">
        <f t="shared" si="7"/>
        <v/>
      </c>
      <c r="AF208" s="229" t="str">
        <f t="shared" si="8"/>
        <v/>
      </c>
      <c r="AG208" s="163" t="str">
        <f t="shared" si="27"/>
        <v>23-24 May</v>
      </c>
      <c r="AH208" s="122">
        <f>IFERROR($M208+VLOOKUP($L208,'Voyage days'!$F$38:$H$89,3,FALSE),"")</f>
        <v>46165</v>
      </c>
      <c r="AI208" s="122">
        <f>IFERROR(N208+VLOOKUP($L208,'Voyage days'!$F$38:$H$89,3,FALSE),"")</f>
        <v>46166</v>
      </c>
      <c r="AJ208" s="163" t="str">
        <f t="shared" si="28"/>
        <v/>
      </c>
      <c r="AK208" s="122" t="str">
        <f>IFERROR($M208+VLOOKUP($L208,'Voyage days'!$F$94:$H$193,3,FALSE),"")</f>
        <v/>
      </c>
      <c r="AL208" s="122" t="str">
        <f>IFERROR($N208+VLOOKUP($L208,'Voyage days'!$F$94:$H$193,3,FALSE),"")</f>
        <v/>
      </c>
      <c r="AM208" s="163" t="str">
        <f t="shared" si="29"/>
        <v/>
      </c>
      <c r="AN208" s="122" t="str">
        <f>IFERROR($M208+VLOOKUP($L208,'Voyage days'!$F$203:$H$256,3,FALSE),"")</f>
        <v/>
      </c>
      <c r="AO208" s="122" t="str">
        <f>IFERROR($N208+VLOOKUP($L208,'Voyage days'!$F$203:$H$256,3,FALSE),"")</f>
        <v/>
      </c>
      <c r="AP208" s="163" t="str">
        <f t="shared" si="30"/>
        <v>29-30 Apr</v>
      </c>
      <c r="AQ208" s="122">
        <f>IFERROR($M208+VLOOKUP($L208,'Voyage days'!$F$294:$H$377,3,FALSE),"")</f>
        <v>46141</v>
      </c>
      <c r="AR208" s="122">
        <f>IFERROR($N208+VLOOKUP($L208,'Voyage days'!$F$294:$H$377,3,FALSE),"")</f>
        <v>46142</v>
      </c>
      <c r="AS208" s="163" t="str">
        <f t="shared" si="31"/>
        <v>09-10 May</v>
      </c>
      <c r="AT208" s="122">
        <f>IFERROR($M208+VLOOKUP($L208,'Voyage days'!$F$382:$H$446,3,FALSE),"")</f>
        <v>46151</v>
      </c>
      <c r="AU208" s="122">
        <f>IFERROR($N208+VLOOKUP($L208,'Voyage days'!$F$382:$H$446,3,FALSE),"")</f>
        <v>46152</v>
      </c>
      <c r="AV208" s="163" t="str">
        <f t="shared" si="32"/>
        <v/>
      </c>
      <c r="AW208" s="122" t="str">
        <f>IFERROR($M208+VLOOKUP($L208,'Voyage days'!$F$483:$H$538,3,FALSE),"")</f>
        <v/>
      </c>
      <c r="AX208" s="122" t="str">
        <f>IFERROR($N208+VLOOKUP($L208,'Voyage days'!$F$483:$H$538,3,FALSE),"")</f>
        <v/>
      </c>
      <c r="AY208" s="163" t="str">
        <f t="shared" si="33"/>
        <v/>
      </c>
      <c r="AZ208" s="122" t="str">
        <f>IFERROR($M208+VLOOKUP($L208,'Voyage days'!$F$540:$H$613,3,FALSE),"")</f>
        <v/>
      </c>
      <c r="BA208" s="122" t="str">
        <f>IFERROR($N208+VLOOKUP($L208,'Voyage days'!$F$540:$H$613,3,FALSE),"")</f>
        <v/>
      </c>
      <c r="BB208" s="163" t="str">
        <f t="shared" si="34"/>
        <v/>
      </c>
      <c r="BC208" s="121" t="str">
        <f>IFERROR($M208+VLOOKUP($L208,'Voyage days'!$F$448:$H$479,3,FALSE),"")</f>
        <v/>
      </c>
      <c r="BD208" s="121" t="str">
        <f>IFERROR($N208+VLOOKUP($L208,'Voyage days'!$F$448:$H$479,3,FALSE),"")</f>
        <v/>
      </c>
      <c r="BE208" s="163" t="str">
        <f t="shared" si="35"/>
        <v/>
      </c>
      <c r="BF208" s="122" t="str">
        <f>IFERROR($M208+VLOOKUP($L208,'Voyage days'!$F$620:$H$646,3,FALSE),"")</f>
        <v/>
      </c>
      <c r="BG208" s="122" t="str">
        <f>IFERROR($N208+VLOOKUP($L208,'Voyage days'!$F$620:$H$646,3,FALSE),"")</f>
        <v/>
      </c>
      <c r="BH208" s="163" t="str">
        <f t="shared" si="36"/>
        <v/>
      </c>
      <c r="BI208" s="123" t="str">
        <f>IFERROR($M208+VLOOKUP($L208,'Voyage days'!$F$702:$H$727,3,FALSE),"")</f>
        <v/>
      </c>
      <c r="BJ208" s="163" t="str">
        <f t="shared" si="37"/>
        <v/>
      </c>
      <c r="BK208" s="122" t="str">
        <f>IFERROR($M208+VLOOKUP($L208,'Voyage days'!$F$807:$H$878,3,FALSE),"")</f>
        <v/>
      </c>
      <c r="BL208" s="122" t="str">
        <f>IFERROR($N208+VLOOKUP($L208,'Voyage days'!$F$807:$H$878,3,FALSE),"")</f>
        <v/>
      </c>
      <c r="BM208" s="122" t="str">
        <f>IFERROR($N208+VLOOKUP($L208,'Voyage days'!$F$807:$K$878,6,FALSE),"")</f>
        <v/>
      </c>
      <c r="BN208" s="121" t="str">
        <f>if(L208="loads AG", IFERROR($M208+VLOOKUP($L208,'Voyage days'!$M$38:$O$38,3,FALSE),""),"")</f>
        <v/>
      </c>
      <c r="BO208" s="121" t="str">
        <f>if(L208="loads USG", IFERROR($M208+VLOOKUP($L208,'Voyage days'!$L$203:$N$203,3,FALSE),""),"")</f>
        <v/>
      </c>
    </row>
    <row r="209" ht="15.75" customHeight="1">
      <c r="A209" s="258" t="s">
        <v>515</v>
      </c>
      <c r="B209" s="189">
        <v>36465.0</v>
      </c>
      <c r="C209" s="102">
        <v>84000.0</v>
      </c>
      <c r="D209" s="503"/>
      <c r="E209" s="503"/>
      <c r="F209" s="150"/>
      <c r="G209" s="150"/>
      <c r="H209" s="150"/>
      <c r="I209" s="289" t="s">
        <v>1174</v>
      </c>
      <c r="J209" s="236" t="str">
        <f t="shared" si="38"/>
        <v/>
      </c>
      <c r="K209" s="152"/>
      <c r="L209" s="153" t="s">
        <v>755</v>
      </c>
      <c r="M209" s="109">
        <v>46159.0</v>
      </c>
      <c r="N209" s="109">
        <v>46160.0</v>
      </c>
      <c r="O209" s="155"/>
      <c r="P209" s="317" t="s">
        <v>1175</v>
      </c>
      <c r="Q209" s="157"/>
      <c r="R209" s="153" t="s">
        <v>1176</v>
      </c>
      <c r="S209" s="256" t="s">
        <v>659</v>
      </c>
      <c r="T209" s="293">
        <v>46125.0</v>
      </c>
      <c r="U209" s="114" t="str">
        <f>IF(V209="","No AIS",VLOOKUP(V209,'Voyage days'!$A$3:$B$1480,2,FALSE))</f>
        <v>Indo + 4</v>
      </c>
      <c r="V209" s="114" t="str">
        <f>IF(VLOOKUP(A209,'1) Kpler'!$E$2:$P$1000,8, FALSE)="","",VLOOKUP(A209,'1) Kpler'!$E$2:$P$1000,8, FALSE))</f>
        <v>Oiltank. Merak</v>
      </c>
      <c r="W209" s="159">
        <f>IF(VLOOKUP(A209,'1) Kpler'!$E$2:$P$1000,9,FALSE)="","",VLOOKUP(A209,'1) Kpler'!$E$2:$P$1000,9,FALSE))</f>
        <v>46156.5</v>
      </c>
      <c r="X209" s="114" t="str">
        <f>VLOOKUP(A209,'1) Kpler'!$E$2:$I$1000,4,FALSE)</f>
        <v>loaded</v>
      </c>
      <c r="Y209" s="296" t="str">
        <f t="shared" si="1"/>
        <v>28-29 May</v>
      </c>
      <c r="Z209" s="296" t="str">
        <f t="shared" si="2"/>
        <v>25-26 Jun</v>
      </c>
      <c r="AA209" s="296" t="str">
        <f t="shared" si="3"/>
        <v>23-24 Jun</v>
      </c>
      <c r="AB209" s="296" t="str">
        <f t="shared" si="4"/>
        <v>06-07 Jun</v>
      </c>
      <c r="AC209" s="296" t="str">
        <f t="shared" si="5"/>
        <v>15-16 Jun</v>
      </c>
      <c r="AD209" s="296" t="str">
        <f t="shared" si="6"/>
        <v>20-21 May</v>
      </c>
      <c r="AE209" s="297" t="str">
        <f t="shared" si="7"/>
        <v>21-22 May</v>
      </c>
      <c r="AF209" s="119" t="str">
        <f t="shared" si="8"/>
        <v>23-24 Jun</v>
      </c>
      <c r="AG209" s="163" t="str">
        <f t="shared" si="27"/>
        <v>28-29 May</v>
      </c>
      <c r="AH209" s="122">
        <f>IFERROR($M209+VLOOKUP($L209,'Voyage days'!$F$38:$H$89,3,FALSE),"")</f>
        <v>46170</v>
      </c>
      <c r="AI209" s="122">
        <f>IFERROR(N209+VLOOKUP($L209,'Voyage days'!$F$38:$H$89,3,FALSE),"")</f>
        <v>46171</v>
      </c>
      <c r="AJ209" s="163" t="str">
        <f t="shared" si="28"/>
        <v>25-26 Jun</v>
      </c>
      <c r="AK209" s="122">
        <f>IFERROR($M209+VLOOKUP($L209,'Voyage days'!$F$94:$H$193,3,FALSE),"")</f>
        <v>46198</v>
      </c>
      <c r="AL209" s="122">
        <f>IFERROR($N209+VLOOKUP($L209,'Voyage days'!$F$94:$H$193,3,FALSE),"")</f>
        <v>46199</v>
      </c>
      <c r="AM209" s="163" t="str">
        <f t="shared" si="29"/>
        <v>23-24 Jun</v>
      </c>
      <c r="AN209" s="122">
        <f>IFERROR($M209+VLOOKUP($L209,'Voyage days'!$F$203:$H$256,3,FALSE),"")</f>
        <v>46196</v>
      </c>
      <c r="AO209" s="122">
        <f>IFERROR($N209+VLOOKUP($L209,'Voyage days'!$F$203:$H$256,3,FALSE),"")</f>
        <v>46197</v>
      </c>
      <c r="AP209" s="163" t="str">
        <f t="shared" si="30"/>
        <v>06-07 Jun</v>
      </c>
      <c r="AQ209" s="122">
        <f>IFERROR($M209+VLOOKUP($L209,'Voyage days'!$F$294:$H$377,3,FALSE),"")</f>
        <v>46179</v>
      </c>
      <c r="AR209" s="122">
        <f>IFERROR($N209+VLOOKUP($L209,'Voyage days'!$F$294:$H$377,3,FALSE),"")</f>
        <v>46180</v>
      </c>
      <c r="AS209" s="163" t="str">
        <f t="shared" si="31"/>
        <v>15-16 Jun</v>
      </c>
      <c r="AT209" s="122">
        <f>IFERROR($M209+VLOOKUP($L209,'Voyage days'!$F$382:$H$446,3,FALSE),"")</f>
        <v>46188</v>
      </c>
      <c r="AU209" s="122">
        <f>IFERROR($N209+VLOOKUP($L209,'Voyage days'!$F$382:$H$446,3,FALSE),"")</f>
        <v>46189</v>
      </c>
      <c r="AV209" s="163" t="str">
        <f t="shared" si="32"/>
        <v>26-27 May</v>
      </c>
      <c r="AW209" s="122">
        <f>IFERROR($M209+VLOOKUP($L209,'Voyage days'!$F$483:$H$538,3,FALSE),"")</f>
        <v>46168</v>
      </c>
      <c r="AX209" s="122">
        <f>IFERROR($N209+VLOOKUP($L209,'Voyage days'!$F$483:$H$538,3,FALSE),"")</f>
        <v>46169</v>
      </c>
      <c r="AY209" s="163" t="str">
        <f t="shared" si="33"/>
        <v>21-22 May</v>
      </c>
      <c r="AZ209" s="122">
        <f>IFERROR($M209+VLOOKUP($L209,'Voyage days'!$F$540:$H$613,3,FALSE),"")</f>
        <v>46163</v>
      </c>
      <c r="BA209" s="122">
        <f>IFERROR($N209+VLOOKUP($L209,'Voyage days'!$F$540:$H$613,3,FALSE),"")</f>
        <v>46164</v>
      </c>
      <c r="BB209" s="163" t="str">
        <f t="shared" si="34"/>
        <v>20-21 May</v>
      </c>
      <c r="BC209" s="121">
        <f>IFERROR($M209+VLOOKUP($L209,'Voyage days'!$F$448:$H$479,3,FALSE),"")</f>
        <v>46162</v>
      </c>
      <c r="BD209" s="121">
        <f>IFERROR($N209+VLOOKUP($L209,'Voyage days'!$F$448:$H$479,3,FALSE),"")</f>
        <v>46163</v>
      </c>
      <c r="BE209" s="163" t="str">
        <f t="shared" si="35"/>
        <v/>
      </c>
      <c r="BF209" s="122" t="str">
        <f>IFERROR($M209+VLOOKUP($L209,'Voyage days'!$F$620:$H$646,3,FALSE),"")</f>
        <v/>
      </c>
      <c r="BG209" s="122" t="str">
        <f>IFERROR($N209+VLOOKUP($L209,'Voyage days'!$F$620:$H$646,3,FALSE),"")</f>
        <v/>
      </c>
      <c r="BH209" s="163" t="str">
        <f t="shared" si="36"/>
        <v>25-24 Jun</v>
      </c>
      <c r="BI209" s="123">
        <f>IFERROR($M209+VLOOKUP($L209,'Voyage days'!$F$702:$H$727,3,FALSE),"")</f>
        <v>46167</v>
      </c>
      <c r="BJ209" s="163" t="str">
        <f t="shared" si="37"/>
        <v>23-24 Jun</v>
      </c>
      <c r="BK209" s="122">
        <f>IFERROR($M209+VLOOKUP($L209,'Voyage days'!$F$807:$H$878,3,FALSE),"")</f>
        <v>46196</v>
      </c>
      <c r="BL209" s="122">
        <f>IFERROR($N209+VLOOKUP($L209,'Voyage days'!$F$807:$H$878,3,FALSE),"")</f>
        <v>46197</v>
      </c>
      <c r="BM209" s="122">
        <f>IFERROR($N209+VLOOKUP($L209,'Voyage days'!$F$807:$K$878,6,FALSE),"")</f>
        <v>46173</v>
      </c>
      <c r="BN209" s="121" t="str">
        <f>if(L209="loads AG", IFERROR($M209+VLOOKUP($L209,'Voyage days'!$M$38:$O$38,3,FALSE),""),"")</f>
        <v/>
      </c>
      <c r="BO209" s="121" t="str">
        <f>if(L209="loads USG", IFERROR($M209+VLOOKUP($L209,'Voyage days'!$L$203:$N$203,3,FALSE),""),"")</f>
        <v/>
      </c>
    </row>
    <row r="210" ht="15.75" customHeight="1">
      <c r="A210" s="359" t="s">
        <v>219</v>
      </c>
      <c r="B210" s="595">
        <v>36801.0</v>
      </c>
      <c r="C210" s="166">
        <v>84310.0</v>
      </c>
      <c r="D210" s="374"/>
      <c r="E210" s="374"/>
      <c r="F210" s="282"/>
      <c r="G210" s="282"/>
      <c r="H210" s="282"/>
      <c r="I210" s="363" t="s">
        <v>1174</v>
      </c>
      <c r="J210" s="170" t="str">
        <f t="shared" si="38"/>
        <v/>
      </c>
      <c r="K210" s="171"/>
      <c r="L210" s="285" t="s">
        <v>755</v>
      </c>
      <c r="M210" s="283">
        <v>46145.0</v>
      </c>
      <c r="N210" s="283">
        <v>46146.0</v>
      </c>
      <c r="O210" s="596"/>
      <c r="P210" s="285" t="s">
        <v>1177</v>
      </c>
      <c r="Q210" s="597"/>
      <c r="R210" s="285" t="s">
        <v>1178</v>
      </c>
      <c r="S210" s="598" t="s">
        <v>659</v>
      </c>
      <c r="T210" s="176">
        <v>46125.0</v>
      </c>
      <c r="U210" s="177" t="str">
        <f>IF(V210="","No AIS",VLOOKUP(V210,'Voyage days'!$A$3:$B$1480,2,FALSE))</f>
        <v>Indo + 4</v>
      </c>
      <c r="V210" s="177" t="str">
        <f>IF(VLOOKUP(A210,'1) Kpler'!$E$2:$P$1000,8, FALSE)="","",VLOOKUP(A210,'1) Kpler'!$E$2:$P$1000,8, FALSE))</f>
        <v>Arun</v>
      </c>
      <c r="W210" s="370">
        <f>IF(VLOOKUP(A210,'1) Kpler'!$E$2:$P$1000,9,FALSE)="","",VLOOKUP(A210,'1) Kpler'!$E$2:$P$1000,9,FALSE))</f>
        <v>46142.5</v>
      </c>
      <c r="X210" s="177" t="str">
        <f>VLOOKUP(A210,'1) Kpler'!$E$2:$I$1000,4,FALSE)</f>
        <v>loaded</v>
      </c>
      <c r="Y210" s="120" t="str">
        <f t="shared" si="1"/>
        <v>14-15 May</v>
      </c>
      <c r="Z210" s="120" t="str">
        <f t="shared" si="2"/>
        <v>11-12 Jun</v>
      </c>
      <c r="AA210" s="120" t="str">
        <f t="shared" si="3"/>
        <v>09-10 Jun</v>
      </c>
      <c r="AB210" s="120" t="str">
        <f t="shared" si="4"/>
        <v>23-24 May</v>
      </c>
      <c r="AC210" s="120" t="str">
        <f t="shared" si="5"/>
        <v>01-02 Jun</v>
      </c>
      <c r="AD210" s="120" t="str">
        <f t="shared" si="6"/>
        <v>06-07 May</v>
      </c>
      <c r="AE210" s="228" t="str">
        <f t="shared" si="7"/>
        <v>07-08 May</v>
      </c>
      <c r="AF210" s="229" t="str">
        <f t="shared" si="8"/>
        <v>09-10 Jun</v>
      </c>
      <c r="AG210" s="120" t="str">
        <f t="shared" si="27"/>
        <v>14-15 May</v>
      </c>
      <c r="AH210" s="121">
        <f>IFERROR($M210+VLOOKUP($L210,'Voyage days'!$F$38:$H$89,3,FALSE),"")</f>
        <v>46156</v>
      </c>
      <c r="AI210" s="121">
        <f>IFERROR(N210+VLOOKUP($L210,'Voyage days'!$F$38:$H$89,3,FALSE),"")</f>
        <v>46157</v>
      </c>
      <c r="AJ210" s="120" t="str">
        <f t="shared" si="28"/>
        <v>11-12 Jun</v>
      </c>
      <c r="AK210" s="121">
        <f>IFERROR($M210+VLOOKUP($L210,'Voyage days'!$F$94:$H$193,3,FALSE),"")</f>
        <v>46184</v>
      </c>
      <c r="AL210" s="121">
        <f>IFERROR($N210+VLOOKUP($L210,'Voyage days'!$F$94:$H$193,3,FALSE),"")</f>
        <v>46185</v>
      </c>
      <c r="AM210" s="120" t="str">
        <f t="shared" si="29"/>
        <v>09-10 Jun</v>
      </c>
      <c r="AN210" s="121">
        <f>IFERROR($M210+VLOOKUP($L210,'Voyage days'!$F$203:$H$256,3,FALSE),"")</f>
        <v>46182</v>
      </c>
      <c r="AO210" s="121">
        <f>IFERROR($N210+VLOOKUP($L210,'Voyage days'!$F$203:$H$256,3,FALSE),"")</f>
        <v>46183</v>
      </c>
      <c r="AP210" s="120" t="str">
        <f t="shared" si="30"/>
        <v>23-24 May</v>
      </c>
      <c r="AQ210" s="121">
        <f>IFERROR($M210+VLOOKUP($L210,'Voyage days'!$F$294:$H$377,3,FALSE),"")</f>
        <v>46165</v>
      </c>
      <c r="AR210" s="121">
        <f>IFERROR($N210+VLOOKUP($L210,'Voyage days'!$F$294:$H$377,3,FALSE),"")</f>
        <v>46166</v>
      </c>
      <c r="AS210" s="120" t="str">
        <f t="shared" si="31"/>
        <v>01-02 Jun</v>
      </c>
      <c r="AT210" s="121">
        <f>IFERROR($M210+VLOOKUP($L210,'Voyage days'!$F$382:$H$446,3,FALSE),"")</f>
        <v>46174</v>
      </c>
      <c r="AU210" s="121">
        <f>IFERROR($N210+VLOOKUP($L210,'Voyage days'!$F$382:$H$446,3,FALSE),"")</f>
        <v>46175</v>
      </c>
      <c r="AV210" s="120" t="str">
        <f t="shared" si="32"/>
        <v>12-13 May</v>
      </c>
      <c r="AW210" s="121">
        <f>IFERROR($M210+VLOOKUP($L210,'Voyage days'!$F$483:$H$538,3,FALSE),"")</f>
        <v>46154</v>
      </c>
      <c r="AX210" s="121">
        <f>IFERROR($N210+VLOOKUP($L210,'Voyage days'!$F$483:$H$538,3,FALSE),"")</f>
        <v>46155</v>
      </c>
      <c r="AY210" s="120" t="str">
        <f t="shared" si="33"/>
        <v>07-08 May</v>
      </c>
      <c r="AZ210" s="121">
        <f>IFERROR($M210+VLOOKUP($L210,'Voyage days'!$F$540:$H$613,3,FALSE),"")</f>
        <v>46149</v>
      </c>
      <c r="BA210" s="121">
        <f>IFERROR($N210+VLOOKUP($L210,'Voyage days'!$F$540:$H$613,3,FALSE),"")</f>
        <v>46150</v>
      </c>
      <c r="BB210" s="120" t="str">
        <f t="shared" si="34"/>
        <v>06-07 May</v>
      </c>
      <c r="BC210" s="121">
        <f>IFERROR($M210+VLOOKUP($L210,'Voyage days'!$F$448:$H$479,3,FALSE),"")</f>
        <v>46148</v>
      </c>
      <c r="BD210" s="121">
        <f>IFERROR($N210+VLOOKUP($L210,'Voyage days'!$F$448:$H$479,3,FALSE),"")</f>
        <v>46149</v>
      </c>
      <c r="BE210" s="120" t="str">
        <f t="shared" si="35"/>
        <v/>
      </c>
      <c r="BF210" s="122" t="str">
        <f>IFERROR($M210+VLOOKUP($L210,'Voyage days'!$F$620:$H$646,3,FALSE),"")</f>
        <v/>
      </c>
      <c r="BG210" s="122" t="str">
        <f>IFERROR($N210+VLOOKUP($L210,'Voyage days'!$F$620:$H$646,3,FALSE),"")</f>
        <v/>
      </c>
      <c r="BH210" s="120" t="str">
        <f t="shared" si="36"/>
        <v>11-10 Jun</v>
      </c>
      <c r="BI210" s="123">
        <f>IFERROR($M210+VLOOKUP($L210,'Voyage days'!$F$702:$H$727,3,FALSE),"")</f>
        <v>46153</v>
      </c>
      <c r="BJ210" s="120" t="str">
        <f t="shared" si="37"/>
        <v>09-10 Jun</v>
      </c>
      <c r="BK210" s="122">
        <f>IFERROR($M210+VLOOKUP($L210,'Voyage days'!$F$807:$H$878,3,FALSE),"")</f>
        <v>46182</v>
      </c>
      <c r="BL210" s="122">
        <f>IFERROR($N210+VLOOKUP($L210,'Voyage days'!$F$807:$H$878,3,FALSE),"")</f>
        <v>46183</v>
      </c>
      <c r="BM210" s="122">
        <f>IFERROR($N210+VLOOKUP($L210,'Voyage days'!$F$807:$K$878,6,FALSE),"")</f>
        <v>46159</v>
      </c>
      <c r="BN210" s="121" t="str">
        <f>if(L210="loads AG", IFERROR($M210+VLOOKUP($L210,'Voyage days'!$M$38:$O$38,3,FALSE),""),"")</f>
        <v/>
      </c>
      <c r="BO210" s="121" t="str">
        <f>if(L210="loads USG", IFERROR($M210+VLOOKUP($L210,'Voyage days'!$L$203:$N$203,3,FALSE),""),"")</f>
        <v/>
      </c>
    </row>
    <row r="211" ht="15.75" customHeight="1">
      <c r="A211" s="100" t="s">
        <v>216</v>
      </c>
      <c r="B211" s="506">
        <v>2023.0</v>
      </c>
      <c r="C211" s="102">
        <v>91000.0</v>
      </c>
      <c r="D211" s="103"/>
      <c r="E211" s="103"/>
      <c r="F211" s="104"/>
      <c r="G211" s="104"/>
      <c r="H211" s="104" t="s">
        <v>666</v>
      </c>
      <c r="I211" s="108" t="s">
        <v>1179</v>
      </c>
      <c r="J211" s="106" t="str">
        <f t="shared" si="38"/>
        <v>Update</v>
      </c>
      <c r="K211" s="107"/>
      <c r="L211" s="108" t="s">
        <v>680</v>
      </c>
      <c r="M211" s="109">
        <v>46125.0</v>
      </c>
      <c r="N211" s="438">
        <v>46126.0</v>
      </c>
      <c r="O211" s="255"/>
      <c r="P211" s="153" t="s">
        <v>1180</v>
      </c>
      <c r="Q211" s="108"/>
      <c r="R211" s="108" t="s">
        <v>1181</v>
      </c>
      <c r="S211" s="256" t="s">
        <v>659</v>
      </c>
      <c r="T211" s="113">
        <v>46125.0</v>
      </c>
      <c r="U211" s="114" t="str">
        <f>IF(V211="","No AIS",VLOOKUP(V211,'Voyage days'!$A$3:$B$1480,2,FALSE))</f>
        <v>Japan + 6</v>
      </c>
      <c r="V211" s="115" t="str">
        <f>IF(VLOOKUP(A211,'1) Kpler'!$E$2:$P$1000,8, FALSE)="","",VLOOKUP(A211,'1) Kpler'!$E$2:$P$1000,8, FALSE))</f>
        <v>Chiba</v>
      </c>
      <c r="W211" s="116">
        <f>IF(VLOOKUP(A211,'1) Kpler'!$E$2:$P$1000,9,FALSE)="","",VLOOKUP(A211,'1) Kpler'!$E$2:$P$1000,9,FALSE))</f>
        <v>46152.75</v>
      </c>
      <c r="X211" s="115" t="str">
        <f>VLOOKUP(A211,'1) Kpler'!$E$2:$I$1000,4,FALSE)</f>
        <v>loaded</v>
      </c>
      <c r="Y211" s="117" t="str">
        <f t="shared" si="1"/>
        <v/>
      </c>
      <c r="Z211" s="117" t="str">
        <f t="shared" si="2"/>
        <v>13-14 Apr</v>
      </c>
      <c r="AA211" s="117" t="str">
        <f t="shared" si="3"/>
        <v>13-14 Apr</v>
      </c>
      <c r="AB211" s="117" t="str">
        <f t="shared" si="4"/>
        <v/>
      </c>
      <c r="AC211" s="117" t="str">
        <f t="shared" si="5"/>
        <v>03-04 May</v>
      </c>
      <c r="AD211" s="117" t="str">
        <f t="shared" si="6"/>
        <v/>
      </c>
      <c r="AE211" s="118" t="str">
        <f t="shared" si="7"/>
        <v/>
      </c>
      <c r="AF211" s="119" t="str">
        <f t="shared" si="8"/>
        <v/>
      </c>
      <c r="AG211" s="120" t="str">
        <f t="shared" si="27"/>
        <v/>
      </c>
      <c r="AH211" s="121" t="str">
        <f>IFERROR($M211+VLOOKUP($L211,'Voyage days'!$F$38:$H$89,3,FALSE),"")</f>
        <v/>
      </c>
      <c r="AI211" s="121" t="str">
        <f>IFERROR(N211+VLOOKUP($L211,'Voyage days'!$F$38:$H$89,3,FALSE),"")</f>
        <v/>
      </c>
      <c r="AJ211" s="120" t="str">
        <f t="shared" si="28"/>
        <v>13-14 Apr</v>
      </c>
      <c r="AK211" s="121">
        <f>IFERROR($M211+VLOOKUP($L211,'Voyage days'!$F$94:$H$193,3,FALSE),"")</f>
        <v>46125</v>
      </c>
      <c r="AL211" s="121">
        <f>IFERROR($N211+VLOOKUP($L211,'Voyage days'!$F$94:$H$193,3,FALSE),"")</f>
        <v>46126</v>
      </c>
      <c r="AM211" s="120" t="str">
        <f t="shared" si="29"/>
        <v>13-14 Apr</v>
      </c>
      <c r="AN211" s="121">
        <f>IFERROR($M211+VLOOKUP($L211,'Voyage days'!$F$203:$H$256,3,FALSE),"")</f>
        <v>46125</v>
      </c>
      <c r="AO211" s="121">
        <f>IFERROR($N211+VLOOKUP($L211,'Voyage days'!$F$203:$H$256,3,FALSE),"")</f>
        <v>46126</v>
      </c>
      <c r="AP211" s="120" t="str">
        <f t="shared" si="30"/>
        <v/>
      </c>
      <c r="AQ211" s="121" t="str">
        <f>IFERROR($M211+VLOOKUP($L211,'Voyage days'!$F$294:$H$377,3,FALSE),"")</f>
        <v/>
      </c>
      <c r="AR211" s="121" t="str">
        <f>IFERROR($N211+VLOOKUP($L211,'Voyage days'!$F$294:$H$377,3,FALSE),"")</f>
        <v/>
      </c>
      <c r="AS211" s="120" t="str">
        <f t="shared" si="31"/>
        <v>03-04 May</v>
      </c>
      <c r="AT211" s="121">
        <f>IFERROR($M211+VLOOKUP($L211,'Voyage days'!$F$382:$H$446,3,FALSE),"")</f>
        <v>46145</v>
      </c>
      <c r="AU211" s="121">
        <f>IFERROR($N211+VLOOKUP($L211,'Voyage days'!$F$382:$H$446,3,FALSE),"")</f>
        <v>46146</v>
      </c>
      <c r="AV211" s="120" t="str">
        <f t="shared" si="32"/>
        <v/>
      </c>
      <c r="AW211" s="121" t="str">
        <f>IFERROR($M211+VLOOKUP($L211,'Voyage days'!$F$483:$H$538,3,FALSE),"")</f>
        <v/>
      </c>
      <c r="AX211" s="121" t="str">
        <f>IFERROR($N211+VLOOKUP($L211,'Voyage days'!$F$483:$H$538,3,FALSE),"")</f>
        <v/>
      </c>
      <c r="AY211" s="120" t="str">
        <f t="shared" si="33"/>
        <v/>
      </c>
      <c r="AZ211" s="121" t="str">
        <f>IFERROR($M211+VLOOKUP($L211,'Voyage days'!$F$540:$H$613,3,FALSE),"")</f>
        <v/>
      </c>
      <c r="BA211" s="121" t="str">
        <f>IFERROR($N211+VLOOKUP($L211,'Voyage days'!$F$540:$H$613,3,FALSE),"")</f>
        <v/>
      </c>
      <c r="BB211" s="120" t="str">
        <f t="shared" si="34"/>
        <v/>
      </c>
      <c r="BC211" s="121" t="str">
        <f>IFERROR($M211+VLOOKUP($L211,'Voyage days'!$F$448:$H$479,3,FALSE),"")</f>
        <v/>
      </c>
      <c r="BD211" s="121" t="str">
        <f>IFERROR($N211+VLOOKUP($L211,'Voyage days'!$F$448:$H$479,3,FALSE),"")</f>
        <v/>
      </c>
      <c r="BE211" s="120" t="str">
        <f t="shared" si="35"/>
        <v/>
      </c>
      <c r="BF211" s="122" t="str">
        <f>IFERROR($M211+VLOOKUP($L211,'Voyage days'!$F$620:$H$646,3,FALSE),"")</f>
        <v/>
      </c>
      <c r="BG211" s="122" t="str">
        <f>IFERROR($N211+VLOOKUP($L211,'Voyage days'!$F$620:$H$646,3,FALSE),"")</f>
        <v/>
      </c>
      <c r="BH211" s="120" t="str">
        <f t="shared" si="36"/>
        <v/>
      </c>
      <c r="BI211" s="123" t="str">
        <f>IFERROR($M211+VLOOKUP($L211,'Voyage days'!$F$702:$H$727,3,FALSE),"")</f>
        <v/>
      </c>
      <c r="BJ211" s="120" t="str">
        <f t="shared" si="37"/>
        <v/>
      </c>
      <c r="BK211" s="122" t="str">
        <f>IFERROR($M211+VLOOKUP($L211,'Voyage days'!$F$807:$H$878,3,FALSE),"")</f>
        <v/>
      </c>
      <c r="BL211" s="122" t="str">
        <f>IFERROR($N211+VLOOKUP($L211,'Voyage days'!$F$807:$H$878,3,FALSE),"")</f>
        <v/>
      </c>
      <c r="BM211" s="122" t="str">
        <f>IFERROR($N211+VLOOKUP($L211,'Voyage days'!$F$807:$K$878,6,FALSE),"")</f>
        <v/>
      </c>
      <c r="BN211" s="121" t="str">
        <f>if(L211="loads AG", IFERROR($M211+VLOOKUP($L211,'Voyage days'!$M$38:$O$38,3,FALSE),""),"")</f>
        <v/>
      </c>
      <c r="BO211" s="121">
        <f>if(L211="loads USG", IFERROR($M211+VLOOKUP($L211,'Voyage days'!$L$203:$N$203,3,FALSE),""),"")</f>
        <v>46157</v>
      </c>
    </row>
    <row r="212" ht="15.75" customHeight="1">
      <c r="A212" s="599" t="s">
        <v>224</v>
      </c>
      <c r="B212" s="600">
        <v>40848.0</v>
      </c>
      <c r="C212" s="203">
        <v>78599.89</v>
      </c>
      <c r="D212" s="149"/>
      <c r="E212" s="149"/>
      <c r="F212" s="150"/>
      <c r="G212" s="150"/>
      <c r="H212" s="150"/>
      <c r="I212" s="153" t="s">
        <v>1179</v>
      </c>
      <c r="J212" s="151" t="str">
        <f t="shared" si="38"/>
        <v>Update</v>
      </c>
      <c r="K212" s="152"/>
      <c r="L212" s="153" t="s">
        <v>698</v>
      </c>
      <c r="M212" s="391">
        <v>46130.0</v>
      </c>
      <c r="N212" s="391">
        <v>46131.0</v>
      </c>
      <c r="O212" s="186"/>
      <c r="P212" s="187" t="s">
        <v>1182</v>
      </c>
      <c r="Q212" s="153" t="s">
        <v>1183</v>
      </c>
      <c r="R212" s="153" t="s">
        <v>1184</v>
      </c>
      <c r="S212" s="256" t="s">
        <v>659</v>
      </c>
      <c r="T212" s="293">
        <v>46125.0</v>
      </c>
      <c r="U212" s="114" t="str">
        <f>IF(V212="","No AIS",VLOOKUP(V212,'Voyage days'!$A$3:$B$1480,2,FALSE))</f>
        <v>Singapore</v>
      </c>
      <c r="V212" s="114" t="str">
        <f>IF(VLOOKUP(A212,'1) Kpler'!$E$2:$P$1000,8, FALSE)="","",VLOOKUP(A212,'1) Kpler'!$E$2:$P$1000,8, FALSE))</f>
        <v>Singapore</v>
      </c>
      <c r="W212" s="159">
        <f>IF(VLOOKUP(A212,'1) Kpler'!$E$2:$P$1000,9,FALSE)="","",VLOOKUP(A212,'1) Kpler'!$E$2:$P$1000,9,FALSE))</f>
        <v>46132.125</v>
      </c>
      <c r="X212" s="114" t="str">
        <f>VLOOKUP(A212,'1) Kpler'!$E$2:$I$1000,4,FALSE)</f>
        <v>ballast</v>
      </c>
      <c r="Y212" s="272" t="str">
        <f t="shared" si="1"/>
        <v>28-29 Apr</v>
      </c>
      <c r="Z212" s="272" t="str">
        <f t="shared" si="2"/>
        <v>21-22 May</v>
      </c>
      <c r="AA212" s="272" t="str">
        <f t="shared" si="3"/>
        <v>22-23 May</v>
      </c>
      <c r="AB212" s="272" t="str">
        <f t="shared" si="4"/>
        <v>08-09 May</v>
      </c>
      <c r="AC212" s="272" t="str">
        <f t="shared" si="5"/>
        <v>16-17 May</v>
      </c>
      <c r="AD212" s="272" t="str">
        <f t="shared" si="6"/>
        <v>18-19 Apr</v>
      </c>
      <c r="AE212" s="273" t="str">
        <f t="shared" si="7"/>
        <v>23-24 Apr</v>
      </c>
      <c r="AF212" s="162" t="str">
        <f t="shared" si="8"/>
        <v>25-26 May</v>
      </c>
      <c r="AG212" s="163" t="str">
        <f t="shared" si="27"/>
        <v>28-29 Apr</v>
      </c>
      <c r="AH212" s="122">
        <f>IFERROR($M212+VLOOKUP($L212,'Voyage days'!$F$38:$H$89,3,FALSE),"")</f>
        <v>46140</v>
      </c>
      <c r="AI212" s="122">
        <f>IFERROR(N212+VLOOKUP($L212,'Voyage days'!$F$38:$H$89,3,FALSE),"")</f>
        <v>46141</v>
      </c>
      <c r="AJ212" s="163" t="str">
        <f t="shared" si="28"/>
        <v>21-22 May</v>
      </c>
      <c r="AK212" s="122">
        <f>IFERROR($M212+VLOOKUP($L212,'Voyage days'!$F$94:$H$193,3,FALSE),"")</f>
        <v>46163</v>
      </c>
      <c r="AL212" s="122">
        <f>IFERROR($N212+VLOOKUP($L212,'Voyage days'!$F$94:$H$193,3,FALSE),"")</f>
        <v>46164</v>
      </c>
      <c r="AM212" s="163" t="str">
        <f t="shared" si="29"/>
        <v>22-23 May</v>
      </c>
      <c r="AN212" s="122">
        <f>IFERROR($M212+VLOOKUP($L212,'Voyage days'!$F$203:$H$256,3,FALSE),"")</f>
        <v>46164</v>
      </c>
      <c r="AO212" s="122">
        <f>IFERROR($N212+VLOOKUP($L212,'Voyage days'!$F$203:$H$256,3,FALSE),"")</f>
        <v>46165</v>
      </c>
      <c r="AP212" s="163" t="str">
        <f t="shared" si="30"/>
        <v>08-09 May</v>
      </c>
      <c r="AQ212" s="122">
        <f>IFERROR($M212+VLOOKUP($L212,'Voyage days'!$F$294:$H$377,3,FALSE),"")</f>
        <v>46150</v>
      </c>
      <c r="AR212" s="122">
        <f>IFERROR($N212+VLOOKUP($L212,'Voyage days'!$F$294:$H$377,3,FALSE),"")</f>
        <v>46151</v>
      </c>
      <c r="AS212" s="163" t="str">
        <f t="shared" si="31"/>
        <v>16-17 May</v>
      </c>
      <c r="AT212" s="122">
        <f>IFERROR($M212+VLOOKUP($L212,'Voyage days'!$F$382:$H$446,3,FALSE),"")</f>
        <v>46158</v>
      </c>
      <c r="AU212" s="122">
        <f>IFERROR($N212+VLOOKUP($L212,'Voyage days'!$F$382:$H$446,3,FALSE),"")</f>
        <v>46159</v>
      </c>
      <c r="AV212" s="163" t="str">
        <f t="shared" si="32"/>
        <v>29-30 Apr</v>
      </c>
      <c r="AW212" s="122">
        <f>IFERROR($M212+VLOOKUP($L212,'Voyage days'!$F$483:$H$538,3,FALSE),"")</f>
        <v>46141</v>
      </c>
      <c r="AX212" s="122">
        <f>IFERROR($N212+VLOOKUP($L212,'Voyage days'!$F$483:$H$538,3,FALSE),"")</f>
        <v>46142</v>
      </c>
      <c r="AY212" s="163" t="str">
        <f t="shared" si="33"/>
        <v>23-24 Apr</v>
      </c>
      <c r="AZ212" s="122">
        <f>IFERROR($M212+VLOOKUP($L212,'Voyage days'!$F$540:$H$613,3,FALSE),"")</f>
        <v>46135.25</v>
      </c>
      <c r="BA212" s="122">
        <f>IFERROR($N212+VLOOKUP($L212,'Voyage days'!$F$540:$H$613,3,FALSE),"")</f>
        <v>46136.25</v>
      </c>
      <c r="BB212" s="163" t="str">
        <f t="shared" si="34"/>
        <v>18-19 Apr</v>
      </c>
      <c r="BC212" s="121">
        <f>IFERROR($M212+VLOOKUP($L212,'Voyage days'!$F$448:$H$479,3,FALSE),"")</f>
        <v>46130</v>
      </c>
      <c r="BD212" s="121">
        <f>IFERROR($N212+VLOOKUP($L212,'Voyage days'!$F$448:$H$479,3,FALSE),"")</f>
        <v>46131</v>
      </c>
      <c r="BE212" s="163" t="str">
        <f t="shared" si="35"/>
        <v/>
      </c>
      <c r="BF212" s="122" t="str">
        <f>IFERROR($M212+VLOOKUP($L212,'Voyage days'!$F$620:$H$646,3,FALSE),"")</f>
        <v/>
      </c>
      <c r="BG212" s="122" t="str">
        <f>IFERROR($N212+VLOOKUP($L212,'Voyage days'!$F$620:$H$646,3,FALSE),"")</f>
        <v/>
      </c>
      <c r="BH212" s="163" t="str">
        <f t="shared" si="36"/>
        <v>28-26 May</v>
      </c>
      <c r="BI212" s="123">
        <f>IFERROR($M212+VLOOKUP($L212,'Voyage days'!$F$702:$H$727,3,FALSE),"")</f>
        <v>46140</v>
      </c>
      <c r="BJ212" s="163" t="str">
        <f t="shared" si="37"/>
        <v>25-26 May</v>
      </c>
      <c r="BK212" s="122">
        <f>IFERROR($M212+VLOOKUP($L212,'Voyage days'!$F$807:$H$878,3,FALSE),"")</f>
        <v>46167</v>
      </c>
      <c r="BL212" s="122">
        <f>IFERROR($N212+VLOOKUP($L212,'Voyage days'!$F$807:$H$878,3,FALSE),"")</f>
        <v>46168</v>
      </c>
      <c r="BM212" s="122">
        <f>IFERROR($N212+VLOOKUP($L212,'Voyage days'!$F$807:$K$878,6,FALSE),"")</f>
        <v>46144</v>
      </c>
      <c r="BN212" s="121" t="str">
        <f>if(L212="loads AG", IFERROR($M212+VLOOKUP($L212,'Voyage days'!$M$38:$O$38,3,FALSE),""),"")</f>
        <v/>
      </c>
      <c r="BO212" s="121" t="str">
        <f>if(L212="loads USG", IFERROR($M212+VLOOKUP($L212,'Voyage days'!$L$203:$N$203,3,FALSE),""),"")</f>
        <v/>
      </c>
    </row>
    <row r="213" ht="15.75" customHeight="1">
      <c r="A213" s="100" t="s">
        <v>267</v>
      </c>
      <c r="B213" s="506">
        <v>2008.0</v>
      </c>
      <c r="C213" s="102">
        <v>82200.0</v>
      </c>
      <c r="D213" s="103"/>
      <c r="E213" s="103"/>
      <c r="F213" s="104"/>
      <c r="G213" s="104"/>
      <c r="H213" s="104"/>
      <c r="I213" s="108" t="s">
        <v>1179</v>
      </c>
      <c r="J213" s="106" t="str">
        <f t="shared" si="38"/>
        <v/>
      </c>
      <c r="K213" s="107"/>
      <c r="L213" s="108" t="s">
        <v>680</v>
      </c>
      <c r="M213" s="109">
        <v>46146.0</v>
      </c>
      <c r="N213" s="109">
        <v>46147.0</v>
      </c>
      <c r="O213" s="255" t="s">
        <v>709</v>
      </c>
      <c r="P213" s="187" t="s">
        <v>1090</v>
      </c>
      <c r="Q213" s="108"/>
      <c r="R213" s="304" t="s">
        <v>1185</v>
      </c>
      <c r="S213" s="256" t="s">
        <v>659</v>
      </c>
      <c r="T213" s="113">
        <v>46125.0</v>
      </c>
      <c r="U213" s="114" t="str">
        <f>IF(V213="","No AIS",VLOOKUP(V213,'Voyage days'!$A$3:$B$1480,2,FALSE))</f>
        <v>Panama</v>
      </c>
      <c r="V213" s="115" t="str">
        <f>IF(VLOOKUP(A213,'1) Kpler'!$E$2:$P$1000,8, FALSE)="","",VLOOKUP(A213,'1) Kpler'!$E$2:$P$1000,8, FALSE))</f>
        <v>Panama Canal</v>
      </c>
      <c r="W213" s="116">
        <f>IF(VLOOKUP(A213,'1) Kpler'!$E$2:$P$1000,9,FALSE)="","",VLOOKUP(A213,'1) Kpler'!$E$2:$P$1000,9,FALSE))</f>
        <v>46140.5</v>
      </c>
      <c r="X213" s="115" t="str">
        <f>VLOOKUP(A213,'1) Kpler'!$E$2:$I$1000,4,FALSE)</f>
        <v>ballast</v>
      </c>
      <c r="Y213" s="160" t="str">
        <f t="shared" si="1"/>
        <v/>
      </c>
      <c r="Z213" s="160" t="str">
        <f t="shared" si="2"/>
        <v>04-05 May</v>
      </c>
      <c r="AA213" s="160" t="str">
        <f t="shared" si="3"/>
        <v>04-05 May</v>
      </c>
      <c r="AB213" s="160" t="str">
        <f t="shared" si="4"/>
        <v/>
      </c>
      <c r="AC213" s="160" t="str">
        <f t="shared" si="5"/>
        <v>24-25 May</v>
      </c>
      <c r="AD213" s="160" t="str">
        <f t="shared" si="6"/>
        <v/>
      </c>
      <c r="AE213" s="161" t="str">
        <f t="shared" si="7"/>
        <v/>
      </c>
      <c r="AF213" s="162" t="str">
        <f t="shared" si="8"/>
        <v/>
      </c>
      <c r="AG213" s="120" t="str">
        <f t="shared" si="27"/>
        <v/>
      </c>
      <c r="AH213" s="121" t="str">
        <f>IFERROR($M213+VLOOKUP($L213,'Voyage days'!$F$38:$H$89,3,FALSE),"")</f>
        <v/>
      </c>
      <c r="AI213" s="121" t="str">
        <f>IFERROR(N213+VLOOKUP($L213,'Voyage days'!$F$38:$H$89,3,FALSE),"")</f>
        <v/>
      </c>
      <c r="AJ213" s="120" t="str">
        <f t="shared" si="28"/>
        <v>04-05 May</v>
      </c>
      <c r="AK213" s="121">
        <f>IFERROR($M213+VLOOKUP($L213,'Voyage days'!$F$94:$H$193,3,FALSE),"")</f>
        <v>46146</v>
      </c>
      <c r="AL213" s="121">
        <f>IFERROR($N213+VLOOKUP($L213,'Voyage days'!$F$94:$H$193,3,FALSE),"")</f>
        <v>46147</v>
      </c>
      <c r="AM213" s="120" t="str">
        <f t="shared" si="29"/>
        <v>04-05 May</v>
      </c>
      <c r="AN213" s="121">
        <f>IFERROR($M213+VLOOKUP($L213,'Voyage days'!$F$203:$H$256,3,FALSE),"")</f>
        <v>46146</v>
      </c>
      <c r="AO213" s="121">
        <f>IFERROR($N213+VLOOKUP($L213,'Voyage days'!$F$203:$H$256,3,FALSE),"")</f>
        <v>46147</v>
      </c>
      <c r="AP213" s="120" t="str">
        <f t="shared" si="30"/>
        <v/>
      </c>
      <c r="AQ213" s="121" t="str">
        <f>IFERROR($M213+VLOOKUP($L213,'Voyage days'!$F$294:$H$377,3,FALSE),"")</f>
        <v/>
      </c>
      <c r="AR213" s="121" t="str">
        <f>IFERROR($N213+VLOOKUP($L213,'Voyage days'!$F$294:$H$377,3,FALSE),"")</f>
        <v/>
      </c>
      <c r="AS213" s="120" t="str">
        <f t="shared" si="31"/>
        <v>24-25 May</v>
      </c>
      <c r="AT213" s="121">
        <f>IFERROR($M213+VLOOKUP($L213,'Voyage days'!$F$382:$H$446,3,FALSE),"")</f>
        <v>46166</v>
      </c>
      <c r="AU213" s="121">
        <f>IFERROR($N213+VLOOKUP($L213,'Voyage days'!$F$382:$H$446,3,FALSE),"")</f>
        <v>46167</v>
      </c>
      <c r="AV213" s="120" t="str">
        <f t="shared" si="32"/>
        <v/>
      </c>
      <c r="AW213" s="121" t="str">
        <f>IFERROR($M213+VLOOKUP($L213,'Voyage days'!$F$483:$H$538,3,FALSE),"")</f>
        <v/>
      </c>
      <c r="AX213" s="121" t="str">
        <f>IFERROR($N213+VLOOKUP($L213,'Voyage days'!$F$483:$H$538,3,FALSE),"")</f>
        <v/>
      </c>
      <c r="AY213" s="120" t="str">
        <f t="shared" si="33"/>
        <v/>
      </c>
      <c r="AZ213" s="121" t="str">
        <f>IFERROR($M213+VLOOKUP($L213,'Voyage days'!$F$540:$H$613,3,FALSE),"")</f>
        <v/>
      </c>
      <c r="BA213" s="121" t="str">
        <f>IFERROR($N213+VLOOKUP($L213,'Voyage days'!$F$540:$H$613,3,FALSE),"")</f>
        <v/>
      </c>
      <c r="BB213" s="120" t="str">
        <f t="shared" si="34"/>
        <v/>
      </c>
      <c r="BC213" s="121" t="str">
        <f>IFERROR($M213+VLOOKUP($L213,'Voyage days'!$F$448:$H$479,3,FALSE),"")</f>
        <v/>
      </c>
      <c r="BD213" s="121" t="str">
        <f>IFERROR($N213+VLOOKUP($L213,'Voyage days'!$F$448:$H$479,3,FALSE),"")</f>
        <v/>
      </c>
      <c r="BE213" s="120" t="str">
        <f t="shared" si="35"/>
        <v/>
      </c>
      <c r="BF213" s="122" t="str">
        <f>IFERROR($M213+VLOOKUP($L213,'Voyage days'!$F$620:$H$646,3,FALSE),"")</f>
        <v/>
      </c>
      <c r="BG213" s="122" t="str">
        <f>IFERROR($N213+VLOOKUP($L213,'Voyage days'!$F$620:$H$646,3,FALSE),"")</f>
        <v/>
      </c>
      <c r="BH213" s="120" t="str">
        <f t="shared" si="36"/>
        <v/>
      </c>
      <c r="BI213" s="123" t="str">
        <f>IFERROR($M213+VLOOKUP($L213,'Voyage days'!$F$702:$H$727,3,FALSE),"")</f>
        <v/>
      </c>
      <c r="BJ213" s="120" t="str">
        <f t="shared" si="37"/>
        <v/>
      </c>
      <c r="BK213" s="122" t="str">
        <f>IFERROR($M213+VLOOKUP($L213,'Voyage days'!$F$807:$H$878,3,FALSE),"")</f>
        <v/>
      </c>
      <c r="BL213" s="122" t="str">
        <f>IFERROR($N213+VLOOKUP($L213,'Voyage days'!$F$807:$H$878,3,FALSE),"")</f>
        <v/>
      </c>
      <c r="BM213" s="122" t="str">
        <f>IFERROR($N213+VLOOKUP($L213,'Voyage days'!$F$807:$K$878,6,FALSE),"")</f>
        <v/>
      </c>
      <c r="BN213" s="121" t="str">
        <f>if(L213="loads AG", IFERROR($M213+VLOOKUP($L213,'Voyage days'!$M$38:$O$38,3,FALSE),""),"")</f>
        <v/>
      </c>
      <c r="BO213" s="121">
        <f>if(L213="loads USG", IFERROR($M213+VLOOKUP($L213,'Voyage days'!$L$203:$N$203,3,FALSE),""),"")</f>
        <v>46178</v>
      </c>
    </row>
    <row r="214" ht="15.75" customHeight="1">
      <c r="A214" s="204" t="s">
        <v>312</v>
      </c>
      <c r="B214" s="601">
        <v>2026.0</v>
      </c>
      <c r="C214" s="203">
        <v>90964.0</v>
      </c>
      <c r="D214" s="103"/>
      <c r="E214" s="103"/>
      <c r="F214" s="104"/>
      <c r="G214" s="104"/>
      <c r="H214" s="104"/>
      <c r="I214" s="108" t="s">
        <v>1179</v>
      </c>
      <c r="J214" s="106" t="str">
        <f t="shared" si="38"/>
        <v>Update</v>
      </c>
      <c r="K214" s="107"/>
      <c r="L214" s="108" t="s">
        <v>680</v>
      </c>
      <c r="M214" s="109">
        <v>46126.0</v>
      </c>
      <c r="N214" s="109">
        <v>46127.0</v>
      </c>
      <c r="O214" s="255"/>
      <c r="P214" s="187" t="s">
        <v>1186</v>
      </c>
      <c r="Q214" s="108"/>
      <c r="R214" s="108" t="s">
        <v>1187</v>
      </c>
      <c r="S214" s="256" t="s">
        <v>659</v>
      </c>
      <c r="T214" s="113">
        <v>46125.0</v>
      </c>
      <c r="U214" s="114" t="str">
        <f>IF(V214="","No AIS",VLOOKUP(V214,'Voyage days'!$A$3:$B$1480,2,FALSE))</f>
        <v>India?/SG-JP?</v>
      </c>
      <c r="V214" s="115" t="str">
        <f>IF(VLOOKUP(A214,'1) Kpler'!$E$2:$P$1000,8, FALSE)="","",VLOOKUP(A214,'1) Kpler'!$E$2:$P$1000,8, FALSE))</f>
        <v>Eastern Asia</v>
      </c>
      <c r="W214" s="116">
        <f>IF(VLOOKUP(A214,'1) Kpler'!$E$2:$P$1000,9,FALSE)="","",VLOOKUP(A214,'1) Kpler'!$E$2:$P$1000,9,FALSE))</f>
        <v>46160.24514</v>
      </c>
      <c r="X214" s="115" t="str">
        <f>VLOOKUP(A214,'1) Kpler'!$E$2:$I$1000,4,FALSE)</f>
        <v>loaded</v>
      </c>
      <c r="Y214" s="160" t="str">
        <f t="shared" si="1"/>
        <v/>
      </c>
      <c r="Z214" s="160" t="str">
        <f t="shared" si="2"/>
        <v>14-15 Apr</v>
      </c>
      <c r="AA214" s="160" t="str">
        <f t="shared" si="3"/>
        <v>14-15 Apr</v>
      </c>
      <c r="AB214" s="160" t="str">
        <f t="shared" si="4"/>
        <v/>
      </c>
      <c r="AC214" s="160" t="str">
        <f t="shared" si="5"/>
        <v>04-05 May</v>
      </c>
      <c r="AD214" s="160" t="str">
        <f t="shared" si="6"/>
        <v/>
      </c>
      <c r="AE214" s="161" t="str">
        <f t="shared" si="7"/>
        <v/>
      </c>
      <c r="AF214" s="162" t="str">
        <f t="shared" si="8"/>
        <v/>
      </c>
      <c r="AG214" s="120" t="str">
        <f t="shared" si="27"/>
        <v/>
      </c>
      <c r="AH214" s="121" t="str">
        <f>IFERROR($M214+VLOOKUP($L214,'Voyage days'!$F$38:$H$89,3,FALSE),"")</f>
        <v/>
      </c>
      <c r="AI214" s="121" t="str">
        <f>IFERROR(N214+VLOOKUP($L214,'Voyage days'!$F$38:$H$89,3,FALSE),"")</f>
        <v/>
      </c>
      <c r="AJ214" s="120" t="str">
        <f t="shared" si="28"/>
        <v>14-15 Apr</v>
      </c>
      <c r="AK214" s="121">
        <f>IFERROR($M214+VLOOKUP($L214,'Voyage days'!$F$94:$H$193,3,FALSE),"")</f>
        <v>46126</v>
      </c>
      <c r="AL214" s="121">
        <f>IFERROR($N214+VLOOKUP($L214,'Voyage days'!$F$94:$H$193,3,FALSE),"")</f>
        <v>46127</v>
      </c>
      <c r="AM214" s="120" t="str">
        <f t="shared" si="29"/>
        <v>14-15 Apr</v>
      </c>
      <c r="AN214" s="121">
        <f>IFERROR($M214+VLOOKUP($L214,'Voyage days'!$F$203:$H$256,3,FALSE),"")</f>
        <v>46126</v>
      </c>
      <c r="AO214" s="121">
        <f>IFERROR($N214+VLOOKUP($L214,'Voyage days'!$F$203:$H$256,3,FALSE),"")</f>
        <v>46127</v>
      </c>
      <c r="AP214" s="120" t="str">
        <f t="shared" si="30"/>
        <v/>
      </c>
      <c r="AQ214" s="121" t="str">
        <f>IFERROR($M214+VLOOKUP($L214,'Voyage days'!$F$294:$H$377,3,FALSE),"")</f>
        <v/>
      </c>
      <c r="AR214" s="121" t="str">
        <f>IFERROR($N214+VLOOKUP($L214,'Voyage days'!$F$294:$H$377,3,FALSE),"")</f>
        <v/>
      </c>
      <c r="AS214" s="120" t="str">
        <f t="shared" si="31"/>
        <v>04-05 May</v>
      </c>
      <c r="AT214" s="121">
        <f>IFERROR($M214+VLOOKUP($L214,'Voyage days'!$F$382:$H$446,3,FALSE),"")</f>
        <v>46146</v>
      </c>
      <c r="AU214" s="121">
        <f>IFERROR($N214+VLOOKUP($L214,'Voyage days'!$F$382:$H$446,3,FALSE),"")</f>
        <v>46147</v>
      </c>
      <c r="AV214" s="120" t="str">
        <f t="shared" si="32"/>
        <v/>
      </c>
      <c r="AW214" s="121" t="str">
        <f>IFERROR($M214+VLOOKUP($L214,'Voyage days'!$F$483:$H$538,3,FALSE),"")</f>
        <v/>
      </c>
      <c r="AX214" s="121" t="str">
        <f>IFERROR($N214+VLOOKUP($L214,'Voyage days'!$F$483:$H$538,3,FALSE),"")</f>
        <v/>
      </c>
      <c r="AY214" s="120" t="str">
        <f t="shared" si="33"/>
        <v/>
      </c>
      <c r="AZ214" s="121" t="str">
        <f>IFERROR($M214+VLOOKUP($L214,'Voyage days'!$F$540:$H$613,3,FALSE),"")</f>
        <v/>
      </c>
      <c r="BA214" s="121" t="str">
        <f>IFERROR($N214+VLOOKUP($L214,'Voyage days'!$F$540:$H$613,3,FALSE),"")</f>
        <v/>
      </c>
      <c r="BB214" s="120" t="str">
        <f t="shared" si="34"/>
        <v/>
      </c>
      <c r="BC214" s="121" t="str">
        <f>IFERROR($M214+VLOOKUP($L214,'Voyage days'!$F$448:$H$479,3,FALSE),"")</f>
        <v/>
      </c>
      <c r="BD214" s="121" t="str">
        <f>IFERROR($N214+VLOOKUP($L214,'Voyage days'!$F$448:$H$479,3,FALSE),"")</f>
        <v/>
      </c>
      <c r="BE214" s="120" t="str">
        <f t="shared" si="35"/>
        <v/>
      </c>
      <c r="BF214" s="122" t="str">
        <f>IFERROR($M214+VLOOKUP($L214,'Voyage days'!$F$620:$H$646,3,FALSE),"")</f>
        <v/>
      </c>
      <c r="BG214" s="122" t="str">
        <f>IFERROR($N214+VLOOKUP($L214,'Voyage days'!$F$620:$H$646,3,FALSE),"")</f>
        <v/>
      </c>
      <c r="BH214" s="120" t="str">
        <f t="shared" si="36"/>
        <v/>
      </c>
      <c r="BI214" s="123" t="str">
        <f>IFERROR($M214+VLOOKUP($L214,'Voyage days'!$F$702:$H$727,3,FALSE),"")</f>
        <v/>
      </c>
      <c r="BJ214" s="120" t="str">
        <f t="shared" si="37"/>
        <v/>
      </c>
      <c r="BK214" s="122" t="str">
        <f>IFERROR($M214+VLOOKUP($L214,'Voyage days'!$F$807:$H$878,3,FALSE),"")</f>
        <v/>
      </c>
      <c r="BL214" s="122" t="str">
        <f>IFERROR($N214+VLOOKUP($L214,'Voyage days'!$F$807:$H$878,3,FALSE),"")</f>
        <v/>
      </c>
      <c r="BM214" s="122" t="str">
        <f>IFERROR($N214+VLOOKUP($L214,'Voyage days'!$F$807:$K$878,6,FALSE),"")</f>
        <v/>
      </c>
      <c r="BN214" s="121" t="str">
        <f>if(L214="loads AG", IFERROR($M214+VLOOKUP($L214,'Voyage days'!$M$38:$O$38,3,FALSE),""),"")</f>
        <v/>
      </c>
      <c r="BO214" s="121">
        <f>if(L214="loads USG", IFERROR($M214+VLOOKUP($L214,'Voyage days'!$L$203:$N$203,3,FALSE),""),"")</f>
        <v>46158</v>
      </c>
    </row>
    <row r="215" ht="15.75" customHeight="1">
      <c r="A215" s="100" t="s">
        <v>460</v>
      </c>
      <c r="B215" s="506">
        <v>2023.0</v>
      </c>
      <c r="C215" s="102">
        <v>91000.0</v>
      </c>
      <c r="D215" s="103"/>
      <c r="E215" s="103"/>
      <c r="F215" s="104"/>
      <c r="G215" s="104"/>
      <c r="H215" s="104" t="s">
        <v>666</v>
      </c>
      <c r="I215" s="108" t="s">
        <v>1179</v>
      </c>
      <c r="J215" s="106" t="str">
        <f t="shared" si="38"/>
        <v>Update</v>
      </c>
      <c r="K215" s="107"/>
      <c r="L215" s="108" t="s">
        <v>773</v>
      </c>
      <c r="M215" s="109">
        <v>46128.0</v>
      </c>
      <c r="N215" s="109">
        <v>46129.0</v>
      </c>
      <c r="O215" s="255"/>
      <c r="P215" s="108" t="s">
        <v>1188</v>
      </c>
      <c r="Q215" s="108"/>
      <c r="R215" s="108" t="s">
        <v>1189</v>
      </c>
      <c r="S215" s="256" t="s">
        <v>659</v>
      </c>
      <c r="T215" s="113">
        <v>46125.0</v>
      </c>
      <c r="U215" s="114" t="str">
        <f>IF(V215="","No AIS",VLOOKUP(V215,'Voyage days'!$A$3:$B$1480,2,FALSE))</f>
        <v>USG</v>
      </c>
      <c r="V215" s="115" t="str">
        <f>IF(VLOOKUP(A215,'1) Kpler'!$E$2:$P$1000,8, FALSE)="","",VLOOKUP(A215,'1) Kpler'!$E$2:$P$1000,8, FALSE))</f>
        <v>Energy Transfer Marcus Hook</v>
      </c>
      <c r="W215" s="116">
        <f>IF(VLOOKUP(A215,'1) Kpler'!$E$2:$P$1000,9,FALSE)="","",VLOOKUP(A215,'1) Kpler'!$E$2:$P$1000,9,FALSE))</f>
        <v>46140.79167</v>
      </c>
      <c r="X215" s="115" t="str">
        <f>VLOOKUP(A215,'1) Kpler'!$E$2:$I$1000,4,FALSE)</f>
        <v>ballast</v>
      </c>
      <c r="Y215" s="117" t="str">
        <f t="shared" si="1"/>
        <v/>
      </c>
      <c r="Z215" s="160" t="str">
        <f t="shared" si="2"/>
        <v>30-01 May</v>
      </c>
      <c r="AA215" s="160" t="str">
        <f t="shared" si="3"/>
        <v>01-02 May</v>
      </c>
      <c r="AB215" s="160" t="str">
        <f t="shared" si="4"/>
        <v>27-28 Apr</v>
      </c>
      <c r="AC215" s="160" t="str">
        <f t="shared" si="5"/>
        <v>18-19 Apr</v>
      </c>
      <c r="AD215" s="160" t="str">
        <f t="shared" si="6"/>
        <v/>
      </c>
      <c r="AE215" s="161" t="str">
        <f t="shared" si="7"/>
        <v/>
      </c>
      <c r="AF215" s="162" t="str">
        <f t="shared" si="8"/>
        <v>30-01 May</v>
      </c>
      <c r="AG215" s="120" t="str">
        <f t="shared" si="27"/>
        <v/>
      </c>
      <c r="AH215" s="121" t="str">
        <f>IFERROR($M215+VLOOKUP($L215,'Voyage days'!$F$38:$H$89,3,FALSE),"")</f>
        <v/>
      </c>
      <c r="AI215" s="121" t="str">
        <f>IFERROR(N215+VLOOKUP($L215,'Voyage days'!$F$38:$H$89,3,FALSE),"")</f>
        <v/>
      </c>
      <c r="AJ215" s="120" t="str">
        <f t="shared" si="28"/>
        <v>30-01 May</v>
      </c>
      <c r="AK215" s="121">
        <f>IFERROR($M215+VLOOKUP($L215,'Voyage days'!$F$94:$H$193,3,FALSE),"")</f>
        <v>46142</v>
      </c>
      <c r="AL215" s="121">
        <f>IFERROR($N215+VLOOKUP($L215,'Voyage days'!$F$94:$H$193,3,FALSE),"")</f>
        <v>46143</v>
      </c>
      <c r="AM215" s="120" t="str">
        <f t="shared" si="29"/>
        <v>01-02 May</v>
      </c>
      <c r="AN215" s="121">
        <f>IFERROR($M215+VLOOKUP($L215,'Voyage days'!$F$203:$H$256,3,FALSE),"")</f>
        <v>46143</v>
      </c>
      <c r="AO215" s="121">
        <f>IFERROR($N215+VLOOKUP($L215,'Voyage days'!$F$203:$H$256,3,FALSE),"")</f>
        <v>46144</v>
      </c>
      <c r="AP215" s="120" t="str">
        <f t="shared" si="30"/>
        <v>27-28 Apr</v>
      </c>
      <c r="AQ215" s="121">
        <f>IFERROR($M215+VLOOKUP($L215,'Voyage days'!$F$294:$H$377,3,FALSE),"")</f>
        <v>46139</v>
      </c>
      <c r="AR215" s="121">
        <f>IFERROR($N215+VLOOKUP($L215,'Voyage days'!$F$294:$H$377,3,FALSE),"")</f>
        <v>46140</v>
      </c>
      <c r="AS215" s="120" t="str">
        <f t="shared" si="31"/>
        <v>18-19 Apr</v>
      </c>
      <c r="AT215" s="121">
        <f>IFERROR($M215+VLOOKUP($L215,'Voyage days'!$F$382:$H$446,3,FALSE),"")</f>
        <v>46130</v>
      </c>
      <c r="AU215" s="121">
        <f>IFERROR($N215+VLOOKUP($L215,'Voyage days'!$F$382:$H$446,3,FALSE),"")</f>
        <v>46131</v>
      </c>
      <c r="AV215" s="120" t="str">
        <f t="shared" si="32"/>
        <v/>
      </c>
      <c r="AW215" s="121" t="str">
        <f>IFERROR($M215+VLOOKUP($L215,'Voyage days'!$F$483:$H$538,3,FALSE),"")</f>
        <v/>
      </c>
      <c r="AX215" s="121" t="str">
        <f>IFERROR($N215+VLOOKUP($L215,'Voyage days'!$F$483:$H$538,3,FALSE),"")</f>
        <v/>
      </c>
      <c r="AY215" s="120" t="str">
        <f t="shared" si="33"/>
        <v/>
      </c>
      <c r="AZ215" s="121" t="str">
        <f>IFERROR($M215+VLOOKUP($L215,'Voyage days'!$F$540:$H$613,3,FALSE),"")</f>
        <v/>
      </c>
      <c r="BA215" s="121" t="str">
        <f>IFERROR($N215+VLOOKUP($L215,'Voyage days'!$F$540:$H$613,3,FALSE),"")</f>
        <v/>
      </c>
      <c r="BB215" s="120" t="str">
        <f t="shared" si="34"/>
        <v/>
      </c>
      <c r="BC215" s="121" t="str">
        <f>IFERROR($M215+VLOOKUP($L215,'Voyage days'!$F$448:$H$479,3,FALSE),"")</f>
        <v/>
      </c>
      <c r="BD215" s="121" t="str">
        <f>IFERROR($N215+VLOOKUP($L215,'Voyage days'!$F$448:$H$479,3,FALSE),"")</f>
        <v/>
      </c>
      <c r="BE215" s="120" t="str">
        <f t="shared" si="35"/>
        <v/>
      </c>
      <c r="BF215" s="122" t="str">
        <f>IFERROR($M215+VLOOKUP($L215,'Voyage days'!$F$620:$H$646,3,FALSE),"")</f>
        <v/>
      </c>
      <c r="BG215" s="122" t="str">
        <f>IFERROR($N215+VLOOKUP($L215,'Voyage days'!$F$620:$H$646,3,FALSE),"")</f>
        <v/>
      </c>
      <c r="BH215" s="120" t="str">
        <f t="shared" si="36"/>
        <v/>
      </c>
      <c r="BI215" s="123" t="str">
        <f>IFERROR($M215+VLOOKUP($L215,'Voyage days'!$F$702:$H$727,3,FALSE),"")</f>
        <v/>
      </c>
      <c r="BJ215" s="120" t="str">
        <f t="shared" si="37"/>
        <v>30-01 May</v>
      </c>
      <c r="BK215" s="122">
        <f>IFERROR($M215+VLOOKUP($L215,'Voyage days'!$F$807:$H$878,3,FALSE),"")</f>
        <v>46142</v>
      </c>
      <c r="BL215" s="122">
        <f>IFERROR($N215+VLOOKUP($L215,'Voyage days'!$F$807:$H$878,3,FALSE),"")</f>
        <v>46143</v>
      </c>
      <c r="BM215" s="122">
        <f>IFERROR($N215+VLOOKUP($L215,'Voyage days'!$F$807:$K$878,6,FALSE),"")</f>
        <v>46129</v>
      </c>
      <c r="BN215" s="121" t="str">
        <f>if(L215="loads AG", IFERROR($M215+VLOOKUP($L215,'Voyage days'!$M$38:$O$38,3,FALSE),""),"")</f>
        <v/>
      </c>
      <c r="BO215" s="121" t="str">
        <f>if(L215="loads USG", IFERROR($M215+VLOOKUP($L215,'Voyage days'!$L$203:$N$203,3,FALSE),""),"")</f>
        <v/>
      </c>
    </row>
    <row r="216" ht="15.75" customHeight="1">
      <c r="A216" s="602" t="s">
        <v>469</v>
      </c>
      <c r="B216" s="601">
        <v>2008.0</v>
      </c>
      <c r="C216" s="102">
        <v>82200.0</v>
      </c>
      <c r="D216" s="603" t="s">
        <v>1190</v>
      </c>
      <c r="E216" s="103" t="s">
        <v>689</v>
      </c>
      <c r="F216" s="604"/>
      <c r="G216" s="605">
        <v>46296.0</v>
      </c>
      <c r="H216" s="103"/>
      <c r="I216" s="290" t="s">
        <v>1191</v>
      </c>
      <c r="J216" s="106" t="str">
        <f t="shared" si="38"/>
        <v>Update</v>
      </c>
      <c r="K216" s="107"/>
      <c r="L216" s="108" t="s">
        <v>211</v>
      </c>
      <c r="M216" s="109">
        <v>46125.0</v>
      </c>
      <c r="N216" s="109">
        <v>46126.0</v>
      </c>
      <c r="O216" s="191"/>
      <c r="P216" s="108" t="s">
        <v>1192</v>
      </c>
      <c r="Q216" s="185"/>
      <c r="R216" s="108" t="s">
        <v>1193</v>
      </c>
      <c r="S216" s="256" t="s">
        <v>659</v>
      </c>
      <c r="T216" s="113">
        <v>46125.0</v>
      </c>
      <c r="U216" s="114" t="str">
        <f>IF(V216="","No AIS",VLOOKUP(V216,'Voyage days'!$A$3:$B$1480,2,FALSE))</f>
        <v>AG</v>
      </c>
      <c r="V216" s="115" t="str">
        <f>IF(VLOOKUP(A216,'1) Kpler'!$E$2:$P$1000,8, FALSE)="","",VLOOKUP(A216,'1) Kpler'!$E$2:$P$1000,8, FALSE))</f>
        <v>Yanbu NGL &amp; Yasref</v>
      </c>
      <c r="W216" s="116">
        <f>IF(VLOOKUP(A216,'1) Kpler'!$E$2:$P$1000,9,FALSE)="","",VLOOKUP(A216,'1) Kpler'!$E$2:$P$1000,9,FALSE))</f>
        <v>46134.66667</v>
      </c>
      <c r="X216" s="115" t="str">
        <f>VLOOKUP(A216,'1) Kpler'!$E$2:$I$1000,4,FALSE)</f>
        <v>ballast</v>
      </c>
      <c r="Y216" s="117" t="str">
        <f t="shared" si="1"/>
        <v>18-19 Apr</v>
      </c>
      <c r="Z216" s="160" t="str">
        <f t="shared" si="2"/>
        <v/>
      </c>
      <c r="AA216" s="160" t="str">
        <f t="shared" si="3"/>
        <v>14-15 May</v>
      </c>
      <c r="AB216" s="160" t="str">
        <f t="shared" si="4"/>
        <v>01-02 May</v>
      </c>
      <c r="AC216" s="160" t="str">
        <f t="shared" si="5"/>
        <v>09-10 May</v>
      </c>
      <c r="AD216" s="160" t="str">
        <f t="shared" si="6"/>
        <v>19-20 Apr</v>
      </c>
      <c r="AE216" s="161" t="str">
        <f t="shared" si="7"/>
        <v/>
      </c>
      <c r="AF216" s="162" t="str">
        <f t="shared" si="8"/>
        <v>26-27 May</v>
      </c>
      <c r="AG216" s="120" t="str">
        <f t="shared" si="27"/>
        <v>18-19 Apr</v>
      </c>
      <c r="AH216" s="121">
        <f>IFERROR($M216+VLOOKUP($L216,'Voyage days'!$F$38:$H$89,3,FALSE),"")</f>
        <v>46130</v>
      </c>
      <c r="AI216" s="121">
        <f>IFERROR(N216+VLOOKUP($L216,'Voyage days'!$F$38:$H$89,3,FALSE),"")</f>
        <v>46131</v>
      </c>
      <c r="AJ216" s="120" t="str">
        <f t="shared" si="28"/>
        <v/>
      </c>
      <c r="AK216" s="121" t="str">
        <f>IFERROR($M216+VLOOKUP($L216,'Voyage days'!$F$94:$H$193,3,FALSE),"")</f>
        <v/>
      </c>
      <c r="AL216" s="121" t="str">
        <f>IFERROR($N216+VLOOKUP($L216,'Voyage days'!$F$94:$H$193,3,FALSE),"")</f>
        <v/>
      </c>
      <c r="AM216" s="120" t="str">
        <f t="shared" si="29"/>
        <v>14-15 May</v>
      </c>
      <c r="AN216" s="121">
        <f>IFERROR($M216+VLOOKUP($L216,'Voyage days'!$F$203:$H$256,3,FALSE),"")</f>
        <v>46156</v>
      </c>
      <c r="AO216" s="121">
        <f>IFERROR($N216+VLOOKUP($L216,'Voyage days'!$F$203:$H$256,3,FALSE),"")</f>
        <v>46157</v>
      </c>
      <c r="AP216" s="120" t="str">
        <f t="shared" si="30"/>
        <v>01-02 May</v>
      </c>
      <c r="AQ216" s="121">
        <f>IFERROR($M216+VLOOKUP($L216,'Voyage days'!$F$294:$H$377,3,FALSE),"")</f>
        <v>46143</v>
      </c>
      <c r="AR216" s="121">
        <f>IFERROR($N216+VLOOKUP($L216,'Voyage days'!$F$294:$H$377,3,FALSE),"")</f>
        <v>46144</v>
      </c>
      <c r="AS216" s="120" t="str">
        <f t="shared" si="31"/>
        <v>09-10 May</v>
      </c>
      <c r="AT216" s="121">
        <f>IFERROR($M216+VLOOKUP($L216,'Voyage days'!$F$382:$H$446,3,FALSE),"")</f>
        <v>46151</v>
      </c>
      <c r="AU216" s="121">
        <f>IFERROR($N216+VLOOKUP($L216,'Voyage days'!$F$382:$H$446,3,FALSE),"")</f>
        <v>46152</v>
      </c>
      <c r="AV216" s="120" t="str">
        <f t="shared" si="32"/>
        <v/>
      </c>
      <c r="AW216" s="121" t="str">
        <f>IFERROR($M216+VLOOKUP($L216,'Voyage days'!$F$483:$H$538,3,FALSE),"")</f>
        <v/>
      </c>
      <c r="AX216" s="121" t="str">
        <f>IFERROR($N216+VLOOKUP($L216,'Voyage days'!$F$483:$H$538,3,FALSE),"")</f>
        <v/>
      </c>
      <c r="AY216" s="120" t="str">
        <f t="shared" si="33"/>
        <v/>
      </c>
      <c r="AZ216" s="121" t="str">
        <f>IFERROR($M216+VLOOKUP($L216,'Voyage days'!$F$540:$H$613,3,FALSE),"")</f>
        <v/>
      </c>
      <c r="BA216" s="121" t="str">
        <f>IFERROR($N216+VLOOKUP($L216,'Voyage days'!$F$540:$H$613,3,FALSE),"")</f>
        <v/>
      </c>
      <c r="BB216" s="120" t="str">
        <f t="shared" si="34"/>
        <v>19-20 Apr</v>
      </c>
      <c r="BC216" s="121">
        <f>IFERROR($M216+VLOOKUP($L216,'Voyage days'!$F$448:$H$479,3,FALSE),"")</f>
        <v>46131</v>
      </c>
      <c r="BD216" s="121">
        <f>IFERROR($N216+VLOOKUP($L216,'Voyage days'!$F$448:$H$479,3,FALSE),"")</f>
        <v>46132</v>
      </c>
      <c r="BE216" s="120" t="str">
        <f t="shared" si="35"/>
        <v/>
      </c>
      <c r="BF216" s="122" t="str">
        <f>IFERROR($M216+VLOOKUP($L216,'Voyage days'!$F$620:$H$646,3,FALSE),"")</f>
        <v/>
      </c>
      <c r="BG216" s="122" t="str">
        <f>IFERROR($N216+VLOOKUP($L216,'Voyage days'!$F$620:$H$646,3,FALSE),"")</f>
        <v/>
      </c>
      <c r="BH216" s="120" t="str">
        <f t="shared" si="36"/>
        <v/>
      </c>
      <c r="BI216" s="123" t="str">
        <f>IFERROR($M216+VLOOKUP($L216,'Voyage days'!$F$702:$H$727,3,FALSE),"")</f>
        <v/>
      </c>
      <c r="BJ216" s="120" t="str">
        <f t="shared" si="37"/>
        <v>26-27 May</v>
      </c>
      <c r="BK216" s="122">
        <f>IFERROR($M216+VLOOKUP($L216,'Voyage days'!$F$807:$H$878,3,FALSE),"")</f>
        <v>46168</v>
      </c>
      <c r="BL216" s="122">
        <f>IFERROR($N216+VLOOKUP($L216,'Voyage days'!$F$807:$H$878,3,FALSE),"")</f>
        <v>46169</v>
      </c>
      <c r="BM216" s="122">
        <f>IFERROR($N216+VLOOKUP($L216,'Voyage days'!$F$807:$K$878,6,FALSE),"")</f>
        <v>46134</v>
      </c>
      <c r="BN216" s="121" t="str">
        <f>if(L216="loads AG", IFERROR($M216+VLOOKUP($L216,'Voyage days'!$M$38:$O$38,3,FALSE),""),"")</f>
        <v/>
      </c>
      <c r="BO216" s="121" t="str">
        <f>if(L216="loads USG", IFERROR($M216+VLOOKUP($L216,'Voyage days'!$L$203:$N$203,3,FALSE),""),"")</f>
        <v/>
      </c>
    </row>
    <row r="217" ht="15.75" customHeight="1">
      <c r="A217" s="606" t="s">
        <v>491</v>
      </c>
      <c r="B217" s="601">
        <v>2024.0</v>
      </c>
      <c r="C217" s="102">
        <v>91000.0</v>
      </c>
      <c r="D217" s="603"/>
      <c r="E217" s="103"/>
      <c r="F217" s="604"/>
      <c r="G217" s="605"/>
      <c r="H217" s="103" t="s">
        <v>666</v>
      </c>
      <c r="I217" s="290" t="s">
        <v>1179</v>
      </c>
      <c r="J217" s="106" t="str">
        <f t="shared" si="38"/>
        <v/>
      </c>
      <c r="K217" s="107"/>
      <c r="L217" s="108" t="s">
        <v>668</v>
      </c>
      <c r="M217" s="109">
        <v>46152.0</v>
      </c>
      <c r="N217" s="109">
        <v>46153.0</v>
      </c>
      <c r="O217" s="191"/>
      <c r="P217" s="108" t="s">
        <v>1194</v>
      </c>
      <c r="Q217" s="304"/>
      <c r="R217" s="108" t="s">
        <v>1195</v>
      </c>
      <c r="S217" s="256" t="s">
        <v>659</v>
      </c>
      <c r="T217" s="113">
        <v>46125.0</v>
      </c>
      <c r="U217" s="114" t="str">
        <f>IF(V217="","No AIS",VLOOKUP(V217,'Voyage days'!$A$3:$B$1480,2,FALSE))</f>
        <v>North China +4</v>
      </c>
      <c r="V217" s="115" t="str">
        <f>IF(VLOOKUP(A217,'1) Kpler'!$E$2:$P$1000,8, FALSE)="","",VLOOKUP(A217,'1) Kpler'!$E$2:$P$1000,8, FALSE))</f>
        <v>Liaoning Kingfa Cracker</v>
      </c>
      <c r="W217" s="116">
        <f>IF(VLOOKUP(A217,'1) Kpler'!$E$2:$P$1000,9,FALSE)="","",VLOOKUP(A217,'1) Kpler'!$E$2:$P$1000,9,FALSE))</f>
        <v>46147.66667</v>
      </c>
      <c r="X217" s="115" t="str">
        <f>VLOOKUP(A217,'1) Kpler'!$E$2:$I$1000,4,FALSE)</f>
        <v>loaded</v>
      </c>
      <c r="Y217" s="607" t="str">
        <f>Z217</f>
        <v>11-12 Jun</v>
      </c>
      <c r="Z217" s="607" t="str">
        <f t="shared" si="2"/>
        <v>11-12 Jun</v>
      </c>
      <c r="AA217" s="607" t="str">
        <f t="shared" si="3"/>
        <v>21-22 Jun</v>
      </c>
      <c r="AB217" s="607" t="str">
        <f t="shared" si="4"/>
        <v>09-10 Jun</v>
      </c>
      <c r="AC217" s="607" t="str">
        <f t="shared" si="5"/>
        <v>15-16 Jun</v>
      </c>
      <c r="AD217" s="607" t="str">
        <f t="shared" si="6"/>
        <v>18-19 May</v>
      </c>
      <c r="AE217" s="608" t="str">
        <f t="shared" si="7"/>
        <v>18-19 May</v>
      </c>
      <c r="AF217" s="162" t="str">
        <f t="shared" si="8"/>
        <v>25-26 Jun</v>
      </c>
      <c r="AG217" s="120" t="str">
        <f t="shared" si="27"/>
        <v>28-29 May</v>
      </c>
      <c r="AH217" s="121">
        <f>IFERROR($M217+VLOOKUP($L217,'Voyage days'!$F$38:$H$89,3,FALSE),"")</f>
        <v>46170</v>
      </c>
      <c r="AI217" s="121">
        <f>IFERROR(N217+VLOOKUP($L217,'Voyage days'!$F$38:$H$89,3,FALSE),"")</f>
        <v>46171</v>
      </c>
      <c r="AJ217" s="121" t="str">
        <f t="shared" si="28"/>
        <v>11-12 Jun</v>
      </c>
      <c r="AK217" s="121">
        <f>IFERROR($M217+VLOOKUP($L217,'Voyage days'!$F$94:$H$193,3,FALSE),"")</f>
        <v>46184</v>
      </c>
      <c r="AL217" s="120">
        <f>IFERROR($N217+VLOOKUP($L217,'Voyage days'!$F$94:$H$193,3,FALSE),"")</f>
        <v>46185</v>
      </c>
      <c r="AM217" s="121" t="str">
        <f t="shared" si="29"/>
        <v>21-22 Jun</v>
      </c>
      <c r="AN217" s="121">
        <f>IFERROR($M217+VLOOKUP($L217,'Voyage days'!$F$203:$H$256,3,FALSE),"")</f>
        <v>46194</v>
      </c>
      <c r="AO217" s="120">
        <f>IFERROR($N217+VLOOKUP($L217,'Voyage days'!$F$203:$H$256,3,FALSE),"")</f>
        <v>46195</v>
      </c>
      <c r="AP217" s="121" t="str">
        <f t="shared" si="30"/>
        <v>09-10 Jun</v>
      </c>
      <c r="AQ217" s="121">
        <f>IFERROR($M217+VLOOKUP($L217,'Voyage days'!$F$294:$H$377,3,FALSE),"")</f>
        <v>46182</v>
      </c>
      <c r="AR217" s="120">
        <f>IFERROR($N217+VLOOKUP($L217,'Voyage days'!$F$294:$H$377,3,FALSE),"")</f>
        <v>46183</v>
      </c>
      <c r="AS217" s="121" t="str">
        <f t="shared" si="31"/>
        <v>15-16 Jun</v>
      </c>
      <c r="AT217" s="121">
        <f>IFERROR($M217+VLOOKUP($L217,'Voyage days'!$F$382:$H$446,3,FALSE),"")</f>
        <v>46188</v>
      </c>
      <c r="AU217" s="120">
        <f>IFERROR($N217+VLOOKUP($L217,'Voyage days'!$F$382:$H$446,3,FALSE),"")</f>
        <v>46189</v>
      </c>
      <c r="AV217" s="121" t="str">
        <f t="shared" si="32"/>
        <v>23-24 May</v>
      </c>
      <c r="AW217" s="121">
        <f>IFERROR($M217+VLOOKUP($L217,'Voyage days'!$F$483:$H$538,3,FALSE),"")</f>
        <v>46165</v>
      </c>
      <c r="AX217" s="120">
        <f>IFERROR($N217+VLOOKUP($L217,'Voyage days'!$F$483:$H$538,3,FALSE),"")</f>
        <v>46166</v>
      </c>
      <c r="AY217" s="122" t="str">
        <f t="shared" si="33"/>
        <v>18-19 May</v>
      </c>
      <c r="AZ217" s="122">
        <f>IFERROR($M217+VLOOKUP($L217,'Voyage days'!$F$540:$H$613,3,FALSE),"")</f>
        <v>46160.25</v>
      </c>
      <c r="BA217" s="120">
        <f>IFERROR($N217+VLOOKUP($L217,'Voyage days'!$F$540:$H$613,3,FALSE),"")</f>
        <v>46161.25</v>
      </c>
      <c r="BB217" s="123" t="str">
        <f t="shared" si="34"/>
        <v>18-19 May</v>
      </c>
      <c r="BC217" s="120">
        <f>IFERROR($M217+VLOOKUP($L217,'Voyage days'!$F$448:$H$479,3,FALSE),"")</f>
        <v>46160</v>
      </c>
      <c r="BD217" s="122">
        <f>IFERROR($N217+VLOOKUP($L217,'Voyage days'!$F$448:$H$479,3,FALSE),"")</f>
        <v>46161</v>
      </c>
      <c r="BE217" s="122" t="str">
        <f t="shared" si="35"/>
        <v>21-22 May</v>
      </c>
      <c r="BF217" s="609">
        <f>IFERROR($M217+VLOOKUP($L217,'Voyage days'!$F$620:$H$646,3,FALSE),"")</f>
        <v>46163</v>
      </c>
      <c r="BG217" s="609">
        <f>IFERROR($N217+VLOOKUP($L217,'Voyage days'!$F$620:$H$646,3,FALSE),"")</f>
        <v>46164</v>
      </c>
      <c r="BH217" s="120" t="str">
        <f t="shared" si="36"/>
        <v>18-26 Jun</v>
      </c>
      <c r="BI217" s="123">
        <f>IFERROR($M217+VLOOKUP($L217,'Voyage days'!$F$702:$H$727,3,FALSE),"")</f>
        <v>46160.25</v>
      </c>
      <c r="BJ217" s="120" t="str">
        <f t="shared" si="37"/>
        <v>25-26 Jun</v>
      </c>
      <c r="BK217" s="122">
        <f>IFERROR($M217+VLOOKUP($L217,'Voyage days'!$F$807:$H$878,3,FALSE),"")</f>
        <v>46198</v>
      </c>
      <c r="BL217" s="122">
        <f>IFERROR($N217+VLOOKUP($L217,'Voyage days'!$F$807:$H$878,3,FALSE),"")</f>
        <v>46199</v>
      </c>
      <c r="BM217" s="122">
        <f>IFERROR($N217+VLOOKUP($L217,'Voyage days'!$F$807:$K$878,6,FALSE),"")</f>
        <v>46173</v>
      </c>
      <c r="BN217" s="121" t="str">
        <f>if(L217="loads AG", IFERROR($M217+VLOOKUP($L217,'Voyage days'!$M$38:$O$38,3,FALSE),""),"")</f>
        <v/>
      </c>
      <c r="BO217" s="121" t="str">
        <f>if(L217="loads USG", IFERROR($M217+VLOOKUP($L217,'Voyage days'!$L$203:$N$203,3,FALSE),""),"")</f>
        <v/>
      </c>
    </row>
    <row r="218" ht="15.75" customHeight="1">
      <c r="A218" s="100" t="s">
        <v>493</v>
      </c>
      <c r="B218" s="506">
        <v>2024.0</v>
      </c>
      <c r="C218" s="102">
        <v>91000.0</v>
      </c>
      <c r="D218" s="103"/>
      <c r="E218" s="103"/>
      <c r="F218" s="104"/>
      <c r="G218" s="104"/>
      <c r="H218" s="104" t="s">
        <v>666</v>
      </c>
      <c r="I218" s="108" t="s">
        <v>1179</v>
      </c>
      <c r="J218" s="106" t="str">
        <f t="shared" si="38"/>
        <v/>
      </c>
      <c r="K218" s="205" t="s">
        <v>765</v>
      </c>
      <c r="L218" s="108" t="s">
        <v>1147</v>
      </c>
      <c r="M218" s="109">
        <v>46132.0</v>
      </c>
      <c r="N218" s="109">
        <v>46133.0</v>
      </c>
      <c r="O218" s="255"/>
      <c r="P218" s="108" t="s">
        <v>1196</v>
      </c>
      <c r="Q218" s="304"/>
      <c r="R218" s="108" t="s">
        <v>1197</v>
      </c>
      <c r="S218" s="112" t="s">
        <v>659</v>
      </c>
      <c r="T218" s="113">
        <v>46125.0</v>
      </c>
      <c r="U218" s="114" t="str">
        <f>IF(V218="","No AIS",VLOOKUP(V218,'Voyage days'!$A$3:$B$1480,2,FALSE))</f>
        <v>Malaysia (bunkers)</v>
      </c>
      <c r="V218" s="115" t="str">
        <f>IF(VLOOKUP(A218,'1) Kpler'!$E$2:$P$1000,8, FALSE)="","",VLOOKUP(A218,'1) Kpler'!$E$2:$P$1000,8, FALSE))</f>
        <v>Westport</v>
      </c>
      <c r="W218" s="116">
        <f>IF(VLOOKUP(A218,'1) Kpler'!$E$2:$P$1000,9,FALSE)="","",VLOOKUP(A218,'1) Kpler'!$E$2:$P$1000,9,FALSE))</f>
        <v>46131.91667</v>
      </c>
      <c r="X218" s="115" t="str">
        <f>VLOOKUP(A218,'1) Kpler'!$E$2:$I$1000,4,FALSE)</f>
        <v>loaded</v>
      </c>
      <c r="Y218" s="160" t="str">
        <f t="shared" ref="Y218:Y267" si="39">AG218</f>
        <v>05-06 May</v>
      </c>
      <c r="Z218" s="160" t="str">
        <f t="shared" si="2"/>
        <v>28-29 May</v>
      </c>
      <c r="AA218" s="160" t="str">
        <f t="shared" si="3"/>
        <v>29-30 May</v>
      </c>
      <c r="AB218" s="160" t="str">
        <f t="shared" si="4"/>
        <v>15-16 May</v>
      </c>
      <c r="AC218" s="160" t="str">
        <f t="shared" si="5"/>
        <v>23-24 May</v>
      </c>
      <c r="AD218" s="160" t="str">
        <f t="shared" si="6"/>
        <v>25-26 Apr</v>
      </c>
      <c r="AE218" s="161" t="str">
        <f t="shared" si="7"/>
        <v>30-01 May</v>
      </c>
      <c r="AF218" s="162" t="str">
        <f t="shared" si="8"/>
        <v>02-03 Jun</v>
      </c>
      <c r="AG218" s="120" t="str">
        <f t="shared" si="27"/>
        <v>05-06 May</v>
      </c>
      <c r="AH218" s="121">
        <f>IFERROR($M218+VLOOKUP($L218,'Voyage days'!$F$38:$H$89,3,FALSE),"")</f>
        <v>46147</v>
      </c>
      <c r="AI218" s="121">
        <f>IFERROR(N218+VLOOKUP($L218,'Voyage days'!$F$38:$H$89,3,FALSE),"")</f>
        <v>46148</v>
      </c>
      <c r="AJ218" s="120" t="str">
        <f t="shared" si="28"/>
        <v>28-29 May</v>
      </c>
      <c r="AK218" s="121">
        <f>IFERROR($M218+VLOOKUP($L218,'Voyage days'!$F$94:$H$193,3,FALSE),"")</f>
        <v>46170</v>
      </c>
      <c r="AL218" s="121">
        <f>IFERROR($N218+VLOOKUP($L218,'Voyage days'!$F$94:$H$193,3,FALSE),"")</f>
        <v>46171</v>
      </c>
      <c r="AM218" s="120" t="str">
        <f t="shared" si="29"/>
        <v>29-30 May</v>
      </c>
      <c r="AN218" s="121">
        <f>IFERROR($M218+VLOOKUP($L218,'Voyage days'!$F$203:$H$256,3,FALSE),"")</f>
        <v>46171</v>
      </c>
      <c r="AO218" s="121">
        <f>IFERROR($N218+VLOOKUP($L218,'Voyage days'!$F$203:$H$256,3,FALSE),"")</f>
        <v>46172</v>
      </c>
      <c r="AP218" s="120" t="str">
        <f t="shared" si="30"/>
        <v>15-16 May</v>
      </c>
      <c r="AQ218" s="121">
        <f>IFERROR($M218+VLOOKUP($L218,'Voyage days'!$F$294:$H$377,3,FALSE),"")</f>
        <v>46157</v>
      </c>
      <c r="AR218" s="121">
        <f>IFERROR($N218+VLOOKUP($L218,'Voyage days'!$F$294:$H$377,3,FALSE),"")</f>
        <v>46158</v>
      </c>
      <c r="AS218" s="120" t="str">
        <f t="shared" si="31"/>
        <v>23-24 May</v>
      </c>
      <c r="AT218" s="121">
        <f>IFERROR($M218+VLOOKUP($L218,'Voyage days'!$F$382:$H$446,3,FALSE),"")</f>
        <v>46165</v>
      </c>
      <c r="AU218" s="121">
        <f>IFERROR($N218+VLOOKUP($L218,'Voyage days'!$F$382:$H$446,3,FALSE),"")</f>
        <v>46166</v>
      </c>
      <c r="AV218" s="120" t="str">
        <f t="shared" si="32"/>
        <v>06-07 May</v>
      </c>
      <c r="AW218" s="121">
        <f>IFERROR($M218+VLOOKUP($L218,'Voyage days'!$F$483:$H$538,3,FALSE),"")</f>
        <v>46148</v>
      </c>
      <c r="AX218" s="121">
        <f>IFERROR($N218+VLOOKUP($L218,'Voyage days'!$F$483:$H$538,3,FALSE),"")</f>
        <v>46149</v>
      </c>
      <c r="AY218" s="120" t="str">
        <f t="shared" si="33"/>
        <v>30-01 May</v>
      </c>
      <c r="AZ218" s="121">
        <f>IFERROR($M218+VLOOKUP($L218,'Voyage days'!$F$540:$H$613,3,FALSE),"")</f>
        <v>46142</v>
      </c>
      <c r="BA218" s="121">
        <f>IFERROR($N218+VLOOKUP($L218,'Voyage days'!$F$540:$H$613,3,FALSE),"")</f>
        <v>46143</v>
      </c>
      <c r="BB218" s="120" t="str">
        <f t="shared" si="34"/>
        <v>25-26 Apr</v>
      </c>
      <c r="BC218" s="121">
        <f>IFERROR($M218+VLOOKUP($L218,'Voyage days'!$F$448:$H$479,3,FALSE),"")</f>
        <v>46137</v>
      </c>
      <c r="BD218" s="121">
        <f>IFERROR($N218+VLOOKUP($L218,'Voyage days'!$F$448:$H$479,3,FALSE),"")</f>
        <v>46138</v>
      </c>
      <c r="BE218" s="120" t="str">
        <f t="shared" si="35"/>
        <v/>
      </c>
      <c r="BF218" s="122" t="str">
        <f>IFERROR($M218+VLOOKUP($L218,'Voyage days'!$F$620:$H$646,3,FALSE),"")</f>
        <v/>
      </c>
      <c r="BG218" s="122" t="str">
        <f>IFERROR($N218+VLOOKUP($L218,'Voyage days'!$F$620:$H$646,3,FALSE),"")</f>
        <v/>
      </c>
      <c r="BH218" s="120" t="str">
        <f t="shared" si="36"/>
        <v>05-03 Jun</v>
      </c>
      <c r="BI218" s="123">
        <f>IFERROR($M218+VLOOKUP($L218,'Voyage days'!$F$702:$H$727,3,FALSE),"")</f>
        <v>46147</v>
      </c>
      <c r="BJ218" s="120" t="str">
        <f t="shared" si="37"/>
        <v>02-03 Jun</v>
      </c>
      <c r="BK218" s="122">
        <f>IFERROR($M218+VLOOKUP($L218,'Voyage days'!$F$807:$H$878,3,FALSE),"")</f>
        <v>46175</v>
      </c>
      <c r="BL218" s="122">
        <f>IFERROR($N218+VLOOKUP($L218,'Voyage days'!$F$807:$H$878,3,FALSE),"")</f>
        <v>46176</v>
      </c>
      <c r="BM218" s="122">
        <f>IFERROR($N218+VLOOKUP($L218,'Voyage days'!$F$807:$K$878,6,FALSE),"")</f>
        <v>46150</v>
      </c>
      <c r="BN218" s="121" t="str">
        <f>if(L218="loads AG", IFERROR($M218+VLOOKUP($L218,'Voyage days'!$M$38:$O$38,3,FALSE),""),"")</f>
        <v/>
      </c>
      <c r="BO218" s="121" t="str">
        <f>if(L218="loads USG", IFERROR($M218+VLOOKUP($L218,'Voyage days'!$L$203:$N$203,3,FALSE),""),"")</f>
        <v/>
      </c>
    </row>
    <row r="219" ht="15.75" customHeight="1">
      <c r="A219" s="473" t="s">
        <v>581</v>
      </c>
      <c r="B219" s="610">
        <v>2002.0</v>
      </c>
      <c r="C219" s="166">
        <v>78929.0</v>
      </c>
      <c r="D219" s="223"/>
      <c r="E219" s="223"/>
      <c r="F219" s="168"/>
      <c r="G219" s="168"/>
      <c r="H219" s="168"/>
      <c r="I219" s="172" t="s">
        <v>1179</v>
      </c>
      <c r="J219" s="170" t="str">
        <f t="shared" si="38"/>
        <v>Update</v>
      </c>
      <c r="K219" s="171"/>
      <c r="L219" s="172" t="s">
        <v>1198</v>
      </c>
      <c r="M219" s="283">
        <v>46126.0</v>
      </c>
      <c r="N219" s="283">
        <v>46127.0</v>
      </c>
      <c r="O219" s="284"/>
      <c r="P219" s="172" t="s">
        <v>1199</v>
      </c>
      <c r="Q219" s="172"/>
      <c r="R219" s="357" t="s">
        <v>1200</v>
      </c>
      <c r="S219" s="358" t="s">
        <v>659</v>
      </c>
      <c r="T219" s="286">
        <v>46125.0</v>
      </c>
      <c r="U219" s="177" t="str">
        <f>IF(V219="","No AIS",VLOOKUP(V219,'Voyage days'!$A$3:$B$1480,2,FALSE))</f>
        <v>Mexico</v>
      </c>
      <c r="V219" s="178" t="str">
        <f>IF(VLOOKUP(A219,'1) Kpler'!$E$2:$P$1000,8, FALSE)="","",VLOOKUP(A219,'1) Kpler'!$E$2:$P$1000,8, FALSE))</f>
        <v>Pajaritos</v>
      </c>
      <c r="W219" s="179">
        <f>IF(VLOOKUP(A219,'1) Kpler'!$E$2:$P$1000,9,FALSE)="","",VLOOKUP(A219,'1) Kpler'!$E$2:$P$1000,9,FALSE))</f>
        <v>46133</v>
      </c>
      <c r="X219" s="178" t="str">
        <f>VLOOKUP(A219,'1) Kpler'!$E$2:$I$1000,4,FALSE)</f>
        <v>loaded</v>
      </c>
      <c r="Y219" s="180" t="str">
        <f t="shared" si="39"/>
        <v/>
      </c>
      <c r="Z219" s="180" t="str">
        <f t="shared" si="2"/>
        <v>16-17 Apr</v>
      </c>
      <c r="AA219" s="180" t="str">
        <f t="shared" si="3"/>
        <v>18-19 Apr</v>
      </c>
      <c r="AB219" s="180" t="str">
        <f t="shared" si="4"/>
        <v>02-03 May</v>
      </c>
      <c r="AC219" s="180" t="str">
        <f t="shared" si="5"/>
        <v>27-28 Apr</v>
      </c>
      <c r="AD219" s="180" t="str">
        <f t="shared" si="6"/>
        <v/>
      </c>
      <c r="AE219" s="181" t="str">
        <f t="shared" si="7"/>
        <v/>
      </c>
      <c r="AF219" s="182" t="str">
        <f t="shared" si="8"/>
        <v>04-05 May</v>
      </c>
      <c r="AG219" s="120" t="str">
        <f t="shared" si="27"/>
        <v/>
      </c>
      <c r="AH219" s="121" t="str">
        <f>IFERROR($M219+VLOOKUP($L219,'Voyage days'!$F$38:$H$89,3,FALSE),"")</f>
        <v/>
      </c>
      <c r="AI219" s="121" t="str">
        <f>IFERROR(N219+VLOOKUP($L219,'Voyage days'!$F$38:$H$89,3,FALSE),"")</f>
        <v/>
      </c>
      <c r="AJ219" s="120" t="str">
        <f t="shared" si="28"/>
        <v>16-17 Apr</v>
      </c>
      <c r="AK219" s="121">
        <f>IFERROR($M219+VLOOKUP($L219,'Voyage days'!$F$94:$H$193,3,FALSE),"")</f>
        <v>46128</v>
      </c>
      <c r="AL219" s="121">
        <f>IFERROR($N219+VLOOKUP($L219,'Voyage days'!$F$94:$H$193,3,FALSE),"")</f>
        <v>46129</v>
      </c>
      <c r="AM219" s="120" t="str">
        <f t="shared" si="29"/>
        <v>18-19 Apr</v>
      </c>
      <c r="AN219" s="121">
        <f>IFERROR($M219+VLOOKUP($L219,'Voyage days'!$F$203:$H$256,3,FALSE),"")</f>
        <v>46130</v>
      </c>
      <c r="AO219" s="121">
        <f>IFERROR($N219+VLOOKUP($L219,'Voyage days'!$F$203:$H$256,3,FALSE),"")</f>
        <v>46131</v>
      </c>
      <c r="AP219" s="120" t="str">
        <f t="shared" si="30"/>
        <v>02-03 May</v>
      </c>
      <c r="AQ219" s="121">
        <f>IFERROR($M219+VLOOKUP($L219,'Voyage days'!$F$294:$H$377,3,FALSE),"")</f>
        <v>46144</v>
      </c>
      <c r="AR219" s="121">
        <f>IFERROR($N219+VLOOKUP($L219,'Voyage days'!$F$294:$H$377,3,FALSE),"")</f>
        <v>46145</v>
      </c>
      <c r="AS219" s="120" t="str">
        <f t="shared" si="31"/>
        <v>27-28 Apr</v>
      </c>
      <c r="AT219" s="121">
        <f>IFERROR($M219+VLOOKUP($L219,'Voyage days'!$F$382:$H$446,3,FALSE),"")</f>
        <v>46139</v>
      </c>
      <c r="AU219" s="121">
        <f>IFERROR($N219+VLOOKUP($L219,'Voyage days'!$F$382:$H$446,3,FALSE),"")</f>
        <v>46140</v>
      </c>
      <c r="AV219" s="120" t="str">
        <f t="shared" si="32"/>
        <v/>
      </c>
      <c r="AW219" s="121" t="str">
        <f>IFERROR($M219+VLOOKUP($L219,'Voyage days'!$F$483:$H$538,3,FALSE),"")</f>
        <v/>
      </c>
      <c r="AX219" s="121" t="str">
        <f>IFERROR($N219+VLOOKUP($L219,'Voyage days'!$F$483:$H$538,3,FALSE),"")</f>
        <v/>
      </c>
      <c r="AY219" s="120" t="str">
        <f t="shared" si="33"/>
        <v/>
      </c>
      <c r="AZ219" s="121" t="str">
        <f>IFERROR($M219+VLOOKUP($L219,'Voyage days'!$F$540:$H$613,3,FALSE),"")</f>
        <v/>
      </c>
      <c r="BA219" s="121" t="str">
        <f>IFERROR($N219+VLOOKUP($L219,'Voyage days'!$F$540:$H$613,3,FALSE),"")</f>
        <v/>
      </c>
      <c r="BB219" s="120" t="str">
        <f t="shared" si="34"/>
        <v/>
      </c>
      <c r="BC219" s="121" t="str">
        <f>IFERROR($M219+VLOOKUP($L219,'Voyage days'!$F$448:$H$479,3,FALSE),"")</f>
        <v/>
      </c>
      <c r="BD219" s="121" t="str">
        <f>IFERROR($N219+VLOOKUP($L219,'Voyage days'!$F$448:$H$479,3,FALSE),"")</f>
        <v/>
      </c>
      <c r="BE219" s="120" t="str">
        <f t="shared" si="35"/>
        <v/>
      </c>
      <c r="BF219" s="122" t="str">
        <f>IFERROR($M219+VLOOKUP($L219,'Voyage days'!$F$620:$H$646,3,FALSE),"")</f>
        <v/>
      </c>
      <c r="BG219" s="122" t="str">
        <f>IFERROR($N219+VLOOKUP($L219,'Voyage days'!$F$620:$H$646,3,FALSE),"")</f>
        <v/>
      </c>
      <c r="BH219" s="120" t="str">
        <f t="shared" si="36"/>
        <v/>
      </c>
      <c r="BI219" s="123" t="str">
        <f>IFERROR($M219+VLOOKUP($L219,'Voyage days'!$F$702:$H$727,3,FALSE),"")</f>
        <v/>
      </c>
      <c r="BJ219" s="120" t="str">
        <f t="shared" si="37"/>
        <v>04-05 May</v>
      </c>
      <c r="BK219" s="122">
        <f>IFERROR($M219+VLOOKUP($L219,'Voyage days'!$F$807:$H$878,3,FALSE),"")</f>
        <v>46146</v>
      </c>
      <c r="BL219" s="122">
        <f>IFERROR($N219+VLOOKUP($L219,'Voyage days'!$F$807:$H$878,3,FALSE),"")</f>
        <v>46147</v>
      </c>
      <c r="BM219" s="122">
        <f>IFERROR($N219+VLOOKUP($L219,'Voyage days'!$F$807:$K$878,6,FALSE),"")</f>
        <v>46127</v>
      </c>
      <c r="BN219" s="121" t="str">
        <f>if(L219="loads AG", IFERROR($M219+VLOOKUP($L219,'Voyage days'!$M$38:$O$38,3,FALSE),""),"")</f>
        <v/>
      </c>
      <c r="BO219" s="121" t="str">
        <f>if(L219="loads USG", IFERROR($M219+VLOOKUP($L219,'Voyage days'!$L$203:$N$203,3,FALSE),""),"")</f>
        <v/>
      </c>
    </row>
    <row r="220" ht="15.75" customHeight="1">
      <c r="A220" s="258" t="s">
        <v>39</v>
      </c>
      <c r="B220" s="101">
        <v>41817.0</v>
      </c>
      <c r="C220" s="102">
        <v>84000.0</v>
      </c>
      <c r="D220" s="503"/>
      <c r="E220" s="503"/>
      <c r="F220" s="150"/>
      <c r="G220" s="150"/>
      <c r="H220" s="150"/>
      <c r="I220" s="611" t="s">
        <v>1201</v>
      </c>
      <c r="J220" s="517"/>
      <c r="K220" s="152"/>
      <c r="L220" s="108" t="s">
        <v>1198</v>
      </c>
      <c r="M220" s="109">
        <v>46120.0</v>
      </c>
      <c r="N220" s="109">
        <v>46121.0</v>
      </c>
      <c r="O220" s="155"/>
      <c r="P220" s="317" t="s">
        <v>1202</v>
      </c>
      <c r="Q220" s="157"/>
      <c r="R220" s="153" t="s">
        <v>1203</v>
      </c>
      <c r="S220" s="256" t="s">
        <v>659</v>
      </c>
      <c r="T220" s="293">
        <v>46119.0</v>
      </c>
      <c r="U220" s="114" t="str">
        <f>IF(V220="","No AIS",VLOOKUP(V220,'Voyage days'!$A$3:$B$1480,2,FALSE))</f>
        <v>Mexico</v>
      </c>
      <c r="V220" s="114" t="str">
        <f>IF(VLOOKUP(A220,'1) Kpler'!$E$2:$P$1000,8, FALSE)="","",VLOOKUP(A220,'1) Kpler'!$E$2:$P$1000,8, FALSE))</f>
        <v>Pajaritos</v>
      </c>
      <c r="W220" s="159">
        <f>IF(VLOOKUP(A220,'1) Kpler'!$E$2:$P$1000,9,FALSE)="","",VLOOKUP(A220,'1) Kpler'!$E$2:$P$1000,9,FALSE))</f>
        <v>46132.625</v>
      </c>
      <c r="X220" s="114" t="str">
        <f>VLOOKUP(A220,'1) Kpler'!$E$2:$I$1000,4,FALSE)</f>
        <v>loaded</v>
      </c>
      <c r="Y220" s="272" t="str">
        <f t="shared" si="39"/>
        <v/>
      </c>
      <c r="Z220" s="272" t="str">
        <f t="shared" si="2"/>
        <v>10-11 Apr</v>
      </c>
      <c r="AA220" s="272" t="str">
        <f t="shared" si="3"/>
        <v>12-13 Apr</v>
      </c>
      <c r="AB220" s="272" t="str">
        <f t="shared" si="4"/>
        <v>26-27 Apr</v>
      </c>
      <c r="AC220" s="272" t="str">
        <f t="shared" si="5"/>
        <v>21-22 Apr</v>
      </c>
      <c r="AD220" s="272" t="str">
        <f t="shared" si="6"/>
        <v/>
      </c>
      <c r="AE220" s="273" t="str">
        <f t="shared" si="7"/>
        <v/>
      </c>
      <c r="AF220" s="162" t="str">
        <f t="shared" si="8"/>
        <v>28-29 Apr</v>
      </c>
      <c r="AG220" s="163" t="str">
        <f t="shared" si="27"/>
        <v/>
      </c>
      <c r="AH220" s="122" t="str">
        <f>IFERROR($M220+VLOOKUP($L220,'Voyage days'!$F$38:$H$89,3,FALSE),"")</f>
        <v/>
      </c>
      <c r="AI220" s="122" t="str">
        <f>IFERROR(N220+VLOOKUP($L220,'Voyage days'!$F$38:$H$89,3,FALSE),"")</f>
        <v/>
      </c>
      <c r="AJ220" s="163" t="str">
        <f t="shared" si="28"/>
        <v>10-11 Apr</v>
      </c>
      <c r="AK220" s="122">
        <f>IFERROR($M220+VLOOKUP($L220,'Voyage days'!$F$94:$H$193,3,FALSE),"")</f>
        <v>46122</v>
      </c>
      <c r="AL220" s="122">
        <f>IFERROR($N220+VLOOKUP($L220,'Voyage days'!$F$94:$H$193,3,FALSE),"")</f>
        <v>46123</v>
      </c>
      <c r="AM220" s="163" t="str">
        <f t="shared" si="29"/>
        <v>12-13 Apr</v>
      </c>
      <c r="AN220" s="122">
        <f>IFERROR($M220+VLOOKUP($L220,'Voyage days'!$F$203:$H$256,3,FALSE),"")</f>
        <v>46124</v>
      </c>
      <c r="AO220" s="122">
        <f>IFERROR($N220+VLOOKUP($L220,'Voyage days'!$F$203:$H$256,3,FALSE),"")</f>
        <v>46125</v>
      </c>
      <c r="AP220" s="163" t="str">
        <f t="shared" si="30"/>
        <v>26-27 Apr</v>
      </c>
      <c r="AQ220" s="122">
        <f>IFERROR($M220+VLOOKUP($L220,'Voyage days'!$F$294:$H$377,3,FALSE),"")</f>
        <v>46138</v>
      </c>
      <c r="AR220" s="122">
        <f>IFERROR($N220+VLOOKUP($L220,'Voyage days'!$F$294:$H$377,3,FALSE),"")</f>
        <v>46139</v>
      </c>
      <c r="AS220" s="163" t="str">
        <f t="shared" si="31"/>
        <v>21-22 Apr</v>
      </c>
      <c r="AT220" s="122">
        <f>IFERROR($M220+VLOOKUP($L220,'Voyage days'!$F$382:$H$446,3,FALSE),"")</f>
        <v>46133</v>
      </c>
      <c r="AU220" s="122">
        <f>IFERROR($N220+VLOOKUP($L220,'Voyage days'!$F$382:$H$446,3,FALSE),"")</f>
        <v>46134</v>
      </c>
      <c r="AV220" s="163" t="str">
        <f t="shared" si="32"/>
        <v/>
      </c>
      <c r="AW220" s="122" t="str">
        <f>IFERROR($M220+VLOOKUP($L220,'Voyage days'!$F$483:$H$538,3,FALSE),"")</f>
        <v/>
      </c>
      <c r="AX220" s="122" t="str">
        <f>IFERROR($N220+VLOOKUP($L220,'Voyage days'!$F$483:$H$538,3,FALSE),"")</f>
        <v/>
      </c>
      <c r="AY220" s="163" t="str">
        <f t="shared" si="33"/>
        <v/>
      </c>
      <c r="AZ220" s="122" t="str">
        <f>IFERROR($M220+VLOOKUP($L220,'Voyage days'!$F$540:$H$613,3,FALSE),"")</f>
        <v/>
      </c>
      <c r="BA220" s="122" t="str">
        <f>IFERROR($N220+VLOOKUP($L220,'Voyage days'!$F$540:$H$613,3,FALSE),"")</f>
        <v/>
      </c>
      <c r="BB220" s="163" t="str">
        <f t="shared" si="34"/>
        <v/>
      </c>
      <c r="BC220" s="121" t="str">
        <f>IFERROR($M220+VLOOKUP($L220,'Voyage days'!$F$448:$H$479,3,FALSE),"")</f>
        <v/>
      </c>
      <c r="BD220" s="121" t="str">
        <f>IFERROR($N220+VLOOKUP($L220,'Voyage days'!$F$448:$H$479,3,FALSE),"")</f>
        <v/>
      </c>
      <c r="BE220" s="163" t="str">
        <f t="shared" si="35"/>
        <v/>
      </c>
      <c r="BF220" s="122" t="str">
        <f>IFERROR($M220+VLOOKUP($L220,'Voyage days'!$F$620:$H$646,3,FALSE),"")</f>
        <v/>
      </c>
      <c r="BG220" s="122" t="str">
        <f>IFERROR($N220+VLOOKUP($L220,'Voyage days'!$F$620:$H$646,3,FALSE),"")</f>
        <v/>
      </c>
      <c r="BH220" s="163" t="str">
        <f t="shared" si="36"/>
        <v/>
      </c>
      <c r="BI220" s="123" t="str">
        <f>IFERROR($M220+VLOOKUP($L220,'Voyage days'!$F$702:$H$727,3,FALSE),"")</f>
        <v/>
      </c>
      <c r="BJ220" s="163" t="str">
        <f t="shared" si="37"/>
        <v>28-29 Apr</v>
      </c>
      <c r="BK220" s="122">
        <f>IFERROR($M220+VLOOKUP($L220,'Voyage days'!$F$807:$H$878,3,FALSE),"")</f>
        <v>46140</v>
      </c>
      <c r="BL220" s="122">
        <f>IFERROR($N220+VLOOKUP($L220,'Voyage days'!$F$807:$H$878,3,FALSE),"")</f>
        <v>46141</v>
      </c>
      <c r="BM220" s="122">
        <f>IFERROR($N220+VLOOKUP($L220,'Voyage days'!$F$807:$K$878,6,FALSE),"")</f>
        <v>46121</v>
      </c>
      <c r="BN220" s="121" t="str">
        <f>if(L220="loads AG", IFERROR($M220+VLOOKUP($L220,'Voyage days'!$M$38:$O$38,3,FALSE),""),"")</f>
        <v/>
      </c>
      <c r="BO220" s="121" t="str">
        <f>if(L220="loads USG", IFERROR($M220+VLOOKUP($L220,'Voyage days'!$L$203:$N$203,3,FALSE),""),"")</f>
        <v/>
      </c>
    </row>
    <row r="221" ht="15.75" customHeight="1">
      <c r="A221" s="147" t="s">
        <v>1204</v>
      </c>
      <c r="B221" s="101">
        <v>42717.0</v>
      </c>
      <c r="C221" s="102">
        <v>84000.0</v>
      </c>
      <c r="D221" s="103"/>
      <c r="E221" s="103"/>
      <c r="F221" s="104"/>
      <c r="G221" s="104"/>
      <c r="H221" s="104"/>
      <c r="I221" s="299" t="s">
        <v>1201</v>
      </c>
      <c r="J221" s="336"/>
      <c r="K221" s="107"/>
      <c r="L221" s="262" t="s">
        <v>1205</v>
      </c>
      <c r="M221" s="109">
        <v>46127.0</v>
      </c>
      <c r="N221" s="109">
        <v>46128.0</v>
      </c>
      <c r="O221" s="612"/>
      <c r="P221" s="317" t="s">
        <v>1206</v>
      </c>
      <c r="Q221" s="185"/>
      <c r="R221" s="108" t="s">
        <v>1207</v>
      </c>
      <c r="S221" s="112" t="s">
        <v>659</v>
      </c>
      <c r="T221" s="293">
        <v>46125.0</v>
      </c>
      <c r="U221" s="114" t="str">
        <f>IF(V221="","No AIS",VLOOKUP(V221,'Voyage days'!$A$3:$B$1480,2,FALSE))</f>
        <v>USG</v>
      </c>
      <c r="V221" s="115" t="str">
        <f>IF(VLOOKUP(A221,'1) Kpler'!$E$2:$P$1000,8, FALSE)="","",VLOOKUP(A221,'1) Kpler'!$E$2:$P$1000,8, FALSE))</f>
        <v>Houston</v>
      </c>
      <c r="W221" s="116">
        <f>IF(VLOOKUP(A221,'1) Kpler'!$E$2:$P$1000,9,FALSE)="","",VLOOKUP(A221,'1) Kpler'!$E$2:$P$1000,9,FALSE))</f>
        <v>46134.89583</v>
      </c>
      <c r="X221" s="115" t="str">
        <f>VLOOKUP(A221,'1) Kpler'!$E$2:$I$1000,4,FALSE)</f>
        <v>loaded</v>
      </c>
      <c r="Y221" s="117" t="str">
        <f t="shared" si="39"/>
        <v/>
      </c>
      <c r="Z221" s="117" t="str">
        <f t="shared" si="2"/>
        <v>27-28 Apr</v>
      </c>
      <c r="AA221" s="117" t="str">
        <f t="shared" si="3"/>
        <v>27-28 Apr</v>
      </c>
      <c r="AB221" s="117" t="str">
        <f t="shared" si="4"/>
        <v>22-23 Apr</v>
      </c>
      <c r="AC221" s="117" t="str">
        <f t="shared" si="5"/>
        <v>25-26 Apr</v>
      </c>
      <c r="AD221" s="117" t="str">
        <f t="shared" si="6"/>
        <v/>
      </c>
      <c r="AE221" s="118" t="str">
        <f t="shared" si="7"/>
        <v/>
      </c>
      <c r="AF221" s="119" t="str">
        <f t="shared" si="8"/>
        <v/>
      </c>
      <c r="AG221" s="120" t="str">
        <f t="shared" si="27"/>
        <v/>
      </c>
      <c r="AH221" s="121" t="str">
        <f>IFERROR($M221+VLOOKUP($L221,'Voyage days'!$F$38:$H$89,3,FALSE),"")</f>
        <v/>
      </c>
      <c r="AI221" s="121" t="str">
        <f>IFERROR(N221+VLOOKUP($L221,'Voyage days'!$F$38:$H$89,3,FALSE),"")</f>
        <v/>
      </c>
      <c r="AJ221" s="120" t="str">
        <f t="shared" si="28"/>
        <v>27-28 Apr</v>
      </c>
      <c r="AK221" s="121">
        <f>IFERROR($M221+VLOOKUP($L221,'Voyage days'!$F$94:$H$193,3,FALSE),"")</f>
        <v>46139</v>
      </c>
      <c r="AL221" s="121">
        <f>IFERROR($N221+VLOOKUP($L221,'Voyage days'!$F$94:$H$193,3,FALSE),"")</f>
        <v>46140</v>
      </c>
      <c r="AM221" s="120" t="str">
        <f t="shared" si="29"/>
        <v>27-28 Apr</v>
      </c>
      <c r="AN221" s="121">
        <f>IFERROR($M221+VLOOKUP($L221,'Voyage days'!$F$203:$H$256,3,FALSE),"")</f>
        <v>46139</v>
      </c>
      <c r="AO221" s="121">
        <f>IFERROR($N221+VLOOKUP($L221,'Voyage days'!$F$203:$H$256,3,FALSE),"")</f>
        <v>46140</v>
      </c>
      <c r="AP221" s="120" t="str">
        <f t="shared" si="30"/>
        <v>22-23 Apr</v>
      </c>
      <c r="AQ221" s="121">
        <f>IFERROR($M221+VLOOKUP($L221,'Voyage days'!$F$294:$H$377,3,FALSE),"")</f>
        <v>46134</v>
      </c>
      <c r="AR221" s="121">
        <f>IFERROR($N221+VLOOKUP($L221,'Voyage days'!$F$294:$H$377,3,FALSE),"")</f>
        <v>46135</v>
      </c>
      <c r="AS221" s="120" t="str">
        <f t="shared" si="31"/>
        <v>25-26 Apr</v>
      </c>
      <c r="AT221" s="121">
        <f>IFERROR($M221+VLOOKUP($L221,'Voyage days'!$F$382:$H$446,3,FALSE),"")</f>
        <v>46137</v>
      </c>
      <c r="AU221" s="121">
        <f>IFERROR($N221+VLOOKUP($L221,'Voyage days'!$F$382:$H$446,3,FALSE),"")</f>
        <v>46138</v>
      </c>
      <c r="AV221" s="120" t="str">
        <f t="shared" si="32"/>
        <v/>
      </c>
      <c r="AW221" s="121" t="str">
        <f>IFERROR($M221+VLOOKUP($L221,'Voyage days'!$F$483:$H$538,3,FALSE),"")</f>
        <v/>
      </c>
      <c r="AX221" s="121" t="str">
        <f>IFERROR($N221+VLOOKUP($L221,'Voyage days'!$F$483:$H$538,3,FALSE),"")</f>
        <v/>
      </c>
      <c r="AY221" s="120" t="str">
        <f t="shared" si="33"/>
        <v/>
      </c>
      <c r="AZ221" s="121" t="str">
        <f>IFERROR($M221+VLOOKUP($L221,'Voyage days'!$F$540:$H$613,3,FALSE),"")</f>
        <v/>
      </c>
      <c r="BA221" s="121" t="str">
        <f>IFERROR($N221+VLOOKUP($L221,'Voyage days'!$F$540:$H$613,3,FALSE),"")</f>
        <v/>
      </c>
      <c r="BB221" s="120" t="str">
        <f t="shared" si="34"/>
        <v/>
      </c>
      <c r="BC221" s="121" t="str">
        <f>IFERROR($M221+VLOOKUP($L221,'Voyage days'!$F$448:$H$479,3,FALSE),"")</f>
        <v/>
      </c>
      <c r="BD221" s="121" t="str">
        <f>IFERROR($N221+VLOOKUP($L221,'Voyage days'!$F$448:$H$479,3,FALSE),"")</f>
        <v/>
      </c>
      <c r="BE221" s="120" t="str">
        <f t="shared" si="35"/>
        <v/>
      </c>
      <c r="BF221" s="122" t="str">
        <f>IFERROR($M221+VLOOKUP($L221,'Voyage days'!$F$620:$H$646,3,FALSE),"")</f>
        <v/>
      </c>
      <c r="BG221" s="122" t="str">
        <f>IFERROR($N221+VLOOKUP($L221,'Voyage days'!$F$620:$H$646,3,FALSE),"")</f>
        <v/>
      </c>
      <c r="BH221" s="120" t="str">
        <f t="shared" si="36"/>
        <v/>
      </c>
      <c r="BI221" s="123" t="str">
        <f>IFERROR($M221+VLOOKUP($L221,'Voyage days'!$F$702:$H$727,3,FALSE),"")</f>
        <v/>
      </c>
      <c r="BJ221" s="120" t="str">
        <f t="shared" si="37"/>
        <v/>
      </c>
      <c r="BK221" s="122" t="str">
        <f>IFERROR($M221+VLOOKUP($L221,'Voyage days'!$F$807:$H$878,3,FALSE),"")</f>
        <v/>
      </c>
      <c r="BL221" s="122" t="str">
        <f>IFERROR($N221+VLOOKUP($L221,'Voyage days'!$F$807:$H$878,3,FALSE),"")</f>
        <v/>
      </c>
      <c r="BM221" s="122" t="str">
        <f>IFERROR($N221+VLOOKUP($L221,'Voyage days'!$F$807:$K$878,6,FALSE),"")</f>
        <v/>
      </c>
      <c r="BN221" s="121" t="str">
        <f>if(L221="loads AG", IFERROR($M221+VLOOKUP($L221,'Voyage days'!$M$38:$O$38,3,FALSE),""),"")</f>
        <v/>
      </c>
      <c r="BO221" s="121" t="str">
        <f>if(L221="loads USG", IFERROR($M221+VLOOKUP($L221,'Voyage days'!$L$203:$N$203,3,FALSE),""),"")</f>
        <v/>
      </c>
    </row>
    <row r="222" ht="15.75" customHeight="1">
      <c r="A222" s="613" t="s">
        <v>1208</v>
      </c>
      <c r="B222" s="222">
        <v>42886.0</v>
      </c>
      <c r="C222" s="166">
        <v>84000.0</v>
      </c>
      <c r="D222" s="307"/>
      <c r="E222" s="307"/>
      <c r="F222" s="168"/>
      <c r="G222" s="168"/>
      <c r="H222" s="168"/>
      <c r="I222" s="614" t="s">
        <v>1201</v>
      </c>
      <c r="J222" s="469"/>
      <c r="K222" s="171"/>
      <c r="L222" s="172" t="s">
        <v>1205</v>
      </c>
      <c r="M222" s="283">
        <v>46125.0</v>
      </c>
      <c r="N222" s="283">
        <v>46126.0</v>
      </c>
      <c r="O222" s="174"/>
      <c r="P222" s="320" t="s">
        <v>1209</v>
      </c>
      <c r="Q222" s="463"/>
      <c r="R222" s="172" t="s">
        <v>1210</v>
      </c>
      <c r="S222" s="175" t="s">
        <v>659</v>
      </c>
      <c r="T222" s="286">
        <v>46125.0</v>
      </c>
      <c r="U222" s="177" t="str">
        <f>IF(V222="","No AIS",VLOOKUP(V222,'Voyage days'!$A$3:$B$1480,2,FALSE))</f>
        <v>USG</v>
      </c>
      <c r="V222" s="178" t="str">
        <f>IF(VLOOKUP(A222,'1) Kpler'!$E$2:$P$1000,8, FALSE)="","",VLOOKUP(A222,'1) Kpler'!$E$2:$P$1000,8, FALSE))</f>
        <v>Energy Transfer Nederland</v>
      </c>
      <c r="W222" s="179">
        <f>IF(VLOOKUP(A222,'1) Kpler'!$E$2:$P$1000,9,FALSE)="","",VLOOKUP(A222,'1) Kpler'!$E$2:$P$1000,9,FALSE))</f>
        <v>46132.54167</v>
      </c>
      <c r="X222" s="178" t="str">
        <f>VLOOKUP(A222,'1) Kpler'!$E$2:$I$1000,4,FALSE)</f>
        <v>ballast</v>
      </c>
      <c r="Y222" s="120" t="str">
        <f t="shared" si="39"/>
        <v/>
      </c>
      <c r="Z222" s="120" t="str">
        <f t="shared" si="2"/>
        <v>25-26 Apr</v>
      </c>
      <c r="AA222" s="120" t="str">
        <f t="shared" si="3"/>
        <v>25-26 Apr</v>
      </c>
      <c r="AB222" s="120" t="str">
        <f t="shared" si="4"/>
        <v>20-21 Apr</v>
      </c>
      <c r="AC222" s="120" t="str">
        <f t="shared" si="5"/>
        <v>23-24 Apr</v>
      </c>
      <c r="AD222" s="120" t="str">
        <f t="shared" si="6"/>
        <v/>
      </c>
      <c r="AE222" s="228" t="str">
        <f t="shared" si="7"/>
        <v/>
      </c>
      <c r="AF222" s="229" t="str">
        <f t="shared" si="8"/>
        <v/>
      </c>
      <c r="AG222" s="120" t="str">
        <f t="shared" si="27"/>
        <v/>
      </c>
      <c r="AH222" s="121" t="str">
        <f>IFERROR($M222+VLOOKUP($L222,'Voyage days'!$F$38:$H$89,3,FALSE),"")</f>
        <v/>
      </c>
      <c r="AI222" s="121" t="str">
        <f>IFERROR(N222+VLOOKUP($L222,'Voyage days'!$F$38:$H$89,3,FALSE),"")</f>
        <v/>
      </c>
      <c r="AJ222" s="120" t="str">
        <f t="shared" si="28"/>
        <v>25-26 Apr</v>
      </c>
      <c r="AK222" s="121">
        <f>IFERROR($M222+VLOOKUP($L222,'Voyage days'!$F$94:$H$193,3,FALSE),"")</f>
        <v>46137</v>
      </c>
      <c r="AL222" s="121">
        <f>IFERROR($N222+VLOOKUP($L222,'Voyage days'!$F$94:$H$193,3,FALSE),"")</f>
        <v>46138</v>
      </c>
      <c r="AM222" s="120" t="str">
        <f t="shared" si="29"/>
        <v>25-26 Apr</v>
      </c>
      <c r="AN222" s="121">
        <f>IFERROR($M222+VLOOKUP($L222,'Voyage days'!$F$203:$H$256,3,FALSE),"")</f>
        <v>46137</v>
      </c>
      <c r="AO222" s="121">
        <f>IFERROR($N222+VLOOKUP($L222,'Voyage days'!$F$203:$H$256,3,FALSE),"")</f>
        <v>46138</v>
      </c>
      <c r="AP222" s="120" t="str">
        <f t="shared" si="30"/>
        <v>20-21 Apr</v>
      </c>
      <c r="AQ222" s="121">
        <f>IFERROR($M222+VLOOKUP($L222,'Voyage days'!$F$294:$H$377,3,FALSE),"")</f>
        <v>46132</v>
      </c>
      <c r="AR222" s="121">
        <f>IFERROR($N222+VLOOKUP($L222,'Voyage days'!$F$294:$H$377,3,FALSE),"")</f>
        <v>46133</v>
      </c>
      <c r="AS222" s="120" t="str">
        <f t="shared" si="31"/>
        <v>23-24 Apr</v>
      </c>
      <c r="AT222" s="121">
        <f>IFERROR($M222+VLOOKUP($L222,'Voyage days'!$F$382:$H$446,3,FALSE),"")</f>
        <v>46135</v>
      </c>
      <c r="AU222" s="121">
        <f>IFERROR($N222+VLOOKUP($L222,'Voyage days'!$F$382:$H$446,3,FALSE),"")</f>
        <v>46136</v>
      </c>
      <c r="AV222" s="120" t="str">
        <f t="shared" si="32"/>
        <v/>
      </c>
      <c r="AW222" s="121" t="str">
        <f>IFERROR($M222+VLOOKUP($L222,'Voyage days'!$F$483:$H$538,3,FALSE),"")</f>
        <v/>
      </c>
      <c r="AX222" s="121" t="str">
        <f>IFERROR($N222+VLOOKUP($L222,'Voyage days'!$F$483:$H$538,3,FALSE),"")</f>
        <v/>
      </c>
      <c r="AY222" s="120" t="str">
        <f t="shared" si="33"/>
        <v/>
      </c>
      <c r="AZ222" s="121" t="str">
        <f>IFERROR($M222+VLOOKUP($L222,'Voyage days'!$F$540:$H$613,3,FALSE),"")</f>
        <v/>
      </c>
      <c r="BA222" s="121" t="str">
        <f>IFERROR($N222+VLOOKUP($L222,'Voyage days'!$F$540:$H$613,3,FALSE),"")</f>
        <v/>
      </c>
      <c r="BB222" s="120" t="str">
        <f t="shared" si="34"/>
        <v/>
      </c>
      <c r="BC222" s="121" t="str">
        <f>IFERROR($M222+VLOOKUP($L222,'Voyage days'!$F$448:$H$479,3,FALSE),"")</f>
        <v/>
      </c>
      <c r="BD222" s="121" t="str">
        <f>IFERROR($N222+VLOOKUP($L222,'Voyage days'!$F$448:$H$479,3,FALSE),"")</f>
        <v/>
      </c>
      <c r="BE222" s="120" t="str">
        <f t="shared" si="35"/>
        <v/>
      </c>
      <c r="BF222" s="122" t="str">
        <f>IFERROR($M222+VLOOKUP($L222,'Voyage days'!$F$620:$H$646,3,FALSE),"")</f>
        <v/>
      </c>
      <c r="BG222" s="122" t="str">
        <f>IFERROR($N222+VLOOKUP($L222,'Voyage days'!$F$620:$H$646,3,FALSE),"")</f>
        <v/>
      </c>
      <c r="BH222" s="120" t="str">
        <f t="shared" si="36"/>
        <v/>
      </c>
      <c r="BI222" s="123" t="str">
        <f>IFERROR($M222+VLOOKUP($L222,'Voyage days'!$F$702:$H$727,3,FALSE),"")</f>
        <v/>
      </c>
      <c r="BJ222" s="120" t="str">
        <f t="shared" si="37"/>
        <v/>
      </c>
      <c r="BK222" s="122" t="str">
        <f>IFERROR($M222+VLOOKUP($L222,'Voyage days'!$F$807:$H$878,3,FALSE),"")</f>
        <v/>
      </c>
      <c r="BL222" s="122" t="str">
        <f>IFERROR($N222+VLOOKUP($L222,'Voyage days'!$F$807:$H$878,3,FALSE),"")</f>
        <v/>
      </c>
      <c r="BM222" s="122" t="str">
        <f>IFERROR($N222+VLOOKUP($L222,'Voyage days'!$F$807:$K$878,6,FALSE),"")</f>
        <v/>
      </c>
      <c r="BN222" s="121" t="str">
        <f>if(L222="loads AG", IFERROR($M222+VLOOKUP($L222,'Voyage days'!$M$38:$O$38,3,FALSE),""),"")</f>
        <v/>
      </c>
      <c r="BO222" s="121" t="str">
        <f>if(L222="loads USG", IFERROR($M222+VLOOKUP($L222,'Voyage days'!$L$203:$N$203,3,FALSE),""),"")</f>
        <v/>
      </c>
    </row>
    <row r="223">
      <c r="A223" s="124" t="s">
        <v>1211</v>
      </c>
      <c r="B223" s="101">
        <v>42121.0</v>
      </c>
      <c r="C223" s="203">
        <v>84161.0</v>
      </c>
      <c r="D223" s="103"/>
      <c r="E223" s="103"/>
      <c r="F223" s="104"/>
      <c r="G223" s="104"/>
      <c r="H223" s="104" t="s">
        <v>666</v>
      </c>
      <c r="I223" s="329" t="s">
        <v>1212</v>
      </c>
      <c r="J223" s="106" t="str">
        <f t="shared" ref="J223:J230" si="40">IF(W223="","NO AIS",IF((W223-M223-1)&gt;0,"Update",""))</f>
        <v>Update</v>
      </c>
      <c r="K223" s="107"/>
      <c r="L223" s="108" t="s">
        <v>680</v>
      </c>
      <c r="M223" s="276">
        <v>46127.0</v>
      </c>
      <c r="N223" s="276">
        <v>46128.0</v>
      </c>
      <c r="O223" s="191"/>
      <c r="P223" s="108" t="s">
        <v>1213</v>
      </c>
      <c r="Q223" s="615"/>
      <c r="R223" s="108" t="s">
        <v>1214</v>
      </c>
      <c r="S223" s="112" t="s">
        <v>659</v>
      </c>
      <c r="T223" s="293">
        <v>46125.0</v>
      </c>
      <c r="U223" s="114" t="str">
        <f>IF(V223="","No AIS",VLOOKUP(V223,'Voyage days'!$A$3:$B$1480,2,FALSE))</f>
        <v>Panama</v>
      </c>
      <c r="V223" s="115" t="str">
        <f>IF(VLOOKUP(A223,'1) Kpler'!$E$2:$P$1000,8, FALSE)="","",VLOOKUP(A223,'1) Kpler'!$E$2:$P$1000,8, FALSE))</f>
        <v>Panama Canal</v>
      </c>
      <c r="W223" s="116">
        <f>IF(VLOOKUP(A223,'1) Kpler'!$E$2:$P$1000,9,FALSE)="","",VLOOKUP(A223,'1) Kpler'!$E$2:$P$1000,9,FALSE))</f>
        <v>46135.00069</v>
      </c>
      <c r="X223" s="115" t="str">
        <f>VLOOKUP(A223,'1) Kpler'!$E$2:$I$1000,4,FALSE)</f>
        <v>loaded</v>
      </c>
      <c r="Y223" s="296" t="str">
        <f t="shared" si="39"/>
        <v/>
      </c>
      <c r="Z223" s="296" t="str">
        <f t="shared" si="2"/>
        <v>15-16 Apr</v>
      </c>
      <c r="AA223" s="296" t="str">
        <f t="shared" si="3"/>
        <v>15-16 Apr</v>
      </c>
      <c r="AB223" s="296" t="str">
        <f t="shared" si="4"/>
        <v/>
      </c>
      <c r="AC223" s="296" t="str">
        <f t="shared" si="5"/>
        <v>05-06 May</v>
      </c>
      <c r="AD223" s="296" t="str">
        <f t="shared" si="6"/>
        <v/>
      </c>
      <c r="AE223" s="297" t="str">
        <f t="shared" si="7"/>
        <v/>
      </c>
      <c r="AF223" s="119" t="str">
        <f t="shared" si="8"/>
        <v/>
      </c>
      <c r="AG223" s="120" t="str">
        <f t="shared" si="27"/>
        <v/>
      </c>
      <c r="AH223" s="121" t="str">
        <f>IFERROR($M223+VLOOKUP($L223,'Voyage days'!$F$38:$H$89,3,FALSE),"")</f>
        <v/>
      </c>
      <c r="AI223" s="121" t="str">
        <f>IFERROR(N223+VLOOKUP($L223,'Voyage days'!$F$38:$H$89,3,FALSE),"")</f>
        <v/>
      </c>
      <c r="AJ223" s="120" t="str">
        <f t="shared" si="28"/>
        <v>15-16 Apr</v>
      </c>
      <c r="AK223" s="121">
        <f>IFERROR($M223+VLOOKUP($L223,'Voyage days'!$F$94:$H$193,3,FALSE),"")</f>
        <v>46127</v>
      </c>
      <c r="AL223" s="121">
        <f>IFERROR($N223+VLOOKUP($L223,'Voyage days'!$F$94:$H$193,3,FALSE),"")</f>
        <v>46128</v>
      </c>
      <c r="AM223" s="120" t="str">
        <f t="shared" si="29"/>
        <v>15-16 Apr</v>
      </c>
      <c r="AN223" s="121">
        <f>IFERROR($M223+VLOOKUP($L223,'Voyage days'!$F$203:$H$256,3,FALSE),"")</f>
        <v>46127</v>
      </c>
      <c r="AO223" s="121">
        <f>IFERROR($N223+VLOOKUP($L223,'Voyage days'!$F$203:$H$256,3,FALSE),"")</f>
        <v>46128</v>
      </c>
      <c r="AP223" s="120" t="str">
        <f t="shared" si="30"/>
        <v/>
      </c>
      <c r="AQ223" s="121" t="str">
        <f>IFERROR($M223+VLOOKUP($L223,'Voyage days'!$F$294:$H$377,3,FALSE),"")</f>
        <v/>
      </c>
      <c r="AR223" s="121" t="str">
        <f>IFERROR($N223+VLOOKUP($L223,'Voyage days'!$F$294:$H$377,3,FALSE),"")</f>
        <v/>
      </c>
      <c r="AS223" s="120" t="str">
        <f t="shared" si="31"/>
        <v>05-06 May</v>
      </c>
      <c r="AT223" s="121">
        <f>IFERROR($M223+VLOOKUP($L223,'Voyage days'!$F$382:$H$446,3,FALSE),"")</f>
        <v>46147</v>
      </c>
      <c r="AU223" s="121">
        <f>IFERROR($N223+VLOOKUP($L223,'Voyage days'!$F$382:$H$446,3,FALSE),"")</f>
        <v>46148</v>
      </c>
      <c r="AV223" s="120" t="str">
        <f t="shared" si="32"/>
        <v/>
      </c>
      <c r="AW223" s="121" t="str">
        <f>IFERROR($M223+VLOOKUP($L223,'Voyage days'!$F$483:$H$538,3,FALSE),"")</f>
        <v/>
      </c>
      <c r="AX223" s="121" t="str">
        <f>IFERROR($N223+VLOOKUP($L223,'Voyage days'!$F$483:$H$538,3,FALSE),"")</f>
        <v/>
      </c>
      <c r="AY223" s="120" t="str">
        <f t="shared" si="33"/>
        <v/>
      </c>
      <c r="AZ223" s="121" t="str">
        <f>IFERROR($M223+VLOOKUP($L223,'Voyage days'!$F$540:$H$613,3,FALSE),"")</f>
        <v/>
      </c>
      <c r="BA223" s="121" t="str">
        <f>IFERROR($N223+VLOOKUP($L223,'Voyage days'!$F$540:$H$613,3,FALSE),"")</f>
        <v/>
      </c>
      <c r="BB223" s="120" t="str">
        <f t="shared" si="34"/>
        <v/>
      </c>
      <c r="BC223" s="121" t="str">
        <f>IFERROR($M223+VLOOKUP($L223,'Voyage days'!$F$448:$H$479,3,FALSE),"")</f>
        <v/>
      </c>
      <c r="BD223" s="121" t="str">
        <f>IFERROR($N223+VLOOKUP($L223,'Voyage days'!$F$448:$H$479,3,FALSE),"")</f>
        <v/>
      </c>
      <c r="BE223" s="120" t="str">
        <f t="shared" si="35"/>
        <v/>
      </c>
      <c r="BF223" s="122" t="str">
        <f>IFERROR($M223+VLOOKUP($L223,'Voyage days'!$F$620:$H$646,3,FALSE),"")</f>
        <v/>
      </c>
      <c r="BG223" s="122" t="str">
        <f>IFERROR($N223+VLOOKUP($L223,'Voyage days'!$F$620:$H$646,3,FALSE),"")</f>
        <v/>
      </c>
      <c r="BH223" s="120" t="str">
        <f t="shared" si="36"/>
        <v/>
      </c>
      <c r="BI223" s="123" t="str">
        <f>IFERROR($M223+VLOOKUP($L223,'Voyage days'!$F$702:$H$727,3,FALSE),"")</f>
        <v/>
      </c>
      <c r="BJ223" s="120" t="str">
        <f t="shared" si="37"/>
        <v/>
      </c>
      <c r="BK223" s="122" t="str">
        <f>IFERROR($M223+VLOOKUP($L223,'Voyage days'!$F$807:$H$878,3,FALSE),"")</f>
        <v/>
      </c>
      <c r="BL223" s="122" t="str">
        <f>IFERROR($N223+VLOOKUP($L223,'Voyage days'!$F$807:$H$878,3,FALSE),"")</f>
        <v/>
      </c>
      <c r="BM223" s="122" t="str">
        <f>IFERROR($N223+VLOOKUP($L223,'Voyage days'!$F$807:$K$878,6,FALSE),"")</f>
        <v/>
      </c>
      <c r="BN223" s="121" t="str">
        <f>if(L223="loads AG", IFERROR($M223+VLOOKUP($L223,'Voyage days'!$M$38:$O$38,3,FALSE),""),"")</f>
        <v/>
      </c>
      <c r="BO223" s="121">
        <f>if(L223="loads USG", IFERROR($M223+VLOOKUP($L223,'Voyage days'!$L$203:$N$203,3,FALSE),""),"")</f>
        <v>46159</v>
      </c>
    </row>
    <row r="224" ht="15.75" customHeight="1">
      <c r="A224" s="271" t="s">
        <v>1215</v>
      </c>
      <c r="B224" s="148">
        <v>2022.0</v>
      </c>
      <c r="C224" s="102">
        <v>91000.0</v>
      </c>
      <c r="D224" s="256"/>
      <c r="E224" s="256" t="s">
        <v>706</v>
      </c>
      <c r="F224" s="150"/>
      <c r="G224" s="150"/>
      <c r="H224" s="150" t="s">
        <v>666</v>
      </c>
      <c r="I224" s="329" t="s">
        <v>1212</v>
      </c>
      <c r="J224" s="151" t="str">
        <f t="shared" si="40"/>
        <v/>
      </c>
      <c r="K224" s="152"/>
      <c r="L224" s="108" t="s">
        <v>1085</v>
      </c>
      <c r="M224" s="109">
        <v>46137.0</v>
      </c>
      <c r="N224" s="109">
        <v>46138.0</v>
      </c>
      <c r="O224" s="155"/>
      <c r="P224" s="317" t="s">
        <v>1216</v>
      </c>
      <c r="Q224" s="153"/>
      <c r="R224" s="153" t="s">
        <v>1217</v>
      </c>
      <c r="S224" s="616" t="s">
        <v>659</v>
      </c>
      <c r="T224" s="188">
        <v>46125.0</v>
      </c>
      <c r="U224" s="114" t="str">
        <f>IF(V224="","No AIS",VLOOKUP(V224,'Voyage days'!$A$3:$B$1480,2,FALSE))</f>
        <v>WCI + 5</v>
      </c>
      <c r="V224" s="114" t="str">
        <f>IF(VLOOKUP(A224,'1) Kpler'!$E$2:$P$1000,8, FALSE)="","",VLOOKUP(A224,'1) Kpler'!$E$2:$P$1000,8, FALSE))</f>
        <v>Mangalore</v>
      </c>
      <c r="W224" s="159">
        <f>IF(VLOOKUP(A224,'1) Kpler'!$E$2:$P$1000,9,FALSE)="","",VLOOKUP(A224,'1) Kpler'!$E$2:$P$1000,9,FALSE))</f>
        <v>46133.41667</v>
      </c>
      <c r="X224" s="114" t="str">
        <f>VLOOKUP(A224,'1) Kpler'!$E$2:$I$1000,4,FALSE)</f>
        <v>loaded</v>
      </c>
      <c r="Y224" s="296" t="str">
        <f t="shared" si="39"/>
        <v>30-01 May</v>
      </c>
      <c r="Z224" s="296" t="str">
        <f t="shared" si="2"/>
        <v/>
      </c>
      <c r="AA224" s="296" t="str">
        <f t="shared" si="3"/>
        <v>27-28 May</v>
      </c>
      <c r="AB224" s="296" t="str">
        <f t="shared" si="4"/>
        <v>14-15 May</v>
      </c>
      <c r="AC224" s="296" t="str">
        <f t="shared" si="5"/>
        <v>08-09 May</v>
      </c>
      <c r="AD224" s="296" t="str">
        <f t="shared" si="6"/>
        <v/>
      </c>
      <c r="AE224" s="297" t="str">
        <f t="shared" si="7"/>
        <v/>
      </c>
      <c r="AF224" s="119" t="str">
        <f t="shared" si="8"/>
        <v>30-31 May</v>
      </c>
      <c r="AG224" s="163" t="str">
        <f t="shared" si="27"/>
        <v>30-01 May</v>
      </c>
      <c r="AH224" s="122">
        <f>IFERROR($M224+VLOOKUP($L224,'Voyage days'!$F$38:$H$89,3,FALSE),"")</f>
        <v>46142</v>
      </c>
      <c r="AI224" s="122">
        <f>IFERROR(N224+VLOOKUP($L224,'Voyage days'!$F$38:$H$89,3,FALSE),"")</f>
        <v>46143</v>
      </c>
      <c r="AJ224" s="163" t="str">
        <f t="shared" si="28"/>
        <v/>
      </c>
      <c r="AK224" s="122" t="str">
        <f>IFERROR($M224+VLOOKUP($L224,'Voyage days'!$F$94:$H$193,3,FALSE),"")</f>
        <v/>
      </c>
      <c r="AL224" s="122" t="str">
        <f>IFERROR($N224+VLOOKUP($L224,'Voyage days'!$F$94:$H$193,3,FALSE),"")</f>
        <v/>
      </c>
      <c r="AM224" s="163" t="str">
        <f t="shared" si="29"/>
        <v>27-28 May</v>
      </c>
      <c r="AN224" s="122">
        <f>IFERROR($M224+VLOOKUP($L224,'Voyage days'!$F$203:$H$256,3,FALSE),"")</f>
        <v>46169</v>
      </c>
      <c r="AO224" s="122">
        <f>IFERROR($N224+VLOOKUP($L224,'Voyage days'!$F$203:$H$256,3,FALSE),"")</f>
        <v>46170</v>
      </c>
      <c r="AP224" s="163" t="str">
        <f t="shared" si="30"/>
        <v>14-15 May</v>
      </c>
      <c r="AQ224" s="122">
        <f>IFERROR($M224+VLOOKUP($L224,'Voyage days'!$F$294:$H$377,3,FALSE),"")</f>
        <v>46156</v>
      </c>
      <c r="AR224" s="122">
        <f>IFERROR($N224+VLOOKUP($L224,'Voyage days'!$F$294:$H$377,3,FALSE),"")</f>
        <v>46157</v>
      </c>
      <c r="AS224" s="163" t="str">
        <f t="shared" si="31"/>
        <v>08-09 May</v>
      </c>
      <c r="AT224" s="122">
        <f>IFERROR($M224+VLOOKUP($L224,'Voyage days'!$F$382:$H$446,3,FALSE),"")</f>
        <v>46150</v>
      </c>
      <c r="AU224" s="122">
        <f>IFERROR($N224+VLOOKUP($L224,'Voyage days'!$F$382:$H$446,3,FALSE),"")</f>
        <v>46151</v>
      </c>
      <c r="AV224" s="163" t="str">
        <f t="shared" si="32"/>
        <v/>
      </c>
      <c r="AW224" s="122" t="str">
        <f>IFERROR($M224+VLOOKUP($L224,'Voyage days'!$F$483:$H$538,3,FALSE),"")</f>
        <v/>
      </c>
      <c r="AX224" s="122" t="str">
        <f>IFERROR($N224+VLOOKUP($L224,'Voyage days'!$F$483:$H$538,3,FALSE),"")</f>
        <v/>
      </c>
      <c r="AY224" s="163" t="str">
        <f t="shared" si="33"/>
        <v/>
      </c>
      <c r="AZ224" s="122" t="str">
        <f>IFERROR($M224+VLOOKUP($L224,'Voyage days'!$F$540:$H$613,3,FALSE),"")</f>
        <v/>
      </c>
      <c r="BA224" s="122" t="str">
        <f>IFERROR($N224+VLOOKUP($L224,'Voyage days'!$F$540:$H$613,3,FALSE),"")</f>
        <v/>
      </c>
      <c r="BB224" s="163" t="str">
        <f t="shared" si="34"/>
        <v/>
      </c>
      <c r="BC224" s="121" t="str">
        <f>IFERROR($M224+VLOOKUP($L224,'Voyage days'!$F$448:$H$479,3,FALSE),"")</f>
        <v/>
      </c>
      <c r="BD224" s="121" t="str">
        <f>IFERROR($N224+VLOOKUP($L224,'Voyage days'!$F$448:$H$479,3,FALSE),"")</f>
        <v/>
      </c>
      <c r="BE224" s="163" t="str">
        <f t="shared" si="35"/>
        <v/>
      </c>
      <c r="BF224" s="122" t="str">
        <f>IFERROR($M224+VLOOKUP($L224,'Voyage days'!$F$620:$H$646,3,FALSE),"")</f>
        <v/>
      </c>
      <c r="BG224" s="122" t="str">
        <f>IFERROR($N224+VLOOKUP($L224,'Voyage days'!$F$620:$H$646,3,FALSE),"")</f>
        <v/>
      </c>
      <c r="BH224" s="163" t="str">
        <f t="shared" si="36"/>
        <v/>
      </c>
      <c r="BI224" s="123" t="str">
        <f>IFERROR($M224+VLOOKUP($L224,'Voyage days'!$F$702:$H$727,3,FALSE),"")</f>
        <v/>
      </c>
      <c r="BJ224" s="163" t="str">
        <f t="shared" si="37"/>
        <v>30-31 May</v>
      </c>
      <c r="BK224" s="122">
        <f>IFERROR($M224+VLOOKUP($L224,'Voyage days'!$F$807:$H$878,3,FALSE),"")</f>
        <v>46172</v>
      </c>
      <c r="BL224" s="122">
        <f>IFERROR($N224+VLOOKUP($L224,'Voyage days'!$F$807:$H$878,3,FALSE),"")</f>
        <v>46173</v>
      </c>
      <c r="BM224" s="122">
        <f>IFERROR($N224+VLOOKUP($L224,'Voyage days'!$F$807:$K$878,6,FALSE),"")</f>
        <v>46145</v>
      </c>
      <c r="BN224" s="121" t="str">
        <f>if(L224="loads AG", IFERROR($M224+VLOOKUP($L224,'Voyage days'!$M$38:$O$38,3,FALSE),""),"")</f>
        <v/>
      </c>
      <c r="BO224" s="121" t="str">
        <f>if(L224="loads USG", IFERROR($M224+VLOOKUP($L224,'Voyage days'!$L$203:$N$203,3,FALSE),""),"")</f>
        <v/>
      </c>
    </row>
    <row r="225" ht="15.75" customHeight="1">
      <c r="A225" s="100" t="s">
        <v>231</v>
      </c>
      <c r="B225" s="148">
        <v>2022.0</v>
      </c>
      <c r="C225" s="102">
        <v>91000.0</v>
      </c>
      <c r="D225" s="103"/>
      <c r="E225" s="103"/>
      <c r="F225" s="104"/>
      <c r="G225" s="104"/>
      <c r="H225" s="104" t="s">
        <v>666</v>
      </c>
      <c r="I225" s="332" t="s">
        <v>1212</v>
      </c>
      <c r="J225" s="106" t="str">
        <f t="shared" si="40"/>
        <v>Update</v>
      </c>
      <c r="K225" s="107"/>
      <c r="L225" s="108" t="s">
        <v>680</v>
      </c>
      <c r="M225" s="109">
        <v>46118.0</v>
      </c>
      <c r="N225" s="109">
        <v>46119.0</v>
      </c>
      <c r="O225" s="110"/>
      <c r="P225" s="108" t="s">
        <v>891</v>
      </c>
      <c r="Q225" s="108"/>
      <c r="R225" s="153" t="s">
        <v>1218</v>
      </c>
      <c r="S225" s="616" t="s">
        <v>659</v>
      </c>
      <c r="T225" s="188">
        <v>46125.0</v>
      </c>
      <c r="U225" s="114" t="str">
        <f>IF(V225="","No AIS",VLOOKUP(V225,'Voyage days'!$A$3:$B$1480,2,FALSE))</f>
        <v>India?/SG-JP?</v>
      </c>
      <c r="V225" s="115" t="str">
        <f>IF(VLOOKUP(A225,'1) Kpler'!$E$2:$P$1000,8, FALSE)="","",VLOOKUP(A225,'1) Kpler'!$E$2:$P$1000,8, FALSE))</f>
        <v>Eastern Asia</v>
      </c>
      <c r="W225" s="116">
        <f>IF(VLOOKUP(A225,'1) Kpler'!$E$2:$P$1000,9,FALSE)="","",VLOOKUP(A225,'1) Kpler'!$E$2:$P$1000,9,FALSE))</f>
        <v>46157.46389</v>
      </c>
      <c r="X225" s="115" t="str">
        <f>VLOOKUP(A225,'1) Kpler'!$E$2:$I$1000,4,FALSE)</f>
        <v>loaded</v>
      </c>
      <c r="Y225" s="160" t="str">
        <f t="shared" si="39"/>
        <v/>
      </c>
      <c r="Z225" s="160" t="str">
        <f t="shared" si="2"/>
        <v>06-07 Apr</v>
      </c>
      <c r="AA225" s="160" t="str">
        <f t="shared" si="3"/>
        <v>06-07 Apr</v>
      </c>
      <c r="AB225" s="160" t="str">
        <f t="shared" si="4"/>
        <v/>
      </c>
      <c r="AC225" s="160" t="str">
        <f t="shared" si="5"/>
        <v>26-27 Apr</v>
      </c>
      <c r="AD225" s="160" t="str">
        <f t="shared" si="6"/>
        <v/>
      </c>
      <c r="AE225" s="161" t="str">
        <f t="shared" si="7"/>
        <v/>
      </c>
      <c r="AF225" s="162" t="str">
        <f t="shared" si="8"/>
        <v/>
      </c>
      <c r="AG225" s="120" t="str">
        <f t="shared" si="27"/>
        <v/>
      </c>
      <c r="AH225" s="121" t="str">
        <f>IFERROR($M225+VLOOKUP($L225,'Voyage days'!$F$38:$H$89,3,FALSE),"")</f>
        <v/>
      </c>
      <c r="AI225" s="121" t="str">
        <f>IFERROR(N225+VLOOKUP($L225,'Voyage days'!$F$38:$H$89,3,FALSE),"")</f>
        <v/>
      </c>
      <c r="AJ225" s="120" t="str">
        <f t="shared" si="28"/>
        <v>06-07 Apr</v>
      </c>
      <c r="AK225" s="121">
        <f>IFERROR($M225+VLOOKUP($L225,'Voyage days'!$F$94:$H$193,3,FALSE),"")</f>
        <v>46118</v>
      </c>
      <c r="AL225" s="121">
        <f>IFERROR($N225+VLOOKUP($L225,'Voyage days'!$F$94:$H$193,3,FALSE),"")</f>
        <v>46119</v>
      </c>
      <c r="AM225" s="120" t="str">
        <f t="shared" si="29"/>
        <v>06-07 Apr</v>
      </c>
      <c r="AN225" s="121">
        <f>IFERROR($M225+VLOOKUP($L225,'Voyage days'!$F$203:$H$256,3,FALSE),"")</f>
        <v>46118</v>
      </c>
      <c r="AO225" s="121">
        <f>IFERROR($N225+VLOOKUP($L225,'Voyage days'!$F$203:$H$256,3,FALSE),"")</f>
        <v>46119</v>
      </c>
      <c r="AP225" s="120" t="str">
        <f t="shared" si="30"/>
        <v/>
      </c>
      <c r="AQ225" s="121" t="str">
        <f>IFERROR($M225+VLOOKUP($L225,'Voyage days'!$F$294:$H$377,3,FALSE),"")</f>
        <v/>
      </c>
      <c r="AR225" s="121" t="str">
        <f>IFERROR($N225+VLOOKUP($L225,'Voyage days'!$F$294:$H$377,3,FALSE),"")</f>
        <v/>
      </c>
      <c r="AS225" s="120" t="str">
        <f t="shared" si="31"/>
        <v>26-27 Apr</v>
      </c>
      <c r="AT225" s="121">
        <f>IFERROR($M225+VLOOKUP($L225,'Voyage days'!$F$382:$H$446,3,FALSE),"")</f>
        <v>46138</v>
      </c>
      <c r="AU225" s="121">
        <f>IFERROR($N225+VLOOKUP($L225,'Voyage days'!$F$382:$H$446,3,FALSE),"")</f>
        <v>46139</v>
      </c>
      <c r="AV225" s="120" t="str">
        <f t="shared" si="32"/>
        <v/>
      </c>
      <c r="AW225" s="121" t="str">
        <f>IFERROR($M225+VLOOKUP($L225,'Voyage days'!$F$483:$H$538,3,FALSE),"")</f>
        <v/>
      </c>
      <c r="AX225" s="121" t="str">
        <f>IFERROR($N225+VLOOKUP($L225,'Voyage days'!$F$483:$H$538,3,FALSE),"")</f>
        <v/>
      </c>
      <c r="AY225" s="120" t="str">
        <f t="shared" si="33"/>
        <v/>
      </c>
      <c r="AZ225" s="121" t="str">
        <f>IFERROR($M225+VLOOKUP($L225,'Voyage days'!$F$540:$H$613,3,FALSE),"")</f>
        <v/>
      </c>
      <c r="BA225" s="121" t="str">
        <f>IFERROR($N225+VLOOKUP($L225,'Voyage days'!$F$540:$H$613,3,FALSE),"")</f>
        <v/>
      </c>
      <c r="BB225" s="120" t="str">
        <f t="shared" si="34"/>
        <v/>
      </c>
      <c r="BC225" s="121" t="str">
        <f>IFERROR($M225+VLOOKUP($L225,'Voyage days'!$F$448:$H$479,3,FALSE),"")</f>
        <v/>
      </c>
      <c r="BD225" s="121" t="str">
        <f>IFERROR($N225+VLOOKUP($L225,'Voyage days'!$F$448:$H$479,3,FALSE),"")</f>
        <v/>
      </c>
      <c r="BE225" s="120" t="str">
        <f t="shared" si="35"/>
        <v/>
      </c>
      <c r="BF225" s="122" t="str">
        <f>IFERROR($M225+VLOOKUP($L225,'Voyage days'!$F$620:$H$646,3,FALSE),"")</f>
        <v/>
      </c>
      <c r="BG225" s="122" t="str">
        <f>IFERROR($N225+VLOOKUP($L225,'Voyage days'!$F$620:$H$646,3,FALSE),"")</f>
        <v/>
      </c>
      <c r="BH225" s="120" t="str">
        <f t="shared" si="36"/>
        <v/>
      </c>
      <c r="BI225" s="123" t="str">
        <f>IFERROR($M225+VLOOKUP($L225,'Voyage days'!$F$702:$H$727,3,FALSE),"")</f>
        <v/>
      </c>
      <c r="BJ225" s="120" t="str">
        <f t="shared" si="37"/>
        <v/>
      </c>
      <c r="BK225" s="122" t="str">
        <f>IFERROR($M225+VLOOKUP($L225,'Voyage days'!$F$807:$H$878,3,FALSE),"")</f>
        <v/>
      </c>
      <c r="BL225" s="122" t="str">
        <f>IFERROR($N225+VLOOKUP($L225,'Voyage days'!$F$807:$H$878,3,FALSE),"")</f>
        <v/>
      </c>
      <c r="BM225" s="122" t="str">
        <f>IFERROR($N225+VLOOKUP($L225,'Voyage days'!$F$807:$K$878,6,FALSE),"")</f>
        <v/>
      </c>
      <c r="BN225" s="121" t="str">
        <f>if(L225="loads AG", IFERROR($M225+VLOOKUP($L225,'Voyage days'!$M$38:$O$38,3,FALSE),""),"")</f>
        <v/>
      </c>
      <c r="BO225" s="121">
        <f>if(L225="loads USG", IFERROR($M225+VLOOKUP($L225,'Voyage days'!$L$203:$N$203,3,FALSE),""),"")</f>
        <v>46150</v>
      </c>
    </row>
    <row r="226" ht="16.5" customHeight="1">
      <c r="A226" s="204" t="s">
        <v>233</v>
      </c>
      <c r="B226" s="202">
        <v>2026.0</v>
      </c>
      <c r="C226" s="203">
        <v>88000.0</v>
      </c>
      <c r="D226" s="103"/>
      <c r="E226" s="103"/>
      <c r="F226" s="104"/>
      <c r="G226" s="104"/>
      <c r="H226" s="104" t="s">
        <v>666</v>
      </c>
      <c r="I226" s="332" t="s">
        <v>1212</v>
      </c>
      <c r="J226" s="106" t="str">
        <f t="shared" si="40"/>
        <v>Update</v>
      </c>
      <c r="K226" s="107"/>
      <c r="L226" s="108" t="s">
        <v>663</v>
      </c>
      <c r="M226" s="109">
        <v>46130.0</v>
      </c>
      <c r="N226" s="109">
        <v>46131.0</v>
      </c>
      <c r="O226" s="110"/>
      <c r="P226" s="108" t="s">
        <v>1219</v>
      </c>
      <c r="Q226" s="108"/>
      <c r="R226" s="153" t="s">
        <v>1220</v>
      </c>
      <c r="S226" s="616" t="s">
        <v>659</v>
      </c>
      <c r="T226" s="188">
        <v>46125.0</v>
      </c>
      <c r="U226" s="114" t="str">
        <f>IF(V226="","No AIS",VLOOKUP(V226,'Voyage days'!$A$3:$B$1480,2,FALSE))</f>
        <v>Panama</v>
      </c>
      <c r="V226" s="115" t="str">
        <f>IF(VLOOKUP(A226,'1) Kpler'!$E$2:$P$1000,8, FALSE)="","",VLOOKUP(A226,'1) Kpler'!$E$2:$P$1000,8, FALSE))</f>
        <v>Panama Canal</v>
      </c>
      <c r="W226" s="116">
        <f>IF(VLOOKUP(A226,'1) Kpler'!$E$2:$P$1000,9,FALSE)="","",VLOOKUP(A226,'1) Kpler'!$E$2:$P$1000,9,FALSE))</f>
        <v>46155.79167</v>
      </c>
      <c r="X226" s="115" t="str">
        <f>VLOOKUP(A226,'1) Kpler'!$E$2:$I$1000,4,FALSE)</f>
        <v>ballast</v>
      </c>
      <c r="Y226" s="160" t="str">
        <f t="shared" si="39"/>
        <v>05-06 May</v>
      </c>
      <c r="Z226" s="160" t="str">
        <f t="shared" si="2"/>
        <v>21-22 May</v>
      </c>
      <c r="AA226" s="160" t="str">
        <f t="shared" si="3"/>
        <v>01-02 Jun</v>
      </c>
      <c r="AB226" s="160" t="str">
        <f t="shared" si="4"/>
        <v>16-17 May</v>
      </c>
      <c r="AC226" s="160" t="str">
        <f t="shared" si="5"/>
        <v>23-24 May</v>
      </c>
      <c r="AD226" s="160" t="str">
        <f t="shared" si="6"/>
        <v>24-25 Apr</v>
      </c>
      <c r="AE226" s="161" t="str">
        <f t="shared" si="7"/>
        <v>25-26 Apr</v>
      </c>
      <c r="AF226" s="162" t="str">
        <f t="shared" si="8"/>
        <v>01-02 Jun</v>
      </c>
      <c r="AG226" s="120" t="str">
        <f t="shared" si="27"/>
        <v>05-06 May</v>
      </c>
      <c r="AH226" s="121">
        <f>IFERROR($M226+VLOOKUP($L226,'Voyage days'!$F$38:$H$89,3,FALSE),"")</f>
        <v>46147</v>
      </c>
      <c r="AI226" s="121">
        <f>IFERROR(N226+VLOOKUP($L226,'Voyage days'!$F$38:$H$89,3,FALSE),"")</f>
        <v>46148</v>
      </c>
      <c r="AJ226" s="120" t="str">
        <f t="shared" si="28"/>
        <v>21-22 May</v>
      </c>
      <c r="AK226" s="121">
        <f>IFERROR($M226+VLOOKUP($L226,'Voyage days'!$F$94:$H$193,3,FALSE),"")</f>
        <v>46163</v>
      </c>
      <c r="AL226" s="121">
        <f>IFERROR($N226+VLOOKUP($L226,'Voyage days'!$F$94:$H$193,3,FALSE),"")</f>
        <v>46164</v>
      </c>
      <c r="AM226" s="120" t="str">
        <f t="shared" si="29"/>
        <v>01-02 Jun</v>
      </c>
      <c r="AN226" s="121">
        <f>IFERROR($M226+VLOOKUP($L226,'Voyage days'!$F$203:$H$256,3,FALSE),"")</f>
        <v>46174</v>
      </c>
      <c r="AO226" s="121">
        <f>IFERROR($N226+VLOOKUP($L226,'Voyage days'!$F$203:$H$256,3,FALSE),"")</f>
        <v>46175</v>
      </c>
      <c r="AP226" s="120" t="str">
        <f t="shared" si="30"/>
        <v>16-17 May</v>
      </c>
      <c r="AQ226" s="121">
        <f>IFERROR($M226+VLOOKUP($L226,'Voyage days'!$F$294:$H$377,3,FALSE),"")</f>
        <v>46158</v>
      </c>
      <c r="AR226" s="121">
        <f>IFERROR($N226+VLOOKUP($L226,'Voyage days'!$F$294:$H$377,3,FALSE),"")</f>
        <v>46159</v>
      </c>
      <c r="AS226" s="120" t="str">
        <f t="shared" si="31"/>
        <v>23-24 May</v>
      </c>
      <c r="AT226" s="121">
        <f>IFERROR($M226+VLOOKUP($L226,'Voyage days'!$F$382:$H$446,3,FALSE),"")</f>
        <v>46165</v>
      </c>
      <c r="AU226" s="121">
        <f>IFERROR($N226+VLOOKUP($L226,'Voyage days'!$F$382:$H$446,3,FALSE),"")</f>
        <v>46166</v>
      </c>
      <c r="AV226" s="120" t="str">
        <f t="shared" si="32"/>
        <v>02-03 May</v>
      </c>
      <c r="AW226" s="121">
        <f>IFERROR($M226+VLOOKUP($L226,'Voyage days'!$F$483:$H$538,3,FALSE),"")</f>
        <v>46144</v>
      </c>
      <c r="AX226" s="121">
        <f>IFERROR($N226+VLOOKUP($L226,'Voyage days'!$F$483:$H$538,3,FALSE),"")</f>
        <v>46145</v>
      </c>
      <c r="AY226" s="120" t="str">
        <f t="shared" si="33"/>
        <v>25-26 Apr</v>
      </c>
      <c r="AZ226" s="121">
        <f>IFERROR($M226+VLOOKUP($L226,'Voyage days'!$F$540:$H$613,3,FALSE),"")</f>
        <v>46137.25</v>
      </c>
      <c r="BA226" s="121">
        <f>IFERROR($N226+VLOOKUP($L226,'Voyage days'!$F$540:$H$613,3,FALSE),"")</f>
        <v>46138.25</v>
      </c>
      <c r="BB226" s="120" t="str">
        <f t="shared" si="34"/>
        <v>24-25 Apr</v>
      </c>
      <c r="BC226" s="121">
        <f>IFERROR($M226+VLOOKUP($L226,'Voyage days'!$F$448:$H$479,3,FALSE),"")</f>
        <v>46136</v>
      </c>
      <c r="BD226" s="121">
        <f>IFERROR($N226+VLOOKUP($L226,'Voyage days'!$F$448:$H$479,3,FALSE),"")</f>
        <v>46137</v>
      </c>
      <c r="BE226" s="120" t="str">
        <f t="shared" si="35"/>
        <v>01-02 May</v>
      </c>
      <c r="BF226" s="122">
        <f>IFERROR($M226+VLOOKUP($L226,'Voyage days'!$F$620:$H$646,3,FALSE),"")</f>
        <v>46143</v>
      </c>
      <c r="BG226" s="122">
        <f>IFERROR($N226+VLOOKUP($L226,'Voyage days'!$F$620:$H$646,3,FALSE),"")</f>
        <v>46144</v>
      </c>
      <c r="BH226" s="120" t="str">
        <f t="shared" si="36"/>
        <v>25-02 Jun</v>
      </c>
      <c r="BI226" s="123">
        <f>IFERROR($M226+VLOOKUP($L226,'Voyage days'!$F$702:$H$727,3,FALSE),"")</f>
        <v>46137.25</v>
      </c>
      <c r="BJ226" s="120" t="str">
        <f t="shared" si="37"/>
        <v>01-02 Jun</v>
      </c>
      <c r="BK226" s="122">
        <f>IFERROR($M226+VLOOKUP($L226,'Voyage days'!$F$807:$H$878,3,FALSE),"")</f>
        <v>46174</v>
      </c>
      <c r="BL226" s="122">
        <f>IFERROR($N226+VLOOKUP($L226,'Voyage days'!$F$807:$H$878,3,FALSE),"")</f>
        <v>46175</v>
      </c>
      <c r="BM226" s="122">
        <f>IFERROR($N226+VLOOKUP($L226,'Voyage days'!$F$807:$K$878,6,FALSE),"")</f>
        <v>46149</v>
      </c>
      <c r="BN226" s="121" t="str">
        <f>if(L226="loads AG", IFERROR($M226+VLOOKUP($L226,'Voyage days'!$M$38:$O$38,3,FALSE),""),"")</f>
        <v/>
      </c>
      <c r="BO226" s="121" t="str">
        <f>if(L226="loads USG", IFERROR($M226+VLOOKUP($L226,'Voyage days'!$L$203:$N$203,3,FALSE),""),"")</f>
        <v/>
      </c>
    </row>
    <row r="227" ht="16.5" customHeight="1">
      <c r="A227" s="100" t="s">
        <v>359</v>
      </c>
      <c r="B227" s="101">
        <v>42377.0</v>
      </c>
      <c r="C227" s="102">
        <v>84000.0</v>
      </c>
      <c r="D227" s="103"/>
      <c r="E227" s="103"/>
      <c r="F227" s="104"/>
      <c r="G227" s="104"/>
      <c r="H227" s="104"/>
      <c r="I227" s="332" t="s">
        <v>1212</v>
      </c>
      <c r="J227" s="336" t="str">
        <f t="shared" si="40"/>
        <v/>
      </c>
      <c r="K227" s="107"/>
      <c r="L227" s="108" t="s">
        <v>680</v>
      </c>
      <c r="M227" s="109">
        <v>46154.0</v>
      </c>
      <c r="N227" s="109">
        <v>46155.0</v>
      </c>
      <c r="O227" s="191"/>
      <c r="P227" s="108" t="s">
        <v>1221</v>
      </c>
      <c r="Q227" s="108"/>
      <c r="R227" s="108" t="s">
        <v>1222</v>
      </c>
      <c r="S227" s="616" t="s">
        <v>659</v>
      </c>
      <c r="T227" s="188">
        <v>46125.0</v>
      </c>
      <c r="U227" s="114" t="str">
        <f>IF(V227="","No AIS",VLOOKUP(V227,'Voyage days'!$A$3:$B$1480,2,FALSE))</f>
        <v>Cape (as proxy)</v>
      </c>
      <c r="V227" s="115" t="str">
        <f>IF(VLOOKUP(A227,'1) Kpler'!$E$2:$P$1000,8, FALSE)="","",VLOOKUP(A227,'1) Kpler'!$E$2:$P$1000,8, FALSE))</f>
        <v>Cape Town</v>
      </c>
      <c r="W227" s="116">
        <f>IF(VLOOKUP(A227,'1) Kpler'!$E$2:$P$1000,9,FALSE)="","",VLOOKUP(A227,'1) Kpler'!$E$2:$P$1000,9,FALSE))</f>
        <v>46132.66667</v>
      </c>
      <c r="X227" s="115" t="str">
        <f>VLOOKUP(A227,'1) Kpler'!$E$2:$I$1000,4,FALSE)</f>
        <v>ballast</v>
      </c>
      <c r="Y227" s="117" t="str">
        <f t="shared" si="39"/>
        <v/>
      </c>
      <c r="Z227" s="117" t="str">
        <f t="shared" si="2"/>
        <v>12-13 May</v>
      </c>
      <c r="AA227" s="117" t="str">
        <f t="shared" si="3"/>
        <v>12-13 May</v>
      </c>
      <c r="AB227" s="117" t="str">
        <f t="shared" si="4"/>
        <v/>
      </c>
      <c r="AC227" s="117" t="str">
        <f t="shared" si="5"/>
        <v>01-02 Jun</v>
      </c>
      <c r="AD227" s="117" t="str">
        <f t="shared" si="6"/>
        <v/>
      </c>
      <c r="AE227" s="118" t="str">
        <f t="shared" si="7"/>
        <v/>
      </c>
      <c r="AF227" s="119" t="str">
        <f t="shared" si="8"/>
        <v/>
      </c>
      <c r="AG227" s="120" t="str">
        <f t="shared" si="27"/>
        <v/>
      </c>
      <c r="AH227" s="121" t="str">
        <f>IFERROR($M227+VLOOKUP($L227,'Voyage days'!$F$38:$H$89,3,FALSE),"")</f>
        <v/>
      </c>
      <c r="AI227" s="121" t="str">
        <f>IFERROR(N227+VLOOKUP($L227,'Voyage days'!$F$38:$H$89,3,FALSE),"")</f>
        <v/>
      </c>
      <c r="AJ227" s="120" t="str">
        <f t="shared" si="28"/>
        <v>12-13 May</v>
      </c>
      <c r="AK227" s="121">
        <f>IFERROR($M227+VLOOKUP($L227,'Voyage days'!$F$94:$H$193,3,FALSE),"")</f>
        <v>46154</v>
      </c>
      <c r="AL227" s="121">
        <f>IFERROR($N227+VLOOKUP($L227,'Voyage days'!$F$94:$H$193,3,FALSE),"")</f>
        <v>46155</v>
      </c>
      <c r="AM227" s="120" t="str">
        <f t="shared" si="29"/>
        <v>12-13 May</v>
      </c>
      <c r="AN227" s="121">
        <f>IFERROR($M227+VLOOKUP($L227,'Voyage days'!$F$203:$H$256,3,FALSE),"")</f>
        <v>46154</v>
      </c>
      <c r="AO227" s="121">
        <f>IFERROR($N227+VLOOKUP($L227,'Voyage days'!$F$203:$H$256,3,FALSE),"")</f>
        <v>46155</v>
      </c>
      <c r="AP227" s="120" t="str">
        <f t="shared" si="30"/>
        <v/>
      </c>
      <c r="AQ227" s="121" t="str">
        <f>IFERROR($M227+VLOOKUP($L227,'Voyage days'!$F$294:$H$377,3,FALSE),"")</f>
        <v/>
      </c>
      <c r="AR227" s="121" t="str">
        <f>IFERROR($N227+VLOOKUP($L227,'Voyage days'!$F$294:$H$377,3,FALSE),"")</f>
        <v/>
      </c>
      <c r="AS227" s="120" t="str">
        <f t="shared" si="31"/>
        <v>01-02 Jun</v>
      </c>
      <c r="AT227" s="121">
        <f>IFERROR($M227+VLOOKUP($L227,'Voyage days'!$F$382:$H$446,3,FALSE),"")</f>
        <v>46174</v>
      </c>
      <c r="AU227" s="121">
        <f>IFERROR($N227+VLOOKUP($L227,'Voyage days'!$F$382:$H$446,3,FALSE),"")</f>
        <v>46175</v>
      </c>
      <c r="AV227" s="120" t="str">
        <f t="shared" si="32"/>
        <v/>
      </c>
      <c r="AW227" s="121" t="str">
        <f>IFERROR($M227+VLOOKUP($L227,'Voyage days'!$F$483:$H$538,3,FALSE),"")</f>
        <v/>
      </c>
      <c r="AX227" s="121" t="str">
        <f>IFERROR($N227+VLOOKUP($L227,'Voyage days'!$F$483:$H$538,3,FALSE),"")</f>
        <v/>
      </c>
      <c r="AY227" s="120" t="str">
        <f t="shared" si="33"/>
        <v/>
      </c>
      <c r="AZ227" s="121" t="str">
        <f>IFERROR($M227+VLOOKUP($L227,'Voyage days'!$F$540:$H$613,3,FALSE),"")</f>
        <v/>
      </c>
      <c r="BA227" s="121" t="str">
        <f>IFERROR($N227+VLOOKUP($L227,'Voyage days'!$F$540:$H$613,3,FALSE),"")</f>
        <v/>
      </c>
      <c r="BB227" s="120" t="str">
        <f t="shared" si="34"/>
        <v/>
      </c>
      <c r="BC227" s="121" t="str">
        <f>IFERROR($M227+VLOOKUP($L227,'Voyage days'!$F$448:$H$479,3,FALSE),"")</f>
        <v/>
      </c>
      <c r="BD227" s="121" t="str">
        <f>IFERROR($N227+VLOOKUP($L227,'Voyage days'!$F$448:$H$479,3,FALSE),"")</f>
        <v/>
      </c>
      <c r="BE227" s="120" t="str">
        <f t="shared" si="35"/>
        <v/>
      </c>
      <c r="BF227" s="122" t="str">
        <f>IFERROR($M227+VLOOKUP($L227,'Voyage days'!$F$620:$H$646,3,FALSE),"")</f>
        <v/>
      </c>
      <c r="BG227" s="122" t="str">
        <f>IFERROR($N227+VLOOKUP($L227,'Voyage days'!$F$620:$H$646,3,FALSE),"")</f>
        <v/>
      </c>
      <c r="BH227" s="120" t="str">
        <f t="shared" si="36"/>
        <v/>
      </c>
      <c r="BI227" s="123" t="str">
        <f>IFERROR($M227+VLOOKUP($L227,'Voyage days'!$F$702:$H$727,3,FALSE),"")</f>
        <v/>
      </c>
      <c r="BJ227" s="120" t="str">
        <f t="shared" si="37"/>
        <v/>
      </c>
      <c r="BK227" s="122" t="str">
        <f>IFERROR($M227+VLOOKUP($L227,'Voyage days'!$F$807:$H$878,3,FALSE),"")</f>
        <v/>
      </c>
      <c r="BL227" s="122" t="str">
        <f>IFERROR($N227+VLOOKUP($L227,'Voyage days'!$F$807:$H$878,3,FALSE),"")</f>
        <v/>
      </c>
      <c r="BM227" s="122" t="str">
        <f>IFERROR($N227+VLOOKUP($L227,'Voyage days'!$F$807:$K$878,6,FALSE),"")</f>
        <v/>
      </c>
      <c r="BN227" s="121" t="str">
        <f>if(L227="loads AG", IFERROR($M227+VLOOKUP($L227,'Voyage days'!$M$38:$O$38,3,FALSE),""),"")</f>
        <v/>
      </c>
      <c r="BO227" s="121">
        <f>if(L227="loads USG", IFERROR($M227+VLOOKUP($L227,'Voyage days'!$L$203:$N$203,3,FALSE),""),"")</f>
        <v>46186</v>
      </c>
    </row>
    <row r="228" ht="15.75" customHeight="1">
      <c r="A228" s="341" t="s">
        <v>362</v>
      </c>
      <c r="B228" s="101">
        <v>42339.0</v>
      </c>
      <c r="C228" s="102">
        <v>84000.0</v>
      </c>
      <c r="D228" s="103"/>
      <c r="E228" s="103"/>
      <c r="F228" s="104"/>
      <c r="G228" s="104"/>
      <c r="H228" s="104"/>
      <c r="I228" s="332" t="s">
        <v>1212</v>
      </c>
      <c r="J228" s="106" t="str">
        <f t="shared" si="40"/>
        <v/>
      </c>
      <c r="K228" s="107"/>
      <c r="L228" s="108" t="s">
        <v>680</v>
      </c>
      <c r="M228" s="109">
        <v>46132.0</v>
      </c>
      <c r="N228" s="109">
        <v>46133.0</v>
      </c>
      <c r="O228" s="191"/>
      <c r="P228" s="108" t="s">
        <v>1223</v>
      </c>
      <c r="Q228" s="108"/>
      <c r="R228" s="108" t="s">
        <v>1224</v>
      </c>
      <c r="S228" s="616" t="s">
        <v>659</v>
      </c>
      <c r="T228" s="188">
        <v>46125.0</v>
      </c>
      <c r="U228" s="114" t="str">
        <f>IF(V228="","No AIS",VLOOKUP(V228,'Voyage days'!$A$3:$B$1480,2,FALSE))</f>
        <v>USG</v>
      </c>
      <c r="V228" s="115" t="str">
        <f>IF(VLOOKUP(A228,'1) Kpler'!$E$2:$P$1000,8, FALSE)="","",VLOOKUP(A228,'1) Kpler'!$E$2:$P$1000,8, FALSE))</f>
        <v>Energy Transfer Nederland</v>
      </c>
      <c r="W228" s="116">
        <f>IF(VLOOKUP(A228,'1) Kpler'!$E$2:$P$1000,9,FALSE)="","",VLOOKUP(A228,'1) Kpler'!$E$2:$P$1000,9,FALSE))</f>
        <v>46132.5</v>
      </c>
      <c r="X228" s="115" t="str">
        <f>VLOOKUP(A228,'1) Kpler'!$E$2:$I$1000,4,FALSE)</f>
        <v>ballast</v>
      </c>
      <c r="Y228" s="160" t="str">
        <f t="shared" si="39"/>
        <v/>
      </c>
      <c r="Z228" s="160" t="str">
        <f t="shared" si="2"/>
        <v>20-21 Apr</v>
      </c>
      <c r="AA228" s="160" t="str">
        <f t="shared" si="3"/>
        <v>20-21 Apr</v>
      </c>
      <c r="AB228" s="160" t="str">
        <f t="shared" si="4"/>
        <v/>
      </c>
      <c r="AC228" s="160" t="str">
        <f t="shared" si="5"/>
        <v>10-11 May</v>
      </c>
      <c r="AD228" s="160" t="str">
        <f t="shared" si="6"/>
        <v/>
      </c>
      <c r="AE228" s="161" t="str">
        <f t="shared" si="7"/>
        <v/>
      </c>
      <c r="AF228" s="162" t="str">
        <f t="shared" si="8"/>
        <v/>
      </c>
      <c r="AG228" s="120" t="str">
        <f t="shared" si="27"/>
        <v/>
      </c>
      <c r="AH228" s="121" t="str">
        <f>IFERROR($M228+VLOOKUP($L228,'Voyage days'!$F$38:$H$89,3,FALSE),"")</f>
        <v/>
      </c>
      <c r="AI228" s="121" t="str">
        <f>IFERROR(N228+VLOOKUP($L228,'Voyage days'!$F$38:$H$89,3,FALSE),"")</f>
        <v/>
      </c>
      <c r="AJ228" s="120" t="str">
        <f t="shared" si="28"/>
        <v>20-21 Apr</v>
      </c>
      <c r="AK228" s="121">
        <f>IFERROR($M228+VLOOKUP($L228,'Voyage days'!$F$94:$H$193,3,FALSE),"")</f>
        <v>46132</v>
      </c>
      <c r="AL228" s="121">
        <f>IFERROR($N228+VLOOKUP($L228,'Voyage days'!$F$94:$H$193,3,FALSE),"")</f>
        <v>46133</v>
      </c>
      <c r="AM228" s="120" t="str">
        <f t="shared" si="29"/>
        <v>20-21 Apr</v>
      </c>
      <c r="AN228" s="121">
        <f>IFERROR($M228+VLOOKUP($L228,'Voyage days'!$F$203:$H$256,3,FALSE),"")</f>
        <v>46132</v>
      </c>
      <c r="AO228" s="121">
        <f>IFERROR($N228+VLOOKUP($L228,'Voyage days'!$F$203:$H$256,3,FALSE),"")</f>
        <v>46133</v>
      </c>
      <c r="AP228" s="120" t="str">
        <f t="shared" si="30"/>
        <v/>
      </c>
      <c r="AQ228" s="121" t="str">
        <f>IFERROR($M228+VLOOKUP($L228,'Voyage days'!$F$294:$H$377,3,FALSE),"")</f>
        <v/>
      </c>
      <c r="AR228" s="121" t="str">
        <f>IFERROR($N228+VLOOKUP($L228,'Voyage days'!$F$294:$H$377,3,FALSE),"")</f>
        <v/>
      </c>
      <c r="AS228" s="120" t="str">
        <f t="shared" si="31"/>
        <v>10-11 May</v>
      </c>
      <c r="AT228" s="121">
        <f>IFERROR($M228+VLOOKUP($L228,'Voyage days'!$F$382:$H$446,3,FALSE),"")</f>
        <v>46152</v>
      </c>
      <c r="AU228" s="121">
        <f>IFERROR($N228+VLOOKUP($L228,'Voyage days'!$F$382:$H$446,3,FALSE),"")</f>
        <v>46153</v>
      </c>
      <c r="AV228" s="120" t="str">
        <f t="shared" si="32"/>
        <v/>
      </c>
      <c r="AW228" s="121" t="str">
        <f>IFERROR($M228+VLOOKUP($L228,'Voyage days'!$F$483:$H$538,3,FALSE),"")</f>
        <v/>
      </c>
      <c r="AX228" s="121" t="str">
        <f>IFERROR($N228+VLOOKUP($L228,'Voyage days'!$F$483:$H$538,3,FALSE),"")</f>
        <v/>
      </c>
      <c r="AY228" s="120" t="str">
        <f t="shared" si="33"/>
        <v/>
      </c>
      <c r="AZ228" s="121" t="str">
        <f>IFERROR($M228+VLOOKUP($L228,'Voyage days'!$F$540:$H$613,3,FALSE),"")</f>
        <v/>
      </c>
      <c r="BA228" s="121" t="str">
        <f>IFERROR($N228+VLOOKUP($L228,'Voyage days'!$F$540:$H$613,3,FALSE),"")</f>
        <v/>
      </c>
      <c r="BB228" s="120" t="str">
        <f t="shared" si="34"/>
        <v/>
      </c>
      <c r="BC228" s="121" t="str">
        <f>IFERROR($M228+VLOOKUP($L228,'Voyage days'!$F$448:$H$479,3,FALSE),"")</f>
        <v/>
      </c>
      <c r="BD228" s="121" t="str">
        <f>IFERROR($N228+VLOOKUP($L228,'Voyage days'!$F$448:$H$479,3,FALSE),"")</f>
        <v/>
      </c>
      <c r="BE228" s="120" t="str">
        <f t="shared" si="35"/>
        <v/>
      </c>
      <c r="BF228" s="122" t="str">
        <f>IFERROR($M228+VLOOKUP($L228,'Voyage days'!$F$620:$H$646,3,FALSE),"")</f>
        <v/>
      </c>
      <c r="BG228" s="122" t="str">
        <f>IFERROR($N228+VLOOKUP($L228,'Voyage days'!$F$620:$H$646,3,FALSE),"")</f>
        <v/>
      </c>
      <c r="BH228" s="120" t="str">
        <f t="shared" si="36"/>
        <v/>
      </c>
      <c r="BI228" s="123" t="str">
        <f>IFERROR($M228+VLOOKUP($L228,'Voyage days'!$F$702:$H$727,3,FALSE),"")</f>
        <v/>
      </c>
      <c r="BJ228" s="120" t="str">
        <f t="shared" si="37"/>
        <v/>
      </c>
      <c r="BK228" s="122" t="str">
        <f>IFERROR($M228+VLOOKUP($L228,'Voyage days'!$F$807:$H$878,3,FALSE),"")</f>
        <v/>
      </c>
      <c r="BL228" s="122" t="str">
        <f>IFERROR($N228+VLOOKUP($L228,'Voyage days'!$F$807:$H$878,3,FALSE),"")</f>
        <v/>
      </c>
      <c r="BM228" s="122" t="str">
        <f>IFERROR($N228+VLOOKUP($L228,'Voyage days'!$F$807:$K$878,6,FALSE),"")</f>
        <v/>
      </c>
      <c r="BN228" s="121" t="str">
        <f>if(L228="loads AG", IFERROR($M228+VLOOKUP($L228,'Voyage days'!$M$38:$O$38,3,FALSE),""),"")</f>
        <v/>
      </c>
      <c r="BO228" s="121">
        <f>if(L228="loads USG", IFERROR($M228+VLOOKUP($L228,'Voyage days'!$L$203:$N$203,3,FALSE),""),"")</f>
        <v>46164</v>
      </c>
    </row>
    <row r="229" ht="16.5" customHeight="1">
      <c r="A229" s="164" t="s">
        <v>420</v>
      </c>
      <c r="B229" s="165">
        <v>2019.0</v>
      </c>
      <c r="C229" s="166">
        <v>83000.0</v>
      </c>
      <c r="D229" s="223"/>
      <c r="E229" s="223"/>
      <c r="F229" s="168"/>
      <c r="G229" s="168"/>
      <c r="H229" s="168"/>
      <c r="I229" s="397" t="s">
        <v>1212</v>
      </c>
      <c r="J229" s="170" t="str">
        <f t="shared" si="40"/>
        <v>Update</v>
      </c>
      <c r="K229" s="171"/>
      <c r="L229" s="172" t="s">
        <v>773</v>
      </c>
      <c r="M229" s="173">
        <v>46133.0</v>
      </c>
      <c r="N229" s="462">
        <v>46134.0</v>
      </c>
      <c r="O229" s="174"/>
      <c r="P229" s="172" t="s">
        <v>1225</v>
      </c>
      <c r="Q229" s="172"/>
      <c r="R229" s="172" t="s">
        <v>1226</v>
      </c>
      <c r="S229" s="175" t="s">
        <v>659</v>
      </c>
      <c r="T229" s="176">
        <v>46125.0</v>
      </c>
      <c r="U229" s="177" t="str">
        <f>IF(V229="","No AIS",VLOOKUP(V229,'Voyage days'!$A$3:$B$1480,2,FALSE))</f>
        <v>Eu + 4</v>
      </c>
      <c r="V229" s="178" t="str">
        <f>IF(VLOOKUP(A229,'1) Kpler'!$E$2:$P$1000,8, FALSE)="","",VLOOKUP(A229,'1) Kpler'!$E$2:$P$1000,8, FALSE))</f>
        <v>Terneuzen</v>
      </c>
      <c r="W229" s="179">
        <f>IF(VLOOKUP(A229,'1) Kpler'!$E$2:$P$1000,9,FALSE)="","",VLOOKUP(A229,'1) Kpler'!$E$2:$P$1000,9,FALSE))</f>
        <v>46141.72986</v>
      </c>
      <c r="X229" s="178" t="str">
        <f>VLOOKUP(A229,'1) Kpler'!$E$2:$I$1000,4,FALSE)</f>
        <v>loaded</v>
      </c>
      <c r="Y229" s="180" t="str">
        <f t="shared" si="39"/>
        <v/>
      </c>
      <c r="Z229" s="180" t="str">
        <f t="shared" si="2"/>
        <v>05-06 May</v>
      </c>
      <c r="AA229" s="180" t="str">
        <f t="shared" si="3"/>
        <v>06-07 May</v>
      </c>
      <c r="AB229" s="180" t="str">
        <f t="shared" si="4"/>
        <v>02-03 May</v>
      </c>
      <c r="AC229" s="180" t="str">
        <f t="shared" si="5"/>
        <v>23-24 Apr</v>
      </c>
      <c r="AD229" s="180" t="str">
        <f t="shared" si="6"/>
        <v/>
      </c>
      <c r="AE229" s="181" t="str">
        <f t="shared" si="7"/>
        <v/>
      </c>
      <c r="AF229" s="182" t="str">
        <f t="shared" si="8"/>
        <v>05-06 May</v>
      </c>
      <c r="AG229" s="120" t="str">
        <f t="shared" si="27"/>
        <v/>
      </c>
      <c r="AH229" s="121" t="str">
        <f>IFERROR($M229+VLOOKUP($L229,'Voyage days'!$F$38:$H$89,3,FALSE),"")</f>
        <v/>
      </c>
      <c r="AI229" s="121" t="str">
        <f>IFERROR(N229+VLOOKUP($L229,'Voyage days'!$F$38:$H$89,3,FALSE),"")</f>
        <v/>
      </c>
      <c r="AJ229" s="120" t="str">
        <f t="shared" si="28"/>
        <v>05-06 May</v>
      </c>
      <c r="AK229" s="121">
        <f>IFERROR($M229+VLOOKUP($L229,'Voyage days'!$F$94:$H$193,3,FALSE),"")</f>
        <v>46147</v>
      </c>
      <c r="AL229" s="121">
        <f>IFERROR($N229+VLOOKUP($L229,'Voyage days'!$F$94:$H$193,3,FALSE),"")</f>
        <v>46148</v>
      </c>
      <c r="AM229" s="120" t="str">
        <f t="shared" si="29"/>
        <v>06-07 May</v>
      </c>
      <c r="AN229" s="121">
        <f>IFERROR($M229+VLOOKUP($L229,'Voyage days'!$F$203:$H$256,3,FALSE),"")</f>
        <v>46148</v>
      </c>
      <c r="AO229" s="121">
        <f>IFERROR($N229+VLOOKUP($L229,'Voyage days'!$F$203:$H$256,3,FALSE),"")</f>
        <v>46149</v>
      </c>
      <c r="AP229" s="120" t="str">
        <f t="shared" si="30"/>
        <v>02-03 May</v>
      </c>
      <c r="AQ229" s="121">
        <f>IFERROR($M229+VLOOKUP($L229,'Voyage days'!$F$294:$H$377,3,FALSE),"")</f>
        <v>46144</v>
      </c>
      <c r="AR229" s="121">
        <f>IFERROR($N229+VLOOKUP($L229,'Voyage days'!$F$294:$H$377,3,FALSE),"")</f>
        <v>46145</v>
      </c>
      <c r="AS229" s="120" t="str">
        <f t="shared" si="31"/>
        <v>23-24 Apr</v>
      </c>
      <c r="AT229" s="121">
        <f>IFERROR($M229+VLOOKUP($L229,'Voyage days'!$F$382:$H$446,3,FALSE),"")</f>
        <v>46135</v>
      </c>
      <c r="AU229" s="121">
        <f>IFERROR($N229+VLOOKUP($L229,'Voyage days'!$F$382:$H$446,3,FALSE),"")</f>
        <v>46136</v>
      </c>
      <c r="AV229" s="120" t="str">
        <f t="shared" si="32"/>
        <v/>
      </c>
      <c r="AW229" s="121" t="str">
        <f>IFERROR($M229+VLOOKUP($L229,'Voyage days'!$F$483:$H$538,3,FALSE),"")</f>
        <v/>
      </c>
      <c r="AX229" s="121" t="str">
        <f>IFERROR($N229+VLOOKUP($L229,'Voyage days'!$F$483:$H$538,3,FALSE),"")</f>
        <v/>
      </c>
      <c r="AY229" s="120" t="str">
        <f t="shared" si="33"/>
        <v/>
      </c>
      <c r="AZ229" s="121" t="str">
        <f>IFERROR($M229+VLOOKUP($L229,'Voyage days'!$F$540:$H$613,3,FALSE),"")</f>
        <v/>
      </c>
      <c r="BA229" s="121" t="str">
        <f>IFERROR($N229+VLOOKUP($L229,'Voyage days'!$F$540:$H$613,3,FALSE),"")</f>
        <v/>
      </c>
      <c r="BB229" s="120" t="str">
        <f t="shared" si="34"/>
        <v/>
      </c>
      <c r="BC229" s="121" t="str">
        <f>IFERROR($M229+VLOOKUP($L229,'Voyage days'!$F$448:$H$479,3,FALSE),"")</f>
        <v/>
      </c>
      <c r="BD229" s="121" t="str">
        <f>IFERROR($N229+VLOOKUP($L229,'Voyage days'!$F$448:$H$479,3,FALSE),"")</f>
        <v/>
      </c>
      <c r="BE229" s="120" t="str">
        <f t="shared" si="35"/>
        <v/>
      </c>
      <c r="BF229" s="122" t="str">
        <f>IFERROR($M229+VLOOKUP($L229,'Voyage days'!$F$620:$H$646,3,FALSE),"")</f>
        <v/>
      </c>
      <c r="BG229" s="122" t="str">
        <f>IFERROR($N229+VLOOKUP($L229,'Voyage days'!$F$620:$H$646,3,FALSE),"")</f>
        <v/>
      </c>
      <c r="BH229" s="120" t="str">
        <f t="shared" si="36"/>
        <v/>
      </c>
      <c r="BI229" s="123" t="str">
        <f>IFERROR($M229+VLOOKUP($L229,'Voyage days'!$F$702:$H$727,3,FALSE),"")</f>
        <v/>
      </c>
      <c r="BJ229" s="120" t="str">
        <f t="shared" si="37"/>
        <v>05-06 May</v>
      </c>
      <c r="BK229" s="122">
        <f>IFERROR($M229+VLOOKUP($L229,'Voyage days'!$F$807:$H$878,3,FALSE),"")</f>
        <v>46147</v>
      </c>
      <c r="BL229" s="122">
        <f>IFERROR($N229+VLOOKUP($L229,'Voyage days'!$F$807:$H$878,3,FALSE),"")</f>
        <v>46148</v>
      </c>
      <c r="BM229" s="122">
        <f>IFERROR($N229+VLOOKUP($L229,'Voyage days'!$F$807:$K$878,6,FALSE),"")</f>
        <v>46134</v>
      </c>
      <c r="BN229" s="121" t="str">
        <f>if(L229="loads AG", IFERROR($M229+VLOOKUP($L229,'Voyage days'!$M$38:$O$38,3,FALSE),""),"")</f>
        <v/>
      </c>
      <c r="BO229" s="121" t="str">
        <f>if(L229="loads USG", IFERROR($M229+VLOOKUP($L229,'Voyage days'!$L$203:$N$203,3,FALSE),""),"")</f>
        <v/>
      </c>
    </row>
    <row r="230" ht="15.75" customHeight="1">
      <c r="A230" s="617" t="s">
        <v>85</v>
      </c>
      <c r="B230" s="231">
        <v>2021.0</v>
      </c>
      <c r="C230" s="232">
        <v>91000.0</v>
      </c>
      <c r="D230" s="292"/>
      <c r="E230" s="292" t="s">
        <v>706</v>
      </c>
      <c r="F230" s="234"/>
      <c r="G230" s="234"/>
      <c r="H230" s="234" t="s">
        <v>666</v>
      </c>
      <c r="I230" s="578" t="s">
        <v>1227</v>
      </c>
      <c r="J230" s="236" t="str">
        <f t="shared" si="40"/>
        <v/>
      </c>
      <c r="K230" s="152"/>
      <c r="L230" s="235" t="s">
        <v>668</v>
      </c>
      <c r="M230" s="109">
        <v>46145.0</v>
      </c>
      <c r="N230" s="109">
        <v>46146.0</v>
      </c>
      <c r="O230" s="191"/>
      <c r="P230" s="108" t="s">
        <v>1228</v>
      </c>
      <c r="Q230" s="618"/>
      <c r="R230" s="235" t="s">
        <v>1229</v>
      </c>
      <c r="S230" s="619" t="s">
        <v>33</v>
      </c>
      <c r="T230" s="420">
        <v>46125.0</v>
      </c>
      <c r="U230" s="244" t="str">
        <f>IF(V230="","No AIS",VLOOKUP(V230,'Voyage days'!$A$3:$B$1480,2,FALSE))</f>
        <v>South China + 4</v>
      </c>
      <c r="V230" s="244" t="str">
        <f>IF(VLOOKUP(A230,'1) Kpler'!$E$2:$P$1000,8, FALSE)="","",VLOOKUP(A230,'1) Kpler'!$E$2:$P$1000,8, FALSE))</f>
        <v>FREP Plant</v>
      </c>
      <c r="W230" s="245">
        <f>IF(VLOOKUP(A230,'1) Kpler'!$E$2:$P$1000,9,FALSE)="","",VLOOKUP(A230,'1) Kpler'!$E$2:$P$1000,9,FALSE))</f>
        <v>46141.5</v>
      </c>
      <c r="X230" s="244" t="str">
        <f>VLOOKUP(A230,'1) Kpler'!$E$2:$I$1000,4,FALSE)</f>
        <v>loaded</v>
      </c>
      <c r="Y230" s="272" t="str">
        <f t="shared" si="39"/>
        <v>21-22 May</v>
      </c>
      <c r="Z230" s="272" t="str">
        <f t="shared" si="2"/>
        <v>04-05 Jun</v>
      </c>
      <c r="AA230" s="272" t="str">
        <f t="shared" si="3"/>
        <v>14-15 Jun</v>
      </c>
      <c r="AB230" s="272" t="str">
        <f t="shared" si="4"/>
        <v>02-03 Jun</v>
      </c>
      <c r="AC230" s="272" t="str">
        <f t="shared" si="5"/>
        <v>08-09 Jun</v>
      </c>
      <c r="AD230" s="272" t="str">
        <f t="shared" si="6"/>
        <v>11-12 May</v>
      </c>
      <c r="AE230" s="273" t="str">
        <f t="shared" si="7"/>
        <v>11-12 May</v>
      </c>
      <c r="AF230" s="162" t="str">
        <f t="shared" si="8"/>
        <v>18-19 Jun</v>
      </c>
      <c r="AG230" s="249" t="str">
        <f t="shared" si="27"/>
        <v>21-22 May</v>
      </c>
      <c r="AH230" s="250">
        <f>IFERROR($M230+VLOOKUP($L230,'Voyage days'!$F$38:$H$89,3,FALSE),"")</f>
        <v>46163</v>
      </c>
      <c r="AI230" s="250">
        <f>IFERROR(N230+VLOOKUP($L230,'Voyage days'!$F$38:$H$89,3,FALSE),"")</f>
        <v>46164</v>
      </c>
      <c r="AJ230" s="249" t="str">
        <f t="shared" si="28"/>
        <v>04-05 Jun</v>
      </c>
      <c r="AK230" s="250">
        <f>IFERROR($M230+VLOOKUP($L230,'Voyage days'!$F$94:$H$193,3,FALSE),"")</f>
        <v>46177</v>
      </c>
      <c r="AL230" s="250">
        <f>IFERROR($N230+VLOOKUP($L230,'Voyage days'!$F$94:$H$193,3,FALSE),"")</f>
        <v>46178</v>
      </c>
      <c r="AM230" s="249" t="str">
        <f t="shared" si="29"/>
        <v>14-15 Jun</v>
      </c>
      <c r="AN230" s="250">
        <f>IFERROR($M230+VLOOKUP($L230,'Voyage days'!$F$203:$H$256,3,FALSE),"")</f>
        <v>46187</v>
      </c>
      <c r="AO230" s="250">
        <f>IFERROR($N230+VLOOKUP($L230,'Voyage days'!$F$203:$H$256,3,FALSE),"")</f>
        <v>46188</v>
      </c>
      <c r="AP230" s="249" t="str">
        <f t="shared" si="30"/>
        <v>02-03 Jun</v>
      </c>
      <c r="AQ230" s="250">
        <f>IFERROR($M230+VLOOKUP($L230,'Voyage days'!$F$294:$H$377,3,FALSE),"")</f>
        <v>46175</v>
      </c>
      <c r="AR230" s="250">
        <f>IFERROR($N230+VLOOKUP($L230,'Voyage days'!$F$294:$H$377,3,FALSE),"")</f>
        <v>46176</v>
      </c>
      <c r="AS230" s="249" t="str">
        <f t="shared" si="31"/>
        <v>08-09 Jun</v>
      </c>
      <c r="AT230" s="250">
        <f>IFERROR($M230+VLOOKUP($L230,'Voyage days'!$F$382:$H$446,3,FALSE),"")</f>
        <v>46181</v>
      </c>
      <c r="AU230" s="250">
        <f>IFERROR($N230+VLOOKUP($L230,'Voyage days'!$F$382:$H$446,3,FALSE),"")</f>
        <v>46182</v>
      </c>
      <c r="AV230" s="249" t="str">
        <f t="shared" si="32"/>
        <v>16-17 May</v>
      </c>
      <c r="AW230" s="250">
        <f>IFERROR($M230+VLOOKUP($L230,'Voyage days'!$F$483:$H$538,3,FALSE),"")</f>
        <v>46158</v>
      </c>
      <c r="AX230" s="250">
        <f>IFERROR($N230+VLOOKUP($L230,'Voyage days'!$F$483:$H$538,3,FALSE),"")</f>
        <v>46159</v>
      </c>
      <c r="AY230" s="249" t="str">
        <f t="shared" si="33"/>
        <v>11-12 May</v>
      </c>
      <c r="AZ230" s="250">
        <f>IFERROR($M230+VLOOKUP($L230,'Voyage days'!$F$540:$H$613,3,FALSE),"")</f>
        <v>46153.25</v>
      </c>
      <c r="BA230" s="250">
        <f>IFERROR($N230+VLOOKUP($L230,'Voyage days'!$F$540:$H$613,3,FALSE),"")</f>
        <v>46154.25</v>
      </c>
      <c r="BB230" s="249" t="str">
        <f t="shared" si="34"/>
        <v>11-12 May</v>
      </c>
      <c r="BC230" s="121">
        <f>IFERROR($M230+VLOOKUP($L230,'Voyage days'!$F$448:$H$479,3,FALSE),"")</f>
        <v>46153</v>
      </c>
      <c r="BD230" s="121">
        <f>IFERROR($N230+VLOOKUP($L230,'Voyage days'!$F$448:$H$479,3,FALSE),"")</f>
        <v>46154</v>
      </c>
      <c r="BE230" s="249" t="str">
        <f t="shared" si="35"/>
        <v>14-15 May</v>
      </c>
      <c r="BF230" s="250">
        <f>IFERROR($M230+VLOOKUP($L230,'Voyage days'!$F$620:$H$646,3,FALSE),"")</f>
        <v>46156</v>
      </c>
      <c r="BG230" s="250">
        <f>IFERROR($N230+VLOOKUP($L230,'Voyage days'!$F$620:$H$646,3,FALSE),"")</f>
        <v>46157</v>
      </c>
      <c r="BH230" s="249" t="str">
        <f t="shared" si="36"/>
        <v>11-19 Jun</v>
      </c>
      <c r="BI230" s="251">
        <f>IFERROR($M230+VLOOKUP($L230,'Voyage days'!$F$702:$H$727,3,FALSE),"")</f>
        <v>46153.25</v>
      </c>
      <c r="BJ230" s="249" t="str">
        <f t="shared" si="37"/>
        <v>18-19 Jun</v>
      </c>
      <c r="BK230" s="250">
        <f>IFERROR($M230+VLOOKUP($L230,'Voyage days'!$F$807:$H$878,3,FALSE),"")</f>
        <v>46191</v>
      </c>
      <c r="BL230" s="250">
        <f>IFERROR($N230+VLOOKUP($L230,'Voyage days'!$F$807:$H$878,3,FALSE),"")</f>
        <v>46192</v>
      </c>
      <c r="BM230" s="122">
        <f>IFERROR($N230+VLOOKUP($L230,'Voyage days'!$F$807:$K$878,6,FALSE),"")</f>
        <v>46166</v>
      </c>
      <c r="BN230" s="121" t="str">
        <f>if(L230="loads AG", IFERROR($M230+VLOOKUP($L230,'Voyage days'!$M$38:$O$38,3,FALSE),""),"")</f>
        <v/>
      </c>
      <c r="BO230" s="121" t="str">
        <f>if(L230="loads USG", IFERROR($M230+VLOOKUP($L230,'Voyage days'!$L$203:$N$203,3,FALSE),""),"")</f>
        <v/>
      </c>
    </row>
    <row r="231" ht="15.75" customHeight="1">
      <c r="A231" s="338" t="s">
        <v>90</v>
      </c>
      <c r="B231" s="148">
        <v>2025.0</v>
      </c>
      <c r="C231" s="102">
        <v>88000.0</v>
      </c>
      <c r="D231" s="149"/>
      <c r="E231" s="149"/>
      <c r="F231" s="150"/>
      <c r="G231" s="150"/>
      <c r="H231" s="150"/>
      <c r="I231" s="315" t="s">
        <v>1227</v>
      </c>
      <c r="J231" s="470"/>
      <c r="K231" s="152"/>
      <c r="L231" s="322" t="s">
        <v>680</v>
      </c>
      <c r="M231" s="254">
        <v>46135.0</v>
      </c>
      <c r="N231" s="254">
        <v>46137.0</v>
      </c>
      <c r="O231" s="277"/>
      <c r="P231" s="295" t="s">
        <v>937</v>
      </c>
      <c r="Q231" s="108"/>
      <c r="R231" s="108" t="s">
        <v>1230</v>
      </c>
      <c r="S231" s="619" t="s">
        <v>33</v>
      </c>
      <c r="T231" s="113">
        <v>46125.0</v>
      </c>
      <c r="U231" s="114" t="str">
        <f>IF(V231="","No AIS",VLOOKUP(V231,'Voyage days'!$A$3:$B$1480,2,FALSE))</f>
        <v>USG</v>
      </c>
      <c r="V231" s="114" t="str">
        <f>IF(VLOOKUP(A231,'1) Kpler'!$E$2:$P$1000,8, FALSE)="","",VLOOKUP(A231,'1) Kpler'!$E$2:$P$1000,8, FALSE))</f>
        <v>Houston</v>
      </c>
      <c r="W231" s="159">
        <f>IF(VLOOKUP(A231,'1) Kpler'!$E$2:$P$1000,9,FALSE)="","",VLOOKUP(A231,'1) Kpler'!$E$2:$P$1000,9,FALSE))</f>
        <v>46135.75</v>
      </c>
      <c r="X231" s="114" t="str">
        <f>VLOOKUP(A231,'1) Kpler'!$E$2:$I$1000,4,FALSE)</f>
        <v>ballast</v>
      </c>
      <c r="Y231" s="575" t="str">
        <f t="shared" si="39"/>
        <v/>
      </c>
      <c r="Z231" s="575" t="str">
        <f t="shared" si="2"/>
        <v>23-25 Apr</v>
      </c>
      <c r="AA231" s="575" t="str">
        <f t="shared" si="3"/>
        <v>23-25 Apr</v>
      </c>
      <c r="AB231" s="575" t="str">
        <f t="shared" si="4"/>
        <v/>
      </c>
      <c r="AC231" s="575" t="str">
        <f t="shared" si="5"/>
        <v>13-15 May</v>
      </c>
      <c r="AD231" s="575" t="str">
        <f t="shared" si="6"/>
        <v/>
      </c>
      <c r="AE231" s="576" t="str">
        <f t="shared" si="7"/>
        <v/>
      </c>
      <c r="AF231" s="182" t="str">
        <f t="shared" si="8"/>
        <v/>
      </c>
      <c r="AG231" s="120" t="str">
        <f t="shared" si="27"/>
        <v/>
      </c>
      <c r="AH231" s="121" t="str">
        <f>IFERROR($M231+VLOOKUP($L231,'Voyage days'!$F$38:$H$89,3,FALSE),"")</f>
        <v/>
      </c>
      <c r="AI231" s="121" t="str">
        <f>IFERROR(N231+VLOOKUP($L231,'Voyage days'!$F$38:$H$89,3,FALSE),"")</f>
        <v/>
      </c>
      <c r="AJ231" s="120" t="str">
        <f t="shared" si="28"/>
        <v>23-25 Apr</v>
      </c>
      <c r="AK231" s="121">
        <f>IFERROR($M231+VLOOKUP($L231,'Voyage days'!$F$94:$H$193,3,FALSE),"")</f>
        <v>46135</v>
      </c>
      <c r="AL231" s="121">
        <f>IFERROR($N231+VLOOKUP($L231,'Voyage days'!$F$94:$H$193,3,FALSE),"")</f>
        <v>46137</v>
      </c>
      <c r="AM231" s="120" t="str">
        <f t="shared" si="29"/>
        <v>23-25 Apr</v>
      </c>
      <c r="AN231" s="121">
        <f>IFERROR($M231+VLOOKUP($L231,'Voyage days'!$F$203:$H$256,3,FALSE),"")</f>
        <v>46135</v>
      </c>
      <c r="AO231" s="121">
        <f>IFERROR($N231+VLOOKUP($L231,'Voyage days'!$F$203:$H$256,3,FALSE),"")</f>
        <v>46137</v>
      </c>
      <c r="AP231" s="120" t="str">
        <f t="shared" si="30"/>
        <v/>
      </c>
      <c r="AQ231" s="121" t="str">
        <f>IFERROR($M231+VLOOKUP($L231,'Voyage days'!$F$294:$H$377,3,FALSE),"")</f>
        <v/>
      </c>
      <c r="AR231" s="121" t="str">
        <f>IFERROR($N231+VLOOKUP($L231,'Voyage days'!$F$294:$H$377,3,FALSE),"")</f>
        <v/>
      </c>
      <c r="AS231" s="120" t="str">
        <f t="shared" si="31"/>
        <v>13-15 May</v>
      </c>
      <c r="AT231" s="121">
        <f>IFERROR($M231+VLOOKUP($L231,'Voyage days'!$F$382:$H$446,3,FALSE),"")</f>
        <v>46155</v>
      </c>
      <c r="AU231" s="121">
        <f>IFERROR($N231+VLOOKUP($L231,'Voyage days'!$F$382:$H$446,3,FALSE),"")</f>
        <v>46157</v>
      </c>
      <c r="AV231" s="120" t="str">
        <f t="shared" si="32"/>
        <v/>
      </c>
      <c r="AW231" s="121" t="str">
        <f>IFERROR($M231+VLOOKUP($L231,'Voyage days'!$F$483:$H$538,3,FALSE),"")</f>
        <v/>
      </c>
      <c r="AX231" s="121" t="str">
        <f>IFERROR($N231+VLOOKUP($L231,'Voyage days'!$F$483:$H$538,3,FALSE),"")</f>
        <v/>
      </c>
      <c r="AY231" s="120" t="str">
        <f t="shared" si="33"/>
        <v/>
      </c>
      <c r="AZ231" s="121" t="str">
        <f>IFERROR($M231+VLOOKUP($L231,'Voyage days'!$F$540:$H$613,3,FALSE),"")</f>
        <v/>
      </c>
      <c r="BA231" s="121" t="str">
        <f>IFERROR($N231+VLOOKUP($L231,'Voyage days'!$F$540:$H$613,3,FALSE),"")</f>
        <v/>
      </c>
      <c r="BB231" s="120" t="str">
        <f t="shared" si="34"/>
        <v/>
      </c>
      <c r="BC231" s="121" t="str">
        <f>IFERROR($M231+VLOOKUP($L231,'Voyage days'!$F$448:$H$479,3,FALSE),"")</f>
        <v/>
      </c>
      <c r="BD231" s="121" t="str">
        <f>IFERROR($N231+VLOOKUP($L231,'Voyage days'!$F$448:$H$479,3,FALSE),"")</f>
        <v/>
      </c>
      <c r="BE231" s="120" t="str">
        <f t="shared" si="35"/>
        <v/>
      </c>
      <c r="BF231" s="122" t="str">
        <f>IFERROR($M231+VLOOKUP($L231,'Voyage days'!$F$620:$H$646,3,FALSE),"")</f>
        <v/>
      </c>
      <c r="BG231" s="122" t="str">
        <f>IFERROR($N231+VLOOKUP($L231,'Voyage days'!$F$620:$H$646,3,FALSE),"")</f>
        <v/>
      </c>
      <c r="BH231" s="120" t="str">
        <f t="shared" si="36"/>
        <v/>
      </c>
      <c r="BI231" s="123" t="str">
        <f>IFERROR($M231+VLOOKUP($L231,'Voyage days'!$F$702:$H$727,3,FALSE),"")</f>
        <v/>
      </c>
      <c r="BJ231" s="120" t="str">
        <f t="shared" si="37"/>
        <v/>
      </c>
      <c r="BK231" s="122" t="str">
        <f>IFERROR($M231+VLOOKUP($L231,'Voyage days'!$F$807:$H$878,3,FALSE),"")</f>
        <v/>
      </c>
      <c r="BL231" s="122" t="str">
        <f>IFERROR($N231+VLOOKUP($L231,'Voyage days'!$F$807:$H$878,3,FALSE),"")</f>
        <v/>
      </c>
      <c r="BM231" s="122" t="str">
        <f>IFERROR($N231+VLOOKUP($L231,'Voyage days'!$F$807:$K$878,6,FALSE),"")</f>
        <v/>
      </c>
      <c r="BN231" s="121" t="str">
        <f>if(L231="loads AG", IFERROR($M231+VLOOKUP($L231,'Voyage days'!$M$38:$O$38,3,FALSE),""),"")</f>
        <v/>
      </c>
      <c r="BO231" s="121">
        <f>if(L231="loads USG", IFERROR($M231+VLOOKUP($L231,'Voyage days'!$L$203:$N$203,3,FALSE),""),"")</f>
        <v>46167</v>
      </c>
    </row>
    <row r="232" ht="15.75" customHeight="1">
      <c r="A232" s="73" t="s">
        <v>206</v>
      </c>
      <c r="B232" s="148">
        <v>2025.0</v>
      </c>
      <c r="C232" s="102">
        <v>86700.0</v>
      </c>
      <c r="D232" s="103"/>
      <c r="E232" s="103"/>
      <c r="F232" s="104"/>
      <c r="G232" s="104"/>
      <c r="H232" s="104" t="s">
        <v>666</v>
      </c>
      <c r="I232" s="401" t="s">
        <v>1227</v>
      </c>
      <c r="J232" s="106" t="str">
        <f t="shared" ref="J232:J267" si="41">IF(W232="","NO AIS",IF((W232-M232-1)&gt;0,"Update",""))</f>
        <v/>
      </c>
      <c r="K232" s="205" t="s">
        <v>765</v>
      </c>
      <c r="L232" s="108" t="s">
        <v>1231</v>
      </c>
      <c r="M232" s="109">
        <v>46162.0</v>
      </c>
      <c r="N232" s="109">
        <v>46163.0</v>
      </c>
      <c r="O232" s="277"/>
      <c r="P232" s="108" t="s">
        <v>1232</v>
      </c>
      <c r="Q232" s="108"/>
      <c r="R232" s="108" t="s">
        <v>1233</v>
      </c>
      <c r="S232" s="619" t="s">
        <v>659</v>
      </c>
      <c r="T232" s="293">
        <v>46125.0</v>
      </c>
      <c r="U232" s="114" t="str">
        <f>IF(V232="","No AIS",VLOOKUP(V232,'Voyage days'!$A$3:$B$1480,2,FALSE))</f>
        <v>ECI + 5</v>
      </c>
      <c r="V232" s="115" t="str">
        <f>IF(VLOOKUP(A232,'1) Kpler'!$E$2:$P$1000,8, FALSE)="","",VLOOKUP(A232,'1) Kpler'!$E$2:$P$1000,8, FALSE))</f>
        <v>Ennore Port</v>
      </c>
      <c r="W232" s="116">
        <f>IF(VLOOKUP(A232,'1) Kpler'!$E$2:$P$1000,9,FALSE)="","",VLOOKUP(A232,'1) Kpler'!$E$2:$P$1000,9,FALSE))</f>
        <v>46157.375</v>
      </c>
      <c r="X232" s="115" t="str">
        <f>VLOOKUP(A232,'1) Kpler'!$E$2:$I$1000,4,FALSE)</f>
        <v>loaded</v>
      </c>
      <c r="Y232" s="160" t="str">
        <f t="shared" si="39"/>
        <v>29-30 May</v>
      </c>
      <c r="Z232" s="160" t="str">
        <f t="shared" si="2"/>
        <v/>
      </c>
      <c r="AA232" s="160" t="str">
        <f t="shared" si="3"/>
        <v>25-26 Jun</v>
      </c>
      <c r="AB232" s="160" t="str">
        <f t="shared" si="4"/>
        <v>10-11 Jun</v>
      </c>
      <c r="AC232" s="160" t="str">
        <f t="shared" si="5"/>
        <v>17-18 Jun</v>
      </c>
      <c r="AD232" s="160" t="str">
        <f t="shared" si="6"/>
        <v>25-26 May</v>
      </c>
      <c r="AE232" s="161" t="str">
        <f t="shared" si="7"/>
        <v/>
      </c>
      <c r="AF232" s="162" t="str">
        <f t="shared" si="8"/>
        <v>27-28 Jun</v>
      </c>
      <c r="AG232" s="120" t="str">
        <f t="shared" si="27"/>
        <v>29-30 May</v>
      </c>
      <c r="AH232" s="121">
        <f>IFERROR($M232+VLOOKUP($L232,'Voyage days'!$F$38:$H$89,3,FALSE),"")</f>
        <v>46171</v>
      </c>
      <c r="AI232" s="121">
        <f>IFERROR(N232+VLOOKUP($L232,'Voyage days'!$F$38:$H$89,3,FALSE),"")</f>
        <v>46172</v>
      </c>
      <c r="AJ232" s="120" t="str">
        <f t="shared" si="28"/>
        <v/>
      </c>
      <c r="AK232" s="121" t="str">
        <f>IFERROR($M232+VLOOKUP($L232,'Voyage days'!$F$94:$H$193,3,FALSE),"")</f>
        <v/>
      </c>
      <c r="AL232" s="121" t="str">
        <f>IFERROR($N232+VLOOKUP($L232,'Voyage days'!$F$94:$H$193,3,FALSE),"")</f>
        <v/>
      </c>
      <c r="AM232" s="120" t="str">
        <f t="shared" si="29"/>
        <v>25-26 Jun</v>
      </c>
      <c r="AN232" s="121">
        <f>IFERROR($M232+VLOOKUP($L232,'Voyage days'!$F$203:$H$256,3,FALSE),"")</f>
        <v>46198</v>
      </c>
      <c r="AO232" s="121">
        <f>IFERROR($N232+VLOOKUP($L232,'Voyage days'!$F$203:$H$256,3,FALSE),"")</f>
        <v>46199</v>
      </c>
      <c r="AP232" s="120" t="str">
        <f t="shared" si="30"/>
        <v>10-11 Jun</v>
      </c>
      <c r="AQ232" s="121">
        <f>IFERROR($M232+VLOOKUP($L232,'Voyage days'!$F$294:$H$377,3,FALSE),"")</f>
        <v>46183</v>
      </c>
      <c r="AR232" s="121">
        <f>IFERROR($N232+VLOOKUP($L232,'Voyage days'!$F$294:$H$377,3,FALSE),"")</f>
        <v>46184</v>
      </c>
      <c r="AS232" s="120" t="str">
        <f t="shared" si="31"/>
        <v>17-18 Jun</v>
      </c>
      <c r="AT232" s="121">
        <f>IFERROR($M232+VLOOKUP($L232,'Voyage days'!$F$382:$H$446,3,FALSE),"")</f>
        <v>46190</v>
      </c>
      <c r="AU232" s="121">
        <f>IFERROR($N232+VLOOKUP($L232,'Voyage days'!$F$382:$H$446,3,FALSE),"")</f>
        <v>46191</v>
      </c>
      <c r="AV232" s="120" t="str">
        <f t="shared" si="32"/>
        <v>20-21 May</v>
      </c>
      <c r="AW232" s="121">
        <f>IFERROR($M232+VLOOKUP($L232,'Voyage days'!$F$483:$H$538,3,FALSE),"")</f>
        <v>46162</v>
      </c>
      <c r="AX232" s="121">
        <f>IFERROR($N232+VLOOKUP($L232,'Voyage days'!$F$483:$H$538,3,FALSE),"")</f>
        <v>46163</v>
      </c>
      <c r="AY232" s="120" t="str">
        <f t="shared" si="33"/>
        <v/>
      </c>
      <c r="AZ232" s="121" t="str">
        <f>IFERROR($M232+VLOOKUP($L232,'Voyage days'!$F$540:$H$613,3,FALSE),"")</f>
        <v/>
      </c>
      <c r="BA232" s="121" t="str">
        <f>IFERROR($N232+VLOOKUP($L232,'Voyage days'!$F$540:$H$613,3,FALSE),"")</f>
        <v/>
      </c>
      <c r="BB232" s="120" t="str">
        <f t="shared" si="34"/>
        <v>25-26 May</v>
      </c>
      <c r="BC232" s="121">
        <f>IFERROR($M232+VLOOKUP($L232,'Voyage days'!$F$448:$H$479,3,FALSE),"")</f>
        <v>46167</v>
      </c>
      <c r="BD232" s="121">
        <f>IFERROR($N232+VLOOKUP($L232,'Voyage days'!$F$448:$H$479,3,FALSE),"")</f>
        <v>46168</v>
      </c>
      <c r="BE232" s="120" t="str">
        <f t="shared" si="35"/>
        <v/>
      </c>
      <c r="BF232" s="122" t="str">
        <f>IFERROR($M232+VLOOKUP($L232,'Voyage days'!$F$620:$H$646,3,FALSE),"")</f>
        <v/>
      </c>
      <c r="BG232" s="122" t="str">
        <f>IFERROR($N232+VLOOKUP($L232,'Voyage days'!$F$620:$H$646,3,FALSE),"")</f>
        <v/>
      </c>
      <c r="BH232" s="120" t="str">
        <f t="shared" si="36"/>
        <v/>
      </c>
      <c r="BI232" s="123" t="str">
        <f>IFERROR($M232+VLOOKUP($L232,'Voyage days'!$F$702:$H$727,3,FALSE),"")</f>
        <v/>
      </c>
      <c r="BJ232" s="120" t="str">
        <f t="shared" si="37"/>
        <v>27-28 Jun</v>
      </c>
      <c r="BK232" s="122">
        <f>IFERROR($M232+VLOOKUP($L232,'Voyage days'!$F$807:$H$878,3,FALSE),"")</f>
        <v>46200</v>
      </c>
      <c r="BL232" s="122">
        <f>IFERROR($N232+VLOOKUP($L232,'Voyage days'!$F$807:$H$878,3,FALSE),"")</f>
        <v>46201</v>
      </c>
      <c r="BM232" s="122">
        <f>IFERROR($N232+VLOOKUP($L232,'Voyage days'!$F$807:$K$878,6,FALSE),"")</f>
        <v>46175</v>
      </c>
      <c r="BN232" s="121" t="str">
        <f>if(L232="loads AG", IFERROR($M232+VLOOKUP($L232,'Voyage days'!$M$38:$O$38,3,FALSE),""),"")</f>
        <v/>
      </c>
      <c r="BO232" s="121" t="str">
        <f>if(L232="loads USG", IFERROR($M232+VLOOKUP($L232,'Voyage days'!$L$203:$N$203,3,FALSE),""),"")</f>
        <v/>
      </c>
    </row>
    <row r="233" ht="15.75" customHeight="1">
      <c r="A233" s="147" t="s">
        <v>178</v>
      </c>
      <c r="B233" s="202">
        <v>2013.0</v>
      </c>
      <c r="C233" s="203">
        <v>84000.0</v>
      </c>
      <c r="D233" s="256" t="s">
        <v>603</v>
      </c>
      <c r="E233" s="256" t="s">
        <v>706</v>
      </c>
      <c r="F233" s="150"/>
      <c r="G233" s="150"/>
      <c r="H233" s="150" t="s">
        <v>689</v>
      </c>
      <c r="I233" s="500" t="s">
        <v>1227</v>
      </c>
      <c r="J233" s="209" t="str">
        <f t="shared" si="41"/>
        <v/>
      </c>
      <c r="K233" s="152"/>
      <c r="L233" s="153" t="s">
        <v>680</v>
      </c>
      <c r="M233" s="276">
        <v>46157.0</v>
      </c>
      <c r="N233" s="109">
        <v>46158.0</v>
      </c>
      <c r="O233" s="277"/>
      <c r="P233" s="330" t="s">
        <v>907</v>
      </c>
      <c r="Q233" s="278"/>
      <c r="R233" s="153" t="s">
        <v>1234</v>
      </c>
      <c r="S233" s="619" t="s">
        <v>659</v>
      </c>
      <c r="T233" s="113">
        <v>46124.0</v>
      </c>
      <c r="U233" s="114" t="str">
        <f>IF(V233="","No AIS",VLOOKUP(V233,'Voyage days'!$A$3:$B$1480,2,FALSE))</f>
        <v>Panama</v>
      </c>
      <c r="V233" s="114" t="str">
        <f>IF(VLOOKUP(A233,'1) Kpler'!$E$2:$P$1000,8, FALSE)="","",VLOOKUP(A233,'1) Kpler'!$E$2:$P$1000,8, FALSE))</f>
        <v>Panama Canal</v>
      </c>
      <c r="W233" s="159">
        <f>IF(VLOOKUP(A233,'1) Kpler'!$E$2:$P$1000,9,FALSE)="","",VLOOKUP(A233,'1) Kpler'!$E$2:$P$1000,9,FALSE))</f>
        <v>46134.75</v>
      </c>
      <c r="X233" s="114" t="str">
        <f>VLOOKUP(A233,'1) Kpler'!$E$2:$I$1000,4,FALSE)</f>
        <v>ballast</v>
      </c>
      <c r="Y233" s="272" t="str">
        <f t="shared" si="39"/>
        <v/>
      </c>
      <c r="Z233" s="272" t="str">
        <f t="shared" si="2"/>
        <v>15-16 May</v>
      </c>
      <c r="AA233" s="272" t="str">
        <f t="shared" si="3"/>
        <v>15-16 May</v>
      </c>
      <c r="AB233" s="272" t="str">
        <f t="shared" si="4"/>
        <v/>
      </c>
      <c r="AC233" s="272" t="str">
        <f t="shared" si="5"/>
        <v>04-05 Jun</v>
      </c>
      <c r="AD233" s="272" t="str">
        <f t="shared" si="6"/>
        <v/>
      </c>
      <c r="AE233" s="273" t="str">
        <f t="shared" si="7"/>
        <v/>
      </c>
      <c r="AF233" s="162" t="str">
        <f t="shared" si="8"/>
        <v/>
      </c>
      <c r="AG233" s="163" t="str">
        <f t="shared" si="27"/>
        <v/>
      </c>
      <c r="AH233" s="122" t="str">
        <f>IFERROR($M233+VLOOKUP($L233,'Voyage days'!$F$38:$H$89,3,FALSE),"")</f>
        <v/>
      </c>
      <c r="AI233" s="122" t="str">
        <f>IFERROR(N233+VLOOKUP($L233,'Voyage days'!$F$38:$H$89,3,FALSE),"")</f>
        <v/>
      </c>
      <c r="AJ233" s="163" t="str">
        <f t="shared" si="28"/>
        <v>15-16 May</v>
      </c>
      <c r="AK233" s="122">
        <f>IFERROR($M233+VLOOKUP($L233,'Voyage days'!$F$94:$H$193,3,FALSE),"")</f>
        <v>46157</v>
      </c>
      <c r="AL233" s="122">
        <f>IFERROR($N233+VLOOKUP($L233,'Voyage days'!$F$94:$H$193,3,FALSE),"")</f>
        <v>46158</v>
      </c>
      <c r="AM233" s="163" t="str">
        <f t="shared" si="29"/>
        <v>15-16 May</v>
      </c>
      <c r="AN233" s="122">
        <f>IFERROR($M233+VLOOKUP($L233,'Voyage days'!$F$203:$H$256,3,FALSE),"")</f>
        <v>46157</v>
      </c>
      <c r="AO233" s="122">
        <f>IFERROR($N233+VLOOKUP($L233,'Voyage days'!$F$203:$H$256,3,FALSE),"")</f>
        <v>46158</v>
      </c>
      <c r="AP233" s="163" t="str">
        <f t="shared" si="30"/>
        <v/>
      </c>
      <c r="AQ233" s="122" t="str">
        <f>IFERROR($M233+VLOOKUP($L233,'Voyage days'!$F$294:$H$377,3,FALSE),"")</f>
        <v/>
      </c>
      <c r="AR233" s="122" t="str">
        <f>IFERROR($N233+VLOOKUP($L233,'Voyage days'!$F$294:$H$377,3,FALSE),"")</f>
        <v/>
      </c>
      <c r="AS233" s="163" t="str">
        <f t="shared" si="31"/>
        <v>04-05 Jun</v>
      </c>
      <c r="AT233" s="122">
        <f>IFERROR($M233+VLOOKUP($L233,'Voyage days'!$F$382:$H$446,3,FALSE),"")</f>
        <v>46177</v>
      </c>
      <c r="AU233" s="122">
        <f>IFERROR($N233+VLOOKUP($L233,'Voyage days'!$F$382:$H$446,3,FALSE),"")</f>
        <v>46178</v>
      </c>
      <c r="AV233" s="163" t="str">
        <f t="shared" si="32"/>
        <v/>
      </c>
      <c r="AW233" s="122" t="str">
        <f>IFERROR($M233+VLOOKUP($L233,'Voyage days'!$F$483:$H$538,3,FALSE),"")</f>
        <v/>
      </c>
      <c r="AX233" s="122" t="str">
        <f>IFERROR($N233+VLOOKUP($L233,'Voyage days'!$F$483:$H$538,3,FALSE),"")</f>
        <v/>
      </c>
      <c r="AY233" s="163" t="str">
        <f t="shared" si="33"/>
        <v/>
      </c>
      <c r="AZ233" s="122" t="str">
        <f>IFERROR($M233+VLOOKUP($L233,'Voyage days'!$F$540:$H$613,3,FALSE),"")</f>
        <v/>
      </c>
      <c r="BA233" s="122" t="str">
        <f>IFERROR($N233+VLOOKUP($L233,'Voyage days'!$F$540:$H$613,3,FALSE),"")</f>
        <v/>
      </c>
      <c r="BB233" s="163" t="str">
        <f t="shared" si="34"/>
        <v/>
      </c>
      <c r="BC233" s="122" t="str">
        <f>IFERROR($M233+VLOOKUP($L233,'Voyage days'!$F$448:$H$479,3,FALSE),"")</f>
        <v/>
      </c>
      <c r="BD233" s="122" t="str">
        <f>IFERROR($N233+VLOOKUP($L233,'Voyage days'!$F$448:$H$479,3,FALSE),"")</f>
        <v/>
      </c>
      <c r="BE233" s="163" t="str">
        <f t="shared" si="35"/>
        <v/>
      </c>
      <c r="BF233" s="122" t="str">
        <f>IFERROR($M233+VLOOKUP($L233,'Voyage days'!$F$620:$H$646,3,FALSE),"")</f>
        <v/>
      </c>
      <c r="BG233" s="122" t="str">
        <f>IFERROR($N233+VLOOKUP($L233,'Voyage days'!$F$620:$H$646,3,FALSE),"")</f>
        <v/>
      </c>
      <c r="BH233" s="163" t="str">
        <f t="shared" si="36"/>
        <v/>
      </c>
      <c r="BI233" s="123" t="str">
        <f>IFERROR($M233+VLOOKUP($L233,'Voyage days'!$F$702:$H$727,3,FALSE),"")</f>
        <v/>
      </c>
      <c r="BJ233" s="163" t="str">
        <f t="shared" si="37"/>
        <v/>
      </c>
      <c r="BK233" s="122" t="str">
        <f>IFERROR($M233+VLOOKUP($L233,'Voyage days'!$F$807:$H$878,3,FALSE),"")</f>
        <v/>
      </c>
      <c r="BL233" s="122" t="str">
        <f>IFERROR($N233+VLOOKUP($L233,'Voyage days'!$F$807:$H$878,3,FALSE),"")</f>
        <v/>
      </c>
      <c r="BM233" s="122" t="str">
        <f>IFERROR($N233+VLOOKUP($L233,'Voyage days'!$F$807:$K$878,6,FALSE),"")</f>
        <v/>
      </c>
      <c r="BN233" s="122" t="str">
        <f>if(L233="loads AG", IFERROR($M233+VLOOKUP($L233,'Voyage days'!$M$38:$O$38,3,FALSE),""),"")</f>
        <v/>
      </c>
      <c r="BO233" s="122">
        <f>if(L233="loads USG", IFERROR($M233+VLOOKUP($L233,'Voyage days'!$L$203:$N$203,3,FALSE),""),"")</f>
        <v>46189</v>
      </c>
    </row>
    <row r="234" ht="15.75" customHeight="1">
      <c r="A234" s="338" t="s">
        <v>221</v>
      </c>
      <c r="B234" s="101">
        <v>43709.0</v>
      </c>
      <c r="C234" s="102">
        <v>80000.0</v>
      </c>
      <c r="D234" s="103"/>
      <c r="E234" s="103"/>
      <c r="F234" s="104"/>
      <c r="G234" s="104"/>
      <c r="H234" s="104" t="s">
        <v>689</v>
      </c>
      <c r="I234" s="464" t="s">
        <v>1227</v>
      </c>
      <c r="J234" s="209" t="str">
        <f t="shared" si="41"/>
        <v>Update</v>
      </c>
      <c r="K234" s="107"/>
      <c r="L234" s="211" t="s">
        <v>677</v>
      </c>
      <c r="M234" s="109">
        <v>46145.0</v>
      </c>
      <c r="N234" s="109">
        <v>46145.0</v>
      </c>
      <c r="O234" s="620"/>
      <c r="P234" s="153" t="s">
        <v>1235</v>
      </c>
      <c r="Q234" s="618"/>
      <c r="R234" s="108" t="s">
        <v>1236</v>
      </c>
      <c r="S234" s="619" t="s">
        <v>33</v>
      </c>
      <c r="T234" s="293">
        <v>46125.0</v>
      </c>
      <c r="U234" s="114" t="str">
        <f>IF(V234="","No AIS",VLOOKUP(V234,'Voyage days'!$A$3:$B$1480,2,FALSE))</f>
        <v>Panama</v>
      </c>
      <c r="V234" s="115" t="str">
        <f>IF(VLOOKUP(A234,'1) Kpler'!$E$2:$P$1000,8, FALSE)="","",VLOOKUP(A234,'1) Kpler'!$E$2:$P$1000,8, FALSE))</f>
        <v>Panama Canal</v>
      </c>
      <c r="W234" s="116">
        <f>IF(VLOOKUP(A234,'1) Kpler'!$E$2:$P$1000,9,FALSE)="","",VLOOKUP(A234,'1) Kpler'!$E$2:$P$1000,9,FALSE))</f>
        <v>46146.52083</v>
      </c>
      <c r="X234" s="115" t="str">
        <f>VLOOKUP(A234,'1) Kpler'!$E$2:$I$1000,4,FALSE)</f>
        <v>ballast</v>
      </c>
      <c r="Y234" s="272" t="str">
        <f t="shared" si="39"/>
        <v/>
      </c>
      <c r="Z234" s="272" t="str">
        <f t="shared" si="2"/>
        <v>14-14 May</v>
      </c>
      <c r="AA234" s="272" t="str">
        <f t="shared" si="3"/>
        <v/>
      </c>
      <c r="AB234" s="272" t="str">
        <f t="shared" si="4"/>
        <v/>
      </c>
      <c r="AC234" s="272" t="str">
        <f t="shared" si="5"/>
        <v/>
      </c>
      <c r="AD234" s="272" t="str">
        <f t="shared" si="6"/>
        <v/>
      </c>
      <c r="AE234" s="273" t="str">
        <f t="shared" si="7"/>
        <v/>
      </c>
      <c r="AF234" s="162" t="str">
        <f t="shared" si="8"/>
        <v/>
      </c>
      <c r="AG234" s="163" t="str">
        <f t="shared" si="27"/>
        <v/>
      </c>
      <c r="AH234" s="122" t="str">
        <f>IFERROR($M234+VLOOKUP($L234,'Voyage days'!$F$38:$H$89,3,FALSE),"")</f>
        <v/>
      </c>
      <c r="AI234" s="122" t="str">
        <f>IFERROR(N234+VLOOKUP($L234,'Voyage days'!$F$38:$H$89,3,FALSE),"")</f>
        <v/>
      </c>
      <c r="AJ234" s="163" t="str">
        <f t="shared" si="28"/>
        <v>14-14 May</v>
      </c>
      <c r="AK234" s="122">
        <f>IFERROR($M234+VLOOKUP($L234,'Voyage days'!$F$94:$H$193,3,FALSE),"")</f>
        <v>46156</v>
      </c>
      <c r="AL234" s="122">
        <f>IFERROR($N234+VLOOKUP($L234,'Voyage days'!$F$94:$H$193,3,FALSE),"")</f>
        <v>46156</v>
      </c>
      <c r="AM234" s="163" t="str">
        <f t="shared" si="29"/>
        <v/>
      </c>
      <c r="AN234" s="122" t="str">
        <f>IFERROR($M234+VLOOKUP($L234,'Voyage days'!$F$203:$H$256,3,FALSE),"")</f>
        <v/>
      </c>
      <c r="AO234" s="122" t="str">
        <f>IFERROR($N234+VLOOKUP($L234,'Voyage days'!$F$203:$H$256,3,FALSE),"")</f>
        <v/>
      </c>
      <c r="AP234" s="163" t="str">
        <f t="shared" si="30"/>
        <v/>
      </c>
      <c r="AQ234" s="122" t="str">
        <f>IFERROR($M234+VLOOKUP($L234,'Voyage days'!$F$294:$H$377,3,FALSE),"")</f>
        <v/>
      </c>
      <c r="AR234" s="122" t="str">
        <f>IFERROR($N234+VLOOKUP($L234,'Voyage days'!$F$294:$H$377,3,FALSE),"")</f>
        <v/>
      </c>
      <c r="AS234" s="163" t="str">
        <f t="shared" si="31"/>
        <v/>
      </c>
      <c r="AT234" s="122" t="str">
        <f>IFERROR($M234+VLOOKUP($L234,'Voyage days'!$F$382:$H$446,3,FALSE),"")</f>
        <v/>
      </c>
      <c r="AU234" s="122" t="str">
        <f>IFERROR($N234+VLOOKUP($L234,'Voyage days'!$F$382:$H$446,3,FALSE),"")</f>
        <v/>
      </c>
      <c r="AV234" s="163" t="str">
        <f t="shared" si="32"/>
        <v/>
      </c>
      <c r="AW234" s="122" t="str">
        <f>IFERROR($M234+VLOOKUP($L234,'Voyage days'!$F$483:$H$538,3,FALSE),"")</f>
        <v/>
      </c>
      <c r="AX234" s="122" t="str">
        <f>IFERROR($N234+VLOOKUP($L234,'Voyage days'!$F$483:$H$538,3,FALSE),"")</f>
        <v/>
      </c>
      <c r="AY234" s="163" t="str">
        <f t="shared" si="33"/>
        <v/>
      </c>
      <c r="AZ234" s="122" t="str">
        <f>IFERROR($M234+VLOOKUP($L234,'Voyage days'!$F$540:$H$613,3,FALSE),"")</f>
        <v/>
      </c>
      <c r="BA234" s="122" t="str">
        <f>IFERROR($N234+VLOOKUP($L234,'Voyage days'!$F$540:$H$613,3,FALSE),"")</f>
        <v/>
      </c>
      <c r="BB234" s="163" t="str">
        <f t="shared" si="34"/>
        <v/>
      </c>
      <c r="BC234" s="122" t="str">
        <f>IFERROR($M234+VLOOKUP($L234,'Voyage days'!$F$448:$H$479,3,FALSE),"")</f>
        <v/>
      </c>
      <c r="BD234" s="122" t="str">
        <f>IFERROR($N234+VLOOKUP($L234,'Voyage days'!$F$448:$H$479,3,FALSE),"")</f>
        <v/>
      </c>
      <c r="BE234" s="163" t="str">
        <f t="shared" si="35"/>
        <v/>
      </c>
      <c r="BF234" s="122" t="str">
        <f>IFERROR($M234+VLOOKUP($L234,'Voyage days'!$F$620:$H$646,3,FALSE),"")</f>
        <v/>
      </c>
      <c r="BG234" s="122" t="str">
        <f>IFERROR($N234+VLOOKUP($L234,'Voyage days'!$F$620:$H$646,3,FALSE),"")</f>
        <v/>
      </c>
      <c r="BH234" s="163" t="str">
        <f t="shared" si="36"/>
        <v/>
      </c>
      <c r="BI234" s="123" t="str">
        <f>IFERROR($M234+VLOOKUP($L234,'Voyage days'!$F$702:$H$727,3,FALSE),"")</f>
        <v/>
      </c>
      <c r="BJ234" s="163" t="str">
        <f t="shared" si="37"/>
        <v/>
      </c>
      <c r="BK234" s="122" t="str">
        <f>IFERROR($M234+VLOOKUP($L234,'Voyage days'!$F$807:$H$878,3,FALSE),"")</f>
        <v/>
      </c>
      <c r="BL234" s="122" t="str">
        <f>IFERROR($N234+VLOOKUP($L234,'Voyage days'!$F$807:$H$878,3,FALSE),"")</f>
        <v/>
      </c>
      <c r="BM234" s="122" t="str">
        <f>IFERROR($N234+VLOOKUP($L234,'Voyage days'!$F$807:$K$878,6,FALSE),"")</f>
        <v/>
      </c>
      <c r="BN234" s="122" t="str">
        <f>if(L234="loads AG", IFERROR($M234+VLOOKUP($L234,'Voyage days'!$M$38:$O$38,3,FALSE),""),"")</f>
        <v/>
      </c>
      <c r="BO234" s="122" t="str">
        <f>if(L234="loads USG", IFERROR($M234+VLOOKUP($L234,'Voyage days'!$L$203:$N$203,3,FALSE),""),"")</f>
        <v/>
      </c>
    </row>
    <row r="235" ht="15.75" customHeight="1">
      <c r="A235" s="73" t="s">
        <v>248</v>
      </c>
      <c r="B235" s="148">
        <v>2022.0</v>
      </c>
      <c r="C235" s="102">
        <v>91000.0</v>
      </c>
      <c r="D235" s="103"/>
      <c r="E235" s="103"/>
      <c r="F235" s="104"/>
      <c r="G235" s="104"/>
      <c r="H235" s="104" t="s">
        <v>666</v>
      </c>
      <c r="I235" s="401" t="s">
        <v>1227</v>
      </c>
      <c r="J235" s="106" t="str">
        <f t="shared" si="41"/>
        <v/>
      </c>
      <c r="K235" s="107"/>
      <c r="L235" s="108" t="s">
        <v>680</v>
      </c>
      <c r="M235" s="457">
        <v>46144.0</v>
      </c>
      <c r="N235" s="457">
        <v>46145.0</v>
      </c>
      <c r="O235" s="277"/>
      <c r="P235" s="108" t="s">
        <v>1237</v>
      </c>
      <c r="Q235" s="108"/>
      <c r="R235" s="108" t="s">
        <v>1238</v>
      </c>
      <c r="S235" s="619" t="s">
        <v>33</v>
      </c>
      <c r="T235" s="293">
        <v>46125.0</v>
      </c>
      <c r="U235" s="114" t="str">
        <f>IF(V235="","No AIS",VLOOKUP(V235,'Voyage days'!$A$3:$B$1480,2,FALSE))</f>
        <v>USG</v>
      </c>
      <c r="V235" s="115" t="str">
        <f>IF(VLOOKUP(A235,'1) Kpler'!$E$2:$P$1000,8, FALSE)="","",VLOOKUP(A235,'1) Kpler'!$E$2:$P$1000,8, FALSE))</f>
        <v>Houston</v>
      </c>
      <c r="W235" s="116">
        <f>IF(VLOOKUP(A235,'1) Kpler'!$E$2:$P$1000,9,FALSE)="","",VLOOKUP(A235,'1) Kpler'!$E$2:$P$1000,9,FALSE))</f>
        <v>46142.58333</v>
      </c>
      <c r="X235" s="115" t="str">
        <f>VLOOKUP(A235,'1) Kpler'!$E$2:$I$1000,4,FALSE)</f>
        <v>ballast</v>
      </c>
      <c r="Y235" s="160" t="str">
        <f t="shared" si="39"/>
        <v/>
      </c>
      <c r="Z235" s="160" t="str">
        <f t="shared" si="2"/>
        <v>02-03 May</v>
      </c>
      <c r="AA235" s="160" t="str">
        <f t="shared" si="3"/>
        <v>02-03 May</v>
      </c>
      <c r="AB235" s="160" t="str">
        <f t="shared" si="4"/>
        <v/>
      </c>
      <c r="AC235" s="160" t="str">
        <f t="shared" si="5"/>
        <v>22-23 May</v>
      </c>
      <c r="AD235" s="160" t="str">
        <f t="shared" si="6"/>
        <v/>
      </c>
      <c r="AE235" s="161" t="str">
        <f t="shared" si="7"/>
        <v/>
      </c>
      <c r="AF235" s="162" t="str">
        <f t="shared" si="8"/>
        <v/>
      </c>
      <c r="AG235" s="120" t="str">
        <f t="shared" si="27"/>
        <v/>
      </c>
      <c r="AH235" s="121" t="str">
        <f>IFERROR($M235+VLOOKUP($L235,'Voyage days'!$F$38:$H$89,3,FALSE),"")</f>
        <v/>
      </c>
      <c r="AI235" s="121" t="str">
        <f>IFERROR(N235+VLOOKUP($L235,'Voyage days'!$F$38:$H$89,3,FALSE),"")</f>
        <v/>
      </c>
      <c r="AJ235" s="120" t="str">
        <f t="shared" si="28"/>
        <v>02-03 May</v>
      </c>
      <c r="AK235" s="121">
        <f>IFERROR($M235+VLOOKUP($L235,'Voyage days'!$F$94:$H$193,3,FALSE),"")</f>
        <v>46144</v>
      </c>
      <c r="AL235" s="121">
        <f>IFERROR($N235+VLOOKUP($L235,'Voyage days'!$F$94:$H$193,3,FALSE),"")</f>
        <v>46145</v>
      </c>
      <c r="AM235" s="120" t="str">
        <f t="shared" si="29"/>
        <v>02-03 May</v>
      </c>
      <c r="AN235" s="121">
        <f>IFERROR($M235+VLOOKUP($L235,'Voyage days'!$F$203:$H$256,3,FALSE),"")</f>
        <v>46144</v>
      </c>
      <c r="AO235" s="121">
        <f>IFERROR($N235+VLOOKUP($L235,'Voyage days'!$F$203:$H$256,3,FALSE),"")</f>
        <v>46145</v>
      </c>
      <c r="AP235" s="120" t="str">
        <f t="shared" si="30"/>
        <v/>
      </c>
      <c r="AQ235" s="121" t="str">
        <f>IFERROR($M235+VLOOKUP($L235,'Voyage days'!$F$294:$H$377,3,FALSE),"")</f>
        <v/>
      </c>
      <c r="AR235" s="121" t="str">
        <f>IFERROR($N235+VLOOKUP($L235,'Voyage days'!$F$294:$H$377,3,FALSE),"")</f>
        <v/>
      </c>
      <c r="AS235" s="120" t="str">
        <f t="shared" si="31"/>
        <v>22-23 May</v>
      </c>
      <c r="AT235" s="121">
        <f>IFERROR($M235+VLOOKUP($L235,'Voyage days'!$F$382:$H$446,3,FALSE),"")</f>
        <v>46164</v>
      </c>
      <c r="AU235" s="121">
        <f>IFERROR($N235+VLOOKUP($L235,'Voyage days'!$F$382:$H$446,3,FALSE),"")</f>
        <v>46165</v>
      </c>
      <c r="AV235" s="120" t="str">
        <f t="shared" si="32"/>
        <v/>
      </c>
      <c r="AW235" s="121" t="str">
        <f>IFERROR($M235+VLOOKUP($L235,'Voyage days'!$F$483:$H$538,3,FALSE),"")</f>
        <v/>
      </c>
      <c r="AX235" s="121" t="str">
        <f>IFERROR($N235+VLOOKUP($L235,'Voyage days'!$F$483:$H$538,3,FALSE),"")</f>
        <v/>
      </c>
      <c r="AY235" s="120" t="str">
        <f t="shared" si="33"/>
        <v/>
      </c>
      <c r="AZ235" s="121" t="str">
        <f>IFERROR($M235+VLOOKUP($L235,'Voyage days'!$F$540:$H$613,3,FALSE),"")</f>
        <v/>
      </c>
      <c r="BA235" s="121" t="str">
        <f>IFERROR($N235+VLOOKUP($L235,'Voyage days'!$F$540:$H$613,3,FALSE),"")</f>
        <v/>
      </c>
      <c r="BB235" s="120" t="str">
        <f t="shared" si="34"/>
        <v/>
      </c>
      <c r="BC235" s="121" t="str">
        <f>IFERROR($M235+VLOOKUP($L235,'Voyage days'!$F$448:$H$479,3,FALSE),"")</f>
        <v/>
      </c>
      <c r="BD235" s="121" t="str">
        <f>IFERROR($N235+VLOOKUP($L235,'Voyage days'!$F$448:$H$479,3,FALSE),"")</f>
        <v/>
      </c>
      <c r="BE235" s="120" t="str">
        <f t="shared" si="35"/>
        <v/>
      </c>
      <c r="BF235" s="122" t="str">
        <f>IFERROR($M235+VLOOKUP($L235,'Voyage days'!$F$620:$H$646,3,FALSE),"")</f>
        <v/>
      </c>
      <c r="BG235" s="122" t="str">
        <f>IFERROR($N235+VLOOKUP($L235,'Voyage days'!$F$620:$H$646,3,FALSE),"")</f>
        <v/>
      </c>
      <c r="BH235" s="120" t="str">
        <f t="shared" si="36"/>
        <v/>
      </c>
      <c r="BI235" s="123" t="str">
        <f>IFERROR($M235+VLOOKUP($L235,'Voyage days'!$F$702:$H$727,3,FALSE),"")</f>
        <v/>
      </c>
      <c r="BJ235" s="120" t="str">
        <f t="shared" si="37"/>
        <v/>
      </c>
      <c r="BK235" s="122" t="str">
        <f>IFERROR($M235+VLOOKUP($L235,'Voyage days'!$F$807:$H$878,3,FALSE),"")</f>
        <v/>
      </c>
      <c r="BL235" s="122" t="str">
        <f>IFERROR($N235+VLOOKUP($L235,'Voyage days'!$F$807:$H$878,3,FALSE),"")</f>
        <v/>
      </c>
      <c r="BM235" s="122" t="str">
        <f>IFERROR($N235+VLOOKUP($L235,'Voyage days'!$F$807:$K$878,6,FALSE),"")</f>
        <v/>
      </c>
      <c r="BN235" s="121" t="str">
        <f>if(L235="loads AG", IFERROR($M235+VLOOKUP($L235,'Voyage days'!$M$38:$O$38,3,FALSE),""),"")</f>
        <v/>
      </c>
      <c r="BO235" s="121">
        <f>if(L235="loads USG", IFERROR($M235+VLOOKUP($L235,'Voyage days'!$L$203:$N$203,3,FALSE),""),"")</f>
        <v>46176</v>
      </c>
    </row>
    <row r="236" ht="15.75" customHeight="1">
      <c r="A236" s="621" t="s">
        <v>298</v>
      </c>
      <c r="B236" s="622">
        <v>2026.0</v>
      </c>
      <c r="C236" s="203">
        <v>90964.0</v>
      </c>
      <c r="D236" s="103"/>
      <c r="E236" s="103"/>
      <c r="F236" s="104"/>
      <c r="G236" s="104"/>
      <c r="H236" s="104"/>
      <c r="I236" s="401" t="s">
        <v>1227</v>
      </c>
      <c r="J236" s="106" t="str">
        <f t="shared" si="41"/>
        <v/>
      </c>
      <c r="K236" s="107"/>
      <c r="L236" s="108" t="s">
        <v>677</v>
      </c>
      <c r="M236" s="457">
        <v>46145.0</v>
      </c>
      <c r="N236" s="457">
        <v>46146.0</v>
      </c>
      <c r="O236" s="277"/>
      <c r="P236" s="108" t="s">
        <v>838</v>
      </c>
      <c r="Q236" s="108"/>
      <c r="R236" s="108" t="s">
        <v>1239</v>
      </c>
      <c r="S236" s="619" t="s">
        <v>659</v>
      </c>
      <c r="T236" s="293">
        <v>46125.0</v>
      </c>
      <c r="U236" s="114" t="str">
        <f>IF(V236="","No AIS",VLOOKUP(V236,'Voyage days'!$A$3:$B$1480,2,FALSE))</f>
        <v>Panama</v>
      </c>
      <c r="V236" s="115" t="str">
        <f>IF(VLOOKUP(A236,'1) Kpler'!$E$2:$P$1000,8, FALSE)="","",VLOOKUP(A236,'1) Kpler'!$E$2:$P$1000,8, FALSE))</f>
        <v>Panama Canal</v>
      </c>
      <c r="W236" s="116">
        <f>IF(VLOOKUP(A236,'1) Kpler'!$E$2:$P$1000,9,FALSE)="","",VLOOKUP(A236,'1) Kpler'!$E$2:$P$1000,9,FALSE))</f>
        <v>46144.91667</v>
      </c>
      <c r="X236" s="115" t="str">
        <f>VLOOKUP(A236,'1) Kpler'!$E$2:$I$1000,4,FALSE)</f>
        <v>ballast</v>
      </c>
      <c r="Y236" s="160" t="str">
        <f t="shared" si="39"/>
        <v/>
      </c>
      <c r="Z236" s="160" t="str">
        <f t="shared" si="2"/>
        <v>14-15 May</v>
      </c>
      <c r="AA236" s="160" t="str">
        <f t="shared" si="3"/>
        <v/>
      </c>
      <c r="AB236" s="160" t="str">
        <f t="shared" si="4"/>
        <v/>
      </c>
      <c r="AC236" s="160" t="str">
        <f t="shared" si="5"/>
        <v/>
      </c>
      <c r="AD236" s="160" t="str">
        <f t="shared" si="6"/>
        <v/>
      </c>
      <c r="AE236" s="161" t="str">
        <f t="shared" si="7"/>
        <v/>
      </c>
      <c r="AF236" s="162" t="str">
        <f t="shared" si="8"/>
        <v/>
      </c>
      <c r="AG236" s="120" t="str">
        <f t="shared" si="27"/>
        <v/>
      </c>
      <c r="AH236" s="121" t="str">
        <f>IFERROR($M236+VLOOKUP($L236,'Voyage days'!$F$38:$H$89,3,FALSE),"")</f>
        <v/>
      </c>
      <c r="AI236" s="121" t="str">
        <f>IFERROR(N236+VLOOKUP($L236,'Voyage days'!$F$38:$H$89,3,FALSE),"")</f>
        <v/>
      </c>
      <c r="AJ236" s="120" t="str">
        <f t="shared" si="28"/>
        <v>14-15 May</v>
      </c>
      <c r="AK236" s="121">
        <f>IFERROR($M236+VLOOKUP($L236,'Voyage days'!$F$94:$H$193,3,FALSE),"")</f>
        <v>46156</v>
      </c>
      <c r="AL236" s="121">
        <f>IFERROR($N236+VLOOKUP($L236,'Voyage days'!$F$94:$H$193,3,FALSE),"")</f>
        <v>46157</v>
      </c>
      <c r="AM236" s="120" t="str">
        <f t="shared" si="29"/>
        <v/>
      </c>
      <c r="AN236" s="121" t="str">
        <f>IFERROR($M236+VLOOKUP($L236,'Voyage days'!$F$203:$H$256,3,FALSE),"")</f>
        <v/>
      </c>
      <c r="AO236" s="121" t="str">
        <f>IFERROR($N236+VLOOKUP($L236,'Voyage days'!$F$203:$H$256,3,FALSE),"")</f>
        <v/>
      </c>
      <c r="AP236" s="120" t="str">
        <f t="shared" si="30"/>
        <v/>
      </c>
      <c r="AQ236" s="121" t="str">
        <f>IFERROR($M236+VLOOKUP($L236,'Voyage days'!$F$294:$H$377,3,FALSE),"")</f>
        <v/>
      </c>
      <c r="AR236" s="121" t="str">
        <f>IFERROR($N236+VLOOKUP($L236,'Voyage days'!$F$294:$H$377,3,FALSE),"")</f>
        <v/>
      </c>
      <c r="AS236" s="120" t="str">
        <f t="shared" si="31"/>
        <v/>
      </c>
      <c r="AT236" s="121" t="str">
        <f>IFERROR($M236+VLOOKUP($L236,'Voyage days'!$F$382:$H$446,3,FALSE),"")</f>
        <v/>
      </c>
      <c r="AU236" s="121" t="str">
        <f>IFERROR($N236+VLOOKUP($L236,'Voyage days'!$F$382:$H$446,3,FALSE),"")</f>
        <v/>
      </c>
      <c r="AV236" s="120" t="str">
        <f t="shared" si="32"/>
        <v/>
      </c>
      <c r="AW236" s="121" t="str">
        <f>IFERROR($M236+VLOOKUP($L236,'Voyage days'!$F$483:$H$538,3,FALSE),"")</f>
        <v/>
      </c>
      <c r="AX236" s="121" t="str">
        <f>IFERROR($N236+VLOOKUP($L236,'Voyage days'!$F$483:$H$538,3,FALSE),"")</f>
        <v/>
      </c>
      <c r="AY236" s="120" t="str">
        <f t="shared" si="33"/>
        <v/>
      </c>
      <c r="AZ236" s="121" t="str">
        <f>IFERROR($M236+VLOOKUP($L236,'Voyage days'!$F$540:$H$613,3,FALSE),"")</f>
        <v/>
      </c>
      <c r="BA236" s="121" t="str">
        <f>IFERROR($N236+VLOOKUP($L236,'Voyage days'!$F$540:$H$613,3,FALSE),"")</f>
        <v/>
      </c>
      <c r="BB236" s="120" t="str">
        <f t="shared" si="34"/>
        <v/>
      </c>
      <c r="BC236" s="121" t="str">
        <f>IFERROR($M236+VLOOKUP($L236,'Voyage days'!$F$448:$H$479,3,FALSE),"")</f>
        <v/>
      </c>
      <c r="BD236" s="121" t="str">
        <f>IFERROR($N236+VLOOKUP($L236,'Voyage days'!$F$448:$H$479,3,FALSE),"")</f>
        <v/>
      </c>
      <c r="BE236" s="120" t="str">
        <f t="shared" si="35"/>
        <v/>
      </c>
      <c r="BF236" s="122" t="str">
        <f>IFERROR($M236+VLOOKUP($L236,'Voyage days'!$F$620:$H$646,3,FALSE),"")</f>
        <v/>
      </c>
      <c r="BG236" s="122" t="str">
        <f>IFERROR($N236+VLOOKUP($L236,'Voyage days'!$F$620:$H$646,3,FALSE),"")</f>
        <v/>
      </c>
      <c r="BH236" s="120" t="str">
        <f t="shared" si="36"/>
        <v/>
      </c>
      <c r="BI236" s="123" t="str">
        <f>IFERROR($M236+VLOOKUP($L236,'Voyage days'!$F$702:$H$727,3,FALSE),"")</f>
        <v/>
      </c>
      <c r="BJ236" s="120" t="str">
        <f t="shared" si="37"/>
        <v/>
      </c>
      <c r="BK236" s="122" t="str">
        <f>IFERROR($M236+VLOOKUP($L236,'Voyage days'!$F$807:$H$878,3,FALSE),"")</f>
        <v/>
      </c>
      <c r="BL236" s="122" t="str">
        <f>IFERROR($N236+VLOOKUP($L236,'Voyage days'!$F$807:$H$878,3,FALSE),"")</f>
        <v/>
      </c>
      <c r="BM236" s="122" t="str">
        <f>IFERROR($N236+VLOOKUP($L236,'Voyage days'!$F$807:$K$878,6,FALSE),"")</f>
        <v/>
      </c>
      <c r="BN236" s="121" t="str">
        <f>if(L236="loads AG", IFERROR($M236+VLOOKUP($L236,'Voyage days'!$M$38:$O$38,3,FALSE),""),"")</f>
        <v/>
      </c>
      <c r="BO236" s="121" t="str">
        <f>if(L236="loads USG", IFERROR($M236+VLOOKUP($L236,'Voyage days'!$L$203:$N$203,3,FALSE),""),"")</f>
        <v/>
      </c>
    </row>
    <row r="237" ht="15.75" customHeight="1">
      <c r="A237" s="623" t="s">
        <v>351</v>
      </c>
      <c r="B237" s="550">
        <v>2023.0</v>
      </c>
      <c r="C237" s="102">
        <v>86000.0</v>
      </c>
      <c r="D237" s="103"/>
      <c r="E237" s="103"/>
      <c r="F237" s="104"/>
      <c r="G237" s="104"/>
      <c r="H237" s="104" t="s">
        <v>666</v>
      </c>
      <c r="I237" s="401" t="s">
        <v>1227</v>
      </c>
      <c r="J237" s="106" t="str">
        <f t="shared" si="41"/>
        <v/>
      </c>
      <c r="K237" s="107"/>
      <c r="L237" s="108" t="s">
        <v>663</v>
      </c>
      <c r="M237" s="109">
        <v>46140.0</v>
      </c>
      <c r="N237" s="109">
        <v>46142.0</v>
      </c>
      <c r="O237" s="110"/>
      <c r="P237" s="153" t="s">
        <v>1240</v>
      </c>
      <c r="Q237" s="624"/>
      <c r="R237" s="108" t="s">
        <v>1241</v>
      </c>
      <c r="S237" s="619" t="s">
        <v>33</v>
      </c>
      <c r="T237" s="293">
        <v>46125.0</v>
      </c>
      <c r="U237" s="114" t="str">
        <f>IF(V237="","No AIS",VLOOKUP(V237,'Voyage days'!$A$3:$B$1480,2,FALSE))</f>
        <v>East China + 4</v>
      </c>
      <c r="V237" s="115" t="str">
        <f>IF(VLOOKUP(A237,'1) Kpler'!$E$2:$P$1000,8, FALSE)="","",VLOOKUP(A237,'1) Kpler'!$E$2:$P$1000,8, FALSE))</f>
        <v>Ningbo Area</v>
      </c>
      <c r="W237" s="116">
        <f>IF(VLOOKUP(A237,'1) Kpler'!$E$2:$P$1000,9,FALSE)="","",VLOOKUP(A237,'1) Kpler'!$E$2:$P$1000,9,FALSE))</f>
        <v>46136.5</v>
      </c>
      <c r="X237" s="115" t="str">
        <f>VLOOKUP(A237,'1) Kpler'!$E$2:$I$1000,4,FALSE)</f>
        <v>loaded</v>
      </c>
      <c r="Y237" s="117" t="str">
        <f t="shared" si="39"/>
        <v>15-17 May</v>
      </c>
      <c r="Z237" s="117" t="str">
        <f t="shared" si="2"/>
        <v>31-02 Jun</v>
      </c>
      <c r="AA237" s="117" t="str">
        <f t="shared" si="3"/>
        <v>11-13 Jun</v>
      </c>
      <c r="AB237" s="117" t="str">
        <f t="shared" si="4"/>
        <v>26-28 May</v>
      </c>
      <c r="AC237" s="117" t="str">
        <f t="shared" si="5"/>
        <v>02-04 Jun</v>
      </c>
      <c r="AD237" s="117" t="str">
        <f t="shared" si="6"/>
        <v>04-06 May</v>
      </c>
      <c r="AE237" s="118" t="str">
        <f t="shared" si="7"/>
        <v>05-07 May</v>
      </c>
      <c r="AF237" s="119" t="str">
        <f t="shared" si="8"/>
        <v>11-13 Jun</v>
      </c>
      <c r="AG237" s="120" t="str">
        <f t="shared" si="27"/>
        <v>15-17 May</v>
      </c>
      <c r="AH237" s="121">
        <f>IFERROR($M237+VLOOKUP($L237,'Voyage days'!$F$38:$H$89,3,FALSE),"")</f>
        <v>46157</v>
      </c>
      <c r="AI237" s="121">
        <f>IFERROR(N237+VLOOKUP($L237,'Voyage days'!$F$38:$H$89,3,FALSE),"")</f>
        <v>46159</v>
      </c>
      <c r="AJ237" s="120" t="str">
        <f t="shared" si="28"/>
        <v>31-02 Jun</v>
      </c>
      <c r="AK237" s="121">
        <f>IFERROR($M237+VLOOKUP($L237,'Voyage days'!$F$94:$H$193,3,FALSE),"")</f>
        <v>46173</v>
      </c>
      <c r="AL237" s="121">
        <f>IFERROR($N237+VLOOKUP($L237,'Voyage days'!$F$94:$H$193,3,FALSE),"")</f>
        <v>46175</v>
      </c>
      <c r="AM237" s="120" t="str">
        <f t="shared" si="29"/>
        <v>11-13 Jun</v>
      </c>
      <c r="AN237" s="121">
        <f>IFERROR($M237+VLOOKUP($L237,'Voyage days'!$F$203:$H$256,3,FALSE),"")</f>
        <v>46184</v>
      </c>
      <c r="AO237" s="121">
        <f>IFERROR($N237+VLOOKUP($L237,'Voyage days'!$F$203:$H$256,3,FALSE),"")</f>
        <v>46186</v>
      </c>
      <c r="AP237" s="120" t="str">
        <f t="shared" si="30"/>
        <v>26-28 May</v>
      </c>
      <c r="AQ237" s="121">
        <f>IFERROR($M237+VLOOKUP($L237,'Voyage days'!$F$294:$H$377,3,FALSE),"")</f>
        <v>46168</v>
      </c>
      <c r="AR237" s="121">
        <f>IFERROR($N237+VLOOKUP($L237,'Voyage days'!$F$294:$H$377,3,FALSE),"")</f>
        <v>46170</v>
      </c>
      <c r="AS237" s="120" t="str">
        <f t="shared" si="31"/>
        <v>02-04 Jun</v>
      </c>
      <c r="AT237" s="121">
        <f>IFERROR($M237+VLOOKUP($L237,'Voyage days'!$F$382:$H$446,3,FALSE),"")</f>
        <v>46175</v>
      </c>
      <c r="AU237" s="121">
        <f>IFERROR($N237+VLOOKUP($L237,'Voyage days'!$F$382:$H$446,3,FALSE),"")</f>
        <v>46177</v>
      </c>
      <c r="AV237" s="120" t="str">
        <f t="shared" si="32"/>
        <v>12-14 May</v>
      </c>
      <c r="AW237" s="121">
        <f>IFERROR($M237+VLOOKUP($L237,'Voyage days'!$F$483:$H$538,3,FALSE),"")</f>
        <v>46154</v>
      </c>
      <c r="AX237" s="121">
        <f>IFERROR($N237+VLOOKUP($L237,'Voyage days'!$F$483:$H$538,3,FALSE),"")</f>
        <v>46156</v>
      </c>
      <c r="AY237" s="120" t="str">
        <f t="shared" si="33"/>
        <v>05-07 May</v>
      </c>
      <c r="AZ237" s="121">
        <f>IFERROR($M237+VLOOKUP($L237,'Voyage days'!$F$540:$H$613,3,FALSE),"")</f>
        <v>46147.25</v>
      </c>
      <c r="BA237" s="121">
        <f>IFERROR($N237+VLOOKUP($L237,'Voyage days'!$F$540:$H$613,3,FALSE),"")</f>
        <v>46149.25</v>
      </c>
      <c r="BB237" s="120" t="str">
        <f t="shared" si="34"/>
        <v>04-06 May</v>
      </c>
      <c r="BC237" s="121">
        <f>IFERROR($M237+VLOOKUP($L237,'Voyage days'!$F$448:$H$479,3,FALSE),"")</f>
        <v>46146</v>
      </c>
      <c r="BD237" s="121">
        <f>IFERROR($N237+VLOOKUP($L237,'Voyage days'!$F$448:$H$479,3,FALSE),"")</f>
        <v>46148</v>
      </c>
      <c r="BE237" s="120" t="str">
        <f t="shared" si="35"/>
        <v>11-13 May</v>
      </c>
      <c r="BF237" s="122">
        <f>IFERROR($M237+VLOOKUP($L237,'Voyage days'!$F$620:$H$646,3,FALSE),"")</f>
        <v>46153</v>
      </c>
      <c r="BG237" s="122">
        <f>IFERROR($N237+VLOOKUP($L237,'Voyage days'!$F$620:$H$646,3,FALSE),"")</f>
        <v>46155</v>
      </c>
      <c r="BH237" s="120" t="str">
        <f t="shared" si="36"/>
        <v>05-13 Jun</v>
      </c>
      <c r="BI237" s="123">
        <f>IFERROR($M237+VLOOKUP($L237,'Voyage days'!$F$702:$H$727,3,FALSE),"")</f>
        <v>46147.25</v>
      </c>
      <c r="BJ237" s="120" t="str">
        <f t="shared" si="37"/>
        <v>11-13 Jun</v>
      </c>
      <c r="BK237" s="122">
        <f>IFERROR($M237+VLOOKUP($L237,'Voyage days'!$F$807:$H$878,3,FALSE),"")</f>
        <v>46184</v>
      </c>
      <c r="BL237" s="122">
        <f>IFERROR($N237+VLOOKUP($L237,'Voyage days'!$F$807:$H$878,3,FALSE),"")</f>
        <v>46186</v>
      </c>
      <c r="BM237" s="122">
        <f>IFERROR($N237+VLOOKUP($L237,'Voyage days'!$F$807:$K$878,6,FALSE),"")</f>
        <v>46160</v>
      </c>
      <c r="BN237" s="121" t="str">
        <f>if(L237="loads AG", IFERROR($M237+VLOOKUP($L237,'Voyage days'!$M$38:$O$38,3,FALSE),""),"")</f>
        <v/>
      </c>
      <c r="BO237" s="121" t="str">
        <f>if(L237="loads USG", IFERROR($M237+VLOOKUP($L237,'Voyage days'!$L$203:$N$203,3,FALSE),""),"")</f>
        <v/>
      </c>
    </row>
    <row r="238" ht="15.75" customHeight="1">
      <c r="A238" s="298" t="s">
        <v>401</v>
      </c>
      <c r="B238" s="550">
        <v>2023.0</v>
      </c>
      <c r="C238" s="102">
        <v>86000.0</v>
      </c>
      <c r="D238" s="103"/>
      <c r="E238" s="103"/>
      <c r="F238" s="104"/>
      <c r="G238" s="104"/>
      <c r="H238" s="104"/>
      <c r="I238" s="401" t="s">
        <v>1227</v>
      </c>
      <c r="J238" s="106" t="str">
        <f t="shared" si="41"/>
        <v>Update</v>
      </c>
      <c r="K238" s="107"/>
      <c r="L238" s="187" t="s">
        <v>680</v>
      </c>
      <c r="M238" s="457">
        <v>46126.0</v>
      </c>
      <c r="N238" s="109">
        <v>46128.0</v>
      </c>
      <c r="O238" s="191"/>
      <c r="P238" s="108" t="s">
        <v>1242</v>
      </c>
      <c r="Q238" s="111"/>
      <c r="R238" s="108" t="s">
        <v>1243</v>
      </c>
      <c r="S238" s="619" t="s">
        <v>33</v>
      </c>
      <c r="T238" s="293">
        <v>46125.0</v>
      </c>
      <c r="U238" s="114" t="str">
        <f>IF(V238="","No AIS",VLOOKUP(V238,'Voyage days'!$A$3:$B$1480,2,FALSE))</f>
        <v>Caribs</v>
      </c>
      <c r="V238" s="115" t="str">
        <f>IF(VLOOKUP(A238,'1) Kpler'!$E$2:$P$1000,8, FALSE)="","",VLOOKUP(A238,'1) Kpler'!$E$2:$P$1000,8, FALSE))</f>
        <v>Kingston LPG</v>
      </c>
      <c r="W238" s="116">
        <f>IF(VLOOKUP(A238,'1) Kpler'!$E$2:$P$1000,9,FALSE)="","",VLOOKUP(A238,'1) Kpler'!$E$2:$P$1000,9,FALSE))</f>
        <v>46132.125</v>
      </c>
      <c r="X238" s="115" t="str">
        <f>VLOOKUP(A238,'1) Kpler'!$E$2:$I$1000,4,FALSE)</f>
        <v>loaded</v>
      </c>
      <c r="Y238" s="160" t="str">
        <f t="shared" si="39"/>
        <v/>
      </c>
      <c r="Z238" s="160" t="str">
        <f t="shared" si="2"/>
        <v>14-16 Apr</v>
      </c>
      <c r="AA238" s="160" t="str">
        <f t="shared" si="3"/>
        <v>14-16 Apr</v>
      </c>
      <c r="AB238" s="160" t="str">
        <f t="shared" si="4"/>
        <v/>
      </c>
      <c r="AC238" s="160" t="str">
        <f t="shared" si="5"/>
        <v>04-06 May</v>
      </c>
      <c r="AD238" s="160" t="str">
        <f t="shared" si="6"/>
        <v/>
      </c>
      <c r="AE238" s="161" t="str">
        <f t="shared" si="7"/>
        <v/>
      </c>
      <c r="AF238" s="162" t="str">
        <f t="shared" si="8"/>
        <v/>
      </c>
      <c r="AG238" s="120" t="str">
        <f t="shared" si="27"/>
        <v/>
      </c>
      <c r="AH238" s="121" t="str">
        <f>IFERROR($M238+VLOOKUP($L238,'Voyage days'!$F$38:$H$89,3,FALSE),"")</f>
        <v/>
      </c>
      <c r="AI238" s="121" t="str">
        <f>IFERROR(N238+VLOOKUP($L238,'Voyage days'!$F$38:$H$89,3,FALSE),"")</f>
        <v/>
      </c>
      <c r="AJ238" s="120" t="str">
        <f t="shared" si="28"/>
        <v>14-16 Apr</v>
      </c>
      <c r="AK238" s="121">
        <f>IFERROR($M238+VLOOKUP($L238,'Voyage days'!$F$94:$H$193,3,FALSE),"")</f>
        <v>46126</v>
      </c>
      <c r="AL238" s="121">
        <f>IFERROR($N238+VLOOKUP($L238,'Voyage days'!$F$94:$H$193,3,FALSE),"")</f>
        <v>46128</v>
      </c>
      <c r="AM238" s="120" t="str">
        <f t="shared" si="29"/>
        <v>14-16 Apr</v>
      </c>
      <c r="AN238" s="121">
        <f>IFERROR($M238+VLOOKUP($L238,'Voyage days'!$F$203:$H$256,3,FALSE),"")</f>
        <v>46126</v>
      </c>
      <c r="AO238" s="121">
        <f>IFERROR($N238+VLOOKUP($L238,'Voyage days'!$F$203:$H$256,3,FALSE),"")</f>
        <v>46128</v>
      </c>
      <c r="AP238" s="120" t="str">
        <f t="shared" si="30"/>
        <v/>
      </c>
      <c r="AQ238" s="121" t="str">
        <f>IFERROR($M238+VLOOKUP($L238,'Voyage days'!$F$294:$H$377,3,FALSE),"")</f>
        <v/>
      </c>
      <c r="AR238" s="121" t="str">
        <f>IFERROR($N238+VLOOKUP($L238,'Voyage days'!$F$294:$H$377,3,FALSE),"")</f>
        <v/>
      </c>
      <c r="AS238" s="120" t="str">
        <f t="shared" si="31"/>
        <v>04-06 May</v>
      </c>
      <c r="AT238" s="121">
        <f>IFERROR($M238+VLOOKUP($L238,'Voyage days'!$F$382:$H$446,3,FALSE),"")</f>
        <v>46146</v>
      </c>
      <c r="AU238" s="121">
        <f>IFERROR($N238+VLOOKUP($L238,'Voyage days'!$F$382:$H$446,3,FALSE),"")</f>
        <v>46148</v>
      </c>
      <c r="AV238" s="120" t="str">
        <f t="shared" si="32"/>
        <v/>
      </c>
      <c r="AW238" s="121" t="str">
        <f>IFERROR($M238+VLOOKUP($L238,'Voyage days'!$F$483:$H$538,3,FALSE),"")</f>
        <v/>
      </c>
      <c r="AX238" s="121" t="str">
        <f>IFERROR($N238+VLOOKUP($L238,'Voyage days'!$F$483:$H$538,3,FALSE),"")</f>
        <v/>
      </c>
      <c r="AY238" s="120" t="str">
        <f t="shared" si="33"/>
        <v/>
      </c>
      <c r="AZ238" s="121" t="str">
        <f>IFERROR($M238+VLOOKUP($L238,'Voyage days'!$F$540:$H$613,3,FALSE),"")</f>
        <v/>
      </c>
      <c r="BA238" s="121" t="str">
        <f>IFERROR($N238+VLOOKUP($L238,'Voyage days'!$F$540:$H$613,3,FALSE),"")</f>
        <v/>
      </c>
      <c r="BB238" s="120" t="str">
        <f t="shared" si="34"/>
        <v/>
      </c>
      <c r="BC238" s="121" t="str">
        <f>IFERROR($M238+VLOOKUP($L238,'Voyage days'!$F$448:$H$479,3,FALSE),"")</f>
        <v/>
      </c>
      <c r="BD238" s="121" t="str">
        <f>IFERROR($N238+VLOOKUP($L238,'Voyage days'!$F$448:$H$479,3,FALSE),"")</f>
        <v/>
      </c>
      <c r="BE238" s="120" t="str">
        <f t="shared" si="35"/>
        <v/>
      </c>
      <c r="BF238" s="122" t="str">
        <f>IFERROR($M238+VLOOKUP($L238,'Voyage days'!$F$620:$H$646,3,FALSE),"")</f>
        <v/>
      </c>
      <c r="BG238" s="122" t="str">
        <f>IFERROR($N238+VLOOKUP($L238,'Voyage days'!$F$620:$H$646,3,FALSE),"")</f>
        <v/>
      </c>
      <c r="BH238" s="120" t="str">
        <f t="shared" si="36"/>
        <v/>
      </c>
      <c r="BI238" s="123" t="str">
        <f>IFERROR($M238+VLOOKUP($L238,'Voyage days'!$F$702:$H$727,3,FALSE),"")</f>
        <v/>
      </c>
      <c r="BJ238" s="120" t="str">
        <f t="shared" si="37"/>
        <v/>
      </c>
      <c r="BK238" s="122" t="str">
        <f>IFERROR($M238+VLOOKUP($L238,'Voyage days'!$F$807:$H$878,3,FALSE),"")</f>
        <v/>
      </c>
      <c r="BL238" s="122" t="str">
        <f>IFERROR($N238+VLOOKUP($L238,'Voyage days'!$F$807:$H$878,3,FALSE),"")</f>
        <v/>
      </c>
      <c r="BM238" s="122" t="str">
        <f>IFERROR($N238+VLOOKUP($L238,'Voyage days'!$F$807:$K$878,6,FALSE),"")</f>
        <v/>
      </c>
      <c r="BN238" s="121" t="str">
        <f>if(L238="loads AG", IFERROR($M238+VLOOKUP($L238,'Voyage days'!$M$38:$O$38,3,FALSE),""),"")</f>
        <v/>
      </c>
      <c r="BO238" s="121">
        <f>if(L238="loads USG", IFERROR($M238+VLOOKUP($L238,'Voyage days'!$L$203:$N$203,3,FALSE),""),"")</f>
        <v>46158</v>
      </c>
    </row>
    <row r="239" ht="15.75" customHeight="1">
      <c r="A239" s="80" t="s">
        <v>416</v>
      </c>
      <c r="B239" s="148">
        <v>2016.0</v>
      </c>
      <c r="C239" s="102">
        <v>83000.0</v>
      </c>
      <c r="D239" s="103"/>
      <c r="E239" s="103"/>
      <c r="F239" s="104"/>
      <c r="G239" s="104"/>
      <c r="H239" s="104" t="s">
        <v>689</v>
      </c>
      <c r="I239" s="401" t="s">
        <v>1227</v>
      </c>
      <c r="J239" s="336" t="str">
        <f t="shared" si="41"/>
        <v/>
      </c>
      <c r="K239" s="107"/>
      <c r="L239" s="108" t="s">
        <v>1085</v>
      </c>
      <c r="M239" s="109">
        <v>46137.0</v>
      </c>
      <c r="N239" s="109">
        <v>46142.0</v>
      </c>
      <c r="O239" s="191"/>
      <c r="P239" s="108" t="s">
        <v>1244</v>
      </c>
      <c r="Q239" s="108"/>
      <c r="R239" s="108" t="s">
        <v>1245</v>
      </c>
      <c r="S239" s="619" t="s">
        <v>659</v>
      </c>
      <c r="T239" s="113">
        <v>46125.0</v>
      </c>
      <c r="U239" s="114" t="str">
        <f>IF(V239="","No AIS",VLOOKUP(V239,'Voyage days'!$A$3:$B$1480,2,FALSE))</f>
        <v>WCI + 5</v>
      </c>
      <c r="V239" s="115" t="str">
        <f>IF(VLOOKUP(A239,'1) Kpler'!$E$2:$P$1000,8, FALSE)="","",VLOOKUP(A239,'1) Kpler'!$E$2:$P$1000,8, FALSE))</f>
        <v>Mangalore</v>
      </c>
      <c r="W239" s="116">
        <f>IF(VLOOKUP(A239,'1) Kpler'!$E$2:$P$1000,9,FALSE)="","",VLOOKUP(A239,'1) Kpler'!$E$2:$P$1000,9,FALSE))</f>
        <v>46134.20833</v>
      </c>
      <c r="X239" s="115" t="str">
        <f>VLOOKUP(A239,'1) Kpler'!$E$2:$I$1000,4,FALSE)</f>
        <v>loaded</v>
      </c>
      <c r="Y239" s="117" t="str">
        <f t="shared" si="39"/>
        <v>30-05 May</v>
      </c>
      <c r="Z239" s="117" t="str">
        <f t="shared" si="2"/>
        <v/>
      </c>
      <c r="AA239" s="117" t="str">
        <f t="shared" si="3"/>
        <v>27-01 Jun</v>
      </c>
      <c r="AB239" s="117" t="str">
        <f t="shared" si="4"/>
        <v>14-19 May</v>
      </c>
      <c r="AC239" s="117" t="str">
        <f t="shared" si="5"/>
        <v>08-13 May</v>
      </c>
      <c r="AD239" s="117" t="str">
        <f t="shared" si="6"/>
        <v/>
      </c>
      <c r="AE239" s="118" t="str">
        <f t="shared" si="7"/>
        <v/>
      </c>
      <c r="AF239" s="119" t="str">
        <f t="shared" si="8"/>
        <v>30-04 Jun</v>
      </c>
      <c r="AG239" s="120" t="str">
        <f t="shared" si="27"/>
        <v>30-05 May</v>
      </c>
      <c r="AH239" s="121">
        <f>IFERROR($M239+VLOOKUP($L239,'Voyage days'!$F$38:$H$89,3,FALSE),"")</f>
        <v>46142</v>
      </c>
      <c r="AI239" s="121">
        <f>IFERROR(N239+VLOOKUP($L239,'Voyage days'!$F$38:$H$89,3,FALSE),"")</f>
        <v>46147</v>
      </c>
      <c r="AJ239" s="120" t="str">
        <f t="shared" si="28"/>
        <v/>
      </c>
      <c r="AK239" s="121" t="str">
        <f>IFERROR($M239+VLOOKUP($L239,'Voyage days'!$F$94:$H$193,3,FALSE),"")</f>
        <v/>
      </c>
      <c r="AL239" s="121" t="str">
        <f>IFERROR($N239+VLOOKUP($L239,'Voyage days'!$F$94:$H$193,3,FALSE),"")</f>
        <v/>
      </c>
      <c r="AM239" s="120" t="str">
        <f t="shared" si="29"/>
        <v>27-01 Jun</v>
      </c>
      <c r="AN239" s="121">
        <f>IFERROR($M239+VLOOKUP($L239,'Voyage days'!$F$203:$H$256,3,FALSE),"")</f>
        <v>46169</v>
      </c>
      <c r="AO239" s="121">
        <f>IFERROR($N239+VLOOKUP($L239,'Voyage days'!$F$203:$H$256,3,FALSE),"")</f>
        <v>46174</v>
      </c>
      <c r="AP239" s="120" t="str">
        <f t="shared" si="30"/>
        <v>14-19 May</v>
      </c>
      <c r="AQ239" s="121">
        <f>IFERROR($M239+VLOOKUP($L239,'Voyage days'!$F$294:$H$377,3,FALSE),"")</f>
        <v>46156</v>
      </c>
      <c r="AR239" s="121">
        <f>IFERROR($N239+VLOOKUP($L239,'Voyage days'!$F$294:$H$377,3,FALSE),"")</f>
        <v>46161</v>
      </c>
      <c r="AS239" s="120" t="str">
        <f t="shared" si="31"/>
        <v>08-13 May</v>
      </c>
      <c r="AT239" s="121">
        <f>IFERROR($M239+VLOOKUP($L239,'Voyage days'!$F$382:$H$446,3,FALSE),"")</f>
        <v>46150</v>
      </c>
      <c r="AU239" s="121">
        <f>IFERROR($N239+VLOOKUP($L239,'Voyage days'!$F$382:$H$446,3,FALSE),"")</f>
        <v>46155</v>
      </c>
      <c r="AV239" s="120" t="str">
        <f t="shared" si="32"/>
        <v/>
      </c>
      <c r="AW239" s="121" t="str">
        <f>IFERROR($M239+VLOOKUP($L239,'Voyage days'!$F$483:$H$538,3,FALSE),"")</f>
        <v/>
      </c>
      <c r="AX239" s="121" t="str">
        <f>IFERROR($N239+VLOOKUP($L239,'Voyage days'!$F$483:$H$538,3,FALSE),"")</f>
        <v/>
      </c>
      <c r="AY239" s="120" t="str">
        <f t="shared" si="33"/>
        <v/>
      </c>
      <c r="AZ239" s="121" t="str">
        <f>IFERROR($M239+VLOOKUP($L239,'Voyage days'!$F$540:$H$613,3,FALSE),"")</f>
        <v/>
      </c>
      <c r="BA239" s="121" t="str">
        <f>IFERROR($N239+VLOOKUP($L239,'Voyage days'!$F$540:$H$613,3,FALSE),"")</f>
        <v/>
      </c>
      <c r="BB239" s="120" t="str">
        <f t="shared" si="34"/>
        <v/>
      </c>
      <c r="BC239" s="121" t="str">
        <f>IFERROR($M239+VLOOKUP($L239,'Voyage days'!$F$448:$H$479,3,FALSE),"")</f>
        <v/>
      </c>
      <c r="BD239" s="121" t="str">
        <f>IFERROR($N239+VLOOKUP($L239,'Voyage days'!$F$448:$H$479,3,FALSE),"")</f>
        <v/>
      </c>
      <c r="BE239" s="120" t="str">
        <f t="shared" si="35"/>
        <v/>
      </c>
      <c r="BF239" s="122" t="str">
        <f>IFERROR($M239+VLOOKUP($L239,'Voyage days'!$F$620:$H$646,3,FALSE),"")</f>
        <v/>
      </c>
      <c r="BG239" s="122" t="str">
        <f>IFERROR($N239+VLOOKUP($L239,'Voyage days'!$F$620:$H$646,3,FALSE),"")</f>
        <v/>
      </c>
      <c r="BH239" s="120" t="str">
        <f t="shared" si="36"/>
        <v/>
      </c>
      <c r="BI239" s="123" t="str">
        <f>IFERROR($M239+VLOOKUP($L239,'Voyage days'!$F$702:$H$727,3,FALSE),"")</f>
        <v/>
      </c>
      <c r="BJ239" s="120" t="str">
        <f t="shared" si="37"/>
        <v>30-04 Jun</v>
      </c>
      <c r="BK239" s="122">
        <f>IFERROR($M239+VLOOKUP($L239,'Voyage days'!$F$807:$H$878,3,FALSE),"")</f>
        <v>46172</v>
      </c>
      <c r="BL239" s="122">
        <f>IFERROR($N239+VLOOKUP($L239,'Voyage days'!$F$807:$H$878,3,FALSE),"")</f>
        <v>46177</v>
      </c>
      <c r="BM239" s="122">
        <f>IFERROR($N239+VLOOKUP($L239,'Voyage days'!$F$807:$K$878,6,FALSE),"")</f>
        <v>46149</v>
      </c>
      <c r="BN239" s="121" t="str">
        <f>if(L239="loads AG", IFERROR($M239+VLOOKUP($L239,'Voyage days'!$M$38:$O$38,3,FALSE),""),"")</f>
        <v/>
      </c>
      <c r="BO239" s="121" t="str">
        <f>if(L239="loads USG", IFERROR($M239+VLOOKUP($L239,'Voyage days'!$L$203:$N$203,3,FALSE),""),"")</f>
        <v/>
      </c>
    </row>
    <row r="240" ht="15.75" customHeight="1">
      <c r="A240" s="80" t="s">
        <v>415</v>
      </c>
      <c r="B240" s="148">
        <v>2022.0</v>
      </c>
      <c r="C240" s="102">
        <v>91000.0</v>
      </c>
      <c r="D240" s="103"/>
      <c r="E240" s="103"/>
      <c r="F240" s="104"/>
      <c r="G240" s="104"/>
      <c r="H240" s="104" t="s">
        <v>666</v>
      </c>
      <c r="I240" s="401" t="s">
        <v>1227</v>
      </c>
      <c r="J240" s="336" t="str">
        <f t="shared" si="41"/>
        <v>Update</v>
      </c>
      <c r="K240" s="107"/>
      <c r="L240" s="108" t="s">
        <v>812</v>
      </c>
      <c r="M240" s="109">
        <v>46150.0</v>
      </c>
      <c r="N240" s="109">
        <v>46151.0</v>
      </c>
      <c r="O240" s="191"/>
      <c r="P240" s="108" t="s">
        <v>1246</v>
      </c>
      <c r="Q240" s="108"/>
      <c r="R240" s="108" t="s">
        <v>1247</v>
      </c>
      <c r="S240" s="619" t="s">
        <v>659</v>
      </c>
      <c r="T240" s="113">
        <v>46125.0</v>
      </c>
      <c r="U240" s="114" t="str">
        <f>IF(V240="","No AIS",VLOOKUP(V240,'Voyage days'!$A$3:$B$1480,2,FALSE))</f>
        <v>Port Louis</v>
      </c>
      <c r="V240" s="115" t="str">
        <f>IF(VLOOKUP(A240,'1) Kpler'!$E$2:$P$1000,8, FALSE)="","",VLOOKUP(A240,'1) Kpler'!$E$2:$P$1000,8, FALSE))</f>
        <v>Port Louis</v>
      </c>
      <c r="W240" s="116">
        <f>IF(VLOOKUP(A240,'1) Kpler'!$E$2:$P$1000,9,FALSE)="","",VLOOKUP(A240,'1) Kpler'!$E$2:$P$1000,9,FALSE))</f>
        <v>46151.20833</v>
      </c>
      <c r="X240" s="115" t="str">
        <f>VLOOKUP(A240,'1) Kpler'!$E$2:$I$1000,4,FALSE)</f>
        <v>loaded</v>
      </c>
      <c r="Y240" s="160" t="str">
        <f t="shared" si="39"/>
        <v>03-04 Jun</v>
      </c>
      <c r="Z240" s="160" t="str">
        <f t="shared" si="2"/>
        <v>23-24 Jun</v>
      </c>
      <c r="AA240" s="160" t="str">
        <f t="shared" si="3"/>
        <v>01-02 Jul</v>
      </c>
      <c r="AB240" s="160" t="str">
        <f t="shared" si="4"/>
        <v>14-15 Jun</v>
      </c>
      <c r="AC240" s="160" t="str">
        <f t="shared" si="5"/>
        <v>22-23 Jun</v>
      </c>
      <c r="AD240" s="160" t="str">
        <f t="shared" si="6"/>
        <v>25-26 May</v>
      </c>
      <c r="AE240" s="161" t="str">
        <f t="shared" si="7"/>
        <v>28-29 May</v>
      </c>
      <c r="AF240" s="162" t="str">
        <f t="shared" si="8"/>
        <v>30-01 Jul</v>
      </c>
      <c r="AG240" s="120" t="str">
        <f t="shared" si="27"/>
        <v>03-04 Jun</v>
      </c>
      <c r="AH240" s="121">
        <f>IFERROR($M240+VLOOKUP($L240,'Voyage days'!$F$38:$H$89,3,FALSE),"")</f>
        <v>46176</v>
      </c>
      <c r="AI240" s="121">
        <f>IFERROR(N240+VLOOKUP($L240,'Voyage days'!$F$38:$H$89,3,FALSE),"")</f>
        <v>46177</v>
      </c>
      <c r="AJ240" s="120" t="str">
        <f t="shared" si="28"/>
        <v>23-24 Jun</v>
      </c>
      <c r="AK240" s="121">
        <f>IFERROR($M240+VLOOKUP($L240,'Voyage days'!$F$94:$H$193,3,FALSE),"")</f>
        <v>46196</v>
      </c>
      <c r="AL240" s="121">
        <f>IFERROR($N240+VLOOKUP($L240,'Voyage days'!$F$94:$H$193,3,FALSE),"")</f>
        <v>46197</v>
      </c>
      <c r="AM240" s="120" t="str">
        <f t="shared" si="29"/>
        <v>01-02 Jul</v>
      </c>
      <c r="AN240" s="121">
        <f>IFERROR($M240+VLOOKUP($L240,'Voyage days'!$F$203:$H$256,3,FALSE),"")</f>
        <v>46204</v>
      </c>
      <c r="AO240" s="121">
        <f>IFERROR($N240+VLOOKUP($L240,'Voyage days'!$F$203:$H$256,3,FALSE),"")</f>
        <v>46205</v>
      </c>
      <c r="AP240" s="120" t="str">
        <f t="shared" si="30"/>
        <v>14-15 Jun</v>
      </c>
      <c r="AQ240" s="121">
        <f>IFERROR($M240+VLOOKUP($L240,'Voyage days'!$F$294:$H$377,3,FALSE),"")</f>
        <v>46187</v>
      </c>
      <c r="AR240" s="121">
        <f>IFERROR($N240+VLOOKUP($L240,'Voyage days'!$F$294:$H$377,3,FALSE),"")</f>
        <v>46188</v>
      </c>
      <c r="AS240" s="120" t="str">
        <f t="shared" si="31"/>
        <v>22-23 Jun</v>
      </c>
      <c r="AT240" s="121">
        <f>IFERROR($M240+VLOOKUP($L240,'Voyage days'!$F$382:$H$446,3,FALSE),"")</f>
        <v>46195</v>
      </c>
      <c r="AU240" s="121">
        <f>IFERROR($N240+VLOOKUP($L240,'Voyage days'!$F$382:$H$446,3,FALSE),"")</f>
        <v>46196</v>
      </c>
      <c r="AV240" s="120" t="str">
        <f t="shared" si="32"/>
        <v>05-06 Jun</v>
      </c>
      <c r="AW240" s="121">
        <f>IFERROR($M240+VLOOKUP($L240,'Voyage days'!$F$483:$H$538,3,FALSE),"")</f>
        <v>46178</v>
      </c>
      <c r="AX240" s="121">
        <f>IFERROR($N240+VLOOKUP($L240,'Voyage days'!$F$483:$H$538,3,FALSE),"")</f>
        <v>46179</v>
      </c>
      <c r="AY240" s="120" t="str">
        <f t="shared" si="33"/>
        <v>28-29 May</v>
      </c>
      <c r="AZ240" s="121">
        <f>IFERROR($M240+VLOOKUP($L240,'Voyage days'!$F$540:$H$613,3,FALSE),"")</f>
        <v>46170</v>
      </c>
      <c r="BA240" s="121">
        <f>IFERROR($N240+VLOOKUP($L240,'Voyage days'!$F$540:$H$613,3,FALSE),"")</f>
        <v>46171</v>
      </c>
      <c r="BB240" s="120" t="str">
        <f t="shared" si="34"/>
        <v>25-26 May</v>
      </c>
      <c r="BC240" s="121">
        <f>IFERROR($M240+VLOOKUP($L240,'Voyage days'!$F$448:$H$479,3,FALSE),"")</f>
        <v>46167</v>
      </c>
      <c r="BD240" s="121">
        <f>IFERROR($N240+VLOOKUP($L240,'Voyage days'!$F$448:$H$479,3,FALSE),"")</f>
        <v>46168</v>
      </c>
      <c r="BE240" s="120" t="str">
        <f t="shared" si="35"/>
        <v/>
      </c>
      <c r="BF240" s="122" t="str">
        <f>IFERROR($M240+VLOOKUP($L240,'Voyage days'!$F$620:$H$646,3,FALSE),"")</f>
        <v/>
      </c>
      <c r="BG240" s="122" t="str">
        <f>IFERROR($N240+VLOOKUP($L240,'Voyage days'!$F$620:$H$646,3,FALSE),"")</f>
        <v/>
      </c>
      <c r="BH240" s="120" t="str">
        <f t="shared" si="36"/>
        <v/>
      </c>
      <c r="BI240" s="123" t="str">
        <f>IFERROR($M240+VLOOKUP($L240,'Voyage days'!$F$702:$H$727,3,FALSE),"")</f>
        <v/>
      </c>
      <c r="BJ240" s="120" t="str">
        <f t="shared" si="37"/>
        <v>30-01 Jul</v>
      </c>
      <c r="BK240" s="122">
        <f>IFERROR($M240+VLOOKUP($L240,'Voyage days'!$F$807:$H$878,3,FALSE),"")</f>
        <v>46203</v>
      </c>
      <c r="BL240" s="122">
        <f>IFERROR($N240+VLOOKUP($L240,'Voyage days'!$F$807:$H$878,3,FALSE),"")</f>
        <v>46204</v>
      </c>
      <c r="BM240" s="122">
        <f>IFERROR($N240+VLOOKUP($L240,'Voyage days'!$F$807:$K$878,6,FALSE),"")</f>
        <v>46151</v>
      </c>
      <c r="BN240" s="121" t="str">
        <f>if(L240="loads AG", IFERROR($M240+VLOOKUP($L240,'Voyage days'!$M$38:$O$38,3,FALSE),""),"")</f>
        <v/>
      </c>
      <c r="BO240" s="121" t="str">
        <f>if(L240="loads USG", IFERROR($M240+VLOOKUP($L240,'Voyage days'!$L$203:$N$203,3,FALSE),""),"")</f>
        <v/>
      </c>
    </row>
    <row r="241" ht="15.75" customHeight="1">
      <c r="A241" s="406" t="s">
        <v>423</v>
      </c>
      <c r="B241" s="550">
        <v>2023.0</v>
      </c>
      <c r="C241" s="102">
        <v>86000.0</v>
      </c>
      <c r="D241" s="103"/>
      <c r="E241" s="103"/>
      <c r="F241" s="104"/>
      <c r="G241" s="104"/>
      <c r="H241" s="104" t="s">
        <v>666</v>
      </c>
      <c r="I241" s="401" t="s">
        <v>1227</v>
      </c>
      <c r="J241" s="106" t="str">
        <f t="shared" si="41"/>
        <v/>
      </c>
      <c r="K241" s="107"/>
      <c r="L241" s="108" t="s">
        <v>668</v>
      </c>
      <c r="M241" s="109">
        <v>46147.0</v>
      </c>
      <c r="N241" s="109">
        <v>46148.0</v>
      </c>
      <c r="O241" s="191"/>
      <c r="P241" s="153" t="s">
        <v>1248</v>
      </c>
      <c r="Q241" s="111"/>
      <c r="R241" s="108" t="s">
        <v>1249</v>
      </c>
      <c r="S241" s="619" t="s">
        <v>33</v>
      </c>
      <c r="T241" s="113">
        <v>46125.0</v>
      </c>
      <c r="U241" s="114" t="str">
        <f>IF(V241="","No AIS",VLOOKUP(V241,'Voyage days'!$A$3:$B$1480,2,FALSE))</f>
        <v>Japan + 6</v>
      </c>
      <c r="V241" s="115" t="str">
        <f>IF(VLOOKUP(A241,'1) Kpler'!$E$2:$P$1000,8, FALSE)="","",VLOOKUP(A241,'1) Kpler'!$E$2:$P$1000,8, FALSE))</f>
        <v>Chiba</v>
      </c>
      <c r="W241" s="116">
        <f>IF(VLOOKUP(A241,'1) Kpler'!$E$2:$P$1000,9,FALSE)="","",VLOOKUP(A241,'1) Kpler'!$E$2:$P$1000,9,FALSE))</f>
        <v>46141.04167</v>
      </c>
      <c r="X241" s="115" t="str">
        <f>VLOOKUP(A241,'1) Kpler'!$E$2:$I$1000,4,FALSE)</f>
        <v>loaded</v>
      </c>
      <c r="Y241" s="160" t="str">
        <f t="shared" si="39"/>
        <v>23-24 May</v>
      </c>
      <c r="Z241" s="160" t="str">
        <f t="shared" si="2"/>
        <v>06-07 Jun</v>
      </c>
      <c r="AA241" s="160" t="str">
        <f t="shared" si="3"/>
        <v>16-17 Jun</v>
      </c>
      <c r="AB241" s="160" t="str">
        <f t="shared" si="4"/>
        <v>04-05 Jun</v>
      </c>
      <c r="AC241" s="160" t="str">
        <f t="shared" si="5"/>
        <v>10-11 Jun</v>
      </c>
      <c r="AD241" s="160" t="str">
        <f t="shared" si="6"/>
        <v>13-14 May</v>
      </c>
      <c r="AE241" s="161" t="str">
        <f t="shared" si="7"/>
        <v>13-14 May</v>
      </c>
      <c r="AF241" s="162" t="str">
        <f t="shared" si="8"/>
        <v>20-21 Jun</v>
      </c>
      <c r="AG241" s="120" t="str">
        <f t="shared" si="27"/>
        <v>23-24 May</v>
      </c>
      <c r="AH241" s="121">
        <f>IFERROR($M241+VLOOKUP($L241,'Voyage days'!$F$38:$H$89,3,FALSE),"")</f>
        <v>46165</v>
      </c>
      <c r="AI241" s="121">
        <f>IFERROR(N241+VLOOKUP($L241,'Voyage days'!$F$38:$H$89,3,FALSE),"")</f>
        <v>46166</v>
      </c>
      <c r="AJ241" s="120" t="str">
        <f t="shared" si="28"/>
        <v>06-07 Jun</v>
      </c>
      <c r="AK241" s="121">
        <f>IFERROR($M241+VLOOKUP($L241,'Voyage days'!$F$94:$H$193,3,FALSE),"")</f>
        <v>46179</v>
      </c>
      <c r="AL241" s="121">
        <f>IFERROR($N241+VLOOKUP($L241,'Voyage days'!$F$94:$H$193,3,FALSE),"")</f>
        <v>46180</v>
      </c>
      <c r="AM241" s="120" t="str">
        <f t="shared" si="29"/>
        <v>16-17 Jun</v>
      </c>
      <c r="AN241" s="121">
        <f>IFERROR($M241+VLOOKUP($L241,'Voyage days'!$F$203:$H$256,3,FALSE),"")</f>
        <v>46189</v>
      </c>
      <c r="AO241" s="121">
        <f>IFERROR($N241+VLOOKUP($L241,'Voyage days'!$F$203:$H$256,3,FALSE),"")</f>
        <v>46190</v>
      </c>
      <c r="AP241" s="120" t="str">
        <f t="shared" si="30"/>
        <v>04-05 Jun</v>
      </c>
      <c r="AQ241" s="121">
        <f>IFERROR($M241+VLOOKUP($L241,'Voyage days'!$F$294:$H$377,3,FALSE),"")</f>
        <v>46177</v>
      </c>
      <c r="AR241" s="121">
        <f>IFERROR($N241+VLOOKUP($L241,'Voyage days'!$F$294:$H$377,3,FALSE),"")</f>
        <v>46178</v>
      </c>
      <c r="AS241" s="120" t="str">
        <f t="shared" si="31"/>
        <v>10-11 Jun</v>
      </c>
      <c r="AT241" s="121">
        <f>IFERROR($M241+VLOOKUP($L241,'Voyage days'!$F$382:$H$446,3,FALSE),"")</f>
        <v>46183</v>
      </c>
      <c r="AU241" s="121">
        <f>IFERROR($N241+VLOOKUP($L241,'Voyage days'!$F$382:$H$446,3,FALSE),"")</f>
        <v>46184</v>
      </c>
      <c r="AV241" s="120" t="str">
        <f t="shared" si="32"/>
        <v>18-19 May</v>
      </c>
      <c r="AW241" s="121">
        <f>IFERROR($M241+VLOOKUP($L241,'Voyage days'!$F$483:$H$538,3,FALSE),"")</f>
        <v>46160</v>
      </c>
      <c r="AX241" s="121">
        <f>IFERROR($N241+VLOOKUP($L241,'Voyage days'!$F$483:$H$538,3,FALSE),"")</f>
        <v>46161</v>
      </c>
      <c r="AY241" s="120" t="str">
        <f t="shared" si="33"/>
        <v>13-14 May</v>
      </c>
      <c r="AZ241" s="121">
        <f>IFERROR($M241+VLOOKUP($L241,'Voyage days'!$F$540:$H$613,3,FALSE),"")</f>
        <v>46155.25</v>
      </c>
      <c r="BA241" s="121">
        <f>IFERROR($N241+VLOOKUP($L241,'Voyage days'!$F$540:$H$613,3,FALSE),"")</f>
        <v>46156.25</v>
      </c>
      <c r="BB241" s="120" t="str">
        <f t="shared" si="34"/>
        <v>13-14 May</v>
      </c>
      <c r="BC241" s="121">
        <f>IFERROR($M241+VLOOKUP($L241,'Voyage days'!$F$448:$H$479,3,FALSE),"")</f>
        <v>46155</v>
      </c>
      <c r="BD241" s="121">
        <f>IFERROR($N241+VLOOKUP($L241,'Voyage days'!$F$448:$H$479,3,FALSE),"")</f>
        <v>46156</v>
      </c>
      <c r="BE241" s="120" t="str">
        <f t="shared" si="35"/>
        <v>16-17 May</v>
      </c>
      <c r="BF241" s="122">
        <f>IFERROR($M241+VLOOKUP($L241,'Voyage days'!$F$620:$H$646,3,FALSE),"")</f>
        <v>46158</v>
      </c>
      <c r="BG241" s="122">
        <f>IFERROR($N241+VLOOKUP($L241,'Voyage days'!$F$620:$H$646,3,FALSE),"")</f>
        <v>46159</v>
      </c>
      <c r="BH241" s="120" t="str">
        <f t="shared" si="36"/>
        <v>13-21 Jun</v>
      </c>
      <c r="BI241" s="123">
        <f>IFERROR($M241+VLOOKUP($L241,'Voyage days'!$F$702:$H$727,3,FALSE),"")</f>
        <v>46155.25</v>
      </c>
      <c r="BJ241" s="120" t="str">
        <f t="shared" si="37"/>
        <v>20-21 Jun</v>
      </c>
      <c r="BK241" s="122">
        <f>IFERROR($M241+VLOOKUP($L241,'Voyage days'!$F$807:$H$878,3,FALSE),"")</f>
        <v>46193</v>
      </c>
      <c r="BL241" s="122">
        <f>IFERROR($N241+VLOOKUP($L241,'Voyage days'!$F$807:$H$878,3,FALSE),"")</f>
        <v>46194</v>
      </c>
      <c r="BM241" s="122">
        <f>IFERROR($N241+VLOOKUP($L241,'Voyage days'!$F$807:$K$878,6,FALSE),"")</f>
        <v>46168</v>
      </c>
      <c r="BN241" s="121" t="str">
        <f>if(L241="loads AG", IFERROR($M241+VLOOKUP($L241,'Voyage days'!$M$38:$O$38,3,FALSE),""),"")</f>
        <v/>
      </c>
      <c r="BO241" s="121" t="str">
        <f>if(L241="loads USG", IFERROR($M241+VLOOKUP($L241,'Voyage days'!$L$203:$N$203,3,FALSE),""),"")</f>
        <v/>
      </c>
    </row>
    <row r="242" ht="15.75" customHeight="1">
      <c r="A242" s="406" t="s">
        <v>440</v>
      </c>
      <c r="B242" s="101">
        <v>43586.0</v>
      </c>
      <c r="C242" s="549">
        <v>80000.0</v>
      </c>
      <c r="D242" s="103"/>
      <c r="E242" s="103"/>
      <c r="F242" s="104"/>
      <c r="G242" s="104"/>
      <c r="H242" s="104" t="s">
        <v>689</v>
      </c>
      <c r="I242" s="401" t="s">
        <v>1227</v>
      </c>
      <c r="J242" s="106" t="str">
        <f t="shared" si="41"/>
        <v>NO AIS</v>
      </c>
      <c r="K242" s="205"/>
      <c r="L242" s="108" t="s">
        <v>680</v>
      </c>
      <c r="M242" s="109">
        <v>46118.0</v>
      </c>
      <c r="N242" s="109">
        <v>46120.0</v>
      </c>
      <c r="O242" s="191"/>
      <c r="P242" s="153" t="s">
        <v>1250</v>
      </c>
      <c r="Q242" s="108"/>
      <c r="R242" s="108" t="s">
        <v>1251</v>
      </c>
      <c r="S242" s="619" t="s">
        <v>33</v>
      </c>
      <c r="T242" s="113">
        <v>46125.0</v>
      </c>
      <c r="U242" s="114" t="str">
        <f>IF(V242="","No AIS",VLOOKUP(V242,'Voyage days'!$A$3:$B$1480,2,FALSE))</f>
        <v>No AIS</v>
      </c>
      <c r="V242" s="115" t="str">
        <f>IF(VLOOKUP(A242,'1) Kpler'!$E$2:$P$1000,8, FALSE)="","",VLOOKUP(A242,'1) Kpler'!$E$2:$P$1000,8, FALSE))</f>
        <v/>
      </c>
      <c r="W242" s="116" t="str">
        <f>IF(VLOOKUP(A242,'1) Kpler'!$E$2:$P$1000,9,FALSE)="","",VLOOKUP(A242,'1) Kpler'!$E$2:$P$1000,9,FALSE))</f>
        <v/>
      </c>
      <c r="X242" s="115" t="str">
        <f>VLOOKUP(A242,'1) Kpler'!$E$2:$I$1000,4,FALSE)</f>
        <v>ballast</v>
      </c>
      <c r="Y242" s="117" t="str">
        <f t="shared" si="39"/>
        <v/>
      </c>
      <c r="Z242" s="117" t="str">
        <f t="shared" si="2"/>
        <v>06-08 Apr</v>
      </c>
      <c r="AA242" s="117" t="str">
        <f t="shared" si="3"/>
        <v>06-08 Apr</v>
      </c>
      <c r="AB242" s="117" t="str">
        <f t="shared" si="4"/>
        <v/>
      </c>
      <c r="AC242" s="117" t="str">
        <f t="shared" si="5"/>
        <v>26-28 Apr</v>
      </c>
      <c r="AD242" s="117" t="str">
        <f t="shared" si="6"/>
        <v/>
      </c>
      <c r="AE242" s="118" t="str">
        <f t="shared" si="7"/>
        <v/>
      </c>
      <c r="AF242" s="119" t="str">
        <f t="shared" si="8"/>
        <v/>
      </c>
      <c r="AG242" s="120" t="str">
        <f t="shared" si="27"/>
        <v/>
      </c>
      <c r="AH242" s="121" t="str">
        <f>IFERROR($M242+VLOOKUP($L242,'Voyage days'!$F$38:$H$89,3,FALSE),"")</f>
        <v/>
      </c>
      <c r="AI242" s="121" t="str">
        <f>IFERROR(N242+VLOOKUP($L242,'Voyage days'!$F$38:$H$89,3,FALSE),"")</f>
        <v/>
      </c>
      <c r="AJ242" s="120" t="str">
        <f t="shared" si="28"/>
        <v>06-08 Apr</v>
      </c>
      <c r="AK242" s="121">
        <f>IFERROR($M242+VLOOKUP($L242,'Voyage days'!$F$94:$H$193,3,FALSE),"")</f>
        <v>46118</v>
      </c>
      <c r="AL242" s="121">
        <f>IFERROR($N242+VLOOKUP($L242,'Voyage days'!$F$94:$H$193,3,FALSE),"")</f>
        <v>46120</v>
      </c>
      <c r="AM242" s="120" t="str">
        <f t="shared" si="29"/>
        <v>06-08 Apr</v>
      </c>
      <c r="AN242" s="121">
        <f>IFERROR($M242+VLOOKUP($L242,'Voyage days'!$F$203:$H$256,3,FALSE),"")</f>
        <v>46118</v>
      </c>
      <c r="AO242" s="121">
        <f>IFERROR($N242+VLOOKUP($L242,'Voyage days'!$F$203:$H$256,3,FALSE),"")</f>
        <v>46120</v>
      </c>
      <c r="AP242" s="120" t="str">
        <f t="shared" si="30"/>
        <v/>
      </c>
      <c r="AQ242" s="121" t="str">
        <f>IFERROR($M242+VLOOKUP($L242,'Voyage days'!$F$294:$H$377,3,FALSE),"")</f>
        <v/>
      </c>
      <c r="AR242" s="121" t="str">
        <f>IFERROR($N242+VLOOKUP($L242,'Voyage days'!$F$294:$H$377,3,FALSE),"")</f>
        <v/>
      </c>
      <c r="AS242" s="120" t="str">
        <f t="shared" si="31"/>
        <v>26-28 Apr</v>
      </c>
      <c r="AT242" s="121">
        <f>IFERROR($M242+VLOOKUP($L242,'Voyage days'!$F$382:$H$446,3,FALSE),"")</f>
        <v>46138</v>
      </c>
      <c r="AU242" s="121">
        <f>IFERROR($N242+VLOOKUP($L242,'Voyage days'!$F$382:$H$446,3,FALSE),"")</f>
        <v>46140</v>
      </c>
      <c r="AV242" s="120" t="str">
        <f t="shared" si="32"/>
        <v/>
      </c>
      <c r="AW242" s="121" t="str">
        <f>IFERROR($M242+VLOOKUP($L242,'Voyage days'!$F$483:$H$538,3,FALSE),"")</f>
        <v/>
      </c>
      <c r="AX242" s="121" t="str">
        <f>IFERROR($N242+VLOOKUP($L242,'Voyage days'!$F$483:$H$538,3,FALSE),"")</f>
        <v/>
      </c>
      <c r="AY242" s="120" t="str">
        <f t="shared" si="33"/>
        <v/>
      </c>
      <c r="AZ242" s="121" t="str">
        <f>IFERROR($M242+VLOOKUP($L242,'Voyage days'!$F$540:$H$613,3,FALSE),"")</f>
        <v/>
      </c>
      <c r="BA242" s="121" t="str">
        <f>IFERROR($N242+VLOOKUP($L242,'Voyage days'!$F$540:$H$613,3,FALSE),"")</f>
        <v/>
      </c>
      <c r="BB242" s="120" t="str">
        <f t="shared" si="34"/>
        <v/>
      </c>
      <c r="BC242" s="121" t="str">
        <f>IFERROR($M242+VLOOKUP($L242,'Voyage days'!$F$448:$H$479,3,FALSE),"")</f>
        <v/>
      </c>
      <c r="BD242" s="121" t="str">
        <f>IFERROR($N242+VLOOKUP($L242,'Voyage days'!$F$448:$H$479,3,FALSE),"")</f>
        <v/>
      </c>
      <c r="BE242" s="120" t="str">
        <f t="shared" si="35"/>
        <v/>
      </c>
      <c r="BF242" s="122" t="str">
        <f>IFERROR($M242+VLOOKUP($L242,'Voyage days'!$F$620:$H$646,3,FALSE),"")</f>
        <v/>
      </c>
      <c r="BG242" s="122" t="str">
        <f>IFERROR($N242+VLOOKUP($L242,'Voyage days'!$F$620:$H$646,3,FALSE),"")</f>
        <v/>
      </c>
      <c r="BH242" s="120" t="str">
        <f t="shared" si="36"/>
        <v/>
      </c>
      <c r="BI242" s="123" t="str">
        <f>IFERROR($M242+VLOOKUP($L242,'Voyage days'!$F$702:$H$727,3,FALSE),"")</f>
        <v/>
      </c>
      <c r="BJ242" s="120" t="str">
        <f t="shared" si="37"/>
        <v/>
      </c>
      <c r="BK242" s="122" t="str">
        <f>IFERROR($M242+VLOOKUP($L242,'Voyage days'!$F$807:$H$878,3,FALSE),"")</f>
        <v/>
      </c>
      <c r="BL242" s="122" t="str">
        <f>IFERROR($N242+VLOOKUP($L242,'Voyage days'!$F$807:$H$878,3,FALSE),"")</f>
        <v/>
      </c>
      <c r="BM242" s="122" t="str">
        <f>IFERROR($N242+VLOOKUP($L242,'Voyage days'!$F$807:$K$878,6,FALSE),"")</f>
        <v/>
      </c>
      <c r="BN242" s="121" t="str">
        <f>if(L242="loads AG", IFERROR($M242+VLOOKUP($L242,'Voyage days'!$M$38:$O$38,3,FALSE),""),"")</f>
        <v/>
      </c>
      <c r="BO242" s="121">
        <f>if(L242="loads USG", IFERROR($M242+VLOOKUP($L242,'Voyage days'!$L$203:$N$203,3,FALSE),""),"")</f>
        <v>46150</v>
      </c>
    </row>
    <row r="243" ht="15.75" customHeight="1">
      <c r="A243" s="406" t="s">
        <v>461</v>
      </c>
      <c r="B243" s="148">
        <v>2023.0</v>
      </c>
      <c r="C243" s="102">
        <v>86000.0</v>
      </c>
      <c r="D243" s="103"/>
      <c r="E243" s="103"/>
      <c r="F243" s="104"/>
      <c r="G243" s="104"/>
      <c r="H243" s="104" t="s">
        <v>666</v>
      </c>
      <c r="I243" s="401" t="s">
        <v>1227</v>
      </c>
      <c r="J243" s="106" t="str">
        <f t="shared" si="41"/>
        <v>Update</v>
      </c>
      <c r="K243" s="205"/>
      <c r="L243" s="108" t="s">
        <v>680</v>
      </c>
      <c r="M243" s="109">
        <v>46126.0</v>
      </c>
      <c r="N243" s="109">
        <v>46127.0</v>
      </c>
      <c r="O243" s="191"/>
      <c r="P243" s="153" t="s">
        <v>1252</v>
      </c>
      <c r="Q243" s="108"/>
      <c r="R243" s="108" t="s">
        <v>1253</v>
      </c>
      <c r="S243" s="619" t="s">
        <v>33</v>
      </c>
      <c r="T243" s="113">
        <v>46125.0</v>
      </c>
      <c r="U243" s="114" t="str">
        <f>IF(V243="","No AIS",VLOOKUP(V243,'Voyage days'!$A$3:$B$1480,2,FALSE))</f>
        <v>Panama</v>
      </c>
      <c r="V243" s="115" t="str">
        <f>IF(VLOOKUP(A243,'1) Kpler'!$E$2:$P$1000,8, FALSE)="","",VLOOKUP(A243,'1) Kpler'!$E$2:$P$1000,8, FALSE))</f>
        <v>Panama Canal</v>
      </c>
      <c r="W243" s="116">
        <f>IF(VLOOKUP(A243,'1) Kpler'!$E$2:$P$1000,9,FALSE)="","",VLOOKUP(A243,'1) Kpler'!$E$2:$P$1000,9,FALSE))</f>
        <v>46134.95833</v>
      </c>
      <c r="X243" s="115" t="str">
        <f>VLOOKUP(A243,'1) Kpler'!$E$2:$I$1000,4,FALSE)</f>
        <v>loaded</v>
      </c>
      <c r="Y243" s="160" t="str">
        <f t="shared" si="39"/>
        <v/>
      </c>
      <c r="Z243" s="160" t="str">
        <f t="shared" si="2"/>
        <v>14-15 Apr</v>
      </c>
      <c r="AA243" s="160" t="str">
        <f t="shared" si="3"/>
        <v>14-15 Apr</v>
      </c>
      <c r="AB243" s="160" t="str">
        <f t="shared" si="4"/>
        <v/>
      </c>
      <c r="AC243" s="160" t="str">
        <f t="shared" si="5"/>
        <v>04-05 May</v>
      </c>
      <c r="AD243" s="160" t="str">
        <f t="shared" si="6"/>
        <v/>
      </c>
      <c r="AE243" s="161" t="str">
        <f t="shared" si="7"/>
        <v/>
      </c>
      <c r="AF243" s="162" t="str">
        <f t="shared" si="8"/>
        <v/>
      </c>
      <c r="AG243" s="120" t="str">
        <f t="shared" si="27"/>
        <v/>
      </c>
      <c r="AH243" s="121" t="str">
        <f>IFERROR($M243+VLOOKUP($L243,'Voyage days'!$F$38:$H$89,3,FALSE),"")</f>
        <v/>
      </c>
      <c r="AI243" s="121" t="str">
        <f>IFERROR(N243+VLOOKUP($L243,'Voyage days'!$F$38:$H$89,3,FALSE),"")</f>
        <v/>
      </c>
      <c r="AJ243" s="120" t="str">
        <f t="shared" si="28"/>
        <v>14-15 Apr</v>
      </c>
      <c r="AK243" s="121">
        <f>IFERROR($M243+VLOOKUP($L243,'Voyage days'!$F$94:$H$193,3,FALSE),"")</f>
        <v>46126</v>
      </c>
      <c r="AL243" s="121">
        <f>IFERROR($N243+VLOOKUP($L243,'Voyage days'!$F$94:$H$193,3,FALSE),"")</f>
        <v>46127</v>
      </c>
      <c r="AM243" s="120" t="str">
        <f t="shared" si="29"/>
        <v>14-15 Apr</v>
      </c>
      <c r="AN243" s="121">
        <f>IFERROR($M243+VLOOKUP($L243,'Voyage days'!$F$203:$H$256,3,FALSE),"")</f>
        <v>46126</v>
      </c>
      <c r="AO243" s="121">
        <f>IFERROR($N243+VLOOKUP($L243,'Voyage days'!$F$203:$H$256,3,FALSE),"")</f>
        <v>46127</v>
      </c>
      <c r="AP243" s="120" t="str">
        <f t="shared" si="30"/>
        <v/>
      </c>
      <c r="AQ243" s="121" t="str">
        <f>IFERROR($M243+VLOOKUP($L243,'Voyage days'!$F$294:$H$377,3,FALSE),"")</f>
        <v/>
      </c>
      <c r="AR243" s="121" t="str">
        <f>IFERROR($N243+VLOOKUP($L243,'Voyage days'!$F$294:$H$377,3,FALSE),"")</f>
        <v/>
      </c>
      <c r="AS243" s="120" t="str">
        <f t="shared" si="31"/>
        <v>04-05 May</v>
      </c>
      <c r="AT243" s="121">
        <f>IFERROR($M243+VLOOKUP($L243,'Voyage days'!$F$382:$H$446,3,FALSE),"")</f>
        <v>46146</v>
      </c>
      <c r="AU243" s="121">
        <f>IFERROR($N243+VLOOKUP($L243,'Voyage days'!$F$382:$H$446,3,FALSE),"")</f>
        <v>46147</v>
      </c>
      <c r="AV243" s="120" t="str">
        <f t="shared" si="32"/>
        <v/>
      </c>
      <c r="AW243" s="121" t="str">
        <f>IFERROR($M243+VLOOKUP($L243,'Voyage days'!$F$483:$H$538,3,FALSE),"")</f>
        <v/>
      </c>
      <c r="AX243" s="121" t="str">
        <f>IFERROR($N243+VLOOKUP($L243,'Voyage days'!$F$483:$H$538,3,FALSE),"")</f>
        <v/>
      </c>
      <c r="AY243" s="120" t="str">
        <f t="shared" si="33"/>
        <v/>
      </c>
      <c r="AZ243" s="121" t="str">
        <f>IFERROR($M243+VLOOKUP($L243,'Voyage days'!$F$540:$H$613,3,FALSE),"")</f>
        <v/>
      </c>
      <c r="BA243" s="121" t="str">
        <f>IFERROR($N243+VLOOKUP($L243,'Voyage days'!$F$540:$H$613,3,FALSE),"")</f>
        <v/>
      </c>
      <c r="BB243" s="120" t="str">
        <f t="shared" si="34"/>
        <v/>
      </c>
      <c r="BC243" s="121" t="str">
        <f>IFERROR($M243+VLOOKUP($L243,'Voyage days'!$F$448:$H$479,3,FALSE),"")</f>
        <v/>
      </c>
      <c r="BD243" s="121" t="str">
        <f>IFERROR($N243+VLOOKUP($L243,'Voyage days'!$F$448:$H$479,3,FALSE),"")</f>
        <v/>
      </c>
      <c r="BE243" s="120" t="str">
        <f t="shared" si="35"/>
        <v/>
      </c>
      <c r="BF243" s="122" t="str">
        <f>IFERROR($M243+VLOOKUP($L243,'Voyage days'!$F$620:$H$646,3,FALSE),"")</f>
        <v/>
      </c>
      <c r="BG243" s="122" t="str">
        <f>IFERROR($N243+VLOOKUP($L243,'Voyage days'!$F$620:$H$646,3,FALSE),"")</f>
        <v/>
      </c>
      <c r="BH243" s="120" t="str">
        <f t="shared" si="36"/>
        <v/>
      </c>
      <c r="BI243" s="123" t="str">
        <f>IFERROR($M243+VLOOKUP($L243,'Voyage days'!$F$702:$H$727,3,FALSE),"")</f>
        <v/>
      </c>
      <c r="BJ243" s="120" t="str">
        <f t="shared" si="37"/>
        <v/>
      </c>
      <c r="BK243" s="122" t="str">
        <f>IFERROR($M243+VLOOKUP($L243,'Voyage days'!$F$807:$H$878,3,FALSE),"")</f>
        <v/>
      </c>
      <c r="BL243" s="122" t="str">
        <f>IFERROR($N243+VLOOKUP($L243,'Voyage days'!$F$807:$H$878,3,FALSE),"")</f>
        <v/>
      </c>
      <c r="BM243" s="122" t="str">
        <f>IFERROR($N243+VLOOKUP($L243,'Voyage days'!$F$807:$K$878,6,FALSE),"")</f>
        <v/>
      </c>
      <c r="BN243" s="121" t="str">
        <f>if(L243="loads AG", IFERROR($M243+VLOOKUP($L243,'Voyage days'!$M$38:$O$38,3,FALSE),""),"")</f>
        <v/>
      </c>
      <c r="BO243" s="121">
        <f>if(L243="loads USG", IFERROR($M243+VLOOKUP($L243,'Voyage days'!$L$203:$N$203,3,FALSE),""),"")</f>
        <v>46158</v>
      </c>
    </row>
    <row r="244" ht="15.75" customHeight="1">
      <c r="A244" s="100" t="s">
        <v>489</v>
      </c>
      <c r="B244" s="183">
        <v>2021.0</v>
      </c>
      <c r="C244" s="184">
        <v>90000.0</v>
      </c>
      <c r="D244" s="195"/>
      <c r="E244" s="195"/>
      <c r="F244" s="196"/>
      <c r="G244" s="196"/>
      <c r="H244" s="196" t="s">
        <v>666</v>
      </c>
      <c r="I244" s="401" t="s">
        <v>1227</v>
      </c>
      <c r="J244" s="106" t="str">
        <f t="shared" si="41"/>
        <v/>
      </c>
      <c r="K244" s="205" t="s">
        <v>765</v>
      </c>
      <c r="L244" s="187" t="s">
        <v>1231</v>
      </c>
      <c r="M244" s="391">
        <v>46160.0</v>
      </c>
      <c r="N244" s="391">
        <v>46161.0</v>
      </c>
      <c r="O244" s="620"/>
      <c r="P244" s="187" t="s">
        <v>1254</v>
      </c>
      <c r="Q244" s="111"/>
      <c r="R244" s="108" t="s">
        <v>1255</v>
      </c>
      <c r="S244" s="619" t="s">
        <v>33</v>
      </c>
      <c r="T244" s="113">
        <v>46125.0</v>
      </c>
      <c r="U244" s="114" t="str">
        <f>IF(V244="","No AIS",VLOOKUP(V244,'Voyage days'!$A$3:$B$1480,2,FALSE))</f>
        <v>WCI + 5</v>
      </c>
      <c r="V244" s="115" t="str">
        <f>IF(VLOOKUP(A244,'1) Kpler'!$E$2:$P$1000,8, FALSE)="","",VLOOKUP(A244,'1) Kpler'!$E$2:$P$1000,8, FALSE))</f>
        <v>Mangalore</v>
      </c>
      <c r="W244" s="116">
        <f>IF(VLOOKUP(A244,'1) Kpler'!$E$2:$P$1000,9,FALSE)="","",VLOOKUP(A244,'1) Kpler'!$E$2:$P$1000,9,FALSE))</f>
        <v>46147.5</v>
      </c>
      <c r="X244" s="115" t="str">
        <f>VLOOKUP(A244,'1) Kpler'!$E$2:$I$1000,4,FALSE)</f>
        <v>loaded</v>
      </c>
      <c r="Y244" s="117" t="str">
        <f t="shared" si="39"/>
        <v>27-28 May</v>
      </c>
      <c r="Z244" s="117" t="str">
        <f t="shared" si="2"/>
        <v/>
      </c>
      <c r="AA244" s="117" t="str">
        <f t="shared" si="3"/>
        <v>23-24 Jun</v>
      </c>
      <c r="AB244" s="117" t="str">
        <f t="shared" si="4"/>
        <v>08-09 Jun</v>
      </c>
      <c r="AC244" s="117" t="str">
        <f t="shared" si="5"/>
        <v>15-16 Jun</v>
      </c>
      <c r="AD244" s="117" t="str">
        <f t="shared" si="6"/>
        <v>23-24 May</v>
      </c>
      <c r="AE244" s="118" t="str">
        <f t="shared" si="7"/>
        <v/>
      </c>
      <c r="AF244" s="119" t="str">
        <f t="shared" si="8"/>
        <v>25-26 Jun</v>
      </c>
      <c r="AG244" s="120" t="str">
        <f t="shared" si="27"/>
        <v>27-28 May</v>
      </c>
      <c r="AH244" s="121">
        <f>IFERROR($M244+VLOOKUP($L244,'Voyage days'!$F$38:$H$89,3,FALSE),"")</f>
        <v>46169</v>
      </c>
      <c r="AI244" s="121">
        <f>IFERROR(N244+VLOOKUP($L244,'Voyage days'!$F$38:$H$89,3,FALSE),"")</f>
        <v>46170</v>
      </c>
      <c r="AJ244" s="120" t="str">
        <f t="shared" si="28"/>
        <v/>
      </c>
      <c r="AK244" s="121" t="str">
        <f>IFERROR($M244+VLOOKUP($L244,'Voyage days'!$F$94:$H$193,3,FALSE),"")</f>
        <v/>
      </c>
      <c r="AL244" s="121" t="str">
        <f>IFERROR($N244+VLOOKUP($L244,'Voyage days'!$F$94:$H$193,3,FALSE),"")</f>
        <v/>
      </c>
      <c r="AM244" s="120" t="str">
        <f t="shared" si="29"/>
        <v>23-24 Jun</v>
      </c>
      <c r="AN244" s="121">
        <f>IFERROR($M244+VLOOKUP($L244,'Voyage days'!$F$203:$H$256,3,FALSE),"")</f>
        <v>46196</v>
      </c>
      <c r="AO244" s="121">
        <f>IFERROR($N244+VLOOKUP($L244,'Voyage days'!$F$203:$H$256,3,FALSE),"")</f>
        <v>46197</v>
      </c>
      <c r="AP244" s="120" t="str">
        <f t="shared" si="30"/>
        <v>08-09 Jun</v>
      </c>
      <c r="AQ244" s="121">
        <f>IFERROR($M244+VLOOKUP($L244,'Voyage days'!$F$294:$H$377,3,FALSE),"")</f>
        <v>46181</v>
      </c>
      <c r="AR244" s="121">
        <f>IFERROR($N244+VLOOKUP($L244,'Voyage days'!$F$294:$H$377,3,FALSE),"")</f>
        <v>46182</v>
      </c>
      <c r="AS244" s="120" t="str">
        <f t="shared" si="31"/>
        <v>15-16 Jun</v>
      </c>
      <c r="AT244" s="121">
        <f>IFERROR($M244+VLOOKUP($L244,'Voyage days'!$F$382:$H$446,3,FALSE),"")</f>
        <v>46188</v>
      </c>
      <c r="AU244" s="121">
        <f>IFERROR($N244+VLOOKUP($L244,'Voyage days'!$F$382:$H$446,3,FALSE),"")</f>
        <v>46189</v>
      </c>
      <c r="AV244" s="120" t="str">
        <f t="shared" si="32"/>
        <v>18-19 May</v>
      </c>
      <c r="AW244" s="121">
        <f>IFERROR($M244+VLOOKUP($L244,'Voyage days'!$F$483:$H$538,3,FALSE),"")</f>
        <v>46160</v>
      </c>
      <c r="AX244" s="121">
        <f>IFERROR($N244+VLOOKUP($L244,'Voyage days'!$F$483:$H$538,3,FALSE),"")</f>
        <v>46161</v>
      </c>
      <c r="AY244" s="120" t="str">
        <f t="shared" si="33"/>
        <v/>
      </c>
      <c r="AZ244" s="121" t="str">
        <f>IFERROR($M244+VLOOKUP($L244,'Voyage days'!$F$540:$H$613,3,FALSE),"")</f>
        <v/>
      </c>
      <c r="BA244" s="121" t="str">
        <f>IFERROR($N244+VLOOKUP($L244,'Voyage days'!$F$540:$H$613,3,FALSE),"")</f>
        <v/>
      </c>
      <c r="BB244" s="120" t="str">
        <f t="shared" si="34"/>
        <v>23-24 May</v>
      </c>
      <c r="BC244" s="121">
        <f>IFERROR($M244+VLOOKUP($L244,'Voyage days'!$F$448:$H$479,3,FALSE),"")</f>
        <v>46165</v>
      </c>
      <c r="BD244" s="121">
        <f>IFERROR($N244+VLOOKUP($L244,'Voyage days'!$F$448:$H$479,3,FALSE),"")</f>
        <v>46166</v>
      </c>
      <c r="BE244" s="120" t="str">
        <f t="shared" si="35"/>
        <v/>
      </c>
      <c r="BF244" s="122" t="str">
        <f>IFERROR($M244+VLOOKUP($L244,'Voyage days'!$F$620:$H$646,3,FALSE),"")</f>
        <v/>
      </c>
      <c r="BG244" s="122" t="str">
        <f>IFERROR($N244+VLOOKUP($L244,'Voyage days'!$F$620:$H$646,3,FALSE),"")</f>
        <v/>
      </c>
      <c r="BH244" s="120" t="str">
        <f t="shared" si="36"/>
        <v/>
      </c>
      <c r="BI244" s="123" t="str">
        <f>IFERROR($M244+VLOOKUP($L244,'Voyage days'!$F$702:$H$727,3,FALSE),"")</f>
        <v/>
      </c>
      <c r="BJ244" s="120" t="str">
        <f t="shared" si="37"/>
        <v>25-26 Jun</v>
      </c>
      <c r="BK244" s="122">
        <f>IFERROR($M244+VLOOKUP($L244,'Voyage days'!$F$807:$H$878,3,FALSE),"")</f>
        <v>46198</v>
      </c>
      <c r="BL244" s="122">
        <f>IFERROR($N244+VLOOKUP($L244,'Voyage days'!$F$807:$H$878,3,FALSE),"")</f>
        <v>46199</v>
      </c>
      <c r="BM244" s="122">
        <f>IFERROR($N244+VLOOKUP($L244,'Voyage days'!$F$807:$K$878,6,FALSE),"")</f>
        <v>46173</v>
      </c>
      <c r="BN244" s="121" t="str">
        <f>if(L244="loads AG", IFERROR($M244+VLOOKUP($L244,'Voyage days'!$M$38:$O$38,3,FALSE),""),"")</f>
        <v/>
      </c>
      <c r="BO244" s="121" t="str">
        <f>if(L244="loads USG", IFERROR($M244+VLOOKUP($L244,'Voyage days'!$L$203:$N$203,3,FALSE),""),"")</f>
        <v/>
      </c>
    </row>
    <row r="245" ht="15.75" customHeight="1">
      <c r="A245" s="338" t="s">
        <v>540</v>
      </c>
      <c r="B245" s="148">
        <v>2024.0</v>
      </c>
      <c r="C245" s="102">
        <v>86000.0</v>
      </c>
      <c r="D245" s="103"/>
      <c r="E245" s="103"/>
      <c r="F245" s="104"/>
      <c r="G245" s="104"/>
      <c r="H245" s="104" t="s">
        <v>666</v>
      </c>
      <c r="I245" s="401" t="s">
        <v>1227</v>
      </c>
      <c r="J245" s="106" t="str">
        <f t="shared" si="41"/>
        <v/>
      </c>
      <c r="K245" s="107"/>
      <c r="L245" s="108" t="s">
        <v>668</v>
      </c>
      <c r="M245" s="109">
        <v>46152.0</v>
      </c>
      <c r="N245" s="109">
        <v>46153.0</v>
      </c>
      <c r="O245" s="453"/>
      <c r="P245" s="153" t="s">
        <v>1256</v>
      </c>
      <c r="Q245" s="192"/>
      <c r="R245" s="192" t="s">
        <v>1257</v>
      </c>
      <c r="S245" s="619" t="s">
        <v>33</v>
      </c>
      <c r="T245" s="113">
        <v>46125.0</v>
      </c>
      <c r="U245" s="114" t="str">
        <f>IF(V245="","No AIS",VLOOKUP(V245,'Voyage days'!$A$3:$B$1480,2,FALSE))</f>
        <v>Japan + 6</v>
      </c>
      <c r="V245" s="115" t="str">
        <f>IF(VLOOKUP(A245,'1) Kpler'!$E$2:$P$1000,8, FALSE)="","",VLOOKUP(A245,'1) Kpler'!$E$2:$P$1000,8, FALSE))</f>
        <v>Chiba</v>
      </c>
      <c r="W245" s="116">
        <f>IF(VLOOKUP(A245,'1) Kpler'!$E$2:$P$1000,9,FALSE)="","",VLOOKUP(A245,'1) Kpler'!$E$2:$P$1000,9,FALSE))</f>
        <v>46146.08333</v>
      </c>
      <c r="X245" s="115" t="str">
        <f>VLOOKUP(A245,'1) Kpler'!$E$2:$I$1000,4,FALSE)</f>
        <v>loaded</v>
      </c>
      <c r="Y245" s="160" t="str">
        <f t="shared" si="39"/>
        <v>28-29 May</v>
      </c>
      <c r="Z245" s="160" t="str">
        <f t="shared" si="2"/>
        <v>11-12 Jun</v>
      </c>
      <c r="AA245" s="160" t="str">
        <f t="shared" si="3"/>
        <v>21-22 Jun</v>
      </c>
      <c r="AB245" s="160" t="str">
        <f t="shared" si="4"/>
        <v>09-10 Jun</v>
      </c>
      <c r="AC245" s="160" t="str">
        <f t="shared" si="5"/>
        <v>15-16 Jun</v>
      </c>
      <c r="AD245" s="160" t="str">
        <f t="shared" si="6"/>
        <v>18-19 May</v>
      </c>
      <c r="AE245" s="161" t="str">
        <f t="shared" si="7"/>
        <v>18-19 May</v>
      </c>
      <c r="AF245" s="162" t="str">
        <f t="shared" si="8"/>
        <v>25-26 Jun</v>
      </c>
      <c r="AG245" s="120" t="str">
        <f t="shared" si="27"/>
        <v>28-29 May</v>
      </c>
      <c r="AH245" s="121">
        <f>IFERROR($M245+VLOOKUP($L245,'Voyage days'!$F$38:$H$89,3,FALSE),"")</f>
        <v>46170</v>
      </c>
      <c r="AI245" s="121">
        <f>IFERROR(N245+VLOOKUP($L245,'Voyage days'!$F$38:$H$89,3,FALSE),"")</f>
        <v>46171</v>
      </c>
      <c r="AJ245" s="120" t="str">
        <f t="shared" si="28"/>
        <v>11-12 Jun</v>
      </c>
      <c r="AK245" s="121">
        <f>IFERROR($M245+VLOOKUP($L245,'Voyage days'!$F$94:$H$193,3,FALSE),"")</f>
        <v>46184</v>
      </c>
      <c r="AL245" s="121">
        <f>IFERROR($N245+VLOOKUP($L245,'Voyage days'!$F$94:$H$193,3,FALSE),"")</f>
        <v>46185</v>
      </c>
      <c r="AM245" s="120" t="str">
        <f t="shared" si="29"/>
        <v>21-22 Jun</v>
      </c>
      <c r="AN245" s="121">
        <f>IFERROR($M245+VLOOKUP($L245,'Voyage days'!$F$203:$H$256,3,FALSE),"")</f>
        <v>46194</v>
      </c>
      <c r="AO245" s="121">
        <f>IFERROR($N245+VLOOKUP($L245,'Voyage days'!$F$203:$H$256,3,FALSE),"")</f>
        <v>46195</v>
      </c>
      <c r="AP245" s="120" t="str">
        <f t="shared" si="30"/>
        <v>09-10 Jun</v>
      </c>
      <c r="AQ245" s="121">
        <f>IFERROR($M245+VLOOKUP($L245,'Voyage days'!$F$294:$H$377,3,FALSE),"")</f>
        <v>46182</v>
      </c>
      <c r="AR245" s="121">
        <f>IFERROR($N245+VLOOKUP($L245,'Voyage days'!$F$294:$H$377,3,FALSE),"")</f>
        <v>46183</v>
      </c>
      <c r="AS245" s="120" t="str">
        <f t="shared" si="31"/>
        <v>15-16 Jun</v>
      </c>
      <c r="AT245" s="121">
        <f>IFERROR($M245+VLOOKUP($L245,'Voyage days'!$F$382:$H$446,3,FALSE),"")</f>
        <v>46188</v>
      </c>
      <c r="AU245" s="121">
        <f>IFERROR($N245+VLOOKUP($L245,'Voyage days'!$F$382:$H$446,3,FALSE),"")</f>
        <v>46189</v>
      </c>
      <c r="AV245" s="120" t="str">
        <f t="shared" si="32"/>
        <v>23-24 May</v>
      </c>
      <c r="AW245" s="121">
        <f>IFERROR($M245+VLOOKUP($L245,'Voyage days'!$F$483:$H$538,3,FALSE),"")</f>
        <v>46165</v>
      </c>
      <c r="AX245" s="121">
        <f>IFERROR($N245+VLOOKUP($L245,'Voyage days'!$F$483:$H$538,3,FALSE),"")</f>
        <v>46166</v>
      </c>
      <c r="AY245" s="120" t="str">
        <f t="shared" si="33"/>
        <v>18-19 May</v>
      </c>
      <c r="AZ245" s="121">
        <f>IFERROR($M245+VLOOKUP($L245,'Voyage days'!$F$540:$H$613,3,FALSE),"")</f>
        <v>46160.25</v>
      </c>
      <c r="BA245" s="121">
        <f>IFERROR($N245+VLOOKUP($L245,'Voyage days'!$F$540:$H$613,3,FALSE),"")</f>
        <v>46161.25</v>
      </c>
      <c r="BB245" s="120" t="str">
        <f t="shared" si="34"/>
        <v>18-19 May</v>
      </c>
      <c r="BC245" s="121">
        <f>IFERROR($M245+VLOOKUP($L245,'Voyage days'!$F$448:$H$479,3,FALSE),"")</f>
        <v>46160</v>
      </c>
      <c r="BD245" s="121">
        <f>IFERROR($N245+VLOOKUP($L245,'Voyage days'!$F$448:$H$479,3,FALSE),"")</f>
        <v>46161</v>
      </c>
      <c r="BE245" s="120" t="str">
        <f t="shared" si="35"/>
        <v>21-22 May</v>
      </c>
      <c r="BF245" s="122">
        <f>IFERROR($M245+VLOOKUP($L245,'Voyage days'!$F$620:$H$646,3,FALSE),"")</f>
        <v>46163</v>
      </c>
      <c r="BG245" s="122">
        <f>IFERROR($N245+VLOOKUP($L245,'Voyage days'!$F$620:$H$646,3,FALSE),"")</f>
        <v>46164</v>
      </c>
      <c r="BH245" s="120" t="str">
        <f t="shared" si="36"/>
        <v>18-26 Jun</v>
      </c>
      <c r="BI245" s="123">
        <f>IFERROR($M245+VLOOKUP($L245,'Voyage days'!$F$702:$H$727,3,FALSE),"")</f>
        <v>46160.25</v>
      </c>
      <c r="BJ245" s="120" t="str">
        <f t="shared" si="37"/>
        <v>25-26 Jun</v>
      </c>
      <c r="BK245" s="122">
        <f>IFERROR($M245+VLOOKUP($L245,'Voyage days'!$F$807:$H$878,3,FALSE),"")</f>
        <v>46198</v>
      </c>
      <c r="BL245" s="122">
        <f>IFERROR($N245+VLOOKUP($L245,'Voyage days'!$F$807:$H$878,3,FALSE),"")</f>
        <v>46199</v>
      </c>
      <c r="BM245" s="122">
        <f>IFERROR($N245+VLOOKUP($L245,'Voyage days'!$F$807:$K$878,6,FALSE),"")</f>
        <v>46173</v>
      </c>
      <c r="BN245" s="121" t="str">
        <f>if(L245="loads AG", IFERROR($M245+VLOOKUP($L245,'Voyage days'!$M$38:$O$38,3,FALSE),""),"")</f>
        <v/>
      </c>
      <c r="BO245" s="121" t="str">
        <f>if(L245="loads USG", IFERROR($M245+VLOOKUP($L245,'Voyage days'!$L$203:$N$203,3,FALSE),""),"")</f>
        <v/>
      </c>
    </row>
    <row r="246" ht="15.75" customHeight="1">
      <c r="A246" s="625" t="s">
        <v>552</v>
      </c>
      <c r="B246" s="148">
        <v>2024.0</v>
      </c>
      <c r="C246" s="102">
        <v>86000.0</v>
      </c>
      <c r="D246" s="103"/>
      <c r="E246" s="103"/>
      <c r="F246" s="104"/>
      <c r="G246" s="104"/>
      <c r="H246" s="104" t="s">
        <v>666</v>
      </c>
      <c r="I246" s="401" t="s">
        <v>1258</v>
      </c>
      <c r="J246" s="106" t="str">
        <f t="shared" si="41"/>
        <v>Update</v>
      </c>
      <c r="K246" s="107"/>
      <c r="L246" s="108" t="s">
        <v>680</v>
      </c>
      <c r="M246" s="457">
        <v>46125.0</v>
      </c>
      <c r="N246" s="457">
        <v>46126.0</v>
      </c>
      <c r="O246" s="191"/>
      <c r="P246" s="108" t="s">
        <v>1259</v>
      </c>
      <c r="Q246" s="108"/>
      <c r="R246" s="108" t="s">
        <v>1260</v>
      </c>
      <c r="S246" s="619" t="s">
        <v>33</v>
      </c>
      <c r="T246" s="113">
        <v>46125.0</v>
      </c>
      <c r="U246" s="114" t="str">
        <f>IF(V246="","No AIS",VLOOKUP(V246,'Voyage days'!$A$3:$B$1480,2,FALSE))</f>
        <v>Panama</v>
      </c>
      <c r="V246" s="115" t="str">
        <f>IF(VLOOKUP(A246,'1) Kpler'!$E$2:$P$1000,8, FALSE)="","",VLOOKUP(A246,'1) Kpler'!$E$2:$P$1000,8, FALSE))</f>
        <v>Panama Canal</v>
      </c>
      <c r="W246" s="116">
        <f>IF(VLOOKUP(A246,'1) Kpler'!$E$2:$P$1000,9,FALSE)="","",VLOOKUP(A246,'1) Kpler'!$E$2:$P$1000,9,FALSE))</f>
        <v>46133.95833</v>
      </c>
      <c r="X246" s="115" t="str">
        <f>VLOOKUP(A246,'1) Kpler'!$E$2:$I$1000,4,FALSE)</f>
        <v>loaded</v>
      </c>
      <c r="Y246" s="117" t="str">
        <f t="shared" si="39"/>
        <v/>
      </c>
      <c r="Z246" s="117" t="str">
        <f t="shared" si="2"/>
        <v>13-14 Apr</v>
      </c>
      <c r="AA246" s="117" t="str">
        <f t="shared" si="3"/>
        <v>13-14 Apr</v>
      </c>
      <c r="AB246" s="117" t="str">
        <f t="shared" si="4"/>
        <v/>
      </c>
      <c r="AC246" s="117" t="str">
        <f t="shared" si="5"/>
        <v>03-04 May</v>
      </c>
      <c r="AD246" s="117" t="str">
        <f t="shared" si="6"/>
        <v/>
      </c>
      <c r="AE246" s="118" t="str">
        <f t="shared" si="7"/>
        <v/>
      </c>
      <c r="AF246" s="119" t="str">
        <f t="shared" si="8"/>
        <v/>
      </c>
      <c r="AG246" s="120" t="str">
        <f t="shared" si="27"/>
        <v/>
      </c>
      <c r="AH246" s="121" t="str">
        <f>IFERROR($M246+VLOOKUP($L246,'Voyage days'!$F$38:$H$89,3,FALSE),"")</f>
        <v/>
      </c>
      <c r="AI246" s="121" t="str">
        <f>IFERROR(N246+VLOOKUP($L246,'Voyage days'!$F$38:$H$89,3,FALSE),"")</f>
        <v/>
      </c>
      <c r="AJ246" s="120" t="str">
        <f t="shared" si="28"/>
        <v>13-14 Apr</v>
      </c>
      <c r="AK246" s="121">
        <f>IFERROR($M246+VLOOKUP($L246,'Voyage days'!$F$94:$H$193,3,FALSE),"")</f>
        <v>46125</v>
      </c>
      <c r="AL246" s="121">
        <f>IFERROR($N246+VLOOKUP($L246,'Voyage days'!$F$94:$H$193,3,FALSE),"")</f>
        <v>46126</v>
      </c>
      <c r="AM246" s="120" t="str">
        <f t="shared" si="29"/>
        <v>13-14 Apr</v>
      </c>
      <c r="AN246" s="121">
        <f>IFERROR($M246+VLOOKUP($L246,'Voyage days'!$F$203:$H$256,3,FALSE),"")</f>
        <v>46125</v>
      </c>
      <c r="AO246" s="121">
        <f>IFERROR($N246+VLOOKUP($L246,'Voyage days'!$F$203:$H$256,3,FALSE),"")</f>
        <v>46126</v>
      </c>
      <c r="AP246" s="120" t="str">
        <f t="shared" si="30"/>
        <v/>
      </c>
      <c r="AQ246" s="121" t="str">
        <f>IFERROR($M246+VLOOKUP($L246,'Voyage days'!$F$294:$H$377,3,FALSE),"")</f>
        <v/>
      </c>
      <c r="AR246" s="121" t="str">
        <f>IFERROR($N246+VLOOKUP($L246,'Voyage days'!$F$294:$H$377,3,FALSE),"")</f>
        <v/>
      </c>
      <c r="AS246" s="120" t="str">
        <f t="shared" si="31"/>
        <v>03-04 May</v>
      </c>
      <c r="AT246" s="121">
        <f>IFERROR($M246+VLOOKUP($L246,'Voyage days'!$F$382:$H$446,3,FALSE),"")</f>
        <v>46145</v>
      </c>
      <c r="AU246" s="121">
        <f>IFERROR($N246+VLOOKUP($L246,'Voyage days'!$F$382:$H$446,3,FALSE),"")</f>
        <v>46146</v>
      </c>
      <c r="AV246" s="120" t="str">
        <f t="shared" si="32"/>
        <v/>
      </c>
      <c r="AW246" s="121" t="str">
        <f>IFERROR($M246+VLOOKUP($L246,'Voyage days'!$F$483:$H$538,3,FALSE),"")</f>
        <v/>
      </c>
      <c r="AX246" s="121" t="str">
        <f>IFERROR($N246+VLOOKUP($L246,'Voyage days'!$F$483:$H$538,3,FALSE),"")</f>
        <v/>
      </c>
      <c r="AY246" s="120" t="str">
        <f t="shared" si="33"/>
        <v/>
      </c>
      <c r="AZ246" s="121" t="str">
        <f>IFERROR($M246+VLOOKUP($L246,'Voyage days'!$F$540:$H$613,3,FALSE),"")</f>
        <v/>
      </c>
      <c r="BA246" s="121" t="str">
        <f>IFERROR($N246+VLOOKUP($L246,'Voyage days'!$F$540:$H$613,3,FALSE),"")</f>
        <v/>
      </c>
      <c r="BB246" s="120" t="str">
        <f t="shared" si="34"/>
        <v/>
      </c>
      <c r="BC246" s="121" t="str">
        <f>IFERROR($M246+VLOOKUP($L246,'Voyage days'!$F$448:$H$479,3,FALSE),"")</f>
        <v/>
      </c>
      <c r="BD246" s="121" t="str">
        <f>IFERROR($N246+VLOOKUP($L246,'Voyage days'!$F$448:$H$479,3,FALSE),"")</f>
        <v/>
      </c>
      <c r="BE246" s="120" t="str">
        <f t="shared" si="35"/>
        <v/>
      </c>
      <c r="BF246" s="122" t="str">
        <f>IFERROR($M246+VLOOKUP($L246,'Voyage days'!$F$620:$H$646,3,FALSE),"")</f>
        <v/>
      </c>
      <c r="BG246" s="122" t="str">
        <f>IFERROR($N246+VLOOKUP($L246,'Voyage days'!$F$620:$H$646,3,FALSE),"")</f>
        <v/>
      </c>
      <c r="BH246" s="120" t="str">
        <f t="shared" si="36"/>
        <v/>
      </c>
      <c r="BI246" s="123" t="str">
        <f>IFERROR($M246+VLOOKUP($L246,'Voyage days'!$F$702:$H$727,3,FALSE),"")</f>
        <v/>
      </c>
      <c r="BJ246" s="120" t="str">
        <f t="shared" si="37"/>
        <v/>
      </c>
      <c r="BK246" s="122" t="str">
        <f>IFERROR($M246+VLOOKUP($L246,'Voyage days'!$F$807:$H$878,3,FALSE),"")</f>
        <v/>
      </c>
      <c r="BL246" s="122" t="str">
        <f>IFERROR($N246+VLOOKUP($L246,'Voyage days'!$F$807:$H$878,3,FALSE),"")</f>
        <v/>
      </c>
      <c r="BM246" s="122" t="str">
        <f>IFERROR($N246+VLOOKUP($L246,'Voyage days'!$F$807:$K$878,6,FALSE),"")</f>
        <v/>
      </c>
      <c r="BN246" s="121" t="str">
        <f>if(L246="loads AG", IFERROR($M246+VLOOKUP($L246,'Voyage days'!$M$38:$O$38,3,FALSE),""),"")</f>
        <v/>
      </c>
      <c r="BO246" s="121">
        <f>if(L246="loads USG", IFERROR($M246+VLOOKUP($L246,'Voyage days'!$L$203:$N$203,3,FALSE),""),"")</f>
        <v>46157</v>
      </c>
    </row>
    <row r="247" ht="15.0" customHeight="1">
      <c r="A247" s="298" t="s">
        <v>167</v>
      </c>
      <c r="B247" s="101">
        <v>43678.0</v>
      </c>
      <c r="C247" s="102">
        <v>80000.0</v>
      </c>
      <c r="D247" s="112"/>
      <c r="E247" s="103"/>
      <c r="F247" s="104"/>
      <c r="G247" s="104"/>
      <c r="H247" s="104" t="s">
        <v>689</v>
      </c>
      <c r="I247" s="401" t="s">
        <v>1227</v>
      </c>
      <c r="J247" s="106" t="str">
        <f t="shared" si="41"/>
        <v/>
      </c>
      <c r="K247" s="205" t="s">
        <v>773</v>
      </c>
      <c r="L247" s="199" t="s">
        <v>680</v>
      </c>
      <c r="M247" s="109">
        <v>46153.0</v>
      </c>
      <c r="N247" s="109">
        <v>46154.0</v>
      </c>
      <c r="O247" s="191"/>
      <c r="P247" s="108" t="s">
        <v>949</v>
      </c>
      <c r="Q247" s="108"/>
      <c r="R247" s="108" t="s">
        <v>1261</v>
      </c>
      <c r="S247" s="619" t="s">
        <v>33</v>
      </c>
      <c r="T247" s="113">
        <v>46125.0</v>
      </c>
      <c r="U247" s="114" t="str">
        <f>IF(V247="","No AIS",VLOOKUP(V247,'Voyage days'!$A$3:$B$1480,2,FALSE))</f>
        <v>USG</v>
      </c>
      <c r="V247" s="115" t="str">
        <f>IF(VLOOKUP(A247,'1) Kpler'!$E$2:$P$1000,8, FALSE)="","",VLOOKUP(A247,'1) Kpler'!$E$2:$P$1000,8, FALSE))</f>
        <v>PADD 3</v>
      </c>
      <c r="W247" s="116">
        <f>IF(VLOOKUP(A247,'1) Kpler'!$E$2:$P$1000,9,FALSE)="","",VLOOKUP(A247,'1) Kpler'!$E$2:$P$1000,9,FALSE))</f>
        <v>46152</v>
      </c>
      <c r="X247" s="115" t="str">
        <f>VLOOKUP(A247,'1) Kpler'!$E$2:$I$1000,4,FALSE)</f>
        <v>ballast</v>
      </c>
      <c r="Y247" s="160" t="str">
        <f t="shared" si="39"/>
        <v/>
      </c>
      <c r="Z247" s="160" t="str">
        <f t="shared" si="2"/>
        <v>11-12 May</v>
      </c>
      <c r="AA247" s="160" t="str">
        <f t="shared" si="3"/>
        <v>11-12 May</v>
      </c>
      <c r="AB247" s="160" t="str">
        <f t="shared" si="4"/>
        <v/>
      </c>
      <c r="AC247" s="160" t="str">
        <f t="shared" si="5"/>
        <v>31-01 Jun</v>
      </c>
      <c r="AD247" s="160" t="str">
        <f t="shared" si="6"/>
        <v/>
      </c>
      <c r="AE247" s="161" t="str">
        <f t="shared" si="7"/>
        <v/>
      </c>
      <c r="AF247" s="162" t="str">
        <f t="shared" si="8"/>
        <v/>
      </c>
      <c r="AG247" s="120" t="str">
        <f t="shared" si="27"/>
        <v/>
      </c>
      <c r="AH247" s="121" t="str">
        <f>IFERROR($M247+VLOOKUP($L247,'Voyage days'!$F$38:$H$89,3,FALSE),"")</f>
        <v/>
      </c>
      <c r="AI247" s="121" t="str">
        <f>IFERROR(N247+VLOOKUP($L247,'Voyage days'!$F$38:$H$89,3,FALSE),"")</f>
        <v/>
      </c>
      <c r="AJ247" s="120" t="str">
        <f t="shared" si="28"/>
        <v>11-12 May</v>
      </c>
      <c r="AK247" s="121">
        <f>IFERROR($M247+VLOOKUP($L247,'Voyage days'!$F$94:$H$193,3,FALSE),"")</f>
        <v>46153</v>
      </c>
      <c r="AL247" s="121">
        <f>IFERROR($N247+VLOOKUP($L247,'Voyage days'!$F$94:$H$193,3,FALSE),"")</f>
        <v>46154</v>
      </c>
      <c r="AM247" s="120" t="str">
        <f t="shared" si="29"/>
        <v>11-12 May</v>
      </c>
      <c r="AN247" s="121">
        <f>IFERROR($M247+VLOOKUP($L247,'Voyage days'!$F$203:$H$256,3,FALSE),"")</f>
        <v>46153</v>
      </c>
      <c r="AO247" s="121">
        <f>IFERROR($N247+VLOOKUP($L247,'Voyage days'!$F$203:$H$256,3,FALSE),"")</f>
        <v>46154</v>
      </c>
      <c r="AP247" s="120" t="str">
        <f t="shared" si="30"/>
        <v/>
      </c>
      <c r="AQ247" s="121" t="str">
        <f>IFERROR($M247+VLOOKUP($L247,'Voyage days'!$F$294:$H$377,3,FALSE),"")</f>
        <v/>
      </c>
      <c r="AR247" s="121" t="str">
        <f>IFERROR($N247+VLOOKUP($L247,'Voyage days'!$F$294:$H$377,3,FALSE),"")</f>
        <v/>
      </c>
      <c r="AS247" s="120" t="str">
        <f t="shared" si="31"/>
        <v>31-01 Jun</v>
      </c>
      <c r="AT247" s="121">
        <f>IFERROR($M247+VLOOKUP($L247,'Voyage days'!$F$382:$H$446,3,FALSE),"")</f>
        <v>46173</v>
      </c>
      <c r="AU247" s="121">
        <f>IFERROR($N247+VLOOKUP($L247,'Voyage days'!$F$382:$H$446,3,FALSE),"")</f>
        <v>46174</v>
      </c>
      <c r="AV247" s="120" t="str">
        <f t="shared" si="32"/>
        <v/>
      </c>
      <c r="AW247" s="121" t="str">
        <f>IFERROR($M247+VLOOKUP($L247,'Voyage days'!$F$483:$H$538,3,FALSE),"")</f>
        <v/>
      </c>
      <c r="AX247" s="121" t="str">
        <f>IFERROR($N247+VLOOKUP($L247,'Voyage days'!$F$483:$H$538,3,FALSE),"")</f>
        <v/>
      </c>
      <c r="AY247" s="120" t="str">
        <f t="shared" si="33"/>
        <v/>
      </c>
      <c r="AZ247" s="121" t="str">
        <f>IFERROR($M247+VLOOKUP($L247,'Voyage days'!$F$540:$H$613,3,FALSE),"")</f>
        <v/>
      </c>
      <c r="BA247" s="121" t="str">
        <f>IFERROR($N247+VLOOKUP($L247,'Voyage days'!$F$540:$H$613,3,FALSE),"")</f>
        <v/>
      </c>
      <c r="BB247" s="120" t="str">
        <f t="shared" si="34"/>
        <v/>
      </c>
      <c r="BC247" s="121" t="str">
        <f>IFERROR($M247+VLOOKUP($L247,'Voyage days'!$F$448:$H$479,3,FALSE),"")</f>
        <v/>
      </c>
      <c r="BD247" s="121" t="str">
        <f>IFERROR($N247+VLOOKUP($L247,'Voyage days'!$F$448:$H$479,3,FALSE),"")</f>
        <v/>
      </c>
      <c r="BE247" s="120" t="str">
        <f t="shared" si="35"/>
        <v/>
      </c>
      <c r="BF247" s="122" t="str">
        <f>IFERROR($M247+VLOOKUP($L247,'Voyage days'!$F$620:$H$646,3,FALSE),"")</f>
        <v/>
      </c>
      <c r="BG247" s="122" t="str">
        <f>IFERROR($N247+VLOOKUP($L247,'Voyage days'!$F$620:$H$646,3,FALSE),"")</f>
        <v/>
      </c>
      <c r="BH247" s="120" t="str">
        <f t="shared" si="36"/>
        <v/>
      </c>
      <c r="BI247" s="123" t="str">
        <f>IFERROR($M247+VLOOKUP($L247,'Voyage days'!$F$702:$H$727,3,FALSE),"")</f>
        <v/>
      </c>
      <c r="BJ247" s="120" t="str">
        <f t="shared" si="37"/>
        <v/>
      </c>
      <c r="BK247" s="122" t="str">
        <f>IFERROR($M247+VLOOKUP($L247,'Voyage days'!$F$807:$H$878,3,FALSE),"")</f>
        <v/>
      </c>
      <c r="BL247" s="122" t="str">
        <f>IFERROR($N247+VLOOKUP($L247,'Voyage days'!$F$807:$H$878,3,FALSE),"")</f>
        <v/>
      </c>
      <c r="BM247" s="122" t="str">
        <f>IFERROR($N247+VLOOKUP($L247,'Voyage days'!$F$807:$K$878,6,FALSE),"")</f>
        <v/>
      </c>
      <c r="BN247" s="121" t="str">
        <f>if(L247="loads AG", IFERROR($M247+VLOOKUP($L247,'Voyage days'!$M$38:$O$38,3,FALSE),""),"")</f>
        <v/>
      </c>
      <c r="BO247" s="121">
        <f>if(L247="loads USG", IFERROR($M247+VLOOKUP($L247,'Voyage days'!$L$203:$N$203,3,FALSE),""),"")</f>
        <v>46185</v>
      </c>
    </row>
    <row r="248" ht="15.75" customHeight="1">
      <c r="A248" s="164" t="s">
        <v>582</v>
      </c>
      <c r="B248" s="280">
        <v>2008.0</v>
      </c>
      <c r="C248" s="166">
        <v>78500.0</v>
      </c>
      <c r="D248" s="223"/>
      <c r="E248" s="223"/>
      <c r="F248" s="168"/>
      <c r="G248" s="168"/>
      <c r="H248" s="168" t="s">
        <v>689</v>
      </c>
      <c r="I248" s="324" t="s">
        <v>1227</v>
      </c>
      <c r="J248" s="170" t="str">
        <f t="shared" si="41"/>
        <v/>
      </c>
      <c r="K248" s="171"/>
      <c r="L248" s="172" t="s">
        <v>860</v>
      </c>
      <c r="M248" s="173">
        <v>46142.0</v>
      </c>
      <c r="N248" s="173">
        <v>46143.0</v>
      </c>
      <c r="O248" s="284"/>
      <c r="P248" s="172" t="s">
        <v>1262</v>
      </c>
      <c r="Q248" s="172"/>
      <c r="R248" s="172" t="s">
        <v>1263</v>
      </c>
      <c r="S248" s="175" t="s">
        <v>33</v>
      </c>
      <c r="T248" s="176">
        <v>46125.0</v>
      </c>
      <c r="U248" s="177" t="str">
        <f>IF(V248="","No AIS",VLOOKUP(V248,'Voyage days'!$A$3:$B$1480,2,FALSE))</f>
        <v>Singapore</v>
      </c>
      <c r="V248" s="178" t="str">
        <f>IF(VLOOKUP(A248,'1) Kpler'!$E$2:$P$1000,8, FALSE)="","",VLOOKUP(A248,'1) Kpler'!$E$2:$P$1000,8, FALSE))</f>
        <v>Singapore</v>
      </c>
      <c r="W248" s="179">
        <f>IF(VLOOKUP(A248,'1) Kpler'!$E$2:$P$1000,9,FALSE)="","",VLOOKUP(A248,'1) Kpler'!$E$2:$P$1000,9,FALSE))</f>
        <v>46142.00069</v>
      </c>
      <c r="X248" s="178" t="str">
        <f>VLOOKUP(A248,'1) Kpler'!$E$2:$I$1000,4,FALSE)</f>
        <v>loaded</v>
      </c>
      <c r="Y248" s="180" t="str">
        <f t="shared" si="39"/>
        <v>15-16 May</v>
      </c>
      <c r="Z248" s="180" t="str">
        <f t="shared" si="2"/>
        <v>07-08 Jun</v>
      </c>
      <c r="AA248" s="180" t="str">
        <f t="shared" si="3"/>
        <v>08-09 Jun</v>
      </c>
      <c r="AB248" s="180" t="str">
        <f t="shared" si="4"/>
        <v>25-26 May</v>
      </c>
      <c r="AC248" s="180" t="str">
        <f t="shared" si="5"/>
        <v>02-03 Jun</v>
      </c>
      <c r="AD248" s="180" t="str">
        <f t="shared" si="6"/>
        <v>07-08 May</v>
      </c>
      <c r="AE248" s="181" t="str">
        <f t="shared" si="7"/>
        <v>10-11 May</v>
      </c>
      <c r="AF248" s="182" t="str">
        <f t="shared" si="8"/>
        <v>12-13 Jun</v>
      </c>
      <c r="AG248" s="120" t="str">
        <f t="shared" si="27"/>
        <v>15-16 May</v>
      </c>
      <c r="AH248" s="121">
        <f>IFERROR($M248+VLOOKUP($L248,'Voyage days'!$F$38:$H$89,3,FALSE),"")</f>
        <v>46157</v>
      </c>
      <c r="AI248" s="121">
        <f>IFERROR(N248+VLOOKUP($L248,'Voyage days'!$F$38:$H$89,3,FALSE),"")</f>
        <v>46158</v>
      </c>
      <c r="AJ248" s="120" t="str">
        <f t="shared" si="28"/>
        <v>07-08 Jun</v>
      </c>
      <c r="AK248" s="121">
        <f>IFERROR($M248+VLOOKUP($L248,'Voyage days'!$F$94:$H$193,3,FALSE),"")</f>
        <v>46180</v>
      </c>
      <c r="AL248" s="121">
        <f>IFERROR($N248+VLOOKUP($L248,'Voyage days'!$F$94:$H$193,3,FALSE),"")</f>
        <v>46181</v>
      </c>
      <c r="AM248" s="120" t="str">
        <f t="shared" si="29"/>
        <v>08-09 Jun</v>
      </c>
      <c r="AN248" s="121">
        <f>IFERROR($M248+VLOOKUP($L248,'Voyage days'!$F$203:$H$256,3,FALSE),"")</f>
        <v>46181</v>
      </c>
      <c r="AO248" s="121">
        <f>IFERROR($N248+VLOOKUP($L248,'Voyage days'!$F$203:$H$256,3,FALSE),"")</f>
        <v>46182</v>
      </c>
      <c r="AP248" s="120" t="str">
        <f t="shared" si="30"/>
        <v>25-26 May</v>
      </c>
      <c r="AQ248" s="121">
        <f>IFERROR($M248+VLOOKUP($L248,'Voyage days'!$F$294:$H$377,3,FALSE),"")</f>
        <v>46167</v>
      </c>
      <c r="AR248" s="121">
        <f>IFERROR($N248+VLOOKUP($L248,'Voyage days'!$F$294:$H$377,3,FALSE),"")</f>
        <v>46168</v>
      </c>
      <c r="AS248" s="120" t="str">
        <f t="shared" si="31"/>
        <v>02-03 Jun</v>
      </c>
      <c r="AT248" s="121">
        <f>IFERROR($M248+VLOOKUP($L248,'Voyage days'!$F$382:$H$446,3,FALSE),"")</f>
        <v>46175</v>
      </c>
      <c r="AU248" s="121">
        <f>IFERROR($N248+VLOOKUP($L248,'Voyage days'!$F$382:$H$446,3,FALSE),"")</f>
        <v>46176</v>
      </c>
      <c r="AV248" s="120" t="str">
        <f t="shared" si="32"/>
        <v>16-17 May</v>
      </c>
      <c r="AW248" s="121">
        <f>IFERROR($M248+VLOOKUP($L248,'Voyage days'!$F$483:$H$538,3,FALSE),"")</f>
        <v>46158</v>
      </c>
      <c r="AX248" s="121">
        <f>IFERROR($N248+VLOOKUP($L248,'Voyage days'!$F$483:$H$538,3,FALSE),"")</f>
        <v>46159</v>
      </c>
      <c r="AY248" s="120" t="str">
        <f t="shared" si="33"/>
        <v>10-11 May</v>
      </c>
      <c r="AZ248" s="121">
        <f>IFERROR($M248+VLOOKUP($L248,'Voyage days'!$F$540:$H$613,3,FALSE),"")</f>
        <v>46152</v>
      </c>
      <c r="BA248" s="121">
        <f>IFERROR($N248+VLOOKUP($L248,'Voyage days'!$F$540:$H$613,3,FALSE),"")</f>
        <v>46153</v>
      </c>
      <c r="BB248" s="120" t="str">
        <f t="shared" si="34"/>
        <v>07-08 May</v>
      </c>
      <c r="BC248" s="121">
        <f>IFERROR($M248+VLOOKUP($L248,'Voyage days'!$F$448:$H$479,3,FALSE),"")</f>
        <v>46149</v>
      </c>
      <c r="BD248" s="121">
        <f>IFERROR($N248+VLOOKUP($L248,'Voyage days'!$F$448:$H$479,3,FALSE),"")</f>
        <v>46150</v>
      </c>
      <c r="BE248" s="120" t="str">
        <f t="shared" si="35"/>
        <v/>
      </c>
      <c r="BF248" s="122" t="str">
        <f>IFERROR($M248+VLOOKUP($L248,'Voyage days'!$F$620:$H$646,3,FALSE),"")</f>
        <v/>
      </c>
      <c r="BG248" s="122" t="str">
        <f>IFERROR($N248+VLOOKUP($L248,'Voyage days'!$F$620:$H$646,3,FALSE),"")</f>
        <v/>
      </c>
      <c r="BH248" s="120" t="str">
        <f t="shared" si="36"/>
        <v>15-13 Jun</v>
      </c>
      <c r="BI248" s="123">
        <f>IFERROR($M248+VLOOKUP($L248,'Voyage days'!$F$702:$H$727,3,FALSE),"")</f>
        <v>46157</v>
      </c>
      <c r="BJ248" s="120" t="str">
        <f t="shared" si="37"/>
        <v>12-13 Jun</v>
      </c>
      <c r="BK248" s="122">
        <f>IFERROR($M248+VLOOKUP($L248,'Voyage days'!$F$807:$H$878,3,FALSE),"")</f>
        <v>46185</v>
      </c>
      <c r="BL248" s="122">
        <f>IFERROR($N248+VLOOKUP($L248,'Voyage days'!$F$807:$H$878,3,FALSE),"")</f>
        <v>46186</v>
      </c>
      <c r="BM248" s="122">
        <f>IFERROR($N248+VLOOKUP($L248,'Voyage days'!$F$807:$K$878,6,FALSE),"")</f>
        <v>46162</v>
      </c>
      <c r="BN248" s="121" t="str">
        <f>if(L248="loads AG", IFERROR($M248+VLOOKUP($L248,'Voyage days'!$M$38:$O$38,3,FALSE),""),"")</f>
        <v/>
      </c>
      <c r="BO248" s="121" t="str">
        <f>if(L248="loads USG", IFERROR($M248+VLOOKUP($L248,'Voyage days'!$L$203:$N$203,3,FALSE),""),"")</f>
        <v/>
      </c>
    </row>
    <row r="249" ht="15.75" customHeight="1">
      <c r="A249" s="100" t="s">
        <v>557</v>
      </c>
      <c r="B249" s="148">
        <v>2024.0</v>
      </c>
      <c r="C249" s="102">
        <v>93000.0</v>
      </c>
      <c r="D249" s="103"/>
      <c r="E249" s="103"/>
      <c r="F249" s="104"/>
      <c r="G249" s="104"/>
      <c r="H249" s="104" t="s">
        <v>666</v>
      </c>
      <c r="I249" s="401" t="s">
        <v>1264</v>
      </c>
      <c r="J249" s="106" t="str">
        <f t="shared" si="41"/>
        <v>NO AIS</v>
      </c>
      <c r="K249" s="107"/>
      <c r="L249" s="185" t="s">
        <v>1265</v>
      </c>
      <c r="M249" s="109">
        <v>46143.0</v>
      </c>
      <c r="N249" s="109">
        <v>46144.0</v>
      </c>
      <c r="O249" s="110"/>
      <c r="P249" s="211" t="s">
        <v>1266</v>
      </c>
      <c r="Q249" s="185"/>
      <c r="R249" s="185"/>
      <c r="S249" s="256" t="s">
        <v>659</v>
      </c>
      <c r="T249" s="113">
        <v>46125.0</v>
      </c>
      <c r="U249" s="114" t="str">
        <f>IF(V249="","No AIS",VLOOKUP(V249,'Voyage days'!$A$3:$B$1480,2,FALSE))</f>
        <v>No AIS</v>
      </c>
      <c r="V249" s="115" t="str">
        <f>IF(VLOOKUP(A249,'1) Kpler'!$E$2:$P$1000,8, FALSE)="","",VLOOKUP(A249,'1) Kpler'!$E$2:$P$1000,8, FALSE))</f>
        <v/>
      </c>
      <c r="W249" s="116" t="str">
        <f>IF(VLOOKUP(A249,'1) Kpler'!$E$2:$P$1000,9,FALSE)="","",VLOOKUP(A249,'1) Kpler'!$E$2:$P$1000,9,FALSE))</f>
        <v/>
      </c>
      <c r="X249" s="115" t="str">
        <f>VLOOKUP(A249,'1) Kpler'!$E$2:$I$1000,4,FALSE)</f>
        <v>ballast</v>
      </c>
      <c r="Y249" s="160" t="str">
        <f t="shared" si="39"/>
        <v/>
      </c>
      <c r="Z249" s="160" t="str">
        <f t="shared" si="2"/>
        <v>01-02 May</v>
      </c>
      <c r="AA249" s="160" t="str">
        <f t="shared" si="3"/>
        <v/>
      </c>
      <c r="AB249" s="160" t="str">
        <f t="shared" si="4"/>
        <v/>
      </c>
      <c r="AC249" s="160" t="str">
        <f t="shared" si="5"/>
        <v>15-16 May</v>
      </c>
      <c r="AD249" s="160" t="str">
        <f t="shared" si="6"/>
        <v/>
      </c>
      <c r="AE249" s="161" t="str">
        <f t="shared" si="7"/>
        <v/>
      </c>
      <c r="AF249" s="162" t="str">
        <f t="shared" si="8"/>
        <v/>
      </c>
      <c r="AG249" s="120" t="str">
        <f t="shared" si="27"/>
        <v/>
      </c>
      <c r="AH249" s="121" t="str">
        <f>IFERROR($M249+VLOOKUP($L249,'Voyage days'!$F$38:$H$89,3,FALSE),"")</f>
        <v/>
      </c>
      <c r="AI249" s="121" t="str">
        <f>IFERROR(N249+VLOOKUP($L249,'Voyage days'!$F$38:$H$89,3,FALSE),"")</f>
        <v/>
      </c>
      <c r="AJ249" s="120" t="str">
        <f t="shared" si="28"/>
        <v>01-02 May</v>
      </c>
      <c r="AK249" s="121">
        <f>IFERROR($M249+VLOOKUP($L249,'Voyage days'!$F$94:$H$193,3,FALSE),"")</f>
        <v>46143</v>
      </c>
      <c r="AL249" s="121">
        <f>IFERROR($N249+VLOOKUP($L249,'Voyage days'!$F$94:$H$193,3,FALSE),"")</f>
        <v>46144</v>
      </c>
      <c r="AM249" s="120" t="str">
        <f t="shared" si="29"/>
        <v/>
      </c>
      <c r="AN249" s="121" t="str">
        <f>IFERROR($M249+VLOOKUP($L249,'Voyage days'!$F$203:$H$256,3,FALSE),"")</f>
        <v/>
      </c>
      <c r="AO249" s="121" t="str">
        <f>IFERROR($N249+VLOOKUP($L249,'Voyage days'!$F$203:$H$256,3,FALSE),"")</f>
        <v/>
      </c>
      <c r="AP249" s="120" t="str">
        <f t="shared" si="30"/>
        <v/>
      </c>
      <c r="AQ249" s="121" t="str">
        <f>IFERROR($M249+VLOOKUP($L249,'Voyage days'!$F$294:$H$377,3,FALSE),"")</f>
        <v/>
      </c>
      <c r="AR249" s="121" t="str">
        <f>IFERROR($N249+VLOOKUP($L249,'Voyage days'!$F$294:$H$377,3,FALSE),"")</f>
        <v/>
      </c>
      <c r="AS249" s="120" t="str">
        <f t="shared" si="31"/>
        <v>15-16 May</v>
      </c>
      <c r="AT249" s="121">
        <f>IFERROR($M249+VLOOKUP($L249,'Voyage days'!$F$382:$H$446,3,FALSE),"")</f>
        <v>46157</v>
      </c>
      <c r="AU249" s="121">
        <f>IFERROR($N249+VLOOKUP($L249,'Voyage days'!$F$382:$H$446,3,FALSE),"")</f>
        <v>46158</v>
      </c>
      <c r="AV249" s="120" t="str">
        <f t="shared" si="32"/>
        <v/>
      </c>
      <c r="AW249" s="121" t="str">
        <f>IFERROR($M249+VLOOKUP($L249,'Voyage days'!$F$483:$H$538,3,FALSE),"")</f>
        <v/>
      </c>
      <c r="AX249" s="121" t="str">
        <f>IFERROR($N249+VLOOKUP($L249,'Voyage days'!$F$483:$H$538,3,FALSE),"")</f>
        <v/>
      </c>
      <c r="AY249" s="120" t="str">
        <f t="shared" si="33"/>
        <v/>
      </c>
      <c r="AZ249" s="121" t="str">
        <f>IFERROR($M249+VLOOKUP($L249,'Voyage days'!$F$540:$H$613,3,FALSE),"")</f>
        <v/>
      </c>
      <c r="BA249" s="121" t="str">
        <f>IFERROR($N249+VLOOKUP($L249,'Voyage days'!$F$540:$H$613,3,FALSE),"")</f>
        <v/>
      </c>
      <c r="BB249" s="120" t="str">
        <f t="shared" si="34"/>
        <v/>
      </c>
      <c r="BC249" s="121" t="str">
        <f>IFERROR($M249+VLOOKUP($L249,'Voyage days'!$F$448:$H$479,3,FALSE),"")</f>
        <v/>
      </c>
      <c r="BD249" s="121" t="str">
        <f>IFERROR($N249+VLOOKUP($L249,'Voyage days'!$F$448:$H$479,3,FALSE),"")</f>
        <v/>
      </c>
      <c r="BE249" s="120" t="str">
        <f t="shared" si="35"/>
        <v/>
      </c>
      <c r="BF249" s="122" t="str">
        <f>IFERROR($M249+VLOOKUP($L249,'Voyage days'!$F$620:$H$646,3,FALSE),"")</f>
        <v/>
      </c>
      <c r="BG249" s="122" t="str">
        <f>IFERROR($N249+VLOOKUP($L249,'Voyage days'!$F$620:$H$646,3,FALSE),"")</f>
        <v/>
      </c>
      <c r="BH249" s="120" t="str">
        <f t="shared" si="36"/>
        <v/>
      </c>
      <c r="BI249" s="123" t="str">
        <f>IFERROR($M249+VLOOKUP($L249,'Voyage days'!$F$702:$H$727,3,FALSE),"")</f>
        <v/>
      </c>
      <c r="BJ249" s="120" t="str">
        <f t="shared" si="37"/>
        <v/>
      </c>
      <c r="BK249" s="122" t="str">
        <f>IFERROR($M249+VLOOKUP($L249,'Voyage days'!$F$807:$H$878,3,FALSE),"")</f>
        <v/>
      </c>
      <c r="BL249" s="122" t="str">
        <f>IFERROR($N249+VLOOKUP($L249,'Voyage days'!$F$807:$H$878,3,FALSE),"")</f>
        <v/>
      </c>
      <c r="BM249" s="122" t="str">
        <f>IFERROR($N249+VLOOKUP($L249,'Voyage days'!$F$807:$K$878,6,FALSE),"")</f>
        <v/>
      </c>
      <c r="BN249" s="121" t="str">
        <f>if(L249="loads AG", IFERROR($M249+VLOOKUP($L249,'Voyage days'!$M$38:$O$38,3,FALSE),""),"")</f>
        <v/>
      </c>
      <c r="BO249" s="121" t="str">
        <f>if(L249="loads USG", IFERROR($M249+VLOOKUP($L249,'Voyage days'!$L$203:$N$203,3,FALSE),""),"")</f>
        <v/>
      </c>
    </row>
    <row r="250" ht="15.75" customHeight="1">
      <c r="A250" s="626" t="s">
        <v>181</v>
      </c>
      <c r="B250" s="101">
        <v>43707.0</v>
      </c>
      <c r="C250" s="102">
        <v>80550.0</v>
      </c>
      <c r="D250" s="103"/>
      <c r="E250" s="103"/>
      <c r="F250" s="104"/>
      <c r="G250" s="104"/>
      <c r="H250" s="104" t="s">
        <v>689</v>
      </c>
      <c r="I250" s="401" t="s">
        <v>1264</v>
      </c>
      <c r="J250" s="106" t="str">
        <f t="shared" si="41"/>
        <v/>
      </c>
      <c r="K250" s="107"/>
      <c r="L250" s="108" t="s">
        <v>1267</v>
      </c>
      <c r="M250" s="109">
        <v>46139.0</v>
      </c>
      <c r="N250" s="391">
        <v>46140.0</v>
      </c>
      <c r="O250" s="627"/>
      <c r="P250" s="108" t="s">
        <v>1268</v>
      </c>
      <c r="Q250" s="295"/>
      <c r="R250" s="295" t="s">
        <v>1269</v>
      </c>
      <c r="S250" s="256" t="s">
        <v>659</v>
      </c>
      <c r="T250" s="113">
        <v>46125.0</v>
      </c>
      <c r="U250" s="114" t="str">
        <f>IF(V250="","No AIS",VLOOKUP(V250,'Voyage days'!$A$3:$B$1480,2,FALSE))</f>
        <v>Mohammedia + 5</v>
      </c>
      <c r="V250" s="115" t="str">
        <f>IF(VLOOKUP(A250,'1) Kpler'!$E$2:$P$1000,8, FALSE)="","",VLOOKUP(A250,'1) Kpler'!$E$2:$P$1000,8, FALSE))</f>
        <v>Mohammedia Refinery</v>
      </c>
      <c r="W250" s="116">
        <f>IF(VLOOKUP(A250,'1) Kpler'!$E$2:$P$1000,9,FALSE)="","",VLOOKUP(A250,'1) Kpler'!$E$2:$P$1000,9,FALSE))</f>
        <v>46134.25</v>
      </c>
      <c r="X250" s="115" t="str">
        <f>VLOOKUP(A250,'1) Kpler'!$E$2:$I$1000,4,FALSE)</f>
        <v>loaded</v>
      </c>
      <c r="Y250" s="117" t="str">
        <f t="shared" si="39"/>
        <v/>
      </c>
      <c r="Z250" s="117" t="str">
        <f t="shared" si="2"/>
        <v>10-11 May</v>
      </c>
      <c r="AA250" s="117" t="str">
        <f t="shared" si="3"/>
        <v>11-12 May</v>
      </c>
      <c r="AB250" s="117" t="str">
        <f t="shared" si="4"/>
        <v>06-07 May</v>
      </c>
      <c r="AC250" s="117" t="str">
        <f t="shared" si="5"/>
        <v>28-29 Apr</v>
      </c>
      <c r="AD250" s="117" t="str">
        <f t="shared" si="6"/>
        <v/>
      </c>
      <c r="AE250" s="118" t="str">
        <f t="shared" si="7"/>
        <v/>
      </c>
      <c r="AF250" s="119" t="str">
        <f t="shared" si="8"/>
        <v>05-06 May</v>
      </c>
      <c r="AG250" s="120" t="str">
        <f t="shared" si="27"/>
        <v/>
      </c>
      <c r="AH250" s="121" t="str">
        <f>IFERROR($M250+VLOOKUP($L250,'Voyage days'!$F$38:$H$89,3,FALSE),"")</f>
        <v/>
      </c>
      <c r="AI250" s="121" t="str">
        <f>IFERROR(N250+VLOOKUP($L250,'Voyage days'!$F$38:$H$89,3,FALSE),"")</f>
        <v/>
      </c>
      <c r="AJ250" s="120" t="str">
        <f t="shared" si="28"/>
        <v>10-11 May</v>
      </c>
      <c r="AK250" s="121">
        <f>IFERROR($M250+VLOOKUP($L250,'Voyage days'!$F$94:$H$193,3,FALSE),"")</f>
        <v>46152</v>
      </c>
      <c r="AL250" s="121">
        <f>IFERROR($N250+VLOOKUP($L250,'Voyage days'!$F$94:$H$193,3,FALSE),"")</f>
        <v>46153</v>
      </c>
      <c r="AM250" s="120" t="str">
        <f t="shared" si="29"/>
        <v>11-12 May</v>
      </c>
      <c r="AN250" s="121">
        <f>IFERROR($M250+VLOOKUP($L250,'Voyage days'!$F$203:$H$256,3,FALSE),"")</f>
        <v>46153</v>
      </c>
      <c r="AO250" s="121">
        <f>IFERROR($N250+VLOOKUP($L250,'Voyage days'!$F$203:$H$256,3,FALSE),"")</f>
        <v>46154</v>
      </c>
      <c r="AP250" s="120" t="str">
        <f t="shared" si="30"/>
        <v>06-07 May</v>
      </c>
      <c r="AQ250" s="121">
        <f>IFERROR($M250+VLOOKUP($L250,'Voyage days'!$F$294:$H$377,3,FALSE),"")</f>
        <v>46148</v>
      </c>
      <c r="AR250" s="121">
        <f>IFERROR($N250+VLOOKUP($L250,'Voyage days'!$F$294:$H$377,3,FALSE),"")</f>
        <v>46149</v>
      </c>
      <c r="AS250" s="120" t="str">
        <f t="shared" si="31"/>
        <v>28-29 Apr</v>
      </c>
      <c r="AT250" s="121">
        <f>IFERROR($M250+VLOOKUP($L250,'Voyage days'!$F$382:$H$446,3,FALSE),"")</f>
        <v>46140</v>
      </c>
      <c r="AU250" s="121">
        <f>IFERROR($N250+VLOOKUP($L250,'Voyage days'!$F$382:$H$446,3,FALSE),"")</f>
        <v>46141</v>
      </c>
      <c r="AV250" s="120" t="str">
        <f t="shared" si="32"/>
        <v/>
      </c>
      <c r="AW250" s="121" t="str">
        <f>IFERROR($M250+VLOOKUP($L250,'Voyage days'!$F$483:$H$538,3,FALSE),"")</f>
        <v/>
      </c>
      <c r="AX250" s="121" t="str">
        <f>IFERROR($N250+VLOOKUP($L250,'Voyage days'!$F$483:$H$538,3,FALSE),"")</f>
        <v/>
      </c>
      <c r="AY250" s="120" t="str">
        <f t="shared" si="33"/>
        <v/>
      </c>
      <c r="AZ250" s="121" t="str">
        <f>IFERROR($M250+VLOOKUP($L250,'Voyage days'!$F$540:$H$613,3,FALSE),"")</f>
        <v/>
      </c>
      <c r="BA250" s="121" t="str">
        <f>IFERROR($N250+VLOOKUP($L250,'Voyage days'!$F$540:$H$613,3,FALSE),"")</f>
        <v/>
      </c>
      <c r="BB250" s="120" t="str">
        <f t="shared" si="34"/>
        <v/>
      </c>
      <c r="BC250" s="121" t="str">
        <f>IFERROR($M250+VLOOKUP($L250,'Voyage days'!$F$448:$H$479,3,FALSE),"")</f>
        <v/>
      </c>
      <c r="BD250" s="121" t="str">
        <f>IFERROR($N250+VLOOKUP($L250,'Voyage days'!$F$448:$H$479,3,FALSE),"")</f>
        <v/>
      </c>
      <c r="BE250" s="120" t="str">
        <f t="shared" si="35"/>
        <v/>
      </c>
      <c r="BF250" s="122" t="str">
        <f>IFERROR($M250+VLOOKUP($L250,'Voyage days'!$F$620:$H$646,3,FALSE),"")</f>
        <v/>
      </c>
      <c r="BG250" s="122" t="str">
        <f>IFERROR($N250+VLOOKUP($L250,'Voyage days'!$F$620:$H$646,3,FALSE),"")</f>
        <v/>
      </c>
      <c r="BH250" s="120" t="str">
        <f t="shared" si="36"/>
        <v/>
      </c>
      <c r="BI250" s="123" t="str">
        <f>IFERROR($M250+VLOOKUP($L250,'Voyage days'!$F$702:$H$727,3,FALSE),"")</f>
        <v/>
      </c>
      <c r="BJ250" s="120" t="str">
        <f t="shared" si="37"/>
        <v>05-06 May</v>
      </c>
      <c r="BK250" s="122">
        <f>IFERROR($M250+VLOOKUP($L250,'Voyage days'!$F$807:$H$878,3,FALSE),"")</f>
        <v>46147</v>
      </c>
      <c r="BL250" s="122">
        <f>IFERROR($N250+VLOOKUP($L250,'Voyage days'!$F$807:$H$878,3,FALSE),"")</f>
        <v>46148</v>
      </c>
      <c r="BM250" s="122">
        <f>IFERROR($N250+VLOOKUP($L250,'Voyage days'!$F$807:$K$878,6,FALSE),"")</f>
        <v>46140</v>
      </c>
      <c r="BN250" s="121" t="str">
        <f>if(L250="loads AG", IFERROR($M250+VLOOKUP($L250,'Voyage days'!$M$38:$O$38,3,FALSE),""),"")</f>
        <v/>
      </c>
      <c r="BO250" s="121" t="str">
        <f>if(L250="loads USG", IFERROR($M250+VLOOKUP($L250,'Voyage days'!$L$203:$N$203,3,FALSE),""),"")</f>
        <v/>
      </c>
    </row>
    <row r="251" ht="15.75" customHeight="1">
      <c r="A251" s="626" t="s">
        <v>179</v>
      </c>
      <c r="B251" s="101">
        <v>43553.0</v>
      </c>
      <c r="C251" s="102">
        <v>84200.0</v>
      </c>
      <c r="D251" s="103"/>
      <c r="E251" s="103"/>
      <c r="F251" s="104"/>
      <c r="G251" s="104"/>
      <c r="H251" s="104" t="s">
        <v>689</v>
      </c>
      <c r="I251" s="401" t="s">
        <v>1264</v>
      </c>
      <c r="J251" s="106" t="str">
        <f t="shared" si="41"/>
        <v>Update</v>
      </c>
      <c r="K251" s="205"/>
      <c r="L251" s="108" t="s">
        <v>1270</v>
      </c>
      <c r="M251" s="109">
        <v>46131.0</v>
      </c>
      <c r="N251" s="109">
        <v>46132.0</v>
      </c>
      <c r="O251" s="191" t="s">
        <v>729</v>
      </c>
      <c r="P251" s="153" t="s">
        <v>1271</v>
      </c>
      <c r="Q251" s="108"/>
      <c r="R251" s="108" t="s">
        <v>1272</v>
      </c>
      <c r="S251" s="256" t="s">
        <v>659</v>
      </c>
      <c r="T251" s="113">
        <v>46125.0</v>
      </c>
      <c r="U251" s="114" t="str">
        <f>IF(V251="","No AIS",VLOOKUP(V251,'Voyage days'!$A$3:$B$1480,2,FALSE))</f>
        <v>USG</v>
      </c>
      <c r="V251" s="115" t="str">
        <f>IF(VLOOKUP(A251,'1) Kpler'!$E$2:$P$1000,8, FALSE)="","",VLOOKUP(A251,'1) Kpler'!$E$2:$P$1000,8, FALSE))</f>
        <v>Houston</v>
      </c>
      <c r="W251" s="116">
        <f>IF(VLOOKUP(A251,'1) Kpler'!$E$2:$P$1000,9,FALSE)="","",VLOOKUP(A251,'1) Kpler'!$E$2:$P$1000,9,FALSE))</f>
        <v>46142.79167</v>
      </c>
      <c r="X251" s="115" t="str">
        <f>VLOOKUP(A251,'1) Kpler'!$E$2:$I$1000,4,FALSE)</f>
        <v>loaded</v>
      </c>
      <c r="Y251" s="160" t="str">
        <f t="shared" si="39"/>
        <v/>
      </c>
      <c r="Z251" s="160" t="str">
        <f t="shared" si="2"/>
        <v>05-06 May</v>
      </c>
      <c r="AA251" s="160" t="str">
        <f t="shared" si="3"/>
        <v>06-07 May</v>
      </c>
      <c r="AB251" s="160" t="str">
        <f t="shared" si="4"/>
        <v>01-02 May</v>
      </c>
      <c r="AC251" s="160" t="str">
        <f t="shared" si="5"/>
        <v>22-23 Apr</v>
      </c>
      <c r="AD251" s="160" t="str">
        <f t="shared" si="6"/>
        <v/>
      </c>
      <c r="AE251" s="161" t="str">
        <f t="shared" si="7"/>
        <v/>
      </c>
      <c r="AF251" s="162" t="str">
        <f t="shared" si="8"/>
        <v>24-25 Apr</v>
      </c>
      <c r="AG251" s="120" t="str">
        <f t="shared" si="27"/>
        <v/>
      </c>
      <c r="AH251" s="121" t="str">
        <f>IFERROR($M251+VLOOKUP($L251,'Voyage days'!$F$38:$H$89,3,FALSE),"")</f>
        <v/>
      </c>
      <c r="AI251" s="121" t="str">
        <f>IFERROR(N251+VLOOKUP($L251,'Voyage days'!$F$38:$H$89,3,FALSE),"")</f>
        <v/>
      </c>
      <c r="AJ251" s="120" t="str">
        <f t="shared" si="28"/>
        <v>05-06 May</v>
      </c>
      <c r="AK251" s="121">
        <f>IFERROR($M251+VLOOKUP($L251,'Voyage days'!$F$94:$H$193,3,FALSE),"")</f>
        <v>46147</v>
      </c>
      <c r="AL251" s="121">
        <f>IFERROR($N251+VLOOKUP($L251,'Voyage days'!$F$94:$H$193,3,FALSE),"")</f>
        <v>46148</v>
      </c>
      <c r="AM251" s="120" t="str">
        <f t="shared" si="29"/>
        <v>06-07 May</v>
      </c>
      <c r="AN251" s="121">
        <f>IFERROR($M251+VLOOKUP($L251,'Voyage days'!$F$203:$H$256,3,FALSE),"")</f>
        <v>46148</v>
      </c>
      <c r="AO251" s="121">
        <f>IFERROR($N251+VLOOKUP($L251,'Voyage days'!$F$203:$H$256,3,FALSE),"")</f>
        <v>46149</v>
      </c>
      <c r="AP251" s="120" t="str">
        <f t="shared" si="30"/>
        <v>01-02 May</v>
      </c>
      <c r="AQ251" s="121">
        <f>IFERROR($M251+VLOOKUP($L251,'Voyage days'!$F$294:$H$377,3,FALSE),"")</f>
        <v>46143</v>
      </c>
      <c r="AR251" s="121">
        <f>IFERROR($N251+VLOOKUP($L251,'Voyage days'!$F$294:$H$377,3,FALSE),"")</f>
        <v>46144</v>
      </c>
      <c r="AS251" s="120" t="str">
        <f t="shared" si="31"/>
        <v>22-23 Apr</v>
      </c>
      <c r="AT251" s="121">
        <f>IFERROR($M251+VLOOKUP($L251,'Voyage days'!$F$382:$H$446,3,FALSE),"")</f>
        <v>46134</v>
      </c>
      <c r="AU251" s="121">
        <f>IFERROR($N251+VLOOKUP($L251,'Voyage days'!$F$382:$H$446,3,FALSE),"")</f>
        <v>46135</v>
      </c>
      <c r="AV251" s="120" t="str">
        <f t="shared" si="32"/>
        <v/>
      </c>
      <c r="AW251" s="121" t="str">
        <f>IFERROR($M251+VLOOKUP($L251,'Voyage days'!$F$483:$H$538,3,FALSE),"")</f>
        <v/>
      </c>
      <c r="AX251" s="121" t="str">
        <f>IFERROR($N251+VLOOKUP($L251,'Voyage days'!$F$483:$H$538,3,FALSE),"")</f>
        <v/>
      </c>
      <c r="AY251" s="120" t="str">
        <f t="shared" si="33"/>
        <v/>
      </c>
      <c r="AZ251" s="121" t="str">
        <f>IFERROR($M251+VLOOKUP($L251,'Voyage days'!$F$540:$H$613,3,FALSE),"")</f>
        <v/>
      </c>
      <c r="BA251" s="121" t="str">
        <f>IFERROR($N251+VLOOKUP($L251,'Voyage days'!$F$540:$H$613,3,FALSE),"")</f>
        <v/>
      </c>
      <c r="BB251" s="120" t="str">
        <f t="shared" si="34"/>
        <v/>
      </c>
      <c r="BC251" s="121" t="str">
        <f>IFERROR($M251+VLOOKUP($L251,'Voyage days'!$F$448:$H$479,3,FALSE),"")</f>
        <v/>
      </c>
      <c r="BD251" s="121" t="str">
        <f>IFERROR($N251+VLOOKUP($L251,'Voyage days'!$F$448:$H$479,3,FALSE),"")</f>
        <v/>
      </c>
      <c r="BE251" s="120" t="str">
        <f t="shared" si="35"/>
        <v/>
      </c>
      <c r="BF251" s="122" t="str">
        <f>IFERROR($M251+VLOOKUP($L251,'Voyage days'!$F$620:$H$646,3,FALSE),"")</f>
        <v/>
      </c>
      <c r="BG251" s="122" t="str">
        <f>IFERROR($N251+VLOOKUP($L251,'Voyage days'!$F$620:$H$646,3,FALSE),"")</f>
        <v/>
      </c>
      <c r="BH251" s="120" t="str">
        <f t="shared" si="36"/>
        <v/>
      </c>
      <c r="BI251" s="123" t="str">
        <f>IFERROR($M251+VLOOKUP($L251,'Voyage days'!$F$702:$H$727,3,FALSE),"")</f>
        <v/>
      </c>
      <c r="BJ251" s="120" t="str">
        <f t="shared" si="37"/>
        <v>24-25 Apr</v>
      </c>
      <c r="BK251" s="122">
        <f>IFERROR($M251+VLOOKUP($L251,'Voyage days'!$F$807:$H$878,3,FALSE),"")</f>
        <v>46136</v>
      </c>
      <c r="BL251" s="122">
        <f>IFERROR($N251+VLOOKUP($L251,'Voyage days'!$F$807:$H$878,3,FALSE),"")</f>
        <v>46137</v>
      </c>
      <c r="BM251" s="122">
        <f>IFERROR($N251+VLOOKUP($L251,'Voyage days'!$F$807:$K$878,6,FALSE),"")</f>
        <v>46132</v>
      </c>
      <c r="BN251" s="121" t="str">
        <f>if(L251="loads AG", IFERROR($M251+VLOOKUP($L251,'Voyage days'!$M$38:$O$38,3,FALSE),""),"")</f>
        <v/>
      </c>
      <c r="BO251" s="121" t="str">
        <f>if(L251="loads USG", IFERROR($M251+VLOOKUP($L251,'Voyage days'!$L$203:$N$203,3,FALSE),""),"")</f>
        <v/>
      </c>
    </row>
    <row r="252" ht="15.75" customHeight="1">
      <c r="A252" s="204" t="s">
        <v>182</v>
      </c>
      <c r="B252" s="101">
        <v>43616.0</v>
      </c>
      <c r="C252" s="102">
        <v>84200.0</v>
      </c>
      <c r="D252" s="103"/>
      <c r="E252" s="103"/>
      <c r="F252" s="104"/>
      <c r="G252" s="104"/>
      <c r="H252" s="104" t="s">
        <v>689</v>
      </c>
      <c r="I252" s="401" t="s">
        <v>1264</v>
      </c>
      <c r="J252" s="106" t="str">
        <f t="shared" si="41"/>
        <v/>
      </c>
      <c r="K252" s="205" t="s">
        <v>765</v>
      </c>
      <c r="L252" s="108" t="s">
        <v>703</v>
      </c>
      <c r="M252" s="109">
        <v>46157.0</v>
      </c>
      <c r="N252" s="109">
        <v>46158.0</v>
      </c>
      <c r="O252" s="191" t="s">
        <v>729</v>
      </c>
      <c r="P252" s="108" t="s">
        <v>1273</v>
      </c>
      <c r="Q252" s="108"/>
      <c r="R252" s="108" t="s">
        <v>1274</v>
      </c>
      <c r="S252" s="256" t="s">
        <v>659</v>
      </c>
      <c r="T252" s="113">
        <v>46125.0</v>
      </c>
      <c r="U252" s="114" t="str">
        <f>IF(V252="","No AIS",VLOOKUP(V252,'Voyage days'!$A$3:$B$1480,2,FALSE))</f>
        <v>South China + 4</v>
      </c>
      <c r="V252" s="115" t="str">
        <f>IF(VLOOKUP(A252,'1) Kpler'!$E$2:$P$1000,8, FALSE)="","",VLOOKUP(A252,'1) Kpler'!$E$2:$P$1000,8, FALSE))</f>
        <v>Sinopec Zhanjiang Dongxing Refinery</v>
      </c>
      <c r="W252" s="116">
        <f>IF(VLOOKUP(A252,'1) Kpler'!$E$2:$P$1000,9,FALSE)="","",VLOOKUP(A252,'1) Kpler'!$E$2:$P$1000,9,FALSE))</f>
        <v>46155.1875</v>
      </c>
      <c r="X252" s="115" t="str">
        <f>VLOOKUP(A252,'1) Kpler'!$E$2:$I$1000,4,FALSE)</f>
        <v>loaded</v>
      </c>
      <c r="Y252" s="117" t="str">
        <f t="shared" si="39"/>
        <v>30-31 May</v>
      </c>
      <c r="Z252" s="117" t="str">
        <f t="shared" si="2"/>
        <v>21-22 Jun</v>
      </c>
      <c r="AA252" s="117" t="str">
        <f t="shared" si="3"/>
        <v>26-27 Jun</v>
      </c>
      <c r="AB252" s="117" t="str">
        <f t="shared" si="4"/>
        <v>10-11 Jun</v>
      </c>
      <c r="AC252" s="117" t="str">
        <f t="shared" si="5"/>
        <v>17-18 Jun</v>
      </c>
      <c r="AD252" s="117" t="str">
        <f t="shared" si="6"/>
        <v>19-20 May</v>
      </c>
      <c r="AE252" s="118" t="str">
        <f t="shared" si="7"/>
        <v>21-22 May</v>
      </c>
      <c r="AF252" s="119" t="str">
        <f t="shared" si="8"/>
        <v>26-27 Jun</v>
      </c>
      <c r="AG252" s="120" t="str">
        <f t="shared" si="27"/>
        <v>30-31 May</v>
      </c>
      <c r="AH252" s="121">
        <f>IFERROR($M252+VLOOKUP($L252,'Voyage days'!$F$38:$H$89,3,FALSE),"")</f>
        <v>46172</v>
      </c>
      <c r="AI252" s="121">
        <f>IFERROR(N252+VLOOKUP($L252,'Voyage days'!$F$38:$H$89,3,FALSE),"")</f>
        <v>46173</v>
      </c>
      <c r="AJ252" s="120" t="str">
        <f t="shared" si="28"/>
        <v>21-22 Jun</v>
      </c>
      <c r="AK252" s="121">
        <f>IFERROR($M252+VLOOKUP($L252,'Voyage days'!$F$94:$H$193,3,FALSE),"")</f>
        <v>46194</v>
      </c>
      <c r="AL252" s="121">
        <f>IFERROR($N252+VLOOKUP($L252,'Voyage days'!$F$94:$H$193,3,FALSE),"")</f>
        <v>46195</v>
      </c>
      <c r="AM252" s="120" t="str">
        <f t="shared" si="29"/>
        <v>26-27 Jun</v>
      </c>
      <c r="AN252" s="121">
        <f>IFERROR($M252+VLOOKUP($L252,'Voyage days'!$F$203:$H$256,3,FALSE),"")</f>
        <v>46199</v>
      </c>
      <c r="AO252" s="121">
        <f>IFERROR($N252+VLOOKUP($L252,'Voyage days'!$F$203:$H$256,3,FALSE),"")</f>
        <v>46200</v>
      </c>
      <c r="AP252" s="120" t="str">
        <f t="shared" si="30"/>
        <v>10-11 Jun</v>
      </c>
      <c r="AQ252" s="121">
        <f>IFERROR($M252+VLOOKUP($L252,'Voyage days'!$F$294:$H$377,3,FALSE),"")</f>
        <v>46183</v>
      </c>
      <c r="AR252" s="121">
        <f>IFERROR($N252+VLOOKUP($L252,'Voyage days'!$F$294:$H$377,3,FALSE),"")</f>
        <v>46184</v>
      </c>
      <c r="AS252" s="120" t="str">
        <f t="shared" si="31"/>
        <v>17-18 Jun</v>
      </c>
      <c r="AT252" s="121">
        <f>IFERROR($M252+VLOOKUP($L252,'Voyage days'!$F$382:$H$446,3,FALSE),"")</f>
        <v>46190</v>
      </c>
      <c r="AU252" s="121">
        <f>IFERROR($N252+VLOOKUP($L252,'Voyage days'!$F$382:$H$446,3,FALSE),"")</f>
        <v>46191</v>
      </c>
      <c r="AV252" s="120" t="str">
        <f t="shared" si="32"/>
        <v>29-30 May</v>
      </c>
      <c r="AW252" s="121">
        <f>IFERROR($M252+VLOOKUP($L252,'Voyage days'!$F$483:$H$538,3,FALSE),"")</f>
        <v>46171</v>
      </c>
      <c r="AX252" s="121">
        <f>IFERROR($N252+VLOOKUP($L252,'Voyage days'!$F$483:$H$538,3,FALSE),"")</f>
        <v>46172</v>
      </c>
      <c r="AY252" s="120" t="str">
        <f t="shared" si="33"/>
        <v>21-22 May</v>
      </c>
      <c r="AZ252" s="121">
        <f>IFERROR($M252+VLOOKUP($L252,'Voyage days'!$F$540:$H$613,3,FALSE),"")</f>
        <v>46163.75</v>
      </c>
      <c r="BA252" s="121">
        <f>IFERROR($N252+VLOOKUP($L252,'Voyage days'!$F$540:$H$613,3,FALSE),"")</f>
        <v>46164.75</v>
      </c>
      <c r="BB252" s="120" t="str">
        <f t="shared" si="34"/>
        <v>19-20 May</v>
      </c>
      <c r="BC252" s="121">
        <f>IFERROR($M252+VLOOKUP($L252,'Voyage days'!$F$448:$H$479,3,FALSE),"")</f>
        <v>46161</v>
      </c>
      <c r="BD252" s="121">
        <f>IFERROR($N252+VLOOKUP($L252,'Voyage days'!$F$448:$H$479,3,FALSE),"")</f>
        <v>46162</v>
      </c>
      <c r="BE252" s="120" t="str">
        <f t="shared" si="35"/>
        <v/>
      </c>
      <c r="BF252" s="122" t="str">
        <f>IFERROR($M252+VLOOKUP($L252,'Voyage days'!$F$620:$H$646,3,FALSE),"")</f>
        <v/>
      </c>
      <c r="BG252" s="122" t="str">
        <f>IFERROR($N252+VLOOKUP($L252,'Voyage days'!$F$620:$H$646,3,FALSE),"")</f>
        <v/>
      </c>
      <c r="BH252" s="120" t="str">
        <f t="shared" si="36"/>
        <v>21-27 Jun</v>
      </c>
      <c r="BI252" s="123">
        <f>IFERROR($M252+VLOOKUP($L252,'Voyage days'!$F$702:$H$727,3,FALSE),"")</f>
        <v>46163.75</v>
      </c>
      <c r="BJ252" s="120" t="str">
        <f t="shared" si="37"/>
        <v>26-27 Jun</v>
      </c>
      <c r="BK252" s="122">
        <f>IFERROR($M252+VLOOKUP($L252,'Voyage days'!$F$807:$H$878,3,FALSE),"")</f>
        <v>46199</v>
      </c>
      <c r="BL252" s="122">
        <f>IFERROR($N252+VLOOKUP($L252,'Voyage days'!$F$807:$H$878,3,FALSE),"")</f>
        <v>46200</v>
      </c>
      <c r="BM252" s="122">
        <f>IFERROR($N252+VLOOKUP($L252,'Voyage days'!$F$807:$K$878,6,FALSE),"")</f>
        <v>46175</v>
      </c>
      <c r="BN252" s="121" t="str">
        <f>if(L252="loads AG", IFERROR($M252+VLOOKUP($L252,'Voyage days'!$M$38:$O$38,3,FALSE),""),"")</f>
        <v/>
      </c>
      <c r="BO252" s="121" t="str">
        <f>if(L252="loads USG", IFERROR($M252+VLOOKUP($L252,'Voyage days'!$L$203:$N$203,3,FALSE),""),"")</f>
        <v/>
      </c>
    </row>
    <row r="253">
      <c r="A253" s="625" t="s">
        <v>50</v>
      </c>
      <c r="B253" s="101">
        <v>43644.0</v>
      </c>
      <c r="C253" s="102">
        <v>80550.0</v>
      </c>
      <c r="D253" s="103"/>
      <c r="E253" s="103"/>
      <c r="F253" s="104"/>
      <c r="G253" s="104"/>
      <c r="H253" s="104" t="s">
        <v>689</v>
      </c>
      <c r="I253" s="401" t="s">
        <v>1264</v>
      </c>
      <c r="J253" s="106" t="str">
        <f t="shared" si="41"/>
        <v>Update</v>
      </c>
      <c r="K253" s="205"/>
      <c r="L253" s="199" t="s">
        <v>1275</v>
      </c>
      <c r="M253" s="109">
        <v>46128.0</v>
      </c>
      <c r="N253" s="109">
        <v>46129.0</v>
      </c>
      <c r="O253" s="191" t="s">
        <v>699</v>
      </c>
      <c r="P253" s="108" t="s">
        <v>1276</v>
      </c>
      <c r="Q253" s="108"/>
      <c r="R253" s="108" t="s">
        <v>1277</v>
      </c>
      <c r="S253" s="256" t="s">
        <v>659</v>
      </c>
      <c r="T253" s="113">
        <v>46125.0</v>
      </c>
      <c r="U253" s="114" t="str">
        <f>IF(V253="","No AIS",VLOOKUP(V253,'Voyage days'!$A$3:$B$1480,2,FALSE))</f>
        <v>USG</v>
      </c>
      <c r="V253" s="115" t="str">
        <f>IF(VLOOKUP(A253,'1) Kpler'!$E$2:$P$1000,8, FALSE)="","",VLOOKUP(A253,'1) Kpler'!$E$2:$P$1000,8, FALSE))</f>
        <v>Energy Transfer Nederland</v>
      </c>
      <c r="W253" s="116">
        <f>IF(VLOOKUP(A253,'1) Kpler'!$E$2:$P$1000,9,FALSE)="","",VLOOKUP(A253,'1) Kpler'!$E$2:$P$1000,9,FALSE))</f>
        <v>46134.04167</v>
      </c>
      <c r="X253" s="115" t="str">
        <f>VLOOKUP(A253,'1) Kpler'!$E$2:$I$1000,4,FALSE)</f>
        <v>ballast</v>
      </c>
      <c r="Y253" s="160" t="str">
        <f t="shared" si="39"/>
        <v/>
      </c>
      <c r="Z253" s="160" t="str">
        <f t="shared" si="2"/>
        <v/>
      </c>
      <c r="AA253" s="160" t="str">
        <f t="shared" si="3"/>
        <v>19-20 Apr</v>
      </c>
      <c r="AB253" s="160" t="str">
        <f t="shared" si="4"/>
        <v/>
      </c>
      <c r="AC253" s="160" t="str">
        <f t="shared" si="5"/>
        <v>28-29 Apr</v>
      </c>
      <c r="AD253" s="160" t="str">
        <f t="shared" si="6"/>
        <v/>
      </c>
      <c r="AE253" s="161" t="str">
        <f t="shared" si="7"/>
        <v/>
      </c>
      <c r="AF253" s="162" t="str">
        <f t="shared" si="8"/>
        <v>05-06 May</v>
      </c>
      <c r="AG253" s="120" t="str">
        <f t="shared" si="27"/>
        <v/>
      </c>
      <c r="AH253" s="121" t="str">
        <f>IFERROR($M253+VLOOKUP($L253,'Voyage days'!$F$38:$H$89,3,FALSE),"")</f>
        <v/>
      </c>
      <c r="AI253" s="121" t="str">
        <f>IFERROR(N253+VLOOKUP($L253,'Voyage days'!$F$38:$H$89,3,FALSE),"")</f>
        <v/>
      </c>
      <c r="AJ253" s="120" t="str">
        <f t="shared" si="28"/>
        <v/>
      </c>
      <c r="AK253" s="121" t="str">
        <f>IFERROR($M253+VLOOKUP($L253,'Voyage days'!$F$94:$H$193,3,FALSE),"")</f>
        <v/>
      </c>
      <c r="AL253" s="121" t="str">
        <f>IFERROR($N253+VLOOKUP($L253,'Voyage days'!$F$94:$H$193,3,FALSE),"")</f>
        <v/>
      </c>
      <c r="AM253" s="120" t="str">
        <f t="shared" si="29"/>
        <v>19-20 Apr</v>
      </c>
      <c r="AN253" s="121">
        <f>IFERROR($M253+VLOOKUP($L253,'Voyage days'!$F$203:$H$256,3,FALSE),"")</f>
        <v>46131</v>
      </c>
      <c r="AO253" s="121">
        <f>IFERROR($N253+VLOOKUP($L253,'Voyage days'!$F$203:$H$256,3,FALSE),"")</f>
        <v>46132</v>
      </c>
      <c r="AP253" s="120" t="str">
        <f t="shared" si="30"/>
        <v/>
      </c>
      <c r="AQ253" s="121" t="str">
        <f>IFERROR($M253+VLOOKUP($L253,'Voyage days'!$F$294:$H$377,3,FALSE),"")</f>
        <v/>
      </c>
      <c r="AR253" s="121" t="str">
        <f>IFERROR($N253+VLOOKUP($L253,'Voyage days'!$F$294:$H$377,3,FALSE),"")</f>
        <v/>
      </c>
      <c r="AS253" s="120" t="str">
        <f t="shared" si="31"/>
        <v>28-29 Apr</v>
      </c>
      <c r="AT253" s="121">
        <f>IFERROR($M253+VLOOKUP($L253,'Voyage days'!$F$382:$H$446,3,FALSE),"")</f>
        <v>46140</v>
      </c>
      <c r="AU253" s="121">
        <f>IFERROR($N253+VLOOKUP($L253,'Voyage days'!$F$382:$H$446,3,FALSE),"")</f>
        <v>46141</v>
      </c>
      <c r="AV253" s="120" t="str">
        <f t="shared" si="32"/>
        <v/>
      </c>
      <c r="AW253" s="121" t="str">
        <f>IFERROR($M253+VLOOKUP($L253,'Voyage days'!$F$483:$H$538,3,FALSE),"")</f>
        <v/>
      </c>
      <c r="AX253" s="121" t="str">
        <f>IFERROR($N253+VLOOKUP($L253,'Voyage days'!$F$483:$H$538,3,FALSE),"")</f>
        <v/>
      </c>
      <c r="AY253" s="120" t="str">
        <f t="shared" si="33"/>
        <v/>
      </c>
      <c r="AZ253" s="121" t="str">
        <f>IFERROR($M253+VLOOKUP($L253,'Voyage days'!$F$540:$H$613,3,FALSE),"")</f>
        <v/>
      </c>
      <c r="BA253" s="121" t="str">
        <f>IFERROR($N253+VLOOKUP($L253,'Voyage days'!$F$540:$H$613,3,FALSE),"")</f>
        <v/>
      </c>
      <c r="BB253" s="120" t="str">
        <f t="shared" si="34"/>
        <v/>
      </c>
      <c r="BC253" s="121" t="str">
        <f>IFERROR($M253+VLOOKUP($L253,'Voyage days'!$F$448:$H$479,3,FALSE),"")</f>
        <v/>
      </c>
      <c r="BD253" s="121" t="str">
        <f>IFERROR($N253+VLOOKUP($L253,'Voyage days'!$F$448:$H$479,3,FALSE),"")</f>
        <v/>
      </c>
      <c r="BE253" s="120" t="str">
        <f t="shared" si="35"/>
        <v/>
      </c>
      <c r="BF253" s="122" t="str">
        <f>IFERROR($M253+VLOOKUP($L253,'Voyage days'!$F$620:$H$646,3,FALSE),"")</f>
        <v/>
      </c>
      <c r="BG253" s="122" t="str">
        <f>IFERROR($N253+VLOOKUP($L253,'Voyage days'!$F$620:$H$646,3,FALSE),"")</f>
        <v/>
      </c>
      <c r="BH253" s="120" t="str">
        <f t="shared" si="36"/>
        <v/>
      </c>
      <c r="BI253" s="123" t="str">
        <f>IFERROR($M253+VLOOKUP($L253,'Voyage days'!$F$702:$H$727,3,FALSE),"")</f>
        <v/>
      </c>
      <c r="BJ253" s="120" t="str">
        <f t="shared" si="37"/>
        <v>05-06 May</v>
      </c>
      <c r="BK253" s="122">
        <f>IFERROR($M253+VLOOKUP($L253,'Voyage days'!$F$807:$H$878,3,FALSE),"")</f>
        <v>46147</v>
      </c>
      <c r="BL253" s="122">
        <f>IFERROR($N253+VLOOKUP($L253,'Voyage days'!$F$807:$H$878,3,FALSE),"")</f>
        <v>46148</v>
      </c>
      <c r="BM253" s="122">
        <f>IFERROR($N253+VLOOKUP($L253,'Voyage days'!$F$807:$K$878,6,FALSE),"")</f>
        <v>46129</v>
      </c>
      <c r="BN253" s="121" t="str">
        <f>if(L253="loads AG", IFERROR($M253+VLOOKUP($L253,'Voyage days'!$M$38:$O$38,3,FALSE),""),"")</f>
        <v/>
      </c>
      <c r="BO253" s="121" t="str">
        <f>if(L253="loads USG", IFERROR($M253+VLOOKUP($L253,'Voyage days'!$L$203:$N$203,3,FALSE),""),"")</f>
        <v/>
      </c>
    </row>
    <row r="254" ht="15.75" customHeight="1">
      <c r="A254" s="473" t="s">
        <v>583</v>
      </c>
      <c r="B254" s="222">
        <v>40040.0</v>
      </c>
      <c r="C254" s="166">
        <v>78000.0</v>
      </c>
      <c r="D254" s="223"/>
      <c r="E254" s="223"/>
      <c r="F254" s="168"/>
      <c r="G254" s="168"/>
      <c r="H254" s="168"/>
      <c r="I254" s="324" t="s">
        <v>1264</v>
      </c>
      <c r="J254" s="170" t="str">
        <f t="shared" si="41"/>
        <v/>
      </c>
      <c r="K254" s="225"/>
      <c r="L254" s="172" t="s">
        <v>755</v>
      </c>
      <c r="M254" s="173">
        <v>46165.0</v>
      </c>
      <c r="N254" s="173">
        <v>46166.0</v>
      </c>
      <c r="O254" s="226"/>
      <c r="P254" s="172" t="s">
        <v>1278</v>
      </c>
      <c r="Q254" s="172"/>
      <c r="R254" s="172" t="s">
        <v>1279</v>
      </c>
      <c r="S254" s="175" t="s">
        <v>659</v>
      </c>
      <c r="T254" s="176">
        <v>46125.0</v>
      </c>
      <c r="U254" s="177" t="str">
        <f>IF(V254="","No AIS",VLOOKUP(V254,'Voyage days'!$A$3:$B$1480,2,FALSE))</f>
        <v>Indo + 4</v>
      </c>
      <c r="V254" s="178" t="str">
        <f>IF(VLOOKUP(A254,'1) Kpler'!$E$2:$P$1000,8, FALSE)="","",VLOOKUP(A254,'1) Kpler'!$E$2:$P$1000,8, FALSE))</f>
        <v>Oiltank. Merak</v>
      </c>
      <c r="W254" s="179">
        <f>IF(VLOOKUP(A254,'1) Kpler'!$E$2:$P$1000,9,FALSE)="","",VLOOKUP(A254,'1) Kpler'!$E$2:$P$1000,9,FALSE))</f>
        <v>46162.33333</v>
      </c>
      <c r="X254" s="178" t="str">
        <f>VLOOKUP(A254,'1) Kpler'!$E$2:$I$1000,4,FALSE)</f>
        <v>loaded</v>
      </c>
      <c r="Y254" s="180" t="str">
        <f t="shared" si="39"/>
        <v>03-04 Jun</v>
      </c>
      <c r="Z254" s="180" t="str">
        <f t="shared" si="2"/>
        <v>01-02 Jul</v>
      </c>
      <c r="AA254" s="180" t="str">
        <f t="shared" si="3"/>
        <v>29-30 Jun</v>
      </c>
      <c r="AB254" s="180" t="str">
        <f t="shared" si="4"/>
        <v>12-13 Jun</v>
      </c>
      <c r="AC254" s="180" t="str">
        <f t="shared" si="5"/>
        <v>21-22 Jun</v>
      </c>
      <c r="AD254" s="180" t="str">
        <f t="shared" si="6"/>
        <v>26-27 May</v>
      </c>
      <c r="AE254" s="181" t="str">
        <f t="shared" si="7"/>
        <v>27-28 May</v>
      </c>
      <c r="AF254" s="182" t="str">
        <f t="shared" si="8"/>
        <v>29-30 Jun</v>
      </c>
      <c r="AG254" s="120" t="str">
        <f t="shared" si="27"/>
        <v>03-04 Jun</v>
      </c>
      <c r="AH254" s="121">
        <f>IFERROR($M254+VLOOKUP($L254,'Voyage days'!$F$38:$H$89,3,FALSE),"")</f>
        <v>46176</v>
      </c>
      <c r="AI254" s="121">
        <f>IFERROR(N254+VLOOKUP($L254,'Voyage days'!$F$38:$H$89,3,FALSE),"")</f>
        <v>46177</v>
      </c>
      <c r="AJ254" s="120" t="str">
        <f t="shared" si="28"/>
        <v>01-02 Jul</v>
      </c>
      <c r="AK254" s="121">
        <f>IFERROR($M254+VLOOKUP($L254,'Voyage days'!$F$94:$H$193,3,FALSE),"")</f>
        <v>46204</v>
      </c>
      <c r="AL254" s="121">
        <f>IFERROR($N254+VLOOKUP($L254,'Voyage days'!$F$94:$H$193,3,FALSE),"")</f>
        <v>46205</v>
      </c>
      <c r="AM254" s="120" t="str">
        <f t="shared" si="29"/>
        <v>29-30 Jun</v>
      </c>
      <c r="AN254" s="121">
        <f>IFERROR($M254+VLOOKUP($L254,'Voyage days'!$F$203:$H$256,3,FALSE),"")</f>
        <v>46202</v>
      </c>
      <c r="AO254" s="121">
        <f>IFERROR($N254+VLOOKUP($L254,'Voyage days'!$F$203:$H$256,3,FALSE),"")</f>
        <v>46203</v>
      </c>
      <c r="AP254" s="120" t="str">
        <f t="shared" si="30"/>
        <v>12-13 Jun</v>
      </c>
      <c r="AQ254" s="121">
        <f>IFERROR($M254+VLOOKUP($L254,'Voyage days'!$F$294:$H$377,3,FALSE),"")</f>
        <v>46185</v>
      </c>
      <c r="AR254" s="121">
        <f>IFERROR($N254+VLOOKUP($L254,'Voyage days'!$F$294:$H$377,3,FALSE),"")</f>
        <v>46186</v>
      </c>
      <c r="AS254" s="120" t="str">
        <f t="shared" si="31"/>
        <v>21-22 Jun</v>
      </c>
      <c r="AT254" s="121">
        <f>IFERROR($M254+VLOOKUP($L254,'Voyage days'!$F$382:$H$446,3,FALSE),"")</f>
        <v>46194</v>
      </c>
      <c r="AU254" s="121">
        <f>IFERROR($N254+VLOOKUP($L254,'Voyage days'!$F$382:$H$446,3,FALSE),"")</f>
        <v>46195</v>
      </c>
      <c r="AV254" s="120" t="str">
        <f t="shared" si="32"/>
        <v>01-02 Jun</v>
      </c>
      <c r="AW254" s="121">
        <f>IFERROR($M254+VLOOKUP($L254,'Voyage days'!$F$483:$H$538,3,FALSE),"")</f>
        <v>46174</v>
      </c>
      <c r="AX254" s="121">
        <f>IFERROR($N254+VLOOKUP($L254,'Voyage days'!$F$483:$H$538,3,FALSE),"")</f>
        <v>46175</v>
      </c>
      <c r="AY254" s="120" t="str">
        <f t="shared" si="33"/>
        <v>27-28 May</v>
      </c>
      <c r="AZ254" s="121">
        <f>IFERROR($M254+VLOOKUP($L254,'Voyage days'!$F$540:$H$613,3,FALSE),"")</f>
        <v>46169</v>
      </c>
      <c r="BA254" s="121">
        <f>IFERROR($N254+VLOOKUP($L254,'Voyage days'!$F$540:$H$613,3,FALSE),"")</f>
        <v>46170</v>
      </c>
      <c r="BB254" s="120" t="str">
        <f t="shared" si="34"/>
        <v>26-27 May</v>
      </c>
      <c r="BC254" s="121">
        <f>IFERROR($M254+VLOOKUP($L254,'Voyage days'!$F$448:$H$479,3,FALSE),"")</f>
        <v>46168</v>
      </c>
      <c r="BD254" s="121">
        <f>IFERROR($N254+VLOOKUP($L254,'Voyage days'!$F$448:$H$479,3,FALSE),"")</f>
        <v>46169</v>
      </c>
      <c r="BE254" s="120" t="str">
        <f t="shared" si="35"/>
        <v/>
      </c>
      <c r="BF254" s="122" t="str">
        <f>IFERROR($M254+VLOOKUP($L254,'Voyage days'!$F$620:$H$646,3,FALSE),"")</f>
        <v/>
      </c>
      <c r="BG254" s="122" t="str">
        <f>IFERROR($N254+VLOOKUP($L254,'Voyage days'!$F$620:$H$646,3,FALSE),"")</f>
        <v/>
      </c>
      <c r="BH254" s="120" t="str">
        <f t="shared" si="36"/>
        <v>31-30 Jun</v>
      </c>
      <c r="BI254" s="123">
        <f>IFERROR($M254+VLOOKUP($L254,'Voyage days'!$F$702:$H$727,3,FALSE),"")</f>
        <v>46173</v>
      </c>
      <c r="BJ254" s="120" t="str">
        <f t="shared" si="37"/>
        <v>29-30 Jun</v>
      </c>
      <c r="BK254" s="122">
        <f>IFERROR($M254+VLOOKUP($L254,'Voyage days'!$F$807:$H$878,3,FALSE),"")</f>
        <v>46202</v>
      </c>
      <c r="BL254" s="122">
        <f>IFERROR($N254+VLOOKUP($L254,'Voyage days'!$F$807:$H$878,3,FALSE),"")</f>
        <v>46203</v>
      </c>
      <c r="BM254" s="122">
        <f>IFERROR($N254+VLOOKUP($L254,'Voyage days'!$F$807:$K$878,6,FALSE),"")</f>
        <v>46179</v>
      </c>
      <c r="BN254" s="121" t="str">
        <f>if(L254="loads AG", IFERROR($M254+VLOOKUP($L254,'Voyage days'!$M$38:$O$38,3,FALSE),""),"")</f>
        <v/>
      </c>
      <c r="BO254" s="121" t="str">
        <f>if(L254="loads USG", IFERROR($M254+VLOOKUP($L254,'Voyage days'!$L$203:$N$203,3,FALSE),""),"")</f>
        <v/>
      </c>
    </row>
    <row r="255" ht="15.75" customHeight="1">
      <c r="A255" s="100" t="s">
        <v>19</v>
      </c>
      <c r="B255" s="231">
        <v>2022.0</v>
      </c>
      <c r="C255" s="232">
        <v>86000.0</v>
      </c>
      <c r="D255" s="292"/>
      <c r="E255" s="292"/>
      <c r="F255" s="234"/>
      <c r="G255" s="234"/>
      <c r="H255" s="234" t="s">
        <v>666</v>
      </c>
      <c r="I255" s="578" t="s">
        <v>1280</v>
      </c>
      <c r="J255" s="517" t="str">
        <f t="shared" si="41"/>
        <v>NO AIS</v>
      </c>
      <c r="K255" s="152"/>
      <c r="L255" s="235" t="s">
        <v>1031</v>
      </c>
      <c r="M255" s="109">
        <v>46125.0</v>
      </c>
      <c r="N255" s="276">
        <v>46127.0</v>
      </c>
      <c r="O255" s="628"/>
      <c r="P255" s="629" t="s">
        <v>1281</v>
      </c>
      <c r="Q255" s="235"/>
      <c r="R255" s="235" t="s">
        <v>1282</v>
      </c>
      <c r="S255" s="256" t="s">
        <v>33</v>
      </c>
      <c r="T255" s="318">
        <v>46125.0</v>
      </c>
      <c r="U255" s="114" t="str">
        <f>IF(V255="","No AIS",VLOOKUP(V255,'Voyage days'!$A$3:$B$1480,2,FALSE))</f>
        <v>No AIS</v>
      </c>
      <c r="V255" s="114" t="str">
        <f>IF(VLOOKUP(A255,'1) Kpler'!$E$2:$P$1000,8, FALSE)="","",VLOOKUP(A255,'1) Kpler'!$E$2:$P$1000,8, FALSE))</f>
        <v/>
      </c>
      <c r="W255" s="159" t="str">
        <f>IF(VLOOKUP(A255,'1) Kpler'!$E$2:$P$1000,9,FALSE)="","",VLOOKUP(A255,'1) Kpler'!$E$2:$P$1000,9,FALSE))</f>
        <v/>
      </c>
      <c r="X255" s="114" t="str">
        <f>VLOOKUP(A255,'1) Kpler'!$E$2:$I$1000,4,FALSE)</f>
        <v>loaded</v>
      </c>
      <c r="Y255" s="272" t="str">
        <f t="shared" si="39"/>
        <v>13-15 Apr</v>
      </c>
      <c r="Z255" s="272" t="str">
        <f t="shared" si="2"/>
        <v/>
      </c>
      <c r="AA255" s="272" t="str">
        <f t="shared" si="3"/>
        <v/>
      </c>
      <c r="AB255" s="272" t="str">
        <f t="shared" si="4"/>
        <v/>
      </c>
      <c r="AC255" s="272" t="str">
        <f t="shared" si="5"/>
        <v/>
      </c>
      <c r="AD255" s="272" t="str">
        <f t="shared" si="6"/>
        <v/>
      </c>
      <c r="AE255" s="273" t="str">
        <f t="shared" si="7"/>
        <v>02-04 May</v>
      </c>
      <c r="AF255" s="162" t="str">
        <f t="shared" si="8"/>
        <v>13-15 Apr</v>
      </c>
      <c r="AG255" s="163" t="str">
        <f t="shared" si="27"/>
        <v>13-15 Apr</v>
      </c>
      <c r="AH255" s="122">
        <f>IFERROR($M255+VLOOKUP($L255,'Voyage days'!$F$38:$H$89,3,FALSE),"")</f>
        <v>46125</v>
      </c>
      <c r="AI255" s="122">
        <f>IFERROR(N255+VLOOKUP($L255,'Voyage days'!$F$38:$H$89,3,FALSE),"")</f>
        <v>46127</v>
      </c>
      <c r="AJ255" s="163" t="str">
        <f t="shared" si="28"/>
        <v/>
      </c>
      <c r="AK255" s="122" t="str">
        <f>IFERROR($M255+VLOOKUP($L255,'Voyage days'!$F$94:$H$193,3,FALSE),"")</f>
        <v/>
      </c>
      <c r="AL255" s="122" t="str">
        <f>IFERROR($N255+VLOOKUP($L255,'Voyage days'!$F$94:$H$193,3,FALSE),"")</f>
        <v/>
      </c>
      <c r="AM255" s="163" t="str">
        <f t="shared" si="29"/>
        <v/>
      </c>
      <c r="AN255" s="122" t="str">
        <f>IFERROR($M255+VLOOKUP($L255,'Voyage days'!$F$203:$H$256,3,FALSE),"")</f>
        <v/>
      </c>
      <c r="AO255" s="122" t="str">
        <f>IFERROR($N255+VLOOKUP($L255,'Voyage days'!$F$203:$H$256,3,FALSE),"")</f>
        <v/>
      </c>
      <c r="AP255" s="163" t="str">
        <f t="shared" si="30"/>
        <v/>
      </c>
      <c r="AQ255" s="122" t="str">
        <f>IFERROR($M255+VLOOKUP($L255,'Voyage days'!$F$294:$H$377,3,FALSE),"")</f>
        <v/>
      </c>
      <c r="AR255" s="122" t="str">
        <f>IFERROR($N255+VLOOKUP($L255,'Voyage days'!$F$294:$H$377,3,FALSE),"")</f>
        <v/>
      </c>
      <c r="AS255" s="163" t="str">
        <f t="shared" si="31"/>
        <v/>
      </c>
      <c r="AT255" s="122" t="str">
        <f>IFERROR($M255+VLOOKUP($L255,'Voyage days'!$F$382:$H$446,3,FALSE),"")</f>
        <v/>
      </c>
      <c r="AU255" s="122" t="str">
        <f>IFERROR($N255+VLOOKUP($L255,'Voyage days'!$F$382:$H$446,3,FALSE),"")</f>
        <v/>
      </c>
      <c r="AV255" s="163" t="str">
        <f t="shared" si="32"/>
        <v/>
      </c>
      <c r="AW255" s="122" t="str">
        <f>IFERROR($M255+VLOOKUP($L255,'Voyage days'!$F$483:$H$538,3,FALSE),"")</f>
        <v/>
      </c>
      <c r="AX255" s="122" t="str">
        <f>IFERROR($N255+VLOOKUP($L255,'Voyage days'!$F$483:$H$538,3,FALSE),"")</f>
        <v/>
      </c>
      <c r="AY255" s="163" t="str">
        <f t="shared" si="33"/>
        <v>02-04 May</v>
      </c>
      <c r="AZ255" s="122">
        <f>IFERROR($M255+VLOOKUP($L255,'Voyage days'!$F$540:$H$613,3,FALSE),"")</f>
        <v>46144</v>
      </c>
      <c r="BA255" s="122">
        <f>IFERROR($N255+VLOOKUP($L255,'Voyage days'!$F$540:$H$613,3,FALSE),"")</f>
        <v>46146</v>
      </c>
      <c r="BB255" s="163" t="str">
        <f t="shared" si="34"/>
        <v/>
      </c>
      <c r="BC255" s="121" t="str">
        <f>IFERROR($M255+VLOOKUP($L255,'Voyage days'!$F$448:$H$479,3,FALSE),"")</f>
        <v/>
      </c>
      <c r="BD255" s="121" t="str">
        <f>IFERROR($N255+VLOOKUP($L255,'Voyage days'!$F$448:$H$479,3,FALSE),"")</f>
        <v/>
      </c>
      <c r="BE255" s="163" t="str">
        <f t="shared" si="35"/>
        <v/>
      </c>
      <c r="BF255" s="122" t="str">
        <f>IFERROR($M255+VLOOKUP($L255,'Voyage days'!$F$620:$H$646,3,FALSE),"")</f>
        <v/>
      </c>
      <c r="BG255" s="122" t="str">
        <f>IFERROR($N255+VLOOKUP($L255,'Voyage days'!$F$620:$H$646,3,FALSE),"")</f>
        <v/>
      </c>
      <c r="BH255" s="163" t="str">
        <f t="shared" si="36"/>
        <v/>
      </c>
      <c r="BI255" s="123" t="str">
        <f>IFERROR($M255+VLOOKUP($L255,'Voyage days'!$F$702:$H$727,3,FALSE),"")</f>
        <v/>
      </c>
      <c r="BJ255" s="163" t="str">
        <f t="shared" si="37"/>
        <v>13-15 Apr</v>
      </c>
      <c r="BK255" s="122">
        <f>IFERROR($M255+VLOOKUP($L255,'Voyage days'!$F$807:$H$878,3,FALSE),"")</f>
        <v>46125</v>
      </c>
      <c r="BL255" s="122">
        <f>IFERROR($N255+VLOOKUP($L255,'Voyage days'!$F$807:$H$878,3,FALSE),"")</f>
        <v>46127</v>
      </c>
      <c r="BM255" s="122">
        <f>IFERROR($N255+VLOOKUP($L255,'Voyage days'!$F$807:$K$878,6,FALSE),"")</f>
        <v>46130</v>
      </c>
      <c r="BN255" s="121">
        <f>if(L255="loads AG", IFERROR($M255+VLOOKUP($L255,'Voyage days'!$M$38:$O$38,3,FALSE),""),"")</f>
        <v>46150</v>
      </c>
      <c r="BO255" s="121" t="str">
        <f>if(L255="loads USG", IFERROR($M255+VLOOKUP($L255,'Voyage days'!$L$203:$N$203,3,FALSE),""),"")</f>
        <v/>
      </c>
    </row>
    <row r="256" ht="15.75" customHeight="1">
      <c r="A256" s="630" t="s">
        <v>32</v>
      </c>
      <c r="B256" s="148">
        <v>2022.0</v>
      </c>
      <c r="C256" s="102">
        <v>86000.0</v>
      </c>
      <c r="D256" s="103"/>
      <c r="E256" s="103"/>
      <c r="F256" s="104"/>
      <c r="G256" s="104"/>
      <c r="H256" s="104" t="s">
        <v>666</v>
      </c>
      <c r="I256" s="401" t="s">
        <v>1280</v>
      </c>
      <c r="J256" s="106" t="str">
        <f t="shared" si="41"/>
        <v>NO AIS</v>
      </c>
      <c r="K256" s="107"/>
      <c r="L256" s="618" t="s">
        <v>1039</v>
      </c>
      <c r="M256" s="109">
        <v>46125.0</v>
      </c>
      <c r="N256" s="254">
        <v>46127.0</v>
      </c>
      <c r="O256" s="191"/>
      <c r="P256" s="108" t="s">
        <v>1283</v>
      </c>
      <c r="Q256" s="108"/>
      <c r="R256" s="108" t="s">
        <v>1284</v>
      </c>
      <c r="S256" s="256" t="s">
        <v>33</v>
      </c>
      <c r="T256" s="113">
        <v>46125.0</v>
      </c>
      <c r="U256" s="114" t="str">
        <f>IF(V256="","No AIS",VLOOKUP(V256,'Voyage days'!$A$3:$B$1480,2,FALSE))</f>
        <v>No AIS</v>
      </c>
      <c r="V256" s="115" t="str">
        <f>IF(VLOOKUP(A256,'1) Kpler'!$E$2:$P$1000,8, FALSE)="","",VLOOKUP(A256,'1) Kpler'!$E$2:$P$1000,8, FALSE))</f>
        <v/>
      </c>
      <c r="W256" s="116" t="str">
        <f>IF(VLOOKUP(A256,'1) Kpler'!$E$2:$P$1000,9,FALSE)="","",VLOOKUP(A256,'1) Kpler'!$E$2:$P$1000,9,FALSE))</f>
        <v/>
      </c>
      <c r="X256" s="115" t="str">
        <f>VLOOKUP(A256,'1) Kpler'!$E$2:$I$1000,4,FALSE)</f>
        <v>loaded</v>
      </c>
      <c r="Y256" s="272" t="str">
        <f t="shared" si="39"/>
        <v/>
      </c>
      <c r="Z256" s="272" t="str">
        <f t="shared" si="2"/>
        <v/>
      </c>
      <c r="AA256" s="272" t="str">
        <f t="shared" si="3"/>
        <v/>
      </c>
      <c r="AB256" s="272" t="str">
        <f t="shared" si="4"/>
        <v/>
      </c>
      <c r="AC256" s="272" t="str">
        <f t="shared" si="5"/>
        <v>26-28 Apr</v>
      </c>
      <c r="AD256" s="272" t="str">
        <f t="shared" si="6"/>
        <v/>
      </c>
      <c r="AE256" s="273" t="str">
        <f t="shared" si="7"/>
        <v/>
      </c>
      <c r="AF256" s="162" t="str">
        <f t="shared" si="8"/>
        <v/>
      </c>
      <c r="AG256" s="163" t="str">
        <f t="shared" si="27"/>
        <v/>
      </c>
      <c r="AH256" s="122" t="str">
        <f>IFERROR($M256+VLOOKUP($L256,'Voyage days'!$F$38:$H$89,3,FALSE),"")</f>
        <v/>
      </c>
      <c r="AI256" s="122" t="str">
        <f>IFERROR(N256+VLOOKUP($L256,'Voyage days'!$F$38:$H$89,3,FALSE),"")</f>
        <v/>
      </c>
      <c r="AJ256" s="163" t="str">
        <f t="shared" si="28"/>
        <v/>
      </c>
      <c r="AK256" s="122" t="str">
        <f>IFERROR($M256+VLOOKUP($L256,'Voyage days'!$F$94:$H$193,3,FALSE),"")</f>
        <v/>
      </c>
      <c r="AL256" s="122" t="str">
        <f>IFERROR($N256+VLOOKUP($L256,'Voyage days'!$F$94:$H$193,3,FALSE),"")</f>
        <v/>
      </c>
      <c r="AM256" s="163" t="str">
        <f t="shared" si="29"/>
        <v/>
      </c>
      <c r="AN256" s="122" t="str">
        <f>IFERROR($M256+VLOOKUP($L256,'Voyage days'!$F$203:$H$256,3,FALSE),"")</f>
        <v/>
      </c>
      <c r="AO256" s="122" t="str">
        <f>IFERROR($N256+VLOOKUP($L256,'Voyage days'!$F$203:$H$256,3,FALSE),"")</f>
        <v/>
      </c>
      <c r="AP256" s="163" t="str">
        <f t="shared" si="30"/>
        <v/>
      </c>
      <c r="AQ256" s="122" t="str">
        <f>IFERROR($M256+VLOOKUP($L256,'Voyage days'!$F$294:$H$377,3,FALSE),"")</f>
        <v/>
      </c>
      <c r="AR256" s="122" t="str">
        <f>IFERROR($N256+VLOOKUP($L256,'Voyage days'!$F$294:$H$377,3,FALSE),"")</f>
        <v/>
      </c>
      <c r="AS256" s="163" t="str">
        <f t="shared" si="31"/>
        <v>26-28 Apr</v>
      </c>
      <c r="AT256" s="122">
        <f>IFERROR($M256+VLOOKUP($L256,'Voyage days'!$F$382:$H$446,3,FALSE),"")</f>
        <v>46138</v>
      </c>
      <c r="AU256" s="122">
        <f>IFERROR($N256+VLOOKUP($L256,'Voyage days'!$F$382:$H$446,3,FALSE),"")</f>
        <v>46140</v>
      </c>
      <c r="AV256" s="163" t="str">
        <f t="shared" si="32"/>
        <v/>
      </c>
      <c r="AW256" s="122" t="str">
        <f>IFERROR($M256+VLOOKUP($L256,'Voyage days'!$F$483:$H$538,3,FALSE),"")</f>
        <v/>
      </c>
      <c r="AX256" s="122" t="str">
        <f>IFERROR($N256+VLOOKUP($L256,'Voyage days'!$F$483:$H$538,3,FALSE),"")</f>
        <v/>
      </c>
      <c r="AY256" s="163" t="str">
        <f t="shared" si="33"/>
        <v/>
      </c>
      <c r="AZ256" s="122" t="str">
        <f>IFERROR($M256+VLOOKUP($L256,'Voyage days'!$F$540:$H$613,3,FALSE),"")</f>
        <v/>
      </c>
      <c r="BA256" s="122" t="str">
        <f>IFERROR($N256+VLOOKUP($L256,'Voyage days'!$F$540:$H$613,3,FALSE),"")</f>
        <v/>
      </c>
      <c r="BB256" s="163" t="str">
        <f t="shared" si="34"/>
        <v/>
      </c>
      <c r="BC256" s="121" t="str">
        <f>IFERROR($M256+VLOOKUP($L256,'Voyage days'!$F$448:$H$479,3,FALSE),"")</f>
        <v/>
      </c>
      <c r="BD256" s="121" t="str">
        <f>IFERROR($N256+VLOOKUP($L256,'Voyage days'!$F$448:$H$479,3,FALSE),"")</f>
        <v/>
      </c>
      <c r="BE256" s="163" t="str">
        <f t="shared" si="35"/>
        <v/>
      </c>
      <c r="BF256" s="122" t="str">
        <f>IFERROR($M256+VLOOKUP($L256,'Voyage days'!$F$620:$H$646,3,FALSE),"")</f>
        <v/>
      </c>
      <c r="BG256" s="122" t="str">
        <f>IFERROR($N256+VLOOKUP($L256,'Voyage days'!$F$620:$H$646,3,FALSE),"")</f>
        <v/>
      </c>
      <c r="BH256" s="163" t="str">
        <f t="shared" si="36"/>
        <v/>
      </c>
      <c r="BI256" s="123" t="str">
        <f>IFERROR($M256+VLOOKUP($L256,'Voyage days'!$F$702:$H$727,3,FALSE),"")</f>
        <v/>
      </c>
      <c r="BJ256" s="163" t="str">
        <f t="shared" si="37"/>
        <v/>
      </c>
      <c r="BK256" s="122" t="str">
        <f>IFERROR($M256+VLOOKUP($L256,'Voyage days'!$F$807:$H$878,3,FALSE),"")</f>
        <v/>
      </c>
      <c r="BL256" s="122" t="str">
        <f>IFERROR($N256+VLOOKUP($L256,'Voyage days'!$F$807:$H$878,3,FALSE),"")</f>
        <v/>
      </c>
      <c r="BM256" s="122" t="str">
        <f>IFERROR($N256+VLOOKUP($L256,'Voyage days'!$F$807:$K$878,6,FALSE),"")</f>
        <v/>
      </c>
      <c r="BN256" s="121" t="str">
        <f>if(L256="loads AG", IFERROR($M256+VLOOKUP($L256,'Voyage days'!$M$38:$O$38,3,FALSE),""),"")</f>
        <v/>
      </c>
      <c r="BO256" s="121" t="str">
        <f>if(L256="loads USG", IFERROR($M256+VLOOKUP($L256,'Voyage days'!$L$203:$N$203,3,FALSE),""),"")</f>
        <v/>
      </c>
    </row>
    <row r="257" ht="15.75" customHeight="1">
      <c r="A257" s="630" t="s">
        <v>83</v>
      </c>
      <c r="B257" s="148">
        <v>2023.0</v>
      </c>
      <c r="C257" s="203">
        <v>86000.0</v>
      </c>
      <c r="D257" s="103"/>
      <c r="E257" s="103"/>
      <c r="F257" s="104"/>
      <c r="G257" s="104"/>
      <c r="H257" s="104" t="s">
        <v>666</v>
      </c>
      <c r="I257" s="401" t="s">
        <v>1280</v>
      </c>
      <c r="J257" s="106" t="str">
        <f t="shared" si="41"/>
        <v>NO AIS</v>
      </c>
      <c r="K257" s="107"/>
      <c r="L257" s="108" t="s">
        <v>1031</v>
      </c>
      <c r="M257" s="109">
        <v>46125.0</v>
      </c>
      <c r="N257" s="254">
        <v>46126.0</v>
      </c>
      <c r="O257" s="191"/>
      <c r="P257" s="211" t="s">
        <v>1285</v>
      </c>
      <c r="Q257" s="108"/>
      <c r="R257" s="108" t="s">
        <v>1286</v>
      </c>
      <c r="S257" s="256" t="s">
        <v>33</v>
      </c>
      <c r="T257" s="113">
        <v>46125.0</v>
      </c>
      <c r="U257" s="114" t="str">
        <f>IF(V257="","No AIS",VLOOKUP(V257,'Voyage days'!$A$3:$B$1480,2,FALSE))</f>
        <v>No AIS</v>
      </c>
      <c r="V257" s="115" t="str">
        <f>IF(VLOOKUP(A257,'1) Kpler'!$E$2:$P$1000,8, FALSE)="","",VLOOKUP(A257,'1) Kpler'!$E$2:$P$1000,8, FALSE))</f>
        <v/>
      </c>
      <c r="W257" s="116" t="str">
        <f>IF(VLOOKUP(A257,'1) Kpler'!$E$2:$P$1000,9,FALSE)="","",VLOOKUP(A257,'1) Kpler'!$E$2:$P$1000,9,FALSE))</f>
        <v/>
      </c>
      <c r="X257" s="115" t="str">
        <f>VLOOKUP(A257,'1) Kpler'!$E$2:$I$1000,4,FALSE)</f>
        <v>ballast</v>
      </c>
      <c r="Y257" s="272" t="str">
        <f t="shared" si="39"/>
        <v>13-14 Apr</v>
      </c>
      <c r="Z257" s="272" t="str">
        <f t="shared" si="2"/>
        <v/>
      </c>
      <c r="AA257" s="272" t="str">
        <f t="shared" si="3"/>
        <v/>
      </c>
      <c r="AB257" s="272" t="str">
        <f t="shared" si="4"/>
        <v/>
      </c>
      <c r="AC257" s="272" t="str">
        <f t="shared" si="5"/>
        <v/>
      </c>
      <c r="AD257" s="272" t="str">
        <f t="shared" si="6"/>
        <v/>
      </c>
      <c r="AE257" s="273" t="str">
        <f t="shared" si="7"/>
        <v>02-03 May</v>
      </c>
      <c r="AF257" s="162" t="str">
        <f t="shared" si="8"/>
        <v>13-14 Apr</v>
      </c>
      <c r="AG257" s="163" t="str">
        <f t="shared" si="27"/>
        <v>13-14 Apr</v>
      </c>
      <c r="AH257" s="122">
        <f>IFERROR($M257+VLOOKUP($L257,'Voyage days'!$F$38:$H$89,3,FALSE),"")</f>
        <v>46125</v>
      </c>
      <c r="AI257" s="122">
        <f>IFERROR(N257+VLOOKUP($L257,'Voyage days'!$F$38:$H$89,3,FALSE),"")</f>
        <v>46126</v>
      </c>
      <c r="AJ257" s="163" t="str">
        <f t="shared" si="28"/>
        <v/>
      </c>
      <c r="AK257" s="122" t="str">
        <f>IFERROR($M257+VLOOKUP($L257,'Voyage days'!$F$94:$H$193,3,FALSE),"")</f>
        <v/>
      </c>
      <c r="AL257" s="122" t="str">
        <f>IFERROR($N257+VLOOKUP($L257,'Voyage days'!$F$94:$H$193,3,FALSE),"")</f>
        <v/>
      </c>
      <c r="AM257" s="163" t="str">
        <f t="shared" si="29"/>
        <v/>
      </c>
      <c r="AN257" s="122" t="str">
        <f>IFERROR($M257+VLOOKUP($L257,'Voyage days'!$F$203:$H$256,3,FALSE),"")</f>
        <v/>
      </c>
      <c r="AO257" s="122" t="str">
        <f>IFERROR($N257+VLOOKUP($L257,'Voyage days'!$F$203:$H$256,3,FALSE),"")</f>
        <v/>
      </c>
      <c r="AP257" s="163" t="str">
        <f t="shared" si="30"/>
        <v/>
      </c>
      <c r="AQ257" s="122" t="str">
        <f>IFERROR($M257+VLOOKUP($L257,'Voyage days'!$F$294:$H$377,3,FALSE),"")</f>
        <v/>
      </c>
      <c r="AR257" s="122" t="str">
        <f>IFERROR($N257+VLOOKUP($L257,'Voyage days'!$F$294:$H$377,3,FALSE),"")</f>
        <v/>
      </c>
      <c r="AS257" s="163" t="str">
        <f t="shared" si="31"/>
        <v/>
      </c>
      <c r="AT257" s="122" t="str">
        <f>IFERROR($M257+VLOOKUP($L257,'Voyage days'!$F$382:$H$446,3,FALSE),"")</f>
        <v/>
      </c>
      <c r="AU257" s="122" t="str">
        <f>IFERROR($N257+VLOOKUP($L257,'Voyage days'!$F$382:$H$446,3,FALSE),"")</f>
        <v/>
      </c>
      <c r="AV257" s="163" t="str">
        <f t="shared" si="32"/>
        <v/>
      </c>
      <c r="AW257" s="122" t="str">
        <f>IFERROR($M257+VLOOKUP($L257,'Voyage days'!$F$483:$H$538,3,FALSE),"")</f>
        <v/>
      </c>
      <c r="AX257" s="122" t="str">
        <f>IFERROR($N257+VLOOKUP($L257,'Voyage days'!$F$483:$H$538,3,FALSE),"")</f>
        <v/>
      </c>
      <c r="AY257" s="163" t="str">
        <f t="shared" si="33"/>
        <v>02-03 May</v>
      </c>
      <c r="AZ257" s="122">
        <f>IFERROR($M257+VLOOKUP($L257,'Voyage days'!$F$540:$H$613,3,FALSE),"")</f>
        <v>46144</v>
      </c>
      <c r="BA257" s="122">
        <f>IFERROR($N257+VLOOKUP($L257,'Voyage days'!$F$540:$H$613,3,FALSE),"")</f>
        <v>46145</v>
      </c>
      <c r="BB257" s="163" t="str">
        <f t="shared" si="34"/>
        <v/>
      </c>
      <c r="BC257" s="121" t="str">
        <f>IFERROR($M257+VLOOKUP($L257,'Voyage days'!$F$448:$H$479,3,FALSE),"")</f>
        <v/>
      </c>
      <c r="BD257" s="121" t="str">
        <f>IFERROR($N257+VLOOKUP($L257,'Voyage days'!$F$448:$H$479,3,FALSE),"")</f>
        <v/>
      </c>
      <c r="BE257" s="163" t="str">
        <f t="shared" si="35"/>
        <v/>
      </c>
      <c r="BF257" s="122" t="str">
        <f>IFERROR($M257+VLOOKUP($L257,'Voyage days'!$F$620:$H$646,3,FALSE),"")</f>
        <v/>
      </c>
      <c r="BG257" s="122" t="str">
        <f>IFERROR($N257+VLOOKUP($L257,'Voyage days'!$F$620:$H$646,3,FALSE),"")</f>
        <v/>
      </c>
      <c r="BH257" s="163" t="str">
        <f t="shared" si="36"/>
        <v/>
      </c>
      <c r="BI257" s="123" t="str">
        <f>IFERROR($M257+VLOOKUP($L257,'Voyage days'!$F$702:$H$727,3,FALSE),"")</f>
        <v/>
      </c>
      <c r="BJ257" s="163" t="str">
        <f t="shared" si="37"/>
        <v>13-14 Apr</v>
      </c>
      <c r="BK257" s="122">
        <f>IFERROR($M257+VLOOKUP($L257,'Voyage days'!$F$807:$H$878,3,FALSE),"")</f>
        <v>46125</v>
      </c>
      <c r="BL257" s="122">
        <f>IFERROR($N257+VLOOKUP($L257,'Voyage days'!$F$807:$H$878,3,FALSE),"")</f>
        <v>46126</v>
      </c>
      <c r="BM257" s="122">
        <f>IFERROR($N257+VLOOKUP($L257,'Voyage days'!$F$807:$K$878,6,FALSE),"")</f>
        <v>46129</v>
      </c>
      <c r="BN257" s="121">
        <f>if(L257="loads AG", IFERROR($M257+VLOOKUP($L257,'Voyage days'!$M$38:$O$38,3,FALSE),""),"")</f>
        <v>46150</v>
      </c>
      <c r="BO257" s="121" t="str">
        <f>if(L257="loads USG", IFERROR($M257+VLOOKUP($L257,'Voyage days'!$L$203:$N$203,3,FALSE),""),"")</f>
        <v/>
      </c>
    </row>
    <row r="258" ht="15.75" customHeight="1">
      <c r="A258" s="429" t="s">
        <v>218</v>
      </c>
      <c r="B258" s="101">
        <v>42396.0</v>
      </c>
      <c r="C258" s="102">
        <v>84000.0</v>
      </c>
      <c r="D258" s="103"/>
      <c r="E258" s="103"/>
      <c r="F258" s="104"/>
      <c r="G258" s="104"/>
      <c r="H258" s="104"/>
      <c r="I258" s="401" t="s">
        <v>1280</v>
      </c>
      <c r="J258" s="106" t="str">
        <f t="shared" si="41"/>
        <v/>
      </c>
      <c r="K258" s="107"/>
      <c r="L258" s="199" t="s">
        <v>663</v>
      </c>
      <c r="M258" s="109">
        <v>46136.0</v>
      </c>
      <c r="N258" s="109">
        <v>46137.0</v>
      </c>
      <c r="O258" s="627"/>
      <c r="P258" s="108" t="s">
        <v>1287</v>
      </c>
      <c r="Q258" s="108"/>
      <c r="R258" s="108" t="s">
        <v>1288</v>
      </c>
      <c r="S258" s="256" t="s">
        <v>33</v>
      </c>
      <c r="T258" s="113">
        <v>46125.0</v>
      </c>
      <c r="U258" s="114" t="str">
        <f>IF(V258="","No AIS",VLOOKUP(V258,'Voyage days'!$A$3:$B$1480,2,FALSE))</f>
        <v>ECI + 5</v>
      </c>
      <c r="V258" s="115" t="str">
        <f>IF(VLOOKUP(A258,'1) Kpler'!$E$2:$P$1000,8, FALSE)="","",VLOOKUP(A258,'1) Kpler'!$E$2:$P$1000,8, FALSE))</f>
        <v>Ennore Port</v>
      </c>
      <c r="W258" s="116">
        <f>IF(VLOOKUP(A258,'1) Kpler'!$E$2:$P$1000,9,FALSE)="","",VLOOKUP(A258,'1) Kpler'!$E$2:$P$1000,9,FALSE))</f>
        <v>46132.4375</v>
      </c>
      <c r="X258" s="115" t="str">
        <f>VLOOKUP(A258,'1) Kpler'!$E$2:$I$1000,4,FALSE)</f>
        <v>loaded</v>
      </c>
      <c r="Y258" s="117" t="str">
        <f t="shared" si="39"/>
        <v>11-12 May</v>
      </c>
      <c r="Z258" s="117" t="str">
        <f t="shared" si="2"/>
        <v>27-28 May</v>
      </c>
      <c r="AA258" s="117" t="str">
        <f t="shared" si="3"/>
        <v>07-08 Jun</v>
      </c>
      <c r="AB258" s="117" t="str">
        <f t="shared" si="4"/>
        <v>22-23 May</v>
      </c>
      <c r="AC258" s="117" t="str">
        <f t="shared" si="5"/>
        <v>29-30 May</v>
      </c>
      <c r="AD258" s="117" t="str">
        <f t="shared" si="6"/>
        <v>30-01 May</v>
      </c>
      <c r="AE258" s="118" t="str">
        <f t="shared" si="7"/>
        <v>01-02 May</v>
      </c>
      <c r="AF258" s="119" t="str">
        <f t="shared" si="8"/>
        <v>07-08 Jun</v>
      </c>
      <c r="AG258" s="120" t="str">
        <f t="shared" si="27"/>
        <v>11-12 May</v>
      </c>
      <c r="AH258" s="121">
        <f>IFERROR($M258+VLOOKUP($L258,'Voyage days'!$F$38:$H$89,3,FALSE),"")</f>
        <v>46153</v>
      </c>
      <c r="AI258" s="121">
        <f>IFERROR(N258+VLOOKUP($L258,'Voyage days'!$F$38:$H$89,3,FALSE),"")</f>
        <v>46154</v>
      </c>
      <c r="AJ258" s="120" t="str">
        <f t="shared" si="28"/>
        <v>27-28 May</v>
      </c>
      <c r="AK258" s="121">
        <f>IFERROR($M258+VLOOKUP($L258,'Voyage days'!$F$94:$H$193,3,FALSE),"")</f>
        <v>46169</v>
      </c>
      <c r="AL258" s="121">
        <f>IFERROR($N258+VLOOKUP($L258,'Voyage days'!$F$94:$H$193,3,FALSE),"")</f>
        <v>46170</v>
      </c>
      <c r="AM258" s="120" t="str">
        <f t="shared" si="29"/>
        <v>07-08 Jun</v>
      </c>
      <c r="AN258" s="121">
        <f>IFERROR($M258+VLOOKUP($L258,'Voyage days'!$F$203:$H$256,3,FALSE),"")</f>
        <v>46180</v>
      </c>
      <c r="AO258" s="121">
        <f>IFERROR($N258+VLOOKUP($L258,'Voyage days'!$F$203:$H$256,3,FALSE),"")</f>
        <v>46181</v>
      </c>
      <c r="AP258" s="120" t="str">
        <f t="shared" si="30"/>
        <v>22-23 May</v>
      </c>
      <c r="AQ258" s="121">
        <f>IFERROR($M258+VLOOKUP($L258,'Voyage days'!$F$294:$H$377,3,FALSE),"")</f>
        <v>46164</v>
      </c>
      <c r="AR258" s="121">
        <f>IFERROR($N258+VLOOKUP($L258,'Voyage days'!$F$294:$H$377,3,FALSE),"")</f>
        <v>46165</v>
      </c>
      <c r="AS258" s="120" t="str">
        <f t="shared" si="31"/>
        <v>29-30 May</v>
      </c>
      <c r="AT258" s="121">
        <f>IFERROR($M258+VLOOKUP($L258,'Voyage days'!$F$382:$H$446,3,FALSE),"")</f>
        <v>46171</v>
      </c>
      <c r="AU258" s="121">
        <f>IFERROR($N258+VLOOKUP($L258,'Voyage days'!$F$382:$H$446,3,FALSE),"")</f>
        <v>46172</v>
      </c>
      <c r="AV258" s="120" t="str">
        <f t="shared" si="32"/>
        <v>08-09 May</v>
      </c>
      <c r="AW258" s="121">
        <f>IFERROR($M258+VLOOKUP($L258,'Voyage days'!$F$483:$H$538,3,FALSE),"")</f>
        <v>46150</v>
      </c>
      <c r="AX258" s="121">
        <f>IFERROR($N258+VLOOKUP($L258,'Voyage days'!$F$483:$H$538,3,FALSE),"")</f>
        <v>46151</v>
      </c>
      <c r="AY258" s="120" t="str">
        <f t="shared" si="33"/>
        <v>01-02 May</v>
      </c>
      <c r="AZ258" s="121">
        <f>IFERROR($M258+VLOOKUP($L258,'Voyage days'!$F$540:$H$613,3,FALSE),"")</f>
        <v>46143.25</v>
      </c>
      <c r="BA258" s="121">
        <f>IFERROR($N258+VLOOKUP($L258,'Voyage days'!$F$540:$H$613,3,FALSE),"")</f>
        <v>46144.25</v>
      </c>
      <c r="BB258" s="120" t="str">
        <f t="shared" si="34"/>
        <v>30-01 May</v>
      </c>
      <c r="BC258" s="121">
        <f>IFERROR($M258+VLOOKUP($L258,'Voyage days'!$F$448:$H$479,3,FALSE),"")</f>
        <v>46142</v>
      </c>
      <c r="BD258" s="121">
        <f>IFERROR($N258+VLOOKUP($L258,'Voyage days'!$F$448:$H$479,3,FALSE),"")</f>
        <v>46143</v>
      </c>
      <c r="BE258" s="120" t="str">
        <f t="shared" si="35"/>
        <v>07-08 May</v>
      </c>
      <c r="BF258" s="122">
        <f>IFERROR($M258+VLOOKUP($L258,'Voyage days'!$F$620:$H$646,3,FALSE),"")</f>
        <v>46149</v>
      </c>
      <c r="BG258" s="122">
        <f>IFERROR($N258+VLOOKUP($L258,'Voyage days'!$F$620:$H$646,3,FALSE),"")</f>
        <v>46150</v>
      </c>
      <c r="BH258" s="120" t="str">
        <f t="shared" si="36"/>
        <v>01-08 Jun</v>
      </c>
      <c r="BI258" s="123">
        <f>IFERROR($M258+VLOOKUP($L258,'Voyage days'!$F$702:$H$727,3,FALSE),"")</f>
        <v>46143.25</v>
      </c>
      <c r="BJ258" s="120" t="str">
        <f t="shared" si="37"/>
        <v>07-08 Jun</v>
      </c>
      <c r="BK258" s="122">
        <f>IFERROR($M258+VLOOKUP($L258,'Voyage days'!$F$807:$H$878,3,FALSE),"")</f>
        <v>46180</v>
      </c>
      <c r="BL258" s="122">
        <f>IFERROR($N258+VLOOKUP($L258,'Voyage days'!$F$807:$H$878,3,FALSE),"")</f>
        <v>46181</v>
      </c>
      <c r="BM258" s="122">
        <f>IFERROR($N258+VLOOKUP($L258,'Voyage days'!$F$807:$K$878,6,FALSE),"")</f>
        <v>46155</v>
      </c>
      <c r="BN258" s="121" t="str">
        <f>if(L258="loads AG", IFERROR($M258+VLOOKUP($L258,'Voyage days'!$M$38:$O$38,3,FALSE),""),"")</f>
        <v/>
      </c>
      <c r="BO258" s="121" t="str">
        <f>if(L258="loads USG", IFERROR($M258+VLOOKUP($L258,'Voyage days'!$L$203:$N$203,3,FALSE),""),"")</f>
        <v/>
      </c>
    </row>
    <row r="259" ht="15.75" customHeight="1">
      <c r="A259" s="204" t="s">
        <v>1289</v>
      </c>
      <c r="B259" s="148">
        <v>2022.0</v>
      </c>
      <c r="C259" s="102">
        <v>86000.0</v>
      </c>
      <c r="D259" s="112"/>
      <c r="E259" s="112" t="s">
        <v>706</v>
      </c>
      <c r="F259" s="104"/>
      <c r="G259" s="104"/>
      <c r="H259" s="104" t="s">
        <v>666</v>
      </c>
      <c r="I259" s="401" t="s">
        <v>1280</v>
      </c>
      <c r="J259" s="106" t="str">
        <f t="shared" si="41"/>
        <v/>
      </c>
      <c r="K259" s="107"/>
      <c r="L259" s="199" t="s">
        <v>963</v>
      </c>
      <c r="M259" s="109">
        <v>46161.0</v>
      </c>
      <c r="N259" s="109">
        <v>46162.0</v>
      </c>
      <c r="O259" s="191"/>
      <c r="P259" s="108" t="s">
        <v>1290</v>
      </c>
      <c r="Q259" s="192"/>
      <c r="R259" s="108" t="s">
        <v>1291</v>
      </c>
      <c r="S259" s="256" t="s">
        <v>33</v>
      </c>
      <c r="T259" s="113">
        <v>46125.0</v>
      </c>
      <c r="U259" s="114" t="str">
        <f>IF(V259="","No AIS",VLOOKUP(V259,'Voyage days'!$A$3:$B$1480,2,FALSE))</f>
        <v>North China +4</v>
      </c>
      <c r="V259" s="115" t="str">
        <f>IF(VLOOKUP(9902809,'1) Kpler'!$K$2:$P$1000,2, FALSE)="","",VLOOKUP(9902809,'1) Kpler'!$K$2:$P$1000,2, FALSE))</f>
        <v>Wanhua Yantai NGL Terminal</v>
      </c>
      <c r="W259" s="116">
        <f>IF(VLOOKUP(9902809,'1) Kpler'!$K$2:$P$1000,2,FALSE)="","",VLOOKUP(9902809,'1) Kpler'!$K$2:$P$1000,3,FALSE))</f>
        <v>46161.20833</v>
      </c>
      <c r="X259" s="631"/>
      <c r="Y259" s="160" t="str">
        <f t="shared" si="39"/>
        <v>06-07 Jun</v>
      </c>
      <c r="Z259" s="160" t="str">
        <f t="shared" si="2"/>
        <v>21-22 Jun</v>
      </c>
      <c r="AA259" s="160" t="str">
        <f t="shared" si="3"/>
        <v>30-01 Jul</v>
      </c>
      <c r="AB259" s="160" t="str">
        <f t="shared" si="4"/>
        <v>17-18 Jun</v>
      </c>
      <c r="AC259" s="160" t="str">
        <f t="shared" si="5"/>
        <v>23-24 Jun</v>
      </c>
      <c r="AD259" s="160" t="str">
        <f t="shared" si="6"/>
        <v>27-28 May</v>
      </c>
      <c r="AE259" s="161" t="str">
        <f t="shared" si="7"/>
        <v>28-29 May</v>
      </c>
      <c r="AF259" s="162" t="str">
        <f t="shared" si="8"/>
        <v>04-05 Jul</v>
      </c>
      <c r="AG259" s="120" t="str">
        <f t="shared" si="27"/>
        <v>06-07 Jun</v>
      </c>
      <c r="AH259" s="121">
        <f>IFERROR($M259+VLOOKUP($L259,'Voyage days'!$F$38:$H$89,3,FALSE),"")</f>
        <v>46179</v>
      </c>
      <c r="AI259" s="121">
        <f>IFERROR(N259+VLOOKUP($L259,'Voyage days'!$F$38:$H$89,3,FALSE),"")</f>
        <v>46180</v>
      </c>
      <c r="AJ259" s="120" t="str">
        <f t="shared" si="28"/>
        <v>21-22 Jun</v>
      </c>
      <c r="AK259" s="121">
        <f>IFERROR($M259+VLOOKUP($L259,'Voyage days'!$F$94:$H$193,3,FALSE),"")</f>
        <v>46194</v>
      </c>
      <c r="AL259" s="121">
        <f>IFERROR($N259+VLOOKUP($L259,'Voyage days'!$F$94:$H$193,3,FALSE),"")</f>
        <v>46195</v>
      </c>
      <c r="AM259" s="120" t="str">
        <f t="shared" si="29"/>
        <v>30-01 Jul</v>
      </c>
      <c r="AN259" s="121">
        <f>IFERROR($M259+VLOOKUP($L259,'Voyage days'!$F$203:$H$256,3,FALSE),"")</f>
        <v>46203</v>
      </c>
      <c r="AO259" s="121">
        <f>IFERROR($N259+VLOOKUP($L259,'Voyage days'!$F$203:$H$256,3,FALSE),"")</f>
        <v>46204</v>
      </c>
      <c r="AP259" s="120" t="str">
        <f t="shared" si="30"/>
        <v>17-18 Jun</v>
      </c>
      <c r="AQ259" s="121">
        <f>IFERROR($M259+VLOOKUP($L259,'Voyage days'!$F$294:$H$377,3,FALSE),"")</f>
        <v>46190</v>
      </c>
      <c r="AR259" s="121">
        <f>IFERROR($N259+VLOOKUP($L259,'Voyage days'!$F$294:$H$377,3,FALSE),"")</f>
        <v>46191</v>
      </c>
      <c r="AS259" s="120" t="str">
        <f t="shared" si="31"/>
        <v>23-24 Jun</v>
      </c>
      <c r="AT259" s="121">
        <f>IFERROR($M259+VLOOKUP($L259,'Voyage days'!$F$382:$H$446,3,FALSE),"")</f>
        <v>46196</v>
      </c>
      <c r="AU259" s="121">
        <f>IFERROR($N259+VLOOKUP($L259,'Voyage days'!$F$382:$H$446,3,FALSE),"")</f>
        <v>46197</v>
      </c>
      <c r="AV259" s="120" t="str">
        <f t="shared" si="32"/>
        <v>03-04 Jun</v>
      </c>
      <c r="AW259" s="121">
        <f>IFERROR($M259+VLOOKUP($L259,'Voyage days'!$F$483:$H$538,3,FALSE),"")</f>
        <v>46176</v>
      </c>
      <c r="AX259" s="121">
        <f>IFERROR($N259+VLOOKUP($L259,'Voyage days'!$F$483:$H$538,3,FALSE),"")</f>
        <v>46177</v>
      </c>
      <c r="AY259" s="120" t="str">
        <f t="shared" si="33"/>
        <v>28-29 May</v>
      </c>
      <c r="AZ259" s="121">
        <f>IFERROR($M259+VLOOKUP($L259,'Voyage days'!$F$540:$H$613,3,FALSE),"")</f>
        <v>46170</v>
      </c>
      <c r="BA259" s="121">
        <f>IFERROR($N259+VLOOKUP($L259,'Voyage days'!$F$540:$H$613,3,FALSE),"")</f>
        <v>46171</v>
      </c>
      <c r="BB259" s="120" t="str">
        <f t="shared" si="34"/>
        <v>27-28 May</v>
      </c>
      <c r="BC259" s="121">
        <f>IFERROR($M259+VLOOKUP($L259,'Voyage days'!$F$448:$H$479,3,FALSE),"")</f>
        <v>46169</v>
      </c>
      <c r="BD259" s="121">
        <f>IFERROR($N259+VLOOKUP($L259,'Voyage days'!$F$448:$H$479,3,FALSE),"")</f>
        <v>46170</v>
      </c>
      <c r="BE259" s="120" t="str">
        <f t="shared" si="35"/>
        <v>01-02 Jun</v>
      </c>
      <c r="BF259" s="122">
        <f>IFERROR($M259+VLOOKUP($L259,'Voyage days'!$F$620:$H$646,3,FALSE),"")</f>
        <v>46174</v>
      </c>
      <c r="BG259" s="122">
        <f>IFERROR($N259+VLOOKUP($L259,'Voyage days'!$F$620:$H$646,3,FALSE),"")</f>
        <v>46175</v>
      </c>
      <c r="BH259" s="120" t="str">
        <f t="shared" si="36"/>
        <v>28-05 Jul</v>
      </c>
      <c r="BI259" s="123">
        <f>IFERROR($M259+VLOOKUP($L259,'Voyage days'!$F$702:$H$727,3,FALSE),"")</f>
        <v>46170</v>
      </c>
      <c r="BJ259" s="120" t="str">
        <f t="shared" si="37"/>
        <v>04-05 Jul</v>
      </c>
      <c r="BK259" s="122">
        <f>IFERROR($M259+VLOOKUP($L259,'Voyage days'!$F$807:$H$878,3,FALSE),"")</f>
        <v>46207</v>
      </c>
      <c r="BL259" s="122">
        <f>IFERROR($N259+VLOOKUP($L259,'Voyage days'!$F$807:$H$878,3,FALSE),"")</f>
        <v>46208</v>
      </c>
      <c r="BM259" s="122">
        <f>IFERROR($N259+VLOOKUP($L259,'Voyage days'!$F$807:$K$878,6,FALSE),"")</f>
        <v>46182</v>
      </c>
      <c r="BN259" s="121" t="str">
        <f>if(L259="loads AG", IFERROR($M259+VLOOKUP($L259,'Voyage days'!$M$38:$O$38,3,FALSE),""),"")</f>
        <v/>
      </c>
      <c r="BO259" s="121" t="str">
        <f>if(L259="loads USG", IFERROR($M259+VLOOKUP($L259,'Voyage days'!$L$203:$N$203,3,FALSE),""),"")</f>
        <v/>
      </c>
    </row>
    <row r="260" ht="15.75" customHeight="1">
      <c r="A260" s="100" t="s">
        <v>309</v>
      </c>
      <c r="B260" s="148">
        <v>2021.0</v>
      </c>
      <c r="C260" s="102">
        <v>86000.0</v>
      </c>
      <c r="D260" s="112"/>
      <c r="E260" s="112" t="s">
        <v>706</v>
      </c>
      <c r="F260" s="104"/>
      <c r="G260" s="104"/>
      <c r="H260" s="104" t="s">
        <v>666</v>
      </c>
      <c r="I260" s="401" t="s">
        <v>1280</v>
      </c>
      <c r="J260" s="336" t="str">
        <f t="shared" si="41"/>
        <v>NO AIS</v>
      </c>
      <c r="K260" s="107"/>
      <c r="L260" s="108" t="s">
        <v>728</v>
      </c>
      <c r="M260" s="109">
        <v>46125.0</v>
      </c>
      <c r="N260" s="109">
        <v>46126.0</v>
      </c>
      <c r="O260" s="191"/>
      <c r="P260" s="108" t="s">
        <v>1292</v>
      </c>
      <c r="Q260" s="187"/>
      <c r="R260" s="108" t="s">
        <v>1293</v>
      </c>
      <c r="S260" s="256" t="s">
        <v>33</v>
      </c>
      <c r="T260" s="113">
        <v>46125.0</v>
      </c>
      <c r="U260" s="114" t="str">
        <f>IF(V260="","No AIS",VLOOKUP(V260,'Voyage days'!$A$3:$B$1480,2,FALSE))</f>
        <v>No AIS</v>
      </c>
      <c r="V260" s="115" t="str">
        <f>IF(VLOOKUP(A260,'1) Kpler'!$E$2:$P$1000,8, FALSE)="","",VLOOKUP(A260,'1) Kpler'!$E$2:$P$1000,8, FALSE))</f>
        <v/>
      </c>
      <c r="W260" s="116" t="str">
        <f>IF(VLOOKUP(A260,'1) Kpler'!$E$2:$P$1000,9,FALSE)="","",VLOOKUP(A260,'1) Kpler'!$E$2:$P$1000,9,FALSE))</f>
        <v/>
      </c>
      <c r="X260" s="115" t="str">
        <f>VLOOKUP(A260,'1) Kpler'!$E$2:$I$1000,4,FALSE)</f>
        <v>ballast</v>
      </c>
      <c r="Y260" s="117" t="str">
        <f t="shared" si="39"/>
        <v>23-24 Apr</v>
      </c>
      <c r="Z260" s="117" t="str">
        <f t="shared" si="2"/>
        <v>27-28 Apr</v>
      </c>
      <c r="AA260" s="117" t="str">
        <f t="shared" si="3"/>
        <v>03-04 May</v>
      </c>
      <c r="AB260" s="117" t="str">
        <f t="shared" si="4"/>
        <v>28-29 Apr</v>
      </c>
      <c r="AC260" s="117" t="str">
        <f t="shared" si="5"/>
        <v>18-19 Apr</v>
      </c>
      <c r="AD260" s="117" t="str">
        <f t="shared" si="6"/>
        <v/>
      </c>
      <c r="AE260" s="118" t="str">
        <f t="shared" si="7"/>
        <v/>
      </c>
      <c r="AF260" s="119" t="str">
        <f t="shared" si="8"/>
        <v>17-18 Apr</v>
      </c>
      <c r="AG260" s="120" t="str">
        <f t="shared" si="27"/>
        <v>23-24 Apr</v>
      </c>
      <c r="AH260" s="121">
        <f>IFERROR($M260+VLOOKUP($L260,'Voyage days'!$F$38:$H$89,3,FALSE),"")</f>
        <v>46135</v>
      </c>
      <c r="AI260" s="121">
        <f>IFERROR(N260+VLOOKUP($L260,'Voyage days'!$F$38:$H$89,3,FALSE),"")</f>
        <v>46136</v>
      </c>
      <c r="AJ260" s="120" t="str">
        <f t="shared" si="28"/>
        <v>27-28 Apr</v>
      </c>
      <c r="AK260" s="121">
        <f>IFERROR($M260+VLOOKUP($L260,'Voyage days'!$F$94:$H$193,3,FALSE),"")</f>
        <v>46139</v>
      </c>
      <c r="AL260" s="121">
        <f>IFERROR($N260+VLOOKUP($L260,'Voyage days'!$F$94:$H$193,3,FALSE),"")</f>
        <v>46140</v>
      </c>
      <c r="AM260" s="120" t="str">
        <f t="shared" si="29"/>
        <v>03-04 May</v>
      </c>
      <c r="AN260" s="121">
        <f>IFERROR($M260+VLOOKUP($L260,'Voyage days'!$F$203:$H$256,3,FALSE),"")</f>
        <v>46145</v>
      </c>
      <c r="AO260" s="121">
        <f>IFERROR($N260+VLOOKUP($L260,'Voyage days'!$F$203:$H$256,3,FALSE),"")</f>
        <v>46146</v>
      </c>
      <c r="AP260" s="120" t="str">
        <f t="shared" si="30"/>
        <v>28-29 Apr</v>
      </c>
      <c r="AQ260" s="121">
        <f>IFERROR($M260+VLOOKUP($L260,'Voyage days'!$F$294:$H$377,3,FALSE),"")</f>
        <v>46140</v>
      </c>
      <c r="AR260" s="121">
        <f>IFERROR($N260+VLOOKUP($L260,'Voyage days'!$F$294:$H$377,3,FALSE),"")</f>
        <v>46141</v>
      </c>
      <c r="AS260" s="120" t="str">
        <f t="shared" si="31"/>
        <v>18-19 Apr</v>
      </c>
      <c r="AT260" s="121">
        <f>IFERROR($M260+VLOOKUP($L260,'Voyage days'!$F$382:$H$446,3,FALSE),"")</f>
        <v>46130</v>
      </c>
      <c r="AU260" s="121">
        <f>IFERROR($N260+VLOOKUP($L260,'Voyage days'!$F$382:$H$446,3,FALSE),"")</f>
        <v>46131</v>
      </c>
      <c r="AV260" s="120" t="str">
        <f t="shared" si="32"/>
        <v/>
      </c>
      <c r="AW260" s="121" t="str">
        <f>IFERROR($M260+VLOOKUP($L260,'Voyage days'!$F$483:$H$538,3,FALSE),"")</f>
        <v/>
      </c>
      <c r="AX260" s="121" t="str">
        <f>IFERROR($N260+VLOOKUP($L260,'Voyage days'!$F$483:$H$538,3,FALSE),"")</f>
        <v/>
      </c>
      <c r="AY260" s="120" t="str">
        <f t="shared" si="33"/>
        <v/>
      </c>
      <c r="AZ260" s="121" t="str">
        <f>IFERROR($M260+VLOOKUP($L260,'Voyage days'!$F$540:$H$613,3,FALSE),"")</f>
        <v/>
      </c>
      <c r="BA260" s="121" t="str">
        <f>IFERROR($N260+VLOOKUP($L260,'Voyage days'!$F$540:$H$613,3,FALSE),"")</f>
        <v/>
      </c>
      <c r="BB260" s="120" t="str">
        <f t="shared" si="34"/>
        <v/>
      </c>
      <c r="BC260" s="121" t="str">
        <f>IFERROR($M260+VLOOKUP($L260,'Voyage days'!$F$448:$H$479,3,FALSE),"")</f>
        <v/>
      </c>
      <c r="BD260" s="121" t="str">
        <f>IFERROR($N260+VLOOKUP($L260,'Voyage days'!$F$448:$H$479,3,FALSE),"")</f>
        <v/>
      </c>
      <c r="BE260" s="120" t="str">
        <f t="shared" si="35"/>
        <v/>
      </c>
      <c r="BF260" s="122" t="str">
        <f>IFERROR($M260+VLOOKUP($L260,'Voyage days'!$F$620:$H$646,3,FALSE),"")</f>
        <v/>
      </c>
      <c r="BG260" s="122" t="str">
        <f>IFERROR($N260+VLOOKUP($L260,'Voyage days'!$F$620:$H$646,3,FALSE),"")</f>
        <v/>
      </c>
      <c r="BH260" s="120" t="str">
        <f t="shared" si="36"/>
        <v/>
      </c>
      <c r="BI260" s="123" t="str">
        <f>IFERROR($M260+VLOOKUP($L260,'Voyage days'!$F$702:$H$727,3,FALSE),"")</f>
        <v/>
      </c>
      <c r="BJ260" s="120" t="str">
        <f t="shared" si="37"/>
        <v>17-18 Apr</v>
      </c>
      <c r="BK260" s="122">
        <f>IFERROR($M260+VLOOKUP($L260,'Voyage days'!$F$807:$H$878,3,FALSE),"")</f>
        <v>46129</v>
      </c>
      <c r="BL260" s="122">
        <f>IFERROR($N260+VLOOKUP($L260,'Voyage days'!$F$807:$H$878,3,FALSE),"")</f>
        <v>46130</v>
      </c>
      <c r="BM260" s="122">
        <f>IFERROR($N260+VLOOKUP($L260,'Voyage days'!$F$807:$K$878,6,FALSE),"")</f>
        <v>46126</v>
      </c>
      <c r="BN260" s="121" t="str">
        <f>if(L260="loads AG", IFERROR($M260+VLOOKUP($L260,'Voyage days'!$M$38:$O$38,3,FALSE),""),"")</f>
        <v/>
      </c>
      <c r="BO260" s="121" t="str">
        <f>if(L260="loads USG", IFERROR($M260+VLOOKUP($L260,'Voyage days'!$L$203:$N$203,3,FALSE),""),"")</f>
        <v/>
      </c>
    </row>
    <row r="261">
      <c r="A261" s="100" t="s">
        <v>315</v>
      </c>
      <c r="B261" s="148">
        <v>2021.0</v>
      </c>
      <c r="C261" s="102">
        <v>86000.0</v>
      </c>
      <c r="D261" s="112"/>
      <c r="E261" s="112" t="s">
        <v>706</v>
      </c>
      <c r="F261" s="104"/>
      <c r="G261" s="104"/>
      <c r="H261" s="104" t="s">
        <v>666</v>
      </c>
      <c r="I261" s="401" t="s">
        <v>1280</v>
      </c>
      <c r="J261" s="106" t="str">
        <f t="shared" si="41"/>
        <v>NO AIS</v>
      </c>
      <c r="K261" s="107"/>
      <c r="L261" s="108" t="s">
        <v>680</v>
      </c>
      <c r="M261" s="109">
        <v>46126.0</v>
      </c>
      <c r="N261" s="391">
        <v>46127.0</v>
      </c>
      <c r="O261" s="627"/>
      <c r="P261" s="192" t="s">
        <v>1294</v>
      </c>
      <c r="Q261" s="192"/>
      <c r="R261" s="108" t="s">
        <v>1295</v>
      </c>
      <c r="S261" s="256" t="s">
        <v>33</v>
      </c>
      <c r="T261" s="113">
        <v>46125.0</v>
      </c>
      <c r="U261" s="114" t="str">
        <f>IF(V261="","No AIS",VLOOKUP(V261,'Voyage days'!$A$3:$B$1480,2,FALSE))</f>
        <v>No AIS</v>
      </c>
      <c r="V261" s="115" t="str">
        <f>IF(VLOOKUP(A261,'1) Kpler'!$E$2:$P$1000,8, FALSE)="","",VLOOKUP(A261,'1) Kpler'!$E$2:$P$1000,8, FALSE))</f>
        <v/>
      </c>
      <c r="W261" s="116" t="str">
        <f>IF(VLOOKUP(A261,'1) Kpler'!$E$2:$P$1000,9,FALSE)="","",VLOOKUP(A261,'1) Kpler'!$E$2:$P$1000,9,FALSE))</f>
        <v/>
      </c>
      <c r="X261" s="115" t="str">
        <f>VLOOKUP(A261,'1) Kpler'!$E$2:$I$1000,4,FALSE)</f>
        <v>loaded</v>
      </c>
      <c r="Y261" s="160" t="str">
        <f t="shared" si="39"/>
        <v/>
      </c>
      <c r="Z261" s="160" t="str">
        <f t="shared" si="2"/>
        <v>14-15 Apr</v>
      </c>
      <c r="AA261" s="160" t="str">
        <f t="shared" si="3"/>
        <v>14-15 Apr</v>
      </c>
      <c r="AB261" s="160" t="str">
        <f t="shared" si="4"/>
        <v/>
      </c>
      <c r="AC261" s="160" t="str">
        <f t="shared" si="5"/>
        <v>04-05 May</v>
      </c>
      <c r="AD261" s="160" t="str">
        <f t="shared" si="6"/>
        <v/>
      </c>
      <c r="AE261" s="161" t="str">
        <f t="shared" si="7"/>
        <v/>
      </c>
      <c r="AF261" s="162" t="str">
        <f t="shared" si="8"/>
        <v/>
      </c>
      <c r="AG261" s="120" t="str">
        <f t="shared" si="27"/>
        <v/>
      </c>
      <c r="AH261" s="121" t="str">
        <f>IFERROR($M261+VLOOKUP($L261,'Voyage days'!$F$38:$H$89,3,FALSE),"")</f>
        <v/>
      </c>
      <c r="AI261" s="121" t="str">
        <f>IFERROR(N261+VLOOKUP($L261,'Voyage days'!$F$38:$H$89,3,FALSE),"")</f>
        <v/>
      </c>
      <c r="AJ261" s="120" t="str">
        <f t="shared" si="28"/>
        <v>14-15 Apr</v>
      </c>
      <c r="AK261" s="121">
        <f>IFERROR($M261+VLOOKUP($L261,'Voyage days'!$F$94:$H$193,3,FALSE),"")</f>
        <v>46126</v>
      </c>
      <c r="AL261" s="121">
        <f>IFERROR($N261+VLOOKUP($L261,'Voyage days'!$F$94:$H$193,3,FALSE),"")</f>
        <v>46127</v>
      </c>
      <c r="AM261" s="120" t="str">
        <f t="shared" si="29"/>
        <v>14-15 Apr</v>
      </c>
      <c r="AN261" s="121">
        <f>IFERROR($M261+VLOOKUP($L261,'Voyage days'!$F$203:$H$256,3,FALSE),"")</f>
        <v>46126</v>
      </c>
      <c r="AO261" s="121">
        <f>IFERROR($N261+VLOOKUP($L261,'Voyage days'!$F$203:$H$256,3,FALSE),"")</f>
        <v>46127</v>
      </c>
      <c r="AP261" s="120" t="str">
        <f t="shared" si="30"/>
        <v/>
      </c>
      <c r="AQ261" s="121" t="str">
        <f>IFERROR($M261+VLOOKUP($L261,'Voyage days'!$F$294:$H$377,3,FALSE),"")</f>
        <v/>
      </c>
      <c r="AR261" s="121" t="str">
        <f>IFERROR($N261+VLOOKUP($L261,'Voyage days'!$F$294:$H$377,3,FALSE),"")</f>
        <v/>
      </c>
      <c r="AS261" s="120" t="str">
        <f t="shared" si="31"/>
        <v>04-05 May</v>
      </c>
      <c r="AT261" s="121">
        <f>IFERROR($M261+VLOOKUP($L261,'Voyage days'!$F$382:$H$446,3,FALSE),"")</f>
        <v>46146</v>
      </c>
      <c r="AU261" s="121">
        <f>IFERROR($N261+VLOOKUP($L261,'Voyage days'!$F$382:$H$446,3,FALSE),"")</f>
        <v>46147</v>
      </c>
      <c r="AV261" s="120" t="str">
        <f t="shared" si="32"/>
        <v/>
      </c>
      <c r="AW261" s="121" t="str">
        <f>IFERROR($M261+VLOOKUP($L261,'Voyage days'!$F$483:$H$538,3,FALSE),"")</f>
        <v/>
      </c>
      <c r="AX261" s="121" t="str">
        <f>IFERROR($N261+VLOOKUP($L261,'Voyage days'!$F$483:$H$538,3,FALSE),"")</f>
        <v/>
      </c>
      <c r="AY261" s="120" t="str">
        <f t="shared" si="33"/>
        <v/>
      </c>
      <c r="AZ261" s="121" t="str">
        <f>IFERROR($M261+VLOOKUP($L261,'Voyage days'!$F$540:$H$613,3,FALSE),"")</f>
        <v/>
      </c>
      <c r="BA261" s="121" t="str">
        <f>IFERROR($N261+VLOOKUP($L261,'Voyage days'!$F$540:$H$613,3,FALSE),"")</f>
        <v/>
      </c>
      <c r="BB261" s="120" t="str">
        <f t="shared" si="34"/>
        <v/>
      </c>
      <c r="BC261" s="121" t="str">
        <f>IFERROR($M261+VLOOKUP($L261,'Voyage days'!$F$448:$H$479,3,FALSE),"")</f>
        <v/>
      </c>
      <c r="BD261" s="121" t="str">
        <f>IFERROR($N261+VLOOKUP($L261,'Voyage days'!$F$448:$H$479,3,FALSE),"")</f>
        <v/>
      </c>
      <c r="BE261" s="120" t="str">
        <f t="shared" si="35"/>
        <v/>
      </c>
      <c r="BF261" s="122" t="str">
        <f>IFERROR($M261+VLOOKUP($L261,'Voyage days'!$F$620:$H$646,3,FALSE),"")</f>
        <v/>
      </c>
      <c r="BG261" s="122" t="str">
        <f>IFERROR($N261+VLOOKUP($L261,'Voyage days'!$F$620:$H$646,3,FALSE),"")</f>
        <v/>
      </c>
      <c r="BH261" s="120" t="str">
        <f t="shared" si="36"/>
        <v/>
      </c>
      <c r="BI261" s="123" t="str">
        <f>IFERROR($M261+VLOOKUP($L261,'Voyage days'!$F$702:$H$727,3,FALSE),"")</f>
        <v/>
      </c>
      <c r="BJ261" s="120" t="str">
        <f t="shared" si="37"/>
        <v/>
      </c>
      <c r="BK261" s="122" t="str">
        <f>IFERROR($M261+VLOOKUP($L261,'Voyage days'!$F$807:$H$878,3,FALSE),"")</f>
        <v/>
      </c>
      <c r="BL261" s="122" t="str">
        <f>IFERROR($N261+VLOOKUP($L261,'Voyage days'!$F$807:$H$878,3,FALSE),"")</f>
        <v/>
      </c>
      <c r="BM261" s="122" t="str">
        <f>IFERROR($N261+VLOOKUP($L261,'Voyage days'!$F$807:$K$878,6,FALSE),"")</f>
        <v/>
      </c>
      <c r="BN261" s="121" t="str">
        <f>if(L261="loads AG", IFERROR($M261+VLOOKUP($L261,'Voyage days'!$M$38:$O$38,3,FALSE),""),"")</f>
        <v/>
      </c>
      <c r="BO261" s="121">
        <f>if(L261="loads USG", IFERROR($M261+VLOOKUP($L261,'Voyage days'!$L$203:$N$203,3,FALSE),""),"")</f>
        <v>46158</v>
      </c>
    </row>
    <row r="262" ht="15.75" customHeight="1">
      <c r="A262" s="100" t="s">
        <v>326</v>
      </c>
      <c r="B262" s="148">
        <v>2021.0</v>
      </c>
      <c r="C262" s="102">
        <v>86000.0</v>
      </c>
      <c r="D262" s="112"/>
      <c r="E262" s="112" t="s">
        <v>706</v>
      </c>
      <c r="F262" s="192"/>
      <c r="G262" s="192"/>
      <c r="H262" s="192" t="s">
        <v>1296</v>
      </c>
      <c r="I262" s="401" t="s">
        <v>1280</v>
      </c>
      <c r="J262" s="106" t="str">
        <f t="shared" si="41"/>
        <v>Update</v>
      </c>
      <c r="K262" s="205"/>
      <c r="L262" s="108" t="s">
        <v>680</v>
      </c>
      <c r="M262" s="109">
        <v>46118.0</v>
      </c>
      <c r="N262" s="109">
        <v>46119.0</v>
      </c>
      <c r="O262" s="191"/>
      <c r="P262" s="108" t="s">
        <v>1297</v>
      </c>
      <c r="Q262" s="108"/>
      <c r="R262" s="108" t="s">
        <v>1298</v>
      </c>
      <c r="S262" s="256" t="s">
        <v>33</v>
      </c>
      <c r="T262" s="113">
        <v>46125.0</v>
      </c>
      <c r="U262" s="114" t="str">
        <f>IF(V262="","No AIS",VLOOKUP(V262,'Voyage days'!$A$3:$B$1480,2,FALSE))</f>
        <v>North China +4</v>
      </c>
      <c r="V262" s="115" t="str">
        <f>IF(VLOOKUP(A262,'1) Kpler'!$E$2:$P$1000,8, FALSE)="","",VLOOKUP(A262,'1) Kpler'!$E$2:$P$1000,8, FALSE))</f>
        <v>Wanhua Yantai NGL Terminal</v>
      </c>
      <c r="W262" s="116">
        <f>IF(VLOOKUP(A262,'1) Kpler'!$E$2:$P$1000,9,FALSE)="","",VLOOKUP(A262,'1) Kpler'!$E$2:$P$1000,9,FALSE))</f>
        <v>46154.54167</v>
      </c>
      <c r="X262" s="115" t="str">
        <f>VLOOKUP(A262,'1) Kpler'!$E$2:$I$1000,4,FALSE)</f>
        <v>loaded</v>
      </c>
      <c r="Y262" s="117" t="str">
        <f t="shared" si="39"/>
        <v/>
      </c>
      <c r="Z262" s="117" t="str">
        <f t="shared" si="2"/>
        <v>06-07 Apr</v>
      </c>
      <c r="AA262" s="117" t="str">
        <f t="shared" si="3"/>
        <v>06-07 Apr</v>
      </c>
      <c r="AB262" s="117" t="str">
        <f t="shared" si="4"/>
        <v/>
      </c>
      <c r="AC262" s="117" t="str">
        <f t="shared" si="5"/>
        <v>26-27 Apr</v>
      </c>
      <c r="AD262" s="117" t="str">
        <f t="shared" si="6"/>
        <v/>
      </c>
      <c r="AE262" s="118" t="str">
        <f t="shared" si="7"/>
        <v/>
      </c>
      <c r="AF262" s="119" t="str">
        <f t="shared" si="8"/>
        <v/>
      </c>
      <c r="AG262" s="120" t="str">
        <f t="shared" si="27"/>
        <v/>
      </c>
      <c r="AH262" s="121" t="str">
        <f>IFERROR($M262+VLOOKUP($L262,'Voyage days'!$F$38:$H$89,3,FALSE),"")</f>
        <v/>
      </c>
      <c r="AI262" s="121" t="str">
        <f>IFERROR(N262+VLOOKUP($L262,'Voyage days'!$F$38:$H$89,3,FALSE),"")</f>
        <v/>
      </c>
      <c r="AJ262" s="120" t="str">
        <f t="shared" si="28"/>
        <v>06-07 Apr</v>
      </c>
      <c r="AK262" s="121">
        <f>IFERROR($M262+VLOOKUP($L262,'Voyage days'!$F$94:$H$193,3,FALSE),"")</f>
        <v>46118</v>
      </c>
      <c r="AL262" s="121">
        <f>IFERROR($N262+VLOOKUP($L262,'Voyage days'!$F$94:$H$193,3,FALSE),"")</f>
        <v>46119</v>
      </c>
      <c r="AM262" s="120" t="str">
        <f t="shared" si="29"/>
        <v>06-07 Apr</v>
      </c>
      <c r="AN262" s="121">
        <f>IFERROR($M262+VLOOKUP($L262,'Voyage days'!$F$203:$H$256,3,FALSE),"")</f>
        <v>46118</v>
      </c>
      <c r="AO262" s="121">
        <f>IFERROR($N262+VLOOKUP($L262,'Voyage days'!$F$203:$H$256,3,FALSE),"")</f>
        <v>46119</v>
      </c>
      <c r="AP262" s="120" t="str">
        <f t="shared" si="30"/>
        <v/>
      </c>
      <c r="AQ262" s="121" t="str">
        <f>IFERROR($M262+VLOOKUP($L262,'Voyage days'!$F$294:$H$377,3,FALSE),"")</f>
        <v/>
      </c>
      <c r="AR262" s="121" t="str">
        <f>IFERROR($N262+VLOOKUP($L262,'Voyage days'!$F$294:$H$377,3,FALSE),"")</f>
        <v/>
      </c>
      <c r="AS262" s="120" t="str">
        <f t="shared" si="31"/>
        <v>26-27 Apr</v>
      </c>
      <c r="AT262" s="121">
        <f>IFERROR($M262+VLOOKUP($L262,'Voyage days'!$F$382:$H$446,3,FALSE),"")</f>
        <v>46138</v>
      </c>
      <c r="AU262" s="121">
        <f>IFERROR($N262+VLOOKUP($L262,'Voyage days'!$F$382:$H$446,3,FALSE),"")</f>
        <v>46139</v>
      </c>
      <c r="AV262" s="120" t="str">
        <f t="shared" si="32"/>
        <v/>
      </c>
      <c r="AW262" s="121" t="str">
        <f>IFERROR($M262+VLOOKUP($L262,'Voyage days'!$F$483:$H$538,3,FALSE),"")</f>
        <v/>
      </c>
      <c r="AX262" s="121" t="str">
        <f>IFERROR($N262+VLOOKUP($L262,'Voyage days'!$F$483:$H$538,3,FALSE),"")</f>
        <v/>
      </c>
      <c r="AY262" s="120" t="str">
        <f t="shared" si="33"/>
        <v/>
      </c>
      <c r="AZ262" s="121" t="str">
        <f>IFERROR($M262+VLOOKUP($L262,'Voyage days'!$F$540:$H$613,3,FALSE),"")</f>
        <v/>
      </c>
      <c r="BA262" s="121" t="str">
        <f>IFERROR($N262+VLOOKUP($L262,'Voyage days'!$F$540:$H$613,3,FALSE),"")</f>
        <v/>
      </c>
      <c r="BB262" s="120" t="str">
        <f t="shared" si="34"/>
        <v/>
      </c>
      <c r="BC262" s="121" t="str">
        <f>IFERROR($M262+VLOOKUP($L262,'Voyage days'!$F$448:$H$479,3,FALSE),"")</f>
        <v/>
      </c>
      <c r="BD262" s="121" t="str">
        <f>IFERROR($N262+VLOOKUP($L262,'Voyage days'!$F$448:$H$479,3,FALSE),"")</f>
        <v/>
      </c>
      <c r="BE262" s="120" t="str">
        <f t="shared" si="35"/>
        <v/>
      </c>
      <c r="BF262" s="122" t="str">
        <f>IFERROR($M262+VLOOKUP($L262,'Voyage days'!$F$620:$H$646,3,FALSE),"")</f>
        <v/>
      </c>
      <c r="BG262" s="122" t="str">
        <f>IFERROR($N262+VLOOKUP($L262,'Voyage days'!$F$620:$H$646,3,FALSE),"")</f>
        <v/>
      </c>
      <c r="BH262" s="120" t="str">
        <f t="shared" si="36"/>
        <v/>
      </c>
      <c r="BI262" s="123" t="str">
        <f>IFERROR($M262+VLOOKUP($L262,'Voyage days'!$F$702:$H$727,3,FALSE),"")</f>
        <v/>
      </c>
      <c r="BJ262" s="120" t="str">
        <f t="shared" si="37"/>
        <v/>
      </c>
      <c r="BK262" s="122" t="str">
        <f>IFERROR($M262+VLOOKUP($L262,'Voyage days'!$F$807:$H$878,3,FALSE),"")</f>
        <v/>
      </c>
      <c r="BL262" s="122" t="str">
        <f>IFERROR($N262+VLOOKUP($L262,'Voyage days'!$F$807:$H$878,3,FALSE),"")</f>
        <v/>
      </c>
      <c r="BM262" s="122" t="str">
        <f>IFERROR($N262+VLOOKUP($L262,'Voyage days'!$F$807:$K$878,6,FALSE),"")</f>
        <v/>
      </c>
      <c r="BN262" s="121" t="str">
        <f>if(L262="loads AG", IFERROR($M262+VLOOKUP($L262,'Voyage days'!$M$38:$O$38,3,FALSE),""),"")</f>
        <v/>
      </c>
      <c r="BO262" s="121">
        <f>if(L262="loads USG", IFERROR($M262+VLOOKUP($L262,'Voyage days'!$L$203:$N$203,3,FALSE),""),"")</f>
        <v>46150</v>
      </c>
    </row>
    <row r="263" ht="15.75" customHeight="1">
      <c r="A263" s="100" t="s">
        <v>476</v>
      </c>
      <c r="B263" s="101">
        <v>42583.0</v>
      </c>
      <c r="C263" s="102">
        <v>84000.0</v>
      </c>
      <c r="D263" s="112"/>
      <c r="E263" s="112" t="s">
        <v>706</v>
      </c>
      <c r="F263" s="104"/>
      <c r="G263" s="104"/>
      <c r="H263" s="104"/>
      <c r="I263" s="401" t="s">
        <v>1280</v>
      </c>
      <c r="J263" s="336" t="str">
        <f t="shared" si="41"/>
        <v/>
      </c>
      <c r="K263" s="107"/>
      <c r="L263" s="108" t="s">
        <v>677</v>
      </c>
      <c r="M263" s="109">
        <v>46146.0</v>
      </c>
      <c r="N263" s="109">
        <v>46147.0</v>
      </c>
      <c r="O263" s="191" t="s">
        <v>699</v>
      </c>
      <c r="P263" s="108" t="s">
        <v>1299</v>
      </c>
      <c r="Q263" s="108" t="s">
        <v>1300</v>
      </c>
      <c r="R263" s="108" t="s">
        <v>1301</v>
      </c>
      <c r="S263" s="256" t="s">
        <v>33</v>
      </c>
      <c r="T263" s="113">
        <v>46125.0</v>
      </c>
      <c r="U263" s="114" t="str">
        <f>IF(V263="","No AIS",VLOOKUP(V263,'Voyage days'!$A$3:$B$1480,2,FALSE))</f>
        <v>Panama</v>
      </c>
      <c r="V263" s="115" t="str">
        <f>IF(VLOOKUP(A263,'1) Kpler'!$E$2:$P$1000,8, FALSE)="","",VLOOKUP(A263,'1) Kpler'!$E$2:$P$1000,8, FALSE))</f>
        <v>Panama Canal</v>
      </c>
      <c r="W263" s="116">
        <f>IF(VLOOKUP(A263,'1) Kpler'!$E$2:$P$1000,9,FALSE)="","",VLOOKUP(A263,'1) Kpler'!$E$2:$P$1000,9,FALSE))</f>
        <v>46146.25</v>
      </c>
      <c r="X263" s="115" t="str">
        <f>VLOOKUP(A263,'1) Kpler'!$E$2:$I$1000,4,FALSE)</f>
        <v>ballast</v>
      </c>
      <c r="Y263" s="160" t="str">
        <f t="shared" si="39"/>
        <v/>
      </c>
      <c r="Z263" s="160" t="str">
        <f t="shared" si="2"/>
        <v>15-16 May</v>
      </c>
      <c r="AA263" s="160" t="str">
        <f t="shared" si="3"/>
        <v/>
      </c>
      <c r="AB263" s="160" t="str">
        <f t="shared" si="4"/>
        <v/>
      </c>
      <c r="AC263" s="160" t="str">
        <f t="shared" si="5"/>
        <v/>
      </c>
      <c r="AD263" s="160" t="str">
        <f t="shared" si="6"/>
        <v/>
      </c>
      <c r="AE263" s="161" t="str">
        <f t="shared" si="7"/>
        <v/>
      </c>
      <c r="AF263" s="162" t="str">
        <f t="shared" si="8"/>
        <v/>
      </c>
      <c r="AG263" s="120" t="str">
        <f t="shared" si="27"/>
        <v/>
      </c>
      <c r="AH263" s="121" t="str">
        <f>IFERROR($M263+VLOOKUP($L263,'Voyage days'!$F$38:$H$89,3,FALSE),"")</f>
        <v/>
      </c>
      <c r="AI263" s="121" t="str">
        <f>IFERROR(N263+VLOOKUP($L263,'Voyage days'!$F$38:$H$89,3,FALSE),"")</f>
        <v/>
      </c>
      <c r="AJ263" s="120" t="str">
        <f t="shared" si="28"/>
        <v>15-16 May</v>
      </c>
      <c r="AK263" s="121">
        <f>IFERROR($M263+VLOOKUP($L263,'Voyage days'!$F$94:$H$193,3,FALSE),"")</f>
        <v>46157</v>
      </c>
      <c r="AL263" s="121">
        <f>IFERROR($N263+VLOOKUP($L263,'Voyage days'!$F$94:$H$193,3,FALSE),"")</f>
        <v>46158</v>
      </c>
      <c r="AM263" s="120" t="str">
        <f t="shared" si="29"/>
        <v/>
      </c>
      <c r="AN263" s="121" t="str">
        <f>IFERROR($M263+VLOOKUP($L263,'Voyage days'!$F$203:$H$256,3,FALSE),"")</f>
        <v/>
      </c>
      <c r="AO263" s="121" t="str">
        <f>IFERROR($N263+VLOOKUP($L263,'Voyage days'!$F$203:$H$256,3,FALSE),"")</f>
        <v/>
      </c>
      <c r="AP263" s="120" t="str">
        <f t="shared" si="30"/>
        <v/>
      </c>
      <c r="AQ263" s="121" t="str">
        <f>IFERROR($M263+VLOOKUP($L263,'Voyage days'!$F$294:$H$377,3,FALSE),"")</f>
        <v/>
      </c>
      <c r="AR263" s="121" t="str">
        <f>IFERROR($N263+VLOOKUP($L263,'Voyage days'!$F$294:$H$377,3,FALSE),"")</f>
        <v/>
      </c>
      <c r="AS263" s="120" t="str">
        <f t="shared" si="31"/>
        <v/>
      </c>
      <c r="AT263" s="121" t="str">
        <f>IFERROR($M263+VLOOKUP($L263,'Voyage days'!$F$382:$H$446,3,FALSE),"")</f>
        <v/>
      </c>
      <c r="AU263" s="121" t="str">
        <f>IFERROR($N263+VLOOKUP($L263,'Voyage days'!$F$382:$H$446,3,FALSE),"")</f>
        <v/>
      </c>
      <c r="AV263" s="120" t="str">
        <f t="shared" si="32"/>
        <v/>
      </c>
      <c r="AW263" s="121" t="str">
        <f>IFERROR($M263+VLOOKUP($L263,'Voyage days'!$F$483:$H$538,3,FALSE),"")</f>
        <v/>
      </c>
      <c r="AX263" s="121" t="str">
        <f>IFERROR($N263+VLOOKUP($L263,'Voyage days'!$F$483:$H$538,3,FALSE),"")</f>
        <v/>
      </c>
      <c r="AY263" s="120" t="str">
        <f t="shared" si="33"/>
        <v/>
      </c>
      <c r="AZ263" s="121" t="str">
        <f>IFERROR($M263+VLOOKUP($L263,'Voyage days'!$F$540:$H$613,3,FALSE),"")</f>
        <v/>
      </c>
      <c r="BA263" s="121" t="str">
        <f>IFERROR($N263+VLOOKUP($L263,'Voyage days'!$F$540:$H$613,3,FALSE),"")</f>
        <v/>
      </c>
      <c r="BB263" s="120" t="str">
        <f t="shared" si="34"/>
        <v/>
      </c>
      <c r="BC263" s="121" t="str">
        <f>IFERROR($M263+VLOOKUP($L263,'Voyage days'!$F$448:$H$479,3,FALSE),"")</f>
        <v/>
      </c>
      <c r="BD263" s="121" t="str">
        <f>IFERROR($N263+VLOOKUP($L263,'Voyage days'!$F$448:$H$479,3,FALSE),"")</f>
        <v/>
      </c>
      <c r="BE263" s="120" t="str">
        <f t="shared" si="35"/>
        <v/>
      </c>
      <c r="BF263" s="122" t="str">
        <f>IFERROR($M263+VLOOKUP($L263,'Voyage days'!$F$620:$H$646,3,FALSE),"")</f>
        <v/>
      </c>
      <c r="BG263" s="122" t="str">
        <f>IFERROR($N263+VLOOKUP($L263,'Voyage days'!$F$620:$H$646,3,FALSE),"")</f>
        <v/>
      </c>
      <c r="BH263" s="120" t="str">
        <f t="shared" si="36"/>
        <v/>
      </c>
      <c r="BI263" s="123" t="str">
        <f>IFERROR($M263+VLOOKUP($L263,'Voyage days'!$F$702:$H$727,3,FALSE),"")</f>
        <v/>
      </c>
      <c r="BJ263" s="120" t="str">
        <f t="shared" si="37"/>
        <v/>
      </c>
      <c r="BK263" s="122" t="str">
        <f>IFERROR($M263+VLOOKUP($L263,'Voyage days'!$F$807:$H$878,3,FALSE),"")</f>
        <v/>
      </c>
      <c r="BL263" s="122" t="str">
        <f>IFERROR($N263+VLOOKUP($L263,'Voyage days'!$F$807:$H$878,3,FALSE),"")</f>
        <v/>
      </c>
      <c r="BM263" s="122" t="str">
        <f>IFERROR($N263+VLOOKUP($L263,'Voyage days'!$F$807:$K$878,6,FALSE),"")</f>
        <v/>
      </c>
      <c r="BN263" s="121" t="str">
        <f>if(L263="loads AG", IFERROR($M263+VLOOKUP($L263,'Voyage days'!$M$38:$O$38,3,FALSE),""),"")</f>
        <v/>
      </c>
      <c r="BO263" s="121" t="str">
        <f>if(L263="loads USG", IFERROR($M263+VLOOKUP($L263,'Voyage days'!$L$203:$N$203,3,FALSE),""),"")</f>
        <v/>
      </c>
    </row>
    <row r="264" ht="15.75" customHeight="1">
      <c r="A264" s="100" t="s">
        <v>480</v>
      </c>
      <c r="B264" s="101">
        <v>42937.0</v>
      </c>
      <c r="C264" s="102">
        <v>84000.0</v>
      </c>
      <c r="D264" s="112"/>
      <c r="E264" s="112" t="s">
        <v>706</v>
      </c>
      <c r="F264" s="104"/>
      <c r="G264" s="104"/>
      <c r="H264" s="104"/>
      <c r="I264" s="401" t="s">
        <v>1280</v>
      </c>
      <c r="J264" s="106" t="str">
        <f t="shared" si="41"/>
        <v/>
      </c>
      <c r="K264" s="107"/>
      <c r="L264" s="108" t="s">
        <v>963</v>
      </c>
      <c r="M264" s="109">
        <v>46136.0</v>
      </c>
      <c r="N264" s="109">
        <v>46137.0</v>
      </c>
      <c r="O264" s="191"/>
      <c r="P264" s="108" t="s">
        <v>1302</v>
      </c>
      <c r="Q264" s="108"/>
      <c r="R264" s="108" t="s">
        <v>1303</v>
      </c>
      <c r="S264" s="256" t="s">
        <v>33</v>
      </c>
      <c r="T264" s="113">
        <v>46125.0</v>
      </c>
      <c r="U264" s="114" t="str">
        <f>IF(V264="","No AIS",VLOOKUP(V264,'Voyage days'!$A$3:$B$1480,2,FALSE))</f>
        <v>North China +4</v>
      </c>
      <c r="V264" s="115" t="str">
        <f>IF(VLOOKUP(A264,'1) Kpler'!$E$2:$P$1000,8, FALSE)="","",VLOOKUP(A264,'1) Kpler'!$E$2:$P$1000,8, FALSE))</f>
        <v>Wanhua Yantai NGL Terminal</v>
      </c>
      <c r="W264" s="116">
        <f>IF(VLOOKUP(A264,'1) Kpler'!$E$2:$P$1000,9,FALSE)="","",VLOOKUP(A264,'1) Kpler'!$E$2:$P$1000,9,FALSE))</f>
        <v>46132.70833</v>
      </c>
      <c r="X264" s="115" t="str">
        <f>VLOOKUP(A264,'1) Kpler'!$E$2:$I$1000,4,FALSE)</f>
        <v>loaded</v>
      </c>
      <c r="Y264" s="117" t="str">
        <f t="shared" si="39"/>
        <v>12-13 May</v>
      </c>
      <c r="Z264" s="117" t="str">
        <f t="shared" si="2"/>
        <v>27-28 May</v>
      </c>
      <c r="AA264" s="117" t="str">
        <f t="shared" si="3"/>
        <v>05-06 Jun</v>
      </c>
      <c r="AB264" s="117" t="str">
        <f t="shared" si="4"/>
        <v>23-24 May</v>
      </c>
      <c r="AC264" s="117" t="str">
        <f t="shared" si="5"/>
        <v>29-30 May</v>
      </c>
      <c r="AD264" s="117" t="str">
        <f t="shared" si="6"/>
        <v>02-03 May</v>
      </c>
      <c r="AE264" s="118" t="str">
        <f t="shared" si="7"/>
        <v>03-04 May</v>
      </c>
      <c r="AF264" s="119" t="str">
        <f t="shared" si="8"/>
        <v>09-10 Jun</v>
      </c>
      <c r="AG264" s="120" t="str">
        <f t="shared" si="27"/>
        <v>12-13 May</v>
      </c>
      <c r="AH264" s="121">
        <f>IFERROR($M264+VLOOKUP($L264,'Voyage days'!$F$38:$H$89,3,FALSE),"")</f>
        <v>46154</v>
      </c>
      <c r="AI264" s="121">
        <f>IFERROR(N264+VLOOKUP($L264,'Voyage days'!$F$38:$H$89,3,FALSE),"")</f>
        <v>46155</v>
      </c>
      <c r="AJ264" s="120" t="str">
        <f t="shared" si="28"/>
        <v>27-28 May</v>
      </c>
      <c r="AK264" s="121">
        <f>IFERROR($M264+VLOOKUP($L264,'Voyage days'!$F$94:$H$193,3,FALSE),"")</f>
        <v>46169</v>
      </c>
      <c r="AL264" s="121">
        <f>IFERROR($N264+VLOOKUP($L264,'Voyage days'!$F$94:$H$193,3,FALSE),"")</f>
        <v>46170</v>
      </c>
      <c r="AM264" s="120" t="str">
        <f t="shared" si="29"/>
        <v>05-06 Jun</v>
      </c>
      <c r="AN264" s="121">
        <f>IFERROR($M264+VLOOKUP($L264,'Voyage days'!$F$203:$H$256,3,FALSE),"")</f>
        <v>46178</v>
      </c>
      <c r="AO264" s="121">
        <f>IFERROR($N264+VLOOKUP($L264,'Voyage days'!$F$203:$H$256,3,FALSE),"")</f>
        <v>46179</v>
      </c>
      <c r="AP264" s="120" t="str">
        <f t="shared" si="30"/>
        <v>23-24 May</v>
      </c>
      <c r="AQ264" s="121">
        <f>IFERROR($M264+VLOOKUP($L264,'Voyage days'!$F$294:$H$377,3,FALSE),"")</f>
        <v>46165</v>
      </c>
      <c r="AR264" s="121">
        <f>IFERROR($N264+VLOOKUP($L264,'Voyage days'!$F$294:$H$377,3,FALSE),"")</f>
        <v>46166</v>
      </c>
      <c r="AS264" s="120" t="str">
        <f t="shared" si="31"/>
        <v>29-30 May</v>
      </c>
      <c r="AT264" s="121">
        <f>IFERROR($M264+VLOOKUP($L264,'Voyage days'!$F$382:$H$446,3,FALSE),"")</f>
        <v>46171</v>
      </c>
      <c r="AU264" s="121">
        <f>IFERROR($N264+VLOOKUP($L264,'Voyage days'!$F$382:$H$446,3,FALSE),"")</f>
        <v>46172</v>
      </c>
      <c r="AV264" s="120" t="str">
        <f t="shared" si="32"/>
        <v>09-10 May</v>
      </c>
      <c r="AW264" s="121">
        <f>IFERROR($M264+VLOOKUP($L264,'Voyage days'!$F$483:$H$538,3,FALSE),"")</f>
        <v>46151</v>
      </c>
      <c r="AX264" s="121">
        <f>IFERROR($N264+VLOOKUP($L264,'Voyage days'!$F$483:$H$538,3,FALSE),"")</f>
        <v>46152</v>
      </c>
      <c r="AY264" s="120" t="str">
        <f t="shared" si="33"/>
        <v>03-04 May</v>
      </c>
      <c r="AZ264" s="121">
        <f>IFERROR($M264+VLOOKUP($L264,'Voyage days'!$F$540:$H$613,3,FALSE),"")</f>
        <v>46145</v>
      </c>
      <c r="BA264" s="121">
        <f>IFERROR($N264+VLOOKUP($L264,'Voyage days'!$F$540:$H$613,3,FALSE),"")</f>
        <v>46146</v>
      </c>
      <c r="BB264" s="120" t="str">
        <f t="shared" si="34"/>
        <v>02-03 May</v>
      </c>
      <c r="BC264" s="121">
        <f>IFERROR($M264+VLOOKUP($L264,'Voyage days'!$F$448:$H$479,3,FALSE),"")</f>
        <v>46144</v>
      </c>
      <c r="BD264" s="121">
        <f>IFERROR($N264+VLOOKUP($L264,'Voyage days'!$F$448:$H$479,3,FALSE),"")</f>
        <v>46145</v>
      </c>
      <c r="BE264" s="120" t="str">
        <f t="shared" si="35"/>
        <v>07-08 May</v>
      </c>
      <c r="BF264" s="122">
        <f>IFERROR($M264+VLOOKUP($L264,'Voyage days'!$F$620:$H$646,3,FALSE),"")</f>
        <v>46149</v>
      </c>
      <c r="BG264" s="122">
        <f>IFERROR($N264+VLOOKUP($L264,'Voyage days'!$F$620:$H$646,3,FALSE),"")</f>
        <v>46150</v>
      </c>
      <c r="BH264" s="120" t="str">
        <f t="shared" si="36"/>
        <v>03-10 Jun</v>
      </c>
      <c r="BI264" s="123">
        <f>IFERROR($M264+VLOOKUP($L264,'Voyage days'!$F$702:$H$727,3,FALSE),"")</f>
        <v>46145</v>
      </c>
      <c r="BJ264" s="120" t="str">
        <f t="shared" si="37"/>
        <v>09-10 Jun</v>
      </c>
      <c r="BK264" s="122">
        <f>IFERROR($M264+VLOOKUP($L264,'Voyage days'!$F$807:$H$878,3,FALSE),"")</f>
        <v>46182</v>
      </c>
      <c r="BL264" s="122">
        <f>IFERROR($N264+VLOOKUP($L264,'Voyage days'!$F$807:$H$878,3,FALSE),"")</f>
        <v>46183</v>
      </c>
      <c r="BM264" s="122">
        <f>IFERROR($N264+VLOOKUP($L264,'Voyage days'!$F$807:$K$878,6,FALSE),"")</f>
        <v>46157</v>
      </c>
      <c r="BN264" s="121" t="str">
        <f>if(L264="loads AG", IFERROR($M264+VLOOKUP($L264,'Voyage days'!$M$38:$O$38,3,FALSE),""),"")</f>
        <v/>
      </c>
      <c r="BO264" s="121" t="str">
        <f>if(L264="loads USG", IFERROR($M264+VLOOKUP($L264,'Voyage days'!$L$203:$N$203,3,FALSE),""),"")</f>
        <v/>
      </c>
    </row>
    <row r="265" ht="15.75" customHeight="1">
      <c r="A265" s="100" t="s">
        <v>508</v>
      </c>
      <c r="B265" s="148">
        <v>2022.0</v>
      </c>
      <c r="C265" s="102">
        <v>86000.0</v>
      </c>
      <c r="D265" s="103"/>
      <c r="E265" s="103"/>
      <c r="F265" s="104"/>
      <c r="G265" s="104"/>
      <c r="H265" s="104" t="s">
        <v>666</v>
      </c>
      <c r="I265" s="401" t="s">
        <v>1280</v>
      </c>
      <c r="J265" s="336" t="str">
        <f t="shared" si="41"/>
        <v>Update</v>
      </c>
      <c r="K265" s="107"/>
      <c r="L265" s="618" t="s">
        <v>1085</v>
      </c>
      <c r="M265" s="109">
        <v>46121.0</v>
      </c>
      <c r="N265" s="109">
        <v>46122.0</v>
      </c>
      <c r="O265" s="191"/>
      <c r="P265" s="108" t="s">
        <v>1304</v>
      </c>
      <c r="Q265" s="185"/>
      <c r="R265" s="632" t="s">
        <v>1305</v>
      </c>
      <c r="S265" s="256" t="s">
        <v>33</v>
      </c>
      <c r="T265" s="113">
        <v>46125.0</v>
      </c>
      <c r="U265" s="114" t="str">
        <f>IF(V265="","No AIS",VLOOKUP(V265,'Voyage days'!$A$3:$B$1480,2,FALSE))</f>
        <v>AG</v>
      </c>
      <c r="V265" s="115" t="str">
        <f>IF(VLOOKUP(A265,'1) Kpler'!$E$2:$P$1000,8, FALSE)="","",VLOOKUP(A265,'1) Kpler'!$E$2:$P$1000,8, FALSE))</f>
        <v>Fujairah</v>
      </c>
      <c r="W265" s="116">
        <f>IF(VLOOKUP(A265,'1) Kpler'!$E$2:$P$1000,9,FALSE)="","",VLOOKUP(A265,'1) Kpler'!$E$2:$P$1000,9,FALSE))</f>
        <v>46132.75</v>
      </c>
      <c r="X265" s="115" t="str">
        <f>VLOOKUP(A265,'1) Kpler'!$E$2:$I$1000,4,FALSE)</f>
        <v>ballast</v>
      </c>
      <c r="Y265" s="160" t="str">
        <f t="shared" si="39"/>
        <v>14-15 Apr</v>
      </c>
      <c r="Z265" s="160" t="str">
        <f t="shared" si="2"/>
        <v/>
      </c>
      <c r="AA265" s="160" t="str">
        <f t="shared" si="3"/>
        <v>11-12 May</v>
      </c>
      <c r="AB265" s="160" t="str">
        <f t="shared" si="4"/>
        <v>28-29 Apr</v>
      </c>
      <c r="AC265" s="160" t="str">
        <f t="shared" si="5"/>
        <v>22-23 Apr</v>
      </c>
      <c r="AD265" s="160" t="str">
        <f t="shared" si="6"/>
        <v/>
      </c>
      <c r="AE265" s="161" t="str">
        <f t="shared" si="7"/>
        <v/>
      </c>
      <c r="AF265" s="162" t="str">
        <f t="shared" si="8"/>
        <v>14-15 May</v>
      </c>
      <c r="AG265" s="120" t="str">
        <f t="shared" si="27"/>
        <v>14-15 Apr</v>
      </c>
      <c r="AH265" s="121">
        <f>IFERROR($M265+VLOOKUP($L265,'Voyage days'!$F$38:$H$89,3,FALSE),"")</f>
        <v>46126</v>
      </c>
      <c r="AI265" s="121">
        <f>IFERROR(N265+VLOOKUP($L265,'Voyage days'!$F$38:$H$89,3,FALSE),"")</f>
        <v>46127</v>
      </c>
      <c r="AJ265" s="120" t="str">
        <f t="shared" si="28"/>
        <v/>
      </c>
      <c r="AK265" s="121" t="str">
        <f>IFERROR($M265+VLOOKUP($L265,'Voyage days'!$F$94:$H$193,3,FALSE),"")</f>
        <v/>
      </c>
      <c r="AL265" s="121" t="str">
        <f>IFERROR($N265+VLOOKUP($L265,'Voyage days'!$F$94:$H$193,3,FALSE),"")</f>
        <v/>
      </c>
      <c r="AM265" s="120" t="str">
        <f t="shared" si="29"/>
        <v>11-12 May</v>
      </c>
      <c r="AN265" s="121">
        <f>IFERROR($M265+VLOOKUP($L265,'Voyage days'!$F$203:$H$256,3,FALSE),"")</f>
        <v>46153</v>
      </c>
      <c r="AO265" s="121">
        <f>IFERROR($N265+VLOOKUP($L265,'Voyage days'!$F$203:$H$256,3,FALSE),"")</f>
        <v>46154</v>
      </c>
      <c r="AP265" s="120" t="str">
        <f t="shared" si="30"/>
        <v>28-29 Apr</v>
      </c>
      <c r="AQ265" s="121">
        <f>IFERROR($M265+VLOOKUP($L265,'Voyage days'!$F$294:$H$377,3,FALSE),"")</f>
        <v>46140</v>
      </c>
      <c r="AR265" s="121">
        <f>IFERROR($N265+VLOOKUP($L265,'Voyage days'!$F$294:$H$377,3,FALSE),"")</f>
        <v>46141</v>
      </c>
      <c r="AS265" s="120" t="str">
        <f t="shared" si="31"/>
        <v>22-23 Apr</v>
      </c>
      <c r="AT265" s="121">
        <f>IFERROR($M265+VLOOKUP($L265,'Voyage days'!$F$382:$H$446,3,FALSE),"")</f>
        <v>46134</v>
      </c>
      <c r="AU265" s="121">
        <f>IFERROR($N265+VLOOKUP($L265,'Voyage days'!$F$382:$H$446,3,FALSE),"")</f>
        <v>46135</v>
      </c>
      <c r="AV265" s="120" t="str">
        <f t="shared" si="32"/>
        <v/>
      </c>
      <c r="AW265" s="121" t="str">
        <f>IFERROR($M265+VLOOKUP($L265,'Voyage days'!$F$483:$H$538,3,FALSE),"")</f>
        <v/>
      </c>
      <c r="AX265" s="121" t="str">
        <f>IFERROR($N265+VLOOKUP($L265,'Voyage days'!$F$483:$H$538,3,FALSE),"")</f>
        <v/>
      </c>
      <c r="AY265" s="120" t="str">
        <f t="shared" si="33"/>
        <v/>
      </c>
      <c r="AZ265" s="121" t="str">
        <f>IFERROR($M265+VLOOKUP($L265,'Voyage days'!$F$540:$H$613,3,FALSE),"")</f>
        <v/>
      </c>
      <c r="BA265" s="121" t="str">
        <f>IFERROR($N265+VLOOKUP($L265,'Voyage days'!$F$540:$H$613,3,FALSE),"")</f>
        <v/>
      </c>
      <c r="BB265" s="120" t="str">
        <f t="shared" si="34"/>
        <v/>
      </c>
      <c r="BC265" s="121" t="str">
        <f>IFERROR($M265+VLOOKUP($L265,'Voyage days'!$F$448:$H$479,3,FALSE),"")</f>
        <v/>
      </c>
      <c r="BD265" s="121" t="str">
        <f>IFERROR($N265+VLOOKUP($L265,'Voyage days'!$F$448:$H$479,3,FALSE),"")</f>
        <v/>
      </c>
      <c r="BE265" s="120" t="str">
        <f t="shared" si="35"/>
        <v/>
      </c>
      <c r="BF265" s="122" t="str">
        <f>IFERROR($M265+VLOOKUP($L265,'Voyage days'!$F$620:$H$646,3,FALSE),"")</f>
        <v/>
      </c>
      <c r="BG265" s="122" t="str">
        <f>IFERROR($N265+VLOOKUP($L265,'Voyage days'!$F$620:$H$646,3,FALSE),"")</f>
        <v/>
      </c>
      <c r="BH265" s="120" t="str">
        <f t="shared" si="36"/>
        <v/>
      </c>
      <c r="BI265" s="123" t="str">
        <f>IFERROR($M265+VLOOKUP($L265,'Voyage days'!$F$702:$H$727,3,FALSE),"")</f>
        <v/>
      </c>
      <c r="BJ265" s="120" t="str">
        <f t="shared" si="37"/>
        <v>14-15 May</v>
      </c>
      <c r="BK265" s="122">
        <f>IFERROR($M265+VLOOKUP($L265,'Voyage days'!$F$807:$H$878,3,FALSE),"")</f>
        <v>46156</v>
      </c>
      <c r="BL265" s="122">
        <f>IFERROR($N265+VLOOKUP($L265,'Voyage days'!$F$807:$H$878,3,FALSE),"")</f>
        <v>46157</v>
      </c>
      <c r="BM265" s="122">
        <f>IFERROR($N265+VLOOKUP($L265,'Voyage days'!$F$807:$K$878,6,FALSE),"")</f>
        <v>46129</v>
      </c>
      <c r="BN265" s="121" t="str">
        <f>if(L265="loads AG", IFERROR($M265+VLOOKUP($L265,'Voyage days'!$M$38:$O$38,3,FALSE),""),"")</f>
        <v/>
      </c>
      <c r="BO265" s="121" t="str">
        <f>if(L265="loads USG", IFERROR($M265+VLOOKUP($L265,'Voyage days'!$L$203:$N$203,3,FALSE),""),"")</f>
        <v/>
      </c>
    </row>
    <row r="266" ht="15.75" customHeight="1">
      <c r="A266" s="473" t="s">
        <v>584</v>
      </c>
      <c r="B266" s="165">
        <v>2022.0</v>
      </c>
      <c r="C266" s="166">
        <v>86000.0</v>
      </c>
      <c r="D266" s="223"/>
      <c r="E266" s="223"/>
      <c r="F266" s="168"/>
      <c r="G266" s="377" t="s">
        <v>1306</v>
      </c>
      <c r="H266" s="168" t="s">
        <v>666</v>
      </c>
      <c r="I266" s="324" t="s">
        <v>1280</v>
      </c>
      <c r="J266" s="170" t="str">
        <f t="shared" si="41"/>
        <v/>
      </c>
      <c r="K266" s="171"/>
      <c r="L266" s="172" t="s">
        <v>680</v>
      </c>
      <c r="M266" s="173">
        <v>46132.0</v>
      </c>
      <c r="N266" s="173">
        <v>46133.0</v>
      </c>
      <c r="O266" s="226"/>
      <c r="P266" s="172" t="s">
        <v>1307</v>
      </c>
      <c r="Q266" s="353"/>
      <c r="R266" s="211" t="s">
        <v>1308</v>
      </c>
      <c r="S266" s="256" t="s">
        <v>33</v>
      </c>
      <c r="T266" s="176">
        <v>46125.0</v>
      </c>
      <c r="U266" s="177" t="str">
        <f>IF(V266="","No AIS",VLOOKUP(V266,'Voyage days'!$A$3:$B$1480,2,FALSE))</f>
        <v>USG</v>
      </c>
      <c r="V266" s="178" t="str">
        <f>IF(VLOOKUP(A266,'1) Kpler'!$E$2:$P$1000,8, FALSE)="","",VLOOKUP(A266,'1) Kpler'!$E$2:$P$1000,8, FALSE))</f>
        <v>Energy Transfer Nederland</v>
      </c>
      <c r="W266" s="179">
        <f>IF(VLOOKUP(A266,'1) Kpler'!$E$2:$P$1000,9,FALSE)="","",VLOOKUP(A266,'1) Kpler'!$E$2:$P$1000,9,FALSE))</f>
        <v>46132.48681</v>
      </c>
      <c r="X266" s="178" t="str">
        <f>VLOOKUP(A266,'1) Kpler'!$E$2:$I$1000,4,FALSE)</f>
        <v>ballast</v>
      </c>
      <c r="Y266" s="180" t="str">
        <f t="shared" si="39"/>
        <v/>
      </c>
      <c r="Z266" s="180" t="str">
        <f t="shared" si="2"/>
        <v>20-21 Apr</v>
      </c>
      <c r="AA266" s="180" t="str">
        <f t="shared" si="3"/>
        <v>20-21 Apr</v>
      </c>
      <c r="AB266" s="180" t="str">
        <f t="shared" si="4"/>
        <v/>
      </c>
      <c r="AC266" s="180" t="str">
        <f t="shared" si="5"/>
        <v>10-11 May</v>
      </c>
      <c r="AD266" s="180" t="str">
        <f t="shared" si="6"/>
        <v/>
      </c>
      <c r="AE266" s="181" t="str">
        <f t="shared" si="7"/>
        <v/>
      </c>
      <c r="AF266" s="182" t="str">
        <f t="shared" si="8"/>
        <v/>
      </c>
      <c r="AG266" s="120" t="str">
        <f t="shared" si="27"/>
        <v/>
      </c>
      <c r="AH266" s="121" t="str">
        <f>IFERROR($M266+VLOOKUP($L266,'Voyage days'!$F$38:$H$89,3,FALSE),"")</f>
        <v/>
      </c>
      <c r="AI266" s="121" t="str">
        <f>IFERROR(N266+VLOOKUP($L266,'Voyage days'!$F$38:$H$89,3,FALSE),"")</f>
        <v/>
      </c>
      <c r="AJ266" s="120" t="str">
        <f t="shared" si="28"/>
        <v>20-21 Apr</v>
      </c>
      <c r="AK266" s="121">
        <f>IFERROR($M266+VLOOKUP($L266,'Voyage days'!$F$94:$H$193,3,FALSE),"")</f>
        <v>46132</v>
      </c>
      <c r="AL266" s="121">
        <f>IFERROR($N266+VLOOKUP($L266,'Voyage days'!$F$94:$H$193,3,FALSE),"")</f>
        <v>46133</v>
      </c>
      <c r="AM266" s="120" t="str">
        <f t="shared" si="29"/>
        <v>20-21 Apr</v>
      </c>
      <c r="AN266" s="121">
        <f>IFERROR($M266+VLOOKUP($L266,'Voyage days'!$F$203:$H$256,3,FALSE),"")</f>
        <v>46132</v>
      </c>
      <c r="AO266" s="121">
        <f>IFERROR($N266+VLOOKUP($L266,'Voyage days'!$F$203:$H$256,3,FALSE),"")</f>
        <v>46133</v>
      </c>
      <c r="AP266" s="120" t="str">
        <f t="shared" si="30"/>
        <v/>
      </c>
      <c r="AQ266" s="121" t="str">
        <f>IFERROR($M266+VLOOKUP($L266,'Voyage days'!$F$294:$H$377,3,FALSE),"")</f>
        <v/>
      </c>
      <c r="AR266" s="121" t="str">
        <f>IFERROR($N266+VLOOKUP($L266,'Voyage days'!$F$294:$H$377,3,FALSE),"")</f>
        <v/>
      </c>
      <c r="AS266" s="120" t="str">
        <f t="shared" si="31"/>
        <v>10-11 May</v>
      </c>
      <c r="AT266" s="121">
        <f>IFERROR($M266+VLOOKUP($L266,'Voyage days'!$F$382:$H$446,3,FALSE),"")</f>
        <v>46152</v>
      </c>
      <c r="AU266" s="121">
        <f>IFERROR($N266+VLOOKUP($L266,'Voyage days'!$F$382:$H$446,3,FALSE),"")</f>
        <v>46153</v>
      </c>
      <c r="AV266" s="120" t="str">
        <f t="shared" si="32"/>
        <v/>
      </c>
      <c r="AW266" s="121" t="str">
        <f>IFERROR($M266+VLOOKUP($L266,'Voyage days'!$F$483:$H$538,3,FALSE),"")</f>
        <v/>
      </c>
      <c r="AX266" s="121" t="str">
        <f>IFERROR($N266+VLOOKUP($L266,'Voyage days'!$F$483:$H$538,3,FALSE),"")</f>
        <v/>
      </c>
      <c r="AY266" s="120" t="str">
        <f t="shared" si="33"/>
        <v/>
      </c>
      <c r="AZ266" s="121" t="str">
        <f>IFERROR($M266+VLOOKUP($L266,'Voyage days'!$F$540:$H$613,3,FALSE),"")</f>
        <v/>
      </c>
      <c r="BA266" s="121" t="str">
        <f>IFERROR($N266+VLOOKUP($L266,'Voyage days'!$F$540:$H$613,3,FALSE),"")</f>
        <v/>
      </c>
      <c r="BB266" s="120" t="str">
        <f t="shared" si="34"/>
        <v/>
      </c>
      <c r="BC266" s="121" t="str">
        <f>IFERROR($M266+VLOOKUP($L266,'Voyage days'!$F$448:$H$479,3,FALSE),"")</f>
        <v/>
      </c>
      <c r="BD266" s="121" t="str">
        <f>IFERROR($N266+VLOOKUP($L266,'Voyage days'!$F$448:$H$479,3,FALSE),"")</f>
        <v/>
      </c>
      <c r="BE266" s="120" t="str">
        <f t="shared" si="35"/>
        <v/>
      </c>
      <c r="BF266" s="122" t="str">
        <f>IFERROR($M266+VLOOKUP($L266,'Voyage days'!$F$620:$H$646,3,FALSE),"")</f>
        <v/>
      </c>
      <c r="BG266" s="122" t="str">
        <f>IFERROR($N266+VLOOKUP($L266,'Voyage days'!$F$620:$H$646,3,FALSE),"")</f>
        <v/>
      </c>
      <c r="BH266" s="120" t="str">
        <f t="shared" si="36"/>
        <v/>
      </c>
      <c r="BI266" s="123" t="str">
        <f>IFERROR($M266+VLOOKUP($L266,'Voyage days'!$F$702:$H$727,3,FALSE),"")</f>
        <v/>
      </c>
      <c r="BJ266" s="120" t="str">
        <f t="shared" si="37"/>
        <v/>
      </c>
      <c r="BK266" s="122" t="str">
        <f>IFERROR($M266+VLOOKUP($L266,'Voyage days'!$F$807:$H$878,3,FALSE),"")</f>
        <v/>
      </c>
      <c r="BL266" s="122" t="str">
        <f>IFERROR($N266+VLOOKUP($L266,'Voyage days'!$F$807:$H$878,3,FALSE),"")</f>
        <v/>
      </c>
      <c r="BM266" s="122" t="str">
        <f>IFERROR($N266+VLOOKUP($L266,'Voyage days'!$F$807:$K$878,6,FALSE),"")</f>
        <v/>
      </c>
      <c r="BN266" s="121" t="str">
        <f>if(L266="loads AG", IFERROR($M266+VLOOKUP($L266,'Voyage days'!$M$38:$O$38,3,FALSE),""),"")</f>
        <v/>
      </c>
      <c r="BO266" s="121">
        <f>if(L266="loads USG", IFERROR($M266+VLOOKUP($L266,'Voyage days'!$L$203:$N$203,3,FALSE),""),"")</f>
        <v>46164</v>
      </c>
    </row>
    <row r="267" ht="15.75" customHeight="1">
      <c r="A267" s="633" t="s">
        <v>96</v>
      </c>
      <c r="B267" s="634">
        <v>2003.0</v>
      </c>
      <c r="C267" s="166">
        <v>82557.0</v>
      </c>
      <c r="D267" s="223"/>
      <c r="E267" s="223"/>
      <c r="F267" s="168"/>
      <c r="G267" s="377" t="s">
        <v>1306</v>
      </c>
      <c r="H267" s="168" t="s">
        <v>666</v>
      </c>
      <c r="I267" s="224" t="s">
        <v>1309</v>
      </c>
      <c r="J267" s="170" t="str">
        <f t="shared" si="41"/>
        <v>NO AIS</v>
      </c>
      <c r="K267" s="171"/>
      <c r="L267" s="172" t="s">
        <v>1085</v>
      </c>
      <c r="M267" s="367">
        <v>46129.0</v>
      </c>
      <c r="N267" s="367">
        <v>46130.0</v>
      </c>
      <c r="O267" s="226"/>
      <c r="P267" s="172" t="s">
        <v>1310</v>
      </c>
      <c r="Q267" s="172"/>
      <c r="R267" s="482" t="s">
        <v>1311</v>
      </c>
      <c r="S267" s="485" t="s">
        <v>659</v>
      </c>
      <c r="T267" s="369">
        <v>46124.0</v>
      </c>
      <c r="U267" s="177" t="str">
        <f>IF(V267="","No AIS",VLOOKUP(V267,'Voyage days'!$A$3:$B$1480,2,FALSE))</f>
        <v>No AIS</v>
      </c>
      <c r="V267" s="178" t="str">
        <f>IF(VLOOKUP(A267,'1) Kpler'!$E$2:$P$1000,8, FALSE)="","",VLOOKUP(A267,'1) Kpler'!$E$2:$P$1000,8, FALSE))</f>
        <v/>
      </c>
      <c r="W267" s="179" t="str">
        <f>IF(VLOOKUP(A267,'1) Kpler'!$E$2:$P$1000,9,FALSE)="","",VLOOKUP(A267,'1) Kpler'!$E$2:$P$1000,9,FALSE))</f>
        <v/>
      </c>
      <c r="X267" s="178" t="str">
        <f>VLOOKUP(A267,'1) Kpler'!$E$2:$I$1000,4,FALSE)</f>
        <v>ballast</v>
      </c>
      <c r="Y267" s="180" t="str">
        <f t="shared" si="39"/>
        <v>22-23 Apr</v>
      </c>
      <c r="Z267" s="180" t="str">
        <f t="shared" si="2"/>
        <v/>
      </c>
      <c r="AA267" s="180" t="str">
        <f t="shared" si="3"/>
        <v>19-20 May</v>
      </c>
      <c r="AB267" s="180" t="str">
        <f t="shared" si="4"/>
        <v>06-07 May</v>
      </c>
      <c r="AC267" s="180" t="str">
        <f t="shared" si="5"/>
        <v>30-01 May</v>
      </c>
      <c r="AD267" s="180" t="str">
        <f t="shared" si="6"/>
        <v/>
      </c>
      <c r="AE267" s="181" t="str">
        <f t="shared" si="7"/>
        <v/>
      </c>
      <c r="AF267" s="182" t="str">
        <f t="shared" si="8"/>
        <v>22-23 May</v>
      </c>
      <c r="AG267" s="120" t="str">
        <f t="shared" si="27"/>
        <v>22-23 Apr</v>
      </c>
      <c r="AH267" s="121">
        <f>IFERROR($M267+VLOOKUP($L267,'Voyage days'!$F$38:$H$89,3,FALSE),"")</f>
        <v>46134</v>
      </c>
      <c r="AI267" s="121">
        <f>IFERROR(N267+VLOOKUP($L267,'Voyage days'!$F$38:$H$89,3,FALSE),"")</f>
        <v>46135</v>
      </c>
      <c r="AJ267" s="120" t="str">
        <f t="shared" si="28"/>
        <v/>
      </c>
      <c r="AK267" s="121" t="str">
        <f>IFERROR($M267+VLOOKUP($L267,'Voyage days'!$F$94:$H$193,3,FALSE),"")</f>
        <v/>
      </c>
      <c r="AL267" s="121" t="str">
        <f>IFERROR($N267+VLOOKUP($L267,'Voyage days'!$F$94:$H$193,3,FALSE),"")</f>
        <v/>
      </c>
      <c r="AM267" s="120" t="str">
        <f t="shared" si="29"/>
        <v>19-20 May</v>
      </c>
      <c r="AN267" s="121">
        <f>IFERROR($M267+VLOOKUP($L267,'Voyage days'!$F$203:$H$256,3,FALSE),"")</f>
        <v>46161</v>
      </c>
      <c r="AO267" s="121">
        <f>IFERROR($N267+VLOOKUP($L267,'Voyage days'!$F$203:$H$256,3,FALSE),"")</f>
        <v>46162</v>
      </c>
      <c r="AP267" s="120" t="str">
        <f t="shared" si="30"/>
        <v>06-07 May</v>
      </c>
      <c r="AQ267" s="121">
        <f>IFERROR($M267+VLOOKUP($L267,'Voyage days'!$F$294:$H$377,3,FALSE),"")</f>
        <v>46148</v>
      </c>
      <c r="AR267" s="121">
        <f>IFERROR($N267+VLOOKUP($L267,'Voyage days'!$F$294:$H$377,3,FALSE),"")</f>
        <v>46149</v>
      </c>
      <c r="AS267" s="120" t="str">
        <f t="shared" si="31"/>
        <v>30-01 May</v>
      </c>
      <c r="AT267" s="121">
        <f>IFERROR($M267+VLOOKUP($L267,'Voyage days'!$F$382:$H$446,3,FALSE),"")</f>
        <v>46142</v>
      </c>
      <c r="AU267" s="121">
        <f>IFERROR($N267+VLOOKUP($L267,'Voyage days'!$F$382:$H$446,3,FALSE),"")</f>
        <v>46143</v>
      </c>
      <c r="AV267" s="120" t="str">
        <f t="shared" si="32"/>
        <v/>
      </c>
      <c r="AW267" s="121" t="str">
        <f>IFERROR($M267+VLOOKUP($L267,'Voyage days'!$F$483:$H$538,3,FALSE),"")</f>
        <v/>
      </c>
      <c r="AX267" s="121" t="str">
        <f>IFERROR($N267+VLOOKUP($L267,'Voyage days'!$F$483:$H$538,3,FALSE),"")</f>
        <v/>
      </c>
      <c r="AY267" s="120" t="str">
        <f t="shared" si="33"/>
        <v/>
      </c>
      <c r="AZ267" s="121" t="str">
        <f>IFERROR($M267+VLOOKUP($L267,'Voyage days'!$F$540:$H$613,3,FALSE),"")</f>
        <v/>
      </c>
      <c r="BA267" s="121" t="str">
        <f>IFERROR($N267+VLOOKUP($L267,'Voyage days'!$F$540:$H$613,3,FALSE),"")</f>
        <v/>
      </c>
      <c r="BB267" s="120" t="str">
        <f t="shared" si="34"/>
        <v/>
      </c>
      <c r="BC267" s="121" t="str">
        <f>IFERROR($M267+VLOOKUP($L267,'Voyage days'!$F$448:$H$479,3,FALSE),"")</f>
        <v/>
      </c>
      <c r="BD267" s="121" t="str">
        <f>IFERROR($N267+VLOOKUP($L267,'Voyage days'!$F$448:$H$479,3,FALSE),"")</f>
        <v/>
      </c>
      <c r="BE267" s="120" t="str">
        <f t="shared" si="35"/>
        <v/>
      </c>
      <c r="BF267" s="122" t="str">
        <f>IFERROR($M267+VLOOKUP($L267,'Voyage days'!$F$620:$H$646,3,FALSE),"")</f>
        <v/>
      </c>
      <c r="BG267" s="122" t="str">
        <f>IFERROR($N267+VLOOKUP($L267,'Voyage days'!$F$620:$H$646,3,FALSE),"")</f>
        <v/>
      </c>
      <c r="BH267" s="120" t="str">
        <f t="shared" si="36"/>
        <v/>
      </c>
      <c r="BI267" s="123" t="str">
        <f>IFERROR($M267+VLOOKUP($L267,'Voyage days'!$F$702:$H$727,3,FALSE),"")</f>
        <v/>
      </c>
      <c r="BJ267" s="120" t="str">
        <f t="shared" si="37"/>
        <v>22-23 May</v>
      </c>
      <c r="BK267" s="122">
        <f>IFERROR($M267+VLOOKUP($L267,'Voyage days'!$F$807:$H$878,3,FALSE),"")</f>
        <v>46164</v>
      </c>
      <c r="BL267" s="122">
        <f>IFERROR($N267+VLOOKUP($L267,'Voyage days'!$F$807:$H$878,3,FALSE),"")</f>
        <v>46165</v>
      </c>
      <c r="BM267" s="122">
        <f>IFERROR($N267+VLOOKUP($L267,'Voyage days'!$F$807:$K$878,6,FALSE),"")</f>
        <v>46137</v>
      </c>
      <c r="BN267" s="121" t="str">
        <f>if(L267="loads AG", IFERROR($M267+VLOOKUP($L267,'Voyage days'!$M$38:$O$38,3,FALSE),""),"")</f>
        <v/>
      </c>
      <c r="BO267" s="121" t="str">
        <f>if(L267="loads USG", IFERROR($M267+VLOOKUP($L267,'Voyage days'!$L$203:$N$203,3,FALSE),""),"")</f>
        <v/>
      </c>
    </row>
    <row r="268" ht="15.75" customHeight="1">
      <c r="A268" s="635"/>
      <c r="B268" s="636" t="s">
        <v>1312</v>
      </c>
      <c r="C268" s="637"/>
      <c r="D268" s="638"/>
      <c r="E268" s="638"/>
      <c r="F268" s="639"/>
      <c r="G268" s="639"/>
      <c r="H268" s="639"/>
      <c r="I268" s="640"/>
      <c r="J268" s="641"/>
      <c r="K268" s="642"/>
      <c r="L268" s="641"/>
      <c r="M268" s="643"/>
      <c r="N268" s="643"/>
      <c r="O268" s="644"/>
      <c r="P268" s="645"/>
      <c r="Q268" s="645"/>
      <c r="R268" s="646"/>
      <c r="S268" s="647" t="str">
        <f>IF(L268&lt;&gt;"",MID(INFO("DIRECTORY"),10,LEN(INFO("DIRECTORY"))-LEN(MID(INFO("DIRECTORY"),FIND("\",INFO("DIRECTORY"),10),1000))-LEN("C:\Users\")),IF(M268&lt;&gt;"",MID(INFO("DIRECTORY"),10,LEN(INFO("DIRECTORY"))-LEN(MID(INFO("DIRECTORY"),FIND("\",INFO("DIRECTORY"),10),1000))-LEN("C:\Users\")),IF(N268&lt;&gt;"",MID(INFO("DIRECTORY"),10,LEN(INFO("DIRECTORY"))-LEN(MID(INFO("DIRECTORY"),FIND("\",INFO("DIRECTORY"),10),1000))-LEN("C:\Users\")),IF(O268&lt;&gt;"",MID(INFO("DIRECTORY"),10,LEN(INFO("DIRECTORY"))-LEN(MID(INFO("DIRECTORY"),FIND("\",INFO("DIRECTORY"),10),1000))-LEN("C:\Users\")),IF(P268&lt;&gt;"",MID(INFO("DIRECTORY"),10,LEN(INFO("DIRECTORY"))-LEN(MID(INFO("DIRECTORY"),FIND("\",INFO("DIRECTORY"),10),1000))-LEN("C:\Users\")),IF(Q268&lt;&gt;"",NOW(),IF(R268&lt;&gt;"",MID(INFO("DIRECTORY"),10,LEN(INFO("DIRECTORY"))-LEN(MID(INFO("DIRECTORY"),FIND("\",INFO("DIRECTORY"),10),1000))-LEN("C:\Users\")),"")))))))</f>
        <v/>
      </c>
      <c r="T268" s="648"/>
      <c r="U268" s="648"/>
      <c r="V268" s="648"/>
      <c r="W268" s="649"/>
      <c r="X268" s="642"/>
      <c r="Y268" s="642"/>
      <c r="Z268" s="642"/>
      <c r="AA268" s="642"/>
      <c r="AB268" s="642"/>
      <c r="AC268" s="642"/>
      <c r="AD268" s="642"/>
      <c r="AE268" s="642"/>
      <c r="AF268" s="642"/>
      <c r="AG268" s="642"/>
      <c r="AH268" s="650" t="str">
        <f>IFERROR($M268+VLOOKUP($L268,'Voyage days'!$F$38:$H$89,3,FALSE),"")</f>
        <v/>
      </c>
      <c r="AI268" s="650" t="str">
        <f>IFERROR(N268+VLOOKUP($L268,'Voyage days'!$F$38:$H$89,3,FALSE),"")</f>
        <v/>
      </c>
      <c r="AJ268" s="651" t="str">
        <f t="shared" si="28"/>
        <v/>
      </c>
      <c r="AK268" s="650" t="str">
        <f>IFERROR($M268+VLOOKUP($L268,'Voyage days'!$F$94:$H$193,3,FALSE),"")</f>
        <v/>
      </c>
      <c r="AL268" s="650" t="str">
        <f>IFERROR($N268+VLOOKUP($L268,'Voyage days'!$F$94:$H$193,3,FALSE),"")</f>
        <v/>
      </c>
      <c r="AM268" s="651" t="str">
        <f t="shared" si="29"/>
        <v/>
      </c>
      <c r="AN268" s="650" t="str">
        <f>IFERROR($M268+VLOOKUP($L268,'Voyage days'!$F$203:$H$256,3,FALSE),"")</f>
        <v/>
      </c>
      <c r="AO268" s="650" t="str">
        <f>IFERROR($N268+VLOOKUP($L268,'Voyage days'!$F$203:$H$256,3,FALSE),"")</f>
        <v/>
      </c>
      <c r="AP268" s="651" t="str">
        <f t="shared" si="30"/>
        <v/>
      </c>
      <c r="AQ268" s="650" t="str">
        <f>IFERROR($M268+VLOOKUP($L268,'Voyage days'!$F$294:$H$377,3,FALSE),"")</f>
        <v/>
      </c>
      <c r="AR268" s="650" t="str">
        <f>IFERROR($N268+VLOOKUP($L268,'Voyage days'!$F$294:$H$377,3,FALSE),"")</f>
        <v/>
      </c>
      <c r="AS268" s="651" t="str">
        <f t="shared" si="31"/>
        <v/>
      </c>
      <c r="AT268" s="650" t="str">
        <f>IFERROR($M268+VLOOKUP($L268,'Voyage days'!$F$382:$H$446,3,FALSE),"")</f>
        <v/>
      </c>
      <c r="AU268" s="650" t="str">
        <f>IFERROR($N268+VLOOKUP($L268,'Voyage days'!$F$382:$H$446,3,FALSE),"")</f>
        <v/>
      </c>
      <c r="AV268" s="651" t="str">
        <f t="shared" si="32"/>
        <v/>
      </c>
      <c r="AW268" s="650" t="str">
        <f>IFERROR($M268+VLOOKUP($L268,'Voyage days'!$F$483:$H$538,3,FALSE),"")</f>
        <v/>
      </c>
      <c r="AX268" s="650" t="str">
        <f>IFERROR($N268+VLOOKUP($L268,'Voyage days'!$F$483:$H$538,3,FALSE),"")</f>
        <v/>
      </c>
      <c r="AY268" s="651" t="str">
        <f t="shared" si="33"/>
        <v/>
      </c>
      <c r="AZ268" s="650" t="str">
        <f>IFERROR($M268+VLOOKUP($L268,'Voyage days'!$F$540:$H$613,3,FALSE),"")</f>
        <v/>
      </c>
      <c r="BA268" s="650" t="str">
        <f>IFERROR($N268+VLOOKUP($L268,'Voyage days'!$F$540:$H$613,3,FALSE),"")</f>
        <v/>
      </c>
      <c r="BB268" s="651" t="str">
        <f t="shared" si="34"/>
        <v/>
      </c>
      <c r="BC268" s="121" t="str">
        <f>IFERROR($M268+VLOOKUP($L268,'Voyage days'!$F$448:$H$479,3,FALSE),"")</f>
        <v/>
      </c>
      <c r="BD268" s="121" t="str">
        <f>IFERROR($N268+VLOOKUP($L268,'Voyage days'!$F$448:$H$479,3,FALSE),"")</f>
        <v/>
      </c>
      <c r="BE268" s="651" t="str">
        <f t="shared" si="35"/>
        <v/>
      </c>
      <c r="BF268" s="650" t="str">
        <f>IFERROR($M268+VLOOKUP($L268,'Voyage days'!$F$620:$H$646,3,FALSE),"")</f>
        <v/>
      </c>
      <c r="BG268" s="650" t="str">
        <f>IFERROR($N268+VLOOKUP($L268,'Voyage days'!$F$620:$H$646,3,FALSE),"")</f>
        <v/>
      </c>
      <c r="BH268" s="651" t="str">
        <f t="shared" si="36"/>
        <v/>
      </c>
      <c r="BI268" s="652" t="str">
        <f>IFERROR($M268+VLOOKUP($L268,'Voyage days'!$F$702:$H$727,3,FALSE),"")</f>
        <v/>
      </c>
      <c r="BJ268" s="163" t="str">
        <f t="shared" si="37"/>
        <v/>
      </c>
      <c r="BK268" s="122" t="str">
        <f>IFERROR($M268+VLOOKUP($L268,'Voyage days'!$F$807:$H$878,3,FALSE),"")</f>
        <v/>
      </c>
      <c r="BL268" s="122" t="str">
        <f>IFERROR($N268+VLOOKUP($L268,'Voyage days'!$F$807:$H$878,3,FALSE),"")</f>
        <v/>
      </c>
      <c r="BM268" s="122" t="str">
        <f>IFERROR($N268+VLOOKUP($L268,'Voyage days'!$F$807:$K$878,6,FALSE),"")</f>
        <v/>
      </c>
      <c r="BN268" s="121" t="str">
        <f>if(L268="loads AG", IFERROR($M268+VLOOKUP($L268,'Voyage days'!$M$38:$O$38,3,FALSE),""),"")</f>
        <v/>
      </c>
      <c r="BO268" s="121" t="str">
        <f>if(L268="loads USG", IFERROR($M268+VLOOKUP($L268,'Voyage days'!$L$203:$N$203,3,FALSE),""),"")</f>
        <v/>
      </c>
    </row>
    <row r="269" ht="15.75" customHeight="1">
      <c r="A269" s="653" t="s">
        <v>273</v>
      </c>
      <c r="B269" s="654">
        <v>2024.0</v>
      </c>
      <c r="C269" s="390">
        <v>93000.0</v>
      </c>
      <c r="D269" s="619"/>
      <c r="E269" s="619" t="s">
        <v>706</v>
      </c>
      <c r="F269" s="655"/>
      <c r="G269" s="655"/>
      <c r="H269" s="655" t="s">
        <v>666</v>
      </c>
      <c r="I269" s="656" t="s">
        <v>1313</v>
      </c>
      <c r="J269" s="151" t="str">
        <f t="shared" ref="J269:J280" si="42">IF(W269="","NO AIS",IF((W269-M269-1)&gt;0,"Update",""))</f>
        <v/>
      </c>
      <c r="K269" s="107"/>
      <c r="L269" s="315" t="s">
        <v>698</v>
      </c>
      <c r="M269" s="109">
        <v>46132.0</v>
      </c>
      <c r="N269" s="254">
        <v>46133.0</v>
      </c>
      <c r="O269" s="191" t="s">
        <v>1314</v>
      </c>
      <c r="P269" s="108" t="s">
        <v>1315</v>
      </c>
      <c r="Q269" s="153"/>
      <c r="R269" s="317" t="s">
        <v>1316</v>
      </c>
      <c r="S269" s="256" t="s">
        <v>659</v>
      </c>
      <c r="T269" s="293">
        <v>46124.0</v>
      </c>
      <c r="U269" s="114" t="str">
        <f>IF(V269="","No AIS",VLOOKUP(V269,'Voyage days'!$A$3:$B$1480,2,FALSE))</f>
        <v>Singapore</v>
      </c>
      <c r="V269" s="114" t="str">
        <f>IF(VLOOKUP(A269,'1) Kpler'!$E$2:$P$1000,8, FALSE)="","",VLOOKUP(A269,'1) Kpler'!$E$2:$P$1000,8, FALSE))</f>
        <v>Singapore</v>
      </c>
      <c r="W269" s="159">
        <f>IF(VLOOKUP(A269,'1) Kpler'!$E$2:$P$1000,9,FALSE)="","",VLOOKUP(A269,'1) Kpler'!$E$2:$P$1000,9,FALSE))</f>
        <v>46132.91667</v>
      </c>
      <c r="X269" s="114" t="str">
        <f>VLOOKUP(A269,'1) Kpler'!$E$2:$I$1000,4,FALSE)</f>
        <v>ballast</v>
      </c>
      <c r="Y269" s="296" t="str">
        <f t="shared" ref="Y269:Y344" si="43">AG269</f>
        <v>30-01 May</v>
      </c>
      <c r="Z269" s="296" t="str">
        <f t="shared" ref="Z269:Z344" si="44">AJ269</f>
        <v>23-24 May</v>
      </c>
      <c r="AA269" s="296" t="str">
        <f t="shared" ref="AA269:AA344" si="45">AM269</f>
        <v>24-25 May</v>
      </c>
      <c r="AB269" s="296" t="str">
        <f t="shared" ref="AB269:AB344" si="46">AP269</f>
        <v>10-11 May</v>
      </c>
      <c r="AC269" s="296" t="str">
        <f t="shared" ref="AC269:AC344" si="47">AS269</f>
        <v>18-19 May</v>
      </c>
      <c r="AD269" s="296" t="str">
        <f t="shared" ref="AD269:AD344" si="48">BB269</f>
        <v>20-21 Apr</v>
      </c>
      <c r="AE269" s="297" t="str">
        <f t="shared" ref="AE269:AE344" si="49">AY269</f>
        <v>25-26 Apr</v>
      </c>
      <c r="AF269" s="119" t="str">
        <f t="shared" ref="AF269:AF344" si="50">BJ269</f>
        <v>27-28 May</v>
      </c>
      <c r="AG269" s="120" t="str">
        <f t="shared" ref="AG269:AG344" si="51">IF(AH269="","",TEXT(AH269,"dd")&amp;"-"&amp;TEXT(AI269,"dd mmm"))</f>
        <v>30-01 May</v>
      </c>
      <c r="AH269" s="121">
        <f>IFERROR($M269+VLOOKUP($L269,'Voyage days'!$F$38:$H$89,3,FALSE),"")</f>
        <v>46142</v>
      </c>
      <c r="AI269" s="121">
        <f>IFERROR(N269+VLOOKUP($L269,'Voyage days'!$F$38:$H$89,3,FALSE),"")</f>
        <v>46143</v>
      </c>
      <c r="AJ269" s="120" t="str">
        <f t="shared" si="28"/>
        <v>23-24 May</v>
      </c>
      <c r="AK269" s="121">
        <f>IFERROR($M269+VLOOKUP($L269,'Voyage days'!$F$94:$H$193,3,FALSE),"")</f>
        <v>46165</v>
      </c>
      <c r="AL269" s="121">
        <f>IFERROR($N269+VLOOKUP($L269,'Voyage days'!$F$94:$H$193,3,FALSE),"")</f>
        <v>46166</v>
      </c>
      <c r="AM269" s="120" t="str">
        <f t="shared" si="29"/>
        <v>24-25 May</v>
      </c>
      <c r="AN269" s="121">
        <f>IFERROR($M269+VLOOKUP($L269,'Voyage days'!$F$203:$H$256,3,FALSE),"")</f>
        <v>46166</v>
      </c>
      <c r="AO269" s="121">
        <f>IFERROR($N269+VLOOKUP($L269,'Voyage days'!$F$203:$H$256,3,FALSE),"")</f>
        <v>46167</v>
      </c>
      <c r="AP269" s="120" t="str">
        <f t="shared" si="30"/>
        <v>10-11 May</v>
      </c>
      <c r="AQ269" s="121">
        <f>IFERROR($M269+VLOOKUP($L269,'Voyage days'!$F$294:$H$377,3,FALSE),"")</f>
        <v>46152</v>
      </c>
      <c r="AR269" s="121">
        <f>IFERROR($N269+VLOOKUP($L269,'Voyage days'!$F$294:$H$377,3,FALSE),"")</f>
        <v>46153</v>
      </c>
      <c r="AS269" s="120" t="str">
        <f t="shared" si="31"/>
        <v>18-19 May</v>
      </c>
      <c r="AT269" s="121">
        <f>IFERROR($M269+VLOOKUP($L269,'Voyage days'!$F$382:$H$446,3,FALSE),"")</f>
        <v>46160</v>
      </c>
      <c r="AU269" s="121">
        <f>IFERROR($N269+VLOOKUP($L269,'Voyage days'!$F$382:$H$446,3,FALSE),"")</f>
        <v>46161</v>
      </c>
      <c r="AV269" s="120" t="str">
        <f t="shared" si="32"/>
        <v>01-02 May</v>
      </c>
      <c r="AW269" s="121">
        <f>IFERROR($M269+VLOOKUP($L269,'Voyage days'!$F$483:$H$538,3,FALSE),"")</f>
        <v>46143</v>
      </c>
      <c r="AX269" s="121">
        <f>IFERROR($N269+VLOOKUP($L269,'Voyage days'!$F$483:$H$538,3,FALSE),"")</f>
        <v>46144</v>
      </c>
      <c r="AY269" s="120" t="str">
        <f t="shared" si="33"/>
        <v>25-26 Apr</v>
      </c>
      <c r="AZ269" s="121">
        <f>IFERROR($M269+VLOOKUP($L269,'Voyage days'!$F$540:$H$613,3,FALSE),"")</f>
        <v>46137.25</v>
      </c>
      <c r="BA269" s="121">
        <f>IFERROR($N269+VLOOKUP($L269,'Voyage days'!$F$540:$H$613,3,FALSE),"")</f>
        <v>46138.25</v>
      </c>
      <c r="BB269" s="120" t="str">
        <f t="shared" si="34"/>
        <v>20-21 Apr</v>
      </c>
      <c r="BC269" s="121">
        <f>IFERROR($M269+VLOOKUP($L269,'Voyage days'!$F$448:$H$479,3,FALSE),"")</f>
        <v>46132</v>
      </c>
      <c r="BD269" s="121">
        <f>IFERROR($N269+VLOOKUP($L269,'Voyage days'!$F$448:$H$479,3,FALSE),"")</f>
        <v>46133</v>
      </c>
      <c r="BE269" s="120" t="str">
        <f t="shared" si="35"/>
        <v/>
      </c>
      <c r="BF269" s="122" t="str">
        <f>IFERROR($M269+VLOOKUP($L269,'Voyage days'!$F$620:$H$646,3,FALSE),"")</f>
        <v/>
      </c>
      <c r="BG269" s="122" t="str">
        <f>IFERROR($N269+VLOOKUP($L269,'Voyage days'!$F$620:$H$646,3,FALSE),"")</f>
        <v/>
      </c>
      <c r="BH269" s="120" t="str">
        <f t="shared" si="36"/>
        <v>30-28 May</v>
      </c>
      <c r="BI269" s="123">
        <f>IFERROR($M269+VLOOKUP($L269,'Voyage days'!$F$702:$H$727,3,FALSE),"")</f>
        <v>46142</v>
      </c>
      <c r="BJ269" s="120" t="str">
        <f t="shared" si="37"/>
        <v>27-28 May</v>
      </c>
      <c r="BK269" s="122">
        <f>IFERROR($M269+VLOOKUP($L269,'Voyage days'!$F$807:$H$878,3,FALSE),"")</f>
        <v>46169</v>
      </c>
      <c r="BL269" s="122">
        <f>IFERROR($N269+VLOOKUP($L269,'Voyage days'!$F$807:$H$878,3,FALSE),"")</f>
        <v>46170</v>
      </c>
      <c r="BM269" s="122">
        <f>IFERROR($N269+VLOOKUP($L269,'Voyage days'!$F$807:$K$878,6,FALSE),"")</f>
        <v>46146</v>
      </c>
      <c r="BN269" s="121" t="str">
        <f>if(L269="loads AG", IFERROR($M269+VLOOKUP($L269,'Voyage days'!$M$38:$O$38,3,FALSE),""),"")</f>
        <v/>
      </c>
      <c r="BO269" s="121" t="str">
        <f>if(L269="loads USG", IFERROR($M269+VLOOKUP($L269,'Voyage days'!$L$203:$N$203,3,FALSE),""),"")</f>
        <v/>
      </c>
    </row>
    <row r="270" ht="15.75" customHeight="1">
      <c r="A270" s="657" t="s">
        <v>300</v>
      </c>
      <c r="B270" s="658">
        <v>2016.0</v>
      </c>
      <c r="C270" s="390">
        <v>83000.0</v>
      </c>
      <c r="D270" s="659"/>
      <c r="E270" s="659" t="s">
        <v>706</v>
      </c>
      <c r="F270" s="660"/>
      <c r="G270" s="660"/>
      <c r="H270" s="660"/>
      <c r="I270" s="661" t="s">
        <v>1313</v>
      </c>
      <c r="J270" s="151" t="str">
        <f t="shared" si="42"/>
        <v/>
      </c>
      <c r="K270" s="152"/>
      <c r="L270" s="108" t="s">
        <v>809</v>
      </c>
      <c r="M270" s="662">
        <v>46163.0</v>
      </c>
      <c r="N270" s="109">
        <v>46164.0</v>
      </c>
      <c r="O270" s="277"/>
      <c r="P270" s="108" t="s">
        <v>1317</v>
      </c>
      <c r="Q270" s="108"/>
      <c r="R270" s="108" t="s">
        <v>1318</v>
      </c>
      <c r="S270" s="256" t="s">
        <v>659</v>
      </c>
      <c r="T270" s="293">
        <v>46124.0</v>
      </c>
      <c r="U270" s="271" t="str">
        <f>IF(V270="","No AIS",VLOOKUP(V270,'Voyage days'!$A$3:$B$1480,2,FALSE))</f>
        <v>Vietnam + 3</v>
      </c>
      <c r="V270" s="271" t="str">
        <f>IF(VLOOKUP(A270,'1) Kpler'!$E$2:$P$1000,8, FALSE)="","",VLOOKUP(A270,'1) Kpler'!$E$2:$P$1000,8, FALSE))</f>
        <v>PV Vung Tau</v>
      </c>
      <c r="W270" s="663">
        <f>IF(VLOOKUP(A270,'1) Kpler'!$E$2:$P$1000,9,FALSE)="","",VLOOKUP(A270,'1) Kpler'!$E$2:$P$1000,9,FALSE))</f>
        <v>46162.625</v>
      </c>
      <c r="X270" s="664" t="str">
        <f>VLOOKUP(A270,'1) Kpler'!$E$2:$I$1000,4,FALSE)</f>
        <v>loaded</v>
      </c>
      <c r="Y270" s="160" t="str">
        <f t="shared" si="43"/>
        <v>03-04 Jun</v>
      </c>
      <c r="Z270" s="160" t="str">
        <f t="shared" si="44"/>
        <v>27-28 Jun</v>
      </c>
      <c r="AA270" s="160" t="str">
        <f t="shared" si="45"/>
        <v>29-30 Jun</v>
      </c>
      <c r="AB270" s="160" t="str">
        <f t="shared" si="46"/>
        <v>14-15 Jun</v>
      </c>
      <c r="AC270" s="160" t="str">
        <f t="shared" si="47"/>
        <v>20-21 Jun</v>
      </c>
      <c r="AD270" s="160" t="str">
        <f t="shared" si="48"/>
        <v>23-24 May</v>
      </c>
      <c r="AE270" s="161" t="str">
        <f t="shared" si="49"/>
        <v>27-28 May</v>
      </c>
      <c r="AF270" s="162" t="str">
        <f t="shared" si="50"/>
        <v>30-01 Jul</v>
      </c>
      <c r="AG270" s="163" t="str">
        <f t="shared" si="51"/>
        <v>03-04 Jun</v>
      </c>
      <c r="AH270" s="122">
        <f>IFERROR($M270+VLOOKUP($L270,'Voyage days'!$F$38:$H$89,3,FALSE),"")</f>
        <v>46176</v>
      </c>
      <c r="AI270" s="122">
        <f>IFERROR(N270+VLOOKUP($L270,'Voyage days'!$F$38:$H$89,3,FALSE),"")</f>
        <v>46177</v>
      </c>
      <c r="AJ270" s="163" t="str">
        <f t="shared" si="28"/>
        <v>27-28 Jun</v>
      </c>
      <c r="AK270" s="122">
        <f>IFERROR($M270+VLOOKUP($L270,'Voyage days'!$F$94:$H$193,3,FALSE),"")</f>
        <v>46200</v>
      </c>
      <c r="AL270" s="122">
        <f>IFERROR($N270+VLOOKUP($L270,'Voyage days'!$F$94:$H$193,3,FALSE),"")</f>
        <v>46201</v>
      </c>
      <c r="AM270" s="163" t="str">
        <f t="shared" si="29"/>
        <v>29-30 Jun</v>
      </c>
      <c r="AN270" s="122">
        <f>IFERROR($M270+VLOOKUP($L270,'Voyage days'!$F$203:$H$256,3,FALSE),"")</f>
        <v>46202</v>
      </c>
      <c r="AO270" s="122">
        <f>IFERROR($N270+VLOOKUP($L270,'Voyage days'!$F$203:$H$256,3,FALSE),"")</f>
        <v>46203</v>
      </c>
      <c r="AP270" s="163" t="str">
        <f t="shared" si="30"/>
        <v>14-15 Jun</v>
      </c>
      <c r="AQ270" s="122">
        <f>IFERROR($M270+VLOOKUP($L270,'Voyage days'!$F$294:$H$377,3,FALSE),"")</f>
        <v>46187</v>
      </c>
      <c r="AR270" s="122">
        <f>IFERROR($N270+VLOOKUP($L270,'Voyage days'!$F$294:$H$377,3,FALSE),"")</f>
        <v>46188</v>
      </c>
      <c r="AS270" s="163" t="str">
        <f t="shared" si="31"/>
        <v>20-21 Jun</v>
      </c>
      <c r="AT270" s="122">
        <f>IFERROR($M270+VLOOKUP($L270,'Voyage days'!$F$382:$H$446,3,FALSE),"")</f>
        <v>46193</v>
      </c>
      <c r="AU270" s="122">
        <f>IFERROR($N270+VLOOKUP($L270,'Voyage days'!$F$382:$H$446,3,FALSE),"")</f>
        <v>46194</v>
      </c>
      <c r="AV270" s="163" t="str">
        <f t="shared" si="32"/>
        <v>02-03 Jun</v>
      </c>
      <c r="AW270" s="122">
        <f>IFERROR($M270+VLOOKUP($L270,'Voyage days'!$F$483:$H$538,3,FALSE),"")</f>
        <v>46175</v>
      </c>
      <c r="AX270" s="122">
        <f>IFERROR($N270+VLOOKUP($L270,'Voyage days'!$F$483:$H$538,3,FALSE),"")</f>
        <v>46176</v>
      </c>
      <c r="AY270" s="163" t="str">
        <f t="shared" si="33"/>
        <v>27-28 May</v>
      </c>
      <c r="AZ270" s="122">
        <f>IFERROR($M270+VLOOKUP($L270,'Voyage days'!$F$540:$H$613,3,FALSE),"")</f>
        <v>46169.25</v>
      </c>
      <c r="BA270" s="122">
        <f>IFERROR($N270+VLOOKUP($L270,'Voyage days'!$F$540:$H$613,3,FALSE),"")</f>
        <v>46170.25</v>
      </c>
      <c r="BB270" s="163" t="str">
        <f t="shared" si="34"/>
        <v>23-24 May</v>
      </c>
      <c r="BC270" s="121">
        <f>IFERROR($M270+VLOOKUP($L270,'Voyage days'!$F$448:$H$479,3,FALSE),"")</f>
        <v>46165</v>
      </c>
      <c r="BD270" s="121">
        <f>IFERROR($N270+VLOOKUP($L270,'Voyage days'!$F$448:$H$479,3,FALSE),"")</f>
        <v>46166</v>
      </c>
      <c r="BE270" s="163" t="str">
        <f t="shared" si="35"/>
        <v/>
      </c>
      <c r="BF270" s="122" t="str">
        <f>IFERROR($M270+VLOOKUP($L270,'Voyage days'!$F$620:$H$646,3,FALSE),"")</f>
        <v/>
      </c>
      <c r="BG270" s="122" t="str">
        <f>IFERROR($N270+VLOOKUP($L270,'Voyage days'!$F$620:$H$646,3,FALSE),"")</f>
        <v/>
      </c>
      <c r="BH270" s="163" t="str">
        <f t="shared" si="36"/>
        <v>27-01 Jul</v>
      </c>
      <c r="BI270" s="123">
        <f>IFERROR($M270+VLOOKUP($L270,'Voyage days'!$F$702:$H$727,3,FALSE),"")</f>
        <v>46169.25</v>
      </c>
      <c r="BJ270" s="163" t="str">
        <f t="shared" si="37"/>
        <v>30-01 Jul</v>
      </c>
      <c r="BK270" s="122">
        <f>IFERROR($M270+VLOOKUP($L270,'Voyage days'!$F$807:$H$878,3,FALSE),"")</f>
        <v>46203</v>
      </c>
      <c r="BL270" s="122">
        <f>IFERROR($N270+VLOOKUP($L270,'Voyage days'!$F$807:$H$878,3,FALSE),"")</f>
        <v>46204</v>
      </c>
      <c r="BM270" s="122">
        <f>IFERROR($N270+VLOOKUP($L270,'Voyage days'!$F$807:$K$878,6,FALSE),"")</f>
        <v>46178</v>
      </c>
      <c r="BN270" s="121" t="str">
        <f>if(L270="loads AG", IFERROR($M270+VLOOKUP($L270,'Voyage days'!$M$38:$O$38,3,FALSE),""),"")</f>
        <v/>
      </c>
      <c r="BO270" s="121" t="str">
        <f>if(L270="loads USG", IFERROR($M270+VLOOKUP($L270,'Voyage days'!$L$203:$N$203,3,FALSE),""),"")</f>
        <v/>
      </c>
    </row>
    <row r="271" ht="15.75" customHeight="1">
      <c r="A271" s="341" t="s">
        <v>305</v>
      </c>
      <c r="B271" s="183">
        <v>2023.0</v>
      </c>
      <c r="C271" s="102">
        <v>93000.0</v>
      </c>
      <c r="D271" s="256"/>
      <c r="E271" s="256" t="s">
        <v>706</v>
      </c>
      <c r="F271" s="150"/>
      <c r="G271" s="300" t="s">
        <v>739</v>
      </c>
      <c r="H271" s="150" t="s">
        <v>666</v>
      </c>
      <c r="I271" s="321" t="s">
        <v>1313</v>
      </c>
      <c r="J271" s="151" t="str">
        <f t="shared" si="42"/>
        <v>Update</v>
      </c>
      <c r="K271" s="107"/>
      <c r="L271" s="315" t="s">
        <v>680</v>
      </c>
      <c r="M271" s="109">
        <v>46126.0</v>
      </c>
      <c r="N271" s="109">
        <v>46127.0</v>
      </c>
      <c r="O271" s="277"/>
      <c r="P271" s="108" t="s">
        <v>1319</v>
      </c>
      <c r="Q271" s="108"/>
      <c r="R271" s="108" t="s">
        <v>1320</v>
      </c>
      <c r="S271" s="256" t="s">
        <v>659</v>
      </c>
      <c r="T271" s="293">
        <v>46124.0</v>
      </c>
      <c r="U271" s="114" t="str">
        <f>IF(V271="","No AIS",VLOOKUP(V271,'Voyage days'!$A$3:$B$1480,2,FALSE))</f>
        <v>USG</v>
      </c>
      <c r="V271" s="114" t="str">
        <f>IF(VLOOKUP(A271,'1) Kpler'!$E$2:$P$1000,8, FALSE)="","",VLOOKUP(A271,'1) Kpler'!$E$2:$P$1000,8, FALSE))</f>
        <v>Houston</v>
      </c>
      <c r="W271" s="159">
        <f>IF(VLOOKUP(A271,'1) Kpler'!$E$2:$P$1000,9,FALSE)="","",VLOOKUP(A271,'1) Kpler'!$E$2:$P$1000,9,FALSE))</f>
        <v>46132.375</v>
      </c>
      <c r="X271" s="114" t="str">
        <f>VLOOKUP(A271,'1) Kpler'!$E$2:$I$1000,4,FALSE)</f>
        <v>ballast</v>
      </c>
      <c r="Y271" s="160" t="str">
        <f t="shared" si="43"/>
        <v/>
      </c>
      <c r="Z271" s="160" t="str">
        <f t="shared" si="44"/>
        <v>14-15 Apr</v>
      </c>
      <c r="AA271" s="160" t="str">
        <f t="shared" si="45"/>
        <v>14-15 Apr</v>
      </c>
      <c r="AB271" s="160" t="str">
        <f t="shared" si="46"/>
        <v/>
      </c>
      <c r="AC271" s="160" t="str">
        <f t="shared" si="47"/>
        <v>04-05 May</v>
      </c>
      <c r="AD271" s="160" t="str">
        <f t="shared" si="48"/>
        <v/>
      </c>
      <c r="AE271" s="161" t="str">
        <f t="shared" si="49"/>
        <v/>
      </c>
      <c r="AF271" s="162" t="str">
        <f t="shared" si="50"/>
        <v/>
      </c>
      <c r="AG271" s="120" t="str">
        <f t="shared" si="51"/>
        <v/>
      </c>
      <c r="AH271" s="121" t="str">
        <f>IFERROR($M271+VLOOKUP($L271,'Voyage days'!$F$38:$H$89,3,FALSE),"")</f>
        <v/>
      </c>
      <c r="AI271" s="121" t="str">
        <f>IFERROR(N271+VLOOKUP($L271,'Voyage days'!$F$38:$H$89,3,FALSE),"")</f>
        <v/>
      </c>
      <c r="AJ271" s="120" t="str">
        <f t="shared" si="28"/>
        <v>14-15 Apr</v>
      </c>
      <c r="AK271" s="121">
        <f>IFERROR($M271+VLOOKUP($L271,'Voyage days'!$F$94:$H$193,3,FALSE),"")</f>
        <v>46126</v>
      </c>
      <c r="AL271" s="121">
        <f>IFERROR($N271+VLOOKUP($L271,'Voyage days'!$F$94:$H$193,3,FALSE),"")</f>
        <v>46127</v>
      </c>
      <c r="AM271" s="120" t="str">
        <f t="shared" si="29"/>
        <v>14-15 Apr</v>
      </c>
      <c r="AN271" s="121">
        <f>IFERROR($M271+VLOOKUP($L271,'Voyage days'!$F$203:$H$256,3,FALSE),"")</f>
        <v>46126</v>
      </c>
      <c r="AO271" s="121">
        <f>IFERROR($N271+VLOOKUP($L271,'Voyage days'!$F$203:$H$256,3,FALSE),"")</f>
        <v>46127</v>
      </c>
      <c r="AP271" s="120" t="str">
        <f t="shared" si="30"/>
        <v/>
      </c>
      <c r="AQ271" s="121" t="str">
        <f>IFERROR($M271+VLOOKUP($L271,'Voyage days'!$F$294:$H$377,3,FALSE),"")</f>
        <v/>
      </c>
      <c r="AR271" s="121" t="str">
        <f>IFERROR($N271+VLOOKUP($L271,'Voyage days'!$F$294:$H$377,3,FALSE),"")</f>
        <v/>
      </c>
      <c r="AS271" s="120" t="str">
        <f t="shared" si="31"/>
        <v>04-05 May</v>
      </c>
      <c r="AT271" s="121">
        <f>IFERROR($M271+VLOOKUP($L271,'Voyage days'!$F$382:$H$446,3,FALSE),"")</f>
        <v>46146</v>
      </c>
      <c r="AU271" s="121">
        <f>IFERROR($N271+VLOOKUP($L271,'Voyage days'!$F$382:$H$446,3,FALSE),"")</f>
        <v>46147</v>
      </c>
      <c r="AV271" s="120" t="str">
        <f t="shared" si="32"/>
        <v/>
      </c>
      <c r="AW271" s="121" t="str">
        <f>IFERROR($M271+VLOOKUP($L271,'Voyage days'!$F$483:$H$538,3,FALSE),"")</f>
        <v/>
      </c>
      <c r="AX271" s="121" t="str">
        <f>IFERROR($N271+VLOOKUP($L271,'Voyage days'!$F$483:$H$538,3,FALSE),"")</f>
        <v/>
      </c>
      <c r="AY271" s="120" t="str">
        <f t="shared" si="33"/>
        <v/>
      </c>
      <c r="AZ271" s="121" t="str">
        <f>IFERROR($M271+VLOOKUP($L271,'Voyage days'!$F$540:$H$613,3,FALSE),"")</f>
        <v/>
      </c>
      <c r="BA271" s="121" t="str">
        <f>IFERROR($N271+VLOOKUP($L271,'Voyage days'!$F$540:$H$613,3,FALSE),"")</f>
        <v/>
      </c>
      <c r="BB271" s="120" t="str">
        <f t="shared" si="34"/>
        <v/>
      </c>
      <c r="BC271" s="121" t="str">
        <f>IFERROR($M271+VLOOKUP($L271,'Voyage days'!$F$448:$H$479,3,FALSE),"")</f>
        <v/>
      </c>
      <c r="BD271" s="121" t="str">
        <f>IFERROR($N271+VLOOKUP($L271,'Voyage days'!$F$448:$H$479,3,FALSE),"")</f>
        <v/>
      </c>
      <c r="BE271" s="120" t="str">
        <f t="shared" si="35"/>
        <v/>
      </c>
      <c r="BF271" s="122" t="str">
        <f>IFERROR($M271+VLOOKUP($L271,'Voyage days'!$F$620:$H$646,3,FALSE),"")</f>
        <v/>
      </c>
      <c r="BG271" s="122" t="str">
        <f>IFERROR($N271+VLOOKUP($L271,'Voyage days'!$F$620:$H$646,3,FALSE),"")</f>
        <v/>
      </c>
      <c r="BH271" s="120" t="str">
        <f t="shared" si="36"/>
        <v/>
      </c>
      <c r="BI271" s="123" t="str">
        <f>IFERROR($M271+VLOOKUP($L271,'Voyage days'!$F$702:$H$727,3,FALSE),"")</f>
        <v/>
      </c>
      <c r="BJ271" s="120" t="str">
        <f t="shared" si="37"/>
        <v/>
      </c>
      <c r="BK271" s="122" t="str">
        <f>IFERROR($M271+VLOOKUP($L271,'Voyage days'!$F$807:$H$878,3,FALSE),"")</f>
        <v/>
      </c>
      <c r="BL271" s="122" t="str">
        <f>IFERROR($N271+VLOOKUP($L271,'Voyage days'!$F$807:$H$878,3,FALSE),"")</f>
        <v/>
      </c>
      <c r="BM271" s="122" t="str">
        <f>IFERROR($N271+VLOOKUP($L271,'Voyage days'!$F$807:$K$878,6,FALSE),"")</f>
        <v/>
      </c>
      <c r="BN271" s="121" t="str">
        <f>if(L271="loads AG", IFERROR($M271+VLOOKUP($L271,'Voyage days'!$M$38:$O$38,3,FALSE),""),"")</f>
        <v/>
      </c>
      <c r="BO271" s="121">
        <f>if(L271="loads USG", IFERROR($M271+VLOOKUP($L271,'Voyage days'!$L$203:$N$203,3,FALSE),""),"")</f>
        <v>46158</v>
      </c>
    </row>
    <row r="272" ht="15.75" customHeight="1">
      <c r="A272" s="80" t="s">
        <v>316</v>
      </c>
      <c r="B272" s="148">
        <v>2018.0</v>
      </c>
      <c r="C272" s="203">
        <v>84000.0</v>
      </c>
      <c r="D272" s="256"/>
      <c r="E272" s="256" t="s">
        <v>706</v>
      </c>
      <c r="F272" s="192"/>
      <c r="G272" s="192" t="s">
        <v>739</v>
      </c>
      <c r="H272" s="192" t="s">
        <v>1321</v>
      </c>
      <c r="I272" s="401" t="s">
        <v>1313</v>
      </c>
      <c r="J272" s="151" t="str">
        <f t="shared" si="42"/>
        <v/>
      </c>
      <c r="K272" s="205" t="s">
        <v>765</v>
      </c>
      <c r="L272" s="108" t="s">
        <v>1231</v>
      </c>
      <c r="M272" s="662">
        <v>46147.0</v>
      </c>
      <c r="N272" s="662">
        <v>46149.0</v>
      </c>
      <c r="O272" s="191" t="s">
        <v>1314</v>
      </c>
      <c r="P272" s="108" t="s">
        <v>1322</v>
      </c>
      <c r="Q272" s="187"/>
      <c r="R272" s="187" t="s">
        <v>1323</v>
      </c>
      <c r="S272" s="256" t="s">
        <v>659</v>
      </c>
      <c r="T272" s="293">
        <v>46125.0</v>
      </c>
      <c r="U272" s="114" t="str">
        <f>IF(V272="","No AIS",VLOOKUP(V272,'Voyage days'!$A$3:$B$1480,2,FALSE))</f>
        <v>ECI + 5</v>
      </c>
      <c r="V272" s="115" t="str">
        <f>IF(VLOOKUP(A272,'1) Kpler'!$E$2:$P$1000,8, FALSE)="","",VLOOKUP(A272,'1) Kpler'!$E$2:$P$1000,8, FALSE))</f>
        <v>Ennore Port</v>
      </c>
      <c r="W272" s="116">
        <f>IF(VLOOKUP(A272,'1) Kpler'!$E$2:$P$1000,9,FALSE)="","",VLOOKUP(A272,'1) Kpler'!$E$2:$P$1000,9,FALSE))</f>
        <v>46141.52083</v>
      </c>
      <c r="X272" s="115" t="str">
        <f>VLOOKUP(A272,'1) Kpler'!$E$2:$I$1000,4,FALSE)</f>
        <v>loaded</v>
      </c>
      <c r="Y272" s="296" t="str">
        <f t="shared" si="43"/>
        <v>14-16 May</v>
      </c>
      <c r="Z272" s="296" t="str">
        <f t="shared" si="44"/>
        <v/>
      </c>
      <c r="AA272" s="296" t="str">
        <f t="shared" si="45"/>
        <v>10-12 Jun</v>
      </c>
      <c r="AB272" s="296" t="str">
        <f t="shared" si="46"/>
        <v>26-28 May</v>
      </c>
      <c r="AC272" s="296" t="str">
        <f t="shared" si="47"/>
        <v>02-04 Jun</v>
      </c>
      <c r="AD272" s="296" t="str">
        <f t="shared" si="48"/>
        <v>10-12 May</v>
      </c>
      <c r="AE272" s="297" t="str">
        <f t="shared" si="49"/>
        <v/>
      </c>
      <c r="AF272" s="119" t="str">
        <f t="shared" si="50"/>
        <v>12-14 Jun</v>
      </c>
      <c r="AG272" s="120" t="str">
        <f t="shared" si="51"/>
        <v>14-16 May</v>
      </c>
      <c r="AH272" s="121">
        <f>IFERROR($M272+VLOOKUP($L272,'Voyage days'!$F$38:$H$89,3,FALSE),"")</f>
        <v>46156</v>
      </c>
      <c r="AI272" s="121">
        <f>IFERROR(N272+VLOOKUP($L272,'Voyage days'!$F$38:$H$89,3,FALSE),"")</f>
        <v>46158</v>
      </c>
      <c r="AJ272" s="120" t="str">
        <f t="shared" si="28"/>
        <v/>
      </c>
      <c r="AK272" s="121" t="str">
        <f>IFERROR($M272+VLOOKUP($L272,'Voyage days'!$F$94:$H$193,3,FALSE),"")</f>
        <v/>
      </c>
      <c r="AL272" s="121" t="str">
        <f>IFERROR($N272+VLOOKUP($L272,'Voyage days'!$F$94:$H$193,3,FALSE),"")</f>
        <v/>
      </c>
      <c r="AM272" s="120" t="str">
        <f t="shared" si="29"/>
        <v>10-12 Jun</v>
      </c>
      <c r="AN272" s="121">
        <f>IFERROR($M272+VLOOKUP($L272,'Voyage days'!$F$203:$H$256,3,FALSE),"")</f>
        <v>46183</v>
      </c>
      <c r="AO272" s="121">
        <f>IFERROR($N272+VLOOKUP($L272,'Voyage days'!$F$203:$H$256,3,FALSE),"")</f>
        <v>46185</v>
      </c>
      <c r="AP272" s="120" t="str">
        <f t="shared" si="30"/>
        <v>26-28 May</v>
      </c>
      <c r="AQ272" s="121">
        <f>IFERROR($M272+VLOOKUP($L272,'Voyage days'!$F$294:$H$377,3,FALSE),"")</f>
        <v>46168</v>
      </c>
      <c r="AR272" s="121">
        <f>IFERROR($N272+VLOOKUP($L272,'Voyage days'!$F$294:$H$377,3,FALSE),"")</f>
        <v>46170</v>
      </c>
      <c r="AS272" s="120" t="str">
        <f t="shared" si="31"/>
        <v>02-04 Jun</v>
      </c>
      <c r="AT272" s="121">
        <f>IFERROR($M272+VLOOKUP($L272,'Voyage days'!$F$382:$H$446,3,FALSE),"")</f>
        <v>46175</v>
      </c>
      <c r="AU272" s="121">
        <f>IFERROR($N272+VLOOKUP($L272,'Voyage days'!$F$382:$H$446,3,FALSE),"")</f>
        <v>46177</v>
      </c>
      <c r="AV272" s="120" t="str">
        <f t="shared" si="32"/>
        <v>05-07 May</v>
      </c>
      <c r="AW272" s="121">
        <f>IFERROR($M272+VLOOKUP($L272,'Voyage days'!$F$483:$H$538,3,FALSE),"")</f>
        <v>46147</v>
      </c>
      <c r="AX272" s="121">
        <f>IFERROR($N272+VLOOKUP($L272,'Voyage days'!$F$483:$H$538,3,FALSE),"")</f>
        <v>46149</v>
      </c>
      <c r="AY272" s="120" t="str">
        <f t="shared" si="33"/>
        <v/>
      </c>
      <c r="AZ272" s="121" t="str">
        <f>IFERROR($M272+VLOOKUP($L272,'Voyage days'!$F$540:$H$613,3,FALSE),"")</f>
        <v/>
      </c>
      <c r="BA272" s="121" t="str">
        <f>IFERROR($N272+VLOOKUP($L272,'Voyage days'!$F$540:$H$613,3,FALSE),"")</f>
        <v/>
      </c>
      <c r="BB272" s="120" t="str">
        <f t="shared" si="34"/>
        <v>10-12 May</v>
      </c>
      <c r="BC272" s="121">
        <f>IFERROR($M272+VLOOKUP($L272,'Voyage days'!$F$448:$H$479,3,FALSE),"")</f>
        <v>46152</v>
      </c>
      <c r="BD272" s="121">
        <f>IFERROR($N272+VLOOKUP($L272,'Voyage days'!$F$448:$H$479,3,FALSE),"")</f>
        <v>46154</v>
      </c>
      <c r="BE272" s="120" t="str">
        <f t="shared" si="35"/>
        <v/>
      </c>
      <c r="BF272" s="122" t="str">
        <f>IFERROR($M272+VLOOKUP($L272,'Voyage days'!$F$620:$H$646,3,FALSE),"")</f>
        <v/>
      </c>
      <c r="BG272" s="122" t="str">
        <f>IFERROR($N272+VLOOKUP($L272,'Voyage days'!$F$620:$H$646,3,FALSE),"")</f>
        <v/>
      </c>
      <c r="BH272" s="120" t="str">
        <f t="shared" si="36"/>
        <v/>
      </c>
      <c r="BI272" s="123" t="str">
        <f>IFERROR($M272+VLOOKUP($L272,'Voyage days'!$F$702:$H$727,3,FALSE),"")</f>
        <v/>
      </c>
      <c r="BJ272" s="120" t="str">
        <f t="shared" si="37"/>
        <v>12-14 Jun</v>
      </c>
      <c r="BK272" s="122">
        <f>IFERROR($M272+VLOOKUP($L272,'Voyage days'!$F$807:$H$878,3,FALSE),"")</f>
        <v>46185</v>
      </c>
      <c r="BL272" s="122">
        <f>IFERROR($N272+VLOOKUP($L272,'Voyage days'!$F$807:$H$878,3,FALSE),"")</f>
        <v>46187</v>
      </c>
      <c r="BM272" s="122">
        <f>IFERROR($N272+VLOOKUP($L272,'Voyage days'!$F$807:$K$878,6,FALSE),"")</f>
        <v>46161</v>
      </c>
      <c r="BN272" s="121" t="str">
        <f>if(L272="loads AG", IFERROR($M272+VLOOKUP($L272,'Voyage days'!$M$38:$O$38,3,FALSE),""),"")</f>
        <v/>
      </c>
      <c r="BO272" s="121" t="str">
        <f>if(L272="loads USG", IFERROR($M272+VLOOKUP($L272,'Voyage days'!$L$203:$N$203,3,FALSE),""),"")</f>
        <v/>
      </c>
    </row>
    <row r="273" ht="15.75" customHeight="1">
      <c r="A273" s="164" t="s">
        <v>324</v>
      </c>
      <c r="B273" s="165">
        <v>2024.0</v>
      </c>
      <c r="C273" s="166">
        <v>93000.0</v>
      </c>
      <c r="D273" s="175"/>
      <c r="E273" s="175" t="s">
        <v>706</v>
      </c>
      <c r="F273" s="168"/>
      <c r="G273" s="377"/>
      <c r="H273" s="168" t="s">
        <v>666</v>
      </c>
      <c r="I273" s="324" t="s">
        <v>1313</v>
      </c>
      <c r="J273" s="170" t="str">
        <f t="shared" si="42"/>
        <v/>
      </c>
      <c r="K273" s="225" t="s">
        <v>765</v>
      </c>
      <c r="L273" s="172" t="s">
        <v>809</v>
      </c>
      <c r="M273" s="173">
        <v>46160.0</v>
      </c>
      <c r="N273" s="173">
        <v>46161.0</v>
      </c>
      <c r="O273" s="388"/>
      <c r="P273" s="172" t="s">
        <v>1324</v>
      </c>
      <c r="Q273" s="320"/>
      <c r="R273" s="320" t="s">
        <v>1325</v>
      </c>
      <c r="S273" s="175" t="s">
        <v>659</v>
      </c>
      <c r="T273" s="369">
        <v>46124.0</v>
      </c>
      <c r="U273" s="177" t="str">
        <f>IF(V273="","No AIS",VLOOKUP(V273,'Voyage days'!$A$3:$B$1480,2,FALSE))</f>
        <v>India?/SG-JP?</v>
      </c>
      <c r="V273" s="178" t="str">
        <f>IF(VLOOKUP(A273,'1) Kpler'!$E$2:$P$1000,8, FALSE)="","",VLOOKUP(A273,'1) Kpler'!$E$2:$P$1000,8, FALSE))</f>
        <v>Eastern Asia</v>
      </c>
      <c r="W273" s="179">
        <f>IF(VLOOKUP(A273,'1) Kpler'!$E$2:$P$1000,9,FALSE)="","",VLOOKUP(A273,'1) Kpler'!$E$2:$P$1000,9,FALSE))</f>
        <v>46153.46389</v>
      </c>
      <c r="X273" s="178" t="str">
        <f>VLOOKUP(A273,'1) Kpler'!$E$2:$I$1000,4,FALSE)</f>
        <v>loaded</v>
      </c>
      <c r="Y273" s="575" t="str">
        <f t="shared" si="43"/>
        <v>31-01 Jun</v>
      </c>
      <c r="Z273" s="575" t="str">
        <f t="shared" si="44"/>
        <v>24-25 Jun</v>
      </c>
      <c r="AA273" s="575" t="str">
        <f t="shared" si="45"/>
        <v>26-27 Jun</v>
      </c>
      <c r="AB273" s="575" t="str">
        <f t="shared" si="46"/>
        <v>11-12 Jun</v>
      </c>
      <c r="AC273" s="575" t="str">
        <f t="shared" si="47"/>
        <v>17-18 Jun</v>
      </c>
      <c r="AD273" s="575" t="str">
        <f t="shared" si="48"/>
        <v>20-21 May</v>
      </c>
      <c r="AE273" s="576" t="str">
        <f t="shared" si="49"/>
        <v>24-25 May</v>
      </c>
      <c r="AF273" s="182" t="str">
        <f t="shared" si="50"/>
        <v>27-28 Jun</v>
      </c>
      <c r="AG273" s="120" t="str">
        <f t="shared" si="51"/>
        <v>31-01 Jun</v>
      </c>
      <c r="AH273" s="121">
        <f>IFERROR($M273+VLOOKUP($L273,'Voyage days'!$F$38:$H$89,3,FALSE),"")</f>
        <v>46173</v>
      </c>
      <c r="AI273" s="121">
        <f>IFERROR(N273+VLOOKUP($L273,'Voyage days'!$F$38:$H$89,3,FALSE),"")</f>
        <v>46174</v>
      </c>
      <c r="AJ273" s="120" t="str">
        <f t="shared" si="28"/>
        <v>24-25 Jun</v>
      </c>
      <c r="AK273" s="121">
        <f>IFERROR($M273+VLOOKUP($L273,'Voyage days'!$F$94:$H$193,3,FALSE),"")</f>
        <v>46197</v>
      </c>
      <c r="AL273" s="121">
        <f>IFERROR($N273+VLOOKUP($L273,'Voyage days'!$F$94:$H$193,3,FALSE),"")</f>
        <v>46198</v>
      </c>
      <c r="AM273" s="120" t="str">
        <f t="shared" si="29"/>
        <v>26-27 Jun</v>
      </c>
      <c r="AN273" s="121">
        <f>IFERROR($M273+VLOOKUP($L273,'Voyage days'!$F$203:$H$256,3,FALSE),"")</f>
        <v>46199</v>
      </c>
      <c r="AO273" s="121">
        <f>IFERROR($N273+VLOOKUP($L273,'Voyage days'!$F$203:$H$256,3,FALSE),"")</f>
        <v>46200</v>
      </c>
      <c r="AP273" s="120" t="str">
        <f t="shared" si="30"/>
        <v>11-12 Jun</v>
      </c>
      <c r="AQ273" s="121">
        <f>IFERROR($M273+VLOOKUP($L273,'Voyage days'!$F$294:$H$377,3,FALSE),"")</f>
        <v>46184</v>
      </c>
      <c r="AR273" s="121">
        <f>IFERROR($N273+VLOOKUP($L273,'Voyage days'!$F$294:$H$377,3,FALSE),"")</f>
        <v>46185</v>
      </c>
      <c r="AS273" s="120" t="str">
        <f t="shared" si="31"/>
        <v>17-18 Jun</v>
      </c>
      <c r="AT273" s="121">
        <f>IFERROR($M273+VLOOKUP($L273,'Voyage days'!$F$382:$H$446,3,FALSE),"")</f>
        <v>46190</v>
      </c>
      <c r="AU273" s="121">
        <f>IFERROR($N273+VLOOKUP($L273,'Voyage days'!$F$382:$H$446,3,FALSE),"")</f>
        <v>46191</v>
      </c>
      <c r="AV273" s="120" t="str">
        <f t="shared" si="32"/>
        <v>30-31 May</v>
      </c>
      <c r="AW273" s="121">
        <f>IFERROR($M273+VLOOKUP($L273,'Voyage days'!$F$483:$H$538,3,FALSE),"")</f>
        <v>46172</v>
      </c>
      <c r="AX273" s="121">
        <f>IFERROR($N273+VLOOKUP($L273,'Voyage days'!$F$483:$H$538,3,FALSE),"")</f>
        <v>46173</v>
      </c>
      <c r="AY273" s="120" t="str">
        <f t="shared" si="33"/>
        <v>24-25 May</v>
      </c>
      <c r="AZ273" s="121">
        <f>IFERROR($M273+VLOOKUP($L273,'Voyage days'!$F$540:$H$613,3,FALSE),"")</f>
        <v>46166.25</v>
      </c>
      <c r="BA273" s="121">
        <f>IFERROR($N273+VLOOKUP($L273,'Voyage days'!$F$540:$H$613,3,FALSE),"")</f>
        <v>46167.25</v>
      </c>
      <c r="BB273" s="120" t="str">
        <f t="shared" si="34"/>
        <v>20-21 May</v>
      </c>
      <c r="BC273" s="121">
        <f>IFERROR($M273+VLOOKUP($L273,'Voyage days'!$F$448:$H$479,3,FALSE),"")</f>
        <v>46162</v>
      </c>
      <c r="BD273" s="121">
        <f>IFERROR($N273+VLOOKUP($L273,'Voyage days'!$F$448:$H$479,3,FALSE),"")</f>
        <v>46163</v>
      </c>
      <c r="BE273" s="120" t="str">
        <f t="shared" si="35"/>
        <v/>
      </c>
      <c r="BF273" s="122" t="str">
        <f>IFERROR($M273+VLOOKUP($L273,'Voyage days'!$F$620:$H$646,3,FALSE),"")</f>
        <v/>
      </c>
      <c r="BG273" s="122" t="str">
        <f>IFERROR($N273+VLOOKUP($L273,'Voyage days'!$F$620:$H$646,3,FALSE),"")</f>
        <v/>
      </c>
      <c r="BH273" s="120" t="str">
        <f t="shared" si="36"/>
        <v>24-28 Jun</v>
      </c>
      <c r="BI273" s="123">
        <f>IFERROR($M273+VLOOKUP($L273,'Voyage days'!$F$702:$H$727,3,FALSE),"")</f>
        <v>46166.25</v>
      </c>
      <c r="BJ273" s="120" t="str">
        <f t="shared" si="37"/>
        <v>27-28 Jun</v>
      </c>
      <c r="BK273" s="122">
        <f>IFERROR($M273+VLOOKUP($L273,'Voyage days'!$F$807:$H$878,3,FALSE),"")</f>
        <v>46200</v>
      </c>
      <c r="BL273" s="122">
        <f>IFERROR($N273+VLOOKUP($L273,'Voyage days'!$F$807:$H$878,3,FALSE),"")</f>
        <v>46201</v>
      </c>
      <c r="BM273" s="122">
        <f>IFERROR($N273+VLOOKUP($L273,'Voyage days'!$F$807:$K$878,6,FALSE),"")</f>
        <v>46175</v>
      </c>
      <c r="BN273" s="121" t="str">
        <f>if(L273="loads AG", IFERROR($M273+VLOOKUP($L273,'Voyage days'!$M$38:$O$38,3,FALSE),""),"")</f>
        <v/>
      </c>
      <c r="BO273" s="121" t="str">
        <f>if(L273="loads USG", IFERROR($M273+VLOOKUP($L273,'Voyage days'!$L$203:$N$203,3,FALSE),""),"")</f>
        <v/>
      </c>
    </row>
    <row r="274">
      <c r="A274" s="511" t="s">
        <v>468</v>
      </c>
      <c r="B274" s="280">
        <v>2008.0</v>
      </c>
      <c r="C274" s="281">
        <v>84615.0</v>
      </c>
      <c r="D274" s="374"/>
      <c r="E274" s="374"/>
      <c r="F274" s="282"/>
      <c r="G274" s="282"/>
      <c r="H274" s="282" t="s">
        <v>666</v>
      </c>
      <c r="I274" s="665" t="s">
        <v>1326</v>
      </c>
      <c r="J274" s="364" t="str">
        <f t="shared" si="42"/>
        <v>NO AIS</v>
      </c>
      <c r="K274" s="365"/>
      <c r="L274" s="285" t="s">
        <v>1327</v>
      </c>
      <c r="M274" s="283">
        <v>46132.0</v>
      </c>
      <c r="N274" s="283">
        <v>46133.0</v>
      </c>
      <c r="O274" s="666"/>
      <c r="P274" s="285" t="s">
        <v>1328</v>
      </c>
      <c r="Q274" s="285"/>
      <c r="R274" s="285" t="s">
        <v>1329</v>
      </c>
      <c r="S274" s="358" t="s">
        <v>659</v>
      </c>
      <c r="T274" s="369">
        <v>46124.0</v>
      </c>
      <c r="U274" s="177" t="str">
        <f>IF(V274="","No AIS",VLOOKUP(V274,'Voyage days'!$A$3:$B$1480,2,FALSE))</f>
        <v>No AIS</v>
      </c>
      <c r="V274" s="177" t="str">
        <f>IF(VLOOKUP(A274,'1) Kpler'!$E$2:$P$1000,8, FALSE)="","",VLOOKUP(A274,'1) Kpler'!$E$2:$P$1000,8, FALSE))</f>
        <v/>
      </c>
      <c r="W274" s="370" t="str">
        <f>IF(VLOOKUP(A274,'1) Kpler'!$E$2:$P$1000,9,FALSE)="","",VLOOKUP(A274,'1) Kpler'!$E$2:$P$1000,9,FALSE))</f>
        <v/>
      </c>
      <c r="X274" s="177" t="str">
        <f>VLOOKUP(A274,'1) Kpler'!$E$2:$I$1000,4,FALSE)</f>
        <v>ballast</v>
      </c>
      <c r="Y274" s="575" t="str">
        <f t="shared" si="43"/>
        <v>05-06 May</v>
      </c>
      <c r="Z274" s="575" t="str">
        <f t="shared" si="44"/>
        <v>27-28 May</v>
      </c>
      <c r="AA274" s="575" t="str">
        <f t="shared" si="45"/>
        <v>28-29 May</v>
      </c>
      <c r="AB274" s="575" t="str">
        <f t="shared" si="46"/>
        <v>16-17 May</v>
      </c>
      <c r="AC274" s="575" t="str">
        <f t="shared" si="47"/>
        <v>22-23 May</v>
      </c>
      <c r="AD274" s="575" t="str">
        <f t="shared" si="48"/>
        <v>24-25 Apr</v>
      </c>
      <c r="AE274" s="576" t="str">
        <f t="shared" si="49"/>
        <v>25-26 Apr</v>
      </c>
      <c r="AF274" s="182" t="str">
        <f t="shared" si="50"/>
        <v>01-02 Jun</v>
      </c>
      <c r="AG274" s="163" t="str">
        <f t="shared" si="51"/>
        <v>05-06 May</v>
      </c>
      <c r="AH274" s="122">
        <f>IFERROR($M274+VLOOKUP($L274,'Voyage days'!$F$38:$H$89,3,FALSE),"")</f>
        <v>46147</v>
      </c>
      <c r="AI274" s="122">
        <f>IFERROR(N274+VLOOKUP($L274,'Voyage days'!$F$38:$H$89,3,FALSE),"")</f>
        <v>46148</v>
      </c>
      <c r="AJ274" s="163" t="str">
        <f t="shared" si="28"/>
        <v>27-28 May</v>
      </c>
      <c r="AK274" s="122">
        <f>IFERROR($M274+VLOOKUP($L274,'Voyage days'!$F$94:$H$193,3,FALSE),"")</f>
        <v>46169</v>
      </c>
      <c r="AL274" s="122">
        <f>IFERROR($N274+VLOOKUP($L274,'Voyage days'!$F$94:$H$193,3,FALSE),"")</f>
        <v>46170</v>
      </c>
      <c r="AM274" s="163" t="str">
        <f t="shared" si="29"/>
        <v>28-29 May</v>
      </c>
      <c r="AN274" s="122">
        <f>IFERROR($M274+VLOOKUP($L274,'Voyage days'!$F$203:$H$256,3,FALSE),"")</f>
        <v>46170</v>
      </c>
      <c r="AO274" s="122">
        <f>IFERROR($N274+VLOOKUP($L274,'Voyage days'!$F$203:$H$256,3,FALSE),"")</f>
        <v>46171</v>
      </c>
      <c r="AP274" s="163" t="str">
        <f t="shared" si="30"/>
        <v>16-17 May</v>
      </c>
      <c r="AQ274" s="122">
        <f>IFERROR($M274+VLOOKUP($L274,'Voyage days'!$F$294:$H$377,3,FALSE),"")</f>
        <v>46158</v>
      </c>
      <c r="AR274" s="122">
        <f>IFERROR($N274+VLOOKUP($L274,'Voyage days'!$F$294:$H$377,3,FALSE),"")</f>
        <v>46159</v>
      </c>
      <c r="AS274" s="163" t="str">
        <f t="shared" si="31"/>
        <v>22-23 May</v>
      </c>
      <c r="AT274" s="122">
        <f>IFERROR($M274+VLOOKUP($L274,'Voyage days'!$F$382:$H$446,3,FALSE),"")</f>
        <v>46164</v>
      </c>
      <c r="AU274" s="122">
        <f>IFERROR($N274+VLOOKUP($L274,'Voyage days'!$F$382:$H$446,3,FALSE),"")</f>
        <v>46165</v>
      </c>
      <c r="AV274" s="163" t="str">
        <f t="shared" si="32"/>
        <v>06-07 May</v>
      </c>
      <c r="AW274" s="122">
        <f>IFERROR($M274+VLOOKUP($L274,'Voyage days'!$F$483:$H$538,3,FALSE),"")</f>
        <v>46148</v>
      </c>
      <c r="AX274" s="122">
        <f>IFERROR($N274+VLOOKUP($L274,'Voyage days'!$F$483:$H$538,3,FALSE),"")</f>
        <v>46149</v>
      </c>
      <c r="AY274" s="163" t="str">
        <f t="shared" si="33"/>
        <v>25-26 Apr</v>
      </c>
      <c r="AZ274" s="122">
        <f>IFERROR($M274+VLOOKUP($L274,'Voyage days'!$F$540:$H$613,3,FALSE),"")</f>
        <v>46137.25</v>
      </c>
      <c r="BA274" s="122">
        <f>IFERROR($N274+VLOOKUP($L274,'Voyage days'!$F$540:$H$613,3,FALSE),"")</f>
        <v>46138.25</v>
      </c>
      <c r="BB274" s="163" t="str">
        <f t="shared" si="34"/>
        <v>24-25 Apr</v>
      </c>
      <c r="BC274" s="122">
        <f>IFERROR($M274+VLOOKUP($L274,'Voyage days'!$F$448:$H$479,3,FALSE),"")</f>
        <v>46136</v>
      </c>
      <c r="BD274" s="122">
        <f>IFERROR($N274+VLOOKUP($L274,'Voyage days'!$F$448:$H$479,3,FALSE),"")</f>
        <v>46137</v>
      </c>
      <c r="BE274" s="163" t="str">
        <f t="shared" si="35"/>
        <v>05-06 May</v>
      </c>
      <c r="BF274" s="122">
        <f>IFERROR($M274+VLOOKUP($L274,'Voyage days'!$F$620:$H$646,3,FALSE),"")</f>
        <v>46147</v>
      </c>
      <c r="BG274" s="122">
        <f>IFERROR($N274+VLOOKUP($L274,'Voyage days'!$F$620:$H$646,3,FALSE),"")</f>
        <v>46148</v>
      </c>
      <c r="BH274" s="163" t="str">
        <f t="shared" si="36"/>
        <v>25-02 Jun</v>
      </c>
      <c r="BI274" s="123">
        <f>IFERROR($M274+VLOOKUP($L274,'Voyage days'!$F$702:$H$727,3,FALSE),"")</f>
        <v>46137.25</v>
      </c>
      <c r="BJ274" s="163" t="str">
        <f t="shared" si="37"/>
        <v>01-02 Jun</v>
      </c>
      <c r="BK274" s="122">
        <f>IFERROR($M274+VLOOKUP($L274,'Voyage days'!$F$807:$H$878,3,FALSE),"")</f>
        <v>46174</v>
      </c>
      <c r="BL274" s="122">
        <f>IFERROR($N274+VLOOKUP($L274,'Voyage days'!$F$807:$H$878,3,FALSE),"")</f>
        <v>46175</v>
      </c>
      <c r="BM274" s="122">
        <f>IFERROR($N274+VLOOKUP($L274,'Voyage days'!$F$807:$K$878,6,FALSE),"")</f>
        <v>46149</v>
      </c>
      <c r="BN274" s="122" t="str">
        <f>if(L274="loads AG", IFERROR($M274+VLOOKUP($L274,'Voyage days'!$M$38:$O$38,3,FALSE),""),"")</f>
        <v/>
      </c>
      <c r="BO274" s="122" t="str">
        <f>if(L274="loads USG", IFERROR($M274+VLOOKUP($L274,'Voyage days'!$L$203:$N$203,3,FALSE),""),"")</f>
        <v/>
      </c>
      <c r="BP274" s="313"/>
    </row>
    <row r="275" ht="15.75" customHeight="1">
      <c r="A275" s="667" t="s">
        <v>88</v>
      </c>
      <c r="B275" s="253">
        <v>2006.0</v>
      </c>
      <c r="C275" s="102">
        <v>82252.0</v>
      </c>
      <c r="D275" s="227"/>
      <c r="E275" s="227" t="s">
        <v>706</v>
      </c>
      <c r="F275" s="207"/>
      <c r="G275" s="207"/>
      <c r="H275" s="207"/>
      <c r="I275" s="153" t="s">
        <v>1330</v>
      </c>
      <c r="J275" s="106" t="str">
        <f t="shared" si="42"/>
        <v>Update</v>
      </c>
      <c r="K275" s="107"/>
      <c r="L275" s="108" t="s">
        <v>708</v>
      </c>
      <c r="M275" s="254">
        <v>46133.0</v>
      </c>
      <c r="N275" s="109">
        <v>46134.0</v>
      </c>
      <c r="O275" s="255" t="s">
        <v>1314</v>
      </c>
      <c r="P275" s="108" t="s">
        <v>1331</v>
      </c>
      <c r="Q275" s="108"/>
      <c r="R275" s="108" t="s">
        <v>1332</v>
      </c>
      <c r="S275" s="256" t="s">
        <v>659</v>
      </c>
      <c r="T275" s="188">
        <v>46125.0</v>
      </c>
      <c r="U275" s="114" t="str">
        <f>IF(V275="","No AIS",VLOOKUP(V275,'Voyage days'!$A$3:$B$1480,2,FALSE))</f>
        <v>Cape (as proxy)</v>
      </c>
      <c r="V275" s="115" t="str">
        <f>IF(VLOOKUP(A275,'1) Kpler'!$E$2:$P$1000,8, FALSE)="","",VLOOKUP(A275,'1) Kpler'!$E$2:$P$1000,8, FALSE))</f>
        <v>Port Elizabeth</v>
      </c>
      <c r="W275" s="116">
        <f>IF(VLOOKUP(A275,'1) Kpler'!$E$2:$P$1000,9,FALSE)="","",VLOOKUP(A275,'1) Kpler'!$E$2:$P$1000,9,FALSE))</f>
        <v>46135.83333</v>
      </c>
      <c r="X275" s="115" t="str">
        <f>VLOOKUP(A275,'1) Kpler'!$E$2:$I$1000,4,FALSE)</f>
        <v>ballast</v>
      </c>
      <c r="Y275" s="160" t="str">
        <f t="shared" si="43"/>
        <v/>
      </c>
      <c r="Z275" s="257" t="str">
        <f t="shared" si="44"/>
        <v/>
      </c>
      <c r="AA275" s="257" t="str">
        <f t="shared" si="45"/>
        <v>17-18 May</v>
      </c>
      <c r="AB275" s="160" t="str">
        <f t="shared" si="46"/>
        <v>04-05 May</v>
      </c>
      <c r="AC275" s="160" t="str">
        <f t="shared" si="47"/>
        <v>13-14 May</v>
      </c>
      <c r="AD275" s="160" t="str">
        <f t="shared" si="48"/>
        <v/>
      </c>
      <c r="AE275" s="161" t="str">
        <f t="shared" si="49"/>
        <v/>
      </c>
      <c r="AF275" s="162" t="str">
        <f t="shared" si="50"/>
        <v>18-19 May</v>
      </c>
      <c r="AG275" s="120" t="str">
        <f t="shared" si="51"/>
        <v/>
      </c>
      <c r="AH275" s="121" t="str">
        <f>IFERROR($M275+VLOOKUP($L275,'Voyage days'!$F$38:$H$89,3,FALSE),"")</f>
        <v/>
      </c>
      <c r="AI275" s="121" t="str">
        <f>IFERROR(N275+VLOOKUP($L275,'Voyage days'!$F$38:$H$89,3,FALSE),"")</f>
        <v/>
      </c>
      <c r="AJ275" s="120" t="str">
        <f t="shared" si="28"/>
        <v/>
      </c>
      <c r="AK275" s="121" t="str">
        <f>IFERROR($M275+VLOOKUP($L275,'Voyage days'!$F$94:$H$193,3,FALSE),"")</f>
        <v/>
      </c>
      <c r="AL275" s="121" t="str">
        <f>IFERROR($N275+VLOOKUP($L275,'Voyage days'!$F$94:$H$193,3,FALSE),"")</f>
        <v/>
      </c>
      <c r="AM275" s="120" t="str">
        <f t="shared" si="29"/>
        <v>17-18 May</v>
      </c>
      <c r="AN275" s="121">
        <f>IFERROR($M275+VLOOKUP($L275,'Voyage days'!$F$203:$H$256,3,FALSE),"")</f>
        <v>46159</v>
      </c>
      <c r="AO275" s="121">
        <f>IFERROR($N275+VLOOKUP($L275,'Voyage days'!$F$203:$H$256,3,FALSE),"")</f>
        <v>46160</v>
      </c>
      <c r="AP275" s="120" t="str">
        <f t="shared" si="30"/>
        <v>04-05 May</v>
      </c>
      <c r="AQ275" s="121">
        <f>IFERROR($M275+VLOOKUP($L275,'Voyage days'!$F$294:$H$377,3,FALSE),"")</f>
        <v>46146</v>
      </c>
      <c r="AR275" s="121">
        <f>IFERROR($N275+VLOOKUP($L275,'Voyage days'!$F$294:$H$377,3,FALSE),"")</f>
        <v>46147</v>
      </c>
      <c r="AS275" s="120" t="str">
        <f t="shared" si="31"/>
        <v>13-14 May</v>
      </c>
      <c r="AT275" s="121">
        <f>IFERROR($M275+VLOOKUP($L275,'Voyage days'!$F$382:$H$446,3,FALSE),"")</f>
        <v>46155</v>
      </c>
      <c r="AU275" s="121">
        <f>IFERROR($N275+VLOOKUP($L275,'Voyage days'!$F$382:$H$446,3,FALSE),"")</f>
        <v>46156</v>
      </c>
      <c r="AV275" s="120" t="str">
        <f t="shared" si="32"/>
        <v/>
      </c>
      <c r="AW275" s="121" t="str">
        <f>IFERROR($M275+VLOOKUP($L275,'Voyage days'!$F$483:$H$538,3,FALSE),"")</f>
        <v/>
      </c>
      <c r="AX275" s="121" t="str">
        <f>IFERROR($N275+VLOOKUP($L275,'Voyage days'!$F$483:$H$538,3,FALSE),"")</f>
        <v/>
      </c>
      <c r="AY275" s="120" t="str">
        <f t="shared" si="33"/>
        <v/>
      </c>
      <c r="AZ275" s="121" t="str">
        <f>IFERROR($M275+VLOOKUP($L275,'Voyage days'!$F$540:$H$613,3,FALSE),"")</f>
        <v/>
      </c>
      <c r="BA275" s="121" t="str">
        <f>IFERROR($N275+VLOOKUP($L275,'Voyage days'!$F$540:$H$613,3,FALSE),"")</f>
        <v/>
      </c>
      <c r="BB275" s="120" t="str">
        <f t="shared" si="34"/>
        <v/>
      </c>
      <c r="BC275" s="121" t="str">
        <f>IFERROR($M275+VLOOKUP($L275,'Voyage days'!$F$448:$H$479,3,FALSE),"")</f>
        <v/>
      </c>
      <c r="BD275" s="121" t="str">
        <f>IFERROR($N275+VLOOKUP($L275,'Voyage days'!$F$448:$H$479,3,FALSE),"")</f>
        <v/>
      </c>
      <c r="BE275" s="120" t="str">
        <f t="shared" si="35"/>
        <v/>
      </c>
      <c r="BF275" s="122" t="str">
        <f>IFERROR($M275+VLOOKUP($L275,'Voyage days'!$F$620:$H$646,3,FALSE),"")</f>
        <v/>
      </c>
      <c r="BG275" s="122" t="str">
        <f>IFERROR($N275+VLOOKUP($L275,'Voyage days'!$F$620:$H$646,3,FALSE),"")</f>
        <v/>
      </c>
      <c r="BH275" s="120" t="str">
        <f t="shared" si="36"/>
        <v/>
      </c>
      <c r="BI275" s="123" t="str">
        <f>IFERROR($M275+VLOOKUP($L275,'Voyage days'!$F$702:$H$727,3,FALSE),"")</f>
        <v/>
      </c>
      <c r="BJ275" s="120" t="str">
        <f t="shared" si="37"/>
        <v>18-19 May</v>
      </c>
      <c r="BK275" s="122">
        <f>IFERROR($M275+VLOOKUP($L275,'Voyage days'!$F$807:$H$878,3,FALSE),"")</f>
        <v>46160</v>
      </c>
      <c r="BL275" s="122">
        <f>IFERROR($N275+VLOOKUP($L275,'Voyage days'!$F$807:$H$878,3,FALSE),"")</f>
        <v>46161</v>
      </c>
      <c r="BM275" s="122">
        <f>IFERROR($N275+VLOOKUP($L275,'Voyage days'!$F$807:$K$878,6,FALSE),"")</f>
        <v>46134</v>
      </c>
      <c r="BN275" s="121" t="str">
        <f>if(L275="loads AG", IFERROR($M275+VLOOKUP($L275,'Voyage days'!$M$38:$O$38,3,FALSE),""),"")</f>
        <v/>
      </c>
      <c r="BO275" s="121" t="str">
        <f>if(L275="loads USG", IFERROR($M275+VLOOKUP($L275,'Voyage days'!$L$203:$N$203,3,FALSE),""),"")</f>
        <v/>
      </c>
    </row>
    <row r="276" ht="15.75" customHeight="1">
      <c r="A276" s="341" t="s">
        <v>1333</v>
      </c>
      <c r="B276" s="148">
        <v>2023.0</v>
      </c>
      <c r="C276" s="102">
        <v>91000.0</v>
      </c>
      <c r="D276" s="149"/>
      <c r="E276" s="149"/>
      <c r="F276" s="150"/>
      <c r="G276" s="150"/>
      <c r="H276" s="150" t="s">
        <v>666</v>
      </c>
      <c r="I276" s="321" t="s">
        <v>1330</v>
      </c>
      <c r="J276" s="151" t="str">
        <f t="shared" si="42"/>
        <v/>
      </c>
      <c r="K276" s="152"/>
      <c r="L276" s="153" t="s">
        <v>680</v>
      </c>
      <c r="M276" s="109">
        <v>46166.0</v>
      </c>
      <c r="N276" s="109">
        <v>46167.0</v>
      </c>
      <c r="O276" s="277"/>
      <c r="P276" s="108" t="s">
        <v>1334</v>
      </c>
      <c r="Q276" s="668"/>
      <c r="R276" s="156" t="s">
        <v>1335</v>
      </c>
      <c r="S276" s="256" t="s">
        <v>659</v>
      </c>
      <c r="T276" s="293">
        <v>46124.0</v>
      </c>
      <c r="U276" s="114" t="str">
        <f>IF(V276="","No AIS",VLOOKUP(V276,'Voyage days'!$A$3:$B$1480,2,FALSE))</f>
        <v>Japan + 6</v>
      </c>
      <c r="V276" s="114" t="str">
        <f>IF(VLOOKUP(A276,'1) Kpler'!$E$2:$P$1000,8, FALSE)="","",VLOOKUP(A276,'1) Kpler'!$E$2:$P$1000,8, FALSE))</f>
        <v>Kashima</v>
      </c>
      <c r="W276" s="159">
        <f>IF(VLOOKUP(A276,'1) Kpler'!$E$2:$P$1000,9,FALSE)="","",VLOOKUP(A276,'1) Kpler'!$E$2:$P$1000,9,FALSE))</f>
        <v>46131.875</v>
      </c>
      <c r="X276" s="669" t="str">
        <f>VLOOKUP(A276,'1) Kpler'!$E$2:$I$1000,4,FALSE)</f>
        <v>loaded</v>
      </c>
      <c r="Y276" s="575" t="str">
        <f t="shared" si="43"/>
        <v/>
      </c>
      <c r="Z276" s="575" t="str">
        <f t="shared" si="44"/>
        <v>24-25 May</v>
      </c>
      <c r="AA276" s="575" t="str">
        <f t="shared" si="45"/>
        <v>24-25 May</v>
      </c>
      <c r="AB276" s="575" t="str">
        <f t="shared" si="46"/>
        <v/>
      </c>
      <c r="AC276" s="575" t="str">
        <f t="shared" si="47"/>
        <v>13-14 Jun</v>
      </c>
      <c r="AD276" s="575" t="str">
        <f t="shared" si="48"/>
        <v/>
      </c>
      <c r="AE276" s="576" t="str">
        <f t="shared" si="49"/>
        <v/>
      </c>
      <c r="AF276" s="182" t="str">
        <f t="shared" si="50"/>
        <v/>
      </c>
      <c r="AG276" s="163" t="str">
        <f t="shared" si="51"/>
        <v/>
      </c>
      <c r="AH276" s="122" t="str">
        <f>IFERROR($M276+VLOOKUP($L276,'Voyage days'!$F$38:$H$89,3,FALSE),"")</f>
        <v/>
      </c>
      <c r="AI276" s="122" t="str">
        <f>IFERROR(N276+VLOOKUP($L276,'Voyage days'!$F$38:$H$89,3,FALSE),"")</f>
        <v/>
      </c>
      <c r="AJ276" s="163" t="str">
        <f t="shared" si="28"/>
        <v>24-25 May</v>
      </c>
      <c r="AK276" s="122">
        <f>IFERROR($M276+VLOOKUP($L276,'Voyage days'!$F$94:$H$193,3,FALSE),"")</f>
        <v>46166</v>
      </c>
      <c r="AL276" s="122">
        <f>IFERROR($N276+VLOOKUP($L276,'Voyage days'!$F$94:$H$193,3,FALSE),"")</f>
        <v>46167</v>
      </c>
      <c r="AM276" s="163" t="str">
        <f t="shared" si="29"/>
        <v>24-25 May</v>
      </c>
      <c r="AN276" s="122">
        <f>IFERROR($M276+VLOOKUP($L276,'Voyage days'!$F$203:$H$256,3,FALSE),"")</f>
        <v>46166</v>
      </c>
      <c r="AO276" s="122">
        <f>IFERROR($N276+VLOOKUP($L276,'Voyage days'!$F$203:$H$256,3,FALSE),"")</f>
        <v>46167</v>
      </c>
      <c r="AP276" s="163" t="str">
        <f t="shared" si="30"/>
        <v/>
      </c>
      <c r="AQ276" s="122" t="str">
        <f>IFERROR($M276+VLOOKUP($L276,'Voyage days'!$F$294:$H$377,3,FALSE),"")</f>
        <v/>
      </c>
      <c r="AR276" s="122" t="str">
        <f>IFERROR($N276+VLOOKUP($L276,'Voyage days'!$F$294:$H$377,3,FALSE),"")</f>
        <v/>
      </c>
      <c r="AS276" s="163" t="str">
        <f t="shared" si="31"/>
        <v>13-14 Jun</v>
      </c>
      <c r="AT276" s="122">
        <f>IFERROR($M276+VLOOKUP($L276,'Voyage days'!$F$382:$H$446,3,FALSE),"")</f>
        <v>46186</v>
      </c>
      <c r="AU276" s="122">
        <f>IFERROR($N276+VLOOKUP($L276,'Voyage days'!$F$382:$H$446,3,FALSE),"")</f>
        <v>46187</v>
      </c>
      <c r="AV276" s="163" t="str">
        <f t="shared" si="32"/>
        <v/>
      </c>
      <c r="AW276" s="122" t="str">
        <f>IFERROR($M276+VLOOKUP($L276,'Voyage days'!$F$483:$H$538,3,FALSE),"")</f>
        <v/>
      </c>
      <c r="AX276" s="122" t="str">
        <f>IFERROR($N276+VLOOKUP($L276,'Voyage days'!$F$483:$H$538,3,FALSE),"")</f>
        <v/>
      </c>
      <c r="AY276" s="163" t="str">
        <f t="shared" si="33"/>
        <v/>
      </c>
      <c r="AZ276" s="122" t="str">
        <f>IFERROR($M276+VLOOKUP($L276,'Voyage days'!$F$540:$H$613,3,FALSE),"")</f>
        <v/>
      </c>
      <c r="BA276" s="122" t="str">
        <f>IFERROR($N276+VLOOKUP($L276,'Voyage days'!$F$540:$H$613,3,FALSE),"")</f>
        <v/>
      </c>
      <c r="BB276" s="163" t="str">
        <f t="shared" si="34"/>
        <v/>
      </c>
      <c r="BC276" s="122" t="str">
        <f>IFERROR($M276+VLOOKUP($L276,'Voyage days'!$F$448:$H$479,3,FALSE),"")</f>
        <v/>
      </c>
      <c r="BD276" s="122" t="str">
        <f>IFERROR($N276+VLOOKUP($L276,'Voyage days'!$F$448:$H$479,3,FALSE),"")</f>
        <v/>
      </c>
      <c r="BE276" s="163" t="str">
        <f t="shared" si="35"/>
        <v/>
      </c>
      <c r="BF276" s="122" t="str">
        <f>IFERROR($M276+VLOOKUP($L276,'Voyage days'!$F$620:$H$646,3,FALSE),"")</f>
        <v/>
      </c>
      <c r="BG276" s="122" t="str">
        <f>IFERROR($N276+VLOOKUP($L276,'Voyage days'!$F$620:$H$646,3,FALSE),"")</f>
        <v/>
      </c>
      <c r="BH276" s="163" t="str">
        <f t="shared" si="36"/>
        <v/>
      </c>
      <c r="BI276" s="123" t="str">
        <f>IFERROR($M276+VLOOKUP($L276,'Voyage days'!$F$702:$H$727,3,FALSE),"")</f>
        <v/>
      </c>
      <c r="BJ276" s="163" t="str">
        <f t="shared" si="37"/>
        <v/>
      </c>
      <c r="BK276" s="122" t="str">
        <f>IFERROR($M276+VLOOKUP($L276,'Voyage days'!$F$807:$H$878,3,FALSE),"")</f>
        <v/>
      </c>
      <c r="BL276" s="122" t="str">
        <f>IFERROR($N276+VLOOKUP($L276,'Voyage days'!$F$807:$H$878,3,FALSE),"")</f>
        <v/>
      </c>
      <c r="BM276" s="122" t="str">
        <f>IFERROR($N276+VLOOKUP($L276,'Voyage days'!$F$807:$K$878,6,FALSE),"")</f>
        <v/>
      </c>
      <c r="BN276" s="122" t="str">
        <f>if(L276="loads AG", IFERROR($M276+VLOOKUP($L276,'Voyage days'!$M$38:$O$38,3,FALSE),""),"")</f>
        <v/>
      </c>
      <c r="BO276" s="122">
        <f>if(L276="loads USG", IFERROR($M276+VLOOKUP($L276,'Voyage days'!$L$203:$N$203,3,FALSE),""),"")</f>
        <v>46198</v>
      </c>
    </row>
    <row r="277">
      <c r="A277" s="147" t="s">
        <v>1336</v>
      </c>
      <c r="B277" s="101">
        <v>42443.0</v>
      </c>
      <c r="C277" s="203">
        <v>84142.0</v>
      </c>
      <c r="D277" s="103"/>
      <c r="E277" s="103"/>
      <c r="F277" s="104"/>
      <c r="G277" s="104"/>
      <c r="H277" s="104" t="s">
        <v>666</v>
      </c>
      <c r="I277" s="401" t="s">
        <v>1330</v>
      </c>
      <c r="J277" s="106" t="str">
        <f t="shared" si="42"/>
        <v/>
      </c>
      <c r="K277" s="107"/>
      <c r="L277" s="108" t="s">
        <v>680</v>
      </c>
      <c r="M277" s="109">
        <v>46142.0</v>
      </c>
      <c r="N277" s="109">
        <v>46143.0</v>
      </c>
      <c r="O277" s="191"/>
      <c r="P277" s="108" t="s">
        <v>1337</v>
      </c>
      <c r="Q277" s="108"/>
      <c r="R277" s="108" t="s">
        <v>1338</v>
      </c>
      <c r="S277" s="256" t="s">
        <v>659</v>
      </c>
      <c r="T277" s="113">
        <v>46124.0</v>
      </c>
      <c r="U277" s="114" t="str">
        <f>IF(V277="","No AIS",VLOOKUP(V277,'Voyage days'!$A$3:$B$1480,2,FALSE))</f>
        <v>Panama</v>
      </c>
      <c r="V277" s="115" t="str">
        <f>IF(VLOOKUP(A277,'1) Kpler'!$E$2:$P$1000,8, FALSE)="","",VLOOKUP(A277,'1) Kpler'!$E$2:$P$1000,8, FALSE))</f>
        <v>Panama Canal</v>
      </c>
      <c r="W277" s="116">
        <f>IF(VLOOKUP(A277,'1) Kpler'!$E$2:$P$1000,9,FALSE)="","",VLOOKUP(A277,'1) Kpler'!$E$2:$P$1000,9,FALSE))</f>
        <v>46135.54167</v>
      </c>
      <c r="X277" s="115" t="str">
        <f>VLOOKUP(A277,'1) Kpler'!$E$2:$I$1000,4,FALSE)</f>
        <v>ballast</v>
      </c>
      <c r="Y277" s="296" t="str">
        <f t="shared" si="43"/>
        <v/>
      </c>
      <c r="Z277" s="296" t="str">
        <f t="shared" si="44"/>
        <v>30-01 May</v>
      </c>
      <c r="AA277" s="296" t="str">
        <f t="shared" si="45"/>
        <v>30-01 May</v>
      </c>
      <c r="AB277" s="296" t="str">
        <f t="shared" si="46"/>
        <v/>
      </c>
      <c r="AC277" s="296" t="str">
        <f t="shared" si="47"/>
        <v>20-21 May</v>
      </c>
      <c r="AD277" s="296" t="str">
        <f t="shared" si="48"/>
        <v/>
      </c>
      <c r="AE277" s="297" t="str">
        <f t="shared" si="49"/>
        <v/>
      </c>
      <c r="AF277" s="119" t="str">
        <f t="shared" si="50"/>
        <v/>
      </c>
      <c r="AG277" s="120" t="str">
        <f t="shared" si="51"/>
        <v/>
      </c>
      <c r="AH277" s="121" t="str">
        <f>IFERROR($M277+VLOOKUP($L277,'Voyage days'!$F$38:$H$89,3,FALSE),"")</f>
        <v/>
      </c>
      <c r="AI277" s="121" t="str">
        <f>IFERROR(N277+VLOOKUP($L277,'Voyage days'!$F$38:$H$89,3,FALSE),"")</f>
        <v/>
      </c>
      <c r="AJ277" s="120" t="str">
        <f t="shared" si="28"/>
        <v>30-01 May</v>
      </c>
      <c r="AK277" s="121">
        <f>IFERROR($M277+VLOOKUP($L277,'Voyage days'!$F$94:$H$193,3,FALSE),"")</f>
        <v>46142</v>
      </c>
      <c r="AL277" s="121">
        <f>IFERROR($N277+VLOOKUP($L277,'Voyage days'!$F$94:$H$193,3,FALSE),"")</f>
        <v>46143</v>
      </c>
      <c r="AM277" s="120" t="str">
        <f t="shared" si="29"/>
        <v>30-01 May</v>
      </c>
      <c r="AN277" s="121">
        <f>IFERROR($M277+VLOOKUP($L277,'Voyage days'!$F$203:$H$256,3,FALSE),"")</f>
        <v>46142</v>
      </c>
      <c r="AO277" s="121">
        <f>IFERROR($N277+VLOOKUP($L277,'Voyage days'!$F$203:$H$256,3,FALSE),"")</f>
        <v>46143</v>
      </c>
      <c r="AP277" s="120" t="str">
        <f t="shared" si="30"/>
        <v/>
      </c>
      <c r="AQ277" s="121" t="str">
        <f>IFERROR($M277+VLOOKUP($L277,'Voyage days'!$F$294:$H$377,3,FALSE),"")</f>
        <v/>
      </c>
      <c r="AR277" s="121" t="str">
        <f>IFERROR($N277+VLOOKUP($L277,'Voyage days'!$F$294:$H$377,3,FALSE),"")</f>
        <v/>
      </c>
      <c r="AS277" s="120" t="str">
        <f t="shared" si="31"/>
        <v>20-21 May</v>
      </c>
      <c r="AT277" s="121">
        <f>IFERROR($M277+VLOOKUP($L277,'Voyage days'!$F$382:$H$446,3,FALSE),"")</f>
        <v>46162</v>
      </c>
      <c r="AU277" s="121">
        <f>IFERROR($N277+VLOOKUP($L277,'Voyage days'!$F$382:$H$446,3,FALSE),"")</f>
        <v>46163</v>
      </c>
      <c r="AV277" s="120" t="str">
        <f t="shared" si="32"/>
        <v/>
      </c>
      <c r="AW277" s="121" t="str">
        <f>IFERROR($M277+VLOOKUP($L277,'Voyage days'!$F$483:$H$538,3,FALSE),"")</f>
        <v/>
      </c>
      <c r="AX277" s="121" t="str">
        <f>IFERROR($N277+VLOOKUP($L277,'Voyage days'!$F$483:$H$538,3,FALSE),"")</f>
        <v/>
      </c>
      <c r="AY277" s="120" t="str">
        <f t="shared" si="33"/>
        <v/>
      </c>
      <c r="AZ277" s="121" t="str">
        <f>IFERROR($M277+VLOOKUP($L277,'Voyage days'!$F$540:$H$613,3,FALSE),"")</f>
        <v/>
      </c>
      <c r="BA277" s="121" t="str">
        <f>IFERROR($N277+VLOOKUP($L277,'Voyage days'!$F$540:$H$613,3,FALSE),"")</f>
        <v/>
      </c>
      <c r="BB277" s="120" t="str">
        <f t="shared" si="34"/>
        <v/>
      </c>
      <c r="BC277" s="121" t="str">
        <f>IFERROR($M277+VLOOKUP($L277,'Voyage days'!$F$448:$H$479,3,FALSE),"")</f>
        <v/>
      </c>
      <c r="BD277" s="121" t="str">
        <f>IFERROR($N277+VLOOKUP($L277,'Voyage days'!$F$448:$H$479,3,FALSE),"")</f>
        <v/>
      </c>
      <c r="BE277" s="120" t="str">
        <f t="shared" si="35"/>
        <v/>
      </c>
      <c r="BF277" s="122" t="str">
        <f>IFERROR($M277+VLOOKUP($L277,'Voyage days'!$F$620:$H$646,3,FALSE),"")</f>
        <v/>
      </c>
      <c r="BG277" s="122" t="str">
        <f>IFERROR($N277+VLOOKUP($L277,'Voyage days'!$F$620:$H$646,3,FALSE),"")</f>
        <v/>
      </c>
      <c r="BH277" s="120" t="str">
        <f t="shared" si="36"/>
        <v/>
      </c>
      <c r="BI277" s="123" t="str">
        <f>IFERROR($M277+VLOOKUP($L277,'Voyage days'!$F$702:$H$727,3,FALSE),"")</f>
        <v/>
      </c>
      <c r="BJ277" s="120" t="str">
        <f t="shared" si="37"/>
        <v/>
      </c>
      <c r="BK277" s="122" t="str">
        <f>IFERROR($M277+VLOOKUP($L277,'Voyage days'!$F$807:$H$878,3,FALSE),"")</f>
        <v/>
      </c>
      <c r="BL277" s="122" t="str">
        <f>IFERROR($N277+VLOOKUP($L277,'Voyage days'!$F$807:$H$878,3,FALSE),"")</f>
        <v/>
      </c>
      <c r="BM277" s="122" t="str">
        <f>IFERROR($N277+VLOOKUP($L277,'Voyage days'!$F$807:$K$878,6,FALSE),"")</f>
        <v/>
      </c>
      <c r="BN277" s="121" t="str">
        <f>if(L277="loads AG", IFERROR($M277+VLOOKUP($L277,'Voyage days'!$M$38:$O$38,3,FALSE),""),"")</f>
        <v/>
      </c>
      <c r="BO277" s="121">
        <f>if(L277="loads USG", IFERROR($M277+VLOOKUP($L277,'Voyage days'!$L$203:$N$203,3,FALSE),""),"")</f>
        <v>46174</v>
      </c>
    </row>
    <row r="278" ht="14.25" customHeight="1">
      <c r="A278" s="670" t="s">
        <v>1339</v>
      </c>
      <c r="B278" s="101">
        <v>42489.0</v>
      </c>
      <c r="C278" s="203">
        <v>84114.0</v>
      </c>
      <c r="D278" s="103"/>
      <c r="E278" s="103"/>
      <c r="F278" s="104"/>
      <c r="G278" s="104"/>
      <c r="H278" s="104" t="s">
        <v>666</v>
      </c>
      <c r="I278" s="401" t="s">
        <v>1330</v>
      </c>
      <c r="J278" s="106" t="str">
        <f t="shared" si="42"/>
        <v>NO AIS</v>
      </c>
      <c r="K278" s="107"/>
      <c r="L278" s="108" t="s">
        <v>663</v>
      </c>
      <c r="M278" s="109">
        <v>46147.0</v>
      </c>
      <c r="N278" s="109">
        <v>46152.0</v>
      </c>
      <c r="O278" s="191"/>
      <c r="P278" s="108" t="s">
        <v>1340</v>
      </c>
      <c r="Q278" s="108"/>
      <c r="R278" s="108" t="s">
        <v>1341</v>
      </c>
      <c r="S278" s="256" t="s">
        <v>659</v>
      </c>
      <c r="T278" s="113">
        <v>46125.0</v>
      </c>
      <c r="U278" s="114" t="str">
        <f>IF(V278="","No AIS",VLOOKUP(V278,'Voyage days'!$A$3:$B$1480,2,FALSE))</f>
        <v>No AIS</v>
      </c>
      <c r="V278" s="115" t="str">
        <f>IF(VLOOKUP(A278,'1) Kpler'!$E$2:$P$1000,8, FALSE)="","",VLOOKUP(A278,'1) Kpler'!$E$2:$P$1000,8, FALSE))</f>
        <v/>
      </c>
      <c r="W278" s="116" t="str">
        <f>IF(VLOOKUP(A278,'1) Kpler'!$E$2:$P$1000,9,FALSE)="","",VLOOKUP(A278,'1) Kpler'!$E$2:$P$1000,9,FALSE))</f>
        <v/>
      </c>
      <c r="X278" s="115" t="str">
        <f>VLOOKUP(A278,'1) Kpler'!$E$2:$I$1000,4,FALSE)</f>
        <v>ballast</v>
      </c>
      <c r="Y278" s="160" t="str">
        <f t="shared" si="43"/>
        <v>22-27 May</v>
      </c>
      <c r="Z278" s="160" t="str">
        <f t="shared" si="44"/>
        <v>07-12 Jun</v>
      </c>
      <c r="AA278" s="160" t="str">
        <f t="shared" si="45"/>
        <v>18-23 Jun</v>
      </c>
      <c r="AB278" s="160" t="str">
        <f t="shared" si="46"/>
        <v>02-07 Jun</v>
      </c>
      <c r="AC278" s="160" t="str">
        <f t="shared" si="47"/>
        <v>09-14 Jun</v>
      </c>
      <c r="AD278" s="160" t="str">
        <f t="shared" si="48"/>
        <v>11-16 May</v>
      </c>
      <c r="AE278" s="161" t="str">
        <f t="shared" si="49"/>
        <v>12-17 May</v>
      </c>
      <c r="AF278" s="162" t="str">
        <f t="shared" si="50"/>
        <v>18-23 Jun</v>
      </c>
      <c r="AG278" s="120" t="str">
        <f t="shared" si="51"/>
        <v>22-27 May</v>
      </c>
      <c r="AH278" s="121">
        <f>IFERROR($M278+VLOOKUP($L278,'Voyage days'!$F$38:$H$89,3,FALSE),"")</f>
        <v>46164</v>
      </c>
      <c r="AI278" s="121">
        <f>IFERROR(N278+VLOOKUP($L278,'Voyage days'!$F$38:$H$89,3,FALSE),"")</f>
        <v>46169</v>
      </c>
      <c r="AJ278" s="120" t="str">
        <f t="shared" si="28"/>
        <v>07-12 Jun</v>
      </c>
      <c r="AK278" s="121">
        <f>IFERROR($M278+VLOOKUP($L278,'Voyage days'!$F$94:$H$193,3,FALSE),"")</f>
        <v>46180</v>
      </c>
      <c r="AL278" s="121">
        <f>IFERROR($N278+VLOOKUP($L278,'Voyage days'!$F$94:$H$193,3,FALSE),"")</f>
        <v>46185</v>
      </c>
      <c r="AM278" s="120" t="str">
        <f t="shared" si="29"/>
        <v>18-23 Jun</v>
      </c>
      <c r="AN278" s="121">
        <f>IFERROR($M278+VLOOKUP($L278,'Voyage days'!$F$203:$H$256,3,FALSE),"")</f>
        <v>46191</v>
      </c>
      <c r="AO278" s="121">
        <f>IFERROR($N278+VLOOKUP($L278,'Voyage days'!$F$203:$H$256,3,FALSE),"")</f>
        <v>46196</v>
      </c>
      <c r="AP278" s="120" t="str">
        <f t="shared" si="30"/>
        <v>02-07 Jun</v>
      </c>
      <c r="AQ278" s="121">
        <f>IFERROR($M278+VLOOKUP($L278,'Voyage days'!$F$294:$H$377,3,FALSE),"")</f>
        <v>46175</v>
      </c>
      <c r="AR278" s="121">
        <f>IFERROR($N278+VLOOKUP($L278,'Voyage days'!$F$294:$H$377,3,FALSE),"")</f>
        <v>46180</v>
      </c>
      <c r="AS278" s="120" t="str">
        <f t="shared" si="31"/>
        <v>09-14 Jun</v>
      </c>
      <c r="AT278" s="121">
        <f>IFERROR($M278+VLOOKUP($L278,'Voyage days'!$F$382:$H$446,3,FALSE),"")</f>
        <v>46182</v>
      </c>
      <c r="AU278" s="121">
        <f>IFERROR($N278+VLOOKUP($L278,'Voyage days'!$F$382:$H$446,3,FALSE),"")</f>
        <v>46187</v>
      </c>
      <c r="AV278" s="120" t="str">
        <f t="shared" si="32"/>
        <v>19-24 May</v>
      </c>
      <c r="AW278" s="121">
        <f>IFERROR($M278+VLOOKUP($L278,'Voyage days'!$F$483:$H$538,3,FALSE),"")</f>
        <v>46161</v>
      </c>
      <c r="AX278" s="121">
        <f>IFERROR($N278+VLOOKUP($L278,'Voyage days'!$F$483:$H$538,3,FALSE),"")</f>
        <v>46166</v>
      </c>
      <c r="AY278" s="120" t="str">
        <f t="shared" si="33"/>
        <v>12-17 May</v>
      </c>
      <c r="AZ278" s="121">
        <f>IFERROR($M278+VLOOKUP($L278,'Voyage days'!$F$540:$H$613,3,FALSE),"")</f>
        <v>46154.25</v>
      </c>
      <c r="BA278" s="121">
        <f>IFERROR($N278+VLOOKUP($L278,'Voyage days'!$F$540:$H$613,3,FALSE),"")</f>
        <v>46159.25</v>
      </c>
      <c r="BB278" s="120" t="str">
        <f t="shared" si="34"/>
        <v>11-16 May</v>
      </c>
      <c r="BC278" s="121">
        <f>IFERROR($M278+VLOOKUP($L278,'Voyage days'!$F$448:$H$479,3,FALSE),"")</f>
        <v>46153</v>
      </c>
      <c r="BD278" s="121">
        <f>IFERROR($N278+VLOOKUP($L278,'Voyage days'!$F$448:$H$479,3,FALSE),"")</f>
        <v>46158</v>
      </c>
      <c r="BE278" s="120" t="str">
        <f t="shared" si="35"/>
        <v>18-23 May</v>
      </c>
      <c r="BF278" s="122">
        <f>IFERROR($M278+VLOOKUP($L278,'Voyage days'!$F$620:$H$646,3,FALSE),"")</f>
        <v>46160</v>
      </c>
      <c r="BG278" s="122">
        <f>IFERROR($N278+VLOOKUP($L278,'Voyage days'!$F$620:$H$646,3,FALSE),"")</f>
        <v>46165</v>
      </c>
      <c r="BH278" s="120" t="str">
        <f t="shared" si="36"/>
        <v>12-23 Jun</v>
      </c>
      <c r="BI278" s="123">
        <f>IFERROR($M278+VLOOKUP($L278,'Voyage days'!$F$702:$H$727,3,FALSE),"")</f>
        <v>46154.25</v>
      </c>
      <c r="BJ278" s="120" t="str">
        <f t="shared" si="37"/>
        <v>18-23 Jun</v>
      </c>
      <c r="BK278" s="122">
        <f>IFERROR($M278+VLOOKUP($L278,'Voyage days'!$F$807:$H$878,3,FALSE),"")</f>
        <v>46191</v>
      </c>
      <c r="BL278" s="122">
        <f>IFERROR($N278+VLOOKUP($L278,'Voyage days'!$F$807:$H$878,3,FALSE),"")</f>
        <v>46196</v>
      </c>
      <c r="BM278" s="122">
        <f>IFERROR($N278+VLOOKUP($L278,'Voyage days'!$F$807:$K$878,6,FALSE),"")</f>
        <v>46170</v>
      </c>
      <c r="BN278" s="121" t="str">
        <f>if(L278="loads AG", IFERROR($M278+VLOOKUP($L278,'Voyage days'!$M$38:$O$38,3,FALSE),""),"")</f>
        <v/>
      </c>
      <c r="BO278" s="121" t="str">
        <f>if(L278="loads USG", IFERROR($M278+VLOOKUP($L278,'Voyage days'!$L$203:$N$203,3,FALSE),""),"")</f>
        <v/>
      </c>
    </row>
    <row r="279" ht="15.75" customHeight="1">
      <c r="A279" s="341" t="s">
        <v>1342</v>
      </c>
      <c r="B279" s="101">
        <v>42103.0</v>
      </c>
      <c r="C279" s="102">
        <v>83000.0</v>
      </c>
      <c r="D279" s="103"/>
      <c r="E279" s="103"/>
      <c r="F279" s="104"/>
      <c r="G279" s="104"/>
      <c r="H279" s="104" t="s">
        <v>689</v>
      </c>
      <c r="I279" s="401" t="s">
        <v>1330</v>
      </c>
      <c r="J279" s="106" t="str">
        <f t="shared" si="42"/>
        <v>Update</v>
      </c>
      <c r="K279" s="205" t="s">
        <v>765</v>
      </c>
      <c r="L279" s="108" t="s">
        <v>770</v>
      </c>
      <c r="M279" s="109">
        <v>46125.0</v>
      </c>
      <c r="N279" s="109">
        <v>46126.0</v>
      </c>
      <c r="O279" s="191"/>
      <c r="P279" s="108" t="s">
        <v>1343</v>
      </c>
      <c r="Q279" s="108"/>
      <c r="R279" s="108" t="s">
        <v>1344</v>
      </c>
      <c r="S279" s="256" t="s">
        <v>659</v>
      </c>
      <c r="T279" s="113">
        <v>46124.0</v>
      </c>
      <c r="U279" s="114" t="str">
        <f>IF(V279="","No AIS",VLOOKUP(V279,'Voyage days'!$A$3:$B$1480,2,FALSE))</f>
        <v>Indo + 4 (STS)</v>
      </c>
      <c r="V279" s="115" t="str">
        <f>IF(VLOOKUP(A279,'1) Kpler'!$E$2:$P$1000,8, FALSE)="","",VLOOKUP(A279,'1) Kpler'!$E$2:$P$1000,8, FALSE))</f>
        <v>Kalbut</v>
      </c>
      <c r="W279" s="116">
        <f>IF(VLOOKUP(A279,'1) Kpler'!$E$2:$P$1000,9,FALSE)="","",VLOOKUP(A279,'1) Kpler'!$E$2:$P$1000,9,FALSE))</f>
        <v>46139.875</v>
      </c>
      <c r="X279" s="115" t="str">
        <f>VLOOKUP(A279,'1) Kpler'!$E$2:$I$1000,4,FALSE)</f>
        <v>loaded</v>
      </c>
      <c r="Y279" s="296" t="str">
        <f t="shared" si="43"/>
        <v>14-15 May</v>
      </c>
      <c r="Z279" s="296" t="str">
        <f t="shared" si="44"/>
        <v/>
      </c>
      <c r="AA279" s="296" t="str">
        <f t="shared" si="45"/>
        <v/>
      </c>
      <c r="AB279" s="296" t="str">
        <f t="shared" si="46"/>
        <v/>
      </c>
      <c r="AC279" s="296" t="str">
        <f t="shared" si="47"/>
        <v/>
      </c>
      <c r="AD279" s="296" t="str">
        <f t="shared" si="48"/>
        <v>06-07 May</v>
      </c>
      <c r="AE279" s="297" t="str">
        <f t="shared" si="49"/>
        <v>03-04 May</v>
      </c>
      <c r="AF279" s="119" t="str">
        <f t="shared" si="50"/>
        <v>13-14 Apr</v>
      </c>
      <c r="AG279" s="120" t="str">
        <f t="shared" si="51"/>
        <v>14-15 May</v>
      </c>
      <c r="AH279" s="121">
        <f>IFERROR($M279+VLOOKUP($L279,'Voyage days'!$F$38:$H$89,3,FALSE),"")</f>
        <v>46156</v>
      </c>
      <c r="AI279" s="121">
        <f>IFERROR(N279+VLOOKUP($L279,'Voyage days'!$F$38:$H$89,3,FALSE),"")</f>
        <v>46157</v>
      </c>
      <c r="AJ279" s="120" t="str">
        <f t="shared" si="28"/>
        <v/>
      </c>
      <c r="AK279" s="121" t="str">
        <f>IFERROR($M279+VLOOKUP($L279,'Voyage days'!$F$94:$H$193,3,FALSE),"")</f>
        <v/>
      </c>
      <c r="AL279" s="121" t="str">
        <f>IFERROR($N279+VLOOKUP($L279,'Voyage days'!$F$94:$H$193,3,FALSE),"")</f>
        <v/>
      </c>
      <c r="AM279" s="120" t="str">
        <f t="shared" si="29"/>
        <v/>
      </c>
      <c r="AN279" s="121" t="str">
        <f>IFERROR($M279+VLOOKUP($L279,'Voyage days'!$F$203:$H$256,3,FALSE),"")</f>
        <v/>
      </c>
      <c r="AO279" s="121" t="str">
        <f>IFERROR($N279+VLOOKUP($L279,'Voyage days'!$F$203:$H$256,3,FALSE),"")</f>
        <v/>
      </c>
      <c r="AP279" s="120" t="str">
        <f t="shared" si="30"/>
        <v/>
      </c>
      <c r="AQ279" s="121" t="str">
        <f>IFERROR($M279+VLOOKUP($L279,'Voyage days'!$F$294:$H$377,3,FALSE),"")</f>
        <v/>
      </c>
      <c r="AR279" s="121" t="str">
        <f>IFERROR($N279+VLOOKUP($L279,'Voyage days'!$F$294:$H$377,3,FALSE),"")</f>
        <v/>
      </c>
      <c r="AS279" s="120" t="str">
        <f t="shared" si="31"/>
        <v/>
      </c>
      <c r="AT279" s="121" t="str">
        <f>IFERROR($M279+VLOOKUP($L279,'Voyage days'!$F$382:$H$446,3,FALSE),"")</f>
        <v/>
      </c>
      <c r="AU279" s="121" t="str">
        <f>IFERROR($N279+VLOOKUP($L279,'Voyage days'!$F$382:$H$446,3,FALSE),"")</f>
        <v/>
      </c>
      <c r="AV279" s="120" t="str">
        <f t="shared" si="32"/>
        <v>28-29 Apr</v>
      </c>
      <c r="AW279" s="121">
        <f>IFERROR($M279+VLOOKUP($L279,'Voyage days'!$F$483:$H$538,3,FALSE),"")</f>
        <v>46140</v>
      </c>
      <c r="AX279" s="121">
        <f>IFERROR($N279+VLOOKUP($L279,'Voyage days'!$F$483:$H$538,3,FALSE),"")</f>
        <v>46141</v>
      </c>
      <c r="AY279" s="120" t="str">
        <f t="shared" si="33"/>
        <v>03-04 May</v>
      </c>
      <c r="AZ279" s="121">
        <f>IFERROR($M279+VLOOKUP($L279,'Voyage days'!$F$540:$H$613,3,FALSE),"")</f>
        <v>46145</v>
      </c>
      <c r="BA279" s="121">
        <f>IFERROR($N279+VLOOKUP($L279,'Voyage days'!$F$540:$H$613,3,FALSE),"")</f>
        <v>46146</v>
      </c>
      <c r="BB279" s="120" t="str">
        <f t="shared" si="34"/>
        <v>06-07 May</v>
      </c>
      <c r="BC279" s="121">
        <f>IFERROR($M279+VLOOKUP($L279,'Voyage days'!$F$448:$H$479,3,FALSE),"")</f>
        <v>46148</v>
      </c>
      <c r="BD279" s="121">
        <f>IFERROR($N279+VLOOKUP($L279,'Voyage days'!$F$448:$H$479,3,FALSE),"")</f>
        <v>46149</v>
      </c>
      <c r="BE279" s="120" t="str">
        <f t="shared" si="35"/>
        <v/>
      </c>
      <c r="BF279" s="122" t="str">
        <f>IFERROR($M279+VLOOKUP($L279,'Voyage days'!$F$620:$H$646,3,FALSE),"")</f>
        <v/>
      </c>
      <c r="BG279" s="122" t="str">
        <f>IFERROR($N279+VLOOKUP($L279,'Voyage days'!$F$620:$H$646,3,FALSE),"")</f>
        <v/>
      </c>
      <c r="BH279" s="120" t="str">
        <f t="shared" si="36"/>
        <v>03-14 Apr</v>
      </c>
      <c r="BI279" s="123">
        <f>IFERROR($M279+VLOOKUP($L279,'Voyage days'!$F$702:$H$727,3,FALSE),"")</f>
        <v>46145</v>
      </c>
      <c r="BJ279" s="120" t="str">
        <f t="shared" si="37"/>
        <v>13-14 Apr</v>
      </c>
      <c r="BK279" s="122">
        <f>IFERROR($M279+VLOOKUP($L279,'Voyage days'!$F$807:$H$878,3,FALSE),"")</f>
        <v>46125</v>
      </c>
      <c r="BL279" s="122">
        <f>IFERROR($N279+VLOOKUP($L279,'Voyage days'!$F$807:$H$878,3,FALSE),"")</f>
        <v>46126</v>
      </c>
      <c r="BM279" s="122">
        <f>IFERROR($N279+VLOOKUP($L279,'Voyage days'!$F$807:$K$878,6,FALSE),"")</f>
        <v>46126</v>
      </c>
      <c r="BN279" s="121" t="str">
        <f>if(L279="loads AG", IFERROR($M279+VLOOKUP($L279,'Voyage days'!$M$38:$O$38,3,FALSE),""),"")</f>
        <v/>
      </c>
      <c r="BO279" s="121" t="str">
        <f>if(L279="loads USG", IFERROR($M279+VLOOKUP($L279,'Voyage days'!$L$203:$N$203,3,FALSE),""),"")</f>
        <v/>
      </c>
    </row>
    <row r="280" ht="15.75" customHeight="1">
      <c r="A280" s="667" t="s">
        <v>1345</v>
      </c>
      <c r="B280" s="148">
        <v>2022.0</v>
      </c>
      <c r="C280" s="102">
        <v>91000.0</v>
      </c>
      <c r="D280" s="112"/>
      <c r="E280" s="112" t="s">
        <v>706</v>
      </c>
      <c r="F280" s="104"/>
      <c r="G280" s="192" t="s">
        <v>1306</v>
      </c>
      <c r="H280" s="104" t="s">
        <v>666</v>
      </c>
      <c r="I280" s="401" t="s">
        <v>1330</v>
      </c>
      <c r="J280" s="106" t="str">
        <f t="shared" si="42"/>
        <v>Update</v>
      </c>
      <c r="K280" s="107"/>
      <c r="L280" s="108" t="s">
        <v>663</v>
      </c>
      <c r="M280" s="109">
        <v>46128.0</v>
      </c>
      <c r="N280" s="109">
        <v>46129.0</v>
      </c>
      <c r="O280" s="191"/>
      <c r="P280" s="108" t="s">
        <v>1346</v>
      </c>
      <c r="Q280" s="108" t="s">
        <v>1347</v>
      </c>
      <c r="R280" s="387" t="s">
        <v>1348</v>
      </c>
      <c r="S280" s="256" t="s">
        <v>659</v>
      </c>
      <c r="T280" s="113">
        <v>46125.0</v>
      </c>
      <c r="U280" s="114" t="str">
        <f>IF(V280="","No AIS",VLOOKUP(V280,'Voyage days'!$A$3:$B$1480,2,FALSE))</f>
        <v>+14 days open Far East</v>
      </c>
      <c r="V280" s="115" t="str">
        <f>IF(VLOOKUP(A280,'1) Kpler'!$E$2:$P$1000,8, FALSE)="","",VLOOKUP(A280,'1) Kpler'!$E$2:$P$1000,8, FALSE))</f>
        <v>Ferndale</v>
      </c>
      <c r="W280" s="116">
        <f>IF(VLOOKUP(A280,'1) Kpler'!$E$2:$P$1000,9,FALSE)="","",VLOOKUP(A280,'1) Kpler'!$E$2:$P$1000,9,FALSE))</f>
        <v>46148.25</v>
      </c>
      <c r="X280" s="115" t="str">
        <f>VLOOKUP(A280,'1) Kpler'!$E$2:$I$1000,4,FALSE)</f>
        <v>ballast</v>
      </c>
      <c r="Y280" s="160" t="str">
        <f t="shared" si="43"/>
        <v>03-04 May</v>
      </c>
      <c r="Z280" s="160" t="str">
        <f t="shared" si="44"/>
        <v>19-20 May</v>
      </c>
      <c r="AA280" s="160" t="str">
        <f t="shared" si="45"/>
        <v>30-31 May</v>
      </c>
      <c r="AB280" s="160" t="str">
        <f t="shared" si="46"/>
        <v>14-15 May</v>
      </c>
      <c r="AC280" s="160" t="str">
        <f t="shared" si="47"/>
        <v>21-22 May</v>
      </c>
      <c r="AD280" s="160" t="str">
        <f t="shared" si="48"/>
        <v>22-23 Apr</v>
      </c>
      <c r="AE280" s="161" t="str">
        <f t="shared" si="49"/>
        <v>23-24 Apr</v>
      </c>
      <c r="AF280" s="162" t="str">
        <f t="shared" si="50"/>
        <v>30-31 May</v>
      </c>
      <c r="AG280" s="120" t="str">
        <f t="shared" si="51"/>
        <v>03-04 May</v>
      </c>
      <c r="AH280" s="121">
        <f>IFERROR($M280+VLOOKUP($L280,'Voyage days'!$F$38:$H$89,3,FALSE),"")</f>
        <v>46145</v>
      </c>
      <c r="AI280" s="121">
        <f>IFERROR(N280+VLOOKUP($L280,'Voyage days'!$F$38:$H$89,3,FALSE),"")</f>
        <v>46146</v>
      </c>
      <c r="AJ280" s="120" t="str">
        <f t="shared" si="28"/>
        <v>19-20 May</v>
      </c>
      <c r="AK280" s="121">
        <f>IFERROR($M280+VLOOKUP($L280,'Voyage days'!$F$94:$H$193,3,FALSE),"")</f>
        <v>46161</v>
      </c>
      <c r="AL280" s="121">
        <f>IFERROR($N280+VLOOKUP($L280,'Voyage days'!$F$94:$H$193,3,FALSE),"")</f>
        <v>46162</v>
      </c>
      <c r="AM280" s="120" t="str">
        <f t="shared" si="29"/>
        <v>30-31 May</v>
      </c>
      <c r="AN280" s="121">
        <f>IFERROR($M280+VLOOKUP($L280,'Voyage days'!$F$203:$H$256,3,FALSE),"")</f>
        <v>46172</v>
      </c>
      <c r="AO280" s="121">
        <f>IFERROR($N280+VLOOKUP($L280,'Voyage days'!$F$203:$H$256,3,FALSE),"")</f>
        <v>46173</v>
      </c>
      <c r="AP280" s="120" t="str">
        <f t="shared" si="30"/>
        <v>14-15 May</v>
      </c>
      <c r="AQ280" s="121">
        <f>IFERROR($M280+VLOOKUP($L280,'Voyage days'!$F$294:$H$377,3,FALSE),"")</f>
        <v>46156</v>
      </c>
      <c r="AR280" s="121">
        <f>IFERROR($N280+VLOOKUP($L280,'Voyage days'!$F$294:$H$377,3,FALSE),"")</f>
        <v>46157</v>
      </c>
      <c r="AS280" s="120" t="str">
        <f t="shared" si="31"/>
        <v>21-22 May</v>
      </c>
      <c r="AT280" s="121">
        <f>IFERROR($M280+VLOOKUP($L280,'Voyage days'!$F$382:$H$446,3,FALSE),"")</f>
        <v>46163</v>
      </c>
      <c r="AU280" s="121">
        <f>IFERROR($N280+VLOOKUP($L280,'Voyage days'!$F$382:$H$446,3,FALSE),"")</f>
        <v>46164</v>
      </c>
      <c r="AV280" s="120" t="str">
        <f t="shared" si="32"/>
        <v>30-01 May</v>
      </c>
      <c r="AW280" s="121">
        <f>IFERROR($M280+VLOOKUP($L280,'Voyage days'!$F$483:$H$538,3,FALSE),"")</f>
        <v>46142</v>
      </c>
      <c r="AX280" s="121">
        <f>IFERROR($N280+VLOOKUP($L280,'Voyage days'!$F$483:$H$538,3,FALSE),"")</f>
        <v>46143</v>
      </c>
      <c r="AY280" s="120" t="str">
        <f t="shared" si="33"/>
        <v>23-24 Apr</v>
      </c>
      <c r="AZ280" s="121">
        <f>IFERROR($M280+VLOOKUP($L280,'Voyage days'!$F$540:$H$613,3,FALSE),"")</f>
        <v>46135.25</v>
      </c>
      <c r="BA280" s="121">
        <f>IFERROR($N280+VLOOKUP($L280,'Voyage days'!$F$540:$H$613,3,FALSE),"")</f>
        <v>46136.25</v>
      </c>
      <c r="BB280" s="120" t="str">
        <f t="shared" si="34"/>
        <v>22-23 Apr</v>
      </c>
      <c r="BC280" s="121">
        <f>IFERROR($M280+VLOOKUP($L280,'Voyage days'!$F$448:$H$479,3,FALSE),"")</f>
        <v>46134</v>
      </c>
      <c r="BD280" s="121">
        <f>IFERROR($N280+VLOOKUP($L280,'Voyage days'!$F$448:$H$479,3,FALSE),"")</f>
        <v>46135</v>
      </c>
      <c r="BE280" s="120" t="str">
        <f t="shared" si="35"/>
        <v>29-30 Apr</v>
      </c>
      <c r="BF280" s="122">
        <f>IFERROR($M280+VLOOKUP($L280,'Voyage days'!$F$620:$H$646,3,FALSE),"")</f>
        <v>46141</v>
      </c>
      <c r="BG280" s="122">
        <f>IFERROR($N280+VLOOKUP($L280,'Voyage days'!$F$620:$H$646,3,FALSE),"")</f>
        <v>46142</v>
      </c>
      <c r="BH280" s="120" t="str">
        <f t="shared" si="36"/>
        <v>23-31 May</v>
      </c>
      <c r="BI280" s="123">
        <f>IFERROR($M280+VLOOKUP($L280,'Voyage days'!$F$702:$H$727,3,FALSE),"")</f>
        <v>46135.25</v>
      </c>
      <c r="BJ280" s="120" t="str">
        <f t="shared" si="37"/>
        <v>30-31 May</v>
      </c>
      <c r="BK280" s="122">
        <f>IFERROR($M280+VLOOKUP($L280,'Voyage days'!$F$807:$H$878,3,FALSE),"")</f>
        <v>46172</v>
      </c>
      <c r="BL280" s="122">
        <f>IFERROR($N280+VLOOKUP($L280,'Voyage days'!$F$807:$H$878,3,FALSE),"")</f>
        <v>46173</v>
      </c>
      <c r="BM280" s="122">
        <f>IFERROR($N280+VLOOKUP($L280,'Voyage days'!$F$807:$K$878,6,FALSE),"")</f>
        <v>46147</v>
      </c>
      <c r="BN280" s="121" t="str">
        <f>if(L280="loads AG", IFERROR($M280+VLOOKUP($L280,'Voyage days'!$M$38:$O$38,3,FALSE),""),"")</f>
        <v/>
      </c>
      <c r="BO280" s="121" t="str">
        <f>if(L280="loads USG", IFERROR($M280+VLOOKUP($L280,'Voyage days'!$L$203:$N$203,3,FALSE),""),"")</f>
        <v/>
      </c>
    </row>
    <row r="281" ht="15.75" customHeight="1">
      <c r="A281" s="342" t="s">
        <v>1349</v>
      </c>
      <c r="B281" s="202">
        <v>2007.0</v>
      </c>
      <c r="C281" s="203">
        <v>82000.0</v>
      </c>
      <c r="D281" s="103"/>
      <c r="E281" s="103"/>
      <c r="F281" s="104"/>
      <c r="G281" s="104"/>
      <c r="H281" s="104"/>
      <c r="I281" s="295" t="s">
        <v>1330</v>
      </c>
      <c r="J281" s="106"/>
      <c r="K281" s="107"/>
      <c r="L281" s="108" t="s">
        <v>1231</v>
      </c>
      <c r="M281" s="109">
        <v>46127.0</v>
      </c>
      <c r="N281" s="109">
        <v>46128.0</v>
      </c>
      <c r="O281" s="191"/>
      <c r="P281" s="187" t="s">
        <v>1350</v>
      </c>
      <c r="Q281" s="108"/>
      <c r="R281" s="387"/>
      <c r="S281" s="256" t="s">
        <v>934</v>
      </c>
      <c r="T281" s="113">
        <v>46125.0</v>
      </c>
      <c r="U281" s="114" t="str">
        <f>IF(V281="","No AIS",VLOOKUP(V281,'Voyage days'!$A$3:$B$1480,2,FALSE))</f>
        <v>No AIS</v>
      </c>
      <c r="V281" s="115" t="str">
        <f>IF(VLOOKUP(A281,'1) Kpler'!$E$2:$P$1000,8, FALSE)="","",VLOOKUP(A281,'1) Kpler'!$E$2:$P$1000,8, FALSE))</f>
        <v/>
      </c>
      <c r="W281" s="116" t="str">
        <f>IF(VLOOKUP(A281,'1) Kpler'!$E$2:$P$1000,9,FALSE)="","",VLOOKUP(A281,'1) Kpler'!$E$2:$P$1000,9,FALSE))</f>
        <v/>
      </c>
      <c r="X281" s="115" t="str">
        <f>VLOOKUP(A281,'1) Kpler'!$E$2:$I$1000,4,FALSE)</f>
        <v>ballast</v>
      </c>
      <c r="Y281" s="160" t="str">
        <f t="shared" si="43"/>
        <v>24-25 Apr</v>
      </c>
      <c r="Z281" s="160" t="str">
        <f t="shared" si="44"/>
        <v/>
      </c>
      <c r="AA281" s="160" t="str">
        <f t="shared" si="45"/>
        <v>21-22 May</v>
      </c>
      <c r="AB281" s="160" t="str">
        <f t="shared" si="46"/>
        <v>06-07 May</v>
      </c>
      <c r="AC281" s="160" t="str">
        <f t="shared" si="47"/>
        <v>13-14 May</v>
      </c>
      <c r="AD281" s="160" t="str">
        <f t="shared" si="48"/>
        <v>20-21 Apr</v>
      </c>
      <c r="AE281" s="161" t="str">
        <f t="shared" si="49"/>
        <v/>
      </c>
      <c r="AF281" s="162" t="str">
        <f t="shared" si="50"/>
        <v>23-24 May</v>
      </c>
      <c r="AG281" s="120" t="str">
        <f t="shared" si="51"/>
        <v>24-25 Apr</v>
      </c>
      <c r="AH281" s="121">
        <f>IFERROR($M281+VLOOKUP($L281,'Voyage days'!$F$38:$H$89,3,FALSE),"")</f>
        <v>46136</v>
      </c>
      <c r="AI281" s="121">
        <f>IFERROR(N281+VLOOKUP($L281,'Voyage days'!$F$38:$H$89,3,FALSE),"")</f>
        <v>46137</v>
      </c>
      <c r="AJ281" s="120" t="str">
        <f t="shared" si="28"/>
        <v/>
      </c>
      <c r="AK281" s="121" t="str">
        <f>IFERROR($M281+VLOOKUP($L281,'Voyage days'!$F$94:$H$193,3,FALSE),"")</f>
        <v/>
      </c>
      <c r="AL281" s="121" t="str">
        <f>IFERROR($N281+VLOOKUP($L281,'Voyage days'!$F$94:$H$193,3,FALSE),"")</f>
        <v/>
      </c>
      <c r="AM281" s="120" t="str">
        <f t="shared" si="29"/>
        <v>21-22 May</v>
      </c>
      <c r="AN281" s="121">
        <f>IFERROR($M281+VLOOKUP($L281,'Voyage days'!$F$203:$H$256,3,FALSE),"")</f>
        <v>46163</v>
      </c>
      <c r="AO281" s="121">
        <f>IFERROR($N281+VLOOKUP($L281,'Voyage days'!$F$203:$H$256,3,FALSE),"")</f>
        <v>46164</v>
      </c>
      <c r="AP281" s="120" t="str">
        <f t="shared" si="30"/>
        <v>06-07 May</v>
      </c>
      <c r="AQ281" s="121">
        <f>IFERROR($M281+VLOOKUP($L281,'Voyage days'!$F$294:$H$377,3,FALSE),"")</f>
        <v>46148</v>
      </c>
      <c r="AR281" s="121">
        <f>IFERROR($N281+VLOOKUP($L281,'Voyage days'!$F$294:$H$377,3,FALSE),"")</f>
        <v>46149</v>
      </c>
      <c r="AS281" s="120" t="str">
        <f t="shared" si="31"/>
        <v>13-14 May</v>
      </c>
      <c r="AT281" s="121">
        <f>IFERROR($M281+VLOOKUP($L281,'Voyage days'!$F$382:$H$446,3,FALSE),"")</f>
        <v>46155</v>
      </c>
      <c r="AU281" s="121">
        <f>IFERROR($N281+VLOOKUP($L281,'Voyage days'!$F$382:$H$446,3,FALSE),"")</f>
        <v>46156</v>
      </c>
      <c r="AV281" s="120" t="str">
        <f t="shared" si="32"/>
        <v>15-16 Apr</v>
      </c>
      <c r="AW281" s="121">
        <f>IFERROR($M281+VLOOKUP($L281,'Voyage days'!$F$483:$H$538,3,FALSE),"")</f>
        <v>46127</v>
      </c>
      <c r="AX281" s="121">
        <f>IFERROR($N281+VLOOKUP($L281,'Voyage days'!$F$483:$H$538,3,FALSE),"")</f>
        <v>46128</v>
      </c>
      <c r="AY281" s="120" t="str">
        <f t="shared" si="33"/>
        <v/>
      </c>
      <c r="AZ281" s="121" t="str">
        <f>IFERROR($M281+VLOOKUP($L281,'Voyage days'!$F$540:$H$613,3,FALSE),"")</f>
        <v/>
      </c>
      <c r="BA281" s="121" t="str">
        <f>IFERROR($N281+VLOOKUP($L281,'Voyage days'!$F$540:$H$613,3,FALSE),"")</f>
        <v/>
      </c>
      <c r="BB281" s="120" t="str">
        <f t="shared" si="34"/>
        <v>20-21 Apr</v>
      </c>
      <c r="BC281" s="121">
        <f>IFERROR($M281+VLOOKUP($L281,'Voyage days'!$F$448:$H$479,3,FALSE),"")</f>
        <v>46132</v>
      </c>
      <c r="BD281" s="121">
        <f>IFERROR($N281+VLOOKUP($L281,'Voyage days'!$F$448:$H$479,3,FALSE),"")</f>
        <v>46133</v>
      </c>
      <c r="BE281" s="120" t="str">
        <f t="shared" si="35"/>
        <v/>
      </c>
      <c r="BF281" s="122" t="str">
        <f>IFERROR($M281+VLOOKUP($L281,'Voyage days'!$F$620:$H$646,3,FALSE),"")</f>
        <v/>
      </c>
      <c r="BG281" s="122" t="str">
        <f>IFERROR($N281+VLOOKUP($L281,'Voyage days'!$F$620:$H$646,3,FALSE),"")</f>
        <v/>
      </c>
      <c r="BH281" s="120" t="str">
        <f t="shared" si="36"/>
        <v/>
      </c>
      <c r="BI281" s="123" t="str">
        <f>IFERROR($M281+VLOOKUP($L281,'Voyage days'!$F$702:$H$727,3,FALSE),"")</f>
        <v/>
      </c>
      <c r="BJ281" s="120" t="str">
        <f t="shared" si="37"/>
        <v>23-24 May</v>
      </c>
      <c r="BK281" s="122">
        <f>IFERROR($M281+VLOOKUP($L281,'Voyage days'!$F$807:$H$878,3,FALSE),"")</f>
        <v>46165</v>
      </c>
      <c r="BL281" s="122">
        <f>IFERROR($N281+VLOOKUP($L281,'Voyage days'!$F$807:$H$878,3,FALSE),"")</f>
        <v>46166</v>
      </c>
      <c r="BM281" s="122">
        <f>IFERROR($N281+VLOOKUP($L281,'Voyage days'!$F$807:$K$878,6,FALSE),"")</f>
        <v>46140</v>
      </c>
      <c r="BN281" s="121" t="str">
        <f>if(L281="loads AG", IFERROR($M281+VLOOKUP($L281,'Voyage days'!$M$38:$O$38,3,FALSE),""),"")</f>
        <v/>
      </c>
      <c r="BO281" s="121" t="str">
        <f>if(L281="loads USG", IFERROR($M281+VLOOKUP($L281,'Voyage days'!$L$203:$N$203,3,FALSE),""),"")</f>
        <v/>
      </c>
    </row>
    <row r="282" ht="15.75" customHeight="1">
      <c r="A282" s="341" t="s">
        <v>1351</v>
      </c>
      <c r="B282" s="101">
        <v>42583.0</v>
      </c>
      <c r="C282" s="203">
        <v>84136.0</v>
      </c>
      <c r="D282" s="103"/>
      <c r="E282" s="103"/>
      <c r="F282" s="104"/>
      <c r="G282" s="104"/>
      <c r="H282" s="104" t="s">
        <v>666</v>
      </c>
      <c r="I282" s="401" t="s">
        <v>1330</v>
      </c>
      <c r="J282" s="106" t="str">
        <f t="shared" ref="J282:J284" si="52">IF(W282="","NO AIS",IF((W282-M282-1)&gt;0,"Update",""))</f>
        <v>Update</v>
      </c>
      <c r="K282" s="107"/>
      <c r="L282" s="108" t="s">
        <v>823</v>
      </c>
      <c r="M282" s="109">
        <v>46128.0</v>
      </c>
      <c r="N282" s="109">
        <v>46129.0</v>
      </c>
      <c r="O282" s="191"/>
      <c r="P282" s="187" t="s">
        <v>1352</v>
      </c>
      <c r="Q282" s="108" t="s">
        <v>1353</v>
      </c>
      <c r="R282" s="108" t="s">
        <v>1354</v>
      </c>
      <c r="S282" s="256" t="s">
        <v>934</v>
      </c>
      <c r="T282" s="113">
        <v>46125.0</v>
      </c>
      <c r="U282" s="114" t="str">
        <f>IF(V282="","No AIS",VLOOKUP(V282,'Voyage days'!$A$3:$B$1480,2,FALSE))</f>
        <v>Mohammedia + 5</v>
      </c>
      <c r="V282" s="115" t="str">
        <f>IF(VLOOKUP(A282,'1) Kpler'!$E$2:$P$1000,8, FALSE)="","",VLOOKUP(A282,'1) Kpler'!$E$2:$P$1000,8, FALSE))</f>
        <v>Mohammedia Refinery</v>
      </c>
      <c r="W282" s="116">
        <f>IF(VLOOKUP(A282,'1) Kpler'!$E$2:$P$1000,9,FALSE)="","",VLOOKUP(A282,'1) Kpler'!$E$2:$P$1000,9,FALSE))</f>
        <v>46140.70833</v>
      </c>
      <c r="X282" s="115" t="str">
        <f>VLOOKUP(A282,'1) Kpler'!$E$2:$I$1000,4,FALSE)</f>
        <v>loaded</v>
      </c>
      <c r="Y282" s="296" t="str">
        <f t="shared" si="43"/>
        <v/>
      </c>
      <c r="Z282" s="296" t="str">
        <f t="shared" si="44"/>
        <v>16-17 Apr</v>
      </c>
      <c r="AA282" s="296" t="str">
        <f t="shared" si="45"/>
        <v/>
      </c>
      <c r="AB282" s="296" t="str">
        <f t="shared" si="46"/>
        <v/>
      </c>
      <c r="AC282" s="296" t="str">
        <f t="shared" si="47"/>
        <v>01-02 May</v>
      </c>
      <c r="AD282" s="296" t="str">
        <f t="shared" si="48"/>
        <v/>
      </c>
      <c r="AE282" s="297" t="str">
        <f t="shared" si="49"/>
        <v/>
      </c>
      <c r="AF282" s="119" t="str">
        <f t="shared" si="50"/>
        <v/>
      </c>
      <c r="AG282" s="120" t="str">
        <f t="shared" si="51"/>
        <v/>
      </c>
      <c r="AH282" s="121" t="str">
        <f>IFERROR($M282+VLOOKUP($L282,'Voyage days'!$F$38:$H$89,3,FALSE),"")</f>
        <v/>
      </c>
      <c r="AI282" s="121" t="str">
        <f>IFERROR(N282+VLOOKUP($L282,'Voyage days'!$F$38:$H$89,3,FALSE),"")</f>
        <v/>
      </c>
      <c r="AJ282" s="120" t="str">
        <f t="shared" si="28"/>
        <v>16-17 Apr</v>
      </c>
      <c r="AK282" s="121">
        <f>IFERROR($M282+VLOOKUP($L282,'Voyage days'!$F$94:$H$193,3,FALSE),"")</f>
        <v>46128</v>
      </c>
      <c r="AL282" s="121">
        <f>IFERROR($N282+VLOOKUP($L282,'Voyage days'!$F$94:$H$193,3,FALSE),"")</f>
        <v>46129</v>
      </c>
      <c r="AM282" s="120" t="str">
        <f t="shared" si="29"/>
        <v/>
      </c>
      <c r="AN282" s="121" t="str">
        <f>IFERROR($M282+VLOOKUP($L282,'Voyage days'!$F$203:$H$256,3,FALSE),"")</f>
        <v/>
      </c>
      <c r="AO282" s="121" t="str">
        <f>IFERROR($N282+VLOOKUP($L282,'Voyage days'!$F$203:$H$256,3,FALSE),"")</f>
        <v/>
      </c>
      <c r="AP282" s="120" t="str">
        <f t="shared" si="30"/>
        <v/>
      </c>
      <c r="AQ282" s="121" t="str">
        <f>IFERROR($M282+VLOOKUP($L282,'Voyage days'!$F$294:$H$377,3,FALSE),"")</f>
        <v/>
      </c>
      <c r="AR282" s="121" t="str">
        <f>IFERROR($N282+VLOOKUP($L282,'Voyage days'!$F$294:$H$377,3,FALSE),"")</f>
        <v/>
      </c>
      <c r="AS282" s="120" t="str">
        <f t="shared" si="31"/>
        <v>01-02 May</v>
      </c>
      <c r="AT282" s="121">
        <f>IFERROR($M282+VLOOKUP($L282,'Voyage days'!$F$382:$H$446,3,FALSE),"")</f>
        <v>46143</v>
      </c>
      <c r="AU282" s="121">
        <f>IFERROR($N282+VLOOKUP($L282,'Voyage days'!$F$382:$H$446,3,FALSE),"")</f>
        <v>46144</v>
      </c>
      <c r="AV282" s="120" t="str">
        <f t="shared" si="32"/>
        <v/>
      </c>
      <c r="AW282" s="121" t="str">
        <f>IFERROR($M282+VLOOKUP($L282,'Voyage days'!$F$483:$H$538,3,FALSE),"")</f>
        <v/>
      </c>
      <c r="AX282" s="121" t="str">
        <f>IFERROR($N282+VLOOKUP($L282,'Voyage days'!$F$483:$H$538,3,FALSE),"")</f>
        <v/>
      </c>
      <c r="AY282" s="120" t="str">
        <f t="shared" si="33"/>
        <v/>
      </c>
      <c r="AZ282" s="121" t="str">
        <f>IFERROR($M282+VLOOKUP($L282,'Voyage days'!$F$540:$H$613,3,FALSE),"")</f>
        <v/>
      </c>
      <c r="BA282" s="121" t="str">
        <f>IFERROR($N282+VLOOKUP($L282,'Voyage days'!$F$540:$H$613,3,FALSE),"")</f>
        <v/>
      </c>
      <c r="BB282" s="120" t="str">
        <f t="shared" si="34"/>
        <v/>
      </c>
      <c r="BC282" s="121" t="str">
        <f>IFERROR($M282+VLOOKUP($L282,'Voyage days'!$F$448:$H$479,3,FALSE),"")</f>
        <v/>
      </c>
      <c r="BD282" s="121" t="str">
        <f>IFERROR($N282+VLOOKUP($L282,'Voyage days'!$F$448:$H$479,3,FALSE),"")</f>
        <v/>
      </c>
      <c r="BE282" s="120" t="str">
        <f t="shared" si="35"/>
        <v/>
      </c>
      <c r="BF282" s="122" t="str">
        <f>IFERROR($M282+VLOOKUP($L282,'Voyage days'!$F$620:$H$646,3,FALSE),"")</f>
        <v/>
      </c>
      <c r="BG282" s="122" t="str">
        <f>IFERROR($N282+VLOOKUP($L282,'Voyage days'!$F$620:$H$646,3,FALSE),"")</f>
        <v/>
      </c>
      <c r="BH282" s="120" t="str">
        <f t="shared" si="36"/>
        <v/>
      </c>
      <c r="BI282" s="123" t="str">
        <f>IFERROR($M282+VLOOKUP($L282,'Voyage days'!$F$702:$H$727,3,FALSE),"")</f>
        <v/>
      </c>
      <c r="BJ282" s="120" t="str">
        <f t="shared" si="37"/>
        <v/>
      </c>
      <c r="BK282" s="122" t="str">
        <f>IFERROR($M282+VLOOKUP($L282,'Voyage days'!$F$807:$H$878,3,FALSE),"")</f>
        <v/>
      </c>
      <c r="BL282" s="122" t="str">
        <f>IFERROR($N282+VLOOKUP($L282,'Voyage days'!$F$807:$H$878,3,FALSE),"")</f>
        <v/>
      </c>
      <c r="BM282" s="122" t="str">
        <f>IFERROR($N282+VLOOKUP($L282,'Voyage days'!$F$807:$K$878,6,FALSE),"")</f>
        <v/>
      </c>
      <c r="BN282" s="121" t="str">
        <f>if(L282="loads AG", IFERROR($M282+VLOOKUP($L282,'Voyage days'!$M$38:$O$38,3,FALSE),""),"")</f>
        <v/>
      </c>
      <c r="BO282" s="121" t="str">
        <f>if(L282="loads USG", IFERROR($M282+VLOOKUP($L282,'Voyage days'!$L$203:$N$203,3,FALSE),""),"")</f>
        <v/>
      </c>
    </row>
    <row r="283" ht="15.75" customHeight="1">
      <c r="A283" s="667" t="s">
        <v>1355</v>
      </c>
      <c r="B283" s="148">
        <v>2015.0</v>
      </c>
      <c r="C283" s="102">
        <v>83000.0</v>
      </c>
      <c r="D283" s="103"/>
      <c r="E283" s="103"/>
      <c r="F283" s="104"/>
      <c r="G283" s="104"/>
      <c r="H283" s="104" t="s">
        <v>689</v>
      </c>
      <c r="I283" s="401" t="s">
        <v>1330</v>
      </c>
      <c r="J283" s="106" t="str">
        <f t="shared" si="52"/>
        <v/>
      </c>
      <c r="K283" s="107"/>
      <c r="L283" s="108" t="s">
        <v>677</v>
      </c>
      <c r="M283" s="109">
        <v>46144.0</v>
      </c>
      <c r="N283" s="109">
        <v>46145.0</v>
      </c>
      <c r="O283" s="403"/>
      <c r="P283" s="108" t="s">
        <v>1356</v>
      </c>
      <c r="Q283" s="349"/>
      <c r="R283" s="349" t="s">
        <v>1357</v>
      </c>
      <c r="S283" s="256" t="s">
        <v>659</v>
      </c>
      <c r="T283" s="113">
        <v>46124.0</v>
      </c>
      <c r="U283" s="114" t="str">
        <f>IF(V283="","No AIS",VLOOKUP(V283,'Voyage days'!$A$3:$B$1480,2,FALSE))</f>
        <v>Panama</v>
      </c>
      <c r="V283" s="115" t="str">
        <f>IF(VLOOKUP(A283,'1) Kpler'!$E$2:$P$1000,8, FALSE)="","",VLOOKUP(A283,'1) Kpler'!$E$2:$P$1000,8, FALSE))</f>
        <v>Panama Canal</v>
      </c>
      <c r="W283" s="116">
        <f>IF(VLOOKUP(A283,'1) Kpler'!$E$2:$P$1000,9,FALSE)="","",VLOOKUP(A283,'1) Kpler'!$E$2:$P$1000,9,FALSE))</f>
        <v>46144.20833</v>
      </c>
      <c r="X283" s="115" t="str">
        <f>VLOOKUP(A283,'1) Kpler'!$E$2:$I$1000,4,FALSE)</f>
        <v>ballast</v>
      </c>
      <c r="Y283" s="160" t="str">
        <f t="shared" si="43"/>
        <v/>
      </c>
      <c r="Z283" s="160" t="str">
        <f t="shared" si="44"/>
        <v>13-14 May</v>
      </c>
      <c r="AA283" s="160" t="str">
        <f t="shared" si="45"/>
        <v/>
      </c>
      <c r="AB283" s="160" t="str">
        <f t="shared" si="46"/>
        <v/>
      </c>
      <c r="AC283" s="160" t="str">
        <f t="shared" si="47"/>
        <v/>
      </c>
      <c r="AD283" s="160" t="str">
        <f t="shared" si="48"/>
        <v/>
      </c>
      <c r="AE283" s="161" t="str">
        <f t="shared" si="49"/>
        <v/>
      </c>
      <c r="AF283" s="162" t="str">
        <f t="shared" si="50"/>
        <v/>
      </c>
      <c r="AG283" s="120" t="str">
        <f t="shared" si="51"/>
        <v/>
      </c>
      <c r="AH283" s="121" t="str">
        <f>IFERROR($M283+VLOOKUP($L283,'Voyage days'!$F$38:$H$89,3,FALSE),"")</f>
        <v/>
      </c>
      <c r="AI283" s="121" t="str">
        <f>IFERROR(N283+VLOOKUP($L283,'Voyage days'!$F$38:$H$89,3,FALSE),"")</f>
        <v/>
      </c>
      <c r="AJ283" s="120" t="str">
        <f t="shared" si="28"/>
        <v>13-14 May</v>
      </c>
      <c r="AK283" s="121">
        <f>IFERROR($M283+VLOOKUP($L283,'Voyage days'!$F$94:$H$193,3,FALSE),"")</f>
        <v>46155</v>
      </c>
      <c r="AL283" s="121">
        <f>IFERROR($N283+VLOOKUP($L283,'Voyage days'!$F$94:$H$193,3,FALSE),"")</f>
        <v>46156</v>
      </c>
      <c r="AM283" s="120" t="str">
        <f t="shared" si="29"/>
        <v/>
      </c>
      <c r="AN283" s="121" t="str">
        <f>IFERROR($M283+VLOOKUP($L283,'Voyage days'!$F$203:$H$256,3,FALSE),"")</f>
        <v/>
      </c>
      <c r="AO283" s="121" t="str">
        <f>IFERROR($N283+VLOOKUP($L283,'Voyage days'!$F$203:$H$256,3,FALSE),"")</f>
        <v/>
      </c>
      <c r="AP283" s="120" t="str">
        <f t="shared" si="30"/>
        <v/>
      </c>
      <c r="AQ283" s="121" t="str">
        <f>IFERROR($M283+VLOOKUP($L283,'Voyage days'!$F$294:$H$377,3,FALSE),"")</f>
        <v/>
      </c>
      <c r="AR283" s="121" t="str">
        <f>IFERROR($N283+VLOOKUP($L283,'Voyage days'!$F$294:$H$377,3,FALSE),"")</f>
        <v/>
      </c>
      <c r="AS283" s="120" t="str">
        <f t="shared" si="31"/>
        <v/>
      </c>
      <c r="AT283" s="121" t="str">
        <f>IFERROR($M283+VLOOKUP($L283,'Voyage days'!$F$382:$H$446,3,FALSE),"")</f>
        <v/>
      </c>
      <c r="AU283" s="121" t="str">
        <f>IFERROR($N283+VLOOKUP($L283,'Voyage days'!$F$382:$H$446,3,FALSE),"")</f>
        <v/>
      </c>
      <c r="AV283" s="120" t="str">
        <f t="shared" si="32"/>
        <v/>
      </c>
      <c r="AW283" s="121" t="str">
        <f>IFERROR($M283+VLOOKUP($L283,'Voyage days'!$F$483:$H$538,3,FALSE),"")</f>
        <v/>
      </c>
      <c r="AX283" s="121" t="str">
        <f>IFERROR($N283+VLOOKUP($L283,'Voyage days'!$F$483:$H$538,3,FALSE),"")</f>
        <v/>
      </c>
      <c r="AY283" s="120" t="str">
        <f t="shared" si="33"/>
        <v/>
      </c>
      <c r="AZ283" s="121" t="str">
        <f>IFERROR($M283+VLOOKUP($L283,'Voyage days'!$F$540:$H$613,3,FALSE),"")</f>
        <v/>
      </c>
      <c r="BA283" s="121" t="str">
        <f>IFERROR($N283+VLOOKUP($L283,'Voyage days'!$F$540:$H$613,3,FALSE),"")</f>
        <v/>
      </c>
      <c r="BB283" s="120" t="str">
        <f t="shared" si="34"/>
        <v/>
      </c>
      <c r="BC283" s="121" t="str">
        <f>IFERROR($M283+VLOOKUP($L283,'Voyage days'!$F$448:$H$479,3,FALSE),"")</f>
        <v/>
      </c>
      <c r="BD283" s="121" t="str">
        <f>IFERROR($N283+VLOOKUP($L283,'Voyage days'!$F$448:$H$479,3,FALSE),"")</f>
        <v/>
      </c>
      <c r="BE283" s="120" t="str">
        <f t="shared" si="35"/>
        <v/>
      </c>
      <c r="BF283" s="122" t="str">
        <f>IFERROR($M283+VLOOKUP($L283,'Voyage days'!$F$620:$H$646,3,FALSE),"")</f>
        <v/>
      </c>
      <c r="BG283" s="122" t="str">
        <f>IFERROR($N283+VLOOKUP($L283,'Voyage days'!$F$620:$H$646,3,FALSE),"")</f>
        <v/>
      </c>
      <c r="BH283" s="120" t="str">
        <f t="shared" si="36"/>
        <v/>
      </c>
      <c r="BI283" s="123" t="str">
        <f>IFERROR($M283+VLOOKUP($L283,'Voyage days'!$F$702:$H$727,3,FALSE),"")</f>
        <v/>
      </c>
      <c r="BJ283" s="120" t="str">
        <f t="shared" si="37"/>
        <v/>
      </c>
      <c r="BK283" s="122" t="str">
        <f>IFERROR($M283+VLOOKUP($L283,'Voyage days'!$F$807:$H$878,3,FALSE),"")</f>
        <v/>
      </c>
      <c r="BL283" s="122" t="str">
        <f>IFERROR($N283+VLOOKUP($L283,'Voyage days'!$F$807:$H$878,3,FALSE),"")</f>
        <v/>
      </c>
      <c r="BM283" s="122" t="str">
        <f>IFERROR($N283+VLOOKUP($L283,'Voyage days'!$F$807:$K$878,6,FALSE),"")</f>
        <v/>
      </c>
      <c r="BN283" s="121" t="str">
        <f>if(L283="loads AG", IFERROR($M283+VLOOKUP($L283,'Voyage days'!$M$38:$O$38,3,FALSE),""),"")</f>
        <v/>
      </c>
      <c r="BO283" s="121" t="str">
        <f>if(L283="loads USG", IFERROR($M283+VLOOKUP($L283,'Voyage days'!$L$203:$N$203,3,FALSE),""),"")</f>
        <v/>
      </c>
    </row>
    <row r="284" ht="15.75" customHeight="1">
      <c r="A284" s="147" t="s">
        <v>1358</v>
      </c>
      <c r="B284" s="101">
        <v>42247.0</v>
      </c>
      <c r="C284" s="102">
        <v>84000.0</v>
      </c>
      <c r="D284" s="103"/>
      <c r="E284" s="103"/>
      <c r="F284" s="104"/>
      <c r="G284" s="104"/>
      <c r="H284" s="104" t="s">
        <v>666</v>
      </c>
      <c r="I284" s="401" t="s">
        <v>1330</v>
      </c>
      <c r="J284" s="106" t="str">
        <f t="shared" si="52"/>
        <v/>
      </c>
      <c r="K284" s="205"/>
      <c r="L284" s="108" t="s">
        <v>656</v>
      </c>
      <c r="M284" s="109">
        <v>46144.0</v>
      </c>
      <c r="N284" s="109">
        <v>46145.0</v>
      </c>
      <c r="O284" s="191"/>
      <c r="P284" s="108" t="s">
        <v>1359</v>
      </c>
      <c r="Q284" s="185"/>
      <c r="R284" s="349" t="s">
        <v>1360</v>
      </c>
      <c r="S284" s="256" t="s">
        <v>659</v>
      </c>
      <c r="T284" s="113">
        <v>46124.0</v>
      </c>
      <c r="U284" s="114" t="str">
        <f>IF(V284="","No AIS",VLOOKUP(V284,'Voyage days'!$A$3:$B$1480,2,FALSE))</f>
        <v>North China +4</v>
      </c>
      <c r="V284" s="115" t="str">
        <f>IF(VLOOKUP(A284,'1) Kpler'!$E$2:$P$1000,8, FALSE)="","",VLOOKUP(A284,'1) Kpler'!$E$2:$P$1000,8, FALSE))</f>
        <v>Lianyungang</v>
      </c>
      <c r="W284" s="116">
        <f>IF(VLOOKUP(A284,'1) Kpler'!$E$2:$P$1000,9,FALSE)="","",VLOOKUP(A284,'1) Kpler'!$E$2:$P$1000,9,FALSE))</f>
        <v>46139.58333</v>
      </c>
      <c r="X284" s="115" t="str">
        <f>VLOOKUP(A284,'1) Kpler'!$E$2:$I$1000,4,FALSE)</f>
        <v>loaded</v>
      </c>
      <c r="Y284" s="160" t="str">
        <f t="shared" si="43"/>
        <v>20-21 May</v>
      </c>
      <c r="Z284" s="160" t="str">
        <f t="shared" si="44"/>
        <v>02-03 Jun</v>
      </c>
      <c r="AA284" s="160" t="str">
        <f t="shared" si="45"/>
        <v>09-10 Jun</v>
      </c>
      <c r="AB284" s="160" t="str">
        <f t="shared" si="46"/>
        <v>01-02 Jun</v>
      </c>
      <c r="AC284" s="160" t="str">
        <f t="shared" si="47"/>
        <v>07-08 Jun</v>
      </c>
      <c r="AD284" s="160" t="str">
        <f t="shared" si="48"/>
        <v>10-11 May</v>
      </c>
      <c r="AE284" s="161" t="str">
        <f t="shared" si="49"/>
        <v>10-11 May</v>
      </c>
      <c r="AF284" s="162" t="str">
        <f t="shared" si="50"/>
        <v>17-18 Jun</v>
      </c>
      <c r="AG284" s="120" t="str">
        <f t="shared" si="51"/>
        <v>20-21 May</v>
      </c>
      <c r="AH284" s="121">
        <f>IFERROR($M284+VLOOKUP($L284,'Voyage days'!$F$38:$H$89,3,FALSE),"")</f>
        <v>46162</v>
      </c>
      <c r="AI284" s="121">
        <f>IFERROR(N284+VLOOKUP($L284,'Voyage days'!$F$38:$H$89,3,FALSE),"")</f>
        <v>46163</v>
      </c>
      <c r="AJ284" s="120" t="str">
        <f t="shared" si="28"/>
        <v>02-03 Jun</v>
      </c>
      <c r="AK284" s="121">
        <f>IFERROR($M284+VLOOKUP($L284,'Voyage days'!$F$94:$H$193,3,FALSE),"")</f>
        <v>46175</v>
      </c>
      <c r="AL284" s="121">
        <f>IFERROR($N284+VLOOKUP($L284,'Voyage days'!$F$94:$H$193,3,FALSE),"")</f>
        <v>46176</v>
      </c>
      <c r="AM284" s="120" t="str">
        <f t="shared" si="29"/>
        <v>09-10 Jun</v>
      </c>
      <c r="AN284" s="121">
        <f>IFERROR($M284+VLOOKUP($L284,'Voyage days'!$F$203:$H$256,3,FALSE),"")</f>
        <v>46182</v>
      </c>
      <c r="AO284" s="121">
        <f>IFERROR($N284+VLOOKUP($L284,'Voyage days'!$F$203:$H$256,3,FALSE),"")</f>
        <v>46183</v>
      </c>
      <c r="AP284" s="120" t="str">
        <f t="shared" si="30"/>
        <v>01-02 Jun</v>
      </c>
      <c r="AQ284" s="121">
        <f>IFERROR($M284+VLOOKUP($L284,'Voyage days'!$F$294:$H$377,3,FALSE),"")</f>
        <v>46174</v>
      </c>
      <c r="AR284" s="121">
        <f>IFERROR($N284+VLOOKUP($L284,'Voyage days'!$F$294:$H$377,3,FALSE),"")</f>
        <v>46175</v>
      </c>
      <c r="AS284" s="120" t="str">
        <f t="shared" si="31"/>
        <v>07-08 Jun</v>
      </c>
      <c r="AT284" s="121">
        <f>IFERROR($M284+VLOOKUP($L284,'Voyage days'!$F$382:$H$446,3,FALSE),"")</f>
        <v>46180</v>
      </c>
      <c r="AU284" s="121">
        <f>IFERROR($N284+VLOOKUP($L284,'Voyage days'!$F$382:$H$446,3,FALSE),"")</f>
        <v>46181</v>
      </c>
      <c r="AV284" s="120" t="str">
        <f t="shared" si="32"/>
        <v>15-16 May</v>
      </c>
      <c r="AW284" s="121">
        <f>IFERROR($M284+VLOOKUP($L284,'Voyage days'!$F$483:$H$538,3,FALSE),"")</f>
        <v>46157</v>
      </c>
      <c r="AX284" s="121">
        <f>IFERROR($N284+VLOOKUP($L284,'Voyage days'!$F$483:$H$538,3,FALSE),"")</f>
        <v>46158</v>
      </c>
      <c r="AY284" s="120" t="str">
        <f t="shared" si="33"/>
        <v>10-11 May</v>
      </c>
      <c r="AZ284" s="121">
        <f>IFERROR($M284+VLOOKUP($L284,'Voyage days'!$F$540:$H$613,3,FALSE),"")</f>
        <v>46152.25</v>
      </c>
      <c r="BA284" s="121">
        <f>IFERROR($N284+VLOOKUP($L284,'Voyage days'!$F$540:$H$613,3,FALSE),"")</f>
        <v>46153.25</v>
      </c>
      <c r="BB284" s="120" t="str">
        <f t="shared" si="34"/>
        <v>10-11 May</v>
      </c>
      <c r="BC284" s="121">
        <f>IFERROR($M284+VLOOKUP($L284,'Voyage days'!$F$448:$H$479,3,FALSE),"")</f>
        <v>46152</v>
      </c>
      <c r="BD284" s="121">
        <f>IFERROR($N284+VLOOKUP($L284,'Voyage days'!$F$448:$H$479,3,FALSE),"")</f>
        <v>46153</v>
      </c>
      <c r="BE284" s="120" t="str">
        <f t="shared" si="35"/>
        <v>13-14 May</v>
      </c>
      <c r="BF284" s="122">
        <f>IFERROR($M284+VLOOKUP($L284,'Voyage days'!$F$620:$H$646,3,FALSE),"")</f>
        <v>46155</v>
      </c>
      <c r="BG284" s="122">
        <f>IFERROR($N284+VLOOKUP($L284,'Voyage days'!$F$620:$H$646,3,FALSE),"")</f>
        <v>46156</v>
      </c>
      <c r="BH284" s="120" t="str">
        <f t="shared" si="36"/>
        <v>10-18 Jun</v>
      </c>
      <c r="BI284" s="123">
        <f>IFERROR($M284+VLOOKUP($L284,'Voyage days'!$F$702:$H$727,3,FALSE),"")</f>
        <v>46152.25</v>
      </c>
      <c r="BJ284" s="120" t="str">
        <f t="shared" si="37"/>
        <v>17-18 Jun</v>
      </c>
      <c r="BK284" s="122">
        <f>IFERROR($M284+VLOOKUP($L284,'Voyage days'!$F$807:$H$878,3,FALSE),"")</f>
        <v>46190</v>
      </c>
      <c r="BL284" s="122">
        <f>IFERROR($N284+VLOOKUP($L284,'Voyage days'!$F$807:$H$878,3,FALSE),"")</f>
        <v>46191</v>
      </c>
      <c r="BM284" s="122">
        <f>IFERROR($N284+VLOOKUP($L284,'Voyage days'!$F$807:$K$878,6,FALSE),"")</f>
        <v>46165</v>
      </c>
      <c r="BN284" s="121" t="str">
        <f>if(L284="loads AG", IFERROR($M284+VLOOKUP($L284,'Voyage days'!$M$38:$O$38,3,FALSE),""),"")</f>
        <v/>
      </c>
      <c r="BO284" s="121" t="str">
        <f>if(L284="loads USG", IFERROR($M284+VLOOKUP($L284,'Voyage days'!$L$203:$N$203,3,FALSE),""),"")</f>
        <v/>
      </c>
    </row>
    <row r="285" ht="15.75" customHeight="1">
      <c r="A285" s="671" t="s">
        <v>1361</v>
      </c>
      <c r="B285" s="101">
        <v>39448.0</v>
      </c>
      <c r="C285" s="102">
        <v>84601.0</v>
      </c>
      <c r="D285" s="103" t="s">
        <v>1362</v>
      </c>
      <c r="E285" s="103" t="s">
        <v>689</v>
      </c>
      <c r="F285" s="104"/>
      <c r="G285" s="104">
        <v>45658.0</v>
      </c>
      <c r="H285" s="104"/>
      <c r="I285" s="401" t="s">
        <v>1330</v>
      </c>
      <c r="J285" s="106" t="str">
        <f>IF(V285="","NO AIS",IF((V285-L285-1)&gt;0,"Update",""))</f>
        <v>NO AIS</v>
      </c>
      <c r="K285" s="672"/>
      <c r="L285" s="108" t="s">
        <v>1031</v>
      </c>
      <c r="M285" s="109">
        <v>46121.0</v>
      </c>
      <c r="N285" s="109">
        <v>46122.0</v>
      </c>
      <c r="O285" s="191"/>
      <c r="P285" s="108" t="s">
        <v>1363</v>
      </c>
      <c r="Q285" s="108"/>
      <c r="R285" s="108" t="s">
        <v>1364</v>
      </c>
      <c r="S285" s="256" t="s">
        <v>659</v>
      </c>
      <c r="T285" s="113">
        <v>46124.0</v>
      </c>
      <c r="U285" s="114" t="str">
        <f>IF(V285="","No AIS",VLOOKUP(V285,'Voyage days'!$A$3:$B$1480,2,FALSE))</f>
        <v>No AIS</v>
      </c>
      <c r="V285" s="115" t="str">
        <f>IF(VLOOKUP(A285,'1) Kpler'!$E$2:$P$1000,8, FALSE)="","",VLOOKUP(A285,'1) Kpler'!$E$2:$P$1000,8, FALSE))</f>
        <v/>
      </c>
      <c r="W285" s="116" t="str">
        <f>IF(VLOOKUP(A285,'1) Kpler'!$E$2:$P$1000,9,FALSE)="","",VLOOKUP(A285,'1) Kpler'!$E$2:$P$1000,9,FALSE))</f>
        <v/>
      </c>
      <c r="X285" s="115" t="str">
        <f>VLOOKUP(A285,'1) Kpler'!$E$2:$I$1000,4,FALSE)</f>
        <v>loaded</v>
      </c>
      <c r="Y285" s="160" t="str">
        <f t="shared" si="43"/>
        <v>09-10 Apr</v>
      </c>
      <c r="Z285" s="160" t="str">
        <f t="shared" si="44"/>
        <v/>
      </c>
      <c r="AA285" s="160" t="str">
        <f t="shared" si="45"/>
        <v/>
      </c>
      <c r="AB285" s="160" t="str">
        <f t="shared" si="46"/>
        <v/>
      </c>
      <c r="AC285" s="160" t="str">
        <f t="shared" si="47"/>
        <v/>
      </c>
      <c r="AD285" s="160" t="str">
        <f t="shared" si="48"/>
        <v/>
      </c>
      <c r="AE285" s="161" t="str">
        <f t="shared" si="49"/>
        <v>28-29 Apr</v>
      </c>
      <c r="AF285" s="472" t="str">
        <f t="shared" si="50"/>
        <v>09-10 Apr</v>
      </c>
      <c r="AG285" s="120" t="str">
        <f t="shared" si="51"/>
        <v>09-10 Apr</v>
      </c>
      <c r="AH285" s="121">
        <f>IFERROR($M285+VLOOKUP($L285,'Voyage days'!$F$38:$H$89,3,FALSE),"")</f>
        <v>46121</v>
      </c>
      <c r="AI285" s="121">
        <f>IFERROR(N285+VLOOKUP($L285,'Voyage days'!$F$38:$H$89,3,FALSE),"")</f>
        <v>46122</v>
      </c>
      <c r="AJ285" s="120" t="str">
        <f t="shared" si="28"/>
        <v/>
      </c>
      <c r="AK285" s="121" t="str">
        <f>IFERROR($M285+VLOOKUP($L285,'Voyage days'!$F$94:$H$193,3,FALSE),"")</f>
        <v/>
      </c>
      <c r="AL285" s="121" t="str">
        <f>IFERROR($N285+VLOOKUP($L285,'Voyage days'!$F$94:$H$193,3,FALSE),"")</f>
        <v/>
      </c>
      <c r="AM285" s="120" t="str">
        <f t="shared" si="29"/>
        <v/>
      </c>
      <c r="AN285" s="121" t="str">
        <f>IFERROR($M285+VLOOKUP($L285,'Voyage days'!$F$203:$H$256,3,FALSE),"")</f>
        <v/>
      </c>
      <c r="AO285" s="121" t="str">
        <f>IFERROR($N285+VLOOKUP($L285,'Voyage days'!$F$203:$H$256,3,FALSE),"")</f>
        <v/>
      </c>
      <c r="AP285" s="120" t="str">
        <f t="shared" si="30"/>
        <v/>
      </c>
      <c r="AQ285" s="121" t="str">
        <f>IFERROR($M285+VLOOKUP($L285,'Voyage days'!$F$294:$H$377,3,FALSE),"")</f>
        <v/>
      </c>
      <c r="AR285" s="121" t="str">
        <f>IFERROR($N285+VLOOKUP($L285,'Voyage days'!$F$294:$H$377,3,FALSE),"")</f>
        <v/>
      </c>
      <c r="AS285" s="120" t="str">
        <f t="shared" si="31"/>
        <v/>
      </c>
      <c r="AT285" s="121" t="str">
        <f>IFERROR($M285+VLOOKUP($L285,'Voyage days'!$F$382:$H$446,3,FALSE),"")</f>
        <v/>
      </c>
      <c r="AU285" s="121" t="str">
        <f>IFERROR($N285+VLOOKUP($L285,'Voyage days'!$F$382:$H$446,3,FALSE),"")</f>
        <v/>
      </c>
      <c r="AV285" s="120" t="str">
        <f t="shared" si="32"/>
        <v/>
      </c>
      <c r="AW285" s="121" t="str">
        <f>IFERROR($M285+VLOOKUP($L285,'Voyage days'!$F$483:$H$538,3,FALSE),"")</f>
        <v/>
      </c>
      <c r="AX285" s="121" t="str">
        <f>IFERROR($N285+VLOOKUP($L285,'Voyage days'!$F$483:$H$538,3,FALSE),"")</f>
        <v/>
      </c>
      <c r="AY285" s="120" t="str">
        <f t="shared" si="33"/>
        <v>28-29 Apr</v>
      </c>
      <c r="AZ285" s="121">
        <f>IFERROR($M285+VLOOKUP($L285,'Voyage days'!$F$540:$H$613,3,FALSE),"")</f>
        <v>46140</v>
      </c>
      <c r="BA285" s="121">
        <f>IFERROR($N285+VLOOKUP($L285,'Voyage days'!$F$540:$H$613,3,FALSE),"")</f>
        <v>46141</v>
      </c>
      <c r="BB285" s="120" t="str">
        <f t="shared" si="34"/>
        <v/>
      </c>
      <c r="BC285" s="121" t="str">
        <f>IFERROR($M285+VLOOKUP($L285,'Voyage days'!$F$448:$H$479,3,FALSE),"")</f>
        <v/>
      </c>
      <c r="BD285" s="121" t="str">
        <f>IFERROR($N285+VLOOKUP($L285,'Voyage days'!$F$448:$H$479,3,FALSE),"")</f>
        <v/>
      </c>
      <c r="BE285" s="120" t="str">
        <f t="shared" si="35"/>
        <v/>
      </c>
      <c r="BF285" s="122" t="str">
        <f>IFERROR($M285+VLOOKUP($L285,'Voyage days'!$F$620:$H$646,3,FALSE),"")</f>
        <v/>
      </c>
      <c r="BG285" s="122" t="str">
        <f>IFERROR($N285+VLOOKUP($L285,'Voyage days'!$F$620:$H$646,3,FALSE),"")</f>
        <v/>
      </c>
      <c r="BH285" s="120" t="str">
        <f t="shared" si="36"/>
        <v/>
      </c>
      <c r="BI285" s="123" t="str">
        <f>IFERROR($M285+VLOOKUP($L285,'Voyage days'!$F$702:$H$727,3,FALSE),"")</f>
        <v/>
      </c>
      <c r="BJ285" s="120" t="str">
        <f t="shared" si="37"/>
        <v>09-10 Apr</v>
      </c>
      <c r="BK285" s="122">
        <f>IFERROR($M285+VLOOKUP($L285,'Voyage days'!$F$807:$H$878,3,FALSE),"")</f>
        <v>46121</v>
      </c>
      <c r="BL285" s="122">
        <f>IFERROR($N285+VLOOKUP($L285,'Voyage days'!$F$807:$H$878,3,FALSE),"")</f>
        <v>46122</v>
      </c>
      <c r="BM285" s="122">
        <f>IFERROR($N285+VLOOKUP($L285,'Voyage days'!$F$807:$K$878,6,FALSE),"")</f>
        <v>46125</v>
      </c>
      <c r="BN285" s="121">
        <f>if(L285="loads AG", IFERROR($M285+VLOOKUP($L285,'Voyage days'!$M$38:$O$38,3,FALSE),""),"")</f>
        <v>46146</v>
      </c>
      <c r="BO285" s="121" t="str">
        <f>if(L285="loads USG", IFERROR($M285+VLOOKUP($L285,'Voyage days'!$L$203:$N$203,3,FALSE),""),"")</f>
        <v/>
      </c>
      <c r="BP285" s="9"/>
    </row>
    <row r="286">
      <c r="A286" s="147" t="s">
        <v>1365</v>
      </c>
      <c r="B286" s="101">
        <v>42667.0</v>
      </c>
      <c r="C286" s="203">
        <v>84171.0</v>
      </c>
      <c r="D286" s="103"/>
      <c r="E286" s="103"/>
      <c r="F286" s="104"/>
      <c r="G286" s="104"/>
      <c r="H286" s="104" t="s">
        <v>666</v>
      </c>
      <c r="I286" s="401" t="s">
        <v>1330</v>
      </c>
      <c r="J286" s="106" t="str">
        <f t="shared" ref="J286:J291" si="53">IF(W286="","NO AIS",IF((W286-M286-1)&gt;0,"Update",""))</f>
        <v/>
      </c>
      <c r="K286" s="205" t="s">
        <v>765</v>
      </c>
      <c r="L286" s="108" t="s">
        <v>1231</v>
      </c>
      <c r="M286" s="109">
        <v>46141.0</v>
      </c>
      <c r="N286" s="109">
        <v>46142.0</v>
      </c>
      <c r="O286" s="191"/>
      <c r="P286" s="108" t="s">
        <v>1366</v>
      </c>
      <c r="Q286" s="108"/>
      <c r="R286" s="108" t="s">
        <v>1367</v>
      </c>
      <c r="S286" s="256" t="s">
        <v>659</v>
      </c>
      <c r="T286" s="113">
        <v>46124.0</v>
      </c>
      <c r="U286" s="114" t="str">
        <f>IF(V286="","No AIS",VLOOKUP(V286,'Voyage days'!$A$3:$B$1480,2,FALSE))</f>
        <v>ECI + 5</v>
      </c>
      <c r="V286" s="115" t="str">
        <f>IF(VLOOKUP(A286,'1) Kpler'!$E$2:$P$1000,8, FALSE)="","",VLOOKUP(A286,'1) Kpler'!$E$2:$P$1000,8, FALSE))</f>
        <v>Ennore Port</v>
      </c>
      <c r="W286" s="116">
        <f>IF(VLOOKUP(A286,'1) Kpler'!$E$2:$P$1000,9,FALSE)="","",VLOOKUP(A286,'1) Kpler'!$E$2:$P$1000,9,FALSE))</f>
        <v>46136.85417</v>
      </c>
      <c r="X286" s="115" t="str">
        <f>VLOOKUP(A286,'1) Kpler'!$E$2:$I$1000,4,FALSE)</f>
        <v>loaded</v>
      </c>
      <c r="Y286" s="160" t="str">
        <f t="shared" si="43"/>
        <v>08-09 May</v>
      </c>
      <c r="Z286" s="160" t="str">
        <f t="shared" si="44"/>
        <v/>
      </c>
      <c r="AA286" s="160" t="str">
        <f t="shared" si="45"/>
        <v>04-05 Jun</v>
      </c>
      <c r="AB286" s="160" t="str">
        <f t="shared" si="46"/>
        <v>20-21 May</v>
      </c>
      <c r="AC286" s="160" t="str">
        <f t="shared" si="47"/>
        <v>27-28 May</v>
      </c>
      <c r="AD286" s="160" t="str">
        <f t="shared" si="48"/>
        <v>04-05 May</v>
      </c>
      <c r="AE286" s="161" t="str">
        <f t="shared" si="49"/>
        <v/>
      </c>
      <c r="AF286" s="162" t="str">
        <f t="shared" si="50"/>
        <v>06-07 Jun</v>
      </c>
      <c r="AG286" s="120" t="str">
        <f t="shared" si="51"/>
        <v>08-09 May</v>
      </c>
      <c r="AH286" s="121">
        <f>IFERROR($M286+VLOOKUP($L286,'Voyage days'!$F$38:$H$89,3,FALSE),"")</f>
        <v>46150</v>
      </c>
      <c r="AI286" s="121">
        <f>IFERROR(N286+VLOOKUP($L286,'Voyage days'!$F$38:$H$89,3,FALSE),"")</f>
        <v>46151</v>
      </c>
      <c r="AJ286" s="120" t="str">
        <f t="shared" si="28"/>
        <v/>
      </c>
      <c r="AK286" s="121" t="str">
        <f>IFERROR($M286+VLOOKUP($L286,'Voyage days'!$F$94:$H$193,3,FALSE),"")</f>
        <v/>
      </c>
      <c r="AL286" s="121" t="str">
        <f>IFERROR($N286+VLOOKUP($L286,'Voyage days'!$F$94:$H$193,3,FALSE),"")</f>
        <v/>
      </c>
      <c r="AM286" s="120" t="str">
        <f t="shared" si="29"/>
        <v>04-05 Jun</v>
      </c>
      <c r="AN286" s="121">
        <f>IFERROR($M286+VLOOKUP($L286,'Voyage days'!$F$203:$H$256,3,FALSE),"")</f>
        <v>46177</v>
      </c>
      <c r="AO286" s="121">
        <f>IFERROR($N286+VLOOKUP($L286,'Voyage days'!$F$203:$H$256,3,FALSE),"")</f>
        <v>46178</v>
      </c>
      <c r="AP286" s="120" t="str">
        <f t="shared" si="30"/>
        <v>20-21 May</v>
      </c>
      <c r="AQ286" s="121">
        <f>IFERROR($M286+VLOOKUP($L286,'Voyage days'!$F$294:$H$377,3,FALSE),"")</f>
        <v>46162</v>
      </c>
      <c r="AR286" s="121">
        <f>IFERROR($N286+VLOOKUP($L286,'Voyage days'!$F$294:$H$377,3,FALSE),"")</f>
        <v>46163</v>
      </c>
      <c r="AS286" s="120" t="str">
        <f t="shared" si="31"/>
        <v>27-28 May</v>
      </c>
      <c r="AT286" s="121">
        <f>IFERROR($M286+VLOOKUP($L286,'Voyage days'!$F$382:$H$446,3,FALSE),"")</f>
        <v>46169</v>
      </c>
      <c r="AU286" s="121">
        <f>IFERROR($N286+VLOOKUP($L286,'Voyage days'!$F$382:$H$446,3,FALSE),"")</f>
        <v>46170</v>
      </c>
      <c r="AV286" s="120" t="str">
        <f t="shared" si="32"/>
        <v>29-30 Apr</v>
      </c>
      <c r="AW286" s="121">
        <f>IFERROR($M286+VLOOKUP($L286,'Voyage days'!$F$483:$H$538,3,FALSE),"")</f>
        <v>46141</v>
      </c>
      <c r="AX286" s="121">
        <f>IFERROR($N286+VLOOKUP($L286,'Voyage days'!$F$483:$H$538,3,FALSE),"")</f>
        <v>46142</v>
      </c>
      <c r="AY286" s="120" t="str">
        <f t="shared" si="33"/>
        <v/>
      </c>
      <c r="AZ286" s="121" t="str">
        <f>IFERROR($M286+VLOOKUP($L286,'Voyage days'!$F$540:$H$613,3,FALSE),"")</f>
        <v/>
      </c>
      <c r="BA286" s="121" t="str">
        <f>IFERROR($N286+VLOOKUP($L286,'Voyage days'!$F$540:$H$613,3,FALSE),"")</f>
        <v/>
      </c>
      <c r="BB286" s="120" t="str">
        <f t="shared" si="34"/>
        <v>04-05 May</v>
      </c>
      <c r="BC286" s="121">
        <f>IFERROR($M286+VLOOKUP($L286,'Voyage days'!$F$448:$H$479,3,FALSE),"")</f>
        <v>46146</v>
      </c>
      <c r="BD286" s="121">
        <f>IFERROR($N286+VLOOKUP($L286,'Voyage days'!$F$448:$H$479,3,FALSE),"")</f>
        <v>46147</v>
      </c>
      <c r="BE286" s="120" t="str">
        <f t="shared" si="35"/>
        <v/>
      </c>
      <c r="BF286" s="122" t="str">
        <f>IFERROR($M286+VLOOKUP($L286,'Voyage days'!$F$620:$H$646,3,FALSE),"")</f>
        <v/>
      </c>
      <c r="BG286" s="122" t="str">
        <f>IFERROR($N286+VLOOKUP($L286,'Voyage days'!$F$620:$H$646,3,FALSE),"")</f>
        <v/>
      </c>
      <c r="BH286" s="120" t="str">
        <f t="shared" si="36"/>
        <v/>
      </c>
      <c r="BI286" s="123" t="str">
        <f>IFERROR($M286+VLOOKUP($L286,'Voyage days'!$F$702:$H$727,3,FALSE),"")</f>
        <v/>
      </c>
      <c r="BJ286" s="120" t="str">
        <f t="shared" si="37"/>
        <v>06-07 Jun</v>
      </c>
      <c r="BK286" s="122">
        <f>IFERROR($M286+VLOOKUP($L286,'Voyage days'!$F$807:$H$878,3,FALSE),"")</f>
        <v>46179</v>
      </c>
      <c r="BL286" s="122">
        <f>IFERROR($N286+VLOOKUP($L286,'Voyage days'!$F$807:$H$878,3,FALSE),"")</f>
        <v>46180</v>
      </c>
      <c r="BM286" s="122">
        <f>IFERROR($N286+VLOOKUP($L286,'Voyage days'!$F$807:$K$878,6,FALSE),"")</f>
        <v>46154</v>
      </c>
      <c r="BN286" s="121" t="str">
        <f>if(L286="loads AG", IFERROR($M286+VLOOKUP($L286,'Voyage days'!$M$38:$O$38,3,FALSE),""),"")</f>
        <v/>
      </c>
      <c r="BO286" s="121" t="str">
        <f>if(L286="loads USG", IFERROR($M286+VLOOKUP($L286,'Voyage days'!$L$203:$N$203,3,FALSE),""),"")</f>
        <v/>
      </c>
    </row>
    <row r="287" ht="15.0" customHeight="1">
      <c r="A287" s="341" t="s">
        <v>1368</v>
      </c>
      <c r="B287" s="101">
        <v>42016.0</v>
      </c>
      <c r="C287" s="102">
        <v>83000.0</v>
      </c>
      <c r="D287" s="103"/>
      <c r="E287" s="103"/>
      <c r="F287" s="104"/>
      <c r="G287" s="104"/>
      <c r="H287" s="104" t="s">
        <v>689</v>
      </c>
      <c r="I287" s="401" t="s">
        <v>1330</v>
      </c>
      <c r="J287" s="106" t="str">
        <f t="shared" si="53"/>
        <v/>
      </c>
      <c r="K287" s="205" t="s">
        <v>765</v>
      </c>
      <c r="L287" s="108" t="s">
        <v>1369</v>
      </c>
      <c r="M287" s="109">
        <v>46154.0</v>
      </c>
      <c r="N287" s="109">
        <v>46155.0</v>
      </c>
      <c r="O287" s="191"/>
      <c r="P287" s="108" t="s">
        <v>1370</v>
      </c>
      <c r="Q287" s="108"/>
      <c r="R287" s="108" t="s">
        <v>1371</v>
      </c>
      <c r="S287" s="256" t="s">
        <v>659</v>
      </c>
      <c r="T287" s="113">
        <v>46124.0</v>
      </c>
      <c r="U287" s="114" t="str">
        <f>IF(V287="","No AIS",VLOOKUP(V287,'Voyage days'!$A$3:$B$1480,2,FALSE))</f>
        <v>Thailand + 3</v>
      </c>
      <c r="V287" s="115" t="str">
        <f>IF(VLOOKUP(A287,'1) Kpler'!$E$2:$P$1000,8, FALSE)="","",VLOOKUP(A287,'1) Kpler'!$E$2:$P$1000,8, FALSE))</f>
        <v>Ko Sichang</v>
      </c>
      <c r="W287" s="116">
        <f>IF(VLOOKUP(A287,'1) Kpler'!$E$2:$P$1000,9,FALSE)="","",VLOOKUP(A287,'1) Kpler'!$E$2:$P$1000,9,FALSE))</f>
        <v>46152.79167</v>
      </c>
      <c r="X287" s="115" t="str">
        <f>VLOOKUP(A287,'1) Kpler'!$E$2:$I$1000,4,FALSE)</f>
        <v>loaded</v>
      </c>
      <c r="Y287" s="296" t="str">
        <f t="shared" si="43"/>
        <v>25-26 May</v>
      </c>
      <c r="Z287" s="296" t="str">
        <f t="shared" si="44"/>
        <v>15-16 Jun</v>
      </c>
      <c r="AA287" s="296" t="str">
        <f t="shared" si="45"/>
        <v>21-22 Jun</v>
      </c>
      <c r="AB287" s="296" t="str">
        <f t="shared" si="46"/>
        <v>03-04 Jun</v>
      </c>
      <c r="AC287" s="296" t="str">
        <f t="shared" si="47"/>
        <v>12-13 Jun</v>
      </c>
      <c r="AD287" s="296" t="str">
        <f t="shared" si="48"/>
        <v>14-15 May</v>
      </c>
      <c r="AE287" s="297" t="str">
        <f t="shared" si="49"/>
        <v>18-19 May</v>
      </c>
      <c r="AF287" s="119" t="str">
        <f t="shared" si="50"/>
        <v>22-23 Jun</v>
      </c>
      <c r="AG287" s="120" t="str">
        <f t="shared" si="51"/>
        <v>25-26 May</v>
      </c>
      <c r="AH287" s="121">
        <f>IFERROR($M287+VLOOKUP($L287,'Voyage days'!$F$38:$H$89,3,FALSE),"")</f>
        <v>46167</v>
      </c>
      <c r="AI287" s="121">
        <f>IFERROR(N287+VLOOKUP($L287,'Voyage days'!$F$38:$H$89,3,FALSE),"")</f>
        <v>46168</v>
      </c>
      <c r="AJ287" s="120" t="str">
        <f t="shared" si="28"/>
        <v>15-16 Jun</v>
      </c>
      <c r="AK287" s="121">
        <f>IFERROR($M287+VLOOKUP($L287,'Voyage days'!$F$94:$H$193,3,FALSE),"")</f>
        <v>46188</v>
      </c>
      <c r="AL287" s="121">
        <f>IFERROR($N287+VLOOKUP($L287,'Voyage days'!$F$94:$H$193,3,FALSE),"")</f>
        <v>46189</v>
      </c>
      <c r="AM287" s="120" t="str">
        <f t="shared" si="29"/>
        <v>21-22 Jun</v>
      </c>
      <c r="AN287" s="121">
        <f>IFERROR($M287+VLOOKUP($L287,'Voyage days'!$F$203:$H$256,3,FALSE),"")</f>
        <v>46194</v>
      </c>
      <c r="AO287" s="121">
        <f>IFERROR($N287+VLOOKUP($L287,'Voyage days'!$F$203:$H$256,3,FALSE),"")</f>
        <v>46195</v>
      </c>
      <c r="AP287" s="120" t="str">
        <f t="shared" si="30"/>
        <v>03-04 Jun</v>
      </c>
      <c r="AQ287" s="121">
        <f>IFERROR($M287+VLOOKUP($L287,'Voyage days'!$F$294:$H$377,3,FALSE),"")</f>
        <v>46176</v>
      </c>
      <c r="AR287" s="121">
        <f>IFERROR($N287+VLOOKUP($L287,'Voyage days'!$F$294:$H$377,3,FALSE),"")</f>
        <v>46177</v>
      </c>
      <c r="AS287" s="120" t="str">
        <f t="shared" si="31"/>
        <v>12-13 Jun</v>
      </c>
      <c r="AT287" s="121">
        <f>IFERROR($M287+VLOOKUP($L287,'Voyage days'!$F$382:$H$446,3,FALSE),"")</f>
        <v>46185</v>
      </c>
      <c r="AU287" s="121">
        <f>IFERROR($N287+VLOOKUP($L287,'Voyage days'!$F$382:$H$446,3,FALSE),"")</f>
        <v>46186</v>
      </c>
      <c r="AV287" s="120" t="str">
        <f t="shared" si="32"/>
        <v>25-26 May</v>
      </c>
      <c r="AW287" s="121">
        <f>IFERROR($M287+VLOOKUP($L287,'Voyage days'!$F$483:$H$538,3,FALSE),"")</f>
        <v>46167</v>
      </c>
      <c r="AX287" s="121">
        <f>IFERROR($N287+VLOOKUP($L287,'Voyage days'!$F$483:$H$538,3,FALSE),"")</f>
        <v>46168</v>
      </c>
      <c r="AY287" s="120" t="str">
        <f t="shared" si="33"/>
        <v>18-19 May</v>
      </c>
      <c r="AZ287" s="121">
        <f>IFERROR($M287+VLOOKUP($L287,'Voyage days'!$F$540:$H$613,3,FALSE),"")</f>
        <v>46160.75</v>
      </c>
      <c r="BA287" s="121">
        <f>IFERROR($N287+VLOOKUP($L287,'Voyage days'!$F$540:$H$613,3,FALSE),"")</f>
        <v>46161.75</v>
      </c>
      <c r="BB287" s="120" t="str">
        <f t="shared" si="34"/>
        <v>14-15 May</v>
      </c>
      <c r="BC287" s="121">
        <f>IFERROR($M287+VLOOKUP($L287,'Voyage days'!$F$448:$H$479,3,FALSE),"")</f>
        <v>46156</v>
      </c>
      <c r="BD287" s="121">
        <f>IFERROR($N287+VLOOKUP($L287,'Voyage days'!$F$448:$H$479,3,FALSE),"")</f>
        <v>46157</v>
      </c>
      <c r="BE287" s="120" t="str">
        <f t="shared" si="35"/>
        <v/>
      </c>
      <c r="BF287" s="122" t="str">
        <f>IFERROR($M287+VLOOKUP($L287,'Voyage days'!$F$620:$H$646,3,FALSE),"")</f>
        <v/>
      </c>
      <c r="BG287" s="122" t="str">
        <f>IFERROR($N287+VLOOKUP($L287,'Voyage days'!$F$620:$H$646,3,FALSE),"")</f>
        <v/>
      </c>
      <c r="BH287" s="120" t="str">
        <f t="shared" si="36"/>
        <v>18-23 Jun</v>
      </c>
      <c r="BI287" s="123">
        <f>IFERROR($M287+VLOOKUP($L287,'Voyage days'!$F$702:$H$727,3,FALSE),"")</f>
        <v>46160.75</v>
      </c>
      <c r="BJ287" s="120" t="str">
        <f t="shared" si="37"/>
        <v>22-23 Jun</v>
      </c>
      <c r="BK287" s="122">
        <f>IFERROR($M287+VLOOKUP($L287,'Voyage days'!$F$807:$H$878,3,FALSE),"")</f>
        <v>46195</v>
      </c>
      <c r="BL287" s="122">
        <f>IFERROR($N287+VLOOKUP($L287,'Voyage days'!$F$807:$H$878,3,FALSE),"")</f>
        <v>46196</v>
      </c>
      <c r="BM287" s="122">
        <f>IFERROR($N287+VLOOKUP($L287,'Voyage days'!$F$807:$K$878,6,FALSE),"")</f>
        <v>46170</v>
      </c>
      <c r="BN287" s="121" t="str">
        <f>if(L287="loads AG", IFERROR($M287+VLOOKUP($L287,'Voyage days'!$M$38:$O$38,3,FALSE),""),"")</f>
        <v/>
      </c>
      <c r="BO287" s="121" t="str">
        <f>if(L287="loads USG", IFERROR($M287+VLOOKUP($L287,'Voyage days'!$L$203:$N$203,3,FALSE),""),"")</f>
        <v/>
      </c>
    </row>
    <row r="288" ht="15.75" customHeight="1">
      <c r="A288" s="341" t="s">
        <v>1372</v>
      </c>
      <c r="B288" s="101">
        <v>42016.0</v>
      </c>
      <c r="C288" s="102">
        <v>83000.0</v>
      </c>
      <c r="D288" s="103"/>
      <c r="E288" s="103"/>
      <c r="F288" s="104"/>
      <c r="G288" s="104"/>
      <c r="H288" s="104" t="s">
        <v>689</v>
      </c>
      <c r="I288" s="295" t="s">
        <v>1373</v>
      </c>
      <c r="J288" s="106" t="str">
        <f t="shared" si="53"/>
        <v/>
      </c>
      <c r="K288" s="107"/>
      <c r="L288" s="108" t="s">
        <v>951</v>
      </c>
      <c r="M288" s="109">
        <v>46143.0</v>
      </c>
      <c r="N288" s="109">
        <v>46144.0</v>
      </c>
      <c r="O288" s="191"/>
      <c r="P288" s="108" t="s">
        <v>1374</v>
      </c>
      <c r="Q288" s="108"/>
      <c r="R288" s="108" t="s">
        <v>1375</v>
      </c>
      <c r="S288" s="256" t="s">
        <v>659</v>
      </c>
      <c r="T288" s="113">
        <v>46124.0</v>
      </c>
      <c r="U288" s="114" t="str">
        <f>IF(V288="","No AIS",VLOOKUP(V288,'Voyage days'!$A$3:$B$1480,2,FALSE))</f>
        <v>Tanzania + 7</v>
      </c>
      <c r="V288" s="115" t="str">
        <f>IF(VLOOKUP(A288,'1) Kpler'!$E$2:$P$1000,8, FALSE)="","",VLOOKUP(A288,'1) Kpler'!$E$2:$P$1000,8, FALSE))</f>
        <v>Zanzibar</v>
      </c>
      <c r="W288" s="116">
        <f>IF(VLOOKUP(A288,'1) Kpler'!$E$2:$P$1000,9,FALSE)="","",VLOOKUP(A288,'1) Kpler'!$E$2:$P$1000,9,FALSE))</f>
        <v>46138.5</v>
      </c>
      <c r="X288" s="115" t="str">
        <f>VLOOKUP(A288,'1) Kpler'!$E$2:$I$1000,4,FALSE)</f>
        <v>loaded</v>
      </c>
      <c r="Y288" s="160" t="str">
        <f t="shared" si="43"/>
        <v>10-11 May</v>
      </c>
      <c r="Z288" s="160" t="str">
        <f t="shared" si="44"/>
        <v>18-19 Jun</v>
      </c>
      <c r="AA288" s="160" t="str">
        <f t="shared" si="45"/>
        <v>28-29 May</v>
      </c>
      <c r="AB288" s="160" t="str">
        <f t="shared" si="46"/>
        <v>15-16 May</v>
      </c>
      <c r="AC288" s="160" t="str">
        <f t="shared" si="47"/>
        <v>16-17 May</v>
      </c>
      <c r="AD288" s="160" t="str">
        <f t="shared" si="48"/>
        <v>12-13 May</v>
      </c>
      <c r="AE288" s="161" t="str">
        <f t="shared" si="49"/>
        <v>16-17 May</v>
      </c>
      <c r="AF288" s="162" t="str">
        <f t="shared" si="50"/>
        <v>01-02 May</v>
      </c>
      <c r="AG288" s="120" t="str">
        <f t="shared" si="51"/>
        <v>10-11 May</v>
      </c>
      <c r="AH288" s="121">
        <f>IFERROR($M288+VLOOKUP($L288,'Voyage days'!$F$38:$H$89,3,FALSE),"")</f>
        <v>46152</v>
      </c>
      <c r="AI288" s="121">
        <f>IFERROR(N288+VLOOKUP($L288,'Voyage days'!$F$38:$H$89,3,FALSE),"")</f>
        <v>46153</v>
      </c>
      <c r="AJ288" s="120" t="str">
        <f t="shared" si="28"/>
        <v>18-19 Jun</v>
      </c>
      <c r="AK288" s="121">
        <f>IFERROR($M288+VLOOKUP($L288,'Voyage days'!$F$94:$H$193,3,FALSE),"")</f>
        <v>46191</v>
      </c>
      <c r="AL288" s="121">
        <f>IFERROR($N288+VLOOKUP($L288,'Voyage days'!$F$94:$H$193,3,FALSE),"")</f>
        <v>46192</v>
      </c>
      <c r="AM288" s="120" t="str">
        <f t="shared" si="29"/>
        <v>28-29 May</v>
      </c>
      <c r="AN288" s="121">
        <f>IFERROR($M288+VLOOKUP($L288,'Voyage days'!$F$203:$H$256,3,FALSE),"")</f>
        <v>46170</v>
      </c>
      <c r="AO288" s="121">
        <f>IFERROR($N288+VLOOKUP($L288,'Voyage days'!$F$203:$H$256,3,FALSE),"")</f>
        <v>46171</v>
      </c>
      <c r="AP288" s="120" t="str">
        <f t="shared" si="30"/>
        <v>15-16 May</v>
      </c>
      <c r="AQ288" s="121">
        <f>IFERROR($M288+VLOOKUP($L288,'Voyage days'!$F$294:$H$377,3,FALSE),"")</f>
        <v>46157</v>
      </c>
      <c r="AR288" s="121">
        <f>IFERROR($N288+VLOOKUP($L288,'Voyage days'!$F$294:$H$377,3,FALSE),"")</f>
        <v>46158</v>
      </c>
      <c r="AS288" s="120" t="str">
        <f t="shared" si="31"/>
        <v>16-17 May</v>
      </c>
      <c r="AT288" s="121">
        <f>IFERROR($M288+VLOOKUP($L288,'Voyage days'!$F$382:$H$446,3,FALSE),"")</f>
        <v>46158</v>
      </c>
      <c r="AU288" s="121">
        <f>IFERROR($N288+VLOOKUP($L288,'Voyage days'!$F$382:$H$446,3,FALSE),"")</f>
        <v>46159</v>
      </c>
      <c r="AV288" s="120" t="str">
        <f t="shared" si="32"/>
        <v>18-19 May</v>
      </c>
      <c r="AW288" s="121">
        <f>IFERROR($M288+VLOOKUP($L288,'Voyage days'!$F$483:$H$538,3,FALSE),"")</f>
        <v>46160</v>
      </c>
      <c r="AX288" s="121">
        <f>IFERROR($N288+VLOOKUP($L288,'Voyage days'!$F$483:$H$538,3,FALSE),"")</f>
        <v>46161</v>
      </c>
      <c r="AY288" s="120" t="str">
        <f t="shared" si="33"/>
        <v>16-17 May</v>
      </c>
      <c r="AZ288" s="121">
        <f>IFERROR($M288+VLOOKUP($L288,'Voyage days'!$F$540:$H$613,3,FALSE),"")</f>
        <v>46158</v>
      </c>
      <c r="BA288" s="121">
        <f>IFERROR($N288+VLOOKUP($L288,'Voyage days'!$F$540:$H$613,3,FALSE),"")</f>
        <v>46159</v>
      </c>
      <c r="BB288" s="120" t="str">
        <f t="shared" si="34"/>
        <v>12-13 May</v>
      </c>
      <c r="BC288" s="121">
        <f>IFERROR($M288+VLOOKUP($L288,'Voyage days'!$F$448:$H$479,3,FALSE),"")</f>
        <v>46154</v>
      </c>
      <c r="BD288" s="121">
        <f>IFERROR($N288+VLOOKUP($L288,'Voyage days'!$F$448:$H$479,3,FALSE),"")</f>
        <v>46155</v>
      </c>
      <c r="BE288" s="120" t="str">
        <f t="shared" si="35"/>
        <v/>
      </c>
      <c r="BF288" s="122" t="str">
        <f>IFERROR($M288+VLOOKUP($L288,'Voyage days'!$F$620:$H$646,3,FALSE),"")</f>
        <v/>
      </c>
      <c r="BG288" s="122" t="str">
        <f>IFERROR($N288+VLOOKUP($L288,'Voyage days'!$F$620:$H$646,3,FALSE),"")</f>
        <v/>
      </c>
      <c r="BH288" s="120" t="str">
        <f t="shared" si="36"/>
        <v>16-02 May</v>
      </c>
      <c r="BI288" s="123">
        <f>IFERROR($M288+VLOOKUP($L288,'Voyage days'!$F$702:$H$727,3,FALSE),"")</f>
        <v>46158</v>
      </c>
      <c r="BJ288" s="120" t="str">
        <f t="shared" si="37"/>
        <v>01-02 May</v>
      </c>
      <c r="BK288" s="122">
        <f>IFERROR($M288+VLOOKUP($L288,'Voyage days'!$F$807:$H$878,3,FALSE),"")</f>
        <v>46143</v>
      </c>
      <c r="BL288" s="122">
        <f>IFERROR($N288+VLOOKUP($L288,'Voyage days'!$F$807:$H$878,3,FALSE),"")</f>
        <v>46144</v>
      </c>
      <c r="BM288" s="122">
        <f>IFERROR($N288+VLOOKUP($L288,'Voyage days'!$F$807:$K$878,6,FALSE),"")</f>
        <v>46157</v>
      </c>
      <c r="BN288" s="121" t="str">
        <f>if(L288="loads AG", IFERROR($M288+VLOOKUP($L288,'Voyage days'!$M$38:$O$38,3,FALSE),""),"")</f>
        <v/>
      </c>
      <c r="BO288" s="121" t="str">
        <f>if(L288="loads USG", IFERROR($M288+VLOOKUP($L288,'Voyage days'!$L$203:$N$203,3,FALSE),""),"")</f>
        <v/>
      </c>
    </row>
    <row r="289" ht="13.5" customHeight="1">
      <c r="A289" s="147" t="s">
        <v>1376</v>
      </c>
      <c r="B289" s="101">
        <v>42447.0</v>
      </c>
      <c r="C289" s="203">
        <v>84107.0</v>
      </c>
      <c r="D289" s="103"/>
      <c r="E289" s="103"/>
      <c r="F289" s="104"/>
      <c r="G289" s="104"/>
      <c r="H289" s="104" t="s">
        <v>666</v>
      </c>
      <c r="I289" s="401" t="s">
        <v>1330</v>
      </c>
      <c r="J289" s="106" t="str">
        <f t="shared" si="53"/>
        <v/>
      </c>
      <c r="K289" s="107"/>
      <c r="L289" s="108" t="s">
        <v>680</v>
      </c>
      <c r="M289" s="109">
        <v>46132.0</v>
      </c>
      <c r="N289" s="109">
        <v>46133.0</v>
      </c>
      <c r="O289" s="191"/>
      <c r="P289" s="108" t="s">
        <v>1377</v>
      </c>
      <c r="Q289" s="108"/>
      <c r="R289" s="108" t="s">
        <v>1378</v>
      </c>
      <c r="S289" s="256" t="s">
        <v>659</v>
      </c>
      <c r="T289" s="113">
        <v>46124.0</v>
      </c>
      <c r="U289" s="114" t="str">
        <f>IF(V289="","No AIS",VLOOKUP(V289,'Voyage days'!$A$3:$B$1480,2,FALSE))</f>
        <v>USG</v>
      </c>
      <c r="V289" s="115" t="str">
        <f>IF(VLOOKUP(A289,'1) Kpler'!$E$2:$P$1000,8, FALSE)="","",VLOOKUP(A289,'1) Kpler'!$E$2:$P$1000,8, FALSE))</f>
        <v>PADD 3</v>
      </c>
      <c r="W289" s="116">
        <f>IF(VLOOKUP(A289,'1) Kpler'!$E$2:$P$1000,9,FALSE)="","",VLOOKUP(A289,'1) Kpler'!$E$2:$P$1000,9,FALSE))</f>
        <v>46132</v>
      </c>
      <c r="X289" s="115" t="str">
        <f>VLOOKUP(A289,'1) Kpler'!$E$2:$I$1000,4,FALSE)</f>
        <v>ballast</v>
      </c>
      <c r="Y289" s="296" t="str">
        <f t="shared" si="43"/>
        <v/>
      </c>
      <c r="Z289" s="296" t="str">
        <f t="shared" si="44"/>
        <v>20-21 Apr</v>
      </c>
      <c r="AA289" s="296" t="str">
        <f t="shared" si="45"/>
        <v>20-21 Apr</v>
      </c>
      <c r="AB289" s="296" t="str">
        <f t="shared" si="46"/>
        <v/>
      </c>
      <c r="AC289" s="296" t="str">
        <f t="shared" si="47"/>
        <v>10-11 May</v>
      </c>
      <c r="AD289" s="296" t="str">
        <f t="shared" si="48"/>
        <v/>
      </c>
      <c r="AE289" s="297" t="str">
        <f t="shared" si="49"/>
        <v/>
      </c>
      <c r="AF289" s="119" t="str">
        <f t="shared" si="50"/>
        <v/>
      </c>
      <c r="AG289" s="120" t="str">
        <f t="shared" si="51"/>
        <v/>
      </c>
      <c r="AH289" s="121" t="str">
        <f>IFERROR($M289+VLOOKUP($L289,'Voyage days'!$F$38:$H$89,3,FALSE),"")</f>
        <v/>
      </c>
      <c r="AI289" s="121" t="str">
        <f>IFERROR(N289+VLOOKUP($L289,'Voyage days'!$F$38:$H$89,3,FALSE),"")</f>
        <v/>
      </c>
      <c r="AJ289" s="120" t="str">
        <f t="shared" si="28"/>
        <v>20-21 Apr</v>
      </c>
      <c r="AK289" s="121">
        <f>IFERROR($M289+VLOOKUP($L289,'Voyage days'!$F$94:$H$193,3,FALSE),"")</f>
        <v>46132</v>
      </c>
      <c r="AL289" s="121">
        <f>IFERROR($N289+VLOOKUP($L289,'Voyage days'!$F$94:$H$193,3,FALSE),"")</f>
        <v>46133</v>
      </c>
      <c r="AM289" s="120" t="str">
        <f t="shared" si="29"/>
        <v>20-21 Apr</v>
      </c>
      <c r="AN289" s="121">
        <f>IFERROR($M289+VLOOKUP($L289,'Voyage days'!$F$203:$H$256,3,FALSE),"")</f>
        <v>46132</v>
      </c>
      <c r="AO289" s="121">
        <f>IFERROR($N289+VLOOKUP($L289,'Voyage days'!$F$203:$H$256,3,FALSE),"")</f>
        <v>46133</v>
      </c>
      <c r="AP289" s="120" t="str">
        <f t="shared" si="30"/>
        <v/>
      </c>
      <c r="AQ289" s="121" t="str">
        <f>IFERROR($M289+VLOOKUP($L289,'Voyage days'!$F$294:$H$377,3,FALSE),"")</f>
        <v/>
      </c>
      <c r="AR289" s="121" t="str">
        <f>IFERROR($N289+VLOOKUP($L289,'Voyage days'!$F$294:$H$377,3,FALSE),"")</f>
        <v/>
      </c>
      <c r="AS289" s="120" t="str">
        <f t="shared" si="31"/>
        <v>10-11 May</v>
      </c>
      <c r="AT289" s="121">
        <f>IFERROR($M289+VLOOKUP($L289,'Voyage days'!$F$382:$H$446,3,FALSE),"")</f>
        <v>46152</v>
      </c>
      <c r="AU289" s="121">
        <f>IFERROR($N289+VLOOKUP($L289,'Voyage days'!$F$382:$H$446,3,FALSE),"")</f>
        <v>46153</v>
      </c>
      <c r="AV289" s="120" t="str">
        <f t="shared" si="32"/>
        <v/>
      </c>
      <c r="AW289" s="121" t="str">
        <f>IFERROR($M289+VLOOKUP($L289,'Voyage days'!$F$483:$H$538,3,FALSE),"")</f>
        <v/>
      </c>
      <c r="AX289" s="121" t="str">
        <f>IFERROR($N289+VLOOKUP($L289,'Voyage days'!$F$483:$H$538,3,FALSE),"")</f>
        <v/>
      </c>
      <c r="AY289" s="120" t="str">
        <f t="shared" si="33"/>
        <v/>
      </c>
      <c r="AZ289" s="121" t="str">
        <f>IFERROR($M289+VLOOKUP($L289,'Voyage days'!$F$540:$H$613,3,FALSE),"")</f>
        <v/>
      </c>
      <c r="BA289" s="121" t="str">
        <f>IFERROR($N289+VLOOKUP($L289,'Voyage days'!$F$540:$H$613,3,FALSE),"")</f>
        <v/>
      </c>
      <c r="BB289" s="120" t="str">
        <f t="shared" si="34"/>
        <v/>
      </c>
      <c r="BC289" s="121" t="str">
        <f>IFERROR($M289+VLOOKUP($L289,'Voyage days'!$F$448:$H$479,3,FALSE),"")</f>
        <v/>
      </c>
      <c r="BD289" s="121" t="str">
        <f>IFERROR($N289+VLOOKUP($L289,'Voyage days'!$F$448:$H$479,3,FALSE),"")</f>
        <v/>
      </c>
      <c r="BE289" s="120" t="str">
        <f t="shared" si="35"/>
        <v/>
      </c>
      <c r="BF289" s="122" t="str">
        <f>IFERROR($M289+VLOOKUP($L289,'Voyage days'!$F$620:$H$646,3,FALSE),"")</f>
        <v/>
      </c>
      <c r="BG289" s="122" t="str">
        <f>IFERROR($N289+VLOOKUP($L289,'Voyage days'!$F$620:$H$646,3,FALSE),"")</f>
        <v/>
      </c>
      <c r="BH289" s="120" t="str">
        <f t="shared" si="36"/>
        <v/>
      </c>
      <c r="BI289" s="123" t="str">
        <f>IFERROR($M289+VLOOKUP($L289,'Voyage days'!$F$702:$H$727,3,FALSE),"")</f>
        <v/>
      </c>
      <c r="BJ289" s="120" t="str">
        <f t="shared" si="37"/>
        <v/>
      </c>
      <c r="BK289" s="122" t="str">
        <f>IFERROR($M289+VLOOKUP($L289,'Voyage days'!$F$807:$H$878,3,FALSE),"")</f>
        <v/>
      </c>
      <c r="BL289" s="122" t="str">
        <f>IFERROR($N289+VLOOKUP($L289,'Voyage days'!$F$807:$H$878,3,FALSE),"")</f>
        <v/>
      </c>
      <c r="BM289" s="122" t="str">
        <f>IFERROR($N289+VLOOKUP($L289,'Voyage days'!$F$807:$K$878,6,FALSE),"")</f>
        <v/>
      </c>
      <c r="BN289" s="121" t="str">
        <f>if(L289="loads AG", IFERROR($M289+VLOOKUP($L289,'Voyage days'!$M$38:$O$38,3,FALSE),""),"")</f>
        <v/>
      </c>
      <c r="BO289" s="121">
        <f>if(L289="loads USG", IFERROR($M289+VLOOKUP($L289,'Voyage days'!$L$203:$N$203,3,FALSE),""),"")</f>
        <v>46164</v>
      </c>
    </row>
    <row r="290" ht="15.75" customHeight="1">
      <c r="A290" s="147" t="s">
        <v>1379</v>
      </c>
      <c r="B290" s="101">
        <v>42292.0</v>
      </c>
      <c r="C290" s="203">
        <v>84196.0</v>
      </c>
      <c r="D290" s="103"/>
      <c r="E290" s="103"/>
      <c r="F290" s="104"/>
      <c r="G290" s="192" t="s">
        <v>739</v>
      </c>
      <c r="H290" s="104" t="s">
        <v>666</v>
      </c>
      <c r="I290" s="401" t="s">
        <v>1330</v>
      </c>
      <c r="J290" s="106" t="str">
        <f t="shared" si="53"/>
        <v/>
      </c>
      <c r="K290" s="205" t="s">
        <v>765</v>
      </c>
      <c r="L290" s="108" t="s">
        <v>755</v>
      </c>
      <c r="M290" s="109">
        <v>46147.0</v>
      </c>
      <c r="N290" s="109">
        <v>46148.0</v>
      </c>
      <c r="O290" s="191"/>
      <c r="P290" s="108" t="s">
        <v>1380</v>
      </c>
      <c r="Q290" s="108"/>
      <c r="R290" s="108" t="s">
        <v>1381</v>
      </c>
      <c r="S290" s="256" t="s">
        <v>659</v>
      </c>
      <c r="T290" s="113">
        <v>46124.0</v>
      </c>
      <c r="U290" s="114" t="str">
        <f>IF(V290="","No AIS",VLOOKUP(V290,'Voyage days'!$A$3:$B$1480,2,FALSE))</f>
        <v>Indo + 4 (STS)</v>
      </c>
      <c r="V290" s="115" t="str">
        <f>IF(VLOOKUP(A290,'1) Kpler'!$E$2:$P$1000,8, FALSE)="","",VLOOKUP(A290,'1) Kpler'!$E$2:$P$1000,8, FALSE))</f>
        <v>Kalbut</v>
      </c>
      <c r="W290" s="116">
        <f>IF(VLOOKUP(A290,'1) Kpler'!$E$2:$P$1000,9,FALSE)="","",VLOOKUP(A290,'1) Kpler'!$E$2:$P$1000,9,FALSE))</f>
        <v>46143.5</v>
      </c>
      <c r="X290" s="115" t="str">
        <f>VLOOKUP(A290,'1) Kpler'!$E$2:$I$1000,4,FALSE)</f>
        <v>loaded</v>
      </c>
      <c r="Y290" s="160" t="str">
        <f t="shared" si="43"/>
        <v>16-17 May</v>
      </c>
      <c r="Z290" s="160" t="str">
        <f t="shared" si="44"/>
        <v>13-14 Jun</v>
      </c>
      <c r="AA290" s="160" t="str">
        <f t="shared" si="45"/>
        <v>11-12 Jun</v>
      </c>
      <c r="AB290" s="160" t="str">
        <f t="shared" si="46"/>
        <v>25-26 May</v>
      </c>
      <c r="AC290" s="160" t="str">
        <f t="shared" si="47"/>
        <v>03-04 Jun</v>
      </c>
      <c r="AD290" s="160" t="str">
        <f t="shared" si="48"/>
        <v>08-09 May</v>
      </c>
      <c r="AE290" s="161" t="str">
        <f t="shared" si="49"/>
        <v>09-10 May</v>
      </c>
      <c r="AF290" s="162" t="str">
        <f t="shared" si="50"/>
        <v>11-12 Jun</v>
      </c>
      <c r="AG290" s="120" t="str">
        <f t="shared" si="51"/>
        <v>16-17 May</v>
      </c>
      <c r="AH290" s="121">
        <f>IFERROR($M290+VLOOKUP($L290,'Voyage days'!$F$38:$H$89,3,FALSE),"")</f>
        <v>46158</v>
      </c>
      <c r="AI290" s="121">
        <f>IFERROR(N290+VLOOKUP($L290,'Voyage days'!$F$38:$H$89,3,FALSE),"")</f>
        <v>46159</v>
      </c>
      <c r="AJ290" s="120" t="str">
        <f t="shared" si="28"/>
        <v>13-14 Jun</v>
      </c>
      <c r="AK290" s="121">
        <f>IFERROR($M290+VLOOKUP($L290,'Voyage days'!$F$94:$H$193,3,FALSE),"")</f>
        <v>46186</v>
      </c>
      <c r="AL290" s="121">
        <f>IFERROR($N290+VLOOKUP($L290,'Voyage days'!$F$94:$H$193,3,FALSE),"")</f>
        <v>46187</v>
      </c>
      <c r="AM290" s="120" t="str">
        <f t="shared" si="29"/>
        <v>11-12 Jun</v>
      </c>
      <c r="AN290" s="121">
        <f>IFERROR($M290+VLOOKUP($L290,'Voyage days'!$F$203:$H$256,3,FALSE),"")</f>
        <v>46184</v>
      </c>
      <c r="AO290" s="121">
        <f>IFERROR($N290+VLOOKUP($L290,'Voyage days'!$F$203:$H$256,3,FALSE),"")</f>
        <v>46185</v>
      </c>
      <c r="AP290" s="120" t="str">
        <f t="shared" si="30"/>
        <v>25-26 May</v>
      </c>
      <c r="AQ290" s="121">
        <f>IFERROR($M290+VLOOKUP($L290,'Voyage days'!$F$294:$H$377,3,FALSE),"")</f>
        <v>46167</v>
      </c>
      <c r="AR290" s="121">
        <f>IFERROR($N290+VLOOKUP($L290,'Voyage days'!$F$294:$H$377,3,FALSE),"")</f>
        <v>46168</v>
      </c>
      <c r="AS290" s="120" t="str">
        <f t="shared" si="31"/>
        <v>03-04 Jun</v>
      </c>
      <c r="AT290" s="121">
        <f>IFERROR($M290+VLOOKUP($L290,'Voyage days'!$F$382:$H$446,3,FALSE),"")</f>
        <v>46176</v>
      </c>
      <c r="AU290" s="121">
        <f>IFERROR($N290+VLOOKUP($L290,'Voyage days'!$F$382:$H$446,3,FALSE),"")</f>
        <v>46177</v>
      </c>
      <c r="AV290" s="120" t="str">
        <f t="shared" si="32"/>
        <v>14-15 May</v>
      </c>
      <c r="AW290" s="121">
        <f>IFERROR($M290+VLOOKUP($L290,'Voyage days'!$F$483:$H$538,3,FALSE),"")</f>
        <v>46156</v>
      </c>
      <c r="AX290" s="121">
        <f>IFERROR($N290+VLOOKUP($L290,'Voyage days'!$F$483:$H$538,3,FALSE),"")</f>
        <v>46157</v>
      </c>
      <c r="AY290" s="120" t="str">
        <f t="shared" si="33"/>
        <v>09-10 May</v>
      </c>
      <c r="AZ290" s="121">
        <f>IFERROR($M290+VLOOKUP($L290,'Voyage days'!$F$540:$H$613,3,FALSE),"")</f>
        <v>46151</v>
      </c>
      <c r="BA290" s="121">
        <f>IFERROR($N290+VLOOKUP($L290,'Voyage days'!$F$540:$H$613,3,FALSE),"")</f>
        <v>46152</v>
      </c>
      <c r="BB290" s="120" t="str">
        <f t="shared" si="34"/>
        <v>08-09 May</v>
      </c>
      <c r="BC290" s="121">
        <f>IFERROR($M290+VLOOKUP($L290,'Voyage days'!$F$448:$H$479,3,FALSE),"")</f>
        <v>46150</v>
      </c>
      <c r="BD290" s="121">
        <f>IFERROR($N290+VLOOKUP($L290,'Voyage days'!$F$448:$H$479,3,FALSE),"")</f>
        <v>46151</v>
      </c>
      <c r="BE290" s="120" t="str">
        <f t="shared" si="35"/>
        <v/>
      </c>
      <c r="BF290" s="122" t="str">
        <f>IFERROR($M290+VLOOKUP($L290,'Voyage days'!$F$620:$H$646,3,FALSE),"")</f>
        <v/>
      </c>
      <c r="BG290" s="122" t="str">
        <f>IFERROR($N290+VLOOKUP($L290,'Voyage days'!$F$620:$H$646,3,FALSE),"")</f>
        <v/>
      </c>
      <c r="BH290" s="120" t="str">
        <f t="shared" si="36"/>
        <v>13-12 Jun</v>
      </c>
      <c r="BI290" s="123">
        <f>IFERROR($M290+VLOOKUP($L290,'Voyage days'!$F$702:$H$727,3,FALSE),"")</f>
        <v>46155</v>
      </c>
      <c r="BJ290" s="120" t="str">
        <f t="shared" si="37"/>
        <v>11-12 Jun</v>
      </c>
      <c r="BK290" s="122">
        <f>IFERROR($M290+VLOOKUP($L290,'Voyage days'!$F$807:$H$878,3,FALSE),"")</f>
        <v>46184</v>
      </c>
      <c r="BL290" s="122">
        <f>IFERROR($N290+VLOOKUP($L290,'Voyage days'!$F$807:$H$878,3,FALSE),"")</f>
        <v>46185</v>
      </c>
      <c r="BM290" s="122">
        <f>IFERROR($N290+VLOOKUP($L290,'Voyage days'!$F$807:$K$878,6,FALSE),"")</f>
        <v>46161</v>
      </c>
      <c r="BN290" s="121" t="str">
        <f>if(L290="loads AG", IFERROR($M290+VLOOKUP($L290,'Voyage days'!$M$38:$O$38,3,FALSE),""),"")</f>
        <v/>
      </c>
      <c r="BO290" s="121" t="str">
        <f>if(L290="loads USG", IFERROR($M290+VLOOKUP($L290,'Voyage days'!$L$203:$N$203,3,FALSE),""),"")</f>
        <v/>
      </c>
    </row>
    <row r="291" ht="15.0" customHeight="1">
      <c r="A291" s="341" t="s">
        <v>1382</v>
      </c>
      <c r="B291" s="101">
        <v>42184.0</v>
      </c>
      <c r="C291" s="102">
        <v>83000.0</v>
      </c>
      <c r="D291" s="103"/>
      <c r="E291" s="103"/>
      <c r="F291" s="104"/>
      <c r="G291" s="104"/>
      <c r="H291" s="104" t="s">
        <v>689</v>
      </c>
      <c r="I291" s="401" t="s">
        <v>1330</v>
      </c>
      <c r="J291" s="106" t="str">
        <f t="shared" si="53"/>
        <v>Update</v>
      </c>
      <c r="K291" s="205" t="s">
        <v>765</v>
      </c>
      <c r="L291" s="108" t="s">
        <v>755</v>
      </c>
      <c r="M291" s="391">
        <v>46127.0</v>
      </c>
      <c r="N291" s="391">
        <v>46129.0</v>
      </c>
      <c r="O291" s="191" t="s">
        <v>1314</v>
      </c>
      <c r="P291" s="108" t="s">
        <v>1383</v>
      </c>
      <c r="Q291" s="108"/>
      <c r="R291" s="108" t="s">
        <v>1384</v>
      </c>
      <c r="S291" s="256" t="s">
        <v>659</v>
      </c>
      <c r="T291" s="113">
        <v>46124.0</v>
      </c>
      <c r="U291" s="114" t="str">
        <f>IF(V291="","No AIS",VLOOKUP(V291,'Voyage days'!$A$3:$B$1480,2,FALSE))</f>
        <v>Port Louis</v>
      </c>
      <c r="V291" s="115" t="str">
        <f>IF(VLOOKUP(A291,'1) Kpler'!$E$2:$P$1000,8, FALSE)="","",VLOOKUP(A291,'1) Kpler'!$E$2:$P$1000,8, FALSE))</f>
        <v>Port Louis</v>
      </c>
      <c r="W291" s="116">
        <f>IF(VLOOKUP(A291,'1) Kpler'!$E$2:$P$1000,9,FALSE)="","",VLOOKUP(A291,'1) Kpler'!$E$2:$P$1000,9,FALSE))</f>
        <v>46134.39583</v>
      </c>
      <c r="X291" s="115" t="str">
        <f>VLOOKUP(A291,'1) Kpler'!$E$2:$I$1000,4,FALSE)</f>
        <v>ballast</v>
      </c>
      <c r="Y291" s="296" t="str">
        <f t="shared" si="43"/>
        <v>26-28 Apr</v>
      </c>
      <c r="Z291" s="296" t="str">
        <f t="shared" si="44"/>
        <v>24-26 May</v>
      </c>
      <c r="AA291" s="296" t="str">
        <f t="shared" si="45"/>
        <v>22-24 May</v>
      </c>
      <c r="AB291" s="296" t="str">
        <f t="shared" si="46"/>
        <v>05-07 May</v>
      </c>
      <c r="AC291" s="296" t="str">
        <f t="shared" si="47"/>
        <v>14-16 May</v>
      </c>
      <c r="AD291" s="296" t="str">
        <f t="shared" si="48"/>
        <v>18-20 Apr</v>
      </c>
      <c r="AE291" s="297" t="str">
        <f t="shared" si="49"/>
        <v>19-21 Apr</v>
      </c>
      <c r="AF291" s="119" t="str">
        <f t="shared" si="50"/>
        <v>22-24 May</v>
      </c>
      <c r="AG291" s="120" t="str">
        <f t="shared" si="51"/>
        <v>26-28 Apr</v>
      </c>
      <c r="AH291" s="121">
        <f>IFERROR($M291+VLOOKUP($L291,'Voyage days'!$F$38:$H$89,3,FALSE),"")</f>
        <v>46138</v>
      </c>
      <c r="AI291" s="121">
        <f>IFERROR(N291+VLOOKUP($L291,'Voyage days'!$F$38:$H$89,3,FALSE),"")</f>
        <v>46140</v>
      </c>
      <c r="AJ291" s="120" t="str">
        <f t="shared" si="28"/>
        <v>24-26 May</v>
      </c>
      <c r="AK291" s="121">
        <f>IFERROR($M291+VLOOKUP($L291,'Voyage days'!$F$94:$H$193,3,FALSE),"")</f>
        <v>46166</v>
      </c>
      <c r="AL291" s="121">
        <f>IFERROR($N291+VLOOKUP($L291,'Voyage days'!$F$94:$H$193,3,FALSE),"")</f>
        <v>46168</v>
      </c>
      <c r="AM291" s="120" t="str">
        <f t="shared" si="29"/>
        <v>22-24 May</v>
      </c>
      <c r="AN291" s="121">
        <f>IFERROR($M291+VLOOKUP($L291,'Voyage days'!$F$203:$H$256,3,FALSE),"")</f>
        <v>46164</v>
      </c>
      <c r="AO291" s="121">
        <f>IFERROR($N291+VLOOKUP($L291,'Voyage days'!$F$203:$H$256,3,FALSE),"")</f>
        <v>46166</v>
      </c>
      <c r="AP291" s="120" t="str">
        <f t="shared" si="30"/>
        <v>05-07 May</v>
      </c>
      <c r="AQ291" s="121">
        <f>IFERROR($M291+VLOOKUP($L291,'Voyage days'!$F$294:$H$377,3,FALSE),"")</f>
        <v>46147</v>
      </c>
      <c r="AR291" s="121">
        <f>IFERROR($N291+VLOOKUP($L291,'Voyage days'!$F$294:$H$377,3,FALSE),"")</f>
        <v>46149</v>
      </c>
      <c r="AS291" s="120" t="str">
        <f t="shared" si="31"/>
        <v>14-16 May</v>
      </c>
      <c r="AT291" s="121">
        <f>IFERROR($M291+VLOOKUP($L291,'Voyage days'!$F$382:$H$446,3,FALSE),"")</f>
        <v>46156</v>
      </c>
      <c r="AU291" s="121">
        <f>IFERROR($N291+VLOOKUP($L291,'Voyage days'!$F$382:$H$446,3,FALSE),"")</f>
        <v>46158</v>
      </c>
      <c r="AV291" s="120" t="str">
        <f t="shared" si="32"/>
        <v>24-26 Apr</v>
      </c>
      <c r="AW291" s="121">
        <f>IFERROR($M291+VLOOKUP($L291,'Voyage days'!$F$483:$H$538,3,FALSE),"")</f>
        <v>46136</v>
      </c>
      <c r="AX291" s="121">
        <f>IFERROR($N291+VLOOKUP($L291,'Voyage days'!$F$483:$H$538,3,FALSE),"")</f>
        <v>46138</v>
      </c>
      <c r="AY291" s="120" t="str">
        <f t="shared" si="33"/>
        <v>19-21 Apr</v>
      </c>
      <c r="AZ291" s="121">
        <f>IFERROR($M291+VLOOKUP($L291,'Voyage days'!$F$540:$H$613,3,FALSE),"")</f>
        <v>46131</v>
      </c>
      <c r="BA291" s="121">
        <f>IFERROR($N291+VLOOKUP($L291,'Voyage days'!$F$540:$H$613,3,FALSE),"")</f>
        <v>46133</v>
      </c>
      <c r="BB291" s="120" t="str">
        <f t="shared" si="34"/>
        <v>18-20 Apr</v>
      </c>
      <c r="BC291" s="121">
        <f>IFERROR($M291+VLOOKUP($L291,'Voyage days'!$F$448:$H$479,3,FALSE),"")</f>
        <v>46130</v>
      </c>
      <c r="BD291" s="121">
        <f>IFERROR($N291+VLOOKUP($L291,'Voyage days'!$F$448:$H$479,3,FALSE),"")</f>
        <v>46132</v>
      </c>
      <c r="BE291" s="120" t="str">
        <f t="shared" si="35"/>
        <v/>
      </c>
      <c r="BF291" s="122" t="str">
        <f>IFERROR($M291+VLOOKUP($L291,'Voyage days'!$F$620:$H$646,3,FALSE),"")</f>
        <v/>
      </c>
      <c r="BG291" s="122" t="str">
        <f>IFERROR($N291+VLOOKUP($L291,'Voyage days'!$F$620:$H$646,3,FALSE),"")</f>
        <v/>
      </c>
      <c r="BH291" s="120" t="str">
        <f t="shared" si="36"/>
        <v>23-24 May</v>
      </c>
      <c r="BI291" s="123">
        <f>IFERROR($M291+VLOOKUP($L291,'Voyage days'!$F$702:$H$727,3,FALSE),"")</f>
        <v>46135</v>
      </c>
      <c r="BJ291" s="120" t="str">
        <f t="shared" si="37"/>
        <v>22-24 May</v>
      </c>
      <c r="BK291" s="122">
        <f>IFERROR($M291+VLOOKUP($L291,'Voyage days'!$F$807:$H$878,3,FALSE),"")</f>
        <v>46164</v>
      </c>
      <c r="BL291" s="122">
        <f>IFERROR($N291+VLOOKUP($L291,'Voyage days'!$F$807:$H$878,3,FALSE),"")</f>
        <v>46166</v>
      </c>
      <c r="BM291" s="122">
        <f>IFERROR($N291+VLOOKUP($L291,'Voyage days'!$F$807:$K$878,6,FALSE),"")</f>
        <v>46142</v>
      </c>
      <c r="BN291" s="121" t="str">
        <f>if(L291="loads AG", IFERROR($M291+VLOOKUP($L291,'Voyage days'!$M$38:$O$38,3,FALSE),""),"")</f>
        <v/>
      </c>
      <c r="BO291" s="121" t="str">
        <f>if(L291="loads USG", IFERROR($M291+VLOOKUP($L291,'Voyage days'!$L$203:$N$203,3,FALSE),""),"")</f>
        <v/>
      </c>
    </row>
    <row r="292" ht="15.75" customHeight="1">
      <c r="A292" s="673" t="s">
        <v>1385</v>
      </c>
      <c r="B292" s="101">
        <v>42297.0</v>
      </c>
      <c r="C292" s="102">
        <v>83000.0</v>
      </c>
      <c r="D292" s="103"/>
      <c r="E292" s="103"/>
      <c r="F292" s="104"/>
      <c r="G292" s="104"/>
      <c r="H292" s="104"/>
      <c r="I292" s="401" t="s">
        <v>1330</v>
      </c>
      <c r="J292" s="106" t="s">
        <v>1386</v>
      </c>
      <c r="K292" s="107"/>
      <c r="L292" s="108" t="s">
        <v>680</v>
      </c>
      <c r="M292" s="109">
        <v>46133.0</v>
      </c>
      <c r="N292" s="109">
        <v>46134.0</v>
      </c>
      <c r="O292" s="191"/>
      <c r="P292" s="108" t="s">
        <v>1387</v>
      </c>
      <c r="Q292" s="185"/>
      <c r="R292" s="108" t="s">
        <v>1388</v>
      </c>
      <c r="S292" s="256" t="s">
        <v>659</v>
      </c>
      <c r="T292" s="113">
        <v>46124.0</v>
      </c>
      <c r="U292" s="114" t="s">
        <v>1389</v>
      </c>
      <c r="V292" s="115" t="s">
        <v>570</v>
      </c>
      <c r="W292" s="116" t="s">
        <v>570</v>
      </c>
      <c r="X292" s="115" t="s">
        <v>26</v>
      </c>
      <c r="Y292" s="296" t="str">
        <f t="shared" si="43"/>
        <v/>
      </c>
      <c r="Z292" s="296" t="str">
        <f t="shared" si="44"/>
        <v>21-22 Apr</v>
      </c>
      <c r="AA292" s="296" t="str">
        <f t="shared" si="45"/>
        <v>21-22 Apr</v>
      </c>
      <c r="AB292" s="296" t="str">
        <f t="shared" si="46"/>
        <v/>
      </c>
      <c r="AC292" s="296" t="str">
        <f t="shared" si="47"/>
        <v>11-12 May</v>
      </c>
      <c r="AD292" s="296" t="str">
        <f t="shared" si="48"/>
        <v/>
      </c>
      <c r="AE292" s="297" t="str">
        <f t="shared" si="49"/>
        <v/>
      </c>
      <c r="AF292" s="119" t="str">
        <f t="shared" si="50"/>
        <v/>
      </c>
      <c r="AG292" s="120" t="str">
        <f t="shared" si="51"/>
        <v/>
      </c>
      <c r="AH292" s="121" t="str">
        <f>IFERROR($M292+VLOOKUP($L292,'Voyage days'!$F$38:$H$89,3,FALSE),"")</f>
        <v/>
      </c>
      <c r="AI292" s="121" t="str">
        <f>IFERROR(N292+VLOOKUP($L292,'Voyage days'!$F$38:$H$89,3,FALSE),"")</f>
        <v/>
      </c>
      <c r="AJ292" s="120" t="str">
        <f t="shared" si="28"/>
        <v>21-22 Apr</v>
      </c>
      <c r="AK292" s="121">
        <f>IFERROR($M292+VLOOKUP($L292,'Voyage days'!$F$94:$H$193,3,FALSE),"")</f>
        <v>46133</v>
      </c>
      <c r="AL292" s="121">
        <f>IFERROR($N292+VLOOKUP($L292,'Voyage days'!$F$94:$H$193,3,FALSE),"")</f>
        <v>46134</v>
      </c>
      <c r="AM292" s="120" t="str">
        <f t="shared" si="29"/>
        <v>21-22 Apr</v>
      </c>
      <c r="AN292" s="121">
        <f>IFERROR($M292+VLOOKUP($L292,'Voyage days'!$F$203:$H$256,3,FALSE),"")</f>
        <v>46133</v>
      </c>
      <c r="AO292" s="121">
        <f>IFERROR($N292+VLOOKUP($L292,'Voyage days'!$F$203:$H$256,3,FALSE),"")</f>
        <v>46134</v>
      </c>
      <c r="AP292" s="120" t="str">
        <f t="shared" si="30"/>
        <v/>
      </c>
      <c r="AQ292" s="121" t="str">
        <f>IFERROR($M292+VLOOKUP($L292,'Voyage days'!$F$294:$H$377,3,FALSE),"")</f>
        <v/>
      </c>
      <c r="AR292" s="121" t="str">
        <f>IFERROR($N292+VLOOKUP($L292,'Voyage days'!$F$294:$H$377,3,FALSE),"")</f>
        <v/>
      </c>
      <c r="AS292" s="120" t="str">
        <f t="shared" si="31"/>
        <v>11-12 May</v>
      </c>
      <c r="AT292" s="121">
        <f>IFERROR($M292+VLOOKUP($L292,'Voyage days'!$F$382:$H$446,3,FALSE),"")</f>
        <v>46153</v>
      </c>
      <c r="AU292" s="121">
        <f>IFERROR($N292+VLOOKUP($L292,'Voyage days'!$F$382:$H$446,3,FALSE),"")</f>
        <v>46154</v>
      </c>
      <c r="AV292" s="120" t="str">
        <f t="shared" si="32"/>
        <v/>
      </c>
      <c r="AW292" s="121" t="str">
        <f>IFERROR($M292+VLOOKUP($L292,'Voyage days'!$F$483:$H$538,3,FALSE),"")</f>
        <v/>
      </c>
      <c r="AX292" s="121" t="str">
        <f>IFERROR($N292+VLOOKUP($L292,'Voyage days'!$F$483:$H$538,3,FALSE),"")</f>
        <v/>
      </c>
      <c r="AY292" s="120" t="str">
        <f t="shared" si="33"/>
        <v/>
      </c>
      <c r="AZ292" s="121" t="str">
        <f>IFERROR($M292+VLOOKUP($L292,'Voyage days'!$F$540:$H$613,3,FALSE),"")</f>
        <v/>
      </c>
      <c r="BA292" s="121" t="str">
        <f>IFERROR($N292+VLOOKUP($L292,'Voyage days'!$F$540:$H$613,3,FALSE),"")</f>
        <v/>
      </c>
      <c r="BB292" s="120" t="str">
        <f t="shared" si="34"/>
        <v/>
      </c>
      <c r="BC292" s="121" t="str">
        <f>IFERROR($M292+VLOOKUP($L292,'Voyage days'!$F$448:$H$479,3,FALSE),"")</f>
        <v/>
      </c>
      <c r="BD292" s="121" t="str">
        <f>IFERROR($N292+VLOOKUP($L292,'Voyage days'!$F$448:$H$479,3,FALSE),"")</f>
        <v/>
      </c>
      <c r="BE292" s="120" t="str">
        <f t="shared" si="35"/>
        <v/>
      </c>
      <c r="BF292" s="122" t="str">
        <f>IFERROR($M292+VLOOKUP($L292,'Voyage days'!$F$620:$H$646,3,FALSE),"")</f>
        <v/>
      </c>
      <c r="BG292" s="122" t="str">
        <f>IFERROR($N292+VLOOKUP($L292,'Voyage days'!$F$620:$H$646,3,FALSE),"")</f>
        <v/>
      </c>
      <c r="BH292" s="120" t="str">
        <f t="shared" si="36"/>
        <v/>
      </c>
      <c r="BI292" s="123" t="str">
        <f>IFERROR($M292+VLOOKUP($L292,'Voyage days'!$F$702:$H$727,3,FALSE),"")</f>
        <v/>
      </c>
      <c r="BJ292" s="120" t="str">
        <f t="shared" si="37"/>
        <v/>
      </c>
      <c r="BK292" s="122" t="str">
        <f>IFERROR($M292+VLOOKUP($L292,'Voyage days'!$F$807:$H$878,3,FALSE),"")</f>
        <v/>
      </c>
      <c r="BL292" s="122" t="str">
        <f>IFERROR($N292+VLOOKUP($L292,'Voyage days'!$F$807:$H$878,3,FALSE),"")</f>
        <v/>
      </c>
      <c r="BM292" s="122" t="str">
        <f>IFERROR($N292+VLOOKUP($L292,'Voyage days'!$F$807:$K$878,6,FALSE),"")</f>
        <v/>
      </c>
      <c r="BN292" s="121" t="str">
        <f>if(L292="loads AG", IFERROR($M292+VLOOKUP($L292,'Voyage days'!$M$38:$O$38,3,FALSE),""),"")</f>
        <v/>
      </c>
      <c r="BO292" s="121">
        <f>if(L292="loads USG", IFERROR($M292+VLOOKUP($L292,'Voyage days'!$L$203:$N$203,3,FALSE),""),"")</f>
        <v>46165</v>
      </c>
    </row>
    <row r="293" ht="15.75" customHeight="1">
      <c r="A293" s="342" t="s">
        <v>1390</v>
      </c>
      <c r="B293" s="202">
        <v>2011.0</v>
      </c>
      <c r="C293" s="203">
        <v>80000.0</v>
      </c>
      <c r="D293" s="103"/>
      <c r="E293" s="103"/>
      <c r="F293" s="104"/>
      <c r="G293" s="104"/>
      <c r="H293" s="104" t="s">
        <v>666</v>
      </c>
      <c r="I293" s="401" t="s">
        <v>1330</v>
      </c>
      <c r="J293" s="106" t="str">
        <f t="shared" ref="J293:J302" si="54">IF(W293="","NO AIS",IF((W293-M293-1)&gt;0,"Update",""))</f>
        <v>NO AIS</v>
      </c>
      <c r="K293" s="205"/>
      <c r="L293" s="108" t="s">
        <v>755</v>
      </c>
      <c r="M293" s="109">
        <v>46142.0</v>
      </c>
      <c r="N293" s="109">
        <v>46143.0</v>
      </c>
      <c r="O293" s="191" t="s">
        <v>1314</v>
      </c>
      <c r="P293" s="108" t="s">
        <v>1391</v>
      </c>
      <c r="Q293" s="108"/>
      <c r="R293" s="108" t="s">
        <v>1392</v>
      </c>
      <c r="S293" s="256" t="s">
        <v>659</v>
      </c>
      <c r="T293" s="113">
        <v>46124.0</v>
      </c>
      <c r="U293" s="114" t="str">
        <f>IF(V293="","No AIS",VLOOKUP(V293,'Voyage days'!$A$3:$B$1480,2,FALSE))</f>
        <v>No AIS</v>
      </c>
      <c r="V293" s="115" t="str">
        <f>IF(VLOOKUP(A293,'1) Kpler'!$E$2:$P$1000,8, FALSE)="","",VLOOKUP(A293,'1) Kpler'!$E$2:$P$1000,8, FALSE))</f>
        <v/>
      </c>
      <c r="W293" s="116" t="str">
        <f>IF(VLOOKUP(A293,'1) Kpler'!$E$2:$P$1000,9,FALSE)="","",VLOOKUP(A293,'1) Kpler'!$E$2:$P$1000,9,FALSE))</f>
        <v/>
      </c>
      <c r="X293" s="115" t="str">
        <f>VLOOKUP(A293,'1) Kpler'!$E$2:$I$1000,4,FALSE)</f>
        <v>loaded</v>
      </c>
      <c r="Y293" s="160" t="str">
        <f t="shared" si="43"/>
        <v>11-12 May</v>
      </c>
      <c r="Z293" s="160" t="str">
        <f t="shared" si="44"/>
        <v>08-09 Jun</v>
      </c>
      <c r="AA293" s="160" t="str">
        <f t="shared" si="45"/>
        <v>06-07 Jun</v>
      </c>
      <c r="AB293" s="160" t="str">
        <f t="shared" si="46"/>
        <v>20-21 May</v>
      </c>
      <c r="AC293" s="160" t="str">
        <f t="shared" si="47"/>
        <v>29-30 May</v>
      </c>
      <c r="AD293" s="160" t="str">
        <f t="shared" si="48"/>
        <v>03-04 May</v>
      </c>
      <c r="AE293" s="161" t="str">
        <f t="shared" si="49"/>
        <v>04-05 May</v>
      </c>
      <c r="AF293" s="162" t="str">
        <f t="shared" si="50"/>
        <v>06-07 Jun</v>
      </c>
      <c r="AG293" s="120" t="str">
        <f t="shared" si="51"/>
        <v>11-12 May</v>
      </c>
      <c r="AH293" s="121">
        <f>IFERROR($M293+VLOOKUP($L293,'Voyage days'!$F$38:$H$89,3,FALSE),"")</f>
        <v>46153</v>
      </c>
      <c r="AI293" s="121">
        <f>IFERROR(N293+VLOOKUP($L293,'Voyage days'!$F$38:$H$89,3,FALSE),"")</f>
        <v>46154</v>
      </c>
      <c r="AJ293" s="120" t="str">
        <f t="shared" si="28"/>
        <v>08-09 Jun</v>
      </c>
      <c r="AK293" s="121">
        <f>IFERROR($M293+VLOOKUP($L293,'Voyage days'!$F$94:$H$193,3,FALSE),"")</f>
        <v>46181</v>
      </c>
      <c r="AL293" s="121">
        <f>IFERROR($N293+VLOOKUP($L293,'Voyage days'!$F$94:$H$193,3,FALSE),"")</f>
        <v>46182</v>
      </c>
      <c r="AM293" s="120" t="str">
        <f t="shared" si="29"/>
        <v>06-07 Jun</v>
      </c>
      <c r="AN293" s="121">
        <f>IFERROR($M293+VLOOKUP($L293,'Voyage days'!$F$203:$H$256,3,FALSE),"")</f>
        <v>46179</v>
      </c>
      <c r="AO293" s="121">
        <f>IFERROR($N293+VLOOKUP($L293,'Voyage days'!$F$203:$H$256,3,FALSE),"")</f>
        <v>46180</v>
      </c>
      <c r="AP293" s="120" t="str">
        <f t="shared" si="30"/>
        <v>20-21 May</v>
      </c>
      <c r="AQ293" s="121">
        <f>IFERROR($M293+VLOOKUP($L293,'Voyage days'!$F$294:$H$377,3,FALSE),"")</f>
        <v>46162</v>
      </c>
      <c r="AR293" s="121">
        <f>IFERROR($N293+VLOOKUP($L293,'Voyage days'!$F$294:$H$377,3,FALSE),"")</f>
        <v>46163</v>
      </c>
      <c r="AS293" s="120" t="str">
        <f t="shared" si="31"/>
        <v>29-30 May</v>
      </c>
      <c r="AT293" s="121">
        <f>IFERROR($M293+VLOOKUP($L293,'Voyage days'!$F$382:$H$446,3,FALSE),"")</f>
        <v>46171</v>
      </c>
      <c r="AU293" s="121">
        <f>IFERROR($N293+VLOOKUP($L293,'Voyage days'!$F$382:$H$446,3,FALSE),"")</f>
        <v>46172</v>
      </c>
      <c r="AV293" s="120" t="str">
        <f t="shared" si="32"/>
        <v>09-10 May</v>
      </c>
      <c r="AW293" s="121">
        <f>IFERROR($M293+VLOOKUP($L293,'Voyage days'!$F$483:$H$538,3,FALSE),"")</f>
        <v>46151</v>
      </c>
      <c r="AX293" s="121">
        <f>IFERROR($N293+VLOOKUP($L293,'Voyage days'!$F$483:$H$538,3,FALSE),"")</f>
        <v>46152</v>
      </c>
      <c r="AY293" s="120" t="str">
        <f t="shared" si="33"/>
        <v>04-05 May</v>
      </c>
      <c r="AZ293" s="121">
        <f>IFERROR($M293+VLOOKUP($L293,'Voyage days'!$F$540:$H$613,3,FALSE),"")</f>
        <v>46146</v>
      </c>
      <c r="BA293" s="121">
        <f>IFERROR($N293+VLOOKUP($L293,'Voyage days'!$F$540:$H$613,3,FALSE),"")</f>
        <v>46147</v>
      </c>
      <c r="BB293" s="120" t="str">
        <f t="shared" si="34"/>
        <v>03-04 May</v>
      </c>
      <c r="BC293" s="121">
        <f>IFERROR($M293+VLOOKUP($L293,'Voyage days'!$F$448:$H$479,3,FALSE),"")</f>
        <v>46145</v>
      </c>
      <c r="BD293" s="121">
        <f>IFERROR($N293+VLOOKUP($L293,'Voyage days'!$F$448:$H$479,3,FALSE),"")</f>
        <v>46146</v>
      </c>
      <c r="BE293" s="120" t="str">
        <f t="shared" si="35"/>
        <v/>
      </c>
      <c r="BF293" s="122" t="str">
        <f>IFERROR($M293+VLOOKUP($L293,'Voyage days'!$F$620:$H$646,3,FALSE),"")</f>
        <v/>
      </c>
      <c r="BG293" s="122" t="str">
        <f>IFERROR($N293+VLOOKUP($L293,'Voyage days'!$F$620:$H$646,3,FALSE),"")</f>
        <v/>
      </c>
      <c r="BH293" s="120" t="str">
        <f t="shared" si="36"/>
        <v>08-07 Jun</v>
      </c>
      <c r="BI293" s="123">
        <f>IFERROR($M293+VLOOKUP($L293,'Voyage days'!$F$702:$H$727,3,FALSE),"")</f>
        <v>46150</v>
      </c>
      <c r="BJ293" s="120" t="str">
        <f t="shared" si="37"/>
        <v>06-07 Jun</v>
      </c>
      <c r="BK293" s="122">
        <f>IFERROR($M293+VLOOKUP($L293,'Voyage days'!$F$807:$H$878,3,FALSE),"")</f>
        <v>46179</v>
      </c>
      <c r="BL293" s="122">
        <f>IFERROR($N293+VLOOKUP($L293,'Voyage days'!$F$807:$H$878,3,FALSE),"")</f>
        <v>46180</v>
      </c>
      <c r="BM293" s="122">
        <f>IFERROR($N293+VLOOKUP($L293,'Voyage days'!$F$807:$K$878,6,FALSE),"")</f>
        <v>46156</v>
      </c>
      <c r="BN293" s="121" t="str">
        <f>if(L293="loads AG", IFERROR($M293+VLOOKUP($L293,'Voyage days'!$M$38:$O$38,3,FALSE),""),"")</f>
        <v/>
      </c>
      <c r="BO293" s="121" t="str">
        <f>if(L293="loads USG", IFERROR($M293+VLOOKUP($L293,'Voyage days'!$L$203:$N$203,3,FALSE),""),"")</f>
        <v/>
      </c>
    </row>
    <row r="294" ht="15.75" customHeight="1">
      <c r="A294" s="341" t="s">
        <v>1393</v>
      </c>
      <c r="B294" s="148">
        <v>2023.0</v>
      </c>
      <c r="C294" s="102">
        <v>91000.0</v>
      </c>
      <c r="D294" s="103"/>
      <c r="E294" s="103"/>
      <c r="F294" s="104"/>
      <c r="G294" s="104"/>
      <c r="H294" s="104" t="s">
        <v>666</v>
      </c>
      <c r="I294" s="401" t="s">
        <v>1330</v>
      </c>
      <c r="J294" s="106" t="str">
        <f t="shared" si="54"/>
        <v/>
      </c>
      <c r="K294" s="205" t="s">
        <v>765</v>
      </c>
      <c r="L294" s="108" t="s">
        <v>680</v>
      </c>
      <c r="M294" s="109">
        <v>46152.0</v>
      </c>
      <c r="N294" s="109">
        <v>46153.0</v>
      </c>
      <c r="O294" s="191"/>
      <c r="P294" s="108" t="s">
        <v>1119</v>
      </c>
      <c r="Q294" s="108"/>
      <c r="R294" s="108" t="s">
        <v>1394</v>
      </c>
      <c r="S294" s="256" t="s">
        <v>659</v>
      </c>
      <c r="T294" s="113">
        <v>46124.0</v>
      </c>
      <c r="U294" s="114" t="str">
        <f>IF(V294="","No AIS",VLOOKUP(V294,'Voyage days'!$A$3:$B$1480,2,FALSE))</f>
        <v>USG</v>
      </c>
      <c r="V294" s="115" t="str">
        <f>IF(VLOOKUP(A294,'1) Kpler'!$E$2:$P$1000,8, FALSE)="","",VLOOKUP(A294,'1) Kpler'!$E$2:$P$1000,8, FALSE))</f>
        <v>Houston</v>
      </c>
      <c r="W294" s="116">
        <f>IF(VLOOKUP(A294,'1) Kpler'!$E$2:$P$1000,9,FALSE)="","",VLOOKUP(A294,'1) Kpler'!$E$2:$P$1000,9,FALSE))</f>
        <v>46146.70833</v>
      </c>
      <c r="X294" s="115" t="str">
        <f>VLOOKUP(A294,'1) Kpler'!$E$2:$I$1000,4,FALSE)</f>
        <v>ballast</v>
      </c>
      <c r="Y294" s="160" t="str">
        <f t="shared" si="43"/>
        <v/>
      </c>
      <c r="Z294" s="160" t="str">
        <f t="shared" si="44"/>
        <v>10-11 May</v>
      </c>
      <c r="AA294" s="160" t="str">
        <f t="shared" si="45"/>
        <v>10-11 May</v>
      </c>
      <c r="AB294" s="160" t="str">
        <f t="shared" si="46"/>
        <v/>
      </c>
      <c r="AC294" s="160" t="str">
        <f t="shared" si="47"/>
        <v>30-31 May</v>
      </c>
      <c r="AD294" s="160" t="str">
        <f t="shared" si="48"/>
        <v/>
      </c>
      <c r="AE294" s="161" t="str">
        <f t="shared" si="49"/>
        <v/>
      </c>
      <c r="AF294" s="162" t="str">
        <f t="shared" si="50"/>
        <v/>
      </c>
      <c r="AG294" s="120" t="str">
        <f t="shared" si="51"/>
        <v/>
      </c>
      <c r="AH294" s="121" t="str">
        <f>IFERROR($M294+VLOOKUP($L294,'Voyage days'!$F$38:$H$89,3,FALSE),"")</f>
        <v/>
      </c>
      <c r="AI294" s="121" t="str">
        <f>IFERROR(N294+VLOOKUP($L294,'Voyage days'!$F$38:$H$89,3,FALSE),"")</f>
        <v/>
      </c>
      <c r="AJ294" s="120" t="str">
        <f t="shared" si="28"/>
        <v>10-11 May</v>
      </c>
      <c r="AK294" s="121">
        <f>IFERROR($M294+VLOOKUP($L294,'Voyage days'!$F$94:$H$193,3,FALSE),"")</f>
        <v>46152</v>
      </c>
      <c r="AL294" s="121">
        <f>IFERROR($N294+VLOOKUP($L294,'Voyage days'!$F$94:$H$193,3,FALSE),"")</f>
        <v>46153</v>
      </c>
      <c r="AM294" s="120" t="str">
        <f t="shared" si="29"/>
        <v>10-11 May</v>
      </c>
      <c r="AN294" s="121">
        <f>IFERROR($M294+VLOOKUP($L294,'Voyage days'!$F$203:$H$256,3,FALSE),"")</f>
        <v>46152</v>
      </c>
      <c r="AO294" s="121">
        <f>IFERROR($N294+VLOOKUP($L294,'Voyage days'!$F$203:$H$256,3,FALSE),"")</f>
        <v>46153</v>
      </c>
      <c r="AP294" s="120" t="str">
        <f t="shared" si="30"/>
        <v/>
      </c>
      <c r="AQ294" s="121" t="str">
        <f>IFERROR($M294+VLOOKUP($L294,'Voyage days'!$F$294:$H$377,3,FALSE),"")</f>
        <v/>
      </c>
      <c r="AR294" s="121" t="str">
        <f>IFERROR($N294+VLOOKUP($L294,'Voyage days'!$F$294:$H$377,3,FALSE),"")</f>
        <v/>
      </c>
      <c r="AS294" s="120" t="str">
        <f t="shared" si="31"/>
        <v>30-31 May</v>
      </c>
      <c r="AT294" s="121">
        <f>IFERROR($M294+VLOOKUP($L294,'Voyage days'!$F$382:$H$446,3,FALSE),"")</f>
        <v>46172</v>
      </c>
      <c r="AU294" s="121">
        <f>IFERROR($N294+VLOOKUP($L294,'Voyage days'!$F$382:$H$446,3,FALSE),"")</f>
        <v>46173</v>
      </c>
      <c r="AV294" s="120" t="str">
        <f t="shared" si="32"/>
        <v/>
      </c>
      <c r="AW294" s="121" t="str">
        <f>IFERROR($M294+VLOOKUP($L294,'Voyage days'!$F$483:$H$538,3,FALSE),"")</f>
        <v/>
      </c>
      <c r="AX294" s="121" t="str">
        <f>IFERROR($N294+VLOOKUP($L294,'Voyage days'!$F$483:$H$538,3,FALSE),"")</f>
        <v/>
      </c>
      <c r="AY294" s="120" t="str">
        <f t="shared" si="33"/>
        <v/>
      </c>
      <c r="AZ294" s="121" t="str">
        <f>IFERROR($M294+VLOOKUP($L294,'Voyage days'!$F$540:$H$613,3,FALSE),"")</f>
        <v/>
      </c>
      <c r="BA294" s="121" t="str">
        <f>IFERROR($N294+VLOOKUP($L294,'Voyage days'!$F$540:$H$613,3,FALSE),"")</f>
        <v/>
      </c>
      <c r="BB294" s="120" t="str">
        <f t="shared" si="34"/>
        <v/>
      </c>
      <c r="BC294" s="121" t="str">
        <f>IFERROR($M294+VLOOKUP($L294,'Voyage days'!$F$448:$H$479,3,FALSE),"")</f>
        <v/>
      </c>
      <c r="BD294" s="121" t="str">
        <f>IFERROR($N294+VLOOKUP($L294,'Voyage days'!$F$448:$H$479,3,FALSE),"")</f>
        <v/>
      </c>
      <c r="BE294" s="120" t="str">
        <f t="shared" si="35"/>
        <v/>
      </c>
      <c r="BF294" s="122" t="str">
        <f>IFERROR($M294+VLOOKUP($L294,'Voyage days'!$F$620:$H$646,3,FALSE),"")</f>
        <v/>
      </c>
      <c r="BG294" s="122" t="str">
        <f>IFERROR($N294+VLOOKUP($L294,'Voyage days'!$F$620:$H$646,3,FALSE),"")</f>
        <v/>
      </c>
      <c r="BH294" s="120" t="str">
        <f t="shared" si="36"/>
        <v/>
      </c>
      <c r="BI294" s="123" t="str">
        <f>IFERROR($M294+VLOOKUP($L294,'Voyage days'!$F$702:$H$727,3,FALSE),"")</f>
        <v/>
      </c>
      <c r="BJ294" s="120" t="str">
        <f t="shared" si="37"/>
        <v/>
      </c>
      <c r="BK294" s="122" t="str">
        <f>IFERROR($M294+VLOOKUP($L294,'Voyage days'!$F$807:$H$878,3,FALSE),"")</f>
        <v/>
      </c>
      <c r="BL294" s="122" t="str">
        <f>IFERROR($N294+VLOOKUP($L294,'Voyage days'!$F$807:$H$878,3,FALSE),"")</f>
        <v/>
      </c>
      <c r="BM294" s="122" t="str">
        <f>IFERROR($N294+VLOOKUP($L294,'Voyage days'!$F$807:$K$878,6,FALSE),"")</f>
        <v/>
      </c>
      <c r="BN294" s="121" t="str">
        <f>if(L294="loads AG", IFERROR($M294+VLOOKUP($L294,'Voyage days'!$M$38:$O$38,3,FALSE),""),"")</f>
        <v/>
      </c>
      <c r="BO294" s="121">
        <f>if(L294="loads USG", IFERROR($M294+VLOOKUP($L294,'Voyage days'!$L$203:$N$203,3,FALSE),""),"")</f>
        <v>46184</v>
      </c>
    </row>
    <row r="295" ht="15.75" customHeight="1">
      <c r="A295" s="147" t="s">
        <v>1395</v>
      </c>
      <c r="B295" s="101">
        <v>42460.0</v>
      </c>
      <c r="C295" s="203">
        <v>83839.0</v>
      </c>
      <c r="D295" s="103"/>
      <c r="E295" s="103"/>
      <c r="F295" s="104"/>
      <c r="G295" s="104"/>
      <c r="H295" s="104" t="s">
        <v>666</v>
      </c>
      <c r="I295" s="401" t="s">
        <v>1330</v>
      </c>
      <c r="J295" s="106" t="str">
        <f t="shared" si="54"/>
        <v/>
      </c>
      <c r="K295" s="107"/>
      <c r="L295" s="108" t="s">
        <v>680</v>
      </c>
      <c r="M295" s="109">
        <v>46148.0</v>
      </c>
      <c r="N295" s="109">
        <v>46149.0</v>
      </c>
      <c r="O295" s="191"/>
      <c r="P295" s="187" t="s">
        <v>1396</v>
      </c>
      <c r="Q295" s="108"/>
      <c r="R295" s="108" t="s">
        <v>1397</v>
      </c>
      <c r="S295" s="256" t="s">
        <v>659</v>
      </c>
      <c r="T295" s="113">
        <v>46124.0</v>
      </c>
      <c r="U295" s="114" t="str">
        <f>IF(V295="","No AIS",VLOOKUP(V295,'Voyage days'!$A$3:$B$1480,2,FALSE))</f>
        <v>Panama</v>
      </c>
      <c r="V295" s="115" t="str">
        <f>IF(VLOOKUP(A295,'1) Kpler'!$E$2:$P$1000,8, FALSE)="","",VLOOKUP(A295,'1) Kpler'!$E$2:$P$1000,8, FALSE))</f>
        <v>Panama Canal</v>
      </c>
      <c r="W295" s="116">
        <f>IF(VLOOKUP(A295,'1) Kpler'!$E$2:$P$1000,9,FALSE)="","",VLOOKUP(A295,'1) Kpler'!$E$2:$P$1000,9,FALSE))</f>
        <v>46137.375</v>
      </c>
      <c r="X295" s="115" t="str">
        <f>VLOOKUP(A295,'1) Kpler'!$E$2:$I$1000,4,FALSE)</f>
        <v>ballast</v>
      </c>
      <c r="Y295" s="160" t="str">
        <f t="shared" si="43"/>
        <v/>
      </c>
      <c r="Z295" s="160" t="str">
        <f t="shared" si="44"/>
        <v>06-07 May</v>
      </c>
      <c r="AA295" s="160" t="str">
        <f t="shared" si="45"/>
        <v>06-07 May</v>
      </c>
      <c r="AB295" s="160" t="str">
        <f t="shared" si="46"/>
        <v/>
      </c>
      <c r="AC295" s="160" t="str">
        <f t="shared" si="47"/>
        <v>26-27 May</v>
      </c>
      <c r="AD295" s="160" t="str">
        <f t="shared" si="48"/>
        <v/>
      </c>
      <c r="AE295" s="161" t="str">
        <f t="shared" si="49"/>
        <v/>
      </c>
      <c r="AF295" s="162" t="str">
        <f t="shared" si="50"/>
        <v/>
      </c>
      <c r="AG295" s="120" t="str">
        <f t="shared" si="51"/>
        <v/>
      </c>
      <c r="AH295" s="121" t="str">
        <f>IFERROR($M295+VLOOKUP($L295,'Voyage days'!$F$38:$H$89,3,FALSE),"")</f>
        <v/>
      </c>
      <c r="AI295" s="121" t="str">
        <f>IFERROR(N295+VLOOKUP($L295,'Voyage days'!$F$38:$H$89,3,FALSE),"")</f>
        <v/>
      </c>
      <c r="AJ295" s="120" t="str">
        <f t="shared" si="28"/>
        <v>06-07 May</v>
      </c>
      <c r="AK295" s="121">
        <f>IFERROR($M295+VLOOKUP($L295,'Voyage days'!$F$94:$H$193,3,FALSE),"")</f>
        <v>46148</v>
      </c>
      <c r="AL295" s="121">
        <f>IFERROR($N295+VLOOKUP($L295,'Voyage days'!$F$94:$H$193,3,FALSE),"")</f>
        <v>46149</v>
      </c>
      <c r="AM295" s="120" t="str">
        <f t="shared" si="29"/>
        <v>06-07 May</v>
      </c>
      <c r="AN295" s="121">
        <f>IFERROR($M295+VLOOKUP($L295,'Voyage days'!$F$203:$H$256,3,FALSE),"")</f>
        <v>46148</v>
      </c>
      <c r="AO295" s="121">
        <f>IFERROR($N295+VLOOKUP($L295,'Voyage days'!$F$203:$H$256,3,FALSE),"")</f>
        <v>46149</v>
      </c>
      <c r="AP295" s="120" t="str">
        <f t="shared" si="30"/>
        <v/>
      </c>
      <c r="AQ295" s="121" t="str">
        <f>IFERROR($M295+VLOOKUP($L295,'Voyage days'!$F$294:$H$377,3,FALSE),"")</f>
        <v/>
      </c>
      <c r="AR295" s="121" t="str">
        <f>IFERROR($N295+VLOOKUP($L295,'Voyage days'!$F$294:$H$377,3,FALSE),"")</f>
        <v/>
      </c>
      <c r="AS295" s="120" t="str">
        <f t="shared" si="31"/>
        <v>26-27 May</v>
      </c>
      <c r="AT295" s="121">
        <f>IFERROR($M295+VLOOKUP($L295,'Voyage days'!$F$382:$H$446,3,FALSE),"")</f>
        <v>46168</v>
      </c>
      <c r="AU295" s="121">
        <f>IFERROR($N295+VLOOKUP($L295,'Voyage days'!$F$382:$H$446,3,FALSE),"")</f>
        <v>46169</v>
      </c>
      <c r="AV295" s="120" t="str">
        <f t="shared" si="32"/>
        <v/>
      </c>
      <c r="AW295" s="121" t="str">
        <f>IFERROR($M295+VLOOKUP($L295,'Voyage days'!$F$483:$H$538,3,FALSE),"")</f>
        <v/>
      </c>
      <c r="AX295" s="121" t="str">
        <f>IFERROR($N295+VLOOKUP($L295,'Voyage days'!$F$483:$H$538,3,FALSE),"")</f>
        <v/>
      </c>
      <c r="AY295" s="120" t="str">
        <f t="shared" si="33"/>
        <v/>
      </c>
      <c r="AZ295" s="121" t="str">
        <f>IFERROR($M295+VLOOKUP($L295,'Voyage days'!$F$540:$H$613,3,FALSE),"")</f>
        <v/>
      </c>
      <c r="BA295" s="121" t="str">
        <f>IFERROR($N295+VLOOKUP($L295,'Voyage days'!$F$540:$H$613,3,FALSE),"")</f>
        <v/>
      </c>
      <c r="BB295" s="120" t="str">
        <f t="shared" si="34"/>
        <v/>
      </c>
      <c r="BC295" s="121" t="str">
        <f>IFERROR($M295+VLOOKUP($L295,'Voyage days'!$F$448:$H$479,3,FALSE),"")</f>
        <v/>
      </c>
      <c r="BD295" s="121" t="str">
        <f>IFERROR($N295+VLOOKUP($L295,'Voyage days'!$F$448:$H$479,3,FALSE),"")</f>
        <v/>
      </c>
      <c r="BE295" s="120" t="str">
        <f t="shared" si="35"/>
        <v/>
      </c>
      <c r="BF295" s="122" t="str">
        <f>IFERROR($M295+VLOOKUP($L295,'Voyage days'!$F$620:$H$646,3,FALSE),"")</f>
        <v/>
      </c>
      <c r="BG295" s="122" t="str">
        <f>IFERROR($N295+VLOOKUP($L295,'Voyage days'!$F$620:$H$646,3,FALSE),"")</f>
        <v/>
      </c>
      <c r="BH295" s="120" t="str">
        <f t="shared" si="36"/>
        <v/>
      </c>
      <c r="BI295" s="123" t="str">
        <f>IFERROR($M295+VLOOKUP($L295,'Voyage days'!$F$702:$H$727,3,FALSE),"")</f>
        <v/>
      </c>
      <c r="BJ295" s="120" t="str">
        <f t="shared" si="37"/>
        <v/>
      </c>
      <c r="BK295" s="122" t="str">
        <f>IFERROR($M295+VLOOKUP($L295,'Voyage days'!$F$807:$H$878,3,FALSE),"")</f>
        <v/>
      </c>
      <c r="BL295" s="122" t="str">
        <f>IFERROR($N295+VLOOKUP($L295,'Voyage days'!$F$807:$H$878,3,FALSE),"")</f>
        <v/>
      </c>
      <c r="BM295" s="122" t="str">
        <f>IFERROR($N295+VLOOKUP($L295,'Voyage days'!$F$807:$K$878,6,FALSE),"")</f>
        <v/>
      </c>
      <c r="BN295" s="121" t="str">
        <f>if(L295="loads AG", IFERROR($M295+VLOOKUP($L295,'Voyage days'!$M$38:$O$38,3,FALSE),""),"")</f>
        <v/>
      </c>
      <c r="BO295" s="121">
        <f>if(L295="loads USG", IFERROR($M295+VLOOKUP($L295,'Voyage days'!$L$203:$N$203,3,FALSE),""),"")</f>
        <v>46180</v>
      </c>
    </row>
    <row r="296" ht="15.75" customHeight="1">
      <c r="A296" s="147" t="s">
        <v>1398</v>
      </c>
      <c r="B296" s="101">
        <v>42501.0</v>
      </c>
      <c r="C296" s="203">
        <v>84134.0</v>
      </c>
      <c r="D296" s="103"/>
      <c r="E296" s="103"/>
      <c r="F296" s="104"/>
      <c r="G296" s="104"/>
      <c r="H296" s="104" t="s">
        <v>666</v>
      </c>
      <c r="I296" s="303" t="s">
        <v>1399</v>
      </c>
      <c r="J296" s="106" t="str">
        <f t="shared" si="54"/>
        <v>Update</v>
      </c>
      <c r="K296" s="107"/>
      <c r="L296" s="108" t="s">
        <v>720</v>
      </c>
      <c r="M296" s="109">
        <v>46126.0</v>
      </c>
      <c r="N296" s="109">
        <v>46127.0</v>
      </c>
      <c r="O296" s="191"/>
      <c r="P296" s="108" t="s">
        <v>1400</v>
      </c>
      <c r="Q296" s="108"/>
      <c r="R296" s="108" t="s">
        <v>1401</v>
      </c>
      <c r="S296" s="112" t="s">
        <v>659</v>
      </c>
      <c r="T296" s="113">
        <v>46124.0</v>
      </c>
      <c r="U296" s="114" t="str">
        <f>IF(V296="","No AIS",VLOOKUP(V296,'Voyage days'!$A$3:$B$1480,2,FALSE))</f>
        <v>+14 days open Far East</v>
      </c>
      <c r="V296" s="115" t="str">
        <f>IF(VLOOKUP(A296,'1) Kpler'!$E$2:$P$1000,8, FALSE)="","",VLOOKUP(A296,'1) Kpler'!$E$2:$P$1000,8, FALSE))</f>
        <v>Ferndale</v>
      </c>
      <c r="W296" s="116">
        <f>IF(VLOOKUP(A296,'1) Kpler'!$E$2:$P$1000,9,FALSE)="","",VLOOKUP(A296,'1) Kpler'!$E$2:$P$1000,9,FALSE))</f>
        <v>46140.79167</v>
      </c>
      <c r="X296" s="115" t="str">
        <f>VLOOKUP(A296,'1) Kpler'!$E$2:$I$1000,4,FALSE)</f>
        <v>ballast</v>
      </c>
      <c r="Y296" s="296" t="str">
        <f t="shared" si="43"/>
        <v>02-03 May</v>
      </c>
      <c r="Z296" s="296" t="str">
        <f t="shared" si="44"/>
        <v>18-19 May</v>
      </c>
      <c r="AA296" s="296" t="str">
        <f t="shared" si="45"/>
        <v>25-26 May</v>
      </c>
      <c r="AB296" s="296" t="str">
        <f t="shared" si="46"/>
        <v>13-14 May</v>
      </c>
      <c r="AC296" s="296" t="str">
        <f t="shared" si="47"/>
        <v>19-20 May</v>
      </c>
      <c r="AD296" s="296" t="str">
        <f t="shared" si="48"/>
        <v>21-22 Apr</v>
      </c>
      <c r="AE296" s="297" t="str">
        <f t="shared" si="49"/>
        <v>22-23 Apr</v>
      </c>
      <c r="AF296" s="119" t="str">
        <f t="shared" si="50"/>
        <v>29-30 May</v>
      </c>
      <c r="AG296" s="120" t="str">
        <f t="shared" si="51"/>
        <v>02-03 May</v>
      </c>
      <c r="AH296" s="121">
        <f>IFERROR($M296+VLOOKUP($L296,'Voyage days'!$F$38:$H$89,3,FALSE),"")</f>
        <v>46144</v>
      </c>
      <c r="AI296" s="121">
        <f>IFERROR(N296+VLOOKUP($L296,'Voyage days'!$F$38:$H$89,3,FALSE),"")</f>
        <v>46145</v>
      </c>
      <c r="AJ296" s="120" t="str">
        <f t="shared" si="28"/>
        <v>18-19 May</v>
      </c>
      <c r="AK296" s="121">
        <f>IFERROR($M296+VLOOKUP($L296,'Voyage days'!$F$94:$H$193,3,FALSE),"")</f>
        <v>46160</v>
      </c>
      <c r="AL296" s="121">
        <f>IFERROR($N296+VLOOKUP($L296,'Voyage days'!$F$94:$H$193,3,FALSE),"")</f>
        <v>46161</v>
      </c>
      <c r="AM296" s="120" t="str">
        <f t="shared" si="29"/>
        <v>25-26 May</v>
      </c>
      <c r="AN296" s="121">
        <f>IFERROR($M296+VLOOKUP($L296,'Voyage days'!$F$203:$H$256,3,FALSE),"")</f>
        <v>46167</v>
      </c>
      <c r="AO296" s="121">
        <f>IFERROR($N296+VLOOKUP($L296,'Voyage days'!$F$203:$H$256,3,FALSE),"")</f>
        <v>46168</v>
      </c>
      <c r="AP296" s="120" t="str">
        <f t="shared" si="30"/>
        <v>13-14 May</v>
      </c>
      <c r="AQ296" s="121">
        <f>IFERROR($M296+VLOOKUP($L296,'Voyage days'!$F$294:$H$377,3,FALSE),"")</f>
        <v>46155</v>
      </c>
      <c r="AR296" s="121">
        <f>IFERROR($N296+VLOOKUP($L296,'Voyage days'!$F$294:$H$377,3,FALSE),"")</f>
        <v>46156</v>
      </c>
      <c r="AS296" s="120" t="str">
        <f t="shared" si="31"/>
        <v>19-20 May</v>
      </c>
      <c r="AT296" s="121">
        <f>IFERROR($M296+VLOOKUP($L296,'Voyage days'!$F$382:$H$446,3,FALSE),"")</f>
        <v>46161</v>
      </c>
      <c r="AU296" s="121">
        <f>IFERROR($N296+VLOOKUP($L296,'Voyage days'!$F$382:$H$446,3,FALSE),"")</f>
        <v>46162</v>
      </c>
      <c r="AV296" s="120" t="str">
        <f t="shared" si="32"/>
        <v>28-29 Apr</v>
      </c>
      <c r="AW296" s="121">
        <f>IFERROR($M296+VLOOKUP($L296,'Voyage days'!$F$483:$H$538,3,FALSE),"")</f>
        <v>46140</v>
      </c>
      <c r="AX296" s="121">
        <f>IFERROR($N296+VLOOKUP($L296,'Voyage days'!$F$483:$H$538,3,FALSE),"")</f>
        <v>46141</v>
      </c>
      <c r="AY296" s="120" t="str">
        <f t="shared" si="33"/>
        <v>22-23 Apr</v>
      </c>
      <c r="AZ296" s="121">
        <f>IFERROR($M296+VLOOKUP($L296,'Voyage days'!$F$540:$H$613,3,FALSE),"")</f>
        <v>46134</v>
      </c>
      <c r="BA296" s="121">
        <f>IFERROR($N296+VLOOKUP($L296,'Voyage days'!$F$540:$H$613,3,FALSE),"")</f>
        <v>46135</v>
      </c>
      <c r="BB296" s="120" t="str">
        <f t="shared" si="34"/>
        <v>21-22 Apr</v>
      </c>
      <c r="BC296" s="121">
        <f>IFERROR($M296+VLOOKUP($L296,'Voyage days'!$F$448:$H$479,3,FALSE),"")</f>
        <v>46133</v>
      </c>
      <c r="BD296" s="121">
        <f>IFERROR($N296+VLOOKUP($L296,'Voyage days'!$F$448:$H$479,3,FALSE),"")</f>
        <v>46134</v>
      </c>
      <c r="BE296" s="120" t="str">
        <f t="shared" si="35"/>
        <v>25-26 Apr</v>
      </c>
      <c r="BF296" s="122">
        <f>IFERROR($M296+VLOOKUP($L296,'Voyage days'!$F$620:$H$646,3,FALSE),"")</f>
        <v>46137</v>
      </c>
      <c r="BG296" s="122">
        <f>IFERROR($N296+VLOOKUP($L296,'Voyage days'!$F$620:$H$646,3,FALSE),"")</f>
        <v>46138</v>
      </c>
      <c r="BH296" s="120" t="str">
        <f t="shared" si="36"/>
        <v>22-30 May</v>
      </c>
      <c r="BI296" s="123">
        <f>IFERROR($M296+VLOOKUP($L296,'Voyage days'!$F$702:$H$727,3,FALSE),"")</f>
        <v>46134</v>
      </c>
      <c r="BJ296" s="120" t="str">
        <f t="shared" si="37"/>
        <v>29-30 May</v>
      </c>
      <c r="BK296" s="122">
        <f>IFERROR($M296+VLOOKUP($L296,'Voyage days'!$F$807:$H$878,3,FALSE),"")</f>
        <v>46171</v>
      </c>
      <c r="BL296" s="122">
        <f>IFERROR($N296+VLOOKUP($L296,'Voyage days'!$F$807:$H$878,3,FALSE),"")</f>
        <v>46172</v>
      </c>
      <c r="BM296" s="122">
        <f>IFERROR($N296+VLOOKUP($L296,'Voyage days'!$F$807:$K$878,6,FALSE),"")</f>
        <v>46146</v>
      </c>
      <c r="BN296" s="121" t="str">
        <f>if(L296="loads AG", IFERROR($M296+VLOOKUP($L296,'Voyage days'!$M$38:$O$38,3,FALSE),""),"")</f>
        <v/>
      </c>
      <c r="BO296" s="121" t="str">
        <f>if(L296="loads USG", IFERROR($M296+VLOOKUP($L296,'Voyage days'!$L$203:$N$203,3,FALSE),""),"")</f>
        <v/>
      </c>
    </row>
    <row r="297" ht="15.0" customHeight="1">
      <c r="A297" s="147" t="s">
        <v>223</v>
      </c>
      <c r="B297" s="101">
        <v>42752.0</v>
      </c>
      <c r="C297" s="203">
        <v>81653.0</v>
      </c>
      <c r="D297" s="103"/>
      <c r="E297" s="103"/>
      <c r="F297" s="104"/>
      <c r="G297" s="104"/>
      <c r="H297" s="104"/>
      <c r="I297" s="401" t="s">
        <v>1330</v>
      </c>
      <c r="J297" s="106" t="str">
        <f t="shared" si="54"/>
        <v>Update</v>
      </c>
      <c r="K297" s="107"/>
      <c r="L297" s="108" t="s">
        <v>720</v>
      </c>
      <c r="M297" s="109">
        <v>46127.0</v>
      </c>
      <c r="N297" s="109">
        <v>46128.0</v>
      </c>
      <c r="O297" s="191"/>
      <c r="P297" s="108" t="s">
        <v>1402</v>
      </c>
      <c r="Q297" s="108"/>
      <c r="R297" s="108" t="s">
        <v>1403</v>
      </c>
      <c r="S297" s="112" t="s">
        <v>659</v>
      </c>
      <c r="T297" s="113">
        <v>46124.0</v>
      </c>
      <c r="U297" s="114" t="str">
        <f>IF(V297="","No AIS",VLOOKUP(V297,'Voyage days'!$A$3:$B$1480,2,FALSE))</f>
        <v>Panama</v>
      </c>
      <c r="V297" s="115" t="str">
        <f>IF(VLOOKUP(A297,'1) Kpler'!$E$2:$P$1000,8, FALSE)="","",VLOOKUP(A297,'1) Kpler'!$E$2:$P$1000,8, FALSE))</f>
        <v>Panama Canal</v>
      </c>
      <c r="W297" s="116">
        <f>IF(VLOOKUP(A297,'1) Kpler'!$E$2:$P$1000,9,FALSE)="","",VLOOKUP(A297,'1) Kpler'!$E$2:$P$1000,9,FALSE))</f>
        <v>46153.125</v>
      </c>
      <c r="X297" s="115" t="str">
        <f>VLOOKUP(A297,'1) Kpler'!$E$2:$I$1000,4,FALSE)</f>
        <v>ballast</v>
      </c>
      <c r="Y297" s="296" t="str">
        <f t="shared" si="43"/>
        <v>03-04 May</v>
      </c>
      <c r="Z297" s="296" t="str">
        <f t="shared" si="44"/>
        <v>19-20 May</v>
      </c>
      <c r="AA297" s="296" t="str">
        <f t="shared" si="45"/>
        <v>26-27 May</v>
      </c>
      <c r="AB297" s="296" t="str">
        <f t="shared" si="46"/>
        <v>14-15 May</v>
      </c>
      <c r="AC297" s="296" t="str">
        <f t="shared" si="47"/>
        <v>20-21 May</v>
      </c>
      <c r="AD297" s="296" t="str">
        <f t="shared" si="48"/>
        <v>22-23 Apr</v>
      </c>
      <c r="AE297" s="297" t="str">
        <f t="shared" si="49"/>
        <v>23-24 Apr</v>
      </c>
      <c r="AF297" s="119" t="str">
        <f t="shared" si="50"/>
        <v>30-31 May</v>
      </c>
      <c r="AG297" s="120" t="str">
        <f t="shared" si="51"/>
        <v>03-04 May</v>
      </c>
      <c r="AH297" s="121">
        <f>IFERROR($M297+VLOOKUP($L297,'Voyage days'!$F$38:$H$89,3,FALSE),"")</f>
        <v>46145</v>
      </c>
      <c r="AI297" s="121">
        <f>IFERROR(N297+VLOOKUP($L297,'Voyage days'!$F$38:$H$89,3,FALSE),"")</f>
        <v>46146</v>
      </c>
      <c r="AJ297" s="120" t="str">
        <f t="shared" si="28"/>
        <v>19-20 May</v>
      </c>
      <c r="AK297" s="121">
        <f>IFERROR($M297+VLOOKUP($L297,'Voyage days'!$F$94:$H$193,3,FALSE),"")</f>
        <v>46161</v>
      </c>
      <c r="AL297" s="121">
        <f>IFERROR($N297+VLOOKUP($L297,'Voyage days'!$F$94:$H$193,3,FALSE),"")</f>
        <v>46162</v>
      </c>
      <c r="AM297" s="120" t="str">
        <f t="shared" si="29"/>
        <v>26-27 May</v>
      </c>
      <c r="AN297" s="121">
        <f>IFERROR($M297+VLOOKUP($L297,'Voyage days'!$F$203:$H$256,3,FALSE),"")</f>
        <v>46168</v>
      </c>
      <c r="AO297" s="121">
        <f>IFERROR($N297+VLOOKUP($L297,'Voyage days'!$F$203:$H$256,3,FALSE),"")</f>
        <v>46169</v>
      </c>
      <c r="AP297" s="120" t="str">
        <f t="shared" si="30"/>
        <v>14-15 May</v>
      </c>
      <c r="AQ297" s="121">
        <f>IFERROR($M297+VLOOKUP($L297,'Voyage days'!$F$294:$H$377,3,FALSE),"")</f>
        <v>46156</v>
      </c>
      <c r="AR297" s="121">
        <f>IFERROR($N297+VLOOKUP($L297,'Voyage days'!$F$294:$H$377,3,FALSE),"")</f>
        <v>46157</v>
      </c>
      <c r="AS297" s="120" t="str">
        <f t="shared" si="31"/>
        <v>20-21 May</v>
      </c>
      <c r="AT297" s="121">
        <f>IFERROR($M297+VLOOKUP($L297,'Voyage days'!$F$382:$H$446,3,FALSE),"")</f>
        <v>46162</v>
      </c>
      <c r="AU297" s="121">
        <f>IFERROR($N297+VLOOKUP($L297,'Voyage days'!$F$382:$H$446,3,FALSE),"")</f>
        <v>46163</v>
      </c>
      <c r="AV297" s="120" t="str">
        <f t="shared" si="32"/>
        <v>29-30 Apr</v>
      </c>
      <c r="AW297" s="121">
        <f>IFERROR($M297+VLOOKUP($L297,'Voyage days'!$F$483:$H$538,3,FALSE),"")</f>
        <v>46141</v>
      </c>
      <c r="AX297" s="121">
        <f>IFERROR($N297+VLOOKUP($L297,'Voyage days'!$F$483:$H$538,3,FALSE),"")</f>
        <v>46142</v>
      </c>
      <c r="AY297" s="120" t="str">
        <f t="shared" si="33"/>
        <v>23-24 Apr</v>
      </c>
      <c r="AZ297" s="121">
        <f>IFERROR($M297+VLOOKUP($L297,'Voyage days'!$F$540:$H$613,3,FALSE),"")</f>
        <v>46135</v>
      </c>
      <c r="BA297" s="121">
        <f>IFERROR($N297+VLOOKUP($L297,'Voyage days'!$F$540:$H$613,3,FALSE),"")</f>
        <v>46136</v>
      </c>
      <c r="BB297" s="120" t="str">
        <f t="shared" si="34"/>
        <v>22-23 Apr</v>
      </c>
      <c r="BC297" s="121">
        <f>IFERROR($M297+VLOOKUP($L297,'Voyage days'!$F$448:$H$479,3,FALSE),"")</f>
        <v>46134</v>
      </c>
      <c r="BD297" s="121">
        <f>IFERROR($N297+VLOOKUP($L297,'Voyage days'!$F$448:$H$479,3,FALSE),"")</f>
        <v>46135</v>
      </c>
      <c r="BE297" s="120" t="str">
        <f t="shared" si="35"/>
        <v>26-27 Apr</v>
      </c>
      <c r="BF297" s="122">
        <f>IFERROR($M297+VLOOKUP($L297,'Voyage days'!$F$620:$H$646,3,FALSE),"")</f>
        <v>46138</v>
      </c>
      <c r="BG297" s="122">
        <f>IFERROR($N297+VLOOKUP($L297,'Voyage days'!$F$620:$H$646,3,FALSE),"")</f>
        <v>46139</v>
      </c>
      <c r="BH297" s="120" t="str">
        <f t="shared" si="36"/>
        <v>23-31 May</v>
      </c>
      <c r="BI297" s="123">
        <f>IFERROR($M297+VLOOKUP($L297,'Voyage days'!$F$702:$H$727,3,FALSE),"")</f>
        <v>46135</v>
      </c>
      <c r="BJ297" s="120" t="str">
        <f t="shared" si="37"/>
        <v>30-31 May</v>
      </c>
      <c r="BK297" s="122">
        <f>IFERROR($M297+VLOOKUP($L297,'Voyage days'!$F$807:$H$878,3,FALSE),"")</f>
        <v>46172</v>
      </c>
      <c r="BL297" s="122">
        <f>IFERROR($N297+VLOOKUP($L297,'Voyage days'!$F$807:$H$878,3,FALSE),"")</f>
        <v>46173</v>
      </c>
      <c r="BM297" s="122">
        <f>IFERROR($N297+VLOOKUP($L297,'Voyage days'!$F$807:$K$878,6,FALSE),"")</f>
        <v>46147</v>
      </c>
      <c r="BN297" s="121" t="str">
        <f>if(L297="loads AG", IFERROR($M297+VLOOKUP($L297,'Voyage days'!$M$38:$O$38,3,FALSE),""),"")</f>
        <v/>
      </c>
      <c r="BO297" s="121" t="str">
        <f>if(L297="loads USG", IFERROR($M297+VLOOKUP($L297,'Voyage days'!$L$203:$N$203,3,FALSE),""),"")</f>
        <v/>
      </c>
    </row>
    <row r="298" ht="15.75" customHeight="1">
      <c r="A298" s="147" t="s">
        <v>295</v>
      </c>
      <c r="B298" s="148">
        <v>2023.0</v>
      </c>
      <c r="C298" s="102">
        <v>93000.0</v>
      </c>
      <c r="D298" s="112"/>
      <c r="E298" s="112" t="s">
        <v>706</v>
      </c>
      <c r="F298" s="104"/>
      <c r="G298" s="104"/>
      <c r="H298" s="104" t="s">
        <v>666</v>
      </c>
      <c r="I298" s="401" t="s">
        <v>1404</v>
      </c>
      <c r="J298" s="106" t="str">
        <f t="shared" si="54"/>
        <v/>
      </c>
      <c r="K298" s="205" t="s">
        <v>765</v>
      </c>
      <c r="L298" s="108" t="s">
        <v>680</v>
      </c>
      <c r="M298" s="109">
        <v>46158.0</v>
      </c>
      <c r="N298" s="109">
        <v>46159.0</v>
      </c>
      <c r="O298" s="191"/>
      <c r="P298" s="387" t="s">
        <v>1405</v>
      </c>
      <c r="Q298" s="108"/>
      <c r="R298" s="108" t="s">
        <v>1406</v>
      </c>
      <c r="S298" s="112" t="s">
        <v>659</v>
      </c>
      <c r="T298" s="113">
        <v>46124.0</v>
      </c>
      <c r="U298" s="114" t="str">
        <f>IF(V298="","No AIS",VLOOKUP(V298,'Voyage days'!$A$3:$B$1480,2,FALSE))</f>
        <v>USG</v>
      </c>
      <c r="V298" s="115" t="str">
        <f>IF(VLOOKUP(A298,'1) Kpler'!$E$2:$P$1000,8, FALSE)="","",VLOOKUP(A298,'1) Kpler'!$E$2:$P$1000,8, FALSE))</f>
        <v>Energy Transfer Nederland</v>
      </c>
      <c r="W298" s="116">
        <f>IF(VLOOKUP(A298,'1) Kpler'!$E$2:$P$1000,9,FALSE)="","",VLOOKUP(A298,'1) Kpler'!$E$2:$P$1000,9,FALSE))</f>
        <v>46156.45833</v>
      </c>
      <c r="X298" s="115" t="str">
        <f>VLOOKUP(A298,'1) Kpler'!$E$2:$I$1000,4,FALSE)</f>
        <v>ballast</v>
      </c>
      <c r="Y298" s="160" t="str">
        <f t="shared" si="43"/>
        <v/>
      </c>
      <c r="Z298" s="160" t="str">
        <f t="shared" si="44"/>
        <v>16-17 May</v>
      </c>
      <c r="AA298" s="160" t="str">
        <f t="shared" si="45"/>
        <v>16-17 May</v>
      </c>
      <c r="AB298" s="160" t="str">
        <f t="shared" si="46"/>
        <v/>
      </c>
      <c r="AC298" s="160" t="str">
        <f t="shared" si="47"/>
        <v>05-06 Jun</v>
      </c>
      <c r="AD298" s="160" t="str">
        <f t="shared" si="48"/>
        <v/>
      </c>
      <c r="AE298" s="161" t="str">
        <f t="shared" si="49"/>
        <v/>
      </c>
      <c r="AF298" s="162" t="str">
        <f t="shared" si="50"/>
        <v/>
      </c>
      <c r="AG298" s="120" t="str">
        <f t="shared" si="51"/>
        <v/>
      </c>
      <c r="AH298" s="121" t="str">
        <f>IFERROR($M298+VLOOKUP($L298,'Voyage days'!$F$38:$H$89,3,FALSE),"")</f>
        <v/>
      </c>
      <c r="AI298" s="121" t="str">
        <f>IFERROR(N298+VLOOKUP($L298,'Voyage days'!$F$38:$H$89,3,FALSE),"")</f>
        <v/>
      </c>
      <c r="AJ298" s="120" t="str">
        <f t="shared" si="28"/>
        <v>16-17 May</v>
      </c>
      <c r="AK298" s="121">
        <f>IFERROR($M298+VLOOKUP($L298,'Voyage days'!$F$94:$H$193,3,FALSE),"")</f>
        <v>46158</v>
      </c>
      <c r="AL298" s="121">
        <f>IFERROR($N298+VLOOKUP($L298,'Voyage days'!$F$94:$H$193,3,FALSE),"")</f>
        <v>46159</v>
      </c>
      <c r="AM298" s="120" t="str">
        <f t="shared" si="29"/>
        <v>16-17 May</v>
      </c>
      <c r="AN298" s="121">
        <f>IFERROR($M298+VLOOKUP($L298,'Voyage days'!$F$203:$H$256,3,FALSE),"")</f>
        <v>46158</v>
      </c>
      <c r="AO298" s="121">
        <f>IFERROR($N298+VLOOKUP($L298,'Voyage days'!$F$203:$H$256,3,FALSE),"")</f>
        <v>46159</v>
      </c>
      <c r="AP298" s="120" t="str">
        <f t="shared" si="30"/>
        <v/>
      </c>
      <c r="AQ298" s="121" t="str">
        <f>IFERROR($M298+VLOOKUP($L298,'Voyage days'!$F$294:$H$377,3,FALSE),"")</f>
        <v/>
      </c>
      <c r="AR298" s="121" t="str">
        <f>IFERROR($N298+VLOOKUP($L298,'Voyage days'!$F$294:$H$377,3,FALSE),"")</f>
        <v/>
      </c>
      <c r="AS298" s="120" t="str">
        <f t="shared" si="31"/>
        <v>05-06 Jun</v>
      </c>
      <c r="AT298" s="121">
        <f>IFERROR($M298+VLOOKUP($L298,'Voyage days'!$F$382:$H$446,3,FALSE),"")</f>
        <v>46178</v>
      </c>
      <c r="AU298" s="121">
        <f>IFERROR($N298+VLOOKUP($L298,'Voyage days'!$F$382:$H$446,3,FALSE),"")</f>
        <v>46179</v>
      </c>
      <c r="AV298" s="120" t="str">
        <f t="shared" si="32"/>
        <v/>
      </c>
      <c r="AW298" s="121" t="str">
        <f>IFERROR($M298+VLOOKUP($L298,'Voyage days'!$F$483:$H$538,3,FALSE),"")</f>
        <v/>
      </c>
      <c r="AX298" s="121" t="str">
        <f>IFERROR($N298+VLOOKUP($L298,'Voyage days'!$F$483:$H$538,3,FALSE),"")</f>
        <v/>
      </c>
      <c r="AY298" s="120" t="str">
        <f t="shared" si="33"/>
        <v/>
      </c>
      <c r="AZ298" s="121" t="str">
        <f>IFERROR($M298+VLOOKUP($L298,'Voyage days'!$F$540:$H$613,3,FALSE),"")</f>
        <v/>
      </c>
      <c r="BA298" s="121" t="str">
        <f>IFERROR($N298+VLOOKUP($L298,'Voyage days'!$F$540:$H$613,3,FALSE),"")</f>
        <v/>
      </c>
      <c r="BB298" s="120" t="str">
        <f t="shared" si="34"/>
        <v/>
      </c>
      <c r="BC298" s="121" t="str">
        <f>IFERROR($M298+VLOOKUP($L298,'Voyage days'!$F$448:$H$479,3,FALSE),"")</f>
        <v/>
      </c>
      <c r="BD298" s="121" t="str">
        <f>IFERROR($N298+VLOOKUP($L298,'Voyage days'!$F$448:$H$479,3,FALSE),"")</f>
        <v/>
      </c>
      <c r="BE298" s="120" t="str">
        <f t="shared" si="35"/>
        <v/>
      </c>
      <c r="BF298" s="122" t="str">
        <f>IFERROR($M298+VLOOKUP($L298,'Voyage days'!$F$620:$H$646,3,FALSE),"")</f>
        <v/>
      </c>
      <c r="BG298" s="122" t="str">
        <f>IFERROR($N298+VLOOKUP($L298,'Voyage days'!$F$620:$H$646,3,FALSE),"")</f>
        <v/>
      </c>
      <c r="BH298" s="120" t="str">
        <f t="shared" si="36"/>
        <v/>
      </c>
      <c r="BI298" s="123" t="str">
        <f>IFERROR($M298+VLOOKUP($L298,'Voyage days'!$F$702:$H$727,3,FALSE),"")</f>
        <v/>
      </c>
      <c r="BJ298" s="120" t="str">
        <f t="shared" si="37"/>
        <v/>
      </c>
      <c r="BK298" s="122" t="str">
        <f>IFERROR($M298+VLOOKUP($L298,'Voyage days'!$F$807:$H$878,3,FALSE),"")</f>
        <v/>
      </c>
      <c r="BL298" s="122" t="str">
        <f>IFERROR($N298+VLOOKUP($L298,'Voyage days'!$F$807:$H$878,3,FALSE),"")</f>
        <v/>
      </c>
      <c r="BM298" s="122" t="str">
        <f>IFERROR($N298+VLOOKUP($L298,'Voyage days'!$F$807:$K$878,6,FALSE),"")</f>
        <v/>
      </c>
      <c r="BN298" s="121" t="str">
        <f>if(L298="loads AG", IFERROR($M298+VLOOKUP($L298,'Voyage days'!$M$38:$O$38,3,FALSE),""),"")</f>
        <v/>
      </c>
      <c r="BO298" s="121">
        <f>if(L298="loads USG", IFERROR($M298+VLOOKUP($L298,'Voyage days'!$L$203:$N$203,3,FALSE),""),"")</f>
        <v>46190</v>
      </c>
    </row>
    <row r="299" ht="15.75" customHeight="1">
      <c r="A299" s="147" t="s">
        <v>325</v>
      </c>
      <c r="B299" s="148">
        <v>2021.0</v>
      </c>
      <c r="C299" s="102">
        <v>86000.0</v>
      </c>
      <c r="D299" s="112"/>
      <c r="E299" s="112" t="s">
        <v>706</v>
      </c>
      <c r="F299" s="104"/>
      <c r="G299" s="104"/>
      <c r="H299" s="104" t="s">
        <v>666</v>
      </c>
      <c r="I299" s="401" t="s">
        <v>1404</v>
      </c>
      <c r="J299" s="106" t="str">
        <f t="shared" si="54"/>
        <v>NO AIS</v>
      </c>
      <c r="K299" s="107"/>
      <c r="L299" s="108" t="s">
        <v>755</v>
      </c>
      <c r="M299" s="109">
        <v>46132.0</v>
      </c>
      <c r="N299" s="109">
        <v>46133.0</v>
      </c>
      <c r="O299" s="213"/>
      <c r="P299" s="108" t="s">
        <v>1407</v>
      </c>
      <c r="Q299" s="108"/>
      <c r="R299" s="108" t="s">
        <v>1408</v>
      </c>
      <c r="S299" s="112" t="s">
        <v>659</v>
      </c>
      <c r="T299" s="113">
        <v>46124.0</v>
      </c>
      <c r="U299" s="114" t="str">
        <f>IF(V299="","No AIS",VLOOKUP(V299,'Voyage days'!$A$3:$B$1480,2,FALSE))</f>
        <v>No AIS</v>
      </c>
      <c r="V299" s="115" t="str">
        <f>IF(VLOOKUP(A299,'1) Kpler'!$E$2:$P$1000,8, FALSE)="","",VLOOKUP(A299,'1) Kpler'!$E$2:$P$1000,8, FALSE))</f>
        <v/>
      </c>
      <c r="W299" s="116" t="str">
        <f>IF(VLOOKUP(A299,'1) Kpler'!$E$2:$P$1000,9,FALSE)="","",VLOOKUP(A299,'1) Kpler'!$E$2:$P$1000,9,FALSE))</f>
        <v/>
      </c>
      <c r="X299" s="115" t="str">
        <f>VLOOKUP(A299,'1) Kpler'!$E$2:$I$1000,4,FALSE)</f>
        <v>ballast</v>
      </c>
      <c r="Y299" s="296" t="str">
        <f t="shared" si="43"/>
        <v>01-02 May</v>
      </c>
      <c r="Z299" s="296" t="str">
        <f t="shared" si="44"/>
        <v>29-30 May</v>
      </c>
      <c r="AA299" s="296" t="str">
        <f t="shared" si="45"/>
        <v>27-28 May</v>
      </c>
      <c r="AB299" s="296" t="str">
        <f t="shared" si="46"/>
        <v>10-11 May</v>
      </c>
      <c r="AC299" s="296" t="str">
        <f t="shared" si="47"/>
        <v>19-20 May</v>
      </c>
      <c r="AD299" s="296" t="str">
        <f t="shared" si="48"/>
        <v>23-24 Apr</v>
      </c>
      <c r="AE299" s="297" t="str">
        <f t="shared" si="49"/>
        <v>24-25 Apr</v>
      </c>
      <c r="AF299" s="119" t="str">
        <f t="shared" si="50"/>
        <v>27-28 May</v>
      </c>
      <c r="AG299" s="120" t="str">
        <f t="shared" si="51"/>
        <v>01-02 May</v>
      </c>
      <c r="AH299" s="121">
        <f>IFERROR($M299+VLOOKUP($L299,'Voyage days'!$F$38:$H$89,3,FALSE),"")</f>
        <v>46143</v>
      </c>
      <c r="AI299" s="121">
        <f>IFERROR(N299+VLOOKUP($L299,'Voyage days'!$F$38:$H$89,3,FALSE),"")</f>
        <v>46144</v>
      </c>
      <c r="AJ299" s="120" t="str">
        <f t="shared" si="28"/>
        <v>29-30 May</v>
      </c>
      <c r="AK299" s="121">
        <f>IFERROR($M299+VLOOKUP($L299,'Voyage days'!$F$94:$H$193,3,FALSE),"")</f>
        <v>46171</v>
      </c>
      <c r="AL299" s="121">
        <f>IFERROR($N299+VLOOKUP($L299,'Voyage days'!$F$94:$H$193,3,FALSE),"")</f>
        <v>46172</v>
      </c>
      <c r="AM299" s="120" t="str">
        <f t="shared" si="29"/>
        <v>27-28 May</v>
      </c>
      <c r="AN299" s="121">
        <f>IFERROR($M299+VLOOKUP($L299,'Voyage days'!$F$203:$H$256,3,FALSE),"")</f>
        <v>46169</v>
      </c>
      <c r="AO299" s="121">
        <f>IFERROR($N299+VLOOKUP($L299,'Voyage days'!$F$203:$H$256,3,FALSE),"")</f>
        <v>46170</v>
      </c>
      <c r="AP299" s="120" t="str">
        <f t="shared" si="30"/>
        <v>10-11 May</v>
      </c>
      <c r="AQ299" s="121">
        <f>IFERROR($M299+VLOOKUP($L299,'Voyage days'!$F$294:$H$377,3,FALSE),"")</f>
        <v>46152</v>
      </c>
      <c r="AR299" s="121">
        <f>IFERROR($N299+VLOOKUP($L299,'Voyage days'!$F$294:$H$377,3,FALSE),"")</f>
        <v>46153</v>
      </c>
      <c r="AS299" s="120" t="str">
        <f t="shared" si="31"/>
        <v>19-20 May</v>
      </c>
      <c r="AT299" s="121">
        <f>IFERROR($M299+VLOOKUP($L299,'Voyage days'!$F$382:$H$446,3,FALSE),"")</f>
        <v>46161</v>
      </c>
      <c r="AU299" s="121">
        <f>IFERROR($N299+VLOOKUP($L299,'Voyage days'!$F$382:$H$446,3,FALSE),"")</f>
        <v>46162</v>
      </c>
      <c r="AV299" s="120" t="str">
        <f t="shared" si="32"/>
        <v>29-30 Apr</v>
      </c>
      <c r="AW299" s="121">
        <f>IFERROR($M299+VLOOKUP($L299,'Voyage days'!$F$483:$H$538,3,FALSE),"")</f>
        <v>46141</v>
      </c>
      <c r="AX299" s="121">
        <f>IFERROR($N299+VLOOKUP($L299,'Voyage days'!$F$483:$H$538,3,FALSE),"")</f>
        <v>46142</v>
      </c>
      <c r="AY299" s="120" t="str">
        <f t="shared" si="33"/>
        <v>24-25 Apr</v>
      </c>
      <c r="AZ299" s="121">
        <f>IFERROR($M299+VLOOKUP($L299,'Voyage days'!$F$540:$H$613,3,FALSE),"")</f>
        <v>46136</v>
      </c>
      <c r="BA299" s="121">
        <f>IFERROR($N299+VLOOKUP($L299,'Voyage days'!$F$540:$H$613,3,FALSE),"")</f>
        <v>46137</v>
      </c>
      <c r="BB299" s="120" t="str">
        <f t="shared" si="34"/>
        <v>23-24 Apr</v>
      </c>
      <c r="BC299" s="121">
        <f>IFERROR($M299+VLOOKUP($L299,'Voyage days'!$F$448:$H$479,3,FALSE),"")</f>
        <v>46135</v>
      </c>
      <c r="BD299" s="121">
        <f>IFERROR($N299+VLOOKUP($L299,'Voyage days'!$F$448:$H$479,3,FALSE),"")</f>
        <v>46136</v>
      </c>
      <c r="BE299" s="120" t="str">
        <f t="shared" si="35"/>
        <v/>
      </c>
      <c r="BF299" s="122" t="str">
        <f>IFERROR($M299+VLOOKUP($L299,'Voyage days'!$F$620:$H$646,3,FALSE),"")</f>
        <v/>
      </c>
      <c r="BG299" s="122" t="str">
        <f>IFERROR($N299+VLOOKUP($L299,'Voyage days'!$F$620:$H$646,3,FALSE),"")</f>
        <v/>
      </c>
      <c r="BH299" s="120" t="str">
        <f t="shared" si="36"/>
        <v>28-28 May</v>
      </c>
      <c r="BI299" s="123">
        <f>IFERROR($M299+VLOOKUP($L299,'Voyage days'!$F$702:$H$727,3,FALSE),"")</f>
        <v>46140</v>
      </c>
      <c r="BJ299" s="120" t="str">
        <f t="shared" si="37"/>
        <v>27-28 May</v>
      </c>
      <c r="BK299" s="122">
        <f>IFERROR($M299+VLOOKUP($L299,'Voyage days'!$F$807:$H$878,3,FALSE),"")</f>
        <v>46169</v>
      </c>
      <c r="BL299" s="122">
        <f>IFERROR($N299+VLOOKUP($L299,'Voyage days'!$F$807:$H$878,3,FALSE),"")</f>
        <v>46170</v>
      </c>
      <c r="BM299" s="122">
        <f>IFERROR($N299+VLOOKUP($L299,'Voyage days'!$F$807:$K$878,6,FALSE),"")</f>
        <v>46146</v>
      </c>
      <c r="BN299" s="121" t="str">
        <f>if(L299="loads AG", IFERROR($M299+VLOOKUP($L299,'Voyage days'!$M$38:$O$38,3,FALSE),""),"")</f>
        <v/>
      </c>
      <c r="BO299" s="121" t="str">
        <f>if(L299="loads USG", IFERROR($M299+VLOOKUP($L299,'Voyage days'!$L$203:$N$203,3,FALSE),""),"")</f>
        <v/>
      </c>
    </row>
    <row r="300">
      <c r="A300" s="341" t="s">
        <v>403</v>
      </c>
      <c r="B300" s="148">
        <v>2023.0</v>
      </c>
      <c r="C300" s="102">
        <v>91000.0</v>
      </c>
      <c r="D300" s="112"/>
      <c r="E300" s="112" t="s">
        <v>706</v>
      </c>
      <c r="F300" s="104"/>
      <c r="G300" s="104"/>
      <c r="H300" s="104" t="s">
        <v>666</v>
      </c>
      <c r="I300" s="401" t="s">
        <v>1330</v>
      </c>
      <c r="J300" s="106" t="str">
        <f t="shared" si="54"/>
        <v>Update</v>
      </c>
      <c r="K300" s="193"/>
      <c r="L300" s="108" t="s">
        <v>680</v>
      </c>
      <c r="M300" s="109">
        <v>46128.0</v>
      </c>
      <c r="N300" s="662">
        <v>46129.0</v>
      </c>
      <c r="O300" s="191"/>
      <c r="P300" s="153" t="s">
        <v>873</v>
      </c>
      <c r="Q300" s="187"/>
      <c r="R300" s="187" t="s">
        <v>1409</v>
      </c>
      <c r="S300" s="112" t="s">
        <v>659</v>
      </c>
      <c r="T300" s="113">
        <v>46124.0</v>
      </c>
      <c r="U300" s="114" t="str">
        <f>IF(V300="","No AIS",VLOOKUP(V300,'Voyage days'!$A$3:$B$1480,2,FALSE))</f>
        <v>USG</v>
      </c>
      <c r="V300" s="115" t="str">
        <f>IF(VLOOKUP(A300,'1) Kpler'!$E$2:$P$1000,8, FALSE)="","",VLOOKUP(A300,'1) Kpler'!$E$2:$P$1000,8, FALSE))</f>
        <v>Houston</v>
      </c>
      <c r="W300" s="116">
        <f>IF(VLOOKUP(A300,'1) Kpler'!$E$2:$P$1000,9,FALSE)="","",VLOOKUP(A300,'1) Kpler'!$E$2:$P$1000,9,FALSE))</f>
        <v>46132.48681</v>
      </c>
      <c r="X300" s="115" t="str">
        <f>VLOOKUP(A300,'1) Kpler'!$E$2:$I$1000,4,FALSE)</f>
        <v>ballast</v>
      </c>
      <c r="Y300" s="296" t="str">
        <f t="shared" si="43"/>
        <v/>
      </c>
      <c r="Z300" s="296" t="str">
        <f t="shared" si="44"/>
        <v>16-17 Apr</v>
      </c>
      <c r="AA300" s="296" t="str">
        <f t="shared" si="45"/>
        <v>16-17 Apr</v>
      </c>
      <c r="AB300" s="296" t="str">
        <f t="shared" si="46"/>
        <v/>
      </c>
      <c r="AC300" s="296" t="str">
        <f t="shared" si="47"/>
        <v>06-07 May</v>
      </c>
      <c r="AD300" s="296" t="str">
        <f t="shared" si="48"/>
        <v/>
      </c>
      <c r="AE300" s="297" t="str">
        <f t="shared" si="49"/>
        <v/>
      </c>
      <c r="AF300" s="119" t="str">
        <f t="shared" si="50"/>
        <v/>
      </c>
      <c r="AG300" s="120" t="str">
        <f t="shared" si="51"/>
        <v/>
      </c>
      <c r="AH300" s="121" t="str">
        <f>IFERROR($M300+VLOOKUP($L300,'Voyage days'!$F$38:$H$89,3,FALSE),"")</f>
        <v/>
      </c>
      <c r="AI300" s="121" t="str">
        <f>IFERROR(N300+VLOOKUP($L300,'Voyage days'!$F$38:$H$89,3,FALSE),"")</f>
        <v/>
      </c>
      <c r="AJ300" s="120" t="str">
        <f t="shared" si="28"/>
        <v>16-17 Apr</v>
      </c>
      <c r="AK300" s="121">
        <f>IFERROR($M300+VLOOKUP($L300,'Voyage days'!$F$94:$H$193,3,FALSE),"")</f>
        <v>46128</v>
      </c>
      <c r="AL300" s="121">
        <f>IFERROR($N300+VLOOKUP($L300,'Voyage days'!$F$94:$H$193,3,FALSE),"")</f>
        <v>46129</v>
      </c>
      <c r="AM300" s="120" t="str">
        <f t="shared" si="29"/>
        <v>16-17 Apr</v>
      </c>
      <c r="AN300" s="121">
        <f>IFERROR($M300+VLOOKUP($L300,'Voyage days'!$F$203:$H$256,3,FALSE),"")</f>
        <v>46128</v>
      </c>
      <c r="AO300" s="121">
        <f>IFERROR($N300+VLOOKUP($L300,'Voyage days'!$F$203:$H$256,3,FALSE),"")</f>
        <v>46129</v>
      </c>
      <c r="AP300" s="120" t="str">
        <f t="shared" si="30"/>
        <v/>
      </c>
      <c r="AQ300" s="121" t="str">
        <f>IFERROR($M300+VLOOKUP($L300,'Voyage days'!$F$294:$H$377,3,FALSE),"")</f>
        <v/>
      </c>
      <c r="AR300" s="121" t="str">
        <f>IFERROR($N300+VLOOKUP($L300,'Voyage days'!$F$294:$H$377,3,FALSE),"")</f>
        <v/>
      </c>
      <c r="AS300" s="120" t="str">
        <f t="shared" si="31"/>
        <v>06-07 May</v>
      </c>
      <c r="AT300" s="121">
        <f>IFERROR($M300+VLOOKUP($L300,'Voyage days'!$F$382:$H$446,3,FALSE),"")</f>
        <v>46148</v>
      </c>
      <c r="AU300" s="121">
        <f>IFERROR($N300+VLOOKUP($L300,'Voyage days'!$F$382:$H$446,3,FALSE),"")</f>
        <v>46149</v>
      </c>
      <c r="AV300" s="120" t="str">
        <f t="shared" si="32"/>
        <v/>
      </c>
      <c r="AW300" s="121" t="str">
        <f>IFERROR($M300+VLOOKUP($L300,'Voyage days'!$F$483:$H$538,3,FALSE),"")</f>
        <v/>
      </c>
      <c r="AX300" s="121" t="str">
        <f>IFERROR($N300+VLOOKUP($L300,'Voyage days'!$F$483:$H$538,3,FALSE),"")</f>
        <v/>
      </c>
      <c r="AY300" s="120" t="str">
        <f t="shared" si="33"/>
        <v/>
      </c>
      <c r="AZ300" s="121" t="str">
        <f>IFERROR($M300+VLOOKUP($L300,'Voyage days'!$F$540:$H$613,3,FALSE),"")</f>
        <v/>
      </c>
      <c r="BA300" s="121" t="str">
        <f>IFERROR($N300+VLOOKUP($L300,'Voyage days'!$F$540:$H$613,3,FALSE),"")</f>
        <v/>
      </c>
      <c r="BB300" s="120" t="str">
        <f t="shared" si="34"/>
        <v/>
      </c>
      <c r="BC300" s="121" t="str">
        <f>IFERROR($M300+VLOOKUP($L300,'Voyage days'!$F$448:$H$479,3,FALSE),"")</f>
        <v/>
      </c>
      <c r="BD300" s="121" t="str">
        <f>IFERROR($N300+VLOOKUP($L300,'Voyage days'!$F$448:$H$479,3,FALSE),"")</f>
        <v/>
      </c>
      <c r="BE300" s="120" t="str">
        <f t="shared" si="35"/>
        <v/>
      </c>
      <c r="BF300" s="122" t="str">
        <f>IFERROR($M300+VLOOKUP($L300,'Voyage days'!$F$620:$H$646,3,FALSE),"")</f>
        <v/>
      </c>
      <c r="BG300" s="122" t="str">
        <f>IFERROR($N300+VLOOKUP($L300,'Voyage days'!$F$620:$H$646,3,FALSE),"")</f>
        <v/>
      </c>
      <c r="BH300" s="120" t="str">
        <f t="shared" si="36"/>
        <v/>
      </c>
      <c r="BI300" s="123" t="str">
        <f>IFERROR($M300+VLOOKUP($L300,'Voyage days'!$F$702:$H$727,3,FALSE),"")</f>
        <v/>
      </c>
      <c r="BJ300" s="120" t="str">
        <f t="shared" si="37"/>
        <v/>
      </c>
      <c r="BK300" s="122" t="str">
        <f>IFERROR($M300+VLOOKUP($L300,'Voyage days'!$F$807:$H$878,3,FALSE),"")</f>
        <v/>
      </c>
      <c r="BL300" s="122" t="str">
        <f>IFERROR($N300+VLOOKUP($L300,'Voyage days'!$F$807:$H$878,3,FALSE),"")</f>
        <v/>
      </c>
      <c r="BM300" s="122" t="str">
        <f>IFERROR($N300+VLOOKUP($L300,'Voyage days'!$F$807:$K$878,6,FALSE),"")</f>
        <v/>
      </c>
      <c r="BN300" s="121" t="str">
        <f>if(L300="loads AG", IFERROR($M300+VLOOKUP($L300,'Voyage days'!$M$38:$O$38,3,FALSE),""),"")</f>
        <v/>
      </c>
      <c r="BO300" s="121">
        <f>if(L300="loads USG", IFERROR($M300+VLOOKUP($L300,'Voyage days'!$L$203:$N$203,3,FALSE),""),"")</f>
        <v>46160</v>
      </c>
    </row>
    <row r="301" ht="15.75" customHeight="1">
      <c r="A301" s="674" t="s">
        <v>473</v>
      </c>
      <c r="B301" s="222">
        <v>42979.0</v>
      </c>
      <c r="C301" s="281">
        <v>84099.0</v>
      </c>
      <c r="D301" s="175"/>
      <c r="E301" s="175" t="s">
        <v>706</v>
      </c>
      <c r="F301" s="168"/>
      <c r="G301" s="168"/>
      <c r="H301" s="168"/>
      <c r="I301" s="224" t="s">
        <v>1330</v>
      </c>
      <c r="J301" s="170" t="str">
        <f t="shared" si="54"/>
        <v/>
      </c>
      <c r="K301" s="225" t="s">
        <v>765</v>
      </c>
      <c r="L301" s="172" t="s">
        <v>860</v>
      </c>
      <c r="M301" s="462">
        <v>46170.0</v>
      </c>
      <c r="N301" s="391">
        <v>46171.0</v>
      </c>
      <c r="O301" s="226"/>
      <c r="P301" s="172" t="s">
        <v>1410</v>
      </c>
      <c r="Q301" s="675"/>
      <c r="R301" s="172" t="s">
        <v>1411</v>
      </c>
      <c r="S301" s="256" t="s">
        <v>659</v>
      </c>
      <c r="T301" s="188">
        <v>46125.0</v>
      </c>
      <c r="U301" s="177" t="str">
        <f>IF(V301="","No AIS",VLOOKUP(V301,'Voyage days'!$A$3:$B$1480,2,FALSE))</f>
        <v>Singapore</v>
      </c>
      <c r="V301" s="178" t="str">
        <f>IF(VLOOKUP(A301,'1) Kpler'!$E$2:$P$1000,8, FALSE)="","",VLOOKUP(A301,'1) Kpler'!$E$2:$P$1000,8, FALSE))</f>
        <v>Singapore</v>
      </c>
      <c r="W301" s="179">
        <f>IF(VLOOKUP(A301,'1) Kpler'!$E$2:$P$1000,9,FALSE)="","",VLOOKUP(A301,'1) Kpler'!$E$2:$P$1000,9,FALSE))</f>
        <v>46162.375</v>
      </c>
      <c r="X301" s="178" t="str">
        <f>VLOOKUP(A301,'1) Kpler'!$E$2:$I$1000,4,FALSE)</f>
        <v>loaded</v>
      </c>
      <c r="Y301" s="120" t="str">
        <f t="shared" si="43"/>
        <v>12-13 Jun</v>
      </c>
      <c r="Z301" s="120" t="str">
        <f t="shared" si="44"/>
        <v>05-06 Jul</v>
      </c>
      <c r="AA301" s="120" t="str">
        <f t="shared" si="45"/>
        <v>06-07 Jul</v>
      </c>
      <c r="AB301" s="120" t="str">
        <f t="shared" si="46"/>
        <v>22-23 Jun</v>
      </c>
      <c r="AC301" s="120" t="str">
        <f t="shared" si="47"/>
        <v>30-01 Jul</v>
      </c>
      <c r="AD301" s="120" t="str">
        <f t="shared" si="48"/>
        <v>04-05 Jun</v>
      </c>
      <c r="AE301" s="228" t="str">
        <f t="shared" si="49"/>
        <v>07-08 Jun</v>
      </c>
      <c r="AF301" s="229" t="str">
        <f t="shared" si="50"/>
        <v>10-11 Jul</v>
      </c>
      <c r="AG301" s="120" t="str">
        <f t="shared" si="51"/>
        <v>12-13 Jun</v>
      </c>
      <c r="AH301" s="121">
        <f>IFERROR($M301+VLOOKUP($L301,'Voyage days'!$F$38:$H$89,3,FALSE),"")</f>
        <v>46185</v>
      </c>
      <c r="AI301" s="121">
        <f>IFERROR(N301+VLOOKUP($L301,'Voyage days'!$F$38:$H$89,3,FALSE),"")</f>
        <v>46186</v>
      </c>
      <c r="AJ301" s="120" t="str">
        <f t="shared" si="28"/>
        <v>05-06 Jul</v>
      </c>
      <c r="AK301" s="121">
        <f>IFERROR($M301+VLOOKUP($L301,'Voyage days'!$F$94:$H$193,3,FALSE),"")</f>
        <v>46208</v>
      </c>
      <c r="AL301" s="121">
        <f>IFERROR($N301+VLOOKUP($L301,'Voyage days'!$F$94:$H$193,3,FALSE),"")</f>
        <v>46209</v>
      </c>
      <c r="AM301" s="120" t="str">
        <f t="shared" si="29"/>
        <v>06-07 Jul</v>
      </c>
      <c r="AN301" s="121">
        <f>IFERROR($M301+VLOOKUP($L301,'Voyage days'!$F$203:$H$256,3,FALSE),"")</f>
        <v>46209</v>
      </c>
      <c r="AO301" s="121">
        <f>IFERROR($N301+VLOOKUP($L301,'Voyage days'!$F$203:$H$256,3,FALSE),"")</f>
        <v>46210</v>
      </c>
      <c r="AP301" s="120" t="str">
        <f t="shared" si="30"/>
        <v>22-23 Jun</v>
      </c>
      <c r="AQ301" s="121">
        <f>IFERROR($M301+VLOOKUP($L301,'Voyage days'!$F$294:$H$377,3,FALSE),"")</f>
        <v>46195</v>
      </c>
      <c r="AR301" s="121">
        <f>IFERROR($N301+VLOOKUP($L301,'Voyage days'!$F$294:$H$377,3,FALSE),"")</f>
        <v>46196</v>
      </c>
      <c r="AS301" s="120" t="str">
        <f t="shared" si="31"/>
        <v>30-01 Jul</v>
      </c>
      <c r="AT301" s="121">
        <f>IFERROR($M301+VLOOKUP($L301,'Voyage days'!$F$382:$H$446,3,FALSE),"")</f>
        <v>46203</v>
      </c>
      <c r="AU301" s="121">
        <f>IFERROR($N301+VLOOKUP($L301,'Voyage days'!$F$382:$H$446,3,FALSE),"")</f>
        <v>46204</v>
      </c>
      <c r="AV301" s="120" t="str">
        <f t="shared" si="32"/>
        <v>13-14 Jun</v>
      </c>
      <c r="AW301" s="121">
        <f>IFERROR($M301+VLOOKUP($L301,'Voyage days'!$F$483:$H$538,3,FALSE),"")</f>
        <v>46186</v>
      </c>
      <c r="AX301" s="121">
        <f>IFERROR($N301+VLOOKUP($L301,'Voyage days'!$F$483:$H$538,3,FALSE),"")</f>
        <v>46187</v>
      </c>
      <c r="AY301" s="120" t="str">
        <f t="shared" si="33"/>
        <v>07-08 Jun</v>
      </c>
      <c r="AZ301" s="121">
        <f>IFERROR($M301+VLOOKUP($L301,'Voyage days'!$F$540:$H$613,3,FALSE),"")</f>
        <v>46180</v>
      </c>
      <c r="BA301" s="121">
        <f>IFERROR($N301+VLOOKUP($L301,'Voyage days'!$F$540:$H$613,3,FALSE),"")</f>
        <v>46181</v>
      </c>
      <c r="BB301" s="120" t="str">
        <f t="shared" si="34"/>
        <v>04-05 Jun</v>
      </c>
      <c r="BC301" s="121">
        <f>IFERROR($M301+VLOOKUP($L301,'Voyage days'!$F$448:$H$479,3,FALSE),"")</f>
        <v>46177</v>
      </c>
      <c r="BD301" s="121">
        <f>IFERROR($N301+VLOOKUP($L301,'Voyage days'!$F$448:$H$479,3,FALSE),"")</f>
        <v>46178</v>
      </c>
      <c r="BE301" s="120" t="str">
        <f t="shared" si="35"/>
        <v/>
      </c>
      <c r="BF301" s="122" t="str">
        <f>IFERROR($M301+VLOOKUP($L301,'Voyage days'!$F$620:$H$646,3,FALSE),"")</f>
        <v/>
      </c>
      <c r="BG301" s="122" t="str">
        <f>IFERROR($N301+VLOOKUP($L301,'Voyage days'!$F$620:$H$646,3,FALSE),"")</f>
        <v/>
      </c>
      <c r="BH301" s="120" t="str">
        <f t="shared" si="36"/>
        <v>12-11 Jul</v>
      </c>
      <c r="BI301" s="123">
        <f>IFERROR($M301+VLOOKUP($L301,'Voyage days'!$F$702:$H$727,3,FALSE),"")</f>
        <v>46185</v>
      </c>
      <c r="BJ301" s="120" t="str">
        <f t="shared" si="37"/>
        <v>10-11 Jul</v>
      </c>
      <c r="BK301" s="122">
        <f>IFERROR($M301+VLOOKUP($L301,'Voyage days'!$F$807:$H$878,3,FALSE),"")</f>
        <v>46213</v>
      </c>
      <c r="BL301" s="122">
        <f>IFERROR($N301+VLOOKUP($L301,'Voyage days'!$F$807:$H$878,3,FALSE),"")</f>
        <v>46214</v>
      </c>
      <c r="BM301" s="122">
        <f>IFERROR($N301+VLOOKUP($L301,'Voyage days'!$F$807:$K$878,6,FALSE),"")</f>
        <v>46190</v>
      </c>
      <c r="BN301" s="121" t="str">
        <f>if(L301="loads AG", IFERROR($M301+VLOOKUP($L301,'Voyage days'!$M$38:$O$38,3,FALSE),""),"")</f>
        <v/>
      </c>
      <c r="BO301" s="121" t="str">
        <f>if(L301="loads USG", IFERROR($M301+VLOOKUP($L301,'Voyage days'!$L$203:$N$203,3,FALSE),""),"")</f>
        <v/>
      </c>
    </row>
    <row r="302" ht="15.75" customHeight="1">
      <c r="A302" s="676" t="s">
        <v>48</v>
      </c>
      <c r="B302" s="101">
        <v>40193.0</v>
      </c>
      <c r="C302" s="102">
        <v>83278.0</v>
      </c>
      <c r="D302" s="112" t="s">
        <v>603</v>
      </c>
      <c r="E302" s="149"/>
      <c r="F302" s="150"/>
      <c r="G302" s="150"/>
      <c r="H302" s="150" t="s">
        <v>689</v>
      </c>
      <c r="I302" s="321" t="s">
        <v>1412</v>
      </c>
      <c r="J302" s="436" t="str">
        <f t="shared" si="54"/>
        <v>Update</v>
      </c>
      <c r="K302" s="193" t="s">
        <v>765</v>
      </c>
      <c r="L302" s="153" t="s">
        <v>680</v>
      </c>
      <c r="M302" s="238">
        <v>46158.0</v>
      </c>
      <c r="N302" s="677">
        <v>46159.0</v>
      </c>
      <c r="O302" s="678"/>
      <c r="P302" s="153" t="s">
        <v>1413</v>
      </c>
      <c r="Q302" s="192"/>
      <c r="R302" s="192" t="s">
        <v>1001</v>
      </c>
      <c r="S302" s="292" t="s">
        <v>659</v>
      </c>
      <c r="T302" s="420">
        <v>46124.0</v>
      </c>
      <c r="U302" s="114" t="str">
        <f>IF(V302="","No AIS",VLOOKUP(V302,'Voyage days'!$A$3:$B$1480,2,FALSE))</f>
        <v>USG</v>
      </c>
      <c r="V302" s="114" t="str">
        <f>IF(VLOOKUP(A302,'1) Kpler'!$E$2:$P$1000,8, FALSE)="","",VLOOKUP(A302,'1) Kpler'!$E$2:$P$1000,8, FALSE))</f>
        <v>Houston</v>
      </c>
      <c r="W302" s="159">
        <f>IF(VLOOKUP(A302,'1) Kpler'!$E$2:$P$1000,9,FALSE)="","",VLOOKUP(A302,'1) Kpler'!$E$2:$P$1000,9,FALSE))</f>
        <v>46159.20833</v>
      </c>
      <c r="X302" s="114" t="str">
        <f>VLOOKUP(A302,'1) Kpler'!$E$2:$I$1000,4,FALSE)</f>
        <v>ballast</v>
      </c>
      <c r="Y302" s="296" t="str">
        <f t="shared" si="43"/>
        <v/>
      </c>
      <c r="Z302" s="296" t="str">
        <f t="shared" si="44"/>
        <v>16-17 May</v>
      </c>
      <c r="AA302" s="296" t="str">
        <f t="shared" si="45"/>
        <v>16-17 May</v>
      </c>
      <c r="AB302" s="296" t="str">
        <f t="shared" si="46"/>
        <v/>
      </c>
      <c r="AC302" s="296" t="str">
        <f t="shared" si="47"/>
        <v>05-06 Jun</v>
      </c>
      <c r="AD302" s="296" t="str">
        <f t="shared" si="48"/>
        <v/>
      </c>
      <c r="AE302" s="297" t="str">
        <f t="shared" si="49"/>
        <v/>
      </c>
      <c r="AF302" s="119" t="str">
        <f t="shared" si="50"/>
        <v/>
      </c>
      <c r="AG302" s="163" t="str">
        <f t="shared" si="51"/>
        <v/>
      </c>
      <c r="AH302" s="122" t="str">
        <f>IFERROR($M302+VLOOKUP($L302,'Voyage days'!$F$38:$H$89,3,FALSE),"")</f>
        <v/>
      </c>
      <c r="AI302" s="122" t="str">
        <f>IFERROR(N302+VLOOKUP($L302,'Voyage days'!$F$38:$H$89,3,FALSE),"")</f>
        <v/>
      </c>
      <c r="AJ302" s="163" t="str">
        <f t="shared" si="28"/>
        <v>16-17 May</v>
      </c>
      <c r="AK302" s="122">
        <f>IFERROR($M302+VLOOKUP($L302,'Voyage days'!$F$94:$H$193,3,FALSE),"")</f>
        <v>46158</v>
      </c>
      <c r="AL302" s="122">
        <f>IFERROR($N302+VLOOKUP($L302,'Voyage days'!$F$94:$H$193,3,FALSE),"")</f>
        <v>46159</v>
      </c>
      <c r="AM302" s="163" t="str">
        <f t="shared" si="29"/>
        <v>16-17 May</v>
      </c>
      <c r="AN302" s="122">
        <f>IFERROR($M302+VLOOKUP($L302,'Voyage days'!$F$203:$H$256,3,FALSE),"")</f>
        <v>46158</v>
      </c>
      <c r="AO302" s="122">
        <f>IFERROR($N302+VLOOKUP($L302,'Voyage days'!$F$203:$H$256,3,FALSE),"")</f>
        <v>46159</v>
      </c>
      <c r="AP302" s="163" t="str">
        <f t="shared" si="30"/>
        <v/>
      </c>
      <c r="AQ302" s="122" t="str">
        <f>IFERROR($M302+VLOOKUP($L302,'Voyage days'!$F$294:$H$377,3,FALSE),"")</f>
        <v/>
      </c>
      <c r="AR302" s="122" t="str">
        <f>IFERROR($N302+VLOOKUP($L302,'Voyage days'!$F$294:$H$377,3,FALSE),"")</f>
        <v/>
      </c>
      <c r="AS302" s="163" t="str">
        <f t="shared" si="31"/>
        <v>05-06 Jun</v>
      </c>
      <c r="AT302" s="122">
        <f>IFERROR($M302+VLOOKUP($L302,'Voyage days'!$F$382:$H$446,3,FALSE),"")</f>
        <v>46178</v>
      </c>
      <c r="AU302" s="122">
        <f>IFERROR($N302+VLOOKUP($L302,'Voyage days'!$F$382:$H$446,3,FALSE),"")</f>
        <v>46179</v>
      </c>
      <c r="AV302" s="163" t="str">
        <f t="shared" si="32"/>
        <v/>
      </c>
      <c r="AW302" s="122" t="str">
        <f>IFERROR($M302+VLOOKUP($L302,'Voyage days'!$F$483:$H$538,3,FALSE),"")</f>
        <v/>
      </c>
      <c r="AX302" s="122" t="str">
        <f>IFERROR($N302+VLOOKUP($L302,'Voyage days'!$F$483:$H$538,3,FALSE),"")</f>
        <v/>
      </c>
      <c r="AY302" s="163" t="str">
        <f t="shared" si="33"/>
        <v/>
      </c>
      <c r="AZ302" s="122" t="str">
        <f>IFERROR($M302+VLOOKUP($L302,'Voyage days'!$F$540:$H$613,3,FALSE),"")</f>
        <v/>
      </c>
      <c r="BA302" s="122" t="str">
        <f>IFERROR($N302+VLOOKUP($L302,'Voyage days'!$F$540:$H$613,3,FALSE),"")</f>
        <v/>
      </c>
      <c r="BB302" s="163" t="str">
        <f t="shared" si="34"/>
        <v/>
      </c>
      <c r="BC302" s="121" t="str">
        <f>IFERROR($M302+VLOOKUP($L302,'Voyage days'!$F$448:$H$479,3,FALSE),"")</f>
        <v/>
      </c>
      <c r="BD302" s="121" t="str">
        <f>IFERROR($N302+VLOOKUP($L302,'Voyage days'!$F$448:$H$479,3,FALSE),"")</f>
        <v/>
      </c>
      <c r="BE302" s="163" t="str">
        <f t="shared" si="35"/>
        <v/>
      </c>
      <c r="BF302" s="122" t="str">
        <f>IFERROR($M302+VLOOKUP($L302,'Voyage days'!$F$620:$H$646,3,FALSE),"")</f>
        <v/>
      </c>
      <c r="BG302" s="122" t="str">
        <f>IFERROR($N302+VLOOKUP($L302,'Voyage days'!$F$620:$H$646,3,FALSE),"")</f>
        <v/>
      </c>
      <c r="BH302" s="163" t="str">
        <f t="shared" si="36"/>
        <v/>
      </c>
      <c r="BI302" s="123" t="str">
        <f>IFERROR($M302+VLOOKUP($L302,'Voyage days'!$F$702:$H$727,3,FALSE),"")</f>
        <v/>
      </c>
      <c r="BJ302" s="163" t="str">
        <f t="shared" si="37"/>
        <v/>
      </c>
      <c r="BK302" s="122" t="str">
        <f>IFERROR($M302+VLOOKUP($L302,'Voyage days'!$F$807:$H$878,3,FALSE),"")</f>
        <v/>
      </c>
      <c r="BL302" s="122" t="str">
        <f>IFERROR($N302+VLOOKUP($L302,'Voyage days'!$F$807:$H$878,3,FALSE),"")</f>
        <v/>
      </c>
      <c r="BM302" s="122" t="str">
        <f>IFERROR($N302+VLOOKUP($L302,'Voyage days'!$F$807:$K$878,6,FALSE),"")</f>
        <v/>
      </c>
      <c r="BN302" s="121" t="str">
        <f>if(L302="loads AG", IFERROR($M302+VLOOKUP($L302,'Voyage days'!$M$38:$O$38,3,FALSE),""),"")</f>
        <v/>
      </c>
      <c r="BO302" s="121">
        <f>if(L302="loads USG", IFERROR($M302+VLOOKUP($L302,'Voyage days'!$L$203:$N$203,3,FALSE),""),"")</f>
        <v>46190</v>
      </c>
    </row>
    <row r="303" ht="15.75" customHeight="1">
      <c r="A303" s="448" t="s">
        <v>1414</v>
      </c>
      <c r="B303" s="202">
        <v>2026.0</v>
      </c>
      <c r="C303" s="203">
        <v>93000.0</v>
      </c>
      <c r="D303" s="112"/>
      <c r="E303" s="149"/>
      <c r="F303" s="150"/>
      <c r="G303" s="150"/>
      <c r="H303" s="150"/>
      <c r="I303" s="679" t="s">
        <v>1412</v>
      </c>
      <c r="J303" s="106"/>
      <c r="K303" s="680"/>
      <c r="L303" s="153" t="s">
        <v>680</v>
      </c>
      <c r="M303" s="276">
        <v>46137.0</v>
      </c>
      <c r="N303" s="276">
        <v>46138.0</v>
      </c>
      <c r="O303" s="678"/>
      <c r="P303" s="153" t="s">
        <v>1415</v>
      </c>
      <c r="Q303" s="192"/>
      <c r="R303" s="192" t="s">
        <v>1416</v>
      </c>
      <c r="S303" s="659" t="s">
        <v>659</v>
      </c>
      <c r="T303" s="681">
        <v>46124.0</v>
      </c>
      <c r="U303" s="137" t="str">
        <f>IF(V303="","No AIS",VLOOKUP(V303,'Voyage days'!$A$3:$B$1480,2,FALSE))</f>
        <v>#N/A</v>
      </c>
      <c r="V303" s="657" t="str">
        <f>IF(VLOOKUP(A303,'1) Kpler'!$E$2:$P$1000,8, FALSE)="","",VLOOKUP(A303,'1) Kpler'!$E$2:$P$1000,8, FALSE))</f>
        <v>#N/A</v>
      </c>
      <c r="W303" s="682" t="str">
        <f>IF(VLOOKUP(A303,'1) Kpler'!$E$2:$P$1000,9,FALSE)="","",VLOOKUP(A303,'1) Kpler'!$E$2:$P$1000,9,FALSE))</f>
        <v>#N/A</v>
      </c>
      <c r="X303" s="657" t="str">
        <f>VLOOKUP(A303,'1) Kpler'!$E$2:$I$1000,4,FALSE)</f>
        <v>#N/A</v>
      </c>
      <c r="Y303" s="139" t="str">
        <f t="shared" si="43"/>
        <v/>
      </c>
      <c r="Z303" s="139" t="str">
        <f t="shared" si="44"/>
        <v>25-26 Apr</v>
      </c>
      <c r="AA303" s="139" t="str">
        <f t="shared" si="45"/>
        <v>25-26 Apr</v>
      </c>
      <c r="AB303" s="139" t="str">
        <f t="shared" si="46"/>
        <v/>
      </c>
      <c r="AC303" s="139" t="str">
        <f t="shared" si="47"/>
        <v>15-16 May</v>
      </c>
      <c r="AD303" s="139" t="str">
        <f t="shared" si="48"/>
        <v/>
      </c>
      <c r="AE303" s="140" t="str">
        <f t="shared" si="49"/>
        <v/>
      </c>
      <c r="AF303" s="141" t="str">
        <f t="shared" si="50"/>
        <v/>
      </c>
      <c r="AG303" s="683" t="str">
        <f t="shared" si="51"/>
        <v/>
      </c>
      <c r="AH303" s="144" t="str">
        <f>IFERROR($M303+VLOOKUP($L303,'Voyage days'!$F$38:$H$89,3,FALSE),"")</f>
        <v/>
      </c>
      <c r="AI303" s="144" t="str">
        <f>IFERROR(N303+VLOOKUP($L303,'Voyage days'!$F$38:$H$89,3,FALSE),"")</f>
        <v/>
      </c>
      <c r="AJ303" s="683" t="str">
        <f t="shared" si="28"/>
        <v>25-26 Apr</v>
      </c>
      <c r="AK303" s="144">
        <f>IFERROR($M303+VLOOKUP($L303,'Voyage days'!$F$94:$H$193,3,FALSE),"")</f>
        <v>46137</v>
      </c>
      <c r="AL303" s="144">
        <f>IFERROR($N303+VLOOKUP($L303,'Voyage days'!$F$94:$H$193,3,FALSE),"")</f>
        <v>46138</v>
      </c>
      <c r="AM303" s="683" t="str">
        <f t="shared" si="29"/>
        <v>25-26 Apr</v>
      </c>
      <c r="AN303" s="144">
        <f>IFERROR($M303+VLOOKUP($L303,'Voyage days'!$F$203:$H$256,3,FALSE),"")</f>
        <v>46137</v>
      </c>
      <c r="AO303" s="144">
        <f>IFERROR($N303+VLOOKUP($L303,'Voyage days'!$F$203:$H$256,3,FALSE),"")</f>
        <v>46138</v>
      </c>
      <c r="AP303" s="683" t="str">
        <f t="shared" si="30"/>
        <v/>
      </c>
      <c r="AQ303" s="144" t="str">
        <f>IFERROR($M303+VLOOKUP($L303,'Voyage days'!$F$294:$H$377,3,FALSE),"")</f>
        <v/>
      </c>
      <c r="AR303" s="144" t="str">
        <f>IFERROR($N303+VLOOKUP($L303,'Voyage days'!$F$294:$H$377,3,FALSE),"")</f>
        <v/>
      </c>
      <c r="AS303" s="683" t="str">
        <f t="shared" si="31"/>
        <v>15-16 May</v>
      </c>
      <c r="AT303" s="144">
        <f>IFERROR($M303+VLOOKUP($L303,'Voyage days'!$F$382:$H$446,3,FALSE),"")</f>
        <v>46157</v>
      </c>
      <c r="AU303" s="144">
        <f>IFERROR($N303+VLOOKUP($L303,'Voyage days'!$F$382:$H$446,3,FALSE),"")</f>
        <v>46158</v>
      </c>
      <c r="AV303" s="683" t="str">
        <f t="shared" si="32"/>
        <v/>
      </c>
      <c r="AW303" s="144" t="str">
        <f>IFERROR($M303+VLOOKUP($L303,'Voyage days'!$F$483:$H$538,3,FALSE),"")</f>
        <v/>
      </c>
      <c r="AX303" s="144" t="str">
        <f>IFERROR($N303+VLOOKUP($L303,'Voyage days'!$F$483:$H$538,3,FALSE),"")</f>
        <v/>
      </c>
      <c r="AY303" s="683" t="str">
        <f t="shared" si="33"/>
        <v/>
      </c>
      <c r="AZ303" s="144" t="str">
        <f>IFERROR($M303+VLOOKUP($L303,'Voyage days'!$F$540:$H$613,3,FALSE),"")</f>
        <v/>
      </c>
      <c r="BA303" s="144" t="str">
        <f>IFERROR($N303+VLOOKUP($L303,'Voyage days'!$F$540:$H$613,3,FALSE),"")</f>
        <v/>
      </c>
      <c r="BB303" s="683" t="str">
        <f t="shared" si="34"/>
        <v/>
      </c>
      <c r="BC303" s="144" t="str">
        <f>IFERROR($M303+VLOOKUP($L303,'Voyage days'!$F$448:$H$479,3,FALSE),"")</f>
        <v/>
      </c>
      <c r="BD303" s="144" t="str">
        <f>IFERROR($N303+VLOOKUP($L303,'Voyage days'!$F$448:$H$479,3,FALSE),"")</f>
        <v/>
      </c>
      <c r="BE303" s="683" t="str">
        <f t="shared" si="35"/>
        <v/>
      </c>
      <c r="BF303" s="143" t="str">
        <f>IFERROR($M303+VLOOKUP($L303,'Voyage days'!$F$620:$H$646,3,FALSE),"")</f>
        <v/>
      </c>
      <c r="BG303" s="143" t="str">
        <f>IFERROR($N303+VLOOKUP($L303,'Voyage days'!$F$620:$H$646,3,FALSE),"")</f>
        <v/>
      </c>
      <c r="BH303" s="683" t="str">
        <f t="shared" si="36"/>
        <v/>
      </c>
      <c r="BI303" s="145" t="str">
        <f>IFERROR($M303+VLOOKUP($L303,'Voyage days'!$F$702:$H$727,3,FALSE),"")</f>
        <v/>
      </c>
      <c r="BJ303" s="683" t="str">
        <f t="shared" si="37"/>
        <v/>
      </c>
      <c r="BK303" s="143" t="str">
        <f>IFERROR($M303+VLOOKUP($L303,'Voyage days'!$F$807:$H$878,3,FALSE),"")</f>
        <v/>
      </c>
      <c r="BL303" s="143" t="str">
        <f>IFERROR($N303+VLOOKUP($L303,'Voyage days'!$F$807:$H$878,3,FALSE),"")</f>
        <v/>
      </c>
      <c r="BM303" s="143" t="str">
        <f>IFERROR($N303+VLOOKUP($L303,'Voyage days'!$F$807:$K$878,6,FALSE),"")</f>
        <v/>
      </c>
      <c r="BN303" s="146" t="str">
        <f>if(L303="loads AG", IFERROR($M303+VLOOKUP($L303,'Voyage days'!$M$38:$O$38,3,FALSE),""),"")</f>
        <v/>
      </c>
      <c r="BO303" s="146">
        <f>if(L303="loads USG", IFERROR($M303+VLOOKUP($L303,'Voyage days'!$L$203:$N$203,3,FALSE),""),"")</f>
        <v>46169</v>
      </c>
    </row>
    <row r="304">
      <c r="A304" s="676" t="s">
        <v>1417</v>
      </c>
      <c r="B304" s="101">
        <v>39931.0</v>
      </c>
      <c r="C304" s="102">
        <v>83271.0</v>
      </c>
      <c r="D304" s="112" t="s">
        <v>603</v>
      </c>
      <c r="E304" s="103"/>
      <c r="F304" s="104"/>
      <c r="G304" s="104"/>
      <c r="H304" s="104"/>
      <c r="I304" s="401" t="s">
        <v>1412</v>
      </c>
      <c r="J304" s="151" t="str">
        <f t="shared" ref="J304:J342" si="55">IF(W304="","NO AIS",IF((W304-M304-1)&gt;0,"Update",""))</f>
        <v>Update</v>
      </c>
      <c r="K304" s="205"/>
      <c r="L304" s="108" t="s">
        <v>656</v>
      </c>
      <c r="M304" s="109">
        <v>46136.0</v>
      </c>
      <c r="N304" s="109">
        <v>46137.0</v>
      </c>
      <c r="O304" s="191"/>
      <c r="P304" s="153" t="s">
        <v>1418</v>
      </c>
      <c r="Q304" s="108"/>
      <c r="R304" s="108" t="s">
        <v>1419</v>
      </c>
      <c r="S304" s="659" t="s">
        <v>659</v>
      </c>
      <c r="T304" s="681">
        <v>46124.0</v>
      </c>
      <c r="U304" s="114" t="str">
        <f>IF(V304="","No AIS",VLOOKUP(V304,'Voyage days'!$A$3:$B$1480,2,FALSE))</f>
        <v>Korea + 4</v>
      </c>
      <c r="V304" s="115" t="str">
        <f>IF(VLOOKUP(A304,'1) Kpler'!$E$2:$P$1000,8, FALSE)="","",VLOOKUP(A304,'1) Kpler'!$E$2:$P$1000,8, FALSE))</f>
        <v>Incheon LPG</v>
      </c>
      <c r="W304" s="116">
        <f>IF(VLOOKUP(A304,'1) Kpler'!$E$2:$P$1000,9,FALSE)="","",VLOOKUP(A304,'1) Kpler'!$E$2:$P$1000,9,FALSE))</f>
        <v>46139.75</v>
      </c>
      <c r="X304" s="115" t="str">
        <f>VLOOKUP(A304,'1) Kpler'!$E$2:$I$1000,4,FALSE)</f>
        <v>loaded</v>
      </c>
      <c r="Y304" s="160" t="str">
        <f t="shared" si="43"/>
        <v>12-13 May</v>
      </c>
      <c r="Z304" s="160" t="str">
        <f t="shared" si="44"/>
        <v>25-26 May</v>
      </c>
      <c r="AA304" s="160" t="str">
        <f t="shared" si="45"/>
        <v>01-02 Jun</v>
      </c>
      <c r="AB304" s="160" t="str">
        <f t="shared" si="46"/>
        <v>24-25 May</v>
      </c>
      <c r="AC304" s="160" t="str">
        <f t="shared" si="47"/>
        <v>30-31 May</v>
      </c>
      <c r="AD304" s="160" t="str">
        <f t="shared" si="48"/>
        <v>02-03 May</v>
      </c>
      <c r="AE304" s="161" t="str">
        <f t="shared" si="49"/>
        <v>02-03 May</v>
      </c>
      <c r="AF304" s="162" t="str">
        <f t="shared" si="50"/>
        <v>09-10 Jun</v>
      </c>
      <c r="AG304" s="120" t="str">
        <f t="shared" si="51"/>
        <v>12-13 May</v>
      </c>
      <c r="AH304" s="121">
        <f>IFERROR($M304+VLOOKUP($L304,'Voyage days'!$F$38:$H$89,3,FALSE),"")</f>
        <v>46154</v>
      </c>
      <c r="AI304" s="121">
        <f>IFERROR(N304+VLOOKUP($L304,'Voyage days'!$F$38:$H$89,3,FALSE),"")</f>
        <v>46155</v>
      </c>
      <c r="AJ304" s="120" t="str">
        <f t="shared" si="28"/>
        <v>25-26 May</v>
      </c>
      <c r="AK304" s="121">
        <f>IFERROR($M304+VLOOKUP($L304,'Voyage days'!$F$94:$H$193,3,FALSE),"")</f>
        <v>46167</v>
      </c>
      <c r="AL304" s="121">
        <f>IFERROR($N304+VLOOKUP($L304,'Voyage days'!$F$94:$H$193,3,FALSE),"")</f>
        <v>46168</v>
      </c>
      <c r="AM304" s="120" t="str">
        <f t="shared" si="29"/>
        <v>01-02 Jun</v>
      </c>
      <c r="AN304" s="121">
        <f>IFERROR($M304+VLOOKUP($L304,'Voyage days'!$F$203:$H$256,3,FALSE),"")</f>
        <v>46174</v>
      </c>
      <c r="AO304" s="121">
        <f>IFERROR($N304+VLOOKUP($L304,'Voyage days'!$F$203:$H$256,3,FALSE),"")</f>
        <v>46175</v>
      </c>
      <c r="AP304" s="120" t="str">
        <f t="shared" si="30"/>
        <v>24-25 May</v>
      </c>
      <c r="AQ304" s="121">
        <f>IFERROR($M304+VLOOKUP($L304,'Voyage days'!$F$294:$H$377,3,FALSE),"")</f>
        <v>46166</v>
      </c>
      <c r="AR304" s="121">
        <f>IFERROR($N304+VLOOKUP($L304,'Voyage days'!$F$294:$H$377,3,FALSE),"")</f>
        <v>46167</v>
      </c>
      <c r="AS304" s="120" t="str">
        <f t="shared" si="31"/>
        <v>30-31 May</v>
      </c>
      <c r="AT304" s="121">
        <f>IFERROR($M304+VLOOKUP($L304,'Voyage days'!$F$382:$H$446,3,FALSE),"")</f>
        <v>46172</v>
      </c>
      <c r="AU304" s="121">
        <f>IFERROR($N304+VLOOKUP($L304,'Voyage days'!$F$382:$H$446,3,FALSE),"")</f>
        <v>46173</v>
      </c>
      <c r="AV304" s="120" t="str">
        <f t="shared" si="32"/>
        <v>07-08 May</v>
      </c>
      <c r="AW304" s="121">
        <f>IFERROR($M304+VLOOKUP($L304,'Voyage days'!$F$483:$H$538,3,FALSE),"")</f>
        <v>46149</v>
      </c>
      <c r="AX304" s="121">
        <f>IFERROR($N304+VLOOKUP($L304,'Voyage days'!$F$483:$H$538,3,FALSE),"")</f>
        <v>46150</v>
      </c>
      <c r="AY304" s="120" t="str">
        <f t="shared" si="33"/>
        <v>02-03 May</v>
      </c>
      <c r="AZ304" s="121">
        <f>IFERROR($M304+VLOOKUP($L304,'Voyage days'!$F$540:$H$613,3,FALSE),"")</f>
        <v>46144.25</v>
      </c>
      <c r="BA304" s="121">
        <f>IFERROR($N304+VLOOKUP($L304,'Voyage days'!$F$540:$H$613,3,FALSE),"")</f>
        <v>46145.25</v>
      </c>
      <c r="BB304" s="120" t="str">
        <f t="shared" si="34"/>
        <v>02-03 May</v>
      </c>
      <c r="BC304" s="121">
        <f>IFERROR($M304+VLOOKUP($L304,'Voyage days'!$F$448:$H$479,3,FALSE),"")</f>
        <v>46144</v>
      </c>
      <c r="BD304" s="121">
        <f>IFERROR($N304+VLOOKUP($L304,'Voyage days'!$F$448:$H$479,3,FALSE),"")</f>
        <v>46145</v>
      </c>
      <c r="BE304" s="120" t="str">
        <f t="shared" si="35"/>
        <v>05-06 May</v>
      </c>
      <c r="BF304" s="122">
        <f>IFERROR($M304+VLOOKUP($L304,'Voyage days'!$F$620:$H$646,3,FALSE),"")</f>
        <v>46147</v>
      </c>
      <c r="BG304" s="122">
        <f>IFERROR($N304+VLOOKUP($L304,'Voyage days'!$F$620:$H$646,3,FALSE),"")</f>
        <v>46148</v>
      </c>
      <c r="BH304" s="120" t="str">
        <f t="shared" si="36"/>
        <v>02-10 Jun</v>
      </c>
      <c r="BI304" s="123">
        <f>IFERROR($M304+VLOOKUP($L304,'Voyage days'!$F$702:$H$727,3,FALSE),"")</f>
        <v>46144.25</v>
      </c>
      <c r="BJ304" s="120" t="str">
        <f t="shared" si="37"/>
        <v>09-10 Jun</v>
      </c>
      <c r="BK304" s="122">
        <f>IFERROR($M304+VLOOKUP($L304,'Voyage days'!$F$807:$H$878,3,FALSE),"")</f>
        <v>46182</v>
      </c>
      <c r="BL304" s="122">
        <f>IFERROR($N304+VLOOKUP($L304,'Voyage days'!$F$807:$H$878,3,FALSE),"")</f>
        <v>46183</v>
      </c>
      <c r="BM304" s="122">
        <f>IFERROR($N304+VLOOKUP($L304,'Voyage days'!$F$807:$K$878,6,FALSE),"")</f>
        <v>46157</v>
      </c>
      <c r="BN304" s="121" t="str">
        <f>if(L304="loads AG", IFERROR($M304+VLOOKUP($L304,'Voyage days'!$M$38:$O$38,3,FALSE),""),"")</f>
        <v/>
      </c>
      <c r="BO304" s="121" t="str">
        <f>if(L304="loads USG", IFERROR($M304+VLOOKUP($L304,'Voyage days'!$L$203:$N$203,3,FALSE),""),"")</f>
        <v/>
      </c>
    </row>
    <row r="305" ht="15.75" customHeight="1">
      <c r="A305" s="452" t="s">
        <v>1420</v>
      </c>
      <c r="B305" s="183">
        <v>2007.0</v>
      </c>
      <c r="C305" s="294">
        <v>82000.0</v>
      </c>
      <c r="D305" s="112" t="s">
        <v>603</v>
      </c>
      <c r="E305" s="103"/>
      <c r="F305" s="104"/>
      <c r="G305" s="104"/>
      <c r="H305" s="104"/>
      <c r="I305" s="401" t="s">
        <v>1412</v>
      </c>
      <c r="J305" s="106" t="str">
        <f t="shared" si="55"/>
        <v/>
      </c>
      <c r="K305" s="107"/>
      <c r="L305" s="108" t="s">
        <v>680</v>
      </c>
      <c r="M305" s="457">
        <v>46143.0</v>
      </c>
      <c r="N305" s="457">
        <v>46144.0</v>
      </c>
      <c r="O305" s="191"/>
      <c r="P305" s="108" t="s">
        <v>1421</v>
      </c>
      <c r="Q305" s="108"/>
      <c r="R305" s="108" t="s">
        <v>1422</v>
      </c>
      <c r="S305" s="659" t="s">
        <v>659</v>
      </c>
      <c r="T305" s="681">
        <v>46124.0</v>
      </c>
      <c r="U305" s="114" t="str">
        <f>IF(V305="","No AIS",VLOOKUP(V305,'Voyage days'!$A$3:$B$1480,2,FALSE))</f>
        <v>USG</v>
      </c>
      <c r="V305" s="115" t="str">
        <f>IF(VLOOKUP(A305,'1) Kpler'!$E$2:$P$1000,8, FALSE)="","",VLOOKUP(A305,'1) Kpler'!$E$2:$P$1000,8, FALSE))</f>
        <v>Houston</v>
      </c>
      <c r="W305" s="116">
        <f>IF(VLOOKUP(A305,'1) Kpler'!$E$2:$P$1000,9,FALSE)="","",VLOOKUP(A305,'1) Kpler'!$E$2:$P$1000,9,FALSE))</f>
        <v>46141.70833</v>
      </c>
      <c r="X305" s="115" t="str">
        <f>VLOOKUP(A305,'1) Kpler'!$E$2:$I$1000,4,FALSE)</f>
        <v>ballast</v>
      </c>
      <c r="Y305" s="160" t="str">
        <f t="shared" si="43"/>
        <v/>
      </c>
      <c r="Z305" s="160" t="str">
        <f t="shared" si="44"/>
        <v>01-02 May</v>
      </c>
      <c r="AA305" s="160" t="str">
        <f t="shared" si="45"/>
        <v>01-02 May</v>
      </c>
      <c r="AB305" s="160" t="str">
        <f t="shared" si="46"/>
        <v/>
      </c>
      <c r="AC305" s="160" t="str">
        <f t="shared" si="47"/>
        <v>21-22 May</v>
      </c>
      <c r="AD305" s="160" t="str">
        <f t="shared" si="48"/>
        <v/>
      </c>
      <c r="AE305" s="161" t="str">
        <f t="shared" si="49"/>
        <v/>
      </c>
      <c r="AF305" s="162" t="str">
        <f t="shared" si="50"/>
        <v/>
      </c>
      <c r="AG305" s="120" t="str">
        <f t="shared" si="51"/>
        <v/>
      </c>
      <c r="AH305" s="121" t="str">
        <f>IFERROR($M305+VLOOKUP($L305,'Voyage days'!$F$38:$H$89,3,FALSE),"")</f>
        <v/>
      </c>
      <c r="AI305" s="121" t="str">
        <f>IFERROR(N305+VLOOKUP($L305,'Voyage days'!$F$38:$H$89,3,FALSE),"")</f>
        <v/>
      </c>
      <c r="AJ305" s="120" t="str">
        <f t="shared" si="28"/>
        <v>01-02 May</v>
      </c>
      <c r="AK305" s="121">
        <f>IFERROR($M305+VLOOKUP($L305,'Voyage days'!$F$94:$H$193,3,FALSE),"")</f>
        <v>46143</v>
      </c>
      <c r="AL305" s="121">
        <f>IFERROR($N305+VLOOKUP($L305,'Voyage days'!$F$94:$H$193,3,FALSE),"")</f>
        <v>46144</v>
      </c>
      <c r="AM305" s="120" t="str">
        <f t="shared" si="29"/>
        <v>01-02 May</v>
      </c>
      <c r="AN305" s="121">
        <f>IFERROR($M305+VLOOKUP($L305,'Voyage days'!$F$203:$H$256,3,FALSE),"")</f>
        <v>46143</v>
      </c>
      <c r="AO305" s="121">
        <f>IFERROR($N305+VLOOKUP($L305,'Voyage days'!$F$203:$H$256,3,FALSE),"")</f>
        <v>46144</v>
      </c>
      <c r="AP305" s="120" t="str">
        <f t="shared" si="30"/>
        <v/>
      </c>
      <c r="AQ305" s="121" t="str">
        <f>IFERROR($M305+VLOOKUP($L305,'Voyage days'!$F$294:$H$377,3,FALSE),"")</f>
        <v/>
      </c>
      <c r="AR305" s="121" t="str">
        <f>IFERROR($N305+VLOOKUP($L305,'Voyage days'!$F$294:$H$377,3,FALSE),"")</f>
        <v/>
      </c>
      <c r="AS305" s="120" t="str">
        <f t="shared" si="31"/>
        <v>21-22 May</v>
      </c>
      <c r="AT305" s="121">
        <f>IFERROR($M305+VLOOKUP($L305,'Voyage days'!$F$382:$H$446,3,FALSE),"")</f>
        <v>46163</v>
      </c>
      <c r="AU305" s="121">
        <f>IFERROR($N305+VLOOKUP($L305,'Voyage days'!$F$382:$H$446,3,FALSE),"")</f>
        <v>46164</v>
      </c>
      <c r="AV305" s="120" t="str">
        <f t="shared" si="32"/>
        <v/>
      </c>
      <c r="AW305" s="121" t="str">
        <f>IFERROR($M305+VLOOKUP($L305,'Voyage days'!$F$483:$H$538,3,FALSE),"")</f>
        <v/>
      </c>
      <c r="AX305" s="121" t="str">
        <f>IFERROR($N305+VLOOKUP($L305,'Voyage days'!$F$483:$H$538,3,FALSE),"")</f>
        <v/>
      </c>
      <c r="AY305" s="120" t="str">
        <f t="shared" si="33"/>
        <v/>
      </c>
      <c r="AZ305" s="121" t="str">
        <f>IFERROR($M305+VLOOKUP($L305,'Voyage days'!$F$540:$H$613,3,FALSE),"")</f>
        <v/>
      </c>
      <c r="BA305" s="121" t="str">
        <f>IFERROR($N305+VLOOKUP($L305,'Voyage days'!$F$540:$H$613,3,FALSE),"")</f>
        <v/>
      </c>
      <c r="BB305" s="120" t="str">
        <f t="shared" si="34"/>
        <v/>
      </c>
      <c r="BC305" s="121" t="str">
        <f>IFERROR($M305+VLOOKUP($L305,'Voyage days'!$F$448:$H$479,3,FALSE),"")</f>
        <v/>
      </c>
      <c r="BD305" s="121" t="str">
        <f>IFERROR($N305+VLOOKUP($L305,'Voyage days'!$F$448:$H$479,3,FALSE),"")</f>
        <v/>
      </c>
      <c r="BE305" s="120" t="str">
        <f t="shared" si="35"/>
        <v/>
      </c>
      <c r="BF305" s="122" t="str">
        <f>IFERROR($M305+VLOOKUP($L305,'Voyage days'!$F$620:$H$646,3,FALSE),"")</f>
        <v/>
      </c>
      <c r="BG305" s="122" t="str">
        <f>IFERROR($N305+VLOOKUP($L305,'Voyage days'!$F$620:$H$646,3,FALSE),"")</f>
        <v/>
      </c>
      <c r="BH305" s="120" t="str">
        <f t="shared" si="36"/>
        <v/>
      </c>
      <c r="BI305" s="123" t="str">
        <f>IFERROR($M305+VLOOKUP($L305,'Voyage days'!$F$702:$H$727,3,FALSE),"")</f>
        <v/>
      </c>
      <c r="BJ305" s="120" t="str">
        <f t="shared" si="37"/>
        <v/>
      </c>
      <c r="BK305" s="122" t="str">
        <f>IFERROR($M305+VLOOKUP($L305,'Voyage days'!$F$807:$H$878,3,FALSE),"")</f>
        <v/>
      </c>
      <c r="BL305" s="122" t="str">
        <f>IFERROR($N305+VLOOKUP($L305,'Voyage days'!$F$807:$H$878,3,FALSE),"")</f>
        <v/>
      </c>
      <c r="BM305" s="122" t="str">
        <f>IFERROR($N305+VLOOKUP($L305,'Voyage days'!$F$807:$K$878,6,FALSE),"")</f>
        <v/>
      </c>
      <c r="BN305" s="121" t="str">
        <f>if(L305="loads AG", IFERROR($M305+VLOOKUP($L305,'Voyage days'!$M$38:$O$38,3,FALSE),""),"")</f>
        <v/>
      </c>
      <c r="BO305" s="121">
        <f>if(L305="loads USG", IFERROR($M305+VLOOKUP($L305,'Voyage days'!$L$203:$N$203,3,FALSE),""),"")</f>
        <v>46175</v>
      </c>
    </row>
    <row r="306" ht="15.75" customHeight="1">
      <c r="A306" s="274" t="s">
        <v>157</v>
      </c>
      <c r="B306" s="183">
        <v>2023.0</v>
      </c>
      <c r="C306" s="184">
        <v>84000.0</v>
      </c>
      <c r="D306" s="112" t="s">
        <v>603</v>
      </c>
      <c r="E306" s="103"/>
      <c r="F306" s="104"/>
      <c r="G306" s="104"/>
      <c r="H306" s="104" t="s">
        <v>666</v>
      </c>
      <c r="I306" s="401" t="s">
        <v>1412</v>
      </c>
      <c r="J306" s="151" t="str">
        <f t="shared" si="55"/>
        <v/>
      </c>
      <c r="K306" s="107"/>
      <c r="L306" s="108" t="s">
        <v>680</v>
      </c>
      <c r="M306" s="457">
        <v>46136.0</v>
      </c>
      <c r="N306" s="457">
        <v>46137.0</v>
      </c>
      <c r="O306" s="191"/>
      <c r="P306" s="108" t="s">
        <v>1423</v>
      </c>
      <c r="Q306" s="108"/>
      <c r="R306" s="108" t="s">
        <v>1424</v>
      </c>
      <c r="S306" s="659" t="s">
        <v>659</v>
      </c>
      <c r="T306" s="681">
        <v>46124.0</v>
      </c>
      <c r="U306" s="114" t="str">
        <f>IF(V306="","No AIS",VLOOKUP(V306,'Voyage days'!$A$3:$B$1480,2,FALSE))</f>
        <v>USG</v>
      </c>
      <c r="V306" s="115" t="str">
        <f>IF(VLOOKUP(A306,'1) Kpler'!$E$2:$P$1000,8, FALSE)="","",VLOOKUP(A306,'1) Kpler'!$E$2:$P$1000,8, FALSE))</f>
        <v>Houston</v>
      </c>
      <c r="W306" s="116">
        <f>IF(VLOOKUP(A306,'1) Kpler'!$E$2:$P$1000,9,FALSE)="","",VLOOKUP(A306,'1) Kpler'!$E$2:$P$1000,9,FALSE))</f>
        <v>46134.66667</v>
      </c>
      <c r="X306" s="115" t="str">
        <f>VLOOKUP(A306,'1) Kpler'!$E$2:$I$1000,4,FALSE)</f>
        <v>ballast</v>
      </c>
      <c r="Y306" s="296" t="str">
        <f t="shared" si="43"/>
        <v/>
      </c>
      <c r="Z306" s="296" t="str">
        <f t="shared" si="44"/>
        <v>24-25 Apr</v>
      </c>
      <c r="AA306" s="296" t="str">
        <f t="shared" si="45"/>
        <v>24-25 Apr</v>
      </c>
      <c r="AB306" s="296" t="str">
        <f t="shared" si="46"/>
        <v/>
      </c>
      <c r="AC306" s="296" t="str">
        <f t="shared" si="47"/>
        <v>14-15 May</v>
      </c>
      <c r="AD306" s="296" t="str">
        <f t="shared" si="48"/>
        <v/>
      </c>
      <c r="AE306" s="297" t="str">
        <f t="shared" si="49"/>
        <v/>
      </c>
      <c r="AF306" s="119" t="str">
        <f t="shared" si="50"/>
        <v/>
      </c>
      <c r="AG306" s="120" t="str">
        <f t="shared" si="51"/>
        <v/>
      </c>
      <c r="AH306" s="121" t="str">
        <f>IFERROR($M306+VLOOKUP($L306,'Voyage days'!$F$38:$H$89,3,FALSE),"")</f>
        <v/>
      </c>
      <c r="AI306" s="121" t="str">
        <f>IFERROR(N306+VLOOKUP($L306,'Voyage days'!$F$38:$H$89,3,FALSE),"")</f>
        <v/>
      </c>
      <c r="AJ306" s="120" t="str">
        <f t="shared" si="28"/>
        <v>24-25 Apr</v>
      </c>
      <c r="AK306" s="121">
        <f>IFERROR($M306+VLOOKUP($L306,'Voyage days'!$F$94:$H$193,3,FALSE),"")</f>
        <v>46136</v>
      </c>
      <c r="AL306" s="121">
        <f>IFERROR($N306+VLOOKUP($L306,'Voyage days'!$F$94:$H$193,3,FALSE),"")</f>
        <v>46137</v>
      </c>
      <c r="AM306" s="120" t="str">
        <f t="shared" si="29"/>
        <v>24-25 Apr</v>
      </c>
      <c r="AN306" s="121">
        <f>IFERROR($M306+VLOOKUP($L306,'Voyage days'!$F$203:$H$256,3,FALSE),"")</f>
        <v>46136</v>
      </c>
      <c r="AO306" s="121">
        <f>IFERROR($N306+VLOOKUP($L306,'Voyage days'!$F$203:$H$256,3,FALSE),"")</f>
        <v>46137</v>
      </c>
      <c r="AP306" s="120" t="str">
        <f t="shared" si="30"/>
        <v/>
      </c>
      <c r="AQ306" s="121" t="str">
        <f>IFERROR($M306+VLOOKUP($L306,'Voyage days'!$F$294:$H$377,3,FALSE),"")</f>
        <v/>
      </c>
      <c r="AR306" s="121" t="str">
        <f>IFERROR($N306+VLOOKUP($L306,'Voyage days'!$F$294:$H$377,3,FALSE),"")</f>
        <v/>
      </c>
      <c r="AS306" s="120" t="str">
        <f t="shared" si="31"/>
        <v>14-15 May</v>
      </c>
      <c r="AT306" s="121">
        <f>IFERROR($M306+VLOOKUP($L306,'Voyage days'!$F$382:$H$446,3,FALSE),"")</f>
        <v>46156</v>
      </c>
      <c r="AU306" s="121">
        <f>IFERROR($N306+VLOOKUP($L306,'Voyage days'!$F$382:$H$446,3,FALSE),"")</f>
        <v>46157</v>
      </c>
      <c r="AV306" s="120" t="str">
        <f t="shared" si="32"/>
        <v/>
      </c>
      <c r="AW306" s="121" t="str">
        <f>IFERROR($M306+VLOOKUP($L306,'Voyage days'!$F$483:$H$538,3,FALSE),"")</f>
        <v/>
      </c>
      <c r="AX306" s="121" t="str">
        <f>IFERROR($N306+VLOOKUP($L306,'Voyage days'!$F$483:$H$538,3,FALSE),"")</f>
        <v/>
      </c>
      <c r="AY306" s="120" t="str">
        <f t="shared" si="33"/>
        <v/>
      </c>
      <c r="AZ306" s="121" t="str">
        <f>IFERROR($M306+VLOOKUP($L306,'Voyage days'!$F$540:$H$613,3,FALSE),"")</f>
        <v/>
      </c>
      <c r="BA306" s="121" t="str">
        <f>IFERROR($N306+VLOOKUP($L306,'Voyage days'!$F$540:$H$613,3,FALSE),"")</f>
        <v/>
      </c>
      <c r="BB306" s="120" t="str">
        <f t="shared" si="34"/>
        <v/>
      </c>
      <c r="BC306" s="121" t="str">
        <f>IFERROR($M306+VLOOKUP($L306,'Voyage days'!$F$448:$H$479,3,FALSE),"")</f>
        <v/>
      </c>
      <c r="BD306" s="121" t="str">
        <f>IFERROR($N306+VLOOKUP($L306,'Voyage days'!$F$448:$H$479,3,FALSE),"")</f>
        <v/>
      </c>
      <c r="BE306" s="120" t="str">
        <f t="shared" si="35"/>
        <v/>
      </c>
      <c r="BF306" s="122" t="str">
        <f>IFERROR($M306+VLOOKUP($L306,'Voyage days'!$F$620:$H$646,3,FALSE),"")</f>
        <v/>
      </c>
      <c r="BG306" s="122" t="str">
        <f>IFERROR($N306+VLOOKUP($L306,'Voyage days'!$F$620:$H$646,3,FALSE),"")</f>
        <v/>
      </c>
      <c r="BH306" s="120" t="str">
        <f t="shared" si="36"/>
        <v/>
      </c>
      <c r="BI306" s="123" t="str">
        <f>IFERROR($M306+VLOOKUP($L306,'Voyage days'!$F$702:$H$727,3,FALSE),"")</f>
        <v/>
      </c>
      <c r="BJ306" s="120" t="str">
        <f t="shared" si="37"/>
        <v/>
      </c>
      <c r="BK306" s="122" t="str">
        <f>IFERROR($M306+VLOOKUP($L306,'Voyage days'!$F$807:$H$878,3,FALSE),"")</f>
        <v/>
      </c>
      <c r="BL306" s="122" t="str">
        <f>IFERROR($N306+VLOOKUP($L306,'Voyage days'!$F$807:$H$878,3,FALSE),"")</f>
        <v/>
      </c>
      <c r="BM306" s="122" t="str">
        <f>IFERROR($N306+VLOOKUP($L306,'Voyage days'!$F$807:$K$878,6,FALSE),"")</f>
        <v/>
      </c>
      <c r="BN306" s="121" t="str">
        <f>if(L306="loads AG", IFERROR($M306+VLOOKUP($L306,'Voyage days'!$M$38:$O$38,3,FALSE),""),"")</f>
        <v/>
      </c>
      <c r="BO306" s="121">
        <f>if(L306="loads USG", IFERROR($M306+VLOOKUP($L306,'Voyage days'!$L$203:$N$203,3,FALSE),""),"")</f>
        <v>46168</v>
      </c>
    </row>
    <row r="307" ht="15.75" customHeight="1">
      <c r="A307" s="452" t="s">
        <v>158</v>
      </c>
      <c r="B307" s="101">
        <v>42425.0</v>
      </c>
      <c r="C307" s="102">
        <v>84000.0</v>
      </c>
      <c r="D307" s="112" t="s">
        <v>603</v>
      </c>
      <c r="E307" s="103"/>
      <c r="F307" s="104"/>
      <c r="G307" s="104"/>
      <c r="H307" s="104" t="s">
        <v>689</v>
      </c>
      <c r="I307" s="401" t="s">
        <v>1412</v>
      </c>
      <c r="J307" s="106" t="str">
        <f t="shared" si="55"/>
        <v/>
      </c>
      <c r="K307" s="107"/>
      <c r="L307" s="108" t="s">
        <v>680</v>
      </c>
      <c r="M307" s="457">
        <v>46169.0</v>
      </c>
      <c r="N307" s="457">
        <v>46170.0</v>
      </c>
      <c r="O307" s="191"/>
      <c r="P307" s="108" t="s">
        <v>1425</v>
      </c>
      <c r="Q307" s="108"/>
      <c r="R307" s="108" t="s">
        <v>1426</v>
      </c>
      <c r="S307" s="659" t="s">
        <v>659</v>
      </c>
      <c r="T307" s="188">
        <v>46124.0</v>
      </c>
      <c r="U307" s="114" t="str">
        <f>IF(V307="","No AIS",VLOOKUP(V307,'Voyage days'!$A$3:$B$1480,2,FALSE))</f>
        <v>USG</v>
      </c>
      <c r="V307" s="115" t="str">
        <f>IF(VLOOKUP(A307,'1) Kpler'!$E$2:$P$1000,8, FALSE)="","",VLOOKUP(A307,'1) Kpler'!$E$2:$P$1000,8, FALSE))</f>
        <v>PADD 3</v>
      </c>
      <c r="W307" s="116">
        <f>IF(VLOOKUP(A307,'1) Kpler'!$E$2:$P$1000,9,FALSE)="","",VLOOKUP(A307,'1) Kpler'!$E$2:$P$1000,9,FALSE))</f>
        <v>46168</v>
      </c>
      <c r="X307" s="115" t="str">
        <f>VLOOKUP(A307,'1) Kpler'!$E$2:$I$1000,4,FALSE)</f>
        <v>ballast</v>
      </c>
      <c r="Y307" s="296" t="str">
        <f t="shared" si="43"/>
        <v/>
      </c>
      <c r="Z307" s="296" t="str">
        <f t="shared" si="44"/>
        <v>27-28 May</v>
      </c>
      <c r="AA307" s="160" t="str">
        <f t="shared" si="45"/>
        <v>27-28 May</v>
      </c>
      <c r="AB307" s="160" t="str">
        <f t="shared" si="46"/>
        <v/>
      </c>
      <c r="AC307" s="160" t="str">
        <f t="shared" si="47"/>
        <v>16-17 Jun</v>
      </c>
      <c r="AD307" s="160" t="str">
        <f t="shared" si="48"/>
        <v/>
      </c>
      <c r="AE307" s="161" t="str">
        <f t="shared" si="49"/>
        <v/>
      </c>
      <c r="AF307" s="162" t="str">
        <f t="shared" si="50"/>
        <v/>
      </c>
      <c r="AG307" s="120" t="str">
        <f t="shared" si="51"/>
        <v/>
      </c>
      <c r="AH307" s="121" t="str">
        <f>IFERROR($M307+VLOOKUP($L307,'Voyage days'!$F$38:$H$89,3,FALSE),"")</f>
        <v/>
      </c>
      <c r="AI307" s="121" t="str">
        <f>IFERROR(N307+VLOOKUP($L307,'Voyage days'!$F$38:$H$89,3,FALSE),"")</f>
        <v/>
      </c>
      <c r="AJ307" s="120" t="str">
        <f t="shared" si="28"/>
        <v>27-28 May</v>
      </c>
      <c r="AK307" s="121">
        <f>IFERROR($M307+VLOOKUP($L307,'Voyage days'!$F$94:$H$193,3,FALSE),"")</f>
        <v>46169</v>
      </c>
      <c r="AL307" s="121">
        <f>IFERROR($N307+VLOOKUP($L307,'Voyage days'!$F$94:$H$193,3,FALSE),"")</f>
        <v>46170</v>
      </c>
      <c r="AM307" s="120" t="str">
        <f t="shared" si="29"/>
        <v>27-28 May</v>
      </c>
      <c r="AN307" s="121">
        <f>IFERROR($M307+VLOOKUP($L307,'Voyage days'!$F$203:$H$256,3,FALSE),"")</f>
        <v>46169</v>
      </c>
      <c r="AO307" s="121">
        <f>IFERROR($N307+VLOOKUP($L307,'Voyage days'!$F$203:$H$256,3,FALSE),"")</f>
        <v>46170</v>
      </c>
      <c r="AP307" s="120" t="str">
        <f t="shared" si="30"/>
        <v/>
      </c>
      <c r="AQ307" s="121" t="str">
        <f>IFERROR($M307+VLOOKUP($L307,'Voyage days'!$F$294:$H$377,3,FALSE),"")</f>
        <v/>
      </c>
      <c r="AR307" s="121" t="str">
        <f>IFERROR($N307+VLOOKUP($L307,'Voyage days'!$F$294:$H$377,3,FALSE),"")</f>
        <v/>
      </c>
      <c r="AS307" s="120" t="str">
        <f t="shared" si="31"/>
        <v>16-17 Jun</v>
      </c>
      <c r="AT307" s="121">
        <f>IFERROR($M307+VLOOKUP($L307,'Voyage days'!$F$382:$H$446,3,FALSE),"")</f>
        <v>46189</v>
      </c>
      <c r="AU307" s="121">
        <f>IFERROR($N307+VLOOKUP($L307,'Voyage days'!$F$382:$H$446,3,FALSE),"")</f>
        <v>46190</v>
      </c>
      <c r="AV307" s="120" t="str">
        <f t="shared" si="32"/>
        <v/>
      </c>
      <c r="AW307" s="121" t="str">
        <f>IFERROR($M307+VLOOKUP($L307,'Voyage days'!$F$483:$H$538,3,FALSE),"")</f>
        <v/>
      </c>
      <c r="AX307" s="121" t="str">
        <f>IFERROR($N307+VLOOKUP($L307,'Voyage days'!$F$483:$H$538,3,FALSE),"")</f>
        <v/>
      </c>
      <c r="AY307" s="120" t="str">
        <f t="shared" si="33"/>
        <v/>
      </c>
      <c r="AZ307" s="121" t="str">
        <f>IFERROR($M307+VLOOKUP($L307,'Voyage days'!$F$540:$H$613,3,FALSE),"")</f>
        <v/>
      </c>
      <c r="BA307" s="121" t="str">
        <f>IFERROR($N307+VLOOKUP($L307,'Voyage days'!$F$540:$H$613,3,FALSE),"")</f>
        <v/>
      </c>
      <c r="BB307" s="120" t="str">
        <f t="shared" si="34"/>
        <v/>
      </c>
      <c r="BC307" s="121" t="str">
        <f>IFERROR($M307+VLOOKUP($L307,'Voyage days'!$F$448:$H$479,3,FALSE),"")</f>
        <v/>
      </c>
      <c r="BD307" s="121" t="str">
        <f>IFERROR($N307+VLOOKUP($L307,'Voyage days'!$F$448:$H$479,3,FALSE),"")</f>
        <v/>
      </c>
      <c r="BE307" s="120" t="str">
        <f t="shared" si="35"/>
        <v/>
      </c>
      <c r="BF307" s="122" t="str">
        <f>IFERROR($M307+VLOOKUP($L307,'Voyage days'!$F$620:$H$646,3,FALSE),"")</f>
        <v/>
      </c>
      <c r="BG307" s="122" t="str">
        <f>IFERROR($N307+VLOOKUP($L307,'Voyage days'!$F$620:$H$646,3,FALSE),"")</f>
        <v/>
      </c>
      <c r="BH307" s="120" t="str">
        <f t="shared" si="36"/>
        <v/>
      </c>
      <c r="BI307" s="123" t="str">
        <f>IFERROR($M307+VLOOKUP($L307,'Voyage days'!$F$702:$H$727,3,FALSE),"")</f>
        <v/>
      </c>
      <c r="BJ307" s="120" t="str">
        <f t="shared" si="37"/>
        <v/>
      </c>
      <c r="BK307" s="122" t="str">
        <f>IFERROR($M307+VLOOKUP($L307,'Voyage days'!$F$807:$H$878,3,FALSE),"")</f>
        <v/>
      </c>
      <c r="BL307" s="122" t="str">
        <f>IFERROR($N307+VLOOKUP($L307,'Voyage days'!$F$807:$H$878,3,FALSE),"")</f>
        <v/>
      </c>
      <c r="BM307" s="122" t="str">
        <f>IFERROR($N307+VLOOKUP($L307,'Voyage days'!$F$807:$K$878,6,FALSE),"")</f>
        <v/>
      </c>
      <c r="BN307" s="121" t="str">
        <f>if(L307="loads AG", IFERROR($M307+VLOOKUP($L307,'Voyage days'!$M$38:$O$38,3,FALSE),""),"")</f>
        <v/>
      </c>
      <c r="BO307" s="121">
        <f>if(L307="loads USG", IFERROR($M307+VLOOKUP($L307,'Voyage days'!$L$203:$N$203,3,FALSE),""),"")</f>
        <v>46201</v>
      </c>
    </row>
    <row r="308" ht="15.75" customHeight="1">
      <c r="A308" s="274" t="s">
        <v>164</v>
      </c>
      <c r="B308" s="101">
        <v>42331.0</v>
      </c>
      <c r="C308" s="102">
        <v>84000.0</v>
      </c>
      <c r="D308" s="112" t="s">
        <v>603</v>
      </c>
      <c r="E308" s="149"/>
      <c r="F308" s="150"/>
      <c r="G308" s="150"/>
      <c r="H308" s="150"/>
      <c r="I308" s="295" t="s">
        <v>1427</v>
      </c>
      <c r="J308" s="151" t="str">
        <f t="shared" si="55"/>
        <v>NO AIS</v>
      </c>
      <c r="K308" s="107"/>
      <c r="L308" s="153" t="s">
        <v>1205</v>
      </c>
      <c r="M308" s="109">
        <v>46129.0</v>
      </c>
      <c r="N308" s="109">
        <v>46130.0</v>
      </c>
      <c r="O308" s="277"/>
      <c r="P308" s="108" t="s">
        <v>1428</v>
      </c>
      <c r="Q308" s="153"/>
      <c r="R308" s="153" t="s">
        <v>1429</v>
      </c>
      <c r="S308" s="659" t="s">
        <v>659</v>
      </c>
      <c r="T308" s="188">
        <v>46124.0</v>
      </c>
      <c r="U308" s="114" t="str">
        <f>IF(V308="","No AIS",VLOOKUP(V308,'Voyage days'!$A$3:$B$1480,2,FALSE))</f>
        <v>No AIS</v>
      </c>
      <c r="V308" s="114" t="str">
        <f>IF(VLOOKUP(A308,'1) Kpler'!$E$2:$P$1000,8, FALSE)="","",VLOOKUP(A308,'1) Kpler'!$E$2:$P$1000,8, FALSE))</f>
        <v/>
      </c>
      <c r="W308" s="159" t="str">
        <f>IF(VLOOKUP(A308,'1) Kpler'!$E$2:$P$1000,9,FALSE)="","",VLOOKUP(A308,'1) Kpler'!$E$2:$P$1000,9,FALSE))</f>
        <v/>
      </c>
      <c r="X308" s="114" t="str">
        <f>VLOOKUP(A308,'1) Kpler'!$E$2:$I$1000,4,FALSE)</f>
        <v>ballast</v>
      </c>
      <c r="Y308" s="296" t="str">
        <f t="shared" si="43"/>
        <v/>
      </c>
      <c r="Z308" s="296" t="str">
        <f t="shared" si="44"/>
        <v>29-30 Apr</v>
      </c>
      <c r="AA308" s="296" t="str">
        <f t="shared" si="45"/>
        <v>29-30 Apr</v>
      </c>
      <c r="AB308" s="296" t="str">
        <f t="shared" si="46"/>
        <v>24-25 Apr</v>
      </c>
      <c r="AC308" s="296" t="str">
        <f t="shared" si="47"/>
        <v>27-28 Apr</v>
      </c>
      <c r="AD308" s="296" t="str">
        <f t="shared" si="48"/>
        <v/>
      </c>
      <c r="AE308" s="297" t="str">
        <f t="shared" si="49"/>
        <v/>
      </c>
      <c r="AF308" s="119" t="str">
        <f t="shared" si="50"/>
        <v/>
      </c>
      <c r="AG308" s="120" t="str">
        <f t="shared" si="51"/>
        <v/>
      </c>
      <c r="AH308" s="121" t="str">
        <f>IFERROR($M308+VLOOKUP($L308,'Voyage days'!$F$38:$H$89,3,FALSE),"")</f>
        <v/>
      </c>
      <c r="AI308" s="121" t="str">
        <f>IFERROR(N308+VLOOKUP($L308,'Voyage days'!$F$38:$H$89,3,FALSE),"")</f>
        <v/>
      </c>
      <c r="AJ308" s="120" t="str">
        <f t="shared" si="28"/>
        <v>29-30 Apr</v>
      </c>
      <c r="AK308" s="121">
        <f>IFERROR($M308+VLOOKUP($L308,'Voyage days'!$F$94:$H$193,3,FALSE),"")</f>
        <v>46141</v>
      </c>
      <c r="AL308" s="121">
        <f>IFERROR($N308+VLOOKUP($L308,'Voyage days'!$F$94:$H$193,3,FALSE),"")</f>
        <v>46142</v>
      </c>
      <c r="AM308" s="120" t="str">
        <f t="shared" si="29"/>
        <v>29-30 Apr</v>
      </c>
      <c r="AN308" s="121">
        <f>IFERROR($M308+VLOOKUP($L308,'Voyage days'!$F$203:$H$256,3,FALSE),"")</f>
        <v>46141</v>
      </c>
      <c r="AO308" s="121">
        <f>IFERROR($N308+VLOOKUP($L308,'Voyage days'!$F$203:$H$256,3,FALSE),"")</f>
        <v>46142</v>
      </c>
      <c r="AP308" s="120" t="str">
        <f t="shared" si="30"/>
        <v>24-25 Apr</v>
      </c>
      <c r="AQ308" s="121">
        <f>IFERROR($M308+VLOOKUP($L308,'Voyage days'!$F$294:$H$377,3,FALSE),"")</f>
        <v>46136</v>
      </c>
      <c r="AR308" s="121">
        <f>IFERROR($N308+VLOOKUP($L308,'Voyage days'!$F$294:$H$377,3,FALSE),"")</f>
        <v>46137</v>
      </c>
      <c r="AS308" s="120" t="str">
        <f t="shared" si="31"/>
        <v>27-28 Apr</v>
      </c>
      <c r="AT308" s="121">
        <f>IFERROR($M308+VLOOKUP($L308,'Voyage days'!$F$382:$H$446,3,FALSE),"")</f>
        <v>46139</v>
      </c>
      <c r="AU308" s="121">
        <f>IFERROR($N308+VLOOKUP($L308,'Voyage days'!$F$382:$H$446,3,FALSE),"")</f>
        <v>46140</v>
      </c>
      <c r="AV308" s="120" t="str">
        <f t="shared" si="32"/>
        <v/>
      </c>
      <c r="AW308" s="121" t="str">
        <f>IFERROR($M308+VLOOKUP($L308,'Voyage days'!$F$483:$H$538,3,FALSE),"")</f>
        <v/>
      </c>
      <c r="AX308" s="121" t="str">
        <f>IFERROR($N308+VLOOKUP($L308,'Voyage days'!$F$483:$H$538,3,FALSE),"")</f>
        <v/>
      </c>
      <c r="AY308" s="120" t="str">
        <f t="shared" si="33"/>
        <v/>
      </c>
      <c r="AZ308" s="121" t="str">
        <f>IFERROR($M308+VLOOKUP($L308,'Voyage days'!$F$540:$H$613,3,FALSE),"")</f>
        <v/>
      </c>
      <c r="BA308" s="121" t="str">
        <f>IFERROR($N308+VLOOKUP($L308,'Voyage days'!$F$540:$H$613,3,FALSE),"")</f>
        <v/>
      </c>
      <c r="BB308" s="120" t="str">
        <f t="shared" si="34"/>
        <v/>
      </c>
      <c r="BC308" s="121" t="str">
        <f>IFERROR($M308+VLOOKUP($L308,'Voyage days'!$F$448:$H$479,3,FALSE),"")</f>
        <v/>
      </c>
      <c r="BD308" s="121" t="str">
        <f>IFERROR($N308+VLOOKUP($L308,'Voyage days'!$F$448:$H$479,3,FALSE),"")</f>
        <v/>
      </c>
      <c r="BE308" s="120" t="str">
        <f t="shared" si="35"/>
        <v/>
      </c>
      <c r="BF308" s="122" t="str">
        <f>IFERROR($M308+VLOOKUP($L308,'Voyage days'!$F$620:$H$646,3,FALSE),"")</f>
        <v/>
      </c>
      <c r="BG308" s="122" t="str">
        <f>IFERROR($N308+VLOOKUP($L308,'Voyage days'!$F$620:$H$646,3,FALSE),"")</f>
        <v/>
      </c>
      <c r="BH308" s="120" t="str">
        <f t="shared" si="36"/>
        <v/>
      </c>
      <c r="BI308" s="123" t="str">
        <f>IFERROR($M308+VLOOKUP($L308,'Voyage days'!$F$702:$H$727,3,FALSE),"")</f>
        <v/>
      </c>
      <c r="BJ308" s="120" t="str">
        <f t="shared" si="37"/>
        <v/>
      </c>
      <c r="BK308" s="122" t="str">
        <f>IFERROR($M308+VLOOKUP($L308,'Voyage days'!$F$807:$H$878,3,FALSE),"")</f>
        <v/>
      </c>
      <c r="BL308" s="122" t="str">
        <f>IFERROR($N308+VLOOKUP($L308,'Voyage days'!$F$807:$H$878,3,FALSE),"")</f>
        <v/>
      </c>
      <c r="BM308" s="122" t="str">
        <f>IFERROR($N308+VLOOKUP($L308,'Voyage days'!$F$807:$K$878,6,FALSE),"")</f>
        <v/>
      </c>
      <c r="BN308" s="121" t="str">
        <f>if(L308="loads AG", IFERROR($M308+VLOOKUP($L308,'Voyage days'!$M$38:$O$38,3,FALSE),""),"")</f>
        <v/>
      </c>
      <c r="BO308" s="121" t="str">
        <f>if(L308="loads USG", IFERROR($M308+VLOOKUP($L308,'Voyage days'!$L$203:$N$203,3,FALSE),""),"")</f>
        <v/>
      </c>
    </row>
    <row r="309" ht="15.75" customHeight="1">
      <c r="A309" s="667" t="s">
        <v>165</v>
      </c>
      <c r="B309" s="194">
        <v>42299.0</v>
      </c>
      <c r="C309" s="184">
        <v>84000.0</v>
      </c>
      <c r="D309" s="112" t="s">
        <v>603</v>
      </c>
      <c r="E309" s="195"/>
      <c r="F309" s="196"/>
      <c r="G309" s="196"/>
      <c r="H309" s="196" t="s">
        <v>689</v>
      </c>
      <c r="I309" s="401" t="s">
        <v>1412</v>
      </c>
      <c r="J309" s="106" t="str">
        <f t="shared" si="55"/>
        <v/>
      </c>
      <c r="K309" s="107"/>
      <c r="L309" s="108" t="s">
        <v>680</v>
      </c>
      <c r="M309" s="109">
        <v>46140.0</v>
      </c>
      <c r="N309" s="109">
        <v>46141.0</v>
      </c>
      <c r="O309" s="277"/>
      <c r="P309" s="108" t="s">
        <v>1430</v>
      </c>
      <c r="Q309" s="187"/>
      <c r="R309" s="108" t="s">
        <v>1431</v>
      </c>
      <c r="S309" s="659" t="s">
        <v>659</v>
      </c>
      <c r="T309" s="188">
        <v>46124.0</v>
      </c>
      <c r="U309" s="114" t="str">
        <f>IF(V309="","No AIS",VLOOKUP(V309,'Voyage days'!$A$3:$B$1480,2,FALSE))</f>
        <v>Panama</v>
      </c>
      <c r="V309" s="115" t="str">
        <f>IF(VLOOKUP(A309,'1) Kpler'!$E$2:$P$1000,8, FALSE)="","",VLOOKUP(A309,'1) Kpler'!$E$2:$P$1000,8, FALSE))</f>
        <v>Panama Canal</v>
      </c>
      <c r="W309" s="116">
        <f>IF(VLOOKUP(A309,'1) Kpler'!$E$2:$P$1000,9,FALSE)="","",VLOOKUP(A309,'1) Kpler'!$E$2:$P$1000,9,FALSE))</f>
        <v>46132.54167</v>
      </c>
      <c r="X309" s="115" t="str">
        <f>VLOOKUP(A309,'1) Kpler'!$E$2:$I$1000,4,FALSE)</f>
        <v>loaded</v>
      </c>
      <c r="Y309" s="160" t="str">
        <f t="shared" si="43"/>
        <v/>
      </c>
      <c r="Z309" s="160" t="str">
        <f t="shared" si="44"/>
        <v>28-29 Apr</v>
      </c>
      <c r="AA309" s="160" t="str">
        <f t="shared" si="45"/>
        <v>28-29 Apr</v>
      </c>
      <c r="AB309" s="160" t="str">
        <f t="shared" si="46"/>
        <v/>
      </c>
      <c r="AC309" s="160" t="str">
        <f t="shared" si="47"/>
        <v>18-19 May</v>
      </c>
      <c r="AD309" s="160" t="str">
        <f t="shared" si="48"/>
        <v/>
      </c>
      <c r="AE309" s="161" t="str">
        <f t="shared" si="49"/>
        <v/>
      </c>
      <c r="AF309" s="162" t="str">
        <f t="shared" si="50"/>
        <v/>
      </c>
      <c r="AG309" s="120" t="str">
        <f t="shared" si="51"/>
        <v/>
      </c>
      <c r="AH309" s="121" t="str">
        <f>IFERROR($M309+VLOOKUP($L309,'Voyage days'!$F$38:$H$89,3,FALSE),"")</f>
        <v/>
      </c>
      <c r="AI309" s="121" t="str">
        <f>IFERROR(N309+VLOOKUP($L309,'Voyage days'!$F$38:$H$89,3,FALSE),"")</f>
        <v/>
      </c>
      <c r="AJ309" s="120" t="str">
        <f t="shared" si="28"/>
        <v>28-29 Apr</v>
      </c>
      <c r="AK309" s="121">
        <f>IFERROR($M309+VLOOKUP($L309,'Voyage days'!$F$94:$H$193,3,FALSE),"")</f>
        <v>46140</v>
      </c>
      <c r="AL309" s="121">
        <f>IFERROR($N309+VLOOKUP($L309,'Voyage days'!$F$94:$H$193,3,FALSE),"")</f>
        <v>46141</v>
      </c>
      <c r="AM309" s="120" t="str">
        <f t="shared" si="29"/>
        <v>28-29 Apr</v>
      </c>
      <c r="AN309" s="121">
        <f>IFERROR($M309+VLOOKUP($L309,'Voyage days'!$F$203:$H$256,3,FALSE),"")</f>
        <v>46140</v>
      </c>
      <c r="AO309" s="121">
        <f>IFERROR($N309+VLOOKUP($L309,'Voyage days'!$F$203:$H$256,3,FALSE),"")</f>
        <v>46141</v>
      </c>
      <c r="AP309" s="120" t="str">
        <f t="shared" si="30"/>
        <v/>
      </c>
      <c r="AQ309" s="121" t="str">
        <f>IFERROR($M309+VLOOKUP($L309,'Voyage days'!$F$294:$H$377,3,FALSE),"")</f>
        <v/>
      </c>
      <c r="AR309" s="121" t="str">
        <f>IFERROR($N309+VLOOKUP($L309,'Voyage days'!$F$294:$H$377,3,FALSE),"")</f>
        <v/>
      </c>
      <c r="AS309" s="120" t="str">
        <f t="shared" si="31"/>
        <v>18-19 May</v>
      </c>
      <c r="AT309" s="121">
        <f>IFERROR($M309+VLOOKUP($L309,'Voyage days'!$F$382:$H$446,3,FALSE),"")</f>
        <v>46160</v>
      </c>
      <c r="AU309" s="121">
        <f>IFERROR($N309+VLOOKUP($L309,'Voyage days'!$F$382:$H$446,3,FALSE),"")</f>
        <v>46161</v>
      </c>
      <c r="AV309" s="120" t="str">
        <f t="shared" si="32"/>
        <v/>
      </c>
      <c r="AW309" s="121" t="str">
        <f>IFERROR($M309+VLOOKUP($L309,'Voyage days'!$F$483:$H$538,3,FALSE),"")</f>
        <v/>
      </c>
      <c r="AX309" s="121" t="str">
        <f>IFERROR($N309+VLOOKUP($L309,'Voyage days'!$F$483:$H$538,3,FALSE),"")</f>
        <v/>
      </c>
      <c r="AY309" s="120" t="str">
        <f t="shared" si="33"/>
        <v/>
      </c>
      <c r="AZ309" s="121" t="str">
        <f>IFERROR($M309+VLOOKUP($L309,'Voyage days'!$F$540:$H$613,3,FALSE),"")</f>
        <v/>
      </c>
      <c r="BA309" s="121" t="str">
        <f>IFERROR($N309+VLOOKUP($L309,'Voyage days'!$F$540:$H$613,3,FALSE),"")</f>
        <v/>
      </c>
      <c r="BB309" s="120" t="str">
        <f t="shared" si="34"/>
        <v/>
      </c>
      <c r="BC309" s="121" t="str">
        <f>IFERROR($M309+VLOOKUP($L309,'Voyage days'!$F$448:$H$479,3,FALSE),"")</f>
        <v/>
      </c>
      <c r="BD309" s="121" t="str">
        <f>IFERROR($N309+VLOOKUP($L309,'Voyage days'!$F$448:$H$479,3,FALSE),"")</f>
        <v/>
      </c>
      <c r="BE309" s="120" t="str">
        <f t="shared" si="35"/>
        <v/>
      </c>
      <c r="BF309" s="122" t="str">
        <f>IFERROR($M309+VLOOKUP($L309,'Voyage days'!$F$620:$H$646,3,FALSE),"")</f>
        <v/>
      </c>
      <c r="BG309" s="122" t="str">
        <f>IFERROR($N309+VLOOKUP($L309,'Voyage days'!$F$620:$H$646,3,FALSE),"")</f>
        <v/>
      </c>
      <c r="BH309" s="120" t="str">
        <f t="shared" si="36"/>
        <v/>
      </c>
      <c r="BI309" s="123" t="str">
        <f>IFERROR($M309+VLOOKUP($L309,'Voyage days'!$F$702:$H$727,3,FALSE),"")</f>
        <v/>
      </c>
      <c r="BJ309" s="120" t="str">
        <f t="shared" si="37"/>
        <v/>
      </c>
      <c r="BK309" s="122" t="str">
        <f>IFERROR($M309+VLOOKUP($L309,'Voyage days'!$F$807:$H$878,3,FALSE),"")</f>
        <v/>
      </c>
      <c r="BL309" s="122" t="str">
        <f>IFERROR($N309+VLOOKUP($L309,'Voyage days'!$F$807:$H$878,3,FALSE),"")</f>
        <v/>
      </c>
      <c r="BM309" s="122" t="str">
        <f>IFERROR($N309+VLOOKUP($L309,'Voyage days'!$F$807:$K$878,6,FALSE),"")</f>
        <v/>
      </c>
      <c r="BN309" s="121" t="str">
        <f>if(L309="loads AG", IFERROR($M309+VLOOKUP($L309,'Voyage days'!$M$38:$O$38,3,FALSE),""),"")</f>
        <v/>
      </c>
      <c r="BO309" s="121">
        <f>if(L309="loads USG", IFERROR($M309+VLOOKUP($L309,'Voyage days'!$L$203:$N$203,3,FALSE),""),"")</f>
        <v>46172</v>
      </c>
    </row>
    <row r="310" ht="15.75" customHeight="1">
      <c r="A310" s="452" t="s">
        <v>166</v>
      </c>
      <c r="B310" s="101">
        <v>42290.0</v>
      </c>
      <c r="C310" s="102">
        <v>84000.0</v>
      </c>
      <c r="D310" s="112" t="s">
        <v>603</v>
      </c>
      <c r="E310" s="103"/>
      <c r="F310" s="104"/>
      <c r="G310" s="104"/>
      <c r="H310" s="104" t="s">
        <v>689</v>
      </c>
      <c r="I310" s="401" t="s">
        <v>1412</v>
      </c>
      <c r="J310" s="106" t="str">
        <f t="shared" si="55"/>
        <v/>
      </c>
      <c r="K310" s="107"/>
      <c r="L310" s="108" t="s">
        <v>823</v>
      </c>
      <c r="M310" s="109">
        <v>46151.0</v>
      </c>
      <c r="N310" s="109">
        <v>46152.0</v>
      </c>
      <c r="O310" s="277"/>
      <c r="P310" s="108" t="s">
        <v>949</v>
      </c>
      <c r="Q310" s="304"/>
      <c r="R310" s="108" t="s">
        <v>1432</v>
      </c>
      <c r="S310" s="659" t="s">
        <v>659</v>
      </c>
      <c r="T310" s="188">
        <v>46124.0</v>
      </c>
      <c r="U310" s="114" t="str">
        <f>IF(V310="","No AIS",VLOOKUP(V310,'Voyage days'!$A$3:$B$1480,2,FALSE))</f>
        <v>Panama</v>
      </c>
      <c r="V310" s="115" t="str">
        <f>IF(VLOOKUP(A310,'1) Kpler'!$E$2:$P$1000,8, FALSE)="","",VLOOKUP(A310,'1) Kpler'!$E$2:$P$1000,8, FALSE))</f>
        <v>Panama Canal</v>
      </c>
      <c r="W310" s="116">
        <f>IF(VLOOKUP(A310,'1) Kpler'!$E$2:$P$1000,9,FALSE)="","",VLOOKUP(A310,'1) Kpler'!$E$2:$P$1000,9,FALSE))</f>
        <v>46139.625</v>
      </c>
      <c r="X310" s="115" t="str">
        <f>VLOOKUP(A310,'1) Kpler'!$E$2:$I$1000,4,FALSE)</f>
        <v>ballast</v>
      </c>
      <c r="Y310" s="296" t="str">
        <f t="shared" si="43"/>
        <v/>
      </c>
      <c r="Z310" s="296" t="str">
        <f t="shared" si="44"/>
        <v>09-10 May</v>
      </c>
      <c r="AA310" s="296" t="str">
        <f t="shared" si="45"/>
        <v/>
      </c>
      <c r="AB310" s="296" t="str">
        <f t="shared" si="46"/>
        <v/>
      </c>
      <c r="AC310" s="296" t="str">
        <f t="shared" si="47"/>
        <v>24-25 May</v>
      </c>
      <c r="AD310" s="296" t="str">
        <f t="shared" si="48"/>
        <v/>
      </c>
      <c r="AE310" s="297" t="str">
        <f t="shared" si="49"/>
        <v/>
      </c>
      <c r="AF310" s="119" t="str">
        <f t="shared" si="50"/>
        <v/>
      </c>
      <c r="AG310" s="120" t="str">
        <f t="shared" si="51"/>
        <v/>
      </c>
      <c r="AH310" s="121" t="str">
        <f>IFERROR($M310+VLOOKUP($L310,'Voyage days'!$F$38:$H$89,3,FALSE),"")</f>
        <v/>
      </c>
      <c r="AI310" s="121" t="str">
        <f>IFERROR(N310+VLOOKUP($L310,'Voyage days'!$F$38:$H$89,3,FALSE),"")</f>
        <v/>
      </c>
      <c r="AJ310" s="120" t="str">
        <f t="shared" si="28"/>
        <v>09-10 May</v>
      </c>
      <c r="AK310" s="121">
        <f>IFERROR($M310+VLOOKUP($L310,'Voyage days'!$F$94:$H$193,3,FALSE),"")</f>
        <v>46151</v>
      </c>
      <c r="AL310" s="121">
        <f>IFERROR($N310+VLOOKUP($L310,'Voyage days'!$F$94:$H$193,3,FALSE),"")</f>
        <v>46152</v>
      </c>
      <c r="AM310" s="120" t="str">
        <f t="shared" si="29"/>
        <v/>
      </c>
      <c r="AN310" s="121" t="str">
        <f>IFERROR($M310+VLOOKUP($L310,'Voyage days'!$F$203:$H$256,3,FALSE),"")</f>
        <v/>
      </c>
      <c r="AO310" s="121" t="str">
        <f>IFERROR($N310+VLOOKUP($L310,'Voyage days'!$F$203:$H$256,3,FALSE),"")</f>
        <v/>
      </c>
      <c r="AP310" s="120" t="str">
        <f t="shared" si="30"/>
        <v/>
      </c>
      <c r="AQ310" s="121" t="str">
        <f>IFERROR($M310+VLOOKUP($L310,'Voyage days'!$F$294:$H$377,3,FALSE),"")</f>
        <v/>
      </c>
      <c r="AR310" s="121" t="str">
        <f>IFERROR($N310+VLOOKUP($L310,'Voyage days'!$F$294:$H$377,3,FALSE),"")</f>
        <v/>
      </c>
      <c r="AS310" s="120" t="str">
        <f t="shared" si="31"/>
        <v>24-25 May</v>
      </c>
      <c r="AT310" s="121">
        <f>IFERROR($M310+VLOOKUP($L310,'Voyage days'!$F$382:$H$446,3,FALSE),"")</f>
        <v>46166</v>
      </c>
      <c r="AU310" s="121">
        <f>IFERROR($N310+VLOOKUP($L310,'Voyage days'!$F$382:$H$446,3,FALSE),"")</f>
        <v>46167</v>
      </c>
      <c r="AV310" s="120" t="str">
        <f t="shared" si="32"/>
        <v/>
      </c>
      <c r="AW310" s="121" t="str">
        <f>IFERROR($M310+VLOOKUP($L310,'Voyage days'!$F$483:$H$538,3,FALSE),"")</f>
        <v/>
      </c>
      <c r="AX310" s="121" t="str">
        <f>IFERROR($N310+VLOOKUP($L310,'Voyage days'!$F$483:$H$538,3,FALSE),"")</f>
        <v/>
      </c>
      <c r="AY310" s="120" t="str">
        <f t="shared" si="33"/>
        <v/>
      </c>
      <c r="AZ310" s="121" t="str">
        <f>IFERROR($M310+VLOOKUP($L310,'Voyage days'!$F$540:$H$613,3,FALSE),"")</f>
        <v/>
      </c>
      <c r="BA310" s="121" t="str">
        <f>IFERROR($N310+VLOOKUP($L310,'Voyage days'!$F$540:$H$613,3,FALSE),"")</f>
        <v/>
      </c>
      <c r="BB310" s="120" t="str">
        <f t="shared" si="34"/>
        <v/>
      </c>
      <c r="BC310" s="121" t="str">
        <f>IFERROR($M310+VLOOKUP($L310,'Voyage days'!$F$448:$H$479,3,FALSE),"")</f>
        <v/>
      </c>
      <c r="BD310" s="121" t="str">
        <f>IFERROR($N310+VLOOKUP($L310,'Voyage days'!$F$448:$H$479,3,FALSE),"")</f>
        <v/>
      </c>
      <c r="BE310" s="120" t="str">
        <f t="shared" si="35"/>
        <v/>
      </c>
      <c r="BF310" s="122" t="str">
        <f>IFERROR($M310+VLOOKUP($L310,'Voyage days'!$F$620:$H$646,3,FALSE),"")</f>
        <v/>
      </c>
      <c r="BG310" s="122" t="str">
        <f>IFERROR($N310+VLOOKUP($L310,'Voyage days'!$F$620:$H$646,3,FALSE),"")</f>
        <v/>
      </c>
      <c r="BH310" s="120" t="str">
        <f t="shared" si="36"/>
        <v/>
      </c>
      <c r="BI310" s="123" t="str">
        <f>IFERROR($M310+VLOOKUP($L310,'Voyage days'!$F$702:$H$727,3,FALSE),"")</f>
        <v/>
      </c>
      <c r="BJ310" s="120" t="str">
        <f t="shared" si="37"/>
        <v/>
      </c>
      <c r="BK310" s="122" t="str">
        <f>IFERROR($M310+VLOOKUP($L310,'Voyage days'!$F$807:$H$878,3,FALSE),"")</f>
        <v/>
      </c>
      <c r="BL310" s="122" t="str">
        <f>IFERROR($N310+VLOOKUP($L310,'Voyage days'!$F$807:$H$878,3,FALSE),"")</f>
        <v/>
      </c>
      <c r="BM310" s="122" t="str">
        <f>IFERROR($N310+VLOOKUP($L310,'Voyage days'!$F$807:$K$878,6,FALSE),"")</f>
        <v/>
      </c>
      <c r="BN310" s="121" t="str">
        <f>if(L310="loads AG", IFERROR($M310+VLOOKUP($L310,'Voyage days'!$M$38:$O$38,3,FALSE),""),"")</f>
        <v/>
      </c>
      <c r="BO310" s="121" t="str">
        <f>if(L310="loads USG", IFERROR($M310+VLOOKUP($L310,'Voyage days'!$L$203:$N$203,3,FALSE),""),"")</f>
        <v/>
      </c>
    </row>
    <row r="311">
      <c r="A311" s="684" t="s">
        <v>185</v>
      </c>
      <c r="B311" s="101">
        <v>42181.0</v>
      </c>
      <c r="C311" s="102">
        <v>84000.0</v>
      </c>
      <c r="D311" s="112" t="s">
        <v>603</v>
      </c>
      <c r="E311" s="103"/>
      <c r="F311" s="104"/>
      <c r="G311" s="104"/>
      <c r="H311" s="104" t="s">
        <v>689</v>
      </c>
      <c r="I311" s="401" t="s">
        <v>1412</v>
      </c>
      <c r="J311" s="106" t="str">
        <f t="shared" si="55"/>
        <v/>
      </c>
      <c r="K311" s="205"/>
      <c r="L311" s="108" t="s">
        <v>668</v>
      </c>
      <c r="M311" s="457">
        <v>46141.0</v>
      </c>
      <c r="N311" s="457">
        <v>46142.0</v>
      </c>
      <c r="O311" s="277"/>
      <c r="P311" s="317" t="s">
        <v>1433</v>
      </c>
      <c r="Q311" s="108"/>
      <c r="R311" s="108" t="s">
        <v>1434</v>
      </c>
      <c r="S311" s="659" t="s">
        <v>659</v>
      </c>
      <c r="T311" s="188">
        <v>46124.0</v>
      </c>
      <c r="U311" s="114" t="str">
        <f>IF(V311="","No AIS",VLOOKUP(V311,'Voyage days'!$A$3:$B$1480,2,FALSE))</f>
        <v>Korea + 4</v>
      </c>
      <c r="V311" s="115" t="str">
        <f>IF(VLOOKUP(A311,'1) Kpler'!$E$2:$P$1000,8, FALSE)="","",VLOOKUP(A311,'1) Kpler'!$E$2:$P$1000,8, FALSE))</f>
        <v>Total Daesan Hanwha Refinery</v>
      </c>
      <c r="W311" s="116">
        <f>IF(VLOOKUP(A311,'1) Kpler'!$E$2:$P$1000,9,FALSE)="","",VLOOKUP(A311,'1) Kpler'!$E$2:$P$1000,9,FALSE))</f>
        <v>46137.95833</v>
      </c>
      <c r="X311" s="115" t="str">
        <f>VLOOKUP(A311,'1) Kpler'!$E$2:$I$1000,4,FALSE)</f>
        <v>loaded</v>
      </c>
      <c r="Y311" s="160" t="str">
        <f t="shared" si="43"/>
        <v>17-18 May</v>
      </c>
      <c r="Z311" s="160" t="str">
        <f t="shared" si="44"/>
        <v>31-01 Jun</v>
      </c>
      <c r="AA311" s="160" t="str">
        <f t="shared" si="45"/>
        <v>10-11 Jun</v>
      </c>
      <c r="AB311" s="160" t="str">
        <f t="shared" si="46"/>
        <v>29-30 May</v>
      </c>
      <c r="AC311" s="160" t="str">
        <f t="shared" si="47"/>
        <v>04-05 Jun</v>
      </c>
      <c r="AD311" s="160" t="str">
        <f t="shared" si="48"/>
        <v>07-08 May</v>
      </c>
      <c r="AE311" s="161" t="str">
        <f t="shared" si="49"/>
        <v>07-08 May</v>
      </c>
      <c r="AF311" s="162" t="str">
        <f t="shared" si="50"/>
        <v>14-15 Jun</v>
      </c>
      <c r="AG311" s="120" t="str">
        <f t="shared" si="51"/>
        <v>17-18 May</v>
      </c>
      <c r="AH311" s="121">
        <f>IFERROR($M311+VLOOKUP($L311,'Voyage days'!$F$38:$H$89,3,FALSE),"")</f>
        <v>46159</v>
      </c>
      <c r="AI311" s="121">
        <f>IFERROR(N311+VLOOKUP($L311,'Voyage days'!$F$38:$H$89,3,FALSE),"")</f>
        <v>46160</v>
      </c>
      <c r="AJ311" s="120" t="str">
        <f t="shared" si="28"/>
        <v>31-01 Jun</v>
      </c>
      <c r="AK311" s="121">
        <f>IFERROR($M311+VLOOKUP($L311,'Voyage days'!$F$94:$H$193,3,FALSE),"")</f>
        <v>46173</v>
      </c>
      <c r="AL311" s="121">
        <f>IFERROR($N311+VLOOKUP($L311,'Voyage days'!$F$94:$H$193,3,FALSE),"")</f>
        <v>46174</v>
      </c>
      <c r="AM311" s="120" t="str">
        <f t="shared" si="29"/>
        <v>10-11 Jun</v>
      </c>
      <c r="AN311" s="121">
        <f>IFERROR($M311+VLOOKUP($L311,'Voyage days'!$F$203:$H$256,3,FALSE),"")</f>
        <v>46183</v>
      </c>
      <c r="AO311" s="121">
        <f>IFERROR($N311+VLOOKUP($L311,'Voyage days'!$F$203:$H$256,3,FALSE),"")</f>
        <v>46184</v>
      </c>
      <c r="AP311" s="120" t="str">
        <f t="shared" si="30"/>
        <v>29-30 May</v>
      </c>
      <c r="AQ311" s="121">
        <f>IFERROR($M311+VLOOKUP($L311,'Voyage days'!$F$294:$H$377,3,FALSE),"")</f>
        <v>46171</v>
      </c>
      <c r="AR311" s="121">
        <f>IFERROR($N311+VLOOKUP($L311,'Voyage days'!$F$294:$H$377,3,FALSE),"")</f>
        <v>46172</v>
      </c>
      <c r="AS311" s="120" t="str">
        <f t="shared" si="31"/>
        <v>04-05 Jun</v>
      </c>
      <c r="AT311" s="121">
        <f>IFERROR($M311+VLOOKUP($L311,'Voyage days'!$F$382:$H$446,3,FALSE),"")</f>
        <v>46177</v>
      </c>
      <c r="AU311" s="121">
        <f>IFERROR($N311+VLOOKUP($L311,'Voyage days'!$F$382:$H$446,3,FALSE),"")</f>
        <v>46178</v>
      </c>
      <c r="AV311" s="120" t="str">
        <f t="shared" si="32"/>
        <v>12-13 May</v>
      </c>
      <c r="AW311" s="121">
        <f>IFERROR($M311+VLOOKUP($L311,'Voyage days'!$F$483:$H$538,3,FALSE),"")</f>
        <v>46154</v>
      </c>
      <c r="AX311" s="121">
        <f>IFERROR($N311+VLOOKUP($L311,'Voyage days'!$F$483:$H$538,3,FALSE),"")</f>
        <v>46155</v>
      </c>
      <c r="AY311" s="120" t="str">
        <f t="shared" si="33"/>
        <v>07-08 May</v>
      </c>
      <c r="AZ311" s="121">
        <f>IFERROR($M311+VLOOKUP($L311,'Voyage days'!$F$540:$H$613,3,FALSE),"")</f>
        <v>46149.25</v>
      </c>
      <c r="BA311" s="121">
        <f>IFERROR($N311+VLOOKUP($L311,'Voyage days'!$F$540:$H$613,3,FALSE),"")</f>
        <v>46150.25</v>
      </c>
      <c r="BB311" s="120" t="str">
        <f t="shared" si="34"/>
        <v>07-08 May</v>
      </c>
      <c r="BC311" s="121">
        <f>IFERROR($M311+VLOOKUP($L311,'Voyage days'!$F$448:$H$479,3,FALSE),"")</f>
        <v>46149</v>
      </c>
      <c r="BD311" s="121">
        <f>IFERROR($N311+VLOOKUP($L311,'Voyage days'!$F$448:$H$479,3,FALSE),"")</f>
        <v>46150</v>
      </c>
      <c r="BE311" s="120" t="str">
        <f t="shared" si="35"/>
        <v>10-11 May</v>
      </c>
      <c r="BF311" s="122">
        <f>IFERROR($M311+VLOOKUP($L311,'Voyage days'!$F$620:$H$646,3,FALSE),"")</f>
        <v>46152</v>
      </c>
      <c r="BG311" s="122">
        <f>IFERROR($N311+VLOOKUP($L311,'Voyage days'!$F$620:$H$646,3,FALSE),"")</f>
        <v>46153</v>
      </c>
      <c r="BH311" s="120" t="str">
        <f t="shared" si="36"/>
        <v>07-15 Jun</v>
      </c>
      <c r="BI311" s="123">
        <f>IFERROR($M311+VLOOKUP($L311,'Voyage days'!$F$702:$H$727,3,FALSE),"")</f>
        <v>46149.25</v>
      </c>
      <c r="BJ311" s="120" t="str">
        <f t="shared" si="37"/>
        <v>14-15 Jun</v>
      </c>
      <c r="BK311" s="122">
        <f>IFERROR($M311+VLOOKUP($L311,'Voyage days'!$F$807:$H$878,3,FALSE),"")</f>
        <v>46187</v>
      </c>
      <c r="BL311" s="122">
        <f>IFERROR($N311+VLOOKUP($L311,'Voyage days'!$F$807:$H$878,3,FALSE),"")</f>
        <v>46188</v>
      </c>
      <c r="BM311" s="122">
        <f>IFERROR($N311+VLOOKUP($L311,'Voyage days'!$F$807:$K$878,6,FALSE),"")</f>
        <v>46162</v>
      </c>
      <c r="BN311" s="121" t="str">
        <f>if(L311="loads AG", IFERROR($M311+VLOOKUP($L311,'Voyage days'!$M$38:$O$38,3,FALSE),""),"")</f>
        <v/>
      </c>
      <c r="BO311" s="121" t="str">
        <f>if(L311="loads USG", IFERROR($M311+VLOOKUP($L311,'Voyage days'!$L$203:$N$203,3,FALSE),""),"")</f>
        <v/>
      </c>
    </row>
    <row r="312" ht="15.75" customHeight="1">
      <c r="A312" s="667" t="s">
        <v>186</v>
      </c>
      <c r="B312" s="101">
        <v>41848.0</v>
      </c>
      <c r="C312" s="102">
        <v>84000.0</v>
      </c>
      <c r="D312" s="112" t="s">
        <v>603</v>
      </c>
      <c r="E312" s="103"/>
      <c r="F312" s="104"/>
      <c r="G312" s="104"/>
      <c r="H312" s="104" t="s">
        <v>689</v>
      </c>
      <c r="I312" s="401" t="s">
        <v>1412</v>
      </c>
      <c r="J312" s="106" t="str">
        <f t="shared" si="55"/>
        <v>NO AIS</v>
      </c>
      <c r="K312" s="205"/>
      <c r="L312" s="108" t="s">
        <v>773</v>
      </c>
      <c r="M312" s="109">
        <v>46131.0</v>
      </c>
      <c r="N312" s="109">
        <v>46132.0</v>
      </c>
      <c r="O312" s="191" t="s">
        <v>729</v>
      </c>
      <c r="P312" s="108" t="s">
        <v>1435</v>
      </c>
      <c r="Q312" s="192"/>
      <c r="R312" s="187" t="s">
        <v>1436</v>
      </c>
      <c r="S312" s="659" t="s">
        <v>659</v>
      </c>
      <c r="T312" s="188">
        <v>46124.0</v>
      </c>
      <c r="U312" s="114" t="str">
        <f>IF(V312="","No AIS",VLOOKUP(V312,'Voyage days'!$A$3:$B$1480,2,FALSE))</f>
        <v>No AIS</v>
      </c>
      <c r="V312" s="115" t="str">
        <f>IF(VLOOKUP(A312,'1) Kpler'!$E$2:$P$1000,8, FALSE)="","",VLOOKUP(A312,'1) Kpler'!$E$2:$P$1000,8, FALSE))</f>
        <v/>
      </c>
      <c r="W312" s="116" t="str">
        <f>IF(VLOOKUP(A312,'1) Kpler'!$E$2:$P$1000,9,FALSE)="","",VLOOKUP(A312,'1) Kpler'!$E$2:$P$1000,9,FALSE))</f>
        <v/>
      </c>
      <c r="X312" s="115" t="str">
        <f>VLOOKUP(A312,'1) Kpler'!$E$2:$I$1000,4,FALSE)</f>
        <v>ballast</v>
      </c>
      <c r="Y312" s="296" t="str">
        <f t="shared" si="43"/>
        <v/>
      </c>
      <c r="Z312" s="296" t="str">
        <f t="shared" si="44"/>
        <v>03-04 May</v>
      </c>
      <c r="AA312" s="296" t="str">
        <f t="shared" si="45"/>
        <v>04-05 May</v>
      </c>
      <c r="AB312" s="296" t="str">
        <f t="shared" si="46"/>
        <v>30-01 May</v>
      </c>
      <c r="AC312" s="296" t="str">
        <f t="shared" si="47"/>
        <v>21-22 Apr</v>
      </c>
      <c r="AD312" s="296" t="str">
        <f t="shared" si="48"/>
        <v/>
      </c>
      <c r="AE312" s="297" t="str">
        <f t="shared" si="49"/>
        <v/>
      </c>
      <c r="AF312" s="119" t="str">
        <f t="shared" si="50"/>
        <v>03-04 May</v>
      </c>
      <c r="AG312" s="120" t="str">
        <f t="shared" si="51"/>
        <v/>
      </c>
      <c r="AH312" s="121" t="str">
        <f>IFERROR($M312+VLOOKUP($L312,'Voyage days'!$F$38:$H$89,3,FALSE),"")</f>
        <v/>
      </c>
      <c r="AI312" s="121" t="str">
        <f>IFERROR(N312+VLOOKUP($L312,'Voyage days'!$F$38:$H$89,3,FALSE),"")</f>
        <v/>
      </c>
      <c r="AJ312" s="120" t="str">
        <f t="shared" si="28"/>
        <v>03-04 May</v>
      </c>
      <c r="AK312" s="121">
        <f>IFERROR($M312+VLOOKUP($L312,'Voyage days'!$F$94:$H$193,3,FALSE),"")</f>
        <v>46145</v>
      </c>
      <c r="AL312" s="121">
        <f>IFERROR($N312+VLOOKUP($L312,'Voyage days'!$F$94:$H$193,3,FALSE),"")</f>
        <v>46146</v>
      </c>
      <c r="AM312" s="120" t="str">
        <f t="shared" si="29"/>
        <v>04-05 May</v>
      </c>
      <c r="AN312" s="121">
        <f>IFERROR($M312+VLOOKUP($L312,'Voyage days'!$F$203:$H$256,3,FALSE),"")</f>
        <v>46146</v>
      </c>
      <c r="AO312" s="121">
        <f>IFERROR($N312+VLOOKUP($L312,'Voyage days'!$F$203:$H$256,3,FALSE),"")</f>
        <v>46147</v>
      </c>
      <c r="AP312" s="120" t="str">
        <f t="shared" si="30"/>
        <v>30-01 May</v>
      </c>
      <c r="AQ312" s="121">
        <f>IFERROR($M312+VLOOKUP($L312,'Voyage days'!$F$294:$H$377,3,FALSE),"")</f>
        <v>46142</v>
      </c>
      <c r="AR312" s="121">
        <f>IFERROR($N312+VLOOKUP($L312,'Voyage days'!$F$294:$H$377,3,FALSE),"")</f>
        <v>46143</v>
      </c>
      <c r="AS312" s="120" t="str">
        <f t="shared" si="31"/>
        <v>21-22 Apr</v>
      </c>
      <c r="AT312" s="121">
        <f>IFERROR($M312+VLOOKUP($L312,'Voyage days'!$F$382:$H$446,3,FALSE),"")</f>
        <v>46133</v>
      </c>
      <c r="AU312" s="121">
        <f>IFERROR($N312+VLOOKUP($L312,'Voyage days'!$F$382:$H$446,3,FALSE),"")</f>
        <v>46134</v>
      </c>
      <c r="AV312" s="120" t="str">
        <f t="shared" si="32"/>
        <v/>
      </c>
      <c r="AW312" s="121" t="str">
        <f>IFERROR($M312+VLOOKUP($L312,'Voyage days'!$F$483:$H$538,3,FALSE),"")</f>
        <v/>
      </c>
      <c r="AX312" s="121" t="str">
        <f>IFERROR($N312+VLOOKUP($L312,'Voyage days'!$F$483:$H$538,3,FALSE),"")</f>
        <v/>
      </c>
      <c r="AY312" s="120" t="str">
        <f t="shared" si="33"/>
        <v/>
      </c>
      <c r="AZ312" s="121" t="str">
        <f>IFERROR($M312+VLOOKUP($L312,'Voyage days'!$F$540:$H$613,3,FALSE),"")</f>
        <v/>
      </c>
      <c r="BA312" s="121" t="str">
        <f>IFERROR($N312+VLOOKUP($L312,'Voyage days'!$F$540:$H$613,3,FALSE),"")</f>
        <v/>
      </c>
      <c r="BB312" s="120" t="str">
        <f t="shared" si="34"/>
        <v/>
      </c>
      <c r="BC312" s="121" t="str">
        <f>IFERROR($M312+VLOOKUP($L312,'Voyage days'!$F$448:$H$479,3,FALSE),"")</f>
        <v/>
      </c>
      <c r="BD312" s="121" t="str">
        <f>IFERROR($N312+VLOOKUP($L312,'Voyage days'!$F$448:$H$479,3,FALSE),"")</f>
        <v/>
      </c>
      <c r="BE312" s="120" t="str">
        <f t="shared" si="35"/>
        <v/>
      </c>
      <c r="BF312" s="122" t="str">
        <f>IFERROR($M312+VLOOKUP($L312,'Voyage days'!$F$620:$H$646,3,FALSE),"")</f>
        <v/>
      </c>
      <c r="BG312" s="122" t="str">
        <f>IFERROR($N312+VLOOKUP($L312,'Voyage days'!$F$620:$H$646,3,FALSE),"")</f>
        <v/>
      </c>
      <c r="BH312" s="120" t="str">
        <f t="shared" si="36"/>
        <v/>
      </c>
      <c r="BI312" s="123" t="str">
        <f>IFERROR($M312+VLOOKUP($L312,'Voyage days'!$F$702:$H$727,3,FALSE),"")</f>
        <v/>
      </c>
      <c r="BJ312" s="120" t="str">
        <f t="shared" si="37"/>
        <v>03-04 May</v>
      </c>
      <c r="BK312" s="122">
        <f>IFERROR($M312+VLOOKUP($L312,'Voyage days'!$F$807:$H$878,3,FALSE),"")</f>
        <v>46145</v>
      </c>
      <c r="BL312" s="122">
        <f>IFERROR($N312+VLOOKUP($L312,'Voyage days'!$F$807:$H$878,3,FALSE),"")</f>
        <v>46146</v>
      </c>
      <c r="BM312" s="122">
        <f>IFERROR($N312+VLOOKUP($L312,'Voyage days'!$F$807:$K$878,6,FALSE),"")</f>
        <v>46132</v>
      </c>
      <c r="BN312" s="121" t="str">
        <f>if(L312="loads AG", IFERROR($M312+VLOOKUP($L312,'Voyage days'!$M$38:$O$38,3,FALSE),""),"")</f>
        <v/>
      </c>
      <c r="BO312" s="121" t="str">
        <f>if(L312="loads USG", IFERROR($M312+VLOOKUP($L312,'Voyage days'!$L$203:$N$203,3,FALSE),""),"")</f>
        <v/>
      </c>
    </row>
    <row r="313" ht="15.75" customHeight="1">
      <c r="A313" s="452" t="s">
        <v>192</v>
      </c>
      <c r="B313" s="101">
        <v>42277.0</v>
      </c>
      <c r="C313" s="102">
        <v>84000.0</v>
      </c>
      <c r="D313" s="112" t="s">
        <v>603</v>
      </c>
      <c r="E313" s="103"/>
      <c r="F313" s="104"/>
      <c r="G313" s="104"/>
      <c r="H313" s="104" t="s">
        <v>689</v>
      </c>
      <c r="I313" s="401" t="s">
        <v>1412</v>
      </c>
      <c r="J313" s="106" t="str">
        <f t="shared" si="55"/>
        <v/>
      </c>
      <c r="K313" s="205"/>
      <c r="L313" s="199" t="s">
        <v>680</v>
      </c>
      <c r="M313" s="457">
        <v>46172.0</v>
      </c>
      <c r="N313" s="457">
        <v>46173.0</v>
      </c>
      <c r="O313" s="191"/>
      <c r="P313" s="108" t="s">
        <v>1437</v>
      </c>
      <c r="Q313" s="108"/>
      <c r="R313" s="192" t="s">
        <v>1438</v>
      </c>
      <c r="S313" s="659" t="s">
        <v>659</v>
      </c>
      <c r="T313" s="188">
        <v>46124.0</v>
      </c>
      <c r="U313" s="114" t="str">
        <f>IF(V313="","No AIS",VLOOKUP(V313,'Voyage days'!$A$3:$B$1480,2,FALSE))</f>
        <v>Japan + 6</v>
      </c>
      <c r="V313" s="115" t="str">
        <f>IF(VLOOKUP(A313,'1) Kpler'!$E$2:$P$1000,8, FALSE)="","",VLOOKUP(A313,'1) Kpler'!$E$2:$P$1000,8, FALSE))</f>
        <v>Sendai Refinery</v>
      </c>
      <c r="W313" s="116">
        <f>IF(VLOOKUP(A313,'1) Kpler'!$E$2:$P$1000,9,FALSE)="","",VLOOKUP(A313,'1) Kpler'!$E$2:$P$1000,9,FALSE))</f>
        <v>46134.875</v>
      </c>
      <c r="X313" s="115" t="str">
        <f>VLOOKUP(A313,'1) Kpler'!$E$2:$I$1000,4,FALSE)</f>
        <v>loaded</v>
      </c>
      <c r="Y313" s="160" t="str">
        <f t="shared" si="43"/>
        <v/>
      </c>
      <c r="Z313" s="160" t="str">
        <f t="shared" si="44"/>
        <v>30-31 May</v>
      </c>
      <c r="AA313" s="160" t="str">
        <f t="shared" si="45"/>
        <v>30-31 May</v>
      </c>
      <c r="AB313" s="160" t="str">
        <f t="shared" si="46"/>
        <v/>
      </c>
      <c r="AC313" s="160" t="str">
        <f t="shared" si="47"/>
        <v>19-20 Jun</v>
      </c>
      <c r="AD313" s="160" t="str">
        <f t="shared" si="48"/>
        <v/>
      </c>
      <c r="AE313" s="161" t="str">
        <f t="shared" si="49"/>
        <v/>
      </c>
      <c r="AF313" s="162" t="str">
        <f t="shared" si="50"/>
        <v/>
      </c>
      <c r="AG313" s="120" t="str">
        <f t="shared" si="51"/>
        <v/>
      </c>
      <c r="AH313" s="121" t="str">
        <f>IFERROR($M313+VLOOKUP($L313,'Voyage days'!$F$38:$H$89,3,FALSE),"")</f>
        <v/>
      </c>
      <c r="AI313" s="121" t="str">
        <f>IFERROR(N313+VLOOKUP($L313,'Voyage days'!$F$38:$H$89,3,FALSE),"")</f>
        <v/>
      </c>
      <c r="AJ313" s="120" t="str">
        <f t="shared" si="28"/>
        <v>30-31 May</v>
      </c>
      <c r="AK313" s="121">
        <f>IFERROR($M313+VLOOKUP($L313,'Voyage days'!$F$94:$H$193,3,FALSE),"")</f>
        <v>46172</v>
      </c>
      <c r="AL313" s="121">
        <f>IFERROR($N313+VLOOKUP($L313,'Voyage days'!$F$94:$H$193,3,FALSE),"")</f>
        <v>46173</v>
      </c>
      <c r="AM313" s="120" t="str">
        <f t="shared" si="29"/>
        <v>30-31 May</v>
      </c>
      <c r="AN313" s="121">
        <f>IFERROR($M313+VLOOKUP($L313,'Voyage days'!$F$203:$H$256,3,FALSE),"")</f>
        <v>46172</v>
      </c>
      <c r="AO313" s="121">
        <f>IFERROR($N313+VLOOKUP($L313,'Voyage days'!$F$203:$H$256,3,FALSE),"")</f>
        <v>46173</v>
      </c>
      <c r="AP313" s="120" t="str">
        <f t="shared" si="30"/>
        <v/>
      </c>
      <c r="AQ313" s="121" t="str">
        <f>IFERROR($M313+VLOOKUP($L313,'Voyage days'!$F$294:$H$377,3,FALSE),"")</f>
        <v/>
      </c>
      <c r="AR313" s="121" t="str">
        <f>IFERROR($N313+VLOOKUP($L313,'Voyage days'!$F$294:$H$377,3,FALSE),"")</f>
        <v/>
      </c>
      <c r="AS313" s="120" t="str">
        <f t="shared" si="31"/>
        <v>19-20 Jun</v>
      </c>
      <c r="AT313" s="121">
        <f>IFERROR($M313+VLOOKUP($L313,'Voyage days'!$F$382:$H$446,3,FALSE),"")</f>
        <v>46192</v>
      </c>
      <c r="AU313" s="121">
        <f>IFERROR($N313+VLOOKUP($L313,'Voyage days'!$F$382:$H$446,3,FALSE),"")</f>
        <v>46193</v>
      </c>
      <c r="AV313" s="120" t="str">
        <f t="shared" si="32"/>
        <v/>
      </c>
      <c r="AW313" s="121" t="str">
        <f>IFERROR($M313+VLOOKUP($L313,'Voyage days'!$F$483:$H$538,3,FALSE),"")</f>
        <v/>
      </c>
      <c r="AX313" s="121" t="str">
        <f>IFERROR($N313+VLOOKUP($L313,'Voyage days'!$F$483:$H$538,3,FALSE),"")</f>
        <v/>
      </c>
      <c r="AY313" s="120" t="str">
        <f t="shared" si="33"/>
        <v/>
      </c>
      <c r="AZ313" s="121" t="str">
        <f>IFERROR($M313+VLOOKUP($L313,'Voyage days'!$F$540:$H$613,3,FALSE),"")</f>
        <v/>
      </c>
      <c r="BA313" s="121" t="str">
        <f>IFERROR($N313+VLOOKUP($L313,'Voyage days'!$F$540:$H$613,3,FALSE),"")</f>
        <v/>
      </c>
      <c r="BB313" s="120" t="str">
        <f t="shared" si="34"/>
        <v/>
      </c>
      <c r="BC313" s="121" t="str">
        <f>IFERROR($M313+VLOOKUP($L313,'Voyage days'!$F$448:$H$479,3,FALSE),"")</f>
        <v/>
      </c>
      <c r="BD313" s="121" t="str">
        <f>IFERROR($N313+VLOOKUP($L313,'Voyage days'!$F$448:$H$479,3,FALSE),"")</f>
        <v/>
      </c>
      <c r="BE313" s="120" t="str">
        <f t="shared" si="35"/>
        <v/>
      </c>
      <c r="BF313" s="122" t="str">
        <f>IFERROR($M313+VLOOKUP($L313,'Voyage days'!$F$620:$H$646,3,FALSE),"")</f>
        <v/>
      </c>
      <c r="BG313" s="122" t="str">
        <f>IFERROR($N313+VLOOKUP($L313,'Voyage days'!$F$620:$H$646,3,FALSE),"")</f>
        <v/>
      </c>
      <c r="BH313" s="120" t="str">
        <f t="shared" si="36"/>
        <v/>
      </c>
      <c r="BI313" s="123" t="str">
        <f>IFERROR($M313+VLOOKUP($L313,'Voyage days'!$F$702:$H$727,3,FALSE),"")</f>
        <v/>
      </c>
      <c r="BJ313" s="120" t="str">
        <f t="shared" si="37"/>
        <v/>
      </c>
      <c r="BK313" s="122" t="str">
        <f>IFERROR($M313+VLOOKUP($L313,'Voyage days'!$F$807:$H$878,3,FALSE),"")</f>
        <v/>
      </c>
      <c r="BL313" s="122" t="str">
        <f>IFERROR($N313+VLOOKUP($L313,'Voyage days'!$F$807:$H$878,3,FALSE),"")</f>
        <v/>
      </c>
      <c r="BM313" s="122" t="str">
        <f>IFERROR($N313+VLOOKUP($L313,'Voyage days'!$F$807:$K$878,6,FALSE),"")</f>
        <v/>
      </c>
      <c r="BN313" s="121" t="str">
        <f>if(L313="loads AG", IFERROR($M313+VLOOKUP($L313,'Voyage days'!$M$38:$O$38,3,FALSE),""),"")</f>
        <v/>
      </c>
      <c r="BO313" s="121">
        <f>if(L313="loads USG", IFERROR($M313+VLOOKUP($L313,'Voyage days'!$L$203:$N$203,3,FALSE),""),"")</f>
        <v>46204</v>
      </c>
    </row>
    <row r="314" ht="15.75" customHeight="1">
      <c r="A314" s="80" t="s">
        <v>195</v>
      </c>
      <c r="B314" s="101">
        <v>42208.0</v>
      </c>
      <c r="C314" s="102">
        <v>84000.0</v>
      </c>
      <c r="D314" s="112" t="s">
        <v>603</v>
      </c>
      <c r="E314" s="103"/>
      <c r="F314" s="104"/>
      <c r="G314" s="104"/>
      <c r="H314" s="104"/>
      <c r="I314" s="401" t="s">
        <v>1412</v>
      </c>
      <c r="J314" s="106" t="str">
        <f t="shared" si="55"/>
        <v/>
      </c>
      <c r="K314" s="107"/>
      <c r="L314" s="108" t="s">
        <v>668</v>
      </c>
      <c r="M314" s="109">
        <v>46145.0</v>
      </c>
      <c r="N314" s="457">
        <v>46146.0</v>
      </c>
      <c r="O314" s="191"/>
      <c r="P314" s="317" t="s">
        <v>852</v>
      </c>
      <c r="Q314" s="108"/>
      <c r="R314" s="108" t="s">
        <v>1439</v>
      </c>
      <c r="S314" s="659" t="s">
        <v>659</v>
      </c>
      <c r="T314" s="188">
        <v>46124.0</v>
      </c>
      <c r="U314" s="114" t="str">
        <f>IF(V314="","No AIS",VLOOKUP(V314,'Voyage days'!$A$3:$B$1480,2,FALSE))</f>
        <v>Japan + 6</v>
      </c>
      <c r="V314" s="115" t="str">
        <f>IF(VLOOKUP(A314,'1) Kpler'!$E$2:$P$1000,8, FALSE)="","",VLOOKUP(A314,'1) Kpler'!$E$2:$P$1000,8, FALSE))</f>
        <v>Chiba</v>
      </c>
      <c r="W314" s="116">
        <f>IF(VLOOKUP(A314,'1) Kpler'!$E$2:$P$1000,9,FALSE)="","",VLOOKUP(A314,'1) Kpler'!$E$2:$P$1000,9,FALSE))</f>
        <v>46140.58333</v>
      </c>
      <c r="X314" s="115" t="str">
        <f>VLOOKUP(A314,'1) Kpler'!$E$2:$I$1000,4,FALSE)</f>
        <v>loaded</v>
      </c>
      <c r="Y314" s="296" t="str">
        <f t="shared" si="43"/>
        <v>21-22 May</v>
      </c>
      <c r="Z314" s="296" t="str">
        <f t="shared" si="44"/>
        <v>04-05 Jun</v>
      </c>
      <c r="AA314" s="296" t="str">
        <f t="shared" si="45"/>
        <v>14-15 Jun</v>
      </c>
      <c r="AB314" s="296" t="str">
        <f t="shared" si="46"/>
        <v>02-03 Jun</v>
      </c>
      <c r="AC314" s="296" t="str">
        <f t="shared" si="47"/>
        <v>08-09 Jun</v>
      </c>
      <c r="AD314" s="296" t="str">
        <f t="shared" si="48"/>
        <v>11-12 May</v>
      </c>
      <c r="AE314" s="297" t="str">
        <f t="shared" si="49"/>
        <v>11-12 May</v>
      </c>
      <c r="AF314" s="119" t="str">
        <f t="shared" si="50"/>
        <v>18-19 Jun</v>
      </c>
      <c r="AG314" s="120" t="str">
        <f t="shared" si="51"/>
        <v>21-22 May</v>
      </c>
      <c r="AH314" s="121">
        <f>IFERROR($M314+VLOOKUP($L314,'Voyage days'!$F$38:$H$89,3,FALSE),"")</f>
        <v>46163</v>
      </c>
      <c r="AI314" s="121">
        <f>IFERROR(N314+VLOOKUP($L314,'Voyage days'!$F$38:$H$89,3,FALSE),"")</f>
        <v>46164</v>
      </c>
      <c r="AJ314" s="120" t="str">
        <f t="shared" si="28"/>
        <v>04-05 Jun</v>
      </c>
      <c r="AK314" s="121">
        <f>IFERROR($M314+VLOOKUP($L314,'Voyage days'!$F$94:$H$193,3,FALSE),"")</f>
        <v>46177</v>
      </c>
      <c r="AL314" s="121">
        <f>IFERROR($N314+VLOOKUP($L314,'Voyage days'!$F$94:$H$193,3,FALSE),"")</f>
        <v>46178</v>
      </c>
      <c r="AM314" s="120" t="str">
        <f t="shared" si="29"/>
        <v>14-15 Jun</v>
      </c>
      <c r="AN314" s="121">
        <f>IFERROR($M314+VLOOKUP($L314,'Voyage days'!$F$203:$H$256,3,FALSE),"")</f>
        <v>46187</v>
      </c>
      <c r="AO314" s="121">
        <f>IFERROR($N314+VLOOKUP($L314,'Voyage days'!$F$203:$H$256,3,FALSE),"")</f>
        <v>46188</v>
      </c>
      <c r="AP314" s="120" t="str">
        <f t="shared" si="30"/>
        <v>02-03 Jun</v>
      </c>
      <c r="AQ314" s="121">
        <f>IFERROR($M314+VLOOKUP($L314,'Voyage days'!$F$294:$H$377,3,FALSE),"")</f>
        <v>46175</v>
      </c>
      <c r="AR314" s="121">
        <f>IFERROR($N314+VLOOKUP($L314,'Voyage days'!$F$294:$H$377,3,FALSE),"")</f>
        <v>46176</v>
      </c>
      <c r="AS314" s="120" t="str">
        <f t="shared" si="31"/>
        <v>08-09 Jun</v>
      </c>
      <c r="AT314" s="121">
        <f>IFERROR($M314+VLOOKUP($L314,'Voyage days'!$F$382:$H$446,3,FALSE),"")</f>
        <v>46181</v>
      </c>
      <c r="AU314" s="121">
        <f>IFERROR($N314+VLOOKUP($L314,'Voyage days'!$F$382:$H$446,3,FALSE),"")</f>
        <v>46182</v>
      </c>
      <c r="AV314" s="120" t="str">
        <f t="shared" si="32"/>
        <v>16-17 May</v>
      </c>
      <c r="AW314" s="121">
        <f>IFERROR($M314+VLOOKUP($L314,'Voyage days'!$F$483:$H$538,3,FALSE),"")</f>
        <v>46158</v>
      </c>
      <c r="AX314" s="121">
        <f>IFERROR($N314+VLOOKUP($L314,'Voyage days'!$F$483:$H$538,3,FALSE),"")</f>
        <v>46159</v>
      </c>
      <c r="AY314" s="120" t="str">
        <f t="shared" si="33"/>
        <v>11-12 May</v>
      </c>
      <c r="AZ314" s="121">
        <f>IFERROR($M314+VLOOKUP($L314,'Voyage days'!$F$540:$H$613,3,FALSE),"")</f>
        <v>46153.25</v>
      </c>
      <c r="BA314" s="121">
        <f>IFERROR($N314+VLOOKUP($L314,'Voyage days'!$F$540:$H$613,3,FALSE),"")</f>
        <v>46154.25</v>
      </c>
      <c r="BB314" s="120" t="str">
        <f t="shared" si="34"/>
        <v>11-12 May</v>
      </c>
      <c r="BC314" s="121">
        <f>IFERROR($M314+VLOOKUP($L314,'Voyage days'!$F$448:$H$479,3,FALSE),"")</f>
        <v>46153</v>
      </c>
      <c r="BD314" s="121">
        <f>IFERROR($N314+VLOOKUP($L314,'Voyage days'!$F$448:$H$479,3,FALSE),"")</f>
        <v>46154</v>
      </c>
      <c r="BE314" s="120" t="str">
        <f t="shared" si="35"/>
        <v>14-15 May</v>
      </c>
      <c r="BF314" s="122">
        <f>IFERROR($M314+VLOOKUP($L314,'Voyage days'!$F$620:$H$646,3,FALSE),"")</f>
        <v>46156</v>
      </c>
      <c r="BG314" s="122">
        <f>IFERROR($N314+VLOOKUP($L314,'Voyage days'!$F$620:$H$646,3,FALSE),"")</f>
        <v>46157</v>
      </c>
      <c r="BH314" s="120" t="str">
        <f t="shared" si="36"/>
        <v>11-19 Jun</v>
      </c>
      <c r="BI314" s="123">
        <f>IFERROR($M314+VLOOKUP($L314,'Voyage days'!$F$702:$H$727,3,FALSE),"")</f>
        <v>46153.25</v>
      </c>
      <c r="BJ314" s="120" t="str">
        <f t="shared" si="37"/>
        <v>18-19 Jun</v>
      </c>
      <c r="BK314" s="122">
        <f>IFERROR($M314+VLOOKUP($L314,'Voyage days'!$F$807:$H$878,3,FALSE),"")</f>
        <v>46191</v>
      </c>
      <c r="BL314" s="122">
        <f>IFERROR($N314+VLOOKUP($L314,'Voyage days'!$F$807:$H$878,3,FALSE),"")</f>
        <v>46192</v>
      </c>
      <c r="BM314" s="122">
        <f>IFERROR($N314+VLOOKUP($L314,'Voyage days'!$F$807:$K$878,6,FALSE),"")</f>
        <v>46166</v>
      </c>
      <c r="BN314" s="121" t="str">
        <f>if(L314="loads AG", IFERROR($M314+VLOOKUP($L314,'Voyage days'!$M$38:$O$38,3,FALSE),""),"")</f>
        <v/>
      </c>
      <c r="BO314" s="121" t="str">
        <f>if(L314="loads USG", IFERROR($M314+VLOOKUP($L314,'Voyage days'!$L$203:$N$203,3,FALSE),""),"")</f>
        <v/>
      </c>
    </row>
    <row r="315" ht="15.75" customHeight="1">
      <c r="A315" s="452" t="s">
        <v>196</v>
      </c>
      <c r="B315" s="101">
        <v>42313.0</v>
      </c>
      <c r="C315" s="102">
        <v>84000.0</v>
      </c>
      <c r="D315" s="112" t="s">
        <v>603</v>
      </c>
      <c r="E315" s="103"/>
      <c r="F315" s="104"/>
      <c r="G315" s="104"/>
      <c r="H315" s="104" t="s">
        <v>689</v>
      </c>
      <c r="I315" s="401" t="s">
        <v>1412</v>
      </c>
      <c r="J315" s="106" t="str">
        <f t="shared" si="55"/>
        <v>NO AIS</v>
      </c>
      <c r="K315" s="205"/>
      <c r="L315" s="108" t="s">
        <v>680</v>
      </c>
      <c r="M315" s="109">
        <v>46130.0</v>
      </c>
      <c r="N315" s="109">
        <v>46131.0</v>
      </c>
      <c r="O315" s="255"/>
      <c r="P315" s="108" t="s">
        <v>1307</v>
      </c>
      <c r="Q315" s="108"/>
      <c r="R315" s="108" t="s">
        <v>1440</v>
      </c>
      <c r="S315" s="659" t="s">
        <v>659</v>
      </c>
      <c r="T315" s="188">
        <v>46124.0</v>
      </c>
      <c r="U315" s="114" t="str">
        <f>IF(V315="","No AIS",VLOOKUP(V315,'Voyage days'!$A$3:$B$1480,2,FALSE))</f>
        <v>No AIS</v>
      </c>
      <c r="V315" s="115" t="str">
        <f>IF(VLOOKUP(A315,'1) Kpler'!$E$2:$P$1000,8, FALSE)="","",VLOOKUP(A315,'1) Kpler'!$E$2:$P$1000,8, FALSE))</f>
        <v/>
      </c>
      <c r="W315" s="116" t="str">
        <f>IF(VLOOKUP(A315,'1) Kpler'!$E$2:$P$1000,9,FALSE)="","",VLOOKUP(A315,'1) Kpler'!$E$2:$P$1000,9,FALSE))</f>
        <v/>
      </c>
      <c r="X315" s="115" t="str">
        <f>VLOOKUP(A315,'1) Kpler'!$E$2:$I$1000,4,FALSE)</f>
        <v>loaded</v>
      </c>
      <c r="Y315" s="160" t="str">
        <f t="shared" si="43"/>
        <v/>
      </c>
      <c r="Z315" s="160" t="str">
        <f t="shared" si="44"/>
        <v>18-19 Apr</v>
      </c>
      <c r="AA315" s="160" t="str">
        <f t="shared" si="45"/>
        <v>18-19 Apr</v>
      </c>
      <c r="AB315" s="160" t="str">
        <f t="shared" si="46"/>
        <v/>
      </c>
      <c r="AC315" s="160" t="str">
        <f t="shared" si="47"/>
        <v>08-09 May</v>
      </c>
      <c r="AD315" s="160" t="str">
        <f t="shared" si="48"/>
        <v/>
      </c>
      <c r="AE315" s="161" t="str">
        <f t="shared" si="49"/>
        <v/>
      </c>
      <c r="AF315" s="162" t="str">
        <f t="shared" si="50"/>
        <v/>
      </c>
      <c r="AG315" s="120" t="str">
        <f t="shared" si="51"/>
        <v/>
      </c>
      <c r="AH315" s="121" t="str">
        <f>IFERROR($M315+VLOOKUP($L315,'Voyage days'!$F$38:$H$89,3,FALSE),"")</f>
        <v/>
      </c>
      <c r="AI315" s="121" t="str">
        <f>IFERROR(N315+VLOOKUP($L315,'Voyage days'!$F$38:$H$89,3,FALSE),"")</f>
        <v/>
      </c>
      <c r="AJ315" s="120" t="str">
        <f t="shared" si="28"/>
        <v>18-19 Apr</v>
      </c>
      <c r="AK315" s="121">
        <f>IFERROR($M315+VLOOKUP($L315,'Voyage days'!$F$94:$H$193,3,FALSE),"")</f>
        <v>46130</v>
      </c>
      <c r="AL315" s="121">
        <f>IFERROR($N315+VLOOKUP($L315,'Voyage days'!$F$94:$H$193,3,FALSE),"")</f>
        <v>46131</v>
      </c>
      <c r="AM315" s="120" t="str">
        <f t="shared" si="29"/>
        <v>18-19 Apr</v>
      </c>
      <c r="AN315" s="121">
        <f>IFERROR($M315+VLOOKUP($L315,'Voyage days'!$F$203:$H$256,3,FALSE),"")</f>
        <v>46130</v>
      </c>
      <c r="AO315" s="121">
        <f>IFERROR($N315+VLOOKUP($L315,'Voyage days'!$F$203:$H$256,3,FALSE),"")</f>
        <v>46131</v>
      </c>
      <c r="AP315" s="120" t="str">
        <f t="shared" si="30"/>
        <v/>
      </c>
      <c r="AQ315" s="121" t="str">
        <f>IFERROR($M315+VLOOKUP($L315,'Voyage days'!$F$294:$H$377,3,FALSE),"")</f>
        <v/>
      </c>
      <c r="AR315" s="121" t="str">
        <f>IFERROR($N315+VLOOKUP($L315,'Voyage days'!$F$294:$H$377,3,FALSE),"")</f>
        <v/>
      </c>
      <c r="AS315" s="120" t="str">
        <f t="shared" si="31"/>
        <v>08-09 May</v>
      </c>
      <c r="AT315" s="121">
        <f>IFERROR($M315+VLOOKUP($L315,'Voyage days'!$F$382:$H$446,3,FALSE),"")</f>
        <v>46150</v>
      </c>
      <c r="AU315" s="121">
        <f>IFERROR($N315+VLOOKUP($L315,'Voyage days'!$F$382:$H$446,3,FALSE),"")</f>
        <v>46151</v>
      </c>
      <c r="AV315" s="120" t="str">
        <f t="shared" si="32"/>
        <v/>
      </c>
      <c r="AW315" s="121" t="str">
        <f>IFERROR($M315+VLOOKUP($L315,'Voyage days'!$F$483:$H$538,3,FALSE),"")</f>
        <v/>
      </c>
      <c r="AX315" s="121" t="str">
        <f>IFERROR($N315+VLOOKUP($L315,'Voyage days'!$F$483:$H$538,3,FALSE),"")</f>
        <v/>
      </c>
      <c r="AY315" s="120" t="str">
        <f t="shared" si="33"/>
        <v/>
      </c>
      <c r="AZ315" s="121" t="str">
        <f>IFERROR($M315+VLOOKUP($L315,'Voyage days'!$F$540:$H$613,3,FALSE),"")</f>
        <v/>
      </c>
      <c r="BA315" s="121" t="str">
        <f>IFERROR($N315+VLOOKUP($L315,'Voyage days'!$F$540:$H$613,3,FALSE),"")</f>
        <v/>
      </c>
      <c r="BB315" s="120" t="str">
        <f t="shared" si="34"/>
        <v/>
      </c>
      <c r="BC315" s="121" t="str">
        <f>IFERROR($M315+VLOOKUP($L315,'Voyage days'!$F$448:$H$479,3,FALSE),"")</f>
        <v/>
      </c>
      <c r="BD315" s="121" t="str">
        <f>IFERROR($N315+VLOOKUP($L315,'Voyage days'!$F$448:$H$479,3,FALSE),"")</f>
        <v/>
      </c>
      <c r="BE315" s="120" t="str">
        <f t="shared" si="35"/>
        <v/>
      </c>
      <c r="BF315" s="122" t="str">
        <f>IFERROR($M315+VLOOKUP($L315,'Voyage days'!$F$620:$H$646,3,FALSE),"")</f>
        <v/>
      </c>
      <c r="BG315" s="122" t="str">
        <f>IFERROR($N315+VLOOKUP($L315,'Voyage days'!$F$620:$H$646,3,FALSE),"")</f>
        <v/>
      </c>
      <c r="BH315" s="120" t="str">
        <f t="shared" si="36"/>
        <v/>
      </c>
      <c r="BI315" s="123" t="str">
        <f>IFERROR($M315+VLOOKUP($L315,'Voyage days'!$F$702:$H$727,3,FALSE),"")</f>
        <v/>
      </c>
      <c r="BJ315" s="120" t="str">
        <f t="shared" si="37"/>
        <v/>
      </c>
      <c r="BK315" s="122" t="str">
        <f>IFERROR($M315+VLOOKUP($L315,'Voyage days'!$F$807:$H$878,3,FALSE),"")</f>
        <v/>
      </c>
      <c r="BL315" s="122" t="str">
        <f>IFERROR($N315+VLOOKUP($L315,'Voyage days'!$F$807:$H$878,3,FALSE),"")</f>
        <v/>
      </c>
      <c r="BM315" s="122" t="str">
        <f>IFERROR($N315+VLOOKUP($L315,'Voyage days'!$F$807:$K$878,6,FALSE),"")</f>
        <v/>
      </c>
      <c r="BN315" s="121" t="str">
        <f>if(L315="loads AG", IFERROR($M315+VLOOKUP($L315,'Voyage days'!$M$38:$O$38,3,FALSE),""),"")</f>
        <v/>
      </c>
      <c r="BO315" s="121">
        <f>if(L315="loads USG", IFERROR($M315+VLOOKUP($L315,'Voyage days'!$L$203:$N$203,3,FALSE),""),"")</f>
        <v>46162</v>
      </c>
    </row>
    <row r="316" ht="15.75" customHeight="1">
      <c r="A316" s="100" t="s">
        <v>191</v>
      </c>
      <c r="B316" s="101">
        <v>42179.0</v>
      </c>
      <c r="C316" s="102">
        <v>84000.0</v>
      </c>
      <c r="D316" s="112" t="s">
        <v>603</v>
      </c>
      <c r="E316" s="103"/>
      <c r="F316" s="104"/>
      <c r="G316" s="104"/>
      <c r="H316" s="104" t="s">
        <v>689</v>
      </c>
      <c r="I316" s="401" t="s">
        <v>1412</v>
      </c>
      <c r="J316" s="106" t="str">
        <f t="shared" si="55"/>
        <v/>
      </c>
      <c r="K316" s="107"/>
      <c r="L316" s="199" t="s">
        <v>680</v>
      </c>
      <c r="M316" s="457">
        <v>46152.0</v>
      </c>
      <c r="N316" s="457">
        <v>46153.0</v>
      </c>
      <c r="O316" s="388"/>
      <c r="P316" s="108" t="s">
        <v>1441</v>
      </c>
      <c r="Q316" s="187"/>
      <c r="R316" s="187" t="s">
        <v>962</v>
      </c>
      <c r="S316" s="659" t="s">
        <v>659</v>
      </c>
      <c r="T316" s="188">
        <v>46124.0</v>
      </c>
      <c r="U316" s="114" t="str">
        <f>IF(V316="","No AIS",VLOOKUP(V316,'Voyage days'!$A$3:$B$1480,2,FALSE))</f>
        <v>Panama</v>
      </c>
      <c r="V316" s="115" t="str">
        <f>IF(VLOOKUP(A316,'1) Kpler'!$E$2:$P$1000,8, FALSE)="","",VLOOKUP(A316,'1) Kpler'!$E$2:$P$1000,8, FALSE))</f>
        <v>Panama Canal</v>
      </c>
      <c r="W316" s="116">
        <f>IF(VLOOKUP(A316,'1) Kpler'!$E$2:$P$1000,9,FALSE)="","",VLOOKUP(A316,'1) Kpler'!$E$2:$P$1000,9,FALSE))</f>
        <v>46138.83333</v>
      </c>
      <c r="X316" s="115" t="str">
        <f>VLOOKUP(A316,'1) Kpler'!$E$2:$I$1000,4,FALSE)</f>
        <v>ballast</v>
      </c>
      <c r="Y316" s="296" t="str">
        <f t="shared" si="43"/>
        <v/>
      </c>
      <c r="Z316" s="296" t="str">
        <f t="shared" si="44"/>
        <v>10-11 May</v>
      </c>
      <c r="AA316" s="296" t="str">
        <f t="shared" si="45"/>
        <v>10-11 May</v>
      </c>
      <c r="AB316" s="296" t="str">
        <f t="shared" si="46"/>
        <v/>
      </c>
      <c r="AC316" s="296" t="str">
        <f t="shared" si="47"/>
        <v>30-31 May</v>
      </c>
      <c r="AD316" s="296" t="str">
        <f t="shared" si="48"/>
        <v/>
      </c>
      <c r="AE316" s="297" t="str">
        <f t="shared" si="49"/>
        <v/>
      </c>
      <c r="AF316" s="119" t="str">
        <f t="shared" si="50"/>
        <v/>
      </c>
      <c r="AG316" s="120" t="str">
        <f t="shared" si="51"/>
        <v/>
      </c>
      <c r="AH316" s="121" t="str">
        <f>IFERROR($M316+VLOOKUP($L316,'Voyage days'!$F$38:$H$89,3,FALSE),"")</f>
        <v/>
      </c>
      <c r="AI316" s="121" t="str">
        <f>IFERROR(N316+VLOOKUP($L316,'Voyage days'!$F$38:$H$89,3,FALSE),"")</f>
        <v/>
      </c>
      <c r="AJ316" s="120" t="str">
        <f t="shared" si="28"/>
        <v>10-11 May</v>
      </c>
      <c r="AK316" s="121">
        <f>IFERROR($M316+VLOOKUP($L316,'Voyage days'!$F$94:$H$193,3,FALSE),"")</f>
        <v>46152</v>
      </c>
      <c r="AL316" s="121">
        <f>IFERROR($N316+VLOOKUP($L316,'Voyage days'!$F$94:$H$193,3,FALSE),"")</f>
        <v>46153</v>
      </c>
      <c r="AM316" s="120" t="str">
        <f t="shared" si="29"/>
        <v>10-11 May</v>
      </c>
      <c r="AN316" s="121">
        <f>IFERROR($M316+VLOOKUP($L316,'Voyage days'!$F$203:$H$256,3,FALSE),"")</f>
        <v>46152</v>
      </c>
      <c r="AO316" s="121">
        <f>IFERROR($N316+VLOOKUP($L316,'Voyage days'!$F$203:$H$256,3,FALSE),"")</f>
        <v>46153</v>
      </c>
      <c r="AP316" s="120" t="str">
        <f t="shared" si="30"/>
        <v/>
      </c>
      <c r="AQ316" s="121" t="str">
        <f>IFERROR($M316+VLOOKUP($L316,'Voyage days'!$F$294:$H$377,3,FALSE),"")</f>
        <v/>
      </c>
      <c r="AR316" s="121" t="str">
        <f>IFERROR($N316+VLOOKUP($L316,'Voyage days'!$F$294:$H$377,3,FALSE),"")</f>
        <v/>
      </c>
      <c r="AS316" s="120" t="str">
        <f t="shared" si="31"/>
        <v>30-31 May</v>
      </c>
      <c r="AT316" s="121">
        <f>IFERROR($M316+VLOOKUP($L316,'Voyage days'!$F$382:$H$446,3,FALSE),"")</f>
        <v>46172</v>
      </c>
      <c r="AU316" s="121">
        <f>IFERROR($N316+VLOOKUP($L316,'Voyage days'!$F$382:$H$446,3,FALSE),"")</f>
        <v>46173</v>
      </c>
      <c r="AV316" s="120" t="str">
        <f t="shared" si="32"/>
        <v/>
      </c>
      <c r="AW316" s="121" t="str">
        <f>IFERROR($M316+VLOOKUP($L316,'Voyage days'!$F$483:$H$538,3,FALSE),"")</f>
        <v/>
      </c>
      <c r="AX316" s="121" t="str">
        <f>IFERROR($N316+VLOOKUP($L316,'Voyage days'!$F$483:$H$538,3,FALSE),"")</f>
        <v/>
      </c>
      <c r="AY316" s="120" t="str">
        <f t="shared" si="33"/>
        <v/>
      </c>
      <c r="AZ316" s="121" t="str">
        <f>IFERROR($M316+VLOOKUP($L316,'Voyage days'!$F$540:$H$613,3,FALSE),"")</f>
        <v/>
      </c>
      <c r="BA316" s="121" t="str">
        <f>IFERROR($N316+VLOOKUP($L316,'Voyage days'!$F$540:$H$613,3,FALSE),"")</f>
        <v/>
      </c>
      <c r="BB316" s="120" t="str">
        <f t="shared" si="34"/>
        <v/>
      </c>
      <c r="BC316" s="121" t="str">
        <f>IFERROR($M316+VLOOKUP($L316,'Voyage days'!$F$448:$H$479,3,FALSE),"")</f>
        <v/>
      </c>
      <c r="BD316" s="121" t="str">
        <f>IFERROR($N316+VLOOKUP($L316,'Voyage days'!$F$448:$H$479,3,FALSE),"")</f>
        <v/>
      </c>
      <c r="BE316" s="120" t="str">
        <f t="shared" si="35"/>
        <v/>
      </c>
      <c r="BF316" s="122" t="str">
        <f>IFERROR($M316+VLOOKUP($L316,'Voyage days'!$F$620:$H$646,3,FALSE),"")</f>
        <v/>
      </c>
      <c r="BG316" s="122" t="str">
        <f>IFERROR($N316+VLOOKUP($L316,'Voyage days'!$F$620:$H$646,3,FALSE),"")</f>
        <v/>
      </c>
      <c r="BH316" s="120" t="str">
        <f t="shared" si="36"/>
        <v/>
      </c>
      <c r="BI316" s="123" t="str">
        <f>IFERROR($M316+VLOOKUP($L316,'Voyage days'!$F$702:$H$727,3,FALSE),"")</f>
        <v/>
      </c>
      <c r="BJ316" s="120" t="str">
        <f t="shared" si="37"/>
        <v/>
      </c>
      <c r="BK316" s="122" t="str">
        <f>IFERROR($M316+VLOOKUP($L316,'Voyage days'!$F$807:$H$878,3,FALSE),"")</f>
        <v/>
      </c>
      <c r="BL316" s="122" t="str">
        <f>IFERROR($N316+VLOOKUP($L316,'Voyage days'!$F$807:$H$878,3,FALSE),"")</f>
        <v/>
      </c>
      <c r="BM316" s="122" t="str">
        <f>IFERROR($N316+VLOOKUP($L316,'Voyage days'!$F$807:$K$878,6,FALSE),"")</f>
        <v/>
      </c>
      <c r="BN316" s="121" t="str">
        <f>if(L316="loads AG", IFERROR($M316+VLOOKUP($L316,'Voyage days'!$M$38:$O$38,3,FALSE),""),"")</f>
        <v/>
      </c>
      <c r="BO316" s="121">
        <f>if(L316="loads USG", IFERROR($M316+VLOOKUP($L316,'Voyage days'!$L$203:$N$203,3,FALSE),""),"")</f>
        <v>46184</v>
      </c>
    </row>
    <row r="317" ht="15.75" customHeight="1">
      <c r="A317" s="204" t="s">
        <v>194</v>
      </c>
      <c r="B317" s="101">
        <v>42234.0</v>
      </c>
      <c r="C317" s="102">
        <v>84000.0</v>
      </c>
      <c r="D317" s="112" t="s">
        <v>603</v>
      </c>
      <c r="E317" s="103"/>
      <c r="F317" s="104"/>
      <c r="G317" s="104"/>
      <c r="H317" s="104" t="s">
        <v>689</v>
      </c>
      <c r="I317" s="401" t="s">
        <v>1412</v>
      </c>
      <c r="J317" s="106" t="str">
        <f t="shared" si="55"/>
        <v/>
      </c>
      <c r="K317" s="107"/>
      <c r="L317" s="108" t="s">
        <v>680</v>
      </c>
      <c r="M317" s="109">
        <v>46140.0</v>
      </c>
      <c r="N317" s="109">
        <v>46141.0</v>
      </c>
      <c r="O317" s="191"/>
      <c r="P317" s="211" t="s">
        <v>1442</v>
      </c>
      <c r="Q317" s="108"/>
      <c r="R317" s="108" t="s">
        <v>1443</v>
      </c>
      <c r="S317" s="659" t="s">
        <v>659</v>
      </c>
      <c r="T317" s="188">
        <v>46124.0</v>
      </c>
      <c r="U317" s="114" t="str">
        <f>IF(V317="","No AIS",VLOOKUP(V317,'Voyage days'!$A$3:$B$1480,2,FALSE))</f>
        <v>USG</v>
      </c>
      <c r="V317" s="115" t="str">
        <f>IF(VLOOKUP(A317,'1) Kpler'!$E$2:$P$1000,8, FALSE)="","",VLOOKUP(A317,'1) Kpler'!$E$2:$P$1000,8, FALSE))</f>
        <v>Houston</v>
      </c>
      <c r="W317" s="116">
        <f>IF(VLOOKUP(A317,'1) Kpler'!$E$2:$P$1000,9,FALSE)="","",VLOOKUP(A317,'1) Kpler'!$E$2:$P$1000,9,FALSE))</f>
        <v>46140.70833</v>
      </c>
      <c r="X317" s="115" t="str">
        <f>VLOOKUP(A317,'1) Kpler'!$E$2:$I$1000,4,FALSE)</f>
        <v>ballast</v>
      </c>
      <c r="Y317" s="160" t="str">
        <f t="shared" si="43"/>
        <v/>
      </c>
      <c r="Z317" s="160" t="str">
        <f t="shared" si="44"/>
        <v>28-29 Apr</v>
      </c>
      <c r="AA317" s="160" t="str">
        <f t="shared" si="45"/>
        <v>28-29 Apr</v>
      </c>
      <c r="AB317" s="160" t="str">
        <f t="shared" si="46"/>
        <v/>
      </c>
      <c r="AC317" s="160" t="str">
        <f t="shared" si="47"/>
        <v>18-19 May</v>
      </c>
      <c r="AD317" s="160" t="str">
        <f t="shared" si="48"/>
        <v/>
      </c>
      <c r="AE317" s="161" t="str">
        <f t="shared" si="49"/>
        <v/>
      </c>
      <c r="AF317" s="162" t="str">
        <f t="shared" si="50"/>
        <v/>
      </c>
      <c r="AG317" s="120" t="str">
        <f t="shared" si="51"/>
        <v/>
      </c>
      <c r="AH317" s="121" t="str">
        <f>IFERROR($M317+VLOOKUP($L317,'Voyage days'!$F$38:$H$89,3,FALSE),"")</f>
        <v/>
      </c>
      <c r="AI317" s="121" t="str">
        <f>IFERROR(N317+VLOOKUP($L317,'Voyage days'!$F$38:$H$89,3,FALSE),"")</f>
        <v/>
      </c>
      <c r="AJ317" s="120" t="str">
        <f t="shared" si="28"/>
        <v>28-29 Apr</v>
      </c>
      <c r="AK317" s="121">
        <f>IFERROR($M317+VLOOKUP($L317,'Voyage days'!$F$94:$H$193,3,FALSE),"")</f>
        <v>46140</v>
      </c>
      <c r="AL317" s="121">
        <f>IFERROR($N317+VLOOKUP($L317,'Voyage days'!$F$94:$H$193,3,FALSE),"")</f>
        <v>46141</v>
      </c>
      <c r="AM317" s="120" t="str">
        <f t="shared" si="29"/>
        <v>28-29 Apr</v>
      </c>
      <c r="AN317" s="121">
        <f>IFERROR($M317+VLOOKUP($L317,'Voyage days'!$F$203:$H$256,3,FALSE),"")</f>
        <v>46140</v>
      </c>
      <c r="AO317" s="121">
        <f>IFERROR($N317+VLOOKUP($L317,'Voyage days'!$F$203:$H$256,3,FALSE),"")</f>
        <v>46141</v>
      </c>
      <c r="AP317" s="120" t="str">
        <f t="shared" si="30"/>
        <v/>
      </c>
      <c r="AQ317" s="121" t="str">
        <f>IFERROR($M317+VLOOKUP($L317,'Voyage days'!$F$294:$H$377,3,FALSE),"")</f>
        <v/>
      </c>
      <c r="AR317" s="121" t="str">
        <f>IFERROR($N317+VLOOKUP($L317,'Voyage days'!$F$294:$H$377,3,FALSE),"")</f>
        <v/>
      </c>
      <c r="AS317" s="120" t="str">
        <f t="shared" si="31"/>
        <v>18-19 May</v>
      </c>
      <c r="AT317" s="121">
        <f>IFERROR($M317+VLOOKUP($L317,'Voyage days'!$F$382:$H$446,3,FALSE),"")</f>
        <v>46160</v>
      </c>
      <c r="AU317" s="121">
        <f>IFERROR($N317+VLOOKUP($L317,'Voyage days'!$F$382:$H$446,3,FALSE),"")</f>
        <v>46161</v>
      </c>
      <c r="AV317" s="120" t="str">
        <f t="shared" si="32"/>
        <v/>
      </c>
      <c r="AW317" s="121" t="str">
        <f>IFERROR($M317+VLOOKUP($L317,'Voyage days'!$F$483:$H$538,3,FALSE),"")</f>
        <v/>
      </c>
      <c r="AX317" s="121" t="str">
        <f>IFERROR($N317+VLOOKUP($L317,'Voyage days'!$F$483:$H$538,3,FALSE),"")</f>
        <v/>
      </c>
      <c r="AY317" s="120" t="str">
        <f t="shared" si="33"/>
        <v/>
      </c>
      <c r="AZ317" s="121" t="str">
        <f>IFERROR($M317+VLOOKUP($L317,'Voyage days'!$F$540:$H$613,3,FALSE),"")</f>
        <v/>
      </c>
      <c r="BA317" s="121" t="str">
        <f>IFERROR($N317+VLOOKUP($L317,'Voyage days'!$F$540:$H$613,3,FALSE),"")</f>
        <v/>
      </c>
      <c r="BB317" s="120" t="str">
        <f t="shared" si="34"/>
        <v/>
      </c>
      <c r="BC317" s="121" t="str">
        <f>IFERROR($M317+VLOOKUP($L317,'Voyage days'!$F$448:$H$479,3,FALSE),"")</f>
        <v/>
      </c>
      <c r="BD317" s="121" t="str">
        <f>IFERROR($N317+VLOOKUP($L317,'Voyage days'!$F$448:$H$479,3,FALSE),"")</f>
        <v/>
      </c>
      <c r="BE317" s="120" t="str">
        <f t="shared" si="35"/>
        <v/>
      </c>
      <c r="BF317" s="122" t="str">
        <f>IFERROR($M317+VLOOKUP($L317,'Voyage days'!$F$620:$H$646,3,FALSE),"")</f>
        <v/>
      </c>
      <c r="BG317" s="122" t="str">
        <f>IFERROR($N317+VLOOKUP($L317,'Voyage days'!$F$620:$H$646,3,FALSE),"")</f>
        <v/>
      </c>
      <c r="BH317" s="120" t="str">
        <f t="shared" si="36"/>
        <v/>
      </c>
      <c r="BI317" s="123" t="str">
        <f>IFERROR($M317+VLOOKUP($L317,'Voyage days'!$F$702:$H$727,3,FALSE),"")</f>
        <v/>
      </c>
      <c r="BJ317" s="120" t="str">
        <f t="shared" si="37"/>
        <v/>
      </c>
      <c r="BK317" s="122" t="str">
        <f>IFERROR($M317+VLOOKUP($L317,'Voyage days'!$F$807:$H$878,3,FALSE),"")</f>
        <v/>
      </c>
      <c r="BL317" s="122" t="str">
        <f>IFERROR($N317+VLOOKUP($L317,'Voyage days'!$F$807:$H$878,3,FALSE),"")</f>
        <v/>
      </c>
      <c r="BM317" s="122" t="str">
        <f>IFERROR($N317+VLOOKUP($L317,'Voyage days'!$F$807:$K$878,6,FALSE),"")</f>
        <v/>
      </c>
      <c r="BN317" s="121" t="str">
        <f>if(L317="loads AG", IFERROR($M317+VLOOKUP($L317,'Voyage days'!$M$38:$O$38,3,FALSE),""),"")</f>
        <v/>
      </c>
      <c r="BO317" s="121">
        <f>if(L317="loads USG", IFERROR($M317+VLOOKUP($L317,'Voyage days'!$L$203:$N$203,3,FALSE),""),"")</f>
        <v>46172</v>
      </c>
    </row>
    <row r="318" ht="15.75" customHeight="1">
      <c r="A318" s="452" t="s">
        <v>198</v>
      </c>
      <c r="B318" s="101">
        <v>41908.0</v>
      </c>
      <c r="C318" s="102">
        <v>84000.0</v>
      </c>
      <c r="D318" s="112" t="s">
        <v>603</v>
      </c>
      <c r="E318" s="103"/>
      <c r="F318" s="104"/>
      <c r="G318" s="104"/>
      <c r="H318" s="104" t="s">
        <v>689</v>
      </c>
      <c r="I318" s="401" t="s">
        <v>1412</v>
      </c>
      <c r="J318" s="106" t="str">
        <f t="shared" si="55"/>
        <v/>
      </c>
      <c r="K318" s="107"/>
      <c r="L318" s="187" t="s">
        <v>680</v>
      </c>
      <c r="M318" s="685">
        <v>46162.0</v>
      </c>
      <c r="N318" s="685">
        <v>46163.0</v>
      </c>
      <c r="O318" s="191"/>
      <c r="P318" s="108" t="s">
        <v>1444</v>
      </c>
      <c r="Q318" s="108"/>
      <c r="R318" s="108" t="s">
        <v>1445</v>
      </c>
      <c r="S318" s="659" t="s">
        <v>659</v>
      </c>
      <c r="T318" s="188">
        <v>46124.0</v>
      </c>
      <c r="U318" s="114" t="str">
        <f>IF(V318="","No AIS",VLOOKUP(V318,'Voyage days'!$A$3:$B$1480,2,FALSE))</f>
        <v>Panama</v>
      </c>
      <c r="V318" s="115" t="str">
        <f>IF(VLOOKUP(A318,'1) Kpler'!$E$2:$P$1000,8, FALSE)="","",VLOOKUP(A318,'1) Kpler'!$E$2:$P$1000,8, FALSE))</f>
        <v>Panama Canal</v>
      </c>
      <c r="W318" s="116">
        <f>IF(VLOOKUP(A318,'1) Kpler'!$E$2:$P$1000,9,FALSE)="","",VLOOKUP(A318,'1) Kpler'!$E$2:$P$1000,9,FALSE))</f>
        <v>46140.20833</v>
      </c>
      <c r="X318" s="115" t="str">
        <f>VLOOKUP(A318,'1) Kpler'!$E$2:$I$1000,4,FALSE)</f>
        <v>ballast</v>
      </c>
      <c r="Y318" s="160" t="str">
        <f t="shared" si="43"/>
        <v/>
      </c>
      <c r="Z318" s="160" t="str">
        <f t="shared" si="44"/>
        <v>20-21 May</v>
      </c>
      <c r="AA318" s="160" t="str">
        <f t="shared" si="45"/>
        <v>20-21 May</v>
      </c>
      <c r="AB318" s="160" t="str">
        <f t="shared" si="46"/>
        <v/>
      </c>
      <c r="AC318" s="160" t="str">
        <f t="shared" si="47"/>
        <v>09-10 Jun</v>
      </c>
      <c r="AD318" s="160" t="str">
        <f t="shared" si="48"/>
        <v/>
      </c>
      <c r="AE318" s="161" t="str">
        <f t="shared" si="49"/>
        <v/>
      </c>
      <c r="AF318" s="162" t="str">
        <f t="shared" si="50"/>
        <v/>
      </c>
      <c r="AG318" s="120" t="str">
        <f t="shared" si="51"/>
        <v/>
      </c>
      <c r="AH318" s="121" t="str">
        <f>IFERROR($M318+VLOOKUP($L318,'Voyage days'!$F$38:$H$89,3,FALSE),"")</f>
        <v/>
      </c>
      <c r="AI318" s="121" t="str">
        <f>IFERROR(N318+VLOOKUP($L318,'Voyage days'!$F$38:$H$89,3,FALSE),"")</f>
        <v/>
      </c>
      <c r="AJ318" s="120" t="str">
        <f t="shared" si="28"/>
        <v>20-21 May</v>
      </c>
      <c r="AK318" s="121">
        <f>IFERROR($M318+VLOOKUP($L318,'Voyage days'!$F$94:$H$193,3,FALSE),"")</f>
        <v>46162</v>
      </c>
      <c r="AL318" s="121">
        <f>IFERROR($N318+VLOOKUP($L318,'Voyage days'!$F$94:$H$193,3,FALSE),"")</f>
        <v>46163</v>
      </c>
      <c r="AM318" s="120" t="str">
        <f t="shared" si="29"/>
        <v>20-21 May</v>
      </c>
      <c r="AN318" s="121">
        <f>IFERROR($M318+VLOOKUP($L318,'Voyage days'!$F$203:$H$256,3,FALSE),"")</f>
        <v>46162</v>
      </c>
      <c r="AO318" s="121">
        <f>IFERROR($N318+VLOOKUP($L318,'Voyage days'!$F$203:$H$256,3,FALSE),"")</f>
        <v>46163</v>
      </c>
      <c r="AP318" s="120" t="str">
        <f t="shared" si="30"/>
        <v/>
      </c>
      <c r="AQ318" s="121" t="str">
        <f>IFERROR($M318+VLOOKUP($L318,'Voyage days'!$F$294:$H$377,3,FALSE),"")</f>
        <v/>
      </c>
      <c r="AR318" s="121" t="str">
        <f>IFERROR($N318+VLOOKUP($L318,'Voyage days'!$F$294:$H$377,3,FALSE),"")</f>
        <v/>
      </c>
      <c r="AS318" s="120" t="str">
        <f t="shared" si="31"/>
        <v>09-10 Jun</v>
      </c>
      <c r="AT318" s="121">
        <f>IFERROR($M318+VLOOKUP($L318,'Voyage days'!$F$382:$H$446,3,FALSE),"")</f>
        <v>46182</v>
      </c>
      <c r="AU318" s="121">
        <f>IFERROR($N318+VLOOKUP($L318,'Voyage days'!$F$382:$H$446,3,FALSE),"")</f>
        <v>46183</v>
      </c>
      <c r="AV318" s="120" t="str">
        <f t="shared" si="32"/>
        <v/>
      </c>
      <c r="AW318" s="121" t="str">
        <f>IFERROR($M318+VLOOKUP($L318,'Voyage days'!$F$483:$H$538,3,FALSE),"")</f>
        <v/>
      </c>
      <c r="AX318" s="121" t="str">
        <f>IFERROR($N318+VLOOKUP($L318,'Voyage days'!$F$483:$H$538,3,FALSE),"")</f>
        <v/>
      </c>
      <c r="AY318" s="120" t="str">
        <f t="shared" si="33"/>
        <v/>
      </c>
      <c r="AZ318" s="121" t="str">
        <f>IFERROR($M318+VLOOKUP($L318,'Voyage days'!$F$540:$H$613,3,FALSE),"")</f>
        <v/>
      </c>
      <c r="BA318" s="121" t="str">
        <f>IFERROR($N318+VLOOKUP($L318,'Voyage days'!$F$540:$H$613,3,FALSE),"")</f>
        <v/>
      </c>
      <c r="BB318" s="120" t="str">
        <f t="shared" si="34"/>
        <v/>
      </c>
      <c r="BC318" s="121" t="str">
        <f>IFERROR($M318+VLOOKUP($L318,'Voyage days'!$F$448:$H$479,3,FALSE),"")</f>
        <v/>
      </c>
      <c r="BD318" s="121" t="str">
        <f>IFERROR($N318+VLOOKUP($L318,'Voyage days'!$F$448:$H$479,3,FALSE),"")</f>
        <v/>
      </c>
      <c r="BE318" s="120" t="str">
        <f t="shared" si="35"/>
        <v/>
      </c>
      <c r="BF318" s="122" t="str">
        <f>IFERROR($M318+VLOOKUP($L318,'Voyage days'!$F$620:$H$646,3,FALSE),"")</f>
        <v/>
      </c>
      <c r="BG318" s="122" t="str">
        <f>IFERROR($N318+VLOOKUP($L318,'Voyage days'!$F$620:$H$646,3,FALSE),"")</f>
        <v/>
      </c>
      <c r="BH318" s="120" t="str">
        <f t="shared" si="36"/>
        <v/>
      </c>
      <c r="BI318" s="123" t="str">
        <f>IFERROR($M318+VLOOKUP($L318,'Voyage days'!$F$702:$H$727,3,FALSE),"")</f>
        <v/>
      </c>
      <c r="BJ318" s="120" t="str">
        <f t="shared" si="37"/>
        <v/>
      </c>
      <c r="BK318" s="122" t="str">
        <f>IFERROR($M318+VLOOKUP($L318,'Voyage days'!$F$807:$H$878,3,FALSE),"")</f>
        <v/>
      </c>
      <c r="BL318" s="122" t="str">
        <f>IFERROR($N318+VLOOKUP($L318,'Voyage days'!$F$807:$H$878,3,FALSE),"")</f>
        <v/>
      </c>
      <c r="BM318" s="122" t="str">
        <f>IFERROR($N318+VLOOKUP($L318,'Voyage days'!$F$807:$K$878,6,FALSE),"")</f>
        <v/>
      </c>
      <c r="BN318" s="121" t="str">
        <f>if(L318="loads AG", IFERROR($M318+VLOOKUP($L318,'Voyage days'!$M$38:$O$38,3,FALSE),""),"")</f>
        <v/>
      </c>
      <c r="BO318" s="121">
        <f>if(L318="loads USG", IFERROR($M318+VLOOKUP($L318,'Voyage days'!$L$203:$N$203,3,FALSE),""),"")</f>
        <v>46194</v>
      </c>
    </row>
    <row r="319" ht="15.75" customHeight="1">
      <c r="A319" s="452" t="s">
        <v>199</v>
      </c>
      <c r="B319" s="101">
        <v>42006.0</v>
      </c>
      <c r="C319" s="102">
        <v>84000.0</v>
      </c>
      <c r="D319" s="112" t="s">
        <v>603</v>
      </c>
      <c r="E319" s="103"/>
      <c r="F319" s="104"/>
      <c r="G319" s="104"/>
      <c r="H319" s="104" t="s">
        <v>689</v>
      </c>
      <c r="I319" s="401" t="s">
        <v>1412</v>
      </c>
      <c r="J319" s="106" t="str">
        <f t="shared" si="55"/>
        <v>Update</v>
      </c>
      <c r="K319" s="205" t="s">
        <v>765</v>
      </c>
      <c r="L319" s="108" t="s">
        <v>680</v>
      </c>
      <c r="M319" s="109">
        <v>46115.0</v>
      </c>
      <c r="N319" s="109">
        <v>46115.0</v>
      </c>
      <c r="O319" s="191"/>
      <c r="P319" s="317" t="s">
        <v>1446</v>
      </c>
      <c r="Q319" s="686"/>
      <c r="R319" s="108" t="s">
        <v>1447</v>
      </c>
      <c r="S319" s="659" t="s">
        <v>659</v>
      </c>
      <c r="T319" s="188">
        <v>46124.0</v>
      </c>
      <c r="U319" s="114" t="str">
        <f>IF(V319="","No AIS",VLOOKUP(V319,'Voyage days'!$A$3:$B$1480,2,FALSE))</f>
        <v>Panama</v>
      </c>
      <c r="V319" s="115" t="str">
        <f>IF(VLOOKUP(A320,'1) Kpler'!$E$2:$P$1000,8, FALSE)="","",VLOOKUP(A320,'1) Kpler'!$E$2:$P$1000,8, FALSE))</f>
        <v>Panama Canal</v>
      </c>
      <c r="W319" s="116">
        <f>IF(VLOOKUP(A319,'1) Kpler'!$E$2:$P$1000,9,FALSE)="","",VLOOKUP(A319,'1) Kpler'!$E$2:$P$1000,9,FALSE))</f>
        <v>46160.25</v>
      </c>
      <c r="X319" s="115" t="str">
        <f>VLOOKUP(A319,'1) Kpler'!$E$2:$I$1000,4,FALSE)</f>
        <v>loaded</v>
      </c>
      <c r="Y319" s="296" t="str">
        <f t="shared" si="43"/>
        <v/>
      </c>
      <c r="Z319" s="296" t="str">
        <f t="shared" si="44"/>
        <v>03-03 Apr</v>
      </c>
      <c r="AA319" s="296" t="str">
        <f t="shared" si="45"/>
        <v>03-03 Apr</v>
      </c>
      <c r="AB319" s="296" t="str">
        <f t="shared" si="46"/>
        <v/>
      </c>
      <c r="AC319" s="296" t="str">
        <f t="shared" si="47"/>
        <v>23-23 Apr</v>
      </c>
      <c r="AD319" s="296" t="str">
        <f t="shared" si="48"/>
        <v/>
      </c>
      <c r="AE319" s="297" t="str">
        <f t="shared" si="49"/>
        <v/>
      </c>
      <c r="AF319" s="119" t="str">
        <f t="shared" si="50"/>
        <v/>
      </c>
      <c r="AG319" s="120" t="str">
        <f t="shared" si="51"/>
        <v/>
      </c>
      <c r="AH319" s="121" t="str">
        <f>IFERROR($M319+VLOOKUP($L319,'Voyage days'!$F$38:$H$89,3,FALSE),"")</f>
        <v/>
      </c>
      <c r="AI319" s="121" t="str">
        <f>IFERROR(N319+VLOOKUP($L319,'Voyage days'!$F$38:$H$89,3,FALSE),"")</f>
        <v/>
      </c>
      <c r="AJ319" s="120" t="str">
        <f t="shared" si="28"/>
        <v>03-03 Apr</v>
      </c>
      <c r="AK319" s="121">
        <f>IFERROR($M319+VLOOKUP($L319,'Voyage days'!$F$94:$H$193,3,FALSE),"")</f>
        <v>46115</v>
      </c>
      <c r="AL319" s="121">
        <f>IFERROR($N319+VLOOKUP($L319,'Voyage days'!$F$94:$H$193,3,FALSE),"")</f>
        <v>46115</v>
      </c>
      <c r="AM319" s="120" t="str">
        <f t="shared" si="29"/>
        <v>03-03 Apr</v>
      </c>
      <c r="AN319" s="121">
        <f>IFERROR($M319+VLOOKUP($L319,'Voyage days'!$F$203:$H$256,3,FALSE),"")</f>
        <v>46115</v>
      </c>
      <c r="AO319" s="121">
        <f>IFERROR($N319+VLOOKUP($L319,'Voyage days'!$F$203:$H$256,3,FALSE),"")</f>
        <v>46115</v>
      </c>
      <c r="AP319" s="120" t="str">
        <f t="shared" si="30"/>
        <v/>
      </c>
      <c r="AQ319" s="121" t="str">
        <f>IFERROR($M319+VLOOKUP($L319,'Voyage days'!$F$294:$H$377,3,FALSE),"")</f>
        <v/>
      </c>
      <c r="AR319" s="121" t="str">
        <f>IFERROR($N319+VLOOKUP($L319,'Voyage days'!$F$294:$H$377,3,FALSE),"")</f>
        <v/>
      </c>
      <c r="AS319" s="120" t="str">
        <f t="shared" si="31"/>
        <v>23-23 Apr</v>
      </c>
      <c r="AT319" s="121">
        <f>IFERROR($M319+VLOOKUP($L319,'Voyage days'!$F$382:$H$446,3,FALSE),"")</f>
        <v>46135</v>
      </c>
      <c r="AU319" s="121">
        <f>IFERROR($N319+VLOOKUP($L319,'Voyage days'!$F$382:$H$446,3,FALSE),"")</f>
        <v>46135</v>
      </c>
      <c r="AV319" s="120" t="str">
        <f t="shared" si="32"/>
        <v/>
      </c>
      <c r="AW319" s="121" t="str">
        <f>IFERROR($M319+VLOOKUP($L319,'Voyage days'!$F$483:$H$538,3,FALSE),"")</f>
        <v/>
      </c>
      <c r="AX319" s="121" t="str">
        <f>IFERROR($N319+VLOOKUP($L319,'Voyage days'!$F$483:$H$538,3,FALSE),"")</f>
        <v/>
      </c>
      <c r="AY319" s="120" t="str">
        <f t="shared" si="33"/>
        <v/>
      </c>
      <c r="AZ319" s="121" t="str">
        <f>IFERROR($M319+VLOOKUP($L319,'Voyage days'!$F$540:$H$613,3,FALSE),"")</f>
        <v/>
      </c>
      <c r="BA319" s="121" t="str">
        <f>IFERROR($N319+VLOOKUP($L319,'Voyage days'!$F$540:$H$613,3,FALSE),"")</f>
        <v/>
      </c>
      <c r="BB319" s="120" t="str">
        <f t="shared" si="34"/>
        <v/>
      </c>
      <c r="BC319" s="121" t="str">
        <f>IFERROR($M319+VLOOKUP($L319,'Voyage days'!$F$448:$H$479,3,FALSE),"")</f>
        <v/>
      </c>
      <c r="BD319" s="121" t="str">
        <f>IFERROR($N319+VLOOKUP($L319,'Voyage days'!$F$448:$H$479,3,FALSE),"")</f>
        <v/>
      </c>
      <c r="BE319" s="120" t="str">
        <f t="shared" si="35"/>
        <v/>
      </c>
      <c r="BF319" s="122" t="str">
        <f>IFERROR($M319+VLOOKUP($L319,'Voyage days'!$F$620:$H$646,3,FALSE),"")</f>
        <v/>
      </c>
      <c r="BG319" s="122" t="str">
        <f>IFERROR($N319+VLOOKUP($L319,'Voyage days'!$F$620:$H$646,3,FALSE),"")</f>
        <v/>
      </c>
      <c r="BH319" s="120" t="str">
        <f t="shared" si="36"/>
        <v/>
      </c>
      <c r="BI319" s="123" t="str">
        <f>IFERROR($M319+VLOOKUP($L319,'Voyage days'!$F$702:$H$727,3,FALSE),"")</f>
        <v/>
      </c>
      <c r="BJ319" s="120" t="str">
        <f t="shared" si="37"/>
        <v/>
      </c>
      <c r="BK319" s="122" t="str">
        <f>IFERROR($M319+VLOOKUP($L319,'Voyage days'!$F$807:$H$878,3,FALSE),"")</f>
        <v/>
      </c>
      <c r="BL319" s="122" t="str">
        <f>IFERROR($N319+VLOOKUP($L319,'Voyage days'!$F$807:$H$878,3,FALSE),"")</f>
        <v/>
      </c>
      <c r="BM319" s="122" t="str">
        <f>IFERROR($N319+VLOOKUP($L319,'Voyage days'!$F$807:$K$878,6,FALSE),"")</f>
        <v/>
      </c>
      <c r="BN319" s="121" t="str">
        <f>if(L319="loads AG", IFERROR($M319+VLOOKUP($L319,'Voyage days'!$M$38:$O$38,3,FALSE),""),"")</f>
        <v/>
      </c>
      <c r="BO319" s="121">
        <f>if(L319="loads USG", IFERROR($M319+VLOOKUP($L319,'Voyage days'!$L$203:$N$203,3,FALSE),""),"")</f>
        <v>46147</v>
      </c>
    </row>
    <row r="320" ht="15.75" customHeight="1">
      <c r="A320" s="80" t="s">
        <v>200</v>
      </c>
      <c r="B320" s="101">
        <v>42171.0</v>
      </c>
      <c r="C320" s="102">
        <v>84000.0</v>
      </c>
      <c r="D320" s="112" t="s">
        <v>603</v>
      </c>
      <c r="E320" s="103"/>
      <c r="F320" s="104"/>
      <c r="G320" s="104"/>
      <c r="H320" s="104" t="s">
        <v>689</v>
      </c>
      <c r="I320" s="401" t="s">
        <v>1412</v>
      </c>
      <c r="J320" s="106" t="str">
        <f t="shared" si="55"/>
        <v>Update</v>
      </c>
      <c r="K320" s="107"/>
      <c r="L320" s="108" t="s">
        <v>677</v>
      </c>
      <c r="M320" s="109">
        <v>46149.0</v>
      </c>
      <c r="N320" s="109">
        <v>46150.0</v>
      </c>
      <c r="O320" s="191" t="s">
        <v>1448</v>
      </c>
      <c r="P320" s="108" t="s">
        <v>1449</v>
      </c>
      <c r="Q320" s="108"/>
      <c r="R320" s="108" t="s">
        <v>1450</v>
      </c>
      <c r="S320" s="659" t="s">
        <v>659</v>
      </c>
      <c r="T320" s="188">
        <v>46124.0</v>
      </c>
      <c r="U320" s="114" t="str">
        <f>IF(V320="","No AIS",VLOOKUP(V320,'Voyage days'!$A$3:$B$1480,2,FALSE))</f>
        <v>No AIS</v>
      </c>
      <c r="W320" s="116">
        <f>IF(VLOOKUP(A320,'1) Kpler'!$E$2:$P$1000,9,FALSE)="","",VLOOKUP(A320,'1) Kpler'!$E$2:$P$1000,9,FALSE))</f>
        <v>46150.625</v>
      </c>
      <c r="X320" s="115" t="str">
        <f>VLOOKUP(A320,'1) Kpler'!$E$2:$I$1000,4,FALSE)</f>
        <v>ballast</v>
      </c>
      <c r="Y320" s="160" t="str">
        <f t="shared" si="43"/>
        <v/>
      </c>
      <c r="Z320" s="160" t="str">
        <f t="shared" si="44"/>
        <v>18-19 May</v>
      </c>
      <c r="AA320" s="160" t="str">
        <f t="shared" si="45"/>
        <v/>
      </c>
      <c r="AB320" s="160" t="str">
        <f t="shared" si="46"/>
        <v/>
      </c>
      <c r="AC320" s="160" t="str">
        <f t="shared" si="47"/>
        <v/>
      </c>
      <c r="AD320" s="160" t="str">
        <f t="shared" si="48"/>
        <v/>
      </c>
      <c r="AE320" s="161" t="str">
        <f t="shared" si="49"/>
        <v/>
      </c>
      <c r="AF320" s="162" t="str">
        <f t="shared" si="50"/>
        <v/>
      </c>
      <c r="AG320" s="120" t="str">
        <f t="shared" si="51"/>
        <v/>
      </c>
      <c r="AH320" s="121" t="str">
        <f>IFERROR($M320+VLOOKUP($L320,'Voyage days'!$F$38:$H$89,3,FALSE),"")</f>
        <v/>
      </c>
      <c r="AI320" s="121" t="str">
        <f>IFERROR(N320+VLOOKUP($L320,'Voyage days'!$F$38:$H$89,3,FALSE),"")</f>
        <v/>
      </c>
      <c r="AJ320" s="120" t="str">
        <f t="shared" si="28"/>
        <v>18-19 May</v>
      </c>
      <c r="AK320" s="121">
        <f>IFERROR($M320+VLOOKUP($L320,'Voyage days'!$F$94:$H$193,3,FALSE),"")</f>
        <v>46160</v>
      </c>
      <c r="AL320" s="121">
        <f>IFERROR($N320+VLOOKUP($L320,'Voyage days'!$F$94:$H$193,3,FALSE),"")</f>
        <v>46161</v>
      </c>
      <c r="AM320" s="120" t="str">
        <f t="shared" si="29"/>
        <v/>
      </c>
      <c r="AN320" s="121" t="str">
        <f>IFERROR($M320+VLOOKUP($L320,'Voyage days'!$F$203:$H$256,3,FALSE),"")</f>
        <v/>
      </c>
      <c r="AO320" s="121" t="str">
        <f>IFERROR($N320+VLOOKUP($L320,'Voyage days'!$F$203:$H$256,3,FALSE),"")</f>
        <v/>
      </c>
      <c r="AP320" s="120" t="str">
        <f t="shared" si="30"/>
        <v/>
      </c>
      <c r="AQ320" s="121" t="str">
        <f>IFERROR($M320+VLOOKUP($L320,'Voyage days'!$F$294:$H$377,3,FALSE),"")</f>
        <v/>
      </c>
      <c r="AR320" s="121" t="str">
        <f>IFERROR($N320+VLOOKUP($L320,'Voyage days'!$F$294:$H$377,3,FALSE),"")</f>
        <v/>
      </c>
      <c r="AS320" s="120" t="str">
        <f t="shared" si="31"/>
        <v/>
      </c>
      <c r="AT320" s="121" t="str">
        <f>IFERROR($M320+VLOOKUP($L320,'Voyage days'!$F$382:$H$446,3,FALSE),"")</f>
        <v/>
      </c>
      <c r="AU320" s="121" t="str">
        <f>IFERROR($N320+VLOOKUP($L320,'Voyage days'!$F$382:$H$446,3,FALSE),"")</f>
        <v/>
      </c>
      <c r="AV320" s="120" t="str">
        <f t="shared" si="32"/>
        <v/>
      </c>
      <c r="AW320" s="121" t="str">
        <f>IFERROR($M320+VLOOKUP($L320,'Voyage days'!$F$483:$H$538,3,FALSE),"")</f>
        <v/>
      </c>
      <c r="AX320" s="121" t="str">
        <f>IFERROR($N320+VLOOKUP($L320,'Voyage days'!$F$483:$H$538,3,FALSE),"")</f>
        <v/>
      </c>
      <c r="AY320" s="120" t="str">
        <f t="shared" si="33"/>
        <v/>
      </c>
      <c r="AZ320" s="121" t="str">
        <f>IFERROR($M320+VLOOKUP($L320,'Voyage days'!$F$540:$H$613,3,FALSE),"")</f>
        <v/>
      </c>
      <c r="BA320" s="121" t="str">
        <f>IFERROR($N320+VLOOKUP($L320,'Voyage days'!$F$540:$H$613,3,FALSE),"")</f>
        <v/>
      </c>
      <c r="BB320" s="120" t="str">
        <f t="shared" si="34"/>
        <v/>
      </c>
      <c r="BC320" s="121" t="str">
        <f>IFERROR($M320+VLOOKUP($L320,'Voyage days'!$F$448:$H$479,3,FALSE),"")</f>
        <v/>
      </c>
      <c r="BD320" s="121" t="str">
        <f>IFERROR($N320+VLOOKUP($L320,'Voyage days'!$F$448:$H$479,3,FALSE),"")</f>
        <v/>
      </c>
      <c r="BE320" s="120" t="str">
        <f t="shared" si="35"/>
        <v/>
      </c>
      <c r="BF320" s="122" t="str">
        <f>IFERROR($M320+VLOOKUP($L320,'Voyage days'!$F$620:$H$646,3,FALSE),"")</f>
        <v/>
      </c>
      <c r="BG320" s="122" t="str">
        <f>IFERROR($N320+VLOOKUP($L320,'Voyage days'!$F$620:$H$646,3,FALSE),"")</f>
        <v/>
      </c>
      <c r="BH320" s="120" t="str">
        <f t="shared" si="36"/>
        <v/>
      </c>
      <c r="BI320" s="123" t="str">
        <f>IFERROR($M320+VLOOKUP($L320,'Voyage days'!$F$702:$H$727,3,FALSE),"")</f>
        <v/>
      </c>
      <c r="BJ320" s="120" t="str">
        <f t="shared" si="37"/>
        <v/>
      </c>
      <c r="BK320" s="122" t="str">
        <f>IFERROR($M320+VLOOKUP($L320,'Voyage days'!$F$807:$H$878,3,FALSE),"")</f>
        <v/>
      </c>
      <c r="BL320" s="122" t="str">
        <f>IFERROR($N320+VLOOKUP($L320,'Voyage days'!$F$807:$H$878,3,FALSE),"")</f>
        <v/>
      </c>
      <c r="BM320" s="122" t="str">
        <f>IFERROR($N320+VLOOKUP($L320,'Voyage days'!$F$807:$K$878,6,FALSE),"")</f>
        <v/>
      </c>
      <c r="BN320" s="121" t="str">
        <f>if(L320="loads AG", IFERROR($M320+VLOOKUP($L320,'Voyage days'!$M$38:$O$38,3,FALSE),""),"")</f>
        <v/>
      </c>
      <c r="BO320" s="121" t="str">
        <f>if(L320="loads USG", IFERROR($M320+VLOOKUP($L320,'Voyage days'!$L$203:$N$203,3,FALSE),""),"")</f>
        <v/>
      </c>
    </row>
    <row r="321" ht="15.75" customHeight="1">
      <c r="A321" s="452" t="s">
        <v>201</v>
      </c>
      <c r="B321" s="101">
        <v>42308.0</v>
      </c>
      <c r="C321" s="102">
        <v>84000.0</v>
      </c>
      <c r="D321" s="112" t="s">
        <v>603</v>
      </c>
      <c r="E321" s="103"/>
      <c r="F321" s="104"/>
      <c r="G321" s="104"/>
      <c r="H321" s="104" t="s">
        <v>689</v>
      </c>
      <c r="I321" s="401" t="s">
        <v>1412</v>
      </c>
      <c r="J321" s="106" t="str">
        <f t="shared" si="55"/>
        <v/>
      </c>
      <c r="K321" s="107"/>
      <c r="L321" s="108" t="s">
        <v>680</v>
      </c>
      <c r="M321" s="109">
        <v>46140.0</v>
      </c>
      <c r="N321" s="109">
        <v>46141.0</v>
      </c>
      <c r="O321" s="191" t="s">
        <v>689</v>
      </c>
      <c r="P321" s="153" t="s">
        <v>1451</v>
      </c>
      <c r="Q321" s="108"/>
      <c r="R321" s="108" t="s">
        <v>1452</v>
      </c>
      <c r="S321" s="659" t="s">
        <v>659</v>
      </c>
      <c r="T321" s="188">
        <v>46124.0</v>
      </c>
      <c r="U321" s="114" t="str">
        <f>IF(V321="","No AIS",VLOOKUP(V321,'Voyage days'!$A$3:$B$1480,2,FALSE))</f>
        <v>Panama</v>
      </c>
      <c r="V321" s="115" t="str">
        <f>IF(VLOOKUP(A321,'1) Kpler'!$E$2:$P$1000,8, FALSE)="","",VLOOKUP(A321,'1) Kpler'!$E$2:$P$1000,8, FALSE))</f>
        <v>Panama Canal</v>
      </c>
      <c r="W321" s="116">
        <f>IF(VLOOKUP(A321,'1) Kpler'!$E$2:$P$1000,9,FALSE)="","",VLOOKUP(A321,'1) Kpler'!$E$2:$P$1000,9,FALSE))</f>
        <v>46132.45833</v>
      </c>
      <c r="X321" s="115" t="str">
        <f>VLOOKUP(A321,'1) Kpler'!$E$2:$I$1000,4,FALSE)</f>
        <v>ballast</v>
      </c>
      <c r="Y321" s="296" t="str">
        <f t="shared" si="43"/>
        <v/>
      </c>
      <c r="Z321" s="296" t="str">
        <f t="shared" si="44"/>
        <v>28-29 Apr</v>
      </c>
      <c r="AA321" s="296" t="str">
        <f t="shared" si="45"/>
        <v>28-29 Apr</v>
      </c>
      <c r="AB321" s="296" t="str">
        <f t="shared" si="46"/>
        <v/>
      </c>
      <c r="AC321" s="296" t="str">
        <f t="shared" si="47"/>
        <v>18-19 May</v>
      </c>
      <c r="AD321" s="296" t="str">
        <f t="shared" si="48"/>
        <v/>
      </c>
      <c r="AE321" s="297" t="str">
        <f t="shared" si="49"/>
        <v/>
      </c>
      <c r="AF321" s="119" t="str">
        <f t="shared" si="50"/>
        <v/>
      </c>
      <c r="AG321" s="120" t="str">
        <f t="shared" si="51"/>
        <v/>
      </c>
      <c r="AH321" s="121" t="str">
        <f>IFERROR($M321+VLOOKUP($L321,'Voyage days'!$F$38:$H$89,3,FALSE),"")</f>
        <v/>
      </c>
      <c r="AI321" s="121" t="str">
        <f>IFERROR(N321+VLOOKUP($L321,'Voyage days'!$F$38:$H$89,3,FALSE),"")</f>
        <v/>
      </c>
      <c r="AJ321" s="120" t="str">
        <f t="shared" si="28"/>
        <v>28-29 Apr</v>
      </c>
      <c r="AK321" s="121">
        <f>IFERROR($M321+VLOOKUP($L321,'Voyage days'!$F$94:$H$193,3,FALSE),"")</f>
        <v>46140</v>
      </c>
      <c r="AL321" s="121">
        <f>IFERROR($N321+VLOOKUP($L321,'Voyage days'!$F$94:$H$193,3,FALSE),"")</f>
        <v>46141</v>
      </c>
      <c r="AM321" s="120" t="str">
        <f t="shared" si="29"/>
        <v>28-29 Apr</v>
      </c>
      <c r="AN321" s="121">
        <f>IFERROR($M321+VLOOKUP($L321,'Voyage days'!$F$203:$H$256,3,FALSE),"")</f>
        <v>46140</v>
      </c>
      <c r="AO321" s="121">
        <f>IFERROR($N321+VLOOKUP($L321,'Voyage days'!$F$203:$H$256,3,FALSE),"")</f>
        <v>46141</v>
      </c>
      <c r="AP321" s="120" t="str">
        <f t="shared" si="30"/>
        <v/>
      </c>
      <c r="AQ321" s="121" t="str">
        <f>IFERROR($M321+VLOOKUP($L321,'Voyage days'!$F$294:$H$377,3,FALSE),"")</f>
        <v/>
      </c>
      <c r="AR321" s="121" t="str">
        <f>IFERROR($N321+VLOOKUP($L321,'Voyage days'!$F$294:$H$377,3,FALSE),"")</f>
        <v/>
      </c>
      <c r="AS321" s="120" t="str">
        <f t="shared" si="31"/>
        <v>18-19 May</v>
      </c>
      <c r="AT321" s="121">
        <f>IFERROR($M321+VLOOKUP($L321,'Voyage days'!$F$382:$H$446,3,FALSE),"")</f>
        <v>46160</v>
      </c>
      <c r="AU321" s="121">
        <f>IFERROR($N321+VLOOKUP($L321,'Voyage days'!$F$382:$H$446,3,FALSE),"")</f>
        <v>46161</v>
      </c>
      <c r="AV321" s="120" t="str">
        <f t="shared" si="32"/>
        <v/>
      </c>
      <c r="AW321" s="121" t="str">
        <f>IFERROR($M321+VLOOKUP($L321,'Voyage days'!$F$483:$H$538,3,FALSE),"")</f>
        <v/>
      </c>
      <c r="AX321" s="121" t="str">
        <f>IFERROR($N321+VLOOKUP($L321,'Voyage days'!$F$483:$H$538,3,FALSE),"")</f>
        <v/>
      </c>
      <c r="AY321" s="120" t="str">
        <f t="shared" si="33"/>
        <v/>
      </c>
      <c r="AZ321" s="121" t="str">
        <f>IFERROR($M321+VLOOKUP($L321,'Voyage days'!$F$540:$H$613,3,FALSE),"")</f>
        <v/>
      </c>
      <c r="BA321" s="121" t="str">
        <f>IFERROR($N321+VLOOKUP($L321,'Voyage days'!$F$540:$H$613,3,FALSE),"")</f>
        <v/>
      </c>
      <c r="BB321" s="120" t="str">
        <f t="shared" si="34"/>
        <v/>
      </c>
      <c r="BC321" s="121" t="str">
        <f>IFERROR($M321+VLOOKUP($L321,'Voyage days'!$F$448:$H$479,3,FALSE),"")</f>
        <v/>
      </c>
      <c r="BD321" s="121" t="str">
        <f>IFERROR($N321+VLOOKUP($L321,'Voyage days'!$F$448:$H$479,3,FALSE),"")</f>
        <v/>
      </c>
      <c r="BE321" s="120" t="str">
        <f t="shared" si="35"/>
        <v/>
      </c>
      <c r="BF321" s="122" t="str">
        <f>IFERROR($M321+VLOOKUP($L321,'Voyage days'!$F$620:$H$646,3,FALSE),"")</f>
        <v/>
      </c>
      <c r="BG321" s="122" t="str">
        <f>IFERROR($N321+VLOOKUP($L321,'Voyage days'!$F$620:$H$646,3,FALSE),"")</f>
        <v/>
      </c>
      <c r="BH321" s="120" t="str">
        <f t="shared" si="36"/>
        <v/>
      </c>
      <c r="BI321" s="123" t="str">
        <f>IFERROR($M321+VLOOKUP($L321,'Voyage days'!$F$702:$H$727,3,FALSE),"")</f>
        <v/>
      </c>
      <c r="BJ321" s="120" t="str">
        <f t="shared" si="37"/>
        <v/>
      </c>
      <c r="BK321" s="122" t="str">
        <f>IFERROR($M321+VLOOKUP($L321,'Voyage days'!$F$807:$H$878,3,FALSE),"")</f>
        <v/>
      </c>
      <c r="BL321" s="122" t="str">
        <f>IFERROR($N321+VLOOKUP($L321,'Voyage days'!$F$807:$H$878,3,FALSE),"")</f>
        <v/>
      </c>
      <c r="BM321" s="122" t="str">
        <f>IFERROR($N321+VLOOKUP($L321,'Voyage days'!$F$807:$K$878,6,FALSE),"")</f>
        <v/>
      </c>
      <c r="BN321" s="121" t="str">
        <f>if(L321="loads AG", IFERROR($M321+VLOOKUP($L321,'Voyage days'!$M$38:$O$38,3,FALSE),""),"")</f>
        <v/>
      </c>
      <c r="BO321" s="121">
        <f>if(L321="loads USG", IFERROR($M321+VLOOKUP($L321,'Voyage days'!$L$203:$N$203,3,FALSE),""),"")</f>
        <v>46172</v>
      </c>
    </row>
    <row r="322" ht="15.75" customHeight="1">
      <c r="A322" s="80" t="s">
        <v>202</v>
      </c>
      <c r="B322" s="101">
        <v>42248.0</v>
      </c>
      <c r="C322" s="102">
        <v>84000.0</v>
      </c>
      <c r="D322" s="112" t="s">
        <v>603</v>
      </c>
      <c r="E322" s="103"/>
      <c r="F322" s="104"/>
      <c r="G322" s="104"/>
      <c r="H322" s="104" t="s">
        <v>689</v>
      </c>
      <c r="I322" s="401" t="s">
        <v>1412</v>
      </c>
      <c r="J322" s="106" t="str">
        <f t="shared" si="55"/>
        <v/>
      </c>
      <c r="K322" s="107"/>
      <c r="L322" s="108" t="s">
        <v>677</v>
      </c>
      <c r="M322" s="391">
        <v>46137.0</v>
      </c>
      <c r="N322" s="109">
        <v>46138.0</v>
      </c>
      <c r="O322" s="191" t="s">
        <v>1314</v>
      </c>
      <c r="P322" s="108" t="s">
        <v>1453</v>
      </c>
      <c r="Q322" s="192"/>
      <c r="R322" s="192" t="s">
        <v>1454</v>
      </c>
      <c r="S322" s="659" t="s">
        <v>659</v>
      </c>
      <c r="T322" s="188">
        <v>46124.0</v>
      </c>
      <c r="U322" s="114" t="str">
        <f>IF(V322="","No AIS",VLOOKUP(V322,'Voyage days'!$A$3:$B$1480,2,FALSE))</f>
        <v>Panama</v>
      </c>
      <c r="V322" s="115" t="str">
        <f>IF(VLOOKUP(A322,'1) Kpler'!$E$2:$P$1000,8, FALSE)="","",VLOOKUP(A322,'1) Kpler'!$E$2:$P$1000,8, FALSE))</f>
        <v>Panama Canal</v>
      </c>
      <c r="W322" s="116">
        <f>IF(VLOOKUP(A322,'1) Kpler'!$E$2:$P$1000,9,FALSE)="","",VLOOKUP(A322,'1) Kpler'!$E$2:$P$1000,9,FALSE))</f>
        <v>46136.75</v>
      </c>
      <c r="X322" s="115" t="str">
        <f>VLOOKUP(A322,'1) Kpler'!$E$2:$I$1000,4,FALSE)</f>
        <v>ballast</v>
      </c>
      <c r="Y322" s="160" t="str">
        <f t="shared" si="43"/>
        <v/>
      </c>
      <c r="Z322" s="160" t="str">
        <f t="shared" si="44"/>
        <v>06-07 May</v>
      </c>
      <c r="AA322" s="160" t="str">
        <f t="shared" si="45"/>
        <v/>
      </c>
      <c r="AB322" s="160" t="str">
        <f t="shared" si="46"/>
        <v/>
      </c>
      <c r="AC322" s="160" t="str">
        <f t="shared" si="47"/>
        <v/>
      </c>
      <c r="AD322" s="160" t="str">
        <f t="shared" si="48"/>
        <v/>
      </c>
      <c r="AE322" s="161" t="str">
        <f t="shared" si="49"/>
        <v/>
      </c>
      <c r="AF322" s="162" t="str">
        <f t="shared" si="50"/>
        <v/>
      </c>
      <c r="AG322" s="120" t="str">
        <f t="shared" si="51"/>
        <v/>
      </c>
      <c r="AH322" s="121" t="str">
        <f>IFERROR($M322+VLOOKUP($L322,'Voyage days'!$F$38:$H$89,3,FALSE),"")</f>
        <v/>
      </c>
      <c r="AI322" s="121" t="str">
        <f>IFERROR(N322+VLOOKUP($L322,'Voyage days'!$F$38:$H$89,3,FALSE),"")</f>
        <v/>
      </c>
      <c r="AJ322" s="120" t="str">
        <f t="shared" si="28"/>
        <v>06-07 May</v>
      </c>
      <c r="AK322" s="121">
        <f>IFERROR($M322+VLOOKUP($L322,'Voyage days'!$F$94:$H$193,3,FALSE),"")</f>
        <v>46148</v>
      </c>
      <c r="AL322" s="121">
        <f>IFERROR($N322+VLOOKUP($L322,'Voyage days'!$F$94:$H$193,3,FALSE),"")</f>
        <v>46149</v>
      </c>
      <c r="AM322" s="120" t="str">
        <f t="shared" si="29"/>
        <v/>
      </c>
      <c r="AN322" s="121" t="str">
        <f>IFERROR($M322+VLOOKUP($L322,'Voyage days'!$F$203:$H$256,3,FALSE),"")</f>
        <v/>
      </c>
      <c r="AO322" s="121" t="str">
        <f>IFERROR($N322+VLOOKUP($L322,'Voyage days'!$F$203:$H$256,3,FALSE),"")</f>
        <v/>
      </c>
      <c r="AP322" s="120" t="str">
        <f t="shared" si="30"/>
        <v/>
      </c>
      <c r="AQ322" s="121" t="str">
        <f>IFERROR($M322+VLOOKUP($L322,'Voyage days'!$F$294:$H$377,3,FALSE),"")</f>
        <v/>
      </c>
      <c r="AR322" s="121" t="str">
        <f>IFERROR($N322+VLOOKUP($L322,'Voyage days'!$F$294:$H$377,3,FALSE),"")</f>
        <v/>
      </c>
      <c r="AS322" s="120" t="str">
        <f t="shared" si="31"/>
        <v/>
      </c>
      <c r="AT322" s="121" t="str">
        <f>IFERROR($M322+VLOOKUP($L322,'Voyage days'!$F$382:$H$446,3,FALSE),"")</f>
        <v/>
      </c>
      <c r="AU322" s="121" t="str">
        <f>IFERROR($N322+VLOOKUP($L322,'Voyage days'!$F$382:$H$446,3,FALSE),"")</f>
        <v/>
      </c>
      <c r="AV322" s="120" t="str">
        <f t="shared" si="32"/>
        <v/>
      </c>
      <c r="AW322" s="121" t="str">
        <f>IFERROR($M322+VLOOKUP($L322,'Voyage days'!$F$483:$H$538,3,FALSE),"")</f>
        <v/>
      </c>
      <c r="AX322" s="121" t="str">
        <f>IFERROR($N322+VLOOKUP($L322,'Voyage days'!$F$483:$H$538,3,FALSE),"")</f>
        <v/>
      </c>
      <c r="AY322" s="120" t="str">
        <f t="shared" si="33"/>
        <v/>
      </c>
      <c r="AZ322" s="121" t="str">
        <f>IFERROR($M322+VLOOKUP($L322,'Voyage days'!$F$540:$H$613,3,FALSE),"")</f>
        <v/>
      </c>
      <c r="BA322" s="121" t="str">
        <f>IFERROR($N322+VLOOKUP($L322,'Voyage days'!$F$540:$H$613,3,FALSE),"")</f>
        <v/>
      </c>
      <c r="BB322" s="120" t="str">
        <f t="shared" si="34"/>
        <v/>
      </c>
      <c r="BC322" s="121" t="str">
        <f>IFERROR($M322+VLOOKUP($L322,'Voyage days'!$F$448:$H$479,3,FALSE),"")</f>
        <v/>
      </c>
      <c r="BD322" s="121" t="str">
        <f>IFERROR($N322+VLOOKUP($L322,'Voyage days'!$F$448:$H$479,3,FALSE),"")</f>
        <v/>
      </c>
      <c r="BE322" s="120" t="str">
        <f t="shared" si="35"/>
        <v/>
      </c>
      <c r="BF322" s="122" t="str">
        <f>IFERROR($M322+VLOOKUP($L322,'Voyage days'!$F$620:$H$646,3,FALSE),"")</f>
        <v/>
      </c>
      <c r="BG322" s="122" t="str">
        <f>IFERROR($N322+VLOOKUP($L322,'Voyage days'!$F$620:$H$646,3,FALSE),"")</f>
        <v/>
      </c>
      <c r="BH322" s="120" t="str">
        <f t="shared" si="36"/>
        <v/>
      </c>
      <c r="BI322" s="123" t="str">
        <f>IFERROR($M322+VLOOKUP($L322,'Voyage days'!$F$702:$H$727,3,FALSE),"")</f>
        <v/>
      </c>
      <c r="BJ322" s="120" t="str">
        <f t="shared" si="37"/>
        <v/>
      </c>
      <c r="BK322" s="122" t="str">
        <f>IFERROR($M322+VLOOKUP($L322,'Voyage days'!$F$807:$H$878,3,FALSE),"")</f>
        <v/>
      </c>
      <c r="BL322" s="122" t="str">
        <f>IFERROR($N322+VLOOKUP($L322,'Voyage days'!$F$807:$H$878,3,FALSE),"")</f>
        <v/>
      </c>
      <c r="BM322" s="122" t="str">
        <f>IFERROR($N322+VLOOKUP($L322,'Voyage days'!$F$807:$K$878,6,FALSE),"")</f>
        <v/>
      </c>
      <c r="BN322" s="121" t="str">
        <f>if(L322="loads AG", IFERROR($M322+VLOOKUP($L322,'Voyage days'!$M$38:$O$38,3,FALSE),""),"")</f>
        <v/>
      </c>
      <c r="BO322" s="121" t="str">
        <f>if(L322="loads USG", IFERROR($M322+VLOOKUP($L322,'Voyage days'!$L$203:$N$203,3,FALSE),""),"")</f>
        <v/>
      </c>
    </row>
    <row r="323" ht="15.75" customHeight="1">
      <c r="A323" s="406" t="s">
        <v>203</v>
      </c>
      <c r="B323" s="148">
        <v>2023.0</v>
      </c>
      <c r="C323" s="102">
        <v>86000.0</v>
      </c>
      <c r="D323" s="112" t="s">
        <v>603</v>
      </c>
      <c r="E323" s="103"/>
      <c r="F323" s="104"/>
      <c r="G323" s="104"/>
      <c r="H323" s="104" t="s">
        <v>666</v>
      </c>
      <c r="I323" s="401" t="s">
        <v>1412</v>
      </c>
      <c r="J323" s="106" t="str">
        <f t="shared" si="55"/>
        <v/>
      </c>
      <c r="K323" s="205" t="s">
        <v>765</v>
      </c>
      <c r="L323" s="108" t="s">
        <v>680</v>
      </c>
      <c r="M323" s="109">
        <v>46162.0</v>
      </c>
      <c r="N323" s="109">
        <v>46163.0</v>
      </c>
      <c r="O323" s="191"/>
      <c r="P323" s="187" t="s">
        <v>1444</v>
      </c>
      <c r="Q323" s="108"/>
      <c r="R323" s="108" t="s">
        <v>1455</v>
      </c>
      <c r="S323" s="659" t="s">
        <v>659</v>
      </c>
      <c r="T323" s="113">
        <v>46124.0</v>
      </c>
      <c r="U323" s="114" t="str">
        <f>IF(V323="","No AIS",VLOOKUP(V323,'Voyage days'!$A$3:$B$1480,2,FALSE))</f>
        <v>USG</v>
      </c>
      <c r="V323" s="115" t="str">
        <f>IF(VLOOKUP(A323,'1) Kpler'!$E$2:$P$1000,8, FALSE)="","",VLOOKUP(A323,'1) Kpler'!$E$2:$P$1000,8, FALSE))</f>
        <v>Houston</v>
      </c>
      <c r="W323" s="116">
        <f>IF(VLOOKUP(A323,'1) Kpler'!$E$2:$P$1000,9,FALSE)="","",VLOOKUP(A323,'1) Kpler'!$E$2:$P$1000,9,FALSE))</f>
        <v>46161.33333</v>
      </c>
      <c r="X323" s="115" t="str">
        <f>VLOOKUP(A323,'1) Kpler'!$E$2:$I$1000,4,FALSE)</f>
        <v>ballast</v>
      </c>
      <c r="Y323" s="296" t="str">
        <f t="shared" si="43"/>
        <v/>
      </c>
      <c r="Z323" s="296" t="str">
        <f t="shared" si="44"/>
        <v>20-21 May</v>
      </c>
      <c r="AA323" s="296" t="str">
        <f t="shared" si="45"/>
        <v>20-21 May</v>
      </c>
      <c r="AB323" s="296" t="str">
        <f t="shared" si="46"/>
        <v/>
      </c>
      <c r="AC323" s="296" t="str">
        <f t="shared" si="47"/>
        <v>09-10 Jun</v>
      </c>
      <c r="AD323" s="296" t="str">
        <f t="shared" si="48"/>
        <v/>
      </c>
      <c r="AE323" s="297" t="str">
        <f t="shared" si="49"/>
        <v/>
      </c>
      <c r="AF323" s="119" t="str">
        <f t="shared" si="50"/>
        <v/>
      </c>
      <c r="AG323" s="120" t="str">
        <f t="shared" si="51"/>
        <v/>
      </c>
      <c r="AH323" s="121" t="str">
        <f>IFERROR($M323+VLOOKUP($L323,'Voyage days'!$F$38:$H$89,3,FALSE),"")</f>
        <v/>
      </c>
      <c r="AI323" s="121" t="str">
        <f>IFERROR(N323+VLOOKUP($L323,'Voyage days'!$F$38:$H$89,3,FALSE),"")</f>
        <v/>
      </c>
      <c r="AJ323" s="120" t="str">
        <f t="shared" si="28"/>
        <v>20-21 May</v>
      </c>
      <c r="AK323" s="121">
        <f>IFERROR($M323+VLOOKUP($L323,'Voyage days'!$F$94:$H$193,3,FALSE),"")</f>
        <v>46162</v>
      </c>
      <c r="AL323" s="121">
        <f>IFERROR($N323+VLOOKUP($L323,'Voyage days'!$F$94:$H$193,3,FALSE),"")</f>
        <v>46163</v>
      </c>
      <c r="AM323" s="120" t="str">
        <f t="shared" si="29"/>
        <v>20-21 May</v>
      </c>
      <c r="AN323" s="121">
        <f>IFERROR($M323+VLOOKUP($L323,'Voyage days'!$F$203:$H$256,3,FALSE),"")</f>
        <v>46162</v>
      </c>
      <c r="AO323" s="121">
        <f>IFERROR($N323+VLOOKUP($L323,'Voyage days'!$F$203:$H$256,3,FALSE),"")</f>
        <v>46163</v>
      </c>
      <c r="AP323" s="120" t="str">
        <f t="shared" si="30"/>
        <v/>
      </c>
      <c r="AQ323" s="121" t="str">
        <f>IFERROR($M323+VLOOKUP($L323,'Voyage days'!$F$294:$H$377,3,FALSE),"")</f>
        <v/>
      </c>
      <c r="AR323" s="121" t="str">
        <f>IFERROR($N323+VLOOKUP($L323,'Voyage days'!$F$294:$H$377,3,FALSE),"")</f>
        <v/>
      </c>
      <c r="AS323" s="120" t="str">
        <f t="shared" si="31"/>
        <v>09-10 Jun</v>
      </c>
      <c r="AT323" s="121">
        <f>IFERROR($M323+VLOOKUP($L323,'Voyage days'!$F$382:$H$446,3,FALSE),"")</f>
        <v>46182</v>
      </c>
      <c r="AU323" s="121">
        <f>IFERROR($N323+VLOOKUP($L323,'Voyage days'!$F$382:$H$446,3,FALSE),"")</f>
        <v>46183</v>
      </c>
      <c r="AV323" s="120" t="str">
        <f t="shared" si="32"/>
        <v/>
      </c>
      <c r="AW323" s="121" t="str">
        <f>IFERROR($M323+VLOOKUP($L323,'Voyage days'!$F$483:$H$538,3,FALSE),"")</f>
        <v/>
      </c>
      <c r="AX323" s="121" t="str">
        <f>IFERROR($N323+VLOOKUP($L323,'Voyage days'!$F$483:$H$538,3,FALSE),"")</f>
        <v/>
      </c>
      <c r="AY323" s="120" t="str">
        <f t="shared" si="33"/>
        <v/>
      </c>
      <c r="AZ323" s="121" t="str">
        <f>IFERROR($M323+VLOOKUP($L323,'Voyage days'!$F$540:$H$613,3,FALSE),"")</f>
        <v/>
      </c>
      <c r="BA323" s="121" t="str">
        <f>IFERROR($N323+VLOOKUP($L323,'Voyage days'!$F$540:$H$613,3,FALSE),"")</f>
        <v/>
      </c>
      <c r="BB323" s="120" t="str">
        <f t="shared" si="34"/>
        <v/>
      </c>
      <c r="BC323" s="121" t="str">
        <f>IFERROR($M323+VLOOKUP($L323,'Voyage days'!$F$448:$H$479,3,FALSE),"")</f>
        <v/>
      </c>
      <c r="BD323" s="121" t="str">
        <f>IFERROR($N323+VLOOKUP($L323,'Voyage days'!$F$448:$H$479,3,FALSE),"")</f>
        <v/>
      </c>
      <c r="BE323" s="120" t="str">
        <f t="shared" si="35"/>
        <v/>
      </c>
      <c r="BF323" s="122" t="str">
        <f>IFERROR($M323+VLOOKUP($L323,'Voyage days'!$F$620:$H$646,3,FALSE),"")</f>
        <v/>
      </c>
      <c r="BG323" s="122" t="str">
        <f>IFERROR($N323+VLOOKUP($L323,'Voyage days'!$F$620:$H$646,3,FALSE),"")</f>
        <v/>
      </c>
      <c r="BH323" s="120" t="str">
        <f t="shared" si="36"/>
        <v/>
      </c>
      <c r="BI323" s="123" t="str">
        <f>IFERROR($M323+VLOOKUP($L323,'Voyage days'!$F$702:$H$727,3,FALSE),"")</f>
        <v/>
      </c>
      <c r="BJ323" s="120" t="str">
        <f t="shared" si="37"/>
        <v/>
      </c>
      <c r="BK323" s="122" t="str">
        <f>IFERROR($M323+VLOOKUP($L323,'Voyage days'!$F$807:$H$878,3,FALSE),"")</f>
        <v/>
      </c>
      <c r="BL323" s="122" t="str">
        <f>IFERROR($N323+VLOOKUP($L323,'Voyage days'!$F$807:$H$878,3,FALSE),"")</f>
        <v/>
      </c>
      <c r="BM323" s="122" t="str">
        <f>IFERROR($N323+VLOOKUP($L323,'Voyage days'!$F$807:$K$878,6,FALSE),"")</f>
        <v/>
      </c>
      <c r="BN323" s="121" t="str">
        <f>if(L323="loads AG", IFERROR($M323+VLOOKUP($L323,'Voyage days'!$M$38:$O$38,3,FALSE),""),"")</f>
        <v/>
      </c>
      <c r="BO323" s="121">
        <f>if(L323="loads USG", IFERROR($M323+VLOOKUP($L323,'Voyage days'!$L$203:$N$203,3,FALSE),""),"")</f>
        <v>46194</v>
      </c>
    </row>
    <row r="324">
      <c r="A324" s="100" t="s">
        <v>205</v>
      </c>
      <c r="B324" s="148">
        <v>2021.0</v>
      </c>
      <c r="C324" s="102">
        <v>84000.0</v>
      </c>
      <c r="D324" s="112" t="s">
        <v>603</v>
      </c>
      <c r="E324" s="103"/>
      <c r="F324" s="104"/>
      <c r="G324" s="104"/>
      <c r="H324" s="104" t="s">
        <v>666</v>
      </c>
      <c r="I324" s="401" t="s">
        <v>1412</v>
      </c>
      <c r="J324" s="106" t="str">
        <f t="shared" si="55"/>
        <v/>
      </c>
      <c r="K324" s="107"/>
      <c r="L324" s="108" t="s">
        <v>656</v>
      </c>
      <c r="M324" s="109">
        <v>46163.0</v>
      </c>
      <c r="N324" s="109">
        <v>46164.0</v>
      </c>
      <c r="O324" s="191"/>
      <c r="P324" s="108" t="s">
        <v>1456</v>
      </c>
      <c r="Q324" s="108"/>
      <c r="R324" s="108" t="s">
        <v>1457</v>
      </c>
      <c r="S324" s="659" t="s">
        <v>659</v>
      </c>
      <c r="T324" s="113">
        <v>46124.0</v>
      </c>
      <c r="U324" s="114" t="str">
        <f>IF(V324="","No AIS",VLOOKUP(V324,'Voyage days'!$A$3:$B$1480,2,FALSE))</f>
        <v>+14 days to Far East</v>
      </c>
      <c r="V324" s="115" t="str">
        <f>IF(VLOOKUP(A324,'1) Kpler'!$E$2:$P$1000,8, FALSE)="","",VLOOKUP(A324,'1) Kpler'!$E$2:$P$1000,8, FALSE))</f>
        <v>RIPET</v>
      </c>
      <c r="W324" s="116">
        <f>IF(VLOOKUP(A324,'1) Kpler'!$E$2:$P$1000,9,FALSE)="","",VLOOKUP(A324,'1) Kpler'!$E$2:$P$1000,9,FALSE))</f>
        <v>46143.79167</v>
      </c>
      <c r="X324" s="115" t="str">
        <f>VLOOKUP(A324,'1) Kpler'!$E$2:$I$1000,4,FALSE)</f>
        <v>ballast</v>
      </c>
      <c r="Y324" s="160" t="str">
        <f t="shared" si="43"/>
        <v>08-09 Jun</v>
      </c>
      <c r="Z324" s="160" t="str">
        <f t="shared" si="44"/>
        <v>21-22 Jun</v>
      </c>
      <c r="AA324" s="160" t="str">
        <f t="shared" si="45"/>
        <v>28-29 Jun</v>
      </c>
      <c r="AB324" s="160" t="str">
        <f t="shared" si="46"/>
        <v>20-21 Jun</v>
      </c>
      <c r="AC324" s="160" t="str">
        <f t="shared" si="47"/>
        <v>26-27 Jun</v>
      </c>
      <c r="AD324" s="160" t="str">
        <f t="shared" si="48"/>
        <v>29-30 May</v>
      </c>
      <c r="AE324" s="161" t="str">
        <f t="shared" si="49"/>
        <v>29-30 May</v>
      </c>
      <c r="AF324" s="162" t="str">
        <f t="shared" si="50"/>
        <v>06-07 Jul</v>
      </c>
      <c r="AG324" s="120" t="str">
        <f t="shared" si="51"/>
        <v>08-09 Jun</v>
      </c>
      <c r="AH324" s="121">
        <f>IFERROR($M324+VLOOKUP($L324,'Voyage days'!$F$38:$H$89,3,FALSE),"")</f>
        <v>46181</v>
      </c>
      <c r="AI324" s="121">
        <f>IFERROR(N324+VLOOKUP($L324,'Voyage days'!$F$38:$H$89,3,FALSE),"")</f>
        <v>46182</v>
      </c>
      <c r="AJ324" s="120" t="str">
        <f t="shared" si="28"/>
        <v>21-22 Jun</v>
      </c>
      <c r="AK324" s="121">
        <f>IFERROR($M324+VLOOKUP($L324,'Voyage days'!$F$94:$H$193,3,FALSE),"")</f>
        <v>46194</v>
      </c>
      <c r="AL324" s="121">
        <f>IFERROR($N324+VLOOKUP($L324,'Voyage days'!$F$94:$H$193,3,FALSE),"")</f>
        <v>46195</v>
      </c>
      <c r="AM324" s="120" t="str">
        <f t="shared" si="29"/>
        <v>28-29 Jun</v>
      </c>
      <c r="AN324" s="121">
        <f>IFERROR($M324+VLOOKUP($L324,'Voyage days'!$F$203:$H$256,3,FALSE),"")</f>
        <v>46201</v>
      </c>
      <c r="AO324" s="121">
        <f>IFERROR($N324+VLOOKUP($L324,'Voyage days'!$F$203:$H$256,3,FALSE),"")</f>
        <v>46202</v>
      </c>
      <c r="AP324" s="120" t="str">
        <f t="shared" si="30"/>
        <v>20-21 Jun</v>
      </c>
      <c r="AQ324" s="121">
        <f>IFERROR($M324+VLOOKUP($L324,'Voyage days'!$F$294:$H$377,3,FALSE),"")</f>
        <v>46193</v>
      </c>
      <c r="AR324" s="121">
        <f>IFERROR($N324+VLOOKUP($L324,'Voyage days'!$F$294:$H$377,3,FALSE),"")</f>
        <v>46194</v>
      </c>
      <c r="AS324" s="120" t="str">
        <f t="shared" si="31"/>
        <v>26-27 Jun</v>
      </c>
      <c r="AT324" s="121">
        <f>IFERROR($M324+VLOOKUP($L324,'Voyage days'!$F$382:$H$446,3,FALSE),"")</f>
        <v>46199</v>
      </c>
      <c r="AU324" s="121">
        <f>IFERROR($N324+VLOOKUP($L324,'Voyage days'!$F$382:$H$446,3,FALSE),"")</f>
        <v>46200</v>
      </c>
      <c r="AV324" s="120" t="str">
        <f t="shared" si="32"/>
        <v>03-04 Jun</v>
      </c>
      <c r="AW324" s="121">
        <f>IFERROR($M324+VLOOKUP($L324,'Voyage days'!$F$483:$H$538,3,FALSE),"")</f>
        <v>46176</v>
      </c>
      <c r="AX324" s="121">
        <f>IFERROR($N324+VLOOKUP($L324,'Voyage days'!$F$483:$H$538,3,FALSE),"")</f>
        <v>46177</v>
      </c>
      <c r="AY324" s="120" t="str">
        <f t="shared" si="33"/>
        <v>29-30 May</v>
      </c>
      <c r="AZ324" s="121">
        <f>IFERROR($M324+VLOOKUP($L324,'Voyage days'!$F$540:$H$613,3,FALSE),"")</f>
        <v>46171.25</v>
      </c>
      <c r="BA324" s="121">
        <f>IFERROR($N324+VLOOKUP($L324,'Voyage days'!$F$540:$H$613,3,FALSE),"")</f>
        <v>46172.25</v>
      </c>
      <c r="BB324" s="120" t="str">
        <f t="shared" si="34"/>
        <v>29-30 May</v>
      </c>
      <c r="BC324" s="121">
        <f>IFERROR($M324+VLOOKUP($L324,'Voyage days'!$F$448:$H$479,3,FALSE),"")</f>
        <v>46171</v>
      </c>
      <c r="BD324" s="121">
        <f>IFERROR($N324+VLOOKUP($L324,'Voyage days'!$F$448:$H$479,3,FALSE),"")</f>
        <v>46172</v>
      </c>
      <c r="BE324" s="120" t="str">
        <f t="shared" si="35"/>
        <v>01-02 Jun</v>
      </c>
      <c r="BF324" s="122">
        <f>IFERROR($M324+VLOOKUP($L324,'Voyage days'!$F$620:$H$646,3,FALSE),"")</f>
        <v>46174</v>
      </c>
      <c r="BG324" s="122">
        <f>IFERROR($N324+VLOOKUP($L324,'Voyage days'!$F$620:$H$646,3,FALSE),"")</f>
        <v>46175</v>
      </c>
      <c r="BH324" s="120" t="str">
        <f t="shared" si="36"/>
        <v>29-07 Jul</v>
      </c>
      <c r="BI324" s="123">
        <f>IFERROR($M324+VLOOKUP($L324,'Voyage days'!$F$702:$H$727,3,FALSE),"")</f>
        <v>46171.25</v>
      </c>
      <c r="BJ324" s="120" t="str">
        <f t="shared" si="37"/>
        <v>06-07 Jul</v>
      </c>
      <c r="BK324" s="122">
        <f>IFERROR($M324+VLOOKUP($L324,'Voyage days'!$F$807:$H$878,3,FALSE),"")</f>
        <v>46209</v>
      </c>
      <c r="BL324" s="122">
        <f>IFERROR($N324+VLOOKUP($L324,'Voyage days'!$F$807:$H$878,3,FALSE),"")</f>
        <v>46210</v>
      </c>
      <c r="BM324" s="122">
        <f>IFERROR($N324+VLOOKUP($L324,'Voyage days'!$F$807:$K$878,6,FALSE),"")</f>
        <v>46184</v>
      </c>
      <c r="BN324" s="121" t="str">
        <f>if(L324="loads AG", IFERROR($M324+VLOOKUP($L324,'Voyage days'!$M$38:$O$38,3,FALSE),""),"")</f>
        <v/>
      </c>
      <c r="BO324" s="121" t="str">
        <f>if(L324="loads USG", IFERROR($M324+VLOOKUP($L324,'Voyage days'!$L$203:$N$203,3,FALSE),""),"")</f>
        <v/>
      </c>
    </row>
    <row r="325" ht="15.75" customHeight="1">
      <c r="A325" s="406" t="s">
        <v>245</v>
      </c>
      <c r="B325" s="148">
        <v>2020.0</v>
      </c>
      <c r="C325" s="102">
        <v>80000.0</v>
      </c>
      <c r="D325" s="112" t="s">
        <v>603</v>
      </c>
      <c r="E325" s="103"/>
      <c r="F325" s="104"/>
      <c r="G325" s="104"/>
      <c r="H325" s="104" t="s">
        <v>666</v>
      </c>
      <c r="I325" s="401" t="s">
        <v>1412</v>
      </c>
      <c r="J325" s="106" t="str">
        <f t="shared" si="55"/>
        <v/>
      </c>
      <c r="K325" s="107"/>
      <c r="L325" s="108" t="s">
        <v>668</v>
      </c>
      <c r="M325" s="109">
        <v>46144.0</v>
      </c>
      <c r="N325" s="109">
        <v>46146.0</v>
      </c>
      <c r="O325" s="191" t="s">
        <v>1314</v>
      </c>
      <c r="P325" s="108" t="s">
        <v>1458</v>
      </c>
      <c r="Q325" s="108"/>
      <c r="R325" s="108" t="s">
        <v>1459</v>
      </c>
      <c r="S325" s="659" t="s">
        <v>659</v>
      </c>
      <c r="T325" s="113">
        <v>46124.0</v>
      </c>
      <c r="U325" s="114" t="str">
        <f>IF(V325="","No AIS",VLOOKUP(V325,'Voyage days'!$A$3:$B$1480,2,FALSE))</f>
        <v>Japan + 6</v>
      </c>
      <c r="V325" s="115" t="str">
        <f>IF(VLOOKUP(A325,'1) Kpler'!$E$2:$P$1000,8, FALSE)="","",VLOOKUP(A325,'1) Kpler'!$E$2:$P$1000,8, FALSE))</f>
        <v>Sakai Mitsui Chemicals</v>
      </c>
      <c r="W325" s="116">
        <f>IF(VLOOKUP(A325,'1) Kpler'!$E$2:$P$1000,9,FALSE)="","",VLOOKUP(A325,'1) Kpler'!$E$2:$P$1000,9,FALSE))</f>
        <v>46138.66667</v>
      </c>
      <c r="X325" s="115" t="str">
        <f>VLOOKUP(A325,'1) Kpler'!$E$2:$I$1000,4,FALSE)</f>
        <v>loaded</v>
      </c>
      <c r="Y325" s="296" t="str">
        <f t="shared" si="43"/>
        <v>20-22 May</v>
      </c>
      <c r="Z325" s="296" t="str">
        <f t="shared" si="44"/>
        <v>03-05 Jun</v>
      </c>
      <c r="AA325" s="296" t="str">
        <f t="shared" si="45"/>
        <v>13-15 Jun</v>
      </c>
      <c r="AB325" s="296" t="str">
        <f t="shared" si="46"/>
        <v>01-03 Jun</v>
      </c>
      <c r="AC325" s="296" t="str">
        <f t="shared" si="47"/>
        <v>07-09 Jun</v>
      </c>
      <c r="AD325" s="296" t="str">
        <f t="shared" si="48"/>
        <v>10-12 May</v>
      </c>
      <c r="AE325" s="297" t="str">
        <f t="shared" si="49"/>
        <v>10-12 May</v>
      </c>
      <c r="AF325" s="119" t="str">
        <f t="shared" si="50"/>
        <v>17-19 Jun</v>
      </c>
      <c r="AG325" s="120" t="str">
        <f t="shared" si="51"/>
        <v>20-22 May</v>
      </c>
      <c r="AH325" s="121">
        <f>IFERROR($M325+VLOOKUP($L325,'Voyage days'!$F$38:$H$89,3,FALSE),"")</f>
        <v>46162</v>
      </c>
      <c r="AI325" s="121">
        <f>IFERROR(N325+VLOOKUP($L325,'Voyage days'!$F$38:$H$89,3,FALSE),"")</f>
        <v>46164</v>
      </c>
      <c r="AJ325" s="120" t="str">
        <f t="shared" si="28"/>
        <v>03-05 Jun</v>
      </c>
      <c r="AK325" s="121">
        <f>IFERROR($M325+VLOOKUP($L325,'Voyage days'!$F$94:$H$193,3,FALSE),"")</f>
        <v>46176</v>
      </c>
      <c r="AL325" s="121">
        <f>IFERROR($N325+VLOOKUP($L325,'Voyage days'!$F$94:$H$193,3,FALSE),"")</f>
        <v>46178</v>
      </c>
      <c r="AM325" s="120" t="str">
        <f t="shared" si="29"/>
        <v>13-15 Jun</v>
      </c>
      <c r="AN325" s="121">
        <f>IFERROR($M325+VLOOKUP($L325,'Voyage days'!$F$203:$H$256,3,FALSE),"")</f>
        <v>46186</v>
      </c>
      <c r="AO325" s="121">
        <f>IFERROR($N325+VLOOKUP($L325,'Voyage days'!$F$203:$H$256,3,FALSE),"")</f>
        <v>46188</v>
      </c>
      <c r="AP325" s="120" t="str">
        <f t="shared" si="30"/>
        <v>01-03 Jun</v>
      </c>
      <c r="AQ325" s="121">
        <f>IFERROR($M325+VLOOKUP($L325,'Voyage days'!$F$294:$H$377,3,FALSE),"")</f>
        <v>46174</v>
      </c>
      <c r="AR325" s="121">
        <f>IFERROR($N325+VLOOKUP($L325,'Voyage days'!$F$294:$H$377,3,FALSE),"")</f>
        <v>46176</v>
      </c>
      <c r="AS325" s="120" t="str">
        <f t="shared" si="31"/>
        <v>07-09 Jun</v>
      </c>
      <c r="AT325" s="121">
        <f>IFERROR($M325+VLOOKUP($L325,'Voyage days'!$F$382:$H$446,3,FALSE),"")</f>
        <v>46180</v>
      </c>
      <c r="AU325" s="121">
        <f>IFERROR($N325+VLOOKUP($L325,'Voyage days'!$F$382:$H$446,3,FALSE),"")</f>
        <v>46182</v>
      </c>
      <c r="AV325" s="120" t="str">
        <f t="shared" si="32"/>
        <v>15-17 May</v>
      </c>
      <c r="AW325" s="121">
        <f>IFERROR($M325+VLOOKUP($L325,'Voyage days'!$F$483:$H$538,3,FALSE),"")</f>
        <v>46157</v>
      </c>
      <c r="AX325" s="121">
        <f>IFERROR($N325+VLOOKUP($L325,'Voyage days'!$F$483:$H$538,3,FALSE),"")</f>
        <v>46159</v>
      </c>
      <c r="AY325" s="120" t="str">
        <f t="shared" si="33"/>
        <v>10-12 May</v>
      </c>
      <c r="AZ325" s="121">
        <f>IFERROR($M325+VLOOKUP($L325,'Voyage days'!$F$540:$H$613,3,FALSE),"")</f>
        <v>46152.25</v>
      </c>
      <c r="BA325" s="121">
        <f>IFERROR($N325+VLOOKUP($L325,'Voyage days'!$F$540:$H$613,3,FALSE),"")</f>
        <v>46154.25</v>
      </c>
      <c r="BB325" s="120" t="str">
        <f t="shared" si="34"/>
        <v>10-12 May</v>
      </c>
      <c r="BC325" s="121">
        <f>IFERROR($M325+VLOOKUP($L325,'Voyage days'!$F$448:$H$479,3,FALSE),"")</f>
        <v>46152</v>
      </c>
      <c r="BD325" s="121">
        <f>IFERROR($N325+VLOOKUP($L325,'Voyage days'!$F$448:$H$479,3,FALSE),"")</f>
        <v>46154</v>
      </c>
      <c r="BE325" s="120" t="str">
        <f t="shared" si="35"/>
        <v>13-15 May</v>
      </c>
      <c r="BF325" s="122">
        <f>IFERROR($M325+VLOOKUP($L325,'Voyage days'!$F$620:$H$646,3,FALSE),"")</f>
        <v>46155</v>
      </c>
      <c r="BG325" s="122">
        <f>IFERROR($N325+VLOOKUP($L325,'Voyage days'!$F$620:$H$646,3,FALSE),"")</f>
        <v>46157</v>
      </c>
      <c r="BH325" s="120" t="str">
        <f t="shared" si="36"/>
        <v>10-19 Jun</v>
      </c>
      <c r="BI325" s="123">
        <f>IFERROR($M325+VLOOKUP($L325,'Voyage days'!$F$702:$H$727,3,FALSE),"")</f>
        <v>46152.25</v>
      </c>
      <c r="BJ325" s="120" t="str">
        <f t="shared" si="37"/>
        <v>17-19 Jun</v>
      </c>
      <c r="BK325" s="122">
        <f>IFERROR($M325+VLOOKUP($L325,'Voyage days'!$F$807:$H$878,3,FALSE),"")</f>
        <v>46190</v>
      </c>
      <c r="BL325" s="122">
        <f>IFERROR($N325+VLOOKUP($L325,'Voyage days'!$F$807:$H$878,3,FALSE),"")</f>
        <v>46192</v>
      </c>
      <c r="BM325" s="122">
        <f>IFERROR($N325+VLOOKUP($L325,'Voyage days'!$F$807:$K$878,6,FALSE),"")</f>
        <v>46166</v>
      </c>
      <c r="BN325" s="121" t="str">
        <f>if(L325="loads AG", IFERROR($M325+VLOOKUP($L325,'Voyage days'!$M$38:$O$38,3,FALSE),""),"")</f>
        <v/>
      </c>
      <c r="BO325" s="121" t="str">
        <f>if(L325="loads USG", IFERROR($M325+VLOOKUP($L325,'Voyage days'!$L$203:$N$203,3,FALSE),""),"")</f>
        <v/>
      </c>
    </row>
    <row r="326" ht="15.75" customHeight="1">
      <c r="A326" s="406" t="s">
        <v>1460</v>
      </c>
      <c r="B326" s="148">
        <v>2023.0</v>
      </c>
      <c r="C326" s="102">
        <v>86000.0</v>
      </c>
      <c r="D326" s="112" t="s">
        <v>603</v>
      </c>
      <c r="E326" s="227" t="s">
        <v>706</v>
      </c>
      <c r="F326" s="104"/>
      <c r="G326" s="104"/>
      <c r="H326" s="104" t="s">
        <v>666</v>
      </c>
      <c r="I326" s="401" t="s">
        <v>1412</v>
      </c>
      <c r="J326" s="106" t="str">
        <f t="shared" si="55"/>
        <v>Update</v>
      </c>
      <c r="K326" s="107"/>
      <c r="L326" s="199" t="s">
        <v>680</v>
      </c>
      <c r="M326" s="109">
        <v>46125.0</v>
      </c>
      <c r="N326" s="109">
        <v>46126.0</v>
      </c>
      <c r="O326" s="191" t="s">
        <v>729</v>
      </c>
      <c r="P326" s="108" t="s">
        <v>1461</v>
      </c>
      <c r="Q326" s="187"/>
      <c r="R326" s="187" t="s">
        <v>1089</v>
      </c>
      <c r="S326" s="659" t="s">
        <v>659</v>
      </c>
      <c r="T326" s="113">
        <v>46124.0</v>
      </c>
      <c r="U326" s="114" t="str">
        <f>IF(V326="","No AIS",VLOOKUP(V326,'Voyage days'!$A$3:$B$1480,2,FALSE))</f>
        <v>Richards Bay</v>
      </c>
      <c r="V326" s="115" t="str">
        <f>IF(VLOOKUP(A326,'1) Kpler'!$E$2:$P$1000,8, FALSE)="","",VLOOKUP(A326,'1) Kpler'!$E$2:$P$1000,8, FALSE))</f>
        <v>Richards Bay</v>
      </c>
      <c r="W326" s="116">
        <f>IF(VLOOKUP(A326,'1) Kpler'!$E$2:$P$1000,9,FALSE)="","",VLOOKUP(A326,'1) Kpler'!$E$2:$P$1000,9,FALSE))</f>
        <v>46153.33333</v>
      </c>
      <c r="X326" s="115" t="str">
        <f>VLOOKUP(A326,'1) Kpler'!$E$2:$I$1000,4,FALSE)</f>
        <v>loaded</v>
      </c>
      <c r="Y326" s="160" t="str">
        <f t="shared" si="43"/>
        <v/>
      </c>
      <c r="Z326" s="160" t="str">
        <f t="shared" si="44"/>
        <v>13-14 Apr</v>
      </c>
      <c r="AA326" s="160" t="str">
        <f t="shared" si="45"/>
        <v>13-14 Apr</v>
      </c>
      <c r="AB326" s="160" t="str">
        <f t="shared" si="46"/>
        <v/>
      </c>
      <c r="AC326" s="160" t="str">
        <f t="shared" si="47"/>
        <v>03-04 May</v>
      </c>
      <c r="AD326" s="160" t="str">
        <f t="shared" si="48"/>
        <v/>
      </c>
      <c r="AE326" s="161" t="str">
        <f t="shared" si="49"/>
        <v/>
      </c>
      <c r="AF326" s="162" t="str">
        <f t="shared" si="50"/>
        <v/>
      </c>
      <c r="AG326" s="120" t="str">
        <f t="shared" si="51"/>
        <v/>
      </c>
      <c r="AH326" s="121" t="str">
        <f>IFERROR($M326+VLOOKUP($L326,'Voyage days'!$F$38:$H$89,3,FALSE),"")</f>
        <v/>
      </c>
      <c r="AI326" s="121" t="str">
        <f>IFERROR(N326+VLOOKUP($L326,'Voyage days'!$F$38:$H$89,3,FALSE),"")</f>
        <v/>
      </c>
      <c r="AJ326" s="120" t="str">
        <f t="shared" si="28"/>
        <v>13-14 Apr</v>
      </c>
      <c r="AK326" s="121">
        <f>IFERROR($M326+VLOOKUP($L326,'Voyage days'!$F$94:$H$193,3,FALSE),"")</f>
        <v>46125</v>
      </c>
      <c r="AL326" s="121">
        <f>IFERROR($N326+VLOOKUP($L326,'Voyage days'!$F$94:$H$193,3,FALSE),"")</f>
        <v>46126</v>
      </c>
      <c r="AM326" s="120" t="str">
        <f t="shared" si="29"/>
        <v>13-14 Apr</v>
      </c>
      <c r="AN326" s="121">
        <f>IFERROR($M326+VLOOKUP($L326,'Voyage days'!$F$203:$H$256,3,FALSE),"")</f>
        <v>46125</v>
      </c>
      <c r="AO326" s="121">
        <f>IFERROR($N326+VLOOKUP($L326,'Voyage days'!$F$203:$H$256,3,FALSE),"")</f>
        <v>46126</v>
      </c>
      <c r="AP326" s="120" t="str">
        <f t="shared" si="30"/>
        <v/>
      </c>
      <c r="AQ326" s="121" t="str">
        <f>IFERROR($M326+VLOOKUP($L326,'Voyage days'!$F$294:$H$377,3,FALSE),"")</f>
        <v/>
      </c>
      <c r="AR326" s="121" t="str">
        <f>IFERROR($N326+VLOOKUP($L326,'Voyage days'!$F$294:$H$377,3,FALSE),"")</f>
        <v/>
      </c>
      <c r="AS326" s="120" t="str">
        <f t="shared" si="31"/>
        <v>03-04 May</v>
      </c>
      <c r="AT326" s="121">
        <f>IFERROR($M326+VLOOKUP($L326,'Voyage days'!$F$382:$H$446,3,FALSE),"")</f>
        <v>46145</v>
      </c>
      <c r="AU326" s="121">
        <f>IFERROR($N326+VLOOKUP($L326,'Voyage days'!$F$382:$H$446,3,FALSE),"")</f>
        <v>46146</v>
      </c>
      <c r="AV326" s="120" t="str">
        <f t="shared" si="32"/>
        <v/>
      </c>
      <c r="AW326" s="121" t="str">
        <f>IFERROR($M326+VLOOKUP($L326,'Voyage days'!$F$483:$H$538,3,FALSE),"")</f>
        <v/>
      </c>
      <c r="AX326" s="121" t="str">
        <f>IFERROR($N326+VLOOKUP($L326,'Voyage days'!$F$483:$H$538,3,FALSE),"")</f>
        <v/>
      </c>
      <c r="AY326" s="120" t="str">
        <f t="shared" si="33"/>
        <v/>
      </c>
      <c r="AZ326" s="121" t="str">
        <f>IFERROR($M326+VLOOKUP($L326,'Voyage days'!$F$540:$H$613,3,FALSE),"")</f>
        <v/>
      </c>
      <c r="BA326" s="121" t="str">
        <f>IFERROR($N326+VLOOKUP($L326,'Voyage days'!$F$540:$H$613,3,FALSE),"")</f>
        <v/>
      </c>
      <c r="BB326" s="120" t="str">
        <f t="shared" si="34"/>
        <v/>
      </c>
      <c r="BC326" s="121" t="str">
        <f>IFERROR($M326+VLOOKUP($L326,'Voyage days'!$F$448:$H$479,3,FALSE),"")</f>
        <v/>
      </c>
      <c r="BD326" s="121" t="str">
        <f>IFERROR($N326+VLOOKUP($L326,'Voyage days'!$F$448:$H$479,3,FALSE),"")</f>
        <v/>
      </c>
      <c r="BE326" s="120" t="str">
        <f t="shared" si="35"/>
        <v/>
      </c>
      <c r="BF326" s="122" t="str">
        <f>IFERROR($M326+VLOOKUP($L326,'Voyage days'!$F$620:$H$646,3,FALSE),"")</f>
        <v/>
      </c>
      <c r="BG326" s="122" t="str">
        <f>IFERROR($N326+VLOOKUP($L326,'Voyage days'!$F$620:$H$646,3,FALSE),"")</f>
        <v/>
      </c>
      <c r="BH326" s="120" t="str">
        <f t="shared" si="36"/>
        <v/>
      </c>
      <c r="BI326" s="123" t="str">
        <f>IFERROR($M326+VLOOKUP($L326,'Voyage days'!$F$702:$H$727,3,FALSE),"")</f>
        <v/>
      </c>
      <c r="BJ326" s="120" t="str">
        <f t="shared" si="37"/>
        <v/>
      </c>
      <c r="BK326" s="122" t="str">
        <f>IFERROR($M326+VLOOKUP($L326,'Voyage days'!$F$807:$H$878,3,FALSE),"")</f>
        <v/>
      </c>
      <c r="BL326" s="122" t="str">
        <f>IFERROR($N326+VLOOKUP($L326,'Voyage days'!$F$807:$H$878,3,FALSE),"")</f>
        <v/>
      </c>
      <c r="BM326" s="122" t="str">
        <f>IFERROR($N326+VLOOKUP($L326,'Voyage days'!$F$807:$K$878,6,FALSE),"")</f>
        <v/>
      </c>
      <c r="BN326" s="121" t="str">
        <f>if(L326="loads AG", IFERROR($M326+VLOOKUP($L326,'Voyage days'!$M$38:$O$38,3,FALSE),""),"")</f>
        <v/>
      </c>
      <c r="BO326" s="121">
        <f>if(L326="loads USG", IFERROR($M326+VLOOKUP($L326,'Voyage days'!$L$203:$N$203,3,FALSE),""),"")</f>
        <v>46157</v>
      </c>
    </row>
    <row r="327" ht="15.75" customHeight="1">
      <c r="A327" s="406" t="s">
        <v>1462</v>
      </c>
      <c r="B327" s="148">
        <v>2023.0</v>
      </c>
      <c r="C327" s="102">
        <v>86000.0</v>
      </c>
      <c r="D327" s="112" t="s">
        <v>603</v>
      </c>
      <c r="E327" s="227" t="s">
        <v>706</v>
      </c>
      <c r="F327" s="104"/>
      <c r="G327" s="104"/>
      <c r="H327" s="104" t="s">
        <v>666</v>
      </c>
      <c r="I327" s="401" t="s">
        <v>1412</v>
      </c>
      <c r="J327" s="106" t="str">
        <f t="shared" si="55"/>
        <v/>
      </c>
      <c r="K327" s="107"/>
      <c r="L327" s="199" t="s">
        <v>663</v>
      </c>
      <c r="M327" s="109">
        <v>46147.0</v>
      </c>
      <c r="N327" s="109">
        <v>46148.0</v>
      </c>
      <c r="O327" s="191"/>
      <c r="P327" s="108" t="s">
        <v>1463</v>
      </c>
      <c r="Q327" s="108"/>
      <c r="R327" s="108" t="s">
        <v>1464</v>
      </c>
      <c r="S327" s="659" t="s">
        <v>659</v>
      </c>
      <c r="T327" s="113">
        <v>46124.0</v>
      </c>
      <c r="U327" s="114" t="str">
        <f>IF(V327="","No AIS",VLOOKUP(V327,'Voyage days'!$A$3:$B$1480,2,FALSE))</f>
        <v>East China + 4</v>
      </c>
      <c r="V327" s="115" t="str">
        <f>IF(VLOOKUP(A327,'1) Kpler'!$E$2:$P$1000,8, FALSE)="","",VLOOKUP(A327,'1) Kpler'!$E$2:$P$1000,8, FALSE))</f>
        <v>Ningbo Area</v>
      </c>
      <c r="W327" s="116">
        <f>IF(VLOOKUP(A327,'1) Kpler'!$E$2:$P$1000,9,FALSE)="","",VLOOKUP(A327,'1) Kpler'!$E$2:$P$1000,9,FALSE))</f>
        <v>46142.20833</v>
      </c>
      <c r="X327" s="115" t="str">
        <f>VLOOKUP(A327,'1) Kpler'!$E$2:$I$1000,4,FALSE)</f>
        <v>loaded</v>
      </c>
      <c r="Y327" s="296" t="str">
        <f t="shared" si="43"/>
        <v>22-23 May</v>
      </c>
      <c r="Z327" s="296" t="str">
        <f t="shared" si="44"/>
        <v>07-08 Jun</v>
      </c>
      <c r="AA327" s="296" t="str">
        <f t="shared" si="45"/>
        <v>18-19 Jun</v>
      </c>
      <c r="AB327" s="296" t="str">
        <f t="shared" si="46"/>
        <v>02-03 Jun</v>
      </c>
      <c r="AC327" s="296" t="str">
        <f t="shared" si="47"/>
        <v>09-10 Jun</v>
      </c>
      <c r="AD327" s="296" t="str">
        <f t="shared" si="48"/>
        <v>11-12 May</v>
      </c>
      <c r="AE327" s="297" t="str">
        <f t="shared" si="49"/>
        <v>12-13 May</v>
      </c>
      <c r="AF327" s="119" t="str">
        <f t="shared" si="50"/>
        <v>18-19 Jun</v>
      </c>
      <c r="AG327" s="120" t="str">
        <f t="shared" si="51"/>
        <v>22-23 May</v>
      </c>
      <c r="AH327" s="121">
        <f>IFERROR($M327+VLOOKUP($L327,'Voyage days'!$F$38:$H$89,3,FALSE),"")</f>
        <v>46164</v>
      </c>
      <c r="AI327" s="121">
        <f>IFERROR(N327+VLOOKUP($L327,'Voyage days'!$F$38:$H$89,3,FALSE),"")</f>
        <v>46165</v>
      </c>
      <c r="AJ327" s="120" t="str">
        <f t="shared" si="28"/>
        <v>07-08 Jun</v>
      </c>
      <c r="AK327" s="121">
        <f>IFERROR($M327+VLOOKUP($L327,'Voyage days'!$F$94:$H$193,3,FALSE),"")</f>
        <v>46180</v>
      </c>
      <c r="AL327" s="121">
        <f>IFERROR($N327+VLOOKUP($L327,'Voyage days'!$F$94:$H$193,3,FALSE),"")</f>
        <v>46181</v>
      </c>
      <c r="AM327" s="120" t="str">
        <f t="shared" si="29"/>
        <v>18-19 Jun</v>
      </c>
      <c r="AN327" s="121">
        <f>IFERROR($M327+VLOOKUP($L327,'Voyage days'!$F$203:$H$256,3,FALSE),"")</f>
        <v>46191</v>
      </c>
      <c r="AO327" s="121">
        <f>IFERROR($N327+VLOOKUP($L327,'Voyage days'!$F$203:$H$256,3,FALSE),"")</f>
        <v>46192</v>
      </c>
      <c r="AP327" s="120" t="str">
        <f t="shared" si="30"/>
        <v>02-03 Jun</v>
      </c>
      <c r="AQ327" s="121">
        <f>IFERROR($M327+VLOOKUP($L327,'Voyage days'!$F$294:$H$377,3,FALSE),"")</f>
        <v>46175</v>
      </c>
      <c r="AR327" s="121">
        <f>IFERROR($N327+VLOOKUP($L327,'Voyage days'!$F$294:$H$377,3,FALSE),"")</f>
        <v>46176</v>
      </c>
      <c r="AS327" s="120" t="str">
        <f t="shared" si="31"/>
        <v>09-10 Jun</v>
      </c>
      <c r="AT327" s="121">
        <f>IFERROR($M327+VLOOKUP($L327,'Voyage days'!$F$382:$H$446,3,FALSE),"")</f>
        <v>46182</v>
      </c>
      <c r="AU327" s="121">
        <f>IFERROR($N327+VLOOKUP($L327,'Voyage days'!$F$382:$H$446,3,FALSE),"")</f>
        <v>46183</v>
      </c>
      <c r="AV327" s="120" t="str">
        <f t="shared" si="32"/>
        <v>19-20 May</v>
      </c>
      <c r="AW327" s="121">
        <f>IFERROR($M327+VLOOKUP($L327,'Voyage days'!$F$483:$H$538,3,FALSE),"")</f>
        <v>46161</v>
      </c>
      <c r="AX327" s="121">
        <f>IFERROR($N327+VLOOKUP($L327,'Voyage days'!$F$483:$H$538,3,FALSE),"")</f>
        <v>46162</v>
      </c>
      <c r="AY327" s="120" t="str">
        <f t="shared" si="33"/>
        <v>12-13 May</v>
      </c>
      <c r="AZ327" s="121">
        <f>IFERROR($M327+VLOOKUP($L327,'Voyage days'!$F$540:$H$613,3,FALSE),"")</f>
        <v>46154.25</v>
      </c>
      <c r="BA327" s="121">
        <f>IFERROR($N327+VLOOKUP($L327,'Voyage days'!$F$540:$H$613,3,FALSE),"")</f>
        <v>46155.25</v>
      </c>
      <c r="BB327" s="120" t="str">
        <f t="shared" si="34"/>
        <v>11-12 May</v>
      </c>
      <c r="BC327" s="121">
        <f>IFERROR($M327+VLOOKUP($L327,'Voyage days'!$F$448:$H$479,3,FALSE),"")</f>
        <v>46153</v>
      </c>
      <c r="BD327" s="121">
        <f>IFERROR($N327+VLOOKUP($L327,'Voyage days'!$F$448:$H$479,3,FALSE),"")</f>
        <v>46154</v>
      </c>
      <c r="BE327" s="120" t="str">
        <f t="shared" si="35"/>
        <v>18-19 May</v>
      </c>
      <c r="BF327" s="122">
        <f>IFERROR($M327+VLOOKUP($L327,'Voyage days'!$F$620:$H$646,3,FALSE),"")</f>
        <v>46160</v>
      </c>
      <c r="BG327" s="122">
        <f>IFERROR($N327+VLOOKUP($L327,'Voyage days'!$F$620:$H$646,3,FALSE),"")</f>
        <v>46161</v>
      </c>
      <c r="BH327" s="120" t="str">
        <f t="shared" si="36"/>
        <v>12-19 Jun</v>
      </c>
      <c r="BI327" s="123">
        <f>IFERROR($M327+VLOOKUP($L327,'Voyage days'!$F$702:$H$727,3,FALSE),"")</f>
        <v>46154.25</v>
      </c>
      <c r="BJ327" s="120" t="str">
        <f t="shared" si="37"/>
        <v>18-19 Jun</v>
      </c>
      <c r="BK327" s="122">
        <f>IFERROR($M327+VLOOKUP($L327,'Voyage days'!$F$807:$H$878,3,FALSE),"")</f>
        <v>46191</v>
      </c>
      <c r="BL327" s="122">
        <f>IFERROR($N327+VLOOKUP($L327,'Voyage days'!$F$807:$H$878,3,FALSE),"")</f>
        <v>46192</v>
      </c>
      <c r="BM327" s="122">
        <f>IFERROR($N327+VLOOKUP($L327,'Voyage days'!$F$807:$K$878,6,FALSE),"")</f>
        <v>46166</v>
      </c>
      <c r="BN327" s="121" t="str">
        <f>if(L327="loads AG", IFERROR($M327+VLOOKUP($L327,'Voyage days'!$M$38:$O$38,3,FALSE),""),"")</f>
        <v/>
      </c>
      <c r="BO327" s="121" t="str">
        <f>if(L327="loads USG", IFERROR($M327+VLOOKUP($L327,'Voyage days'!$L$203:$N$203,3,FALSE),""),"")</f>
        <v/>
      </c>
    </row>
    <row r="328" ht="15.75" customHeight="1">
      <c r="A328" s="359" t="s">
        <v>531</v>
      </c>
      <c r="B328" s="222">
        <v>42389.0</v>
      </c>
      <c r="C328" s="166">
        <v>84000.0</v>
      </c>
      <c r="D328" s="112" t="s">
        <v>603</v>
      </c>
      <c r="E328" s="223"/>
      <c r="F328" s="168"/>
      <c r="G328" s="168"/>
      <c r="H328" s="168"/>
      <c r="I328" s="324" t="s">
        <v>1412</v>
      </c>
      <c r="J328" s="170" t="str">
        <f t="shared" si="55"/>
        <v/>
      </c>
      <c r="K328" s="171"/>
      <c r="L328" s="172" t="s">
        <v>680</v>
      </c>
      <c r="M328" s="173">
        <v>46157.0</v>
      </c>
      <c r="N328" s="173">
        <v>46158.0</v>
      </c>
      <c r="O328" s="226"/>
      <c r="P328" s="172" t="s">
        <v>834</v>
      </c>
      <c r="Q328" s="172"/>
      <c r="R328" s="172" t="s">
        <v>1465</v>
      </c>
      <c r="S328" s="175" t="s">
        <v>659</v>
      </c>
      <c r="T328" s="176">
        <v>46124.0</v>
      </c>
      <c r="U328" s="177" t="str">
        <f>IF(V328="","No AIS",VLOOKUP(V328,'Voyage days'!$A$3:$B$1480,2,FALSE))</f>
        <v>Panama</v>
      </c>
      <c r="V328" s="178" t="str">
        <f>IF(VLOOKUP(A328,'1) Kpler'!$E$2:$P$1000,8, FALSE)="","",VLOOKUP(A328,'1) Kpler'!$E$2:$P$1000,8, FALSE))</f>
        <v>Panama Canal</v>
      </c>
      <c r="W328" s="179">
        <f>IF(VLOOKUP(A328,'1) Kpler'!$E$2:$P$1000,9,FALSE)="","",VLOOKUP(A328,'1) Kpler'!$E$2:$P$1000,9,FALSE))</f>
        <v>46147.00069</v>
      </c>
      <c r="X328" s="178" t="str">
        <f>VLOOKUP(A328,'1) Kpler'!$E$2:$I$1000,4,FALSE)</f>
        <v>ballast</v>
      </c>
      <c r="Y328" s="575" t="str">
        <f t="shared" si="43"/>
        <v/>
      </c>
      <c r="Z328" s="575" t="str">
        <f t="shared" si="44"/>
        <v>15-16 May</v>
      </c>
      <c r="AA328" s="575" t="str">
        <f t="shared" si="45"/>
        <v>15-16 May</v>
      </c>
      <c r="AB328" s="575" t="str">
        <f t="shared" si="46"/>
        <v/>
      </c>
      <c r="AC328" s="575" t="str">
        <f t="shared" si="47"/>
        <v>04-05 Jun</v>
      </c>
      <c r="AD328" s="575" t="str">
        <f t="shared" si="48"/>
        <v/>
      </c>
      <c r="AE328" s="576" t="str">
        <f t="shared" si="49"/>
        <v/>
      </c>
      <c r="AF328" s="182" t="str">
        <f t="shared" si="50"/>
        <v/>
      </c>
      <c r="AG328" s="120" t="str">
        <f t="shared" si="51"/>
        <v/>
      </c>
      <c r="AH328" s="121" t="str">
        <f>IFERROR($M328+VLOOKUP($L328,'Voyage days'!$F$38:$H$89,3,FALSE),"")</f>
        <v/>
      </c>
      <c r="AI328" s="121" t="str">
        <f>IFERROR(N328+VLOOKUP($L328,'Voyage days'!$F$38:$H$89,3,FALSE),"")</f>
        <v/>
      </c>
      <c r="AJ328" s="120" t="str">
        <f t="shared" si="28"/>
        <v>15-16 May</v>
      </c>
      <c r="AK328" s="121">
        <f>IFERROR($M328+VLOOKUP($L328,'Voyage days'!$F$94:$H$193,3,FALSE),"")</f>
        <v>46157</v>
      </c>
      <c r="AL328" s="121">
        <f>IFERROR($N328+VLOOKUP($L328,'Voyage days'!$F$94:$H$193,3,FALSE),"")</f>
        <v>46158</v>
      </c>
      <c r="AM328" s="120" t="str">
        <f t="shared" si="29"/>
        <v>15-16 May</v>
      </c>
      <c r="AN328" s="121">
        <f>IFERROR($M328+VLOOKUP($L328,'Voyage days'!$F$203:$H$256,3,FALSE),"")</f>
        <v>46157</v>
      </c>
      <c r="AO328" s="121">
        <f>IFERROR($N328+VLOOKUP($L328,'Voyage days'!$F$203:$H$256,3,FALSE),"")</f>
        <v>46158</v>
      </c>
      <c r="AP328" s="120" t="str">
        <f t="shared" si="30"/>
        <v/>
      </c>
      <c r="AQ328" s="121" t="str">
        <f>IFERROR($M328+VLOOKUP($L328,'Voyage days'!$F$294:$H$377,3,FALSE),"")</f>
        <v/>
      </c>
      <c r="AR328" s="121" t="str">
        <f>IFERROR($N328+VLOOKUP($L328,'Voyage days'!$F$294:$H$377,3,FALSE),"")</f>
        <v/>
      </c>
      <c r="AS328" s="120" t="str">
        <f t="shared" si="31"/>
        <v>04-05 Jun</v>
      </c>
      <c r="AT328" s="121">
        <f>IFERROR($M328+VLOOKUP($L328,'Voyage days'!$F$382:$H$446,3,FALSE),"")</f>
        <v>46177</v>
      </c>
      <c r="AU328" s="121">
        <f>IFERROR($N328+VLOOKUP($L328,'Voyage days'!$F$382:$H$446,3,FALSE),"")</f>
        <v>46178</v>
      </c>
      <c r="AV328" s="120" t="str">
        <f t="shared" si="32"/>
        <v/>
      </c>
      <c r="AW328" s="121" t="str">
        <f>IFERROR($M328+VLOOKUP($L328,'Voyage days'!$F$483:$H$538,3,FALSE),"")</f>
        <v/>
      </c>
      <c r="AX328" s="121" t="str">
        <f>IFERROR($N328+VLOOKUP($L328,'Voyage days'!$F$483:$H$538,3,FALSE),"")</f>
        <v/>
      </c>
      <c r="AY328" s="120" t="str">
        <f t="shared" si="33"/>
        <v/>
      </c>
      <c r="AZ328" s="121" t="str">
        <f>IFERROR($M328+VLOOKUP($L328,'Voyage days'!$F$540:$H$613,3,FALSE),"")</f>
        <v/>
      </c>
      <c r="BA328" s="121" t="str">
        <f>IFERROR($N328+VLOOKUP($L328,'Voyage days'!$F$540:$H$613,3,FALSE),"")</f>
        <v/>
      </c>
      <c r="BB328" s="120" t="str">
        <f t="shared" si="34"/>
        <v/>
      </c>
      <c r="BC328" s="121" t="str">
        <f>IFERROR($M328+VLOOKUP($L328,'Voyage days'!$F$448:$H$479,3,FALSE),"")</f>
        <v/>
      </c>
      <c r="BD328" s="121" t="str">
        <f>IFERROR($N328+VLOOKUP($L328,'Voyage days'!$F$448:$H$479,3,FALSE),"")</f>
        <v/>
      </c>
      <c r="BE328" s="120" t="str">
        <f t="shared" si="35"/>
        <v/>
      </c>
      <c r="BF328" s="122" t="str">
        <f>IFERROR($M328+VLOOKUP($L328,'Voyage days'!$F$620:$H$646,3,FALSE),"")</f>
        <v/>
      </c>
      <c r="BG328" s="122" t="str">
        <f>IFERROR($N328+VLOOKUP($L328,'Voyage days'!$F$620:$H$646,3,FALSE),"")</f>
        <v/>
      </c>
      <c r="BH328" s="120" t="str">
        <f t="shared" si="36"/>
        <v/>
      </c>
      <c r="BI328" s="123" t="str">
        <f>IFERROR($M328+VLOOKUP($L328,'Voyage days'!$F$702:$H$727,3,FALSE),"")</f>
        <v/>
      </c>
      <c r="BJ328" s="120" t="str">
        <f t="shared" si="37"/>
        <v/>
      </c>
      <c r="BK328" s="122" t="str">
        <f>IFERROR($M328+VLOOKUP($L328,'Voyage days'!$F$807:$H$878,3,FALSE),"")</f>
        <v/>
      </c>
      <c r="BL328" s="122" t="str">
        <f>IFERROR($N328+VLOOKUP($L328,'Voyage days'!$F$807:$H$878,3,FALSE),"")</f>
        <v/>
      </c>
      <c r="BM328" s="122" t="str">
        <f>IFERROR($N328+VLOOKUP($L328,'Voyage days'!$F$807:$K$878,6,FALSE),"")</f>
        <v/>
      </c>
      <c r="BN328" s="121" t="str">
        <f>if(L328="loads AG", IFERROR($M328+VLOOKUP($L328,'Voyage days'!$M$38:$O$38,3,FALSE),""),"")</f>
        <v/>
      </c>
      <c r="BO328" s="121">
        <f>if(L328="loads USG", IFERROR($M328+VLOOKUP($L328,'Voyage days'!$L$203:$N$203,3,FALSE),""),"")</f>
        <v>46189</v>
      </c>
    </row>
    <row r="329" ht="15.75" customHeight="1">
      <c r="A329" s="515" t="s">
        <v>37</v>
      </c>
      <c r="B329" s="288">
        <v>39783.0</v>
      </c>
      <c r="C329" s="232">
        <v>82200.0</v>
      </c>
      <c r="D329" s="233"/>
      <c r="E329" s="233"/>
      <c r="F329" s="234"/>
      <c r="G329" s="234"/>
      <c r="H329" s="234"/>
      <c r="I329" s="578" t="s">
        <v>1466</v>
      </c>
      <c r="J329" s="236" t="str">
        <f t="shared" si="55"/>
        <v/>
      </c>
      <c r="K329" s="152"/>
      <c r="L329" s="235" t="s">
        <v>680</v>
      </c>
      <c r="M329" s="238">
        <v>46138.0</v>
      </c>
      <c r="N329" s="238">
        <v>46139.0</v>
      </c>
      <c r="O329" s="191"/>
      <c r="P329" s="108" t="s">
        <v>926</v>
      </c>
      <c r="Q329" s="687"/>
      <c r="R329" s="187" t="s">
        <v>1467</v>
      </c>
      <c r="S329" s="256" t="s">
        <v>659</v>
      </c>
      <c r="T329" s="113">
        <v>46124.0</v>
      </c>
      <c r="U329" s="114" t="str">
        <f>IF(V329="","No AIS",VLOOKUP(V329,'Voyage days'!$A$3:$B$1480,2,FALSE))</f>
        <v>USG</v>
      </c>
      <c r="V329" s="114" t="str">
        <f>IF(VLOOKUP(A329,'1) Kpler'!$E$2:$P$1000,8, FALSE)="","",VLOOKUP(A329,'1) Kpler'!$E$2:$P$1000,8, FALSE))</f>
        <v>Houston</v>
      </c>
      <c r="W329" s="159">
        <f>IF(VLOOKUP(A329,'1) Kpler'!$E$2:$P$1000,9,FALSE)="","",VLOOKUP(A329,'1) Kpler'!$E$2:$P$1000,9,FALSE))</f>
        <v>46138.125</v>
      </c>
      <c r="X329" s="114" t="str">
        <f>VLOOKUP(A329,'1) Kpler'!$E$2:$I$1000,4,FALSE)</f>
        <v>ballast</v>
      </c>
      <c r="Y329" s="272" t="str">
        <f t="shared" si="43"/>
        <v/>
      </c>
      <c r="Z329" s="272" t="str">
        <f t="shared" si="44"/>
        <v>26-27 Apr</v>
      </c>
      <c r="AA329" s="272" t="str">
        <f t="shared" si="45"/>
        <v>26-27 Apr</v>
      </c>
      <c r="AB329" s="272" t="str">
        <f t="shared" si="46"/>
        <v/>
      </c>
      <c r="AC329" s="272" t="str">
        <f t="shared" si="47"/>
        <v>16-17 May</v>
      </c>
      <c r="AD329" s="272" t="str">
        <f t="shared" si="48"/>
        <v/>
      </c>
      <c r="AE329" s="273" t="str">
        <f t="shared" si="49"/>
        <v/>
      </c>
      <c r="AF329" s="162" t="str">
        <f t="shared" si="50"/>
        <v/>
      </c>
      <c r="AG329" s="163" t="str">
        <f t="shared" si="51"/>
        <v/>
      </c>
      <c r="AH329" s="122" t="str">
        <f>IFERROR($M329+VLOOKUP($L329,'Voyage days'!$F$38:$H$89,3,FALSE),"")</f>
        <v/>
      </c>
      <c r="AI329" s="122" t="str">
        <f>IFERROR(N329+VLOOKUP($L329,'Voyage days'!$F$38:$H$89,3,FALSE),"")</f>
        <v/>
      </c>
      <c r="AJ329" s="163" t="str">
        <f t="shared" si="28"/>
        <v>26-27 Apr</v>
      </c>
      <c r="AK329" s="122">
        <f>IFERROR($M329+VLOOKUP($L329,'Voyage days'!$F$94:$H$193,3,FALSE),"")</f>
        <v>46138</v>
      </c>
      <c r="AL329" s="122">
        <f>IFERROR($N329+VLOOKUP($L329,'Voyage days'!$F$94:$H$193,3,FALSE),"")</f>
        <v>46139</v>
      </c>
      <c r="AM329" s="163" t="str">
        <f t="shared" si="29"/>
        <v>26-27 Apr</v>
      </c>
      <c r="AN329" s="122">
        <f>IFERROR($M329+VLOOKUP($L329,'Voyage days'!$F$203:$H$256,3,FALSE),"")</f>
        <v>46138</v>
      </c>
      <c r="AO329" s="122">
        <f>IFERROR($N329+VLOOKUP($L329,'Voyage days'!$F$203:$H$256,3,FALSE),"")</f>
        <v>46139</v>
      </c>
      <c r="AP329" s="163" t="str">
        <f t="shared" si="30"/>
        <v/>
      </c>
      <c r="AQ329" s="122" t="str">
        <f>IFERROR($M329+VLOOKUP($L329,'Voyage days'!$F$294:$H$377,3,FALSE),"")</f>
        <v/>
      </c>
      <c r="AR329" s="122" t="str">
        <f>IFERROR($N329+VLOOKUP($L329,'Voyage days'!$F$294:$H$377,3,FALSE),"")</f>
        <v/>
      </c>
      <c r="AS329" s="163" t="str">
        <f t="shared" si="31"/>
        <v>16-17 May</v>
      </c>
      <c r="AT329" s="122">
        <f>IFERROR($M329+VLOOKUP($L329,'Voyage days'!$F$382:$H$446,3,FALSE),"")</f>
        <v>46158</v>
      </c>
      <c r="AU329" s="122">
        <f>IFERROR($N329+VLOOKUP($L329,'Voyage days'!$F$382:$H$446,3,FALSE),"")</f>
        <v>46159</v>
      </c>
      <c r="AV329" s="163" t="str">
        <f t="shared" si="32"/>
        <v/>
      </c>
      <c r="AW329" s="122" t="str">
        <f>IFERROR($M329+VLOOKUP($L329,'Voyage days'!$F$483:$H$538,3,FALSE),"")</f>
        <v/>
      </c>
      <c r="AX329" s="122" t="str">
        <f>IFERROR($N329+VLOOKUP($L329,'Voyage days'!$F$483:$H$538,3,FALSE),"")</f>
        <v/>
      </c>
      <c r="AY329" s="163" t="str">
        <f t="shared" si="33"/>
        <v/>
      </c>
      <c r="AZ329" s="122" t="str">
        <f>IFERROR($M329+VLOOKUP($L329,'Voyage days'!$F$540:$H$613,3,FALSE),"")</f>
        <v/>
      </c>
      <c r="BA329" s="122" t="str">
        <f>IFERROR($N329+VLOOKUP($L329,'Voyage days'!$F$540:$H$613,3,FALSE),"")</f>
        <v/>
      </c>
      <c r="BB329" s="163" t="str">
        <f t="shared" si="34"/>
        <v/>
      </c>
      <c r="BC329" s="121" t="str">
        <f>IFERROR($M329+VLOOKUP($L329,'Voyage days'!$F$448:$H$479,3,FALSE),"")</f>
        <v/>
      </c>
      <c r="BD329" s="121" t="str">
        <f>IFERROR($N329+VLOOKUP($L329,'Voyage days'!$F$448:$H$479,3,FALSE),"")</f>
        <v/>
      </c>
      <c r="BE329" s="163" t="str">
        <f t="shared" si="35"/>
        <v/>
      </c>
      <c r="BF329" s="122" t="str">
        <f>IFERROR($M329+VLOOKUP($L329,'Voyage days'!$F$620:$H$646,3,FALSE),"")</f>
        <v/>
      </c>
      <c r="BG329" s="122" t="str">
        <f>IFERROR($N329+VLOOKUP($L329,'Voyage days'!$F$620:$H$646,3,FALSE),"")</f>
        <v/>
      </c>
      <c r="BH329" s="163" t="str">
        <f t="shared" si="36"/>
        <v/>
      </c>
      <c r="BI329" s="123" t="str">
        <f>IFERROR($M329+VLOOKUP($L329,'Voyage days'!$F$702:$H$727,3,FALSE),"")</f>
        <v/>
      </c>
      <c r="BJ329" s="163" t="str">
        <f t="shared" si="37"/>
        <v/>
      </c>
      <c r="BK329" s="122" t="str">
        <f>IFERROR($M329+VLOOKUP($L329,'Voyage days'!$F$807:$H$878,3,FALSE),"")</f>
        <v/>
      </c>
      <c r="BL329" s="122" t="str">
        <f>IFERROR($N329+VLOOKUP($L329,'Voyage days'!$F$807:$H$878,3,FALSE),"")</f>
        <v/>
      </c>
      <c r="BM329" s="122" t="str">
        <f>IFERROR($N329+VLOOKUP($L329,'Voyage days'!$F$807:$K$878,6,FALSE),"")</f>
        <v/>
      </c>
      <c r="BN329" s="121" t="str">
        <f>if(L329="loads AG", IFERROR($M329+VLOOKUP($L329,'Voyage days'!$M$38:$O$38,3,FALSE),""),"")</f>
        <v/>
      </c>
      <c r="BO329" s="121">
        <f>if(L329="loads USG", IFERROR($M329+VLOOKUP($L329,'Voyage days'!$L$203:$N$203,3,FALSE),""),"")</f>
        <v>46170</v>
      </c>
    </row>
    <row r="330" ht="15.75" customHeight="1">
      <c r="A330" s="676" t="s">
        <v>94</v>
      </c>
      <c r="B330" s="202">
        <v>2023.0</v>
      </c>
      <c r="C330" s="102">
        <v>91000.0</v>
      </c>
      <c r="D330" s="256" t="s">
        <v>603</v>
      </c>
      <c r="E330" s="256" t="s">
        <v>706</v>
      </c>
      <c r="F330" s="150"/>
      <c r="G330" s="150"/>
      <c r="H330" s="150" t="s">
        <v>666</v>
      </c>
      <c r="I330" s="315" t="s">
        <v>1466</v>
      </c>
      <c r="J330" s="151" t="str">
        <f t="shared" si="55"/>
        <v/>
      </c>
      <c r="K330" s="152"/>
      <c r="L330" s="153" t="s">
        <v>680</v>
      </c>
      <c r="M330" s="276">
        <v>46168.0</v>
      </c>
      <c r="N330" s="276">
        <v>46169.0</v>
      </c>
      <c r="O330" s="277"/>
      <c r="P330" s="153" t="s">
        <v>1468</v>
      </c>
      <c r="Q330" s="153"/>
      <c r="R330" s="153" t="s">
        <v>1469</v>
      </c>
      <c r="S330" s="256" t="s">
        <v>659</v>
      </c>
      <c r="T330" s="293">
        <v>46124.0</v>
      </c>
      <c r="U330" s="114" t="str">
        <f>IF(V330="","No AIS",VLOOKUP(V330,'Voyage days'!$A$3:$B$1480,2,FALSE))</f>
        <v>Singapore</v>
      </c>
      <c r="V330" s="114" t="str">
        <f>IF(VLOOKUP(A330,'1) Kpler'!$E$2:$P$1000,8, FALSE)="","",VLOOKUP(A330,'1) Kpler'!$E$2:$P$1000,8, FALSE))</f>
        <v>Singapore</v>
      </c>
      <c r="W330" s="159">
        <f>IF(VLOOKUP(A330,'1) Kpler'!$E$2:$P$1000,9,FALSE)="","",VLOOKUP(A330,'1) Kpler'!$E$2:$P$1000,9,FALSE))</f>
        <v>46133.66667</v>
      </c>
      <c r="X330" s="114" t="str">
        <f>VLOOKUP(A330,'1) Kpler'!$E$2:$I$1000,4,FALSE)</f>
        <v>ballast</v>
      </c>
      <c r="Y330" s="272" t="str">
        <f t="shared" si="43"/>
        <v/>
      </c>
      <c r="Z330" s="272" t="str">
        <f t="shared" si="44"/>
        <v>26-27 May</v>
      </c>
      <c r="AA330" s="272" t="str">
        <f t="shared" si="45"/>
        <v>26-27 May</v>
      </c>
      <c r="AB330" s="272" t="str">
        <f t="shared" si="46"/>
        <v/>
      </c>
      <c r="AC330" s="272" t="str">
        <f t="shared" si="47"/>
        <v>15-16 Jun</v>
      </c>
      <c r="AD330" s="272" t="str">
        <f t="shared" si="48"/>
        <v/>
      </c>
      <c r="AE330" s="273" t="str">
        <f t="shared" si="49"/>
        <v/>
      </c>
      <c r="AF330" s="162" t="str">
        <f t="shared" si="50"/>
        <v/>
      </c>
      <c r="AG330" s="163" t="str">
        <f t="shared" si="51"/>
        <v/>
      </c>
      <c r="AH330" s="122" t="str">
        <f>IFERROR($M330+VLOOKUP($L330,'Voyage days'!$F$38:$H$89,3,FALSE),"")</f>
        <v/>
      </c>
      <c r="AI330" s="122" t="str">
        <f>IFERROR(N330+VLOOKUP($L330,'Voyage days'!$F$38:$H$89,3,FALSE),"")</f>
        <v/>
      </c>
      <c r="AJ330" s="163" t="str">
        <f t="shared" si="28"/>
        <v>26-27 May</v>
      </c>
      <c r="AK330" s="122">
        <f>IFERROR($M330+VLOOKUP($L330,'Voyage days'!$F$94:$H$193,3,FALSE),"")</f>
        <v>46168</v>
      </c>
      <c r="AL330" s="122">
        <f>IFERROR($N330+VLOOKUP($L330,'Voyage days'!$F$94:$H$193,3,FALSE),"")</f>
        <v>46169</v>
      </c>
      <c r="AM330" s="163" t="str">
        <f t="shared" si="29"/>
        <v>26-27 May</v>
      </c>
      <c r="AN330" s="122">
        <f>IFERROR($M330+VLOOKUP($L330,'Voyage days'!$F$203:$H$256,3,FALSE),"")</f>
        <v>46168</v>
      </c>
      <c r="AO330" s="122">
        <f>IFERROR($N330+VLOOKUP($L330,'Voyage days'!$F$203:$H$256,3,FALSE),"")</f>
        <v>46169</v>
      </c>
      <c r="AP330" s="163" t="str">
        <f t="shared" si="30"/>
        <v/>
      </c>
      <c r="AQ330" s="122" t="str">
        <f>IFERROR($M330+VLOOKUP($L330,'Voyage days'!$F$294:$H$377,3,FALSE),"")</f>
        <v/>
      </c>
      <c r="AR330" s="122" t="str">
        <f>IFERROR($N330+VLOOKUP($L330,'Voyage days'!$F$294:$H$377,3,FALSE),"")</f>
        <v/>
      </c>
      <c r="AS330" s="163" t="str">
        <f t="shared" si="31"/>
        <v>15-16 Jun</v>
      </c>
      <c r="AT330" s="122">
        <f>IFERROR($M330+VLOOKUP($L330,'Voyage days'!$F$382:$H$446,3,FALSE),"")</f>
        <v>46188</v>
      </c>
      <c r="AU330" s="122">
        <f>IFERROR($N330+VLOOKUP($L330,'Voyage days'!$F$382:$H$446,3,FALSE),"")</f>
        <v>46189</v>
      </c>
      <c r="AV330" s="163" t="str">
        <f t="shared" si="32"/>
        <v/>
      </c>
      <c r="AW330" s="122" t="str">
        <f>IFERROR($M330+VLOOKUP($L330,'Voyage days'!$F$483:$H$538,3,FALSE),"")</f>
        <v/>
      </c>
      <c r="AX330" s="122" t="str">
        <f>IFERROR($N330+VLOOKUP($L330,'Voyage days'!$F$483:$H$538,3,FALSE),"")</f>
        <v/>
      </c>
      <c r="AY330" s="163" t="str">
        <f t="shared" si="33"/>
        <v/>
      </c>
      <c r="AZ330" s="122" t="str">
        <f>IFERROR($M330+VLOOKUP($L330,'Voyage days'!$F$540:$H$613,3,FALSE),"")</f>
        <v/>
      </c>
      <c r="BA330" s="122" t="str">
        <f>IFERROR($N330+VLOOKUP($L330,'Voyage days'!$F$540:$H$613,3,FALSE),"")</f>
        <v/>
      </c>
      <c r="BB330" s="163" t="str">
        <f t="shared" si="34"/>
        <v/>
      </c>
      <c r="BC330" s="122" t="str">
        <f>IFERROR($M330+VLOOKUP($L330,'Voyage days'!$F$448:$H$479,3,FALSE),"")</f>
        <v/>
      </c>
      <c r="BD330" s="122" t="str">
        <f>IFERROR($N330+VLOOKUP($L330,'Voyage days'!$F$448:$H$479,3,FALSE),"")</f>
        <v/>
      </c>
      <c r="BE330" s="163" t="str">
        <f t="shared" si="35"/>
        <v/>
      </c>
      <c r="BF330" s="122" t="str">
        <f>IFERROR($M330+VLOOKUP($L330,'Voyage days'!$F$620:$H$646,3,FALSE),"")</f>
        <v/>
      </c>
      <c r="BG330" s="122" t="str">
        <f>IFERROR($N330+VLOOKUP($L330,'Voyage days'!$F$620:$H$646,3,FALSE),"")</f>
        <v/>
      </c>
      <c r="BH330" s="163" t="str">
        <f t="shared" si="36"/>
        <v/>
      </c>
      <c r="BI330" s="123" t="str">
        <f>IFERROR($M330+VLOOKUP($L330,'Voyage days'!$F$702:$H$727,3,FALSE),"")</f>
        <v/>
      </c>
      <c r="BJ330" s="163" t="str">
        <f t="shared" si="37"/>
        <v/>
      </c>
      <c r="BK330" s="122" t="str">
        <f>IFERROR($M330+VLOOKUP($L330,'Voyage days'!$F$807:$H$878,3,FALSE),"")</f>
        <v/>
      </c>
      <c r="BL330" s="122" t="str">
        <f>IFERROR($N330+VLOOKUP($L330,'Voyage days'!$F$807:$H$878,3,FALSE),"")</f>
        <v/>
      </c>
      <c r="BM330" s="122" t="str">
        <f>IFERROR($N330+VLOOKUP($L330,'Voyage days'!$F$807:$K$878,6,FALSE),"")</f>
        <v/>
      </c>
      <c r="BN330" s="122" t="str">
        <f>if(L330="loads AG", IFERROR($M330+VLOOKUP($L330,'Voyage days'!$M$38:$O$38,3,FALSE),""),"")</f>
        <v/>
      </c>
      <c r="BO330" s="122">
        <f>if(L330="loads USG", IFERROR($M330+VLOOKUP($L330,'Voyage days'!$L$203:$N$203,3,FALSE),""),"")</f>
        <v>46200</v>
      </c>
    </row>
    <row r="331" ht="15.75" customHeight="1">
      <c r="A331" s="430" t="s">
        <v>262</v>
      </c>
      <c r="B331" s="148">
        <v>2020.0</v>
      </c>
      <c r="C331" s="102">
        <v>84000.0</v>
      </c>
      <c r="D331" s="195"/>
      <c r="E331" s="195"/>
      <c r="F331" s="104"/>
      <c r="G331" s="104"/>
      <c r="H331" s="104"/>
      <c r="I331" s="401" t="s">
        <v>1466</v>
      </c>
      <c r="J331" s="106" t="str">
        <f t="shared" si="55"/>
        <v>Update</v>
      </c>
      <c r="K331" s="107"/>
      <c r="L331" s="108" t="s">
        <v>1039</v>
      </c>
      <c r="M331" s="109">
        <v>46129.0</v>
      </c>
      <c r="N331" s="109">
        <v>46130.0</v>
      </c>
      <c r="O331" s="191"/>
      <c r="P331" s="108" t="s">
        <v>1470</v>
      </c>
      <c r="Q331" s="187"/>
      <c r="R331" s="187" t="s">
        <v>1471</v>
      </c>
      <c r="S331" s="256" t="s">
        <v>659</v>
      </c>
      <c r="T331" s="293">
        <v>46124.0</v>
      </c>
      <c r="U331" s="114" t="str">
        <f>IF(V331="","No AIS",VLOOKUP(V331,'Voyage days'!$A$3:$B$1480,2,FALSE))</f>
        <v>AG</v>
      </c>
      <c r="V331" s="115" t="str">
        <f>IF(VLOOKUP(A331,'1) Kpler'!$E$2:$P$1000,8, FALSE)="","",VLOOKUP(A331,'1) Kpler'!$E$2:$P$1000,8, FALSE))</f>
        <v>Fujairah</v>
      </c>
      <c r="W331" s="116">
        <f>IF(VLOOKUP(A331,'1) Kpler'!$E$2:$P$1000,9,FALSE)="","",VLOOKUP(A331,'1) Kpler'!$E$2:$P$1000,9,FALSE))</f>
        <v>46132.5</v>
      </c>
      <c r="X331" s="115" t="str">
        <f>VLOOKUP(A331,'1) Kpler'!$E$2:$I$1000,4,FALSE)</f>
        <v>ballast</v>
      </c>
      <c r="Y331" s="296" t="str">
        <f t="shared" si="43"/>
        <v/>
      </c>
      <c r="Z331" s="688" t="str">
        <f t="shared" si="44"/>
        <v/>
      </c>
      <c r="AA331" s="688" t="str">
        <f t="shared" si="45"/>
        <v/>
      </c>
      <c r="AB331" s="296" t="str">
        <f t="shared" si="46"/>
        <v/>
      </c>
      <c r="AC331" s="296" t="str">
        <f t="shared" si="47"/>
        <v>30-01 May</v>
      </c>
      <c r="AD331" s="296" t="str">
        <f t="shared" si="48"/>
        <v/>
      </c>
      <c r="AE331" s="297" t="str">
        <f t="shared" si="49"/>
        <v/>
      </c>
      <c r="AF331" s="119" t="str">
        <f t="shared" si="50"/>
        <v/>
      </c>
      <c r="AG331" s="120" t="str">
        <f t="shared" si="51"/>
        <v/>
      </c>
      <c r="AH331" s="121" t="str">
        <f>IFERROR($M331+VLOOKUP($L331,'Voyage days'!$F$38:$H$89,3,FALSE),"")</f>
        <v/>
      </c>
      <c r="AI331" s="121" t="str">
        <f>IFERROR(N331+VLOOKUP($L331,'Voyage days'!$F$38:$H$89,3,FALSE),"")</f>
        <v/>
      </c>
      <c r="AJ331" s="120" t="str">
        <f t="shared" si="28"/>
        <v/>
      </c>
      <c r="AK331" s="121" t="str">
        <f>IFERROR($M331+VLOOKUP($L331,'Voyage days'!$F$94:$H$193,3,FALSE),"")</f>
        <v/>
      </c>
      <c r="AL331" s="121" t="str">
        <f>IFERROR($N331+VLOOKUP($L331,'Voyage days'!$F$94:$H$193,3,FALSE),"")</f>
        <v/>
      </c>
      <c r="AM331" s="120" t="str">
        <f t="shared" si="29"/>
        <v/>
      </c>
      <c r="AN331" s="121" t="str">
        <f>IFERROR($M331+VLOOKUP($L331,'Voyage days'!$F$203:$H$256,3,FALSE),"")</f>
        <v/>
      </c>
      <c r="AO331" s="121" t="str">
        <f>IFERROR($N331+VLOOKUP($L331,'Voyage days'!$F$203:$H$256,3,FALSE),"")</f>
        <v/>
      </c>
      <c r="AP331" s="120" t="str">
        <f t="shared" si="30"/>
        <v/>
      </c>
      <c r="AQ331" s="121" t="str">
        <f>IFERROR($M331+VLOOKUP($L331,'Voyage days'!$F$294:$H$377,3,FALSE),"")</f>
        <v/>
      </c>
      <c r="AR331" s="121" t="str">
        <f>IFERROR($N331+VLOOKUP($L331,'Voyage days'!$F$294:$H$377,3,FALSE),"")</f>
        <v/>
      </c>
      <c r="AS331" s="120" t="str">
        <f t="shared" si="31"/>
        <v>30-01 May</v>
      </c>
      <c r="AT331" s="121">
        <f>IFERROR($M331+VLOOKUP($L331,'Voyage days'!$F$382:$H$446,3,FALSE),"")</f>
        <v>46142</v>
      </c>
      <c r="AU331" s="121">
        <f>IFERROR($N331+VLOOKUP($L331,'Voyage days'!$F$382:$H$446,3,FALSE),"")</f>
        <v>46143</v>
      </c>
      <c r="AV331" s="120" t="str">
        <f t="shared" si="32"/>
        <v/>
      </c>
      <c r="AW331" s="121" t="str">
        <f>IFERROR($M331+VLOOKUP($L331,'Voyage days'!$F$483:$H$538,3,FALSE),"")</f>
        <v/>
      </c>
      <c r="AX331" s="121" t="str">
        <f>IFERROR($N331+VLOOKUP($L331,'Voyage days'!$F$483:$H$538,3,FALSE),"")</f>
        <v/>
      </c>
      <c r="AY331" s="120" t="str">
        <f t="shared" si="33"/>
        <v/>
      </c>
      <c r="AZ331" s="121" t="str">
        <f>IFERROR($M331+VLOOKUP($L331,'Voyage days'!$F$540:$H$613,3,FALSE),"")</f>
        <v/>
      </c>
      <c r="BA331" s="121" t="str">
        <f>IFERROR($N331+VLOOKUP($L331,'Voyage days'!$F$540:$H$613,3,FALSE),"")</f>
        <v/>
      </c>
      <c r="BB331" s="120" t="str">
        <f t="shared" si="34"/>
        <v/>
      </c>
      <c r="BC331" s="121" t="str">
        <f>IFERROR($M331+VLOOKUP($L331,'Voyage days'!$F$448:$H$479,3,FALSE),"")</f>
        <v/>
      </c>
      <c r="BD331" s="121" t="str">
        <f>IFERROR($N331+VLOOKUP($L331,'Voyage days'!$F$448:$H$479,3,FALSE),"")</f>
        <v/>
      </c>
      <c r="BE331" s="120" t="str">
        <f t="shared" si="35"/>
        <v/>
      </c>
      <c r="BF331" s="122" t="str">
        <f>IFERROR($M331+VLOOKUP($L331,'Voyage days'!$F$620:$H$646,3,FALSE),"")</f>
        <v/>
      </c>
      <c r="BG331" s="122" t="str">
        <f>IFERROR($N331+VLOOKUP($L331,'Voyage days'!$F$620:$H$646,3,FALSE),"")</f>
        <v/>
      </c>
      <c r="BH331" s="120" t="str">
        <f t="shared" si="36"/>
        <v/>
      </c>
      <c r="BI331" s="123" t="str">
        <f>IFERROR($M331+VLOOKUP($L331,'Voyage days'!$F$702:$H$727,3,FALSE),"")</f>
        <v/>
      </c>
      <c r="BJ331" s="120" t="str">
        <f t="shared" si="37"/>
        <v/>
      </c>
      <c r="BK331" s="122" t="str">
        <f>IFERROR($M331+VLOOKUP($L331,'Voyage days'!$F$807:$H$878,3,FALSE),"")</f>
        <v/>
      </c>
      <c r="BL331" s="122" t="str">
        <f>IFERROR($N331+VLOOKUP($L331,'Voyage days'!$F$807:$H$878,3,FALSE),"")</f>
        <v/>
      </c>
      <c r="BM331" s="122" t="str">
        <f>IFERROR($N331+VLOOKUP($L331,'Voyage days'!$F$807:$K$878,6,FALSE),"")</f>
        <v/>
      </c>
      <c r="BN331" s="121" t="str">
        <f>if(L331="loads AG", IFERROR($M331+VLOOKUP($L331,'Voyage days'!$M$38:$O$38,3,FALSE),""),"")</f>
        <v/>
      </c>
      <c r="BO331" s="121" t="str">
        <f>if(L331="loads USG", IFERROR($M331+VLOOKUP($L331,'Voyage days'!$L$203:$N$203,3,FALSE),""),"")</f>
        <v/>
      </c>
    </row>
    <row r="332" ht="15.75" customHeight="1">
      <c r="A332" s="80" t="s">
        <v>263</v>
      </c>
      <c r="B332" s="148">
        <v>2007.0</v>
      </c>
      <c r="C332" s="203">
        <v>82000.0</v>
      </c>
      <c r="D332" s="620"/>
      <c r="E332" s="620"/>
      <c r="F332" s="104"/>
      <c r="G332" s="104"/>
      <c r="H332" s="104"/>
      <c r="I332" s="295" t="s">
        <v>1466</v>
      </c>
      <c r="J332" s="106" t="str">
        <f t="shared" si="55"/>
        <v/>
      </c>
      <c r="K332" s="107"/>
      <c r="L332" s="187" t="s">
        <v>1039</v>
      </c>
      <c r="M332" s="109">
        <v>46132.0</v>
      </c>
      <c r="N332" s="109">
        <v>46133.0</v>
      </c>
      <c r="O332" s="191" t="s">
        <v>1448</v>
      </c>
      <c r="P332" s="187" t="s">
        <v>1472</v>
      </c>
      <c r="Q332" s="187"/>
      <c r="R332" s="187" t="s">
        <v>1473</v>
      </c>
      <c r="S332" s="256" t="s">
        <v>659</v>
      </c>
      <c r="T332" s="293">
        <v>46124.0</v>
      </c>
      <c r="U332" s="114" t="str">
        <f>IF(V332="","No AIS",VLOOKUP(V332,'Voyage days'!$A$3:$B$1480,2,FALSE))</f>
        <v>AG</v>
      </c>
      <c r="V332" s="115" t="str">
        <f>IF(VLOOKUP(A332,'1) Kpler'!$E$2:$P$1000,8, FALSE)="","",VLOOKUP(A332,'1) Kpler'!$E$2:$P$1000,8, FALSE))</f>
        <v>Fujairah</v>
      </c>
      <c r="W332" s="116">
        <f>IF(VLOOKUP(A332,'1) Kpler'!$E$2:$P$1000,9,FALSE)="","",VLOOKUP(A332,'1) Kpler'!$E$2:$P$1000,9,FALSE))</f>
        <v>46132.20833</v>
      </c>
      <c r="X332" s="115" t="str">
        <f>VLOOKUP(A332,'1) Kpler'!$E$2:$I$1000,4,FALSE)</f>
        <v>ballast</v>
      </c>
      <c r="Y332" s="160" t="str">
        <f t="shared" si="43"/>
        <v/>
      </c>
      <c r="Z332" s="689" t="str">
        <f t="shared" si="44"/>
        <v/>
      </c>
      <c r="AA332" s="689" t="str">
        <f t="shared" si="45"/>
        <v/>
      </c>
      <c r="AB332" s="160" t="str">
        <f t="shared" si="46"/>
        <v/>
      </c>
      <c r="AC332" s="160" t="str">
        <f t="shared" si="47"/>
        <v>03-04 May</v>
      </c>
      <c r="AD332" s="160" t="str">
        <f t="shared" si="48"/>
        <v/>
      </c>
      <c r="AE332" s="161" t="str">
        <f t="shared" si="49"/>
        <v/>
      </c>
      <c r="AF332" s="162" t="str">
        <f t="shared" si="50"/>
        <v/>
      </c>
      <c r="AG332" s="120" t="str">
        <f t="shared" si="51"/>
        <v/>
      </c>
      <c r="AH332" s="121" t="str">
        <f>IFERROR($M332+VLOOKUP($L332,'Voyage days'!$F$38:$H$89,3,FALSE),"")</f>
        <v/>
      </c>
      <c r="AI332" s="121" t="str">
        <f>IFERROR(N332+VLOOKUP($L332,'Voyage days'!$F$38:$H$89,3,FALSE),"")</f>
        <v/>
      </c>
      <c r="AJ332" s="120" t="str">
        <f t="shared" si="28"/>
        <v/>
      </c>
      <c r="AK332" s="121" t="str">
        <f>IFERROR($M332+VLOOKUP($L332,'Voyage days'!$F$94:$H$193,3,FALSE),"")</f>
        <v/>
      </c>
      <c r="AL332" s="121" t="str">
        <f>IFERROR($N332+VLOOKUP($L332,'Voyage days'!$F$94:$H$193,3,FALSE),"")</f>
        <v/>
      </c>
      <c r="AM332" s="120" t="str">
        <f t="shared" si="29"/>
        <v/>
      </c>
      <c r="AN332" s="121" t="str">
        <f>IFERROR($M332+VLOOKUP($L332,'Voyage days'!$F$203:$H$256,3,FALSE),"")</f>
        <v/>
      </c>
      <c r="AO332" s="121" t="str">
        <f>IFERROR($N332+VLOOKUP($L332,'Voyage days'!$F$203:$H$256,3,FALSE),"")</f>
        <v/>
      </c>
      <c r="AP332" s="120" t="str">
        <f t="shared" si="30"/>
        <v/>
      </c>
      <c r="AQ332" s="121" t="str">
        <f>IFERROR($M332+VLOOKUP($L332,'Voyage days'!$F$294:$H$377,3,FALSE),"")</f>
        <v/>
      </c>
      <c r="AR332" s="121" t="str">
        <f>IFERROR($N332+VLOOKUP($L332,'Voyage days'!$F$294:$H$377,3,FALSE),"")</f>
        <v/>
      </c>
      <c r="AS332" s="120" t="str">
        <f t="shared" si="31"/>
        <v>03-04 May</v>
      </c>
      <c r="AT332" s="121">
        <f>IFERROR($M332+VLOOKUP($L332,'Voyage days'!$F$382:$H$446,3,FALSE),"")</f>
        <v>46145</v>
      </c>
      <c r="AU332" s="121">
        <f>IFERROR($N332+VLOOKUP($L332,'Voyage days'!$F$382:$H$446,3,FALSE),"")</f>
        <v>46146</v>
      </c>
      <c r="AV332" s="120" t="str">
        <f t="shared" si="32"/>
        <v/>
      </c>
      <c r="AW332" s="121" t="str">
        <f>IFERROR($M332+VLOOKUP($L332,'Voyage days'!$F$483:$H$538,3,FALSE),"")</f>
        <v/>
      </c>
      <c r="AX332" s="121" t="str">
        <f>IFERROR($N332+VLOOKUP($L332,'Voyage days'!$F$483:$H$538,3,FALSE),"")</f>
        <v/>
      </c>
      <c r="AY332" s="120" t="str">
        <f t="shared" si="33"/>
        <v/>
      </c>
      <c r="AZ332" s="121" t="str">
        <f>IFERROR($M332+VLOOKUP($L332,'Voyage days'!$F$540:$H$613,3,FALSE),"")</f>
        <v/>
      </c>
      <c r="BA332" s="121" t="str">
        <f>IFERROR($N332+VLOOKUP($L332,'Voyage days'!$F$540:$H$613,3,FALSE),"")</f>
        <v/>
      </c>
      <c r="BB332" s="120" t="str">
        <f t="shared" si="34"/>
        <v/>
      </c>
      <c r="BC332" s="121" t="str">
        <f>IFERROR($M332+VLOOKUP($L332,'Voyage days'!$F$448:$H$479,3,FALSE),"")</f>
        <v/>
      </c>
      <c r="BD332" s="121" t="str">
        <f>IFERROR($N332+VLOOKUP($L332,'Voyage days'!$F$448:$H$479,3,FALSE),"")</f>
        <v/>
      </c>
      <c r="BE332" s="120" t="str">
        <f t="shared" si="35"/>
        <v/>
      </c>
      <c r="BF332" s="122" t="str">
        <f>IFERROR($M332+VLOOKUP($L332,'Voyage days'!$F$620:$H$646,3,FALSE),"")</f>
        <v/>
      </c>
      <c r="BG332" s="122" t="str">
        <f>IFERROR($N332+VLOOKUP($L332,'Voyage days'!$F$620:$H$646,3,FALSE),"")</f>
        <v/>
      </c>
      <c r="BH332" s="120" t="str">
        <f t="shared" si="36"/>
        <v/>
      </c>
      <c r="BI332" s="123" t="str">
        <f>IFERROR($M332+VLOOKUP($L332,'Voyage days'!$F$702:$H$727,3,FALSE),"")</f>
        <v/>
      </c>
      <c r="BJ332" s="120" t="str">
        <f t="shared" si="37"/>
        <v/>
      </c>
      <c r="BK332" s="122" t="str">
        <f>IFERROR($M332+VLOOKUP($L332,'Voyage days'!$F$807:$H$878,3,FALSE),"")</f>
        <v/>
      </c>
      <c r="BL332" s="122" t="str">
        <f>IFERROR($N332+VLOOKUP($L332,'Voyage days'!$F$807:$H$878,3,FALSE),"")</f>
        <v/>
      </c>
      <c r="BM332" s="122" t="str">
        <f>IFERROR($N332+VLOOKUP($L332,'Voyage days'!$F$807:$K$878,6,FALSE),"")</f>
        <v/>
      </c>
      <c r="BN332" s="121" t="str">
        <f>if(L332="loads AG", IFERROR($M332+VLOOKUP($L332,'Voyage days'!$M$38:$O$38,3,FALSE),""),"")</f>
        <v/>
      </c>
      <c r="BO332" s="121" t="str">
        <f>if(L332="loads USG", IFERROR($M332+VLOOKUP($L332,'Voyage days'!$L$203:$N$203,3,FALSE),""),"")</f>
        <v/>
      </c>
    </row>
    <row r="333" ht="15.75" customHeight="1">
      <c r="A333" s="341" t="s">
        <v>264</v>
      </c>
      <c r="B333" s="148">
        <v>2019.0</v>
      </c>
      <c r="C333" s="102">
        <v>84000.0</v>
      </c>
      <c r="D333" s="195"/>
      <c r="E333" s="195"/>
      <c r="F333" s="104"/>
      <c r="G333" s="104"/>
      <c r="H333" s="104"/>
      <c r="I333" s="401" t="s">
        <v>1466</v>
      </c>
      <c r="J333" s="106" t="str">
        <f t="shared" si="55"/>
        <v>Update</v>
      </c>
      <c r="K333" s="107"/>
      <c r="L333" s="187" t="s">
        <v>211</v>
      </c>
      <c r="M333" s="109">
        <v>46124.0</v>
      </c>
      <c r="N333" s="109">
        <v>46125.0</v>
      </c>
      <c r="O333" s="191" t="s">
        <v>1448</v>
      </c>
      <c r="P333" s="108" t="s">
        <v>1474</v>
      </c>
      <c r="Q333" s="108"/>
      <c r="R333" s="108" t="s">
        <v>1475</v>
      </c>
      <c r="S333" s="256" t="s">
        <v>659</v>
      </c>
      <c r="T333" s="293">
        <v>46124.0</v>
      </c>
      <c r="U333" s="114" t="str">
        <f>IF(V333="","No AIS",VLOOKUP(V333,'Voyage days'!$A$3:$B$1480,2,FALSE))</f>
        <v>AG</v>
      </c>
      <c r="V333" s="115" t="str">
        <f>IF(VLOOKUP(A333,'1) Kpler'!$E$2:$P$1000,8, FALSE)="","",VLOOKUP(A333,'1) Kpler'!$E$2:$P$1000,8, FALSE))</f>
        <v>Yanbu NGL &amp; Yasref</v>
      </c>
      <c r="W333" s="116">
        <f>IF(VLOOKUP(A333,'1) Kpler'!$E$2:$P$1000,9,FALSE)="","",VLOOKUP(A333,'1) Kpler'!$E$2:$P$1000,9,FALSE))</f>
        <v>46136.00069</v>
      </c>
      <c r="X333" s="115" t="str">
        <f>VLOOKUP(A333,'1) Kpler'!$E$2:$I$1000,4,FALSE)</f>
        <v>ballast</v>
      </c>
      <c r="Y333" s="296" t="str">
        <f t="shared" si="43"/>
        <v>17-18 Apr</v>
      </c>
      <c r="Z333" s="688" t="str">
        <f t="shared" si="44"/>
        <v/>
      </c>
      <c r="AA333" s="688" t="str">
        <f t="shared" si="45"/>
        <v>13-14 May</v>
      </c>
      <c r="AB333" s="296" t="str">
        <f t="shared" si="46"/>
        <v>30-01 May</v>
      </c>
      <c r="AC333" s="296" t="str">
        <f t="shared" si="47"/>
        <v>08-09 May</v>
      </c>
      <c r="AD333" s="296" t="str">
        <f t="shared" si="48"/>
        <v>18-19 Apr</v>
      </c>
      <c r="AE333" s="297" t="str">
        <f t="shared" si="49"/>
        <v/>
      </c>
      <c r="AF333" s="119" t="str">
        <f t="shared" si="50"/>
        <v>25-26 May</v>
      </c>
      <c r="AG333" s="120" t="str">
        <f t="shared" si="51"/>
        <v>17-18 Apr</v>
      </c>
      <c r="AH333" s="121">
        <f>IFERROR($M333+VLOOKUP($L333,'Voyage days'!$F$38:$H$89,3,FALSE),"")</f>
        <v>46129</v>
      </c>
      <c r="AI333" s="121">
        <f>IFERROR(N333+VLOOKUP($L333,'Voyage days'!$F$38:$H$89,3,FALSE),"")</f>
        <v>46130</v>
      </c>
      <c r="AJ333" s="120" t="str">
        <f t="shared" si="28"/>
        <v/>
      </c>
      <c r="AK333" s="121" t="str">
        <f>IFERROR($M333+VLOOKUP($L333,'Voyage days'!$F$94:$H$193,3,FALSE),"")</f>
        <v/>
      </c>
      <c r="AL333" s="121" t="str">
        <f>IFERROR($N333+VLOOKUP($L333,'Voyage days'!$F$94:$H$193,3,FALSE),"")</f>
        <v/>
      </c>
      <c r="AM333" s="120" t="str">
        <f t="shared" si="29"/>
        <v>13-14 May</v>
      </c>
      <c r="AN333" s="121">
        <f>IFERROR($M333+VLOOKUP($L333,'Voyage days'!$F$203:$H$256,3,FALSE),"")</f>
        <v>46155</v>
      </c>
      <c r="AO333" s="121">
        <f>IFERROR($N333+VLOOKUP($L333,'Voyage days'!$F$203:$H$256,3,FALSE),"")</f>
        <v>46156</v>
      </c>
      <c r="AP333" s="120" t="str">
        <f t="shared" si="30"/>
        <v>30-01 May</v>
      </c>
      <c r="AQ333" s="121">
        <f>IFERROR($M333+VLOOKUP($L333,'Voyage days'!$F$294:$H$377,3,FALSE),"")</f>
        <v>46142</v>
      </c>
      <c r="AR333" s="121">
        <f>IFERROR($N333+VLOOKUP($L333,'Voyage days'!$F$294:$H$377,3,FALSE),"")</f>
        <v>46143</v>
      </c>
      <c r="AS333" s="120" t="str">
        <f t="shared" si="31"/>
        <v>08-09 May</v>
      </c>
      <c r="AT333" s="121">
        <f>IFERROR($M333+VLOOKUP($L333,'Voyage days'!$F$382:$H$446,3,FALSE),"")</f>
        <v>46150</v>
      </c>
      <c r="AU333" s="121">
        <f>IFERROR($N333+VLOOKUP($L333,'Voyage days'!$F$382:$H$446,3,FALSE),"")</f>
        <v>46151</v>
      </c>
      <c r="AV333" s="120" t="str">
        <f t="shared" si="32"/>
        <v/>
      </c>
      <c r="AW333" s="121" t="str">
        <f>IFERROR($M333+VLOOKUP($L333,'Voyage days'!$F$483:$H$538,3,FALSE),"")</f>
        <v/>
      </c>
      <c r="AX333" s="121" t="str">
        <f>IFERROR($N333+VLOOKUP($L333,'Voyage days'!$F$483:$H$538,3,FALSE),"")</f>
        <v/>
      </c>
      <c r="AY333" s="120" t="str">
        <f t="shared" si="33"/>
        <v/>
      </c>
      <c r="AZ333" s="121" t="str">
        <f>IFERROR($M333+VLOOKUP($L333,'Voyage days'!$F$540:$H$613,3,FALSE),"")</f>
        <v/>
      </c>
      <c r="BA333" s="121" t="str">
        <f>IFERROR($N333+VLOOKUP($L333,'Voyage days'!$F$540:$H$613,3,FALSE),"")</f>
        <v/>
      </c>
      <c r="BB333" s="120" t="str">
        <f t="shared" si="34"/>
        <v>18-19 Apr</v>
      </c>
      <c r="BC333" s="121">
        <f>IFERROR($M333+VLOOKUP($L333,'Voyage days'!$F$448:$H$479,3,FALSE),"")</f>
        <v>46130</v>
      </c>
      <c r="BD333" s="121">
        <f>IFERROR($N333+VLOOKUP($L333,'Voyage days'!$F$448:$H$479,3,FALSE),"")</f>
        <v>46131</v>
      </c>
      <c r="BE333" s="120" t="str">
        <f t="shared" si="35"/>
        <v/>
      </c>
      <c r="BF333" s="122" t="str">
        <f>IFERROR($M333+VLOOKUP($L333,'Voyage days'!$F$620:$H$646,3,FALSE),"")</f>
        <v/>
      </c>
      <c r="BG333" s="122" t="str">
        <f>IFERROR($N333+VLOOKUP($L333,'Voyage days'!$F$620:$H$646,3,FALSE),"")</f>
        <v/>
      </c>
      <c r="BH333" s="120" t="str">
        <f t="shared" si="36"/>
        <v/>
      </c>
      <c r="BI333" s="123" t="str">
        <f>IFERROR($M333+VLOOKUP($L333,'Voyage days'!$F$702:$H$727,3,FALSE),"")</f>
        <v/>
      </c>
      <c r="BJ333" s="120" t="str">
        <f t="shared" si="37"/>
        <v>25-26 May</v>
      </c>
      <c r="BK333" s="122">
        <f>IFERROR($M333+VLOOKUP($L333,'Voyage days'!$F$807:$H$878,3,FALSE),"")</f>
        <v>46167</v>
      </c>
      <c r="BL333" s="122">
        <f>IFERROR($N333+VLOOKUP($L333,'Voyage days'!$F$807:$H$878,3,FALSE),"")</f>
        <v>46168</v>
      </c>
      <c r="BM333" s="122">
        <f>IFERROR($N333+VLOOKUP($L333,'Voyage days'!$F$807:$K$878,6,FALSE),"")</f>
        <v>46133</v>
      </c>
      <c r="BN333" s="121" t="str">
        <f>if(L333="loads AG", IFERROR($M333+VLOOKUP($L333,'Voyage days'!$M$38:$O$38,3,FALSE),""),"")</f>
        <v/>
      </c>
      <c r="BO333" s="121" t="str">
        <f>if(L333="loads USG", IFERROR($M333+VLOOKUP($L333,'Voyage days'!$L$203:$N$203,3,FALSE),""),"")</f>
        <v/>
      </c>
    </row>
    <row r="334">
      <c r="A334" s="690" t="s">
        <v>266</v>
      </c>
      <c r="B334" s="691" t="s">
        <v>1476</v>
      </c>
      <c r="C334" s="203">
        <v>82000.0</v>
      </c>
      <c r="D334" s="195"/>
      <c r="E334" s="195"/>
      <c r="F334" s="604"/>
      <c r="G334" s="103"/>
      <c r="H334" s="604"/>
      <c r="I334" s="185" t="s">
        <v>1466</v>
      </c>
      <c r="J334" s="106" t="str">
        <f t="shared" si="55"/>
        <v>Update</v>
      </c>
      <c r="K334" s="107"/>
      <c r="L334" s="108" t="s">
        <v>1039</v>
      </c>
      <c r="M334" s="109">
        <v>46125.0</v>
      </c>
      <c r="N334" s="109">
        <v>46126.0</v>
      </c>
      <c r="O334" s="191" t="s">
        <v>1448</v>
      </c>
      <c r="P334" s="108" t="s">
        <v>1477</v>
      </c>
      <c r="Q334" s="185"/>
      <c r="R334" s="290" t="s">
        <v>1478</v>
      </c>
      <c r="S334" s="256" t="s">
        <v>659</v>
      </c>
      <c r="T334" s="293">
        <v>46124.0</v>
      </c>
      <c r="U334" s="114" t="str">
        <f>IF(V334="","No AIS",VLOOKUP(V334,'Voyage days'!$A$3:$B$1480,2,FALSE))</f>
        <v>AG</v>
      </c>
      <c r="V334" s="115" t="str">
        <f>IF(VLOOKUP(A334,'1) Kpler'!$E$2:$P$1000,8, FALSE)="","",VLOOKUP(A334,'1) Kpler'!$E$2:$P$1000,8, FALSE))</f>
        <v>Fujairah</v>
      </c>
      <c r="W334" s="116">
        <f>IF(VLOOKUP(A334,'1) Kpler'!$E$2:$P$1000,9,FALSE)="","",VLOOKUP(A334,'1) Kpler'!$E$2:$P$1000,9,FALSE))</f>
        <v>46132.625</v>
      </c>
      <c r="X334" s="115" t="str">
        <f>VLOOKUP(A334,'1) Kpler'!$E$2:$I$1000,4,FALSE)</f>
        <v>ballast</v>
      </c>
      <c r="Y334" s="296" t="str">
        <f t="shared" si="43"/>
        <v/>
      </c>
      <c r="Z334" s="688" t="str">
        <f t="shared" si="44"/>
        <v/>
      </c>
      <c r="AA334" s="688" t="str">
        <f t="shared" si="45"/>
        <v/>
      </c>
      <c r="AB334" s="296" t="str">
        <f t="shared" si="46"/>
        <v/>
      </c>
      <c r="AC334" s="296" t="str">
        <f t="shared" si="47"/>
        <v>26-27 Apr</v>
      </c>
      <c r="AD334" s="296" t="str">
        <f t="shared" si="48"/>
        <v/>
      </c>
      <c r="AE334" s="297" t="str">
        <f t="shared" si="49"/>
        <v/>
      </c>
      <c r="AF334" s="119" t="str">
        <f t="shared" si="50"/>
        <v/>
      </c>
      <c r="AG334" s="120" t="str">
        <f t="shared" si="51"/>
        <v/>
      </c>
      <c r="AH334" s="121" t="str">
        <f>IFERROR($M334+VLOOKUP($L334,'Voyage days'!$F$38:$H$89,3,FALSE),"")</f>
        <v/>
      </c>
      <c r="AI334" s="121" t="str">
        <f>IFERROR(N334+VLOOKUP($L334,'Voyage days'!$F$38:$H$89,3,FALSE),"")</f>
        <v/>
      </c>
      <c r="AJ334" s="120" t="str">
        <f t="shared" si="28"/>
        <v/>
      </c>
      <c r="AK334" s="121" t="str">
        <f>IFERROR($M334+VLOOKUP($L334,'Voyage days'!$F$94:$H$193,3,FALSE),"")</f>
        <v/>
      </c>
      <c r="AL334" s="121" t="str">
        <f>IFERROR($N334+VLOOKUP($L334,'Voyage days'!$F$94:$H$193,3,FALSE),"")</f>
        <v/>
      </c>
      <c r="AM334" s="120" t="str">
        <f t="shared" si="29"/>
        <v/>
      </c>
      <c r="AN334" s="121" t="str">
        <f>IFERROR($M334+VLOOKUP($L334,'Voyage days'!$F$203:$H$256,3,FALSE),"")</f>
        <v/>
      </c>
      <c r="AO334" s="121" t="str">
        <f>IFERROR($N334+VLOOKUP($L334,'Voyage days'!$F$203:$H$256,3,FALSE),"")</f>
        <v/>
      </c>
      <c r="AP334" s="120" t="str">
        <f t="shared" si="30"/>
        <v/>
      </c>
      <c r="AQ334" s="121" t="str">
        <f>IFERROR($M334+VLOOKUP($L334,'Voyage days'!$F$294:$H$377,3,FALSE),"")</f>
        <v/>
      </c>
      <c r="AR334" s="121" t="str">
        <f>IFERROR($N334+VLOOKUP($L334,'Voyage days'!$F$294:$H$377,3,FALSE),"")</f>
        <v/>
      </c>
      <c r="AS334" s="120" t="str">
        <f t="shared" si="31"/>
        <v>26-27 Apr</v>
      </c>
      <c r="AT334" s="121">
        <f>IFERROR($M334+VLOOKUP($L334,'Voyage days'!$F$382:$H$446,3,FALSE),"")</f>
        <v>46138</v>
      </c>
      <c r="AU334" s="121">
        <f>IFERROR($N334+VLOOKUP($L334,'Voyage days'!$F$382:$H$446,3,FALSE),"")</f>
        <v>46139</v>
      </c>
      <c r="AV334" s="120" t="str">
        <f t="shared" si="32"/>
        <v/>
      </c>
      <c r="AW334" s="121" t="str">
        <f>IFERROR($M334+VLOOKUP($L334,'Voyage days'!$F$483:$H$538,3,FALSE),"")</f>
        <v/>
      </c>
      <c r="AX334" s="121" t="str">
        <f>IFERROR($N334+VLOOKUP($L334,'Voyage days'!$F$483:$H$538,3,FALSE),"")</f>
        <v/>
      </c>
      <c r="AY334" s="120" t="str">
        <f t="shared" si="33"/>
        <v/>
      </c>
      <c r="AZ334" s="121" t="str">
        <f>IFERROR($M334+VLOOKUP($L334,'Voyage days'!$F$540:$H$613,3,FALSE),"")</f>
        <v/>
      </c>
      <c r="BA334" s="121" t="str">
        <f>IFERROR($N334+VLOOKUP($L334,'Voyage days'!$F$540:$H$613,3,FALSE),"")</f>
        <v/>
      </c>
      <c r="BB334" s="120" t="str">
        <f t="shared" si="34"/>
        <v/>
      </c>
      <c r="BC334" s="121" t="str">
        <f>IFERROR($M334+VLOOKUP($L334,'Voyage days'!$F$448:$H$479,3,FALSE),"")</f>
        <v/>
      </c>
      <c r="BD334" s="121" t="str">
        <f>IFERROR($N334+VLOOKUP($L334,'Voyage days'!$F$448:$H$479,3,FALSE),"")</f>
        <v/>
      </c>
      <c r="BE334" s="120" t="str">
        <f t="shared" si="35"/>
        <v/>
      </c>
      <c r="BF334" s="122" t="str">
        <f>IFERROR($M334+VLOOKUP($L334,'Voyage days'!$F$620:$H$646,3,FALSE),"")</f>
        <v/>
      </c>
      <c r="BG334" s="122" t="str">
        <f>IFERROR($N334+VLOOKUP($L334,'Voyage days'!$F$620:$H$646,3,FALSE),"")</f>
        <v/>
      </c>
      <c r="BH334" s="120" t="str">
        <f t="shared" si="36"/>
        <v/>
      </c>
      <c r="BI334" s="123" t="str">
        <f>IFERROR($M334+VLOOKUP($L334,'Voyage days'!$F$702:$H$727,3,FALSE),"")</f>
        <v/>
      </c>
      <c r="BJ334" s="120" t="str">
        <f t="shared" si="37"/>
        <v/>
      </c>
      <c r="BK334" s="122" t="str">
        <f>IFERROR($M334+VLOOKUP($L334,'Voyage days'!$F$807:$H$878,3,FALSE),"")</f>
        <v/>
      </c>
      <c r="BL334" s="122" t="str">
        <f>IFERROR($N334+VLOOKUP($L334,'Voyage days'!$F$807:$H$878,3,FALSE),"")</f>
        <v/>
      </c>
      <c r="BM334" s="122" t="str">
        <f>IFERROR($N334+VLOOKUP($L334,'Voyage days'!$F$807:$K$878,6,FALSE),"")</f>
        <v/>
      </c>
      <c r="BN334" s="121" t="str">
        <f>if(L334="loads AG", IFERROR($M334+VLOOKUP($L334,'Voyage days'!$M$38:$O$38,3,FALSE),""),"")</f>
        <v/>
      </c>
      <c r="BO334" s="121" t="str">
        <f>if(L334="loads USG", IFERROR($M334+VLOOKUP($L334,'Voyage days'!$L$203:$N$203,3,FALSE),""),"")</f>
        <v/>
      </c>
    </row>
    <row r="335" ht="15.75" customHeight="1">
      <c r="A335" s="692" t="s">
        <v>323</v>
      </c>
      <c r="B335" s="148">
        <v>2020.0</v>
      </c>
      <c r="C335" s="102">
        <v>84000.0</v>
      </c>
      <c r="D335" s="195"/>
      <c r="E335" s="195"/>
      <c r="F335" s="104"/>
      <c r="G335" s="104"/>
      <c r="H335" s="104"/>
      <c r="I335" s="401" t="s">
        <v>1466</v>
      </c>
      <c r="J335" s="106" t="str">
        <f t="shared" si="55"/>
        <v>Update</v>
      </c>
      <c r="K335" s="107"/>
      <c r="L335" s="108" t="s">
        <v>1039</v>
      </c>
      <c r="M335" s="109">
        <v>46125.0</v>
      </c>
      <c r="N335" s="109">
        <v>46126.0</v>
      </c>
      <c r="O335" s="191"/>
      <c r="P335" s="187" t="s">
        <v>1479</v>
      </c>
      <c r="Q335" s="108"/>
      <c r="R335" s="108" t="s">
        <v>1480</v>
      </c>
      <c r="S335" s="256" t="s">
        <v>659</v>
      </c>
      <c r="T335" s="293">
        <v>46124.0</v>
      </c>
      <c r="U335" s="114" t="str">
        <f>IF(V335="","No AIS",VLOOKUP(V335,'Voyage days'!$A$3:$B$1480,2,FALSE))</f>
        <v>AG</v>
      </c>
      <c r="V335" s="115" t="str">
        <f>IF(VLOOKUP(A335,'1) Kpler'!$E$2:$P$1000,8, FALSE)="","",VLOOKUP(A335,'1) Kpler'!$E$2:$P$1000,8, FALSE))</f>
        <v>Fujairah</v>
      </c>
      <c r="W335" s="116">
        <f>IF(VLOOKUP(A335,'1) Kpler'!$E$2:$P$1000,9,FALSE)="","",VLOOKUP(A335,'1) Kpler'!$E$2:$P$1000,9,FALSE))</f>
        <v>46132.5</v>
      </c>
      <c r="X335" s="115" t="str">
        <f>VLOOKUP(A335,'1) Kpler'!$E$2:$I$1000,4,FALSE)</f>
        <v>ballast</v>
      </c>
      <c r="Y335" s="296" t="str">
        <f t="shared" si="43"/>
        <v/>
      </c>
      <c r="Z335" s="688" t="str">
        <f t="shared" si="44"/>
        <v/>
      </c>
      <c r="AA335" s="688" t="str">
        <f t="shared" si="45"/>
        <v/>
      </c>
      <c r="AB335" s="296" t="str">
        <f t="shared" si="46"/>
        <v/>
      </c>
      <c r="AC335" s="296" t="str">
        <f t="shared" si="47"/>
        <v>26-27 Apr</v>
      </c>
      <c r="AD335" s="296" t="str">
        <f t="shared" si="48"/>
        <v/>
      </c>
      <c r="AE335" s="297" t="str">
        <f t="shared" si="49"/>
        <v/>
      </c>
      <c r="AF335" s="119" t="str">
        <f t="shared" si="50"/>
        <v/>
      </c>
      <c r="AG335" s="120" t="str">
        <f t="shared" si="51"/>
        <v/>
      </c>
      <c r="AH335" s="121" t="str">
        <f>IFERROR($M335+VLOOKUP($L335,'Voyage days'!$F$38:$H$89,3,FALSE),"")</f>
        <v/>
      </c>
      <c r="AI335" s="121" t="str">
        <f>IFERROR(N335+VLOOKUP($L335,'Voyage days'!$F$38:$H$89,3,FALSE),"")</f>
        <v/>
      </c>
      <c r="AJ335" s="120" t="str">
        <f t="shared" si="28"/>
        <v/>
      </c>
      <c r="AK335" s="121" t="str">
        <f>IFERROR($M335+VLOOKUP($L335,'Voyage days'!$F$94:$H$193,3,FALSE),"")</f>
        <v/>
      </c>
      <c r="AL335" s="121" t="str">
        <f>IFERROR($N335+VLOOKUP($L335,'Voyage days'!$F$94:$H$193,3,FALSE),"")</f>
        <v/>
      </c>
      <c r="AM335" s="120" t="str">
        <f t="shared" si="29"/>
        <v/>
      </c>
      <c r="AN335" s="121" t="str">
        <f>IFERROR($M335+VLOOKUP($L335,'Voyage days'!$F$203:$H$256,3,FALSE),"")</f>
        <v/>
      </c>
      <c r="AO335" s="121" t="str">
        <f>IFERROR($N335+VLOOKUP($L335,'Voyage days'!$F$203:$H$256,3,FALSE),"")</f>
        <v/>
      </c>
      <c r="AP335" s="120" t="str">
        <f t="shared" si="30"/>
        <v/>
      </c>
      <c r="AQ335" s="121" t="str">
        <f>IFERROR($M335+VLOOKUP($L335,'Voyage days'!$F$294:$H$377,3,FALSE),"")</f>
        <v/>
      </c>
      <c r="AR335" s="121" t="str">
        <f>IFERROR($N335+VLOOKUP($L335,'Voyage days'!$F$294:$H$377,3,FALSE),"")</f>
        <v/>
      </c>
      <c r="AS335" s="120" t="str">
        <f t="shared" si="31"/>
        <v>26-27 Apr</v>
      </c>
      <c r="AT335" s="121">
        <f>IFERROR($M335+VLOOKUP($L335,'Voyage days'!$F$382:$H$446,3,FALSE),"")</f>
        <v>46138</v>
      </c>
      <c r="AU335" s="121">
        <f>IFERROR($N335+VLOOKUP($L335,'Voyage days'!$F$382:$H$446,3,FALSE),"")</f>
        <v>46139</v>
      </c>
      <c r="AV335" s="120" t="str">
        <f t="shared" si="32"/>
        <v/>
      </c>
      <c r="AW335" s="121" t="str">
        <f>IFERROR($M335+VLOOKUP($L335,'Voyage days'!$F$483:$H$538,3,FALSE),"")</f>
        <v/>
      </c>
      <c r="AX335" s="121" t="str">
        <f>IFERROR($N335+VLOOKUP($L335,'Voyage days'!$F$483:$H$538,3,FALSE),"")</f>
        <v/>
      </c>
      <c r="AY335" s="120" t="str">
        <f t="shared" si="33"/>
        <v/>
      </c>
      <c r="AZ335" s="121" t="str">
        <f>IFERROR($M335+VLOOKUP($L335,'Voyage days'!$F$540:$H$613,3,FALSE),"")</f>
        <v/>
      </c>
      <c r="BA335" s="121" t="str">
        <f>IFERROR($N335+VLOOKUP($L335,'Voyage days'!$F$540:$H$613,3,FALSE),"")</f>
        <v/>
      </c>
      <c r="BB335" s="120" t="str">
        <f t="shared" si="34"/>
        <v/>
      </c>
      <c r="BC335" s="121" t="str">
        <f>IFERROR($M335+VLOOKUP($L335,'Voyage days'!$F$448:$H$479,3,FALSE),"")</f>
        <v/>
      </c>
      <c r="BD335" s="121" t="str">
        <f>IFERROR($N335+VLOOKUP($L335,'Voyage days'!$F$448:$H$479,3,FALSE),"")</f>
        <v/>
      </c>
      <c r="BE335" s="120" t="str">
        <f t="shared" si="35"/>
        <v/>
      </c>
      <c r="BF335" s="122" t="str">
        <f>IFERROR($M335+VLOOKUP($L335,'Voyage days'!$F$620:$H$646,3,FALSE),"")</f>
        <v/>
      </c>
      <c r="BG335" s="122" t="str">
        <f>IFERROR($N335+VLOOKUP($L335,'Voyage days'!$F$620:$H$646,3,FALSE),"")</f>
        <v/>
      </c>
      <c r="BH335" s="120" t="str">
        <f t="shared" si="36"/>
        <v/>
      </c>
      <c r="BI335" s="123" t="str">
        <f>IFERROR($M335+VLOOKUP($L335,'Voyage days'!$F$702:$H$727,3,FALSE),"")</f>
        <v/>
      </c>
      <c r="BJ335" s="120" t="str">
        <f t="shared" si="37"/>
        <v/>
      </c>
      <c r="BK335" s="122" t="str">
        <f>IFERROR($M335+VLOOKUP($L335,'Voyage days'!$F$807:$H$878,3,FALSE),"")</f>
        <v/>
      </c>
      <c r="BL335" s="122" t="str">
        <f>IFERROR($N335+VLOOKUP($L335,'Voyage days'!$F$807:$H$878,3,FALSE),"")</f>
        <v/>
      </c>
      <c r="BM335" s="122" t="str">
        <f>IFERROR($N335+VLOOKUP($L335,'Voyage days'!$F$807:$K$878,6,FALSE),"")</f>
        <v/>
      </c>
      <c r="BN335" s="121" t="str">
        <f>if(L335="loads AG", IFERROR($M335+VLOOKUP($L335,'Voyage days'!$M$38:$O$38,3,FALSE),""),"")</f>
        <v/>
      </c>
      <c r="BO335" s="121" t="str">
        <f>if(L335="loads USG", IFERROR($M335+VLOOKUP($L335,'Voyage days'!$L$203:$N$203,3,FALSE),""),"")</f>
        <v/>
      </c>
    </row>
    <row r="336" ht="15.75" customHeight="1">
      <c r="A336" s="80" t="s">
        <v>564</v>
      </c>
      <c r="B336" s="101">
        <v>39630.0</v>
      </c>
      <c r="C336" s="102">
        <v>82182.0</v>
      </c>
      <c r="D336" s="103"/>
      <c r="E336" s="103"/>
      <c r="F336" s="104"/>
      <c r="G336" s="104"/>
      <c r="H336" s="104"/>
      <c r="I336" s="401" t="s">
        <v>1466</v>
      </c>
      <c r="J336" s="106" t="str">
        <f t="shared" si="55"/>
        <v/>
      </c>
      <c r="K336" s="107"/>
      <c r="L336" s="108" t="s">
        <v>755</v>
      </c>
      <c r="M336" s="109">
        <v>46164.0</v>
      </c>
      <c r="N336" s="109">
        <v>46165.0</v>
      </c>
      <c r="O336" s="191"/>
      <c r="P336" s="108" t="s">
        <v>1481</v>
      </c>
      <c r="Q336" s="108"/>
      <c r="R336" s="290" t="s">
        <v>1482</v>
      </c>
      <c r="S336" s="256" t="s">
        <v>659</v>
      </c>
      <c r="T336" s="293">
        <v>46124.0</v>
      </c>
      <c r="U336" s="114" t="str">
        <f>IF(V336="","No AIS",VLOOKUP(V336,'Voyage days'!$A$3:$B$1480,2,FALSE))</f>
        <v>Indo + 4</v>
      </c>
      <c r="V336" s="115" t="str">
        <f>IF(VLOOKUP(A336,'1) Kpler'!$E$2:$P$1000,8, FALSE)="","",VLOOKUP(A336,'1) Kpler'!$E$2:$P$1000,8, FALSE))</f>
        <v>Oiltank. Merak</v>
      </c>
      <c r="W336" s="116">
        <f>IF(VLOOKUP(A336,'1) Kpler'!$E$2:$P$1000,9,FALSE)="","",VLOOKUP(A336,'1) Kpler'!$E$2:$P$1000,9,FALSE))</f>
        <v>46161.10417</v>
      </c>
      <c r="X336" s="115" t="str">
        <f>VLOOKUP(A336,'1) Kpler'!$E$2:$I$1000,4,FALSE)</f>
        <v>loaded</v>
      </c>
      <c r="Y336" s="296" t="str">
        <f t="shared" si="43"/>
        <v>02-03 Jun</v>
      </c>
      <c r="Z336" s="296" t="str">
        <f t="shared" si="44"/>
        <v>30-01 Jul</v>
      </c>
      <c r="AA336" s="296" t="str">
        <f t="shared" si="45"/>
        <v>28-29 Jun</v>
      </c>
      <c r="AB336" s="296" t="str">
        <f t="shared" si="46"/>
        <v>11-12 Jun</v>
      </c>
      <c r="AC336" s="296" t="str">
        <f t="shared" si="47"/>
        <v>20-21 Jun</v>
      </c>
      <c r="AD336" s="296" t="str">
        <f t="shared" si="48"/>
        <v>25-26 May</v>
      </c>
      <c r="AE336" s="297" t="str">
        <f t="shared" si="49"/>
        <v>26-27 May</v>
      </c>
      <c r="AF336" s="119" t="str">
        <f t="shared" si="50"/>
        <v>28-29 Jun</v>
      </c>
      <c r="AG336" s="120" t="str">
        <f t="shared" si="51"/>
        <v>02-03 Jun</v>
      </c>
      <c r="AH336" s="121">
        <f>IFERROR($M336+VLOOKUP($L336,'Voyage days'!$F$38:$H$89,3,FALSE),"")</f>
        <v>46175</v>
      </c>
      <c r="AI336" s="121">
        <f>IFERROR(N336+VLOOKUP($L336,'Voyage days'!$F$38:$H$89,3,FALSE),"")</f>
        <v>46176</v>
      </c>
      <c r="AJ336" s="120" t="str">
        <f t="shared" si="28"/>
        <v>30-01 Jul</v>
      </c>
      <c r="AK336" s="121">
        <f>IFERROR($M336+VLOOKUP($L336,'Voyage days'!$F$94:$H$193,3,FALSE),"")</f>
        <v>46203</v>
      </c>
      <c r="AL336" s="121">
        <f>IFERROR($N336+VLOOKUP($L336,'Voyage days'!$F$94:$H$193,3,FALSE),"")</f>
        <v>46204</v>
      </c>
      <c r="AM336" s="120" t="str">
        <f t="shared" si="29"/>
        <v>28-29 Jun</v>
      </c>
      <c r="AN336" s="121">
        <f>IFERROR($M336+VLOOKUP($L336,'Voyage days'!$F$203:$H$256,3,FALSE),"")</f>
        <v>46201</v>
      </c>
      <c r="AO336" s="121">
        <f>IFERROR($N336+VLOOKUP($L336,'Voyage days'!$F$203:$H$256,3,FALSE),"")</f>
        <v>46202</v>
      </c>
      <c r="AP336" s="120" t="str">
        <f t="shared" si="30"/>
        <v>11-12 Jun</v>
      </c>
      <c r="AQ336" s="121">
        <f>IFERROR($M336+VLOOKUP($L336,'Voyage days'!$F$294:$H$377,3,FALSE),"")</f>
        <v>46184</v>
      </c>
      <c r="AR336" s="121">
        <f>IFERROR($N336+VLOOKUP($L336,'Voyage days'!$F$294:$H$377,3,FALSE),"")</f>
        <v>46185</v>
      </c>
      <c r="AS336" s="120" t="str">
        <f t="shared" si="31"/>
        <v>20-21 Jun</v>
      </c>
      <c r="AT336" s="121">
        <f>IFERROR($M336+VLOOKUP($L336,'Voyage days'!$F$382:$H$446,3,FALSE),"")</f>
        <v>46193</v>
      </c>
      <c r="AU336" s="121">
        <f>IFERROR($N336+VLOOKUP($L336,'Voyage days'!$F$382:$H$446,3,FALSE),"")</f>
        <v>46194</v>
      </c>
      <c r="AV336" s="120" t="str">
        <f t="shared" si="32"/>
        <v>31-01 Jun</v>
      </c>
      <c r="AW336" s="121">
        <f>IFERROR($M336+VLOOKUP($L336,'Voyage days'!$F$483:$H$538,3,FALSE),"")</f>
        <v>46173</v>
      </c>
      <c r="AX336" s="121">
        <f>IFERROR($N336+VLOOKUP($L336,'Voyage days'!$F$483:$H$538,3,FALSE),"")</f>
        <v>46174</v>
      </c>
      <c r="AY336" s="120" t="str">
        <f t="shared" si="33"/>
        <v>26-27 May</v>
      </c>
      <c r="AZ336" s="121">
        <f>IFERROR($M336+VLOOKUP($L336,'Voyage days'!$F$540:$H$613,3,FALSE),"")</f>
        <v>46168</v>
      </c>
      <c r="BA336" s="121">
        <f>IFERROR($N336+VLOOKUP($L336,'Voyage days'!$F$540:$H$613,3,FALSE),"")</f>
        <v>46169</v>
      </c>
      <c r="BB336" s="120" t="str">
        <f t="shared" si="34"/>
        <v>25-26 May</v>
      </c>
      <c r="BC336" s="121">
        <f>IFERROR($M336+VLOOKUP($L336,'Voyage days'!$F$448:$H$479,3,FALSE),"")</f>
        <v>46167</v>
      </c>
      <c r="BD336" s="121">
        <f>IFERROR($N336+VLOOKUP($L336,'Voyage days'!$F$448:$H$479,3,FALSE),"")</f>
        <v>46168</v>
      </c>
      <c r="BE336" s="120" t="str">
        <f t="shared" si="35"/>
        <v/>
      </c>
      <c r="BF336" s="122" t="str">
        <f>IFERROR($M336+VLOOKUP($L336,'Voyage days'!$F$620:$H$646,3,FALSE),"")</f>
        <v/>
      </c>
      <c r="BG336" s="122" t="str">
        <f>IFERROR($N336+VLOOKUP($L336,'Voyage days'!$F$620:$H$646,3,FALSE),"")</f>
        <v/>
      </c>
      <c r="BH336" s="120" t="str">
        <f t="shared" si="36"/>
        <v>30-29 Jun</v>
      </c>
      <c r="BI336" s="123">
        <f>IFERROR($M336+VLOOKUP($L336,'Voyage days'!$F$702:$H$727,3,FALSE),"")</f>
        <v>46172</v>
      </c>
      <c r="BJ336" s="120" t="str">
        <f t="shared" si="37"/>
        <v>28-29 Jun</v>
      </c>
      <c r="BK336" s="122">
        <f>IFERROR($M336+VLOOKUP($L336,'Voyage days'!$F$807:$H$878,3,FALSE),"")</f>
        <v>46201</v>
      </c>
      <c r="BL336" s="122">
        <f>IFERROR($N336+VLOOKUP($L336,'Voyage days'!$F$807:$H$878,3,FALSE),"")</f>
        <v>46202</v>
      </c>
      <c r="BM336" s="122">
        <f>IFERROR($N336+VLOOKUP($L336,'Voyage days'!$F$807:$K$878,6,FALSE),"")</f>
        <v>46178</v>
      </c>
      <c r="BN336" s="121" t="str">
        <f>if(L336="loads AG", IFERROR($M336+VLOOKUP($L336,'Voyage days'!$M$38:$O$38,3,FALSE),""),"")</f>
        <v/>
      </c>
      <c r="BO336" s="121" t="str">
        <f>if(L336="loads USG", IFERROR($M336+VLOOKUP($L336,'Voyage days'!$L$203:$N$203,3,FALSE),""),"")</f>
        <v/>
      </c>
    </row>
    <row r="337" ht="15.75" customHeight="1">
      <c r="A337" s="164" t="s">
        <v>526</v>
      </c>
      <c r="B337" s="222">
        <v>42517.0</v>
      </c>
      <c r="C337" s="166">
        <v>84000.0</v>
      </c>
      <c r="D337" s="223"/>
      <c r="E337" s="223"/>
      <c r="F337" s="168"/>
      <c r="G337" s="168"/>
      <c r="H337" s="168"/>
      <c r="I337" s="693" t="s">
        <v>1466</v>
      </c>
      <c r="J337" s="170" t="str">
        <f t="shared" si="55"/>
        <v/>
      </c>
      <c r="K337" s="171"/>
      <c r="L337" s="172" t="s">
        <v>680</v>
      </c>
      <c r="M337" s="173">
        <v>46145.0</v>
      </c>
      <c r="N337" s="694">
        <v>46146.0</v>
      </c>
      <c r="O337" s="226"/>
      <c r="P337" s="172" t="s">
        <v>1396</v>
      </c>
      <c r="Q337" s="285"/>
      <c r="R337" s="172" t="s">
        <v>1483</v>
      </c>
      <c r="S337" s="358" t="s">
        <v>659</v>
      </c>
      <c r="T337" s="176">
        <v>46124.0</v>
      </c>
      <c r="U337" s="177" t="str">
        <f>IF(V337="","No AIS",VLOOKUP(V337,'Voyage days'!$A$3:$B$1480,2,FALSE))</f>
        <v>Panama</v>
      </c>
      <c r="V337" s="178" t="str">
        <f>IF(VLOOKUP(A337,'1) Kpler'!$E$2:$P$1000,8, FALSE)="","",VLOOKUP(A337,'1) Kpler'!$E$2:$P$1000,8, FALSE))</f>
        <v>Panama Canal</v>
      </c>
      <c r="W337" s="179">
        <f>IF(VLOOKUP(A337,'1) Kpler'!$E$2:$P$1000,9,FALSE)="","",VLOOKUP(A337,'1) Kpler'!$E$2:$P$1000,9,FALSE))</f>
        <v>46137.54167</v>
      </c>
      <c r="X337" s="178" t="str">
        <f>VLOOKUP(A337,'1) Kpler'!$E$2:$I$1000,4,FALSE)</f>
        <v>ballast</v>
      </c>
      <c r="Y337" s="120" t="str">
        <f t="shared" si="43"/>
        <v/>
      </c>
      <c r="Z337" s="120" t="str">
        <f t="shared" si="44"/>
        <v>03-04 May</v>
      </c>
      <c r="AA337" s="120" t="str">
        <f t="shared" si="45"/>
        <v>03-04 May</v>
      </c>
      <c r="AB337" s="120" t="str">
        <f t="shared" si="46"/>
        <v/>
      </c>
      <c r="AC337" s="120" t="str">
        <f t="shared" si="47"/>
        <v>23-24 May</v>
      </c>
      <c r="AD337" s="120" t="str">
        <f t="shared" si="48"/>
        <v/>
      </c>
      <c r="AE337" s="228" t="str">
        <f t="shared" si="49"/>
        <v/>
      </c>
      <c r="AF337" s="229" t="str">
        <f t="shared" si="50"/>
        <v/>
      </c>
      <c r="AG337" s="120" t="str">
        <f t="shared" si="51"/>
        <v/>
      </c>
      <c r="AH337" s="121" t="str">
        <f>IFERROR($M337+VLOOKUP($L337,'Voyage days'!$F$38:$H$89,3,FALSE),"")</f>
        <v/>
      </c>
      <c r="AI337" s="121" t="str">
        <f>IFERROR(N337+VLOOKUP($L337,'Voyage days'!$F$38:$H$89,3,FALSE),"")</f>
        <v/>
      </c>
      <c r="AJ337" s="120" t="str">
        <f t="shared" si="28"/>
        <v>03-04 May</v>
      </c>
      <c r="AK337" s="121">
        <f>IFERROR($M337+VLOOKUP($L337,'Voyage days'!$F$94:$H$193,3,FALSE),"")</f>
        <v>46145</v>
      </c>
      <c r="AL337" s="121">
        <f>IFERROR($N337+VLOOKUP($L337,'Voyage days'!$F$94:$H$193,3,FALSE),"")</f>
        <v>46146</v>
      </c>
      <c r="AM337" s="120" t="str">
        <f t="shared" si="29"/>
        <v>03-04 May</v>
      </c>
      <c r="AN337" s="121">
        <f>IFERROR($M337+VLOOKUP($L337,'Voyage days'!$F$203:$H$256,3,FALSE),"")</f>
        <v>46145</v>
      </c>
      <c r="AO337" s="121">
        <f>IFERROR($N337+VLOOKUP($L337,'Voyage days'!$F$203:$H$256,3,FALSE),"")</f>
        <v>46146</v>
      </c>
      <c r="AP337" s="120" t="str">
        <f t="shared" si="30"/>
        <v/>
      </c>
      <c r="AQ337" s="121" t="str">
        <f>IFERROR($M337+VLOOKUP($L337,'Voyage days'!$F$294:$H$377,3,FALSE),"")</f>
        <v/>
      </c>
      <c r="AR337" s="121" t="str">
        <f>IFERROR($N337+VLOOKUP($L337,'Voyage days'!$F$294:$H$377,3,FALSE),"")</f>
        <v/>
      </c>
      <c r="AS337" s="120" t="str">
        <f t="shared" si="31"/>
        <v>23-24 May</v>
      </c>
      <c r="AT337" s="121">
        <f>IFERROR($M337+VLOOKUP($L337,'Voyage days'!$F$382:$H$446,3,FALSE),"")</f>
        <v>46165</v>
      </c>
      <c r="AU337" s="121">
        <f>IFERROR($N337+VLOOKUP($L337,'Voyage days'!$F$382:$H$446,3,FALSE),"")</f>
        <v>46166</v>
      </c>
      <c r="AV337" s="120" t="str">
        <f t="shared" si="32"/>
        <v/>
      </c>
      <c r="AW337" s="121" t="str">
        <f>IFERROR($M337+VLOOKUP($L337,'Voyage days'!$F$483:$H$538,3,FALSE),"")</f>
        <v/>
      </c>
      <c r="AX337" s="121" t="str">
        <f>IFERROR($N337+VLOOKUP($L337,'Voyage days'!$F$483:$H$538,3,FALSE),"")</f>
        <v/>
      </c>
      <c r="AY337" s="120" t="str">
        <f t="shared" si="33"/>
        <v/>
      </c>
      <c r="AZ337" s="121" t="str">
        <f>IFERROR($M337+VLOOKUP($L337,'Voyage days'!$F$540:$H$613,3,FALSE),"")</f>
        <v/>
      </c>
      <c r="BA337" s="121" t="str">
        <f>IFERROR($N337+VLOOKUP($L337,'Voyage days'!$F$540:$H$613,3,FALSE),"")</f>
        <v/>
      </c>
      <c r="BB337" s="120" t="str">
        <f t="shared" si="34"/>
        <v/>
      </c>
      <c r="BC337" s="121" t="str">
        <f>IFERROR($M337+VLOOKUP($L337,'Voyage days'!$F$448:$H$479,3,FALSE),"")</f>
        <v/>
      </c>
      <c r="BD337" s="121" t="str">
        <f>IFERROR($N337+VLOOKUP($L337,'Voyage days'!$F$448:$H$479,3,FALSE),"")</f>
        <v/>
      </c>
      <c r="BE337" s="120" t="str">
        <f t="shared" si="35"/>
        <v/>
      </c>
      <c r="BF337" s="122" t="str">
        <f>IFERROR($M337+VLOOKUP($L337,'Voyage days'!$F$620:$H$646,3,FALSE),"")</f>
        <v/>
      </c>
      <c r="BG337" s="122" t="str">
        <f>IFERROR($N337+VLOOKUP($L337,'Voyage days'!$F$620:$H$646,3,FALSE),"")</f>
        <v/>
      </c>
      <c r="BH337" s="120" t="str">
        <f t="shared" si="36"/>
        <v/>
      </c>
      <c r="BI337" s="123" t="str">
        <f>IFERROR($M337+VLOOKUP($L337,'Voyage days'!$F$702:$H$727,3,FALSE),"")</f>
        <v/>
      </c>
      <c r="BJ337" s="120" t="str">
        <f t="shared" si="37"/>
        <v/>
      </c>
      <c r="BK337" s="122" t="str">
        <f>IFERROR($M337+VLOOKUP($L337,'Voyage days'!$F$807:$H$878,3,FALSE),"")</f>
        <v/>
      </c>
      <c r="BL337" s="122" t="str">
        <f>IFERROR($N337+VLOOKUP($L337,'Voyage days'!$F$807:$H$878,3,FALSE),"")</f>
        <v/>
      </c>
      <c r="BM337" s="122" t="str">
        <f>IFERROR($N337+VLOOKUP($L337,'Voyage days'!$F$807:$K$878,6,FALSE),"")</f>
        <v/>
      </c>
      <c r="BN337" s="121" t="str">
        <f>if(L337="loads AG", IFERROR($M337+VLOOKUP($L337,'Voyage days'!$M$38:$O$38,3,FALSE),""),"")</f>
        <v/>
      </c>
      <c r="BO337" s="121">
        <f>if(L337="loads USG", IFERROR($M337+VLOOKUP($L337,'Voyage days'!$L$203:$N$203,3,FALSE),""),"")</f>
        <v>46177</v>
      </c>
    </row>
    <row r="338" ht="15.75" customHeight="1">
      <c r="A338" s="695" t="s">
        <v>546</v>
      </c>
      <c r="B338" s="696">
        <v>36800.0</v>
      </c>
      <c r="C338" s="697">
        <v>78874.0</v>
      </c>
      <c r="D338" s="478"/>
      <c r="E338" s="478"/>
      <c r="F338" s="479"/>
      <c r="G338" s="479"/>
      <c r="H338" s="479"/>
      <c r="I338" s="698" t="s">
        <v>1484</v>
      </c>
      <c r="J338" s="592" t="str">
        <f t="shared" si="55"/>
        <v>Update</v>
      </c>
      <c r="K338" s="699"/>
      <c r="L338" s="700" t="s">
        <v>745</v>
      </c>
      <c r="M338" s="367">
        <v>46129.0</v>
      </c>
      <c r="N338" s="367">
        <v>46130.0</v>
      </c>
      <c r="O338" s="483"/>
      <c r="P338" s="701" t="s">
        <v>1485</v>
      </c>
      <c r="Q338" s="484"/>
      <c r="R338" s="702" t="s">
        <v>1070</v>
      </c>
      <c r="S338" s="485" t="s">
        <v>659</v>
      </c>
      <c r="T338" s="486">
        <v>46124.0</v>
      </c>
      <c r="U338" s="703" t="str">
        <f>IF(V338="","No AIS",VLOOKUP(V338,'Voyage days'!$A$3:$B$1480,2,FALSE))</f>
        <v>Suez + 7</v>
      </c>
      <c r="V338" s="703" t="str">
        <f>IF(VLOOKUP(A338,'1) Kpler'!$E$2:$P$1000,8, FALSE)="","",VLOOKUP(A338,'1) Kpler'!$E$2:$P$1000,8, FALSE))</f>
        <v>Wadi Feiran LPG</v>
      </c>
      <c r="W338" s="704">
        <f>IF(VLOOKUP(A338,'1) Kpler'!$E$2:$P$1000,9,FALSE)="","",VLOOKUP(A338,'1) Kpler'!$E$2:$P$1000,9,FALSE))</f>
        <v>46132.48681</v>
      </c>
      <c r="X338" s="703" t="str">
        <f>VLOOKUP(A338,'1) Kpler'!$E$2:$I$1000,4,FALSE)</f>
        <v>floatingStorage</v>
      </c>
      <c r="Y338" s="705" t="str">
        <f t="shared" si="43"/>
        <v>26-27 Apr</v>
      </c>
      <c r="Z338" s="705" t="str">
        <f t="shared" si="44"/>
        <v>05-06 May</v>
      </c>
      <c r="AA338" s="705" t="str">
        <f t="shared" si="45"/>
        <v>08-09 May</v>
      </c>
      <c r="AB338" s="705" t="str">
        <f t="shared" si="46"/>
        <v>02-03 May</v>
      </c>
      <c r="AC338" s="705" t="str">
        <f t="shared" si="47"/>
        <v>25-26 Apr</v>
      </c>
      <c r="AD338" s="705" t="str">
        <f t="shared" si="48"/>
        <v/>
      </c>
      <c r="AE338" s="706" t="str">
        <f t="shared" si="49"/>
        <v/>
      </c>
      <c r="AF338" s="707" t="str">
        <f t="shared" si="50"/>
        <v>18-19 Apr</v>
      </c>
      <c r="AG338" s="249" t="str">
        <f t="shared" si="51"/>
        <v>26-27 Apr</v>
      </c>
      <c r="AH338" s="250">
        <f>IFERROR($M338+VLOOKUP($L338,'Voyage days'!$F$38:$H$89,3,FALSE),"")</f>
        <v>46138</v>
      </c>
      <c r="AI338" s="250">
        <f>IFERROR(N338+VLOOKUP($L338,'Voyage days'!$F$38:$H$89,3,FALSE),"")</f>
        <v>46139</v>
      </c>
      <c r="AJ338" s="249" t="str">
        <f t="shared" si="28"/>
        <v>05-06 May</v>
      </c>
      <c r="AK338" s="250">
        <f>IFERROR($M338+VLOOKUP($L338,'Voyage days'!$F$94:$H$193,3,FALSE),"")</f>
        <v>46147</v>
      </c>
      <c r="AL338" s="250">
        <f>IFERROR($N338+VLOOKUP($L338,'Voyage days'!$F$94:$H$193,3,FALSE),"")</f>
        <v>46148</v>
      </c>
      <c r="AM338" s="249" t="str">
        <f t="shared" si="29"/>
        <v>08-09 May</v>
      </c>
      <c r="AN338" s="250">
        <f>IFERROR($M338+VLOOKUP($L338,'Voyage days'!$F$203:$H$256,3,FALSE),"")</f>
        <v>46150</v>
      </c>
      <c r="AO338" s="250">
        <f>IFERROR($N338+VLOOKUP($L338,'Voyage days'!$F$203:$H$256,3,FALSE),"")</f>
        <v>46151</v>
      </c>
      <c r="AP338" s="249" t="str">
        <f t="shared" si="30"/>
        <v>02-03 May</v>
      </c>
      <c r="AQ338" s="250">
        <f>IFERROR($M338+VLOOKUP($L338,'Voyage days'!$F$294:$H$377,3,FALSE),"")</f>
        <v>46144</v>
      </c>
      <c r="AR338" s="250">
        <f>IFERROR($N338+VLOOKUP($L338,'Voyage days'!$F$294:$H$377,3,FALSE),"")</f>
        <v>46145</v>
      </c>
      <c r="AS338" s="249" t="str">
        <f t="shared" si="31"/>
        <v>25-26 Apr</v>
      </c>
      <c r="AT338" s="250">
        <f>IFERROR($M338+VLOOKUP($L338,'Voyage days'!$F$382:$H$446,3,FALSE),"")</f>
        <v>46137</v>
      </c>
      <c r="AU338" s="250">
        <f>IFERROR($N338+VLOOKUP($L338,'Voyage days'!$F$382:$H$446,3,FALSE),"")</f>
        <v>46138</v>
      </c>
      <c r="AV338" s="249" t="str">
        <f t="shared" si="32"/>
        <v/>
      </c>
      <c r="AW338" s="250" t="str">
        <f>IFERROR($M338+VLOOKUP($L338,'Voyage days'!$F$483:$H$538,3,FALSE),"")</f>
        <v/>
      </c>
      <c r="AX338" s="250" t="str">
        <f>IFERROR($N338+VLOOKUP($L338,'Voyage days'!$F$483:$H$538,3,FALSE),"")</f>
        <v/>
      </c>
      <c r="AY338" s="249" t="str">
        <f t="shared" si="33"/>
        <v/>
      </c>
      <c r="AZ338" s="250" t="str">
        <f>IFERROR($M338+VLOOKUP($L338,'Voyage days'!$F$540:$H$613,3,FALSE),"")</f>
        <v/>
      </c>
      <c r="BA338" s="250" t="str">
        <f>IFERROR($N338+VLOOKUP($L338,'Voyage days'!$F$540:$H$613,3,FALSE),"")</f>
        <v/>
      </c>
      <c r="BB338" s="249" t="str">
        <f t="shared" si="34"/>
        <v/>
      </c>
      <c r="BC338" s="250" t="str">
        <f>IFERROR($M338+VLOOKUP($L338,'Voyage days'!$F$448:$H$479,3,FALSE),"")</f>
        <v/>
      </c>
      <c r="BD338" s="250" t="str">
        <f>IFERROR($N338+VLOOKUP($L338,'Voyage days'!$F$448:$H$479,3,FALSE),"")</f>
        <v/>
      </c>
      <c r="BE338" s="249" t="str">
        <f t="shared" si="35"/>
        <v/>
      </c>
      <c r="BF338" s="250" t="str">
        <f>IFERROR($M338+VLOOKUP($L338,'Voyage days'!$F$620:$H$646,3,FALSE),"")</f>
        <v/>
      </c>
      <c r="BG338" s="250" t="str">
        <f>IFERROR($N338+VLOOKUP($L338,'Voyage days'!$F$620:$H$646,3,FALSE),"")</f>
        <v/>
      </c>
      <c r="BH338" s="249" t="str">
        <f t="shared" si="36"/>
        <v/>
      </c>
      <c r="BI338" s="251" t="str">
        <f>IFERROR($M338+VLOOKUP($L338,'Voyage days'!$F$702:$H$727,3,FALSE),"")</f>
        <v/>
      </c>
      <c r="BJ338" s="249" t="str">
        <f t="shared" si="37"/>
        <v>18-19 Apr</v>
      </c>
      <c r="BK338" s="250">
        <f>IFERROR($M338+VLOOKUP($L338,'Voyage days'!$F$807:$H$878,3,FALSE),"")</f>
        <v>46130.5</v>
      </c>
      <c r="BL338" s="250">
        <f>IFERROR($N338+VLOOKUP($L338,'Voyage days'!$F$807:$H$878,3,FALSE),"")</f>
        <v>46131.5</v>
      </c>
      <c r="BM338" s="250">
        <f>IFERROR($N338+VLOOKUP($L338,'Voyage days'!$F$807:$K$878,6,FALSE),"")</f>
        <v>46130</v>
      </c>
      <c r="BN338" s="250" t="str">
        <f>if(L338="loads AG", IFERROR($M338+VLOOKUP($L338,'Voyage days'!$M$38:$O$38,3,FALSE),""),"")</f>
        <v/>
      </c>
      <c r="BO338" s="250" t="str">
        <f>if(L338="loads USG", IFERROR($M338+VLOOKUP($L338,'Voyage days'!$L$203:$N$203,3,FALSE),""),"")</f>
        <v/>
      </c>
    </row>
    <row r="339">
      <c r="A339" s="708" t="s">
        <v>350</v>
      </c>
      <c r="B339" s="101">
        <v>39479.0</v>
      </c>
      <c r="C339" s="102">
        <v>82383.0</v>
      </c>
      <c r="D339" s="380"/>
      <c r="E339" s="380"/>
      <c r="F339" s="383"/>
      <c r="G339" s="383"/>
      <c r="H339" s="383" t="s">
        <v>689</v>
      </c>
      <c r="I339" s="384" t="s">
        <v>1486</v>
      </c>
      <c r="J339" s="398" t="str">
        <f t="shared" si="55"/>
        <v>NO AIS</v>
      </c>
      <c r="K339" s="386"/>
      <c r="L339" s="387" t="s">
        <v>1039</v>
      </c>
      <c r="M339" s="367">
        <v>46129.0</v>
      </c>
      <c r="N339" s="367">
        <v>46130.0</v>
      </c>
      <c r="O339" s="709"/>
      <c r="P339" s="710" t="s">
        <v>1487</v>
      </c>
      <c r="Q339" s="387"/>
      <c r="R339" s="387"/>
      <c r="S339" s="485" t="s">
        <v>659</v>
      </c>
      <c r="T339" s="486">
        <v>46124.0</v>
      </c>
      <c r="U339" s="216" t="str">
        <f>IF(V339="","No AIS",VLOOKUP(V339,'Voyage days'!$A$3:$B$1480,2,FALSE))</f>
        <v>No AIS</v>
      </c>
      <c r="V339" s="216" t="str">
        <f>IF(VLOOKUP(A339,'1) Kpler'!$E$2:$P$1000,8, FALSE)="","",VLOOKUP(A339,'1) Kpler'!$E$2:$P$1000,8, FALSE))</f>
        <v/>
      </c>
      <c r="W339" s="501" t="str">
        <f>IF(VLOOKUP(A339,'1) Kpler'!$E$2:$P$1000,9,FALSE)="","",VLOOKUP(A339,'1) Kpler'!$E$2:$P$1000,9,FALSE))</f>
        <v/>
      </c>
      <c r="X339" s="216" t="str">
        <f>VLOOKUP(A339,'1) Kpler'!$E$2:$I$1000,4,FALSE)</f>
        <v>ballast</v>
      </c>
      <c r="Y339" s="219" t="str">
        <f t="shared" si="43"/>
        <v/>
      </c>
      <c r="Z339" s="219" t="str">
        <f t="shared" si="44"/>
        <v/>
      </c>
      <c r="AA339" s="219" t="str">
        <f t="shared" si="45"/>
        <v/>
      </c>
      <c r="AB339" s="219" t="str">
        <f t="shared" si="46"/>
        <v/>
      </c>
      <c r="AC339" s="219" t="str">
        <f t="shared" si="47"/>
        <v>30-01 May</v>
      </c>
      <c r="AD339" s="219" t="str">
        <f t="shared" si="48"/>
        <v/>
      </c>
      <c r="AE339" s="220" t="str">
        <f t="shared" si="49"/>
        <v/>
      </c>
      <c r="AF339" s="119" t="str">
        <f t="shared" si="50"/>
        <v/>
      </c>
      <c r="AG339" s="163" t="str">
        <f t="shared" si="51"/>
        <v/>
      </c>
      <c r="AH339" s="122" t="str">
        <f>IFERROR($M339+VLOOKUP($L339,'Voyage days'!$F$38:$H$89,3,FALSE),"")</f>
        <v/>
      </c>
      <c r="AI339" s="122" t="str">
        <f>IFERROR(N339+VLOOKUP($L339,'Voyage days'!$F$38:$H$89,3,FALSE),"")</f>
        <v/>
      </c>
      <c r="AJ339" s="163" t="str">
        <f t="shared" si="28"/>
        <v/>
      </c>
      <c r="AK339" s="122" t="str">
        <f>IFERROR($M339+VLOOKUP($L339,'Voyage days'!$F$94:$H$193,3,FALSE),"")</f>
        <v/>
      </c>
      <c r="AL339" s="122" t="str">
        <f>IFERROR($N339+VLOOKUP($L339,'Voyage days'!$F$94:$H$193,3,FALSE),"")</f>
        <v/>
      </c>
      <c r="AM339" s="163" t="str">
        <f t="shared" si="29"/>
        <v/>
      </c>
      <c r="AN339" s="122" t="str">
        <f>IFERROR($M339+VLOOKUP($L339,'Voyage days'!$F$203:$H$256,3,FALSE),"")</f>
        <v/>
      </c>
      <c r="AO339" s="122" t="str">
        <f>IFERROR($N339+VLOOKUP($L339,'Voyage days'!$F$203:$H$256,3,FALSE),"")</f>
        <v/>
      </c>
      <c r="AP339" s="163" t="str">
        <f t="shared" si="30"/>
        <v/>
      </c>
      <c r="AQ339" s="122" t="str">
        <f>IFERROR($M339+VLOOKUP($L339,'Voyage days'!$F$294:$H$377,3,FALSE),"")</f>
        <v/>
      </c>
      <c r="AR339" s="122" t="str">
        <f>IFERROR($N339+VLOOKUP($L339,'Voyage days'!$F$294:$H$377,3,FALSE),"")</f>
        <v/>
      </c>
      <c r="AS339" s="163" t="str">
        <f t="shared" si="31"/>
        <v>30-01 May</v>
      </c>
      <c r="AT339" s="122">
        <f>IFERROR($M339+VLOOKUP($L339,'Voyage days'!$F$382:$H$446,3,FALSE),"")</f>
        <v>46142</v>
      </c>
      <c r="AU339" s="122">
        <f>IFERROR($N339+VLOOKUP($L339,'Voyage days'!$F$382:$H$446,3,FALSE),"")</f>
        <v>46143</v>
      </c>
      <c r="AV339" s="163" t="str">
        <f t="shared" si="32"/>
        <v/>
      </c>
      <c r="AW339" s="122" t="str">
        <f>IFERROR($M339+VLOOKUP($L339,'Voyage days'!$F$483:$H$538,3,FALSE),"")</f>
        <v/>
      </c>
      <c r="AX339" s="122" t="str">
        <f>IFERROR($N339+VLOOKUP($L339,'Voyage days'!$F$483:$H$538,3,FALSE),"")</f>
        <v/>
      </c>
      <c r="AY339" s="163" t="str">
        <f t="shared" si="33"/>
        <v/>
      </c>
      <c r="AZ339" s="122" t="str">
        <f>IFERROR($M339+VLOOKUP($L339,'Voyage days'!$F$540:$H$613,3,FALSE),"")</f>
        <v/>
      </c>
      <c r="BA339" s="122" t="str">
        <f>IFERROR($N339+VLOOKUP($L339,'Voyage days'!$F$540:$H$613,3,FALSE),"")</f>
        <v/>
      </c>
      <c r="BB339" s="163" t="str">
        <f t="shared" si="34"/>
        <v/>
      </c>
      <c r="BC339" s="122" t="str">
        <f>IFERROR($M339+VLOOKUP($L339,'Voyage days'!$F$448:$H$479,3,FALSE),"")</f>
        <v/>
      </c>
      <c r="BD339" s="122" t="str">
        <f>IFERROR($N339+VLOOKUP($L339,'Voyage days'!$F$448:$H$479,3,FALSE),"")</f>
        <v/>
      </c>
      <c r="BE339" s="163" t="str">
        <f t="shared" si="35"/>
        <v/>
      </c>
      <c r="BF339" s="122" t="str">
        <f>IFERROR($M339+VLOOKUP($L339,'Voyage days'!$F$620:$H$646,3,FALSE),"")</f>
        <v/>
      </c>
      <c r="BG339" s="122" t="str">
        <f>IFERROR($N339+VLOOKUP($L339,'Voyage days'!$F$620:$H$646,3,FALSE),"")</f>
        <v/>
      </c>
      <c r="BH339" s="163" t="str">
        <f t="shared" si="36"/>
        <v/>
      </c>
      <c r="BI339" s="123" t="str">
        <f>IFERROR($M339+VLOOKUP($L339,'Voyage days'!$F$702:$H$727,3,FALSE),"")</f>
        <v/>
      </c>
      <c r="BJ339" s="163" t="str">
        <f t="shared" si="37"/>
        <v/>
      </c>
      <c r="BK339" s="122" t="str">
        <f>IFERROR($M339+VLOOKUP($L339,'Voyage days'!$F$807:$H$878,3,FALSE),"")</f>
        <v/>
      </c>
      <c r="BL339" s="122" t="str">
        <f>IFERROR($N339+VLOOKUP($L339,'Voyage days'!$F$807:$H$878,3,FALSE),"")</f>
        <v/>
      </c>
      <c r="BM339" s="122" t="str">
        <f>IFERROR($N339+VLOOKUP($L339,'Voyage days'!$F$807:$K$878,6,FALSE),"")</f>
        <v/>
      </c>
      <c r="BN339" s="122" t="str">
        <f>if(L339="loads AG", IFERROR($M339+VLOOKUP($L339,'Voyage days'!$M$38:$O$38,3,FALSE),""),"")</f>
        <v/>
      </c>
      <c r="BO339" s="122" t="str">
        <f>if(L339="loads USG", IFERROR($M339+VLOOKUP($L339,'Voyage days'!$L$203:$N$203,3,FALSE),""),"")</f>
        <v/>
      </c>
    </row>
    <row r="340" ht="15.75" customHeight="1">
      <c r="A340" s="711" t="s">
        <v>389</v>
      </c>
      <c r="B340" s="712">
        <v>2002.0</v>
      </c>
      <c r="C340" s="477">
        <v>79514.0</v>
      </c>
      <c r="D340" s="485"/>
      <c r="E340" s="485" t="s">
        <v>706</v>
      </c>
      <c r="F340" s="479"/>
      <c r="G340" s="479"/>
      <c r="H340" s="479"/>
      <c r="I340" s="698" t="s">
        <v>1488</v>
      </c>
      <c r="J340" s="592" t="str">
        <f t="shared" si="55"/>
        <v/>
      </c>
      <c r="K340" s="699"/>
      <c r="L340" s="482" t="s">
        <v>1085</v>
      </c>
      <c r="M340" s="367">
        <v>46142.0</v>
      </c>
      <c r="N340" s="367">
        <v>46143.0</v>
      </c>
      <c r="O340" s="713" t="s">
        <v>1314</v>
      </c>
      <c r="P340" s="482" t="s">
        <v>1489</v>
      </c>
      <c r="Q340" s="698"/>
      <c r="R340" s="482" t="s">
        <v>1490</v>
      </c>
      <c r="S340" s="714" t="s">
        <v>33</v>
      </c>
      <c r="T340" s="486">
        <v>46125.0</v>
      </c>
      <c r="U340" s="703" t="str">
        <f>IF(V340="","No AIS",VLOOKUP(V340,'Voyage days'!$A$3:$B$1480,2,FALSE))</f>
        <v>WCI + 5</v>
      </c>
      <c r="V340" s="703" t="str">
        <f>IF(VLOOKUP(A340,'1) Kpler'!$E$2:$P$1000,8, FALSE)="","",VLOOKUP(A340,'1) Kpler'!$E$2:$P$1000,8, FALSE))</f>
        <v>Mumbai</v>
      </c>
      <c r="W340" s="704">
        <f>IF(VLOOKUP(A340,'1) Kpler'!$E$2:$P$1000,9,FALSE)="","",VLOOKUP(A340,'1) Kpler'!$E$2:$P$1000,9,FALSE))</f>
        <v>46132.875</v>
      </c>
      <c r="X340" s="703" t="str">
        <f>VLOOKUP(A340,'1) Kpler'!$E$2:$I$1000,4,FALSE)</f>
        <v>ballast</v>
      </c>
      <c r="Y340" s="249" t="str">
        <f t="shared" si="43"/>
        <v>05-06 May</v>
      </c>
      <c r="Z340" s="249" t="str">
        <f t="shared" si="44"/>
        <v/>
      </c>
      <c r="AA340" s="249" t="str">
        <f t="shared" si="45"/>
        <v>01-02 Jun</v>
      </c>
      <c r="AB340" s="249" t="str">
        <f t="shared" si="46"/>
        <v>19-20 May</v>
      </c>
      <c r="AC340" s="249" t="str">
        <f t="shared" si="47"/>
        <v>13-14 May</v>
      </c>
      <c r="AD340" s="249" t="str">
        <f t="shared" si="48"/>
        <v/>
      </c>
      <c r="AE340" s="715" t="str">
        <f t="shared" si="49"/>
        <v/>
      </c>
      <c r="AF340" s="716" t="str">
        <f t="shared" si="50"/>
        <v>04-05 Jun</v>
      </c>
      <c r="AG340" s="249" t="str">
        <f t="shared" si="51"/>
        <v>05-06 May</v>
      </c>
      <c r="AH340" s="250">
        <f>IFERROR($M340+VLOOKUP($L340,'Voyage days'!$F$38:$H$89,3,FALSE),"")</f>
        <v>46147</v>
      </c>
      <c r="AI340" s="250">
        <f>IFERROR(N340+VLOOKUP($L340,'Voyage days'!$F$38:$H$89,3,FALSE),"")</f>
        <v>46148</v>
      </c>
      <c r="AJ340" s="249" t="str">
        <f t="shared" si="28"/>
        <v/>
      </c>
      <c r="AK340" s="250" t="str">
        <f>IFERROR($M340+VLOOKUP($L340,'Voyage days'!$F$94:$H$193,3,FALSE),"")</f>
        <v/>
      </c>
      <c r="AL340" s="250" t="str">
        <f>IFERROR($N340+VLOOKUP($L340,'Voyage days'!$F$94:$H$193,3,FALSE),"")</f>
        <v/>
      </c>
      <c r="AM340" s="249" t="str">
        <f t="shared" si="29"/>
        <v>01-02 Jun</v>
      </c>
      <c r="AN340" s="250">
        <f>IFERROR($M340+VLOOKUP($L340,'Voyage days'!$F$203:$H$256,3,FALSE),"")</f>
        <v>46174</v>
      </c>
      <c r="AO340" s="250">
        <f>IFERROR($N340+VLOOKUP($L340,'Voyage days'!$F$203:$H$256,3,FALSE),"")</f>
        <v>46175</v>
      </c>
      <c r="AP340" s="249" t="str">
        <f t="shared" si="30"/>
        <v>19-20 May</v>
      </c>
      <c r="AQ340" s="250">
        <f>IFERROR($M340+VLOOKUP($L340,'Voyage days'!$F$294:$H$377,3,FALSE),"")</f>
        <v>46161</v>
      </c>
      <c r="AR340" s="250">
        <f>IFERROR($N340+VLOOKUP($L340,'Voyage days'!$F$294:$H$377,3,FALSE),"")</f>
        <v>46162</v>
      </c>
      <c r="AS340" s="249" t="str">
        <f t="shared" si="31"/>
        <v>13-14 May</v>
      </c>
      <c r="AT340" s="250">
        <f>IFERROR($M340+VLOOKUP($L340,'Voyage days'!$F$382:$H$446,3,FALSE),"")</f>
        <v>46155</v>
      </c>
      <c r="AU340" s="250">
        <f>IFERROR($N340+VLOOKUP($L340,'Voyage days'!$F$382:$H$446,3,FALSE),"")</f>
        <v>46156</v>
      </c>
      <c r="AV340" s="249" t="str">
        <f t="shared" si="32"/>
        <v/>
      </c>
      <c r="AW340" s="250" t="str">
        <f>IFERROR($M340+VLOOKUP($L340,'Voyage days'!$F$483:$H$538,3,FALSE),"")</f>
        <v/>
      </c>
      <c r="AX340" s="250" t="str">
        <f>IFERROR($N340+VLOOKUP($L340,'Voyage days'!$F$483:$H$538,3,FALSE),"")</f>
        <v/>
      </c>
      <c r="AY340" s="249" t="str">
        <f t="shared" si="33"/>
        <v/>
      </c>
      <c r="AZ340" s="250" t="str">
        <f>IFERROR($M340+VLOOKUP($L340,'Voyage days'!$F$540:$H$613,3,FALSE),"")</f>
        <v/>
      </c>
      <c r="BA340" s="250" t="str">
        <f>IFERROR($N340+VLOOKUP($L340,'Voyage days'!$F$540:$H$613,3,FALSE),"")</f>
        <v/>
      </c>
      <c r="BB340" s="249" t="str">
        <f t="shared" si="34"/>
        <v/>
      </c>
      <c r="BC340" s="250" t="str">
        <f>IFERROR($M340+VLOOKUP($L340,'Voyage days'!$F$448:$H$479,3,FALSE),"")</f>
        <v/>
      </c>
      <c r="BD340" s="250" t="str">
        <f>IFERROR($N340+VLOOKUP($L340,'Voyage days'!$F$448:$H$479,3,FALSE),"")</f>
        <v/>
      </c>
      <c r="BE340" s="249" t="str">
        <f t="shared" si="35"/>
        <v/>
      </c>
      <c r="BF340" s="250" t="str">
        <f>IFERROR($M340+VLOOKUP($L340,'Voyage days'!$F$620:$H$646,3,FALSE),"")</f>
        <v/>
      </c>
      <c r="BG340" s="250" t="str">
        <f>IFERROR($N340+VLOOKUP($L340,'Voyage days'!$F$620:$H$646,3,FALSE),"")</f>
        <v/>
      </c>
      <c r="BH340" s="249" t="str">
        <f t="shared" si="36"/>
        <v/>
      </c>
      <c r="BI340" s="251" t="str">
        <f>IFERROR($M340+VLOOKUP($L340,'Voyage days'!$F$702:$H$727,3,FALSE),"")</f>
        <v/>
      </c>
      <c r="BJ340" s="249" t="str">
        <f t="shared" si="37"/>
        <v>04-05 Jun</v>
      </c>
      <c r="BK340" s="250">
        <f>IFERROR($M340+VLOOKUP($L340,'Voyage days'!$F$807:$H$878,3,FALSE),"")</f>
        <v>46177</v>
      </c>
      <c r="BL340" s="250">
        <f>IFERROR($N340+VLOOKUP($L340,'Voyage days'!$F$807:$H$878,3,FALSE),"")</f>
        <v>46178</v>
      </c>
      <c r="BM340" s="250">
        <f>IFERROR($N340+VLOOKUP($L340,'Voyage days'!$F$807:$K$878,6,FALSE),"")</f>
        <v>46150</v>
      </c>
      <c r="BN340" s="250" t="str">
        <f>if(L340="loads AG", IFERROR($M340+VLOOKUP($L340,'Voyage days'!$M$38:$O$38,3,FALSE),""),"")</f>
        <v/>
      </c>
      <c r="BO340" s="250" t="str">
        <f>if(L340="loads USG", IFERROR($M340+VLOOKUP($L340,'Voyage days'!$L$203:$N$203,3,FALSE),""),"")</f>
        <v/>
      </c>
    </row>
    <row r="341" ht="15.75" customHeight="1">
      <c r="A341" s="717" t="s">
        <v>304</v>
      </c>
      <c r="B341" s="718">
        <v>38687.0</v>
      </c>
      <c r="C341" s="719">
        <v>78913.0</v>
      </c>
      <c r="D341" s="478"/>
      <c r="E341" s="478"/>
      <c r="F341" s="479"/>
      <c r="G341" s="479"/>
      <c r="H341" s="479"/>
      <c r="I341" s="698" t="s">
        <v>1491</v>
      </c>
      <c r="J341" s="592" t="str">
        <f t="shared" si="55"/>
        <v/>
      </c>
      <c r="K341" s="699"/>
      <c r="L341" s="482" t="s">
        <v>680</v>
      </c>
      <c r="M341" s="367">
        <v>46171.0</v>
      </c>
      <c r="N341" s="367">
        <v>46172.0</v>
      </c>
      <c r="O341" s="483"/>
      <c r="P341" s="482" t="s">
        <v>1492</v>
      </c>
      <c r="Q341" s="484"/>
      <c r="R341" s="482" t="s">
        <v>1493</v>
      </c>
      <c r="S341" s="485" t="s">
        <v>659</v>
      </c>
      <c r="T341" s="486">
        <v>46124.0</v>
      </c>
      <c r="U341" s="703" t="str">
        <f>IF(V341="","No AIS",VLOOKUP(V341,'Voyage days'!$A$3:$B$1480,2,FALSE))</f>
        <v>Singapore</v>
      </c>
      <c r="V341" s="703" t="str">
        <f>IF(VLOOKUP(A341,'1) Kpler'!$E$2:$P$1000,8, FALSE)="","",VLOOKUP(A341,'1) Kpler'!$E$2:$P$1000,8, FALSE))</f>
        <v>Singapore</v>
      </c>
      <c r="W341" s="704">
        <f>IF(VLOOKUP(A341,'1) Kpler'!$E$2:$P$1000,9,FALSE)="","",VLOOKUP(A341,'1) Kpler'!$E$2:$P$1000,9,FALSE))</f>
        <v>46133.15</v>
      </c>
      <c r="X341" s="703" t="str">
        <f>VLOOKUP(A341,'1) Kpler'!$E$2:$I$1000,4,FALSE)</f>
        <v>ballast</v>
      </c>
      <c r="Y341" s="249" t="str">
        <f t="shared" si="43"/>
        <v/>
      </c>
      <c r="Z341" s="249" t="str">
        <f t="shared" si="44"/>
        <v>29-30 May</v>
      </c>
      <c r="AA341" s="249" t="str">
        <f t="shared" si="45"/>
        <v>29-30 May</v>
      </c>
      <c r="AB341" s="249" t="str">
        <f t="shared" si="46"/>
        <v/>
      </c>
      <c r="AC341" s="249" t="str">
        <f t="shared" si="47"/>
        <v>18-19 Jun</v>
      </c>
      <c r="AD341" s="249" t="str">
        <f t="shared" si="48"/>
        <v/>
      </c>
      <c r="AE341" s="715" t="str">
        <f t="shared" si="49"/>
        <v/>
      </c>
      <c r="AF341" s="716" t="str">
        <f t="shared" si="50"/>
        <v/>
      </c>
      <c r="AG341" s="249" t="str">
        <f t="shared" si="51"/>
        <v/>
      </c>
      <c r="AH341" s="250" t="str">
        <f>IFERROR($M341+VLOOKUP($L341,'Voyage days'!$F$38:$H$89,3,FALSE),"")</f>
        <v/>
      </c>
      <c r="AI341" s="250" t="str">
        <f>IFERROR(N341+VLOOKUP($L341,'Voyage days'!$F$38:$H$89,3,FALSE),"")</f>
        <v/>
      </c>
      <c r="AJ341" s="249" t="str">
        <f t="shared" si="28"/>
        <v>29-30 May</v>
      </c>
      <c r="AK341" s="250">
        <f>IFERROR($M341+VLOOKUP($L341,'Voyage days'!$F$94:$H$193,3,FALSE),"")</f>
        <v>46171</v>
      </c>
      <c r="AL341" s="250">
        <f>IFERROR($N341+VLOOKUP($L341,'Voyage days'!$F$94:$H$193,3,FALSE),"")</f>
        <v>46172</v>
      </c>
      <c r="AM341" s="249" t="str">
        <f t="shared" si="29"/>
        <v>29-30 May</v>
      </c>
      <c r="AN341" s="250">
        <f>IFERROR($M341+VLOOKUP($L341,'Voyage days'!$F$203:$H$256,3,FALSE),"")</f>
        <v>46171</v>
      </c>
      <c r="AO341" s="250">
        <f>IFERROR($N341+VLOOKUP($L341,'Voyage days'!$F$203:$H$256,3,FALSE),"")</f>
        <v>46172</v>
      </c>
      <c r="AP341" s="249" t="str">
        <f t="shared" si="30"/>
        <v/>
      </c>
      <c r="AQ341" s="250" t="str">
        <f>IFERROR($M341+VLOOKUP($L341,'Voyage days'!$F$294:$H$377,3,FALSE),"")</f>
        <v/>
      </c>
      <c r="AR341" s="250" t="str">
        <f>IFERROR($N341+VLOOKUP($L341,'Voyage days'!$F$294:$H$377,3,FALSE),"")</f>
        <v/>
      </c>
      <c r="AS341" s="249" t="str">
        <f t="shared" si="31"/>
        <v>18-19 Jun</v>
      </c>
      <c r="AT341" s="250">
        <f>IFERROR($M341+VLOOKUP($L341,'Voyage days'!$F$382:$H$446,3,FALSE),"")</f>
        <v>46191</v>
      </c>
      <c r="AU341" s="250">
        <f>IFERROR($N341+VLOOKUP($L341,'Voyage days'!$F$382:$H$446,3,FALSE),"")</f>
        <v>46192</v>
      </c>
      <c r="AV341" s="249" t="str">
        <f t="shared" si="32"/>
        <v/>
      </c>
      <c r="AW341" s="250" t="str">
        <f>IFERROR($M341+VLOOKUP($L341,'Voyage days'!$F$483:$H$538,3,FALSE),"")</f>
        <v/>
      </c>
      <c r="AX341" s="250" t="str">
        <f>IFERROR($N341+VLOOKUP($L341,'Voyage days'!$F$483:$H$538,3,FALSE),"")</f>
        <v/>
      </c>
      <c r="AY341" s="249" t="str">
        <f t="shared" si="33"/>
        <v/>
      </c>
      <c r="AZ341" s="250" t="str">
        <f>IFERROR($M341+VLOOKUP($L341,'Voyage days'!$F$540:$H$613,3,FALSE),"")</f>
        <v/>
      </c>
      <c r="BA341" s="250" t="str">
        <f>IFERROR($N341+VLOOKUP($L341,'Voyage days'!$F$540:$H$613,3,FALSE),"")</f>
        <v/>
      </c>
      <c r="BB341" s="249" t="str">
        <f t="shared" si="34"/>
        <v/>
      </c>
      <c r="BC341" s="250" t="str">
        <f>IFERROR($M341+VLOOKUP($L341,'Voyage days'!$F$448:$H$479,3,FALSE),"")</f>
        <v/>
      </c>
      <c r="BD341" s="250" t="str">
        <f>IFERROR($N341+VLOOKUP($L341,'Voyage days'!$F$448:$H$479,3,FALSE),"")</f>
        <v/>
      </c>
      <c r="BE341" s="249" t="str">
        <f t="shared" si="35"/>
        <v/>
      </c>
      <c r="BF341" s="250" t="str">
        <f>IFERROR($M341+VLOOKUP($L341,'Voyage days'!$F$620:$H$646,3,FALSE),"")</f>
        <v/>
      </c>
      <c r="BG341" s="250" t="str">
        <f>IFERROR($N341+VLOOKUP($L341,'Voyage days'!$F$620:$H$646,3,FALSE),"")</f>
        <v/>
      </c>
      <c r="BH341" s="249" t="str">
        <f t="shared" si="36"/>
        <v/>
      </c>
      <c r="BI341" s="251" t="str">
        <f>IFERROR($M341+VLOOKUP($L341,'Voyage days'!$F$702:$H$727,3,FALSE),"")</f>
        <v/>
      </c>
      <c r="BJ341" s="249" t="str">
        <f t="shared" si="37"/>
        <v/>
      </c>
      <c r="BK341" s="250" t="str">
        <f>IFERROR($M341+VLOOKUP($L341,'Voyage days'!$F$807:$H$878,3,FALSE),"")</f>
        <v/>
      </c>
      <c r="BL341" s="250" t="str">
        <f>IFERROR($N341+VLOOKUP($L341,'Voyage days'!$F$807:$H$878,3,FALSE),"")</f>
        <v/>
      </c>
      <c r="BM341" s="250" t="str">
        <f>IFERROR($N341+VLOOKUP($L341,'Voyage days'!$F$807:$K$878,6,FALSE),"")</f>
        <v/>
      </c>
      <c r="BN341" s="250" t="str">
        <f>if(L341="loads AG", IFERROR($M341+VLOOKUP($L341,'Voyage days'!$M$38:$O$38,3,FALSE),""),"")</f>
        <v/>
      </c>
      <c r="BO341" s="250">
        <f>if(L341="loads USG", IFERROR($M341+VLOOKUP($L341,'Voyage days'!$L$203:$N$203,3,FALSE),""),"")</f>
        <v>46203</v>
      </c>
    </row>
    <row r="342" ht="15.75" customHeight="1">
      <c r="A342" s="100" t="s">
        <v>431</v>
      </c>
      <c r="B342" s="189">
        <v>37681.0</v>
      </c>
      <c r="C342" s="190">
        <v>78945.0</v>
      </c>
      <c r="D342" s="103"/>
      <c r="E342" s="103"/>
      <c r="F342" s="104"/>
      <c r="G342" s="104"/>
      <c r="H342" s="104"/>
      <c r="I342" s="108" t="s">
        <v>1494</v>
      </c>
      <c r="J342" s="106" t="str">
        <f t="shared" si="55"/>
        <v>Update</v>
      </c>
      <c r="K342" s="107"/>
      <c r="L342" s="108" t="s">
        <v>680</v>
      </c>
      <c r="M342" s="109">
        <v>46126.0</v>
      </c>
      <c r="N342" s="109">
        <v>46127.0</v>
      </c>
      <c r="O342" s="255"/>
      <c r="P342" s="108" t="s">
        <v>1495</v>
      </c>
      <c r="Q342" s="187"/>
      <c r="R342" s="187" t="s">
        <v>796</v>
      </c>
      <c r="S342" s="112" t="s">
        <v>659</v>
      </c>
      <c r="T342" s="486">
        <v>46124.0</v>
      </c>
      <c r="U342" s="114" t="str">
        <f>IF(V342="","No AIS",VLOOKUP(V342,'Voyage days'!$A$3:$B$1480,2,FALSE))</f>
        <v>#N/A</v>
      </c>
      <c r="V342" s="115" t="str">
        <f>IF(VLOOKUP(A342,'1) Kpler'!$E$2:$P$1000,8, FALSE)="","",VLOOKUP(A342,'1) Kpler'!$E$2:$P$1000,8, FALSE))</f>
        <v>Targa</v>
      </c>
      <c r="W342" s="116">
        <f>IF(VLOOKUP(A342,'1) Kpler'!$E$2:$P$1000,9,FALSE)="","",VLOOKUP(A342,'1) Kpler'!$E$2:$P$1000,9,FALSE))</f>
        <v>46133.125</v>
      </c>
      <c r="X342" s="115" t="str">
        <f>VLOOKUP(A342,'1) Kpler'!$E$2:$I$1000,4,FALSE)</f>
        <v>ballast</v>
      </c>
      <c r="Y342" s="160" t="str">
        <f t="shared" si="43"/>
        <v/>
      </c>
      <c r="Z342" s="160" t="str">
        <f t="shared" si="44"/>
        <v>14-15 Apr</v>
      </c>
      <c r="AA342" s="160" t="str">
        <f t="shared" si="45"/>
        <v>14-15 Apr</v>
      </c>
      <c r="AB342" s="160" t="str">
        <f t="shared" si="46"/>
        <v/>
      </c>
      <c r="AC342" s="160" t="str">
        <f t="shared" si="47"/>
        <v>04-05 May</v>
      </c>
      <c r="AD342" s="160" t="str">
        <f t="shared" si="48"/>
        <v/>
      </c>
      <c r="AE342" s="161" t="str">
        <f t="shared" si="49"/>
        <v/>
      </c>
      <c r="AF342" s="162" t="str">
        <f t="shared" si="50"/>
        <v/>
      </c>
      <c r="AG342" s="120" t="str">
        <f t="shared" si="51"/>
        <v/>
      </c>
      <c r="AH342" s="121" t="str">
        <f>IFERROR($M342+VLOOKUP($L342,'Voyage days'!$F$38:$H$89,3,FALSE),"")</f>
        <v/>
      </c>
      <c r="AI342" s="121" t="str">
        <f>IFERROR(N342+VLOOKUP($L342,'Voyage days'!$F$38:$H$89,3,FALSE),"")</f>
        <v/>
      </c>
      <c r="AJ342" s="120" t="str">
        <f t="shared" si="28"/>
        <v>14-15 Apr</v>
      </c>
      <c r="AK342" s="121">
        <f>IFERROR($M342+VLOOKUP($L342,'Voyage days'!$F$94:$H$193,3,FALSE),"")</f>
        <v>46126</v>
      </c>
      <c r="AL342" s="121">
        <f>IFERROR($N342+VLOOKUP($L342,'Voyage days'!$F$94:$H$193,3,FALSE),"")</f>
        <v>46127</v>
      </c>
      <c r="AM342" s="120" t="str">
        <f t="shared" si="29"/>
        <v>14-15 Apr</v>
      </c>
      <c r="AN342" s="121">
        <f>IFERROR($M342+VLOOKUP($L342,'Voyage days'!$F$203:$H$256,3,FALSE),"")</f>
        <v>46126</v>
      </c>
      <c r="AO342" s="121">
        <f>IFERROR($N342+VLOOKUP($L342,'Voyage days'!$F$203:$H$256,3,FALSE),"")</f>
        <v>46127</v>
      </c>
      <c r="AP342" s="120" t="str">
        <f t="shared" si="30"/>
        <v/>
      </c>
      <c r="AQ342" s="121" t="str">
        <f>IFERROR($M342+VLOOKUP($L342,'Voyage days'!$F$294:$H$377,3,FALSE),"")</f>
        <v/>
      </c>
      <c r="AR342" s="121" t="str">
        <f>IFERROR($N342+VLOOKUP($L342,'Voyage days'!$F$294:$H$377,3,FALSE),"")</f>
        <v/>
      </c>
      <c r="AS342" s="120" t="str">
        <f t="shared" si="31"/>
        <v>04-05 May</v>
      </c>
      <c r="AT342" s="121">
        <f>IFERROR($M342+VLOOKUP($L342,'Voyage days'!$F$382:$H$446,3,FALSE),"")</f>
        <v>46146</v>
      </c>
      <c r="AU342" s="121">
        <f>IFERROR($N342+VLOOKUP($L342,'Voyage days'!$F$382:$H$446,3,FALSE),"")</f>
        <v>46147</v>
      </c>
      <c r="AV342" s="120" t="str">
        <f t="shared" si="32"/>
        <v/>
      </c>
      <c r="AW342" s="121" t="str">
        <f>IFERROR($M342+VLOOKUP($L342,'Voyage days'!$F$483:$H$538,3,FALSE),"")</f>
        <v/>
      </c>
      <c r="AX342" s="121" t="str">
        <f>IFERROR($N342+VLOOKUP($L342,'Voyage days'!$F$483:$H$538,3,FALSE),"")</f>
        <v/>
      </c>
      <c r="AY342" s="120" t="str">
        <f t="shared" si="33"/>
        <v/>
      </c>
      <c r="AZ342" s="121" t="str">
        <f>IFERROR($M342+VLOOKUP($L342,'Voyage days'!$F$540:$H$613,3,FALSE),"")</f>
        <v/>
      </c>
      <c r="BA342" s="121" t="str">
        <f>IFERROR($N342+VLOOKUP($L342,'Voyage days'!$F$540:$H$613,3,FALSE),"")</f>
        <v/>
      </c>
      <c r="BB342" s="120" t="str">
        <f t="shared" si="34"/>
        <v/>
      </c>
      <c r="BC342" s="121" t="str">
        <f>IFERROR($M342+VLOOKUP($L342,'Voyage days'!$F$448:$H$479,3,FALSE),"")</f>
        <v/>
      </c>
      <c r="BD342" s="121" t="str">
        <f>IFERROR($N342+VLOOKUP($L342,'Voyage days'!$F$448:$H$479,3,FALSE),"")</f>
        <v/>
      </c>
      <c r="BE342" s="120" t="str">
        <f t="shared" si="35"/>
        <v/>
      </c>
      <c r="BF342" s="122" t="str">
        <f>IFERROR($M342+VLOOKUP($L342,'Voyage days'!$F$620:$H$646,3,FALSE),"")</f>
        <v/>
      </c>
      <c r="BG342" s="122" t="str">
        <f>IFERROR($N342+VLOOKUP($L342,'Voyage days'!$F$620:$H$646,3,FALSE),"")</f>
        <v/>
      </c>
      <c r="BH342" s="120" t="str">
        <f t="shared" si="36"/>
        <v/>
      </c>
      <c r="BI342" s="123" t="str">
        <f>IFERROR($M342+VLOOKUP($L342,'Voyage days'!$F$702:$H$727,3,FALSE),"")</f>
        <v/>
      </c>
      <c r="BJ342" s="120" t="str">
        <f t="shared" si="37"/>
        <v/>
      </c>
      <c r="BK342" s="122" t="str">
        <f>IFERROR($M342+VLOOKUP($L342,'Voyage days'!$F$807:$H$878,3,FALSE),"")</f>
        <v/>
      </c>
      <c r="BL342" s="122" t="str">
        <f>IFERROR($N342+VLOOKUP($L342,'Voyage days'!$F$807:$H$878,3,FALSE),"")</f>
        <v/>
      </c>
      <c r="BM342" s="122" t="str">
        <f>IFERROR($N342+VLOOKUP($L342,'Voyage days'!$F$807:$K$878,6,FALSE),"")</f>
        <v/>
      </c>
      <c r="BN342" s="121" t="str">
        <f>if(L342="loads AG", IFERROR($M342+VLOOKUP($L342,'Voyage days'!$M$38:$O$38,3,FALSE),""),"")</f>
        <v/>
      </c>
      <c r="BO342" s="121">
        <f>if(L342="loads USG", IFERROR($M342+VLOOKUP($L342,'Voyage days'!$L$203:$N$203,3,FALSE),""),"")</f>
        <v>46158</v>
      </c>
    </row>
    <row r="343" ht="15.75" customHeight="1">
      <c r="A343" s="720" t="s">
        <v>467</v>
      </c>
      <c r="B343" s="712">
        <v>2007.0</v>
      </c>
      <c r="C343" s="477">
        <v>84597.0</v>
      </c>
      <c r="D343" s="478"/>
      <c r="E343" s="478"/>
      <c r="F343" s="479"/>
      <c r="G343" s="479"/>
      <c r="H343" s="479"/>
      <c r="I343" s="482" t="s">
        <v>1496</v>
      </c>
      <c r="J343" s="592"/>
      <c r="K343" s="699"/>
      <c r="L343" s="700" t="s">
        <v>1039</v>
      </c>
      <c r="M343" s="367">
        <v>46129.0</v>
      </c>
      <c r="N343" s="367">
        <v>46130.0</v>
      </c>
      <c r="O343" s="483"/>
      <c r="P343" s="721" t="s">
        <v>1497</v>
      </c>
      <c r="Q343" s="484"/>
      <c r="R343" s="482" t="s">
        <v>1498</v>
      </c>
      <c r="S343" s="485" t="s">
        <v>659</v>
      </c>
      <c r="T343" s="486">
        <v>46124.0</v>
      </c>
      <c r="U343" s="703" t="str">
        <f>IF(V343="","No AIS",VLOOKUP(V343,'Voyage days'!$A$3:$B$1480,2,FALSE))</f>
        <v>AG</v>
      </c>
      <c r="V343" s="703" t="str">
        <f>IF(VLOOKUP(A343,'1) Kpler'!$E$2:$P$1000,8, FALSE)="","",VLOOKUP(A343,'1) Kpler'!$E$2:$P$1000,8, FALSE))</f>
        <v>Fujairah</v>
      </c>
      <c r="W343" s="704">
        <f>IF(VLOOKUP(A343,'1) Kpler'!$E$2:$P$1000,9,FALSE)="","",VLOOKUP(A343,'1) Kpler'!$E$2:$P$1000,9,FALSE))</f>
        <v>46132.625</v>
      </c>
      <c r="X343" s="703" t="str">
        <f>VLOOKUP(A343,'1) Kpler'!$E$2:$I$1000,4,FALSE)</f>
        <v>ballast</v>
      </c>
      <c r="Y343" s="705" t="str">
        <f t="shared" si="43"/>
        <v/>
      </c>
      <c r="Z343" s="705" t="str">
        <f t="shared" si="44"/>
        <v/>
      </c>
      <c r="AA343" s="705" t="str">
        <f t="shared" si="45"/>
        <v/>
      </c>
      <c r="AB343" s="705" t="str">
        <f t="shared" si="46"/>
        <v/>
      </c>
      <c r="AC343" s="705" t="str">
        <f t="shared" si="47"/>
        <v>30-01 May</v>
      </c>
      <c r="AD343" s="705" t="str">
        <f t="shared" si="48"/>
        <v/>
      </c>
      <c r="AE343" s="705" t="str">
        <f t="shared" si="49"/>
        <v/>
      </c>
      <c r="AF343" s="707" t="str">
        <f t="shared" si="50"/>
        <v/>
      </c>
      <c r="AG343" s="249" t="str">
        <f t="shared" si="51"/>
        <v/>
      </c>
      <c r="AH343" s="250" t="str">
        <f>IFERROR($M343+VLOOKUP($L343,'Voyage days'!$F$38:$H$89,3,FALSE),"")</f>
        <v/>
      </c>
      <c r="AI343" s="250" t="str">
        <f>IFERROR(N343+VLOOKUP($L343,'Voyage days'!$F$38:$H$89,3,FALSE),"")</f>
        <v/>
      </c>
      <c r="AJ343" s="249" t="str">
        <f t="shared" si="28"/>
        <v/>
      </c>
      <c r="AK343" s="250" t="str">
        <f>IFERROR($M343+VLOOKUP($L343,'Voyage days'!$F$94:$H$193,3,FALSE),"")</f>
        <v/>
      </c>
      <c r="AL343" s="250" t="str">
        <f>IFERROR($N343+VLOOKUP($L343,'Voyage days'!$F$94:$H$193,3,FALSE),"")</f>
        <v/>
      </c>
      <c r="AM343" s="249" t="str">
        <f t="shared" si="29"/>
        <v/>
      </c>
      <c r="AN343" s="250" t="str">
        <f>IFERROR($M343+VLOOKUP($L343,'Voyage days'!$F$203:$H$256,3,FALSE),"")</f>
        <v/>
      </c>
      <c r="AO343" s="250" t="str">
        <f>IFERROR($N343+VLOOKUP($L343,'Voyage days'!$F$203:$H$256,3,FALSE),"")</f>
        <v/>
      </c>
      <c r="AP343" s="249" t="str">
        <f t="shared" si="30"/>
        <v/>
      </c>
      <c r="AQ343" s="250" t="str">
        <f>IFERROR($M343+VLOOKUP($L343,'Voyage days'!$F$294:$H$377,3,FALSE),"")</f>
        <v/>
      </c>
      <c r="AR343" s="250" t="str">
        <f>IFERROR($N343+VLOOKUP($L343,'Voyage days'!$F$294:$H$377,3,FALSE),"")</f>
        <v/>
      </c>
      <c r="AS343" s="249" t="str">
        <f t="shared" si="31"/>
        <v>30-01 May</v>
      </c>
      <c r="AT343" s="250">
        <f>IFERROR($M343+VLOOKUP($L343,'Voyage days'!$F$382:$H$446,3,FALSE),"")</f>
        <v>46142</v>
      </c>
      <c r="AU343" s="250">
        <f>IFERROR($N343+VLOOKUP($L343,'Voyage days'!$F$382:$H$446,3,FALSE),"")</f>
        <v>46143</v>
      </c>
      <c r="AV343" s="249" t="str">
        <f t="shared" si="32"/>
        <v/>
      </c>
      <c r="AW343" s="250" t="str">
        <f>IFERROR($M343+VLOOKUP($L343,'Voyage days'!$F$483:$H$538,3,FALSE),"")</f>
        <v/>
      </c>
      <c r="AX343" s="250" t="str">
        <f>IFERROR($N343+VLOOKUP($L343,'Voyage days'!$F$483:$H$538,3,FALSE),"")</f>
        <v/>
      </c>
      <c r="AY343" s="249" t="str">
        <f t="shared" si="33"/>
        <v/>
      </c>
      <c r="AZ343" s="250" t="str">
        <f>IFERROR($M343+VLOOKUP($L343,'Voyage days'!$F$540:$H$613,3,FALSE),"")</f>
        <v/>
      </c>
      <c r="BA343" s="250" t="str">
        <f>IFERROR($N343+VLOOKUP($L343,'Voyage days'!$F$540:$H$613,3,FALSE),"")</f>
        <v/>
      </c>
      <c r="BB343" s="249" t="str">
        <f t="shared" si="34"/>
        <v/>
      </c>
      <c r="BC343" s="250" t="str">
        <f>IFERROR($M343+VLOOKUP($L343,'Voyage days'!$F$448:$H$479,3,FALSE),"")</f>
        <v/>
      </c>
      <c r="BD343" s="250" t="str">
        <f>IFERROR($N343+VLOOKUP($L343,'Voyage days'!$F$448:$H$479,3,FALSE),"")</f>
        <v/>
      </c>
      <c r="BE343" s="249" t="str">
        <f t="shared" si="35"/>
        <v/>
      </c>
      <c r="BF343" s="250" t="str">
        <f>IFERROR($M343+VLOOKUP($L343,'Voyage days'!$F$620:$H$646,3,FALSE),"")</f>
        <v/>
      </c>
      <c r="BG343" s="250" t="str">
        <f>IFERROR($N343+VLOOKUP($L343,'Voyage days'!$F$620:$H$646,3,FALSE),"")</f>
        <v/>
      </c>
      <c r="BH343" s="249" t="str">
        <f t="shared" si="36"/>
        <v/>
      </c>
      <c r="BI343" s="563" t="str">
        <f>IFERROR($M343+VLOOKUP($L343,'Voyage days'!$F$702:$H$727,3,FALSE),"")</f>
        <v/>
      </c>
      <c r="BJ343" s="249" t="str">
        <f t="shared" si="37"/>
        <v/>
      </c>
      <c r="BK343" s="250" t="str">
        <f>IFERROR($M343+VLOOKUP($L343,'Voyage days'!$F$807:$H$878,3,FALSE),"")</f>
        <v/>
      </c>
      <c r="BL343" s="250" t="str">
        <f>IFERROR($N343+VLOOKUP($L343,'Voyage days'!$F$807:$H$878,3,FALSE),"")</f>
        <v/>
      </c>
      <c r="BM343" s="250" t="str">
        <f>IFERROR($N343+VLOOKUP($L343,'Voyage days'!$F$807:$K$878,6,FALSE),"")</f>
        <v/>
      </c>
      <c r="BN343" s="250" t="str">
        <f>if(L343="loads AG", IFERROR($M343+VLOOKUP($L343,'Voyage days'!$M$38:$O$38,3,FALSE),""),"")</f>
        <v/>
      </c>
      <c r="BO343" s="250" t="str">
        <f>if(L343="loads USG", IFERROR($M343+VLOOKUP($L343,'Voyage days'!$L$203:$N$203,3,FALSE),""),"")</f>
        <v/>
      </c>
      <c r="BP343" s="722"/>
    </row>
    <row r="344" ht="15.75" customHeight="1">
      <c r="A344" s="80" t="s">
        <v>496</v>
      </c>
      <c r="B344" s="148">
        <v>2020.0</v>
      </c>
      <c r="C344" s="102">
        <v>82416.0</v>
      </c>
      <c r="D344" s="103"/>
      <c r="E344" s="103"/>
      <c r="F344" s="104"/>
      <c r="G344" s="104"/>
      <c r="H344" s="104" t="s">
        <v>689</v>
      </c>
      <c r="I344" s="295" t="s">
        <v>1499</v>
      </c>
      <c r="J344" s="106" t="str">
        <f>IF(W344="","NO AIS",IF((W344-M344-1)&gt;0,"Update",""))</f>
        <v>Update</v>
      </c>
      <c r="K344" s="107"/>
      <c r="L344" s="349" t="s">
        <v>671</v>
      </c>
      <c r="M344" s="109">
        <v>46132.0</v>
      </c>
      <c r="N344" s="391">
        <v>46133.0</v>
      </c>
      <c r="O344" s="191"/>
      <c r="P344" s="108" t="s">
        <v>1500</v>
      </c>
      <c r="Q344" s="153"/>
      <c r="R344" s="108" t="s">
        <v>1501</v>
      </c>
      <c r="S344" s="485" t="s">
        <v>659</v>
      </c>
      <c r="T344" s="486">
        <v>46124.0</v>
      </c>
      <c r="U344" s="114" t="str">
        <f>IF(V344="","No AIS",VLOOKUP(V344,'Voyage days'!$A$3:$B$1480,2,FALSE))</f>
        <v>USG</v>
      </c>
      <c r="V344" s="115" t="str">
        <f>IF(VLOOKUP(A344,'1) Kpler'!$E$2:$P$1000,8, FALSE)="","",VLOOKUP(A344,'1) Kpler'!$E$2:$P$1000,8, FALSE))</f>
        <v>Houston</v>
      </c>
      <c r="W344" s="116">
        <f>IF(VLOOKUP(A344,'1) Kpler'!$E$2:$P$1000,9,FALSE)="","",VLOOKUP(A344,'1) Kpler'!$E$2:$P$1000,9,FALSE))</f>
        <v>46153.95833</v>
      </c>
      <c r="X344" s="115" t="str">
        <f>VLOOKUP(A344,'1) Kpler'!$E$2:$I$1000,4,FALSE)</f>
        <v>ballast</v>
      </c>
      <c r="Y344" s="160" t="str">
        <f t="shared" si="43"/>
        <v/>
      </c>
      <c r="Z344" s="160" t="str">
        <f t="shared" si="44"/>
        <v/>
      </c>
      <c r="AA344" s="160" t="str">
        <f t="shared" si="45"/>
        <v>11-12 May</v>
      </c>
      <c r="AB344" s="160" t="str">
        <f t="shared" si="46"/>
        <v>30-01 May</v>
      </c>
      <c r="AC344" s="160" t="str">
        <f t="shared" si="47"/>
        <v>06-07 May</v>
      </c>
      <c r="AD344" s="160" t="str">
        <f t="shared" si="48"/>
        <v>06-07 May</v>
      </c>
      <c r="AE344" s="161" t="str">
        <f t="shared" si="49"/>
        <v/>
      </c>
      <c r="AF344" s="162" t="str">
        <f t="shared" si="50"/>
        <v>13-14 May</v>
      </c>
      <c r="AG344" s="120" t="str">
        <f t="shared" si="51"/>
        <v/>
      </c>
      <c r="AH344" s="121" t="str">
        <f>IFERROR($M344+VLOOKUP($L344,'Voyage days'!$F$38:$H$89,3,FALSE),"")</f>
        <v/>
      </c>
      <c r="AI344" s="121" t="str">
        <f>IFERROR(N344+VLOOKUP($L344,'Voyage days'!$F$38:$H$89,3,FALSE),"")</f>
        <v/>
      </c>
      <c r="AJ344" s="120" t="str">
        <f t="shared" si="28"/>
        <v/>
      </c>
      <c r="AK344" s="121" t="str">
        <f>IFERROR($M344+VLOOKUP($L344,'Voyage days'!$F$94:$H$193,3,FALSE),"")</f>
        <v/>
      </c>
      <c r="AL344" s="121" t="str">
        <f>IFERROR($N344+VLOOKUP($L344,'Voyage days'!$F$94:$H$193,3,FALSE),"")</f>
        <v/>
      </c>
      <c r="AM344" s="120" t="str">
        <f t="shared" si="29"/>
        <v>11-12 May</v>
      </c>
      <c r="AN344" s="121">
        <f>IFERROR($M344+VLOOKUP($L344,'Voyage days'!$F$203:$H$256,3,FALSE),"")</f>
        <v>46153</v>
      </c>
      <c r="AO344" s="121">
        <f>IFERROR($N344+VLOOKUP($L344,'Voyage days'!$F$203:$H$256,3,FALSE),"")</f>
        <v>46154</v>
      </c>
      <c r="AP344" s="120" t="str">
        <f t="shared" si="30"/>
        <v>30-01 May</v>
      </c>
      <c r="AQ344" s="121">
        <f>IFERROR($M344+VLOOKUP($L344,'Voyage days'!$F$294:$H$377,3,FALSE),"")</f>
        <v>46142</v>
      </c>
      <c r="AR344" s="121">
        <f>IFERROR($N344+VLOOKUP($L344,'Voyage days'!$F$294:$H$377,3,FALSE),"")</f>
        <v>46143</v>
      </c>
      <c r="AS344" s="120" t="str">
        <f t="shared" si="31"/>
        <v>06-07 May</v>
      </c>
      <c r="AT344" s="121">
        <f>IFERROR($M344+VLOOKUP($L344,'Voyage days'!$F$382:$H$446,3,FALSE),"")</f>
        <v>46148</v>
      </c>
      <c r="AU344" s="121">
        <f>IFERROR($N344+VLOOKUP($L344,'Voyage days'!$F$382:$H$446,3,FALSE),"")</f>
        <v>46149</v>
      </c>
      <c r="AV344" s="120" t="str">
        <f t="shared" si="32"/>
        <v/>
      </c>
      <c r="AW344" s="121" t="str">
        <f>IFERROR($M344+VLOOKUP($L344,'Voyage days'!$F$483:$H$538,3,FALSE),"")</f>
        <v/>
      </c>
      <c r="AX344" s="121" t="str">
        <f>IFERROR($N344+VLOOKUP($L344,'Voyage days'!$F$483:$H$538,3,FALSE),"")</f>
        <v/>
      </c>
      <c r="AY344" s="120" t="str">
        <f t="shared" si="33"/>
        <v/>
      </c>
      <c r="AZ344" s="121" t="str">
        <f>IFERROR($M344+VLOOKUP($L344,'Voyage days'!$F$540:$H$613,3,FALSE),"")</f>
        <v/>
      </c>
      <c r="BA344" s="121" t="str">
        <f>IFERROR($N344+VLOOKUP($L344,'Voyage days'!$F$540:$H$613,3,FALSE),"")</f>
        <v/>
      </c>
      <c r="BB344" s="120" t="str">
        <f t="shared" si="34"/>
        <v>06-07 May</v>
      </c>
      <c r="BC344" s="121">
        <f>IFERROR($M344+VLOOKUP($L344,'Voyage days'!$F$448:$H$479,3,FALSE),"")</f>
        <v>46148</v>
      </c>
      <c r="BD344" s="121">
        <f>IFERROR($N344+VLOOKUP($L344,'Voyage days'!$F$448:$H$479,3,FALSE),"")</f>
        <v>46149</v>
      </c>
      <c r="BE344" s="120" t="str">
        <f t="shared" si="35"/>
        <v/>
      </c>
      <c r="BF344" s="122" t="str">
        <f>IFERROR($M344+VLOOKUP($L344,'Voyage days'!$F$620:$H$646,3,FALSE),"")</f>
        <v/>
      </c>
      <c r="BG344" s="122" t="str">
        <f>IFERROR($N344+VLOOKUP($L344,'Voyage days'!$F$620:$H$646,3,FALSE),"")</f>
        <v/>
      </c>
      <c r="BH344" s="120" t="str">
        <f t="shared" si="36"/>
        <v/>
      </c>
      <c r="BI344" s="123" t="str">
        <f>IFERROR($M344+VLOOKUP($L344,'Voyage days'!$F$702:$H$727,3,FALSE),"")</f>
        <v/>
      </c>
      <c r="BJ344" s="120" t="str">
        <f t="shared" si="37"/>
        <v>13-14 May</v>
      </c>
      <c r="BK344" s="122">
        <f>IFERROR($M344+VLOOKUP($L344,'Voyage days'!$F$807:$H$878,3,FALSE),"")</f>
        <v>46155</v>
      </c>
      <c r="BL344" s="122">
        <f>IFERROR($N344+VLOOKUP($L344,'Voyage days'!$F$807:$H$878,3,FALSE),"")</f>
        <v>46156</v>
      </c>
      <c r="BM344" s="122">
        <f>IFERROR($N344+VLOOKUP($L344,'Voyage days'!$F$807:$K$878,6,FALSE),"")</f>
        <v>46133</v>
      </c>
      <c r="BN344" s="121" t="str">
        <f>if(L344="loads AG", IFERROR($M344+VLOOKUP($L344,'Voyage days'!$M$38:$O$38,3,FALSE),""),"")</f>
        <v/>
      </c>
      <c r="BO344" s="121" t="str">
        <f>if(L344="loads USG", IFERROR($M344+VLOOKUP($L344,'Voyage days'!$L$203:$N$203,3,FALSE),""),"")</f>
        <v/>
      </c>
    </row>
    <row r="345" ht="15.75" customHeight="1">
      <c r="A345" s="341"/>
      <c r="B345" s="341"/>
      <c r="C345" s="102"/>
      <c r="D345" s="148"/>
      <c r="E345" s="148"/>
      <c r="F345" s="488"/>
      <c r="G345" s="488"/>
      <c r="H345" s="488"/>
      <c r="I345" s="341"/>
      <c r="J345" s="148"/>
      <c r="K345" s="723"/>
      <c r="L345" s="341"/>
      <c r="M345" s="341"/>
      <c r="N345" s="341"/>
      <c r="O345" s="148"/>
      <c r="P345" s="341"/>
      <c r="Q345" s="341"/>
      <c r="R345" s="341"/>
      <c r="S345" s="341"/>
      <c r="T345" s="148"/>
      <c r="U345" s="488"/>
      <c r="V345" s="676"/>
      <c r="W345" s="724"/>
      <c r="X345" s="452"/>
      <c r="Y345" s="341"/>
      <c r="Z345" s="341"/>
      <c r="AA345" s="341"/>
      <c r="AB345" s="341"/>
      <c r="AC345" s="341"/>
      <c r="AD345" s="341"/>
      <c r="AE345" s="341"/>
      <c r="AF345" s="86"/>
      <c r="AG345" s="341"/>
      <c r="AH345" s="341"/>
      <c r="AI345" s="341"/>
      <c r="AJ345" s="341"/>
      <c r="AK345" s="341"/>
      <c r="AL345" s="341"/>
      <c r="AM345" s="148"/>
      <c r="AN345" s="341"/>
      <c r="AO345" s="341"/>
      <c r="AP345" s="341"/>
      <c r="AQ345" s="341"/>
      <c r="AR345" s="341"/>
      <c r="AS345" s="341"/>
      <c r="AT345" s="341"/>
      <c r="AU345" s="341"/>
      <c r="AV345" s="341"/>
      <c r="AW345" s="341"/>
      <c r="AX345" s="341"/>
      <c r="AY345" s="341"/>
      <c r="AZ345" s="341"/>
      <c r="BA345" s="341"/>
      <c r="BB345" s="341"/>
      <c r="BC345" s="341"/>
      <c r="BD345" s="341"/>
      <c r="BE345" s="341"/>
      <c r="BF345" s="341"/>
      <c r="BG345" s="147"/>
      <c r="BH345" s="147"/>
      <c r="BI345" s="606"/>
      <c r="BJ345" s="341"/>
      <c r="BK345" s="341"/>
      <c r="BL345" s="147"/>
      <c r="BM345" s="341"/>
      <c r="BN345" s="341"/>
      <c r="BO345" s="341"/>
    </row>
    <row r="346" ht="15.75" customHeight="1">
      <c r="A346" s="341"/>
      <c r="B346" s="341"/>
      <c r="C346" s="102"/>
      <c r="D346" s="148"/>
      <c r="E346" s="148"/>
      <c r="F346" s="488"/>
      <c r="G346" s="488"/>
      <c r="H346" s="488"/>
      <c r="I346" s="341"/>
      <c r="J346" s="148"/>
      <c r="K346" s="723"/>
      <c r="L346" s="341"/>
      <c r="M346" s="341"/>
      <c r="N346" s="341"/>
      <c r="O346" s="148"/>
      <c r="P346" s="341"/>
      <c r="Q346" s="341"/>
      <c r="R346" s="341"/>
      <c r="S346" s="341"/>
      <c r="T346" s="148"/>
      <c r="U346" s="488"/>
      <c r="V346" s="676"/>
      <c r="W346" s="724"/>
      <c r="X346" s="452"/>
      <c r="Y346" s="341"/>
      <c r="Z346" s="341"/>
      <c r="AA346" s="341"/>
      <c r="AB346" s="341"/>
      <c r="AC346" s="341"/>
      <c r="AD346" s="341"/>
      <c r="AE346" s="341"/>
      <c r="AF346" s="86"/>
      <c r="AG346" s="341"/>
      <c r="AH346" s="341"/>
      <c r="AI346" s="341"/>
      <c r="AJ346" s="341"/>
      <c r="AK346" s="341"/>
      <c r="AL346" s="341"/>
      <c r="AM346" s="148"/>
      <c r="AN346" s="341"/>
      <c r="AO346" s="341"/>
      <c r="AP346" s="341"/>
      <c r="AQ346" s="341"/>
      <c r="AR346" s="341"/>
      <c r="AS346" s="341"/>
      <c r="AT346" s="341"/>
      <c r="AU346" s="341"/>
      <c r="AV346" s="341"/>
      <c r="AW346" s="341"/>
      <c r="AX346" s="341"/>
      <c r="AY346" s="341"/>
      <c r="AZ346" s="341"/>
      <c r="BA346" s="341"/>
      <c r="BB346" s="341"/>
      <c r="BC346" s="341"/>
      <c r="BD346" s="341"/>
      <c r="BE346" s="341"/>
      <c r="BF346" s="341"/>
      <c r="BG346" s="147"/>
      <c r="BH346" s="147"/>
      <c r="BI346" s="606"/>
      <c r="BJ346" s="341"/>
      <c r="BK346" s="341"/>
      <c r="BL346" s="147"/>
      <c r="BM346" s="341"/>
      <c r="BN346" s="341"/>
      <c r="BO346" s="341"/>
    </row>
    <row r="347" ht="15.75" customHeight="1">
      <c r="A347" s="341"/>
      <c r="B347" s="341"/>
      <c r="C347" s="102"/>
      <c r="D347" s="148"/>
      <c r="E347" s="148"/>
      <c r="F347" s="488"/>
      <c r="G347" s="488"/>
      <c r="H347" s="488"/>
      <c r="I347" s="341"/>
      <c r="J347" s="148"/>
      <c r="K347" s="723"/>
      <c r="L347" s="341"/>
      <c r="M347" s="341"/>
      <c r="N347" s="341"/>
      <c r="O347" s="148"/>
      <c r="P347" s="341"/>
      <c r="Q347" s="341"/>
      <c r="R347" s="341"/>
      <c r="S347" s="341"/>
      <c r="T347" s="148"/>
      <c r="U347" s="488"/>
      <c r="V347" s="676"/>
      <c r="W347" s="724"/>
      <c r="X347" s="452"/>
      <c r="Y347" s="341"/>
      <c r="Z347" s="341"/>
      <c r="AA347" s="341"/>
      <c r="AB347" s="341"/>
      <c r="AC347" s="341"/>
      <c r="AD347" s="341"/>
      <c r="AE347" s="341"/>
      <c r="AF347" s="86"/>
      <c r="AG347" s="341"/>
      <c r="AH347" s="341"/>
      <c r="AI347" s="341"/>
      <c r="AJ347" s="341"/>
      <c r="AK347" s="341"/>
      <c r="AL347" s="341"/>
      <c r="AM347" s="148"/>
      <c r="AN347" s="341"/>
      <c r="AO347" s="341"/>
      <c r="AP347" s="341"/>
      <c r="AQ347" s="341"/>
      <c r="AR347" s="341"/>
      <c r="AS347" s="341"/>
      <c r="AT347" s="341"/>
      <c r="AU347" s="341"/>
      <c r="AV347" s="341"/>
      <c r="AW347" s="341"/>
      <c r="AX347" s="341"/>
      <c r="AY347" s="341"/>
      <c r="AZ347" s="341"/>
      <c r="BA347" s="341"/>
      <c r="BB347" s="341"/>
      <c r="BC347" s="341"/>
      <c r="BD347" s="341"/>
      <c r="BE347" s="341"/>
      <c r="BF347" s="341"/>
      <c r="BG347" s="147"/>
      <c r="BH347" s="147"/>
      <c r="BI347" s="606"/>
      <c r="BJ347" s="341"/>
      <c r="BK347" s="341"/>
      <c r="BL347" s="147"/>
      <c r="BM347" s="341"/>
      <c r="BN347" s="341"/>
      <c r="BO347" s="341"/>
    </row>
    <row r="348" ht="15.75" customHeight="1">
      <c r="A348" s="342"/>
      <c r="B348" s="341"/>
      <c r="C348" s="102"/>
      <c r="D348" s="148"/>
      <c r="E348" s="148"/>
      <c r="F348" s="488"/>
      <c r="G348" s="488"/>
      <c r="H348" s="488"/>
      <c r="I348" s="341"/>
      <c r="J348" s="148"/>
      <c r="K348" s="723"/>
      <c r="L348" s="341"/>
      <c r="M348" s="341"/>
      <c r="N348" s="341"/>
      <c r="O348" s="148"/>
      <c r="P348" s="341"/>
      <c r="Q348" s="341"/>
      <c r="R348" s="341"/>
      <c r="S348" s="341"/>
      <c r="T348" s="148"/>
      <c r="U348" s="488"/>
      <c r="V348" s="676"/>
      <c r="W348" s="724"/>
      <c r="X348" s="452"/>
      <c r="Y348" s="341"/>
      <c r="Z348" s="341"/>
      <c r="AA348" s="341"/>
      <c r="AB348" s="341"/>
      <c r="AC348" s="341"/>
      <c r="AD348" s="341"/>
      <c r="AE348" s="341"/>
      <c r="AF348" s="86"/>
      <c r="AG348" s="341"/>
      <c r="AH348" s="341"/>
      <c r="AI348" s="341"/>
      <c r="AJ348" s="341"/>
      <c r="AK348" s="341"/>
      <c r="AL348" s="341"/>
      <c r="AM348" s="148"/>
      <c r="AN348" s="341"/>
      <c r="AO348" s="341"/>
      <c r="AP348" s="341"/>
      <c r="AQ348" s="341"/>
      <c r="AR348" s="341"/>
      <c r="AS348" s="341"/>
      <c r="AT348" s="341"/>
      <c r="AU348" s="341"/>
      <c r="AV348" s="341"/>
      <c r="AW348" s="341"/>
      <c r="AX348" s="341"/>
      <c r="AY348" s="341"/>
      <c r="AZ348" s="341"/>
      <c r="BA348" s="341"/>
      <c r="BB348" s="341"/>
      <c r="BC348" s="341"/>
      <c r="BD348" s="341"/>
      <c r="BE348" s="341"/>
      <c r="BF348" s="341"/>
      <c r="BG348" s="147"/>
      <c r="BH348" s="147"/>
      <c r="BI348" s="606"/>
      <c r="BJ348" s="341"/>
      <c r="BK348" s="341"/>
      <c r="BL348" s="147"/>
      <c r="BM348" s="341"/>
      <c r="BN348" s="341"/>
      <c r="BO348" s="341"/>
    </row>
    <row r="349" ht="15.75" customHeight="1">
      <c r="A349" s="341"/>
      <c r="B349" s="341"/>
      <c r="C349" s="102"/>
      <c r="D349" s="148"/>
      <c r="E349" s="148"/>
      <c r="F349" s="488"/>
      <c r="G349" s="488"/>
      <c r="H349" s="488"/>
      <c r="I349" s="341"/>
      <c r="J349" s="148"/>
      <c r="K349" s="723"/>
      <c r="L349" s="341"/>
      <c r="M349" s="341"/>
      <c r="N349" s="341"/>
      <c r="O349" s="148"/>
      <c r="P349" s="341"/>
      <c r="Q349" s="341"/>
      <c r="R349" s="341"/>
      <c r="S349" s="341"/>
      <c r="T349" s="148"/>
      <c r="U349" s="488"/>
      <c r="V349" s="676"/>
      <c r="W349" s="724"/>
      <c r="X349" s="452"/>
      <c r="Y349" s="341"/>
      <c r="Z349" s="341"/>
      <c r="AA349" s="341"/>
      <c r="AB349" s="341"/>
      <c r="AC349" s="341"/>
      <c r="AD349" s="341"/>
      <c r="AE349" s="341"/>
      <c r="AF349" s="86"/>
      <c r="AG349" s="341"/>
      <c r="AH349" s="341"/>
      <c r="AI349" s="341"/>
      <c r="AJ349" s="341"/>
      <c r="AK349" s="341"/>
      <c r="AL349" s="341"/>
      <c r="AM349" s="148"/>
      <c r="AN349" s="341"/>
      <c r="AO349" s="341"/>
      <c r="AP349" s="341"/>
      <c r="AQ349" s="341"/>
      <c r="AR349" s="341"/>
      <c r="AS349" s="341"/>
      <c r="AT349" s="341"/>
      <c r="AU349" s="341"/>
      <c r="AV349" s="341"/>
      <c r="AW349" s="341"/>
      <c r="AX349" s="341"/>
      <c r="AY349" s="341"/>
      <c r="AZ349" s="341"/>
      <c r="BA349" s="341"/>
      <c r="BB349" s="341"/>
      <c r="BC349" s="341"/>
      <c r="BD349" s="341"/>
      <c r="BE349" s="341"/>
      <c r="BF349" s="341"/>
      <c r="BG349" s="147"/>
      <c r="BH349" s="147"/>
      <c r="BI349" s="606"/>
      <c r="BJ349" s="341"/>
      <c r="BK349" s="341"/>
      <c r="BL349" s="147"/>
      <c r="BM349" s="341"/>
      <c r="BN349" s="341"/>
      <c r="BO349" s="341"/>
    </row>
    <row r="350" ht="15.75" customHeight="1">
      <c r="A350" s="341"/>
      <c r="B350" s="341"/>
      <c r="C350" s="102"/>
      <c r="D350" s="148"/>
      <c r="E350" s="148"/>
      <c r="F350" s="488"/>
      <c r="G350" s="488"/>
      <c r="H350" s="488"/>
      <c r="I350" s="341"/>
      <c r="J350" s="148"/>
      <c r="K350" s="723"/>
      <c r="L350" s="341"/>
      <c r="M350" s="341"/>
      <c r="N350" s="341"/>
      <c r="O350" s="148"/>
      <c r="P350" s="341"/>
      <c r="Q350" s="341"/>
      <c r="R350" s="341"/>
      <c r="S350" s="341"/>
      <c r="T350" s="148"/>
      <c r="U350" s="488"/>
      <c r="V350" s="676"/>
      <c r="W350" s="724"/>
      <c r="X350" s="452"/>
      <c r="Y350" s="341"/>
      <c r="Z350" s="341"/>
      <c r="AA350" s="341"/>
      <c r="AB350" s="341"/>
      <c r="AC350" s="341"/>
      <c r="AD350" s="341"/>
      <c r="AE350" s="341"/>
      <c r="AF350" s="86"/>
      <c r="AG350" s="341"/>
      <c r="AH350" s="341"/>
      <c r="AI350" s="341"/>
      <c r="AJ350" s="341"/>
      <c r="AK350" s="341"/>
      <c r="AL350" s="341"/>
      <c r="AM350" s="148"/>
      <c r="AN350" s="341"/>
      <c r="AO350" s="341"/>
      <c r="AP350" s="341"/>
      <c r="AQ350" s="341"/>
      <c r="AR350" s="341"/>
      <c r="AS350" s="341"/>
      <c r="AT350" s="341"/>
      <c r="AU350" s="341"/>
      <c r="AV350" s="341"/>
      <c r="AW350" s="341"/>
      <c r="AX350" s="341"/>
      <c r="AY350" s="341"/>
      <c r="AZ350" s="341"/>
      <c r="BA350" s="341"/>
      <c r="BB350" s="341"/>
      <c r="BC350" s="341"/>
      <c r="BD350" s="341"/>
      <c r="BE350" s="341"/>
      <c r="BF350" s="341"/>
      <c r="BG350" s="147"/>
      <c r="BH350" s="147"/>
      <c r="BI350" s="606"/>
      <c r="BJ350" s="341"/>
      <c r="BK350" s="341"/>
      <c r="BL350" s="147"/>
      <c r="BM350" s="341"/>
      <c r="BN350" s="341"/>
      <c r="BO350" s="341"/>
    </row>
    <row r="351" ht="15.75" customHeight="1">
      <c r="A351" s="341"/>
      <c r="B351" s="341"/>
      <c r="C351" s="102"/>
      <c r="D351" s="148"/>
      <c r="E351" s="148"/>
      <c r="F351" s="488"/>
      <c r="G351" s="488"/>
      <c r="H351" s="488"/>
      <c r="I351" s="341"/>
      <c r="J351" s="148"/>
      <c r="K351" s="723"/>
      <c r="L351" s="341"/>
      <c r="M351" s="341"/>
      <c r="N351" s="341"/>
      <c r="O351" s="148"/>
      <c r="P351" s="341"/>
      <c r="Q351" s="341"/>
      <c r="R351" s="341"/>
      <c r="S351" s="341"/>
      <c r="T351" s="148"/>
      <c r="U351" s="488"/>
      <c r="V351" s="676"/>
      <c r="W351" s="724"/>
      <c r="X351" s="452"/>
      <c r="Y351" s="341"/>
      <c r="Z351" s="341"/>
      <c r="AA351" s="341"/>
      <c r="AB351" s="341"/>
      <c r="AC351" s="341"/>
      <c r="AD351" s="341"/>
      <c r="AE351" s="341"/>
      <c r="AF351" s="86"/>
      <c r="AG351" s="341"/>
      <c r="AH351" s="341"/>
      <c r="AI351" s="341"/>
      <c r="AJ351" s="341"/>
      <c r="AK351" s="341"/>
      <c r="AL351" s="341"/>
      <c r="AM351" s="148"/>
      <c r="AN351" s="341"/>
      <c r="AO351" s="341"/>
      <c r="AP351" s="341"/>
      <c r="AQ351" s="341"/>
      <c r="AR351" s="341"/>
      <c r="AS351" s="341"/>
      <c r="AT351" s="341"/>
      <c r="AU351" s="341"/>
      <c r="AV351" s="341"/>
      <c r="AW351" s="341"/>
      <c r="AX351" s="341"/>
      <c r="AY351" s="341"/>
      <c r="AZ351" s="341"/>
      <c r="BA351" s="341"/>
      <c r="BB351" s="341"/>
      <c r="BC351" s="341"/>
      <c r="BD351" s="341"/>
      <c r="BE351" s="341"/>
      <c r="BF351" s="341"/>
      <c r="BG351" s="147"/>
      <c r="BH351" s="147"/>
      <c r="BI351" s="606"/>
      <c r="BJ351" s="341"/>
      <c r="BK351" s="341"/>
      <c r="BL351" s="147"/>
      <c r="BM351" s="341"/>
      <c r="BN351" s="341"/>
      <c r="BO351" s="341"/>
    </row>
    <row r="352" ht="15.75" customHeight="1">
      <c r="A352" s="341"/>
      <c r="B352" s="341"/>
      <c r="C352" s="102"/>
      <c r="D352" s="148"/>
      <c r="E352" s="148"/>
      <c r="F352" s="488"/>
      <c r="G352" s="488"/>
      <c r="H352" s="488"/>
      <c r="I352" s="341"/>
      <c r="J352" s="148"/>
      <c r="K352" s="723"/>
      <c r="L352" s="341"/>
      <c r="M352" s="341"/>
      <c r="N352" s="341"/>
      <c r="O352" s="148"/>
      <c r="P352" s="341"/>
      <c r="Q352" s="341"/>
      <c r="R352" s="341"/>
      <c r="S352" s="341"/>
      <c r="T352" s="148"/>
      <c r="U352" s="488"/>
      <c r="V352" s="676"/>
      <c r="W352" s="724"/>
      <c r="X352" s="452"/>
      <c r="Y352" s="341"/>
      <c r="Z352" s="341"/>
      <c r="AA352" s="341"/>
      <c r="AB352" s="341"/>
      <c r="AC352" s="341"/>
      <c r="AD352" s="341"/>
      <c r="AE352" s="341"/>
      <c r="AF352" s="86"/>
      <c r="AG352" s="341"/>
      <c r="AH352" s="341"/>
      <c r="AI352" s="341"/>
      <c r="AJ352" s="341"/>
      <c r="AK352" s="341"/>
      <c r="AL352" s="341"/>
      <c r="AM352" s="148"/>
      <c r="AN352" s="341"/>
      <c r="AO352" s="341"/>
      <c r="AP352" s="341"/>
      <c r="AQ352" s="341"/>
      <c r="AR352" s="341"/>
      <c r="AS352" s="341"/>
      <c r="AT352" s="341"/>
      <c r="AU352" s="341"/>
      <c r="AV352" s="341"/>
      <c r="AW352" s="341"/>
      <c r="AX352" s="341"/>
      <c r="AY352" s="341"/>
      <c r="AZ352" s="341"/>
      <c r="BA352" s="341"/>
      <c r="BB352" s="341"/>
      <c r="BC352" s="341"/>
      <c r="BD352" s="341"/>
      <c r="BE352" s="341"/>
      <c r="BF352" s="341"/>
      <c r="BG352" s="147"/>
      <c r="BH352" s="147"/>
      <c r="BI352" s="606"/>
      <c r="BJ352" s="341"/>
      <c r="BK352" s="341"/>
      <c r="BL352" s="147"/>
      <c r="BM352" s="341"/>
      <c r="BN352" s="341"/>
      <c r="BO352" s="341"/>
    </row>
    <row r="353" ht="15.75" customHeight="1">
      <c r="A353" s="341"/>
      <c r="B353" s="341"/>
      <c r="C353" s="102"/>
      <c r="D353" s="148"/>
      <c r="E353" s="148"/>
      <c r="F353" s="488"/>
      <c r="G353" s="488"/>
      <c r="H353" s="488"/>
      <c r="I353" s="341"/>
      <c r="J353" s="148"/>
      <c r="K353" s="723"/>
      <c r="L353" s="341"/>
      <c r="M353" s="341"/>
      <c r="N353" s="341"/>
      <c r="O353" s="148"/>
      <c r="P353" s="341"/>
      <c r="Q353" s="341"/>
      <c r="R353" s="341"/>
      <c r="S353" s="341"/>
      <c r="T353" s="148"/>
      <c r="U353" s="488"/>
      <c r="V353" s="676"/>
      <c r="W353" s="724"/>
      <c r="X353" s="452"/>
      <c r="Y353" s="341"/>
      <c r="Z353" s="341"/>
      <c r="AA353" s="341"/>
      <c r="AB353" s="341"/>
      <c r="AC353" s="341"/>
      <c r="AD353" s="341"/>
      <c r="AE353" s="341"/>
      <c r="AF353" s="86"/>
      <c r="AG353" s="341"/>
      <c r="AH353" s="341"/>
      <c r="AI353" s="341"/>
      <c r="AJ353" s="341"/>
      <c r="AK353" s="341"/>
      <c r="AL353" s="341"/>
      <c r="AM353" s="148"/>
      <c r="AN353" s="341"/>
      <c r="AO353" s="341"/>
      <c r="AP353" s="341"/>
      <c r="AQ353" s="341"/>
      <c r="AR353" s="341"/>
      <c r="AS353" s="341"/>
      <c r="AT353" s="341"/>
      <c r="AU353" s="341"/>
      <c r="AV353" s="341"/>
      <c r="AW353" s="341"/>
      <c r="AX353" s="341"/>
      <c r="AY353" s="341"/>
      <c r="AZ353" s="341"/>
      <c r="BA353" s="341"/>
      <c r="BB353" s="341"/>
      <c r="BC353" s="341"/>
      <c r="BD353" s="341"/>
      <c r="BE353" s="341"/>
      <c r="BF353" s="341"/>
      <c r="BG353" s="147"/>
      <c r="BH353" s="147"/>
      <c r="BI353" s="606"/>
      <c r="BJ353" s="341"/>
      <c r="BK353" s="341"/>
      <c r="BL353" s="147"/>
      <c r="BM353" s="341"/>
      <c r="BN353" s="341"/>
      <c r="BO353" s="341"/>
    </row>
    <row r="354" ht="15.75" customHeight="1">
      <c r="A354" s="341"/>
      <c r="B354" s="341"/>
      <c r="C354" s="102"/>
      <c r="D354" s="148"/>
      <c r="E354" s="148"/>
      <c r="F354" s="488"/>
      <c r="G354" s="488"/>
      <c r="H354" s="488"/>
      <c r="I354" s="341"/>
      <c r="J354" s="148"/>
      <c r="K354" s="723"/>
      <c r="L354" s="341"/>
      <c r="M354" s="341"/>
      <c r="N354" s="341"/>
      <c r="O354" s="148"/>
      <c r="P354" s="341"/>
      <c r="Q354" s="341"/>
      <c r="R354" s="341"/>
      <c r="S354" s="341"/>
      <c r="T354" s="148"/>
      <c r="U354" s="488"/>
      <c r="V354" s="676"/>
      <c r="W354" s="724"/>
      <c r="X354" s="452"/>
      <c r="Y354" s="341"/>
      <c r="Z354" s="341"/>
      <c r="AA354" s="341"/>
      <c r="AB354" s="341"/>
      <c r="AC354" s="341"/>
      <c r="AD354" s="341"/>
      <c r="AE354" s="341"/>
      <c r="AF354" s="86"/>
      <c r="AG354" s="341"/>
      <c r="AH354" s="341"/>
      <c r="AI354" s="341"/>
      <c r="AJ354" s="341"/>
      <c r="AK354" s="341"/>
      <c r="AL354" s="341"/>
      <c r="AM354" s="148"/>
      <c r="AN354" s="341"/>
      <c r="AO354" s="341"/>
      <c r="AP354" s="341"/>
      <c r="AQ354" s="341"/>
      <c r="AR354" s="341"/>
      <c r="AS354" s="341"/>
      <c r="AT354" s="341"/>
      <c r="AU354" s="341"/>
      <c r="AV354" s="341"/>
      <c r="AW354" s="341"/>
      <c r="AX354" s="341"/>
      <c r="AY354" s="341"/>
      <c r="AZ354" s="341"/>
      <c r="BA354" s="341"/>
      <c r="BB354" s="341"/>
      <c r="BC354" s="341"/>
      <c r="BD354" s="341"/>
      <c r="BE354" s="341"/>
      <c r="BF354" s="341"/>
      <c r="BG354" s="147"/>
      <c r="BH354" s="147"/>
      <c r="BI354" s="606"/>
      <c r="BJ354" s="341"/>
      <c r="BK354" s="341"/>
      <c r="BL354" s="147"/>
      <c r="BM354" s="341"/>
      <c r="BN354" s="341"/>
      <c r="BO354" s="341"/>
    </row>
    <row r="355" ht="15.75" customHeight="1">
      <c r="A355" s="341"/>
      <c r="B355" s="341"/>
      <c r="C355" s="102"/>
      <c r="D355" s="148"/>
      <c r="E355" s="148"/>
      <c r="F355" s="488"/>
      <c r="G355" s="488"/>
      <c r="H355" s="488"/>
      <c r="I355" s="341"/>
      <c r="J355" s="148"/>
      <c r="K355" s="723"/>
      <c r="L355" s="341"/>
      <c r="M355" s="341"/>
      <c r="N355" s="341"/>
      <c r="O355" s="148"/>
      <c r="P355" s="341"/>
      <c r="Q355" s="341"/>
      <c r="R355" s="341"/>
      <c r="S355" s="341"/>
      <c r="T355" s="148"/>
      <c r="U355" s="488"/>
      <c r="V355" s="676"/>
      <c r="W355" s="724"/>
      <c r="X355" s="452"/>
      <c r="Y355" s="341"/>
      <c r="Z355" s="341"/>
      <c r="AA355" s="341"/>
      <c r="AB355" s="341"/>
      <c r="AC355" s="341"/>
      <c r="AD355" s="341"/>
      <c r="AE355" s="341"/>
      <c r="AF355" s="86"/>
      <c r="AG355" s="341"/>
      <c r="AH355" s="341"/>
      <c r="AI355" s="341"/>
      <c r="AJ355" s="341"/>
      <c r="AK355" s="341"/>
      <c r="AL355" s="341"/>
      <c r="AM355" s="148"/>
      <c r="AN355" s="341"/>
      <c r="AO355" s="341"/>
      <c r="AP355" s="341"/>
      <c r="AQ355" s="341"/>
      <c r="AR355" s="341"/>
      <c r="AS355" s="341"/>
      <c r="AT355" s="341"/>
      <c r="AU355" s="341"/>
      <c r="AV355" s="341"/>
      <c r="AW355" s="341"/>
      <c r="AX355" s="341"/>
      <c r="AY355" s="341"/>
      <c r="AZ355" s="341"/>
      <c r="BA355" s="341"/>
      <c r="BB355" s="341"/>
      <c r="BC355" s="341"/>
      <c r="BD355" s="341"/>
      <c r="BE355" s="341"/>
      <c r="BF355" s="341"/>
      <c r="BG355" s="147"/>
      <c r="BH355" s="147"/>
      <c r="BI355" s="606"/>
      <c r="BJ355" s="341"/>
      <c r="BK355" s="341"/>
      <c r="BL355" s="147"/>
      <c r="BM355" s="341"/>
      <c r="BN355" s="341"/>
      <c r="BO355" s="341"/>
    </row>
    <row r="356" ht="15.75" customHeight="1">
      <c r="A356" s="341"/>
      <c r="B356" s="341"/>
      <c r="C356" s="102"/>
      <c r="D356" s="148"/>
      <c r="E356" s="148"/>
      <c r="F356" s="488"/>
      <c r="G356" s="488"/>
      <c r="H356" s="488"/>
      <c r="I356" s="341"/>
      <c r="J356" s="148"/>
      <c r="K356" s="723"/>
      <c r="L356" s="341"/>
      <c r="M356" s="341"/>
      <c r="N356" s="341"/>
      <c r="O356" s="148"/>
      <c r="P356" s="341"/>
      <c r="Q356" s="341"/>
      <c r="R356" s="341"/>
      <c r="S356" s="341"/>
      <c r="T356" s="148"/>
      <c r="U356" s="488"/>
      <c r="V356" s="676"/>
      <c r="W356" s="724"/>
      <c r="X356" s="452"/>
      <c r="Y356" s="341"/>
      <c r="Z356" s="341"/>
      <c r="AA356" s="341"/>
      <c r="AB356" s="341"/>
      <c r="AC356" s="341"/>
      <c r="AD356" s="341"/>
      <c r="AE356" s="341"/>
      <c r="AF356" s="86"/>
      <c r="AG356" s="341"/>
      <c r="AH356" s="341"/>
      <c r="AI356" s="341"/>
      <c r="AJ356" s="341"/>
      <c r="AK356" s="341"/>
      <c r="AL356" s="341"/>
      <c r="AM356" s="148"/>
      <c r="AN356" s="341"/>
      <c r="AO356" s="341"/>
      <c r="AP356" s="341"/>
      <c r="AQ356" s="341"/>
      <c r="AR356" s="341"/>
      <c r="AS356" s="341"/>
      <c r="AT356" s="341"/>
      <c r="AU356" s="341"/>
      <c r="AV356" s="341"/>
      <c r="AW356" s="341"/>
      <c r="AX356" s="341"/>
      <c r="AY356" s="341"/>
      <c r="AZ356" s="341"/>
      <c r="BA356" s="341"/>
      <c r="BB356" s="341"/>
      <c r="BC356" s="341"/>
      <c r="BD356" s="341"/>
      <c r="BE356" s="341"/>
      <c r="BF356" s="341"/>
      <c r="BG356" s="147"/>
      <c r="BH356" s="147"/>
      <c r="BI356" s="606"/>
      <c r="BJ356" s="341"/>
      <c r="BK356" s="341"/>
      <c r="BL356" s="147"/>
      <c r="BM356" s="341"/>
      <c r="BN356" s="341"/>
      <c r="BO356" s="341"/>
    </row>
    <row r="357" ht="15.75" customHeight="1">
      <c r="A357" s="341"/>
      <c r="B357" s="341"/>
      <c r="C357" s="102"/>
      <c r="D357" s="148"/>
      <c r="E357" s="148"/>
      <c r="F357" s="488"/>
      <c r="G357" s="488"/>
      <c r="H357" s="488"/>
      <c r="I357" s="341"/>
      <c r="J357" s="148"/>
      <c r="K357" s="723"/>
      <c r="L357" s="341"/>
      <c r="M357" s="341"/>
      <c r="N357" s="341"/>
      <c r="O357" s="148"/>
      <c r="P357" s="341"/>
      <c r="Q357" s="341"/>
      <c r="R357" s="341"/>
      <c r="S357" s="341"/>
      <c r="T357" s="148"/>
      <c r="U357" s="488"/>
      <c r="V357" s="676"/>
      <c r="W357" s="724"/>
      <c r="X357" s="452"/>
      <c r="Y357" s="341"/>
      <c r="Z357" s="341"/>
      <c r="AA357" s="341"/>
      <c r="AB357" s="341"/>
      <c r="AC357" s="341"/>
      <c r="AD357" s="341"/>
      <c r="AE357" s="341"/>
      <c r="AF357" s="86"/>
      <c r="AG357" s="341"/>
      <c r="AH357" s="341"/>
      <c r="AI357" s="341"/>
      <c r="AJ357" s="341"/>
      <c r="AK357" s="341"/>
      <c r="AL357" s="341"/>
      <c r="AM357" s="148"/>
      <c r="AN357" s="341"/>
      <c r="AO357" s="341"/>
      <c r="AP357" s="341"/>
      <c r="AQ357" s="341"/>
      <c r="AR357" s="341"/>
      <c r="AS357" s="341"/>
      <c r="AT357" s="341"/>
      <c r="AU357" s="341"/>
      <c r="AV357" s="341"/>
      <c r="AW357" s="341"/>
      <c r="AX357" s="341"/>
      <c r="AY357" s="341"/>
      <c r="AZ357" s="341"/>
      <c r="BA357" s="341"/>
      <c r="BB357" s="341"/>
      <c r="BC357" s="341"/>
      <c r="BD357" s="341"/>
      <c r="BE357" s="341"/>
      <c r="BF357" s="341"/>
      <c r="BG357" s="147"/>
      <c r="BH357" s="147"/>
      <c r="BI357" s="606"/>
      <c r="BJ357" s="341"/>
      <c r="BK357" s="341"/>
      <c r="BL357" s="147"/>
      <c r="BM357" s="341"/>
      <c r="BN357" s="341"/>
      <c r="BO357" s="341"/>
    </row>
    <row r="358" ht="15.75" customHeight="1">
      <c r="A358" s="341"/>
      <c r="B358" s="341"/>
      <c r="C358" s="102"/>
      <c r="D358" s="148"/>
      <c r="E358" s="148"/>
      <c r="F358" s="488"/>
      <c r="G358" s="488"/>
      <c r="H358" s="488"/>
      <c r="I358" s="341"/>
      <c r="J358" s="148"/>
      <c r="K358" s="723"/>
      <c r="L358" s="341"/>
      <c r="M358" s="341"/>
      <c r="N358" s="341"/>
      <c r="O358" s="148"/>
      <c r="P358" s="341"/>
      <c r="Q358" s="341"/>
      <c r="R358" s="341"/>
      <c r="S358" s="341"/>
      <c r="T358" s="148"/>
      <c r="U358" s="488"/>
      <c r="V358" s="676"/>
      <c r="W358" s="724"/>
      <c r="X358" s="452"/>
      <c r="Y358" s="341"/>
      <c r="Z358" s="341"/>
      <c r="AA358" s="341"/>
      <c r="AB358" s="341"/>
      <c r="AC358" s="341"/>
      <c r="AD358" s="341"/>
      <c r="AE358" s="341"/>
      <c r="AF358" s="86"/>
      <c r="AG358" s="341"/>
      <c r="AH358" s="341"/>
      <c r="AI358" s="341"/>
      <c r="AJ358" s="341"/>
      <c r="AK358" s="341"/>
      <c r="AL358" s="341"/>
      <c r="AM358" s="148"/>
      <c r="AN358" s="341"/>
      <c r="AO358" s="341"/>
      <c r="AP358" s="341"/>
      <c r="AQ358" s="341"/>
      <c r="AR358" s="341"/>
      <c r="AS358" s="341"/>
      <c r="AT358" s="341"/>
      <c r="AU358" s="341"/>
      <c r="AV358" s="341"/>
      <c r="AW358" s="341"/>
      <c r="AX358" s="341"/>
      <c r="AY358" s="341"/>
      <c r="AZ358" s="341"/>
      <c r="BA358" s="341"/>
      <c r="BB358" s="341"/>
      <c r="BC358" s="341"/>
      <c r="BD358" s="341"/>
      <c r="BE358" s="341"/>
      <c r="BF358" s="341"/>
      <c r="BG358" s="147"/>
      <c r="BH358" s="147"/>
      <c r="BI358" s="606"/>
      <c r="BJ358" s="341"/>
      <c r="BK358" s="341"/>
      <c r="BL358" s="147"/>
      <c r="BM358" s="341"/>
      <c r="BN358" s="341"/>
      <c r="BO358" s="341"/>
    </row>
    <row r="359" ht="15.75" customHeight="1">
      <c r="A359" s="341"/>
      <c r="B359" s="341"/>
      <c r="C359" s="102"/>
      <c r="D359" s="148"/>
      <c r="E359" s="148"/>
      <c r="F359" s="488"/>
      <c r="G359" s="488"/>
      <c r="H359" s="488"/>
      <c r="I359" s="341"/>
      <c r="J359" s="148"/>
      <c r="K359" s="723"/>
      <c r="L359" s="341"/>
      <c r="M359" s="341"/>
      <c r="N359" s="341"/>
      <c r="O359" s="148"/>
      <c r="P359" s="341"/>
      <c r="Q359" s="341"/>
      <c r="R359" s="341"/>
      <c r="S359" s="341"/>
      <c r="T359" s="148"/>
      <c r="U359" s="488"/>
      <c r="V359" s="676"/>
      <c r="W359" s="724"/>
      <c r="X359" s="452"/>
      <c r="Y359" s="341"/>
      <c r="Z359" s="341"/>
      <c r="AA359" s="341"/>
      <c r="AB359" s="341"/>
      <c r="AC359" s="341"/>
      <c r="AD359" s="341"/>
      <c r="AE359" s="341"/>
      <c r="AF359" s="86"/>
      <c r="AG359" s="341"/>
      <c r="AH359" s="341"/>
      <c r="AI359" s="341"/>
      <c r="AJ359" s="341"/>
      <c r="AK359" s="341"/>
      <c r="AL359" s="341"/>
      <c r="AM359" s="148"/>
      <c r="AN359" s="341"/>
      <c r="AO359" s="341"/>
      <c r="AP359" s="341"/>
      <c r="AQ359" s="341"/>
      <c r="AR359" s="341"/>
      <c r="AS359" s="341"/>
      <c r="AT359" s="341"/>
      <c r="AU359" s="341"/>
      <c r="AV359" s="341"/>
      <c r="AW359" s="341"/>
      <c r="AX359" s="341"/>
      <c r="AY359" s="341"/>
      <c r="AZ359" s="341"/>
      <c r="BA359" s="341"/>
      <c r="BB359" s="341"/>
      <c r="BC359" s="341"/>
      <c r="BD359" s="341"/>
      <c r="BE359" s="341"/>
      <c r="BF359" s="341"/>
      <c r="BG359" s="147"/>
      <c r="BH359" s="147"/>
      <c r="BI359" s="606"/>
      <c r="BJ359" s="341"/>
      <c r="BK359" s="341"/>
      <c r="BL359" s="147"/>
      <c r="BM359" s="341"/>
      <c r="BN359" s="341"/>
      <c r="BO359" s="341"/>
    </row>
    <row r="360" ht="15.75" customHeight="1">
      <c r="A360" s="341"/>
      <c r="B360" s="341"/>
      <c r="C360" s="102"/>
      <c r="D360" s="148"/>
      <c r="E360" s="148"/>
      <c r="F360" s="488"/>
      <c r="G360" s="488"/>
      <c r="H360" s="488"/>
      <c r="I360" s="341"/>
      <c r="J360" s="148"/>
      <c r="K360" s="723"/>
      <c r="L360" s="341"/>
      <c r="M360" s="341"/>
      <c r="N360" s="341"/>
      <c r="O360" s="148"/>
      <c r="P360" s="341"/>
      <c r="Q360" s="341"/>
      <c r="R360" s="341"/>
      <c r="S360" s="341"/>
      <c r="T360" s="148"/>
      <c r="U360" s="488"/>
      <c r="V360" s="676"/>
      <c r="W360" s="724"/>
      <c r="X360" s="452"/>
      <c r="Y360" s="341"/>
      <c r="Z360" s="341"/>
      <c r="AA360" s="341"/>
      <c r="AB360" s="341"/>
      <c r="AC360" s="341"/>
      <c r="AD360" s="341"/>
      <c r="AE360" s="341"/>
      <c r="AF360" s="86"/>
      <c r="AG360" s="341"/>
      <c r="AH360" s="341"/>
      <c r="AI360" s="341"/>
      <c r="AJ360" s="341"/>
      <c r="AK360" s="341"/>
      <c r="AL360" s="341"/>
      <c r="AM360" s="148"/>
      <c r="AN360" s="341"/>
      <c r="AO360" s="341"/>
      <c r="AP360" s="341"/>
      <c r="AQ360" s="341"/>
      <c r="AR360" s="341"/>
      <c r="AS360" s="341"/>
      <c r="AT360" s="341"/>
      <c r="AU360" s="341"/>
      <c r="AV360" s="341"/>
      <c r="AW360" s="341"/>
      <c r="AX360" s="341"/>
      <c r="AY360" s="341"/>
      <c r="AZ360" s="341"/>
      <c r="BA360" s="341"/>
      <c r="BB360" s="341"/>
      <c r="BC360" s="341"/>
      <c r="BD360" s="341"/>
      <c r="BE360" s="341"/>
      <c r="BF360" s="341"/>
      <c r="BG360" s="147"/>
      <c r="BH360" s="147"/>
      <c r="BI360" s="606"/>
      <c r="BJ360" s="341"/>
      <c r="BK360" s="341"/>
      <c r="BL360" s="147"/>
      <c r="BM360" s="341"/>
      <c r="BN360" s="341"/>
      <c r="BO360" s="341"/>
    </row>
    <row r="361" ht="15.75" customHeight="1">
      <c r="A361" s="341"/>
      <c r="B361" s="341"/>
      <c r="C361" s="102"/>
      <c r="D361" s="148"/>
      <c r="E361" s="148"/>
      <c r="F361" s="488"/>
      <c r="G361" s="488"/>
      <c r="H361" s="488"/>
      <c r="I361" s="341"/>
      <c r="J361" s="148"/>
      <c r="K361" s="723"/>
      <c r="L361" s="341"/>
      <c r="M361" s="341"/>
      <c r="N361" s="341"/>
      <c r="O361" s="148"/>
      <c r="P361" s="341"/>
      <c r="Q361" s="341"/>
      <c r="R361" s="341"/>
      <c r="S361" s="341"/>
      <c r="T361" s="148"/>
      <c r="U361" s="488"/>
      <c r="V361" s="676"/>
      <c r="W361" s="724"/>
      <c r="X361" s="452"/>
      <c r="Y361" s="341"/>
      <c r="Z361" s="341"/>
      <c r="AA361" s="341"/>
      <c r="AB361" s="341"/>
      <c r="AC361" s="341"/>
      <c r="AD361" s="341"/>
      <c r="AE361" s="341"/>
      <c r="AF361" s="86"/>
      <c r="AG361" s="341"/>
      <c r="AH361" s="341"/>
      <c r="AI361" s="341"/>
      <c r="AJ361" s="341"/>
      <c r="AK361" s="341"/>
      <c r="AL361" s="341"/>
      <c r="AM361" s="148"/>
      <c r="AN361" s="341"/>
      <c r="AO361" s="341"/>
      <c r="AP361" s="341"/>
      <c r="AQ361" s="341"/>
      <c r="AR361" s="341"/>
      <c r="AS361" s="341"/>
      <c r="AT361" s="341"/>
      <c r="AU361" s="341"/>
      <c r="AV361" s="341"/>
      <c r="AW361" s="341"/>
      <c r="AX361" s="341"/>
      <c r="AY361" s="341"/>
      <c r="AZ361" s="341"/>
      <c r="BA361" s="341"/>
      <c r="BB361" s="341"/>
      <c r="BC361" s="341"/>
      <c r="BD361" s="341"/>
      <c r="BE361" s="341"/>
      <c r="BF361" s="341"/>
      <c r="BG361" s="147"/>
      <c r="BH361" s="147"/>
      <c r="BI361" s="606"/>
      <c r="BJ361" s="341"/>
      <c r="BK361" s="341"/>
      <c r="BL361" s="147"/>
      <c r="BM361" s="341"/>
      <c r="BN361" s="341"/>
      <c r="BO361" s="341"/>
    </row>
    <row r="362" ht="15.75" customHeight="1">
      <c r="A362" s="341"/>
      <c r="B362" s="341"/>
      <c r="C362" s="102"/>
      <c r="D362" s="148"/>
      <c r="E362" s="148"/>
      <c r="F362" s="488"/>
      <c r="G362" s="488"/>
      <c r="H362" s="488"/>
      <c r="I362" s="341"/>
      <c r="J362" s="148"/>
      <c r="K362" s="723"/>
      <c r="L362" s="341"/>
      <c r="M362" s="341"/>
      <c r="N362" s="341"/>
      <c r="O362" s="148"/>
      <c r="P362" s="341"/>
      <c r="Q362" s="341"/>
      <c r="R362" s="341"/>
      <c r="S362" s="341"/>
      <c r="T362" s="148"/>
      <c r="U362" s="488"/>
      <c r="V362" s="676"/>
      <c r="W362" s="724"/>
      <c r="X362" s="452"/>
      <c r="Y362" s="341"/>
      <c r="Z362" s="341"/>
      <c r="AA362" s="341"/>
      <c r="AB362" s="341"/>
      <c r="AC362" s="341"/>
      <c r="AD362" s="341"/>
      <c r="AE362" s="341"/>
      <c r="AF362" s="86"/>
      <c r="AG362" s="341"/>
      <c r="AH362" s="341"/>
      <c r="AI362" s="341"/>
      <c r="AJ362" s="341"/>
      <c r="AK362" s="341"/>
      <c r="AL362" s="341"/>
      <c r="AM362" s="148"/>
      <c r="AN362" s="341"/>
      <c r="AO362" s="341"/>
      <c r="AP362" s="341"/>
      <c r="AQ362" s="341"/>
      <c r="AR362" s="341"/>
      <c r="AS362" s="341"/>
      <c r="AT362" s="341"/>
      <c r="AU362" s="341"/>
      <c r="AV362" s="341"/>
      <c r="AW362" s="341"/>
      <c r="AX362" s="341"/>
      <c r="AY362" s="341"/>
      <c r="AZ362" s="341"/>
      <c r="BA362" s="341"/>
      <c r="BB362" s="341"/>
      <c r="BC362" s="341"/>
      <c r="BD362" s="341"/>
      <c r="BE362" s="341"/>
      <c r="BF362" s="341"/>
      <c r="BG362" s="147"/>
      <c r="BH362" s="147"/>
      <c r="BI362" s="606"/>
      <c r="BJ362" s="341"/>
      <c r="BK362" s="341"/>
      <c r="BL362" s="147"/>
      <c r="BM362" s="341"/>
      <c r="BN362" s="341"/>
      <c r="BO362" s="341"/>
    </row>
    <row r="363" ht="15.75" customHeight="1">
      <c r="A363" s="341"/>
      <c r="B363" s="341"/>
      <c r="C363" s="102"/>
      <c r="D363" s="148"/>
      <c r="E363" s="148"/>
      <c r="F363" s="488"/>
      <c r="G363" s="488"/>
      <c r="H363" s="488"/>
      <c r="I363" s="341"/>
      <c r="J363" s="148"/>
      <c r="K363" s="723"/>
      <c r="L363" s="341"/>
      <c r="M363" s="341"/>
      <c r="N363" s="341"/>
      <c r="O363" s="148"/>
      <c r="P363" s="341"/>
      <c r="Q363" s="341"/>
      <c r="R363" s="341"/>
      <c r="S363" s="341"/>
      <c r="T363" s="148"/>
      <c r="U363" s="488"/>
      <c r="V363" s="676"/>
      <c r="W363" s="724"/>
      <c r="X363" s="452"/>
      <c r="Y363" s="341"/>
      <c r="Z363" s="341"/>
      <c r="AA363" s="341"/>
      <c r="AB363" s="341"/>
      <c r="AC363" s="341"/>
      <c r="AD363" s="341"/>
      <c r="AE363" s="341"/>
      <c r="AF363" s="86"/>
      <c r="AG363" s="341"/>
      <c r="AH363" s="341"/>
      <c r="AI363" s="341"/>
      <c r="AJ363" s="341"/>
      <c r="AK363" s="341"/>
      <c r="AL363" s="341"/>
      <c r="AM363" s="148"/>
      <c r="AN363" s="341"/>
      <c r="AO363" s="341"/>
      <c r="AP363" s="341"/>
      <c r="AQ363" s="341"/>
      <c r="AR363" s="341"/>
      <c r="AS363" s="341"/>
      <c r="AT363" s="341"/>
      <c r="AU363" s="341"/>
      <c r="AV363" s="341"/>
      <c r="AW363" s="341"/>
      <c r="AX363" s="341"/>
      <c r="AY363" s="341"/>
      <c r="AZ363" s="341"/>
      <c r="BA363" s="341"/>
      <c r="BB363" s="341"/>
      <c r="BC363" s="341"/>
      <c r="BD363" s="341"/>
      <c r="BE363" s="341"/>
      <c r="BF363" s="341"/>
      <c r="BG363" s="147"/>
      <c r="BH363" s="147"/>
      <c r="BI363" s="606"/>
      <c r="BJ363" s="341"/>
      <c r="BK363" s="341"/>
      <c r="BL363" s="147"/>
      <c r="BM363" s="341"/>
      <c r="BN363" s="341"/>
      <c r="BO363" s="341"/>
    </row>
    <row r="364" ht="15.75" customHeight="1">
      <c r="A364" s="341"/>
      <c r="B364" s="341"/>
      <c r="C364" s="102"/>
      <c r="D364" s="148"/>
      <c r="E364" s="148"/>
      <c r="F364" s="488"/>
      <c r="G364" s="488"/>
      <c r="H364" s="488"/>
      <c r="I364" s="341"/>
      <c r="J364" s="148"/>
      <c r="K364" s="723"/>
      <c r="L364" s="341"/>
      <c r="M364" s="341"/>
      <c r="N364" s="341"/>
      <c r="O364" s="148"/>
      <c r="P364" s="341"/>
      <c r="Q364" s="341"/>
      <c r="R364" s="341"/>
      <c r="S364" s="341"/>
      <c r="T364" s="148"/>
      <c r="U364" s="488"/>
      <c r="V364" s="676"/>
      <c r="W364" s="724"/>
      <c r="X364" s="452"/>
      <c r="Y364" s="341"/>
      <c r="Z364" s="341"/>
      <c r="AA364" s="341"/>
      <c r="AB364" s="341"/>
      <c r="AC364" s="341"/>
      <c r="AD364" s="341"/>
      <c r="AE364" s="341"/>
      <c r="AF364" s="86"/>
      <c r="AG364" s="341"/>
      <c r="AH364" s="341"/>
      <c r="AI364" s="341"/>
      <c r="AJ364" s="341"/>
      <c r="AK364" s="341"/>
      <c r="AL364" s="341"/>
      <c r="AM364" s="148"/>
      <c r="AN364" s="341"/>
      <c r="AO364" s="341"/>
      <c r="AP364" s="341"/>
      <c r="AQ364" s="341"/>
      <c r="AR364" s="341"/>
      <c r="AS364" s="341"/>
      <c r="AT364" s="341"/>
      <c r="AU364" s="341"/>
      <c r="AV364" s="341"/>
      <c r="AW364" s="341"/>
      <c r="AX364" s="341"/>
      <c r="AY364" s="341"/>
      <c r="AZ364" s="341"/>
      <c r="BA364" s="341"/>
      <c r="BB364" s="341"/>
      <c r="BC364" s="341"/>
      <c r="BD364" s="341"/>
      <c r="BE364" s="341"/>
      <c r="BF364" s="341"/>
      <c r="BG364" s="147"/>
      <c r="BH364" s="147"/>
      <c r="BI364" s="606"/>
      <c r="BJ364" s="341"/>
      <c r="BK364" s="341"/>
      <c r="BL364" s="147"/>
      <c r="BM364" s="341"/>
      <c r="BN364" s="341"/>
      <c r="BO364" s="341"/>
    </row>
    <row r="365" ht="15.75" customHeight="1">
      <c r="A365" s="341"/>
      <c r="B365" s="341"/>
      <c r="C365" s="102"/>
      <c r="D365" s="148"/>
      <c r="E365" s="148"/>
      <c r="F365" s="488"/>
      <c r="G365" s="488"/>
      <c r="H365" s="488"/>
      <c r="I365" s="341"/>
      <c r="J365" s="148"/>
      <c r="K365" s="723"/>
      <c r="L365" s="341"/>
      <c r="M365" s="341"/>
      <c r="N365" s="341"/>
      <c r="O365" s="148"/>
      <c r="P365" s="341"/>
      <c r="Q365" s="341"/>
      <c r="R365" s="341"/>
      <c r="S365" s="341"/>
      <c r="T365" s="148"/>
      <c r="U365" s="488"/>
      <c r="V365" s="676"/>
      <c r="W365" s="724"/>
      <c r="X365" s="452"/>
      <c r="Y365" s="341"/>
      <c r="Z365" s="341"/>
      <c r="AA365" s="341"/>
      <c r="AB365" s="341"/>
      <c r="AC365" s="341"/>
      <c r="AD365" s="341"/>
      <c r="AE365" s="341"/>
      <c r="AF365" s="86"/>
      <c r="AG365" s="341"/>
      <c r="AH365" s="341"/>
      <c r="AI365" s="341"/>
      <c r="AJ365" s="341"/>
      <c r="AK365" s="341"/>
      <c r="AL365" s="341"/>
      <c r="AM365" s="148"/>
      <c r="AN365" s="341"/>
      <c r="AO365" s="341"/>
      <c r="AP365" s="341"/>
      <c r="AQ365" s="341"/>
      <c r="AR365" s="341"/>
      <c r="AS365" s="341"/>
      <c r="AT365" s="341"/>
      <c r="AU365" s="341"/>
      <c r="AV365" s="341"/>
      <c r="AW365" s="341"/>
      <c r="AX365" s="341"/>
      <c r="AY365" s="341"/>
      <c r="AZ365" s="341"/>
      <c r="BA365" s="341"/>
      <c r="BB365" s="341"/>
      <c r="BC365" s="341"/>
      <c r="BD365" s="341"/>
      <c r="BE365" s="341"/>
      <c r="BF365" s="341"/>
      <c r="BG365" s="147"/>
      <c r="BH365" s="147"/>
      <c r="BI365" s="606"/>
      <c r="BJ365" s="341"/>
      <c r="BK365" s="341"/>
      <c r="BL365" s="147"/>
      <c r="BM365" s="341"/>
      <c r="BN365" s="341"/>
      <c r="BO365" s="341"/>
    </row>
    <row r="366" ht="15.75" customHeight="1">
      <c r="A366" s="341"/>
      <c r="B366" s="341"/>
      <c r="C366" s="102"/>
      <c r="D366" s="148"/>
      <c r="E366" s="148"/>
      <c r="F366" s="488"/>
      <c r="G366" s="488"/>
      <c r="H366" s="488"/>
      <c r="I366" s="341"/>
      <c r="J366" s="148"/>
      <c r="K366" s="723"/>
      <c r="L366" s="341"/>
      <c r="M366" s="341"/>
      <c r="N366" s="341"/>
      <c r="O366" s="148"/>
      <c r="P366" s="341"/>
      <c r="Q366" s="341"/>
      <c r="R366" s="341"/>
      <c r="S366" s="341"/>
      <c r="T366" s="148"/>
      <c r="U366" s="488"/>
      <c r="V366" s="676"/>
      <c r="W366" s="724"/>
      <c r="X366" s="452"/>
      <c r="Y366" s="341"/>
      <c r="Z366" s="341"/>
      <c r="AA366" s="341"/>
      <c r="AB366" s="341"/>
      <c r="AC366" s="341"/>
      <c r="AD366" s="341"/>
      <c r="AE366" s="341"/>
      <c r="AF366" s="86"/>
      <c r="AG366" s="341"/>
      <c r="AH366" s="341"/>
      <c r="AI366" s="341"/>
      <c r="AJ366" s="341"/>
      <c r="AK366" s="341"/>
      <c r="AL366" s="341"/>
      <c r="AM366" s="148"/>
      <c r="AN366" s="341"/>
      <c r="AO366" s="341"/>
      <c r="AP366" s="341"/>
      <c r="AQ366" s="341"/>
      <c r="AR366" s="341"/>
      <c r="AS366" s="341"/>
      <c r="AT366" s="341"/>
      <c r="AU366" s="341"/>
      <c r="AV366" s="341"/>
      <c r="AW366" s="341"/>
      <c r="AX366" s="341"/>
      <c r="AY366" s="341"/>
      <c r="AZ366" s="341"/>
      <c r="BA366" s="341"/>
      <c r="BB366" s="341"/>
      <c r="BC366" s="341"/>
      <c r="BD366" s="341"/>
      <c r="BE366" s="341"/>
      <c r="BF366" s="341"/>
      <c r="BG366" s="147"/>
      <c r="BH366" s="147"/>
      <c r="BI366" s="606"/>
      <c r="BJ366" s="341"/>
      <c r="BK366" s="341"/>
      <c r="BL366" s="147"/>
      <c r="BM366" s="341"/>
      <c r="BN366" s="341"/>
      <c r="BO366" s="341"/>
    </row>
    <row r="367" ht="15.75" customHeight="1">
      <c r="A367" s="341"/>
      <c r="B367" s="341"/>
      <c r="C367" s="102"/>
      <c r="D367" s="148"/>
      <c r="E367" s="148"/>
      <c r="F367" s="488"/>
      <c r="G367" s="488"/>
      <c r="H367" s="488"/>
      <c r="I367" s="341"/>
      <c r="J367" s="148"/>
      <c r="K367" s="723"/>
      <c r="L367" s="341"/>
      <c r="M367" s="341"/>
      <c r="N367" s="341"/>
      <c r="O367" s="148"/>
      <c r="P367" s="341"/>
      <c r="Q367" s="341"/>
      <c r="R367" s="341"/>
      <c r="S367" s="341"/>
      <c r="T367" s="148"/>
      <c r="U367" s="488"/>
      <c r="V367" s="676"/>
      <c r="W367" s="724"/>
      <c r="X367" s="452"/>
      <c r="Y367" s="341"/>
      <c r="Z367" s="341"/>
      <c r="AA367" s="341"/>
      <c r="AB367" s="341"/>
      <c r="AC367" s="341"/>
      <c r="AD367" s="341"/>
      <c r="AE367" s="341"/>
      <c r="AF367" s="86"/>
      <c r="AG367" s="341"/>
      <c r="AH367" s="341"/>
      <c r="AI367" s="341"/>
      <c r="AJ367" s="341"/>
      <c r="AK367" s="341"/>
      <c r="AL367" s="341"/>
      <c r="AM367" s="148"/>
      <c r="AN367" s="341"/>
      <c r="AO367" s="341"/>
      <c r="AP367" s="341"/>
      <c r="AQ367" s="341"/>
      <c r="AR367" s="341"/>
      <c r="AS367" s="341"/>
      <c r="AT367" s="341"/>
      <c r="AU367" s="341"/>
      <c r="AV367" s="341"/>
      <c r="AW367" s="341"/>
      <c r="AX367" s="341"/>
      <c r="AY367" s="341"/>
      <c r="AZ367" s="341"/>
      <c r="BA367" s="341"/>
      <c r="BB367" s="341"/>
      <c r="BC367" s="341"/>
      <c r="BD367" s="341"/>
      <c r="BE367" s="341"/>
      <c r="BF367" s="341"/>
      <c r="BG367" s="147"/>
      <c r="BH367" s="147"/>
      <c r="BI367" s="606"/>
      <c r="BJ367" s="341"/>
      <c r="BK367" s="341"/>
      <c r="BL367" s="147"/>
      <c r="BM367" s="341"/>
      <c r="BN367" s="341"/>
      <c r="BO367" s="341"/>
    </row>
    <row r="368" ht="15.75" customHeight="1">
      <c r="A368" s="341"/>
      <c r="B368" s="341"/>
      <c r="C368" s="102"/>
      <c r="D368" s="148"/>
      <c r="E368" s="148"/>
      <c r="F368" s="488"/>
      <c r="G368" s="488"/>
      <c r="H368" s="488"/>
      <c r="I368" s="341"/>
      <c r="J368" s="148"/>
      <c r="K368" s="723"/>
      <c r="L368" s="341"/>
      <c r="M368" s="341"/>
      <c r="N368" s="341"/>
      <c r="O368" s="148"/>
      <c r="P368" s="341"/>
      <c r="Q368" s="341"/>
      <c r="R368" s="341"/>
      <c r="S368" s="341"/>
      <c r="T368" s="148"/>
      <c r="U368" s="488"/>
      <c r="V368" s="676"/>
      <c r="W368" s="724"/>
      <c r="X368" s="452"/>
      <c r="Y368" s="341"/>
      <c r="Z368" s="341"/>
      <c r="AA368" s="341"/>
      <c r="AB368" s="341"/>
      <c r="AC368" s="341"/>
      <c r="AD368" s="341"/>
      <c r="AE368" s="341"/>
      <c r="AF368" s="86"/>
      <c r="AG368" s="341"/>
      <c r="AH368" s="341"/>
      <c r="AI368" s="341"/>
      <c r="AJ368" s="341"/>
      <c r="AK368" s="341"/>
      <c r="AL368" s="341"/>
      <c r="AM368" s="148"/>
      <c r="AN368" s="341"/>
      <c r="AO368" s="341"/>
      <c r="AP368" s="341"/>
      <c r="AQ368" s="341"/>
      <c r="AR368" s="341"/>
      <c r="AS368" s="341"/>
      <c r="AT368" s="341"/>
      <c r="AU368" s="341"/>
      <c r="AV368" s="341"/>
      <c r="AW368" s="341"/>
      <c r="AX368" s="341"/>
      <c r="AY368" s="341"/>
      <c r="AZ368" s="341"/>
      <c r="BA368" s="341"/>
      <c r="BB368" s="341"/>
      <c r="BC368" s="341"/>
      <c r="BD368" s="341"/>
      <c r="BE368" s="341"/>
      <c r="BF368" s="341"/>
      <c r="BG368" s="147"/>
      <c r="BH368" s="147"/>
      <c r="BI368" s="606"/>
      <c r="BJ368" s="341"/>
      <c r="BK368" s="341"/>
      <c r="BL368" s="147"/>
      <c r="BM368" s="341"/>
      <c r="BN368" s="341"/>
      <c r="BO368" s="341"/>
    </row>
    <row r="369" ht="15.75" customHeight="1">
      <c r="A369" s="341"/>
      <c r="B369" s="341"/>
      <c r="C369" s="102"/>
      <c r="D369" s="148"/>
      <c r="E369" s="148"/>
      <c r="F369" s="488"/>
      <c r="G369" s="488"/>
      <c r="H369" s="488"/>
      <c r="I369" s="341"/>
      <c r="J369" s="148"/>
      <c r="K369" s="723"/>
      <c r="L369" s="341"/>
      <c r="M369" s="341"/>
      <c r="N369" s="341"/>
      <c r="O369" s="148"/>
      <c r="P369" s="341"/>
      <c r="Q369" s="341"/>
      <c r="R369" s="341"/>
      <c r="S369" s="341"/>
      <c r="T369" s="148"/>
      <c r="U369" s="488"/>
      <c r="V369" s="676"/>
      <c r="W369" s="724"/>
      <c r="X369" s="452"/>
      <c r="Y369" s="341"/>
      <c r="Z369" s="341"/>
      <c r="AA369" s="341"/>
      <c r="AB369" s="341"/>
      <c r="AC369" s="341"/>
      <c r="AD369" s="341"/>
      <c r="AE369" s="341"/>
      <c r="AF369" s="86"/>
      <c r="AG369" s="341"/>
      <c r="AH369" s="341"/>
      <c r="AI369" s="341"/>
      <c r="AJ369" s="341"/>
      <c r="AK369" s="341"/>
      <c r="AL369" s="341"/>
      <c r="AM369" s="148"/>
      <c r="AN369" s="341"/>
      <c r="AO369" s="341"/>
      <c r="AP369" s="341"/>
      <c r="AQ369" s="341"/>
      <c r="AR369" s="341"/>
      <c r="AS369" s="341"/>
      <c r="AT369" s="341"/>
      <c r="AU369" s="341"/>
      <c r="AV369" s="341"/>
      <c r="AW369" s="341"/>
      <c r="AX369" s="341"/>
      <c r="AY369" s="341"/>
      <c r="AZ369" s="341"/>
      <c r="BA369" s="341"/>
      <c r="BB369" s="341"/>
      <c r="BC369" s="341"/>
      <c r="BD369" s="341"/>
      <c r="BE369" s="341"/>
      <c r="BF369" s="341"/>
      <c r="BG369" s="147"/>
      <c r="BH369" s="147"/>
      <c r="BI369" s="606"/>
      <c r="BJ369" s="341"/>
      <c r="BK369" s="341"/>
      <c r="BL369" s="147"/>
      <c r="BM369" s="341"/>
      <c r="BN369" s="341"/>
      <c r="BO369" s="341"/>
    </row>
    <row r="370" ht="15.75" customHeight="1">
      <c r="A370" s="341"/>
      <c r="B370" s="341"/>
      <c r="C370" s="102"/>
      <c r="D370" s="148"/>
      <c r="E370" s="148"/>
      <c r="F370" s="488"/>
      <c r="G370" s="488"/>
      <c r="H370" s="488"/>
      <c r="I370" s="341"/>
      <c r="J370" s="148"/>
      <c r="K370" s="723"/>
      <c r="L370" s="341"/>
      <c r="M370" s="341"/>
      <c r="N370" s="341"/>
      <c r="O370" s="148"/>
      <c r="P370" s="341"/>
      <c r="Q370" s="341"/>
      <c r="R370" s="341"/>
      <c r="S370" s="341"/>
      <c r="T370" s="148"/>
      <c r="U370" s="488"/>
      <c r="V370" s="676"/>
      <c r="W370" s="724"/>
      <c r="X370" s="452"/>
      <c r="Y370" s="341"/>
      <c r="Z370" s="341"/>
      <c r="AA370" s="341"/>
      <c r="AB370" s="341"/>
      <c r="AC370" s="341"/>
      <c r="AD370" s="341"/>
      <c r="AE370" s="341"/>
      <c r="AF370" s="86"/>
      <c r="AG370" s="341"/>
      <c r="AH370" s="341"/>
      <c r="AI370" s="341"/>
      <c r="AJ370" s="341"/>
      <c r="AK370" s="341"/>
      <c r="AL370" s="341"/>
      <c r="AM370" s="148"/>
      <c r="AN370" s="341"/>
      <c r="AO370" s="341"/>
      <c r="AP370" s="341"/>
      <c r="AQ370" s="341"/>
      <c r="AR370" s="341"/>
      <c r="AS370" s="341"/>
      <c r="AT370" s="341"/>
      <c r="AU370" s="341"/>
      <c r="AV370" s="341"/>
      <c r="AW370" s="341"/>
      <c r="AX370" s="341"/>
      <c r="AY370" s="341"/>
      <c r="AZ370" s="341"/>
      <c r="BA370" s="341"/>
      <c r="BB370" s="341"/>
      <c r="BC370" s="341"/>
      <c r="BD370" s="341"/>
      <c r="BE370" s="341"/>
      <c r="BF370" s="341"/>
      <c r="BG370" s="147"/>
      <c r="BH370" s="147"/>
      <c r="BI370" s="606"/>
      <c r="BJ370" s="341"/>
      <c r="BK370" s="341"/>
      <c r="BL370" s="147"/>
      <c r="BM370" s="341"/>
      <c r="BN370" s="341"/>
      <c r="BO370" s="341"/>
    </row>
    <row r="371" ht="15.75" customHeight="1">
      <c r="A371" s="341"/>
      <c r="B371" s="341"/>
      <c r="C371" s="102"/>
      <c r="D371" s="148"/>
      <c r="E371" s="148"/>
      <c r="F371" s="488"/>
      <c r="G371" s="488"/>
      <c r="H371" s="488"/>
      <c r="I371" s="341"/>
      <c r="J371" s="148"/>
      <c r="K371" s="723"/>
      <c r="L371" s="341"/>
      <c r="M371" s="341"/>
      <c r="N371" s="341"/>
      <c r="O371" s="148"/>
      <c r="P371" s="341"/>
      <c r="Q371" s="341"/>
      <c r="R371" s="341"/>
      <c r="S371" s="341"/>
      <c r="T371" s="148"/>
      <c r="U371" s="488"/>
      <c r="V371" s="676"/>
      <c r="W371" s="724"/>
      <c r="X371" s="452"/>
      <c r="Y371" s="341"/>
      <c r="Z371" s="341"/>
      <c r="AA371" s="341"/>
      <c r="AB371" s="341"/>
      <c r="AC371" s="341"/>
      <c r="AD371" s="341"/>
      <c r="AE371" s="341"/>
      <c r="AF371" s="86"/>
      <c r="AG371" s="341"/>
      <c r="AH371" s="341"/>
      <c r="AI371" s="341"/>
      <c r="AJ371" s="341"/>
      <c r="AK371" s="341"/>
      <c r="AL371" s="341"/>
      <c r="AM371" s="148"/>
      <c r="AN371" s="341"/>
      <c r="AO371" s="341"/>
      <c r="AP371" s="341"/>
      <c r="AQ371" s="341"/>
      <c r="AR371" s="341"/>
      <c r="AS371" s="341"/>
      <c r="AT371" s="341"/>
      <c r="AU371" s="341"/>
      <c r="AV371" s="341"/>
      <c r="AW371" s="341"/>
      <c r="AX371" s="341"/>
      <c r="AY371" s="341"/>
      <c r="AZ371" s="341"/>
      <c r="BA371" s="341"/>
      <c r="BB371" s="341"/>
      <c r="BC371" s="341"/>
      <c r="BD371" s="341"/>
      <c r="BE371" s="341"/>
      <c r="BF371" s="341"/>
      <c r="BG371" s="147"/>
      <c r="BH371" s="147"/>
      <c r="BI371" s="606"/>
      <c r="BJ371" s="341"/>
      <c r="BK371" s="341"/>
      <c r="BL371" s="147"/>
      <c r="BM371" s="341"/>
      <c r="BN371" s="341"/>
      <c r="BO371" s="341"/>
    </row>
    <row r="372" ht="15.75" customHeight="1">
      <c r="A372" s="341"/>
      <c r="B372" s="341"/>
      <c r="C372" s="102"/>
      <c r="D372" s="148"/>
      <c r="E372" s="148"/>
      <c r="F372" s="488"/>
      <c r="G372" s="488"/>
      <c r="H372" s="488"/>
      <c r="I372" s="341"/>
      <c r="J372" s="148"/>
      <c r="K372" s="723"/>
      <c r="L372" s="341"/>
      <c r="M372" s="341"/>
      <c r="N372" s="341"/>
      <c r="O372" s="148"/>
      <c r="P372" s="341"/>
      <c r="Q372" s="341"/>
      <c r="R372" s="341"/>
      <c r="S372" s="341"/>
      <c r="T372" s="148"/>
      <c r="U372" s="488"/>
      <c r="V372" s="676"/>
      <c r="W372" s="724"/>
      <c r="X372" s="452"/>
      <c r="Y372" s="341"/>
      <c r="Z372" s="341"/>
      <c r="AA372" s="341"/>
      <c r="AB372" s="341"/>
      <c r="AC372" s="341"/>
      <c r="AD372" s="341"/>
      <c r="AE372" s="341"/>
      <c r="AF372" s="86"/>
      <c r="AG372" s="341"/>
      <c r="AH372" s="341"/>
      <c r="AI372" s="341"/>
      <c r="AJ372" s="341"/>
      <c r="AK372" s="341"/>
      <c r="AL372" s="341"/>
      <c r="AM372" s="148"/>
      <c r="AN372" s="341"/>
      <c r="AO372" s="341"/>
      <c r="AP372" s="341"/>
      <c r="AQ372" s="341"/>
      <c r="AR372" s="341"/>
      <c r="AS372" s="341"/>
      <c r="AT372" s="341"/>
      <c r="AU372" s="341"/>
      <c r="AV372" s="341"/>
      <c r="AW372" s="341"/>
      <c r="AX372" s="341"/>
      <c r="AY372" s="341"/>
      <c r="AZ372" s="341"/>
      <c r="BA372" s="341"/>
      <c r="BB372" s="341"/>
      <c r="BC372" s="341"/>
      <c r="BD372" s="341"/>
      <c r="BE372" s="341"/>
      <c r="BF372" s="341"/>
      <c r="BG372" s="147"/>
      <c r="BH372" s="147"/>
      <c r="BI372" s="606"/>
      <c r="BJ372" s="341"/>
      <c r="BK372" s="341"/>
      <c r="BL372" s="147"/>
      <c r="BM372" s="341"/>
      <c r="BN372" s="341"/>
      <c r="BO372" s="341"/>
    </row>
    <row r="373" ht="15.75" customHeight="1">
      <c r="A373" s="341"/>
      <c r="B373" s="341"/>
      <c r="C373" s="102"/>
      <c r="D373" s="148"/>
      <c r="E373" s="148"/>
      <c r="F373" s="488"/>
      <c r="G373" s="488"/>
      <c r="H373" s="488"/>
      <c r="I373" s="341"/>
      <c r="J373" s="148"/>
      <c r="K373" s="723"/>
      <c r="L373" s="341"/>
      <c r="M373" s="341"/>
      <c r="N373" s="341"/>
      <c r="O373" s="148"/>
      <c r="P373" s="341"/>
      <c r="Q373" s="341"/>
      <c r="R373" s="341"/>
      <c r="S373" s="341"/>
      <c r="T373" s="148"/>
      <c r="U373" s="488"/>
      <c r="V373" s="676"/>
      <c r="W373" s="724"/>
      <c r="X373" s="452"/>
      <c r="Y373" s="341"/>
      <c r="Z373" s="341"/>
      <c r="AA373" s="341"/>
      <c r="AB373" s="341"/>
      <c r="AC373" s="341"/>
      <c r="AD373" s="341"/>
      <c r="AE373" s="341"/>
      <c r="AF373" s="86"/>
      <c r="AG373" s="341"/>
      <c r="AH373" s="341"/>
      <c r="AI373" s="341"/>
      <c r="AJ373" s="341"/>
      <c r="AK373" s="341"/>
      <c r="AL373" s="341"/>
      <c r="AM373" s="148"/>
      <c r="AN373" s="341"/>
      <c r="AO373" s="341"/>
      <c r="AP373" s="341"/>
      <c r="AQ373" s="341"/>
      <c r="AR373" s="341"/>
      <c r="AS373" s="341"/>
      <c r="AT373" s="341"/>
      <c r="AU373" s="341"/>
      <c r="AV373" s="341"/>
      <c r="AW373" s="341"/>
      <c r="AX373" s="341"/>
      <c r="AY373" s="341"/>
      <c r="AZ373" s="341"/>
      <c r="BA373" s="341"/>
      <c r="BB373" s="341"/>
      <c r="BC373" s="341"/>
      <c r="BD373" s="341"/>
      <c r="BE373" s="341"/>
      <c r="BF373" s="341"/>
      <c r="BG373" s="147"/>
      <c r="BH373" s="147"/>
      <c r="BI373" s="606"/>
      <c r="BJ373" s="341"/>
      <c r="BK373" s="341"/>
      <c r="BL373" s="147"/>
      <c r="BM373" s="341"/>
      <c r="BN373" s="341"/>
      <c r="BO373" s="341"/>
    </row>
    <row r="374" ht="15.75" customHeight="1">
      <c r="A374" s="341"/>
      <c r="B374" s="341"/>
      <c r="C374" s="102"/>
      <c r="D374" s="148"/>
      <c r="E374" s="148"/>
      <c r="F374" s="488"/>
      <c r="G374" s="488"/>
      <c r="H374" s="488"/>
      <c r="I374" s="341"/>
      <c r="J374" s="148"/>
      <c r="K374" s="723"/>
      <c r="L374" s="341"/>
      <c r="M374" s="341"/>
      <c r="N374" s="341"/>
      <c r="O374" s="148"/>
      <c r="P374" s="341"/>
      <c r="Q374" s="341"/>
      <c r="R374" s="341"/>
      <c r="S374" s="341"/>
      <c r="T374" s="148"/>
      <c r="U374" s="488"/>
      <c r="V374" s="676"/>
      <c r="W374" s="724"/>
      <c r="X374" s="452"/>
      <c r="Y374" s="341"/>
      <c r="Z374" s="341"/>
      <c r="AA374" s="341"/>
      <c r="AB374" s="341"/>
      <c r="AC374" s="341"/>
      <c r="AD374" s="341"/>
      <c r="AE374" s="341"/>
      <c r="AF374" s="86"/>
      <c r="AG374" s="341"/>
      <c r="AH374" s="341"/>
      <c r="AI374" s="341"/>
      <c r="AJ374" s="341"/>
      <c r="AK374" s="341"/>
      <c r="AL374" s="341"/>
      <c r="AM374" s="148"/>
      <c r="AN374" s="341"/>
      <c r="AO374" s="341"/>
      <c r="AP374" s="341"/>
      <c r="AQ374" s="341"/>
      <c r="AR374" s="341"/>
      <c r="AS374" s="341"/>
      <c r="AT374" s="341"/>
      <c r="AU374" s="341"/>
      <c r="AV374" s="341"/>
      <c r="AW374" s="341"/>
      <c r="AX374" s="341"/>
      <c r="AY374" s="341"/>
      <c r="AZ374" s="341"/>
      <c r="BA374" s="341"/>
      <c r="BB374" s="341"/>
      <c r="BC374" s="341"/>
      <c r="BD374" s="341"/>
      <c r="BE374" s="341"/>
      <c r="BF374" s="341"/>
      <c r="BG374" s="147"/>
      <c r="BH374" s="147"/>
      <c r="BI374" s="606"/>
      <c r="BJ374" s="341"/>
      <c r="BK374" s="341"/>
      <c r="BL374" s="147"/>
      <c r="BM374" s="341"/>
      <c r="BN374" s="341"/>
      <c r="BO374" s="341"/>
    </row>
    <row r="375" ht="15.75" customHeight="1">
      <c r="A375" s="341"/>
      <c r="B375" s="341"/>
      <c r="C375" s="102"/>
      <c r="D375" s="148"/>
      <c r="E375" s="148"/>
      <c r="F375" s="488"/>
      <c r="G375" s="488"/>
      <c r="H375" s="488"/>
      <c r="I375" s="341"/>
      <c r="J375" s="148"/>
      <c r="K375" s="723"/>
      <c r="L375" s="341"/>
      <c r="M375" s="341"/>
      <c r="N375" s="341"/>
      <c r="O375" s="148"/>
      <c r="P375" s="341"/>
      <c r="Q375" s="341"/>
      <c r="R375" s="341"/>
      <c r="S375" s="341"/>
      <c r="T375" s="148"/>
      <c r="U375" s="488"/>
      <c r="V375" s="676"/>
      <c r="W375" s="724"/>
      <c r="X375" s="452"/>
      <c r="Y375" s="341"/>
      <c r="Z375" s="341"/>
      <c r="AA375" s="341"/>
      <c r="AB375" s="341"/>
      <c r="AC375" s="341"/>
      <c r="AD375" s="341"/>
      <c r="AE375" s="341"/>
      <c r="AF375" s="86"/>
      <c r="AG375" s="341"/>
      <c r="AH375" s="341"/>
      <c r="AI375" s="341"/>
      <c r="AJ375" s="341"/>
      <c r="AK375" s="341"/>
      <c r="AL375" s="341"/>
      <c r="AM375" s="148"/>
      <c r="AN375" s="341"/>
      <c r="AO375" s="341"/>
      <c r="AP375" s="341"/>
      <c r="AQ375" s="341"/>
      <c r="AR375" s="341"/>
      <c r="AS375" s="341"/>
      <c r="AT375" s="341"/>
      <c r="AU375" s="341"/>
      <c r="AV375" s="341"/>
      <c r="AW375" s="341"/>
      <c r="AX375" s="341"/>
      <c r="AY375" s="341"/>
      <c r="AZ375" s="341"/>
      <c r="BA375" s="341"/>
      <c r="BB375" s="341"/>
      <c r="BC375" s="341"/>
      <c r="BD375" s="341"/>
      <c r="BE375" s="341"/>
      <c r="BF375" s="341"/>
      <c r="BG375" s="147"/>
      <c r="BH375" s="147"/>
      <c r="BI375" s="606"/>
      <c r="BJ375" s="341"/>
      <c r="BK375" s="341"/>
      <c r="BL375" s="147"/>
      <c r="BM375" s="341"/>
      <c r="BN375" s="341"/>
      <c r="BO375" s="341"/>
    </row>
    <row r="376" ht="15.75" customHeight="1">
      <c r="A376" s="341"/>
      <c r="B376" s="341"/>
      <c r="C376" s="102"/>
      <c r="D376" s="148"/>
      <c r="E376" s="148"/>
      <c r="F376" s="488"/>
      <c r="G376" s="488"/>
      <c r="H376" s="488"/>
      <c r="I376" s="341"/>
      <c r="J376" s="148"/>
      <c r="K376" s="723"/>
      <c r="L376" s="341"/>
      <c r="M376" s="341"/>
      <c r="N376" s="341"/>
      <c r="O376" s="148"/>
      <c r="P376" s="341"/>
      <c r="Q376" s="341"/>
      <c r="R376" s="341"/>
      <c r="S376" s="341"/>
      <c r="T376" s="148"/>
      <c r="U376" s="488"/>
      <c r="V376" s="676"/>
      <c r="W376" s="724"/>
      <c r="X376" s="452"/>
      <c r="Y376" s="341"/>
      <c r="Z376" s="341"/>
      <c r="AA376" s="341"/>
      <c r="AB376" s="341"/>
      <c r="AC376" s="341"/>
      <c r="AD376" s="341"/>
      <c r="AE376" s="341"/>
      <c r="AF376" s="86"/>
      <c r="AG376" s="341"/>
      <c r="AH376" s="341"/>
      <c r="AI376" s="341"/>
      <c r="AJ376" s="341"/>
      <c r="AK376" s="341"/>
      <c r="AL376" s="341"/>
      <c r="AM376" s="148"/>
      <c r="AN376" s="341"/>
      <c r="AO376" s="341"/>
      <c r="AP376" s="341"/>
      <c r="AQ376" s="341"/>
      <c r="AR376" s="341"/>
      <c r="AS376" s="341"/>
      <c r="AT376" s="341"/>
      <c r="AU376" s="341"/>
      <c r="AV376" s="341"/>
      <c r="AW376" s="341"/>
      <c r="AX376" s="341"/>
      <c r="AY376" s="341"/>
      <c r="AZ376" s="341"/>
      <c r="BA376" s="341"/>
      <c r="BB376" s="341"/>
      <c r="BC376" s="341"/>
      <c r="BD376" s="341"/>
      <c r="BE376" s="341"/>
      <c r="BF376" s="341"/>
      <c r="BG376" s="147"/>
      <c r="BH376" s="147"/>
      <c r="BI376" s="606"/>
      <c r="BJ376" s="341"/>
      <c r="BK376" s="341"/>
      <c r="BL376" s="147"/>
      <c r="BM376" s="341"/>
      <c r="BN376" s="341"/>
      <c r="BO376" s="341"/>
    </row>
    <row r="377" ht="15.75" customHeight="1">
      <c r="A377" s="341"/>
      <c r="B377" s="341"/>
      <c r="C377" s="102"/>
      <c r="D377" s="148"/>
      <c r="E377" s="148"/>
      <c r="F377" s="488"/>
      <c r="G377" s="488"/>
      <c r="H377" s="488"/>
      <c r="I377" s="341"/>
      <c r="J377" s="148"/>
      <c r="K377" s="723"/>
      <c r="L377" s="341"/>
      <c r="M377" s="341"/>
      <c r="N377" s="341"/>
      <c r="O377" s="148"/>
      <c r="P377" s="341"/>
      <c r="Q377" s="341"/>
      <c r="R377" s="341"/>
      <c r="S377" s="341"/>
      <c r="T377" s="148"/>
      <c r="U377" s="488"/>
      <c r="V377" s="676"/>
      <c r="W377" s="724"/>
      <c r="X377" s="452"/>
      <c r="Y377" s="341"/>
      <c r="Z377" s="341"/>
      <c r="AA377" s="341"/>
      <c r="AB377" s="341"/>
      <c r="AC377" s="341"/>
      <c r="AD377" s="341"/>
      <c r="AE377" s="341"/>
      <c r="AF377" s="86"/>
      <c r="AG377" s="341"/>
      <c r="AH377" s="341"/>
      <c r="AI377" s="341"/>
      <c r="AJ377" s="341"/>
      <c r="AK377" s="341"/>
      <c r="AL377" s="341"/>
      <c r="AM377" s="148"/>
      <c r="AN377" s="341"/>
      <c r="AO377" s="341"/>
      <c r="AP377" s="341"/>
      <c r="AQ377" s="341"/>
      <c r="AR377" s="341"/>
      <c r="AS377" s="341"/>
      <c r="AT377" s="341"/>
      <c r="AU377" s="341"/>
      <c r="AV377" s="341"/>
      <c r="AW377" s="341"/>
      <c r="AX377" s="341"/>
      <c r="AY377" s="341"/>
      <c r="AZ377" s="341"/>
      <c r="BA377" s="341"/>
      <c r="BB377" s="341"/>
      <c r="BC377" s="341"/>
      <c r="BD377" s="341"/>
      <c r="BE377" s="341"/>
      <c r="BF377" s="341"/>
      <c r="BG377" s="147"/>
      <c r="BH377" s="147"/>
      <c r="BI377" s="606"/>
      <c r="BJ377" s="341"/>
      <c r="BK377" s="341"/>
      <c r="BL377" s="147"/>
      <c r="BM377" s="341"/>
      <c r="BN377" s="341"/>
      <c r="BO377" s="341"/>
    </row>
    <row r="378" ht="15.75" customHeight="1">
      <c r="A378" s="341"/>
      <c r="B378" s="341"/>
      <c r="C378" s="102"/>
      <c r="D378" s="148"/>
      <c r="E378" s="148"/>
      <c r="F378" s="488"/>
      <c r="G378" s="488"/>
      <c r="H378" s="488"/>
      <c r="I378" s="341"/>
      <c r="J378" s="148"/>
      <c r="K378" s="723"/>
      <c r="L378" s="341"/>
      <c r="M378" s="341"/>
      <c r="N378" s="341"/>
      <c r="O378" s="148"/>
      <c r="P378" s="341"/>
      <c r="Q378" s="341"/>
      <c r="R378" s="341"/>
      <c r="S378" s="341"/>
      <c r="T378" s="148"/>
      <c r="U378" s="488"/>
      <c r="V378" s="676"/>
      <c r="W378" s="724"/>
      <c r="X378" s="452"/>
      <c r="Y378" s="341"/>
      <c r="Z378" s="341"/>
      <c r="AA378" s="341"/>
      <c r="AB378" s="341"/>
      <c r="AC378" s="341"/>
      <c r="AD378" s="341"/>
      <c r="AE378" s="341"/>
      <c r="AF378" s="86"/>
      <c r="AG378" s="341"/>
      <c r="AH378" s="341"/>
      <c r="AI378" s="341"/>
      <c r="AJ378" s="341"/>
      <c r="AK378" s="341"/>
      <c r="AL378" s="341"/>
      <c r="AM378" s="148"/>
      <c r="AN378" s="341"/>
      <c r="AO378" s="341"/>
      <c r="AP378" s="341"/>
      <c r="AQ378" s="341"/>
      <c r="AR378" s="341"/>
      <c r="AS378" s="341"/>
      <c r="AT378" s="341"/>
      <c r="AU378" s="341"/>
      <c r="AV378" s="341"/>
      <c r="AW378" s="341"/>
      <c r="AX378" s="341"/>
      <c r="AY378" s="341"/>
      <c r="AZ378" s="341"/>
      <c r="BA378" s="341"/>
      <c r="BB378" s="341"/>
      <c r="BC378" s="341"/>
      <c r="BD378" s="341"/>
      <c r="BE378" s="341"/>
      <c r="BF378" s="341"/>
      <c r="BG378" s="147"/>
      <c r="BH378" s="147"/>
      <c r="BI378" s="606"/>
      <c r="BJ378" s="341"/>
      <c r="BK378" s="341"/>
      <c r="BL378" s="147"/>
      <c r="BM378" s="341"/>
      <c r="BN378" s="341"/>
      <c r="BO378" s="341"/>
    </row>
    <row r="379" ht="15.75" customHeight="1">
      <c r="A379" s="341"/>
      <c r="B379" s="341"/>
      <c r="C379" s="102"/>
      <c r="D379" s="148"/>
      <c r="E379" s="148"/>
      <c r="F379" s="488"/>
      <c r="G379" s="488"/>
      <c r="H379" s="488"/>
      <c r="I379" s="341"/>
      <c r="J379" s="148"/>
      <c r="K379" s="723"/>
      <c r="L379" s="341"/>
      <c r="M379" s="341"/>
      <c r="N379" s="341"/>
      <c r="O379" s="148"/>
      <c r="P379" s="341"/>
      <c r="Q379" s="341"/>
      <c r="R379" s="341"/>
      <c r="S379" s="341"/>
      <c r="T379" s="148"/>
      <c r="U379" s="488"/>
      <c r="V379" s="676"/>
      <c r="W379" s="724"/>
      <c r="X379" s="452"/>
      <c r="Y379" s="341"/>
      <c r="Z379" s="341"/>
      <c r="AA379" s="341"/>
      <c r="AB379" s="341"/>
      <c r="AC379" s="341"/>
      <c r="AD379" s="341"/>
      <c r="AE379" s="341"/>
      <c r="AF379" s="86"/>
      <c r="AG379" s="341"/>
      <c r="AH379" s="341"/>
      <c r="AI379" s="341"/>
      <c r="AJ379" s="341"/>
      <c r="AK379" s="341"/>
      <c r="AL379" s="341"/>
      <c r="AM379" s="148"/>
      <c r="AN379" s="341"/>
      <c r="AO379" s="341"/>
      <c r="AP379" s="341"/>
      <c r="AQ379" s="341"/>
      <c r="AR379" s="341"/>
      <c r="AS379" s="341"/>
      <c r="AT379" s="341"/>
      <c r="AU379" s="341"/>
      <c r="AV379" s="341"/>
      <c r="AW379" s="341"/>
      <c r="AX379" s="341"/>
      <c r="AY379" s="341"/>
      <c r="AZ379" s="341"/>
      <c r="BA379" s="341"/>
      <c r="BB379" s="341"/>
      <c r="BC379" s="341"/>
      <c r="BD379" s="341"/>
      <c r="BE379" s="341"/>
      <c r="BF379" s="341"/>
      <c r="BG379" s="147"/>
      <c r="BH379" s="147"/>
      <c r="BI379" s="606"/>
      <c r="BJ379" s="341"/>
      <c r="BK379" s="341"/>
      <c r="BL379" s="147"/>
      <c r="BM379" s="341"/>
      <c r="BN379" s="341"/>
      <c r="BO379" s="341"/>
    </row>
    <row r="380" ht="15.75" customHeight="1">
      <c r="A380" s="341"/>
      <c r="B380" s="341"/>
      <c r="C380" s="102"/>
      <c r="D380" s="148"/>
      <c r="E380" s="148"/>
      <c r="F380" s="488"/>
      <c r="G380" s="488"/>
      <c r="H380" s="488"/>
      <c r="I380" s="341"/>
      <c r="J380" s="148"/>
      <c r="K380" s="723"/>
      <c r="L380" s="341"/>
      <c r="M380" s="341"/>
      <c r="N380" s="341"/>
      <c r="O380" s="148"/>
      <c r="P380" s="341"/>
      <c r="Q380" s="341"/>
      <c r="R380" s="341"/>
      <c r="S380" s="341"/>
      <c r="T380" s="148"/>
      <c r="U380" s="488"/>
      <c r="V380" s="676"/>
      <c r="W380" s="724"/>
      <c r="X380" s="452"/>
      <c r="Y380" s="341"/>
      <c r="Z380" s="341"/>
      <c r="AA380" s="341"/>
      <c r="AB380" s="341"/>
      <c r="AC380" s="341"/>
      <c r="AD380" s="341"/>
      <c r="AE380" s="341"/>
      <c r="AF380" s="86"/>
      <c r="AG380" s="341"/>
      <c r="AH380" s="341"/>
      <c r="AI380" s="341"/>
      <c r="AJ380" s="341"/>
      <c r="AK380" s="341"/>
      <c r="AL380" s="341"/>
      <c r="AM380" s="148"/>
      <c r="AN380" s="341"/>
      <c r="AO380" s="341"/>
      <c r="AP380" s="341"/>
      <c r="AQ380" s="341"/>
      <c r="AR380" s="341"/>
      <c r="AS380" s="341"/>
      <c r="AT380" s="341"/>
      <c r="AU380" s="341"/>
      <c r="AV380" s="341"/>
      <c r="AW380" s="341"/>
      <c r="AX380" s="341"/>
      <c r="AY380" s="341"/>
      <c r="AZ380" s="341"/>
      <c r="BA380" s="341"/>
      <c r="BB380" s="341"/>
      <c r="BC380" s="341"/>
      <c r="BD380" s="341"/>
      <c r="BE380" s="341"/>
      <c r="BF380" s="341"/>
      <c r="BG380" s="147"/>
      <c r="BH380" s="147"/>
      <c r="BI380" s="606"/>
      <c r="BJ380" s="341"/>
      <c r="BK380" s="341"/>
      <c r="BL380" s="147"/>
      <c r="BM380" s="341"/>
      <c r="BN380" s="341"/>
      <c r="BO380" s="341"/>
    </row>
    <row r="381" ht="15.75" customHeight="1">
      <c r="A381" s="341"/>
      <c r="B381" s="341"/>
      <c r="C381" s="102"/>
      <c r="D381" s="148"/>
      <c r="E381" s="148"/>
      <c r="F381" s="488"/>
      <c r="G381" s="488"/>
      <c r="H381" s="488"/>
      <c r="I381" s="341"/>
      <c r="J381" s="148"/>
      <c r="K381" s="723"/>
      <c r="L381" s="341"/>
      <c r="M381" s="341"/>
      <c r="N381" s="341"/>
      <c r="O381" s="148"/>
      <c r="P381" s="341"/>
      <c r="Q381" s="341"/>
      <c r="R381" s="341"/>
      <c r="S381" s="341"/>
      <c r="T381" s="148"/>
      <c r="U381" s="488"/>
      <c r="V381" s="676"/>
      <c r="W381" s="724"/>
      <c r="X381" s="452"/>
      <c r="Y381" s="341"/>
      <c r="Z381" s="341"/>
      <c r="AA381" s="341"/>
      <c r="AB381" s="341"/>
      <c r="AC381" s="341"/>
      <c r="AD381" s="341"/>
      <c r="AE381" s="341"/>
      <c r="AF381" s="86"/>
      <c r="AG381" s="341"/>
      <c r="AH381" s="341"/>
      <c r="AI381" s="341"/>
      <c r="AJ381" s="341"/>
      <c r="AK381" s="341"/>
      <c r="AL381" s="341"/>
      <c r="AM381" s="148"/>
      <c r="AN381" s="341"/>
      <c r="AO381" s="341"/>
      <c r="AP381" s="341"/>
      <c r="AQ381" s="341"/>
      <c r="AR381" s="341"/>
      <c r="AS381" s="341"/>
      <c r="AT381" s="341"/>
      <c r="AU381" s="341"/>
      <c r="AV381" s="341"/>
      <c r="AW381" s="341"/>
      <c r="AX381" s="341"/>
      <c r="AY381" s="341"/>
      <c r="AZ381" s="341"/>
      <c r="BA381" s="341"/>
      <c r="BB381" s="341"/>
      <c r="BC381" s="341"/>
      <c r="BD381" s="341"/>
      <c r="BE381" s="341"/>
      <c r="BF381" s="341"/>
      <c r="BG381" s="147"/>
      <c r="BH381" s="147"/>
      <c r="BI381" s="606"/>
      <c r="BJ381" s="341"/>
      <c r="BK381" s="341"/>
      <c r="BL381" s="147"/>
      <c r="BM381" s="341"/>
      <c r="BN381" s="341"/>
      <c r="BO381" s="341"/>
    </row>
    <row r="382" ht="15.75" customHeight="1">
      <c r="A382" s="341"/>
      <c r="B382" s="341"/>
      <c r="C382" s="102"/>
      <c r="D382" s="148"/>
      <c r="E382" s="148"/>
      <c r="F382" s="488"/>
      <c r="G382" s="488"/>
      <c r="H382" s="488"/>
      <c r="I382" s="341"/>
      <c r="J382" s="148"/>
      <c r="K382" s="723"/>
      <c r="L382" s="341"/>
      <c r="M382" s="341"/>
      <c r="N382" s="341"/>
      <c r="O382" s="148"/>
      <c r="P382" s="341"/>
      <c r="Q382" s="341"/>
      <c r="R382" s="341"/>
      <c r="S382" s="341"/>
      <c r="T382" s="148"/>
      <c r="U382" s="488"/>
      <c r="V382" s="676"/>
      <c r="W382" s="724"/>
      <c r="X382" s="452"/>
      <c r="Y382" s="341"/>
      <c r="Z382" s="341"/>
      <c r="AA382" s="341"/>
      <c r="AB382" s="341"/>
      <c r="AC382" s="341"/>
      <c r="AD382" s="341"/>
      <c r="AE382" s="341"/>
      <c r="AF382" s="86"/>
      <c r="AG382" s="341"/>
      <c r="AH382" s="341"/>
      <c r="AI382" s="341"/>
      <c r="AJ382" s="341"/>
      <c r="AK382" s="341"/>
      <c r="AL382" s="341"/>
      <c r="AM382" s="148"/>
      <c r="AN382" s="341"/>
      <c r="AO382" s="341"/>
      <c r="AP382" s="341"/>
      <c r="AQ382" s="341"/>
      <c r="AR382" s="341"/>
      <c r="AS382" s="341"/>
      <c r="AT382" s="341"/>
      <c r="AU382" s="341"/>
      <c r="AV382" s="341"/>
      <c r="AW382" s="341"/>
      <c r="AX382" s="341"/>
      <c r="AY382" s="341"/>
      <c r="AZ382" s="341"/>
      <c r="BA382" s="341"/>
      <c r="BB382" s="341"/>
      <c r="BC382" s="341"/>
      <c r="BD382" s="341"/>
      <c r="BE382" s="341"/>
      <c r="BF382" s="341"/>
      <c r="BG382" s="147"/>
      <c r="BH382" s="147"/>
      <c r="BI382" s="606"/>
      <c r="BJ382" s="341"/>
      <c r="BK382" s="341"/>
      <c r="BL382" s="147"/>
      <c r="BM382" s="341"/>
      <c r="BN382" s="341"/>
      <c r="BO382" s="341"/>
    </row>
    <row r="383" ht="15.75" customHeight="1">
      <c r="A383" s="341"/>
      <c r="B383" s="341"/>
      <c r="C383" s="102"/>
      <c r="D383" s="148"/>
      <c r="E383" s="148"/>
      <c r="F383" s="488"/>
      <c r="G383" s="488"/>
      <c r="H383" s="488"/>
      <c r="I383" s="341"/>
      <c r="J383" s="148"/>
      <c r="K383" s="723"/>
      <c r="L383" s="341"/>
      <c r="M383" s="341"/>
      <c r="N383" s="341"/>
      <c r="O383" s="148"/>
      <c r="P383" s="341"/>
      <c r="Q383" s="341"/>
      <c r="R383" s="341"/>
      <c r="S383" s="341"/>
      <c r="T383" s="148"/>
      <c r="U383" s="488"/>
      <c r="V383" s="676"/>
      <c r="W383" s="724"/>
      <c r="X383" s="452"/>
      <c r="Y383" s="341"/>
      <c r="Z383" s="341"/>
      <c r="AA383" s="341"/>
      <c r="AB383" s="341"/>
      <c r="AC383" s="341"/>
      <c r="AD383" s="341"/>
      <c r="AE383" s="341"/>
      <c r="AF383" s="86"/>
      <c r="AG383" s="341"/>
      <c r="AH383" s="341"/>
      <c r="AI383" s="341"/>
      <c r="AJ383" s="341"/>
      <c r="AK383" s="341"/>
      <c r="AL383" s="341"/>
      <c r="AM383" s="148"/>
      <c r="AN383" s="341"/>
      <c r="AO383" s="341"/>
      <c r="AP383" s="341"/>
      <c r="AQ383" s="341"/>
      <c r="AR383" s="341"/>
      <c r="AS383" s="341"/>
      <c r="AT383" s="341"/>
      <c r="AU383" s="341"/>
      <c r="AV383" s="341"/>
      <c r="AW383" s="341"/>
      <c r="AX383" s="341"/>
      <c r="AY383" s="341"/>
      <c r="AZ383" s="341"/>
      <c r="BA383" s="341"/>
      <c r="BB383" s="341"/>
      <c r="BC383" s="341"/>
      <c r="BD383" s="341"/>
      <c r="BE383" s="341"/>
      <c r="BF383" s="341"/>
      <c r="BG383" s="147"/>
      <c r="BH383" s="147"/>
      <c r="BI383" s="606"/>
      <c r="BJ383" s="341"/>
      <c r="BK383" s="341"/>
      <c r="BL383" s="147"/>
      <c r="BM383" s="341"/>
      <c r="BN383" s="341"/>
      <c r="BO383" s="341"/>
    </row>
    <row r="384" ht="15.75" customHeight="1">
      <c r="A384" s="341"/>
      <c r="B384" s="341"/>
      <c r="C384" s="102"/>
      <c r="D384" s="148"/>
      <c r="E384" s="148"/>
      <c r="F384" s="488"/>
      <c r="G384" s="488"/>
      <c r="H384" s="488"/>
      <c r="I384" s="341"/>
      <c r="J384" s="148"/>
      <c r="K384" s="723"/>
      <c r="L384" s="341"/>
      <c r="M384" s="341"/>
      <c r="N384" s="341"/>
      <c r="O384" s="148"/>
      <c r="P384" s="341"/>
      <c r="Q384" s="341"/>
      <c r="R384" s="341"/>
      <c r="S384" s="341"/>
      <c r="T384" s="148"/>
      <c r="U384" s="488"/>
      <c r="V384" s="676"/>
      <c r="W384" s="724"/>
      <c r="X384" s="452"/>
      <c r="Y384" s="341"/>
      <c r="Z384" s="341"/>
      <c r="AA384" s="341"/>
      <c r="AB384" s="341"/>
      <c r="AC384" s="341"/>
      <c r="AD384" s="341"/>
      <c r="AE384" s="341"/>
      <c r="AF384" s="86"/>
      <c r="AG384" s="341"/>
      <c r="AH384" s="341"/>
      <c r="AI384" s="341"/>
      <c r="AJ384" s="341"/>
      <c r="AK384" s="341"/>
      <c r="AL384" s="341"/>
      <c r="AM384" s="148"/>
      <c r="AN384" s="341"/>
      <c r="AO384" s="341"/>
      <c r="AP384" s="341"/>
      <c r="AQ384" s="341"/>
      <c r="AR384" s="341"/>
      <c r="AS384" s="341"/>
      <c r="AT384" s="341"/>
      <c r="AU384" s="341"/>
      <c r="AV384" s="341"/>
      <c r="AW384" s="341"/>
      <c r="AX384" s="341"/>
      <c r="AY384" s="341"/>
      <c r="AZ384" s="341"/>
      <c r="BA384" s="341"/>
      <c r="BB384" s="341"/>
      <c r="BC384" s="341"/>
      <c r="BD384" s="341"/>
      <c r="BE384" s="341"/>
      <c r="BF384" s="341"/>
      <c r="BG384" s="147"/>
      <c r="BH384" s="147"/>
      <c r="BI384" s="606"/>
      <c r="BJ384" s="341"/>
      <c r="BK384" s="341"/>
      <c r="BL384" s="147"/>
      <c r="BM384" s="341"/>
      <c r="BN384" s="341"/>
      <c r="BO384" s="341"/>
    </row>
    <row r="385" ht="15.75" customHeight="1">
      <c r="A385" s="341"/>
      <c r="B385" s="341"/>
      <c r="C385" s="102"/>
      <c r="D385" s="148"/>
      <c r="E385" s="148"/>
      <c r="F385" s="488"/>
      <c r="G385" s="488"/>
      <c r="H385" s="488"/>
      <c r="I385" s="341"/>
      <c r="J385" s="148"/>
      <c r="K385" s="723"/>
      <c r="L385" s="341"/>
      <c r="M385" s="341"/>
      <c r="N385" s="341"/>
      <c r="O385" s="148"/>
      <c r="P385" s="341"/>
      <c r="Q385" s="341"/>
      <c r="R385" s="341"/>
      <c r="S385" s="341"/>
      <c r="T385" s="148"/>
      <c r="U385" s="488"/>
      <c r="V385" s="676"/>
      <c r="W385" s="724"/>
      <c r="X385" s="452"/>
      <c r="Y385" s="341"/>
      <c r="Z385" s="341"/>
      <c r="AA385" s="341"/>
      <c r="AB385" s="341"/>
      <c r="AC385" s="341"/>
      <c r="AD385" s="341"/>
      <c r="AE385" s="341"/>
      <c r="AF385" s="86"/>
      <c r="AG385" s="341"/>
      <c r="AH385" s="341"/>
      <c r="AI385" s="341"/>
      <c r="AJ385" s="341"/>
      <c r="AK385" s="341"/>
      <c r="AL385" s="341"/>
      <c r="AM385" s="148"/>
      <c r="AN385" s="341"/>
      <c r="AO385" s="341"/>
      <c r="AP385" s="341"/>
      <c r="AQ385" s="341"/>
      <c r="AR385" s="341"/>
      <c r="AS385" s="341"/>
      <c r="AT385" s="341"/>
      <c r="AU385" s="341"/>
      <c r="AV385" s="341"/>
      <c r="AW385" s="341"/>
      <c r="AX385" s="341"/>
      <c r="AY385" s="341"/>
      <c r="AZ385" s="341"/>
      <c r="BA385" s="341"/>
      <c r="BB385" s="341"/>
      <c r="BC385" s="341"/>
      <c r="BD385" s="341"/>
      <c r="BE385" s="341"/>
      <c r="BF385" s="341"/>
      <c r="BG385" s="147"/>
      <c r="BH385" s="147"/>
      <c r="BI385" s="606"/>
      <c r="BJ385" s="341"/>
      <c r="BK385" s="341"/>
      <c r="BL385" s="147"/>
      <c r="BM385" s="341"/>
      <c r="BN385" s="341"/>
      <c r="BO385" s="341"/>
    </row>
    <row r="386" ht="15.75" customHeight="1">
      <c r="A386" s="341"/>
      <c r="B386" s="341"/>
      <c r="C386" s="102"/>
      <c r="D386" s="148"/>
      <c r="E386" s="148"/>
      <c r="F386" s="488"/>
      <c r="G386" s="488"/>
      <c r="H386" s="488"/>
      <c r="I386" s="341"/>
      <c r="J386" s="148"/>
      <c r="K386" s="723"/>
      <c r="L386" s="341"/>
      <c r="M386" s="341"/>
      <c r="N386" s="341"/>
      <c r="O386" s="148"/>
      <c r="P386" s="341"/>
      <c r="Q386" s="341"/>
      <c r="R386" s="341"/>
      <c r="S386" s="341"/>
      <c r="T386" s="148"/>
      <c r="U386" s="488"/>
      <c r="V386" s="676"/>
      <c r="W386" s="724"/>
      <c r="X386" s="452"/>
      <c r="Y386" s="341"/>
      <c r="Z386" s="341"/>
      <c r="AA386" s="341"/>
      <c r="AB386" s="341"/>
      <c r="AC386" s="341"/>
      <c r="AD386" s="341"/>
      <c r="AE386" s="341"/>
      <c r="AF386" s="86"/>
      <c r="AG386" s="341"/>
      <c r="AH386" s="341"/>
      <c r="AI386" s="341"/>
      <c r="AJ386" s="341"/>
      <c r="AK386" s="341"/>
      <c r="AL386" s="341"/>
      <c r="AM386" s="148"/>
      <c r="AN386" s="341"/>
      <c r="AO386" s="341"/>
      <c r="AP386" s="341"/>
      <c r="AQ386" s="341"/>
      <c r="AR386" s="341"/>
      <c r="AS386" s="341"/>
      <c r="AT386" s="341"/>
      <c r="AU386" s="341"/>
      <c r="AV386" s="341"/>
      <c r="AW386" s="341"/>
      <c r="AX386" s="341"/>
      <c r="AY386" s="341"/>
      <c r="AZ386" s="341"/>
      <c r="BA386" s="341"/>
      <c r="BB386" s="341"/>
      <c r="BC386" s="341"/>
      <c r="BD386" s="341"/>
      <c r="BE386" s="341"/>
      <c r="BF386" s="341"/>
      <c r="BG386" s="147"/>
      <c r="BH386" s="147"/>
      <c r="BI386" s="606"/>
      <c r="BJ386" s="341"/>
      <c r="BK386" s="341"/>
      <c r="BL386" s="147"/>
      <c r="BM386" s="341"/>
      <c r="BN386" s="341"/>
      <c r="BO386" s="341"/>
    </row>
    <row r="387" ht="15.75" customHeight="1">
      <c r="A387" s="341"/>
      <c r="B387" s="341"/>
      <c r="C387" s="102"/>
      <c r="D387" s="148"/>
      <c r="E387" s="148"/>
      <c r="F387" s="488"/>
      <c r="G387" s="488"/>
      <c r="H387" s="488"/>
      <c r="I387" s="341"/>
      <c r="J387" s="148"/>
      <c r="K387" s="723"/>
      <c r="L387" s="341"/>
      <c r="M387" s="341"/>
      <c r="N387" s="341"/>
      <c r="O387" s="148"/>
      <c r="P387" s="341"/>
      <c r="Q387" s="341"/>
      <c r="R387" s="341"/>
      <c r="S387" s="341"/>
      <c r="T387" s="148"/>
      <c r="U387" s="488"/>
      <c r="V387" s="676"/>
      <c r="W387" s="724"/>
      <c r="X387" s="452"/>
      <c r="Y387" s="341"/>
      <c r="Z387" s="341"/>
      <c r="AA387" s="341"/>
      <c r="AB387" s="341"/>
      <c r="AC387" s="341"/>
      <c r="AD387" s="341"/>
      <c r="AE387" s="341"/>
      <c r="AF387" s="86"/>
      <c r="AG387" s="341"/>
      <c r="AH387" s="341"/>
      <c r="AI387" s="341"/>
      <c r="AJ387" s="341"/>
      <c r="AK387" s="341"/>
      <c r="AL387" s="341"/>
      <c r="AM387" s="148"/>
      <c r="AN387" s="341"/>
      <c r="AO387" s="341"/>
      <c r="AP387" s="341"/>
      <c r="AQ387" s="341"/>
      <c r="AR387" s="341"/>
      <c r="AS387" s="341"/>
      <c r="AT387" s="341"/>
      <c r="AU387" s="341"/>
      <c r="AV387" s="341"/>
      <c r="AW387" s="341"/>
      <c r="AX387" s="341"/>
      <c r="AY387" s="341"/>
      <c r="AZ387" s="341"/>
      <c r="BA387" s="341"/>
      <c r="BB387" s="341"/>
      <c r="BC387" s="341"/>
      <c r="BD387" s="341"/>
      <c r="BE387" s="341"/>
      <c r="BF387" s="341"/>
      <c r="BG387" s="147"/>
      <c r="BH387" s="147"/>
      <c r="BI387" s="606"/>
      <c r="BJ387" s="341"/>
      <c r="BK387" s="341"/>
      <c r="BL387" s="147"/>
      <c r="BM387" s="341"/>
      <c r="BN387" s="341"/>
      <c r="BO387" s="341"/>
    </row>
    <row r="388" ht="15.75" customHeight="1">
      <c r="A388" s="341"/>
      <c r="B388" s="341"/>
      <c r="C388" s="102"/>
      <c r="D388" s="148"/>
      <c r="E388" s="148"/>
      <c r="F388" s="488"/>
      <c r="G388" s="488"/>
      <c r="H388" s="488"/>
      <c r="I388" s="341"/>
      <c r="J388" s="148"/>
      <c r="K388" s="723"/>
      <c r="L388" s="341"/>
      <c r="M388" s="341"/>
      <c r="N388" s="341"/>
      <c r="O388" s="148"/>
      <c r="P388" s="341"/>
      <c r="Q388" s="341"/>
      <c r="R388" s="341"/>
      <c r="S388" s="341"/>
      <c r="T388" s="148"/>
      <c r="U388" s="488"/>
      <c r="V388" s="676"/>
      <c r="W388" s="724"/>
      <c r="X388" s="452"/>
      <c r="Y388" s="341"/>
      <c r="Z388" s="341"/>
      <c r="AA388" s="341"/>
      <c r="AB388" s="341"/>
      <c r="AC388" s="341"/>
      <c r="AD388" s="341"/>
      <c r="AE388" s="341"/>
      <c r="AF388" s="86"/>
      <c r="AG388" s="341"/>
      <c r="AH388" s="341"/>
      <c r="AI388" s="341"/>
      <c r="AJ388" s="341"/>
      <c r="AK388" s="341"/>
      <c r="AL388" s="341"/>
      <c r="AM388" s="148"/>
      <c r="AN388" s="341"/>
      <c r="AO388" s="341"/>
      <c r="AP388" s="341"/>
      <c r="AQ388" s="341"/>
      <c r="AR388" s="341"/>
      <c r="AS388" s="341"/>
      <c r="AT388" s="341"/>
      <c r="AU388" s="341"/>
      <c r="AV388" s="341"/>
      <c r="AW388" s="341"/>
      <c r="AX388" s="341"/>
      <c r="AY388" s="341"/>
      <c r="AZ388" s="341"/>
      <c r="BA388" s="341"/>
      <c r="BB388" s="341"/>
      <c r="BC388" s="341"/>
      <c r="BD388" s="341"/>
      <c r="BE388" s="341"/>
      <c r="BF388" s="341"/>
      <c r="BG388" s="147"/>
      <c r="BH388" s="147"/>
      <c r="BI388" s="606"/>
      <c r="BJ388" s="341"/>
      <c r="BK388" s="341"/>
      <c r="BL388" s="147"/>
      <c r="BM388" s="341"/>
      <c r="BN388" s="341"/>
      <c r="BO388" s="341"/>
    </row>
    <row r="389" ht="15.75" customHeight="1">
      <c r="A389" s="341"/>
      <c r="B389" s="341"/>
      <c r="C389" s="102"/>
      <c r="D389" s="148"/>
      <c r="E389" s="148"/>
      <c r="F389" s="488"/>
      <c r="G389" s="488"/>
      <c r="H389" s="488"/>
      <c r="I389" s="341"/>
      <c r="J389" s="148"/>
      <c r="K389" s="723"/>
      <c r="L389" s="341"/>
      <c r="M389" s="341"/>
      <c r="N389" s="341"/>
      <c r="O389" s="148"/>
      <c r="P389" s="341"/>
      <c r="Q389" s="341"/>
      <c r="R389" s="341"/>
      <c r="S389" s="341"/>
      <c r="T389" s="148"/>
      <c r="U389" s="488"/>
      <c r="V389" s="676"/>
      <c r="W389" s="724"/>
      <c r="X389" s="452"/>
      <c r="Y389" s="341"/>
      <c r="Z389" s="341"/>
      <c r="AA389" s="341"/>
      <c r="AB389" s="341"/>
      <c r="AC389" s="341"/>
      <c r="AD389" s="341"/>
      <c r="AE389" s="341"/>
      <c r="AF389" s="86"/>
      <c r="AG389" s="341"/>
      <c r="AH389" s="341"/>
      <c r="AI389" s="341"/>
      <c r="AJ389" s="341"/>
      <c r="AK389" s="341"/>
      <c r="AL389" s="341"/>
      <c r="AM389" s="148"/>
      <c r="AN389" s="341"/>
      <c r="AO389" s="341"/>
      <c r="AP389" s="341"/>
      <c r="AQ389" s="341"/>
      <c r="AR389" s="341"/>
      <c r="AS389" s="341"/>
      <c r="AT389" s="341"/>
      <c r="AU389" s="341"/>
      <c r="AV389" s="341"/>
      <c r="AW389" s="341"/>
      <c r="AX389" s="341"/>
      <c r="AY389" s="341"/>
      <c r="AZ389" s="341"/>
      <c r="BA389" s="341"/>
      <c r="BB389" s="341"/>
      <c r="BC389" s="341"/>
      <c r="BD389" s="341"/>
      <c r="BE389" s="341"/>
      <c r="BF389" s="341"/>
      <c r="BG389" s="147"/>
      <c r="BH389" s="147"/>
      <c r="BI389" s="606"/>
      <c r="BJ389" s="341"/>
      <c r="BK389" s="341"/>
      <c r="BL389" s="147"/>
      <c r="BM389" s="341"/>
      <c r="BN389" s="341"/>
      <c r="BO389" s="341"/>
    </row>
    <row r="390" ht="15.75" customHeight="1">
      <c r="A390" s="341"/>
      <c r="B390" s="341"/>
      <c r="C390" s="102"/>
      <c r="D390" s="148"/>
      <c r="E390" s="148"/>
      <c r="F390" s="488"/>
      <c r="G390" s="488"/>
      <c r="H390" s="488"/>
      <c r="I390" s="341"/>
      <c r="J390" s="148"/>
      <c r="K390" s="723"/>
      <c r="L390" s="341"/>
      <c r="M390" s="341"/>
      <c r="N390" s="341"/>
      <c r="O390" s="148"/>
      <c r="P390" s="341"/>
      <c r="Q390" s="341"/>
      <c r="R390" s="341"/>
      <c r="S390" s="341"/>
      <c r="T390" s="148"/>
      <c r="U390" s="147"/>
      <c r="V390" s="676"/>
      <c r="W390" s="452"/>
      <c r="X390" s="452"/>
      <c r="Y390" s="341"/>
      <c r="Z390" s="341"/>
      <c r="AA390" s="341"/>
      <c r="AB390" s="341"/>
      <c r="AC390" s="341"/>
      <c r="AD390" s="341"/>
      <c r="AE390" s="341"/>
      <c r="AF390" s="86"/>
      <c r="AG390" s="341"/>
      <c r="AH390" s="341"/>
      <c r="AI390" s="341"/>
      <c r="AJ390" s="341"/>
      <c r="AK390" s="341"/>
      <c r="AL390" s="341"/>
      <c r="AM390" s="341"/>
      <c r="AN390" s="341"/>
      <c r="AO390" s="341"/>
      <c r="AP390" s="341"/>
      <c r="AQ390" s="341"/>
      <c r="AR390" s="341"/>
      <c r="AS390" s="341"/>
      <c r="AT390" s="341"/>
      <c r="AU390" s="341"/>
      <c r="AV390" s="341"/>
      <c r="AW390" s="341"/>
      <c r="AX390" s="341"/>
      <c r="AY390" s="341"/>
      <c r="AZ390" s="341"/>
      <c r="BA390" s="341"/>
      <c r="BB390" s="341"/>
      <c r="BC390" s="341"/>
      <c r="BD390" s="341"/>
      <c r="BE390" s="341"/>
      <c r="BF390" s="341"/>
      <c r="BG390" s="147"/>
      <c r="BH390" s="147"/>
      <c r="BI390" s="606"/>
      <c r="BJ390" s="341"/>
      <c r="BK390" s="341"/>
      <c r="BL390" s="147"/>
      <c r="BM390" s="341"/>
      <c r="BN390" s="341"/>
      <c r="BO390" s="341"/>
    </row>
    <row r="391" ht="15.75" customHeight="1">
      <c r="A391" s="341"/>
      <c r="B391" s="341"/>
      <c r="C391" s="102"/>
      <c r="D391" s="148"/>
      <c r="E391" s="148"/>
      <c r="F391" s="488"/>
      <c r="G391" s="488"/>
      <c r="H391" s="488"/>
      <c r="I391" s="341"/>
      <c r="J391" s="148"/>
      <c r="K391" s="723"/>
      <c r="L391" s="341"/>
      <c r="M391" s="341"/>
      <c r="N391" s="341"/>
      <c r="O391" s="148"/>
      <c r="P391" s="341"/>
      <c r="Q391" s="341"/>
      <c r="R391" s="341"/>
      <c r="S391" s="341"/>
      <c r="T391" s="148"/>
      <c r="U391" s="147"/>
      <c r="V391" s="676"/>
      <c r="W391" s="452"/>
      <c r="X391" s="452"/>
      <c r="Y391" s="341"/>
      <c r="Z391" s="341"/>
      <c r="AA391" s="341"/>
      <c r="AB391" s="341"/>
      <c r="AC391" s="341"/>
      <c r="AD391" s="341"/>
      <c r="AE391" s="341"/>
      <c r="AF391" s="86"/>
      <c r="AG391" s="341"/>
      <c r="AH391" s="341"/>
      <c r="AI391" s="341"/>
      <c r="AJ391" s="341"/>
      <c r="AK391" s="341"/>
      <c r="AL391" s="341"/>
      <c r="AM391" s="341"/>
      <c r="AN391" s="341"/>
      <c r="AO391" s="341"/>
      <c r="AP391" s="341"/>
      <c r="AQ391" s="341"/>
      <c r="AR391" s="341"/>
      <c r="AS391" s="341"/>
      <c r="AT391" s="341"/>
      <c r="AU391" s="341"/>
      <c r="AV391" s="341"/>
      <c r="AW391" s="341"/>
      <c r="AX391" s="341"/>
      <c r="AY391" s="341"/>
      <c r="AZ391" s="341"/>
      <c r="BA391" s="341"/>
      <c r="BB391" s="341"/>
      <c r="BC391" s="341"/>
      <c r="BD391" s="341"/>
      <c r="BE391" s="341"/>
      <c r="BF391" s="341"/>
      <c r="BG391" s="147"/>
      <c r="BH391" s="147"/>
      <c r="BI391" s="606"/>
      <c r="BJ391" s="341"/>
      <c r="BK391" s="341"/>
      <c r="BL391" s="147"/>
      <c r="BM391" s="341"/>
      <c r="BN391" s="341"/>
      <c r="BO391" s="341"/>
    </row>
    <row r="392" ht="15.75" customHeight="1">
      <c r="A392" s="341"/>
      <c r="B392" s="341"/>
      <c r="C392" s="102"/>
      <c r="D392" s="148"/>
      <c r="E392" s="148"/>
      <c r="F392" s="488"/>
      <c r="G392" s="488"/>
      <c r="H392" s="488"/>
      <c r="I392" s="341"/>
      <c r="J392" s="148"/>
      <c r="K392" s="723"/>
      <c r="L392" s="341"/>
      <c r="M392" s="341"/>
      <c r="N392" s="341"/>
      <c r="O392" s="148"/>
      <c r="P392" s="341"/>
      <c r="Q392" s="341"/>
      <c r="R392" s="341"/>
      <c r="S392" s="341"/>
      <c r="T392" s="148"/>
      <c r="U392" s="147"/>
      <c r="V392" s="676"/>
      <c r="W392" s="452"/>
      <c r="X392" s="452"/>
      <c r="Y392" s="341"/>
      <c r="Z392" s="341"/>
      <c r="AA392" s="341"/>
      <c r="AB392" s="341"/>
      <c r="AC392" s="341"/>
      <c r="AD392" s="341"/>
      <c r="AE392" s="341"/>
      <c r="AF392" s="86"/>
      <c r="AG392" s="341"/>
      <c r="AH392" s="341"/>
      <c r="AI392" s="341"/>
      <c r="AJ392" s="341"/>
      <c r="AK392" s="341"/>
      <c r="AL392" s="341"/>
      <c r="AM392" s="341"/>
      <c r="AN392" s="341"/>
      <c r="AO392" s="341"/>
      <c r="AP392" s="341"/>
      <c r="AQ392" s="341"/>
      <c r="AR392" s="341"/>
      <c r="AS392" s="341"/>
      <c r="AT392" s="341"/>
      <c r="AU392" s="341"/>
      <c r="AV392" s="341"/>
      <c r="AW392" s="341"/>
      <c r="AX392" s="341"/>
      <c r="AY392" s="341"/>
      <c r="AZ392" s="341"/>
      <c r="BA392" s="341"/>
      <c r="BB392" s="341"/>
      <c r="BC392" s="341"/>
      <c r="BD392" s="341"/>
      <c r="BE392" s="341"/>
      <c r="BF392" s="341"/>
      <c r="BG392" s="147"/>
      <c r="BH392" s="147"/>
      <c r="BI392" s="606"/>
      <c r="BJ392" s="341"/>
      <c r="BK392" s="341"/>
      <c r="BL392" s="147"/>
      <c r="BM392" s="341"/>
      <c r="BN392" s="341"/>
      <c r="BO392" s="341"/>
    </row>
    <row r="393" ht="15.75" customHeight="1">
      <c r="A393" s="341"/>
      <c r="B393" s="341"/>
      <c r="C393" s="102"/>
      <c r="D393" s="148"/>
      <c r="E393" s="148"/>
      <c r="F393" s="488"/>
      <c r="G393" s="488"/>
      <c r="H393" s="488"/>
      <c r="I393" s="341"/>
      <c r="J393" s="148"/>
      <c r="K393" s="723"/>
      <c r="L393" s="341"/>
      <c r="M393" s="341"/>
      <c r="N393" s="341"/>
      <c r="O393" s="148"/>
      <c r="P393" s="341"/>
      <c r="Q393" s="341"/>
      <c r="R393" s="341"/>
      <c r="S393" s="341"/>
      <c r="T393" s="148"/>
      <c r="U393" s="147"/>
      <c r="V393" s="676"/>
      <c r="W393" s="452"/>
      <c r="X393" s="452"/>
      <c r="Y393" s="341"/>
      <c r="Z393" s="341"/>
      <c r="AA393" s="341"/>
      <c r="AB393" s="341"/>
      <c r="AC393" s="341"/>
      <c r="AD393" s="341"/>
      <c r="AE393" s="341"/>
      <c r="AF393" s="86"/>
      <c r="AG393" s="341"/>
      <c r="AH393" s="341"/>
      <c r="AI393" s="341"/>
      <c r="AJ393" s="341"/>
      <c r="AK393" s="341"/>
      <c r="AL393" s="341"/>
      <c r="AM393" s="341"/>
      <c r="AN393" s="341"/>
      <c r="AO393" s="341"/>
      <c r="AP393" s="341"/>
      <c r="AQ393" s="341"/>
      <c r="AR393" s="341"/>
      <c r="AS393" s="341"/>
      <c r="AT393" s="341"/>
      <c r="AU393" s="341"/>
      <c r="AV393" s="341"/>
      <c r="AW393" s="341"/>
      <c r="AX393" s="341"/>
      <c r="AY393" s="341"/>
      <c r="AZ393" s="341"/>
      <c r="BA393" s="341"/>
      <c r="BB393" s="341"/>
      <c r="BC393" s="341"/>
      <c r="BD393" s="341"/>
      <c r="BE393" s="341"/>
      <c r="BF393" s="341"/>
      <c r="BG393" s="147"/>
      <c r="BH393" s="147"/>
      <c r="BI393" s="606"/>
      <c r="BJ393" s="341"/>
      <c r="BK393" s="341"/>
      <c r="BL393" s="147"/>
      <c r="BM393" s="341"/>
      <c r="BN393" s="341"/>
      <c r="BO393" s="341"/>
    </row>
    <row r="394" ht="15.75" customHeight="1">
      <c r="A394" s="341"/>
      <c r="B394" s="341"/>
      <c r="C394" s="102"/>
      <c r="D394" s="148"/>
      <c r="E394" s="148"/>
      <c r="F394" s="488"/>
      <c r="G394" s="488"/>
      <c r="H394" s="488"/>
      <c r="I394" s="341"/>
      <c r="J394" s="148"/>
      <c r="K394" s="723"/>
      <c r="L394" s="341"/>
      <c r="M394" s="341"/>
      <c r="N394" s="341"/>
      <c r="O394" s="148"/>
      <c r="P394" s="341"/>
      <c r="Q394" s="341"/>
      <c r="R394" s="341"/>
      <c r="S394" s="341"/>
      <c r="T394" s="148"/>
      <c r="U394" s="147"/>
      <c r="V394" s="676"/>
      <c r="W394" s="452"/>
      <c r="X394" s="452"/>
      <c r="Y394" s="341"/>
      <c r="Z394" s="341"/>
      <c r="AA394" s="341"/>
      <c r="AB394" s="341"/>
      <c r="AC394" s="341"/>
      <c r="AD394" s="341"/>
      <c r="AE394" s="341"/>
      <c r="AF394" s="86"/>
      <c r="AG394" s="341"/>
      <c r="AH394" s="341"/>
      <c r="AI394" s="341"/>
      <c r="AJ394" s="341"/>
      <c r="AK394" s="341"/>
      <c r="AL394" s="341"/>
      <c r="AM394" s="341"/>
      <c r="AN394" s="341"/>
      <c r="AO394" s="341"/>
      <c r="AP394" s="341"/>
      <c r="AQ394" s="341"/>
      <c r="AR394" s="341"/>
      <c r="AS394" s="341"/>
      <c r="AT394" s="341"/>
      <c r="AU394" s="341"/>
      <c r="AV394" s="341"/>
      <c r="AW394" s="341"/>
      <c r="AX394" s="341"/>
      <c r="AY394" s="341"/>
      <c r="AZ394" s="341"/>
      <c r="BA394" s="341"/>
      <c r="BB394" s="341"/>
      <c r="BC394" s="341"/>
      <c r="BD394" s="341"/>
      <c r="BE394" s="341"/>
      <c r="BF394" s="341"/>
      <c r="BG394" s="147"/>
      <c r="BH394" s="147"/>
      <c r="BI394" s="606"/>
      <c r="BJ394" s="341"/>
      <c r="BK394" s="341"/>
      <c r="BL394" s="147"/>
      <c r="BM394" s="341"/>
      <c r="BN394" s="341"/>
      <c r="BO394" s="341"/>
    </row>
    <row r="395" ht="15.75" customHeight="1">
      <c r="A395" s="341"/>
      <c r="B395" s="341"/>
      <c r="C395" s="102"/>
      <c r="D395" s="148"/>
      <c r="E395" s="148"/>
      <c r="F395" s="488"/>
      <c r="G395" s="488"/>
      <c r="H395" s="488"/>
      <c r="I395" s="341"/>
      <c r="J395" s="148"/>
      <c r="K395" s="723"/>
      <c r="L395" s="341"/>
      <c r="M395" s="341"/>
      <c r="N395" s="341"/>
      <c r="O395" s="148"/>
      <c r="P395" s="341"/>
      <c r="Q395" s="341"/>
      <c r="R395" s="341"/>
      <c r="S395" s="341"/>
      <c r="T395" s="148"/>
      <c r="U395" s="147"/>
      <c r="V395" s="676"/>
      <c r="W395" s="452"/>
      <c r="X395" s="452"/>
      <c r="Y395" s="341"/>
      <c r="Z395" s="341"/>
      <c r="AA395" s="341"/>
      <c r="AB395" s="341"/>
      <c r="AC395" s="341"/>
      <c r="AD395" s="341"/>
      <c r="AE395" s="341"/>
      <c r="AF395" s="86"/>
      <c r="AG395" s="341"/>
      <c r="AH395" s="341"/>
      <c r="AI395" s="341"/>
      <c r="AJ395" s="341"/>
      <c r="AK395" s="341"/>
      <c r="AL395" s="341"/>
      <c r="AM395" s="341"/>
      <c r="AN395" s="341"/>
      <c r="AO395" s="341"/>
      <c r="AP395" s="341"/>
      <c r="AQ395" s="341"/>
      <c r="AR395" s="341"/>
      <c r="AS395" s="341"/>
      <c r="AT395" s="341"/>
      <c r="AU395" s="341"/>
      <c r="AV395" s="341"/>
      <c r="AW395" s="341"/>
      <c r="AX395" s="341"/>
      <c r="AY395" s="341"/>
      <c r="AZ395" s="341"/>
      <c r="BA395" s="341"/>
      <c r="BB395" s="341"/>
      <c r="BC395" s="341"/>
      <c r="BD395" s="341"/>
      <c r="BE395" s="341"/>
      <c r="BF395" s="341"/>
      <c r="BG395" s="147"/>
      <c r="BH395" s="147"/>
      <c r="BI395" s="606"/>
      <c r="BJ395" s="341"/>
      <c r="BK395" s="341"/>
      <c r="BL395" s="147"/>
      <c r="BM395" s="341"/>
      <c r="BN395" s="341"/>
      <c r="BO395" s="341"/>
    </row>
    <row r="396" ht="15.75" customHeight="1">
      <c r="A396" s="341"/>
      <c r="B396" s="341"/>
      <c r="C396" s="102"/>
      <c r="D396" s="148"/>
      <c r="E396" s="148"/>
      <c r="F396" s="488"/>
      <c r="G396" s="488"/>
      <c r="H396" s="488"/>
      <c r="I396" s="341"/>
      <c r="J396" s="148"/>
      <c r="K396" s="723"/>
      <c r="L396" s="341"/>
      <c r="M396" s="341"/>
      <c r="N396" s="341"/>
      <c r="O396" s="148"/>
      <c r="P396" s="341"/>
      <c r="Q396" s="341"/>
      <c r="R396" s="341"/>
      <c r="S396" s="341"/>
      <c r="T396" s="148"/>
      <c r="U396" s="147"/>
      <c r="V396" s="676"/>
      <c r="W396" s="452"/>
      <c r="X396" s="452"/>
      <c r="Y396" s="341"/>
      <c r="Z396" s="341"/>
      <c r="AA396" s="341"/>
      <c r="AB396" s="341"/>
      <c r="AC396" s="341"/>
      <c r="AD396" s="341"/>
      <c r="AE396" s="341"/>
      <c r="AF396" s="86"/>
      <c r="AG396" s="341"/>
      <c r="AH396" s="341"/>
      <c r="AI396" s="341"/>
      <c r="AJ396" s="341"/>
      <c r="AK396" s="341"/>
      <c r="AL396" s="341"/>
      <c r="AM396" s="341"/>
      <c r="AN396" s="341"/>
      <c r="AO396" s="341"/>
      <c r="AP396" s="341"/>
      <c r="AQ396" s="341"/>
      <c r="AR396" s="341"/>
      <c r="AS396" s="341"/>
      <c r="AT396" s="341"/>
      <c r="AU396" s="341"/>
      <c r="AV396" s="341"/>
      <c r="AW396" s="341"/>
      <c r="AX396" s="341"/>
      <c r="AY396" s="341"/>
      <c r="AZ396" s="341"/>
      <c r="BA396" s="341"/>
      <c r="BB396" s="341"/>
      <c r="BC396" s="341"/>
      <c r="BD396" s="341"/>
      <c r="BE396" s="341"/>
      <c r="BF396" s="341"/>
      <c r="BG396" s="147"/>
      <c r="BH396" s="147"/>
      <c r="BI396" s="606"/>
      <c r="BJ396" s="341"/>
      <c r="BK396" s="341"/>
      <c r="BL396" s="147"/>
      <c r="BM396" s="341"/>
      <c r="BN396" s="341"/>
      <c r="BO396" s="341"/>
    </row>
    <row r="397" ht="15.75" customHeight="1">
      <c r="A397" s="341"/>
      <c r="B397" s="341"/>
      <c r="C397" s="102"/>
      <c r="D397" s="148"/>
      <c r="E397" s="148"/>
      <c r="F397" s="488"/>
      <c r="G397" s="488"/>
      <c r="H397" s="488"/>
      <c r="I397" s="341"/>
      <c r="J397" s="148"/>
      <c r="K397" s="723"/>
      <c r="L397" s="341"/>
      <c r="M397" s="341"/>
      <c r="N397" s="341"/>
      <c r="O397" s="148"/>
      <c r="P397" s="341"/>
      <c r="Q397" s="341"/>
      <c r="R397" s="341"/>
      <c r="S397" s="341"/>
      <c r="T397" s="148"/>
      <c r="U397" s="147"/>
      <c r="V397" s="676"/>
      <c r="W397" s="452"/>
      <c r="X397" s="452"/>
      <c r="Y397" s="341"/>
      <c r="Z397" s="341"/>
      <c r="AA397" s="341"/>
      <c r="AB397" s="341"/>
      <c r="AC397" s="341"/>
      <c r="AD397" s="341"/>
      <c r="AE397" s="341"/>
      <c r="AF397" s="86"/>
      <c r="AG397" s="341"/>
      <c r="AH397" s="341"/>
      <c r="AI397" s="341"/>
      <c r="AJ397" s="341"/>
      <c r="AK397" s="341"/>
      <c r="AL397" s="341"/>
      <c r="AM397" s="341"/>
      <c r="AN397" s="341"/>
      <c r="AO397" s="341"/>
      <c r="AP397" s="341"/>
      <c r="AQ397" s="341"/>
      <c r="AR397" s="341"/>
      <c r="AS397" s="341"/>
      <c r="AT397" s="341"/>
      <c r="AU397" s="341"/>
      <c r="AV397" s="341"/>
      <c r="AW397" s="341"/>
      <c r="AX397" s="341"/>
      <c r="AY397" s="341"/>
      <c r="AZ397" s="341"/>
      <c r="BA397" s="341"/>
      <c r="BB397" s="341"/>
      <c r="BC397" s="341"/>
      <c r="BD397" s="341"/>
      <c r="BE397" s="341"/>
      <c r="BF397" s="341"/>
      <c r="BG397" s="147"/>
      <c r="BH397" s="147"/>
      <c r="BI397" s="606"/>
      <c r="BJ397" s="341"/>
      <c r="BK397" s="341"/>
      <c r="BL397" s="147"/>
      <c r="BM397" s="341"/>
      <c r="BN397" s="341"/>
      <c r="BO397" s="341"/>
    </row>
    <row r="398" ht="15.75" customHeight="1">
      <c r="A398" s="341"/>
      <c r="B398" s="341"/>
      <c r="C398" s="102"/>
      <c r="D398" s="148"/>
      <c r="E398" s="148"/>
      <c r="F398" s="488"/>
      <c r="G398" s="488"/>
      <c r="H398" s="488"/>
      <c r="I398" s="341"/>
      <c r="J398" s="148"/>
      <c r="K398" s="723"/>
      <c r="L398" s="341"/>
      <c r="M398" s="341"/>
      <c r="N398" s="341"/>
      <c r="O398" s="148"/>
      <c r="P398" s="341"/>
      <c r="Q398" s="341"/>
      <c r="R398" s="341"/>
      <c r="S398" s="341"/>
      <c r="T398" s="148"/>
      <c r="U398" s="147"/>
      <c r="V398" s="676"/>
      <c r="W398" s="452"/>
      <c r="X398" s="452"/>
      <c r="Y398" s="341"/>
      <c r="Z398" s="341"/>
      <c r="AA398" s="341"/>
      <c r="AB398" s="341"/>
      <c r="AC398" s="341"/>
      <c r="AD398" s="341"/>
      <c r="AE398" s="341"/>
      <c r="AF398" s="86"/>
      <c r="AG398" s="341"/>
      <c r="AH398" s="341"/>
      <c r="AI398" s="341"/>
      <c r="AJ398" s="341"/>
      <c r="AK398" s="341"/>
      <c r="AL398" s="341"/>
      <c r="AM398" s="341"/>
      <c r="AN398" s="341"/>
      <c r="AO398" s="341"/>
      <c r="AP398" s="341"/>
      <c r="AQ398" s="341"/>
      <c r="AR398" s="341"/>
      <c r="AS398" s="341"/>
      <c r="AT398" s="341"/>
      <c r="AU398" s="341"/>
      <c r="AV398" s="341"/>
      <c r="AW398" s="341"/>
      <c r="AX398" s="341"/>
      <c r="AY398" s="341"/>
      <c r="AZ398" s="341"/>
      <c r="BA398" s="341"/>
      <c r="BB398" s="341"/>
      <c r="BC398" s="341"/>
      <c r="BD398" s="341"/>
      <c r="BE398" s="341"/>
      <c r="BF398" s="341"/>
      <c r="BG398" s="147"/>
      <c r="BH398" s="147"/>
      <c r="BI398" s="606"/>
      <c r="BJ398" s="341"/>
      <c r="BK398" s="341"/>
      <c r="BL398" s="147"/>
      <c r="BM398" s="341"/>
      <c r="BN398" s="341"/>
      <c r="BO398" s="341"/>
    </row>
    <row r="399" ht="15.75" customHeight="1">
      <c r="A399" s="341"/>
      <c r="B399" s="341"/>
      <c r="C399" s="102"/>
      <c r="D399" s="148"/>
      <c r="E399" s="148"/>
      <c r="F399" s="488"/>
      <c r="G399" s="488"/>
      <c r="H399" s="488"/>
      <c r="I399" s="341"/>
      <c r="J399" s="148"/>
      <c r="K399" s="723"/>
      <c r="L399" s="341"/>
      <c r="M399" s="341"/>
      <c r="N399" s="341"/>
      <c r="O399" s="148"/>
      <c r="P399" s="341"/>
      <c r="Q399" s="341"/>
      <c r="R399" s="341"/>
      <c r="S399" s="341"/>
      <c r="T399" s="148"/>
      <c r="U399" s="147"/>
      <c r="V399" s="676"/>
      <c r="W399" s="452"/>
      <c r="X399" s="452"/>
      <c r="Y399" s="341"/>
      <c r="Z399" s="341"/>
      <c r="AA399" s="341"/>
      <c r="AB399" s="341"/>
      <c r="AC399" s="341"/>
      <c r="AD399" s="341"/>
      <c r="AE399" s="341"/>
      <c r="AF399" s="86"/>
      <c r="AG399" s="341"/>
      <c r="AH399" s="341"/>
      <c r="AI399" s="341"/>
      <c r="AJ399" s="341"/>
      <c r="AK399" s="341"/>
      <c r="AL399" s="341"/>
      <c r="AM399" s="341"/>
      <c r="AN399" s="341"/>
      <c r="AO399" s="341"/>
      <c r="AP399" s="341"/>
      <c r="AQ399" s="341"/>
      <c r="AR399" s="341"/>
      <c r="AS399" s="341"/>
      <c r="AT399" s="341"/>
      <c r="AU399" s="341"/>
      <c r="AV399" s="341"/>
      <c r="AW399" s="341"/>
      <c r="AX399" s="341"/>
      <c r="AY399" s="341"/>
      <c r="AZ399" s="341"/>
      <c r="BA399" s="341"/>
      <c r="BB399" s="341"/>
      <c r="BC399" s="341"/>
      <c r="BD399" s="341"/>
      <c r="BE399" s="341"/>
      <c r="BF399" s="341"/>
      <c r="BG399" s="147"/>
      <c r="BH399" s="147"/>
      <c r="BI399" s="606"/>
      <c r="BJ399" s="341"/>
      <c r="BK399" s="341"/>
      <c r="BL399" s="147"/>
      <c r="BM399" s="341"/>
      <c r="BN399" s="341"/>
      <c r="BO399" s="341"/>
    </row>
    <row r="400" ht="15.75" customHeight="1">
      <c r="A400" s="341"/>
      <c r="B400" s="341"/>
      <c r="C400" s="102"/>
      <c r="D400" s="148"/>
      <c r="E400" s="148"/>
      <c r="F400" s="488"/>
      <c r="G400" s="488"/>
      <c r="H400" s="488"/>
      <c r="I400" s="341"/>
      <c r="J400" s="148"/>
      <c r="K400" s="723"/>
      <c r="L400" s="341"/>
      <c r="M400" s="341"/>
      <c r="N400" s="341"/>
      <c r="O400" s="148"/>
      <c r="P400" s="341"/>
      <c r="Q400" s="341"/>
      <c r="R400" s="341"/>
      <c r="S400" s="341"/>
      <c r="T400" s="148"/>
      <c r="U400" s="147"/>
      <c r="V400" s="676"/>
      <c r="W400" s="452"/>
      <c r="X400" s="452"/>
      <c r="Y400" s="341"/>
      <c r="Z400" s="341"/>
      <c r="AA400" s="341"/>
      <c r="AB400" s="341"/>
      <c r="AC400" s="341"/>
      <c r="AD400" s="341"/>
      <c r="AE400" s="341"/>
      <c r="AF400" s="86"/>
      <c r="AG400" s="341"/>
      <c r="AH400" s="341"/>
      <c r="AI400" s="341"/>
      <c r="AJ400" s="341"/>
      <c r="AK400" s="341"/>
      <c r="AL400" s="341"/>
      <c r="AM400" s="341"/>
      <c r="AN400" s="341"/>
      <c r="AO400" s="341"/>
      <c r="AP400" s="341"/>
      <c r="AQ400" s="341"/>
      <c r="AR400" s="341"/>
      <c r="AS400" s="341"/>
      <c r="AT400" s="341"/>
      <c r="AU400" s="341"/>
      <c r="AV400" s="341"/>
      <c r="AW400" s="341"/>
      <c r="AX400" s="341"/>
      <c r="AY400" s="341"/>
      <c r="AZ400" s="341"/>
      <c r="BA400" s="341"/>
      <c r="BB400" s="341"/>
      <c r="BC400" s="341"/>
      <c r="BD400" s="341"/>
      <c r="BE400" s="341"/>
      <c r="BF400" s="341"/>
      <c r="BG400" s="147"/>
      <c r="BH400" s="147"/>
      <c r="BI400" s="606"/>
      <c r="BJ400" s="341"/>
      <c r="BK400" s="341"/>
      <c r="BL400" s="147"/>
      <c r="BM400" s="341"/>
      <c r="BN400" s="341"/>
      <c r="BO400" s="341"/>
    </row>
    <row r="401" ht="15.75" customHeight="1">
      <c r="A401" s="341"/>
      <c r="B401" s="341"/>
      <c r="C401" s="102"/>
      <c r="D401" s="148"/>
      <c r="E401" s="148"/>
      <c r="F401" s="488"/>
      <c r="G401" s="488"/>
      <c r="H401" s="488"/>
      <c r="I401" s="341"/>
      <c r="J401" s="148"/>
      <c r="K401" s="723"/>
      <c r="L401" s="341"/>
      <c r="M401" s="341"/>
      <c r="N401" s="341"/>
      <c r="O401" s="148"/>
      <c r="P401" s="341"/>
      <c r="Q401" s="341"/>
      <c r="R401" s="341"/>
      <c r="S401" s="341"/>
      <c r="T401" s="148"/>
      <c r="U401" s="147"/>
      <c r="V401" s="676"/>
      <c r="W401" s="452"/>
      <c r="X401" s="452"/>
      <c r="Y401" s="341"/>
      <c r="Z401" s="341"/>
      <c r="AA401" s="341"/>
      <c r="AB401" s="341"/>
      <c r="AC401" s="341"/>
      <c r="AD401" s="341"/>
      <c r="AE401" s="341"/>
      <c r="AF401" s="86"/>
      <c r="AG401" s="341"/>
      <c r="AH401" s="341"/>
      <c r="AI401" s="341"/>
      <c r="AJ401" s="341"/>
      <c r="AK401" s="341"/>
      <c r="AL401" s="341"/>
      <c r="AM401" s="341"/>
      <c r="AN401" s="341"/>
      <c r="AO401" s="341"/>
      <c r="AP401" s="341"/>
      <c r="AQ401" s="341"/>
      <c r="AR401" s="341"/>
      <c r="AS401" s="341"/>
      <c r="AT401" s="341"/>
      <c r="AU401" s="341"/>
      <c r="AV401" s="341"/>
      <c r="AW401" s="341"/>
      <c r="AX401" s="341"/>
      <c r="AY401" s="341"/>
      <c r="AZ401" s="341"/>
      <c r="BA401" s="341"/>
      <c r="BB401" s="341"/>
      <c r="BC401" s="341"/>
      <c r="BD401" s="341"/>
      <c r="BE401" s="341"/>
      <c r="BF401" s="341"/>
      <c r="BG401" s="147"/>
      <c r="BH401" s="147"/>
      <c r="BI401" s="606"/>
      <c r="BJ401" s="341"/>
      <c r="BK401" s="341"/>
      <c r="BL401" s="147"/>
      <c r="BM401" s="341"/>
      <c r="BN401" s="341"/>
      <c r="BO401" s="341"/>
    </row>
    <row r="402" ht="15.75" customHeight="1">
      <c r="A402" s="341"/>
      <c r="B402" s="341"/>
      <c r="C402" s="102"/>
      <c r="D402" s="148"/>
      <c r="E402" s="148"/>
      <c r="F402" s="488"/>
      <c r="G402" s="488"/>
      <c r="H402" s="488"/>
      <c r="I402" s="341"/>
      <c r="J402" s="148"/>
      <c r="K402" s="723"/>
      <c r="L402" s="341"/>
      <c r="M402" s="341"/>
      <c r="N402" s="341"/>
      <c r="O402" s="148"/>
      <c r="P402" s="341"/>
      <c r="Q402" s="341"/>
      <c r="R402" s="341"/>
      <c r="S402" s="341"/>
      <c r="T402" s="148"/>
      <c r="U402" s="147"/>
      <c r="V402" s="676"/>
      <c r="W402" s="452"/>
      <c r="X402" s="452"/>
      <c r="Y402" s="341"/>
      <c r="Z402" s="341"/>
      <c r="AA402" s="341"/>
      <c r="AB402" s="341"/>
      <c r="AC402" s="341"/>
      <c r="AD402" s="341"/>
      <c r="AE402" s="341"/>
      <c r="AF402" s="86"/>
      <c r="AG402" s="341"/>
      <c r="AH402" s="341"/>
      <c r="AI402" s="341"/>
      <c r="AJ402" s="341"/>
      <c r="AK402" s="341"/>
      <c r="AL402" s="341"/>
      <c r="AM402" s="341"/>
      <c r="AN402" s="341"/>
      <c r="AO402" s="341"/>
      <c r="AP402" s="341"/>
      <c r="AQ402" s="341"/>
      <c r="AR402" s="341"/>
      <c r="AS402" s="341"/>
      <c r="AT402" s="341"/>
      <c r="AU402" s="341"/>
      <c r="AV402" s="341"/>
      <c r="AW402" s="341"/>
      <c r="AX402" s="341"/>
      <c r="AY402" s="341"/>
      <c r="AZ402" s="341"/>
      <c r="BA402" s="341"/>
      <c r="BB402" s="341"/>
      <c r="BC402" s="341"/>
      <c r="BD402" s="341"/>
      <c r="BE402" s="341"/>
      <c r="BF402" s="341"/>
      <c r="BG402" s="147"/>
      <c r="BH402" s="147"/>
      <c r="BI402" s="606"/>
      <c r="BJ402" s="341"/>
      <c r="BK402" s="341"/>
      <c r="BL402" s="147"/>
      <c r="BM402" s="341"/>
      <c r="BN402" s="341"/>
      <c r="BO402" s="341"/>
    </row>
  </sheetData>
  <autoFilter ref="$A$2:$BP$339"/>
  <conditionalFormatting sqref="O216:O217">
    <cfRule type="cellIs" dxfId="1" priority="1" operator="equal">
      <formula>"R"</formula>
    </cfRule>
  </conditionalFormatting>
  <conditionalFormatting sqref="O216:O217">
    <cfRule type="cellIs" dxfId="2" priority="2" operator="equal">
      <formula>"O"</formula>
    </cfRule>
  </conditionalFormatting>
  <conditionalFormatting sqref="O216:O217">
    <cfRule type="cellIs" dxfId="3" priority="3" operator="equal">
      <formula>"R?"</formula>
    </cfRule>
  </conditionalFormatting>
  <conditionalFormatting sqref="T213:T218">
    <cfRule type="timePeriod" dxfId="4" priority="4" timePeriod="last7Days"/>
  </conditionalFormatting>
  <conditionalFormatting sqref="O334">
    <cfRule type="cellIs" dxfId="1" priority="5" operator="equal">
      <formula>"R"</formula>
    </cfRule>
  </conditionalFormatting>
  <conditionalFormatting sqref="O334">
    <cfRule type="cellIs" dxfId="2" priority="6" operator="equal">
      <formula>"O"</formula>
    </cfRule>
  </conditionalFormatting>
  <conditionalFormatting sqref="O334">
    <cfRule type="cellIs" dxfId="3" priority="7" operator="equal">
      <formula>"R?"</formula>
    </cfRule>
  </conditionalFormatting>
  <conditionalFormatting sqref="T334:T337">
    <cfRule type="timePeriod" dxfId="4" priority="8" timePeriod="last7Days"/>
  </conditionalFormatting>
  <conditionalFormatting sqref="O1:O215 O217:O402">
    <cfRule type="cellIs" dxfId="1" priority="9" operator="equal">
      <formula>"R"</formula>
    </cfRule>
  </conditionalFormatting>
  <conditionalFormatting sqref="O1:O215 O217:O402">
    <cfRule type="cellIs" dxfId="2" priority="10" operator="equal">
      <formula>"O"</formula>
    </cfRule>
  </conditionalFormatting>
  <conditionalFormatting sqref="O1:O215 O217:O402">
    <cfRule type="cellIs" dxfId="3" priority="11" operator="equal">
      <formula>"R?"</formula>
    </cfRule>
  </conditionalFormatting>
  <conditionalFormatting sqref="O1:O215 O217:O402">
    <cfRule type="cellIs" dxfId="3" priority="12" operator="equal">
      <formula>"O?"</formula>
    </cfRule>
  </conditionalFormatting>
  <conditionalFormatting sqref="O3:O95 O97 O105:O215 O217:O402">
    <cfRule type="cellIs" dxfId="3" priority="13" operator="equal">
      <formula>"O?"</formula>
    </cfRule>
  </conditionalFormatting>
  <conditionalFormatting sqref="O3:O215 O217:O402">
    <cfRule type="cellIs" dxfId="3" priority="14" operator="equal">
      <formula>"o?"</formula>
    </cfRule>
  </conditionalFormatting>
  <conditionalFormatting sqref="O1:O215 O217:O402">
    <cfRule type="notContainsBlanks" dxfId="5" priority="15">
      <formula>LEN(TRIM(O1))&gt;0</formula>
    </cfRule>
  </conditionalFormatting>
  <conditionalFormatting sqref="T3:T357 Q223 X270">
    <cfRule type="timePeriod" dxfId="4" priority="16" timePeriod="last7Days"/>
  </conditionalFormatting>
  <conditionalFormatting sqref="M1:M19 N3:N5 N7:N23 O15:O16 M21:M23 U23 M25:M42 N25:N36 O26 N38:N42 M45:N46 M48:M52 N48 N50:N52 M54:M65 N54:N62 N64:N65 M67:M74 N67:N71 N74 M77:M108 N77:N80 N83 N87:N91 N93:N94 N96:N103 N105:N108 M111:M114 N112:N114 M117:N117 M119:N123 M125:M128 N125 N127:N128 M130:M131 M133:M136 N133 N136 M139:M186 N139 N141:N148 P145 N150:N151 N154:N157 T155:T161 N162 N164:N174 N176:N179 N181:N182 N184:N185 M188:N189 M191:M193 N192:N193 M196:M198 N197:N198 M203:M209 N203:N204 N206 N209 M211:M212 N212 M214:M215 N214 M217:N217 M219:M221 N219 M223:M231 N223:N228 N230:N231 M233 M235:M253 N235:N246 N250:N253 M255:M278 N256:N267 Q270:R271 N271:N272 N274:N278 M280:M287 N280:N282 R280 N285:N286 M289:M308 N290 N292:N299 N301 N303:N310 M312:N321 M323:M328 N326:N328 M330:N335 M337:M402 N338:N344 P340">
    <cfRule type="expression" dxfId="6" priority="17">
      <formula>AND(ISNUMBER(M1),TRUNC(M1)&lt;TODAY())</formula>
    </cfRule>
  </conditionalFormatting>
  <conditionalFormatting sqref="K3:K267 T6 E22:H23 E26:H26 T63 T178:T184 K269:K402">
    <cfRule type="cellIs" dxfId="7" priority="18" operator="equal">
      <formula>"Cape"</formula>
    </cfRule>
  </conditionalFormatting>
  <conditionalFormatting sqref="K3:K355 T6 E22:H23 E26:H26 T63 T178:T184">
    <cfRule type="cellIs" dxfId="5" priority="19" operator="equal">
      <formula>"Cape?"</formula>
    </cfRule>
  </conditionalFormatting>
  <conditionalFormatting sqref="E3:E215 G3:G215 F168 H168 E217:E333 G217:G333 E335:E402 G335:G402">
    <cfRule type="containsText" dxfId="8" priority="20" operator="containsText" text="DT">
      <formula>NOT(ISERROR(SEARCH(("DT"),(E3))))</formula>
    </cfRule>
  </conditionalFormatting>
  <conditionalFormatting sqref="D3:D215 F168 H168 D217:D357">
    <cfRule type="containsText" dxfId="9" priority="21" operator="containsText" text="US">
      <formula>NOT(ISERROR(SEARCH(("US"),(D3))))</formula>
    </cfRule>
  </conditionalFormatting>
  <conditionalFormatting sqref="E1:E215 E217:E402">
    <cfRule type="cellIs" dxfId="10" priority="22" operator="equal">
      <formula>"C"</formula>
    </cfRule>
  </conditionalFormatting>
  <conditionalFormatting sqref="E1:E215 E217:E402">
    <cfRule type="cellIs" dxfId="2" priority="23" operator="equal">
      <formula>"EU"</formula>
    </cfRule>
  </conditionalFormatting>
  <dataValidations>
    <dataValidation type="list" allowBlank="1" showErrorMessage="1" sqref="L3:L267 L269:L383">
      <formula1>'Voyage days'!$F$38:$F$924</formula1>
    </dataValidation>
  </dataValidation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4.43" defaultRowHeight="15.0"/>
  <cols>
    <col customWidth="1" hidden="1" min="2" max="3" width="5.86"/>
    <col customWidth="1" min="4" max="5" width="7.29"/>
    <col customWidth="1" min="6" max="6" width="26.71"/>
    <col customWidth="1" min="7" max="8" width="7.29"/>
    <col customWidth="1" min="9" max="9" width="18.43"/>
    <col customWidth="1" min="10" max="10" width="16.29"/>
    <col customWidth="1" min="11" max="11" width="14.71"/>
    <col customWidth="1" min="12" max="12" width="12.14"/>
    <col customWidth="1" min="13" max="15" width="9.0"/>
    <col customWidth="1" min="16" max="16" width="8.0"/>
    <col customWidth="1" min="17" max="18" width="9.71"/>
    <col customWidth="1" min="19" max="19" width="11.14"/>
    <col customWidth="1" min="20" max="24" width="8.86"/>
    <col customWidth="1" min="25" max="25" width="44.0"/>
    <col customWidth="1" min="26" max="26" width="37.57"/>
    <col customWidth="1" min="27" max="27" width="45.29"/>
    <col customWidth="1" hidden="1" min="28" max="28" width="20.43"/>
    <col customWidth="1" hidden="1" min="29" max="31" width="8.43"/>
    <col customWidth="1" hidden="1" min="32" max="33" width="10.14"/>
    <col customWidth="1" hidden="1" min="34" max="35" width="8.71"/>
    <col customWidth="1" min="36" max="36" width="11.71"/>
    <col customWidth="1" min="37" max="37" width="17.0"/>
    <col customWidth="1" min="38" max="38" width="12.57"/>
    <col customWidth="1" min="39" max="40" width="10.71"/>
    <col customWidth="1" min="41" max="41" width="9.86"/>
    <col customWidth="1" min="42" max="47" width="11.43"/>
    <col customWidth="1" min="48" max="48" width="38.0"/>
    <col customWidth="1" min="49" max="49" width="11.43"/>
    <col customWidth="1" min="50" max="50" width="18.29"/>
    <col customWidth="1" min="51" max="51" width="18.0"/>
    <col customWidth="1" min="52" max="52" width="20.14"/>
    <col customWidth="1" min="53" max="53" width="8.86"/>
    <col customWidth="1" min="54" max="54" width="13.86"/>
    <col customWidth="1" min="55" max="55" width="20.14"/>
    <col customWidth="1" min="56" max="56" width="13.86"/>
    <col customWidth="1" min="57" max="58" width="11.43"/>
    <col customWidth="1" min="60" max="62" width="11.0"/>
  </cols>
  <sheetData>
    <row r="1">
      <c r="A1" s="725" t="s">
        <v>70</v>
      </c>
      <c r="B1" s="726" t="s">
        <v>1502</v>
      </c>
      <c r="C1" s="727"/>
      <c r="D1" s="727"/>
      <c r="E1" s="727"/>
      <c r="F1" s="728" t="s">
        <v>1503</v>
      </c>
      <c r="G1" s="729" t="s">
        <v>1504</v>
      </c>
      <c r="I1" s="730" t="s">
        <v>1505</v>
      </c>
      <c r="K1" s="731" t="s">
        <v>1506</v>
      </c>
      <c r="L1" s="732"/>
      <c r="M1" s="733"/>
      <c r="N1" s="733"/>
      <c r="O1" s="734"/>
      <c r="P1" s="734"/>
      <c r="Q1" s="734"/>
      <c r="R1" s="734"/>
      <c r="S1" s="734"/>
      <c r="T1" s="734"/>
      <c r="U1" s="734"/>
      <c r="V1" s="732"/>
      <c r="W1" s="732"/>
      <c r="X1" s="735"/>
      <c r="Y1" s="736" t="s">
        <v>1507</v>
      </c>
      <c r="Z1" s="51"/>
      <c r="AA1" s="737" t="s">
        <v>1508</v>
      </c>
      <c r="AB1" s="727"/>
      <c r="AC1" s="738"/>
      <c r="AD1" s="735"/>
      <c r="AE1" s="735"/>
      <c r="AF1" s="735"/>
      <c r="AG1" s="735"/>
      <c r="AH1" s="735"/>
      <c r="AI1" s="735"/>
      <c r="AJ1" s="735"/>
      <c r="AK1" s="735"/>
      <c r="AL1" s="735"/>
      <c r="AM1" s="735"/>
      <c r="AN1" s="735"/>
      <c r="AO1" s="735"/>
      <c r="AP1" s="738"/>
      <c r="AQ1" s="738"/>
      <c r="AR1" s="738"/>
      <c r="AS1" s="738"/>
      <c r="AT1" s="738"/>
      <c r="AU1" s="739" t="s">
        <v>1509</v>
      </c>
      <c r="AV1" s="52"/>
      <c r="AW1" s="52"/>
      <c r="AX1" s="52"/>
      <c r="AY1" s="52"/>
      <c r="AZ1" s="734"/>
      <c r="BA1" s="740"/>
      <c r="BB1" s="734"/>
      <c r="BC1" s="740"/>
      <c r="BD1" s="52"/>
      <c r="BE1" s="52"/>
      <c r="BF1" s="52"/>
      <c r="BG1" s="52"/>
      <c r="BH1" s="52"/>
      <c r="BI1" s="52"/>
      <c r="BJ1" s="52"/>
    </row>
    <row r="2">
      <c r="B2" s="741"/>
      <c r="C2" s="741"/>
      <c r="D2" s="741"/>
      <c r="E2" s="741"/>
      <c r="F2" s="742" t="s">
        <v>1510</v>
      </c>
      <c r="G2" s="743" t="s">
        <v>1511</v>
      </c>
      <c r="I2" s="51" t="s">
        <v>1512</v>
      </c>
      <c r="J2" s="744"/>
      <c r="K2" s="731">
        <v>6.0</v>
      </c>
      <c r="L2" s="745" t="s">
        <v>1265</v>
      </c>
      <c r="M2" s="746" t="s">
        <v>307</v>
      </c>
      <c r="N2" s="741"/>
      <c r="O2" s="745"/>
      <c r="P2" s="745" t="s">
        <v>1513</v>
      </c>
      <c r="Q2" s="745" t="s">
        <v>1513</v>
      </c>
      <c r="R2" s="745" t="s">
        <v>765</v>
      </c>
      <c r="S2" s="741"/>
      <c r="T2" s="741"/>
      <c r="U2" s="741"/>
      <c r="V2" s="745"/>
      <c r="W2" s="741"/>
      <c r="X2" s="747"/>
      <c r="Y2" s="736" t="s">
        <v>1514</v>
      </c>
      <c r="Z2" s="52"/>
      <c r="AA2" s="745"/>
      <c r="AB2" s="741"/>
      <c r="AC2" s="744"/>
      <c r="AD2" s="741" t="s">
        <v>1265</v>
      </c>
      <c r="AE2" s="741" t="s">
        <v>1265</v>
      </c>
      <c r="AF2" s="748" t="s">
        <v>1265</v>
      </c>
      <c r="AG2" s="735"/>
      <c r="AH2" s="733"/>
      <c r="AI2" s="733"/>
      <c r="AJ2" s="733"/>
      <c r="AK2" s="733"/>
      <c r="AL2" s="733"/>
      <c r="AM2" s="733"/>
      <c r="AN2" s="733"/>
      <c r="AO2" s="733"/>
      <c r="AP2" s="52"/>
      <c r="AQ2" s="52"/>
      <c r="AR2" s="52"/>
      <c r="AS2" s="52"/>
      <c r="AT2" s="52"/>
      <c r="AU2" s="52"/>
      <c r="AV2" s="52"/>
      <c r="AW2" s="52"/>
      <c r="AX2" s="52"/>
      <c r="AY2" s="52"/>
      <c r="AZ2" s="749"/>
      <c r="BA2" s="750"/>
      <c r="BB2" s="749"/>
      <c r="BC2" s="750"/>
      <c r="BD2" s="749"/>
      <c r="BE2" s="52"/>
      <c r="BF2" s="52"/>
      <c r="BG2" s="52"/>
      <c r="BH2" s="751"/>
      <c r="BI2" s="751"/>
      <c r="BJ2" s="751"/>
    </row>
    <row r="3">
      <c r="B3" s="752" t="s">
        <v>604</v>
      </c>
      <c r="C3" s="753" t="s">
        <v>603</v>
      </c>
      <c r="D3" s="752" t="s">
        <v>1515</v>
      </c>
      <c r="E3" s="754" t="s">
        <v>1516</v>
      </c>
      <c r="F3" s="754" t="s">
        <v>600</v>
      </c>
      <c r="G3" s="755" t="s">
        <v>601</v>
      </c>
      <c r="H3" s="755" t="s">
        <v>602</v>
      </c>
      <c r="I3" s="754" t="s">
        <v>1517</v>
      </c>
      <c r="J3" s="754" t="s">
        <v>1516</v>
      </c>
      <c r="K3" s="756" t="s">
        <v>307</v>
      </c>
      <c r="L3" s="746" t="s">
        <v>765</v>
      </c>
      <c r="M3" s="746" t="s">
        <v>1518</v>
      </c>
      <c r="N3" s="746" t="s">
        <v>1039</v>
      </c>
      <c r="O3" s="746" t="s">
        <v>1519</v>
      </c>
      <c r="P3" s="746"/>
      <c r="Q3" s="746" t="s">
        <v>1520</v>
      </c>
      <c r="R3" s="746" t="s">
        <v>1520</v>
      </c>
      <c r="S3" s="746" t="s">
        <v>624</v>
      </c>
      <c r="T3" s="746" t="s">
        <v>1521</v>
      </c>
      <c r="U3" s="746" t="s">
        <v>1522</v>
      </c>
      <c r="V3" s="746" t="s">
        <v>1523</v>
      </c>
      <c r="W3" s="746" t="s">
        <v>1524</v>
      </c>
      <c r="X3" s="746" t="s">
        <v>1525</v>
      </c>
      <c r="Y3" s="757" t="s">
        <v>1526</v>
      </c>
      <c r="Z3" s="754" t="s">
        <v>613</v>
      </c>
      <c r="AA3" s="754" t="s">
        <v>1527</v>
      </c>
      <c r="AB3" s="754" t="s">
        <v>1528</v>
      </c>
      <c r="AC3" s="758"/>
      <c r="AD3" s="759" t="s">
        <v>307</v>
      </c>
      <c r="AE3" s="759" t="s">
        <v>765</v>
      </c>
      <c r="AF3" s="760" t="s">
        <v>1518</v>
      </c>
      <c r="AG3" s="761" t="s">
        <v>620</v>
      </c>
      <c r="AH3" s="762" t="s">
        <v>653</v>
      </c>
      <c r="AI3" s="763" t="s">
        <v>1522</v>
      </c>
      <c r="AJ3" s="761" t="s">
        <v>1524</v>
      </c>
      <c r="AK3" s="763" t="s">
        <v>1529</v>
      </c>
      <c r="AL3" s="763" t="s">
        <v>624</v>
      </c>
      <c r="AM3" s="762" t="s">
        <v>652</v>
      </c>
      <c r="AN3" s="762" t="s">
        <v>1520</v>
      </c>
      <c r="AO3" s="762" t="s">
        <v>1530</v>
      </c>
      <c r="AP3" s="52"/>
      <c r="AQ3" s="52"/>
      <c r="AR3" s="52"/>
      <c r="AS3" s="52"/>
      <c r="AT3" s="52"/>
      <c r="AU3" s="52"/>
      <c r="AV3" s="52"/>
      <c r="AW3" s="52"/>
      <c r="AX3" s="52"/>
      <c r="AY3" s="52"/>
      <c r="AZ3" s="749"/>
      <c r="BA3" s="750"/>
      <c r="BB3" s="749"/>
      <c r="BC3" s="750"/>
      <c r="BD3" s="749"/>
      <c r="BE3" s="52"/>
      <c r="BF3" s="52"/>
      <c r="BG3" s="764"/>
      <c r="BH3" s="764"/>
      <c r="BI3" s="764"/>
      <c r="BJ3" s="764"/>
    </row>
    <row r="4">
      <c r="B4" s="765" t="str">
        <f>vlookup(F4,'2) Tracker'!$A$3:$O$410,5,false)</f>
        <v/>
      </c>
      <c r="C4" s="765" t="str">
        <f>vlookup(F4,'2) Tracker'!$A$3:$O$410,4,false)</f>
        <v/>
      </c>
      <c r="D4" s="734"/>
      <c r="E4" s="734" t="str">
        <f>vlookup(F4,'2) Tracker'!$A$3:$O$406,15,false)</f>
        <v/>
      </c>
      <c r="F4" s="766" t="s">
        <v>538</v>
      </c>
      <c r="G4" s="767" t="str">
        <f>VLOOKUP(F4,'2) Tracker'!$A$2:$BO$360,2,FALSE)</f>
        <v>2016</v>
      </c>
      <c r="H4" s="768">
        <f>VLOOKUP(F4,'2) Tracker'!$A$2:$BO$360,3,FALSE)</f>
        <v>84000</v>
      </c>
      <c r="I4" s="769" t="str">
        <f>VLOOKUP(F4,'2) Tracker'!$A$2:$BO$360,9,FALSE)</f>
        <v>Petrobras &gt; Petredec</v>
      </c>
      <c r="J4" s="770" t="str">
        <f>VLOOKUP(F4,'2) Tracker'!$A$2:$BO$360,12,FALSE)</f>
        <v>loads USG</v>
      </c>
      <c r="K4" s="771">
        <f t="shared" ref="K4:O4" si="1">AD4</f>
        <v>46113</v>
      </c>
      <c r="L4" s="771">
        <f t="shared" si="1"/>
        <v>46113</v>
      </c>
      <c r="M4" s="771">
        <f t="shared" si="1"/>
        <v>46145</v>
      </c>
      <c r="N4" s="771" t="str">
        <f t="shared" si="1"/>
        <v/>
      </c>
      <c r="O4" s="772" t="str">
        <f t="shared" si="1"/>
        <v/>
      </c>
      <c r="P4" s="773" t="str">
        <f>iferror(if(vlookup(F4,'Voyage days'!$M$808:$N$819,2,false),"GOA",""),"")</f>
        <v/>
      </c>
      <c r="Q4" s="771" t="str">
        <f t="shared" ref="Q4:R4" si="2">AM4</f>
        <v/>
      </c>
      <c r="R4" s="771" t="str">
        <f t="shared" si="2"/>
        <v/>
      </c>
      <c r="S4" s="774">
        <f t="shared" ref="S4:S344" si="5">AL4</f>
        <v>46133</v>
      </c>
      <c r="T4" s="771" t="str">
        <f t="shared" ref="T4:T344" si="6">AK4</f>
        <v/>
      </c>
      <c r="U4" s="771" t="str">
        <f t="shared" ref="U4:U39" si="7">AI4</f>
        <v/>
      </c>
      <c r="V4" s="745" t="s">
        <v>1523</v>
      </c>
      <c r="W4" s="771" t="str">
        <f t="shared" ref="W4:W39" si="8">AJ4</f>
        <v/>
      </c>
      <c r="X4" s="775" t="str">
        <f t="shared" ref="X4:X344" si="9">AO4</f>
        <v/>
      </c>
      <c r="Y4" s="776"/>
      <c r="Z4" s="777" t="str">
        <f>vlookup(F4,'2) Tracker'!$A$3:$Q$504,16,false)</f>
        <v>@ Cristobal 13 Apr, pending disport</v>
      </c>
      <c r="AA4" s="777" t="str">
        <f>vlookup(F4,'2) Tracker'!$A$3:$R$504,18,false)</f>
        <v>Petredec 01 Apr Freeport</v>
      </c>
      <c r="AB4" s="777" t="str">
        <f>vlookup(F4,'2) Tracker'!$A$3:$Q$504,17,false)</f>
        <v/>
      </c>
      <c r="AC4" s="778"/>
      <c r="AD4" s="778">
        <f>VLOOKUP(F4,'2) Tracker'!$A$2:$BO$980,37,FALSE)</f>
        <v>46113</v>
      </c>
      <c r="AE4" s="778">
        <f>VLOOKUP(F4,'2) Tracker'!$A$2:$BO$980,40,FALSE)</f>
        <v>46113</v>
      </c>
      <c r="AF4" s="778">
        <f>VLOOKUP(F4,'2) Tracker'!$A$2:$BO$980,67,FALSE)</f>
        <v>46145</v>
      </c>
      <c r="AG4" s="778" t="str">
        <f>VLOOKUP(F4,'2) Tracker'!$A$2:$BO$980,34,FALSE)</f>
        <v/>
      </c>
      <c r="AH4" s="778" t="str">
        <f>VLOOKUP(F4,'2) Tracker'!$A$2:$BN$980,66,FALSE)</f>
        <v/>
      </c>
      <c r="AI4" s="779" t="str">
        <f>VLOOKUP(F4,'2) Tracker'!$A$2:$BO$980,56,FALSE)</f>
        <v/>
      </c>
      <c r="AJ4" s="779" t="str">
        <f>VLOOKUP(F4,'2) Tracker'!$A$2:$BO$980,52,FALSE)</f>
        <v/>
      </c>
      <c r="AK4" s="779" t="str">
        <f>VLOOKUP(F4,'2) Tracker'!$A$2:$AQ$980,43,FALSE)</f>
        <v/>
      </c>
      <c r="AL4" s="780">
        <f>VLOOKUP(F4,'2) Tracker'!$A$2:$BH$980,46,FALSE())</f>
        <v>46133</v>
      </c>
      <c r="AM4" s="780" t="str">
        <f>VLOOKUP(F4,'2) Tracker'!$A$2:$BO$980,65,FALSE())</f>
        <v/>
      </c>
      <c r="AN4" s="780" t="str">
        <f>VLOOKUP(F4,'2) Tracker'!$A$2:$BK$980,63,FALSE())</f>
        <v/>
      </c>
      <c r="AO4" s="780" t="str">
        <f>VLOOKUP(F4,'2) Tracker'!$A$2:$BF$980,58,FALSE())</f>
        <v/>
      </c>
      <c r="AP4" s="52"/>
      <c r="AQ4" s="52"/>
      <c r="AR4" s="52"/>
      <c r="AS4" s="52"/>
      <c r="AT4" s="52"/>
      <c r="AU4" s="52"/>
      <c r="AV4" s="52"/>
      <c r="AW4" s="52"/>
      <c r="AX4" s="781"/>
      <c r="AY4" s="782"/>
      <c r="AZ4" s="734"/>
      <c r="BA4" s="740"/>
      <c r="BB4" s="734"/>
      <c r="BC4" s="740"/>
      <c r="BD4" s="734"/>
      <c r="BE4" s="52"/>
      <c r="BF4" s="52"/>
      <c r="BG4" s="734"/>
      <c r="BH4" s="734"/>
      <c r="BI4" s="734"/>
      <c r="BJ4" s="734"/>
    </row>
    <row r="5">
      <c r="B5" s="765" t="str">
        <f>vlookup(F5,'2) Tracker'!$A$3:$O$410,5,false)</f>
        <v/>
      </c>
      <c r="C5" s="765" t="str">
        <f>vlookup(F5,'2) Tracker'!$A$3:$O$410,4,false)</f>
        <v>US</v>
      </c>
      <c r="D5" s="734"/>
      <c r="E5" s="734" t="str">
        <f>vlookup(F5,'2) Tracker'!$A$3:$O$406,15,false)</f>
        <v/>
      </c>
      <c r="F5" s="740" t="s">
        <v>199</v>
      </c>
      <c r="G5" s="783">
        <f>VLOOKUP(F5,'2) Tracker'!$A$2:$BO$360,2,FALSE)</f>
        <v>42006</v>
      </c>
      <c r="H5" s="768">
        <f>VLOOKUP(F5,'2) Tracker'!$A$2:$BO$360,3,FALSE)</f>
        <v>84000</v>
      </c>
      <c r="I5" s="770" t="str">
        <f>VLOOKUP(F5,'2) Tracker'!$A$2:$BO$360,9,FALSE)</f>
        <v>Helios</v>
      </c>
      <c r="J5" s="770" t="str">
        <f>VLOOKUP(F5,'2) Tracker'!$A$2:$BO$360,12,FALSE)</f>
        <v>loads USG</v>
      </c>
      <c r="K5" s="771">
        <f t="shared" ref="K5:O5" si="3">AD5</f>
        <v>46115</v>
      </c>
      <c r="L5" s="771">
        <f t="shared" si="3"/>
        <v>46115</v>
      </c>
      <c r="M5" s="771">
        <f t="shared" si="3"/>
        <v>46147</v>
      </c>
      <c r="N5" s="772" t="str">
        <f t="shared" si="3"/>
        <v/>
      </c>
      <c r="O5" s="772" t="str">
        <f t="shared" si="3"/>
        <v/>
      </c>
      <c r="P5" s="773" t="str">
        <f>iferror(if(vlookup(F5,'Voyage days'!$M$808:$N$819,2,false),"GOA",""),"")</f>
        <v/>
      </c>
      <c r="Q5" s="771" t="str">
        <f t="shared" ref="Q5:R5" si="4">AM5</f>
        <v/>
      </c>
      <c r="R5" s="771" t="str">
        <f t="shared" si="4"/>
        <v/>
      </c>
      <c r="S5" s="774">
        <f t="shared" si="5"/>
        <v>46135</v>
      </c>
      <c r="T5" s="771" t="str">
        <f t="shared" si="6"/>
        <v/>
      </c>
      <c r="U5" s="771" t="str">
        <f t="shared" si="7"/>
        <v/>
      </c>
      <c r="V5" s="771"/>
      <c r="W5" s="771" t="str">
        <f t="shared" si="8"/>
        <v/>
      </c>
      <c r="X5" s="775" t="str">
        <f t="shared" si="9"/>
        <v/>
      </c>
      <c r="Y5" s="784"/>
      <c r="Z5" s="777" t="str">
        <f>vlookup(F5,'2) Tracker'!$A$3:$Q$504,16,false)</f>
        <v>ETA Ningbo 18 Apr via Cape</v>
      </c>
      <c r="AA5" s="777" t="str">
        <f>vlookup(F5,'2) Tracker'!$A$3:$R$504,18,false)</f>
        <v>ATC 05-06 Apr Enterprise</v>
      </c>
      <c r="AB5" s="777" t="str">
        <f>vlookup(F5,'2) Tracker'!$A$3:$Q$504,17,false)</f>
        <v/>
      </c>
      <c r="AC5" s="778"/>
      <c r="AD5" s="778">
        <f>VLOOKUP(F5,'2) Tracker'!$A$2:$BO$980,37,FALSE)</f>
        <v>46115</v>
      </c>
      <c r="AE5" s="778">
        <f>VLOOKUP(F5,'2) Tracker'!$A$2:$BO$980,40,FALSE)</f>
        <v>46115</v>
      </c>
      <c r="AF5" s="778">
        <f>VLOOKUP(F5,'2) Tracker'!$A$2:$BO$980,67,FALSE)</f>
        <v>46147</v>
      </c>
      <c r="AG5" s="778" t="str">
        <f>VLOOKUP(F5,'2) Tracker'!$A$2:$BO$980,34,FALSE)</f>
        <v/>
      </c>
      <c r="AH5" s="778" t="str">
        <f>VLOOKUP(F5,'2) Tracker'!$A$2:$BN$980,66,FALSE)</f>
        <v/>
      </c>
      <c r="AI5" s="778" t="str">
        <f>VLOOKUP(F5,'2) Tracker'!$A$2:$BO$980,56,FALSE)</f>
        <v/>
      </c>
      <c r="AJ5" s="778" t="str">
        <f>VLOOKUP(F5,'2) Tracker'!$A$2:$BO$980,52,FALSE)</f>
        <v/>
      </c>
      <c r="AK5" s="778" t="str">
        <f>VLOOKUP(F5,'2) Tracker'!$A$2:$AQ$980,43,FALSE)</f>
        <v/>
      </c>
      <c r="AL5" s="778">
        <f>VLOOKUP(F5,'2) Tracker'!$A$2:$BH$980,46,FALSE())</f>
        <v>46135</v>
      </c>
      <c r="AM5" s="778" t="str">
        <f>VLOOKUP(F5,'2) Tracker'!$A$2:$BO$980,65,FALSE())</f>
        <v/>
      </c>
      <c r="AN5" s="778" t="str">
        <f>VLOOKUP(F5,'2) Tracker'!$A$2:$BK$980,63,FALSE())</f>
        <v/>
      </c>
      <c r="AO5" s="778" t="str">
        <f>VLOOKUP(F5,'2) Tracker'!$A$2:$BF$980,58,FALSE())</f>
        <v/>
      </c>
      <c r="AP5" s="52"/>
      <c r="AQ5" s="52"/>
      <c r="AR5" s="52"/>
      <c r="AS5" s="52"/>
      <c r="AT5" s="52"/>
      <c r="AU5" s="52"/>
      <c r="AV5" s="52"/>
      <c r="AW5" s="52"/>
      <c r="AX5" s="785"/>
      <c r="AY5" s="16"/>
      <c r="AZ5" s="734"/>
      <c r="BA5" s="786" t="str">
        <f>vlookup(AZ5,'Iran, FS'!A356:B356)</f>
        <v>#N/A</v>
      </c>
      <c r="BB5" s="787" t="str">
        <f>vlookup(AZ5,'1) Kpler'!$E$2:$F$500,2,false)</f>
        <v>#N/A</v>
      </c>
      <c r="BC5" s="740"/>
      <c r="BD5" s="734"/>
      <c r="BE5" s="52"/>
      <c r="BF5" s="52"/>
      <c r="BG5" s="734"/>
      <c r="BH5" s="734"/>
      <c r="BI5" s="734"/>
      <c r="BJ5" s="734"/>
    </row>
    <row r="6">
      <c r="B6" s="765" t="str">
        <f>vlookup(F6,'2) Tracker'!$A$3:$O$410,5,false)</f>
        <v/>
      </c>
      <c r="C6" s="765" t="str">
        <f>vlookup(F6,'2) Tracker'!$A$3:$O$410,4,false)</f>
        <v/>
      </c>
      <c r="D6" s="734"/>
      <c r="E6" s="734" t="str">
        <f>vlookup(F6,'2) Tracker'!$A$3:$O$406,15,false)</f>
        <v/>
      </c>
      <c r="F6" s="788" t="s">
        <v>440</v>
      </c>
      <c r="G6" s="783">
        <f>VLOOKUP(F6,'2) Tracker'!$A$2:$BO$360,2,FALSE)</f>
        <v>43586</v>
      </c>
      <c r="H6" s="768">
        <f>VLOOKUP(F6,'2) Tracker'!$A$2:$BO$360,3,FALSE)</f>
        <v>80000</v>
      </c>
      <c r="I6" s="777" t="str">
        <f>VLOOKUP(F6,'2) Tracker'!$A$2:$BO$360,9,FALSE)</f>
        <v>Trafigura</v>
      </c>
      <c r="J6" s="770" t="str">
        <f>VLOOKUP(F6,'2) Tracker'!$A$2:$BO$360,12,FALSE)</f>
        <v>loads USG</v>
      </c>
      <c r="K6" s="771">
        <f t="shared" ref="K6:O6" si="10">AD6</f>
        <v>46118</v>
      </c>
      <c r="L6" s="771">
        <f t="shared" si="10"/>
        <v>46118</v>
      </c>
      <c r="M6" s="771">
        <f t="shared" si="10"/>
        <v>46150</v>
      </c>
      <c r="N6" s="771" t="str">
        <f t="shared" si="10"/>
        <v/>
      </c>
      <c r="O6" s="772" t="str">
        <f t="shared" si="10"/>
        <v/>
      </c>
      <c r="P6" s="773" t="str">
        <f>iferror(if(vlookup(F6,'Voyage days'!$M$808:$N$819,2,false),"GOA",""),"")</f>
        <v/>
      </c>
      <c r="Q6" s="771" t="str">
        <f t="shared" ref="Q6:R6" si="11">AM6</f>
        <v/>
      </c>
      <c r="R6" s="771" t="str">
        <f t="shared" si="11"/>
        <v/>
      </c>
      <c r="S6" s="774">
        <f t="shared" si="5"/>
        <v>46138</v>
      </c>
      <c r="T6" s="771" t="str">
        <f t="shared" si="6"/>
        <v/>
      </c>
      <c r="U6" s="771" t="str">
        <f t="shared" si="7"/>
        <v/>
      </c>
      <c r="V6" s="771"/>
      <c r="W6" s="771" t="str">
        <f t="shared" si="8"/>
        <v/>
      </c>
      <c r="X6" s="775" t="str">
        <f t="shared" si="9"/>
        <v/>
      </c>
      <c r="Y6" s="776"/>
      <c r="Z6" s="777" t="str">
        <f>vlookup(F6,'2) Tracker'!$A$3:$Q$504,16,false)</f>
        <v>@ Corpus Christi 06 Apr, pending disport</v>
      </c>
      <c r="AA6" s="777" t="str">
        <f>vlookup(F6,'2) Tracker'!$A$3:$R$504,18,false)</f>
        <v>Trafigura 06-07 Apr Corpus Christi</v>
      </c>
      <c r="AB6" s="777" t="str">
        <f>vlookup(F6,'2) Tracker'!$A$3:$Q$504,17,false)</f>
        <v/>
      </c>
      <c r="AC6" s="778"/>
      <c r="AD6" s="778">
        <f>VLOOKUP(F6,'2) Tracker'!$A$2:$BO$980,37,FALSE)</f>
        <v>46118</v>
      </c>
      <c r="AE6" s="778">
        <f>VLOOKUP(F6,'2) Tracker'!$A$2:$BO$980,40,FALSE)</f>
        <v>46118</v>
      </c>
      <c r="AF6" s="778">
        <f>VLOOKUP(F6,'2) Tracker'!$A$2:$BO$980,67,FALSE)</f>
        <v>46150</v>
      </c>
      <c r="AG6" s="778" t="str">
        <f>VLOOKUP(F6,'2) Tracker'!$A$2:$BO$980,34,FALSE)</f>
        <v/>
      </c>
      <c r="AH6" s="778" t="str">
        <f>VLOOKUP(F6,'2) Tracker'!$A$2:$BN$980,66,FALSE)</f>
        <v/>
      </c>
      <c r="AI6" s="778" t="str">
        <f>VLOOKUP(F6,'2) Tracker'!$A$2:$BO$980,56,FALSE)</f>
        <v/>
      </c>
      <c r="AJ6" s="778" t="str">
        <f>VLOOKUP(F6,'2) Tracker'!$A$2:$BO$980,52,FALSE)</f>
        <v/>
      </c>
      <c r="AK6" s="778" t="str">
        <f>VLOOKUP(F6,'2) Tracker'!$A$2:$AQ$980,43,FALSE)</f>
        <v/>
      </c>
      <c r="AL6" s="778">
        <f>VLOOKUP(F6,'2) Tracker'!$A$2:$BH$980,46,FALSE())</f>
        <v>46138</v>
      </c>
      <c r="AM6" s="778" t="str">
        <f>VLOOKUP(F6,'2) Tracker'!$A$2:$BO$980,65,FALSE())</f>
        <v/>
      </c>
      <c r="AN6" s="778" t="str">
        <f>VLOOKUP(F6,'2) Tracker'!$A$2:$BK$980,63,FALSE())</f>
        <v/>
      </c>
      <c r="AO6" s="778" t="str">
        <f>VLOOKUP(F6,'2) Tracker'!$A$2:$BF$980,58,FALSE())</f>
        <v/>
      </c>
      <c r="AP6" s="52"/>
      <c r="AQ6" s="52"/>
      <c r="AR6" s="52"/>
      <c r="AS6" s="52"/>
      <c r="AT6" s="52"/>
      <c r="AU6" s="52"/>
      <c r="AV6" s="52"/>
      <c r="AW6" s="52"/>
      <c r="AX6" s="785"/>
      <c r="AY6" s="16"/>
      <c r="AZ6" s="734"/>
      <c r="BA6" s="740"/>
      <c r="BB6" s="734"/>
      <c r="BC6" s="740"/>
      <c r="BD6" s="734"/>
      <c r="BE6" s="52"/>
      <c r="BF6" s="52"/>
      <c r="BG6" s="734"/>
      <c r="BH6" s="734"/>
      <c r="BI6" s="734"/>
      <c r="BJ6" s="734"/>
    </row>
    <row r="7" ht="15.0" customHeight="1">
      <c r="B7" s="765" t="str">
        <f>vlookup(F7,'2) Tracker'!$A$3:$O$410,5,false)</f>
        <v/>
      </c>
      <c r="C7" s="765" t="str">
        <f>vlookup(F7,'2) Tracker'!$A$3:$O$410,4,false)</f>
        <v/>
      </c>
      <c r="D7" s="734"/>
      <c r="E7" s="734" t="str">
        <f>vlookup(F7,'2) Tracker'!$A$3:$O$406,15,false)</f>
        <v/>
      </c>
      <c r="F7" s="766" t="s">
        <v>231</v>
      </c>
      <c r="G7" s="789">
        <f>VLOOKUP(F7,'2) Tracker'!$A$2:$BO$360,2,FALSE)</f>
        <v>2022</v>
      </c>
      <c r="H7" s="768">
        <f>VLOOKUP(F7,'2) Tracker'!$A$2:$BO$360,3,FALSE)</f>
        <v>91000</v>
      </c>
      <c r="I7" s="769" t="str">
        <f>VLOOKUP(F7,'2) Tracker'!$A$2:$BO$360,9,FALSE)</f>
        <v>Total</v>
      </c>
      <c r="J7" s="770" t="str">
        <f>VLOOKUP(F7,'2) Tracker'!$A$2:$BO$360,12,FALSE)</f>
        <v>loads USG</v>
      </c>
      <c r="K7" s="771">
        <f t="shared" ref="K7:O7" si="12">AD7</f>
        <v>46118</v>
      </c>
      <c r="L7" s="771">
        <f t="shared" si="12"/>
        <v>46118</v>
      </c>
      <c r="M7" s="771">
        <f t="shared" si="12"/>
        <v>46150</v>
      </c>
      <c r="N7" s="771" t="str">
        <f t="shared" si="12"/>
        <v/>
      </c>
      <c r="O7" s="772" t="str">
        <f t="shared" si="12"/>
        <v/>
      </c>
      <c r="P7" s="773" t="str">
        <f>iferror(if(vlookup(F7,'Voyage days'!$M$808:$N$819,2,false),"GOA",""),"")</f>
        <v/>
      </c>
      <c r="Q7" s="771" t="str">
        <f t="shared" ref="Q7:R7" si="13">AM7</f>
        <v/>
      </c>
      <c r="R7" s="771" t="str">
        <f t="shared" si="13"/>
        <v/>
      </c>
      <c r="S7" s="774">
        <f t="shared" si="5"/>
        <v>46138</v>
      </c>
      <c r="T7" s="771" t="str">
        <f t="shared" si="6"/>
        <v/>
      </c>
      <c r="U7" s="771" t="str">
        <f t="shared" si="7"/>
        <v/>
      </c>
      <c r="V7" s="771"/>
      <c r="W7" s="771" t="str">
        <f t="shared" si="8"/>
        <v/>
      </c>
      <c r="X7" s="775" t="str">
        <f t="shared" si="9"/>
        <v/>
      </c>
      <c r="Y7" s="776"/>
      <c r="Z7" s="777" t="str">
        <f>vlookup(F7,'2) Tracker'!$A$3:$Q$504,16,false)</f>
        <v>ETA Cristobal 13 Apr, pending disport</v>
      </c>
      <c r="AA7" s="777" t="str">
        <f>vlookup(F7,'2) Tracker'!$A$3:$R$504,18,false)</f>
        <v>Total 06-07 Apr Freeport</v>
      </c>
      <c r="AB7" s="777" t="str">
        <f>vlookup(F7,'2) Tracker'!$A$3:$Q$504,17,false)</f>
        <v/>
      </c>
      <c r="AC7" s="778"/>
      <c r="AD7" s="778">
        <f>VLOOKUP(F7,'2) Tracker'!$A$2:$BO$980,37,FALSE)</f>
        <v>46118</v>
      </c>
      <c r="AE7" s="778">
        <f>VLOOKUP(F7,'2) Tracker'!$A$2:$BO$980,40,FALSE)</f>
        <v>46118</v>
      </c>
      <c r="AF7" s="778">
        <f>VLOOKUP(F7,'2) Tracker'!$A$2:$BO$980,67,FALSE)</f>
        <v>46150</v>
      </c>
      <c r="AG7" s="778" t="str">
        <f>VLOOKUP(F7,'2) Tracker'!$A$2:$BO$980,34,FALSE)</f>
        <v/>
      </c>
      <c r="AH7" s="778" t="str">
        <f>VLOOKUP(F7,'2) Tracker'!$A$2:$BN$980,66,FALSE)</f>
        <v/>
      </c>
      <c r="AI7" s="778" t="str">
        <f>VLOOKUP(F7,'2) Tracker'!$A$2:$BO$980,56,FALSE)</f>
        <v/>
      </c>
      <c r="AJ7" s="778" t="str">
        <f>VLOOKUP(F7,'2) Tracker'!$A$2:$BO$980,52,FALSE)</f>
        <v/>
      </c>
      <c r="AK7" s="778" t="str">
        <f>VLOOKUP(F7,'2) Tracker'!$A$2:$AQ$980,43,FALSE)</f>
        <v/>
      </c>
      <c r="AL7" s="778">
        <f>VLOOKUP(F7,'2) Tracker'!$A$2:$BH$980,46,FALSE())</f>
        <v>46138</v>
      </c>
      <c r="AM7" s="778" t="str">
        <f>VLOOKUP(F7,'2) Tracker'!$A$2:$BO$980,65,FALSE())</f>
        <v/>
      </c>
      <c r="AN7" s="778" t="str">
        <f>VLOOKUP(F7,'2) Tracker'!$A$2:$BK$980,63,FALSE())</f>
        <v/>
      </c>
      <c r="AO7" s="778" t="str">
        <f>VLOOKUP(F7,'2) Tracker'!$A$2:$BF$980,58,FALSE())</f>
        <v/>
      </c>
      <c r="AP7" s="52"/>
      <c r="AQ7" s="52"/>
      <c r="AR7" s="52"/>
      <c r="AS7" s="52"/>
      <c r="AT7" s="52"/>
      <c r="AU7" s="52"/>
      <c r="AV7" s="52"/>
      <c r="AW7" s="52"/>
      <c r="AX7" s="785"/>
      <c r="AY7" s="16"/>
      <c r="AZ7" s="734"/>
      <c r="BA7" s="740"/>
      <c r="BB7" s="734"/>
      <c r="BC7" s="740"/>
      <c r="BD7" s="734"/>
      <c r="BE7" s="52"/>
      <c r="BF7" s="52"/>
      <c r="BG7" s="734"/>
      <c r="BH7" s="734"/>
      <c r="BI7" s="734"/>
      <c r="BJ7" s="734"/>
    </row>
    <row r="8" ht="15.0" customHeight="1">
      <c r="B8" s="765" t="str">
        <f>vlookup(F8,'2) Tracker'!$A$3:$O$410,5,false)</f>
        <v>C</v>
      </c>
      <c r="C8" s="765" t="str">
        <f>vlookup(F8,'2) Tracker'!$A$3:$O$410,4,false)</f>
        <v/>
      </c>
      <c r="D8" s="734"/>
      <c r="E8" s="734" t="str">
        <f>vlookup(F8,'2) Tracker'!$A$3:$O$406,15,false)</f>
        <v/>
      </c>
      <c r="F8" s="788" t="s">
        <v>326</v>
      </c>
      <c r="G8" s="789">
        <f>VLOOKUP(F8,'2) Tracker'!$A$2:$BO$360,2,FALSE)</f>
        <v>2021</v>
      </c>
      <c r="H8" s="768">
        <f>VLOOKUP(F8,'2) Tracker'!$A$2:$BO$360,3,FALSE)</f>
        <v>86000</v>
      </c>
      <c r="I8" s="770" t="str">
        <f>VLOOKUP(F8,'2) Tracker'!$A$2:$BO$360,9,FALSE)</f>
        <v>Wanhua</v>
      </c>
      <c r="J8" s="770" t="str">
        <f>VLOOKUP(F8,'2) Tracker'!$A$2:$BO$360,12,FALSE)</f>
        <v>loads USG</v>
      </c>
      <c r="K8" s="771">
        <f t="shared" ref="K8:O8" si="14">AD8</f>
        <v>46118</v>
      </c>
      <c r="L8" s="771">
        <f t="shared" si="14"/>
        <v>46118</v>
      </c>
      <c r="M8" s="771">
        <f t="shared" si="14"/>
        <v>46150</v>
      </c>
      <c r="N8" s="771" t="str">
        <f t="shared" si="14"/>
        <v/>
      </c>
      <c r="O8" s="772" t="str">
        <f t="shared" si="14"/>
        <v/>
      </c>
      <c r="P8" s="773" t="str">
        <f>iferror(if(vlookup(F8,'Voyage days'!$M$808:$N$819,2,false),"GOA",""),"")</f>
        <v/>
      </c>
      <c r="Q8" s="772" t="str">
        <f t="shared" ref="Q8:R8" si="15">AM8</f>
        <v/>
      </c>
      <c r="R8" s="774" t="str">
        <f t="shared" si="15"/>
        <v/>
      </c>
      <c r="S8" s="774">
        <f t="shared" si="5"/>
        <v>46138</v>
      </c>
      <c r="T8" s="771" t="str">
        <f t="shared" si="6"/>
        <v/>
      </c>
      <c r="U8" s="774" t="str">
        <f t="shared" si="7"/>
        <v/>
      </c>
      <c r="V8" s="771"/>
      <c r="W8" s="771" t="str">
        <f t="shared" si="8"/>
        <v/>
      </c>
      <c r="X8" s="775" t="str">
        <f t="shared" si="9"/>
        <v/>
      </c>
      <c r="Y8" s="776" t="s">
        <v>1531</v>
      </c>
      <c r="Z8" s="777" t="str">
        <f>vlookup(F8,'2) Tracker'!$A$3:$Q$504,16,false)</f>
        <v>ETA Cristobal 12 Apr / pending firm disport</v>
      </c>
      <c r="AA8" s="777" t="str">
        <f>vlookup(F8,'2) Tracker'!$A$3:$R$504,18,false)</f>
        <v>Wanhua 01-02 Apr Nederland</v>
      </c>
      <c r="AB8" s="777" t="str">
        <f>vlookup(F8,'2) Tracker'!$A$3:$Q$504,17,false)</f>
        <v/>
      </c>
      <c r="AC8" s="778"/>
      <c r="AD8" s="778">
        <f>VLOOKUP(F8,'2) Tracker'!$A$2:$BO$980,37,FALSE)</f>
        <v>46118</v>
      </c>
      <c r="AE8" s="778">
        <f>VLOOKUP(F8,'2) Tracker'!$A$2:$BO$980,40,FALSE)</f>
        <v>46118</v>
      </c>
      <c r="AF8" s="778">
        <f>VLOOKUP(F8,'2) Tracker'!$A$2:$BO$980,67,FALSE)</f>
        <v>46150</v>
      </c>
      <c r="AG8" s="778" t="str">
        <f>VLOOKUP(F8,'2) Tracker'!$A$2:$BO$980,34,FALSE)</f>
        <v/>
      </c>
      <c r="AH8" s="778" t="str">
        <f>VLOOKUP(F8,'2) Tracker'!$A$2:$BN$980,66,FALSE)</f>
        <v/>
      </c>
      <c r="AI8" s="778" t="str">
        <f>VLOOKUP(F8,'2) Tracker'!$A$2:$BO$980,56,FALSE)</f>
        <v/>
      </c>
      <c r="AJ8" s="778" t="str">
        <f>VLOOKUP(F8,'2) Tracker'!$A$2:$BO$980,52,FALSE)</f>
        <v/>
      </c>
      <c r="AK8" s="778" t="str">
        <f>VLOOKUP(F8,'2) Tracker'!$A$2:$AQ$980,43,FALSE)</f>
        <v/>
      </c>
      <c r="AL8" s="778">
        <f>VLOOKUP(F8,'2) Tracker'!$A$2:$BH$980,46,FALSE())</f>
        <v>46138</v>
      </c>
      <c r="AM8" s="778" t="str">
        <f>VLOOKUP(F8,'2) Tracker'!$A$2:$BO$980,65,FALSE())</f>
        <v/>
      </c>
      <c r="AN8" s="778" t="str">
        <f>VLOOKUP(F8,'2) Tracker'!$A$2:$BK$980,63,FALSE())</f>
        <v/>
      </c>
      <c r="AO8" s="778" t="str">
        <f>VLOOKUP(F8,'2) Tracker'!$A$2:$BF$980,58,FALSE())</f>
        <v/>
      </c>
      <c r="AP8" s="52"/>
      <c r="AQ8" s="52"/>
      <c r="AR8" s="52"/>
      <c r="AS8" s="52"/>
      <c r="AT8" s="52"/>
      <c r="AU8" s="52"/>
      <c r="AV8" s="52"/>
      <c r="AW8" s="52"/>
      <c r="AX8" s="785"/>
      <c r="AY8" s="16"/>
      <c r="AZ8" s="734"/>
      <c r="BA8" s="786" t="str">
        <f>vlookup(AZ8,'Iran, FS'!A351:B351)</f>
        <v>#N/A</v>
      </c>
      <c r="BB8" s="787" t="str">
        <f>vlookup(AZ8,'1) Kpler'!$E$2:$F$500,2,false)</f>
        <v>#N/A</v>
      </c>
      <c r="BC8" s="740"/>
      <c r="BD8" s="734"/>
      <c r="BE8" s="52"/>
      <c r="BF8" s="52"/>
      <c r="BG8" s="734"/>
      <c r="BH8" s="734"/>
      <c r="BI8" s="734"/>
      <c r="BJ8" s="734"/>
    </row>
    <row r="9" ht="15.0" customHeight="1">
      <c r="B9" s="765" t="str">
        <f>vlookup(F9,'2) Tracker'!$A$3:$O$410,5,false)</f>
        <v/>
      </c>
      <c r="C9" s="765" t="str">
        <f>vlookup(F9,'2) Tracker'!$A$3:$O$410,4,false)</f>
        <v/>
      </c>
      <c r="D9" s="734"/>
      <c r="E9" s="734" t="str">
        <f>vlookup(F9,'2) Tracker'!$A$3:$O$406,15,false)</f>
        <v/>
      </c>
      <c r="F9" s="766" t="s">
        <v>239</v>
      </c>
      <c r="G9" s="789">
        <f>VLOOKUP(F9,'2) Tracker'!$A$2:$BO$360,2,FALSE)</f>
        <v>2021</v>
      </c>
      <c r="H9" s="768">
        <f>VLOOKUP(F9,'2) Tracker'!$A$2:$BO$360,3,FALSE)</f>
        <v>86000</v>
      </c>
      <c r="I9" s="769" t="str">
        <f>VLOOKUP(F9,'2) Tracker'!$A$2:$BO$360,9,FALSE)</f>
        <v>Equinor</v>
      </c>
      <c r="J9" s="770" t="str">
        <f>VLOOKUP(F9,'2) Tracker'!$A$2:$BO$360,12,FALSE)</f>
        <v>loads USG</v>
      </c>
      <c r="K9" s="771">
        <f t="shared" ref="K9:O9" si="16">AD9</f>
        <v>46120</v>
      </c>
      <c r="L9" s="771">
        <f t="shared" si="16"/>
        <v>46120</v>
      </c>
      <c r="M9" s="771">
        <f t="shared" si="16"/>
        <v>46152</v>
      </c>
      <c r="N9" s="771" t="str">
        <f t="shared" si="16"/>
        <v/>
      </c>
      <c r="O9" s="772" t="str">
        <f t="shared" si="16"/>
        <v/>
      </c>
      <c r="P9" s="773" t="str">
        <f>iferror(if(vlookup(F9,'Voyage days'!$M$808:$N$819,2,false),"GOA",""),"")</f>
        <v/>
      </c>
      <c r="Q9" s="771" t="str">
        <f t="shared" ref="Q9:R9" si="17">AM9</f>
        <v/>
      </c>
      <c r="R9" s="771" t="str">
        <f t="shared" si="17"/>
        <v/>
      </c>
      <c r="S9" s="774">
        <f t="shared" si="5"/>
        <v>46140</v>
      </c>
      <c r="T9" s="771" t="str">
        <f t="shared" si="6"/>
        <v/>
      </c>
      <c r="U9" s="771" t="str">
        <f t="shared" si="7"/>
        <v/>
      </c>
      <c r="V9" s="771"/>
      <c r="W9" s="771" t="str">
        <f t="shared" si="8"/>
        <v/>
      </c>
      <c r="X9" s="775" t="str">
        <f t="shared" si="9"/>
        <v/>
      </c>
      <c r="Y9" s="776"/>
      <c r="Z9" s="777" t="str">
        <f>vlookup(F9,'2) Tracker'!$A$3:$Q$504,16,false)</f>
        <v>ETA Cristobal 14 Apr</v>
      </c>
      <c r="AA9" s="777" t="str">
        <f>vlookup(F9,'2) Tracker'!$A$3:$R$504,18,false)</f>
        <v>Equinor 07-08 Apr Targa</v>
      </c>
      <c r="AB9" s="777" t="str">
        <f>vlookup(F9,'2) Tracker'!$A$3:$Q$504,17,false)</f>
        <v/>
      </c>
      <c r="AC9" s="778"/>
      <c r="AD9" s="778">
        <f>VLOOKUP(F9,'2) Tracker'!$A$2:$BO$980,37,FALSE)</f>
        <v>46120</v>
      </c>
      <c r="AE9" s="778">
        <f>VLOOKUP(F9,'2) Tracker'!$A$2:$BO$980,40,FALSE)</f>
        <v>46120</v>
      </c>
      <c r="AF9" s="778">
        <f>VLOOKUP(F9,'2) Tracker'!$A$2:$BO$980,67,FALSE)</f>
        <v>46152</v>
      </c>
      <c r="AG9" s="778" t="str">
        <f>VLOOKUP(F9,'2) Tracker'!$A$2:$BO$980,34,FALSE)</f>
        <v/>
      </c>
      <c r="AH9" s="778" t="str">
        <f>VLOOKUP(F9,'2) Tracker'!$A$2:$BN$980,66,FALSE)</f>
        <v/>
      </c>
      <c r="AI9" s="778" t="str">
        <f>VLOOKUP(F9,'2) Tracker'!$A$2:$BO$980,56,FALSE)</f>
        <v/>
      </c>
      <c r="AJ9" s="778" t="str">
        <f>VLOOKUP(F9,'2) Tracker'!$A$2:$BO$980,52,FALSE)</f>
        <v/>
      </c>
      <c r="AK9" s="778" t="str">
        <f>VLOOKUP(F9,'2) Tracker'!$A$2:$AQ$980,43,FALSE)</f>
        <v/>
      </c>
      <c r="AL9" s="778">
        <f>VLOOKUP(F9,'2) Tracker'!$A$2:$BH$980,46,FALSE())</f>
        <v>46140</v>
      </c>
      <c r="AM9" s="778" t="str">
        <f>VLOOKUP(F9,'2) Tracker'!$A$2:$BO$980,65,FALSE())</f>
        <v/>
      </c>
      <c r="AN9" s="778" t="str">
        <f>VLOOKUP(F9,'2) Tracker'!$A$2:$BK$980,63,FALSE())</f>
        <v/>
      </c>
      <c r="AO9" s="778" t="str">
        <f>VLOOKUP(F9,'2) Tracker'!$A$2:$BF$980,58,FALSE())</f>
        <v/>
      </c>
      <c r="AP9" s="52"/>
      <c r="AQ9" s="52"/>
      <c r="AR9" s="52"/>
      <c r="AS9" s="52"/>
      <c r="AT9" s="52"/>
      <c r="AU9" s="52"/>
      <c r="AV9" s="52"/>
      <c r="AW9" s="52"/>
      <c r="AX9" s="790"/>
      <c r="AY9" s="791"/>
      <c r="AZ9" s="734"/>
      <c r="BA9" s="740"/>
      <c r="BB9" s="734"/>
      <c r="BC9" s="740"/>
      <c r="BD9" s="734"/>
      <c r="BE9" s="52"/>
      <c r="BF9" s="52"/>
      <c r="BG9" s="734"/>
      <c r="BH9" s="734"/>
      <c r="BI9" s="734"/>
      <c r="BJ9" s="734"/>
    </row>
    <row r="10" ht="15.0" customHeight="1">
      <c r="B10" s="765" t="str">
        <f>vlookup(F10,'2) Tracker'!$A$3:$O$410,5,false)</f>
        <v/>
      </c>
      <c r="C10" s="765" t="str">
        <f>vlookup(F10,'2) Tracker'!$A$3:$O$410,4,false)</f>
        <v/>
      </c>
      <c r="D10" s="734"/>
      <c r="E10" s="734" t="str">
        <f>vlookup(F10,'2) Tracker'!$A$3:$O$406,15,false)</f>
        <v/>
      </c>
      <c r="F10" s="788" t="s">
        <v>255</v>
      </c>
      <c r="G10" s="783">
        <f>VLOOKUP(F10,'2) Tracker'!$A$2:$BO$360,2,FALSE)</f>
        <v>41527</v>
      </c>
      <c r="H10" s="768">
        <f>VLOOKUP(F10,'2) Tracker'!$A$2:$BO$360,3,FALSE)</f>
        <v>82000</v>
      </c>
      <c r="I10" s="777" t="str">
        <f>VLOOKUP(F10,'2) Tracker'!$A$2:$BO$360,9,FALSE)</f>
        <v>SK Gas</v>
      </c>
      <c r="J10" s="770" t="str">
        <f>VLOOKUP(F10,'2) Tracker'!$A$2:$BO$360,12,FALSE)</f>
        <v>loads USG</v>
      </c>
      <c r="K10" s="771">
        <f t="shared" ref="K10:O10" si="18">AD10</f>
        <v>46120</v>
      </c>
      <c r="L10" s="771">
        <f t="shared" si="18"/>
        <v>46120</v>
      </c>
      <c r="M10" s="771">
        <f t="shared" si="18"/>
        <v>46152</v>
      </c>
      <c r="N10" s="771" t="str">
        <f t="shared" si="18"/>
        <v/>
      </c>
      <c r="O10" s="772" t="str">
        <f t="shared" si="18"/>
        <v/>
      </c>
      <c r="P10" s="773" t="str">
        <f>iferror(if(vlookup(F10,'Voyage days'!$M$808:$N$819,2,false),"GOA",""),"")</f>
        <v/>
      </c>
      <c r="Q10" s="771" t="str">
        <f t="shared" ref="Q10:R10" si="19">AM10</f>
        <v/>
      </c>
      <c r="R10" s="771" t="str">
        <f t="shared" si="19"/>
        <v/>
      </c>
      <c r="S10" s="774">
        <f t="shared" si="5"/>
        <v>46140</v>
      </c>
      <c r="T10" s="771" t="str">
        <f t="shared" si="6"/>
        <v/>
      </c>
      <c r="U10" s="771" t="str">
        <f t="shared" si="7"/>
        <v/>
      </c>
      <c r="V10" s="745" t="s">
        <v>1523</v>
      </c>
      <c r="W10" s="771" t="str">
        <f t="shared" si="8"/>
        <v/>
      </c>
      <c r="X10" s="775" t="str">
        <f t="shared" si="9"/>
        <v/>
      </c>
      <c r="Y10" s="776"/>
      <c r="Z10" s="777" t="str">
        <f>vlookup(F10,'2) Tracker'!$A$3:$Q$504,16,false)</f>
        <v>ETA Cristobal 14 Apr, pending disport</v>
      </c>
      <c r="AA10" s="777" t="str">
        <f>vlookup(F10,'2) Tracker'!$A$3:$R$504,18,false)</f>
        <v>SK Gas 06-07 Apr Enterprise</v>
      </c>
      <c r="AB10" s="777" t="str">
        <f>vlookup(F10,'2) Tracker'!$A$3:$Q$504,17,false)</f>
        <v/>
      </c>
      <c r="AC10" s="778"/>
      <c r="AD10" s="778">
        <f>VLOOKUP(F10,'2) Tracker'!$A$2:$BO$980,37,FALSE)</f>
        <v>46120</v>
      </c>
      <c r="AE10" s="778">
        <f>VLOOKUP(F10,'2) Tracker'!$A$2:$BO$980,40,FALSE)</f>
        <v>46120</v>
      </c>
      <c r="AF10" s="778">
        <f>VLOOKUP(F10,'2) Tracker'!$A$2:$BO$980,67,FALSE)</f>
        <v>46152</v>
      </c>
      <c r="AG10" s="778" t="str">
        <f>VLOOKUP(F10,'2) Tracker'!$A$2:$BO$980,34,FALSE)</f>
        <v/>
      </c>
      <c r="AH10" s="778" t="str">
        <f>VLOOKUP(F10,'2) Tracker'!$A$2:$BN$980,66,FALSE)</f>
        <v/>
      </c>
      <c r="AI10" s="779" t="str">
        <f>VLOOKUP(F10,'2) Tracker'!$A$2:$BO$980,56,FALSE)</f>
        <v/>
      </c>
      <c r="AJ10" s="778" t="str">
        <f>VLOOKUP(F10,'2) Tracker'!$A$2:$BO$980,52,FALSE)</f>
        <v/>
      </c>
      <c r="AK10" s="778" t="str">
        <f>VLOOKUP(F10,'2) Tracker'!$A$2:$AQ$980,43,FALSE)</f>
        <v/>
      </c>
      <c r="AL10" s="778">
        <f>VLOOKUP(F10,'2) Tracker'!$A$2:$BH$980,46,FALSE())</f>
        <v>46140</v>
      </c>
      <c r="AM10" s="778" t="str">
        <f>VLOOKUP(F10,'2) Tracker'!$A$2:$BO$980,65,FALSE())</f>
        <v/>
      </c>
      <c r="AN10" s="778" t="str">
        <f>VLOOKUP(F10,'2) Tracker'!$A$2:$BK$980,63,FALSE())</f>
        <v/>
      </c>
      <c r="AO10" s="778" t="str">
        <f>VLOOKUP(F10,'2) Tracker'!$A$2:$BF$980,58,FALSE())</f>
        <v/>
      </c>
      <c r="AP10" s="52"/>
      <c r="AQ10" s="52"/>
      <c r="AR10" s="52"/>
      <c r="AS10" s="52"/>
      <c r="AT10" s="52"/>
      <c r="AU10" s="52"/>
      <c r="AV10" s="52"/>
      <c r="AW10" s="52"/>
      <c r="AX10" s="52"/>
      <c r="AY10" s="52"/>
      <c r="AZ10" s="734"/>
      <c r="BA10" s="740"/>
      <c r="BB10" s="734"/>
      <c r="BC10" s="740"/>
      <c r="BD10" s="734"/>
      <c r="BE10" s="52"/>
      <c r="BF10" s="52"/>
      <c r="BG10" s="734"/>
      <c r="BH10" s="734"/>
      <c r="BI10" s="734"/>
      <c r="BJ10" s="734"/>
    </row>
    <row r="11" ht="15.0" customHeight="1">
      <c r="B11" s="765" t="str">
        <f>vlookup(F11,'2) Tracker'!$A$3:$O$410,5,false)</f>
        <v/>
      </c>
      <c r="C11" s="765" t="str">
        <f>vlookup(F11,'2) Tracker'!$A$3:$O$410,4,false)</f>
        <v/>
      </c>
      <c r="D11" s="734"/>
      <c r="E11" s="734" t="str">
        <f>vlookup(F11,'2) Tracker'!$A$3:$O$406,15,false)</f>
        <v/>
      </c>
      <c r="F11" s="766" t="str">
        <f>'2) Tracker'!A220</f>
        <v>Albert</v>
      </c>
      <c r="G11" s="792">
        <f>VLOOKUP(F11,'2) Tracker'!$A$2:$BO$360,2,FALSE)</f>
        <v>41817</v>
      </c>
      <c r="H11" s="768">
        <f>VLOOKUP(F11,'2) Tracker'!$A$2:$BO$360,3,FALSE)</f>
        <v>84000</v>
      </c>
      <c r="I11" s="769" t="str">
        <f>VLOOKUP(F11,'2) Tracker'!$A$2:$BO$360,9,FALSE)</f>
        <v>Tomza</v>
      </c>
      <c r="J11" s="770" t="str">
        <f>VLOOKUP(F11,'2) Tracker'!$A$2:$BO$360,12,FALSE)</f>
        <v>Mexico</v>
      </c>
      <c r="K11" s="771">
        <f t="shared" ref="K11:O11" si="20">AD11</f>
        <v>46122</v>
      </c>
      <c r="L11" s="771">
        <f t="shared" si="20"/>
        <v>46124</v>
      </c>
      <c r="M11" s="771" t="str">
        <f t="shared" si="20"/>
        <v/>
      </c>
      <c r="N11" s="771" t="str">
        <f t="shared" si="20"/>
        <v/>
      </c>
      <c r="O11" s="772" t="str">
        <f t="shared" si="20"/>
        <v/>
      </c>
      <c r="P11" s="773" t="str">
        <f>iferror(if(vlookup(F11,'Voyage days'!$M$808:$N$819,2,false),"GOA",""),"")</f>
        <v/>
      </c>
      <c r="Q11" s="771">
        <f t="shared" ref="Q11:R11" si="21">AM11</f>
        <v>46121</v>
      </c>
      <c r="R11" s="771">
        <f t="shared" si="21"/>
        <v>46140</v>
      </c>
      <c r="S11" s="774">
        <f t="shared" si="5"/>
        <v>46133</v>
      </c>
      <c r="T11" s="771">
        <f t="shared" si="6"/>
        <v>46138</v>
      </c>
      <c r="U11" s="771" t="str">
        <f t="shared" si="7"/>
        <v/>
      </c>
      <c r="V11" s="771"/>
      <c r="W11" s="771" t="str">
        <f t="shared" si="8"/>
        <v/>
      </c>
      <c r="X11" s="775" t="str">
        <f t="shared" si="9"/>
        <v/>
      </c>
      <c r="Y11" s="776"/>
      <c r="Z11" s="777" t="str">
        <f>vlookup(F11,'2) Tracker'!$A$3:$Q$504,16,false)</f>
        <v>@ Pajaritos 30 Mar</v>
      </c>
      <c r="AA11" s="777" t="str">
        <f>vlookup(F11,'2) Tracker'!$A$3:$R$504,18,false)</f>
        <v>Tomza 23 Mar Targa</v>
      </c>
      <c r="AB11" s="777" t="str">
        <f>vlookup(F11,'2) Tracker'!$A$3:$Q$504,17,false)</f>
        <v/>
      </c>
      <c r="AC11" s="778"/>
      <c r="AD11" s="778">
        <f>VLOOKUP(F11,'2) Tracker'!$A$2:$BO$980,37,FALSE)</f>
        <v>46122</v>
      </c>
      <c r="AE11" s="778">
        <f>VLOOKUP(F11,'2) Tracker'!$A$2:$BO$980,40,FALSE)</f>
        <v>46124</v>
      </c>
      <c r="AF11" s="778" t="str">
        <f>VLOOKUP(F11,'2) Tracker'!$A$2:$BO$980,67,FALSE)</f>
        <v/>
      </c>
      <c r="AG11" s="778" t="str">
        <f>VLOOKUP(F11,'2) Tracker'!$A$2:$BO$980,34,FALSE)</f>
        <v/>
      </c>
      <c r="AH11" s="778" t="str">
        <f>VLOOKUP(F11,'2) Tracker'!$A$2:$BN$980,66,FALSE)</f>
        <v/>
      </c>
      <c r="AI11" s="779" t="str">
        <f>VLOOKUP(F11,'2) Tracker'!$A$2:$BO$980,56,FALSE)</f>
        <v/>
      </c>
      <c r="AJ11" s="779" t="str">
        <f>VLOOKUP(F11,'2) Tracker'!$A$2:$BO$980,52,FALSE)</f>
        <v/>
      </c>
      <c r="AK11" s="779">
        <f>VLOOKUP(F11,'2) Tracker'!$A$2:$AQ$980,43,FALSE)</f>
        <v>46138</v>
      </c>
      <c r="AL11" s="780">
        <f>VLOOKUP(F11,'2) Tracker'!$A$2:$BH$980,46,FALSE())</f>
        <v>46133</v>
      </c>
      <c r="AM11" s="780">
        <f>VLOOKUP(F11,'2) Tracker'!$A$2:$BO$980,65,FALSE())</f>
        <v>46121</v>
      </c>
      <c r="AN11" s="780">
        <f>VLOOKUP(F11,'2) Tracker'!$A$2:$BK$980,63,FALSE())</f>
        <v>46140</v>
      </c>
      <c r="AO11" s="780" t="str">
        <f>VLOOKUP(F11,'2) Tracker'!$A$2:$BF$980,58,FALSE())</f>
        <v/>
      </c>
      <c r="AP11" s="52"/>
      <c r="AQ11" s="52"/>
      <c r="AR11" s="52"/>
      <c r="AS11" s="52"/>
      <c r="AT11" s="52"/>
      <c r="AU11" s="52"/>
      <c r="AV11" s="793"/>
      <c r="AW11" s="52"/>
      <c r="AX11" s="52"/>
      <c r="AY11" s="52"/>
      <c r="AZ11" s="734"/>
      <c r="BA11" s="740"/>
      <c r="BB11" s="734"/>
      <c r="BC11" s="740"/>
      <c r="BD11" s="734"/>
      <c r="BE11" s="52"/>
      <c r="BF11" s="52"/>
      <c r="BG11" s="734"/>
      <c r="BH11" s="734"/>
      <c r="BI11" s="734"/>
      <c r="BJ11" s="734"/>
    </row>
    <row r="12" ht="15.0" customHeight="1">
      <c r="B12" s="765"/>
      <c r="C12" s="765" t="str">
        <f>vlookup(F12,'2) Tracker'!$A$3:$O$410,4,false)</f>
        <v/>
      </c>
      <c r="D12" s="734"/>
      <c r="E12" s="734" t="str">
        <f>vlookup(F12,'2) Tracker'!$A$3:$O$406,15,false)</f>
        <v/>
      </c>
      <c r="F12" s="788" t="s">
        <v>732</v>
      </c>
      <c r="G12" s="783">
        <f>VLOOKUP(F12,'2) Tracker'!$A$2:$BO$360,2,FALSE)</f>
        <v>42479</v>
      </c>
      <c r="H12" s="768">
        <f>VLOOKUP(F12,'2) Tracker'!$A$2:$BO$360,3,FALSE)</f>
        <v>84113</v>
      </c>
      <c r="I12" s="770" t="str">
        <f>VLOOKUP(F12,'2) Tracker'!$A$2:$BO$360,9,FALSE)</f>
        <v>BW &gt; ATC</v>
      </c>
      <c r="J12" s="770" t="str">
        <f>VLOOKUP(F12,'2) Tracker'!$A$2:$BO$360,12,FALSE)</f>
        <v>loads USG</v>
      </c>
      <c r="K12" s="771">
        <f t="shared" ref="K12:O12" si="22">AD12</f>
        <v>46124</v>
      </c>
      <c r="L12" s="771">
        <f t="shared" si="22"/>
        <v>46124</v>
      </c>
      <c r="M12" s="771">
        <f t="shared" si="22"/>
        <v>46156</v>
      </c>
      <c r="N12" s="771" t="str">
        <f t="shared" si="22"/>
        <v/>
      </c>
      <c r="O12" s="772" t="str">
        <f t="shared" si="22"/>
        <v/>
      </c>
      <c r="P12" s="773" t="str">
        <f>iferror(if(vlookup(F12,'Voyage days'!$M$808:$N$819,2,false),"GOA",""),"")</f>
        <v/>
      </c>
      <c r="Q12" s="771" t="str">
        <f t="shared" ref="Q12:R12" si="23">AM12</f>
        <v/>
      </c>
      <c r="R12" s="771" t="str">
        <f t="shared" si="23"/>
        <v/>
      </c>
      <c r="S12" s="774">
        <f t="shared" si="5"/>
        <v>46144</v>
      </c>
      <c r="T12" s="771" t="str">
        <f t="shared" si="6"/>
        <v/>
      </c>
      <c r="U12" s="771" t="str">
        <f t="shared" si="7"/>
        <v/>
      </c>
      <c r="V12" s="771"/>
      <c r="W12" s="771" t="str">
        <f t="shared" si="8"/>
        <v/>
      </c>
      <c r="X12" s="775" t="str">
        <f t="shared" si="9"/>
        <v/>
      </c>
      <c r="Y12" s="784"/>
      <c r="Z12" s="777" t="str">
        <f>vlookup(F12,'2) Tracker'!$A$3:$Q$504,16,false)</f>
        <v>@ Houston anchorage 10 Apr, waiting to berth</v>
      </c>
      <c r="AA12" s="777" t="str">
        <f>vlookup(F12,'2) Tracker'!$A$3:$R$504,18,false)</f>
        <v>ATC 10-11 Apr USG</v>
      </c>
      <c r="AB12" s="777" t="str">
        <f>vlookup(F12,'2) Tracker'!$A$3:$Q$504,17,false)</f>
        <v/>
      </c>
      <c r="AC12" s="778"/>
      <c r="AD12" s="778">
        <f>VLOOKUP(F12,'2) Tracker'!$A$2:$BO$980,37,FALSE)</f>
        <v>46124</v>
      </c>
      <c r="AE12" s="778">
        <f>VLOOKUP(F12,'2) Tracker'!$A$2:$BO$980,40,FALSE)</f>
        <v>46124</v>
      </c>
      <c r="AF12" s="778">
        <f>VLOOKUP(F12,'2) Tracker'!$A$2:$BO$980,67,FALSE)</f>
        <v>46156</v>
      </c>
      <c r="AG12" s="778" t="str">
        <f>VLOOKUP(F12,'2) Tracker'!$A$2:$BO$980,34,FALSE)</f>
        <v/>
      </c>
      <c r="AH12" s="778" t="str">
        <f>VLOOKUP(F12,'2) Tracker'!$A$2:$BN$980,66,FALSE)</f>
        <v/>
      </c>
      <c r="AI12" s="778" t="str">
        <f>VLOOKUP(F12,'2) Tracker'!$A$2:$BO$980,56,FALSE)</f>
        <v/>
      </c>
      <c r="AJ12" s="778" t="str">
        <f>VLOOKUP(F12,'2) Tracker'!$A$2:$BO$980,52,FALSE)</f>
        <v/>
      </c>
      <c r="AK12" s="778" t="str">
        <f>VLOOKUP(F12,'2) Tracker'!$A$2:$AQ$980,43,FALSE)</f>
        <v/>
      </c>
      <c r="AL12" s="778">
        <f>VLOOKUP(F12,'2) Tracker'!$A$2:$BH$980,46,FALSE())</f>
        <v>46144</v>
      </c>
      <c r="AM12" s="778" t="str">
        <f>VLOOKUP(F12,'2) Tracker'!$A$2:$BO$980,65,FALSE())</f>
        <v/>
      </c>
      <c r="AN12" s="778" t="str">
        <f>VLOOKUP(F12,'2) Tracker'!$A$2:$BK$980,63,FALSE())</f>
        <v/>
      </c>
      <c r="AO12" s="778" t="str">
        <f>VLOOKUP(F12,'2) Tracker'!$A$2:$BF$980,58,FALSE())</f>
        <v/>
      </c>
      <c r="AP12" s="52"/>
      <c r="AQ12" s="52"/>
      <c r="AR12" s="52"/>
      <c r="AS12" s="52"/>
      <c r="AT12" s="52"/>
      <c r="AU12" s="52"/>
      <c r="AV12" s="52"/>
      <c r="AW12" s="52"/>
      <c r="AX12" s="52"/>
      <c r="AY12" s="52"/>
      <c r="AZ12" s="734"/>
      <c r="BA12" s="740"/>
      <c r="BB12" s="734"/>
      <c r="BC12" s="740"/>
      <c r="BD12" s="734"/>
      <c r="BE12" s="52"/>
      <c r="BF12" s="52"/>
      <c r="BG12" s="734"/>
      <c r="BH12" s="734"/>
      <c r="BI12" s="734"/>
      <c r="BJ12" s="734"/>
    </row>
    <row r="13">
      <c r="B13" s="765" t="str">
        <f>vlookup(F13,'2) Tracker'!$A$3:$O$410,5,false)</f>
        <v/>
      </c>
      <c r="C13" s="765" t="str">
        <f>vlookup(F13,'2) Tracker'!$A$3:$O$410,4,false)</f>
        <v/>
      </c>
      <c r="D13" s="732" t="s">
        <v>1515</v>
      </c>
      <c r="E13" s="734" t="str">
        <f>vlookup(F13,'2) Tracker'!$A$3:$O$406,15,false)</f>
        <v/>
      </c>
      <c r="F13" s="794" t="s">
        <v>552</v>
      </c>
      <c r="G13" s="789">
        <f>VLOOKUP(F13,'2) Tracker'!$A$2:$BO$360,2,FALSE)</f>
        <v>2024</v>
      </c>
      <c r="H13" s="768">
        <f>VLOOKUP(F13,'2) Tracker'!$A$2:$BO$360,3,FALSE)</f>
        <v>86000</v>
      </c>
      <c r="I13" s="770" t="str">
        <f>VLOOKUP(F13,'2) Tracker'!$A$2:$BO$360,9,FALSE)</f>
        <v>Trafigura?</v>
      </c>
      <c r="J13" s="770" t="str">
        <f>VLOOKUP(F13,'2) Tracker'!$A$2:$BO$360,12,FALSE)</f>
        <v>loads USG</v>
      </c>
      <c r="K13" s="774">
        <f t="shared" ref="K13:O13" si="24">AD13</f>
        <v>46125</v>
      </c>
      <c r="L13" s="774">
        <f t="shared" si="24"/>
        <v>46125</v>
      </c>
      <c r="M13" s="771">
        <f t="shared" si="24"/>
        <v>46157</v>
      </c>
      <c r="N13" s="771" t="str">
        <f t="shared" si="24"/>
        <v/>
      </c>
      <c r="O13" s="772" t="str">
        <f t="shared" si="24"/>
        <v/>
      </c>
      <c r="P13" s="773" t="str">
        <f>iferror(if(vlookup(F13,'Voyage days'!$M$808:$N$819,2,false),"GOA",""),"")</f>
        <v/>
      </c>
      <c r="Q13" s="771" t="str">
        <f t="shared" ref="Q13:R13" si="25">AM13</f>
        <v/>
      </c>
      <c r="R13" s="774" t="str">
        <f t="shared" si="25"/>
        <v/>
      </c>
      <c r="S13" s="774">
        <f t="shared" si="5"/>
        <v>46145</v>
      </c>
      <c r="T13" s="771" t="str">
        <f t="shared" si="6"/>
        <v/>
      </c>
      <c r="U13" s="774" t="str">
        <f t="shared" si="7"/>
        <v/>
      </c>
      <c r="V13" s="771"/>
      <c r="W13" s="771" t="str">
        <f t="shared" si="8"/>
        <v/>
      </c>
      <c r="X13" s="775" t="str">
        <f t="shared" si="9"/>
        <v/>
      </c>
      <c r="Y13" s="795" t="s">
        <v>1532</v>
      </c>
      <c r="Z13" s="777" t="str">
        <f>vlookup(F13,'2) Tracker'!$A$3:$Q$504,16,false)</f>
        <v>ETA USG 12 Apr via Panama</v>
      </c>
      <c r="AA13" s="777" t="str">
        <f>vlookup(F13,'2) Tracker'!$A$3:$R$504,18,false)</f>
        <v>Trafigura 13-14 Apr USG</v>
      </c>
      <c r="AB13" s="777" t="str">
        <f>vlookup(F13,'2) Tracker'!$A$3:$Q$504,17,false)</f>
        <v/>
      </c>
      <c r="AC13" s="778"/>
      <c r="AD13" s="778">
        <f>VLOOKUP(F13,'2) Tracker'!$A$2:$BO$980,37,FALSE)</f>
        <v>46125</v>
      </c>
      <c r="AE13" s="778">
        <f>VLOOKUP(F13,'2) Tracker'!$A$2:$BO$980,40,FALSE)</f>
        <v>46125</v>
      </c>
      <c r="AF13" s="778">
        <f>VLOOKUP(F13,'2) Tracker'!$A$2:$BO$980,67,FALSE)</f>
        <v>46157</v>
      </c>
      <c r="AG13" s="778" t="str">
        <f>VLOOKUP(F13,'2) Tracker'!$A$2:$BO$980,34,FALSE)</f>
        <v/>
      </c>
      <c r="AH13" s="778" t="str">
        <f>VLOOKUP(F13,'2) Tracker'!$A$2:$BN$980,66,FALSE)</f>
        <v/>
      </c>
      <c r="AI13" s="778" t="str">
        <f>VLOOKUP(F13,'2) Tracker'!$A$2:$BO$980,56,FALSE)</f>
        <v/>
      </c>
      <c r="AJ13" s="778" t="str">
        <f>VLOOKUP(F13,'2) Tracker'!$A$2:$BO$980,52,FALSE)</f>
        <v/>
      </c>
      <c r="AK13" s="778" t="str">
        <f>VLOOKUP(F13,'2) Tracker'!$A$2:$AQ$980,43,FALSE)</f>
        <v/>
      </c>
      <c r="AL13" s="778">
        <f>VLOOKUP(F13,'2) Tracker'!$A$2:$BH$980,46,FALSE())</f>
        <v>46145</v>
      </c>
      <c r="AM13" s="778" t="str">
        <f>VLOOKUP(F13,'2) Tracker'!$A$2:$BO$980,65,FALSE())</f>
        <v/>
      </c>
      <c r="AN13" s="778" t="str">
        <f>VLOOKUP(F13,'2) Tracker'!$A$2:$BK$980,63,FALSE())</f>
        <v/>
      </c>
      <c r="AO13" s="778" t="str">
        <f>VLOOKUP(F13,'2) Tracker'!$A$2:$BF$980,58,FALSE())</f>
        <v/>
      </c>
      <c r="AP13" s="52"/>
      <c r="AQ13" s="52"/>
      <c r="AR13" s="52"/>
      <c r="AS13" s="52"/>
      <c r="AT13" s="52"/>
      <c r="AU13" s="52"/>
      <c r="AV13" s="52"/>
      <c r="AW13" s="52"/>
      <c r="AX13" s="52"/>
      <c r="AY13" s="52"/>
      <c r="AZ13" s="734"/>
      <c r="BA13" s="740"/>
      <c r="BB13" s="734"/>
      <c r="BC13" s="740"/>
      <c r="BD13" s="734"/>
      <c r="BE13" s="52"/>
      <c r="BF13" s="52"/>
      <c r="BG13" s="734"/>
      <c r="BH13" s="734"/>
      <c r="BI13" s="734"/>
      <c r="BJ13" s="734"/>
    </row>
    <row r="14">
      <c r="B14" s="765" t="str">
        <f>vlookup(F14,'2) Tracker'!$A$3:$O$410,5,false)</f>
        <v/>
      </c>
      <c r="C14" s="765" t="str">
        <f>vlookup(F14,'2) Tracker'!$A$3:$O$410,4,false)</f>
        <v/>
      </c>
      <c r="D14" s="734"/>
      <c r="E14" s="734" t="str">
        <f>vlookup(F14,'2) Tracker'!$A$3:$O$406,15,false)</f>
        <v/>
      </c>
      <c r="F14" s="788" t="s">
        <v>216</v>
      </c>
      <c r="G14" s="789">
        <f>VLOOKUP(F14,'2) Tracker'!$A$2:$BO$360,2,FALSE)</f>
        <v>2023</v>
      </c>
      <c r="H14" s="768">
        <f>VLOOKUP(F14,'2) Tracker'!$A$2:$BO$360,3,FALSE)</f>
        <v>91000</v>
      </c>
      <c r="I14" s="770" t="str">
        <f>VLOOKUP(F14,'2) Tracker'!$A$2:$BO$360,9,FALSE)</f>
        <v>SwissChemGas</v>
      </c>
      <c r="J14" s="770" t="str">
        <f>VLOOKUP(F14,'2) Tracker'!$A$2:$BO$360,12,FALSE)</f>
        <v>loads USG</v>
      </c>
      <c r="K14" s="771">
        <f t="shared" ref="K14:O14" si="26">AD14</f>
        <v>46125</v>
      </c>
      <c r="L14" s="771">
        <f t="shared" si="26"/>
        <v>46125</v>
      </c>
      <c r="M14" s="771">
        <f t="shared" si="26"/>
        <v>46157</v>
      </c>
      <c r="N14" s="771" t="str">
        <f t="shared" si="26"/>
        <v/>
      </c>
      <c r="O14" s="772" t="str">
        <f t="shared" si="26"/>
        <v/>
      </c>
      <c r="P14" s="773" t="str">
        <f>iferror(if(vlookup(F14,'Voyage days'!$M$808:$N$819,2,false),"GOA",""),"")</f>
        <v/>
      </c>
      <c r="Q14" s="771" t="str">
        <f t="shared" ref="Q14:R14" si="27">AM14</f>
        <v/>
      </c>
      <c r="R14" s="771" t="str">
        <f t="shared" si="27"/>
        <v/>
      </c>
      <c r="S14" s="774">
        <f t="shared" si="5"/>
        <v>46145</v>
      </c>
      <c r="T14" s="771" t="str">
        <f t="shared" si="6"/>
        <v/>
      </c>
      <c r="U14" s="771" t="str">
        <f t="shared" si="7"/>
        <v/>
      </c>
      <c r="V14" s="771"/>
      <c r="W14" s="771" t="str">
        <f t="shared" si="8"/>
        <v/>
      </c>
      <c r="X14" s="775" t="str">
        <f t="shared" si="9"/>
        <v/>
      </c>
      <c r="Y14" s="796" t="s">
        <v>1533</v>
      </c>
      <c r="Z14" s="777" t="str">
        <f>vlookup(F14,'2) Tracker'!$A$3:$Q$504,16,false)</f>
        <v>ETA Cristobal 17 Apr</v>
      </c>
      <c r="AA14" s="777" t="str">
        <f>vlookup(F14,'2) Tracker'!$A$3:$R$504,18,false)</f>
        <v>Gunvor 06-07 Apr Targa</v>
      </c>
      <c r="AB14" s="777" t="str">
        <f>vlookup(F14,'2) Tracker'!$A$3:$Q$504,17,false)</f>
        <v/>
      </c>
      <c r="AC14" s="778"/>
      <c r="AD14" s="778">
        <f>VLOOKUP(F14,'2) Tracker'!$A$2:$BO$980,37,FALSE)</f>
        <v>46125</v>
      </c>
      <c r="AE14" s="778">
        <f>VLOOKUP(F14,'2) Tracker'!$A$2:$BO$980,40,FALSE)</f>
        <v>46125</v>
      </c>
      <c r="AF14" s="778">
        <f>VLOOKUP(F14,'2) Tracker'!$A$2:$BO$980,67,FALSE)</f>
        <v>46157</v>
      </c>
      <c r="AG14" s="778" t="str">
        <f>VLOOKUP(F14,'2) Tracker'!$A$2:$BO$980,34,FALSE)</f>
        <v/>
      </c>
      <c r="AH14" s="778" t="str">
        <f>VLOOKUP(F14,'2) Tracker'!$A$2:$BN$980,66,FALSE)</f>
        <v/>
      </c>
      <c r="AI14" s="779" t="str">
        <f>VLOOKUP(F14,'2) Tracker'!$A$2:$BO$980,56,FALSE)</f>
        <v/>
      </c>
      <c r="AJ14" s="778" t="str">
        <f>VLOOKUP(F14,'2) Tracker'!$A$2:$BO$980,52,FALSE)</f>
        <v/>
      </c>
      <c r="AK14" s="778" t="str">
        <f>VLOOKUP(F14,'2) Tracker'!$A$2:$AQ$980,43,FALSE)</f>
        <v/>
      </c>
      <c r="AL14" s="778">
        <f>VLOOKUP(F14,'2) Tracker'!$A$2:$BH$980,46,FALSE())</f>
        <v>46145</v>
      </c>
      <c r="AM14" s="778" t="str">
        <f>VLOOKUP(F14,'2) Tracker'!$A$2:$BO$980,65,FALSE())</f>
        <v/>
      </c>
      <c r="AN14" s="778" t="str">
        <f>VLOOKUP(F14,'2) Tracker'!$A$2:$BK$980,63,FALSE())</f>
        <v/>
      </c>
      <c r="AO14" s="778" t="str">
        <f>VLOOKUP(F14,'2) Tracker'!$A$2:$BF$980,58,FALSE())</f>
        <v/>
      </c>
      <c r="AP14" s="52"/>
      <c r="AQ14" s="52"/>
      <c r="AR14" s="52"/>
      <c r="AS14" s="52"/>
      <c r="AT14" s="52"/>
      <c r="AU14" s="52"/>
      <c r="AV14" s="793"/>
      <c r="AW14" s="52"/>
      <c r="AX14" s="52"/>
      <c r="AY14" s="52"/>
      <c r="AZ14" s="734"/>
      <c r="BA14" s="740"/>
      <c r="BB14" s="734"/>
      <c r="BC14" s="740"/>
      <c r="BD14" s="734"/>
      <c r="BE14" s="52"/>
      <c r="BF14" s="52"/>
      <c r="BG14" s="734"/>
      <c r="BH14" s="734"/>
      <c r="BI14" s="734"/>
      <c r="BJ14" s="734"/>
    </row>
    <row r="15">
      <c r="B15" s="765" t="str">
        <f>vlookup(F15,'2) Tracker'!$A$3:$O$410,5,false)</f>
        <v/>
      </c>
      <c r="C15" s="765" t="str">
        <f>vlookup(F15,'2) Tracker'!$A$3:$O$410,4,false)</f>
        <v/>
      </c>
      <c r="D15" s="732" t="s">
        <v>1515</v>
      </c>
      <c r="E15" s="734" t="str">
        <f>vlookup(F15,'2) Tracker'!$A$3:$O$406,15,false)</f>
        <v/>
      </c>
      <c r="F15" s="797" t="s">
        <v>520</v>
      </c>
      <c r="G15" s="789">
        <f>VLOOKUP(F15,'2) Tracker'!$A$2:$BO$360,2,FALSE)</f>
        <v>2025</v>
      </c>
      <c r="H15" s="768">
        <f>VLOOKUP(F15,'2) Tracker'!$A$2:$BO$360,3,FALSE)</f>
        <v>88000</v>
      </c>
      <c r="I15" s="769" t="str">
        <f>VLOOKUP(F15,'2) Tracker'!$A$2:$BO$360,9,FALSE)</f>
        <v>Gunvor</v>
      </c>
      <c r="J15" s="770" t="str">
        <f>VLOOKUP(F15,'2) Tracker'!$A$2:$BO$360,12,FALSE)</f>
        <v>loads USG</v>
      </c>
      <c r="K15" s="774">
        <f t="shared" ref="K15:O15" si="28">AD15</f>
        <v>46125</v>
      </c>
      <c r="L15" s="774">
        <f t="shared" si="28"/>
        <v>46125</v>
      </c>
      <c r="M15" s="771">
        <f t="shared" si="28"/>
        <v>46157</v>
      </c>
      <c r="N15" s="771" t="str">
        <f t="shared" si="28"/>
        <v/>
      </c>
      <c r="O15" s="772" t="str">
        <f t="shared" si="28"/>
        <v/>
      </c>
      <c r="P15" s="773" t="str">
        <f>iferror(if(vlookup(F15,'Voyage days'!$M$808:$N$819,2,false),"GOA",""),"")</f>
        <v/>
      </c>
      <c r="Q15" s="771" t="str">
        <f t="shared" ref="Q15:R15" si="29">AM15</f>
        <v/>
      </c>
      <c r="R15" s="774" t="str">
        <f t="shared" si="29"/>
        <v/>
      </c>
      <c r="S15" s="774">
        <f t="shared" si="5"/>
        <v>46145</v>
      </c>
      <c r="T15" s="771" t="str">
        <f t="shared" si="6"/>
        <v/>
      </c>
      <c r="U15" s="774" t="str">
        <f t="shared" si="7"/>
        <v/>
      </c>
      <c r="V15" s="774"/>
      <c r="W15" s="774" t="str">
        <f t="shared" si="8"/>
        <v/>
      </c>
      <c r="X15" s="775" t="str">
        <f t="shared" si="9"/>
        <v/>
      </c>
      <c r="Y15" s="776"/>
      <c r="Z15" s="777" t="str">
        <f>vlookup(F15,'2) Tracker'!$A$3:$Q$504,16,false)</f>
        <v>ETA Cristobal 17 Apr, pending disport</v>
      </c>
      <c r="AA15" s="777" t="str">
        <f>vlookup(F15,'2) Tracker'!$A$3:$R$504,18,false)</f>
        <v>Gunvor 06-07 Apr Freeport</v>
      </c>
      <c r="AB15" s="777" t="str">
        <f>vlookup(F15,'2) Tracker'!$A$3:$Q$504,17,false)</f>
        <v/>
      </c>
      <c r="AC15" s="778"/>
      <c r="AD15" s="778">
        <f>VLOOKUP(F15,'2) Tracker'!$A$2:$BO$980,37,FALSE)</f>
        <v>46125</v>
      </c>
      <c r="AE15" s="778">
        <f>VLOOKUP(F15,'2) Tracker'!$A$2:$BO$980,40,FALSE)</f>
        <v>46125</v>
      </c>
      <c r="AF15" s="778">
        <f>VLOOKUP(F15,'2) Tracker'!$A$2:$BO$980,67,FALSE)</f>
        <v>46157</v>
      </c>
      <c r="AG15" s="778" t="str">
        <f>VLOOKUP(F15,'2) Tracker'!$A$2:$BO$980,34,FALSE)</f>
        <v/>
      </c>
      <c r="AH15" s="778" t="str">
        <f>VLOOKUP(F15,'2) Tracker'!$A$2:$BN$980,66,FALSE)</f>
        <v/>
      </c>
      <c r="AI15" s="778" t="str">
        <f>VLOOKUP(F15,'2) Tracker'!$A$2:$BO$980,56,FALSE)</f>
        <v/>
      </c>
      <c r="AJ15" s="778" t="str">
        <f>VLOOKUP(F15,'2) Tracker'!$A$2:$BO$980,52,FALSE)</f>
        <v/>
      </c>
      <c r="AK15" s="778" t="str">
        <f>VLOOKUP(F15,'2) Tracker'!$A$2:$AQ$980,43,FALSE)</f>
        <v/>
      </c>
      <c r="AL15" s="778">
        <f>VLOOKUP(F15,'2) Tracker'!$A$2:$BH$980,46,FALSE())</f>
        <v>46145</v>
      </c>
      <c r="AM15" s="778" t="str">
        <f>VLOOKUP(F15,'2) Tracker'!$A$2:$BO$980,65,FALSE())</f>
        <v/>
      </c>
      <c r="AN15" s="778" t="str">
        <f>VLOOKUP(F15,'2) Tracker'!$A$2:$BK$980,63,FALSE())</f>
        <v/>
      </c>
      <c r="AO15" s="778" t="str">
        <f>VLOOKUP(F15,'2) Tracker'!$A$2:$BF$980,58,FALSE())</f>
        <v/>
      </c>
      <c r="AP15" s="52"/>
      <c r="AQ15" s="52"/>
      <c r="AR15" s="52"/>
      <c r="AS15" s="52"/>
      <c r="AT15" s="52"/>
      <c r="AU15" s="52"/>
      <c r="AV15" s="743" t="s">
        <v>1511</v>
      </c>
      <c r="AW15" s="52"/>
      <c r="AX15" s="52"/>
      <c r="AY15" s="52"/>
      <c r="AZ15" s="787"/>
      <c r="BA15" s="786" t="str">
        <f>vlookup(AZ15,'Iran, FS'!$A$1:$B$318,2, false)</f>
        <v>#N/A</v>
      </c>
      <c r="BB15" s="787" t="str">
        <f>vlookup(AZ15,'1) Kpler'!$E$2:$F$500,2,false)</f>
        <v>#N/A</v>
      </c>
      <c r="BC15" s="798" t="s">
        <v>1534</v>
      </c>
      <c r="BD15" s="787"/>
      <c r="BE15" s="52"/>
      <c r="BF15" s="52"/>
      <c r="BG15" s="787"/>
      <c r="BH15" s="787"/>
      <c r="BI15" s="787"/>
      <c r="BJ15" s="787"/>
    </row>
    <row r="16">
      <c r="B16" s="765" t="str">
        <f>vlookup(F16,'2) Tracker'!$A$3:$O$410,5,false)</f>
        <v/>
      </c>
      <c r="C16" s="765" t="str">
        <f>vlookup(F16,'2) Tracker'!$A$3:$O$410,4,false)</f>
        <v/>
      </c>
      <c r="D16" s="734"/>
      <c r="E16" s="734" t="str">
        <f>vlookup(F16,'2) Tracker'!$A$3:$O$406,15,false)</f>
        <v/>
      </c>
      <c r="F16" s="766" t="s">
        <v>213</v>
      </c>
      <c r="G16" s="789">
        <f>VLOOKUP(F16,'2) Tracker'!$A$2:$BO$360,2,FALSE)</f>
        <v>2022</v>
      </c>
      <c r="H16" s="768">
        <f>VLOOKUP(F16,'2) Tracker'!$A$2:$BO$360,3,FALSE)</f>
        <v>84000</v>
      </c>
      <c r="I16" s="769" t="str">
        <f>VLOOKUP(F16,'2) Tracker'!$A$2:$BO$360,9,FALSE)</f>
        <v>Equinor</v>
      </c>
      <c r="J16" s="770" t="str">
        <f>VLOOKUP(F16,'2) Tracker'!$A$2:$BO$360,12,FALSE)</f>
        <v>loads USG</v>
      </c>
      <c r="K16" s="771">
        <f t="shared" ref="K16:O16" si="30">AD16</f>
        <v>46125</v>
      </c>
      <c r="L16" s="771">
        <f t="shared" si="30"/>
        <v>46125</v>
      </c>
      <c r="M16" s="771">
        <f t="shared" si="30"/>
        <v>46157</v>
      </c>
      <c r="N16" s="771" t="str">
        <f t="shared" si="30"/>
        <v/>
      </c>
      <c r="O16" s="772" t="str">
        <f t="shared" si="30"/>
        <v/>
      </c>
      <c r="P16" s="773" t="str">
        <f>iferror(if(vlookup(F16,'Voyage days'!$M$808:$N$819,2,false),"GOA",""),"")</f>
        <v/>
      </c>
      <c r="Q16" s="771" t="str">
        <f t="shared" ref="Q16:R16" si="31">AM16</f>
        <v/>
      </c>
      <c r="R16" s="774" t="str">
        <f t="shared" si="31"/>
        <v/>
      </c>
      <c r="S16" s="774">
        <f t="shared" si="5"/>
        <v>46145</v>
      </c>
      <c r="T16" s="771" t="str">
        <f t="shared" si="6"/>
        <v/>
      </c>
      <c r="U16" s="774" t="str">
        <f t="shared" si="7"/>
        <v/>
      </c>
      <c r="V16" s="774"/>
      <c r="W16" s="774" t="str">
        <f t="shared" si="8"/>
        <v/>
      </c>
      <c r="X16" s="775" t="str">
        <f t="shared" si="9"/>
        <v/>
      </c>
      <c r="Y16" s="776"/>
      <c r="Z16" s="777" t="str">
        <f>vlookup(F16,'2) Tracker'!$A$3:$Q$504,16,false)</f>
        <v>@ Targa 11 Apr, still loading</v>
      </c>
      <c r="AA16" s="777" t="str">
        <f>vlookup(F16,'2) Tracker'!$A$3:$R$504,18,false)</f>
        <v>Equinor 11-12 Apr Targa</v>
      </c>
      <c r="AB16" s="777" t="str">
        <f>vlookup(F16,'2) Tracker'!$A$3:$Q$504,17,false)</f>
        <v/>
      </c>
      <c r="AC16" s="778"/>
      <c r="AD16" s="778">
        <f>VLOOKUP(F16,'2) Tracker'!$A$2:$BO$980,37,FALSE)</f>
        <v>46125</v>
      </c>
      <c r="AE16" s="778">
        <f>VLOOKUP(F16,'2) Tracker'!$A$2:$BO$980,40,FALSE)</f>
        <v>46125</v>
      </c>
      <c r="AF16" s="778">
        <f>VLOOKUP(F16,'2) Tracker'!$A$2:$BO$980,67,FALSE)</f>
        <v>46157</v>
      </c>
      <c r="AG16" s="778" t="str">
        <f>VLOOKUP(F16,'2) Tracker'!$A$2:$BO$980,34,FALSE)</f>
        <v/>
      </c>
      <c r="AH16" s="778" t="str">
        <f>VLOOKUP(F16,'2) Tracker'!$A$2:$BN$980,66,FALSE)</f>
        <v/>
      </c>
      <c r="AI16" s="778" t="str">
        <f>VLOOKUP(F16,'2) Tracker'!$A$2:$BO$980,56,FALSE)</f>
        <v/>
      </c>
      <c r="AJ16" s="778" t="str">
        <f>VLOOKUP(F16,'2) Tracker'!$A$2:$BO$980,52,FALSE)</f>
        <v/>
      </c>
      <c r="AK16" s="778" t="str">
        <f>VLOOKUP(F16,'2) Tracker'!$A$2:$AQ$980,43,FALSE)</f>
        <v/>
      </c>
      <c r="AL16" s="778">
        <f>VLOOKUP(F16,'2) Tracker'!$A$2:$BH$980,46,FALSE())</f>
        <v>46145</v>
      </c>
      <c r="AM16" s="778" t="str">
        <f>VLOOKUP(F16,'2) Tracker'!$A$2:$BO$980,65,FALSE())</f>
        <v/>
      </c>
      <c r="AN16" s="778" t="str">
        <f>VLOOKUP(F16,'2) Tracker'!$A$2:$BK$980,63,FALSE())</f>
        <v/>
      </c>
      <c r="AO16" s="778" t="str">
        <f>VLOOKUP(F16,'2) Tracker'!$A$2:$BF$980,58,FALSE())</f>
        <v/>
      </c>
      <c r="AP16" s="52"/>
      <c r="AQ16" s="52"/>
      <c r="AR16" s="52"/>
      <c r="AS16" s="52"/>
      <c r="AT16" s="52"/>
      <c r="AU16" s="52"/>
      <c r="AV16" s="52"/>
      <c r="AW16" s="52"/>
      <c r="AX16" s="52"/>
      <c r="AY16" s="52"/>
      <c r="AZ16" s="734"/>
      <c r="BA16" s="740"/>
      <c r="BB16" s="734"/>
      <c r="BC16" s="740"/>
      <c r="BD16" s="734"/>
      <c r="BE16" s="52"/>
      <c r="BF16" s="52"/>
      <c r="BG16" s="734"/>
      <c r="BH16" s="734"/>
      <c r="BI16" s="734"/>
      <c r="BJ16" s="734"/>
    </row>
    <row r="17">
      <c r="B17" s="765" t="str">
        <f>vlookup(F17,'2) Tracker'!$A$3:$O$410,5,false)</f>
        <v>C</v>
      </c>
      <c r="C17" s="765" t="str">
        <f>vlookup(F17,'2) Tracker'!$A$3:$O$410,4,false)</f>
        <v>US</v>
      </c>
      <c r="D17" s="732" t="s">
        <v>1515</v>
      </c>
      <c r="E17" s="734" t="str">
        <f>vlookup(F17,'2) Tracker'!$A$3:$O$406,15,false)</f>
        <v>eu</v>
      </c>
      <c r="F17" s="797" t="s">
        <v>1460</v>
      </c>
      <c r="G17" s="789">
        <f>VLOOKUP(F17,'2) Tracker'!$A$2:$BO$360,2,FALSE)</f>
        <v>2023</v>
      </c>
      <c r="H17" s="768">
        <f>VLOOKUP(F17,'2) Tracker'!$A$2:$BO$360,3,FALSE)</f>
        <v>86000</v>
      </c>
      <c r="I17" s="770" t="str">
        <f>VLOOKUP(F17,'2) Tracker'!$A$2:$BO$360,9,FALSE)</f>
        <v>Helios</v>
      </c>
      <c r="J17" s="770" t="str">
        <f>VLOOKUP(F17,'2) Tracker'!$A$2:$BO$360,12,FALSE)</f>
        <v>loads USG</v>
      </c>
      <c r="K17" s="771">
        <f t="shared" ref="K17:O17" si="32">AD17</f>
        <v>46125</v>
      </c>
      <c r="L17" s="771">
        <f t="shared" si="32"/>
        <v>46125</v>
      </c>
      <c r="M17" s="771">
        <f t="shared" si="32"/>
        <v>46157</v>
      </c>
      <c r="N17" s="772" t="str">
        <f t="shared" si="32"/>
        <v/>
      </c>
      <c r="O17" s="772" t="str">
        <f t="shared" si="32"/>
        <v/>
      </c>
      <c r="P17" s="773" t="str">
        <f>iferror(if(vlookup(F17,'Voyage days'!$M$808:$N$819,2,false),"GOA",""),"")</f>
        <v/>
      </c>
      <c r="Q17" s="771" t="str">
        <f t="shared" ref="Q17:R17" si="33">AM17</f>
        <v/>
      </c>
      <c r="R17" s="771" t="str">
        <f t="shared" si="33"/>
        <v/>
      </c>
      <c r="S17" s="774">
        <f t="shared" si="5"/>
        <v>46145</v>
      </c>
      <c r="T17" s="771" t="str">
        <f t="shared" si="6"/>
        <v/>
      </c>
      <c r="U17" s="771" t="str">
        <f t="shared" si="7"/>
        <v/>
      </c>
      <c r="V17" s="771"/>
      <c r="W17" s="771" t="str">
        <f t="shared" si="8"/>
        <v/>
      </c>
      <c r="X17" s="775" t="str">
        <f t="shared" si="9"/>
        <v/>
      </c>
      <c r="Y17" s="795"/>
      <c r="Z17" s="777" t="str">
        <f>vlookup(F17,'2) Tracker'!$A$3:$Q$504,16,false)</f>
        <v>@ Houston anchorage 07 Apr, waiting to berth</v>
      </c>
      <c r="AA17" s="777" t="str">
        <f>vlookup(F17,'2) Tracker'!$A$3:$R$504,18,false)</f>
        <v>Petredec 07-08 Apr USG</v>
      </c>
      <c r="AB17" s="777" t="str">
        <f>vlookup(F17,'2) Tracker'!$A$3:$Q$504,17,false)</f>
        <v/>
      </c>
      <c r="AC17" s="778"/>
      <c r="AD17" s="778">
        <f>VLOOKUP(F17,'2) Tracker'!$A$2:$BO$980,37,FALSE)</f>
        <v>46125</v>
      </c>
      <c r="AE17" s="778">
        <f>VLOOKUP(F17,'2) Tracker'!$A$2:$BO$980,40,FALSE)</f>
        <v>46125</v>
      </c>
      <c r="AF17" s="778">
        <f>VLOOKUP(F17,'2) Tracker'!$A$2:$BO$980,67,FALSE)</f>
        <v>46157</v>
      </c>
      <c r="AG17" s="778" t="str">
        <f>VLOOKUP(F17,'2) Tracker'!$A$2:$BO$980,34,FALSE)</f>
        <v/>
      </c>
      <c r="AH17" s="778" t="str">
        <f>VLOOKUP(F17,'2) Tracker'!$A$2:$BN$980,66,FALSE)</f>
        <v/>
      </c>
      <c r="AI17" s="778" t="str">
        <f>VLOOKUP(F17,'2) Tracker'!$A$2:$BO$980,56,FALSE)</f>
        <v/>
      </c>
      <c r="AJ17" s="778" t="str">
        <f>VLOOKUP(F17,'2) Tracker'!$A$2:$BO$980,52,FALSE)</f>
        <v/>
      </c>
      <c r="AK17" s="778" t="str">
        <f>VLOOKUP(F17,'2) Tracker'!$A$2:$AQ$980,43,FALSE)</f>
        <v/>
      </c>
      <c r="AL17" s="778">
        <f>VLOOKUP(F17,'2) Tracker'!$A$2:$BH$980,46,FALSE())</f>
        <v>46145</v>
      </c>
      <c r="AM17" s="778" t="str">
        <f>VLOOKUP(F17,'2) Tracker'!$A$2:$BO$980,65,FALSE())</f>
        <v/>
      </c>
      <c r="AN17" s="778" t="str">
        <f>VLOOKUP(F17,'2) Tracker'!$A$2:$BK$980,63,FALSE())</f>
        <v/>
      </c>
      <c r="AO17" s="778" t="str">
        <f>VLOOKUP(F17,'2) Tracker'!$A$2:$BF$980,58,FALSE())</f>
        <v/>
      </c>
      <c r="AP17" s="52"/>
      <c r="AQ17" s="52"/>
      <c r="AR17" s="52"/>
      <c r="AS17" s="52"/>
      <c r="AT17" s="52"/>
      <c r="AU17" s="52"/>
      <c r="AV17" s="52"/>
      <c r="AW17" s="52"/>
      <c r="AX17" s="52"/>
      <c r="AY17" s="52"/>
      <c r="AZ17" s="734"/>
      <c r="BA17" s="740"/>
      <c r="BB17" s="734"/>
      <c r="BC17" s="740"/>
      <c r="BD17" s="734"/>
      <c r="BE17" s="52"/>
      <c r="BF17" s="52"/>
      <c r="BG17" s="734"/>
      <c r="BH17" s="734"/>
      <c r="BI17" s="734"/>
      <c r="BJ17" s="734"/>
    </row>
    <row r="18">
      <c r="B18" s="765" t="str">
        <f>vlookup(F18,'2) Tracker'!$A$3:$O$410,5,false)</f>
        <v/>
      </c>
      <c r="C18" s="765" t="str">
        <f>vlookup(F18,'2) Tracker'!$A$3:$O$410,4,false)</f>
        <v/>
      </c>
      <c r="D18" s="734"/>
      <c r="E18" s="734" t="str">
        <f>vlookup(F18,'2) Tracker'!$A$3:$O$406,15,false)</f>
        <v/>
      </c>
      <c r="F18" s="788" t="s">
        <v>230</v>
      </c>
      <c r="G18" s="789">
        <f>VLOOKUP(F18,'2) Tracker'!$A$2:$BO$360,2,FALSE)</f>
        <v>2023</v>
      </c>
      <c r="H18" s="768">
        <f>VLOOKUP(F18,'2) Tracker'!$A$2:$BO$360,3,FALSE)</f>
        <v>86700</v>
      </c>
      <c r="I18" s="777" t="str">
        <f>VLOOKUP(F18,'2) Tracker'!$A$2:$BO$360,9,FALSE)</f>
        <v>Eneos</v>
      </c>
      <c r="J18" s="770" t="str">
        <f>VLOOKUP(F18,'2) Tracker'!$A$2:$BO$360,12,FALSE)</f>
        <v>loads USG</v>
      </c>
      <c r="K18" s="774">
        <f t="shared" ref="K18:O18" si="34">AD18</f>
        <v>46125</v>
      </c>
      <c r="L18" s="774">
        <f t="shared" si="34"/>
        <v>46125</v>
      </c>
      <c r="M18" s="771">
        <f t="shared" si="34"/>
        <v>46157</v>
      </c>
      <c r="N18" s="771" t="str">
        <f t="shared" si="34"/>
        <v/>
      </c>
      <c r="O18" s="772" t="str">
        <f t="shared" si="34"/>
        <v/>
      </c>
      <c r="P18" s="773" t="str">
        <f>iferror(if(vlookup(F18,'Voyage days'!$M$808:$N$819,2,false),"GOA",""),"")</f>
        <v/>
      </c>
      <c r="Q18" s="771" t="str">
        <f t="shared" ref="Q18:R18" si="35">AM18</f>
        <v/>
      </c>
      <c r="R18" s="774" t="str">
        <f t="shared" si="35"/>
        <v/>
      </c>
      <c r="S18" s="774">
        <f t="shared" si="5"/>
        <v>46145</v>
      </c>
      <c r="T18" s="771" t="str">
        <f t="shared" si="6"/>
        <v/>
      </c>
      <c r="U18" s="774" t="str">
        <f t="shared" si="7"/>
        <v/>
      </c>
      <c r="V18" s="774"/>
      <c r="W18" s="774" t="str">
        <f t="shared" si="8"/>
        <v/>
      </c>
      <c r="X18" s="775" t="str">
        <f t="shared" si="9"/>
        <v/>
      </c>
      <c r="Y18" s="776"/>
      <c r="Z18" s="777" t="str">
        <f>vlookup(F18,'2) Tracker'!$A$3:$Q$504,16,false)</f>
        <v>@ Port Arthur lighterage 07 Apr, waiting to berth</v>
      </c>
      <c r="AA18" s="777" t="str">
        <f>vlookup(F18,'2) Tracker'!$A$3:$R$504,18,false)</f>
        <v>Eneos 13-14 Apr Nederland?</v>
      </c>
      <c r="AB18" s="777" t="str">
        <f>vlookup(F18,'2) Tracker'!$A$3:$Q$504,17,false)</f>
        <v/>
      </c>
      <c r="AC18" s="778"/>
      <c r="AD18" s="778">
        <f>VLOOKUP(F18,'2) Tracker'!$A$2:$BO$980,37,FALSE)</f>
        <v>46125</v>
      </c>
      <c r="AE18" s="778">
        <f>VLOOKUP(F18,'2) Tracker'!$A$2:$BO$980,40,FALSE)</f>
        <v>46125</v>
      </c>
      <c r="AF18" s="778">
        <f>VLOOKUP(F18,'2) Tracker'!$A$2:$BO$980,67,FALSE)</f>
        <v>46157</v>
      </c>
      <c r="AG18" s="778" t="str">
        <f>VLOOKUP(F18,'2) Tracker'!$A$2:$BO$980,34,FALSE)</f>
        <v/>
      </c>
      <c r="AH18" s="778" t="str">
        <f>VLOOKUP(F18,'2) Tracker'!$A$2:$BN$980,66,FALSE)</f>
        <v/>
      </c>
      <c r="AI18" s="778" t="str">
        <f>VLOOKUP(F18,'2) Tracker'!$A$2:$BO$980,56,FALSE)</f>
        <v/>
      </c>
      <c r="AJ18" s="778" t="str">
        <f>VLOOKUP(F18,'2) Tracker'!$A$2:$BO$980,52,FALSE)</f>
        <v/>
      </c>
      <c r="AK18" s="778" t="str">
        <f>VLOOKUP(F18,'2) Tracker'!$A$2:$AQ$980,43,FALSE)</f>
        <v/>
      </c>
      <c r="AL18" s="778">
        <f>VLOOKUP(F18,'2) Tracker'!$A$2:$BH$980,46,FALSE())</f>
        <v>46145</v>
      </c>
      <c r="AM18" s="778" t="str">
        <f>VLOOKUP(F18,'2) Tracker'!$A$2:$BO$980,65,FALSE())</f>
        <v/>
      </c>
      <c r="AN18" s="778" t="str">
        <f>VLOOKUP(F18,'2) Tracker'!$A$2:$BK$980,63,FALSE())</f>
        <v/>
      </c>
      <c r="AO18" s="778" t="str">
        <f>VLOOKUP(F18,'2) Tracker'!$A$2:$BF$980,58,FALSE())</f>
        <v/>
      </c>
      <c r="AP18" s="52"/>
      <c r="AQ18" s="52"/>
      <c r="AR18" s="52"/>
      <c r="AS18" s="52"/>
      <c r="AT18" s="52"/>
      <c r="AU18" s="52"/>
      <c r="AV18" s="52"/>
      <c r="AW18" s="52"/>
      <c r="AX18" s="52"/>
      <c r="AY18" s="52"/>
      <c r="AZ18" s="734"/>
      <c r="BA18" s="786" t="str">
        <f>vlookup(AZ18,'Iran, FS'!$A$1:$B$318,2, false)</f>
        <v>#N/A</v>
      </c>
      <c r="BB18" s="787" t="str">
        <f>vlookup(AZ18,'1) Kpler'!$E$2:$F$500,2,false)</f>
        <v>#N/A</v>
      </c>
      <c r="BC18" s="740"/>
      <c r="BD18" s="734"/>
      <c r="BE18" s="52"/>
      <c r="BF18" s="52"/>
      <c r="BG18" s="734"/>
      <c r="BH18" s="734"/>
      <c r="BI18" s="734"/>
      <c r="BJ18" s="734"/>
    </row>
    <row r="19" ht="15.0" customHeight="1">
      <c r="B19" s="765" t="str">
        <f>vlookup(F19,'2) Tracker'!$A$3:$O$410,5,false)</f>
        <v/>
      </c>
      <c r="C19" s="765" t="str">
        <f>vlookup(F19,'2) Tracker'!$A$3:$O$410,4,false)</f>
        <v/>
      </c>
      <c r="D19" s="734"/>
      <c r="E19" s="734" t="str">
        <f>vlookup(F19,'2) Tracker'!$A$3:$O$406,15,false)</f>
        <v/>
      </c>
      <c r="F19" s="788" t="s">
        <v>417</v>
      </c>
      <c r="G19" s="792">
        <f>VLOOKUP(F19,'2) Tracker'!$A$2:$BO$360,2,FALSE)</f>
        <v>37981</v>
      </c>
      <c r="H19" s="768">
        <f>VLOOKUP(F19,'2) Tracker'!$A$2:$BO$360,3,FALSE)</f>
        <v>78908</v>
      </c>
      <c r="I19" s="777" t="str">
        <f>VLOOKUP(F19,'2) Tracker'!$A$2:$BO$360,9,FALSE)</f>
        <v>Astomos</v>
      </c>
      <c r="J19" s="770" t="str">
        <f>VLOOKUP(F19,'2) Tracker'!$A$2:$BO$360,12,FALSE)</f>
        <v>loads USG</v>
      </c>
      <c r="K19" s="771">
        <f t="shared" ref="K19:O19" si="36">AD19</f>
        <v>46125</v>
      </c>
      <c r="L19" s="771">
        <f t="shared" si="36"/>
        <v>46125</v>
      </c>
      <c r="M19" s="771">
        <f t="shared" si="36"/>
        <v>46157</v>
      </c>
      <c r="N19" s="771" t="str">
        <f t="shared" si="36"/>
        <v/>
      </c>
      <c r="O19" s="772" t="str">
        <f t="shared" si="36"/>
        <v/>
      </c>
      <c r="P19" s="773" t="str">
        <f>iferror(if(vlookup(F19,'Voyage days'!$M$808:$N$819,2,false),"GOA",""),"")</f>
        <v/>
      </c>
      <c r="Q19" s="771" t="str">
        <f t="shared" ref="Q19:R19" si="37">AM19</f>
        <v/>
      </c>
      <c r="R19" s="774" t="str">
        <f t="shared" si="37"/>
        <v/>
      </c>
      <c r="S19" s="774">
        <f t="shared" si="5"/>
        <v>46145</v>
      </c>
      <c r="T19" s="771" t="str">
        <f t="shared" si="6"/>
        <v/>
      </c>
      <c r="U19" s="774" t="str">
        <f t="shared" si="7"/>
        <v/>
      </c>
      <c r="V19" s="745" t="s">
        <v>1523</v>
      </c>
      <c r="W19" s="771" t="str">
        <f t="shared" si="8"/>
        <v/>
      </c>
      <c r="X19" s="775" t="str">
        <f t="shared" si="9"/>
        <v/>
      </c>
      <c r="Y19" s="776"/>
      <c r="Z19" s="777" t="str">
        <f>vlookup(F19,'2) Tracker'!$A$3:$Q$504,16,false)</f>
        <v>@ Nederland 12 Apr, still loading</v>
      </c>
      <c r="AA19" s="777" t="str">
        <f>vlookup(F19,'2) Tracker'!$A$3:$R$504,18,false)</f>
        <v>Astomos 09-10 Apr Nederland</v>
      </c>
      <c r="AB19" s="777" t="str">
        <f>vlookup(F19,'2) Tracker'!$A$3:$Q$504,17,false)</f>
        <v/>
      </c>
      <c r="AC19" s="778"/>
      <c r="AD19" s="778">
        <f>VLOOKUP(F19,'2) Tracker'!$A$2:$BO$980,37,FALSE)</f>
        <v>46125</v>
      </c>
      <c r="AE19" s="778">
        <f>VLOOKUP(F19,'2) Tracker'!$A$2:$BO$980,40,FALSE)</f>
        <v>46125</v>
      </c>
      <c r="AF19" s="778">
        <f>VLOOKUP(F19,'2) Tracker'!$A$2:$BO$980,67,FALSE)</f>
        <v>46157</v>
      </c>
      <c r="AG19" s="778" t="str">
        <f>VLOOKUP(F19,'2) Tracker'!$A$2:$BO$980,34,FALSE)</f>
        <v/>
      </c>
      <c r="AH19" s="778" t="str">
        <f>VLOOKUP(F19,'2) Tracker'!$A$2:$BN$980,66,FALSE)</f>
        <v/>
      </c>
      <c r="AI19" s="778" t="str">
        <f>VLOOKUP(F19,'2) Tracker'!$A$2:$BO$980,56,FALSE)</f>
        <v/>
      </c>
      <c r="AJ19" s="778" t="str">
        <f>VLOOKUP(F19,'2) Tracker'!$A$2:$BO$980,52,FALSE)</f>
        <v/>
      </c>
      <c r="AK19" s="778" t="str">
        <f>VLOOKUP(F19,'2) Tracker'!$A$2:$AQ$980,43,FALSE)</f>
        <v/>
      </c>
      <c r="AL19" s="778">
        <f>VLOOKUP(F19,'2) Tracker'!$A$2:$BH$980,46,FALSE())</f>
        <v>46145</v>
      </c>
      <c r="AM19" s="778" t="str">
        <f>VLOOKUP(F19,'2) Tracker'!$A$2:$BO$980,65,FALSE())</f>
        <v/>
      </c>
      <c r="AN19" s="778" t="str">
        <f>VLOOKUP(F19,'2) Tracker'!$A$2:$BK$980,63,FALSE())</f>
        <v/>
      </c>
      <c r="AO19" s="778" t="str">
        <f>VLOOKUP(F19,'2) Tracker'!$A$2:$BF$980,58,FALSE())</f>
        <v/>
      </c>
      <c r="AP19" s="52"/>
      <c r="AQ19" s="52"/>
      <c r="AR19" s="52"/>
      <c r="AS19" s="52"/>
      <c r="AT19" s="52"/>
      <c r="AU19" s="52"/>
      <c r="AV19" s="52"/>
      <c r="AW19" s="52"/>
      <c r="AX19" s="52"/>
      <c r="AY19" s="52"/>
      <c r="AZ19" s="734"/>
      <c r="BA19" s="740"/>
      <c r="BB19" s="734"/>
      <c r="BC19" s="740"/>
      <c r="BD19" s="734"/>
      <c r="BE19" s="52"/>
      <c r="BF19" s="52"/>
      <c r="BG19" s="734"/>
      <c r="BH19" s="734"/>
      <c r="BI19" s="734"/>
      <c r="BJ19" s="734"/>
    </row>
    <row r="20" ht="15.75" customHeight="1">
      <c r="B20" s="765" t="str">
        <f>vlookup(F20,'2) Tracker'!$A$3:$O$410,5,false)</f>
        <v>C</v>
      </c>
      <c r="C20" s="765" t="str">
        <f>vlookup(F20,'2) Tracker'!$A$3:$O$410,4,false)</f>
        <v/>
      </c>
      <c r="D20" s="734"/>
      <c r="E20" s="734" t="str">
        <f>vlookup(F20,'2) Tracker'!$A$3:$O$406,15,false)</f>
        <v>eu</v>
      </c>
      <c r="F20" s="788" t="s">
        <v>301</v>
      </c>
      <c r="G20" s="799">
        <f>VLOOKUP(F20,'2) Tracker'!$A$2:$BO$360,2,FALSE)</f>
        <v>2018</v>
      </c>
      <c r="H20" s="768">
        <f>VLOOKUP(F20,'2) Tracker'!$A$2:$BO$360,3,FALSE)</f>
        <v>84196</v>
      </c>
      <c r="I20" s="770" t="str">
        <f>VLOOKUP(F20,'2) Tracker'!$A$2:$BO$360,9,FALSE)</f>
        <v>ATC</v>
      </c>
      <c r="J20" s="770" t="str">
        <f>VLOOKUP(F20,'2) Tracker'!$A$2:$BO$360,12,FALSE)</f>
        <v>loads USG</v>
      </c>
      <c r="K20" s="774">
        <f t="shared" ref="K20:O20" si="38">AD20</f>
        <v>46125</v>
      </c>
      <c r="L20" s="774">
        <f t="shared" si="38"/>
        <v>46125</v>
      </c>
      <c r="M20" s="771">
        <f t="shared" si="38"/>
        <v>46157</v>
      </c>
      <c r="N20" s="771" t="str">
        <f t="shared" si="38"/>
        <v/>
      </c>
      <c r="O20" s="772" t="str">
        <f t="shared" si="38"/>
        <v/>
      </c>
      <c r="P20" s="800" t="str">
        <f>iferror(if(vlookup(F20,'Voyage days'!$M$808:$N$828,2,false),"GOA",""),"")</f>
        <v>GOA</v>
      </c>
      <c r="Q20" s="801" t="str">
        <f t="shared" ref="Q20:R20" si="39">AM20</f>
        <v/>
      </c>
      <c r="R20" s="774" t="str">
        <f t="shared" si="39"/>
        <v/>
      </c>
      <c r="S20" s="774">
        <f t="shared" si="5"/>
        <v>46145</v>
      </c>
      <c r="T20" s="771" t="str">
        <f t="shared" si="6"/>
        <v/>
      </c>
      <c r="U20" s="774" t="str">
        <f t="shared" si="7"/>
        <v/>
      </c>
      <c r="V20" s="771"/>
      <c r="W20" s="771" t="str">
        <f t="shared" si="8"/>
        <v/>
      </c>
      <c r="X20" s="775" t="str">
        <f t="shared" si="9"/>
        <v/>
      </c>
      <c r="Y20" s="776"/>
      <c r="Z20" s="777" t="str">
        <f>vlookup(F20,'2) Tracker'!$A$3:$Q$504,16,false)</f>
        <v>@ Houston anchorage 08 Apr, waiting to berth</v>
      </c>
      <c r="AA20" s="777" t="str">
        <f>vlookup(F20,'2) Tracker'!$A$3:$R$504,18,false)</f>
        <v>Dow 10-11 Apr USG</v>
      </c>
      <c r="AB20" s="777" t="str">
        <f>vlookup(F20,'2) Tracker'!$A$3:$Q$504,17,false)</f>
        <v/>
      </c>
      <c r="AC20" s="778"/>
      <c r="AD20" s="778">
        <f>VLOOKUP(F20,'2) Tracker'!$A$2:$BO$980,37,FALSE)</f>
        <v>46125</v>
      </c>
      <c r="AE20" s="778">
        <f>VLOOKUP(F20,'2) Tracker'!$A$2:$BO$980,40,FALSE)</f>
        <v>46125</v>
      </c>
      <c r="AF20" s="778">
        <f>VLOOKUP(F20,'2) Tracker'!$A$2:$BO$980,67,FALSE)</f>
        <v>46157</v>
      </c>
      <c r="AG20" s="778" t="str">
        <f>VLOOKUP(F20,'2) Tracker'!$A$2:$BO$980,34,FALSE)</f>
        <v/>
      </c>
      <c r="AH20" s="778" t="str">
        <f>VLOOKUP(F20,'2) Tracker'!$A$2:$BN$980,66,FALSE)</f>
        <v/>
      </c>
      <c r="AI20" s="778" t="str">
        <f>VLOOKUP(F20,'2) Tracker'!$A$2:$BO$980,56,FALSE)</f>
        <v/>
      </c>
      <c r="AJ20" s="778" t="str">
        <f>VLOOKUP(F20,'2) Tracker'!$A$2:$BO$980,52,FALSE)</f>
        <v/>
      </c>
      <c r="AK20" s="778" t="str">
        <f>VLOOKUP(F20,'2) Tracker'!$A$2:$AQ$980,43,FALSE)</f>
        <v/>
      </c>
      <c r="AL20" s="778">
        <f>VLOOKUP(F20,'2) Tracker'!$A$2:$BH$980,46,FALSE())</f>
        <v>46145</v>
      </c>
      <c r="AM20" s="778" t="str">
        <f>VLOOKUP(F20,'2) Tracker'!$A$2:$BO$980,65,FALSE())</f>
        <v/>
      </c>
      <c r="AN20" s="778" t="str">
        <f>VLOOKUP(F20,'2) Tracker'!$A$2:$BK$980,63,FALSE())</f>
        <v/>
      </c>
      <c r="AO20" s="778" t="str">
        <f>VLOOKUP(F20,'2) Tracker'!$A$2:$BF$980,58,FALSE())</f>
        <v/>
      </c>
      <c r="AP20" s="52"/>
      <c r="AQ20" s="52"/>
      <c r="AR20" s="52"/>
      <c r="AS20" s="52"/>
      <c r="AT20" s="52"/>
      <c r="AU20" s="52"/>
      <c r="AV20" s="52"/>
      <c r="AW20" s="52"/>
      <c r="AX20" s="52"/>
      <c r="AY20" s="52"/>
      <c r="AZ20" s="734"/>
      <c r="BA20" s="786"/>
      <c r="BB20" s="787"/>
      <c r="BC20" s="740"/>
      <c r="BD20" s="734"/>
      <c r="BE20" s="52"/>
      <c r="BF20" s="52"/>
      <c r="BG20" s="734"/>
      <c r="BH20" s="734"/>
      <c r="BI20" s="734"/>
      <c r="BJ20" s="734"/>
    </row>
    <row r="21">
      <c r="B21" s="765" t="str">
        <f>vlookup(F21,'2) Tracker'!$A$3:$O$410,5,false)</f>
        <v/>
      </c>
      <c r="C21" s="765" t="str">
        <f>vlookup(F21,'2) Tracker'!$A$3:$O$410,4,false)</f>
        <v/>
      </c>
      <c r="D21" s="734"/>
      <c r="E21" s="734" t="str">
        <f>vlookup(F21,'2) Tracker'!$A$3:$O$406,15,false)</f>
        <v> </v>
      </c>
      <c r="F21" s="766" t="s">
        <v>426</v>
      </c>
      <c r="G21" s="789">
        <f>VLOOKUP(F21,'2) Tracker'!$A$2:$BO$360,2,FALSE)</f>
        <v>2023</v>
      </c>
      <c r="H21" s="768">
        <f>VLOOKUP(F21,'2) Tracker'!$A$2:$BO$360,3,FALSE)</f>
        <v>86000</v>
      </c>
      <c r="I21" s="769" t="str">
        <f>VLOOKUP(F21,'2) Tracker'!$A$2:$BO$360,9,FALSE)</f>
        <v>BGN</v>
      </c>
      <c r="J21" s="770" t="str">
        <f>VLOOKUP(F21,'2) Tracker'!$A$2:$BO$360,12,FALSE)</f>
        <v>loads USG</v>
      </c>
      <c r="K21" s="771">
        <f t="shared" ref="K21:O21" si="40">AD21</f>
        <v>46125</v>
      </c>
      <c r="L21" s="771">
        <f t="shared" si="40"/>
        <v>46125</v>
      </c>
      <c r="M21" s="771">
        <f t="shared" si="40"/>
        <v>46157</v>
      </c>
      <c r="N21" s="771" t="str">
        <f t="shared" si="40"/>
        <v/>
      </c>
      <c r="O21" s="772" t="str">
        <f t="shared" si="40"/>
        <v/>
      </c>
      <c r="P21" s="773" t="str">
        <f>iferror(if(vlookup(F21,'Voyage days'!$M$808:$N$819,2,false),"GOA",""),"")</f>
        <v/>
      </c>
      <c r="Q21" s="771" t="str">
        <f t="shared" ref="Q21:R21" si="41">AM21</f>
        <v/>
      </c>
      <c r="R21" s="771" t="str">
        <f t="shared" si="41"/>
        <v/>
      </c>
      <c r="S21" s="774">
        <f t="shared" si="5"/>
        <v>46145</v>
      </c>
      <c r="T21" s="771" t="str">
        <f t="shared" si="6"/>
        <v/>
      </c>
      <c r="U21" s="771" t="str">
        <f t="shared" si="7"/>
        <v/>
      </c>
      <c r="V21" s="771"/>
      <c r="W21" s="771" t="str">
        <f t="shared" si="8"/>
        <v/>
      </c>
      <c r="X21" s="775" t="str">
        <f t="shared" si="9"/>
        <v/>
      </c>
      <c r="Y21" s="776"/>
      <c r="Z21" s="777" t="str">
        <f>vlookup(F21,'2) Tracker'!$A$3:$Q$504,16,false)</f>
        <v>still loading @ Nederland 11 Apr</v>
      </c>
      <c r="AA21" s="777" t="str">
        <f>vlookup(F21,'2) Tracker'!$A$3:$R$504,18,false)</f>
        <v>BGN 02-03 Apr Nederland</v>
      </c>
      <c r="AB21" s="777" t="str">
        <f>vlookup(F21,'2) Tracker'!$A$3:$Q$504,17,false)</f>
        <v/>
      </c>
      <c r="AC21" s="778"/>
      <c r="AD21" s="778">
        <f>VLOOKUP(F21,'2) Tracker'!$A$2:$BO$980,37,FALSE)</f>
        <v>46125</v>
      </c>
      <c r="AE21" s="778">
        <f>VLOOKUP(F21,'2) Tracker'!$A$2:$BO$980,40,FALSE)</f>
        <v>46125</v>
      </c>
      <c r="AF21" s="778">
        <f>VLOOKUP(F21,'2) Tracker'!$A$2:$BO$980,67,FALSE)</f>
        <v>46157</v>
      </c>
      <c r="AG21" s="778" t="str">
        <f>VLOOKUP(F21,'2) Tracker'!$A$2:$BO$980,34,FALSE)</f>
        <v/>
      </c>
      <c r="AH21" s="778" t="str">
        <f>VLOOKUP(F21,'2) Tracker'!$A$2:$BN$980,66,FALSE)</f>
        <v/>
      </c>
      <c r="AI21" s="778" t="str">
        <f>VLOOKUP(F21,'2) Tracker'!$A$2:$BO$980,56,FALSE)</f>
        <v/>
      </c>
      <c r="AJ21" s="778" t="str">
        <f>VLOOKUP(F21,'2) Tracker'!$A$2:$BO$980,52,FALSE)</f>
        <v/>
      </c>
      <c r="AK21" s="778" t="str">
        <f>VLOOKUP(F21,'2) Tracker'!$A$2:$AQ$980,43,FALSE)</f>
        <v/>
      </c>
      <c r="AL21" s="778">
        <f>VLOOKUP(F21,'2) Tracker'!$A$2:$BH$980,46,FALSE())</f>
        <v>46145</v>
      </c>
      <c r="AM21" s="778" t="str">
        <f>VLOOKUP(F21,'2) Tracker'!$A$2:$BO$980,65,FALSE())</f>
        <v/>
      </c>
      <c r="AN21" s="778" t="str">
        <f>VLOOKUP(F21,'2) Tracker'!$A$2:$BK$980,63,FALSE())</f>
        <v/>
      </c>
      <c r="AO21" s="778" t="str">
        <f>VLOOKUP(F21,'2) Tracker'!$A$2:$BF$980,58,FALSE())</f>
        <v/>
      </c>
      <c r="AP21" s="52"/>
      <c r="AQ21" s="52"/>
      <c r="AR21" s="52"/>
      <c r="AS21" s="52"/>
      <c r="AT21" s="52"/>
      <c r="AU21" s="52"/>
      <c r="AV21" s="52"/>
      <c r="AW21" s="52"/>
      <c r="AX21" s="52"/>
      <c r="AY21" s="52"/>
      <c r="AZ21" s="734"/>
      <c r="BA21" s="786"/>
      <c r="BB21" s="787"/>
      <c r="BC21" s="740"/>
      <c r="BD21" s="734"/>
      <c r="BE21" s="52"/>
      <c r="BF21" s="52"/>
      <c r="BG21" s="734"/>
      <c r="BH21" s="734"/>
      <c r="BI21" s="734"/>
      <c r="BJ21" s="734"/>
    </row>
    <row r="22">
      <c r="B22" s="765" t="str">
        <f>vlookup(F22,'2) Tracker'!$A$3:$O$410,5,false)</f>
        <v/>
      </c>
      <c r="C22" s="765" t="str">
        <f>vlookup(F22,'2) Tracker'!$A$3:$O$410,4,false)</f>
        <v/>
      </c>
      <c r="D22" s="734"/>
      <c r="E22" s="734" t="str">
        <f>vlookup(F22,'2) Tracker'!$A$3:$O$406,15,false)</f>
        <v/>
      </c>
      <c r="F22" s="788" t="s">
        <v>1535</v>
      </c>
      <c r="G22" s="783">
        <f>VLOOKUP(F22,'2) Tracker'!$A$2:$BO$360,2,FALSE)</f>
        <v>42675</v>
      </c>
      <c r="H22" s="768">
        <f>VLOOKUP(F22,'2) Tracker'!$A$2:$BO$360,3,FALSE)</f>
        <v>82200</v>
      </c>
      <c r="I22" s="770" t="str">
        <f>VLOOKUP(F22,'2) Tracker'!$A$2:$BO$360,9,FALSE)</f>
        <v>Astomos</v>
      </c>
      <c r="J22" s="770" t="str">
        <f>VLOOKUP(F22,'2) Tracker'!$A$2:$BO$360,12,FALSE)</f>
        <v>loads USG</v>
      </c>
      <c r="K22" s="771">
        <f t="shared" ref="K22:O22" si="42">AD22</f>
        <v>46125</v>
      </c>
      <c r="L22" s="771">
        <f t="shared" si="42"/>
        <v>46125</v>
      </c>
      <c r="M22" s="771">
        <f t="shared" si="42"/>
        <v>46157</v>
      </c>
      <c r="N22" s="771" t="str">
        <f t="shared" si="42"/>
        <v/>
      </c>
      <c r="O22" s="772" t="str">
        <f t="shared" si="42"/>
        <v/>
      </c>
      <c r="P22" s="773" t="str">
        <f>iferror(if(vlookup(F22,'Voyage days'!$M$808:$N$819,2,false),"GOA",""),"")</f>
        <v/>
      </c>
      <c r="Q22" s="772" t="str">
        <f t="shared" ref="Q22:R22" si="43">AM22</f>
        <v/>
      </c>
      <c r="R22" s="771" t="str">
        <f t="shared" si="43"/>
        <v/>
      </c>
      <c r="S22" s="774">
        <f t="shared" si="5"/>
        <v>46145</v>
      </c>
      <c r="T22" s="771" t="str">
        <f t="shared" si="6"/>
        <v/>
      </c>
      <c r="U22" s="771" t="str">
        <f t="shared" si="7"/>
        <v/>
      </c>
      <c r="V22" s="745" t="s">
        <v>1523</v>
      </c>
      <c r="W22" s="771" t="str">
        <f t="shared" si="8"/>
        <v/>
      </c>
      <c r="X22" s="775" t="str">
        <f t="shared" si="9"/>
        <v/>
      </c>
      <c r="Y22" s="770"/>
      <c r="Z22" s="777" t="str">
        <f>vlookup(F22,'2) Tracker'!$A$3:$Q$504,16,false)</f>
        <v>@ Houston anchorage 09 Apr, waiting to berth</v>
      </c>
      <c r="AA22" s="777" t="str">
        <f>vlookup(F22,'2) Tracker'!$A$3:$R$504,18,false)</f>
        <v>MB Energy 11-12 Jan Enterprise</v>
      </c>
      <c r="AB22" s="777" t="str">
        <f>vlookup(F22,'2) Tracker'!$A$3:$Q$504,17,false)</f>
        <v/>
      </c>
      <c r="AC22" s="778"/>
      <c r="AD22" s="778">
        <f>VLOOKUP(F22,'2) Tracker'!$A$2:$BO$980,37,FALSE)</f>
        <v>46125</v>
      </c>
      <c r="AE22" s="778">
        <f>VLOOKUP(F22,'2) Tracker'!$A$2:$BO$980,40,FALSE)</f>
        <v>46125</v>
      </c>
      <c r="AF22" s="778">
        <f>VLOOKUP(F22,'2) Tracker'!$A$2:$BO$980,67,FALSE)</f>
        <v>46157</v>
      </c>
      <c r="AG22" s="778" t="str">
        <f>VLOOKUP(F22,'2) Tracker'!$A$2:$BO$980,34,FALSE)</f>
        <v/>
      </c>
      <c r="AH22" s="778" t="str">
        <f>VLOOKUP(F22,'2) Tracker'!$A$2:$BN$980,66,FALSE)</f>
        <v/>
      </c>
      <c r="AI22" s="778" t="str">
        <f>VLOOKUP(F22,'2) Tracker'!$A$2:$BO$980,56,FALSE)</f>
        <v/>
      </c>
      <c r="AJ22" s="778" t="str">
        <f>VLOOKUP(F22,'2) Tracker'!$A$2:$BO$980,52,FALSE)</f>
        <v/>
      </c>
      <c r="AK22" s="778" t="str">
        <f>VLOOKUP(F22,'2) Tracker'!$A$2:$AQ$980,43,FALSE)</f>
        <v/>
      </c>
      <c r="AL22" s="778">
        <f>VLOOKUP(F22,'2) Tracker'!$A$2:$BH$980,46,FALSE())</f>
        <v>46145</v>
      </c>
      <c r="AM22" s="778" t="str">
        <f>VLOOKUP(F22,'2) Tracker'!$A$2:$BO$980,65,FALSE())</f>
        <v/>
      </c>
      <c r="AN22" s="778" t="str">
        <f>VLOOKUP(F22,'2) Tracker'!$A$2:$BK$980,63,FALSE())</f>
        <v/>
      </c>
      <c r="AO22" s="778" t="str">
        <f>VLOOKUP(F22,'2) Tracker'!$A$2:$BF$980,58,FALSE())</f>
        <v/>
      </c>
      <c r="AP22" s="52"/>
      <c r="AQ22" s="52"/>
      <c r="AR22" s="52"/>
      <c r="AS22" s="52"/>
      <c r="AT22" s="52"/>
      <c r="AU22" s="52"/>
      <c r="AV22" s="52"/>
      <c r="AW22" s="52"/>
      <c r="AX22" s="52"/>
      <c r="AY22" s="52"/>
      <c r="AZ22" s="734"/>
      <c r="BA22" s="740"/>
      <c r="BB22" s="734"/>
      <c r="BC22" s="740"/>
      <c r="BD22" s="734"/>
      <c r="BE22" s="52"/>
      <c r="BF22" s="52"/>
      <c r="BG22" s="734"/>
      <c r="BH22" s="734"/>
      <c r="BI22" s="734"/>
      <c r="BJ22" s="734"/>
    </row>
    <row r="23">
      <c r="B23" s="765" t="str">
        <f>vlookup(F23,'2) Tracker'!$A$3:$O$410,5,false)</f>
        <v>C</v>
      </c>
      <c r="C23" s="765" t="str">
        <f>vlookup(F23,'2) Tracker'!$A$3:$O$410,4,false)</f>
        <v/>
      </c>
      <c r="D23" s="732" t="s">
        <v>1515</v>
      </c>
      <c r="E23" s="734" t="str">
        <f>vlookup(F23,'2) Tracker'!$A$3:$O$406,15,false)</f>
        <v/>
      </c>
      <c r="F23" s="797" t="s">
        <v>875</v>
      </c>
      <c r="G23" s="789">
        <f>VLOOKUP(F23,'2) Tracker'!$A$2:$BO$360,2,FALSE)</f>
        <v>2023</v>
      </c>
      <c r="H23" s="768">
        <f>VLOOKUP(F23,'2) Tracker'!$A$2:$BO$360,3,FALSE)</f>
        <v>86000</v>
      </c>
      <c r="I23" s="777" t="str">
        <f>VLOOKUP(F23,'2) Tracker'!$A$2:$BO$360,9,FALSE)</f>
        <v>E1</v>
      </c>
      <c r="J23" s="770" t="str">
        <f>VLOOKUP(F23,'2) Tracker'!$A$2:$BO$360,12,FALSE)</f>
        <v>loads USG</v>
      </c>
      <c r="K23" s="771">
        <f t="shared" ref="K23:O23" si="44">AD23</f>
        <v>46125</v>
      </c>
      <c r="L23" s="771">
        <f t="shared" si="44"/>
        <v>46125</v>
      </c>
      <c r="M23" s="771">
        <f t="shared" si="44"/>
        <v>46157</v>
      </c>
      <c r="N23" s="771" t="str">
        <f t="shared" si="44"/>
        <v/>
      </c>
      <c r="O23" s="772" t="str">
        <f t="shared" si="44"/>
        <v/>
      </c>
      <c r="P23" s="773" t="str">
        <f>iferror(if(vlookup(F23,'Voyage days'!$M$808:$N$819,2,false),"GOA",""),"")</f>
        <v/>
      </c>
      <c r="Q23" s="771" t="str">
        <f t="shared" ref="Q23:R23" si="45">AM23</f>
        <v/>
      </c>
      <c r="R23" s="771" t="str">
        <f t="shared" si="45"/>
        <v/>
      </c>
      <c r="S23" s="774">
        <f t="shared" si="5"/>
        <v>46145</v>
      </c>
      <c r="T23" s="771" t="str">
        <f t="shared" si="6"/>
        <v/>
      </c>
      <c r="U23" s="771" t="str">
        <f t="shared" si="7"/>
        <v/>
      </c>
      <c r="V23" s="771"/>
      <c r="W23" s="771" t="str">
        <f t="shared" si="8"/>
        <v/>
      </c>
      <c r="X23" s="775" t="str">
        <f t="shared" si="9"/>
        <v/>
      </c>
      <c r="Y23" s="770"/>
      <c r="Z23" s="777" t="str">
        <f>vlookup(F23,'2) Tracker'!$A$3:$Q$504,16,false)</f>
        <v>ETA Cristobal 17 Apr, pending disport</v>
      </c>
      <c r="AA23" s="777" t="str">
        <f>vlookup(F23,'2) Tracker'!$A$3:$R$504,18,false)</f>
        <v>E1 11-12 Apr Nederland</v>
      </c>
      <c r="AB23" s="777" t="str">
        <f>vlookup(F23,'2) Tracker'!$A$3:$Q$504,17,false)</f>
        <v/>
      </c>
      <c r="AC23" s="778"/>
      <c r="AD23" s="778">
        <f>VLOOKUP(F23,'2) Tracker'!$A$2:$BO$980,37,FALSE)</f>
        <v>46125</v>
      </c>
      <c r="AE23" s="778">
        <f>VLOOKUP(F23,'2) Tracker'!$A$2:$BO$980,40,FALSE)</f>
        <v>46125</v>
      </c>
      <c r="AF23" s="778">
        <f>VLOOKUP(F23,'2) Tracker'!$A$2:$BO$980,67,FALSE)</f>
        <v>46157</v>
      </c>
      <c r="AG23" s="778" t="str">
        <f>VLOOKUP(F23,'2) Tracker'!$A$2:$BO$980,34,FALSE)</f>
        <v/>
      </c>
      <c r="AH23" s="778" t="str">
        <f>VLOOKUP(F23,'2) Tracker'!$A$2:$BN$980,66,FALSE)</f>
        <v/>
      </c>
      <c r="AI23" s="778" t="str">
        <f>VLOOKUP(F23,'2) Tracker'!$A$2:$BO$980,56,FALSE)</f>
        <v/>
      </c>
      <c r="AJ23" s="778" t="str">
        <f>VLOOKUP(F23,'2) Tracker'!$A$2:$BO$980,52,FALSE)</f>
        <v/>
      </c>
      <c r="AK23" s="778" t="str">
        <f>VLOOKUP(F23,'2) Tracker'!$A$2:$AQ$980,43,FALSE)</f>
        <v/>
      </c>
      <c r="AL23" s="778">
        <f>VLOOKUP(F23,'2) Tracker'!$A$2:$BH$980,46,FALSE())</f>
        <v>46145</v>
      </c>
      <c r="AM23" s="778" t="str">
        <f>VLOOKUP(F23,'2) Tracker'!$A$2:$BO$980,65,FALSE())</f>
        <v/>
      </c>
      <c r="AN23" s="778" t="str">
        <f>VLOOKUP(F23,'2) Tracker'!$A$2:$BK$980,63,FALSE())</f>
        <v/>
      </c>
      <c r="AO23" s="778" t="str">
        <f>VLOOKUP(F23,'2) Tracker'!$A$2:$BF$980,58,FALSE())</f>
        <v/>
      </c>
      <c r="AP23" s="52"/>
      <c r="AQ23" s="52"/>
      <c r="AR23" s="52"/>
      <c r="AS23" s="52"/>
      <c r="AT23" s="52"/>
      <c r="AU23" s="52"/>
      <c r="AV23" s="52"/>
      <c r="AW23" s="52"/>
      <c r="AX23" s="52"/>
      <c r="AY23" s="52"/>
      <c r="AZ23" s="734"/>
      <c r="BA23" s="740"/>
      <c r="BB23" s="734"/>
      <c r="BC23" s="740"/>
      <c r="BD23" s="734"/>
      <c r="BE23" s="52"/>
      <c r="BF23" s="52"/>
      <c r="BG23" s="734"/>
      <c r="BH23" s="734"/>
      <c r="BI23" s="734"/>
      <c r="BJ23" s="734"/>
    </row>
    <row r="24">
      <c r="B24" s="765" t="str">
        <f>vlookup(F24,'2) Tracker'!$A$3:$O$410,5,false)</f>
        <v/>
      </c>
      <c r="C24" s="765" t="str">
        <f>vlookup(F24,'2) Tracker'!$A$3:$O$410,4,false)</f>
        <v>US</v>
      </c>
      <c r="D24" s="734"/>
      <c r="E24" s="734" t="str">
        <f>vlookup(F24,'2) Tracker'!$A$3:$O$406,15,false)</f>
        <v>eu</v>
      </c>
      <c r="F24" s="766" t="s">
        <v>511</v>
      </c>
      <c r="G24" s="789">
        <f>VLOOKUP(F24,'2) Tracker'!$A$2:$BO$360,2,FALSE)</f>
        <v>2021</v>
      </c>
      <c r="H24" s="768">
        <f>VLOOKUP(F24,'2) Tracker'!$A$2:$BO$360,3,FALSE)</f>
        <v>84000</v>
      </c>
      <c r="I24" s="769" t="str">
        <f>VLOOKUP(F24,'2) Tracker'!$A$2:$BO$360,9,FALSE)</f>
        <v>Chevron</v>
      </c>
      <c r="J24" s="770" t="str">
        <f>VLOOKUP(F24,'2) Tracker'!$A$2:$BO$360,12,FALSE)</f>
        <v>loads USG</v>
      </c>
      <c r="K24" s="774">
        <f t="shared" ref="K24:O24" si="46">AD24</f>
        <v>46125</v>
      </c>
      <c r="L24" s="774">
        <f t="shared" si="46"/>
        <v>46125</v>
      </c>
      <c r="M24" s="774">
        <f t="shared" si="46"/>
        <v>46157</v>
      </c>
      <c r="N24" s="774" t="str">
        <f t="shared" si="46"/>
        <v/>
      </c>
      <c r="O24" s="772" t="str">
        <f t="shared" si="46"/>
        <v/>
      </c>
      <c r="P24" s="773" t="str">
        <f>iferror(if(vlookup(F24,'Voyage days'!$M$808:$N$821,2,false),"GOA",""),"")</f>
        <v/>
      </c>
      <c r="Q24" s="771" t="str">
        <f t="shared" ref="Q24:R24" si="47">AM24</f>
        <v/>
      </c>
      <c r="R24" s="771" t="str">
        <f t="shared" si="47"/>
        <v/>
      </c>
      <c r="S24" s="774">
        <f t="shared" si="5"/>
        <v>46145</v>
      </c>
      <c r="T24" s="771" t="str">
        <f t="shared" si="6"/>
        <v/>
      </c>
      <c r="U24" s="771" t="str">
        <f t="shared" si="7"/>
        <v/>
      </c>
      <c r="V24" s="771"/>
      <c r="W24" s="771" t="str">
        <f t="shared" si="8"/>
        <v/>
      </c>
      <c r="X24" s="775" t="str">
        <f t="shared" si="9"/>
        <v/>
      </c>
      <c r="Y24" s="776"/>
      <c r="Z24" s="777" t="str">
        <f>vlookup(F24,'2) Tracker'!$A$3:$Q$504,16,false)</f>
        <v>ETA USG 12 Apr, ex Antwerp 29 Mar</v>
      </c>
      <c r="AA24" s="777" t="str">
        <f>vlookup(F24,'2) Tracker'!$A$3:$R$504,18,false)</f>
        <v>Chevron 12-13 Apr USG?</v>
      </c>
      <c r="AB24" s="777" t="str">
        <f>vlookup(F24,'2) Tracker'!$A$3:$Q$504,17,false)</f>
        <v>Has 18-19 Apr looking to swap for 28-29 Apr</v>
      </c>
      <c r="AC24" s="778"/>
      <c r="AD24" s="778">
        <f>VLOOKUP(F24,'2) Tracker'!$A$2:$BO$980,37,FALSE)</f>
        <v>46125</v>
      </c>
      <c r="AE24" s="778">
        <f>VLOOKUP(F24,'2) Tracker'!$A$2:$BO$980,40,FALSE)</f>
        <v>46125</v>
      </c>
      <c r="AF24" s="778">
        <f>VLOOKUP(F24,'2) Tracker'!$A$2:$BO$980,67,FALSE)</f>
        <v>46157</v>
      </c>
      <c r="AG24" s="778" t="str">
        <f>VLOOKUP(F24,'2) Tracker'!$A$2:$BO$980,34,FALSE)</f>
        <v/>
      </c>
      <c r="AH24" s="778" t="str">
        <f>VLOOKUP(F24,'2) Tracker'!$A$2:$BN$980,66,FALSE)</f>
        <v/>
      </c>
      <c r="AI24" s="778" t="str">
        <f>VLOOKUP(F24,'2) Tracker'!$A$2:$BO$980,56,FALSE)</f>
        <v/>
      </c>
      <c r="AJ24" s="778" t="str">
        <f>VLOOKUP(F24,'2) Tracker'!$A$2:$BO$980,52,FALSE)</f>
        <v/>
      </c>
      <c r="AK24" s="778" t="str">
        <f>VLOOKUP(F24,'2) Tracker'!$A$2:$AQ$980,43,FALSE)</f>
        <v/>
      </c>
      <c r="AL24" s="778">
        <f>VLOOKUP(F24,'2) Tracker'!$A$2:$BH$980,46,FALSE())</f>
        <v>46145</v>
      </c>
      <c r="AM24" s="778" t="str">
        <f>VLOOKUP(F24,'2) Tracker'!$A$2:$BO$980,65,FALSE())</f>
        <v/>
      </c>
      <c r="AN24" s="778" t="str">
        <f>VLOOKUP(F24,'2) Tracker'!$A$2:$BK$980,63,FALSE())</f>
        <v/>
      </c>
      <c r="AO24" s="778" t="str">
        <f>VLOOKUP(F24,'2) Tracker'!$A$2:$BF$980,58,FALSE())</f>
        <v/>
      </c>
      <c r="AP24" s="52"/>
      <c r="AQ24" s="52"/>
      <c r="AR24" s="52"/>
      <c r="AS24" s="52"/>
      <c r="AT24" s="52"/>
      <c r="AU24" s="52"/>
      <c r="AV24" s="52"/>
      <c r="AW24" s="52"/>
      <c r="AX24" s="52"/>
      <c r="AY24" s="52"/>
      <c r="AZ24" s="734"/>
      <c r="BA24" s="740"/>
      <c r="BB24" s="734"/>
      <c r="BC24" s="740"/>
      <c r="BD24" s="734"/>
      <c r="BE24" s="52"/>
      <c r="BF24" s="52"/>
      <c r="BG24" s="734"/>
      <c r="BH24" s="734"/>
      <c r="BI24" s="734"/>
      <c r="BJ24" s="734"/>
    </row>
    <row r="25">
      <c r="B25" s="765" t="str">
        <f>vlookup(F25,'2) Tracker'!$A$3:$O$410,5,false)</f>
        <v/>
      </c>
      <c r="C25" s="765" t="str">
        <f>vlookup(F25,'2) Tracker'!$A$3:$O$410,4,false)</f>
        <v/>
      </c>
      <c r="D25" s="732" t="s">
        <v>1515</v>
      </c>
      <c r="E25" s="734" t="str">
        <f>vlookup(F25,'2) Tracker'!$A$3:$O$406,15,false)</f>
        <v/>
      </c>
      <c r="F25" s="797" t="s">
        <v>184</v>
      </c>
      <c r="G25" s="783">
        <f>VLOOKUP(F25,'2) Tracker'!$A$2:$BO$360,2,FALSE)</f>
        <v>2019</v>
      </c>
      <c r="H25" s="768">
        <f>VLOOKUP(F25,'2) Tracker'!$A$2:$BO$360,3,FALSE)</f>
        <v>80032</v>
      </c>
      <c r="I25" s="770" t="str">
        <f>VLOOKUP(F25,'2) Tracker'!$A$2:$BO$360,9,FALSE)</f>
        <v>BWPS</v>
      </c>
      <c r="J25" s="770" t="str">
        <f>VLOOKUP(F25,'2) Tracker'!$A$2:$BO$360,12,FALSE)</f>
        <v>loads USG</v>
      </c>
      <c r="K25" s="774">
        <f t="shared" ref="K25:O25" si="48">AD25</f>
        <v>46125</v>
      </c>
      <c r="L25" s="774">
        <f t="shared" si="48"/>
        <v>46125</v>
      </c>
      <c r="M25" s="771">
        <f t="shared" si="48"/>
        <v>46157</v>
      </c>
      <c r="N25" s="771" t="str">
        <f t="shared" si="48"/>
        <v/>
      </c>
      <c r="O25" s="772" t="str">
        <f t="shared" si="48"/>
        <v/>
      </c>
      <c r="P25" s="773" t="str">
        <f>iferror(if(vlookup(F25,'Voyage days'!$M$808:$N$819,2,false),"GOA",""),"")</f>
        <v/>
      </c>
      <c r="Q25" s="771" t="str">
        <f t="shared" ref="Q25:R25" si="49">AM25</f>
        <v/>
      </c>
      <c r="R25" s="774" t="str">
        <f t="shared" si="49"/>
        <v/>
      </c>
      <c r="S25" s="774">
        <f t="shared" si="5"/>
        <v>46145</v>
      </c>
      <c r="T25" s="771" t="str">
        <f t="shared" si="6"/>
        <v/>
      </c>
      <c r="U25" s="774" t="str">
        <f t="shared" si="7"/>
        <v/>
      </c>
      <c r="V25" s="802"/>
      <c r="W25" s="802" t="str">
        <f t="shared" si="8"/>
        <v/>
      </c>
      <c r="X25" s="775" t="str">
        <f t="shared" si="9"/>
        <v/>
      </c>
      <c r="Y25" s="776"/>
      <c r="Z25" s="777" t="str">
        <f>vlookup(F25,'2) Tracker'!$A$3:$Q$504,16,false)</f>
        <v>@ Houston anchorage 11 Apr, waiting to berth</v>
      </c>
      <c r="AA25" s="777" t="str">
        <f>vlookup(F25,'2) Tracker'!$A$3:$R$504,18,false)</f>
        <v>BWPS 12-13 Apr USG</v>
      </c>
      <c r="AB25" s="777" t="str">
        <f>vlookup(F25,'2) Tracker'!$A$3:$Q$504,17,false)</f>
        <v/>
      </c>
      <c r="AC25" s="778"/>
      <c r="AD25" s="778">
        <f>VLOOKUP(F25,'2) Tracker'!$A$2:$BO$980,37,FALSE)</f>
        <v>46125</v>
      </c>
      <c r="AE25" s="778">
        <f>VLOOKUP(F25,'2) Tracker'!$A$2:$BO$980,40,FALSE)</f>
        <v>46125</v>
      </c>
      <c r="AF25" s="778">
        <f>VLOOKUP(F25,'2) Tracker'!$A$2:$BO$980,67,FALSE)</f>
        <v>46157</v>
      </c>
      <c r="AG25" s="778" t="str">
        <f>VLOOKUP(F25,'2) Tracker'!$A$2:$BO$980,34,FALSE)</f>
        <v/>
      </c>
      <c r="AH25" s="778" t="str">
        <f>VLOOKUP(F25,'2) Tracker'!$A$2:$BN$980,66,FALSE)</f>
        <v/>
      </c>
      <c r="AI25" s="778" t="str">
        <f>VLOOKUP(F25,'2) Tracker'!$A$2:$BO$980,56,FALSE)</f>
        <v/>
      </c>
      <c r="AJ25" s="778" t="str">
        <f>VLOOKUP(F25,'2) Tracker'!$A$2:$BO$980,52,FALSE)</f>
        <v/>
      </c>
      <c r="AK25" s="778" t="str">
        <f>VLOOKUP(F25,'2) Tracker'!$A$2:$AQ$980,43,FALSE)</f>
        <v/>
      </c>
      <c r="AL25" s="778">
        <f>VLOOKUP(F25,'2) Tracker'!$A$2:$BH$980,46,FALSE())</f>
        <v>46145</v>
      </c>
      <c r="AM25" s="778" t="str">
        <f>VLOOKUP(F25,'2) Tracker'!$A$2:$BO$980,65,FALSE())</f>
        <v/>
      </c>
      <c r="AN25" s="778" t="str">
        <f>VLOOKUP(F25,'2) Tracker'!$A$2:$BK$980,63,FALSE())</f>
        <v/>
      </c>
      <c r="AO25" s="778" t="str">
        <f>VLOOKUP(F25,'2) Tracker'!$A$2:$BF$980,58,FALSE())</f>
        <v/>
      </c>
      <c r="AP25" s="52"/>
      <c r="AQ25" s="52"/>
      <c r="AR25" s="52"/>
      <c r="AS25" s="52"/>
      <c r="AT25" s="52"/>
      <c r="AU25" s="52"/>
      <c r="AV25" s="52"/>
      <c r="AW25" s="52"/>
      <c r="AX25" s="52"/>
      <c r="AY25" s="52"/>
      <c r="AZ25" s="52"/>
      <c r="BA25" s="52"/>
      <c r="BB25" s="52"/>
      <c r="BC25" s="788"/>
      <c r="BD25" s="787"/>
      <c r="BE25" s="52"/>
      <c r="BF25" s="52"/>
      <c r="BG25" s="803" t="s">
        <v>1536</v>
      </c>
      <c r="BH25" s="788" t="s">
        <v>1170</v>
      </c>
      <c r="BI25" s="787"/>
      <c r="BJ25" s="787"/>
    </row>
    <row r="26">
      <c r="B26" s="765"/>
      <c r="C26" s="765"/>
      <c r="D26" s="734"/>
      <c r="E26" s="734" t="str">
        <f>vlookup(F26,'2) Tracker'!$A$3:$O$406,15,false)</f>
        <v/>
      </c>
      <c r="F26" s="788" t="s">
        <v>481</v>
      </c>
      <c r="G26" s="789">
        <f>VLOOKUP(F26,'2) Tracker'!$A$2:$BO$360,2,FALSE)</f>
        <v>2024</v>
      </c>
      <c r="H26" s="768">
        <f>VLOOKUP(F26,'2) Tracker'!$A$2:$BO$360,3,FALSE)</f>
        <v>88000</v>
      </c>
      <c r="I26" s="777" t="str">
        <f>VLOOKUP(F26,'2) Tracker'!$A$2:$BO$360,9,FALSE)</f>
        <v>Chevron</v>
      </c>
      <c r="J26" s="770" t="str">
        <f>VLOOKUP(F26,'2) Tracker'!$A$2:$BO$360,12,FALSE)</f>
        <v>loads USG</v>
      </c>
      <c r="K26" s="771">
        <f t="shared" ref="K26:O26" si="50">AD26</f>
        <v>46125</v>
      </c>
      <c r="L26" s="771">
        <f t="shared" si="50"/>
        <v>46125</v>
      </c>
      <c r="M26" s="771">
        <f t="shared" si="50"/>
        <v>46157</v>
      </c>
      <c r="N26" s="771" t="str">
        <f t="shared" si="50"/>
        <v/>
      </c>
      <c r="O26" s="772" t="str">
        <f t="shared" si="50"/>
        <v/>
      </c>
      <c r="P26" s="773" t="str">
        <f>iferror(if(vlookup(F26,'Voyage days'!$M$808:$N$819,2,false),"GOA",""),"")</f>
        <v/>
      </c>
      <c r="Q26" s="771" t="str">
        <f t="shared" ref="Q26:R26" si="51">AM26</f>
        <v/>
      </c>
      <c r="R26" s="771" t="str">
        <f t="shared" si="51"/>
        <v/>
      </c>
      <c r="S26" s="774">
        <f t="shared" si="5"/>
        <v>46145</v>
      </c>
      <c r="T26" s="771" t="str">
        <f t="shared" si="6"/>
        <v/>
      </c>
      <c r="U26" s="771" t="str">
        <f t="shared" si="7"/>
        <v/>
      </c>
      <c r="V26" s="771"/>
      <c r="W26" s="771" t="str">
        <f t="shared" si="8"/>
        <v/>
      </c>
      <c r="X26" s="775" t="str">
        <f t="shared" si="9"/>
        <v/>
      </c>
      <c r="Y26" s="776"/>
      <c r="Z26" s="777" t="str">
        <f>vlookup(F26,'2) Tracker'!$A$3:$Q$504,16,false)</f>
        <v>@ Enterprise 12 Apr</v>
      </c>
      <c r="AA26" s="777" t="str">
        <f>vlookup(F26,'2) Tracker'!$A$3:$R$504,18,false)</f>
        <v>Chevron 12-13 Apr Enterprise</v>
      </c>
      <c r="AB26" s="777" t="str">
        <f>vlookup(F26,'2) Tracker'!$A$3:$Q$504,17,false)</f>
        <v>Has 18-19 Apr looking to swap for 28-29 Apr</v>
      </c>
      <c r="AC26" s="778"/>
      <c r="AD26" s="778">
        <f>VLOOKUP(F26,'2) Tracker'!$A$2:$BO$980,37,FALSE)</f>
        <v>46125</v>
      </c>
      <c r="AE26" s="778">
        <f>VLOOKUP(F26,'2) Tracker'!$A$2:$BO$980,40,FALSE)</f>
        <v>46125</v>
      </c>
      <c r="AF26" s="778">
        <f>VLOOKUP(F26,'2) Tracker'!$A$2:$BO$980,67,FALSE)</f>
        <v>46157</v>
      </c>
      <c r="AG26" s="778" t="str">
        <f>VLOOKUP(F26,'2) Tracker'!$A$2:$BO$980,34,FALSE)</f>
        <v/>
      </c>
      <c r="AH26" s="778" t="str">
        <f>VLOOKUP(F26,'2) Tracker'!$A$2:$BN$980,66,FALSE)</f>
        <v/>
      </c>
      <c r="AI26" s="778" t="str">
        <f>VLOOKUP(F26,'2) Tracker'!$A$2:$BO$980,56,FALSE)</f>
        <v/>
      </c>
      <c r="AJ26" s="778" t="str">
        <f>VLOOKUP(F26,'2) Tracker'!$A$2:$BO$980,52,FALSE)</f>
        <v/>
      </c>
      <c r="AK26" s="778" t="str">
        <f>VLOOKUP(F26,'2) Tracker'!$A$2:$AQ$980,43,FALSE)</f>
        <v/>
      </c>
      <c r="AL26" s="778">
        <f>VLOOKUP(F26,'2) Tracker'!$A$2:$BH$980,46,FALSE())</f>
        <v>46145</v>
      </c>
      <c r="AM26" s="778" t="str">
        <f>VLOOKUP(F26,'2) Tracker'!$A$2:$BO$980,65,FALSE())</f>
        <v/>
      </c>
      <c r="AN26" s="778" t="str">
        <f>VLOOKUP(F26,'2) Tracker'!$A$2:$BK$980,63,FALSE())</f>
        <v/>
      </c>
      <c r="AO26" s="778" t="str">
        <f>VLOOKUP(F26,'2) Tracker'!$A$2:$BF$980,58,FALSE())</f>
        <v/>
      </c>
      <c r="AP26" s="52"/>
      <c r="AQ26" s="52"/>
      <c r="AR26" s="52"/>
      <c r="AS26" s="52"/>
      <c r="AT26" s="52"/>
      <c r="AU26" s="52"/>
      <c r="AV26" s="793"/>
      <c r="AW26" s="52"/>
      <c r="AX26" s="52"/>
      <c r="AY26" s="52"/>
      <c r="AZ26" s="734"/>
      <c r="BA26" s="786" t="str">
        <f>vlookup(AZ26,'Iran, FS'!$A$1:$B$318,2, false)</f>
        <v>#N/A</v>
      </c>
      <c r="BB26" s="787" t="str">
        <f>vlookup(AZ26,'1) Kpler'!$E$2:$F$500,2,false)</f>
        <v>#N/A</v>
      </c>
      <c r="BC26" s="740"/>
      <c r="BD26" s="734"/>
      <c r="BE26" s="52"/>
      <c r="BF26" s="52"/>
      <c r="BG26" s="734"/>
      <c r="BH26" s="734"/>
      <c r="BI26" s="734"/>
      <c r="BJ26" s="734"/>
    </row>
    <row r="27">
      <c r="B27" s="765" t="str">
        <f>vlookup(F27,'2) Tracker'!$A$3:$O$410,5,false)</f>
        <v/>
      </c>
      <c r="C27" s="765" t="str">
        <f>vlookup(F27,'2) Tracker'!$A$3:$O$410,4,false)</f>
        <v/>
      </c>
      <c r="D27" s="734"/>
      <c r="E27" s="734" t="str">
        <f>vlookup(F27,'2) Tracker'!$A$3:$O$406,15,false)</f>
        <v/>
      </c>
      <c r="F27" s="788" t="s">
        <v>712</v>
      </c>
      <c r="G27" s="789">
        <f>VLOOKUP(F27,'2) Tracker'!$A$2:$BO$360,2,FALSE)</f>
        <v>2019</v>
      </c>
      <c r="H27" s="768">
        <f>VLOOKUP(F27,'2) Tracker'!$A$2:$BO$360,3,FALSE)</f>
        <v>83325</v>
      </c>
      <c r="I27" s="770" t="str">
        <f>VLOOKUP(F27,'2) Tracker'!$A$2:$BO$360,9,FALSE)</f>
        <v>AGT</v>
      </c>
      <c r="J27" s="770" t="str">
        <f>VLOOKUP(F27,'2) Tracker'!$A$2:$BO$360,12,FALSE)</f>
        <v>loads USG</v>
      </c>
      <c r="K27" s="774">
        <f t="shared" ref="K27:O27" si="52">AD27</f>
        <v>46125</v>
      </c>
      <c r="L27" s="774">
        <f t="shared" si="52"/>
        <v>46125</v>
      </c>
      <c r="M27" s="771">
        <f t="shared" si="52"/>
        <v>46157</v>
      </c>
      <c r="N27" s="772" t="str">
        <f t="shared" si="52"/>
        <v/>
      </c>
      <c r="O27" s="772" t="str">
        <f t="shared" si="52"/>
        <v/>
      </c>
      <c r="P27" s="773" t="str">
        <f>iferror(if(vlookup(F27,'Voyage days'!$M$808:$N$819,2,false),"GOA",""),"")</f>
        <v/>
      </c>
      <c r="Q27" s="771" t="str">
        <f t="shared" ref="Q27:R27" si="53">AM27</f>
        <v/>
      </c>
      <c r="R27" s="771" t="str">
        <f t="shared" si="53"/>
        <v/>
      </c>
      <c r="S27" s="774">
        <f t="shared" si="5"/>
        <v>46145</v>
      </c>
      <c r="T27" s="771" t="str">
        <f t="shared" si="6"/>
        <v/>
      </c>
      <c r="U27" s="771" t="str">
        <f t="shared" si="7"/>
        <v/>
      </c>
      <c r="V27" s="771"/>
      <c r="W27" s="771" t="str">
        <f t="shared" si="8"/>
        <v/>
      </c>
      <c r="X27" s="775" t="str">
        <f t="shared" si="9"/>
        <v/>
      </c>
      <c r="Y27" s="804" t="s">
        <v>1537</v>
      </c>
      <c r="Z27" s="777" t="str">
        <f>vlookup(F27,'2) Tracker'!$A$3:$Q$504,16,false)</f>
        <v>@ Galveston lighterage 11 Apr</v>
      </c>
      <c r="AA27" s="777" t="str">
        <f>vlookup(F27,'2) Tracker'!$A$3:$R$504,18,false)</f>
        <v>Wanhua 13-14 Apr Nederland</v>
      </c>
      <c r="AB27" s="777" t="str">
        <f>vlookup(F27,'2) Tracker'!$A$3:$Q$504,17,false)</f>
        <v/>
      </c>
      <c r="AC27" s="778"/>
      <c r="AD27" s="778">
        <f>VLOOKUP(F27,'2) Tracker'!$A$2:$BO$980,37,FALSE)</f>
        <v>46125</v>
      </c>
      <c r="AE27" s="778">
        <f>VLOOKUP(F27,'2) Tracker'!$A$2:$BO$980,40,FALSE)</f>
        <v>46125</v>
      </c>
      <c r="AF27" s="778">
        <f>VLOOKUP(F27,'2) Tracker'!$A$2:$BO$980,67,FALSE)</f>
        <v>46157</v>
      </c>
      <c r="AG27" s="778" t="str">
        <f>VLOOKUP(F27,'2) Tracker'!$A$2:$BO$980,34,FALSE)</f>
        <v/>
      </c>
      <c r="AH27" s="778" t="str">
        <f>VLOOKUP(F27,'2) Tracker'!$A$2:$BN$980,66,FALSE)</f>
        <v/>
      </c>
      <c r="AI27" s="778" t="str">
        <f>VLOOKUP(F27,'2) Tracker'!$A$2:$BO$980,56,FALSE)</f>
        <v/>
      </c>
      <c r="AJ27" s="778" t="str">
        <f>VLOOKUP(F27,'2) Tracker'!$A$2:$BO$980,52,FALSE)</f>
        <v/>
      </c>
      <c r="AK27" s="778" t="str">
        <f>VLOOKUP(F27,'2) Tracker'!$A$2:$AQ$980,43,FALSE)</f>
        <v/>
      </c>
      <c r="AL27" s="778">
        <f>VLOOKUP(F27,'2) Tracker'!$A$2:$BH$980,46,FALSE())</f>
        <v>46145</v>
      </c>
      <c r="AM27" s="778" t="str">
        <f>VLOOKUP(F27,'2) Tracker'!$A$2:$BO$980,65,FALSE())</f>
        <v/>
      </c>
      <c r="AN27" s="778" t="str">
        <f>VLOOKUP(F27,'2) Tracker'!$A$2:$BK$980,63,FALSE())</f>
        <v/>
      </c>
      <c r="AO27" s="778" t="str">
        <f>VLOOKUP(F27,'2) Tracker'!$A$2:$BF$980,58,FALSE())</f>
        <v/>
      </c>
      <c r="AP27" s="52"/>
      <c r="AQ27" s="52"/>
      <c r="AR27" s="52"/>
      <c r="AS27" s="52"/>
      <c r="AT27" s="52"/>
      <c r="AU27" s="52"/>
      <c r="AV27" s="793"/>
      <c r="AW27" s="52"/>
      <c r="AX27" s="52"/>
      <c r="AY27" s="52"/>
      <c r="AZ27" s="734"/>
      <c r="BA27" s="740"/>
      <c r="BB27" s="734"/>
      <c r="BC27" s="740"/>
      <c r="BD27" s="734"/>
      <c r="BE27" s="52"/>
      <c r="BF27" s="52"/>
      <c r="BG27" s="734"/>
      <c r="BH27" s="734"/>
      <c r="BI27" s="734"/>
      <c r="BJ27" s="734"/>
    </row>
    <row r="28">
      <c r="B28" s="765" t="str">
        <f>vlookup(F28,'2) Tracker'!$A$3:$O$410,5,false)</f>
        <v/>
      </c>
      <c r="C28" s="765" t="str">
        <f>vlookup(F28,'2) Tracker'!$A$3:$O$410,4,false)</f>
        <v/>
      </c>
      <c r="D28" s="732" t="s">
        <v>1515</v>
      </c>
      <c r="E28" s="734" t="str">
        <f>vlookup(F28,'2) Tracker'!$A$3:$O$406,15,false)</f>
        <v/>
      </c>
      <c r="F28" s="797" t="s">
        <v>401</v>
      </c>
      <c r="G28" s="805">
        <f>VLOOKUP(F28,'2) Tracker'!$A$2:$BO$360,2,FALSE)</f>
        <v>2023</v>
      </c>
      <c r="H28" s="768">
        <f>VLOOKUP(F28,'2) Tracker'!$A$2:$BO$360,3,FALSE)</f>
        <v>86000</v>
      </c>
      <c r="I28" s="777" t="str">
        <f>VLOOKUP(F28,'2) Tracker'!$A$2:$BO$360,9,FALSE)</f>
        <v>Trafigura</v>
      </c>
      <c r="J28" s="770" t="str">
        <f>VLOOKUP(F28,'2) Tracker'!$A$2:$BO$360,12,FALSE)</f>
        <v>loads USG</v>
      </c>
      <c r="K28" s="774">
        <f t="shared" ref="K28:O28" si="54">AD28</f>
        <v>46126</v>
      </c>
      <c r="L28" s="774">
        <f t="shared" si="54"/>
        <v>46126</v>
      </c>
      <c r="M28" s="771">
        <f t="shared" si="54"/>
        <v>46158</v>
      </c>
      <c r="N28" s="772" t="str">
        <f t="shared" si="54"/>
        <v/>
      </c>
      <c r="O28" s="772" t="str">
        <f t="shared" si="54"/>
        <v/>
      </c>
      <c r="P28" s="773" t="str">
        <f>iferror(if(vlookup(F28,'Voyage days'!$M$808:$N$819,2,false),"GOA",""),"")</f>
        <v/>
      </c>
      <c r="Q28" s="771" t="str">
        <f t="shared" ref="Q28:R28" si="55">AM28</f>
        <v/>
      </c>
      <c r="R28" s="774" t="str">
        <f t="shared" si="55"/>
        <v/>
      </c>
      <c r="S28" s="774">
        <f t="shared" si="5"/>
        <v>46146</v>
      </c>
      <c r="T28" s="774" t="str">
        <f t="shared" si="6"/>
        <v/>
      </c>
      <c r="U28" s="774" t="str">
        <f t="shared" si="7"/>
        <v/>
      </c>
      <c r="V28" s="771"/>
      <c r="W28" s="771" t="str">
        <f t="shared" si="8"/>
        <v/>
      </c>
      <c r="X28" s="775" t="str">
        <f t="shared" si="9"/>
        <v/>
      </c>
      <c r="Y28" s="776"/>
      <c r="Z28" s="777" t="str">
        <f>vlookup(F28,'2) Tracker'!$A$3:$Q$504,16,false)</f>
        <v>ETA USG 14 Apr via Panama</v>
      </c>
      <c r="AA28" s="777" t="str">
        <f>vlookup(F28,'2) Tracker'!$A$3:$R$504,18,false)</f>
        <v>Trafigura 12-13 Apr USG</v>
      </c>
      <c r="AB28" s="777" t="str">
        <f>vlookup(F28,'2) Tracker'!$A$3:$Q$504,17,false)</f>
        <v/>
      </c>
      <c r="AC28" s="778"/>
      <c r="AD28" s="778">
        <f>VLOOKUP(F28,'2) Tracker'!$A$2:$BO$980,37,FALSE)</f>
        <v>46126</v>
      </c>
      <c r="AE28" s="778">
        <f>VLOOKUP(F28,'2) Tracker'!$A$2:$BO$980,40,FALSE)</f>
        <v>46126</v>
      </c>
      <c r="AF28" s="778">
        <f>VLOOKUP(F28,'2) Tracker'!$A$2:$BO$980,67,FALSE)</f>
        <v>46158</v>
      </c>
      <c r="AG28" s="778" t="str">
        <f>VLOOKUP(F28,'2) Tracker'!$A$2:$BO$980,34,FALSE)</f>
        <v/>
      </c>
      <c r="AH28" s="778" t="str">
        <f>VLOOKUP(F28,'2) Tracker'!$A$2:$BN$980,66,FALSE)</f>
        <v/>
      </c>
      <c r="AI28" s="778" t="str">
        <f>VLOOKUP(F28,'2) Tracker'!$A$2:$BO$980,56,FALSE)</f>
        <v/>
      </c>
      <c r="AJ28" s="778" t="str">
        <f>VLOOKUP(F28,'2) Tracker'!$A$2:$BO$980,52,FALSE)</f>
        <v/>
      </c>
      <c r="AK28" s="778" t="str">
        <f>VLOOKUP(F28,'2) Tracker'!$A$2:$AQ$980,43,FALSE)</f>
        <v/>
      </c>
      <c r="AL28" s="778">
        <f>VLOOKUP(F28,'2) Tracker'!$A$2:$BH$980,46,FALSE())</f>
        <v>46146</v>
      </c>
      <c r="AM28" s="778" t="str">
        <f>VLOOKUP(F28,'2) Tracker'!$A$2:$BO$980,65,FALSE())</f>
        <v/>
      </c>
      <c r="AN28" s="778" t="str">
        <f>VLOOKUP(F28,'2) Tracker'!$A$2:$BK$980,63,FALSE())</f>
        <v/>
      </c>
      <c r="AO28" s="778" t="str">
        <f>VLOOKUP(F28,'2) Tracker'!$A$2:$BF$980,58,FALSE())</f>
        <v/>
      </c>
      <c r="AP28" s="52"/>
      <c r="AQ28" s="52"/>
      <c r="AR28" s="52"/>
      <c r="AS28" s="52"/>
      <c r="AT28" s="52"/>
      <c r="AU28" s="52"/>
      <c r="AV28" s="52"/>
      <c r="AW28" s="52"/>
      <c r="AX28" s="52"/>
      <c r="AY28" s="52"/>
      <c r="AZ28" s="734"/>
      <c r="BA28" s="740"/>
      <c r="BB28" s="734"/>
      <c r="BC28" s="740"/>
      <c r="BD28" s="734"/>
      <c r="BE28" s="52"/>
      <c r="BF28" s="52"/>
      <c r="BG28" s="734"/>
      <c r="BH28" s="734"/>
      <c r="BI28" s="734"/>
      <c r="BJ28" s="734"/>
    </row>
    <row r="29" ht="14.25" customHeight="1">
      <c r="B29" s="765" t="str">
        <f>vlookup(F29,'2) Tracker'!$A$3:$O$410,5,false)</f>
        <v/>
      </c>
      <c r="C29" s="765" t="str">
        <f>vlookup(F29,'2) Tracker'!$A$3:$O$410,4,false)</f>
        <v/>
      </c>
      <c r="D29" s="732" t="s">
        <v>1515</v>
      </c>
      <c r="E29" s="734" t="str">
        <f>vlookup(F29,'2) Tracker'!$A$3:$O$406,15,false)</f>
        <v/>
      </c>
      <c r="F29" s="797" t="s">
        <v>461</v>
      </c>
      <c r="G29" s="789">
        <f>VLOOKUP(F29,'2) Tracker'!$A$2:$BO$360,2,FALSE)</f>
        <v>2023</v>
      </c>
      <c r="H29" s="768">
        <f>VLOOKUP(F29,'2) Tracker'!$A$2:$BO$360,3,FALSE)</f>
        <v>86000</v>
      </c>
      <c r="I29" s="777" t="str">
        <f>VLOOKUP(F29,'2) Tracker'!$A$2:$BO$360,9,FALSE)</f>
        <v>Trafigura</v>
      </c>
      <c r="J29" s="770" t="str">
        <f>VLOOKUP(F29,'2) Tracker'!$A$2:$BO$360,12,FALSE)</f>
        <v>loads USG</v>
      </c>
      <c r="K29" s="771">
        <f t="shared" ref="K29:O29" si="56">AD29</f>
        <v>46126</v>
      </c>
      <c r="L29" s="771">
        <f t="shared" si="56"/>
        <v>46126</v>
      </c>
      <c r="M29" s="771">
        <f t="shared" si="56"/>
        <v>46158</v>
      </c>
      <c r="N29" s="771" t="str">
        <f t="shared" si="56"/>
        <v/>
      </c>
      <c r="O29" s="772" t="str">
        <f t="shared" si="56"/>
        <v/>
      </c>
      <c r="P29" s="773" t="str">
        <f>iferror(if(vlookup(F29,'Voyage days'!$M$808:$N$819,2,false),"GOA",""),"")</f>
        <v/>
      </c>
      <c r="Q29" s="771" t="str">
        <f t="shared" ref="Q29:R29" si="57">AM29</f>
        <v/>
      </c>
      <c r="R29" s="771" t="str">
        <f t="shared" si="57"/>
        <v/>
      </c>
      <c r="S29" s="774">
        <f t="shared" si="5"/>
        <v>46146</v>
      </c>
      <c r="T29" s="771" t="str">
        <f t="shared" si="6"/>
        <v/>
      </c>
      <c r="U29" s="771" t="str">
        <f t="shared" si="7"/>
        <v/>
      </c>
      <c r="V29" s="771"/>
      <c r="W29" s="771" t="str">
        <f t="shared" si="8"/>
        <v/>
      </c>
      <c r="X29" s="775" t="str">
        <f t="shared" si="9"/>
        <v/>
      </c>
      <c r="Y29" s="795" t="s">
        <v>1538</v>
      </c>
      <c r="Z29" s="777" t="str">
        <f>vlookup(F29,'2) Tracker'!$A$3:$Q$504,16,false)</f>
        <v>ETA USG 14 Apr</v>
      </c>
      <c r="AA29" s="777" t="str">
        <f>vlookup(F29,'2) Tracker'!$A$3:$R$504,18,false)</f>
        <v>Trafigura 15-16 Apr USG</v>
      </c>
      <c r="AB29" s="777" t="str">
        <f>vlookup(F29,'2) Tracker'!$A$3:$Q$504,17,false)</f>
        <v/>
      </c>
      <c r="AC29" s="778"/>
      <c r="AD29" s="778">
        <f>VLOOKUP(F29,'2) Tracker'!$A$2:$BO$980,37,FALSE)</f>
        <v>46126</v>
      </c>
      <c r="AE29" s="778">
        <f>VLOOKUP(F29,'2) Tracker'!$A$2:$BO$980,40,FALSE)</f>
        <v>46126</v>
      </c>
      <c r="AF29" s="778">
        <f>VLOOKUP(F29,'2) Tracker'!$A$2:$BO$980,67,FALSE)</f>
        <v>46158</v>
      </c>
      <c r="AG29" s="778" t="str">
        <f>VLOOKUP(F29,'2) Tracker'!$A$2:$BO$980,34,FALSE)</f>
        <v/>
      </c>
      <c r="AH29" s="778" t="str">
        <f>VLOOKUP(F29,'2) Tracker'!$A$2:$BN$980,66,FALSE)</f>
        <v/>
      </c>
      <c r="AI29" s="778" t="str">
        <f>VLOOKUP(F29,'2) Tracker'!$A$2:$BO$980,56,FALSE)</f>
        <v/>
      </c>
      <c r="AJ29" s="778" t="str">
        <f>VLOOKUP(F29,'2) Tracker'!$A$2:$BO$980,52,FALSE)</f>
        <v/>
      </c>
      <c r="AK29" s="778" t="str">
        <f>VLOOKUP(F29,'2) Tracker'!$A$2:$AQ$980,43,FALSE)</f>
        <v/>
      </c>
      <c r="AL29" s="778">
        <f>VLOOKUP(F29,'2) Tracker'!$A$2:$BH$980,46,FALSE())</f>
        <v>46146</v>
      </c>
      <c r="AM29" s="778" t="str">
        <f>VLOOKUP(F29,'2) Tracker'!$A$2:$BO$980,65,FALSE())</f>
        <v/>
      </c>
      <c r="AN29" s="778" t="str">
        <f>VLOOKUP(F29,'2) Tracker'!$A$2:$BK$980,63,FALSE())</f>
        <v/>
      </c>
      <c r="AO29" s="778" t="str">
        <f>VLOOKUP(F29,'2) Tracker'!$A$2:$BF$980,58,FALSE())</f>
        <v/>
      </c>
      <c r="AP29" s="52"/>
      <c r="AQ29" s="52"/>
      <c r="AR29" s="52"/>
      <c r="AS29" s="52"/>
      <c r="AT29" s="52"/>
      <c r="AU29" s="52"/>
      <c r="AV29" s="52"/>
      <c r="AW29" s="52"/>
      <c r="AX29" s="52"/>
      <c r="AY29" s="52"/>
      <c r="AZ29" s="734"/>
      <c r="BA29" s="740"/>
      <c r="BB29" s="734"/>
      <c r="BC29" s="740"/>
      <c r="BD29" s="734"/>
      <c r="BE29" s="52"/>
      <c r="BF29" s="52"/>
      <c r="BG29" s="734"/>
      <c r="BH29" s="734"/>
      <c r="BI29" s="734"/>
      <c r="BJ29" s="734"/>
    </row>
    <row r="30">
      <c r="B30" s="765" t="str">
        <f>vlookup(F30,'2) Tracker'!$A$3:$O$410,5,false)</f>
        <v/>
      </c>
      <c r="C30" s="765" t="str">
        <f>vlookup(F30,'2) Tracker'!$A$3:$O$410,4,false)</f>
        <v/>
      </c>
      <c r="D30" s="734"/>
      <c r="E30" s="734" t="str">
        <f>vlookup(F30,'2) Tracker'!$A$3:$O$406,15,false)</f>
        <v/>
      </c>
      <c r="F30" s="788" t="s">
        <v>412</v>
      </c>
      <c r="G30" s="783">
        <f>VLOOKUP(F30,'2) Tracker'!$A$2:$BO$360,2,FALSE)</f>
        <v>43435</v>
      </c>
      <c r="H30" s="768">
        <f>VLOOKUP(F30,'2) Tracker'!$A$2:$BO$360,3,FALSE)</f>
        <v>83000</v>
      </c>
      <c r="I30" s="770" t="str">
        <f>VLOOKUP(F30,'2) Tracker'!$A$2:$BO$360,9,FALSE)</f>
        <v>Astomos</v>
      </c>
      <c r="J30" s="770" t="str">
        <f>VLOOKUP(F30,'2) Tracker'!$A$2:$BO$360,12,FALSE)</f>
        <v>loads USG</v>
      </c>
      <c r="K30" s="771">
        <f t="shared" ref="K30:O30" si="58">AD30</f>
        <v>46126</v>
      </c>
      <c r="L30" s="771">
        <f t="shared" si="58"/>
        <v>46126</v>
      </c>
      <c r="M30" s="771">
        <f t="shared" si="58"/>
        <v>46158</v>
      </c>
      <c r="N30" s="771" t="str">
        <f t="shared" si="58"/>
        <v/>
      </c>
      <c r="O30" s="772" t="str">
        <f t="shared" si="58"/>
        <v/>
      </c>
      <c r="P30" s="773" t="str">
        <f>iferror(if(vlookup(F30,'Voyage days'!$M$808:$N$819,2,false),"GOA",""),"")</f>
        <v/>
      </c>
      <c r="Q30" s="771" t="str">
        <f t="shared" ref="Q30:R30" si="59">AM30</f>
        <v/>
      </c>
      <c r="R30" s="771" t="str">
        <f t="shared" si="59"/>
        <v/>
      </c>
      <c r="S30" s="774">
        <f t="shared" si="5"/>
        <v>46146</v>
      </c>
      <c r="T30" s="771" t="str">
        <f t="shared" si="6"/>
        <v/>
      </c>
      <c r="U30" s="771" t="str">
        <f t="shared" si="7"/>
        <v/>
      </c>
      <c r="V30" s="771"/>
      <c r="W30" s="771" t="str">
        <f t="shared" si="8"/>
        <v/>
      </c>
      <c r="X30" s="775" t="str">
        <f t="shared" si="9"/>
        <v/>
      </c>
      <c r="Y30" s="776"/>
      <c r="Z30" s="777" t="str">
        <f>vlookup(F30,'2) Tracker'!$A$3:$Q$504,16,false)</f>
        <v>@ Houston anchorage 09 Apr, waiting to berth</v>
      </c>
      <c r="AA30" s="777" t="str">
        <f>vlookup(F30,'2) Tracker'!$A$3:$R$504,18,false)</f>
        <v>Exxon 09-10 Apr USG</v>
      </c>
      <c r="AB30" s="777"/>
      <c r="AC30" s="778"/>
      <c r="AD30" s="778">
        <f>VLOOKUP(F30,'2) Tracker'!$A$2:$BO$980,37,FALSE)</f>
        <v>46126</v>
      </c>
      <c r="AE30" s="778">
        <f>VLOOKUP(F30,'2) Tracker'!$A$2:$BO$980,40,FALSE)</f>
        <v>46126</v>
      </c>
      <c r="AF30" s="778">
        <f>VLOOKUP(F30,'2) Tracker'!$A$2:$BO$980,67,FALSE)</f>
        <v>46158</v>
      </c>
      <c r="AG30" s="778" t="str">
        <f>VLOOKUP(F30,'2) Tracker'!$A$2:$BO$980,34,FALSE)</f>
        <v/>
      </c>
      <c r="AH30" s="778" t="str">
        <f>VLOOKUP(F30,'2) Tracker'!$A$2:$BN$980,66,FALSE)</f>
        <v/>
      </c>
      <c r="AI30" s="778" t="str">
        <f>VLOOKUP(F30,'2) Tracker'!$A$2:$BO$980,56,FALSE)</f>
        <v/>
      </c>
      <c r="AJ30" s="778" t="str">
        <f>VLOOKUP(F30,'2) Tracker'!$A$2:$BO$980,52,FALSE)</f>
        <v/>
      </c>
      <c r="AK30" s="778" t="str">
        <f>VLOOKUP(F30,'2) Tracker'!$A$2:$AQ$980,43,FALSE)</f>
        <v/>
      </c>
      <c r="AL30" s="778">
        <f>VLOOKUP(F30,'2) Tracker'!$A$2:$BH$980,46,FALSE())</f>
        <v>46146</v>
      </c>
      <c r="AM30" s="778" t="str">
        <f>VLOOKUP(F30,'2) Tracker'!$A$2:$BO$980,65,FALSE())</f>
        <v/>
      </c>
      <c r="AN30" s="778" t="str">
        <f>VLOOKUP(F30,'2) Tracker'!$A$2:$BK$980,63,FALSE())</f>
        <v/>
      </c>
      <c r="AO30" s="778" t="str">
        <f>VLOOKUP(F30,'2) Tracker'!$A$2:$BF$980,58,FALSE())</f>
        <v/>
      </c>
      <c r="AP30" s="52"/>
      <c r="AQ30" s="52"/>
      <c r="AR30" s="52"/>
      <c r="AS30" s="52"/>
      <c r="AT30" s="52"/>
      <c r="AU30" s="52"/>
      <c r="AV30" s="52"/>
      <c r="AW30" s="52"/>
      <c r="AX30" s="52"/>
      <c r="AY30" s="52"/>
      <c r="AZ30" s="734"/>
      <c r="BA30" s="786" t="str">
        <f>vlookup(AZ30,'Iran, FS'!$A$1:$B$318,2, false)</f>
        <v>#N/A</v>
      </c>
      <c r="BB30" s="787" t="str">
        <f>vlookup(AZ30,'1) Kpler'!$E$2:$F$500,2,false)</f>
        <v>#N/A</v>
      </c>
      <c r="BC30" s="740"/>
      <c r="BD30" s="734"/>
      <c r="BE30" s="52"/>
      <c r="BF30" s="52"/>
      <c r="BG30" s="734"/>
      <c r="BH30" s="734"/>
      <c r="BI30" s="734"/>
      <c r="BJ30" s="734"/>
    </row>
    <row r="31">
      <c r="B31" s="765" t="str">
        <f>vlookup(F31,'2) Tracker'!$A$3:$O$410,5,false)</f>
        <v/>
      </c>
      <c r="C31" s="765" t="str">
        <f>vlookup(F31,'2) Tracker'!$A$3:$O$410,4,false)</f>
        <v/>
      </c>
      <c r="D31" s="734"/>
      <c r="E31" s="734" t="str">
        <f>vlookup(F31,'2) Tracker'!$A$3:$O$406,15,false)</f>
        <v/>
      </c>
      <c r="F31" s="798" t="s">
        <v>79</v>
      </c>
      <c r="G31" s="783">
        <f>VLOOKUP(F31,'2) Tracker'!$A$2:$BO$360,2,FALSE)</f>
        <v>2013</v>
      </c>
      <c r="H31" s="768">
        <f>VLOOKUP(F31,'2) Tracker'!$A$2:$BO$360,3,FALSE)</f>
        <v>82000</v>
      </c>
      <c r="I31" s="777" t="str">
        <f>VLOOKUP(F31,'2) Tracker'!$A$2:$BO$360,9,FALSE)</f>
        <v>Exxon</v>
      </c>
      <c r="J31" s="770" t="str">
        <f>VLOOKUP(F31,'2) Tracker'!$A$2:$BO$360,12,FALSE)</f>
        <v>loads USG</v>
      </c>
      <c r="K31" s="771">
        <f t="shared" ref="K31:O31" si="60">AD31</f>
        <v>46126</v>
      </c>
      <c r="L31" s="771">
        <f t="shared" si="60"/>
        <v>46126</v>
      </c>
      <c r="M31" s="771">
        <f t="shared" si="60"/>
        <v>46158</v>
      </c>
      <c r="N31" s="771" t="str">
        <f t="shared" si="60"/>
        <v/>
      </c>
      <c r="O31" s="772" t="str">
        <f t="shared" si="60"/>
        <v/>
      </c>
      <c r="P31" s="773" t="str">
        <f>iferror(if(vlookup(F31,'Voyage days'!$M$808:$N$819,2,false),"GOA",""),"")</f>
        <v/>
      </c>
      <c r="Q31" s="771" t="str">
        <f t="shared" ref="Q31:R31" si="61">AM31</f>
        <v/>
      </c>
      <c r="R31" s="771" t="str">
        <f t="shared" si="61"/>
        <v/>
      </c>
      <c r="S31" s="774">
        <f t="shared" si="5"/>
        <v>46146</v>
      </c>
      <c r="T31" s="771" t="str">
        <f t="shared" si="6"/>
        <v/>
      </c>
      <c r="U31" s="771" t="str">
        <f t="shared" si="7"/>
        <v/>
      </c>
      <c r="V31" s="771"/>
      <c r="W31" s="771" t="str">
        <f t="shared" si="8"/>
        <v/>
      </c>
      <c r="X31" s="775" t="str">
        <f t="shared" si="9"/>
        <v/>
      </c>
      <c r="Y31" s="804" t="s">
        <v>1539</v>
      </c>
      <c r="Z31" s="777" t="str">
        <f>vlookup(F31,'2) Tracker'!$A$3:$Q$504,16,false)</f>
        <v>@ Galveston lighterage 08 Apr, waiting to berth</v>
      </c>
      <c r="AA31" s="777" t="str">
        <f>vlookup(F31,'2) Tracker'!$A$3:$R$504,18,false)</f>
        <v>Axpo 08-09 Apr USG</v>
      </c>
      <c r="AB31" s="777" t="str">
        <f>vlookup(F31,'2) Tracker'!$A$3:$Q$504,17,false)</f>
        <v/>
      </c>
      <c r="AC31" s="778"/>
      <c r="AD31" s="778">
        <f>VLOOKUP(F31,'2) Tracker'!$A$2:$BO$980,37,FALSE)</f>
        <v>46126</v>
      </c>
      <c r="AE31" s="778">
        <f>VLOOKUP(F31,'2) Tracker'!$A$2:$BO$980,40,FALSE)</f>
        <v>46126</v>
      </c>
      <c r="AF31" s="778">
        <f>VLOOKUP(F31,'2) Tracker'!$A$2:$BO$980,67,FALSE)</f>
        <v>46158</v>
      </c>
      <c r="AG31" s="778" t="str">
        <f>VLOOKUP(F31,'2) Tracker'!$A$2:$BO$980,34,FALSE)</f>
        <v/>
      </c>
      <c r="AH31" s="778" t="str">
        <f>VLOOKUP(F31,'2) Tracker'!$A$2:$BN$980,66,FALSE)</f>
        <v/>
      </c>
      <c r="AI31" s="778" t="str">
        <f>VLOOKUP(F31,'2) Tracker'!$A$2:$BO$980,56,FALSE)</f>
        <v/>
      </c>
      <c r="AJ31" s="778" t="str">
        <f>VLOOKUP(F31,'2) Tracker'!$A$2:$BO$980,52,FALSE)</f>
        <v/>
      </c>
      <c r="AK31" s="778" t="str">
        <f>VLOOKUP(F31,'2) Tracker'!$A$2:$AQ$980,43,FALSE)</f>
        <v/>
      </c>
      <c r="AL31" s="778">
        <f>VLOOKUP(F31,'2) Tracker'!$A$2:$BH$980,46,FALSE())</f>
        <v>46146</v>
      </c>
      <c r="AM31" s="778" t="str">
        <f>VLOOKUP(F31,'2) Tracker'!$A$2:$BO$980,65,FALSE())</f>
        <v/>
      </c>
      <c r="AN31" s="778" t="str">
        <f>VLOOKUP(F31,'2) Tracker'!$A$2:$BK$980,63,FALSE())</f>
        <v/>
      </c>
      <c r="AO31" s="778" t="str">
        <f>VLOOKUP(F31,'2) Tracker'!$A$2:$BF$980,58,FALSE())</f>
        <v/>
      </c>
      <c r="AP31" s="52"/>
      <c r="AQ31" s="52"/>
      <c r="AR31" s="52"/>
      <c r="AS31" s="52"/>
      <c r="AT31" s="52"/>
      <c r="AU31" s="52"/>
      <c r="AV31" s="52"/>
      <c r="AW31" s="52"/>
      <c r="AX31" s="52"/>
      <c r="AY31" s="52"/>
      <c r="AZ31" s="734"/>
      <c r="BA31" s="740"/>
      <c r="BB31" s="734"/>
      <c r="BC31" s="740"/>
      <c r="BD31" s="734"/>
      <c r="BE31" s="52"/>
      <c r="BF31" s="52"/>
      <c r="BG31" s="734"/>
      <c r="BH31" s="734"/>
      <c r="BI31" s="734"/>
      <c r="BJ31" s="734"/>
    </row>
    <row r="32">
      <c r="B32" s="765" t="str">
        <f>vlookup(F32,'2) Tracker'!$A$3:$O$410,5,false)</f>
        <v/>
      </c>
      <c r="C32" s="765" t="str">
        <f>vlookup(F32,'2) Tracker'!$A$3:$O$410,4,false)</f>
        <v/>
      </c>
      <c r="D32" s="734"/>
      <c r="E32" s="734" t="str">
        <f>vlookup(F32,'2) Tracker'!$A$3:$O$406,15,false)</f>
        <v/>
      </c>
      <c r="F32" s="766" t="s">
        <v>212</v>
      </c>
      <c r="G32" s="783">
        <f>VLOOKUP(F32,'2) Tracker'!$A$2:$BO$360,2,FALSE)</f>
        <v>41579</v>
      </c>
      <c r="H32" s="768">
        <f>VLOOKUP(F32,'2) Tracker'!$A$2:$BO$360,3,FALSE)</f>
        <v>82200</v>
      </c>
      <c r="I32" s="769" t="str">
        <f>VLOOKUP(F32,'2) Tracker'!$A$2:$BO$360,9,FALSE)</f>
        <v>Equinor</v>
      </c>
      <c r="J32" s="770" t="str">
        <f>VLOOKUP(F32,'2) Tracker'!$A$2:$BO$360,12,FALSE)</f>
        <v>loads USG</v>
      </c>
      <c r="K32" s="771">
        <f t="shared" ref="K32:O32" si="62">AD32</f>
        <v>46126</v>
      </c>
      <c r="L32" s="771">
        <f t="shared" si="62"/>
        <v>46126</v>
      </c>
      <c r="M32" s="771">
        <f t="shared" si="62"/>
        <v>46158</v>
      </c>
      <c r="N32" s="771" t="str">
        <f t="shared" si="62"/>
        <v/>
      </c>
      <c r="O32" s="772" t="str">
        <f t="shared" si="62"/>
        <v/>
      </c>
      <c r="P32" s="773" t="str">
        <f>iferror(if(vlookup(F32,'Voyage days'!$M$808:$N$819,2,false),"GOA",""),"")</f>
        <v/>
      </c>
      <c r="Q32" s="771" t="str">
        <f t="shared" ref="Q32:R32" si="63">AM32</f>
        <v/>
      </c>
      <c r="R32" s="771" t="str">
        <f t="shared" si="63"/>
        <v/>
      </c>
      <c r="S32" s="774">
        <f t="shared" si="5"/>
        <v>46146</v>
      </c>
      <c r="T32" s="771" t="str">
        <f t="shared" si="6"/>
        <v/>
      </c>
      <c r="U32" s="771" t="str">
        <f t="shared" si="7"/>
        <v/>
      </c>
      <c r="V32" s="771"/>
      <c r="W32" s="771" t="str">
        <f t="shared" si="8"/>
        <v/>
      </c>
      <c r="X32" s="775" t="str">
        <f t="shared" si="9"/>
        <v/>
      </c>
      <c r="Y32" s="776"/>
      <c r="Z32" s="777" t="str">
        <f>vlookup(F32,'2) Tracker'!$A$3:$Q$504,16,false)</f>
        <v>@ ETA Enterprise 12 Apr, proceeding to berth</v>
      </c>
      <c r="AA32" s="777" t="str">
        <f>vlookup(F32,'2) Tracker'!$A$3:$R$504,18,false)</f>
        <v>Equinor 12-13 Apr Enterprise</v>
      </c>
      <c r="AB32" s="777" t="str">
        <f>vlookup(F32,'2) Tracker'!$A$3:$Q$504,17,false)</f>
        <v/>
      </c>
      <c r="AC32" s="778"/>
      <c r="AD32" s="778">
        <f>VLOOKUP(F32,'2) Tracker'!$A$2:$BO$980,37,FALSE)</f>
        <v>46126</v>
      </c>
      <c r="AE32" s="778">
        <f>VLOOKUP(F32,'2) Tracker'!$A$2:$BO$980,40,FALSE)</f>
        <v>46126</v>
      </c>
      <c r="AF32" s="778">
        <f>VLOOKUP(F32,'2) Tracker'!$A$2:$BO$980,67,FALSE)</f>
        <v>46158</v>
      </c>
      <c r="AG32" s="778" t="str">
        <f>VLOOKUP(F32,'2) Tracker'!$A$2:$BO$980,34,FALSE)</f>
        <v/>
      </c>
      <c r="AH32" s="778" t="str">
        <f>VLOOKUP(F32,'2) Tracker'!$A$2:$BN$980,66,FALSE)</f>
        <v/>
      </c>
      <c r="AI32" s="778" t="str">
        <f>VLOOKUP(F32,'2) Tracker'!$A$2:$BO$980,56,FALSE)</f>
        <v/>
      </c>
      <c r="AJ32" s="778" t="str">
        <f>VLOOKUP(F32,'2) Tracker'!$A$2:$BO$980,52,FALSE)</f>
        <v/>
      </c>
      <c r="AK32" s="778" t="str">
        <f>VLOOKUP(F32,'2) Tracker'!$A$2:$AQ$980,43,FALSE)</f>
        <v/>
      </c>
      <c r="AL32" s="778">
        <f>VLOOKUP(F32,'2) Tracker'!$A$2:$BH$980,46,FALSE())</f>
        <v>46146</v>
      </c>
      <c r="AM32" s="778" t="str">
        <f>VLOOKUP(F32,'2) Tracker'!$A$2:$BO$980,65,FALSE())</f>
        <v/>
      </c>
      <c r="AN32" s="778" t="str">
        <f>VLOOKUP(F32,'2) Tracker'!$A$2:$BK$980,63,FALSE())</f>
        <v/>
      </c>
      <c r="AO32" s="778" t="str">
        <f>VLOOKUP(F32,'2) Tracker'!$A$2:$BF$980,58,FALSE())</f>
        <v/>
      </c>
      <c r="AP32" s="52"/>
      <c r="AQ32" s="52"/>
      <c r="AR32" s="52"/>
      <c r="AS32" s="52"/>
      <c r="AT32" s="52"/>
      <c r="AU32" s="52"/>
      <c r="AV32" s="52"/>
      <c r="AW32" s="52"/>
      <c r="AX32" s="52"/>
      <c r="AY32" s="52"/>
      <c r="AZ32" s="734"/>
      <c r="BA32" s="786" t="str">
        <f>vlookup(AZ32,'Iran, FS'!$A$1:$B$318,2, false)</f>
        <v>#N/A</v>
      </c>
      <c r="BB32" s="787" t="str">
        <f>vlookup(AZ32,'1) Kpler'!$E$2:$F$500,2,false)</f>
        <v>#N/A</v>
      </c>
      <c r="BC32" s="740"/>
      <c r="BD32" s="734"/>
      <c r="BE32" s="52"/>
      <c r="BF32" s="52"/>
      <c r="BG32" s="734"/>
      <c r="BH32" s="734"/>
      <c r="BI32" s="734"/>
      <c r="BJ32" s="734"/>
    </row>
    <row r="33">
      <c r="B33" s="765" t="str">
        <f>vlookup(F33,'2) Tracker'!$A$3:$O$410,5,false)</f>
        <v/>
      </c>
      <c r="C33" s="765" t="str">
        <f>vlookup(F33,'2) Tracker'!$A$3:$O$410,4,false)</f>
        <v/>
      </c>
      <c r="D33" s="734"/>
      <c r="E33" s="734" t="str">
        <f>vlookup(F33,'2) Tracker'!$A$3:$O$406,15,false)</f>
        <v/>
      </c>
      <c r="F33" s="788" t="s">
        <v>396</v>
      </c>
      <c r="G33" s="783">
        <f>VLOOKUP(F33,'2) Tracker'!$A$2:$BO$360,2,FALSE)</f>
        <v>42644</v>
      </c>
      <c r="H33" s="768">
        <f>VLOOKUP(F33,'2) Tracker'!$A$2:$BO$360,3,FALSE)</f>
        <v>84000</v>
      </c>
      <c r="I33" s="777" t="str">
        <f>VLOOKUP(F33,'2) Tracker'!$A$2:$BO$360,9,FALSE)</f>
        <v>OE</v>
      </c>
      <c r="J33" s="770" t="str">
        <f>VLOOKUP(F33,'2) Tracker'!$A$2:$BO$360,12,FALSE)</f>
        <v>loads USG</v>
      </c>
      <c r="K33" s="774">
        <f t="shared" ref="K33:O33" si="64">AD33</f>
        <v>46126</v>
      </c>
      <c r="L33" s="774">
        <f t="shared" si="64"/>
        <v>46126</v>
      </c>
      <c r="M33" s="771">
        <f t="shared" si="64"/>
        <v>46158</v>
      </c>
      <c r="N33" s="771" t="str">
        <f t="shared" si="64"/>
        <v/>
      </c>
      <c r="O33" s="772" t="str">
        <f t="shared" si="64"/>
        <v/>
      </c>
      <c r="P33" s="773" t="str">
        <f>iferror(if(vlookup(F33,'Voyage days'!$M$808:$N$821,2,false),"GOA",""),"")</f>
        <v/>
      </c>
      <c r="Q33" s="771" t="str">
        <f t="shared" ref="Q33:R33" si="65">AM33</f>
        <v/>
      </c>
      <c r="R33" s="774" t="str">
        <f t="shared" si="65"/>
        <v/>
      </c>
      <c r="S33" s="774">
        <f t="shared" si="5"/>
        <v>46146</v>
      </c>
      <c r="T33" s="771" t="str">
        <f t="shared" si="6"/>
        <v/>
      </c>
      <c r="U33" s="774" t="str">
        <f t="shared" si="7"/>
        <v/>
      </c>
      <c r="V33" s="771"/>
      <c r="W33" s="771" t="str">
        <f t="shared" si="8"/>
        <v/>
      </c>
      <c r="X33" s="775" t="str">
        <f t="shared" si="9"/>
        <v/>
      </c>
      <c r="Y33" s="776" t="s">
        <v>1540</v>
      </c>
      <c r="Z33" s="806" t="str">
        <f>vlookup(F33,'2) Tracker'!$A$3:$Q$504,16,false)</f>
        <v>@ Port Arthur lighterage 08 Apr, waiting to berth</v>
      </c>
      <c r="AA33" s="777" t="str">
        <f>vlookup(F33,'2) Tracker'!$A$3:$R$504,18,false)</f>
        <v>BGN 09-10 Apr Nederland</v>
      </c>
      <c r="AB33" s="777" t="str">
        <f>vlookup(F33,'2) Tracker'!$A$3:$Q$504,17,false)</f>
        <v/>
      </c>
      <c r="AC33" s="778"/>
      <c r="AD33" s="778">
        <f>VLOOKUP(F33,'2) Tracker'!$A$2:$BO$980,37,FALSE)</f>
        <v>46126</v>
      </c>
      <c r="AE33" s="778">
        <f>VLOOKUP(F33,'2) Tracker'!$A$2:$BO$980,40,FALSE)</f>
        <v>46126</v>
      </c>
      <c r="AF33" s="778">
        <f>VLOOKUP(F33,'2) Tracker'!$A$2:$BO$980,67,FALSE)</f>
        <v>46158</v>
      </c>
      <c r="AG33" s="778" t="str">
        <f>VLOOKUP(F33,'2) Tracker'!$A$2:$BO$980,34,FALSE)</f>
        <v/>
      </c>
      <c r="AH33" s="778" t="str">
        <f>VLOOKUP(F33,'2) Tracker'!$A$2:$BN$980,66,FALSE)</f>
        <v/>
      </c>
      <c r="AI33" s="778" t="str">
        <f>VLOOKUP(F33,'2) Tracker'!$A$2:$BO$980,56,FALSE)</f>
        <v/>
      </c>
      <c r="AJ33" s="778" t="str">
        <f>VLOOKUP(F33,'2) Tracker'!$A$2:$BO$980,52,FALSE)</f>
        <v/>
      </c>
      <c r="AK33" s="778" t="str">
        <f>VLOOKUP(F33,'2) Tracker'!$A$2:$AQ$980,43,FALSE)</f>
        <v/>
      </c>
      <c r="AL33" s="778">
        <f>VLOOKUP(F33,'2) Tracker'!$A$2:$BH$980,46,FALSE())</f>
        <v>46146</v>
      </c>
      <c r="AM33" s="778" t="str">
        <f>VLOOKUP(F33,'2) Tracker'!$A$2:$BO$980,65,FALSE())</f>
        <v/>
      </c>
      <c r="AN33" s="778" t="str">
        <f>VLOOKUP(F33,'2) Tracker'!$A$2:$BK$980,63,FALSE())</f>
        <v/>
      </c>
      <c r="AO33" s="778" t="str">
        <f>VLOOKUP(F33,'2) Tracker'!$A$2:$BF$980,58,FALSE())</f>
        <v/>
      </c>
      <c r="AP33" s="52"/>
      <c r="AQ33" s="52"/>
      <c r="AR33" s="52"/>
      <c r="AS33" s="52"/>
      <c r="AT33" s="52"/>
      <c r="AU33" s="52"/>
      <c r="AV33" s="52"/>
      <c r="AW33" s="52"/>
      <c r="AX33" s="52"/>
      <c r="AY33" s="52"/>
      <c r="AZ33" s="734"/>
      <c r="BA33" s="740"/>
      <c r="BB33" s="734"/>
      <c r="BC33" s="740"/>
      <c r="BD33" s="734"/>
      <c r="BE33" s="52"/>
      <c r="BF33" s="52"/>
      <c r="BG33" s="734"/>
      <c r="BH33" s="734"/>
      <c r="BI33" s="734"/>
      <c r="BJ33" s="734"/>
    </row>
    <row r="34">
      <c r="B34" s="765"/>
      <c r="C34" s="765"/>
      <c r="D34" s="734"/>
      <c r="E34" s="734" t="str">
        <f>vlookup(F34,'2) Tracker'!$A$3:$O$406,15,false)</f>
        <v/>
      </c>
      <c r="F34" s="788" t="s">
        <v>312</v>
      </c>
      <c r="G34" s="789">
        <f>VLOOKUP(F34,'2) Tracker'!$A$2:$BO$360,2,FALSE)</f>
        <v>2026</v>
      </c>
      <c r="H34" s="768">
        <f>VLOOKUP(F34,'2) Tracker'!$A$2:$BO$360,3,FALSE)</f>
        <v>90964</v>
      </c>
      <c r="I34" s="777" t="str">
        <f>VLOOKUP(F34,'2) Tracker'!$A$2:$BO$360,9,FALSE)</f>
        <v>SwissChemGas</v>
      </c>
      <c r="J34" s="770" t="str">
        <f>VLOOKUP(F34,'2) Tracker'!$A$2:$BO$360,12,FALSE)</f>
        <v>loads USG</v>
      </c>
      <c r="K34" s="771">
        <f t="shared" ref="K34:O34" si="66">AD34</f>
        <v>46126</v>
      </c>
      <c r="L34" s="771">
        <f t="shared" si="66"/>
        <v>46126</v>
      </c>
      <c r="M34" s="771">
        <f t="shared" si="66"/>
        <v>46158</v>
      </c>
      <c r="N34" s="771" t="str">
        <f t="shared" si="66"/>
        <v/>
      </c>
      <c r="O34" s="772" t="str">
        <f t="shared" si="66"/>
        <v/>
      </c>
      <c r="P34" s="773" t="str">
        <f>iferror(if(vlookup(F34,'Voyage days'!$M$808:$N$819,2,false),"GOA",""),"")</f>
        <v/>
      </c>
      <c r="Q34" s="771" t="str">
        <f t="shared" ref="Q34:R34" si="67">AM34</f>
        <v/>
      </c>
      <c r="R34" s="771" t="str">
        <f t="shared" si="67"/>
        <v/>
      </c>
      <c r="S34" s="774">
        <f t="shared" si="5"/>
        <v>46146</v>
      </c>
      <c r="T34" s="771" t="str">
        <f t="shared" si="6"/>
        <v/>
      </c>
      <c r="U34" s="771" t="str">
        <f t="shared" si="7"/>
        <v/>
      </c>
      <c r="V34" s="771"/>
      <c r="W34" s="771" t="str">
        <f t="shared" si="8"/>
        <v/>
      </c>
      <c r="X34" s="775" t="str">
        <f t="shared" si="9"/>
        <v/>
      </c>
      <c r="Y34" s="776"/>
      <c r="Z34" s="777" t="str">
        <f>vlookup(F34,'2) Tracker'!$A$3:$Q$504,16,false)</f>
        <v>@ Nederland, waiting to berth</v>
      </c>
      <c r="AA34" s="777" t="str">
        <f>vlookup(F34,'2) Tracker'!$A$3:$R$504,18,false)</f>
        <v>SwissChemGas 11-12 Apr Nederland</v>
      </c>
      <c r="AB34" s="777" t="str">
        <f>vlookup(F34,'2) Tracker'!$A$3:$Q$504,17,false)</f>
        <v/>
      </c>
      <c r="AC34" s="778"/>
      <c r="AD34" s="778">
        <f>VLOOKUP(F34,'2) Tracker'!$A$2:$BO$980,37,FALSE)</f>
        <v>46126</v>
      </c>
      <c r="AE34" s="778">
        <f>VLOOKUP(F34,'2) Tracker'!$A$2:$BO$980,40,FALSE)</f>
        <v>46126</v>
      </c>
      <c r="AF34" s="778">
        <f>VLOOKUP(F34,'2) Tracker'!$A$2:$BO$980,67,FALSE)</f>
        <v>46158</v>
      </c>
      <c r="AG34" s="778" t="str">
        <f>VLOOKUP(F34,'2) Tracker'!$A$2:$BO$980,34,FALSE)</f>
        <v/>
      </c>
      <c r="AH34" s="778" t="str">
        <f>VLOOKUP(F34,'2) Tracker'!$A$2:$BN$980,66,FALSE)</f>
        <v/>
      </c>
      <c r="AI34" s="778" t="str">
        <f>VLOOKUP(F34,'2) Tracker'!$A$2:$BO$980,56,FALSE)</f>
        <v/>
      </c>
      <c r="AJ34" s="778" t="str">
        <f>VLOOKUP(F34,'2) Tracker'!$A$2:$BO$980,52,FALSE)</f>
        <v/>
      </c>
      <c r="AK34" s="778" t="str">
        <f>VLOOKUP(F34,'2) Tracker'!$A$2:$AQ$980,43,FALSE)</f>
        <v/>
      </c>
      <c r="AL34" s="778">
        <f>VLOOKUP(F34,'2) Tracker'!$A$2:$BH$980,46,FALSE())</f>
        <v>46146</v>
      </c>
      <c r="AM34" s="778" t="str">
        <f>VLOOKUP(F34,'2) Tracker'!$A$2:$BO$980,65,FALSE())</f>
        <v/>
      </c>
      <c r="AN34" s="778" t="str">
        <f>VLOOKUP(F34,'2) Tracker'!$A$2:$BK$980,63,FALSE())</f>
        <v/>
      </c>
      <c r="AO34" s="778" t="str">
        <f>VLOOKUP(F34,'2) Tracker'!$A$2:$BF$980,58,FALSE())</f>
        <v/>
      </c>
      <c r="AP34" s="52"/>
      <c r="AQ34" s="52"/>
      <c r="AR34" s="52"/>
      <c r="AS34" s="52"/>
      <c r="AT34" s="52"/>
      <c r="AU34" s="52"/>
      <c r="AV34" s="52"/>
      <c r="AW34" s="52"/>
      <c r="AX34" s="52"/>
      <c r="AY34" s="52"/>
      <c r="AZ34" s="734"/>
      <c r="BA34" s="740"/>
      <c r="BB34" s="734"/>
      <c r="BC34" s="740"/>
      <c r="BD34" s="734"/>
      <c r="BE34" s="52"/>
      <c r="BF34" s="52"/>
      <c r="BG34" s="734"/>
      <c r="BH34" s="734"/>
      <c r="BI34" s="734"/>
      <c r="BJ34" s="734"/>
    </row>
    <row r="35">
      <c r="B35" s="765" t="str">
        <f>vlookup(F35,'2) Tracker'!$A$3:$O$410,5,false)</f>
        <v>C</v>
      </c>
      <c r="C35" s="765" t="str">
        <f>vlookup(F35,'2) Tracker'!$A$3:$O$410,4,false)</f>
        <v/>
      </c>
      <c r="D35" s="734"/>
      <c r="E35" s="734" t="str">
        <f>vlookup(F35,'2) Tracker'!$A$3:$O$406,15,false)</f>
        <v/>
      </c>
      <c r="F35" s="766" t="s">
        <v>377</v>
      </c>
      <c r="G35" s="789">
        <f>VLOOKUP(F35,'2) Tracker'!$A$2:$BO$360,2,FALSE)</f>
        <v>2023</v>
      </c>
      <c r="H35" s="768">
        <f>VLOOKUP(F35,'2) Tracker'!$A$2:$BO$360,3,FALSE)</f>
        <v>91000</v>
      </c>
      <c r="I35" s="769" t="str">
        <f>VLOOKUP(F35,'2) Tracker'!$A$2:$BO$360,9,FALSE)</f>
        <v>BGN</v>
      </c>
      <c r="J35" s="770" t="str">
        <f>VLOOKUP(F35,'2) Tracker'!$A$2:$BO$360,12,FALSE)</f>
        <v>loads USG</v>
      </c>
      <c r="K35" s="774">
        <f t="shared" ref="K35:O35" si="68">AD35</f>
        <v>46126</v>
      </c>
      <c r="L35" s="774">
        <f t="shared" si="68"/>
        <v>46126</v>
      </c>
      <c r="M35" s="771">
        <f t="shared" si="68"/>
        <v>46158</v>
      </c>
      <c r="N35" s="771" t="str">
        <f t="shared" si="68"/>
        <v/>
      </c>
      <c r="O35" s="772" t="str">
        <f t="shared" si="68"/>
        <v/>
      </c>
      <c r="P35" s="773" t="str">
        <f>iferror(if(vlookup(F35,'Voyage days'!$M$808:$N$819,2,false),"GOA",""),"")</f>
        <v/>
      </c>
      <c r="Q35" s="771" t="str">
        <f t="shared" ref="Q35:R35" si="69">AM35</f>
        <v/>
      </c>
      <c r="R35" s="774" t="str">
        <f t="shared" si="69"/>
        <v/>
      </c>
      <c r="S35" s="774">
        <f t="shared" si="5"/>
        <v>46146</v>
      </c>
      <c r="T35" s="771" t="str">
        <f t="shared" si="6"/>
        <v/>
      </c>
      <c r="U35" s="774" t="str">
        <f t="shared" si="7"/>
        <v/>
      </c>
      <c r="V35" s="774"/>
      <c r="W35" s="774" t="str">
        <f t="shared" si="8"/>
        <v/>
      </c>
      <c r="X35" s="775" t="str">
        <f t="shared" si="9"/>
        <v/>
      </c>
      <c r="Y35" s="776"/>
      <c r="Z35" s="777" t="str">
        <f>vlookup(F35,'2) Tracker'!$A$3:$Q$504,16,false)</f>
        <v>ETA 11 Apr USG</v>
      </c>
      <c r="AA35" s="777" t="str">
        <f>vlookup(F35,'2) Tracker'!$A$3:$R$504,18,false)</f>
        <v>BGN 07-08 Apr USG</v>
      </c>
      <c r="AB35" s="777" t="str">
        <f>vlookup(F35,'2) Tracker'!$A$3:$Q$504,17,false)</f>
        <v/>
      </c>
      <c r="AC35" s="778"/>
      <c r="AD35" s="778">
        <f>VLOOKUP(F35,'2) Tracker'!$A$2:$BO$980,37,FALSE)</f>
        <v>46126</v>
      </c>
      <c r="AE35" s="778">
        <f>VLOOKUP(F35,'2) Tracker'!$A$2:$BO$980,40,FALSE)</f>
        <v>46126</v>
      </c>
      <c r="AF35" s="778">
        <f>VLOOKUP(F35,'2) Tracker'!$A$2:$BO$980,67,FALSE)</f>
        <v>46158</v>
      </c>
      <c r="AG35" s="778" t="str">
        <f>VLOOKUP(F35,'2) Tracker'!$A$2:$BO$980,34,FALSE)</f>
        <v/>
      </c>
      <c r="AH35" s="778" t="str">
        <f>VLOOKUP(F35,'2) Tracker'!$A$2:$BN$980,66,FALSE)</f>
        <v/>
      </c>
      <c r="AI35" s="778" t="str">
        <f>VLOOKUP(F35,'2) Tracker'!$A$2:$BO$980,56,FALSE)</f>
        <v/>
      </c>
      <c r="AJ35" s="778" t="str">
        <f>VLOOKUP(F35,'2) Tracker'!$A$2:$BO$980,52,FALSE)</f>
        <v/>
      </c>
      <c r="AK35" s="778" t="str">
        <f>VLOOKUP(F35,'2) Tracker'!$A$2:$AQ$980,43,FALSE)</f>
        <v/>
      </c>
      <c r="AL35" s="778">
        <f>VLOOKUP(F35,'2) Tracker'!$A$2:$BH$980,46,FALSE())</f>
        <v>46146</v>
      </c>
      <c r="AM35" s="778" t="str">
        <f>VLOOKUP(F35,'2) Tracker'!$A$2:$BO$980,65,FALSE())</f>
        <v/>
      </c>
      <c r="AN35" s="778" t="str">
        <f>VLOOKUP(F35,'2) Tracker'!$A$2:$BK$980,63,FALSE())</f>
        <v/>
      </c>
      <c r="AO35" s="778" t="str">
        <f>VLOOKUP(F35,'2) Tracker'!$A$2:$BF$980,58,FALSE())</f>
        <v/>
      </c>
      <c r="AP35" s="52"/>
      <c r="AQ35" s="52"/>
      <c r="AR35" s="52"/>
      <c r="AS35" s="52"/>
      <c r="AT35" s="52"/>
      <c r="AU35" s="52"/>
      <c r="AV35" s="52"/>
      <c r="AW35" s="52"/>
      <c r="AX35" s="52"/>
      <c r="AY35" s="52"/>
      <c r="AZ35" s="734"/>
      <c r="BA35" s="786" t="str">
        <f>vlookup(AZ35,'Iran, FS'!$A$1:$B$318,2, false)</f>
        <v>#N/A</v>
      </c>
      <c r="BB35" s="787" t="str">
        <f>vlookup(AZ35,'1) Kpler'!$E$2:$F$500,2,false)</f>
        <v>#N/A</v>
      </c>
      <c r="BC35" s="740"/>
      <c r="BD35" s="734"/>
      <c r="BE35" s="52"/>
      <c r="BF35" s="52"/>
      <c r="BG35" s="734"/>
      <c r="BH35" s="734"/>
      <c r="BI35" s="734"/>
      <c r="BJ35" s="734"/>
    </row>
    <row r="36">
      <c r="B36" s="765" t="str">
        <f>vlookup(F36,'2) Tracker'!$A$3:$O$410,5,false)</f>
        <v/>
      </c>
      <c r="C36" s="765" t="str">
        <f>vlookup(F36,'2) Tracker'!$A$3:$O$410,4,false)</f>
        <v/>
      </c>
      <c r="D36" s="734"/>
      <c r="E36" s="734"/>
      <c r="F36" s="807" t="s">
        <v>443</v>
      </c>
      <c r="G36" s="789">
        <f>VLOOKUP(F36,'2) Tracker'!$A$2:$BO$360,2,FALSE)</f>
        <v>2025</v>
      </c>
      <c r="H36" s="768">
        <f>VLOOKUP(F36,'2) Tracker'!$A$2:$BO$360,3,FALSE)</f>
        <v>86000</v>
      </c>
      <c r="I36" s="769" t="str">
        <f>VLOOKUP(F36,'2) Tracker'!$A$2:$BO$360,9,FALSE)</f>
        <v>BGN</v>
      </c>
      <c r="J36" s="770" t="str">
        <f>VLOOKUP(F36,'2) Tracker'!$A$2:$BO$360,12,FALSE)</f>
        <v>loads USG</v>
      </c>
      <c r="K36" s="774">
        <f t="shared" ref="K36:O36" si="70">AD36</f>
        <v>46126</v>
      </c>
      <c r="L36" s="774">
        <f t="shared" si="70"/>
        <v>46126</v>
      </c>
      <c r="M36" s="771">
        <f t="shared" si="70"/>
        <v>46158</v>
      </c>
      <c r="N36" s="771" t="str">
        <f t="shared" si="70"/>
        <v/>
      </c>
      <c r="O36" s="772" t="str">
        <f t="shared" si="70"/>
        <v/>
      </c>
      <c r="P36" s="773" t="str">
        <f>iferror(if(vlookup(F36,'Voyage days'!$M$808:$N$819,2,false),"GOA",""),"")</f>
        <v/>
      </c>
      <c r="Q36" s="771" t="str">
        <f t="shared" ref="Q36:R36" si="71">AM36</f>
        <v/>
      </c>
      <c r="R36" s="774" t="str">
        <f t="shared" si="71"/>
        <v/>
      </c>
      <c r="S36" s="774">
        <f t="shared" si="5"/>
        <v>46146</v>
      </c>
      <c r="T36" s="771" t="str">
        <f t="shared" si="6"/>
        <v/>
      </c>
      <c r="U36" s="774" t="str">
        <f t="shared" si="7"/>
        <v/>
      </c>
      <c r="V36" s="774"/>
      <c r="W36" s="774" t="str">
        <f t="shared" si="8"/>
        <v/>
      </c>
      <c r="X36" s="775" t="str">
        <f t="shared" si="9"/>
        <v/>
      </c>
      <c r="Y36" s="776"/>
      <c r="Z36" s="777" t="str">
        <f>vlookup(F36,'2) Tracker'!$A$3:$Q$504,16,false)</f>
        <v>ETA 14 Apr USG</v>
      </c>
      <c r="AA36" s="777" t="str">
        <f>vlookup(F36,'2) Tracker'!$A$3:$R$504,18,false)</f>
        <v>BGN 10-11 Mar Nederland</v>
      </c>
      <c r="AB36" s="777" t="str">
        <f>vlookup(F36,'2) Tracker'!$A$3:$Q$504,17,false)</f>
        <v/>
      </c>
      <c r="AC36" s="778"/>
      <c r="AD36" s="778">
        <f>VLOOKUP(F36,'2) Tracker'!$A$2:$BO$980,37,FALSE)</f>
        <v>46126</v>
      </c>
      <c r="AE36" s="778">
        <f>VLOOKUP(F36,'2) Tracker'!$A$2:$BO$980,40,FALSE)</f>
        <v>46126</v>
      </c>
      <c r="AF36" s="778">
        <f>VLOOKUP(F36,'2) Tracker'!$A$2:$BO$980,67,FALSE)</f>
        <v>46158</v>
      </c>
      <c r="AG36" s="778" t="str">
        <f>VLOOKUP(F36,'2) Tracker'!$A$2:$BO$980,34,FALSE)</f>
        <v/>
      </c>
      <c r="AH36" s="778" t="str">
        <f>VLOOKUP(F36,'2) Tracker'!$A$2:$BN$980,66,FALSE)</f>
        <v/>
      </c>
      <c r="AI36" s="778" t="str">
        <f>VLOOKUP(F36,'2) Tracker'!$A$2:$BO$980,56,FALSE)</f>
        <v/>
      </c>
      <c r="AJ36" s="778" t="str">
        <f>VLOOKUP(F36,'2) Tracker'!$A$2:$BO$980,52,FALSE)</f>
        <v/>
      </c>
      <c r="AK36" s="778" t="str">
        <f>VLOOKUP(F36,'2) Tracker'!$A$2:$AQ$980,43,FALSE)</f>
        <v/>
      </c>
      <c r="AL36" s="778">
        <f>VLOOKUP(F36,'2) Tracker'!$A$2:$BH$980,46,FALSE())</f>
        <v>46146</v>
      </c>
      <c r="AM36" s="778" t="str">
        <f>VLOOKUP(F36,'2) Tracker'!$A$2:$BO$980,65,FALSE())</f>
        <v/>
      </c>
      <c r="AN36" s="778" t="str">
        <f>VLOOKUP(F36,'2) Tracker'!$A$2:$BK$980,63,FALSE())</f>
        <v/>
      </c>
      <c r="AO36" s="778" t="str">
        <f>VLOOKUP(F36,'2) Tracker'!$A$2:$BF$980,58,FALSE())</f>
        <v/>
      </c>
      <c r="AP36" s="52"/>
      <c r="AQ36" s="52"/>
      <c r="AR36" s="52"/>
      <c r="AS36" s="52"/>
      <c r="AT36" s="52"/>
      <c r="AU36" s="52"/>
      <c r="AV36" s="52"/>
      <c r="AW36" s="52"/>
      <c r="AX36" s="52"/>
      <c r="AY36" s="52"/>
      <c r="AZ36" s="734"/>
      <c r="BA36" s="786" t="str">
        <f>vlookup(AZ36,'Iran, FS'!$A$1:$B$318,2, false)</f>
        <v>#N/A</v>
      </c>
      <c r="BB36" s="787" t="str">
        <f>vlookup(AZ36,'1) Kpler'!$E$2:$F$500,2,false)</f>
        <v>#N/A</v>
      </c>
      <c r="BC36" s="740"/>
      <c r="BD36" s="734"/>
      <c r="BE36" s="52"/>
      <c r="BF36" s="52"/>
      <c r="BG36" s="734"/>
      <c r="BH36" s="734"/>
      <c r="BI36" s="734"/>
      <c r="BJ36" s="734"/>
    </row>
    <row r="37">
      <c r="B37" s="765" t="str">
        <f>vlookup(F37,'2) Tracker'!$A$3:$O$410,5,false)</f>
        <v/>
      </c>
      <c r="C37" s="765" t="str">
        <f>vlookup(F37,'2) Tracker'!$A$3:$O$410,4,false)</f>
        <v/>
      </c>
      <c r="D37" s="734"/>
      <c r="E37" s="734" t="str">
        <f>vlookup(F37,'2) Tracker'!$A$3:$O$406,15,false)</f>
        <v/>
      </c>
      <c r="F37" s="788" t="s">
        <v>431</v>
      </c>
      <c r="G37" s="792">
        <f>VLOOKUP(F37,'2) Tracker'!$A$2:$BO$360,2,FALSE)</f>
        <v>37681</v>
      </c>
      <c r="H37" s="768">
        <f>VLOOKUP(F37,'2) Tracker'!$A$2:$BO$360,3,FALSE)</f>
        <v>78945</v>
      </c>
      <c r="I37" s="777" t="str">
        <f>VLOOKUP(F37,'2) Tracker'!$A$2:$BO$360,9,FALSE)</f>
        <v>European Navigation Group</v>
      </c>
      <c r="J37" s="770" t="str">
        <f>VLOOKUP(F37,'2) Tracker'!$A$2:$BO$360,12,FALSE)</f>
        <v>loads USG</v>
      </c>
      <c r="K37" s="771">
        <f t="shared" ref="K37:O37" si="72">AD37</f>
        <v>46126</v>
      </c>
      <c r="L37" s="771">
        <f t="shared" si="72"/>
        <v>46126</v>
      </c>
      <c r="M37" s="771">
        <f t="shared" si="72"/>
        <v>46158</v>
      </c>
      <c r="N37" s="772" t="str">
        <f t="shared" si="72"/>
        <v/>
      </c>
      <c r="O37" s="772" t="str">
        <f t="shared" si="72"/>
        <v/>
      </c>
      <c r="P37" s="773" t="str">
        <f>iferror(if(vlookup(F37,'Voyage days'!$M$808:$N$819,2,false),"GOA",""),"")</f>
        <v/>
      </c>
      <c r="Q37" s="771" t="str">
        <f t="shared" ref="Q37:R37" si="73">AM37</f>
        <v/>
      </c>
      <c r="R37" s="774" t="str">
        <f t="shared" si="73"/>
        <v/>
      </c>
      <c r="S37" s="774">
        <f t="shared" si="5"/>
        <v>46146</v>
      </c>
      <c r="T37" s="774" t="str">
        <f t="shared" si="6"/>
        <v/>
      </c>
      <c r="U37" s="774" t="str">
        <f t="shared" si="7"/>
        <v/>
      </c>
      <c r="V37" s="771"/>
      <c r="W37" s="771" t="str">
        <f t="shared" si="8"/>
        <v/>
      </c>
      <c r="X37" s="775" t="str">
        <f t="shared" si="9"/>
        <v/>
      </c>
      <c r="Y37" s="795" t="s">
        <v>1541</v>
      </c>
      <c r="Z37" s="777" t="str">
        <f>vlookup(F37,'2) Tracker'!$A$3:$Q$504,16,false)</f>
        <v>ex DD, @ Houston anchorage 11 Apr</v>
      </c>
      <c r="AA37" s="777" t="str">
        <f>vlookup(F37,'2) Tracker'!$A$3:$R$504,18,false)</f>
        <v>BGN 07-08 Apr USG</v>
      </c>
      <c r="AB37" s="777" t="str">
        <f>vlookup(F37,'2) Tracker'!$A$3:$Q$504,17,false)</f>
        <v/>
      </c>
      <c r="AC37" s="778"/>
      <c r="AD37" s="778">
        <f>VLOOKUP(F37,'2) Tracker'!$A$2:$BO$980,37,FALSE)</f>
        <v>46126</v>
      </c>
      <c r="AE37" s="778">
        <f>VLOOKUP(F37,'2) Tracker'!$A$2:$BO$980,40,FALSE)</f>
        <v>46126</v>
      </c>
      <c r="AF37" s="778">
        <f>VLOOKUP(F37,'2) Tracker'!$A$2:$BO$980,67,FALSE)</f>
        <v>46158</v>
      </c>
      <c r="AG37" s="778" t="str">
        <f>VLOOKUP(F37,'2) Tracker'!$A$2:$BO$980,34,FALSE)</f>
        <v/>
      </c>
      <c r="AH37" s="778" t="str">
        <f>VLOOKUP(F37,'2) Tracker'!$A$2:$BN$980,66,FALSE)</f>
        <v/>
      </c>
      <c r="AI37" s="778" t="str">
        <f>VLOOKUP(F37,'2) Tracker'!$A$2:$BO$980,56,FALSE)</f>
        <v/>
      </c>
      <c r="AJ37" s="778" t="str">
        <f>VLOOKUP(F37,'2) Tracker'!$A$2:$BO$980,52,FALSE)</f>
        <v/>
      </c>
      <c r="AK37" s="778" t="str">
        <f>VLOOKUP(F37,'2) Tracker'!$A$2:$AQ$980,43,FALSE)</f>
        <v/>
      </c>
      <c r="AL37" s="778">
        <f>VLOOKUP(F37,'2) Tracker'!$A$2:$BH$980,46,FALSE())</f>
        <v>46146</v>
      </c>
      <c r="AM37" s="778" t="str">
        <f>VLOOKUP(F37,'2) Tracker'!$A$2:$BO$980,65,FALSE())</f>
        <v/>
      </c>
      <c r="AN37" s="778" t="str">
        <f>VLOOKUP(F37,'2) Tracker'!$A$2:$BK$980,63,FALSE())</f>
        <v/>
      </c>
      <c r="AO37" s="778" t="str">
        <f>VLOOKUP(F37,'2) Tracker'!$A$2:$BF$980,58,FALSE())</f>
        <v/>
      </c>
      <c r="AP37" s="52"/>
      <c r="AQ37" s="52"/>
      <c r="AR37" s="52"/>
      <c r="AS37" s="52"/>
      <c r="AT37" s="52"/>
      <c r="AU37" s="52"/>
      <c r="AV37" s="52"/>
      <c r="AW37" s="52"/>
      <c r="AX37" s="52"/>
      <c r="AY37" s="52"/>
      <c r="AZ37" s="734"/>
      <c r="BA37" s="740"/>
      <c r="BB37" s="734"/>
      <c r="BC37" s="740"/>
      <c r="BD37" s="734"/>
      <c r="BE37" s="52"/>
      <c r="BF37" s="52"/>
      <c r="BG37" s="734"/>
      <c r="BH37" s="734"/>
      <c r="BI37" s="734"/>
      <c r="BJ37" s="734"/>
    </row>
    <row r="38">
      <c r="B38" s="765" t="str">
        <f>vlookup(F38,'2) Tracker'!$A$3:$O$410,5,false)</f>
        <v>C</v>
      </c>
      <c r="C38" s="765" t="str">
        <f>vlookup(F38,'2) Tracker'!$A$3:$O$410,4,false)</f>
        <v/>
      </c>
      <c r="D38" s="734"/>
      <c r="E38" s="734" t="str">
        <f>vlookup(F38,'2) Tracker'!$A$3:$O$406,15,false)</f>
        <v/>
      </c>
      <c r="F38" s="788" t="s">
        <v>305</v>
      </c>
      <c r="G38" s="789">
        <f>VLOOKUP(F38,'2) Tracker'!$A$2:$BO$360,2,FALSE)</f>
        <v>2023</v>
      </c>
      <c r="H38" s="768">
        <f>VLOOKUP(F38,'2) Tracker'!$A$2:$BO$360,3,FALSE)</f>
        <v>93000</v>
      </c>
      <c r="I38" s="777" t="str">
        <f>VLOOKUP(F38,'2) Tracker'!$A$2:$BO$360,9,FALSE)</f>
        <v>Sinogas</v>
      </c>
      <c r="J38" s="770" t="str">
        <f>VLOOKUP(F38,'2) Tracker'!$A$2:$BO$360,12,FALSE)</f>
        <v>loads USG</v>
      </c>
      <c r="K38" s="771">
        <f t="shared" ref="K38:O38" si="74">AD38</f>
        <v>46126</v>
      </c>
      <c r="L38" s="771">
        <f t="shared" si="74"/>
        <v>46126</v>
      </c>
      <c r="M38" s="771">
        <f t="shared" si="74"/>
        <v>46158</v>
      </c>
      <c r="N38" s="771" t="str">
        <f t="shared" si="74"/>
        <v/>
      </c>
      <c r="O38" s="772" t="str">
        <f t="shared" si="74"/>
        <v/>
      </c>
      <c r="P38" s="800" t="str">
        <f>iferror(if(vlookup(F38,'Voyage days'!$M$808:$N$828,2,false),"GOA",""),"")</f>
        <v>GOA</v>
      </c>
      <c r="Q38" s="801" t="str">
        <f t="shared" ref="Q38:R38" si="75">AM38</f>
        <v/>
      </c>
      <c r="R38" s="771" t="str">
        <f t="shared" si="75"/>
        <v/>
      </c>
      <c r="S38" s="774">
        <f t="shared" si="5"/>
        <v>46146</v>
      </c>
      <c r="T38" s="771" t="str">
        <f t="shared" si="6"/>
        <v/>
      </c>
      <c r="U38" s="771" t="str">
        <f t="shared" si="7"/>
        <v/>
      </c>
      <c r="V38" s="771"/>
      <c r="W38" s="771" t="str">
        <f t="shared" si="8"/>
        <v/>
      </c>
      <c r="X38" s="775" t="str">
        <f t="shared" si="9"/>
        <v/>
      </c>
      <c r="Y38" s="776"/>
      <c r="Z38" s="777" t="str">
        <f>vlookup(F38,'2) Tracker'!$A$3:$Q$504,16,false)</f>
        <v>@ Balboa 03 Apr, waiting to transit</v>
      </c>
      <c r="AA38" s="777" t="str">
        <f>vlookup(F38,'2) Tracker'!$A$3:$R$504,18,false)</f>
        <v>Gunvor 12-13 Apr USG</v>
      </c>
      <c r="AB38" s="777" t="str">
        <f>vlookup(F38,'2) Tracker'!$A$3:$Q$504,17,false)</f>
        <v/>
      </c>
      <c r="AC38" s="778"/>
      <c r="AD38" s="778">
        <f>VLOOKUP(F38,'2) Tracker'!$A$2:$BO$980,37,FALSE)</f>
        <v>46126</v>
      </c>
      <c r="AE38" s="778">
        <f>VLOOKUP(F38,'2) Tracker'!$A$2:$BO$980,40,FALSE)</f>
        <v>46126</v>
      </c>
      <c r="AF38" s="778">
        <f>VLOOKUP(F38,'2) Tracker'!$A$2:$BO$980,67,FALSE)</f>
        <v>46158</v>
      </c>
      <c r="AG38" s="778" t="str">
        <f>VLOOKUP(F38,'2) Tracker'!$A$2:$BO$980,34,FALSE)</f>
        <v/>
      </c>
      <c r="AH38" s="778" t="str">
        <f>VLOOKUP(F38,'2) Tracker'!$A$2:$BN$980,66,FALSE)</f>
        <v/>
      </c>
      <c r="AI38" s="778" t="str">
        <f>VLOOKUP(F38,'2) Tracker'!$A$2:$BO$980,56,FALSE)</f>
        <v/>
      </c>
      <c r="AJ38" s="778" t="str">
        <f>VLOOKUP(F38,'2) Tracker'!$A$2:$BO$980,52,FALSE)</f>
        <v/>
      </c>
      <c r="AK38" s="778" t="str">
        <f>VLOOKUP(F38,'2) Tracker'!$A$2:$AQ$980,43,FALSE)</f>
        <v/>
      </c>
      <c r="AL38" s="778">
        <f>VLOOKUP(F38,'2) Tracker'!$A$2:$BH$980,46,FALSE())</f>
        <v>46146</v>
      </c>
      <c r="AM38" s="778" t="str">
        <f>VLOOKUP(F38,'2) Tracker'!$A$2:$BO$980,65,FALSE())</f>
        <v/>
      </c>
      <c r="AN38" s="778" t="str">
        <f>VLOOKUP(F38,'2) Tracker'!$A$2:$BK$980,63,FALSE())</f>
        <v/>
      </c>
      <c r="AO38" s="778" t="str">
        <f>VLOOKUP(F38,'2) Tracker'!$A$2:$BF$980,58,FALSE())</f>
        <v/>
      </c>
      <c r="AP38" s="52"/>
      <c r="AQ38" s="52"/>
      <c r="AR38" s="52"/>
      <c r="AS38" s="52"/>
      <c r="AT38" s="52"/>
      <c r="AU38" s="52"/>
      <c r="AV38" s="52"/>
      <c r="AW38" s="52"/>
      <c r="AX38" s="52"/>
      <c r="AY38" s="52"/>
      <c r="AZ38" s="734"/>
      <c r="BA38" s="786" t="str">
        <f>vlookup(AZ38,'Iran, FS'!$A$1:$B$318,2, false)</f>
        <v>#N/A</v>
      </c>
      <c r="BB38" s="787" t="str">
        <f>vlookup(AZ38,'1) Kpler'!$E$2:$F$500,2,false)</f>
        <v>#N/A</v>
      </c>
      <c r="BC38" s="740"/>
      <c r="BD38" s="734"/>
      <c r="BE38" s="52"/>
      <c r="BF38" s="52"/>
      <c r="BG38" s="734"/>
      <c r="BH38" s="734"/>
      <c r="BI38" s="734"/>
      <c r="BJ38" s="734"/>
    </row>
    <row r="39">
      <c r="B39" s="765" t="str">
        <f>vlookup(F39,'2) Tracker'!$A$3:$O$410,5,false)</f>
        <v>C</v>
      </c>
      <c r="C39" s="765" t="str">
        <f>vlookup(F39,'2) Tracker'!$A$3:$O$410,4,false)</f>
        <v/>
      </c>
      <c r="D39" s="734"/>
      <c r="E39" s="734" t="str">
        <f>vlookup(F39,'2) Tracker'!$A$3:$O$406,15,false)</f>
        <v/>
      </c>
      <c r="F39" s="788" t="s">
        <v>315</v>
      </c>
      <c r="G39" s="789">
        <f>VLOOKUP(F39,'2) Tracker'!$A$2:$BO$360,2,FALSE)</f>
        <v>2021</v>
      </c>
      <c r="H39" s="768">
        <f>VLOOKUP(F39,'2) Tracker'!$A$2:$BO$360,3,FALSE)</f>
        <v>86000</v>
      </c>
      <c r="I39" s="770" t="str">
        <f>VLOOKUP(F39,'2) Tracker'!$A$2:$BO$360,9,FALSE)</f>
        <v>Wanhua</v>
      </c>
      <c r="J39" s="770" t="str">
        <f>VLOOKUP(F39,'2) Tracker'!$A$2:$BO$360,12,FALSE)</f>
        <v>loads USG</v>
      </c>
      <c r="K39" s="771">
        <f t="shared" ref="K39:O39" si="76">AD39</f>
        <v>46126</v>
      </c>
      <c r="L39" s="771">
        <f t="shared" si="76"/>
        <v>46126</v>
      </c>
      <c r="M39" s="771">
        <f t="shared" si="76"/>
        <v>46158</v>
      </c>
      <c r="N39" s="771" t="str">
        <f t="shared" si="76"/>
        <v/>
      </c>
      <c r="O39" s="772" t="str">
        <f t="shared" si="76"/>
        <v/>
      </c>
      <c r="P39" s="773" t="str">
        <f>iferror(if(vlookup(F39,'Voyage days'!$M$808:$N$819,2,false),"GOA",""),"")</f>
        <v/>
      </c>
      <c r="Q39" s="772" t="str">
        <f t="shared" ref="Q39:R39" si="77">AM39</f>
        <v/>
      </c>
      <c r="R39" s="771" t="str">
        <f t="shared" si="77"/>
        <v/>
      </c>
      <c r="S39" s="774">
        <f t="shared" si="5"/>
        <v>46146</v>
      </c>
      <c r="T39" s="771" t="str">
        <f t="shared" si="6"/>
        <v/>
      </c>
      <c r="U39" s="771" t="str">
        <f t="shared" si="7"/>
        <v/>
      </c>
      <c r="V39" s="771"/>
      <c r="W39" s="771" t="str">
        <f t="shared" si="8"/>
        <v/>
      </c>
      <c r="X39" s="775" t="str">
        <f t="shared" si="9"/>
        <v/>
      </c>
      <c r="Y39" s="770"/>
      <c r="Z39" s="777" t="str">
        <f>vlookup(F39,'2) Tracker'!$A$3:$Q$504,16,false)</f>
        <v>ETA Nederland 15 Apr via Cape</v>
      </c>
      <c r="AA39" s="777" t="str">
        <f>vlookup(F39,'2) Tracker'!$A$3:$R$504,18,false)</f>
        <v>Wanhua 13-14 Apr USG</v>
      </c>
      <c r="AB39" s="777" t="str">
        <f>vlookup(F39,'2) Tracker'!$A$3:$Q$504,17,false)</f>
        <v/>
      </c>
      <c r="AC39" s="778"/>
      <c r="AD39" s="778">
        <f>VLOOKUP(F39,'2) Tracker'!$A$2:$BO$980,37,FALSE)</f>
        <v>46126</v>
      </c>
      <c r="AE39" s="778">
        <f>VLOOKUP(F39,'2) Tracker'!$A$2:$BO$980,40,FALSE)</f>
        <v>46126</v>
      </c>
      <c r="AF39" s="778">
        <f>VLOOKUP(F39,'2) Tracker'!$A$2:$BO$980,67,FALSE)</f>
        <v>46158</v>
      </c>
      <c r="AG39" s="778" t="str">
        <f>VLOOKUP(F39,'2) Tracker'!$A$2:$BO$980,34,FALSE)</f>
        <v/>
      </c>
      <c r="AH39" s="778" t="str">
        <f>VLOOKUP(F39,'2) Tracker'!$A$2:$BN$980,66,FALSE)</f>
        <v/>
      </c>
      <c r="AI39" s="778" t="str">
        <f>VLOOKUP(F39,'2) Tracker'!$A$2:$BO$980,56,FALSE)</f>
        <v/>
      </c>
      <c r="AJ39" s="778" t="str">
        <f>VLOOKUP(F39,'2) Tracker'!$A$2:$BO$980,52,FALSE)</f>
        <v/>
      </c>
      <c r="AK39" s="778" t="str">
        <f>VLOOKUP(F39,'2) Tracker'!$A$2:$AQ$980,43,FALSE)</f>
        <v/>
      </c>
      <c r="AL39" s="778">
        <f>VLOOKUP(F39,'2) Tracker'!$A$2:$BH$980,46,FALSE())</f>
        <v>46146</v>
      </c>
      <c r="AM39" s="778" t="str">
        <f>VLOOKUP(F39,'2) Tracker'!$A$2:$BO$980,65,FALSE())</f>
        <v/>
      </c>
      <c r="AN39" s="778" t="str">
        <f>VLOOKUP(F39,'2) Tracker'!$A$2:$BK$980,63,FALSE())</f>
        <v/>
      </c>
      <c r="AO39" s="778" t="str">
        <f>VLOOKUP(F39,'2) Tracker'!$A$2:$BF$980,58,FALSE())</f>
        <v/>
      </c>
      <c r="AP39" s="52"/>
      <c r="AQ39" s="52"/>
      <c r="AR39" s="52"/>
      <c r="AS39" s="52"/>
      <c r="AT39" s="52"/>
      <c r="AU39" s="52"/>
      <c r="AV39" s="52"/>
      <c r="AW39" s="52"/>
      <c r="AX39" s="52"/>
      <c r="AY39" s="52"/>
      <c r="AZ39" s="734"/>
      <c r="BA39" s="786" t="str">
        <f>vlookup(AZ39,'Iran, FS'!$A$1:$B$318,2, false)</f>
        <v>#N/A</v>
      </c>
      <c r="BB39" s="787" t="str">
        <f>vlookup(AZ39,'1) Kpler'!$E$2:$F$500,2,false)</f>
        <v>#N/A</v>
      </c>
      <c r="BC39" s="740"/>
      <c r="BD39" s="734"/>
      <c r="BE39" s="52"/>
      <c r="BF39" s="52"/>
      <c r="BG39" s="734"/>
      <c r="BH39" s="734"/>
      <c r="BI39" s="734"/>
      <c r="BJ39" s="734"/>
    </row>
    <row r="40" ht="15.75" customHeight="1">
      <c r="B40" s="765" t="str">
        <f>vlookup(F40,'2) Tracker'!$A$3:$O$410,5,false)</f>
        <v/>
      </c>
      <c r="C40" s="765" t="str">
        <f>vlookup(F40,'2) Tracker'!$A$3:$O$410,4,false)</f>
        <v/>
      </c>
      <c r="D40" s="734"/>
      <c r="E40" s="734" t="str">
        <f>vlookup(F40,'2) Tracker'!$A$3:$O$406,15,false)</f>
        <v/>
      </c>
      <c r="F40" s="770" t="s">
        <v>456</v>
      </c>
      <c r="G40" s="783">
        <f>VLOOKUP(F40,'2) Tracker'!$A$2:$BO$360,2,FALSE)</f>
        <v>41275</v>
      </c>
      <c r="H40" s="768">
        <f>VLOOKUP(F40,'2) Tracker'!$A$2:$BO$360,3,FALSE)</f>
        <v>80000</v>
      </c>
      <c r="I40" s="777" t="str">
        <f>VLOOKUP(F40,'2) Tracker'!$A$2:$BO$360,9,FALSE)</f>
        <v>Astomos</v>
      </c>
      <c r="J40" s="770" t="str">
        <f>VLOOKUP(F40,'2) Tracker'!$A$2:$BO$360,12,FALSE)</f>
        <v>loads USG</v>
      </c>
      <c r="K40" s="774">
        <f t="shared" ref="K40:L40" si="78">AD41</f>
        <v>46126</v>
      </c>
      <c r="L40" s="774" t="str">
        <f t="shared" si="78"/>
        <v/>
      </c>
      <c r="M40" s="771">
        <f t="shared" ref="M40:O40" si="79">AF40</f>
        <v>46190</v>
      </c>
      <c r="N40" s="771" t="str">
        <f t="shared" si="79"/>
        <v/>
      </c>
      <c r="O40" s="772" t="str">
        <f t="shared" si="79"/>
        <v/>
      </c>
      <c r="P40" s="773" t="str">
        <f>iferror(if(vlookup(F40,'Voyage days'!$M$808:$N$819,2,false),"GOA",""),"")</f>
        <v/>
      </c>
      <c r="Q40" s="771" t="str">
        <f t="shared" ref="Q40:Q344" si="81">AM40</f>
        <v/>
      </c>
      <c r="R40" s="774" t="str">
        <f>AN41</f>
        <v/>
      </c>
      <c r="S40" s="774">
        <f t="shared" si="5"/>
        <v>46178</v>
      </c>
      <c r="T40" s="771" t="str">
        <f t="shared" si="6"/>
        <v/>
      </c>
      <c r="U40" s="774" t="str">
        <f>AI41</f>
        <v/>
      </c>
      <c r="V40" s="745" t="s">
        <v>1523</v>
      </c>
      <c r="W40" s="774" t="str">
        <f>AJ41</f>
        <v/>
      </c>
      <c r="X40" s="775" t="str">
        <f t="shared" si="9"/>
        <v/>
      </c>
      <c r="Y40" s="795"/>
      <c r="Z40" s="777" t="str">
        <f>vlookup(F40,'2) Tracker'!$A$3:$Q$504,16,false)</f>
        <v>ETA Port Louis 12 Apr</v>
      </c>
      <c r="AA40" s="777" t="str">
        <f>vlookup(F40,'2) Tracker'!$A$3:$R$504,18,false)</f>
        <v>Vitol 16-17 May USG</v>
      </c>
      <c r="AB40" s="777" t="str">
        <f>vlookup(F40,'2) Tracker'!$A$3:$Q$504,17,false)</f>
        <v/>
      </c>
      <c r="AC40" s="778"/>
      <c r="AD40" s="778">
        <f>VLOOKUP(F40,'2) Tracker'!$A$2:$BO$980,37,FALSE)</f>
        <v>46158</v>
      </c>
      <c r="AE40" s="778">
        <f>VLOOKUP(F40,'2) Tracker'!$A$2:$BO$980,40,FALSE)</f>
        <v>46158</v>
      </c>
      <c r="AF40" s="778">
        <f>VLOOKUP(F40,'2) Tracker'!$A$2:$BO$980,67,FALSE)</f>
        <v>46190</v>
      </c>
      <c r="AG40" s="778" t="str">
        <f>VLOOKUP(F40,'2) Tracker'!$A$2:$BO$980,34,FALSE)</f>
        <v/>
      </c>
      <c r="AH40" s="778" t="str">
        <f>VLOOKUP(F40,'2) Tracker'!$A$2:$BN$980,66,FALSE)</f>
        <v/>
      </c>
      <c r="AI40" s="778" t="str">
        <f>VLOOKUP(F40,'2) Tracker'!$A$2:$BO$980,56,FALSE)</f>
        <v/>
      </c>
      <c r="AJ40" s="778" t="str">
        <f>VLOOKUP(F40,'2) Tracker'!$A$2:$BO$980,52,FALSE)</f>
        <v/>
      </c>
      <c r="AK40" s="778" t="str">
        <f>VLOOKUP(F40,'2) Tracker'!$A$2:$AQ$980,43,FALSE)</f>
        <v/>
      </c>
      <c r="AL40" s="778">
        <f>VLOOKUP(F40,'2) Tracker'!$A$2:$BH$980,46,FALSE())</f>
        <v>46178</v>
      </c>
      <c r="AM40" s="778" t="str">
        <f>VLOOKUP(F40,'2) Tracker'!$A$2:$BO$980,65,FALSE())</f>
        <v/>
      </c>
      <c r="AN40" s="778" t="str">
        <f>VLOOKUP(F40,'2) Tracker'!$A$2:$BK$980,63,FALSE())</f>
        <v/>
      </c>
      <c r="AO40" s="778" t="str">
        <f>VLOOKUP(F40,'2) Tracker'!$A$2:$BF$980,58,FALSE())</f>
        <v/>
      </c>
      <c r="AP40" s="52"/>
      <c r="AQ40" s="52"/>
      <c r="AR40" s="52"/>
      <c r="AS40" s="52"/>
      <c r="AT40" s="52"/>
      <c r="AU40" s="52"/>
      <c r="AV40" s="52"/>
      <c r="AW40" s="52"/>
      <c r="AX40" s="52"/>
      <c r="AY40" s="52"/>
      <c r="AZ40" s="734"/>
      <c r="BA40" s="740"/>
      <c r="BB40" s="734"/>
      <c r="BC40" s="740"/>
      <c r="BD40" s="734"/>
      <c r="BE40" s="52"/>
      <c r="BF40" s="52"/>
      <c r="BG40" s="734"/>
      <c r="BH40" s="734"/>
      <c r="BI40" s="734"/>
      <c r="BJ40" s="734"/>
    </row>
    <row r="41">
      <c r="B41" s="765" t="str">
        <f>vlookup(F41,'2) Tracker'!$A$3:$O$410,5,false)</f>
        <v/>
      </c>
      <c r="C41" s="765" t="str">
        <f>vlookup(F41,'2) Tracker'!$A$3:$O$410,4,false)</f>
        <v/>
      </c>
      <c r="D41" s="734"/>
      <c r="E41" s="734" t="str">
        <f>vlookup(F41,'2) Tracker'!$A$3:$O$406,15,false)</f>
        <v>eu</v>
      </c>
      <c r="F41" s="788" t="s">
        <v>821</v>
      </c>
      <c r="G41" s="783">
        <f>VLOOKUP(F41,'2) Tracker'!$A$2:$BO$360,2,FALSE)</f>
        <v>41960</v>
      </c>
      <c r="H41" s="768">
        <f>VLOOKUP(F41,'2) Tracker'!$A$2:$BO$360,3,FALSE)</f>
        <v>84196</v>
      </c>
      <c r="I41" s="777" t="str">
        <f>VLOOKUP(F41,'2) Tracker'!$A$2:$BO$360,9,FALSE)</f>
        <v>BP</v>
      </c>
      <c r="J41" s="770" t="str">
        <f>VLOOKUP(F41,'2) Tracker'!$A$2:$BO$360,12,FALSE)</f>
        <v>loads MH</v>
      </c>
      <c r="K41" s="771">
        <f t="shared" ref="K41:O41" si="80">AD41</f>
        <v>46126</v>
      </c>
      <c r="L41" s="771" t="str">
        <f t="shared" si="80"/>
        <v/>
      </c>
      <c r="M41" s="771" t="str">
        <f t="shared" si="80"/>
        <v/>
      </c>
      <c r="N41" s="771" t="str">
        <f t="shared" si="80"/>
        <v/>
      </c>
      <c r="O41" s="772" t="str">
        <f t="shared" si="80"/>
        <v/>
      </c>
      <c r="P41" s="773" t="str">
        <f>iferror(if(vlookup(F41,'Voyage days'!$M$808:$N$819,2,false),"GOA",""),"")</f>
        <v/>
      </c>
      <c r="Q41" s="771" t="str">
        <f t="shared" si="81"/>
        <v/>
      </c>
      <c r="R41" s="771" t="str">
        <f t="shared" ref="R41:R344" si="83">AN41</f>
        <v/>
      </c>
      <c r="S41" s="774">
        <f t="shared" si="5"/>
        <v>46141</v>
      </c>
      <c r="T41" s="771" t="str">
        <f t="shared" si="6"/>
        <v/>
      </c>
      <c r="U41" s="771" t="str">
        <f t="shared" ref="U41:U344" si="84">AI41</f>
        <v/>
      </c>
      <c r="V41" s="771"/>
      <c r="W41" s="771" t="str">
        <f t="shared" ref="W41:W344" si="85">AJ41</f>
        <v/>
      </c>
      <c r="X41" s="775" t="str">
        <f t="shared" si="9"/>
        <v/>
      </c>
      <c r="Y41" s="784"/>
      <c r="Z41" s="777" t="str">
        <f>vlookup(F41,'2) Tracker'!$A$3:$Q$504,16,false)</f>
        <v>ETA Marcus Hook 14 Apr</v>
      </c>
      <c r="AA41" s="777" t="str">
        <f>vlookup(F41,'2) Tracker'!$A$3:$R$504,18,false)</f>
        <v>BP 14-15 Apr MH</v>
      </c>
      <c r="AB41" s="777" t="str">
        <f>vlookup(F41,'2) Tracker'!$A$3:$Q$504,17,false)</f>
        <v>10-15 Apr USG next; unless sold FOB</v>
      </c>
      <c r="AC41" s="778"/>
      <c r="AD41" s="778">
        <f>VLOOKUP(F41,'2) Tracker'!$A$2:$BO$980,37,FALSE)</f>
        <v>46126</v>
      </c>
      <c r="AE41" s="778" t="str">
        <f>VLOOKUP(F41,'2) Tracker'!$A$2:$BO$980,40,FALSE)</f>
        <v/>
      </c>
      <c r="AF41" s="778" t="str">
        <f>VLOOKUP(F41,'2) Tracker'!$A$2:$BO$980,67,FALSE)</f>
        <v/>
      </c>
      <c r="AG41" s="778" t="str">
        <f>VLOOKUP(F41,'2) Tracker'!$A$2:$BO$980,34,FALSE)</f>
        <v/>
      </c>
      <c r="AH41" s="778" t="str">
        <f>VLOOKUP(F41,'2) Tracker'!$A$2:$BN$980,66,FALSE)</f>
        <v/>
      </c>
      <c r="AI41" s="778" t="str">
        <f>VLOOKUP(F41,'2) Tracker'!$A$2:$BO$980,56,FALSE)</f>
        <v/>
      </c>
      <c r="AJ41" s="778" t="str">
        <f>VLOOKUP(F41,'2) Tracker'!$A$2:$BO$980,52,FALSE)</f>
        <v/>
      </c>
      <c r="AK41" s="778" t="str">
        <f>VLOOKUP(F41,'2) Tracker'!$A$2:$AQ$980,43,FALSE)</f>
        <v/>
      </c>
      <c r="AL41" s="778">
        <f>VLOOKUP(F41,'2) Tracker'!$A$2:$BH$980,46,FALSE())</f>
        <v>46141</v>
      </c>
      <c r="AM41" s="778" t="str">
        <f>VLOOKUP(F41,'2) Tracker'!$A$2:$BO$980,65,FALSE())</f>
        <v/>
      </c>
      <c r="AN41" s="778" t="str">
        <f>VLOOKUP(F41,'2) Tracker'!$A$2:$BK$980,63,FALSE())</f>
        <v/>
      </c>
      <c r="AO41" s="778" t="str">
        <f>VLOOKUP(F41,'2) Tracker'!$A$2:$BF$980,58,FALSE())</f>
        <v/>
      </c>
      <c r="AP41" s="52"/>
      <c r="AQ41" s="52"/>
      <c r="AR41" s="52"/>
      <c r="AS41" s="52"/>
      <c r="AT41" s="52"/>
      <c r="AU41" s="52"/>
      <c r="AV41" s="52"/>
      <c r="AW41" s="52"/>
      <c r="AX41" s="52"/>
      <c r="AY41" s="52"/>
      <c r="AZ41" s="734"/>
      <c r="BA41" s="786" t="str">
        <f>vlookup(AZ41,'Iran, FS'!$A$1:$B$318,2, false)</f>
        <v>#N/A</v>
      </c>
      <c r="BB41" s="787" t="str">
        <f>vlookup(AZ41,'1) Kpler'!$E$2:$F$500,2,false)</f>
        <v>#N/A</v>
      </c>
      <c r="BC41" s="740"/>
      <c r="BD41" s="734"/>
      <c r="BE41" s="52"/>
      <c r="BF41" s="52"/>
      <c r="BG41" s="734"/>
      <c r="BH41" s="734"/>
      <c r="BI41" s="734"/>
      <c r="BJ41" s="734"/>
    </row>
    <row r="42">
      <c r="B42" s="765" t="str">
        <f>vlookup(F42,'2) Tracker'!$A$3:$O$410,5,false)</f>
        <v/>
      </c>
      <c r="C42" s="765" t="str">
        <f>vlookup(F42,'2) Tracker'!$A$3:$O$410,4,false)</f>
        <v/>
      </c>
      <c r="D42" s="734"/>
      <c r="E42" s="734" t="str">
        <f>vlookup(F42,'2) Tracker'!$A$3:$O$406,15,false)</f>
        <v/>
      </c>
      <c r="F42" s="766" t="s">
        <v>61</v>
      </c>
      <c r="G42" s="783">
        <f>VLOOKUP(F42,'2) Tracker'!$A$2:$BO$360,2,FALSE)</f>
        <v>39814</v>
      </c>
      <c r="H42" s="808">
        <f>VLOOKUP(F42,'2) Tracker'!$A$2:$BO$360,3,FALSE)</f>
        <v>75000</v>
      </c>
      <c r="I42" s="769" t="str">
        <f>VLOOKUP(F42,'2) Tracker'!$A$2:$BO$360,9,FALSE)</f>
        <v>Geogas</v>
      </c>
      <c r="J42" s="770" t="str">
        <f>VLOOKUP(F42,'2) Tracker'!$A$2:$BO$360,12,FALSE)</f>
        <v>Ocoa Bay</v>
      </c>
      <c r="K42" s="774">
        <f t="shared" ref="K42:O42" si="82">AD42</f>
        <v>46127</v>
      </c>
      <c r="L42" s="774">
        <f t="shared" si="82"/>
        <v>46127</v>
      </c>
      <c r="M42" s="771" t="str">
        <f t="shared" si="82"/>
        <v/>
      </c>
      <c r="N42" s="771" t="str">
        <f t="shared" si="82"/>
        <v/>
      </c>
      <c r="O42" s="772" t="str">
        <f t="shared" si="82"/>
        <v/>
      </c>
      <c r="P42" s="773" t="str">
        <f>iferror(if(vlookup(F42,'Voyage days'!$M$808:$N$819,2,false),"GOA",""),"")</f>
        <v/>
      </c>
      <c r="Q42" s="771" t="str">
        <f t="shared" si="81"/>
        <v/>
      </c>
      <c r="R42" s="771" t="str">
        <f t="shared" si="83"/>
        <v/>
      </c>
      <c r="S42" s="774">
        <f t="shared" si="5"/>
        <v>46140</v>
      </c>
      <c r="T42" s="774">
        <f t="shared" si="6"/>
        <v>46135</v>
      </c>
      <c r="U42" s="771" t="str">
        <f t="shared" si="84"/>
        <v/>
      </c>
      <c r="V42" s="771"/>
      <c r="W42" s="771" t="str">
        <f t="shared" si="85"/>
        <v/>
      </c>
      <c r="X42" s="775" t="str">
        <f t="shared" si="9"/>
        <v/>
      </c>
      <c r="Y42" s="776"/>
      <c r="Z42" s="777" t="str">
        <f>vlookup(F42,'2) Tracker'!$A$3:$Q$504,16,false)</f>
        <v>Ex San Pedro de Macoris 11 Apr, ETA USG 15 Apr</v>
      </c>
      <c r="AA42" s="777" t="str">
        <f>vlookup(F42,'2) Tracker'!$A$3:$R$504,18,false)</f>
        <v>Geogas 27-28 Mar Freeport</v>
      </c>
      <c r="AB42" s="777" t="str">
        <f>vlookup(F42,'2) Tracker'!$A$3:$Q$504,17,false)</f>
        <v/>
      </c>
      <c r="AC42" s="778"/>
      <c r="AD42" s="778">
        <f>VLOOKUP(F42,'2) Tracker'!$A$2:$BO$980,37,FALSE)</f>
        <v>46127</v>
      </c>
      <c r="AE42" s="778">
        <f>VLOOKUP(F42,'2) Tracker'!$A$2:$BO$980,40,FALSE)</f>
        <v>46127</v>
      </c>
      <c r="AF42" s="778" t="str">
        <f>VLOOKUP(F42,'2) Tracker'!$A$2:$BO$980,67,FALSE)</f>
        <v/>
      </c>
      <c r="AG42" s="778" t="str">
        <f>VLOOKUP(F42,'2) Tracker'!$A$2:$BO$980,34,FALSE)</f>
        <v/>
      </c>
      <c r="AH42" s="778" t="str">
        <f>VLOOKUP(F42,'2) Tracker'!$A$2:$BN$980,66,FALSE)</f>
        <v/>
      </c>
      <c r="AI42" s="778" t="str">
        <f>VLOOKUP(F42,'2) Tracker'!$A$2:$BO$980,56,FALSE)</f>
        <v/>
      </c>
      <c r="AJ42" s="778" t="str">
        <f>VLOOKUP(F42,'2) Tracker'!$A$2:$BO$980,52,FALSE)</f>
        <v/>
      </c>
      <c r="AK42" s="778">
        <f>VLOOKUP(F42,'2) Tracker'!$A$2:$AQ$980,43,FALSE)</f>
        <v>46135</v>
      </c>
      <c r="AL42" s="778">
        <f>VLOOKUP(F42,'2) Tracker'!$A$2:$BH$980,46,FALSE())</f>
        <v>46140</v>
      </c>
      <c r="AM42" s="778" t="str">
        <f>VLOOKUP(F42,'2) Tracker'!$A$2:$BO$980,65,FALSE())</f>
        <v/>
      </c>
      <c r="AN42" s="778" t="str">
        <f>VLOOKUP(F42,'2) Tracker'!$A$2:$BK$980,63,FALSE())</f>
        <v/>
      </c>
      <c r="AO42" s="778" t="str">
        <f>VLOOKUP(F42,'2) Tracker'!$A$2:$BF$980,58,FALSE())</f>
        <v/>
      </c>
      <c r="AP42" s="52"/>
      <c r="AQ42" s="52"/>
      <c r="AR42" s="52"/>
      <c r="AS42" s="52"/>
      <c r="AT42" s="52"/>
      <c r="AU42" s="52"/>
      <c r="AV42" s="52"/>
      <c r="AW42" s="52"/>
      <c r="AX42" s="52"/>
      <c r="AY42" s="52"/>
      <c r="AZ42" s="734"/>
      <c r="BA42" s="740"/>
      <c r="BB42" s="734"/>
      <c r="BC42" s="740"/>
      <c r="BD42" s="734"/>
      <c r="BE42" s="52"/>
      <c r="BF42" s="52"/>
      <c r="BG42" s="734"/>
      <c r="BH42" s="734"/>
      <c r="BI42" s="734"/>
      <c r="BJ42" s="734"/>
    </row>
    <row r="43">
      <c r="B43" s="765" t="str">
        <f>vlookup(F43,'2) Tracker'!$A$3:$O$410,5,false)</f>
        <v/>
      </c>
      <c r="C43" s="765" t="str">
        <f>vlookup(F43,'2) Tracker'!$A$3:$O$410,4,false)</f>
        <v/>
      </c>
      <c r="D43" s="734"/>
      <c r="E43" s="734" t="str">
        <f>vlookup(F43,'2) Tracker'!$A$3:$O$406,15,false)</f>
        <v/>
      </c>
      <c r="F43" s="788" t="s">
        <v>254</v>
      </c>
      <c r="G43" s="783">
        <f>VLOOKUP(F43,'2) Tracker'!$A$2:$BO$360,2,FALSE)</f>
        <v>39736</v>
      </c>
      <c r="H43" s="768">
        <f>VLOOKUP(F43,'2) Tracker'!$A$2:$BO$360,3,FALSE)</f>
        <v>82200</v>
      </c>
      <c r="I43" s="777" t="str">
        <f>VLOOKUP(F43,'2) Tracker'!$A$2:$BO$360,9,FALSE)</f>
        <v>SK Gas</v>
      </c>
      <c r="J43" s="770" t="str">
        <f>VLOOKUP(F43,'2) Tracker'!$A$2:$BO$360,12,FALSE)</f>
        <v>loads USG</v>
      </c>
      <c r="K43" s="774">
        <f t="shared" ref="K43:O43" si="86">AD43</f>
        <v>46127</v>
      </c>
      <c r="L43" s="774">
        <f t="shared" si="86"/>
        <v>46127</v>
      </c>
      <c r="M43" s="771">
        <f t="shared" si="86"/>
        <v>46159</v>
      </c>
      <c r="N43" s="771" t="str">
        <f t="shared" si="86"/>
        <v/>
      </c>
      <c r="O43" s="772" t="str">
        <f t="shared" si="86"/>
        <v/>
      </c>
      <c r="P43" s="773" t="str">
        <f>iferror(if(vlookup(F43,'Voyage days'!$M$808:$N$819,2,false),"GOA",""),"")</f>
        <v/>
      </c>
      <c r="Q43" s="771" t="str">
        <f t="shared" si="81"/>
        <v/>
      </c>
      <c r="R43" s="774" t="str">
        <f t="shared" si="83"/>
        <v/>
      </c>
      <c r="S43" s="774">
        <f t="shared" si="5"/>
        <v>46147</v>
      </c>
      <c r="T43" s="771" t="str">
        <f t="shared" si="6"/>
        <v/>
      </c>
      <c r="U43" s="774" t="str">
        <f t="shared" si="84"/>
        <v/>
      </c>
      <c r="V43" s="745" t="s">
        <v>1523</v>
      </c>
      <c r="W43" s="771" t="str">
        <f t="shared" si="85"/>
        <v/>
      </c>
      <c r="X43" s="775" t="str">
        <f t="shared" si="9"/>
        <v/>
      </c>
      <c r="Y43" s="776"/>
      <c r="Z43" s="777" t="str">
        <f>vlookup(F43,'2) Tracker'!$A$3:$Q$504,16,false)</f>
        <v>ETA USG 13 Apr via Cape</v>
      </c>
      <c r="AA43" s="777" t="str">
        <f>vlookup(F43,'2) Tracker'!$A$3:$R$504,18,false)</f>
        <v>SK Gas 14-15 Apr USG</v>
      </c>
      <c r="AB43" s="777" t="str">
        <f>vlookup(F43,'2) Tracker'!$A$3:$Q$504,17,false)</f>
        <v/>
      </c>
      <c r="AC43" s="778"/>
      <c r="AD43" s="778">
        <f>VLOOKUP(F43,'2) Tracker'!$A$2:$BO$980,37,FALSE)</f>
        <v>46127</v>
      </c>
      <c r="AE43" s="778">
        <f>VLOOKUP(F43,'2) Tracker'!$A$2:$BO$980,40,FALSE)</f>
        <v>46127</v>
      </c>
      <c r="AF43" s="778">
        <f>VLOOKUP(F43,'2) Tracker'!$A$2:$BO$980,67,FALSE)</f>
        <v>46159</v>
      </c>
      <c r="AG43" s="778" t="str">
        <f>VLOOKUP(F43,'2) Tracker'!$A$2:$BO$980,34,FALSE)</f>
        <v/>
      </c>
      <c r="AH43" s="778" t="str">
        <f>VLOOKUP(F43,'2) Tracker'!$A$2:$BN$980,66,FALSE)</f>
        <v/>
      </c>
      <c r="AI43" s="778" t="str">
        <f>VLOOKUP(F43,'2) Tracker'!$A$2:$BO$980,56,FALSE)</f>
        <v/>
      </c>
      <c r="AJ43" s="778" t="str">
        <f>VLOOKUP(F43,'2) Tracker'!$A$2:$BO$980,52,FALSE)</f>
        <v/>
      </c>
      <c r="AK43" s="778" t="str">
        <f>VLOOKUP(F43,'2) Tracker'!$A$2:$AQ$980,43,FALSE)</f>
        <v/>
      </c>
      <c r="AL43" s="778">
        <f>VLOOKUP(F43,'2) Tracker'!$A$2:$BH$980,46,FALSE())</f>
        <v>46147</v>
      </c>
      <c r="AM43" s="778" t="str">
        <f>VLOOKUP(F43,'2) Tracker'!$A$2:$BO$980,65,FALSE())</f>
        <v/>
      </c>
      <c r="AN43" s="778" t="str">
        <f>VLOOKUP(F43,'2) Tracker'!$A$2:$BK$980,63,FALSE())</f>
        <v/>
      </c>
      <c r="AO43" s="778" t="str">
        <f>VLOOKUP(F43,'2) Tracker'!$A$2:$BF$980,58,FALSE())</f>
        <v/>
      </c>
      <c r="AP43" s="52"/>
      <c r="AQ43" s="52"/>
      <c r="AR43" s="52"/>
      <c r="AS43" s="52"/>
      <c r="AT43" s="52"/>
      <c r="AU43" s="52"/>
      <c r="AV43" s="52"/>
      <c r="AW43" s="52"/>
      <c r="AX43" s="52"/>
      <c r="AY43" s="52"/>
      <c r="AZ43" s="734"/>
      <c r="BA43" s="786" t="str">
        <f>vlookup(AZ43,'Iran, FS'!$A$1:$B$318,2, false)</f>
        <v>#N/A</v>
      </c>
      <c r="BB43" s="787" t="str">
        <f>vlookup(AZ43,'1) Kpler'!$E$2:$F$500,2,false)</f>
        <v>#N/A</v>
      </c>
      <c r="BC43" s="740"/>
      <c r="BD43" s="734"/>
      <c r="BE43" s="52"/>
      <c r="BF43" s="52"/>
      <c r="BG43" s="734"/>
      <c r="BH43" s="734"/>
      <c r="BI43" s="734"/>
      <c r="BJ43" s="734"/>
    </row>
    <row r="44">
      <c r="B44" s="765" t="str">
        <f>vlookup(F44,'2) Tracker'!$A$3:$O$410,5,false)</f>
        <v/>
      </c>
      <c r="C44" s="765" t="str">
        <f>vlookup(F44,'2) Tracker'!$A$3:$O$410,4,false)</f>
        <v>US</v>
      </c>
      <c r="D44" s="734"/>
      <c r="E44" s="734" t="str">
        <f>vlookup(F44,'2) Tracker'!$A$3:$O$406,15,false)</f>
        <v/>
      </c>
      <c r="F44" s="766" t="s">
        <v>571</v>
      </c>
      <c r="G44" s="789">
        <f>VLOOKUP(F44,'2) Tracker'!$A$2:$BO$360,2,FALSE)</f>
        <v>2020</v>
      </c>
      <c r="H44" s="768">
        <f>VLOOKUP(F44,'2) Tracker'!$A$2:$BO$360,3,FALSE)</f>
        <v>84000</v>
      </c>
      <c r="I44" s="769" t="str">
        <f>VLOOKUP(F44,'2) Tracker'!$A$2:$BO$360,9,FALSE)</f>
        <v>ATC &gt; Mercuria</v>
      </c>
      <c r="J44" s="770" t="str">
        <f>VLOOKUP(F44,'2) Tracker'!$A$2:$BO$360,12,FALSE)</f>
        <v>loads USG</v>
      </c>
      <c r="K44" s="774">
        <f t="shared" ref="K44:O44" si="87">AD44</f>
        <v>46127</v>
      </c>
      <c r="L44" s="774">
        <f t="shared" si="87"/>
        <v>46127</v>
      </c>
      <c r="M44" s="771">
        <f t="shared" si="87"/>
        <v>46159</v>
      </c>
      <c r="N44" s="771" t="str">
        <f t="shared" si="87"/>
        <v/>
      </c>
      <c r="O44" s="772" t="str">
        <f t="shared" si="87"/>
        <v/>
      </c>
      <c r="P44" s="773" t="str">
        <f>iferror(if(vlookup(F44,'Voyage days'!$M$808:$N$819,2,false),"GOA",""),"")</f>
        <v/>
      </c>
      <c r="Q44" s="771" t="str">
        <f t="shared" si="81"/>
        <v/>
      </c>
      <c r="R44" s="771" t="str">
        <f t="shared" si="83"/>
        <v/>
      </c>
      <c r="S44" s="774">
        <f t="shared" si="5"/>
        <v>46147</v>
      </c>
      <c r="T44" s="771" t="str">
        <f t="shared" si="6"/>
        <v/>
      </c>
      <c r="U44" s="771" t="str">
        <f t="shared" si="84"/>
        <v/>
      </c>
      <c r="V44" s="771"/>
      <c r="W44" s="771" t="str">
        <f t="shared" si="85"/>
        <v/>
      </c>
      <c r="X44" s="775" t="str">
        <f t="shared" si="9"/>
        <v/>
      </c>
      <c r="Y44" s="795" t="s">
        <v>1541</v>
      </c>
      <c r="Z44" s="777" t="str">
        <f>vlookup(F44,'2) Tracker'!$A$3:$Q$504,16,false)</f>
        <v>ex DD, @ Targa 13 Apr, still loading</v>
      </c>
      <c r="AA44" s="777" t="str">
        <f>vlookup(F44,'2) Tracker'!$A$3:$R$504,18,false)</f>
        <v>Chevron 12-13 Apr USG</v>
      </c>
      <c r="AB44" s="777" t="str">
        <f>vlookup(F44,'2) Tracker'!$A$3:$Q$504,17,false)</f>
        <v/>
      </c>
      <c r="AC44" s="778"/>
      <c r="AD44" s="778">
        <f>VLOOKUP(F44,'2) Tracker'!$A$2:$BO$980,37,FALSE)</f>
        <v>46127</v>
      </c>
      <c r="AE44" s="778">
        <f>VLOOKUP(F44,'2) Tracker'!$A$2:$BO$980,40,FALSE)</f>
        <v>46127</v>
      </c>
      <c r="AF44" s="778">
        <f>VLOOKUP(F44,'2) Tracker'!$A$2:$BO$980,67,FALSE)</f>
        <v>46159</v>
      </c>
      <c r="AG44" s="778" t="str">
        <f>VLOOKUP(F44,'2) Tracker'!$A$2:$BO$980,34,FALSE)</f>
        <v/>
      </c>
      <c r="AH44" s="778" t="str">
        <f>VLOOKUP(F44,'2) Tracker'!$A$2:$BN$980,66,FALSE)</f>
        <v/>
      </c>
      <c r="AI44" s="778" t="str">
        <f>VLOOKUP(F44,'2) Tracker'!$A$2:$BO$980,56,FALSE)</f>
        <v/>
      </c>
      <c r="AJ44" s="778" t="str">
        <f>VLOOKUP(F44,'2) Tracker'!$A$2:$BO$980,52,FALSE)</f>
        <v/>
      </c>
      <c r="AK44" s="778" t="str">
        <f>VLOOKUP(F44,'2) Tracker'!$A$2:$AQ$980,43,FALSE)</f>
        <v/>
      </c>
      <c r="AL44" s="778">
        <f>VLOOKUP(F44,'2) Tracker'!$A$2:$BH$980,46,FALSE())</f>
        <v>46147</v>
      </c>
      <c r="AM44" s="778" t="str">
        <f>VLOOKUP(F44,'2) Tracker'!$A$2:$BO$980,65,FALSE())</f>
        <v/>
      </c>
      <c r="AN44" s="778" t="str">
        <f>VLOOKUP(F44,'2) Tracker'!$A$2:$BK$980,63,FALSE())</f>
        <v/>
      </c>
      <c r="AO44" s="778" t="str">
        <f>VLOOKUP(F44,'2) Tracker'!$A$2:$BF$980,58,FALSE())</f>
        <v/>
      </c>
      <c r="AP44" s="52"/>
      <c r="AQ44" s="52"/>
      <c r="AR44" s="52"/>
      <c r="AS44" s="52"/>
      <c r="AT44" s="52"/>
      <c r="AU44" s="52"/>
      <c r="AV44" s="52"/>
      <c r="AW44" s="52"/>
      <c r="AX44" s="52"/>
      <c r="AY44" s="52"/>
      <c r="AZ44" s="734"/>
      <c r="BA44" s="786" t="str">
        <f>vlookup(AZ44,'Iran, FS'!$A$1:$B$318,2, false)</f>
        <v>#N/A</v>
      </c>
      <c r="BB44" s="787" t="str">
        <f>vlookup(AZ44,'1) Kpler'!$E$2:$F$500,2,false)</f>
        <v>#N/A</v>
      </c>
      <c r="BC44" s="740"/>
      <c r="BD44" s="734"/>
      <c r="BE44" s="52"/>
      <c r="BF44" s="52"/>
      <c r="BG44" s="734"/>
      <c r="BH44" s="734"/>
      <c r="BI44" s="734"/>
      <c r="BJ44" s="734"/>
    </row>
    <row r="45">
      <c r="B45" s="765" t="str">
        <f>vlookup(F45,'2) Tracker'!$A$3:$O$410,5,false)</f>
        <v/>
      </c>
      <c r="C45" s="765" t="str">
        <f>vlookup(F45,'2) Tracker'!$A$3:$O$410,4,false)</f>
        <v/>
      </c>
      <c r="D45" s="734"/>
      <c r="E45" s="734" t="str">
        <f>vlookup(F45,'2) Tracker'!$A$3:$O$406,15,false)</f>
        <v/>
      </c>
      <c r="F45" s="766" t="s">
        <v>1211</v>
      </c>
      <c r="G45" s="783">
        <f>VLOOKUP(F45,'2) Tracker'!$A$2:$BO$360,2,FALSE)</f>
        <v>42121</v>
      </c>
      <c r="H45" s="768">
        <f>VLOOKUP(F45,'2) Tracker'!$A$2:$BO$360,3,FALSE)</f>
        <v>84161</v>
      </c>
      <c r="I45" s="769" t="str">
        <f>VLOOKUP(F45,'2) Tracker'!$A$2:$BO$360,9,FALSE)</f>
        <v>Total</v>
      </c>
      <c r="J45" s="770" t="str">
        <f>VLOOKUP(F45,'2) Tracker'!$A$2:$BO$360,12,FALSE)</f>
        <v>loads USG</v>
      </c>
      <c r="K45" s="774">
        <f t="shared" ref="K45:O45" si="88">AD45</f>
        <v>46127</v>
      </c>
      <c r="L45" s="774">
        <f t="shared" si="88"/>
        <v>46127</v>
      </c>
      <c r="M45" s="771">
        <f t="shared" si="88"/>
        <v>46159</v>
      </c>
      <c r="N45" s="771" t="str">
        <f t="shared" si="88"/>
        <v/>
      </c>
      <c r="O45" s="772" t="str">
        <f t="shared" si="88"/>
        <v/>
      </c>
      <c r="P45" s="773" t="str">
        <f>iferror(if(vlookup(F45,'Voyage days'!$M$808:$N$821,2,false),"GOA",""),"")</f>
        <v/>
      </c>
      <c r="Q45" s="771" t="str">
        <f t="shared" si="81"/>
        <v/>
      </c>
      <c r="R45" s="774" t="str">
        <f t="shared" si="83"/>
        <v/>
      </c>
      <c r="S45" s="774">
        <f t="shared" si="5"/>
        <v>46147</v>
      </c>
      <c r="T45" s="771" t="str">
        <f t="shared" si="6"/>
        <v/>
      </c>
      <c r="U45" s="774" t="str">
        <f t="shared" si="84"/>
        <v/>
      </c>
      <c r="V45" s="774"/>
      <c r="W45" s="774" t="str">
        <f t="shared" si="85"/>
        <v/>
      </c>
      <c r="X45" s="775" t="str">
        <f t="shared" si="9"/>
        <v/>
      </c>
      <c r="Y45" s="776"/>
      <c r="Z45" s="777" t="str">
        <f>vlookup(F45,'2) Tracker'!$A$3:$Q$504,16,false)</f>
        <v>@ Port Arthur lighterage 12 Apr via Cape</v>
      </c>
      <c r="AA45" s="777" t="str">
        <f>vlookup(F45,'2) Tracker'!$A$3:$R$504,18,false)</f>
        <v>Total 12-13 Apr Nederland</v>
      </c>
      <c r="AB45" s="777" t="str">
        <f>vlookup(F45,'2) Tracker'!$A$3:$Q$504,17,false)</f>
        <v/>
      </c>
      <c r="AC45" s="778"/>
      <c r="AD45" s="778">
        <f>VLOOKUP(F45,'2) Tracker'!$A$2:$BO$980,37,FALSE)</f>
        <v>46127</v>
      </c>
      <c r="AE45" s="778">
        <f>VLOOKUP(F45,'2) Tracker'!$A$2:$BO$980,40,FALSE)</f>
        <v>46127</v>
      </c>
      <c r="AF45" s="778">
        <f>VLOOKUP(F45,'2) Tracker'!$A$2:$BO$980,67,FALSE)</f>
        <v>46159</v>
      </c>
      <c r="AG45" s="778" t="str">
        <f>VLOOKUP(F45,'2) Tracker'!$A$2:$BO$980,34,FALSE)</f>
        <v/>
      </c>
      <c r="AH45" s="778" t="str">
        <f>VLOOKUP(F45,'2) Tracker'!$A$2:$BN$980,66,FALSE)</f>
        <v/>
      </c>
      <c r="AI45" s="778" t="str">
        <f>VLOOKUP(F45,'2) Tracker'!$A$2:$BO$980,56,FALSE)</f>
        <v/>
      </c>
      <c r="AJ45" s="778" t="str">
        <f>VLOOKUP(F45,'2) Tracker'!$A$2:$BO$980,52,FALSE)</f>
        <v/>
      </c>
      <c r="AK45" s="778" t="str">
        <f>VLOOKUP(F45,'2) Tracker'!$A$2:$AQ$980,43,FALSE)</f>
        <v/>
      </c>
      <c r="AL45" s="778">
        <f>VLOOKUP(F45,'2) Tracker'!$A$2:$BH$980,46,FALSE())</f>
        <v>46147</v>
      </c>
      <c r="AM45" s="778" t="str">
        <f>VLOOKUP(F45,'2) Tracker'!$A$2:$BO$980,65,FALSE())</f>
        <v/>
      </c>
      <c r="AN45" s="778" t="str">
        <f>VLOOKUP(F45,'2) Tracker'!$A$2:$BK$980,63,FALSE())</f>
        <v/>
      </c>
      <c r="AO45" s="778" t="str">
        <f>VLOOKUP(F45,'2) Tracker'!$A$2:$BF$980,58,FALSE())</f>
        <v/>
      </c>
      <c r="AP45" s="52"/>
      <c r="AQ45" s="52"/>
      <c r="AR45" s="52"/>
      <c r="AS45" s="52"/>
      <c r="AT45" s="52"/>
      <c r="AU45" s="52"/>
      <c r="AV45" s="52"/>
      <c r="AW45" s="52"/>
      <c r="AX45" s="52"/>
      <c r="AY45" s="52"/>
      <c r="AZ45" s="734"/>
      <c r="BA45" s="740"/>
      <c r="BB45" s="734"/>
      <c r="BC45" s="740"/>
      <c r="BD45" s="734"/>
      <c r="BE45" s="52"/>
      <c r="BF45" s="52"/>
      <c r="BG45" s="734"/>
      <c r="BH45" s="734"/>
      <c r="BI45" s="734"/>
      <c r="BJ45" s="734"/>
    </row>
    <row r="46">
      <c r="B46" s="765" t="str">
        <f>vlookup(F46,'2) Tracker'!$A$3:$O$410,5,false)</f>
        <v/>
      </c>
      <c r="C46" s="765" t="str">
        <f>vlookup(F46,'2) Tracker'!$A$3:$O$410,4,false)</f>
        <v/>
      </c>
      <c r="D46" s="732" t="s">
        <v>1515</v>
      </c>
      <c r="E46" s="734" t="str">
        <f>vlookup(F46,'2) Tracker'!$A$3:$O$406,15,false)</f>
        <v/>
      </c>
      <c r="F46" s="809" t="s">
        <v>340</v>
      </c>
      <c r="G46" s="789">
        <f>VLOOKUP(F46,'2) Tracker'!$A$2:$BO$360,2,FALSE)</f>
        <v>2021</v>
      </c>
      <c r="H46" s="768">
        <f>VLOOKUP(F46,'2) Tracker'!$A$2:$BO$360,3,FALSE)</f>
        <v>84000</v>
      </c>
      <c r="I46" s="777" t="str">
        <f>VLOOKUP(F46,'2) Tracker'!$A$2:$BO$360,9,FALSE)</f>
        <v>Eneos</v>
      </c>
      <c r="J46" s="770" t="str">
        <f>VLOOKUP(F46,'2) Tracker'!$A$2:$BO$360,12,FALSE)</f>
        <v>loads USG</v>
      </c>
      <c r="K46" s="771">
        <f t="shared" ref="K46:O46" si="89">AD46</f>
        <v>46127</v>
      </c>
      <c r="L46" s="771">
        <f t="shared" si="89"/>
        <v>46127</v>
      </c>
      <c r="M46" s="771">
        <f t="shared" si="89"/>
        <v>46159</v>
      </c>
      <c r="N46" s="771" t="str">
        <f t="shared" si="89"/>
        <v/>
      </c>
      <c r="O46" s="772" t="str">
        <f t="shared" si="89"/>
        <v/>
      </c>
      <c r="P46" s="773" t="str">
        <f>iferror(if(vlookup(F46,'Voyage days'!$M$808:$N$819,2,false),"GOA",""),"")</f>
        <v/>
      </c>
      <c r="Q46" s="771" t="str">
        <f t="shared" si="81"/>
        <v/>
      </c>
      <c r="R46" s="771" t="str">
        <f t="shared" si="83"/>
        <v/>
      </c>
      <c r="S46" s="774">
        <f t="shared" si="5"/>
        <v>46147</v>
      </c>
      <c r="T46" s="771" t="str">
        <f t="shared" si="6"/>
        <v/>
      </c>
      <c r="U46" s="771" t="str">
        <f t="shared" si="84"/>
        <v/>
      </c>
      <c r="V46" s="771"/>
      <c r="W46" s="771" t="str">
        <f t="shared" si="85"/>
        <v/>
      </c>
      <c r="X46" s="775" t="str">
        <f t="shared" si="9"/>
        <v/>
      </c>
      <c r="Y46" s="776"/>
      <c r="Z46" s="777" t="str">
        <f>vlookup(F46,'2) Tracker'!$A$3:$Q$504,16,false)</f>
        <v>ETA Nederland 14 Apr</v>
      </c>
      <c r="AA46" s="777" t="str">
        <f>vlookup(F46,'2) Tracker'!$A$3:$R$504,18,false)</f>
        <v>Eneos 14-15 Apr Nederland</v>
      </c>
      <c r="AB46" s="777" t="str">
        <f>vlookup(F46,'2) Tracker'!$A$3:$Q$504,17,false)</f>
        <v/>
      </c>
      <c r="AC46" s="778"/>
      <c r="AD46" s="778">
        <f>VLOOKUP(F46,'2) Tracker'!$A$2:$BO$980,37,FALSE)</f>
        <v>46127</v>
      </c>
      <c r="AE46" s="778">
        <f>VLOOKUP(F46,'2) Tracker'!$A$2:$BO$980,40,FALSE)</f>
        <v>46127</v>
      </c>
      <c r="AF46" s="778">
        <f>VLOOKUP(F46,'2) Tracker'!$A$2:$BO$980,67,FALSE)</f>
        <v>46159</v>
      </c>
      <c r="AG46" s="778" t="str">
        <f>VLOOKUP(F46,'2) Tracker'!$A$2:$BO$980,34,FALSE)</f>
        <v/>
      </c>
      <c r="AH46" s="778" t="str">
        <f>VLOOKUP(F46,'2) Tracker'!$A$2:$BN$980,66,FALSE)</f>
        <v/>
      </c>
      <c r="AI46" s="778" t="str">
        <f>VLOOKUP(F46,'2) Tracker'!$A$2:$BO$980,56,FALSE)</f>
        <v/>
      </c>
      <c r="AJ46" s="778" t="str">
        <f>VLOOKUP(F46,'2) Tracker'!$A$2:$BO$980,52,FALSE)</f>
        <v/>
      </c>
      <c r="AK46" s="778" t="str">
        <f>VLOOKUP(F46,'2) Tracker'!$A$2:$AQ$980,43,FALSE)</f>
        <v/>
      </c>
      <c r="AL46" s="778">
        <f>VLOOKUP(F46,'2) Tracker'!$A$2:$BH$980,46,FALSE())</f>
        <v>46147</v>
      </c>
      <c r="AM46" s="778" t="str">
        <f>VLOOKUP(F46,'2) Tracker'!$A$2:$BO$980,65,FALSE())</f>
        <v/>
      </c>
      <c r="AN46" s="778" t="str">
        <f>VLOOKUP(F46,'2) Tracker'!$A$2:$BK$980,63,FALSE())</f>
        <v/>
      </c>
      <c r="AO46" s="778" t="str">
        <f>VLOOKUP(F46,'2) Tracker'!$A$2:$BF$980,58,FALSE())</f>
        <v/>
      </c>
      <c r="AP46" s="52"/>
      <c r="AQ46" s="52"/>
      <c r="AR46" s="52"/>
      <c r="AS46" s="52"/>
      <c r="AT46" s="52"/>
      <c r="AU46" s="52"/>
      <c r="AV46" s="52"/>
      <c r="AW46" s="52"/>
      <c r="AX46" s="52"/>
      <c r="AY46" s="52"/>
      <c r="AZ46" s="787"/>
      <c r="BA46" s="786" t="str">
        <f>vlookup(AZ46,'Iran, FS'!$A$1:$B$318,2, false)</f>
        <v>#N/A</v>
      </c>
      <c r="BB46" s="787" t="str">
        <f>vlookup(AZ46,'1) Kpler'!$E$2:$F$500,2,false)</f>
        <v>#N/A</v>
      </c>
      <c r="BC46" s="788"/>
      <c r="BD46" s="787"/>
      <c r="BE46" s="52"/>
      <c r="BF46" s="52"/>
      <c r="BG46" s="787"/>
      <c r="BH46" s="787"/>
      <c r="BI46" s="787"/>
      <c r="BJ46" s="787"/>
    </row>
    <row r="47">
      <c r="B47" s="765" t="str">
        <f>vlookup(F47,'2) Tracker'!$A$3:$O$410,5,false)</f>
        <v/>
      </c>
      <c r="C47" s="765" t="str">
        <f>vlookup(F47,'2) Tracker'!$A$3:$O$410,4,false)</f>
        <v/>
      </c>
      <c r="D47" s="734"/>
      <c r="E47" s="734" t="str">
        <f>vlookup(F47,'2) Tracker'!$A$3:$O$406,15,false)</f>
        <v/>
      </c>
      <c r="F47" s="788" t="s">
        <v>549</v>
      </c>
      <c r="G47" s="783">
        <f>VLOOKUP(F47,'2) Tracker'!$A$2:$BO$360,2,FALSE)</f>
        <v>42550</v>
      </c>
      <c r="H47" s="768">
        <f>VLOOKUP(F47,'2) Tracker'!$A$2:$BO$360,3,FALSE)</f>
        <v>84000</v>
      </c>
      <c r="I47" s="777" t="str">
        <f>VLOOKUP(F47,'2) Tracker'!$A$2:$BO$360,9,FALSE)</f>
        <v>OE</v>
      </c>
      <c r="J47" s="770" t="str">
        <f>VLOOKUP(F47,'2) Tracker'!$A$2:$BO$360,12,FALSE)</f>
        <v>loads USG</v>
      </c>
      <c r="K47" s="771">
        <f t="shared" ref="K47:O47" si="90">AD47</f>
        <v>46127</v>
      </c>
      <c r="L47" s="774">
        <f t="shared" si="90"/>
        <v>46127</v>
      </c>
      <c r="M47" s="771">
        <f t="shared" si="90"/>
        <v>46159</v>
      </c>
      <c r="N47" s="772" t="str">
        <f t="shared" si="90"/>
        <v/>
      </c>
      <c r="O47" s="772" t="str">
        <f t="shared" si="90"/>
        <v/>
      </c>
      <c r="P47" s="773" t="str">
        <f>iferror(if(vlookup(F47,'Voyage days'!$M$808:$N$819,2,false),"GOA",""),"")</f>
        <v/>
      </c>
      <c r="Q47" s="771" t="str">
        <f t="shared" si="81"/>
        <v/>
      </c>
      <c r="R47" s="771" t="str">
        <f t="shared" si="83"/>
        <v/>
      </c>
      <c r="S47" s="774">
        <f t="shared" si="5"/>
        <v>46147</v>
      </c>
      <c r="T47" s="771" t="str">
        <f t="shared" si="6"/>
        <v/>
      </c>
      <c r="U47" s="771" t="str">
        <f t="shared" si="84"/>
        <v/>
      </c>
      <c r="V47" s="771"/>
      <c r="W47" s="771" t="str">
        <f t="shared" si="85"/>
        <v/>
      </c>
      <c r="X47" s="775" t="str">
        <f t="shared" si="9"/>
        <v/>
      </c>
      <c r="Y47" s="784"/>
      <c r="Z47" s="777" t="str">
        <f>vlookup(F47,'2) Tracker'!$A$3:$Q$504,16,false)</f>
        <v>ETA 13 Apr USG</v>
      </c>
      <c r="AA47" s="777" t="str">
        <f>vlookup(F47,'2) Tracker'!$A$3:$R$504,18,false)</f>
        <v>ATC 15-16 Apr USG</v>
      </c>
      <c r="AB47" s="777" t="str">
        <f>vlookup(F47,'2) Tracker'!$A$3:$Q$504,17,false)</f>
        <v/>
      </c>
      <c r="AC47" s="778"/>
      <c r="AD47" s="778">
        <f>VLOOKUP(F47,'2) Tracker'!$A$2:$BO$980,37,FALSE)</f>
        <v>46127</v>
      </c>
      <c r="AE47" s="778">
        <f>VLOOKUP(F47,'2) Tracker'!$A$2:$BO$980,40,FALSE)</f>
        <v>46127</v>
      </c>
      <c r="AF47" s="778">
        <f>VLOOKUP(F47,'2) Tracker'!$A$2:$BO$980,67,FALSE)</f>
        <v>46159</v>
      </c>
      <c r="AG47" s="778" t="str">
        <f>VLOOKUP(F47,'2) Tracker'!$A$2:$BO$980,34,FALSE)</f>
        <v/>
      </c>
      <c r="AH47" s="778" t="str">
        <f>VLOOKUP(F47,'2) Tracker'!$A$2:$BN$980,66,FALSE)</f>
        <v/>
      </c>
      <c r="AI47" s="778" t="str">
        <f>VLOOKUP(F47,'2) Tracker'!$A$2:$BO$980,56,FALSE)</f>
        <v/>
      </c>
      <c r="AJ47" s="778" t="str">
        <f>VLOOKUP(F47,'2) Tracker'!$A$2:$BO$980,52,FALSE)</f>
        <v/>
      </c>
      <c r="AK47" s="778" t="str">
        <f>VLOOKUP(F47,'2) Tracker'!$A$2:$AQ$980,43,FALSE)</f>
        <v/>
      </c>
      <c r="AL47" s="778">
        <f>VLOOKUP(F47,'2) Tracker'!$A$2:$BH$980,46,FALSE())</f>
        <v>46147</v>
      </c>
      <c r="AM47" s="778" t="str">
        <f>VLOOKUP(F47,'2) Tracker'!$A$2:$BO$980,65,FALSE())</f>
        <v/>
      </c>
      <c r="AN47" s="778" t="str">
        <f>VLOOKUP(F47,'2) Tracker'!$A$2:$BK$980,63,FALSE())</f>
        <v/>
      </c>
      <c r="AO47" s="778" t="str">
        <f>VLOOKUP(F47,'2) Tracker'!$A$2:$BF$980,58,FALSE())</f>
        <v/>
      </c>
      <c r="AP47" s="52"/>
      <c r="AQ47" s="52"/>
      <c r="AR47" s="52"/>
      <c r="AS47" s="52"/>
      <c r="AT47" s="52"/>
      <c r="AU47" s="52"/>
      <c r="AV47" s="52"/>
      <c r="AW47" s="52"/>
      <c r="AX47" s="52"/>
      <c r="AY47" s="52"/>
      <c r="AZ47" s="734"/>
      <c r="BA47" s="740"/>
      <c r="BB47" s="734"/>
      <c r="BC47" s="740"/>
      <c r="BD47" s="734"/>
      <c r="BE47" s="52"/>
      <c r="BF47" s="52"/>
      <c r="BG47" s="734"/>
      <c r="BH47" s="734"/>
      <c r="BI47" s="734"/>
      <c r="BJ47" s="734"/>
    </row>
    <row r="48">
      <c r="B48" s="765" t="str">
        <f>vlookup(F48,'2) Tracker'!$A$3:$O$410,5,false)</f>
        <v>C</v>
      </c>
      <c r="C48" s="765" t="str">
        <f>vlookup(F48,'2) Tracker'!$A$3:$O$410,4,false)</f>
        <v/>
      </c>
      <c r="D48" s="732" t="s">
        <v>1515</v>
      </c>
      <c r="E48" s="734" t="str">
        <f>vlookup(F48,'2) Tracker'!$A$3:$O$406,15,false)</f>
        <v/>
      </c>
      <c r="F48" s="797" t="s">
        <v>197</v>
      </c>
      <c r="G48" s="789">
        <v>2025.0</v>
      </c>
      <c r="H48" s="768">
        <f>VLOOKUP(F48,'2) Tracker'!$A$2:$BO$360,3,FALSE)</f>
        <v>88000</v>
      </c>
      <c r="I48" s="770" t="s">
        <v>707</v>
      </c>
      <c r="J48" s="770" t="str">
        <f>VLOOKUP(F48,'2) Tracker'!$A$2:$BO$360,12,FALSE)</f>
        <v>loads USG</v>
      </c>
      <c r="K48" s="771">
        <f t="shared" ref="K48:O48" si="91">AD48</f>
        <v>46127</v>
      </c>
      <c r="L48" s="771">
        <f t="shared" si="91"/>
        <v>46127</v>
      </c>
      <c r="M48" s="771">
        <f t="shared" si="91"/>
        <v>46159</v>
      </c>
      <c r="N48" s="771" t="str">
        <f t="shared" si="91"/>
        <v/>
      </c>
      <c r="O48" s="772" t="str">
        <f t="shared" si="91"/>
        <v/>
      </c>
      <c r="P48" s="773" t="str">
        <f>iferror(if(vlookup(F48,'Voyage days'!$M$808:$N$819,2,false),"GOA",""),"")</f>
        <v/>
      </c>
      <c r="Q48" s="772" t="str">
        <f t="shared" si="81"/>
        <v/>
      </c>
      <c r="R48" s="771" t="str">
        <f t="shared" si="83"/>
        <v/>
      </c>
      <c r="S48" s="774">
        <f t="shared" si="5"/>
        <v>46147</v>
      </c>
      <c r="T48" s="771" t="str">
        <f t="shared" si="6"/>
        <v/>
      </c>
      <c r="U48" s="771" t="str">
        <f t="shared" si="84"/>
        <v/>
      </c>
      <c r="V48" s="802"/>
      <c r="W48" s="802" t="str">
        <f t="shared" si="85"/>
        <v/>
      </c>
      <c r="X48" s="775" t="str">
        <f t="shared" si="9"/>
        <v/>
      </c>
      <c r="Y48" s="776"/>
      <c r="Z48" s="777" t="str">
        <f>vlookup(F48,'2) Tracker'!$A$3:$Q$504,16,false)</f>
        <v>drifting USG 06 Apr, waiting to berth</v>
      </c>
      <c r="AA48" s="777" t="str">
        <f>vlookup(F48,'2) Tracker'!$A$3:$R$504,18,false)</f>
        <v>BASF 15-16 Apr Freeport</v>
      </c>
      <c r="AB48" s="777" t="str">
        <f>vlookup(F48,'2) Tracker'!$A$3:$Q$504,17,false)</f>
        <v/>
      </c>
      <c r="AC48" s="778"/>
      <c r="AD48" s="778">
        <f>VLOOKUP(F48,'2) Tracker'!$A$2:$BO$980,37,FALSE)</f>
        <v>46127</v>
      </c>
      <c r="AE48" s="778">
        <f>VLOOKUP(F48,'2) Tracker'!$A$2:$BO$980,40,FALSE)</f>
        <v>46127</v>
      </c>
      <c r="AF48" s="778">
        <f>VLOOKUP(F48,'2) Tracker'!$A$2:$BO$980,67,FALSE)</f>
        <v>46159</v>
      </c>
      <c r="AG48" s="778" t="str">
        <f>VLOOKUP(F48,'2) Tracker'!$A$2:$BO$980,34,FALSE)</f>
        <v/>
      </c>
      <c r="AH48" s="778" t="str">
        <f>VLOOKUP(F48,'2) Tracker'!$A$2:$BN$980,66,FALSE)</f>
        <v/>
      </c>
      <c r="AI48" s="778" t="str">
        <f>VLOOKUP(F48,'2) Tracker'!$A$2:$BO$980,56,FALSE)</f>
        <v/>
      </c>
      <c r="AJ48" s="778" t="str">
        <f>VLOOKUP(F48,'2) Tracker'!$A$2:$BO$980,52,FALSE)</f>
        <v/>
      </c>
      <c r="AK48" s="778" t="str">
        <f>VLOOKUP(F48,'2) Tracker'!$A$2:$AQ$980,43,FALSE)</f>
        <v/>
      </c>
      <c r="AL48" s="778">
        <f>VLOOKUP(F48,'2) Tracker'!$A$2:$BH$980,46,FALSE())</f>
        <v>46147</v>
      </c>
      <c r="AM48" s="778" t="str">
        <f>VLOOKUP(F48,'2) Tracker'!$A$2:$BO$980,65,FALSE())</f>
        <v/>
      </c>
      <c r="AN48" s="778" t="str">
        <f>VLOOKUP(F48,'2) Tracker'!$A$2:$BK$980,63,FALSE())</f>
        <v/>
      </c>
      <c r="AO48" s="778" t="str">
        <f>VLOOKUP(F48,'2) Tracker'!$A$2:$BF$980,58,FALSE())</f>
        <v/>
      </c>
      <c r="AP48" s="52"/>
      <c r="AQ48" s="52"/>
      <c r="AR48" s="52"/>
      <c r="AS48" s="52"/>
      <c r="AT48" s="51" t="s">
        <v>1542</v>
      </c>
      <c r="AU48" s="52"/>
      <c r="AV48" s="52"/>
      <c r="AW48" s="52"/>
      <c r="AX48" s="52"/>
      <c r="AY48" s="52"/>
      <c r="AZ48" s="787"/>
      <c r="BA48" s="786" t="str">
        <f>vlookup(AZ48,'Iran, FS'!$A$1:$B$318,2, false)</f>
        <v>#N/A</v>
      </c>
      <c r="BB48" s="787" t="str">
        <f>vlookup(AZ48,'1) Kpler'!$E$2:$F$500,2,false)</f>
        <v>#N/A</v>
      </c>
      <c r="BC48" s="788"/>
      <c r="BD48" s="787"/>
      <c r="BE48" s="52"/>
      <c r="BF48" s="52"/>
      <c r="BG48" s="787"/>
      <c r="BH48" s="787"/>
      <c r="BI48" s="787"/>
      <c r="BJ48" s="787"/>
    </row>
    <row r="49">
      <c r="B49" s="765" t="str">
        <f>vlookup(F49,'2) Tracker'!$A$3:$O$410,5,false)</f>
        <v>C</v>
      </c>
      <c r="C49" s="765" t="str">
        <f>vlookup(F49,'2) Tracker'!$A$3:$O$410,4,false)</f>
        <v/>
      </c>
      <c r="D49" s="734"/>
      <c r="E49" s="734" t="str">
        <f>vlookup(F49,'2) Tracker'!$A$3:$O$406,15,false)</f>
        <v/>
      </c>
      <c r="F49" s="788" t="s">
        <v>403</v>
      </c>
      <c r="G49" s="789">
        <f>VLOOKUP(F49,'2) Tracker'!$A$2:$BO$360,2,FALSE)</f>
        <v>2023</v>
      </c>
      <c r="H49" s="768">
        <f>VLOOKUP(F49,'2) Tracker'!$A$2:$BO$360,3,FALSE)</f>
        <v>91000</v>
      </c>
      <c r="I49" s="770" t="str">
        <f>VLOOKUP(F49,'2) Tracker'!$A$2:$BO$360,9,FALSE)</f>
        <v>BW</v>
      </c>
      <c r="J49" s="770" t="str">
        <f>VLOOKUP(F49,'2) Tracker'!$A$2:$BO$360,12,FALSE)</f>
        <v>loads USG</v>
      </c>
      <c r="K49" s="774">
        <f t="shared" ref="K49:O49" si="92">AD49</f>
        <v>46128</v>
      </c>
      <c r="L49" s="774">
        <f t="shared" si="92"/>
        <v>46128</v>
      </c>
      <c r="M49" s="771">
        <f t="shared" si="92"/>
        <v>46160</v>
      </c>
      <c r="N49" s="771" t="str">
        <f t="shared" si="92"/>
        <v/>
      </c>
      <c r="O49" s="772" t="str">
        <f t="shared" si="92"/>
        <v/>
      </c>
      <c r="P49" s="773" t="str">
        <f>iferror(if(vlookup(F49,'Voyage days'!$M$808:$N$819,2,false),"GOA",""),"")</f>
        <v/>
      </c>
      <c r="Q49" s="771" t="str">
        <f t="shared" si="81"/>
        <v/>
      </c>
      <c r="R49" s="774" t="str">
        <f t="shared" si="83"/>
        <v/>
      </c>
      <c r="S49" s="774">
        <f t="shared" si="5"/>
        <v>46148</v>
      </c>
      <c r="T49" s="771" t="str">
        <f t="shared" si="6"/>
        <v/>
      </c>
      <c r="U49" s="774" t="str">
        <f t="shared" si="84"/>
        <v/>
      </c>
      <c r="V49" s="774"/>
      <c r="W49" s="774" t="str">
        <f t="shared" si="85"/>
        <v/>
      </c>
      <c r="X49" s="775" t="str">
        <f t="shared" si="9"/>
        <v/>
      </c>
      <c r="Y49" s="770"/>
      <c r="Z49" s="777" t="str">
        <f>vlookup(F49,'2) Tracker'!$A$3:$Q$504,16,false)</f>
        <v>ETA USG 14 Apr via Cape</v>
      </c>
      <c r="AA49" s="777" t="str">
        <f>vlookup(F49,'2) Tracker'!$A$3:$R$504,18,false)</f>
        <v>ATC 16-17 Apr USG</v>
      </c>
      <c r="AB49" s="777" t="str">
        <f>vlookup(F49,'2) Tracker'!$A$3:$Q$504,17,false)</f>
        <v/>
      </c>
      <c r="AC49" s="778"/>
      <c r="AD49" s="778">
        <f>VLOOKUP(F49,'2) Tracker'!$A$2:$BO$980,37,FALSE)</f>
        <v>46128</v>
      </c>
      <c r="AE49" s="778">
        <f>VLOOKUP(F49,'2) Tracker'!$A$2:$BO$980,40,FALSE)</f>
        <v>46128</v>
      </c>
      <c r="AF49" s="778">
        <f>VLOOKUP(F49,'2) Tracker'!$A$2:$BO$980,67,FALSE)</f>
        <v>46160</v>
      </c>
      <c r="AG49" s="778" t="str">
        <f>VLOOKUP(F49,'2) Tracker'!$A$2:$BO$980,34,FALSE)</f>
        <v/>
      </c>
      <c r="AH49" s="778" t="str">
        <f>VLOOKUP(F49,'2) Tracker'!$A$2:$BN$980,66,FALSE)</f>
        <v/>
      </c>
      <c r="AI49" s="778" t="str">
        <f>VLOOKUP(F49,'2) Tracker'!$A$2:$BO$980,56,FALSE)</f>
        <v/>
      </c>
      <c r="AJ49" s="778" t="str">
        <f>VLOOKUP(F49,'2) Tracker'!$A$2:$BO$980,52,FALSE)</f>
        <v/>
      </c>
      <c r="AK49" s="778" t="str">
        <f>VLOOKUP(F49,'2) Tracker'!$A$2:$AQ$980,43,FALSE)</f>
        <v/>
      </c>
      <c r="AL49" s="778">
        <f>VLOOKUP(F49,'2) Tracker'!$A$2:$BH$980,46,FALSE())</f>
        <v>46148</v>
      </c>
      <c r="AM49" s="778" t="str">
        <f>VLOOKUP(F49,'2) Tracker'!$A$2:$BO$980,65,FALSE())</f>
        <v/>
      </c>
      <c r="AN49" s="778" t="str">
        <f>VLOOKUP(F49,'2) Tracker'!$A$2:$BK$980,63,FALSE())</f>
        <v/>
      </c>
      <c r="AO49" s="778" t="str">
        <f>VLOOKUP(F49,'2) Tracker'!$A$2:$BF$980,58,FALSE())</f>
        <v/>
      </c>
      <c r="AP49" s="52"/>
      <c r="AQ49" s="52"/>
      <c r="AR49" s="52"/>
      <c r="AS49" s="52"/>
      <c r="AT49" s="52"/>
      <c r="AU49" s="52"/>
      <c r="AV49" s="52"/>
      <c r="AW49" s="52"/>
      <c r="AX49" s="52"/>
      <c r="AY49" s="52"/>
      <c r="AZ49" s="734"/>
      <c r="BA49" s="740"/>
      <c r="BB49" s="734"/>
      <c r="BC49" s="740"/>
      <c r="BD49" s="734"/>
      <c r="BE49" s="52"/>
      <c r="BF49" s="52"/>
      <c r="BG49" s="734"/>
      <c r="BH49" s="734"/>
      <c r="BI49" s="734"/>
      <c r="BJ49" s="734"/>
    </row>
    <row r="50">
      <c r="B50" s="765" t="str">
        <f>vlookup(F50,'2) Tracker'!$A$3:$O$410,5,false)</f>
        <v/>
      </c>
      <c r="C50" s="765" t="str">
        <f>vlookup(F50,'2) Tracker'!$A$3:$O$410,4,false)</f>
        <v/>
      </c>
      <c r="D50" s="734"/>
      <c r="E50" s="734" t="str">
        <f>vlookup(F50,'2) Tracker'!$A$3:$O$406,15,false)</f>
        <v/>
      </c>
      <c r="F50" s="766" t="s">
        <v>238</v>
      </c>
      <c r="G50" s="789">
        <f>VLOOKUP(F50,'2) Tracker'!$A$2:$BO$360,2,FALSE)</f>
        <v>2021</v>
      </c>
      <c r="H50" s="768">
        <f>VLOOKUP(F50,'2) Tracker'!$A$2:$BO$360,3,FALSE)</f>
        <v>86000</v>
      </c>
      <c r="I50" s="769" t="str">
        <f>VLOOKUP(F50,'2) Tracker'!$A$2:$BO$360,9,FALSE)</f>
        <v>Equinor</v>
      </c>
      <c r="J50" s="770" t="str">
        <f>VLOOKUP(F50,'2) Tracker'!$A$2:$BO$360,12,FALSE)</f>
        <v>loads USG</v>
      </c>
      <c r="K50" s="774">
        <f t="shared" ref="K50:O50" si="93">AD50</f>
        <v>46128</v>
      </c>
      <c r="L50" s="774">
        <f t="shared" si="93"/>
        <v>46128</v>
      </c>
      <c r="M50" s="771">
        <f t="shared" si="93"/>
        <v>46160</v>
      </c>
      <c r="N50" s="771" t="str">
        <f t="shared" si="93"/>
        <v/>
      </c>
      <c r="O50" s="772" t="str">
        <f t="shared" si="93"/>
        <v/>
      </c>
      <c r="P50" s="773" t="str">
        <f>iferror(if(vlookup(F50,'Voyage days'!$M$808:$N$819,2,false),"GOA",""),"")</f>
        <v/>
      </c>
      <c r="Q50" s="771" t="str">
        <f t="shared" si="81"/>
        <v/>
      </c>
      <c r="R50" s="774" t="str">
        <f t="shared" si="83"/>
        <v/>
      </c>
      <c r="S50" s="774">
        <f t="shared" si="5"/>
        <v>46148</v>
      </c>
      <c r="T50" s="771" t="str">
        <f t="shared" si="6"/>
        <v/>
      </c>
      <c r="U50" s="774" t="str">
        <f t="shared" si="84"/>
        <v/>
      </c>
      <c r="V50" s="771"/>
      <c r="W50" s="771" t="str">
        <f t="shared" si="85"/>
        <v/>
      </c>
      <c r="X50" s="775" t="str">
        <f t="shared" si="9"/>
        <v/>
      </c>
      <c r="Y50" s="776"/>
      <c r="Z50" s="777" t="str">
        <f>vlookup(F50,'2) Tracker'!$A$3:$Q$504,16,false)</f>
        <v>@ Balboa 11 Apr, waiting to transit</v>
      </c>
      <c r="AA50" s="777" t="str">
        <f>vlookup(F50,'2) Tracker'!$A$3:$R$504,18,false)</f>
        <v>Equinor 16-20 Apr USG?</v>
      </c>
      <c r="AB50" s="777" t="str">
        <f>vlookup(F50,'2) Tracker'!$A$3:$Q$504,17,false)</f>
        <v/>
      </c>
      <c r="AC50" s="778"/>
      <c r="AD50" s="778">
        <f>VLOOKUP(F50,'2) Tracker'!$A$2:$BO$980,37,FALSE)</f>
        <v>46128</v>
      </c>
      <c r="AE50" s="778">
        <f>VLOOKUP(F50,'2) Tracker'!$A$2:$BO$980,40,FALSE)</f>
        <v>46128</v>
      </c>
      <c r="AF50" s="778">
        <f>VLOOKUP(F50,'2) Tracker'!$A$2:$BO$980,67,FALSE)</f>
        <v>46160</v>
      </c>
      <c r="AG50" s="778" t="str">
        <f>VLOOKUP(F50,'2) Tracker'!$A$2:$BO$980,34,FALSE)</f>
        <v/>
      </c>
      <c r="AH50" s="778" t="str">
        <f>VLOOKUP(F50,'2) Tracker'!$A$2:$BN$980,66,FALSE)</f>
        <v/>
      </c>
      <c r="AI50" s="778" t="str">
        <f>VLOOKUP(F50,'2) Tracker'!$A$2:$BO$980,56,FALSE)</f>
        <v/>
      </c>
      <c r="AJ50" s="778" t="str">
        <f>VLOOKUP(F50,'2) Tracker'!$A$2:$BO$980,52,FALSE)</f>
        <v/>
      </c>
      <c r="AK50" s="778" t="str">
        <f>VLOOKUP(F50,'2) Tracker'!$A$2:$AQ$980,43,FALSE)</f>
        <v/>
      </c>
      <c r="AL50" s="778">
        <f>VLOOKUP(F50,'2) Tracker'!$A$2:$BH$980,46,FALSE())</f>
        <v>46148</v>
      </c>
      <c r="AM50" s="778" t="str">
        <f>VLOOKUP(F50,'2) Tracker'!$A$2:$BO$980,65,FALSE())</f>
        <v/>
      </c>
      <c r="AN50" s="778" t="str">
        <f>VLOOKUP(F50,'2) Tracker'!$A$2:$BK$980,63,FALSE())</f>
        <v/>
      </c>
      <c r="AO50" s="778" t="str">
        <f>VLOOKUP(F50,'2) Tracker'!$A$2:$BF$980,58,FALSE())</f>
        <v/>
      </c>
      <c r="AP50" s="52"/>
      <c r="AQ50" s="52"/>
      <c r="AR50" s="52"/>
      <c r="AS50" s="52"/>
      <c r="AT50" s="52"/>
      <c r="AU50" s="52"/>
      <c r="AV50" s="52"/>
      <c r="AW50" s="52"/>
      <c r="AX50" s="52"/>
      <c r="AY50" s="52"/>
      <c r="AZ50" s="734"/>
      <c r="BA50" s="786" t="str">
        <f>vlookup(AZ50,'Iran, FS'!$A$1:$B$318,2, false)</f>
        <v>#N/A</v>
      </c>
      <c r="BB50" s="787" t="str">
        <f>vlookup(AZ50,'1) Kpler'!$E$2:$F$500,2,false)</f>
        <v>#N/A</v>
      </c>
      <c r="BC50" s="740"/>
      <c r="BD50" s="734"/>
      <c r="BE50" s="52"/>
      <c r="BF50" s="52"/>
      <c r="BG50" s="734"/>
      <c r="BH50" s="734"/>
      <c r="BI50" s="734"/>
      <c r="BJ50" s="734"/>
    </row>
    <row r="51">
      <c r="B51" s="765" t="str">
        <f>vlookup(F51,'2) Tracker'!$A$3:$O$410,5,false)</f>
        <v/>
      </c>
      <c r="C51" s="765" t="str">
        <f>vlookup(F51,'2) Tracker'!$A$3:$O$410,4,false)</f>
        <v/>
      </c>
      <c r="D51" s="734"/>
      <c r="E51" s="734" t="str">
        <f>vlookup(F51,'2) Tracker'!$A$3:$O$406,15,false)</f>
        <v/>
      </c>
      <c r="F51" s="788" t="s">
        <v>550</v>
      </c>
      <c r="G51" s="783">
        <f>VLOOKUP(F51,'2) Tracker'!$A$2:$BO$360,2,FALSE)</f>
        <v>39722</v>
      </c>
      <c r="H51" s="768">
        <f>VLOOKUP(F51,'2) Tracker'!$A$2:$BO$360,3,FALSE)</f>
        <v>80186</v>
      </c>
      <c r="I51" s="770" t="str">
        <f>VLOOKUP(F51,'2) Tracker'!$A$2:$BO$360,9,FALSE)</f>
        <v>Mercuria</v>
      </c>
      <c r="J51" s="770" t="str">
        <f>VLOOKUP(F51,'2) Tracker'!$A$2:$BO$360,12,FALSE)</f>
        <v>loads USG</v>
      </c>
      <c r="K51" s="771">
        <f t="shared" ref="K51:O51" si="94">AD51</f>
        <v>46128</v>
      </c>
      <c r="L51" s="771">
        <f t="shared" si="94"/>
        <v>46128</v>
      </c>
      <c r="M51" s="771">
        <f t="shared" si="94"/>
        <v>46160</v>
      </c>
      <c r="N51" s="771" t="str">
        <f t="shared" si="94"/>
        <v/>
      </c>
      <c r="O51" s="772" t="str">
        <f t="shared" si="94"/>
        <v/>
      </c>
      <c r="P51" s="773" t="str">
        <f>iferror(if(vlookup(F51,'Voyage days'!$M$808:$N$819,2,false),"GOA",""),"")</f>
        <v/>
      </c>
      <c r="Q51" s="771" t="str">
        <f t="shared" si="81"/>
        <v/>
      </c>
      <c r="R51" s="771" t="str">
        <f t="shared" si="83"/>
        <v/>
      </c>
      <c r="S51" s="774">
        <f t="shared" si="5"/>
        <v>46148</v>
      </c>
      <c r="T51" s="771" t="str">
        <f t="shared" si="6"/>
        <v/>
      </c>
      <c r="U51" s="771" t="str">
        <f t="shared" si="84"/>
        <v/>
      </c>
      <c r="V51" s="745" t="s">
        <v>1523</v>
      </c>
      <c r="W51" s="771" t="str">
        <f t="shared" si="85"/>
        <v/>
      </c>
      <c r="X51" s="775" t="str">
        <f t="shared" si="9"/>
        <v/>
      </c>
      <c r="Y51" s="795" t="s">
        <v>1543</v>
      </c>
      <c r="Z51" s="777" t="str">
        <f>vlookup(F51,'2) Tracker'!$A$3:$Q$504,16,false)</f>
        <v>ETA USG 16 Apr</v>
      </c>
      <c r="AA51" s="777" t="str">
        <f>vlookup(F51,'2) Tracker'!$A$3:$R$504,18,false)</f>
        <v>Mercuria 16-17 Apr USG</v>
      </c>
      <c r="AB51" s="777" t="str">
        <f>vlookup(F51,'2) Tracker'!$A$3:$Q$504,17,false)</f>
        <v/>
      </c>
      <c r="AC51" s="778"/>
      <c r="AD51" s="778">
        <f>VLOOKUP(F51,'2) Tracker'!$A$2:$BO$980,37,FALSE)</f>
        <v>46128</v>
      </c>
      <c r="AE51" s="778">
        <f>VLOOKUP(F51,'2) Tracker'!$A$2:$BO$980,40,FALSE)</f>
        <v>46128</v>
      </c>
      <c r="AF51" s="778">
        <f>VLOOKUP(F51,'2) Tracker'!$A$2:$BO$980,67,FALSE)</f>
        <v>46160</v>
      </c>
      <c r="AG51" s="778" t="str">
        <f>VLOOKUP(F51,'2) Tracker'!$A$2:$BO$980,34,FALSE)</f>
        <v/>
      </c>
      <c r="AH51" s="778" t="str">
        <f>VLOOKUP(F51,'2) Tracker'!$A$2:$BN$980,66,FALSE)</f>
        <v/>
      </c>
      <c r="AI51" s="778" t="str">
        <f>VLOOKUP(F51,'2) Tracker'!$A$2:$BO$980,56,FALSE)</f>
        <v/>
      </c>
      <c r="AJ51" s="778" t="str">
        <f>VLOOKUP(F51,'2) Tracker'!$A$2:$BO$980,52,FALSE)</f>
        <v/>
      </c>
      <c r="AK51" s="778" t="str">
        <f>VLOOKUP(F51,'2) Tracker'!$A$2:$AQ$980,43,FALSE)</f>
        <v/>
      </c>
      <c r="AL51" s="778">
        <f>VLOOKUP(F51,'2) Tracker'!$A$2:$BH$980,46,FALSE())</f>
        <v>46148</v>
      </c>
      <c r="AM51" s="778" t="str">
        <f>VLOOKUP(F51,'2) Tracker'!$A$2:$BO$980,65,FALSE())</f>
        <v/>
      </c>
      <c r="AN51" s="778" t="str">
        <f>VLOOKUP(F51,'2) Tracker'!$A$2:$BK$980,63,FALSE())</f>
        <v/>
      </c>
      <c r="AO51" s="778" t="str">
        <f>VLOOKUP(F51,'2) Tracker'!$A$2:$BF$980,58,FALSE())</f>
        <v/>
      </c>
      <c r="AP51" s="52"/>
      <c r="AQ51" s="52"/>
      <c r="AR51" s="52"/>
      <c r="AS51" s="52"/>
      <c r="AT51" s="52"/>
      <c r="AU51" s="52"/>
      <c r="AV51" s="52"/>
      <c r="AW51" s="52"/>
      <c r="AX51" s="52"/>
      <c r="AY51" s="52"/>
      <c r="AZ51" s="787"/>
      <c r="BA51" s="786" t="str">
        <f>vlookup(AZ51,'Iran, FS'!$A$1:$B$318,2, false)</f>
        <v>#N/A</v>
      </c>
      <c r="BB51" s="787" t="str">
        <f>vlookup(AZ51,'1) Kpler'!$E$2:$F$500,2,false)</f>
        <v>#N/A</v>
      </c>
      <c r="BC51" s="788"/>
      <c r="BD51" s="787"/>
      <c r="BE51" s="52"/>
      <c r="BF51" s="52"/>
      <c r="BG51" s="787"/>
      <c r="BH51" s="787"/>
      <c r="BI51" s="787"/>
      <c r="BJ51" s="787"/>
    </row>
    <row r="52">
      <c r="B52" s="765" t="str">
        <f>vlookup(F52,'2) Tracker'!$A$3:$O$410,5,false)</f>
        <v/>
      </c>
      <c r="C52" s="765" t="str">
        <f>vlookup(F52,'2) Tracker'!$A$3:$O$410,4,false)</f>
        <v/>
      </c>
      <c r="D52" s="734"/>
      <c r="E52" s="734" t="str">
        <f>vlookup(F52,'2) Tracker'!$A$3:$O$406,15,false)</f>
        <v/>
      </c>
      <c r="F52" s="788" t="s">
        <v>581</v>
      </c>
      <c r="G52" s="810">
        <f>VLOOKUP(F52,'2) Tracker'!$A$2:$BO$360,2,FALSE)</f>
        <v>2002</v>
      </c>
      <c r="H52" s="768">
        <f>VLOOKUP(F52,'2) Tracker'!$A$2:$BO$360,3,FALSE)</f>
        <v>78929</v>
      </c>
      <c r="I52" s="777" t="str">
        <f>VLOOKUP(F52,'2) Tracker'!$A$2:$BO$360,9,FALSE)</f>
        <v>SwissChemGas</v>
      </c>
      <c r="J52" s="770" t="str">
        <f>VLOOKUP(F52,'2) Tracker'!$A$2:$BO$360,12,FALSE)</f>
        <v>Mexico</v>
      </c>
      <c r="K52" s="771">
        <f t="shared" ref="K52:O52" si="95">AD52</f>
        <v>46128</v>
      </c>
      <c r="L52" s="771">
        <f t="shared" si="95"/>
        <v>46130</v>
      </c>
      <c r="M52" s="771" t="str">
        <f t="shared" si="95"/>
        <v/>
      </c>
      <c r="N52" s="771" t="str">
        <f t="shared" si="95"/>
        <v/>
      </c>
      <c r="O52" s="772" t="str">
        <f t="shared" si="95"/>
        <v/>
      </c>
      <c r="P52" s="773" t="str">
        <f>iferror(if(vlookup(F52,'Voyage days'!$M$808:$N$819,2,false),"GOA",""),"")</f>
        <v/>
      </c>
      <c r="Q52" s="771">
        <f t="shared" si="81"/>
        <v>46127</v>
      </c>
      <c r="R52" s="771">
        <f t="shared" si="83"/>
        <v>46146</v>
      </c>
      <c r="S52" s="774">
        <f t="shared" si="5"/>
        <v>46139</v>
      </c>
      <c r="T52" s="771">
        <f t="shared" si="6"/>
        <v>46144</v>
      </c>
      <c r="U52" s="771" t="str">
        <f t="shared" si="84"/>
        <v/>
      </c>
      <c r="V52" s="771"/>
      <c r="W52" s="771" t="str">
        <f t="shared" si="85"/>
        <v/>
      </c>
      <c r="X52" s="775" t="str">
        <f t="shared" si="9"/>
        <v/>
      </c>
      <c r="Y52" s="776"/>
      <c r="Z52" s="777" t="str">
        <f>vlookup(F52,'2) Tracker'!$A$3:$Q$504,16,false)</f>
        <v>@ Pajaritos 11 Apr</v>
      </c>
      <c r="AA52" s="777" t="str">
        <f>vlookup(F52,'2) Tracker'!$A$3:$R$504,18,false)</f>
        <v>SwissChemGas 05 Apr Targa</v>
      </c>
      <c r="AB52" s="777" t="str">
        <f>vlookup(F52,'2) Tracker'!$A$3:$Q$504,17,false)</f>
        <v/>
      </c>
      <c r="AC52" s="778"/>
      <c r="AD52" s="778">
        <f>VLOOKUP(F52,'2) Tracker'!$A$2:$BO$980,37,FALSE)</f>
        <v>46128</v>
      </c>
      <c r="AE52" s="778">
        <f>VLOOKUP(F52,'2) Tracker'!$A$2:$BO$980,40,FALSE)</f>
        <v>46130</v>
      </c>
      <c r="AF52" s="778" t="str">
        <f>VLOOKUP(F52,'2) Tracker'!$A$2:$BO$980,67,FALSE)</f>
        <v/>
      </c>
      <c r="AG52" s="778" t="str">
        <f>VLOOKUP(F52,'2) Tracker'!$A$2:$BO$980,34,FALSE)</f>
        <v/>
      </c>
      <c r="AH52" s="778" t="str">
        <f>VLOOKUP(F52,'2) Tracker'!$A$2:$BN$980,66,FALSE)</f>
        <v/>
      </c>
      <c r="AI52" s="778" t="str">
        <f>VLOOKUP(F52,'2) Tracker'!$A$2:$BO$980,56,FALSE)</f>
        <v/>
      </c>
      <c r="AJ52" s="778" t="str">
        <f>VLOOKUP(F52,'2) Tracker'!$A$2:$BO$980,52,FALSE)</f>
        <v/>
      </c>
      <c r="AK52" s="778">
        <f>VLOOKUP(F52,'2) Tracker'!$A$2:$AQ$980,43,FALSE)</f>
        <v>46144</v>
      </c>
      <c r="AL52" s="778">
        <f>VLOOKUP(F52,'2) Tracker'!$A$2:$BH$980,46,FALSE())</f>
        <v>46139</v>
      </c>
      <c r="AM52" s="778">
        <f>VLOOKUP(F52,'2) Tracker'!$A$2:$BO$980,65,FALSE())</f>
        <v>46127</v>
      </c>
      <c r="AN52" s="778">
        <f>VLOOKUP(F52,'2) Tracker'!$A$2:$BK$980,63,FALSE())</f>
        <v>46146</v>
      </c>
      <c r="AO52" s="778" t="str">
        <f>VLOOKUP(F52,'2) Tracker'!$A$2:$BF$980,58,FALSE())</f>
        <v/>
      </c>
      <c r="AP52" s="52"/>
      <c r="AQ52" s="52"/>
      <c r="AR52" s="52"/>
      <c r="AS52" s="52"/>
      <c r="AT52" s="52"/>
      <c r="AU52" s="52"/>
      <c r="AV52" s="52"/>
      <c r="AW52" s="52"/>
      <c r="AX52" s="52"/>
      <c r="AY52" s="52"/>
      <c r="AZ52" s="734"/>
      <c r="BA52" s="786" t="str">
        <f>vlookup(AZ52,'Iran, FS'!$A$1:$B$318,2, false)</f>
        <v>#N/A</v>
      </c>
      <c r="BB52" s="787" t="str">
        <f>vlookup(AZ52,'1) Kpler'!$E$2:$F$500,2,false)</f>
        <v>#N/A</v>
      </c>
      <c r="BC52" s="740"/>
      <c r="BD52" s="734"/>
      <c r="BE52" s="52"/>
      <c r="BF52" s="52"/>
      <c r="BG52" s="734"/>
      <c r="BH52" s="734"/>
      <c r="BI52" s="734"/>
      <c r="BJ52" s="734"/>
    </row>
    <row r="53">
      <c r="B53" s="765" t="str">
        <f>vlookup(F53,'2) Tracker'!$A$3:$O$410,5,false)</f>
        <v/>
      </c>
      <c r="C53" s="765" t="str">
        <f>vlookup(F53,'2) Tracker'!$A$3:$O$410,4,false)</f>
        <v/>
      </c>
      <c r="D53" s="734"/>
      <c r="E53" s="734" t="str">
        <f>vlookup(F53,'2) Tracker'!$A$3:$O$406,15,false)</f>
        <v/>
      </c>
      <c r="F53" s="740" t="s">
        <v>1351</v>
      </c>
      <c r="G53" s="783">
        <f>VLOOKUP(F53,'2) Tracker'!$A$2:$BO$360,2,FALSE)</f>
        <v>42583</v>
      </c>
      <c r="H53" s="768">
        <f>VLOOKUP(F53,'2) Tracker'!$A$2:$BO$360,3,FALSE)</f>
        <v>84136</v>
      </c>
      <c r="I53" s="770" t="str">
        <f>VLOOKUP(F53,'2) Tracker'!$A$2:$BO$360,9,FALSE)</f>
        <v>BW</v>
      </c>
      <c r="J53" s="770" t="str">
        <f>VLOOKUP(F53,'2) Tracker'!$A$2:$BO$360,12,FALSE)</f>
        <v>loads MH</v>
      </c>
      <c r="K53" s="774">
        <f t="shared" ref="K53:O53" si="96">AD53</f>
        <v>46128</v>
      </c>
      <c r="L53" s="774" t="str">
        <f t="shared" si="96"/>
        <v/>
      </c>
      <c r="M53" s="771" t="str">
        <f t="shared" si="96"/>
        <v/>
      </c>
      <c r="N53" s="771" t="str">
        <f t="shared" si="96"/>
        <v/>
      </c>
      <c r="O53" s="772" t="str">
        <f t="shared" si="96"/>
        <v/>
      </c>
      <c r="P53" s="773" t="str">
        <f>iferror(if(vlookup(F53,'Voyage days'!$M$808:$N$819,2,false),"GOA",""),"")</f>
        <v/>
      </c>
      <c r="Q53" s="771" t="str">
        <f t="shared" si="81"/>
        <v/>
      </c>
      <c r="R53" s="774" t="str">
        <f t="shared" si="83"/>
        <v/>
      </c>
      <c r="S53" s="774">
        <f t="shared" si="5"/>
        <v>46143</v>
      </c>
      <c r="T53" s="771" t="str">
        <f t="shared" si="6"/>
        <v/>
      </c>
      <c r="U53" s="774" t="str">
        <f t="shared" si="84"/>
        <v/>
      </c>
      <c r="V53" s="774"/>
      <c r="W53" s="774" t="str">
        <f t="shared" si="85"/>
        <v/>
      </c>
      <c r="X53" s="775" t="str">
        <f t="shared" si="9"/>
        <v/>
      </c>
      <c r="Y53" s="784" t="s">
        <v>1544</v>
      </c>
      <c r="Z53" s="777"/>
      <c r="AA53" s="777" t="str">
        <f>vlookup(F53,'2) Tracker'!$A$3:$R$504,18,false)</f>
        <v>Total 16-17 Apr MH</v>
      </c>
      <c r="AB53" s="777" t="str">
        <f>vlookup(F53,'2) Tracker'!$A$3:$Q$504,17,false)</f>
        <v>Going West for sure</v>
      </c>
      <c r="AC53" s="778"/>
      <c r="AD53" s="778">
        <f>VLOOKUP(F53,'2) Tracker'!$A$2:$BO$980,37,FALSE)</f>
        <v>46128</v>
      </c>
      <c r="AE53" s="778" t="str">
        <f>VLOOKUP(F53,'2) Tracker'!$A$2:$BO$980,40,FALSE)</f>
        <v/>
      </c>
      <c r="AF53" s="778" t="str">
        <f>VLOOKUP(F53,'2) Tracker'!$A$2:$BO$980,67,FALSE)</f>
        <v/>
      </c>
      <c r="AG53" s="778" t="str">
        <f>VLOOKUP(F53,'2) Tracker'!$A$2:$BO$980,34,FALSE)</f>
        <v/>
      </c>
      <c r="AH53" s="778" t="str">
        <f>VLOOKUP(F53,'2) Tracker'!$A$2:$BN$980,66,FALSE)</f>
        <v/>
      </c>
      <c r="AI53" s="778" t="str">
        <f>VLOOKUP(F53,'2) Tracker'!$A$2:$BO$980,56,FALSE)</f>
        <v/>
      </c>
      <c r="AJ53" s="778" t="str">
        <f>VLOOKUP(F53,'2) Tracker'!$A$2:$BO$980,52,FALSE)</f>
        <v/>
      </c>
      <c r="AK53" s="778" t="str">
        <f>VLOOKUP(F53,'2) Tracker'!$A$2:$AQ$980,43,FALSE)</f>
        <v/>
      </c>
      <c r="AL53" s="778">
        <f>VLOOKUP(F53,'2) Tracker'!$A$2:$BH$980,46,FALSE())</f>
        <v>46143</v>
      </c>
      <c r="AM53" s="778" t="str">
        <f>VLOOKUP(F53,'2) Tracker'!$A$2:$BO$980,65,FALSE())</f>
        <v/>
      </c>
      <c r="AN53" s="778" t="str">
        <f>VLOOKUP(F53,'2) Tracker'!$A$2:$BK$980,63,FALSE())</f>
        <v/>
      </c>
      <c r="AO53" s="778" t="str">
        <f>VLOOKUP(F53,'2) Tracker'!$A$2:$BF$980,58,FALSE())</f>
        <v/>
      </c>
      <c r="AP53" s="52"/>
      <c r="AQ53" s="52"/>
      <c r="AR53" s="52"/>
      <c r="AS53" s="52"/>
      <c r="AT53" s="52"/>
      <c r="AU53" s="52"/>
      <c r="AV53" s="52"/>
      <c r="AW53" s="52"/>
      <c r="AX53" s="52"/>
      <c r="AY53" s="52"/>
      <c r="AZ53" s="734"/>
      <c r="BA53" s="740"/>
      <c r="BB53" s="734"/>
      <c r="BC53" s="740"/>
      <c r="BD53" s="734"/>
      <c r="BE53" s="52"/>
      <c r="BF53" s="52"/>
      <c r="BG53" s="734"/>
      <c r="BH53" s="734"/>
      <c r="BI53" s="734"/>
      <c r="BJ53" s="734"/>
    </row>
    <row r="54">
      <c r="B54" s="765" t="str">
        <f>vlookup(F54,'2) Tracker'!$A$3:$O$410,5,false)</f>
        <v/>
      </c>
      <c r="C54" s="765" t="str">
        <f>vlookup(F54,'2) Tracker'!$A$3:$O$410,4,false)</f>
        <v/>
      </c>
      <c r="D54" s="734"/>
      <c r="E54" s="734" t="str">
        <f>vlookup(F54,'2) Tracker'!$A$3:$O$406,15,false)</f>
        <v/>
      </c>
      <c r="F54" s="788" t="s">
        <v>453</v>
      </c>
      <c r="G54" s="767">
        <f>VLOOKUP(F54,'2) Tracker'!$A$2:$BO$360,2,FALSE)</f>
        <v>2009</v>
      </c>
      <c r="H54" s="768">
        <f>VLOOKUP(F54,'2) Tracker'!$A$2:$BO$360,3,FALSE)</f>
        <v>83300</v>
      </c>
      <c r="I54" s="777" t="str">
        <f>VLOOKUP(F54,'2) Tracker'!$A$2:$BO$360,9,FALSE)</f>
        <v>Gyxis</v>
      </c>
      <c r="J54" s="770" t="str">
        <f>VLOOKUP(F54,'2) Tracker'!$A$2:$BO$360,12,FALSE)</f>
        <v>loads USG</v>
      </c>
      <c r="K54" s="771">
        <f t="shared" ref="K54:O54" si="97">AD54</f>
        <v>46129</v>
      </c>
      <c r="L54" s="771">
        <f t="shared" si="97"/>
        <v>46129</v>
      </c>
      <c r="M54" s="771">
        <f t="shared" si="97"/>
        <v>46161</v>
      </c>
      <c r="N54" s="771" t="str">
        <f t="shared" si="97"/>
        <v/>
      </c>
      <c r="O54" s="772" t="str">
        <f t="shared" si="97"/>
        <v/>
      </c>
      <c r="P54" s="773" t="str">
        <f>iferror(if(vlookup(F54,'Voyage days'!$M$808:$N$819,2,false),"GOA",""),"")</f>
        <v/>
      </c>
      <c r="Q54" s="771" t="str">
        <f t="shared" si="81"/>
        <v/>
      </c>
      <c r="R54" s="771" t="str">
        <f t="shared" si="83"/>
        <v/>
      </c>
      <c r="S54" s="774">
        <f t="shared" si="5"/>
        <v>46149</v>
      </c>
      <c r="T54" s="771" t="str">
        <f t="shared" si="6"/>
        <v/>
      </c>
      <c r="U54" s="771" t="str">
        <f t="shared" si="84"/>
        <v/>
      </c>
      <c r="V54" s="771"/>
      <c r="W54" s="771" t="str">
        <f t="shared" si="85"/>
        <v/>
      </c>
      <c r="X54" s="775" t="str">
        <f t="shared" si="9"/>
        <v/>
      </c>
      <c r="Y54" s="776"/>
      <c r="Z54" s="777" t="str">
        <f>vlookup(F54,'2) Tracker'!$A$3:$Q$504,16,false)</f>
        <v>ETA Houston 16 Apr</v>
      </c>
      <c r="AA54" s="777" t="str">
        <f>vlookup(F54,'2) Tracker'!$A$3:$R$504,18,false)</f>
        <v>Gyxis 16-17 Apr USG</v>
      </c>
      <c r="AB54" s="777" t="str">
        <f>vlookup(F54,'2) Tracker'!$A$3:$Q$504,17,false)</f>
        <v/>
      </c>
      <c r="AC54" s="778"/>
      <c r="AD54" s="778">
        <f>VLOOKUP(F54,'2) Tracker'!$A$2:$BO$980,37,FALSE)</f>
        <v>46129</v>
      </c>
      <c r="AE54" s="778">
        <f>VLOOKUP(F54,'2) Tracker'!$A$2:$BO$980,40,FALSE)</f>
        <v>46129</v>
      </c>
      <c r="AF54" s="778">
        <f>VLOOKUP(F54,'2) Tracker'!$A$2:$BO$980,67,FALSE)</f>
        <v>46161</v>
      </c>
      <c r="AG54" s="778" t="str">
        <f>VLOOKUP(F54,'2) Tracker'!$A$2:$BO$980,34,FALSE)</f>
        <v/>
      </c>
      <c r="AH54" s="778" t="str">
        <f>VLOOKUP(F54,'2) Tracker'!$A$2:$BN$980,66,FALSE)</f>
        <v/>
      </c>
      <c r="AI54" s="778" t="str">
        <f>VLOOKUP(F54,'2) Tracker'!$A$2:$BO$980,56,FALSE)</f>
        <v/>
      </c>
      <c r="AJ54" s="778" t="str">
        <f>VLOOKUP(F54,'2) Tracker'!$A$2:$BO$980,52,FALSE)</f>
        <v/>
      </c>
      <c r="AK54" s="778" t="str">
        <f>VLOOKUP(F54,'2) Tracker'!$A$2:$AQ$980,43,FALSE)</f>
        <v/>
      </c>
      <c r="AL54" s="778">
        <f>VLOOKUP(F54,'2) Tracker'!$A$2:$BH$980,46,FALSE())</f>
        <v>46149</v>
      </c>
      <c r="AM54" s="778" t="str">
        <f>VLOOKUP(F54,'2) Tracker'!$A$2:$BO$980,65,FALSE())</f>
        <v/>
      </c>
      <c r="AN54" s="778" t="str">
        <f>VLOOKUP(F54,'2) Tracker'!$A$2:$BK$980,63,FALSE())</f>
        <v/>
      </c>
      <c r="AO54" s="778" t="str">
        <f>VLOOKUP(F54,'2) Tracker'!$A$2:$BF$980,58,FALSE())</f>
        <v/>
      </c>
      <c r="AP54" s="52"/>
      <c r="AQ54" s="52"/>
      <c r="AR54" s="52"/>
      <c r="AS54" s="52"/>
      <c r="AT54" s="52"/>
      <c r="AU54" s="52"/>
      <c r="AV54" s="52"/>
      <c r="AW54" s="52"/>
      <c r="AX54" s="52"/>
      <c r="AY54" s="52"/>
      <c r="AZ54" s="789"/>
      <c r="BA54" s="786" t="str">
        <f>vlookup(AZ54,'Iran, FS'!$A$1:$B$318,2, false)</f>
        <v>#N/A</v>
      </c>
      <c r="BB54" s="787" t="str">
        <f>vlookup(AZ54,'1) Kpler'!$E$2:$F$500,2,false)</f>
        <v>#N/A</v>
      </c>
      <c r="BC54" s="770"/>
      <c r="BD54" s="787"/>
      <c r="BE54" s="52"/>
      <c r="BF54" s="52"/>
      <c r="BG54" s="787"/>
      <c r="BH54" s="787"/>
      <c r="BI54" s="787"/>
      <c r="BJ54" s="787"/>
    </row>
    <row r="55">
      <c r="B55" s="765" t="str">
        <f>vlookup(F55,'2) Tracker'!$A$3:$O$410,5,false)</f>
        <v/>
      </c>
      <c r="C55" s="765" t="str">
        <f>vlookup(F55,'2) Tracker'!$A$3:$O$410,4,false)</f>
        <v/>
      </c>
      <c r="D55" s="734"/>
      <c r="E55" s="734" t="str">
        <f>vlookup(F55,'2) Tracker'!$A$3:$O$406,15,false)</f>
        <v/>
      </c>
      <c r="F55" s="788" t="s">
        <v>430</v>
      </c>
      <c r="G55" s="789">
        <f>VLOOKUP(F55,'2) Tracker'!$A$2:$BO$360,2,FALSE)</f>
        <v>2022</v>
      </c>
      <c r="H55" s="768">
        <f>VLOOKUP(F55,'2) Tracker'!$A$2:$BO$360,3,FALSE)</f>
        <v>84000</v>
      </c>
      <c r="I55" s="770" t="str">
        <f>VLOOKUP(F55,'2) Tracker'!$A$2:$BO$360,9,FALSE)</f>
        <v>AGT</v>
      </c>
      <c r="J55" s="770" t="str">
        <f>VLOOKUP(F55,'2) Tracker'!$A$2:$BO$360,12,FALSE)</f>
        <v>loads USG</v>
      </c>
      <c r="K55" s="771">
        <f t="shared" ref="K55:O55" si="98">AD55</f>
        <v>46129</v>
      </c>
      <c r="L55" s="771">
        <f t="shared" si="98"/>
        <v>46129</v>
      </c>
      <c r="M55" s="771">
        <f t="shared" si="98"/>
        <v>46161</v>
      </c>
      <c r="N55" s="771" t="str">
        <f t="shared" si="98"/>
        <v/>
      </c>
      <c r="O55" s="772" t="str">
        <f t="shared" si="98"/>
        <v/>
      </c>
      <c r="P55" s="773" t="str">
        <f>iferror(if(vlookup(F55,'Voyage days'!$M$808:$N$819,2,false),"GOA",""),"")</f>
        <v/>
      </c>
      <c r="Q55" s="771" t="str">
        <f t="shared" si="81"/>
        <v/>
      </c>
      <c r="R55" s="771" t="str">
        <f t="shared" si="83"/>
        <v/>
      </c>
      <c r="S55" s="774">
        <f t="shared" si="5"/>
        <v>46149</v>
      </c>
      <c r="T55" s="771" t="str">
        <f t="shared" si="6"/>
        <v/>
      </c>
      <c r="U55" s="771" t="str">
        <f t="shared" si="84"/>
        <v/>
      </c>
      <c r="V55" s="771"/>
      <c r="W55" s="771" t="str">
        <f t="shared" si="85"/>
        <v/>
      </c>
      <c r="X55" s="775" t="str">
        <f t="shared" si="9"/>
        <v/>
      </c>
      <c r="Y55" s="776"/>
      <c r="Z55" s="777" t="str">
        <f>vlookup(F55,'2) Tracker'!$A$3:$Q$504,16,false)</f>
        <v>ETA USG 17 Apr via Cape</v>
      </c>
      <c r="AA55" s="777" t="str">
        <f>vlookup(F55,'2) Tracker'!$A$3:$R$504,18,false)</f>
        <v>AGT 17-18 Apr USG</v>
      </c>
      <c r="AB55" s="777" t="str">
        <f>vlookup(F55,'2) Tracker'!$A$3:$Q$504,17,false)</f>
        <v/>
      </c>
      <c r="AC55" s="778"/>
      <c r="AD55" s="778">
        <f>VLOOKUP(F55,'2) Tracker'!$A$2:$BO$980,37,FALSE)</f>
        <v>46129</v>
      </c>
      <c r="AE55" s="778">
        <f>VLOOKUP(F55,'2) Tracker'!$A$2:$BO$980,40,FALSE)</f>
        <v>46129</v>
      </c>
      <c r="AF55" s="778">
        <f>VLOOKUP(F55,'2) Tracker'!$A$2:$BO$980,67,FALSE)</f>
        <v>46161</v>
      </c>
      <c r="AG55" s="778" t="str">
        <f>VLOOKUP(F55,'2) Tracker'!$A$2:$BO$980,34,FALSE)</f>
        <v/>
      </c>
      <c r="AH55" s="778" t="str">
        <f>VLOOKUP(F55,'2) Tracker'!$A$2:$BN$980,66,FALSE)</f>
        <v/>
      </c>
      <c r="AI55" s="778" t="str">
        <f>VLOOKUP(F55,'2) Tracker'!$A$2:$BO$980,56,FALSE)</f>
        <v/>
      </c>
      <c r="AJ55" s="778" t="str">
        <f>VLOOKUP(F55,'2) Tracker'!$A$2:$BO$980,52,FALSE)</f>
        <v/>
      </c>
      <c r="AK55" s="778" t="str">
        <f>VLOOKUP(F55,'2) Tracker'!$A$2:$AQ$980,43,FALSE)</f>
        <v/>
      </c>
      <c r="AL55" s="778">
        <f>VLOOKUP(F55,'2) Tracker'!$A$2:$BH$980,46,FALSE())</f>
        <v>46149</v>
      </c>
      <c r="AM55" s="778" t="str">
        <f>VLOOKUP(F55,'2) Tracker'!$A$2:$BO$980,65,FALSE())</f>
        <v/>
      </c>
      <c r="AN55" s="778" t="str">
        <f>VLOOKUP(F55,'2) Tracker'!$A$2:$BK$980,63,FALSE())</f>
        <v/>
      </c>
      <c r="AO55" s="778" t="str">
        <f>VLOOKUP(F55,'2) Tracker'!$A$2:$BF$980,58,FALSE())</f>
        <v/>
      </c>
      <c r="AP55" s="52"/>
      <c r="AQ55" s="52"/>
      <c r="AR55" s="52"/>
      <c r="AS55" s="52"/>
      <c r="AT55" s="52"/>
      <c r="AU55" s="52"/>
      <c r="AV55" s="52"/>
      <c r="AW55" s="52"/>
      <c r="AX55" s="52"/>
      <c r="AY55" s="52"/>
      <c r="AZ55" s="787"/>
      <c r="BA55" s="786" t="str">
        <f>vlookup(AZ55,'Iran, FS'!$A$1:$B$318,2, false)</f>
        <v>#N/A</v>
      </c>
      <c r="BB55" s="787" t="str">
        <f>vlookup(AZ55,'1) Kpler'!$E$2:$F$500,2,false)</f>
        <v>#N/A</v>
      </c>
      <c r="BC55" s="788"/>
      <c r="BD55" s="787"/>
      <c r="BE55" s="52"/>
      <c r="BF55" s="52"/>
      <c r="BG55" s="787"/>
      <c r="BH55" s="787"/>
      <c r="BI55" s="787"/>
      <c r="BJ55" s="787"/>
    </row>
    <row r="56">
      <c r="B56" s="765" t="str">
        <f>vlookup(F56,'2) Tracker'!$A$3:$O$410,5,false)</f>
        <v/>
      </c>
      <c r="C56" s="765" t="str">
        <f>vlookup(F56,'2) Tracker'!$A$3:$O$410,4,false)</f>
        <v/>
      </c>
      <c r="D56" s="787"/>
      <c r="E56" s="787" t="str">
        <f>vlookup(F56,'2) Tracker'!$A$3:$O$406,15,false)</f>
        <v>R?</v>
      </c>
      <c r="F56" s="788" t="s">
        <v>306</v>
      </c>
      <c r="G56" s="789">
        <f>VLOOKUP(F56,'2) Tracker'!$A$2:$BO$360,2,FALSE)</f>
        <v>2023</v>
      </c>
      <c r="H56" s="768">
        <f>VLOOKUP(F56,'2) Tracker'!$A$2:$BO$360,3,FALSE)</f>
        <v>93000</v>
      </c>
      <c r="I56" s="770" t="str">
        <f>VLOOKUP(F56,'2) Tracker'!$A$2:$BO$360,9,FALSE)</f>
        <v>Mercuria</v>
      </c>
      <c r="J56" s="770" t="str">
        <f>VLOOKUP(F56,'2) Tracker'!$A$2:$BO$360,12,FALSE)</f>
        <v>loads USG</v>
      </c>
      <c r="K56" s="771">
        <f t="shared" ref="K56:O56" si="99">AD56</f>
        <v>46130</v>
      </c>
      <c r="L56" s="771">
        <f t="shared" si="99"/>
        <v>46130</v>
      </c>
      <c r="M56" s="771">
        <f t="shared" si="99"/>
        <v>46162</v>
      </c>
      <c r="N56" s="771" t="str">
        <f t="shared" si="99"/>
        <v/>
      </c>
      <c r="O56" s="772" t="str">
        <f t="shared" si="99"/>
        <v/>
      </c>
      <c r="P56" s="773" t="str">
        <f>iferror(if(vlookup(F56,'Voyage days'!$M$808:$N$819,2,false),"GOA",""),"")</f>
        <v/>
      </c>
      <c r="Q56" s="771" t="str">
        <f t="shared" si="81"/>
        <v/>
      </c>
      <c r="R56" s="771" t="str">
        <f t="shared" si="83"/>
        <v/>
      </c>
      <c r="S56" s="774">
        <f t="shared" si="5"/>
        <v>46150</v>
      </c>
      <c r="T56" s="771" t="str">
        <f t="shared" si="6"/>
        <v/>
      </c>
      <c r="U56" s="771" t="str">
        <f t="shared" si="84"/>
        <v/>
      </c>
      <c r="V56" s="771"/>
      <c r="W56" s="771" t="str">
        <f t="shared" si="85"/>
        <v/>
      </c>
      <c r="X56" s="775" t="str">
        <f t="shared" si="9"/>
        <v/>
      </c>
      <c r="Y56" s="776"/>
      <c r="Z56" s="777" t="str">
        <f>vlookup(F56,'2) Tracker'!$A$3:$Q$504,16,false)</f>
        <v>@ Balboa 12 Apr / not a relet but can look at reshuffling</v>
      </c>
      <c r="AA56" s="777" t="str">
        <f>vlookup(F56,'2) Tracker'!$A$3:$R$504,18,false)</f>
        <v>Total 01-02 Feb Nederland</v>
      </c>
      <c r="AB56" s="777" t="str">
        <f>vlookup(F56,'2) Tracker'!$A$3:$Q$504,17,false)</f>
        <v/>
      </c>
      <c r="AC56" s="778"/>
      <c r="AD56" s="778">
        <f>VLOOKUP(F56,'2) Tracker'!$A$2:$BO$980,37,FALSE)</f>
        <v>46130</v>
      </c>
      <c r="AE56" s="778">
        <f>VLOOKUP(F56,'2) Tracker'!$A$2:$BO$980,40,FALSE)</f>
        <v>46130</v>
      </c>
      <c r="AF56" s="778">
        <f>VLOOKUP(F56,'2) Tracker'!$A$2:$BO$980,67,FALSE)</f>
        <v>46162</v>
      </c>
      <c r="AG56" s="778" t="str">
        <f>VLOOKUP(F56,'2) Tracker'!$A$2:$BO$980,34,FALSE)</f>
        <v/>
      </c>
      <c r="AH56" s="778" t="str">
        <f>VLOOKUP(F56,'2) Tracker'!$A$2:$BN$980,66,FALSE)</f>
        <v/>
      </c>
      <c r="AI56" s="778" t="str">
        <f>VLOOKUP(F56,'2) Tracker'!$A$2:$BO$980,56,FALSE)</f>
        <v/>
      </c>
      <c r="AJ56" s="778" t="str">
        <f>VLOOKUP(F56,'2) Tracker'!$A$2:$BO$980,52,FALSE)</f>
        <v/>
      </c>
      <c r="AK56" s="778" t="str">
        <f>VLOOKUP(F56,'2) Tracker'!$A$2:$AQ$980,43,FALSE)</f>
        <v/>
      </c>
      <c r="AL56" s="778">
        <f>VLOOKUP(F56,'2) Tracker'!$A$2:$BH$980,46,FALSE())</f>
        <v>46150</v>
      </c>
      <c r="AM56" s="778" t="str">
        <f>VLOOKUP(F56,'2) Tracker'!$A$2:$BO$980,65,FALSE())</f>
        <v/>
      </c>
      <c r="AN56" s="778" t="str">
        <f>VLOOKUP(F56,'2) Tracker'!$A$2:$BK$980,63,FALSE())</f>
        <v/>
      </c>
      <c r="AO56" s="778" t="str">
        <f>VLOOKUP(F56,'2) Tracker'!$A$2:$BF$980,58,FALSE())</f>
        <v/>
      </c>
      <c r="AP56" s="52"/>
      <c r="AQ56" s="52"/>
      <c r="AR56" s="52"/>
      <c r="AS56" s="52"/>
      <c r="AT56" s="51" t="s">
        <v>1545</v>
      </c>
      <c r="AU56" s="52"/>
      <c r="AV56" s="52"/>
      <c r="AW56" s="52"/>
      <c r="AX56" s="52"/>
      <c r="AY56" s="52"/>
      <c r="AZ56" s="787"/>
      <c r="BA56" s="786" t="str">
        <f>vlookup(AZ56,'Iran, FS'!$A$1:$B$318,2, false)</f>
        <v>#N/A</v>
      </c>
      <c r="BB56" s="787" t="str">
        <f>vlookup(AZ56,'1) Kpler'!$E$2:$F$500,2,false)</f>
        <v>#N/A</v>
      </c>
      <c r="BC56" s="788"/>
      <c r="BD56" s="787"/>
      <c r="BE56" s="52"/>
      <c r="BF56" s="52"/>
      <c r="BG56" s="787"/>
      <c r="BH56" s="787"/>
      <c r="BI56" s="787"/>
      <c r="BJ56" s="787"/>
    </row>
    <row r="57">
      <c r="B57" s="765" t="str">
        <f>vlookup(F57,'2) Tracker'!$A$3:$O$410,5,false)</f>
        <v/>
      </c>
      <c r="C57" s="765" t="str">
        <f>vlookup(F57,'2) Tracker'!$A$3:$O$410,4,false)</f>
        <v>US</v>
      </c>
      <c r="D57" s="734"/>
      <c r="E57" s="734" t="str">
        <f>vlookup(F57,'2) Tracker'!$A$3:$O$406,15,false)</f>
        <v/>
      </c>
      <c r="F57" s="788" t="s">
        <v>196</v>
      </c>
      <c r="G57" s="783">
        <f>VLOOKUP(F57,'2) Tracker'!$A$2:$BO$360,2,FALSE)</f>
        <v>42313</v>
      </c>
      <c r="H57" s="768">
        <f>VLOOKUP(F57,'2) Tracker'!$A$2:$BO$360,3,FALSE)</f>
        <v>84000</v>
      </c>
      <c r="I57" s="770" t="str">
        <f>VLOOKUP(F57,'2) Tracker'!$A$2:$BO$360,9,FALSE)</f>
        <v>Helios</v>
      </c>
      <c r="J57" s="770" t="str">
        <f>VLOOKUP(F57,'2) Tracker'!$A$2:$BO$360,12,FALSE)</f>
        <v>loads USG</v>
      </c>
      <c r="K57" s="774">
        <f t="shared" ref="K57:O57" si="100">AD57</f>
        <v>46130</v>
      </c>
      <c r="L57" s="774">
        <f t="shared" si="100"/>
        <v>46130</v>
      </c>
      <c r="M57" s="771">
        <f t="shared" si="100"/>
        <v>46162</v>
      </c>
      <c r="N57" s="771" t="str">
        <f t="shared" si="100"/>
        <v/>
      </c>
      <c r="O57" s="772" t="str">
        <f t="shared" si="100"/>
        <v/>
      </c>
      <c r="P57" s="773" t="str">
        <f>iferror(if(vlookup(F57,'Voyage days'!$M$808:$N$819,2,false),"GOA",""),"")</f>
        <v/>
      </c>
      <c r="Q57" s="771" t="str">
        <f t="shared" si="81"/>
        <v/>
      </c>
      <c r="R57" s="774" t="str">
        <f t="shared" si="83"/>
        <v/>
      </c>
      <c r="S57" s="774">
        <f t="shared" si="5"/>
        <v>46150</v>
      </c>
      <c r="T57" s="771" t="str">
        <f t="shared" si="6"/>
        <v/>
      </c>
      <c r="U57" s="774" t="str">
        <f t="shared" si="84"/>
        <v/>
      </c>
      <c r="V57" s="771"/>
      <c r="W57" s="771" t="str">
        <f t="shared" si="85"/>
        <v/>
      </c>
      <c r="X57" s="775" t="str">
        <f t="shared" si="9"/>
        <v/>
      </c>
      <c r="Y57" s="776"/>
      <c r="Z57" s="777" t="str">
        <f>vlookup(F57,'2) Tracker'!$A$3:$Q$504,16,false)</f>
        <v>ETA USG 16 Apr via Cape</v>
      </c>
      <c r="AA57" s="777" t="str">
        <f>vlookup(F57,'2) Tracker'!$A$3:$R$504,18,false)</f>
        <v>P66 18-19 Apr Freeport</v>
      </c>
      <c r="AB57" s="777" t="str">
        <f>vlookup(F57,'2) Tracker'!$A$3:$Q$504,17,false)</f>
        <v/>
      </c>
      <c r="AC57" s="778"/>
      <c r="AD57" s="778">
        <f>VLOOKUP(F57,'2) Tracker'!$A$2:$BO$980,37,FALSE)</f>
        <v>46130</v>
      </c>
      <c r="AE57" s="778">
        <f>VLOOKUP(F57,'2) Tracker'!$A$2:$BO$980,40,FALSE)</f>
        <v>46130</v>
      </c>
      <c r="AF57" s="778">
        <f>VLOOKUP(F57,'2) Tracker'!$A$2:$BO$980,67,FALSE)</f>
        <v>46162</v>
      </c>
      <c r="AG57" s="778" t="str">
        <f>VLOOKUP(F57,'2) Tracker'!$A$2:$BO$980,34,FALSE)</f>
        <v/>
      </c>
      <c r="AH57" s="778" t="str">
        <f>VLOOKUP(F57,'2) Tracker'!$A$2:$BN$980,66,FALSE)</f>
        <v/>
      </c>
      <c r="AI57" s="778" t="str">
        <f>VLOOKUP(F57,'2) Tracker'!$A$2:$BO$980,56,FALSE)</f>
        <v/>
      </c>
      <c r="AJ57" s="778" t="str">
        <f>VLOOKUP(F57,'2) Tracker'!$A$2:$BO$980,52,FALSE)</f>
        <v/>
      </c>
      <c r="AK57" s="778" t="str">
        <f>VLOOKUP(F57,'2) Tracker'!$A$2:$AQ$980,43,FALSE)</f>
        <v/>
      </c>
      <c r="AL57" s="778">
        <f>VLOOKUP(F57,'2) Tracker'!$A$2:$BH$980,46,FALSE())</f>
        <v>46150</v>
      </c>
      <c r="AM57" s="778" t="str">
        <f>VLOOKUP(F57,'2) Tracker'!$A$2:$BO$980,65,FALSE())</f>
        <v/>
      </c>
      <c r="AN57" s="778" t="str">
        <f>VLOOKUP(F57,'2) Tracker'!$A$2:$BK$980,63,FALSE())</f>
        <v/>
      </c>
      <c r="AO57" s="778" t="str">
        <f>VLOOKUP(F57,'2) Tracker'!$A$2:$BF$980,58,FALSE())</f>
        <v/>
      </c>
      <c r="AP57" s="52"/>
      <c r="AQ57" s="52"/>
      <c r="AR57" s="52"/>
      <c r="AS57" s="52"/>
      <c r="AT57" s="52"/>
      <c r="AU57" s="52"/>
      <c r="AV57" s="52"/>
      <c r="AW57" s="52"/>
      <c r="AX57" s="52"/>
      <c r="AY57" s="52"/>
      <c r="AZ57" s="787"/>
      <c r="BA57" s="786" t="str">
        <f>vlookup(AZ57,'Iran, FS'!$A$1:$B$318,2, false)</f>
        <v>#N/A</v>
      </c>
      <c r="BB57" s="787" t="str">
        <f>vlookup(AZ57,'1) Kpler'!$E$2:$F$500,2,false)</f>
        <v>#N/A</v>
      </c>
      <c r="BC57" s="788"/>
      <c r="BD57" s="787"/>
      <c r="BE57" s="52"/>
      <c r="BF57" s="52"/>
      <c r="BG57" s="787"/>
      <c r="BH57" s="787"/>
      <c r="BI57" s="787"/>
      <c r="BJ57" s="787"/>
    </row>
    <row r="58">
      <c r="B58" s="765" t="str">
        <f>vlookup(F58,'2) Tracker'!$A$3:$O$410,5,false)</f>
        <v/>
      </c>
      <c r="C58" s="765" t="str">
        <f>vlookup(F58,'2) Tracker'!$A$3:$O$410,4,false)</f>
        <v/>
      </c>
      <c r="D58" s="734"/>
      <c r="E58" s="734" t="str">
        <f>vlookup(F58,'2) Tracker'!$A$3:$O$406,15,false)</f>
        <v/>
      </c>
      <c r="F58" s="766" t="s">
        <v>296</v>
      </c>
      <c r="G58" s="789">
        <f>VLOOKUP(F58,'2) Tracker'!$A$2:$BO$360,2,FALSE)</f>
        <v>2023</v>
      </c>
      <c r="H58" s="768">
        <f>VLOOKUP(F58,'2) Tracker'!$A$2:$BO$360,3,FALSE)</f>
        <v>84000</v>
      </c>
      <c r="I58" s="769" t="str">
        <f>VLOOKUP(F58,'2) Tracker'!$A$2:$BO$360,9,FALSE)</f>
        <v>BGN</v>
      </c>
      <c r="J58" s="770" t="str">
        <f>VLOOKUP(F58,'2) Tracker'!$A$2:$BO$360,12,FALSE)</f>
        <v>loads USG</v>
      </c>
      <c r="K58" s="771">
        <f t="shared" ref="K58:O58" si="101">AD58</f>
        <v>46130</v>
      </c>
      <c r="L58" s="771">
        <f t="shared" si="101"/>
        <v>46130</v>
      </c>
      <c r="M58" s="771">
        <f t="shared" si="101"/>
        <v>46162</v>
      </c>
      <c r="N58" s="771" t="str">
        <f t="shared" si="101"/>
        <v/>
      </c>
      <c r="O58" s="772" t="str">
        <f t="shared" si="101"/>
        <v/>
      </c>
      <c r="P58" s="773" t="str">
        <f>iferror(if(vlookup(F58,'Voyage days'!$M$808:$N$819,2,false),"GOA",""),"")</f>
        <v/>
      </c>
      <c r="Q58" s="771" t="str">
        <f t="shared" si="81"/>
        <v/>
      </c>
      <c r="R58" s="771" t="str">
        <f t="shared" si="83"/>
        <v/>
      </c>
      <c r="S58" s="774">
        <f t="shared" si="5"/>
        <v>46150</v>
      </c>
      <c r="T58" s="771" t="str">
        <f t="shared" si="6"/>
        <v/>
      </c>
      <c r="U58" s="771" t="str">
        <f t="shared" si="84"/>
        <v/>
      </c>
      <c r="V58" s="802"/>
      <c r="W58" s="802" t="str">
        <f t="shared" si="85"/>
        <v/>
      </c>
      <c r="X58" s="775" t="str">
        <f t="shared" si="9"/>
        <v/>
      </c>
      <c r="Y58" s="776"/>
      <c r="Z58" s="777" t="str">
        <f>vlookup(F58,'2) Tracker'!$A$3:$Q$504,16,false)</f>
        <v>ex DD, ETA Nederland 18 Apr via Cape</v>
      </c>
      <c r="AA58" s="777" t="str">
        <f>vlookup(F58,'2) Tracker'!$A$3:$R$504,18,false)</f>
        <v>BGN 18-19 Apr Nederland</v>
      </c>
      <c r="AB58" s="777" t="str">
        <f>vlookup(F58,'2) Tracker'!$A$3:$Q$504,17,false)</f>
        <v/>
      </c>
      <c r="AC58" s="778"/>
      <c r="AD58" s="778">
        <f>VLOOKUP(F58,'2) Tracker'!$A$2:$BO$980,37,FALSE)</f>
        <v>46130</v>
      </c>
      <c r="AE58" s="778">
        <f>VLOOKUP(F58,'2) Tracker'!$A$2:$BO$980,40,FALSE)</f>
        <v>46130</v>
      </c>
      <c r="AF58" s="778">
        <f>VLOOKUP(F58,'2) Tracker'!$A$2:$BO$980,67,FALSE)</f>
        <v>46162</v>
      </c>
      <c r="AG58" s="778" t="str">
        <f>VLOOKUP(F58,'2) Tracker'!$A$2:$BO$980,34,FALSE)</f>
        <v/>
      </c>
      <c r="AH58" s="778" t="str">
        <f>VLOOKUP(F58,'2) Tracker'!$A$2:$BN$980,66,FALSE)</f>
        <v/>
      </c>
      <c r="AI58" s="779" t="str">
        <f>VLOOKUP(F58,'2) Tracker'!$A$2:$BO$980,56,FALSE)</f>
        <v/>
      </c>
      <c r="AJ58" s="779" t="str">
        <f>VLOOKUP(F58,'2) Tracker'!$A$2:$BO$980,52,FALSE)</f>
        <v/>
      </c>
      <c r="AK58" s="779" t="str">
        <f>VLOOKUP(F58,'2) Tracker'!$A$2:$AQ$980,43,FALSE)</f>
        <v/>
      </c>
      <c r="AL58" s="780">
        <f>VLOOKUP(F58,'2) Tracker'!$A$2:$BH$980,46,FALSE())</f>
        <v>46150</v>
      </c>
      <c r="AM58" s="780" t="str">
        <f>VLOOKUP(F58,'2) Tracker'!$A$2:$BO$980,65,FALSE())</f>
        <v/>
      </c>
      <c r="AN58" s="780" t="str">
        <f>VLOOKUP(F58,'2) Tracker'!$A$2:$BK$980,63,FALSE())</f>
        <v/>
      </c>
      <c r="AO58" s="780" t="str">
        <f>VLOOKUP(F58,'2) Tracker'!$A$2:$BF$980,58,FALSE())</f>
        <v/>
      </c>
      <c r="AP58" s="52"/>
      <c r="AQ58" s="52"/>
      <c r="AR58" s="52"/>
      <c r="AS58" s="52"/>
      <c r="AT58" s="52"/>
      <c r="AU58" s="52"/>
      <c r="AV58" s="52"/>
      <c r="AW58" s="52"/>
      <c r="AX58" s="52"/>
      <c r="AY58" s="52"/>
      <c r="AZ58" s="734"/>
      <c r="BA58" s="740"/>
      <c r="BB58" s="734"/>
      <c r="BC58" s="740"/>
      <c r="BD58" s="734"/>
      <c r="BE58" s="52"/>
      <c r="BF58" s="52"/>
      <c r="BG58" s="734"/>
      <c r="BH58" s="734"/>
      <c r="BI58" s="734"/>
      <c r="BJ58" s="734"/>
    </row>
    <row r="59">
      <c r="B59" s="765" t="str">
        <f>vlookup(F59,'2) Tracker'!$A$3:$O$410,5,false)</f>
        <v>C</v>
      </c>
      <c r="C59" s="765" t="str">
        <f>vlookup(F59,'2) Tracker'!$A$3:$O$410,4,false)</f>
        <v/>
      </c>
      <c r="D59" s="734"/>
      <c r="E59" s="734" t="str">
        <f>vlookup(F59,'2) Tracker'!$A$3:$O$406,15,false)</f>
        <v/>
      </c>
      <c r="F59" s="788" t="s">
        <v>483</v>
      </c>
      <c r="G59" s="783">
        <f>VLOOKUP(F59,'2) Tracker'!$A$2:$BO$360,2,FALSE)</f>
        <v>42571</v>
      </c>
      <c r="H59" s="768">
        <f>VLOOKUP(F59,'2) Tracker'!$A$2:$BO$360,3,FALSE)</f>
        <v>84000</v>
      </c>
      <c r="I59" s="777" t="str">
        <f>VLOOKUP(F59,'2) Tracker'!$A$2:$BO$360,9,FALSE)</f>
        <v>OE</v>
      </c>
      <c r="J59" s="770" t="str">
        <f>VLOOKUP(F59,'2) Tracker'!$A$2:$BO$360,12,FALSE)</f>
        <v>loads USG</v>
      </c>
      <c r="K59" s="771">
        <f t="shared" ref="K59:O59" si="102">AD59</f>
        <v>46130</v>
      </c>
      <c r="L59" s="771">
        <f t="shared" si="102"/>
        <v>46130</v>
      </c>
      <c r="M59" s="771">
        <f t="shared" si="102"/>
        <v>46162</v>
      </c>
      <c r="N59" s="771" t="str">
        <f t="shared" si="102"/>
        <v/>
      </c>
      <c r="O59" s="772" t="str">
        <f t="shared" si="102"/>
        <v/>
      </c>
      <c r="P59" s="773" t="str">
        <f>iferror(if(vlookup(F59,'Voyage days'!$M$808:$N$819,2,false),"GOA",""),"")</f>
        <v/>
      </c>
      <c r="Q59" s="771" t="str">
        <f t="shared" si="81"/>
        <v/>
      </c>
      <c r="R59" s="771" t="str">
        <f t="shared" si="83"/>
        <v/>
      </c>
      <c r="S59" s="774">
        <f t="shared" si="5"/>
        <v>46150</v>
      </c>
      <c r="T59" s="771" t="str">
        <f t="shared" si="6"/>
        <v/>
      </c>
      <c r="U59" s="771" t="str">
        <f t="shared" si="84"/>
        <v/>
      </c>
      <c r="V59" s="771"/>
      <c r="W59" s="771" t="str">
        <f t="shared" si="85"/>
        <v/>
      </c>
      <c r="X59" s="775" t="str">
        <f t="shared" si="9"/>
        <v/>
      </c>
      <c r="Y59" s="784"/>
      <c r="Z59" s="777" t="str">
        <f>vlookup(F59,'2) Tracker'!$A$3:$Q$504,16,false)</f>
        <v>ETA USG 17 Apr via Cape</v>
      </c>
      <c r="AA59" s="777" t="str">
        <f>vlookup(F59,'2) Tracker'!$A$3:$R$504,18,false)</f>
        <v>Gunvor 18-19 Apr USG</v>
      </c>
      <c r="AB59" s="777" t="str">
        <f>vlookup(F59,'2) Tracker'!$A$3:$Q$504,17,false)</f>
        <v/>
      </c>
      <c r="AC59" s="778"/>
      <c r="AD59" s="778">
        <f>VLOOKUP(F59,'2) Tracker'!$A$2:$BO$980,37,FALSE)</f>
        <v>46130</v>
      </c>
      <c r="AE59" s="778">
        <f>VLOOKUP(F59,'2) Tracker'!$A$2:$BO$980,40,FALSE)</f>
        <v>46130</v>
      </c>
      <c r="AF59" s="778">
        <f>VLOOKUP(F59,'2) Tracker'!$A$2:$BO$980,67,FALSE)</f>
        <v>46162</v>
      </c>
      <c r="AG59" s="778" t="str">
        <f>VLOOKUP(F59,'2) Tracker'!$A$2:$BO$980,34,FALSE)</f>
        <v/>
      </c>
      <c r="AH59" s="778" t="str">
        <f>VLOOKUP(F59,'2) Tracker'!$A$2:$BN$980,66,FALSE)</f>
        <v/>
      </c>
      <c r="AI59" s="778" t="str">
        <f>VLOOKUP(F59,'2) Tracker'!$A$2:$BO$980,56,FALSE)</f>
        <v/>
      </c>
      <c r="AJ59" s="778" t="str">
        <f>VLOOKUP(F59,'2) Tracker'!$A$2:$BO$980,52,FALSE)</f>
        <v/>
      </c>
      <c r="AK59" s="778" t="str">
        <f>VLOOKUP(F59,'2) Tracker'!$A$2:$AQ$980,43,FALSE)</f>
        <v/>
      </c>
      <c r="AL59" s="778">
        <f>VLOOKUP(F59,'2) Tracker'!$A$2:$BH$980,46,FALSE())</f>
        <v>46150</v>
      </c>
      <c r="AM59" s="778" t="str">
        <f>VLOOKUP(F59,'2) Tracker'!$A$2:$BO$980,65,FALSE())</f>
        <v/>
      </c>
      <c r="AN59" s="778" t="str">
        <f>VLOOKUP(F59,'2) Tracker'!$A$2:$BK$980,63,FALSE())</f>
        <v/>
      </c>
      <c r="AO59" s="778" t="str">
        <f>VLOOKUP(F59,'2) Tracker'!$A$2:$BF$980,58,FALSE())</f>
        <v/>
      </c>
      <c r="AP59" s="52"/>
      <c r="AQ59" s="52"/>
      <c r="AR59" s="52"/>
      <c r="AS59" s="52"/>
      <c r="AT59" s="52"/>
      <c r="AU59" s="52"/>
      <c r="AV59" s="52"/>
      <c r="AW59" s="52"/>
      <c r="AX59" s="52"/>
      <c r="AY59" s="52"/>
      <c r="AZ59" s="734"/>
      <c r="BA59" s="740"/>
      <c r="BB59" s="734"/>
      <c r="BC59" s="740"/>
      <c r="BD59" s="734"/>
      <c r="BE59" s="52"/>
      <c r="BF59" s="52"/>
      <c r="BG59" s="734"/>
      <c r="BH59" s="734"/>
      <c r="BI59" s="734"/>
      <c r="BJ59" s="734"/>
    </row>
    <row r="60">
      <c r="B60" s="765" t="str">
        <f>vlookup(F60,'2) Tracker'!$A$3:$O$410,5,false)</f>
        <v>C</v>
      </c>
      <c r="C60" s="765" t="str">
        <f>vlookup(F60,'2) Tracker'!$A$3:$O$410,4,false)</f>
        <v/>
      </c>
      <c r="D60" s="734"/>
      <c r="E60" s="734" t="str">
        <f>vlookup(F60,'2) Tracker'!$A$3:$O$406,15,false)</f>
        <v/>
      </c>
      <c r="F60" s="788" t="s">
        <v>872</v>
      </c>
      <c r="G60" s="789">
        <f>VLOOKUP(F60,'2) Tracker'!$A$2:$BO$360,2,FALSE)</f>
        <v>2020</v>
      </c>
      <c r="H60" s="768">
        <f>VLOOKUP(F60,'2) Tracker'!$A$2:$BO$360,3,FALSE)</f>
        <v>84700</v>
      </c>
      <c r="I60" s="777" t="str">
        <f>VLOOKUP(F60,'2) Tracker'!$A$2:$BO$360,9,FALSE)</f>
        <v>E1</v>
      </c>
      <c r="J60" s="770" t="str">
        <f>VLOOKUP(F60,'2) Tracker'!$A$2:$BO$360,12,FALSE)</f>
        <v>loads USG</v>
      </c>
      <c r="K60" s="771">
        <f t="shared" ref="K60:O60" si="103">AD60</f>
        <v>46130</v>
      </c>
      <c r="L60" s="771">
        <f t="shared" si="103"/>
        <v>46130</v>
      </c>
      <c r="M60" s="771">
        <f t="shared" si="103"/>
        <v>46162</v>
      </c>
      <c r="N60" s="771" t="str">
        <f t="shared" si="103"/>
        <v/>
      </c>
      <c r="O60" s="772" t="str">
        <f t="shared" si="103"/>
        <v/>
      </c>
      <c r="P60" s="773" t="str">
        <f>iferror(if(vlookup(F60,'Voyage days'!$M$808:$N$819,2,false),"GOA",""),"")</f>
        <v/>
      </c>
      <c r="Q60" s="771" t="str">
        <f t="shared" si="81"/>
        <v/>
      </c>
      <c r="R60" s="771" t="str">
        <f t="shared" si="83"/>
        <v/>
      </c>
      <c r="S60" s="774">
        <f t="shared" si="5"/>
        <v>46150</v>
      </c>
      <c r="T60" s="771" t="str">
        <f t="shared" si="6"/>
        <v/>
      </c>
      <c r="U60" s="771" t="str">
        <f t="shared" si="84"/>
        <v/>
      </c>
      <c r="V60" s="771"/>
      <c r="W60" s="771" t="str">
        <f t="shared" si="85"/>
        <v/>
      </c>
      <c r="X60" s="775" t="str">
        <f t="shared" si="9"/>
        <v/>
      </c>
      <c r="Y60" s="804" t="s">
        <v>1546</v>
      </c>
      <c r="Z60" s="777" t="str">
        <f>vlookup(F60,'2) Tracker'!$A$3:$Q$504,16,false)</f>
        <v>ETA USG 14 Apr via Cape</v>
      </c>
      <c r="AA60" s="777" t="str">
        <f>vlookup(F60,'2) Tracker'!$A$3:$R$504,18,false)</f>
        <v>Marathon 18-19 Apr Freeport</v>
      </c>
      <c r="AB60" s="811" t="str">
        <f>'2) Tracker'!Q259</f>
        <v/>
      </c>
      <c r="AC60" s="778"/>
      <c r="AD60" s="778">
        <f>VLOOKUP(F60,'2) Tracker'!$A$2:$BO$980,37,FALSE)</f>
        <v>46130</v>
      </c>
      <c r="AE60" s="778">
        <f>VLOOKUP(F60,'2) Tracker'!$A$2:$BO$980,40,FALSE)</f>
        <v>46130</v>
      </c>
      <c r="AF60" s="778">
        <f>VLOOKUP(F60,'2) Tracker'!$A$2:$BO$980,67,FALSE)</f>
        <v>46162</v>
      </c>
      <c r="AG60" s="778" t="str">
        <f>VLOOKUP(F60,'2) Tracker'!$A$2:$BO$980,34,FALSE)</f>
        <v/>
      </c>
      <c r="AH60" s="778" t="str">
        <f>VLOOKUP(F60,'2) Tracker'!$A$2:$BN$980,66,FALSE)</f>
        <v/>
      </c>
      <c r="AI60" s="778" t="str">
        <f>VLOOKUP(F60,'2) Tracker'!$A$2:$BO$980,56,FALSE)</f>
        <v/>
      </c>
      <c r="AJ60" s="778" t="str">
        <f>VLOOKUP(F60,'2) Tracker'!$A$2:$BO$980,52,FALSE)</f>
        <v/>
      </c>
      <c r="AK60" s="778" t="str">
        <f>VLOOKUP(F60,'2) Tracker'!$A$2:$AQ$980,43,FALSE)</f>
        <v/>
      </c>
      <c r="AL60" s="778">
        <f>VLOOKUP(F60,'2) Tracker'!$A$2:$BH$980,46,FALSE())</f>
        <v>46150</v>
      </c>
      <c r="AM60" s="778" t="str">
        <f>VLOOKUP(F60,'2) Tracker'!$A$2:$BO$980,65,FALSE())</f>
        <v/>
      </c>
      <c r="AN60" s="778" t="str">
        <f>VLOOKUP(F60,'2) Tracker'!$A$2:$BK$980,63,FALSE())</f>
        <v/>
      </c>
      <c r="AO60" s="778" t="str">
        <f>VLOOKUP(F60,'2) Tracker'!$A$2:$BF$980,58,FALSE())</f>
        <v/>
      </c>
      <c r="AP60" s="52"/>
      <c r="AQ60" s="52"/>
      <c r="AR60" s="52"/>
      <c r="AS60" s="52"/>
      <c r="AT60" s="52"/>
      <c r="AU60" s="52"/>
      <c r="AV60" s="52"/>
      <c r="AW60" s="52"/>
      <c r="AX60" s="52"/>
      <c r="AY60" s="52"/>
      <c r="AZ60" s="734"/>
      <c r="BA60" s="786" t="str">
        <f>vlookup(AZ60,'Iran, FS'!$A$1:$B$318,2, false)</f>
        <v>#N/A</v>
      </c>
      <c r="BB60" s="787" t="str">
        <f>vlookup(AZ60,'1) Kpler'!$E$2:$F$500,2,false)</f>
        <v>#N/A</v>
      </c>
      <c r="BC60" s="740"/>
      <c r="BD60" s="734"/>
      <c r="BE60" s="52"/>
      <c r="BF60" s="52"/>
      <c r="BG60" s="734"/>
      <c r="BH60" s="734"/>
      <c r="BI60" s="734"/>
      <c r="BJ60" s="734"/>
    </row>
    <row r="61" ht="15.75" customHeight="1">
      <c r="B61" s="765" t="str">
        <f>vlookup(F61,'2) Tracker'!$A$3:$O$410,5,false)</f>
        <v/>
      </c>
      <c r="C61" s="765" t="str">
        <f>vlookup(F61,'2) Tracker'!$A$3:$O$410,4,false)</f>
        <v/>
      </c>
      <c r="D61" s="734"/>
      <c r="E61" s="734" t="str">
        <f>vlookup(F61,'2) Tracker'!$A$3:$O$406,15,false)</f>
        <v/>
      </c>
      <c r="F61" s="766" t="s">
        <v>462</v>
      </c>
      <c r="G61" s="789">
        <f>VLOOKUP(F61,'2) Tracker'!$A$2:$BO$360,2,FALSE)</f>
        <v>2023</v>
      </c>
      <c r="H61" s="768">
        <f>VLOOKUP(F61,'2) Tracker'!$A$2:$BO$360,3,FALSE)</f>
        <v>86000</v>
      </c>
      <c r="I61" s="769" t="str">
        <f>VLOOKUP(F61,'2) Tracker'!$A$2:$BO$360,9,FALSE)</f>
        <v>BGN</v>
      </c>
      <c r="J61" s="770" t="str">
        <f>VLOOKUP(F61,'2) Tracker'!$A$2:$BO$360,12,FALSE)</f>
        <v>loads USG</v>
      </c>
      <c r="K61" s="771">
        <f t="shared" ref="K61:O61" si="104">AD61</f>
        <v>46131</v>
      </c>
      <c r="L61" s="771">
        <f t="shared" si="104"/>
        <v>46131</v>
      </c>
      <c r="M61" s="771">
        <f t="shared" si="104"/>
        <v>46163</v>
      </c>
      <c r="N61" s="771" t="str">
        <f t="shared" si="104"/>
        <v/>
      </c>
      <c r="O61" s="772" t="str">
        <f t="shared" si="104"/>
        <v/>
      </c>
      <c r="P61" s="773" t="str">
        <f>iferror(if(vlookup(F61,'Voyage days'!$M$808:$N$819,2,false),"GOA",""),"")</f>
        <v/>
      </c>
      <c r="Q61" s="771" t="str">
        <f t="shared" si="81"/>
        <v/>
      </c>
      <c r="R61" s="771" t="str">
        <f t="shared" si="83"/>
        <v/>
      </c>
      <c r="S61" s="774">
        <f t="shared" si="5"/>
        <v>46151</v>
      </c>
      <c r="T61" s="771" t="str">
        <f t="shared" si="6"/>
        <v/>
      </c>
      <c r="U61" s="771" t="str">
        <f t="shared" si="84"/>
        <v/>
      </c>
      <c r="V61" s="771"/>
      <c r="W61" s="771" t="str">
        <f t="shared" si="85"/>
        <v/>
      </c>
      <c r="X61" s="775" t="str">
        <f t="shared" si="9"/>
        <v/>
      </c>
      <c r="Y61" s="776" t="s">
        <v>1547</v>
      </c>
      <c r="Z61" s="777" t="str">
        <f>vlookup(F61,'2) Tracker'!$A$3:$Q$504,16,false)</f>
        <v>Heading towards Panama 14 apr</v>
      </c>
      <c r="AA61" s="777" t="str">
        <f>vlookup(F61,'2) Tracker'!$A$3:$R$504,18,false)</f>
        <v>BGN 27-28 Mar USG</v>
      </c>
      <c r="AB61" s="777" t="str">
        <f>vlookup(F61,'2) Tracker'!$A$3:$Q$504,17,false)</f>
        <v/>
      </c>
      <c r="AC61" s="778"/>
      <c r="AD61" s="778">
        <f>VLOOKUP(F61,'2) Tracker'!$A$2:$BO$980,37,FALSE)</f>
        <v>46131</v>
      </c>
      <c r="AE61" s="778">
        <f>VLOOKUP(F61,'2) Tracker'!$A$2:$BO$980,40,FALSE)</f>
        <v>46131</v>
      </c>
      <c r="AF61" s="778">
        <f>VLOOKUP(F61,'2) Tracker'!$A$2:$BO$980,67,FALSE)</f>
        <v>46163</v>
      </c>
      <c r="AG61" s="778" t="str">
        <f>VLOOKUP(F61,'2) Tracker'!$A$2:$BO$980,34,FALSE)</f>
        <v/>
      </c>
      <c r="AH61" s="778" t="str">
        <f>VLOOKUP(F61,'2) Tracker'!$A$2:$BN$980,66,FALSE)</f>
        <v/>
      </c>
      <c r="AI61" s="778" t="str">
        <f>VLOOKUP(F61,'2) Tracker'!$A$2:$BO$980,56,FALSE)</f>
        <v/>
      </c>
      <c r="AJ61" s="778" t="str">
        <f>VLOOKUP(F61,'2) Tracker'!$A$2:$BO$980,52,FALSE)</f>
        <v/>
      </c>
      <c r="AK61" s="778" t="str">
        <f>VLOOKUP(F61,'2) Tracker'!$A$2:$AQ$980,43,FALSE)</f>
        <v/>
      </c>
      <c r="AL61" s="778">
        <f>VLOOKUP(F61,'2) Tracker'!$A$2:$BH$980,46,FALSE())</f>
        <v>46151</v>
      </c>
      <c r="AM61" s="778" t="str">
        <f>VLOOKUP(F61,'2) Tracker'!$A$2:$BO$980,65,FALSE())</f>
        <v/>
      </c>
      <c r="AN61" s="778" t="str">
        <f>VLOOKUP(F61,'2) Tracker'!$A$2:$BK$980,63,FALSE())</f>
        <v/>
      </c>
      <c r="AO61" s="778" t="str">
        <f>VLOOKUP(F61,'2) Tracker'!$A$2:$BF$980,58,FALSE())</f>
        <v/>
      </c>
      <c r="AP61" s="52"/>
      <c r="AQ61" s="52"/>
      <c r="AR61" s="52"/>
      <c r="AS61" s="52"/>
      <c r="AT61" s="52"/>
      <c r="AU61" s="52"/>
      <c r="AV61" s="52"/>
      <c r="AW61" s="52"/>
      <c r="AX61" s="52"/>
      <c r="AY61" s="52"/>
      <c r="AZ61" s="734"/>
      <c r="BA61" s="740"/>
      <c r="BB61" s="734"/>
      <c r="BC61" s="740"/>
      <c r="BD61" s="734"/>
      <c r="BE61" s="52"/>
      <c r="BF61" s="52"/>
      <c r="BG61" s="734"/>
      <c r="BH61" s="734"/>
      <c r="BI61" s="734"/>
      <c r="BJ61" s="734"/>
    </row>
    <row r="62">
      <c r="B62" s="765" t="str">
        <f>vlookup(F62,'2) Tracker'!$A$3:$O$410,5,false)</f>
        <v/>
      </c>
      <c r="C62" s="765" t="str">
        <f>vlookup(F62,'2) Tracker'!$A$3:$O$410,4,false)</f>
        <v>US</v>
      </c>
      <c r="D62" s="734"/>
      <c r="E62" s="734" t="str">
        <f>vlookup(F62,'2) Tracker'!$A$3:$O$406,15,false)</f>
        <v/>
      </c>
      <c r="F62" s="766" t="s">
        <v>1004</v>
      </c>
      <c r="G62" s="783">
        <f>VLOOKUP(F62,'2) Tracker'!$A$2:$BO$360,2,FALSE)</f>
        <v>42079</v>
      </c>
      <c r="H62" s="768">
        <f>VLOOKUP(F62,'2) Tracker'!$A$2:$BO$360,3,FALSE)</f>
        <v>84134</v>
      </c>
      <c r="I62" s="769" t="str">
        <f>VLOOKUP(F62,'2) Tracker'!$A$2:$BO$360,9,FALSE)</f>
        <v>Marathon</v>
      </c>
      <c r="J62" s="770" t="str">
        <f>VLOOKUP(F62,'2) Tracker'!$A$2:$BO$360,12,FALSE)</f>
        <v>loads USG</v>
      </c>
      <c r="K62" s="774">
        <f t="shared" ref="K62:O62" si="105">AD62</f>
        <v>46131</v>
      </c>
      <c r="L62" s="774">
        <f t="shared" si="105"/>
        <v>46131</v>
      </c>
      <c r="M62" s="771">
        <f t="shared" si="105"/>
        <v>46163</v>
      </c>
      <c r="N62" s="771" t="str">
        <f t="shared" si="105"/>
        <v/>
      </c>
      <c r="O62" s="772" t="str">
        <f t="shared" si="105"/>
        <v/>
      </c>
      <c r="P62" s="773" t="str">
        <f>iferror(if(vlookup(F62,'Voyage days'!$M$808:$N$819,2,false),"GOA",""),"")</f>
        <v/>
      </c>
      <c r="Q62" s="771" t="str">
        <f t="shared" si="81"/>
        <v/>
      </c>
      <c r="R62" s="774" t="str">
        <f t="shared" si="83"/>
        <v/>
      </c>
      <c r="S62" s="774">
        <f t="shared" si="5"/>
        <v>46151</v>
      </c>
      <c r="T62" s="774" t="str">
        <f t="shared" si="6"/>
        <v/>
      </c>
      <c r="U62" s="774" t="str">
        <f t="shared" si="84"/>
        <v/>
      </c>
      <c r="V62" s="774"/>
      <c r="W62" s="774" t="str">
        <f t="shared" si="85"/>
        <v/>
      </c>
      <c r="X62" s="775" t="str">
        <f t="shared" si="9"/>
        <v/>
      </c>
      <c r="Y62" s="776"/>
      <c r="Z62" s="777" t="str">
        <f>vlookup(F62,'2) Tracker'!$A$3:$Q$504,16,false)</f>
        <v>ex DD, @ Balboa 09 Apr, waiting to transit</v>
      </c>
      <c r="AA62" s="777" t="str">
        <f>vlookup(F62,'2) Tracker'!$A$3:$R$504,18,false)</f>
        <v>Marathon 19-20 Apr USG</v>
      </c>
      <c r="AB62" s="777" t="str">
        <f>vlookup(F62,'2) Tracker'!$A$3:$Q$504,17,false)</f>
        <v/>
      </c>
      <c r="AC62" s="778"/>
      <c r="AD62" s="778">
        <f>VLOOKUP(F62,'2) Tracker'!$A$2:$BO$980,37,FALSE)</f>
        <v>46131</v>
      </c>
      <c r="AE62" s="778">
        <f>VLOOKUP(F62,'2) Tracker'!$A$2:$BO$980,40,FALSE)</f>
        <v>46131</v>
      </c>
      <c r="AF62" s="778">
        <f>VLOOKUP(F62,'2) Tracker'!$A$2:$BO$980,67,FALSE)</f>
        <v>46163</v>
      </c>
      <c r="AG62" s="778" t="str">
        <f>VLOOKUP(F62,'2) Tracker'!$A$2:$BO$980,34,FALSE)</f>
        <v/>
      </c>
      <c r="AH62" s="778" t="str">
        <f>VLOOKUP(F62,'2) Tracker'!$A$2:$BN$980,66,FALSE)</f>
        <v/>
      </c>
      <c r="AI62" s="778" t="str">
        <f>VLOOKUP(F62,'2) Tracker'!$A$2:$BO$980,56,FALSE)</f>
        <v/>
      </c>
      <c r="AJ62" s="778" t="str">
        <f>VLOOKUP(F62,'2) Tracker'!$A$2:$BO$980,52,FALSE)</f>
        <v/>
      </c>
      <c r="AK62" s="778" t="str">
        <f>VLOOKUP(F62,'2) Tracker'!$A$2:$AQ$980,43,FALSE)</f>
        <v/>
      </c>
      <c r="AL62" s="778">
        <f>VLOOKUP(F62,'2) Tracker'!$A$2:$BH$980,46,FALSE())</f>
        <v>46151</v>
      </c>
      <c r="AM62" s="778" t="str">
        <f>VLOOKUP(F62,'2) Tracker'!$A$2:$BO$980,65,FALSE())</f>
        <v/>
      </c>
      <c r="AN62" s="778" t="str">
        <f>VLOOKUP(F62,'2) Tracker'!$A$2:$BK$980,63,FALSE())</f>
        <v/>
      </c>
      <c r="AO62" s="778" t="str">
        <f>VLOOKUP(F62,'2) Tracker'!$A$2:$BF$980,58,FALSE())</f>
        <v/>
      </c>
      <c r="AP62" s="52"/>
      <c r="AQ62" s="52"/>
      <c r="AR62" s="52"/>
      <c r="AS62" s="52"/>
      <c r="AT62" s="52"/>
      <c r="AU62" s="52"/>
      <c r="AV62" s="52"/>
      <c r="AW62" s="52"/>
      <c r="AX62" s="52"/>
      <c r="AY62" s="52"/>
      <c r="AZ62" s="734"/>
      <c r="BA62" s="740"/>
      <c r="BB62" s="734"/>
      <c r="BC62" s="740"/>
      <c r="BD62" s="734"/>
      <c r="BE62" s="52"/>
      <c r="BF62" s="52"/>
      <c r="BG62" s="734"/>
      <c r="BH62" s="734"/>
      <c r="BI62" s="734"/>
      <c r="BJ62" s="734"/>
    </row>
    <row r="63">
      <c r="B63" s="765" t="str">
        <f>vlookup(F63,'2) Tracker'!$A$3:$O$410,5,false)</f>
        <v/>
      </c>
      <c r="C63" s="765" t="str">
        <f>vlookup(F63,'2) Tracker'!$A$3:$O$410,4,false)</f>
        <v>US</v>
      </c>
      <c r="D63" s="734"/>
      <c r="E63" s="734" t="str">
        <f>vlookup(F63,'2) Tracker'!$A$3:$O$406,15,false)</f>
        <v>eu</v>
      </c>
      <c r="F63" s="798" t="s">
        <v>1548</v>
      </c>
      <c r="G63" s="783">
        <f>VLOOKUP(F63,'2) Tracker'!$A$2:$BO$360,2,FALSE)</f>
        <v>42217</v>
      </c>
      <c r="H63" s="768">
        <f>VLOOKUP(F63,'2) Tracker'!$A$2:$BO$360,3,FALSE)</f>
        <v>84000</v>
      </c>
      <c r="I63" s="769" t="str">
        <f>VLOOKUP(F63,'2) Tracker'!$A$2:$BO$360,9,FALSE)</f>
        <v>Energy Transfer</v>
      </c>
      <c r="J63" s="770" t="str">
        <f>VLOOKUP(F63,'2) Tracker'!$A$2:$BO$360,12,FALSE)</f>
        <v>loads USG</v>
      </c>
      <c r="K63" s="774">
        <f t="shared" ref="K63:O63" si="106">AD63</f>
        <v>46131</v>
      </c>
      <c r="L63" s="774">
        <f t="shared" si="106"/>
        <v>46131</v>
      </c>
      <c r="M63" s="771">
        <f t="shared" si="106"/>
        <v>46163</v>
      </c>
      <c r="N63" s="771" t="str">
        <f t="shared" si="106"/>
        <v/>
      </c>
      <c r="O63" s="772" t="str">
        <f t="shared" si="106"/>
        <v/>
      </c>
      <c r="P63" s="773" t="str">
        <f>iferror(if(vlookup(F63,'Voyage days'!$M$808:$N$819,2,false),"GOA",""),"")</f>
        <v/>
      </c>
      <c r="Q63" s="771" t="str">
        <f t="shared" si="81"/>
        <v/>
      </c>
      <c r="R63" s="771" t="str">
        <f t="shared" si="83"/>
        <v/>
      </c>
      <c r="S63" s="774">
        <f t="shared" si="5"/>
        <v>46151</v>
      </c>
      <c r="T63" s="771" t="str">
        <f t="shared" si="6"/>
        <v/>
      </c>
      <c r="U63" s="771" t="str">
        <f t="shared" si="84"/>
        <v/>
      </c>
      <c r="V63" s="745" t="s">
        <v>1523</v>
      </c>
      <c r="W63" s="771" t="str">
        <f t="shared" si="85"/>
        <v/>
      </c>
      <c r="X63" s="775" t="str">
        <f t="shared" si="9"/>
        <v/>
      </c>
      <c r="Y63" s="776"/>
      <c r="Z63" s="777" t="str">
        <f>vlookup(F63,'2) Tracker'!$A$3:$Q$504,16,false)</f>
        <v>ETA 19 Apr Marcus Hook</v>
      </c>
      <c r="AA63" s="777" t="str">
        <f>vlookup(F63,'2) Tracker'!$A$3:$R$504,18,false)</f>
        <v>ET 11-12 Mar MH</v>
      </c>
      <c r="AB63" s="777" t="str">
        <f>vlookup(F63,'2) Tracker'!$A$3:$Q$504,17,false)</f>
        <v/>
      </c>
      <c r="AC63" s="778"/>
      <c r="AD63" s="778">
        <f>VLOOKUP(F63,'2) Tracker'!$A$2:$BO$980,37,FALSE)</f>
        <v>46131</v>
      </c>
      <c r="AE63" s="778">
        <f>VLOOKUP(F63,'2) Tracker'!$A$2:$BO$980,40,FALSE)</f>
        <v>46131</v>
      </c>
      <c r="AF63" s="778">
        <f>VLOOKUP(F63,'2) Tracker'!$A$2:$BO$980,67,FALSE)</f>
        <v>46163</v>
      </c>
      <c r="AG63" s="778" t="str">
        <f>VLOOKUP(F63,'2) Tracker'!$A$2:$BO$980,34,FALSE)</f>
        <v/>
      </c>
      <c r="AH63" s="778" t="str">
        <f>VLOOKUP(F63,'2) Tracker'!$A$2:$BN$980,66,FALSE)</f>
        <v/>
      </c>
      <c r="AI63" s="778" t="str">
        <f>VLOOKUP(F63,'2) Tracker'!$A$2:$BO$980,56,FALSE)</f>
        <v/>
      </c>
      <c r="AJ63" s="778" t="str">
        <f>VLOOKUP(F63,'2) Tracker'!$A$2:$BO$980,52,FALSE)</f>
        <v/>
      </c>
      <c r="AK63" s="778" t="str">
        <f>VLOOKUP(F63,'2) Tracker'!$A$2:$AQ$980,43,FALSE)</f>
        <v/>
      </c>
      <c r="AL63" s="778">
        <f>VLOOKUP(F63,'2) Tracker'!$A$2:$BH$980,46,FALSE())</f>
        <v>46151</v>
      </c>
      <c r="AM63" s="778" t="str">
        <f>VLOOKUP(F63,'2) Tracker'!$A$2:$BO$980,65,FALSE())</f>
        <v/>
      </c>
      <c r="AN63" s="778" t="str">
        <f>VLOOKUP(F63,'2) Tracker'!$A$2:$BK$980,63,FALSE())</f>
        <v/>
      </c>
      <c r="AO63" s="778" t="str">
        <f>VLOOKUP(F63,'2) Tracker'!$A$2:$BF$980,58,FALSE())</f>
        <v/>
      </c>
      <c r="AP63" s="52"/>
      <c r="AQ63" s="52"/>
      <c r="AR63" s="52"/>
      <c r="AS63" s="52"/>
      <c r="AT63" s="52"/>
      <c r="AU63" s="52"/>
      <c r="AV63" s="52"/>
      <c r="AW63" s="52"/>
      <c r="AX63" s="52"/>
      <c r="AY63" s="52"/>
      <c r="AZ63" s="734"/>
      <c r="BA63" s="786" t="str">
        <f>vlookup(AZ63,'Iran, FS'!$A$1:$B$318,2, false)</f>
        <v>#N/A</v>
      </c>
      <c r="BB63" s="787" t="str">
        <f>vlookup(AZ63,'1) Kpler'!$E$2:$F$500,2,false)</f>
        <v>#N/A</v>
      </c>
      <c r="BC63" s="740"/>
      <c r="BD63" s="734"/>
      <c r="BE63" s="52"/>
      <c r="BF63" s="52"/>
      <c r="BG63" s="734"/>
      <c r="BH63" s="734"/>
      <c r="BI63" s="734"/>
      <c r="BJ63" s="734"/>
    </row>
    <row r="64">
      <c r="B64" s="765" t="str">
        <f>vlookup(F64,'2) Tracker'!$A$3:$O$410,5,false)</f>
        <v/>
      </c>
      <c r="C64" s="765" t="str">
        <f>vlookup(F64,'2) Tracker'!$A$3:$O$410,4,false)</f>
        <v/>
      </c>
      <c r="D64" s="734"/>
      <c r="E64" s="734" t="str">
        <f>vlookup(F64,'2) Tracker'!$A$3:$O$406,15,false)</f>
        <v/>
      </c>
      <c r="F64" s="788" t="s">
        <v>1376</v>
      </c>
      <c r="G64" s="783">
        <f>VLOOKUP(F64,'2) Tracker'!$A$2:$BO$360,2,FALSE)</f>
        <v>42447</v>
      </c>
      <c r="H64" s="768">
        <f>VLOOKUP(F64,'2) Tracker'!$A$2:$BO$360,3,FALSE)</f>
        <v>84107</v>
      </c>
      <c r="I64" s="770" t="str">
        <f>VLOOKUP(F64,'2) Tracker'!$A$2:$BO$360,9,FALSE)</f>
        <v>BW</v>
      </c>
      <c r="J64" s="770" t="str">
        <f>VLOOKUP(F64,'2) Tracker'!$A$2:$BO$360,12,FALSE)</f>
        <v>loads USG</v>
      </c>
      <c r="K64" s="771">
        <f t="shared" ref="K64:O64" si="107">AD64</f>
        <v>46132</v>
      </c>
      <c r="L64" s="771">
        <f t="shared" si="107"/>
        <v>46132</v>
      </c>
      <c r="M64" s="771">
        <f t="shared" si="107"/>
        <v>46164</v>
      </c>
      <c r="N64" s="771" t="str">
        <f t="shared" si="107"/>
        <v/>
      </c>
      <c r="O64" s="772" t="str">
        <f t="shared" si="107"/>
        <v/>
      </c>
      <c r="P64" s="773" t="str">
        <f>iferror(if(vlookup(F64,'Voyage days'!$M$808:$N$819,2,false),"GOA",""),"")</f>
        <v/>
      </c>
      <c r="Q64" s="771" t="str">
        <f t="shared" si="81"/>
        <v/>
      </c>
      <c r="R64" s="771" t="str">
        <f t="shared" si="83"/>
        <v/>
      </c>
      <c r="S64" s="774">
        <f t="shared" si="5"/>
        <v>46152</v>
      </c>
      <c r="T64" s="771" t="str">
        <f t="shared" si="6"/>
        <v/>
      </c>
      <c r="U64" s="771" t="str">
        <f t="shared" si="84"/>
        <v/>
      </c>
      <c r="V64" s="771"/>
      <c r="W64" s="771" t="str">
        <f t="shared" si="85"/>
        <v/>
      </c>
      <c r="X64" s="775" t="str">
        <f t="shared" si="9"/>
        <v/>
      </c>
      <c r="Y64" s="795"/>
      <c r="Z64" s="777" t="str">
        <f>vlookup(F64,'2) Tracker'!$A$3:$Q$504,16,false)</f>
        <v>ex DD, ETA Balboa 09 Apr</v>
      </c>
      <c r="AA64" s="777" t="str">
        <f>vlookup(F64,'2) Tracker'!$A$3:$R$504,18,false)</f>
        <v>Geogas 20-21 Apr USG</v>
      </c>
      <c r="AB64" s="777" t="str">
        <f>vlookup(F64,'2) Tracker'!$A$3:$Q$504,17,false)</f>
        <v/>
      </c>
      <c r="AC64" s="778"/>
      <c r="AD64" s="778">
        <f>VLOOKUP(F64,'2) Tracker'!$A$2:$BO$980,37,FALSE)</f>
        <v>46132</v>
      </c>
      <c r="AE64" s="778">
        <f>VLOOKUP(F64,'2) Tracker'!$A$2:$BO$980,40,FALSE)</f>
        <v>46132</v>
      </c>
      <c r="AF64" s="778">
        <f>VLOOKUP(F64,'2) Tracker'!$A$2:$BO$980,67,FALSE)</f>
        <v>46164</v>
      </c>
      <c r="AG64" s="778" t="str">
        <f>VLOOKUP(F64,'2) Tracker'!$A$2:$BO$980,34,FALSE)</f>
        <v/>
      </c>
      <c r="AH64" s="778" t="str">
        <f>VLOOKUP(F64,'2) Tracker'!$A$2:$BN$980,66,FALSE)</f>
        <v/>
      </c>
      <c r="AI64" s="778" t="str">
        <f>VLOOKUP(F64,'2) Tracker'!$A$2:$BO$980,56,FALSE)</f>
        <v/>
      </c>
      <c r="AJ64" s="778" t="str">
        <f>VLOOKUP(F64,'2) Tracker'!$A$2:$BO$980,52,FALSE)</f>
        <v/>
      </c>
      <c r="AK64" s="778" t="str">
        <f>VLOOKUP(F64,'2) Tracker'!$A$2:$AQ$980,43,FALSE)</f>
        <v/>
      </c>
      <c r="AL64" s="778">
        <f>VLOOKUP(F64,'2) Tracker'!$A$2:$BH$980,46,FALSE())</f>
        <v>46152</v>
      </c>
      <c r="AM64" s="778" t="str">
        <f>VLOOKUP(F64,'2) Tracker'!$A$2:$BO$980,65,FALSE())</f>
        <v/>
      </c>
      <c r="AN64" s="778" t="str">
        <f>VLOOKUP(F64,'2) Tracker'!$A$2:$BK$980,63,FALSE())</f>
        <v/>
      </c>
      <c r="AO64" s="778" t="str">
        <f>VLOOKUP(F64,'2) Tracker'!$A$2:$BF$980,58,FALSE())</f>
        <v/>
      </c>
      <c r="AP64" s="52"/>
      <c r="AQ64" s="52"/>
      <c r="AR64" s="52"/>
      <c r="AS64" s="52"/>
      <c r="AT64" s="52"/>
      <c r="AU64" s="52"/>
      <c r="AV64" s="52"/>
      <c r="AW64" s="52"/>
      <c r="AX64" s="52"/>
      <c r="AY64" s="52"/>
      <c r="AZ64" s="734"/>
      <c r="BA64" s="786" t="str">
        <f>vlookup(AZ64,'Iran, FS'!$A$1:$B$318,2, false)</f>
        <v>#N/A</v>
      </c>
      <c r="BB64" s="787" t="str">
        <f>vlookup(AZ64,'1) Kpler'!$E$2:$F$500,2,false)</f>
        <v>#N/A</v>
      </c>
      <c r="BC64" s="740"/>
      <c r="BD64" s="734"/>
      <c r="BE64" s="52"/>
      <c r="BF64" s="52"/>
      <c r="BG64" s="734"/>
      <c r="BH64" s="734"/>
      <c r="BI64" s="734"/>
      <c r="BJ64" s="734"/>
    </row>
    <row r="65">
      <c r="B65" s="765" t="str">
        <f>vlookup(F65,'2) Tracker'!$A$3:$O$410,5,false)</f>
        <v/>
      </c>
      <c r="C65" s="765" t="str">
        <f>vlookup(F65,'2) Tracker'!$A$3:$O$410,4,false)</f>
        <v/>
      </c>
      <c r="D65" s="734"/>
      <c r="E65" s="734" t="str">
        <f>vlookup(F65,'2) Tracker'!$A$3:$O$406,15,false)</f>
        <v/>
      </c>
      <c r="F65" s="766" t="s">
        <v>362</v>
      </c>
      <c r="G65" s="783">
        <f>VLOOKUP(F65,'2) Tracker'!$A$2:$BO$360,2,FALSE)</f>
        <v>42339</v>
      </c>
      <c r="H65" s="768">
        <f>VLOOKUP(F65,'2) Tracker'!$A$2:$BO$360,3,FALSE)</f>
        <v>84000</v>
      </c>
      <c r="I65" s="769" t="str">
        <f>VLOOKUP(F65,'2) Tracker'!$A$2:$BO$360,9,FALSE)</f>
        <v>Total</v>
      </c>
      <c r="J65" s="770" t="str">
        <f>VLOOKUP(F65,'2) Tracker'!$A$2:$BO$360,12,FALSE)</f>
        <v>loads USG</v>
      </c>
      <c r="K65" s="771">
        <f t="shared" ref="K65:O65" si="108">AD65</f>
        <v>46132</v>
      </c>
      <c r="L65" s="771">
        <f t="shared" si="108"/>
        <v>46132</v>
      </c>
      <c r="M65" s="771">
        <f t="shared" si="108"/>
        <v>46164</v>
      </c>
      <c r="N65" s="771" t="str">
        <f t="shared" si="108"/>
        <v/>
      </c>
      <c r="O65" s="772" t="str">
        <f t="shared" si="108"/>
        <v/>
      </c>
      <c r="P65" s="773" t="str">
        <f>iferror(if(vlookup(F65,'Voyage days'!$M$808:$N$819,2,false),"GOA",""),"")</f>
        <v/>
      </c>
      <c r="Q65" s="771" t="str">
        <f t="shared" si="81"/>
        <v/>
      </c>
      <c r="R65" s="771" t="str">
        <f t="shared" si="83"/>
        <v/>
      </c>
      <c r="S65" s="774">
        <f t="shared" si="5"/>
        <v>46152</v>
      </c>
      <c r="T65" s="771" t="str">
        <f t="shared" si="6"/>
        <v/>
      </c>
      <c r="U65" s="771" t="str">
        <f t="shared" si="84"/>
        <v/>
      </c>
      <c r="V65" s="771"/>
      <c r="W65" s="771" t="str">
        <f t="shared" si="85"/>
        <v/>
      </c>
      <c r="X65" s="775" t="str">
        <f t="shared" si="9"/>
        <v/>
      </c>
      <c r="Y65" s="776"/>
      <c r="Z65" s="777" t="str">
        <f>vlookup(F65,'2) Tracker'!$A$3:$Q$504,16,false)</f>
        <v>ETA Nederland 18 Apr via Cape</v>
      </c>
      <c r="AA65" s="777" t="str">
        <f>vlookup(F65,'2) Tracker'!$A$3:$R$504,18,false)</f>
        <v>Total 18-19 Apr Nederland</v>
      </c>
      <c r="AB65" s="777" t="str">
        <f>vlookup(F65,'2) Tracker'!$A$3:$Q$504,17,false)</f>
        <v/>
      </c>
      <c r="AC65" s="778"/>
      <c r="AD65" s="778">
        <f>VLOOKUP(F65,'2) Tracker'!$A$2:$BO$980,37,FALSE)</f>
        <v>46132</v>
      </c>
      <c r="AE65" s="778">
        <f>VLOOKUP(F65,'2) Tracker'!$A$2:$BO$980,40,FALSE)</f>
        <v>46132</v>
      </c>
      <c r="AF65" s="778">
        <f>VLOOKUP(F65,'2) Tracker'!$A$2:$BO$980,67,FALSE)</f>
        <v>46164</v>
      </c>
      <c r="AG65" s="778" t="str">
        <f>VLOOKUP(F65,'2) Tracker'!$A$2:$BO$980,34,FALSE)</f>
        <v/>
      </c>
      <c r="AH65" s="778" t="str">
        <f>VLOOKUP(F65,'2) Tracker'!$A$2:$BN$980,66,FALSE)</f>
        <v/>
      </c>
      <c r="AI65" s="778" t="str">
        <f>VLOOKUP(F65,'2) Tracker'!$A$2:$BO$980,56,FALSE)</f>
        <v/>
      </c>
      <c r="AJ65" s="778" t="str">
        <f>VLOOKUP(F65,'2) Tracker'!$A$2:$BO$980,52,FALSE)</f>
        <v/>
      </c>
      <c r="AK65" s="778" t="str">
        <f>VLOOKUP(F65,'2) Tracker'!$A$2:$AQ$980,43,FALSE)</f>
        <v/>
      </c>
      <c r="AL65" s="778">
        <f>VLOOKUP(F65,'2) Tracker'!$A$2:$BH$980,46,FALSE())</f>
        <v>46152</v>
      </c>
      <c r="AM65" s="778" t="str">
        <f>VLOOKUP(F65,'2) Tracker'!$A$2:$BO$980,65,FALSE())</f>
        <v/>
      </c>
      <c r="AN65" s="778" t="str">
        <f>VLOOKUP(F65,'2) Tracker'!$A$2:$BK$980,63,FALSE())</f>
        <v/>
      </c>
      <c r="AO65" s="778" t="str">
        <f>VLOOKUP(F65,'2) Tracker'!$A$2:$BF$980,58,FALSE())</f>
        <v/>
      </c>
      <c r="AP65" s="52"/>
      <c r="AQ65" s="52"/>
      <c r="AR65" s="52"/>
      <c r="AS65" s="52"/>
      <c r="AT65" s="52"/>
      <c r="AU65" s="52"/>
      <c r="AV65" s="52"/>
      <c r="AW65" s="52"/>
      <c r="AX65" s="52"/>
      <c r="AY65" s="52"/>
      <c r="AZ65" s="734"/>
      <c r="BA65" s="740"/>
      <c r="BB65" s="734"/>
      <c r="BC65" s="740"/>
      <c r="BD65" s="734"/>
      <c r="BE65" s="52"/>
      <c r="BF65" s="52"/>
      <c r="BG65" s="734"/>
      <c r="BH65" s="734"/>
      <c r="BI65" s="734"/>
      <c r="BJ65" s="734"/>
    </row>
    <row r="66">
      <c r="B66" s="765" t="str">
        <f>vlookup(F66,'2) Tracker'!$A$3:$O$410,5,false)</f>
        <v/>
      </c>
      <c r="C66" s="765" t="str">
        <f>vlookup(F66,'2) Tracker'!$A$3:$O$410,4,false)</f>
        <v/>
      </c>
      <c r="D66" s="734"/>
      <c r="E66" s="734" t="str">
        <f>vlookup(F66,'2) Tracker'!$A$3:$O$406,15,false)</f>
        <v/>
      </c>
      <c r="F66" s="766" t="s">
        <v>274</v>
      </c>
      <c r="G66" s="789">
        <f>VLOOKUP(F66,'2) Tracker'!$A$2:$BO$360,2,FALSE)</f>
        <v>2021</v>
      </c>
      <c r="H66" s="768">
        <f>VLOOKUP(F66,'2) Tracker'!$A$2:$BO$360,3,FALSE)</f>
        <v>84000</v>
      </c>
      <c r="I66" s="769" t="str">
        <f>VLOOKUP(F66,'2) Tracker'!$A$2:$BO$360,9,FALSE)</f>
        <v>BGN</v>
      </c>
      <c r="J66" s="770" t="str">
        <f>VLOOKUP(F66,'2) Tracker'!$A$2:$BO$360,12,FALSE)</f>
        <v>loads USG</v>
      </c>
      <c r="K66" s="771">
        <f t="shared" ref="K66:O66" si="109">AD66</f>
        <v>46132</v>
      </c>
      <c r="L66" s="771">
        <f t="shared" si="109"/>
        <v>46132</v>
      </c>
      <c r="M66" s="771">
        <f t="shared" si="109"/>
        <v>46164</v>
      </c>
      <c r="N66" s="771" t="str">
        <f t="shared" si="109"/>
        <v/>
      </c>
      <c r="O66" s="772" t="str">
        <f t="shared" si="109"/>
        <v/>
      </c>
      <c r="P66" s="773" t="str">
        <f>iferror(if(vlookup(F66,'Voyage days'!$M$808:$N$819,2,false),"GOA",""),"")</f>
        <v/>
      </c>
      <c r="Q66" s="771" t="str">
        <f t="shared" si="81"/>
        <v/>
      </c>
      <c r="R66" s="771" t="str">
        <f t="shared" si="83"/>
        <v/>
      </c>
      <c r="S66" s="774">
        <f t="shared" si="5"/>
        <v>46152</v>
      </c>
      <c r="T66" s="771" t="str">
        <f t="shared" si="6"/>
        <v/>
      </c>
      <c r="U66" s="771" t="str">
        <f t="shared" si="84"/>
        <v/>
      </c>
      <c r="V66" s="771"/>
      <c r="W66" s="771" t="str">
        <f t="shared" si="85"/>
        <v/>
      </c>
      <c r="X66" s="775" t="str">
        <f t="shared" si="9"/>
        <v/>
      </c>
      <c r="Y66" s="776"/>
      <c r="Z66" s="777" t="str">
        <f>vlookup(F66,'2) Tracker'!$A$3:$Q$504,16,false)</f>
        <v>ETA Balboa 14 Apr</v>
      </c>
      <c r="AA66" s="777" t="str">
        <f>vlookup(F66,'2) Tracker'!$A$3:$R$504,18,false)</f>
        <v>BGN 20-21 Apr USG</v>
      </c>
      <c r="AB66" s="777" t="str">
        <f>vlookup(F66,'2) Tracker'!$A$3:$Q$504,17,false)</f>
        <v/>
      </c>
      <c r="AC66" s="778"/>
      <c r="AD66" s="778">
        <f>VLOOKUP(F66,'2) Tracker'!$A$2:$BO$980,37,FALSE)</f>
        <v>46132</v>
      </c>
      <c r="AE66" s="778">
        <f>VLOOKUP(F66,'2) Tracker'!$A$2:$BO$980,40,FALSE)</f>
        <v>46132</v>
      </c>
      <c r="AF66" s="778">
        <f>VLOOKUP(F66,'2) Tracker'!$A$2:$BO$980,67,FALSE)</f>
        <v>46164</v>
      </c>
      <c r="AG66" s="778" t="str">
        <f>VLOOKUP(F66,'2) Tracker'!$A$2:$BO$980,34,FALSE)</f>
        <v/>
      </c>
      <c r="AH66" s="778" t="str">
        <f>VLOOKUP(F66,'2) Tracker'!$A$2:$BN$980,66,FALSE)</f>
        <v/>
      </c>
      <c r="AI66" s="778" t="str">
        <f>VLOOKUP(F66,'2) Tracker'!$A$2:$BO$980,56,FALSE)</f>
        <v/>
      </c>
      <c r="AJ66" s="778" t="str">
        <f>VLOOKUP(F66,'2) Tracker'!$A$2:$BO$980,52,FALSE)</f>
        <v/>
      </c>
      <c r="AK66" s="778" t="str">
        <f>VLOOKUP(F66,'2) Tracker'!$A$2:$AQ$980,43,FALSE)</f>
        <v/>
      </c>
      <c r="AL66" s="778">
        <f>VLOOKUP(F66,'2) Tracker'!$A$2:$BH$980,46,FALSE())</f>
        <v>46152</v>
      </c>
      <c r="AM66" s="778" t="str">
        <f>VLOOKUP(F66,'2) Tracker'!$A$2:$BO$980,65,FALSE())</f>
        <v/>
      </c>
      <c r="AN66" s="778" t="str">
        <f>VLOOKUP(F66,'2) Tracker'!$A$2:$BK$980,63,FALSE())</f>
        <v/>
      </c>
      <c r="AO66" s="778" t="str">
        <f>VLOOKUP(F66,'2) Tracker'!$A$2:$BF$980,58,FALSE())</f>
        <v/>
      </c>
      <c r="AP66" s="52"/>
      <c r="AQ66" s="52"/>
      <c r="AR66" s="52"/>
      <c r="AS66" s="52"/>
      <c r="AT66" s="52"/>
      <c r="AU66" s="52"/>
      <c r="AV66" s="52"/>
      <c r="AW66" s="52"/>
      <c r="AX66" s="52"/>
      <c r="AY66" s="52"/>
      <c r="AZ66" s="787"/>
      <c r="BA66" s="786" t="str">
        <f>vlookup(AZ66,'Iran, FS'!$A$1:$B$318,2, false)</f>
        <v>#N/A</v>
      </c>
      <c r="BB66" s="787" t="str">
        <f>vlookup(AZ66,'1) Kpler'!$E$2:$F$500,2,false)</f>
        <v>#N/A</v>
      </c>
      <c r="BC66" s="798" t="s">
        <v>1549</v>
      </c>
      <c r="BD66" s="787"/>
      <c r="BE66" s="52"/>
      <c r="BF66" s="52"/>
      <c r="BG66" s="787"/>
      <c r="BH66" s="787"/>
      <c r="BI66" s="787"/>
      <c r="BJ66" s="787"/>
    </row>
    <row r="67">
      <c r="B67" s="765" t="str">
        <f>vlookup(F67,'2) Tracker'!$A$3:$O$410,5,false)</f>
        <v/>
      </c>
      <c r="C67" s="765" t="str">
        <f>vlookup(F67,'2) Tracker'!$A$3:$O$410,4,false)</f>
        <v/>
      </c>
      <c r="D67" s="734"/>
      <c r="E67" s="734" t="str">
        <f>vlookup(F67,'2) Tracker'!$A$3:$O$406,15,false)</f>
        <v/>
      </c>
      <c r="F67" s="788" t="s">
        <v>584</v>
      </c>
      <c r="G67" s="789">
        <f>VLOOKUP(F67,'2) Tracker'!$A$2:$BO$360,2,FALSE)</f>
        <v>2022</v>
      </c>
      <c r="H67" s="768">
        <f>VLOOKUP(F67,'2) Tracker'!$A$2:$BO$360,3,FALSE)</f>
        <v>86000</v>
      </c>
      <c r="I67" s="770" t="str">
        <f>VLOOKUP(F67,'2) Tracker'!$A$2:$BO$360,9,FALSE)</f>
        <v>Wanhua</v>
      </c>
      <c r="J67" s="770" t="str">
        <f>VLOOKUP(F67,'2) Tracker'!$A$2:$BO$360,12,FALSE)</f>
        <v>loads USG</v>
      </c>
      <c r="K67" s="774">
        <f t="shared" ref="K67:O67" si="110">AD67</f>
        <v>46132</v>
      </c>
      <c r="L67" s="774">
        <f t="shared" si="110"/>
        <v>46132</v>
      </c>
      <c r="M67" s="771">
        <f t="shared" si="110"/>
        <v>46164</v>
      </c>
      <c r="N67" s="771" t="str">
        <f t="shared" si="110"/>
        <v/>
      </c>
      <c r="O67" s="772" t="str">
        <f t="shared" si="110"/>
        <v/>
      </c>
      <c r="P67" s="773" t="str">
        <f>iferror(if(vlookup(F67,'Voyage days'!$M$808:$N$819,2,false),"GOA",""),"")</f>
        <v>GOA</v>
      </c>
      <c r="Q67" s="772" t="str">
        <f t="shared" si="81"/>
        <v/>
      </c>
      <c r="R67" s="774" t="str">
        <f t="shared" si="83"/>
        <v/>
      </c>
      <c r="S67" s="774">
        <f t="shared" si="5"/>
        <v>46152</v>
      </c>
      <c r="T67" s="771" t="str">
        <f t="shared" si="6"/>
        <v/>
      </c>
      <c r="U67" s="774" t="str">
        <f t="shared" si="84"/>
        <v/>
      </c>
      <c r="V67" s="771"/>
      <c r="W67" s="771" t="str">
        <f t="shared" si="85"/>
        <v/>
      </c>
      <c r="X67" s="775" t="str">
        <f t="shared" si="9"/>
        <v/>
      </c>
      <c r="Y67" s="784"/>
      <c r="Z67" s="777" t="str">
        <f>vlookup(F67,'2) Tracker'!$A$3:$Q$504,16,false)</f>
        <v>ETA USG 16 Apr via Cape</v>
      </c>
      <c r="AA67" s="777" t="str">
        <f>vlookup(F67,'2) Tracker'!$A$3:$R$504,18,false)</f>
        <v>Satellite 20-21 Apr USG</v>
      </c>
      <c r="AB67" s="777" t="str">
        <f>vlookup(F67,'2) Tracker'!$A$3:$Q$504,17,false)</f>
        <v/>
      </c>
      <c r="AC67" s="778"/>
      <c r="AD67" s="778">
        <f>VLOOKUP(F67,'2) Tracker'!$A$2:$BO$980,37,FALSE)</f>
        <v>46132</v>
      </c>
      <c r="AE67" s="778">
        <f>VLOOKUP(F67,'2) Tracker'!$A$2:$BO$980,40,FALSE)</f>
        <v>46132</v>
      </c>
      <c r="AF67" s="778">
        <f>VLOOKUP(F67,'2) Tracker'!$A$2:$BO$980,67,FALSE)</f>
        <v>46164</v>
      </c>
      <c r="AG67" s="778" t="str">
        <f>VLOOKUP(F67,'2) Tracker'!$A$2:$BO$980,34,FALSE)</f>
        <v/>
      </c>
      <c r="AH67" s="778" t="str">
        <f>VLOOKUP(F67,'2) Tracker'!$A$2:$BN$980,66,FALSE)</f>
        <v/>
      </c>
      <c r="AI67" s="778" t="str">
        <f>VLOOKUP(F67,'2) Tracker'!$A$2:$BO$980,56,FALSE)</f>
        <v/>
      </c>
      <c r="AJ67" s="778" t="str">
        <f>VLOOKUP(F67,'2) Tracker'!$A$2:$BO$980,52,FALSE)</f>
        <v/>
      </c>
      <c r="AK67" s="778" t="str">
        <f>VLOOKUP(F67,'2) Tracker'!$A$2:$AQ$980,43,FALSE)</f>
        <v/>
      </c>
      <c r="AL67" s="778">
        <f>VLOOKUP(F67,'2) Tracker'!$A$2:$BH$980,46,FALSE())</f>
        <v>46152</v>
      </c>
      <c r="AM67" s="778" t="str">
        <f>VLOOKUP(F67,'2) Tracker'!$A$2:$BO$980,65,FALSE())</f>
        <v/>
      </c>
      <c r="AN67" s="778" t="str">
        <f>VLOOKUP(F67,'2) Tracker'!$A$2:$BK$980,63,FALSE())</f>
        <v/>
      </c>
      <c r="AO67" s="778" t="str">
        <f>VLOOKUP(F67,'2) Tracker'!$A$2:$BF$980,58,FALSE())</f>
        <v/>
      </c>
      <c r="AP67" s="52"/>
      <c r="AQ67" s="52"/>
      <c r="AR67" s="52"/>
      <c r="AS67" s="52"/>
      <c r="AT67" s="52"/>
      <c r="AU67" s="52"/>
      <c r="AV67" s="52"/>
      <c r="AW67" s="52"/>
      <c r="AX67" s="52"/>
      <c r="AY67" s="52"/>
      <c r="AZ67" s="734"/>
      <c r="BA67" s="786" t="str">
        <f>vlookup(AZ67,'Iran, FS'!$A$1:$B$318,2, false)</f>
        <v>#N/A</v>
      </c>
      <c r="BB67" s="787" t="str">
        <f>vlookup(AZ67,'1) Kpler'!$E$2:$F$500,2,false)</f>
        <v>#N/A</v>
      </c>
      <c r="BC67" s="740"/>
      <c r="BD67" s="734"/>
      <c r="BE67" s="52"/>
      <c r="BF67" s="52"/>
      <c r="BG67" s="734"/>
      <c r="BH67" s="734"/>
      <c r="BI67" s="734"/>
      <c r="BJ67" s="734"/>
    </row>
    <row r="68">
      <c r="B68" s="765" t="str">
        <f>vlookup(F68,'2) Tracker'!$A$3:$O$410,5,false)</f>
        <v/>
      </c>
      <c r="C68" s="765" t="str">
        <f>vlookup(F68,'2) Tracker'!$A$3:$O$410,4,false)</f>
        <v/>
      </c>
      <c r="D68" s="734"/>
      <c r="E68" s="734" t="str">
        <f>vlookup(F68,'2) Tracker'!$A$3:$O$406,15,false)</f>
        <v/>
      </c>
      <c r="F68" s="788" t="s">
        <v>1385</v>
      </c>
      <c r="G68" s="783">
        <f>VLOOKUP(F68,'2) Tracker'!$A$2:$BO$360,2,FALSE)</f>
        <v>42297</v>
      </c>
      <c r="H68" s="768">
        <f>VLOOKUP(F68,'2) Tracker'!$A$2:$BO$360,3,FALSE)</f>
        <v>83000</v>
      </c>
      <c r="I68" s="769" t="str">
        <f>VLOOKUP(F68,'2) Tracker'!$A$2:$BO$360,9,FALSE)</f>
        <v>BW</v>
      </c>
      <c r="J68" s="770" t="str">
        <f>VLOOKUP(F68,'2) Tracker'!$A$2:$BO$360,12,FALSE)</f>
        <v>loads USG</v>
      </c>
      <c r="K68" s="771">
        <f t="shared" ref="K68:O68" si="111">AD68</f>
        <v>46133</v>
      </c>
      <c r="L68" s="771">
        <f t="shared" si="111"/>
        <v>46133</v>
      </c>
      <c r="M68" s="771">
        <f t="shared" si="111"/>
        <v>46165</v>
      </c>
      <c r="N68" s="771" t="str">
        <f t="shared" si="111"/>
        <v/>
      </c>
      <c r="O68" s="772" t="str">
        <f t="shared" si="111"/>
        <v/>
      </c>
      <c r="P68" s="773" t="str">
        <f>iferror(if(vlookup(F68,'Voyage days'!$M$808:$N$819,2,false),"GOA",""),"")</f>
        <v/>
      </c>
      <c r="Q68" s="771" t="str">
        <f t="shared" si="81"/>
        <v/>
      </c>
      <c r="R68" s="771" t="str">
        <f t="shared" si="83"/>
        <v/>
      </c>
      <c r="S68" s="774">
        <f t="shared" si="5"/>
        <v>46153</v>
      </c>
      <c r="T68" s="771" t="str">
        <f t="shared" si="6"/>
        <v/>
      </c>
      <c r="U68" s="771" t="str">
        <f t="shared" si="84"/>
        <v/>
      </c>
      <c r="V68" s="771"/>
      <c r="W68" s="771" t="str">
        <f t="shared" si="85"/>
        <v/>
      </c>
      <c r="X68" s="775" t="str">
        <f t="shared" si="9"/>
        <v/>
      </c>
      <c r="Y68" s="776"/>
      <c r="Z68" s="777" t="str">
        <f>vlookup(F68,'2) Tracker'!$A$3:$Q$504,16,false)</f>
        <v>ETA Galveston 18 Apr</v>
      </c>
      <c r="AA68" s="777" t="str">
        <f>vlookup(F68,'2) Tracker'!$A$3:$R$504,18,false)</f>
        <v>COA 21-30 Apr USG</v>
      </c>
      <c r="AB68" s="777" t="str">
        <f>vlookup(F68,'2) Tracker'!$A$3:$Q$504,17,false)</f>
        <v/>
      </c>
      <c r="AC68" s="778"/>
      <c r="AD68" s="778">
        <f>VLOOKUP(F68,'2) Tracker'!$A$2:$BO$980,37,FALSE)</f>
        <v>46133</v>
      </c>
      <c r="AE68" s="778">
        <f>VLOOKUP(F68,'2) Tracker'!$A$2:$BO$980,40,FALSE)</f>
        <v>46133</v>
      </c>
      <c r="AF68" s="778">
        <f>VLOOKUP(F68,'2) Tracker'!$A$2:$BO$980,67,FALSE)</f>
        <v>46165</v>
      </c>
      <c r="AG68" s="778" t="str">
        <f>VLOOKUP(F68,'2) Tracker'!$A$2:$BO$980,34,FALSE)</f>
        <v/>
      </c>
      <c r="AH68" s="778" t="str">
        <f>VLOOKUP(F68,'2) Tracker'!$A$2:$BN$980,66,FALSE)</f>
        <v/>
      </c>
      <c r="AI68" s="778" t="str">
        <f>VLOOKUP(F68,'2) Tracker'!$A$2:$BO$980,56,FALSE)</f>
        <v/>
      </c>
      <c r="AJ68" s="778" t="str">
        <f>VLOOKUP(F68,'2) Tracker'!$A$2:$BO$980,52,FALSE)</f>
        <v/>
      </c>
      <c r="AK68" s="778" t="str">
        <f>VLOOKUP(F68,'2) Tracker'!$A$2:$AQ$980,43,FALSE)</f>
        <v/>
      </c>
      <c r="AL68" s="778">
        <f>VLOOKUP(F68,'2) Tracker'!$A$2:$BH$980,46,FALSE())</f>
        <v>46153</v>
      </c>
      <c r="AM68" s="778" t="str">
        <f>VLOOKUP(F68,'2) Tracker'!$A$2:$BO$980,65,FALSE())</f>
        <v/>
      </c>
      <c r="AN68" s="778" t="str">
        <f>VLOOKUP(F68,'2) Tracker'!$A$2:$BK$980,63,FALSE())</f>
        <v/>
      </c>
      <c r="AO68" s="778" t="str">
        <f>VLOOKUP(F68,'2) Tracker'!$A$2:$BF$980,58,FALSE())</f>
        <v/>
      </c>
      <c r="AP68" s="52"/>
      <c r="AQ68" s="52"/>
      <c r="AR68" s="52"/>
      <c r="AS68" s="52"/>
      <c r="AT68" s="52"/>
      <c r="AU68" s="52"/>
      <c r="AV68" s="52"/>
      <c r="AW68" s="52"/>
      <c r="AX68" s="52"/>
      <c r="AY68" s="52"/>
      <c r="AZ68" s="734"/>
      <c r="BA68" s="740"/>
      <c r="BB68" s="734"/>
      <c r="BC68" s="740"/>
      <c r="BD68" s="734"/>
      <c r="BE68" s="52"/>
      <c r="BF68" s="52"/>
      <c r="BG68" s="734"/>
      <c r="BH68" s="734"/>
      <c r="BI68" s="734"/>
      <c r="BJ68" s="734"/>
    </row>
    <row r="69">
      <c r="B69" s="765" t="str">
        <f>vlookup(F69,'2) Tracker'!$A$3:$O$410,5,false)</f>
        <v/>
      </c>
      <c r="C69" s="765" t="str">
        <f>vlookup(F69,'2) Tracker'!$A$3:$O$410,4,false)</f>
        <v/>
      </c>
      <c r="D69" s="734"/>
      <c r="E69" s="734" t="str">
        <f>vlookup(F69,'2) Tracker'!$A$3:$O$406,15,false)</f>
        <v/>
      </c>
      <c r="F69" s="812" t="s">
        <v>393</v>
      </c>
      <c r="G69" s="789">
        <f>VLOOKUP(F69,'2) Tracker'!$A$2:$BO$360,2,FALSE)</f>
        <v>2016</v>
      </c>
      <c r="H69" s="768">
        <f>VLOOKUP(F69,'2) Tracker'!$A$2:$BO$360,3,FALSE)</f>
        <v>84000</v>
      </c>
      <c r="I69" s="769" t="str">
        <f>VLOOKUP(F69,'2) Tracker'!$A$2:$BO$360,9,FALSE)</f>
        <v>Petrobras</v>
      </c>
      <c r="J69" s="770" t="str">
        <f>VLOOKUP(F69,'2) Tracker'!$A$2:$BO$360,12,FALSE)</f>
        <v>loads USG</v>
      </c>
      <c r="K69" s="771">
        <f t="shared" ref="K69:O69" si="112">AD69</f>
        <v>46133</v>
      </c>
      <c r="L69" s="771">
        <f t="shared" si="112"/>
        <v>46133</v>
      </c>
      <c r="M69" s="771">
        <f t="shared" si="112"/>
        <v>46165</v>
      </c>
      <c r="N69" s="771" t="str">
        <f t="shared" si="112"/>
        <v/>
      </c>
      <c r="O69" s="772" t="str">
        <f t="shared" si="112"/>
        <v/>
      </c>
      <c r="P69" s="773" t="str">
        <f>iferror(if(vlookup(F69,'Voyage days'!$M$808:$N$819,2,false),"GOA",""),"")</f>
        <v/>
      </c>
      <c r="Q69" s="771" t="str">
        <f t="shared" si="81"/>
        <v/>
      </c>
      <c r="R69" s="771" t="str">
        <f t="shared" si="83"/>
        <v/>
      </c>
      <c r="S69" s="774">
        <f t="shared" si="5"/>
        <v>46153</v>
      </c>
      <c r="T69" s="771" t="str">
        <f t="shared" si="6"/>
        <v/>
      </c>
      <c r="U69" s="771" t="str">
        <f t="shared" si="84"/>
        <v/>
      </c>
      <c r="V69" s="771"/>
      <c r="W69" s="771" t="str">
        <f t="shared" si="85"/>
        <v/>
      </c>
      <c r="X69" s="775" t="str">
        <f t="shared" si="9"/>
        <v/>
      </c>
      <c r="Y69" s="776"/>
      <c r="Z69" s="777" t="str">
        <f>vlookup(F69,'2) Tracker'!$A$3:$Q$504,16,false)</f>
        <v>@ Suape 02 Apr, ETA USG 20 Apr</v>
      </c>
      <c r="AA69" s="777" t="str">
        <f>vlookup(F69,'2) Tracker'!$A$3:$R$504,18,false)</f>
        <v>Petrobras 21-22 Apr USG</v>
      </c>
      <c r="AB69" s="777" t="str">
        <f>vlookup(F69,'2) Tracker'!$A$3:$Q$504,17,false)</f>
        <v/>
      </c>
      <c r="AC69" s="778"/>
      <c r="AD69" s="778">
        <f>VLOOKUP(F69,'2) Tracker'!$A$2:$BO$980,37,FALSE)</f>
        <v>46133</v>
      </c>
      <c r="AE69" s="778">
        <f>VLOOKUP(F69,'2) Tracker'!$A$2:$BO$980,40,FALSE)</f>
        <v>46133</v>
      </c>
      <c r="AF69" s="778">
        <f>VLOOKUP(F69,'2) Tracker'!$A$2:$BO$980,67,FALSE)</f>
        <v>46165</v>
      </c>
      <c r="AG69" s="778" t="str">
        <f>VLOOKUP(F69,'2) Tracker'!$A$2:$BO$980,34,FALSE)</f>
        <v/>
      </c>
      <c r="AH69" s="778" t="str">
        <f>VLOOKUP(F69,'2) Tracker'!$A$2:$BN$980,66,FALSE)</f>
        <v/>
      </c>
      <c r="AI69" s="778" t="str">
        <f>VLOOKUP(F69,'2) Tracker'!$A$2:$BO$980,56,FALSE)</f>
        <v/>
      </c>
      <c r="AJ69" s="778" t="str">
        <f>VLOOKUP(F69,'2) Tracker'!$A$2:$BO$980,52,FALSE)</f>
        <v/>
      </c>
      <c r="AK69" s="778" t="str">
        <f>VLOOKUP(F69,'2) Tracker'!$A$2:$AQ$980,43,FALSE)</f>
        <v/>
      </c>
      <c r="AL69" s="778">
        <f>VLOOKUP(F69,'2) Tracker'!$A$2:$BH$980,46,FALSE())</f>
        <v>46153</v>
      </c>
      <c r="AM69" s="778" t="str">
        <f>VLOOKUP(F69,'2) Tracker'!$A$2:$BO$980,65,FALSE())</f>
        <v/>
      </c>
      <c r="AN69" s="778" t="str">
        <f>VLOOKUP(F69,'2) Tracker'!$A$2:$BK$980,63,FALSE())</f>
        <v/>
      </c>
      <c r="AO69" s="778" t="str">
        <f>VLOOKUP(F69,'2) Tracker'!$A$2:$BF$980,58,FALSE())</f>
        <v/>
      </c>
      <c r="AP69" s="52"/>
      <c r="AQ69" s="52"/>
      <c r="AR69" s="813"/>
      <c r="AS69" s="813"/>
      <c r="AT69" s="813"/>
      <c r="AU69" s="813"/>
      <c r="AV69" s="814" t="s">
        <v>1503</v>
      </c>
      <c r="AW69" s="813"/>
      <c r="AX69" s="815" t="s">
        <v>35</v>
      </c>
      <c r="AY69" s="815" t="s">
        <v>36</v>
      </c>
      <c r="AZ69" s="816" t="s">
        <v>1550</v>
      </c>
      <c r="BA69" s="798" t="s">
        <v>1551</v>
      </c>
      <c r="BB69" s="816" t="s">
        <v>1552</v>
      </c>
      <c r="BC69" s="798" t="s">
        <v>1526</v>
      </c>
      <c r="BD69" s="787"/>
      <c r="BE69" s="813"/>
      <c r="BF69" s="813" t="s">
        <v>1553</v>
      </c>
      <c r="BG69" s="803" t="s">
        <v>1554</v>
      </c>
      <c r="BH69" s="788" t="s">
        <v>901</v>
      </c>
      <c r="BI69" s="787"/>
      <c r="BJ69" s="787"/>
    </row>
    <row r="70">
      <c r="B70" s="765" t="str">
        <f>vlookup(F70,'2) Tracker'!$A$3:$O$410,5,false)</f>
        <v/>
      </c>
      <c r="C70" s="765" t="str">
        <f>vlookup(F70,'2) Tracker'!$A$3:$O$410,4,false)</f>
        <v/>
      </c>
      <c r="D70" s="734"/>
      <c r="E70" s="734" t="str">
        <f>vlookup(F70,'2) Tracker'!$A$3:$O$406,15,false)</f>
        <v/>
      </c>
      <c r="F70" s="788" t="s">
        <v>235</v>
      </c>
      <c r="G70" s="789">
        <f>VLOOKUP(F70,'2) Tracker'!$A$2:$BO$360,2,FALSE)</f>
        <v>2020</v>
      </c>
      <c r="H70" s="768">
        <f>VLOOKUP(F70,'2) Tracker'!$A$2:$BO$360,3,FALSE)</f>
        <v>83000</v>
      </c>
      <c r="I70" s="777" t="str">
        <f>VLOOKUP(F70,'2) Tracker'!$A$2:$BO$360,9,FALSE)</f>
        <v>Mercuria</v>
      </c>
      <c r="J70" s="770" t="str">
        <f>VLOOKUP(F70,'2) Tracker'!$A$2:$BO$360,12,FALSE)</f>
        <v>loads USG</v>
      </c>
      <c r="K70" s="774">
        <f t="shared" ref="K70:O70" si="113">AD70</f>
        <v>46133</v>
      </c>
      <c r="L70" s="774">
        <f t="shared" si="113"/>
        <v>46133</v>
      </c>
      <c r="M70" s="771">
        <f t="shared" si="113"/>
        <v>46165</v>
      </c>
      <c r="N70" s="771" t="str">
        <f t="shared" si="113"/>
        <v/>
      </c>
      <c r="O70" s="772" t="str">
        <f t="shared" si="113"/>
        <v/>
      </c>
      <c r="P70" s="773" t="str">
        <f>iferror(if(vlookup(F70,'Voyage days'!$M$808:$N$819,2,false),"GOA",""),"")</f>
        <v/>
      </c>
      <c r="Q70" s="771" t="str">
        <f t="shared" si="81"/>
        <v/>
      </c>
      <c r="R70" s="774" t="str">
        <f t="shared" si="83"/>
        <v/>
      </c>
      <c r="S70" s="774">
        <f t="shared" si="5"/>
        <v>46153</v>
      </c>
      <c r="T70" s="771" t="str">
        <f t="shared" si="6"/>
        <v/>
      </c>
      <c r="U70" s="774" t="str">
        <f t="shared" si="84"/>
        <v/>
      </c>
      <c r="V70" s="802"/>
      <c r="W70" s="802" t="str">
        <f t="shared" si="85"/>
        <v/>
      </c>
      <c r="X70" s="775" t="str">
        <f t="shared" si="9"/>
        <v/>
      </c>
      <c r="Y70" s="776"/>
      <c r="Z70" s="777" t="str">
        <f>vlookup(F70,'2) Tracker'!$A$3:$Q$504,16,false)</f>
        <v>ETA Port Arthur lighterage 13 Apr</v>
      </c>
      <c r="AA70" s="777" t="str">
        <f>vlookup(F70,'2) Tracker'!$A$3:$R$504,18,false)</f>
        <v>Eneos 21-22 Apr Nederland</v>
      </c>
      <c r="AB70" s="777" t="str">
        <f>vlookup(F70,'2) Tracker'!$A$3:$Q$504,17,false)</f>
        <v/>
      </c>
      <c r="AC70" s="778"/>
      <c r="AD70" s="778">
        <f>VLOOKUP(F70,'2) Tracker'!$A$2:$BO$980,37,FALSE)</f>
        <v>46133</v>
      </c>
      <c r="AE70" s="778">
        <f>VLOOKUP(F70,'2) Tracker'!$A$2:$BO$980,40,FALSE)</f>
        <v>46133</v>
      </c>
      <c r="AF70" s="778">
        <f>VLOOKUP(F70,'2) Tracker'!$A$2:$BO$980,67,FALSE)</f>
        <v>46165</v>
      </c>
      <c r="AG70" s="778" t="str">
        <f>VLOOKUP(F70,'2) Tracker'!$A$2:$BO$980,34,FALSE)</f>
        <v/>
      </c>
      <c r="AH70" s="778" t="str">
        <f>VLOOKUP(F70,'2) Tracker'!$A$2:$BN$980,66,FALSE)</f>
        <v/>
      </c>
      <c r="AI70" s="778" t="str">
        <f>VLOOKUP(F70,'2) Tracker'!$A$2:$BO$980,56,FALSE)</f>
        <v/>
      </c>
      <c r="AJ70" s="778" t="str">
        <f>VLOOKUP(F70,'2) Tracker'!$A$2:$BO$980,52,FALSE)</f>
        <v/>
      </c>
      <c r="AK70" s="778" t="str">
        <f>VLOOKUP(F70,'2) Tracker'!$A$2:$AQ$980,43,FALSE)</f>
        <v/>
      </c>
      <c r="AL70" s="778">
        <f>VLOOKUP(F70,'2) Tracker'!$A$2:$BH$980,46,FALSE())</f>
        <v>46153</v>
      </c>
      <c r="AM70" s="778" t="str">
        <f>VLOOKUP(F70,'2) Tracker'!$A$2:$BO$980,65,FALSE())</f>
        <v/>
      </c>
      <c r="AN70" s="778" t="str">
        <f>VLOOKUP(F70,'2) Tracker'!$A$2:$BK$980,63,FALSE())</f>
        <v/>
      </c>
      <c r="AO70" s="778" t="str">
        <f>VLOOKUP(F70,'2) Tracker'!$A$2:$BF$980,58,FALSE())</f>
        <v/>
      </c>
      <c r="AP70" s="52"/>
      <c r="AQ70" s="52"/>
      <c r="AR70" s="52"/>
      <c r="AS70" s="52"/>
      <c r="AT70" s="52"/>
      <c r="AU70" s="52"/>
      <c r="AV70" s="52"/>
      <c r="AW70" s="52"/>
      <c r="AX70" s="52"/>
      <c r="AY70" s="52"/>
      <c r="AZ70" s="734"/>
      <c r="BA70" s="740"/>
      <c r="BB70" s="734"/>
      <c r="BC70" s="740"/>
      <c r="BD70" s="734"/>
      <c r="BE70" s="52"/>
      <c r="BF70" s="52"/>
      <c r="BG70" s="734"/>
      <c r="BH70" s="734"/>
      <c r="BI70" s="734"/>
      <c r="BJ70" s="734"/>
    </row>
    <row r="71">
      <c r="B71" s="765" t="str">
        <f>vlookup(F71,'2) Tracker'!$A$3:$O$410,5,false)</f>
        <v/>
      </c>
      <c r="C71" s="765" t="str">
        <f>vlookup(F71,'2) Tracker'!$A$3:$O$410,4,false)</f>
        <v>US</v>
      </c>
      <c r="D71" s="734"/>
      <c r="E71" s="734" t="str">
        <f>vlookup(F71,'2) Tracker'!$A$3:$O$406,15,false)</f>
        <v/>
      </c>
      <c r="F71" s="788" t="s">
        <v>559</v>
      </c>
      <c r="G71" s="767">
        <f>VLOOKUP(F71,'2) Tracker'!$A$2:$BO$360,2,FALSE)</f>
        <v>2016</v>
      </c>
      <c r="H71" s="768">
        <f>VLOOKUP(F71,'2) Tracker'!$A$2:$BO$360,3,FALSE)</f>
        <v>84000</v>
      </c>
      <c r="I71" s="770" t="str">
        <f>VLOOKUP(F71,'2) Tracker'!$A$2:$BO$360,9,FALSE)</f>
        <v>Exxon</v>
      </c>
      <c r="J71" s="770" t="str">
        <f>VLOOKUP(F71,'2) Tracker'!$A$2:$BO$360,12,FALSE)</f>
        <v>loads USG</v>
      </c>
      <c r="K71" s="771">
        <f t="shared" ref="K71:O71" si="114">AD71</f>
        <v>46133</v>
      </c>
      <c r="L71" s="771">
        <f t="shared" si="114"/>
        <v>46133</v>
      </c>
      <c r="M71" s="771">
        <f t="shared" si="114"/>
        <v>46165</v>
      </c>
      <c r="N71" s="771" t="str">
        <f t="shared" si="114"/>
        <v/>
      </c>
      <c r="O71" s="772" t="str">
        <f t="shared" si="114"/>
        <v/>
      </c>
      <c r="P71" s="773" t="str">
        <f>iferror(if(vlookup(F71,'Voyage days'!$M$808:$N$819,2,false),"GOA",""),"")</f>
        <v/>
      </c>
      <c r="Q71" s="771" t="str">
        <f t="shared" si="81"/>
        <v/>
      </c>
      <c r="R71" s="771" t="str">
        <f t="shared" si="83"/>
        <v/>
      </c>
      <c r="S71" s="774">
        <f t="shared" si="5"/>
        <v>46153</v>
      </c>
      <c r="T71" s="771" t="str">
        <f t="shared" si="6"/>
        <v/>
      </c>
      <c r="U71" s="771" t="str">
        <f t="shared" si="84"/>
        <v/>
      </c>
      <c r="V71" s="745" t="s">
        <v>1523</v>
      </c>
      <c r="W71" s="771" t="str">
        <f t="shared" si="85"/>
        <v/>
      </c>
      <c r="X71" s="775" t="str">
        <f t="shared" si="9"/>
        <v/>
      </c>
      <c r="Y71" s="776"/>
      <c r="Z71" s="777" t="str">
        <f>vlookup(F71,'2) Tracker'!$A$3:$Q$504,16,false)</f>
        <v>ETA Freeport 20 Apr via Cape</v>
      </c>
      <c r="AA71" s="777" t="str">
        <f>vlookup(F71,'2) Tracker'!$A$3:$R$504,18,false)</f>
        <v>Swiss via Pdec 21-22 April Freeport</v>
      </c>
      <c r="AB71" s="777" t="str">
        <f>vlookup(F71,'2) Tracker'!$A$3:$Q$504,17,false)</f>
        <v/>
      </c>
      <c r="AC71" s="778"/>
      <c r="AD71" s="778">
        <f>VLOOKUP(F71,'2) Tracker'!$A$2:$BO$980,37,FALSE)</f>
        <v>46133</v>
      </c>
      <c r="AE71" s="778">
        <f>VLOOKUP(F71,'2) Tracker'!$A$2:$BO$980,40,FALSE)</f>
        <v>46133</v>
      </c>
      <c r="AF71" s="778">
        <f>VLOOKUP(F71,'2) Tracker'!$A$2:$BO$980,67,FALSE)</f>
        <v>46165</v>
      </c>
      <c r="AG71" s="778" t="str">
        <f>VLOOKUP(F71,'2) Tracker'!$A$2:$BO$980,34,FALSE)</f>
        <v/>
      </c>
      <c r="AH71" s="778" t="str">
        <f>VLOOKUP(F71,'2) Tracker'!$A$2:$BN$980,66,FALSE)</f>
        <v/>
      </c>
      <c r="AI71" s="778" t="str">
        <f>VLOOKUP(F71,'2) Tracker'!$A$2:$BO$980,56,FALSE)</f>
        <v/>
      </c>
      <c r="AJ71" s="778" t="str">
        <f>VLOOKUP(F71,'2) Tracker'!$A$2:$BO$980,52,FALSE)</f>
        <v/>
      </c>
      <c r="AK71" s="778" t="str">
        <f>VLOOKUP(F71,'2) Tracker'!$A$2:$AQ$980,43,FALSE)</f>
        <v/>
      </c>
      <c r="AL71" s="778">
        <f>VLOOKUP(F71,'2) Tracker'!$A$2:$BH$980,46,FALSE())</f>
        <v>46153</v>
      </c>
      <c r="AM71" s="778" t="str">
        <f>VLOOKUP(F71,'2) Tracker'!$A$2:$BO$980,65,FALSE())</f>
        <v/>
      </c>
      <c r="AN71" s="778" t="str">
        <f>VLOOKUP(F71,'2) Tracker'!$A$2:$BK$980,63,FALSE())</f>
        <v/>
      </c>
      <c r="AO71" s="778" t="str">
        <f>VLOOKUP(F71,'2) Tracker'!$A$2:$BF$980,58,FALSE())</f>
        <v/>
      </c>
      <c r="AP71" s="52"/>
      <c r="AQ71" s="52"/>
      <c r="AR71" s="52"/>
      <c r="AS71" s="52"/>
      <c r="AT71" s="52"/>
      <c r="AU71" s="52"/>
      <c r="AV71" s="52"/>
      <c r="AW71" s="52"/>
      <c r="AX71" s="52"/>
      <c r="AY71" s="52"/>
      <c r="AZ71" s="734"/>
      <c r="BA71" s="740"/>
      <c r="BB71" s="734"/>
      <c r="BC71" s="740"/>
      <c r="BD71" s="734"/>
      <c r="BE71" s="52"/>
      <c r="BF71" s="52"/>
      <c r="BG71" s="734"/>
      <c r="BH71" s="734"/>
      <c r="BI71" s="734"/>
      <c r="BJ71" s="734"/>
    </row>
    <row r="72">
      <c r="B72" s="765" t="str">
        <f>vlookup(F72,'2) Tracker'!$A$3:$O$410,5,false)</f>
        <v>C</v>
      </c>
      <c r="C72" s="765" t="str">
        <f>vlookup(F72,'2) Tracker'!$A$3:$O$410,4,false)</f>
        <v/>
      </c>
      <c r="D72" s="734"/>
      <c r="E72" s="734" t="str">
        <f>vlookup(F72,'2) Tracker'!$A$3:$O$406,15,false)</f>
        <v>eu</v>
      </c>
      <c r="F72" s="766" t="s">
        <v>793</v>
      </c>
      <c r="G72" s="789">
        <f>VLOOKUP(F72,'2) Tracker'!$A$2:$BO$360,2,FALSE)</f>
        <v>2023</v>
      </c>
      <c r="H72" s="768">
        <f>VLOOKUP(F72,'2) Tracker'!$A$2:$BO$360,3,FALSE)</f>
        <v>91000</v>
      </c>
      <c r="I72" s="769" t="str">
        <f>VLOOKUP(F72,'2) Tracker'!$A$2:$BO$360,9,FALSE)</f>
        <v>BGN</v>
      </c>
      <c r="J72" s="770" t="str">
        <f>VLOOKUP(F72,'2) Tracker'!$A$2:$BO$360,12,FALSE)</f>
        <v>loads USG</v>
      </c>
      <c r="K72" s="771">
        <f t="shared" ref="K72:O72" si="115">AD72</f>
        <v>46134</v>
      </c>
      <c r="L72" s="771">
        <f t="shared" si="115"/>
        <v>46134</v>
      </c>
      <c r="M72" s="771">
        <f t="shared" si="115"/>
        <v>46166</v>
      </c>
      <c r="N72" s="771" t="str">
        <f t="shared" si="115"/>
        <v/>
      </c>
      <c r="O72" s="772" t="str">
        <f t="shared" si="115"/>
        <v/>
      </c>
      <c r="P72" s="773" t="str">
        <f>iferror(if(vlookup(F72,'Voyage days'!$M$808:$N$819,2,false),"GOA",""),"")</f>
        <v/>
      </c>
      <c r="Q72" s="771" t="str">
        <f t="shared" si="81"/>
        <v/>
      </c>
      <c r="R72" s="771" t="str">
        <f t="shared" si="83"/>
        <v/>
      </c>
      <c r="S72" s="774">
        <f t="shared" si="5"/>
        <v>46154</v>
      </c>
      <c r="T72" s="774" t="str">
        <f t="shared" si="6"/>
        <v/>
      </c>
      <c r="U72" s="771" t="str">
        <f t="shared" si="84"/>
        <v/>
      </c>
      <c r="V72" s="771"/>
      <c r="W72" s="771" t="str">
        <f t="shared" si="85"/>
        <v/>
      </c>
      <c r="X72" s="775" t="str">
        <f t="shared" si="9"/>
        <v/>
      </c>
      <c r="Y72" s="776"/>
      <c r="Z72" s="777" t="str">
        <f>vlookup(F72,'2) Tracker'!$A$3:$Q$504,16,false)</f>
        <v>ETA 11 Apr USG</v>
      </c>
      <c r="AA72" s="777" t="str">
        <f>vlookup(F72,'2) Tracker'!$A$3:$R$504,18,false)</f>
        <v>BGN 22-23 Apr USG</v>
      </c>
      <c r="AB72" s="777" t="str">
        <f>vlookup(F72,'2) Tracker'!$A$3:$Q$504,17,false)</f>
        <v/>
      </c>
      <c r="AC72" s="778"/>
      <c r="AD72" s="778">
        <f>VLOOKUP(F72,'2) Tracker'!$A$2:$BO$980,37,FALSE)</f>
        <v>46134</v>
      </c>
      <c r="AE72" s="778">
        <f>VLOOKUP(F72,'2) Tracker'!$A$2:$BO$980,40,FALSE)</f>
        <v>46134</v>
      </c>
      <c r="AF72" s="778">
        <f>VLOOKUP(F72,'2) Tracker'!$A$2:$BO$980,67,FALSE)</f>
        <v>46166</v>
      </c>
      <c r="AG72" s="778" t="str">
        <f>VLOOKUP(F72,'2) Tracker'!$A$2:$BO$980,34,FALSE)</f>
        <v/>
      </c>
      <c r="AH72" s="778" t="str">
        <f>VLOOKUP(F72,'2) Tracker'!$A$2:$BN$980,66,FALSE)</f>
        <v/>
      </c>
      <c r="AI72" s="778" t="str">
        <f>VLOOKUP(F72,'2) Tracker'!$A$2:$BO$980,56,FALSE)</f>
        <v/>
      </c>
      <c r="AJ72" s="778" t="str">
        <f>VLOOKUP(F72,'2) Tracker'!$A$2:$BO$980,52,FALSE)</f>
        <v/>
      </c>
      <c r="AK72" s="778" t="str">
        <f>VLOOKUP(F72,'2) Tracker'!$A$2:$AQ$980,43,FALSE)</f>
        <v/>
      </c>
      <c r="AL72" s="778">
        <f>VLOOKUP(F72,'2) Tracker'!$A$2:$BH$980,46,FALSE())</f>
        <v>46154</v>
      </c>
      <c r="AM72" s="778" t="str">
        <f>VLOOKUP(F72,'2) Tracker'!$A$2:$BO$980,65,FALSE())</f>
        <v/>
      </c>
      <c r="AN72" s="778" t="str">
        <f>VLOOKUP(F72,'2) Tracker'!$A$2:$BK$980,63,FALSE())</f>
        <v/>
      </c>
      <c r="AO72" s="778" t="str">
        <f>VLOOKUP(F72,'2) Tracker'!$A$2:$BF$980,58,FALSE())</f>
        <v/>
      </c>
      <c r="AP72" s="52"/>
      <c r="AQ72" s="52"/>
      <c r="AR72" s="52"/>
      <c r="AS72" s="52"/>
      <c r="AT72" s="52"/>
      <c r="AU72" s="52"/>
      <c r="AV72" s="52"/>
      <c r="AW72" s="52"/>
      <c r="AX72" s="52"/>
      <c r="AY72" s="52"/>
      <c r="AZ72" s="734"/>
      <c r="BA72" s="740"/>
      <c r="BB72" s="734"/>
      <c r="BC72" s="740"/>
      <c r="BD72" s="734"/>
      <c r="BE72" s="52"/>
      <c r="BF72" s="52"/>
      <c r="BG72" s="734"/>
      <c r="BH72" s="734"/>
      <c r="BI72" s="734"/>
      <c r="BJ72" s="734"/>
    </row>
    <row r="73">
      <c r="B73" s="765" t="str">
        <f>vlookup(F73,'2) Tracker'!$A$3:$O$410,5,false)</f>
        <v/>
      </c>
      <c r="C73" s="765" t="str">
        <f>vlookup(F73,'2) Tracker'!$A$3:$O$410,4,false)</f>
        <v/>
      </c>
      <c r="D73" s="734"/>
      <c r="E73" s="734" t="str">
        <f>vlookup(F73,'2) Tracker'!$A$3:$O$406,15,false)</f>
        <v/>
      </c>
      <c r="F73" s="798" t="s">
        <v>322</v>
      </c>
      <c r="G73" s="783">
        <f>VLOOKUP(F73,'2) Tracker'!$A$2:$BO$360,2,FALSE)</f>
        <v>42429</v>
      </c>
      <c r="H73" s="768">
        <f>VLOOKUP(F73,'2) Tracker'!$A$2:$BO$360,3,FALSE)</f>
        <v>84000</v>
      </c>
      <c r="I73" s="770" t="str">
        <f>VLOOKUP(F73,'2) Tracker'!$A$2:$BO$360,9,FALSE)</f>
        <v>Petredec&gt;Itochu</v>
      </c>
      <c r="J73" s="770" t="str">
        <f>VLOOKUP(F73,'2) Tracker'!$A$2:$BO$360,12,FALSE)</f>
        <v>loads USG</v>
      </c>
      <c r="K73" s="771">
        <f t="shared" ref="K73:O73" si="116">AD73</f>
        <v>46134</v>
      </c>
      <c r="L73" s="771">
        <f t="shared" si="116"/>
        <v>46134</v>
      </c>
      <c r="M73" s="771">
        <f t="shared" si="116"/>
        <v>46166</v>
      </c>
      <c r="N73" s="771" t="str">
        <f t="shared" si="116"/>
        <v/>
      </c>
      <c r="O73" s="772" t="str">
        <f t="shared" si="116"/>
        <v/>
      </c>
      <c r="P73" s="773" t="str">
        <f>iferror(if(vlookup(F73,'Voyage days'!$M$808:$N$819,2,false),"GOA",""),"")</f>
        <v/>
      </c>
      <c r="Q73" s="771" t="str">
        <f t="shared" si="81"/>
        <v/>
      </c>
      <c r="R73" s="771" t="str">
        <f t="shared" si="83"/>
        <v/>
      </c>
      <c r="S73" s="774">
        <f t="shared" si="5"/>
        <v>46154</v>
      </c>
      <c r="T73" s="771" t="str">
        <f t="shared" si="6"/>
        <v/>
      </c>
      <c r="U73" s="771" t="str">
        <f t="shared" si="84"/>
        <v/>
      </c>
      <c r="V73" s="771"/>
      <c r="W73" s="771" t="str">
        <f t="shared" si="85"/>
        <v/>
      </c>
      <c r="X73" s="775" t="str">
        <f t="shared" si="9"/>
        <v/>
      </c>
      <c r="Y73" s="784"/>
      <c r="Z73" s="777" t="str">
        <f>vlookup(F73,'2) Tracker'!$A$3:$Q$504,16,false)</f>
        <v>ex DD, ETA Balboa 14 Apr</v>
      </c>
      <c r="AA73" s="777" t="str">
        <f>vlookup(F73,'2) Tracker'!$A$3:$R$504,18,false)</f>
        <v>Petredec 21-22 Apr USG</v>
      </c>
      <c r="AB73" s="777" t="str">
        <f>vlookup(F73,'2) Tracker'!$A$3:$Q$504,17,false)</f>
        <v/>
      </c>
      <c r="AC73" s="778"/>
      <c r="AD73" s="778">
        <f>VLOOKUP(F73,'2) Tracker'!$A$2:$BO$980,37,FALSE)</f>
        <v>46134</v>
      </c>
      <c r="AE73" s="778">
        <f>VLOOKUP(F73,'2) Tracker'!$A$2:$BO$980,40,FALSE)</f>
        <v>46134</v>
      </c>
      <c r="AF73" s="778">
        <f>VLOOKUP(F73,'2) Tracker'!$A$2:$BO$980,67,FALSE)</f>
        <v>46166</v>
      </c>
      <c r="AG73" s="778" t="str">
        <f>VLOOKUP(F73,'2) Tracker'!$A$2:$BO$980,34,FALSE)</f>
        <v/>
      </c>
      <c r="AH73" s="778" t="str">
        <f>VLOOKUP(F73,'2) Tracker'!$A$2:$BN$980,66,FALSE)</f>
        <v/>
      </c>
      <c r="AI73" s="778" t="str">
        <f>VLOOKUP(F73,'2) Tracker'!$A$2:$BO$980,56,FALSE)</f>
        <v/>
      </c>
      <c r="AJ73" s="778" t="str">
        <f>VLOOKUP(F73,'2) Tracker'!$A$2:$BO$980,52,FALSE)</f>
        <v/>
      </c>
      <c r="AK73" s="778" t="str">
        <f>VLOOKUP(F73,'2) Tracker'!$A$2:$AQ$980,43,FALSE)</f>
        <v/>
      </c>
      <c r="AL73" s="778">
        <f>VLOOKUP(F73,'2) Tracker'!$A$2:$BH$980,46,FALSE())</f>
        <v>46154</v>
      </c>
      <c r="AM73" s="778" t="str">
        <f>VLOOKUP(F73,'2) Tracker'!$A$2:$BO$980,65,FALSE())</f>
        <v/>
      </c>
      <c r="AN73" s="778" t="str">
        <f>VLOOKUP(F73,'2) Tracker'!$A$2:$BK$980,63,FALSE())</f>
        <v/>
      </c>
      <c r="AO73" s="778" t="str">
        <f>VLOOKUP(F73,'2) Tracker'!$A$2:$BF$980,58,FALSE())</f>
        <v/>
      </c>
      <c r="AP73" s="52"/>
      <c r="AQ73" s="52"/>
      <c r="AR73" s="52"/>
      <c r="AS73" s="52"/>
      <c r="AT73" s="52"/>
      <c r="AU73" s="52"/>
      <c r="AV73" s="52"/>
      <c r="AW73" s="52"/>
      <c r="AX73" s="52"/>
      <c r="AY73" s="52"/>
      <c r="AZ73" s="787"/>
      <c r="BA73" s="786" t="str">
        <f>vlookup(AZ73,'Iran, FS'!$A$1:$B$318,2, false)</f>
        <v>#N/A</v>
      </c>
      <c r="BB73" s="787" t="str">
        <f>vlookup(AZ73,'1) Kpler'!$E$2:$F$500,2,false)</f>
        <v>#N/A</v>
      </c>
      <c r="BC73" s="788"/>
      <c r="BD73" s="787"/>
      <c r="BE73" s="52"/>
      <c r="BF73" s="52"/>
      <c r="BG73" s="787"/>
      <c r="BH73" s="787"/>
      <c r="BI73" s="787"/>
      <c r="BJ73" s="787"/>
    </row>
    <row r="74">
      <c r="B74" s="765" t="str">
        <f>vlookup(F74,'2) Tracker'!$A$3:$O$410,5,false)</f>
        <v/>
      </c>
      <c r="C74" s="765" t="str">
        <f>vlookup(F74,'2) Tracker'!$A$3:$O$410,4,false)</f>
        <v/>
      </c>
      <c r="D74" s="732" t="s">
        <v>1515</v>
      </c>
      <c r="E74" s="734" t="str">
        <f>vlookup(F74,'2) Tracker'!$A$3:$O$406,15,false)</f>
        <v/>
      </c>
      <c r="F74" s="797" t="s">
        <v>90</v>
      </c>
      <c r="G74" s="789">
        <f>VLOOKUP(F74,'2) Tracker'!$A$2:$BO$360,2,FALSE)</f>
        <v>2025</v>
      </c>
      <c r="H74" s="768">
        <f>VLOOKUP(F74,'2) Tracker'!$A$2:$BO$360,3,FALSE)</f>
        <v>88000</v>
      </c>
      <c r="I74" s="777" t="str">
        <f>VLOOKUP(F74,'2) Tracker'!$A$2:$BO$360,9,FALSE)</f>
        <v>Trafigura</v>
      </c>
      <c r="J74" s="770" t="str">
        <f>VLOOKUP(F74,'2) Tracker'!$A$2:$BO$360,12,FALSE)</f>
        <v>loads USG</v>
      </c>
      <c r="K74" s="774">
        <f t="shared" ref="K74:O74" si="117">AD74</f>
        <v>46135</v>
      </c>
      <c r="L74" s="774">
        <f t="shared" si="117"/>
        <v>46135</v>
      </c>
      <c r="M74" s="771">
        <f t="shared" si="117"/>
        <v>46167</v>
      </c>
      <c r="N74" s="771" t="str">
        <f t="shared" si="117"/>
        <v/>
      </c>
      <c r="O74" s="772" t="str">
        <f t="shared" si="117"/>
        <v/>
      </c>
      <c r="P74" s="773" t="str">
        <f>iferror(if(vlookup(F74,'Voyage days'!$M$808:$N$819,2,false),"GOA",""),"")</f>
        <v/>
      </c>
      <c r="Q74" s="771" t="str">
        <f t="shared" si="81"/>
        <v/>
      </c>
      <c r="R74" s="774" t="str">
        <f t="shared" si="83"/>
        <v/>
      </c>
      <c r="S74" s="774">
        <f t="shared" si="5"/>
        <v>46155</v>
      </c>
      <c r="T74" s="771" t="str">
        <f t="shared" si="6"/>
        <v/>
      </c>
      <c r="U74" s="774" t="str">
        <f t="shared" si="84"/>
        <v/>
      </c>
      <c r="V74" s="774"/>
      <c r="W74" s="774" t="str">
        <f t="shared" si="85"/>
        <v/>
      </c>
      <c r="X74" s="775" t="str">
        <f t="shared" si="9"/>
        <v/>
      </c>
      <c r="Y74" s="776"/>
      <c r="Z74" s="777" t="str">
        <f>vlookup(F74,'2) Tracker'!$A$3:$Q$504,16,false)</f>
        <v>ETA Balboa 18 Apr</v>
      </c>
      <c r="AA74" s="777" t="str">
        <f>vlookup(F74,'2) Tracker'!$A$3:$R$504,18,false)</f>
        <v>Trafigura 23-24 Apr USG</v>
      </c>
      <c r="AB74" s="777" t="str">
        <f>vlookup(F74,'2) Tracker'!$A$3:$Q$504,17,false)</f>
        <v/>
      </c>
      <c r="AC74" s="778"/>
      <c r="AD74" s="778">
        <f>VLOOKUP(F74,'2) Tracker'!$A$2:$BO$980,37,FALSE)</f>
        <v>46135</v>
      </c>
      <c r="AE74" s="778">
        <f>VLOOKUP(F74,'2) Tracker'!$A$2:$BO$980,40,FALSE)</f>
        <v>46135</v>
      </c>
      <c r="AF74" s="778">
        <f>VLOOKUP(F74,'2) Tracker'!$A$2:$BO$980,67,FALSE)</f>
        <v>46167</v>
      </c>
      <c r="AG74" s="778" t="str">
        <f>VLOOKUP(F74,'2) Tracker'!$A$2:$BO$980,34,FALSE)</f>
        <v/>
      </c>
      <c r="AH74" s="778" t="str">
        <f>VLOOKUP(F74,'2) Tracker'!$A$2:$BN$980,66,FALSE)</f>
        <v/>
      </c>
      <c r="AI74" s="778" t="str">
        <f>VLOOKUP(F74,'2) Tracker'!$A$2:$BO$980,56,FALSE)</f>
        <v/>
      </c>
      <c r="AJ74" s="778" t="str">
        <f>VLOOKUP(F74,'2) Tracker'!$A$2:$BO$980,52,FALSE)</f>
        <v/>
      </c>
      <c r="AK74" s="778" t="str">
        <f>VLOOKUP(F74,'2) Tracker'!$A$2:$AQ$980,43,FALSE)</f>
        <v/>
      </c>
      <c r="AL74" s="778">
        <f>VLOOKUP(F74,'2) Tracker'!$A$2:$BH$980,46,FALSE())</f>
        <v>46155</v>
      </c>
      <c r="AM74" s="778" t="str">
        <f>VLOOKUP(F74,'2) Tracker'!$A$2:$BO$980,65,FALSE())</f>
        <v/>
      </c>
      <c r="AN74" s="778" t="str">
        <f>VLOOKUP(F74,'2) Tracker'!$A$2:$BK$980,63,FALSE())</f>
        <v/>
      </c>
      <c r="AO74" s="778" t="str">
        <f>VLOOKUP(F74,'2) Tracker'!$A$2:$BF$980,58,FALSE())</f>
        <v/>
      </c>
      <c r="AP74" s="52"/>
      <c r="AQ74" s="52"/>
      <c r="AR74" s="52"/>
      <c r="AS74" s="52"/>
      <c r="AT74" s="52"/>
      <c r="AU74" s="52"/>
      <c r="AV74" s="52"/>
      <c r="AW74" s="52"/>
      <c r="AX74" s="52"/>
      <c r="AY74" s="52"/>
      <c r="AZ74" s="787"/>
      <c r="BA74" s="786" t="str">
        <f>vlookup(AZ74,'Iran, FS'!$A$1:$B$318,2, false)</f>
        <v>#N/A</v>
      </c>
      <c r="BB74" s="787" t="str">
        <f>vlookup(AZ74,'1) Kpler'!$E$2:$F$500,2,false)</f>
        <v>#N/A</v>
      </c>
      <c r="BC74" s="788"/>
      <c r="BD74" s="787"/>
      <c r="BE74" s="52"/>
      <c r="BF74" s="52"/>
      <c r="BG74" s="734"/>
      <c r="BH74" s="787"/>
      <c r="BI74" s="787"/>
      <c r="BJ74" s="787"/>
    </row>
    <row r="75">
      <c r="B75" s="765" t="str">
        <f>vlookup(F75,'2) Tracker'!$A$3:$O$410,5,false)</f>
        <v/>
      </c>
      <c r="C75" s="765" t="str">
        <f>vlookup(F75,'2) Tracker'!$A$3:$O$410,4,false)</f>
        <v/>
      </c>
      <c r="D75" s="734"/>
      <c r="E75" s="734" t="str">
        <f>vlookup(F75,'2) Tracker'!$A$3:$O$406,15,false)</f>
        <v/>
      </c>
      <c r="F75" s="766" t="s">
        <v>495</v>
      </c>
      <c r="G75" s="789">
        <f>VLOOKUP(F75,'2) Tracker'!$A$2:$BO$360,2,FALSE)</f>
        <v>2024</v>
      </c>
      <c r="H75" s="768">
        <f>VLOOKUP(F75,'2) Tracker'!$A$2:$BO$360,3,FALSE)</f>
        <v>86000</v>
      </c>
      <c r="I75" s="769" t="str">
        <f>VLOOKUP(F75,'2) Tracker'!$A$2:$BO$360,9,FALSE)</f>
        <v>BGN&gt; ???</v>
      </c>
      <c r="J75" s="770" t="str">
        <f>VLOOKUP(F75,'2) Tracker'!$A$2:$BO$360,12,FALSE)</f>
        <v>loads USG</v>
      </c>
      <c r="K75" s="774">
        <f t="shared" ref="K75:O75" si="118">AD75</f>
        <v>46135</v>
      </c>
      <c r="L75" s="774">
        <f t="shared" si="118"/>
        <v>46135</v>
      </c>
      <c r="M75" s="771">
        <f t="shared" si="118"/>
        <v>46167</v>
      </c>
      <c r="N75" s="771" t="str">
        <f t="shared" si="118"/>
        <v/>
      </c>
      <c r="O75" s="772" t="str">
        <f t="shared" si="118"/>
        <v/>
      </c>
      <c r="P75" s="773" t="str">
        <f>iferror(if(vlookup(F75,'Voyage days'!$M$808:$N$819,2,false),"GOA",""),"")</f>
        <v/>
      </c>
      <c r="Q75" s="771" t="str">
        <f t="shared" si="81"/>
        <v/>
      </c>
      <c r="R75" s="771" t="str">
        <f t="shared" si="83"/>
        <v/>
      </c>
      <c r="S75" s="774">
        <f t="shared" si="5"/>
        <v>46155</v>
      </c>
      <c r="T75" s="771" t="str">
        <f t="shared" si="6"/>
        <v/>
      </c>
      <c r="U75" s="771" t="str">
        <f t="shared" si="84"/>
        <v/>
      </c>
      <c r="V75" s="771"/>
      <c r="W75" s="771" t="str">
        <f t="shared" si="85"/>
        <v/>
      </c>
      <c r="X75" s="775" t="str">
        <f t="shared" si="9"/>
        <v/>
      </c>
      <c r="Y75" s="776"/>
      <c r="Z75" s="777" t="str">
        <f>vlookup(F75,'2) Tracker'!$A$3:$Q$504,16,false)</f>
        <v>ETA Nderlanjd 23 Apr</v>
      </c>
      <c r="AA75" s="777" t="str">
        <f>vlookup(F75,'2) Tracker'!$A$3:$R$504,18,false)</f>
        <v>BGN 16-17 Mar Nederland</v>
      </c>
      <c r="AB75" s="777" t="str">
        <f>vlookup(F75,'2) Tracker'!$A$3:$Q$504,17,false)</f>
        <v/>
      </c>
      <c r="AC75" s="778"/>
      <c r="AD75" s="778">
        <f>VLOOKUP(F75,'2) Tracker'!$A$2:$BO$980,37,FALSE)</f>
        <v>46135</v>
      </c>
      <c r="AE75" s="778">
        <f>VLOOKUP(F75,'2) Tracker'!$A$2:$BO$980,40,FALSE)</f>
        <v>46135</v>
      </c>
      <c r="AF75" s="778">
        <f>VLOOKUP(F75,'2) Tracker'!$A$2:$BO$980,67,FALSE)</f>
        <v>46167</v>
      </c>
      <c r="AG75" s="778" t="str">
        <f>VLOOKUP(F75,'2) Tracker'!$A$2:$BO$980,34,FALSE)</f>
        <v/>
      </c>
      <c r="AH75" s="778" t="str">
        <f>VLOOKUP(F75,'2) Tracker'!$A$2:$BN$980,66,FALSE)</f>
        <v/>
      </c>
      <c r="AI75" s="778" t="str">
        <f>VLOOKUP(F75,'2) Tracker'!$A$2:$BO$980,56,FALSE)</f>
        <v/>
      </c>
      <c r="AJ75" s="778" t="str">
        <f>VLOOKUP(F75,'2) Tracker'!$A$2:$BO$980,52,FALSE)</f>
        <v/>
      </c>
      <c r="AK75" s="778" t="str">
        <f>VLOOKUP(F75,'2) Tracker'!$A$2:$AQ$980,43,FALSE)</f>
        <v/>
      </c>
      <c r="AL75" s="778">
        <f>VLOOKUP(F75,'2) Tracker'!$A$2:$BH$980,46,FALSE())</f>
        <v>46155</v>
      </c>
      <c r="AM75" s="778" t="str">
        <f>VLOOKUP(F75,'2) Tracker'!$A$2:$BO$980,65,FALSE())</f>
        <v/>
      </c>
      <c r="AN75" s="778" t="str">
        <f>VLOOKUP(F75,'2) Tracker'!$A$2:$BK$980,63,FALSE())</f>
        <v/>
      </c>
      <c r="AO75" s="778" t="str">
        <f>VLOOKUP(F75,'2) Tracker'!$A$2:$BF$980,58,FALSE())</f>
        <v/>
      </c>
      <c r="AP75" s="52"/>
      <c r="AQ75" s="52"/>
      <c r="AR75" s="52"/>
      <c r="AS75" s="52"/>
      <c r="AT75" s="52"/>
      <c r="AU75" s="52"/>
      <c r="AV75" s="52"/>
      <c r="AW75" s="52"/>
      <c r="AX75" s="52"/>
      <c r="AY75" s="52"/>
      <c r="AZ75" s="787"/>
      <c r="BA75" s="786" t="str">
        <f>vlookup(AZ75,'Iran, FS'!$A$1:$B$318,2, false)</f>
        <v>#N/A</v>
      </c>
      <c r="BB75" s="787" t="str">
        <f>vlookup(AZ75,'1) Kpler'!$E$2:$F$500,2,false)</f>
        <v>#N/A</v>
      </c>
      <c r="BC75" s="788"/>
      <c r="BD75" s="787"/>
      <c r="BE75" s="52"/>
      <c r="BF75" s="52"/>
      <c r="BG75" s="787"/>
      <c r="BH75" s="787"/>
      <c r="BI75" s="787"/>
      <c r="BJ75" s="787"/>
    </row>
    <row r="76">
      <c r="B76" s="765" t="str">
        <f>vlookup(F76,'2) Tracker'!$A$3:$O$410,5,false)</f>
        <v/>
      </c>
      <c r="C76" s="765" t="str">
        <f>vlookup(F76,'2) Tracker'!$A$3:$O$410,4,false)</f>
        <v/>
      </c>
      <c r="D76" s="732" t="s">
        <v>1515</v>
      </c>
      <c r="E76" s="734" t="str">
        <f>vlookup(F76,'2) Tracker'!$A$3:$O$406,15,false)</f>
        <v>eu</v>
      </c>
      <c r="F76" s="797" t="s">
        <v>228</v>
      </c>
      <c r="G76" s="783">
        <f>VLOOKUP(F76,'2) Tracker'!$A$2:$BO$360,2,FALSE)</f>
        <v>43617</v>
      </c>
      <c r="H76" s="768">
        <f>VLOOKUP(F76,'2) Tracker'!$A$2:$BO$360,3,FALSE)</f>
        <v>80000</v>
      </c>
      <c r="I76" s="769" t="str">
        <f>VLOOKUP(F76,'2) Tracker'!$A$2:$BO$360,9,FALSE)</f>
        <v>ATC</v>
      </c>
      <c r="J76" s="770" t="str">
        <f>VLOOKUP(F76,'2) Tracker'!$A$2:$BO$360,12,FALSE)</f>
        <v>loads USG</v>
      </c>
      <c r="K76" s="771">
        <f t="shared" ref="K76:O76" si="119">AD76</f>
        <v>46135</v>
      </c>
      <c r="L76" s="771">
        <f t="shared" si="119"/>
        <v>46135</v>
      </c>
      <c r="M76" s="771">
        <f t="shared" si="119"/>
        <v>46167</v>
      </c>
      <c r="N76" s="771" t="str">
        <f t="shared" si="119"/>
        <v/>
      </c>
      <c r="O76" s="772" t="str">
        <f t="shared" si="119"/>
        <v/>
      </c>
      <c r="P76" s="773" t="str">
        <f>iferror(if(vlookup(F76,'Voyage days'!$M$808:$N$821,2,false),"GOA",""),"")</f>
        <v/>
      </c>
      <c r="Q76" s="771" t="str">
        <f t="shared" si="81"/>
        <v/>
      </c>
      <c r="R76" s="771" t="str">
        <f t="shared" si="83"/>
        <v/>
      </c>
      <c r="S76" s="774">
        <f t="shared" si="5"/>
        <v>46155</v>
      </c>
      <c r="T76" s="771" t="str">
        <f t="shared" si="6"/>
        <v/>
      </c>
      <c r="U76" s="771" t="str">
        <f t="shared" si="84"/>
        <v/>
      </c>
      <c r="V76" s="771"/>
      <c r="W76" s="771" t="str">
        <f t="shared" si="85"/>
        <v/>
      </c>
      <c r="X76" s="775" t="str">
        <f t="shared" si="9"/>
        <v/>
      </c>
      <c r="Y76" s="776"/>
      <c r="Z76" s="777" t="str">
        <f>vlookup(F76,'2) Tracker'!$A$3:$Q$504,16,false)</f>
        <v>ETA Nederland 22 Apr</v>
      </c>
      <c r="AA76" s="777" t="str">
        <f>vlookup(F76,'2) Tracker'!$A$3:$R$504,18,false)</f>
        <v>Naftomar 23-24 Apr USG</v>
      </c>
      <c r="AB76" s="777" t="str">
        <f>vlookup(F76,'2) Tracker'!$A$3:$Q$504,17,false)</f>
        <v>c3 / c4 in deck tanks</v>
      </c>
      <c r="AC76" s="778"/>
      <c r="AD76" s="778">
        <f>VLOOKUP(F76,'2) Tracker'!$A$2:$BO$980,37,FALSE)</f>
        <v>46135</v>
      </c>
      <c r="AE76" s="778">
        <f>VLOOKUP(F76,'2) Tracker'!$A$2:$BO$980,40,FALSE)</f>
        <v>46135</v>
      </c>
      <c r="AF76" s="778">
        <f>VLOOKUP(F76,'2) Tracker'!$A$2:$BO$980,67,FALSE)</f>
        <v>46167</v>
      </c>
      <c r="AG76" s="778" t="str">
        <f>VLOOKUP(F76,'2) Tracker'!$A$2:$BO$980,34,FALSE)</f>
        <v/>
      </c>
      <c r="AH76" s="778" t="str">
        <f>VLOOKUP(F76,'2) Tracker'!$A$2:$BN$980,66,FALSE)</f>
        <v/>
      </c>
      <c r="AI76" s="778" t="str">
        <f>VLOOKUP(F76,'2) Tracker'!$A$2:$BO$980,56,FALSE)</f>
        <v/>
      </c>
      <c r="AJ76" s="778" t="str">
        <f>VLOOKUP(F76,'2) Tracker'!$A$2:$BO$980,52,FALSE)</f>
        <v/>
      </c>
      <c r="AK76" s="778" t="str">
        <f>VLOOKUP(F76,'2) Tracker'!$A$2:$AQ$980,43,FALSE)</f>
        <v/>
      </c>
      <c r="AL76" s="778">
        <f>VLOOKUP(F76,'2) Tracker'!$A$2:$BH$980,46,FALSE())</f>
        <v>46155</v>
      </c>
      <c r="AM76" s="778" t="str">
        <f>VLOOKUP(F76,'2) Tracker'!$A$2:$BO$980,65,FALSE())</f>
        <v/>
      </c>
      <c r="AN76" s="778" t="str">
        <f>VLOOKUP(F76,'2) Tracker'!$A$2:$BK$980,63,FALSE())</f>
        <v/>
      </c>
      <c r="AO76" s="778" t="str">
        <f>VLOOKUP(F76,'2) Tracker'!$A$2:$BF$980,58,FALSE())</f>
        <v/>
      </c>
      <c r="AP76" s="52"/>
      <c r="AQ76" s="52"/>
      <c r="AR76" s="52"/>
      <c r="AS76" s="52"/>
      <c r="AT76" s="52"/>
      <c r="AU76" s="52"/>
      <c r="AV76" s="52"/>
      <c r="AW76" s="52"/>
      <c r="AX76" s="52"/>
      <c r="AY76" s="52"/>
      <c r="AZ76" s="734"/>
      <c r="BA76" s="786" t="str">
        <f>vlookup(AZ76,'Iran, FS'!$A$1:$B$318,2, false)</f>
        <v>#N/A</v>
      </c>
      <c r="BB76" s="787" t="str">
        <f>vlookup(AZ76,'1) Kpler'!$E$2:$F$500,2,false)</f>
        <v>#N/A</v>
      </c>
      <c r="BC76" s="740"/>
      <c r="BD76" s="734"/>
      <c r="BE76" s="52"/>
      <c r="BF76" s="52"/>
      <c r="BG76" s="734"/>
      <c r="BH76" s="734"/>
      <c r="BI76" s="734"/>
      <c r="BJ76" s="734"/>
    </row>
    <row r="77">
      <c r="B77" s="765" t="str">
        <f>vlookup(F77,'2) Tracker'!$A$3:$O$410,5,false)</f>
        <v/>
      </c>
      <c r="C77" s="765" t="str">
        <f>vlookup(F77,'2) Tracker'!$A$3:$O$410,4,false)</f>
        <v>US</v>
      </c>
      <c r="D77" s="734"/>
      <c r="E77" s="734" t="str">
        <f>vlookup(F77,'2) Tracker'!$A$3:$O$406,15,false)</f>
        <v/>
      </c>
      <c r="F77" s="788" t="s">
        <v>157</v>
      </c>
      <c r="G77" s="789">
        <f>VLOOKUP(F77,'2) Tracker'!$A$2:$BO$360,2,FALSE)</f>
        <v>2023</v>
      </c>
      <c r="H77" s="768">
        <f>VLOOKUP(F77,'2) Tracker'!$A$2:$BO$360,3,FALSE)</f>
        <v>84000</v>
      </c>
      <c r="I77" s="770" t="str">
        <f>VLOOKUP(F77,'2) Tracker'!$A$2:$BO$360,9,FALSE)</f>
        <v>Helios</v>
      </c>
      <c r="J77" s="770" t="str">
        <f>VLOOKUP(F77,'2) Tracker'!$A$2:$BO$360,12,FALSE)</f>
        <v>loads USG</v>
      </c>
      <c r="K77" s="774">
        <f t="shared" ref="K77:O77" si="120">AD77</f>
        <v>46136</v>
      </c>
      <c r="L77" s="774">
        <f t="shared" si="120"/>
        <v>46136</v>
      </c>
      <c r="M77" s="771">
        <f t="shared" si="120"/>
        <v>46168</v>
      </c>
      <c r="N77" s="771" t="str">
        <f t="shared" si="120"/>
        <v/>
      </c>
      <c r="O77" s="772" t="str">
        <f t="shared" si="120"/>
        <v/>
      </c>
      <c r="P77" s="773" t="str">
        <f>iferror(if(vlookup(F77,'Voyage days'!$M$808:$N$819,2,false),"GOA",""),"")</f>
        <v/>
      </c>
      <c r="Q77" s="771" t="str">
        <f t="shared" si="81"/>
        <v/>
      </c>
      <c r="R77" s="774" t="str">
        <f t="shared" si="83"/>
        <v/>
      </c>
      <c r="S77" s="774">
        <f t="shared" si="5"/>
        <v>46156</v>
      </c>
      <c r="T77" s="771" t="str">
        <f t="shared" si="6"/>
        <v/>
      </c>
      <c r="U77" s="774" t="str">
        <f t="shared" si="84"/>
        <v/>
      </c>
      <c r="V77" s="771"/>
      <c r="W77" s="771" t="str">
        <f t="shared" si="85"/>
        <v/>
      </c>
      <c r="X77" s="775" t="str">
        <f t="shared" si="9"/>
        <v/>
      </c>
      <c r="Y77" s="776"/>
      <c r="Z77" s="777" t="str">
        <f>vlookup(F77,'2) Tracker'!$A$3:$Q$504,16,false)</f>
        <v>ETA USG 19 Apr via Cape</v>
      </c>
      <c r="AA77" s="777" t="str">
        <f>vlookup(F77,'2) Tracker'!$A$3:$R$504,18,false)</f>
        <v>MB Energy 23-24 Apr USG</v>
      </c>
      <c r="AB77" s="777" t="str">
        <f>vlookup(F77,'2) Tracker'!$A$3:$Q$504,17,false)</f>
        <v/>
      </c>
      <c r="AC77" s="778"/>
      <c r="AD77" s="778">
        <f>VLOOKUP(F77,'2) Tracker'!$A$2:$BO$980,37,FALSE)</f>
        <v>46136</v>
      </c>
      <c r="AE77" s="778">
        <f>VLOOKUP(F77,'2) Tracker'!$A$2:$BO$980,40,FALSE)</f>
        <v>46136</v>
      </c>
      <c r="AF77" s="778">
        <f>VLOOKUP(F77,'2) Tracker'!$A$2:$BO$980,67,FALSE)</f>
        <v>46168</v>
      </c>
      <c r="AG77" s="778" t="str">
        <f>VLOOKUP(F77,'2) Tracker'!$A$2:$BO$980,34,FALSE)</f>
        <v/>
      </c>
      <c r="AH77" s="778" t="str">
        <f>VLOOKUP(F77,'2) Tracker'!$A$2:$BN$980,66,FALSE)</f>
        <v/>
      </c>
      <c r="AI77" s="778" t="str">
        <f>VLOOKUP(F77,'2) Tracker'!$A$2:$BO$980,56,FALSE)</f>
        <v/>
      </c>
      <c r="AJ77" s="778" t="str">
        <f>VLOOKUP(F77,'2) Tracker'!$A$2:$BO$980,52,FALSE)</f>
        <v/>
      </c>
      <c r="AK77" s="778" t="str">
        <f>VLOOKUP(F77,'2) Tracker'!$A$2:$AQ$980,43,FALSE)</f>
        <v/>
      </c>
      <c r="AL77" s="778">
        <f>VLOOKUP(F77,'2) Tracker'!$A$2:$BH$980,46,FALSE())</f>
        <v>46156</v>
      </c>
      <c r="AM77" s="778" t="str">
        <f>VLOOKUP(F77,'2) Tracker'!$A$2:$BO$980,65,FALSE())</f>
        <v/>
      </c>
      <c r="AN77" s="778" t="str">
        <f>VLOOKUP(F77,'2) Tracker'!$A$2:$BK$980,63,FALSE())</f>
        <v/>
      </c>
      <c r="AO77" s="778" t="str">
        <f>VLOOKUP(F77,'2) Tracker'!$A$2:$BF$980,58,FALSE())</f>
        <v/>
      </c>
      <c r="AP77" s="813"/>
      <c r="AQ77" s="813"/>
      <c r="AR77" s="52"/>
      <c r="AS77" s="52"/>
      <c r="AT77" s="52"/>
      <c r="AU77" s="52"/>
      <c r="AV77" s="52"/>
      <c r="AW77" s="52"/>
      <c r="AX77" s="52"/>
      <c r="AY77" s="52"/>
      <c r="AZ77" s="734"/>
      <c r="BA77" s="786" t="str">
        <f>vlookup(AZ77,'Iran, FS'!$A$1:$B$318,2, false)</f>
        <v>#N/A</v>
      </c>
      <c r="BB77" s="787" t="str">
        <f>vlookup(AZ77,'1) Kpler'!$E$2:$F$500,2,false)</f>
        <v>#N/A</v>
      </c>
      <c r="BC77" s="740"/>
      <c r="BD77" s="734"/>
      <c r="BE77" s="52"/>
      <c r="BF77" s="52"/>
      <c r="BG77" s="734"/>
      <c r="BH77" s="734"/>
      <c r="BI77" s="734"/>
      <c r="BJ77" s="734"/>
    </row>
    <row r="78">
      <c r="B78" s="765" t="str">
        <f>vlookup(F78,'2) Tracker'!$A$3:$O$410,5,false)</f>
        <v>C</v>
      </c>
      <c r="C78" s="765" t="str">
        <f>vlookup(F78,'2) Tracker'!$A$3:$O$410,4,false)</f>
        <v/>
      </c>
      <c r="D78" s="734"/>
      <c r="E78" s="734" t="str">
        <f>vlookup(F78,'2) Tracker'!$A$3:$O$406,15,false)</f>
        <v/>
      </c>
      <c r="F78" s="788" t="s">
        <v>272</v>
      </c>
      <c r="G78" s="783">
        <f>VLOOKUP(F78,'2) Tracker'!$A$2:$BO$360,2,FALSE)</f>
        <v>43102</v>
      </c>
      <c r="H78" s="768">
        <f>VLOOKUP(F78,'2) Tracker'!$A$2:$BO$360,3,FALSE)</f>
        <v>85000</v>
      </c>
      <c r="I78" s="770" t="str">
        <f>VLOOKUP(F78,'2) Tracker'!$A$2:$BO$360,9,FALSE)</f>
        <v>E1</v>
      </c>
      <c r="J78" s="770" t="str">
        <f>VLOOKUP(F78,'2) Tracker'!$A$2:$BO$360,12,FALSE)</f>
        <v>loads USG</v>
      </c>
      <c r="K78" s="774">
        <f t="shared" ref="K78:O78" si="121">AD78</f>
        <v>46136</v>
      </c>
      <c r="L78" s="774">
        <f t="shared" si="121"/>
        <v>46136</v>
      </c>
      <c r="M78" s="771">
        <f t="shared" si="121"/>
        <v>46168</v>
      </c>
      <c r="N78" s="771" t="str">
        <f t="shared" si="121"/>
        <v/>
      </c>
      <c r="O78" s="772" t="str">
        <f t="shared" si="121"/>
        <v/>
      </c>
      <c r="P78" s="773" t="str">
        <f>iferror(if(vlookup(F78,'Voyage days'!$M$808:$N$819,2,false),"GOA",""),"")</f>
        <v/>
      </c>
      <c r="Q78" s="771" t="str">
        <f t="shared" si="81"/>
        <v/>
      </c>
      <c r="R78" s="774" t="str">
        <f t="shared" si="83"/>
        <v/>
      </c>
      <c r="S78" s="774">
        <f t="shared" si="5"/>
        <v>46156</v>
      </c>
      <c r="T78" s="771" t="str">
        <f t="shared" si="6"/>
        <v/>
      </c>
      <c r="U78" s="774" t="str">
        <f t="shared" si="84"/>
        <v/>
      </c>
      <c r="V78" s="774"/>
      <c r="W78" s="774" t="str">
        <f t="shared" si="85"/>
        <v/>
      </c>
      <c r="X78" s="775" t="str">
        <f t="shared" si="9"/>
        <v/>
      </c>
      <c r="Y78" s="776"/>
      <c r="Z78" s="777" t="str">
        <f>vlookup(F78,'2) Tracker'!$A$3:$Q$504,16,false)</f>
        <v>ETA Houston 22 Apr via Cape</v>
      </c>
      <c r="AA78" s="777" t="str">
        <f>vlookup(F78,'2) Tracker'!$A$3:$R$504,18,false)</f>
        <v>Astomos 23-24 Apr USG (via Vitol)</v>
      </c>
      <c r="AB78" s="777" t="str">
        <f>vlookup(F78,'2) Tracker'!$A$3:$Q$504,17,false)</f>
        <v/>
      </c>
      <c r="AC78" s="778"/>
      <c r="AD78" s="778">
        <f>VLOOKUP(F78,'2) Tracker'!$A$2:$BO$980,37,FALSE)</f>
        <v>46136</v>
      </c>
      <c r="AE78" s="778">
        <f>VLOOKUP(F78,'2) Tracker'!$A$2:$BO$980,40,FALSE)</f>
        <v>46136</v>
      </c>
      <c r="AF78" s="778">
        <f>VLOOKUP(F78,'2) Tracker'!$A$2:$BO$980,67,FALSE)</f>
        <v>46168</v>
      </c>
      <c r="AG78" s="778" t="str">
        <f>VLOOKUP(F78,'2) Tracker'!$A$2:$BO$980,34,FALSE)</f>
        <v/>
      </c>
      <c r="AH78" s="778" t="str">
        <f>VLOOKUP(F78,'2) Tracker'!$A$2:$BN$980,66,FALSE)</f>
        <v/>
      </c>
      <c r="AI78" s="778" t="str">
        <f>VLOOKUP(F78,'2) Tracker'!$A$2:$BO$980,56,FALSE)</f>
        <v/>
      </c>
      <c r="AJ78" s="778" t="str">
        <f>VLOOKUP(F78,'2) Tracker'!$A$2:$BO$980,52,FALSE)</f>
        <v/>
      </c>
      <c r="AK78" s="778" t="str">
        <f>VLOOKUP(F78,'2) Tracker'!$A$2:$AQ$980,43,FALSE)</f>
        <v/>
      </c>
      <c r="AL78" s="778">
        <f>VLOOKUP(F78,'2) Tracker'!$A$2:$BH$980,46,FALSE())</f>
        <v>46156</v>
      </c>
      <c r="AM78" s="778" t="str">
        <f>VLOOKUP(F78,'2) Tracker'!$A$2:$BO$980,65,FALSE())</f>
        <v/>
      </c>
      <c r="AN78" s="778" t="str">
        <f>VLOOKUP(F78,'2) Tracker'!$A$2:$BK$980,63,FALSE())</f>
        <v/>
      </c>
      <c r="AO78" s="778" t="str">
        <f>VLOOKUP(F78,'2) Tracker'!$A$2:$BF$980,58,FALSE())</f>
        <v/>
      </c>
      <c r="AP78" s="52"/>
      <c r="AQ78" s="52"/>
      <c r="AR78" s="52"/>
      <c r="AS78" s="52"/>
      <c r="AT78" s="52"/>
      <c r="AU78" s="52"/>
      <c r="AV78" s="52"/>
      <c r="AW78" s="52"/>
      <c r="AX78" s="52"/>
      <c r="AY78" s="52"/>
      <c r="AZ78" s="787"/>
      <c r="BA78" s="786" t="str">
        <f>vlookup(AZ78,'Iran, FS'!$A$1:$B$318,2, false)</f>
        <v>#N/A</v>
      </c>
      <c r="BB78" s="787" t="str">
        <f>vlookup(AZ78,'1) Kpler'!$E$2:$F$500,2,false)</f>
        <v>#N/A</v>
      </c>
      <c r="BC78" s="798" t="s">
        <v>1555</v>
      </c>
      <c r="BD78" s="787"/>
      <c r="BE78" s="52"/>
      <c r="BF78" s="52"/>
      <c r="BG78" s="787"/>
      <c r="BH78" s="787"/>
      <c r="BI78" s="787"/>
      <c r="BJ78" s="787"/>
    </row>
    <row r="79">
      <c r="B79" s="765" t="str">
        <f>vlookup(F79,'2) Tracker'!$A$3:$O$410,5,false)</f>
        <v/>
      </c>
      <c r="C79" s="765" t="str">
        <f>vlookup(F79,'2) Tracker'!$A$3:$O$410,4,false)</f>
        <v>US</v>
      </c>
      <c r="D79" s="732" t="s">
        <v>1515</v>
      </c>
      <c r="E79" s="734" t="str">
        <f>vlookup(F79,'2) Tracker'!$A$3:$O$406,15,false)</f>
        <v/>
      </c>
      <c r="F79" s="797" t="s">
        <v>573</v>
      </c>
      <c r="G79" s="783">
        <f>VLOOKUP(F79,'2) Tracker'!$A$2:$BO$360,2,FALSE)</f>
        <v>42985</v>
      </c>
      <c r="H79" s="768">
        <f>VLOOKUP(F79,'2) Tracker'!$A$2:$BO$360,3,FALSE)</f>
        <v>78700</v>
      </c>
      <c r="I79" s="777" t="str">
        <f>VLOOKUP(F79,'2) Tracker'!$A$2:$BO$360,9,FALSE)</f>
        <v>BWPS</v>
      </c>
      <c r="J79" s="770" t="str">
        <f>VLOOKUP(F79,'2) Tracker'!$A$2:$BO$360,12,FALSE)</f>
        <v>loads USG</v>
      </c>
      <c r="K79" s="771">
        <f t="shared" ref="K79:O79" si="122">AD79</f>
        <v>46136</v>
      </c>
      <c r="L79" s="771">
        <f t="shared" si="122"/>
        <v>46136</v>
      </c>
      <c r="M79" s="771">
        <f t="shared" si="122"/>
        <v>46168</v>
      </c>
      <c r="N79" s="771" t="str">
        <f t="shared" si="122"/>
        <v/>
      </c>
      <c r="O79" s="772" t="str">
        <f t="shared" si="122"/>
        <v/>
      </c>
      <c r="P79" s="773" t="str">
        <f>iferror(if(vlookup(F79,'Voyage days'!$M$808:$N$819,2,false),"GOA",""),"")</f>
        <v/>
      </c>
      <c r="Q79" s="771" t="str">
        <f t="shared" si="81"/>
        <v/>
      </c>
      <c r="R79" s="771" t="str">
        <f t="shared" si="83"/>
        <v/>
      </c>
      <c r="S79" s="774">
        <f t="shared" si="5"/>
        <v>46156</v>
      </c>
      <c r="T79" s="771" t="str">
        <f t="shared" si="6"/>
        <v/>
      </c>
      <c r="U79" s="771" t="str">
        <f t="shared" si="84"/>
        <v/>
      </c>
      <c r="V79" s="802"/>
      <c r="W79" s="802" t="str">
        <f t="shared" si="85"/>
        <v/>
      </c>
      <c r="X79" s="775" t="str">
        <f t="shared" si="9"/>
        <v/>
      </c>
      <c r="Y79" s="776"/>
      <c r="Z79" s="777" t="str">
        <f>vlookup(F79,'2) Tracker'!$A$3:$Q$504,16,false)</f>
        <v>ETA Balboa 14 Apr</v>
      </c>
      <c r="AA79" s="777" t="str">
        <f>vlookup(F79,'2) Tracker'!$A$3:$R$504,18,false)</f>
        <v>Chevron 24-25 Apr USG</v>
      </c>
      <c r="AB79" s="777" t="str">
        <f>vlookup(F79,'2) Tracker'!$A$3:$Q$504,17,false)</f>
        <v/>
      </c>
      <c r="AC79" s="778"/>
      <c r="AD79" s="778">
        <f>VLOOKUP(F79,'2) Tracker'!$A$2:$BO$980,37,FALSE)</f>
        <v>46136</v>
      </c>
      <c r="AE79" s="778">
        <f>VLOOKUP(F79,'2) Tracker'!$A$2:$BO$980,40,FALSE)</f>
        <v>46136</v>
      </c>
      <c r="AF79" s="778">
        <f>VLOOKUP(F79,'2) Tracker'!$A$2:$BO$980,67,FALSE)</f>
        <v>46168</v>
      </c>
      <c r="AG79" s="778" t="str">
        <f>VLOOKUP(F79,'2) Tracker'!$A$2:$BO$980,34,FALSE)</f>
        <v/>
      </c>
      <c r="AH79" s="778" t="str">
        <f>VLOOKUP(F79,'2) Tracker'!$A$2:$BN$980,66,FALSE)</f>
        <v/>
      </c>
      <c r="AI79" s="778" t="str">
        <f>VLOOKUP(F79,'2) Tracker'!$A$2:$BO$980,56,FALSE)</f>
        <v/>
      </c>
      <c r="AJ79" s="778" t="str">
        <f>VLOOKUP(F79,'2) Tracker'!$A$2:$BO$980,52,FALSE)</f>
        <v/>
      </c>
      <c r="AK79" s="778" t="str">
        <f>VLOOKUP(F79,'2) Tracker'!$A$2:$AQ$980,43,FALSE)</f>
        <v/>
      </c>
      <c r="AL79" s="778">
        <f>VLOOKUP(F79,'2) Tracker'!$A$2:$BH$980,46,FALSE())</f>
        <v>46156</v>
      </c>
      <c r="AM79" s="778" t="str">
        <f>VLOOKUP(F79,'2) Tracker'!$A$2:$BO$980,65,FALSE())</f>
        <v/>
      </c>
      <c r="AN79" s="778" t="str">
        <f>VLOOKUP(F79,'2) Tracker'!$A$2:$BK$980,63,FALSE())</f>
        <v/>
      </c>
      <c r="AO79" s="778" t="str">
        <f>VLOOKUP(F79,'2) Tracker'!$A$2:$BF$980,58,FALSE())</f>
        <v/>
      </c>
      <c r="AP79" s="52"/>
      <c r="AQ79" s="52"/>
      <c r="AR79" s="52"/>
      <c r="AS79" s="52"/>
      <c r="AT79" s="52"/>
      <c r="AU79" s="52"/>
      <c r="AV79" s="52"/>
      <c r="AW79" s="52"/>
      <c r="AX79" s="52"/>
      <c r="AY79" s="52"/>
      <c r="AZ79" s="787"/>
      <c r="BA79" s="786" t="str">
        <f>vlookup(AZ79,'Iran, FS'!$A$1:$B$318,2, false)</f>
        <v>#N/A</v>
      </c>
      <c r="BB79" s="787" t="str">
        <f>vlookup(AZ79,'1) Kpler'!$E$2:$F$500,2,false)</f>
        <v>#N/A</v>
      </c>
      <c r="BC79" s="788"/>
      <c r="BD79" s="787"/>
      <c r="BE79" s="52"/>
      <c r="BF79" s="52"/>
      <c r="BG79" s="787"/>
      <c r="BH79" s="787"/>
      <c r="BI79" s="787"/>
      <c r="BJ79" s="787"/>
    </row>
    <row r="80">
      <c r="B80" s="765" t="str">
        <f>vlookup(F80,'2) Tracker'!$A$3:$O$410,5,false)</f>
        <v/>
      </c>
      <c r="C80" s="765" t="str">
        <f>vlookup(F80,'2) Tracker'!$A$3:$O$410,4,false)</f>
        <v/>
      </c>
      <c r="D80" s="734"/>
      <c r="E80" s="734" t="str">
        <f>vlookup(F80,'2) Tracker'!$A$3:$O$406,15,false)</f>
        <v/>
      </c>
      <c r="F80" s="817" t="s">
        <v>429</v>
      </c>
      <c r="G80" s="783">
        <f>VLOOKUP(F80,'2) Tracker'!$A$2:$BO$360,2,FALSE)</f>
        <v>2025</v>
      </c>
      <c r="H80" s="768">
        <f>VLOOKUP(F80,'2) Tracker'!$A$2:$BO$360,3,FALSE)</f>
        <v>86920</v>
      </c>
      <c r="I80" s="777" t="str">
        <f>VLOOKUP(F80,'2) Tracker'!$A$2:$BO$360,9,FALSE)</f>
        <v>Astomos</v>
      </c>
      <c r="J80" s="770" t="str">
        <f>VLOOKUP(F80,'2) Tracker'!$A$2:$BO$360,12,FALSE)</f>
        <v>Balboa</v>
      </c>
      <c r="K80" s="774">
        <f t="shared" ref="K80:O80" si="123">AD80</f>
        <v>46136</v>
      </c>
      <c r="L80" s="774" t="str">
        <f t="shared" si="123"/>
        <v/>
      </c>
      <c r="M80" s="771" t="str">
        <f t="shared" si="123"/>
        <v/>
      </c>
      <c r="N80" s="771" t="str">
        <f t="shared" si="123"/>
        <v/>
      </c>
      <c r="O80" s="772" t="str">
        <f t="shared" si="123"/>
        <v/>
      </c>
      <c r="P80" s="773" t="str">
        <f>iferror(if(vlookup(F80,'Voyage days'!$M$808:$N$819,2,false),"GOA",""),"")</f>
        <v/>
      </c>
      <c r="Q80" s="771" t="str">
        <f t="shared" si="81"/>
        <v/>
      </c>
      <c r="R80" s="774" t="str">
        <f t="shared" si="83"/>
        <v/>
      </c>
      <c r="S80" s="774" t="str">
        <f t="shared" si="5"/>
        <v/>
      </c>
      <c r="T80" s="771" t="str">
        <f t="shared" si="6"/>
        <v/>
      </c>
      <c r="U80" s="774" t="str">
        <f t="shared" si="84"/>
        <v/>
      </c>
      <c r="V80" s="771"/>
      <c r="W80" s="771" t="str">
        <f t="shared" si="85"/>
        <v/>
      </c>
      <c r="X80" s="775" t="str">
        <f t="shared" si="9"/>
        <v/>
      </c>
      <c r="Y80" s="776"/>
      <c r="Z80" s="777" t="str">
        <f>vlookup(F80,'2) Tracker'!$A$3:$Q$504,16,false)</f>
        <v>ETA Balboa 13 Apr</v>
      </c>
      <c r="AA80" s="777" t="str">
        <f>vlookup(F80,'2) Tracker'!$A$3:$R$504,18,false)</f>
        <v>Petredec 29-30 Apr USG</v>
      </c>
      <c r="AB80" s="777" t="str">
        <f>vlookup(F80,'2) Tracker'!$A$3:$Q$504,17,false)</f>
        <v/>
      </c>
      <c r="AC80" s="778"/>
      <c r="AD80" s="778">
        <f>VLOOKUP(F80,'2) Tracker'!$A$2:$BO$980,37,FALSE)</f>
        <v>46136</v>
      </c>
      <c r="AE80" s="778" t="str">
        <f>VLOOKUP(F80,'2) Tracker'!$A$2:$BO$980,40,FALSE)</f>
        <v/>
      </c>
      <c r="AF80" s="778" t="str">
        <f>VLOOKUP(F80,'2) Tracker'!$A$2:$BO$980,67,FALSE)</f>
        <v/>
      </c>
      <c r="AG80" s="778" t="str">
        <f>VLOOKUP(F80,'2) Tracker'!$A$2:$BO$980,34,FALSE)</f>
        <v/>
      </c>
      <c r="AH80" s="778" t="str">
        <f>VLOOKUP(F80,'2) Tracker'!$A$2:$BN$980,66,FALSE)</f>
        <v/>
      </c>
      <c r="AI80" s="778" t="str">
        <f>VLOOKUP(F80,'2) Tracker'!$A$2:$BO$980,56,FALSE)</f>
        <v/>
      </c>
      <c r="AJ80" s="778" t="str">
        <f>VLOOKUP(F80,'2) Tracker'!$A$2:$BO$980,52,FALSE)</f>
        <v/>
      </c>
      <c r="AK80" s="778" t="str">
        <f>VLOOKUP(F80,'2) Tracker'!$A$2:$AQ$980,43,FALSE)</f>
        <v/>
      </c>
      <c r="AL80" s="778" t="str">
        <f>VLOOKUP(F80,'2) Tracker'!$A$2:$BH$980,46,FALSE())</f>
        <v/>
      </c>
      <c r="AM80" s="778" t="str">
        <f>VLOOKUP(F80,'2) Tracker'!$A$2:$BO$980,65,FALSE())</f>
        <v/>
      </c>
      <c r="AN80" s="778" t="str">
        <f>VLOOKUP(F80,'2) Tracker'!$A$2:$BK$980,63,FALSE())</f>
        <v/>
      </c>
      <c r="AO80" s="778" t="str">
        <f>VLOOKUP(F80,'2) Tracker'!$A$2:$BF$980,58,FALSE())</f>
        <v/>
      </c>
      <c r="AP80" s="52"/>
      <c r="AQ80" s="52"/>
      <c r="AR80" s="818"/>
      <c r="AS80" s="818"/>
      <c r="AT80" s="818"/>
      <c r="AU80" s="818"/>
      <c r="AV80" s="52"/>
      <c r="AW80" s="818"/>
      <c r="AX80" s="818"/>
      <c r="AY80" s="818"/>
      <c r="AZ80" s="734"/>
      <c r="BA80" s="740"/>
      <c r="BB80" s="734"/>
      <c r="BC80" s="740"/>
      <c r="BD80" s="734"/>
      <c r="BE80" s="818"/>
      <c r="BF80" s="818" t="str">
        <f>BJ80</f>
        <v/>
      </c>
      <c r="BG80" s="734"/>
      <c r="BH80" s="734"/>
      <c r="BI80" s="734"/>
      <c r="BJ80" s="734"/>
    </row>
    <row r="81">
      <c r="B81" s="765" t="str">
        <f>vlookup(F81,'2) Tracker'!$A$3:$O$410,5,false)</f>
        <v/>
      </c>
      <c r="C81" s="765" t="str">
        <f>vlookup(F81,'2) Tracker'!$A$3:$O$410,4,false)</f>
        <v>US</v>
      </c>
      <c r="D81" s="734"/>
      <c r="E81" s="734" t="str">
        <f>vlookup(F81,'2) Tracker'!$A$3:$O$406,15,false)</f>
        <v/>
      </c>
      <c r="F81" s="770" t="s">
        <v>187</v>
      </c>
      <c r="G81" s="789">
        <f>VLOOKUP(F81,'2) Tracker'!$A$2:$BO$360,2,FALSE)</f>
        <v>2015</v>
      </c>
      <c r="H81" s="768">
        <f>VLOOKUP(F81,'2) Tracker'!$A$2:$BO$360,3,FALSE)</f>
        <v>84000</v>
      </c>
      <c r="I81" s="770" t="str">
        <f>VLOOKUP(F81,'2) Tracker'!$A$2:$BO$360,9,FALSE)</f>
        <v>Helios &gt; Exxon</v>
      </c>
      <c r="J81" s="770" t="str">
        <f>VLOOKUP(F81,'2) Tracker'!$A$2:$BO$360,12,FALSE)</f>
        <v>Balboa</v>
      </c>
      <c r="K81" s="771">
        <f t="shared" ref="K81:O81" si="124">AD81</f>
        <v>46136</v>
      </c>
      <c r="L81" s="771" t="str">
        <f t="shared" si="124"/>
        <v/>
      </c>
      <c r="M81" s="771" t="str">
        <f t="shared" si="124"/>
        <v/>
      </c>
      <c r="N81" s="771" t="str">
        <f t="shared" si="124"/>
        <v/>
      </c>
      <c r="O81" s="772" t="str">
        <f t="shared" si="124"/>
        <v/>
      </c>
      <c r="P81" s="773" t="str">
        <f>iferror(if(vlookup(F81,'Voyage days'!$M$808:$N$819,2,false),"GOA",""),"")</f>
        <v/>
      </c>
      <c r="Q81" s="771" t="str">
        <f t="shared" si="81"/>
        <v/>
      </c>
      <c r="R81" s="774" t="str">
        <f t="shared" si="83"/>
        <v/>
      </c>
      <c r="S81" s="774" t="str">
        <f t="shared" si="5"/>
        <v/>
      </c>
      <c r="T81" s="771" t="str">
        <f t="shared" si="6"/>
        <v/>
      </c>
      <c r="U81" s="774" t="str">
        <f t="shared" si="84"/>
        <v/>
      </c>
      <c r="V81" s="771"/>
      <c r="W81" s="771" t="str">
        <f t="shared" si="85"/>
        <v/>
      </c>
      <c r="X81" s="775" t="str">
        <f t="shared" si="9"/>
        <v/>
      </c>
      <c r="Y81" s="784"/>
      <c r="Z81" s="777" t="str">
        <f>vlookup(F81,'2) Tracker'!$A$3:$Q$504,16,false)</f>
        <v>ETA Balboa 13 Apr</v>
      </c>
      <c r="AA81" s="777" t="str">
        <f>vlookup(F81,'2) Tracker'!$A$3:$R$504,18,false)</f>
        <v>Chevron 01 Feb Escravos</v>
      </c>
      <c r="AB81" s="777" t="str">
        <f>vlookup(F81,'2) Tracker'!$A$3:$Q$504,17,false)</f>
        <v/>
      </c>
      <c r="AC81" s="778"/>
      <c r="AD81" s="778">
        <f>VLOOKUP(F81,'2) Tracker'!$A$2:$BO$980,37,FALSE)</f>
        <v>46136</v>
      </c>
      <c r="AE81" s="778" t="str">
        <f>VLOOKUP(F81,'2) Tracker'!$A$2:$BO$980,40,FALSE)</f>
        <v/>
      </c>
      <c r="AF81" s="778" t="str">
        <f>VLOOKUP(F81,'2) Tracker'!$A$2:$BO$980,67,FALSE)</f>
        <v/>
      </c>
      <c r="AG81" s="778" t="str">
        <f>VLOOKUP(F81,'2) Tracker'!$A$2:$BO$980,34,FALSE)</f>
        <v/>
      </c>
      <c r="AH81" s="778" t="str">
        <f>VLOOKUP(F81,'2) Tracker'!$A$2:$BN$980,66,FALSE)</f>
        <v/>
      </c>
      <c r="AI81" s="778" t="str">
        <f>VLOOKUP(F81,'2) Tracker'!$A$2:$BO$980,56,FALSE)</f>
        <v/>
      </c>
      <c r="AJ81" s="778" t="str">
        <f>VLOOKUP(F81,'2) Tracker'!$A$2:$BO$980,52,FALSE)</f>
        <v/>
      </c>
      <c r="AK81" s="778" t="str">
        <f>VLOOKUP(F81,'2) Tracker'!$A$2:$AQ$980,43,FALSE)</f>
        <v/>
      </c>
      <c r="AL81" s="778" t="str">
        <f>VLOOKUP(F81,'2) Tracker'!$A$2:$BH$980,46,FALSE())</f>
        <v/>
      </c>
      <c r="AM81" s="778" t="str">
        <f>VLOOKUP(F81,'2) Tracker'!$A$2:$BO$980,65,FALSE())</f>
        <v/>
      </c>
      <c r="AN81" s="778" t="str">
        <f>VLOOKUP(F81,'2) Tracker'!$A$2:$BK$980,63,FALSE())</f>
        <v/>
      </c>
      <c r="AO81" s="778" t="str">
        <f>VLOOKUP(F81,'2) Tracker'!$A$2:$BF$980,58,FALSE())</f>
        <v/>
      </c>
      <c r="AP81" s="813"/>
      <c r="AQ81" s="813"/>
      <c r="AR81" s="52"/>
      <c r="AS81" s="52"/>
      <c r="AT81" s="52"/>
      <c r="AU81" s="52"/>
      <c r="AV81" s="52"/>
      <c r="AW81" s="52"/>
      <c r="AX81" s="52"/>
      <c r="AY81" s="52"/>
      <c r="AZ81" s="734"/>
      <c r="BA81" s="786" t="str">
        <f>vlookup(AZ81,'Iran, FS'!$A$1:$B$318,2, false)</f>
        <v>#N/A</v>
      </c>
      <c r="BB81" s="787" t="str">
        <f>vlookup(AZ81,'1) Kpler'!$E$2:$F$500,2,false)</f>
        <v>#N/A</v>
      </c>
      <c r="BC81" s="740"/>
      <c r="BD81" s="734"/>
      <c r="BE81" s="52"/>
      <c r="BF81" s="52"/>
      <c r="BG81" s="734"/>
      <c r="BH81" s="734"/>
      <c r="BI81" s="734"/>
      <c r="BJ81" s="734"/>
    </row>
    <row r="82">
      <c r="B82" s="765" t="str">
        <f>vlookup(F82,'2) Tracker'!$A$3:$O$410,5,false)</f>
        <v/>
      </c>
      <c r="C82" s="765" t="str">
        <f>vlookup(F82,'2) Tracker'!$A$3:$O$410,4,false)</f>
        <v/>
      </c>
      <c r="D82" s="734"/>
      <c r="E82" s="734" t="str">
        <f>vlookup(F82,'2) Tracker'!$A$3:$O$406,15,false)</f>
        <v/>
      </c>
      <c r="F82" s="766" t="str">
        <f>'2) Tracker'!A222</f>
        <v>Albert III</v>
      </c>
      <c r="G82" s="792">
        <f>VLOOKUP(F82,'2) Tracker'!$A$2:$BO$360,2,FALSE)</f>
        <v>42886</v>
      </c>
      <c r="H82" s="768">
        <f>VLOOKUP(F82,'2) Tracker'!$A$2:$BO$360,3,FALSE)</f>
        <v>84000</v>
      </c>
      <c r="I82" s="769" t="str">
        <f>VLOOKUP(F82,'2) Tracker'!$A$2:$BO$360,9,FALSE)</f>
        <v>Tomza</v>
      </c>
      <c r="J82" s="770" t="str">
        <f>VLOOKUP(F82,'2) Tracker'!$A$2:$BO$360,12,FALSE)</f>
        <v>Suape</v>
      </c>
      <c r="K82" s="771">
        <f t="shared" ref="K82:O82" si="125">AD82</f>
        <v>46137</v>
      </c>
      <c r="L82" s="771">
        <f t="shared" si="125"/>
        <v>46137</v>
      </c>
      <c r="M82" s="771" t="str">
        <f t="shared" si="125"/>
        <v/>
      </c>
      <c r="N82" s="771" t="str">
        <f t="shared" si="125"/>
        <v/>
      </c>
      <c r="O82" s="772" t="str">
        <f t="shared" si="125"/>
        <v/>
      </c>
      <c r="P82" s="773" t="str">
        <f>iferror(if(vlookup(F82,'Voyage days'!$M$808:$N$819,2,false),"GOA",""),"")</f>
        <v/>
      </c>
      <c r="Q82" s="771" t="str">
        <f t="shared" si="81"/>
        <v/>
      </c>
      <c r="R82" s="771" t="str">
        <f t="shared" si="83"/>
        <v/>
      </c>
      <c r="S82" s="774">
        <f t="shared" si="5"/>
        <v>46135</v>
      </c>
      <c r="T82" s="771">
        <f t="shared" si="6"/>
        <v>46132</v>
      </c>
      <c r="U82" s="771" t="str">
        <f t="shared" si="84"/>
        <v/>
      </c>
      <c r="V82" s="771"/>
      <c r="W82" s="771" t="str">
        <f t="shared" si="85"/>
        <v/>
      </c>
      <c r="X82" s="775" t="str">
        <f t="shared" si="9"/>
        <v/>
      </c>
      <c r="Y82" s="776"/>
      <c r="Z82" s="777" t="str">
        <f>vlookup(F82,'2) Tracker'!$A$3:$Q$504,16,false)</f>
        <v>@ Tuxpan 12 Apr</v>
      </c>
      <c r="AA82" s="777" t="str">
        <f>vlookup(F82,'2) Tracker'!$A$3:$R$504,18,false)</f>
        <v>Tomza 20 Mar Enterprise</v>
      </c>
      <c r="AB82" s="777" t="str">
        <f>vlookup(F82,'2) Tracker'!$A$3:$Q$504,17,false)</f>
        <v/>
      </c>
      <c r="AC82" s="778"/>
      <c r="AD82" s="778">
        <f>VLOOKUP(F82,'2) Tracker'!$A$2:$BO$980,37,FALSE)</f>
        <v>46137</v>
      </c>
      <c r="AE82" s="778">
        <f>VLOOKUP(F82,'2) Tracker'!$A$2:$BO$980,40,FALSE)</f>
        <v>46137</v>
      </c>
      <c r="AF82" s="778" t="str">
        <f>VLOOKUP(F82,'2) Tracker'!$A$2:$BO$980,67,FALSE)</f>
        <v/>
      </c>
      <c r="AG82" s="778" t="str">
        <f>VLOOKUP(F82,'2) Tracker'!$A$2:$BO$980,34,FALSE)</f>
        <v/>
      </c>
      <c r="AH82" s="778" t="str">
        <f>VLOOKUP(F82,'2) Tracker'!$A$2:$BN$980,66,FALSE)</f>
        <v/>
      </c>
      <c r="AI82" s="778" t="str">
        <f>VLOOKUP(F82,'2) Tracker'!$A$2:$BO$980,56,FALSE)</f>
        <v/>
      </c>
      <c r="AJ82" s="778" t="str">
        <f>VLOOKUP(F82,'2) Tracker'!$A$2:$BO$980,52,FALSE)</f>
        <v/>
      </c>
      <c r="AK82" s="778">
        <f>VLOOKUP(F82,'2) Tracker'!$A$2:$AQ$980,43,FALSE)</f>
        <v>46132</v>
      </c>
      <c r="AL82" s="778">
        <f>VLOOKUP(F82,'2) Tracker'!$A$2:$BH$980,46,FALSE())</f>
        <v>46135</v>
      </c>
      <c r="AM82" s="778" t="str">
        <f>VLOOKUP(F82,'2) Tracker'!$A$2:$BO$980,65,FALSE())</f>
        <v/>
      </c>
      <c r="AN82" s="778" t="str">
        <f>VLOOKUP(F82,'2) Tracker'!$A$2:$BK$980,63,FALSE())</f>
        <v/>
      </c>
      <c r="AO82" s="778" t="str">
        <f>VLOOKUP(F82,'2) Tracker'!$A$2:$BF$980,58,FALSE())</f>
        <v/>
      </c>
      <c r="AP82" s="52"/>
      <c r="AQ82" s="52"/>
      <c r="AR82" s="52"/>
      <c r="AS82" s="52"/>
      <c r="AT82" s="52"/>
      <c r="AU82" s="52"/>
      <c r="AV82" s="52"/>
      <c r="AW82" s="52"/>
      <c r="AX82" s="52"/>
      <c r="AY82" s="52"/>
      <c r="AZ82" s="734"/>
      <c r="BA82" s="786" t="str">
        <f>vlookup(AZ82,'Iran, FS'!$A$1:$B$318,2, false)</f>
        <v>#N/A</v>
      </c>
      <c r="BB82" s="787" t="str">
        <f>vlookup(AZ82,'1) Kpler'!$E$2:$F$500,2,false)</f>
        <v>#N/A</v>
      </c>
      <c r="BC82" s="740"/>
      <c r="BD82" s="734"/>
      <c r="BE82" s="52"/>
      <c r="BF82" s="52"/>
      <c r="BG82" s="734"/>
      <c r="BH82" s="734"/>
      <c r="BI82" s="734"/>
      <c r="BJ82" s="734"/>
    </row>
    <row r="83">
      <c r="B83" s="765" t="str">
        <f>vlookup(F83,'2) Tracker'!$A$3:$O$410,5,false)</f>
        <v/>
      </c>
      <c r="C83" s="765" t="str">
        <f>vlookup(F83,'2) Tracker'!$A$3:$O$410,4,false)</f>
        <v/>
      </c>
      <c r="D83" s="734"/>
      <c r="E83" s="734" t="str">
        <f>vlookup(F83,'2) Tracker'!$A$3:$O$406,15,false)</f>
        <v>eu</v>
      </c>
      <c r="F83" s="766" t="s">
        <v>291</v>
      </c>
      <c r="G83" s="789">
        <f>VLOOKUP(F83,'2) Tracker'!$A$2:$BO$360,2,FALSE)</f>
        <v>2024</v>
      </c>
      <c r="H83" s="768">
        <f>VLOOKUP(F83,'2) Tracker'!$A$2:$BO$360,3,FALSE)</f>
        <v>87000</v>
      </c>
      <c r="I83" s="769" t="str">
        <f>VLOOKUP(F83,'2) Tracker'!$A$2:$BO$360,9,FALSE)</f>
        <v>BGN</v>
      </c>
      <c r="J83" s="770" t="str">
        <f>VLOOKUP(F83,'2) Tracker'!$A$2:$BO$360,12,FALSE)</f>
        <v>loads USG</v>
      </c>
      <c r="K83" s="774">
        <f t="shared" ref="K83:O83" si="126">AD83</f>
        <v>46137</v>
      </c>
      <c r="L83" s="774">
        <f t="shared" si="126"/>
        <v>46137</v>
      </c>
      <c r="M83" s="771">
        <f t="shared" si="126"/>
        <v>46169</v>
      </c>
      <c r="N83" s="771" t="str">
        <f t="shared" si="126"/>
        <v/>
      </c>
      <c r="O83" s="772" t="str">
        <f t="shared" si="126"/>
        <v/>
      </c>
      <c r="P83" s="773" t="str">
        <f>iferror(if(vlookup(F83,'Voyage days'!$M$808:$N$819,2,false),"GOA",""),"")</f>
        <v/>
      </c>
      <c r="Q83" s="771" t="str">
        <f t="shared" si="81"/>
        <v/>
      </c>
      <c r="R83" s="774" t="str">
        <f t="shared" si="83"/>
        <v/>
      </c>
      <c r="S83" s="774">
        <f t="shared" si="5"/>
        <v>46157</v>
      </c>
      <c r="T83" s="771" t="str">
        <f t="shared" si="6"/>
        <v/>
      </c>
      <c r="U83" s="774" t="str">
        <f t="shared" si="84"/>
        <v/>
      </c>
      <c r="V83" s="771"/>
      <c r="W83" s="771" t="str">
        <f t="shared" si="85"/>
        <v/>
      </c>
      <c r="X83" s="775" t="str">
        <f t="shared" si="9"/>
        <v/>
      </c>
      <c r="Y83" s="776"/>
      <c r="Z83" s="777" t="str">
        <f>vlookup(F83,'2) Tracker'!$A$3:$Q$504,16,false)</f>
        <v>ETA Nederland 25 Apr</v>
      </c>
      <c r="AA83" s="777" t="str">
        <f>vlookup(F83,'2) Tracker'!$A$3:$R$504,18,false)</f>
        <v>BGN 20-21 Apr Nederland</v>
      </c>
      <c r="AB83" s="777" t="str">
        <f>vlookup(F83,'2) Tracker'!$A$3:$Q$504,17,false)</f>
        <v/>
      </c>
      <c r="AC83" s="778"/>
      <c r="AD83" s="778">
        <f>VLOOKUP(F83,'2) Tracker'!$A$2:$BO$980,37,FALSE)</f>
        <v>46137</v>
      </c>
      <c r="AE83" s="778">
        <f>VLOOKUP(F83,'2) Tracker'!$A$2:$BO$980,40,FALSE)</f>
        <v>46137</v>
      </c>
      <c r="AF83" s="778">
        <f>VLOOKUP(F83,'2) Tracker'!$A$2:$BO$980,67,FALSE)</f>
        <v>46169</v>
      </c>
      <c r="AG83" s="778" t="str">
        <f>VLOOKUP(F83,'2) Tracker'!$A$2:$BO$980,34,FALSE)</f>
        <v/>
      </c>
      <c r="AH83" s="778" t="str">
        <f>VLOOKUP(F83,'2) Tracker'!$A$2:$BN$980,66,FALSE)</f>
        <v/>
      </c>
      <c r="AI83" s="778" t="str">
        <f>VLOOKUP(F83,'2) Tracker'!$A$2:$BO$980,56,FALSE)</f>
        <v/>
      </c>
      <c r="AJ83" s="778" t="str">
        <f>VLOOKUP(F83,'2) Tracker'!$A$2:$BO$980,52,FALSE)</f>
        <v/>
      </c>
      <c r="AK83" s="778" t="str">
        <f>VLOOKUP(F83,'2) Tracker'!$A$2:$AQ$980,43,FALSE)</f>
        <v/>
      </c>
      <c r="AL83" s="778">
        <f>VLOOKUP(F83,'2) Tracker'!$A$2:$BH$980,46,FALSE())</f>
        <v>46157</v>
      </c>
      <c r="AM83" s="778" t="str">
        <f>VLOOKUP(F83,'2) Tracker'!$A$2:$BO$980,65,FALSE())</f>
        <v/>
      </c>
      <c r="AN83" s="778" t="str">
        <f>VLOOKUP(F83,'2) Tracker'!$A$2:$BK$980,63,FALSE())</f>
        <v/>
      </c>
      <c r="AO83" s="778" t="str">
        <f>VLOOKUP(F83,'2) Tracker'!$A$2:$BF$980,58,FALSE())</f>
        <v/>
      </c>
      <c r="AP83" s="52"/>
      <c r="AQ83" s="52"/>
      <c r="AR83" s="52"/>
      <c r="AS83" s="52"/>
      <c r="AT83" s="52"/>
      <c r="AU83" s="52"/>
      <c r="AV83" s="52"/>
      <c r="AW83" s="52"/>
      <c r="AX83" s="52"/>
      <c r="AY83" s="52"/>
      <c r="AZ83" s="734"/>
      <c r="BA83" s="740"/>
      <c r="BB83" s="734"/>
      <c r="BC83" s="740"/>
      <c r="BD83" s="734"/>
      <c r="BE83" s="52"/>
      <c r="BF83" s="52"/>
      <c r="BG83" s="734"/>
      <c r="BH83" s="734"/>
      <c r="BI83" s="734"/>
      <c r="BJ83" s="734"/>
    </row>
    <row r="84">
      <c r="B84" s="765" t="str">
        <f>vlookup(F84,'2) Tracker'!$A$3:$O$410,5,false)</f>
        <v/>
      </c>
      <c r="C84" s="765" t="str">
        <f>vlookup(F84,'2) Tracker'!$A$3:$O$410,4,false)</f>
        <v>US</v>
      </c>
      <c r="D84" s="732" t="s">
        <v>1515</v>
      </c>
      <c r="E84" s="734" t="str">
        <f>vlookup(F84,'2) Tracker'!$A$3:$O$406,15,false)</f>
        <v>eu</v>
      </c>
      <c r="F84" s="809" t="s">
        <v>572</v>
      </c>
      <c r="G84" s="783">
        <f>VLOOKUP(F84,'2) Tracker'!$A$2:$BO$360,2,FALSE)</f>
        <v>43104</v>
      </c>
      <c r="H84" s="768">
        <f>VLOOKUP(F84,'2) Tracker'!$A$2:$BO$360,3,FALSE)</f>
        <v>78700</v>
      </c>
      <c r="I84" s="769" t="str">
        <f>VLOOKUP(F84,'2) Tracker'!$A$2:$BO$360,9,FALSE)</f>
        <v>Gunvor</v>
      </c>
      <c r="J84" s="770" t="str">
        <f>VLOOKUP(F84,'2) Tracker'!$A$2:$BO$360,12,FALSE)</f>
        <v>loads USG</v>
      </c>
      <c r="K84" s="771">
        <f t="shared" ref="K84:O84" si="127">AD84</f>
        <v>46137</v>
      </c>
      <c r="L84" s="771">
        <f t="shared" si="127"/>
        <v>46137</v>
      </c>
      <c r="M84" s="771">
        <f t="shared" si="127"/>
        <v>46169</v>
      </c>
      <c r="N84" s="771" t="str">
        <f t="shared" si="127"/>
        <v/>
      </c>
      <c r="O84" s="772" t="str">
        <f t="shared" si="127"/>
        <v/>
      </c>
      <c r="P84" s="773" t="str">
        <f>iferror(if(vlookup(F84,'Voyage days'!$M$808:$N$819,2,false),"GOA",""),"")</f>
        <v/>
      </c>
      <c r="Q84" s="771" t="str">
        <f t="shared" si="81"/>
        <v/>
      </c>
      <c r="R84" s="771" t="str">
        <f t="shared" si="83"/>
        <v/>
      </c>
      <c r="S84" s="774">
        <f t="shared" si="5"/>
        <v>46157</v>
      </c>
      <c r="T84" s="771" t="str">
        <f t="shared" si="6"/>
        <v/>
      </c>
      <c r="U84" s="771" t="str">
        <f t="shared" si="84"/>
        <v/>
      </c>
      <c r="V84" s="771"/>
      <c r="W84" s="771" t="str">
        <f t="shared" si="85"/>
        <v/>
      </c>
      <c r="X84" s="775" t="str">
        <f t="shared" si="9"/>
        <v/>
      </c>
      <c r="Y84" s="776"/>
      <c r="Z84" s="777" t="str">
        <f>vlookup(F84,'2) Tracker'!$A$3:$Q$504,16,false)</f>
        <v>Ex Dortyol 02 Apr, ETA 25 Apr USG</v>
      </c>
      <c r="AA84" s="777" t="str">
        <f>vlookup(F84,'2) Tracker'!$A$3:$R$504,18,false)</f>
        <v>ATC 21-22 Feb Enterprise</v>
      </c>
      <c r="AB84" s="777" t="str">
        <f>vlookup(F84,'2) Tracker'!$A$3:$Q$504,17,false)</f>
        <v/>
      </c>
      <c r="AC84" s="778"/>
      <c r="AD84" s="778">
        <f>VLOOKUP(F84,'2) Tracker'!$A$2:$BO$980,37,FALSE)</f>
        <v>46137</v>
      </c>
      <c r="AE84" s="778">
        <f>VLOOKUP(F84,'2) Tracker'!$A$2:$BO$980,40,FALSE)</f>
        <v>46137</v>
      </c>
      <c r="AF84" s="778">
        <f>VLOOKUP(F84,'2) Tracker'!$A$2:$BO$980,67,FALSE)</f>
        <v>46169</v>
      </c>
      <c r="AG84" s="778" t="str">
        <f>VLOOKUP(F84,'2) Tracker'!$A$2:$BO$980,34,FALSE)</f>
        <v/>
      </c>
      <c r="AH84" s="778" t="str">
        <f>VLOOKUP(F84,'2) Tracker'!$A$2:$BN$980,66,FALSE)</f>
        <v/>
      </c>
      <c r="AI84" s="778" t="str">
        <f>VLOOKUP(F84,'2) Tracker'!$A$2:$BO$980,56,FALSE)</f>
        <v/>
      </c>
      <c r="AJ84" s="778" t="str">
        <f>VLOOKUP(F84,'2) Tracker'!$A$2:$BO$980,52,FALSE)</f>
        <v/>
      </c>
      <c r="AK84" s="778" t="str">
        <f>VLOOKUP(F84,'2) Tracker'!$A$2:$AQ$980,43,FALSE)</f>
        <v/>
      </c>
      <c r="AL84" s="778">
        <f>VLOOKUP(F84,'2) Tracker'!$A$2:$BH$980,46,FALSE())</f>
        <v>46157</v>
      </c>
      <c r="AM84" s="778" t="str">
        <f>VLOOKUP(F84,'2) Tracker'!$A$2:$BO$980,65,FALSE())</f>
        <v/>
      </c>
      <c r="AN84" s="778" t="str">
        <f>VLOOKUP(F84,'2) Tracker'!$A$2:$BK$980,63,FALSE())</f>
        <v/>
      </c>
      <c r="AO84" s="778" t="str">
        <f>VLOOKUP(F84,'2) Tracker'!$A$2:$BF$980,58,FALSE())</f>
        <v/>
      </c>
      <c r="AP84" s="52"/>
      <c r="AQ84" s="52"/>
      <c r="AR84" s="52"/>
      <c r="AS84" s="52"/>
      <c r="AT84" s="52"/>
      <c r="AU84" s="52"/>
      <c r="AV84" s="52"/>
      <c r="AW84" s="52"/>
      <c r="AX84" s="52"/>
      <c r="AY84" s="52"/>
      <c r="AZ84" s="734"/>
      <c r="BA84" s="786" t="str">
        <f>vlookup(AZ84,'Iran, FS'!$A$1:$B$318,2, false)</f>
        <v>#N/A</v>
      </c>
      <c r="BB84" s="787" t="str">
        <f>vlookup(AZ84,'1) Kpler'!$E$2:$F$500,2,false)</f>
        <v>#N/A</v>
      </c>
      <c r="BC84" s="740"/>
      <c r="BD84" s="734"/>
      <c r="BE84" s="52"/>
      <c r="BF84" s="52"/>
      <c r="BG84" s="734"/>
      <c r="BH84" s="734"/>
      <c r="BI84" s="734"/>
      <c r="BJ84" s="734"/>
    </row>
    <row r="85">
      <c r="B85" s="765" t="str">
        <f>vlookup(F85,'2) Tracker'!$A$3:$O$410,5,false)</f>
        <v/>
      </c>
      <c r="C85" s="765" t="str">
        <f>vlookup(F85,'2) Tracker'!$A$3:$O$410,4,false)</f>
        <v/>
      </c>
      <c r="D85" s="734"/>
      <c r="E85" s="734" t="str">
        <f>vlookup(F85,'2) Tracker'!$A$3:$O$406,15,false)</f>
        <v/>
      </c>
      <c r="F85" s="766" t="s">
        <v>364</v>
      </c>
      <c r="G85" s="789">
        <f>VLOOKUP(F85,'2) Tracker'!$A$2:$BO$360,2,FALSE)</f>
        <v>2016</v>
      </c>
      <c r="H85" s="768">
        <f>VLOOKUP(F85,'2) Tracker'!$A$2:$BO$360,3,FALSE)</f>
        <v>84000</v>
      </c>
      <c r="I85" s="769" t="str">
        <f>VLOOKUP(F85,'2) Tracker'!$A$2:$BO$360,9,FALSE)</f>
        <v>ATC &gt; AGT</v>
      </c>
      <c r="J85" s="770" t="str">
        <f>VLOOKUP(F85,'2) Tracker'!$A$2:$BO$360,12,FALSE)</f>
        <v>loads USG</v>
      </c>
      <c r="K85" s="774">
        <f t="shared" ref="K85:O85" si="128">AD85</f>
        <v>46137</v>
      </c>
      <c r="L85" s="774">
        <f t="shared" si="128"/>
        <v>46137</v>
      </c>
      <c r="M85" s="771">
        <f t="shared" si="128"/>
        <v>46169</v>
      </c>
      <c r="N85" s="771" t="str">
        <f t="shared" si="128"/>
        <v/>
      </c>
      <c r="O85" s="772" t="str">
        <f t="shared" si="128"/>
        <v/>
      </c>
      <c r="P85" s="773" t="str">
        <f>iferror(if(vlookup(F85,'Voyage days'!$M$808:$N$819,2,false),"GOA",""),"")</f>
        <v/>
      </c>
      <c r="Q85" s="771" t="str">
        <f t="shared" si="81"/>
        <v/>
      </c>
      <c r="R85" s="771" t="str">
        <f t="shared" si="83"/>
        <v/>
      </c>
      <c r="S85" s="774">
        <f t="shared" si="5"/>
        <v>46157</v>
      </c>
      <c r="T85" s="771" t="str">
        <f t="shared" si="6"/>
        <v/>
      </c>
      <c r="U85" s="771" t="str">
        <f t="shared" si="84"/>
        <v/>
      </c>
      <c r="V85" s="771"/>
      <c r="W85" s="771" t="str">
        <f t="shared" si="85"/>
        <v/>
      </c>
      <c r="X85" s="775" t="str">
        <f t="shared" si="9"/>
        <v/>
      </c>
      <c r="Y85" s="776"/>
      <c r="Z85" s="777" t="str">
        <f>vlookup(F85,'2) Tracker'!$A$3:$Q$504,16,false)</f>
        <v>ex DD, ETA USG 22 Apr via Cape</v>
      </c>
      <c r="AA85" s="777" t="str">
        <f>vlookup(F85,'2) Tracker'!$A$3:$R$504,18,false)</f>
        <v>Geogas 25-26 Apr USG</v>
      </c>
      <c r="AB85" s="777" t="str">
        <f>vlookup(F85,'2) Tracker'!$A$3:$Q$504,17,false)</f>
        <v/>
      </c>
      <c r="AC85" s="778"/>
      <c r="AD85" s="778">
        <f>VLOOKUP(F85,'2) Tracker'!$A$2:$BO$980,37,FALSE)</f>
        <v>46137</v>
      </c>
      <c r="AE85" s="778">
        <f>VLOOKUP(F85,'2) Tracker'!$A$2:$BO$980,40,FALSE)</f>
        <v>46137</v>
      </c>
      <c r="AF85" s="778">
        <f>VLOOKUP(F85,'2) Tracker'!$A$2:$BO$980,67,FALSE)</f>
        <v>46169</v>
      </c>
      <c r="AG85" s="778" t="str">
        <f>VLOOKUP(F85,'2) Tracker'!$A$2:$BO$980,34,FALSE)</f>
        <v/>
      </c>
      <c r="AH85" s="778" t="str">
        <f>VLOOKUP(F85,'2) Tracker'!$A$2:$BN$980,66,FALSE)</f>
        <v/>
      </c>
      <c r="AI85" s="778" t="str">
        <f>VLOOKUP(F85,'2) Tracker'!$A$2:$BO$980,56,FALSE)</f>
        <v/>
      </c>
      <c r="AJ85" s="778" t="str">
        <f>VLOOKUP(F85,'2) Tracker'!$A$2:$BO$980,52,FALSE)</f>
        <v/>
      </c>
      <c r="AK85" s="778" t="str">
        <f>VLOOKUP(F85,'2) Tracker'!$A$2:$AQ$980,43,FALSE)</f>
        <v/>
      </c>
      <c r="AL85" s="778">
        <f>VLOOKUP(F85,'2) Tracker'!$A$2:$BH$980,46,FALSE())</f>
        <v>46157</v>
      </c>
      <c r="AM85" s="778" t="str">
        <f>VLOOKUP(F85,'2) Tracker'!$A$2:$BO$980,65,FALSE())</f>
        <v/>
      </c>
      <c r="AN85" s="778" t="str">
        <f>VLOOKUP(F85,'2) Tracker'!$A$2:$BK$980,63,FALSE())</f>
        <v/>
      </c>
      <c r="AO85" s="778" t="str">
        <f>VLOOKUP(F85,'2) Tracker'!$A$2:$BF$980,58,FALSE())</f>
        <v/>
      </c>
      <c r="AP85" s="52"/>
      <c r="AQ85" s="52"/>
      <c r="AR85" s="52"/>
      <c r="AS85" s="52"/>
      <c r="AT85" s="52"/>
      <c r="AU85" s="52"/>
      <c r="AV85" s="52"/>
      <c r="AW85" s="52"/>
      <c r="AX85" s="52"/>
      <c r="AY85" s="52"/>
      <c r="AZ85" s="787"/>
      <c r="BA85" s="786" t="str">
        <f>vlookup(AZ85,'Iran, FS'!$A$1:$B$318,2, false)</f>
        <v>#N/A</v>
      </c>
      <c r="BB85" s="787" t="str">
        <f>vlookup(AZ85,'1) Kpler'!$E$2:$F$500,2,false)</f>
        <v>#N/A</v>
      </c>
      <c r="BC85" s="788"/>
      <c r="BD85" s="787"/>
      <c r="BE85" s="52"/>
      <c r="BF85" s="52"/>
      <c r="BG85" s="787"/>
      <c r="BH85" s="816"/>
      <c r="BI85" s="787"/>
      <c r="BJ85" s="787"/>
    </row>
    <row r="86" ht="15.0" customHeight="1">
      <c r="B86" s="765" t="str">
        <f>vlookup(F86,'2) Tracker'!$A$3:$O$410,5,false)</f>
        <v>C</v>
      </c>
      <c r="C86" s="765" t="str">
        <f>vlookup(F86,'2) Tracker'!$A$3:$O$410,4,false)</f>
        <v/>
      </c>
      <c r="D86" s="734"/>
      <c r="E86" s="734" t="str">
        <f>vlookup(F86,'2) Tracker'!$A$3:$O$406,15,false)</f>
        <v/>
      </c>
      <c r="F86" s="788" t="s">
        <v>436</v>
      </c>
      <c r="G86" s="789">
        <f>VLOOKUP(F86,'2) Tracker'!$A$2:$BO$360,2,FALSE)</f>
        <v>2023</v>
      </c>
      <c r="H86" s="768">
        <f>VLOOKUP(F86,'2) Tracker'!$A$2:$BO$360,3,FALSE)</f>
        <v>93000</v>
      </c>
      <c r="I86" s="770" t="str">
        <f>VLOOKUP(F86,'2) Tracker'!$A$2:$BO$360,9,FALSE)</f>
        <v>OE</v>
      </c>
      <c r="J86" s="770" t="str">
        <f>VLOOKUP(F86,'2) Tracker'!$A$2:$BO$360,12,FALSE)</f>
        <v>loads USG</v>
      </c>
      <c r="K86" s="771">
        <f t="shared" ref="K86:O86" si="129">AD86</f>
        <v>46137</v>
      </c>
      <c r="L86" s="771">
        <f t="shared" si="129"/>
        <v>46137</v>
      </c>
      <c r="M86" s="771">
        <f t="shared" si="129"/>
        <v>46169</v>
      </c>
      <c r="N86" s="771" t="str">
        <f t="shared" si="129"/>
        <v/>
      </c>
      <c r="O86" s="772" t="str">
        <f t="shared" si="129"/>
        <v/>
      </c>
      <c r="P86" s="773" t="str">
        <f>iferror(if(vlookup(F86,'Voyage days'!$M$808:$N$819,2,false),"GOA",""),"")</f>
        <v/>
      </c>
      <c r="Q86" s="771" t="str">
        <f t="shared" si="81"/>
        <v/>
      </c>
      <c r="R86" s="771" t="str">
        <f t="shared" si="83"/>
        <v/>
      </c>
      <c r="S86" s="774">
        <f t="shared" si="5"/>
        <v>46157</v>
      </c>
      <c r="T86" s="771" t="str">
        <f t="shared" si="6"/>
        <v/>
      </c>
      <c r="U86" s="771" t="str">
        <f t="shared" si="84"/>
        <v/>
      </c>
      <c r="V86" s="771"/>
      <c r="W86" s="771" t="str">
        <f t="shared" si="85"/>
        <v/>
      </c>
      <c r="X86" s="775" t="str">
        <f t="shared" si="9"/>
        <v/>
      </c>
      <c r="Y86" s="776"/>
      <c r="Z86" s="777" t="str">
        <f>vlookup(F86,'2) Tracker'!$A$3:$Q$504,16,false)</f>
        <v>ETA USG 23 Apr via Cape</v>
      </c>
      <c r="AA86" s="777" t="str">
        <f>vlookup(F86,'2) Tracker'!$A$3:$R$504,18,false)</f>
        <v>SK 25-26 Apr USG</v>
      </c>
      <c r="AB86" s="777" t="str">
        <f>vlookup(F86,'2) Tracker'!$A$3:$Q$504,17,false)</f>
        <v/>
      </c>
      <c r="AC86" s="778"/>
      <c r="AD86" s="778">
        <f>VLOOKUP(F86,'2) Tracker'!$A$2:$BO$980,37,FALSE)</f>
        <v>46137</v>
      </c>
      <c r="AE86" s="778">
        <f>VLOOKUP(F86,'2) Tracker'!$A$2:$BO$980,40,FALSE)</f>
        <v>46137</v>
      </c>
      <c r="AF86" s="778">
        <f>VLOOKUP(F86,'2) Tracker'!$A$2:$BO$980,67,FALSE)</f>
        <v>46169</v>
      </c>
      <c r="AG86" s="778" t="str">
        <f>VLOOKUP(F86,'2) Tracker'!$A$2:$BO$980,34,FALSE)</f>
        <v/>
      </c>
      <c r="AH86" s="778" t="str">
        <f>VLOOKUP(F86,'2) Tracker'!$A$2:$BN$980,66,FALSE)</f>
        <v/>
      </c>
      <c r="AI86" s="778" t="str">
        <f>VLOOKUP(F86,'2) Tracker'!$A$2:$BO$980,56,FALSE)</f>
        <v/>
      </c>
      <c r="AJ86" s="778" t="str">
        <f>VLOOKUP(F86,'2) Tracker'!$A$2:$BO$980,52,FALSE)</f>
        <v/>
      </c>
      <c r="AK86" s="778" t="str">
        <f>VLOOKUP(F86,'2) Tracker'!$A$2:$AQ$980,43,FALSE)</f>
        <v/>
      </c>
      <c r="AL86" s="778">
        <f>VLOOKUP(F86,'2) Tracker'!$A$2:$BH$980,46,FALSE())</f>
        <v>46157</v>
      </c>
      <c r="AM86" s="778" t="str">
        <f>VLOOKUP(F86,'2) Tracker'!$A$2:$BO$980,65,FALSE())</f>
        <v/>
      </c>
      <c r="AN86" s="778" t="str">
        <f>VLOOKUP(F86,'2) Tracker'!$A$2:$BK$980,63,FALSE())</f>
        <v/>
      </c>
      <c r="AO86" s="778" t="str">
        <f>VLOOKUP(F86,'2) Tracker'!$A$2:$BF$980,58,FALSE())</f>
        <v/>
      </c>
      <c r="AP86" s="52"/>
      <c r="AQ86" s="52"/>
      <c r="AR86" s="52"/>
      <c r="AS86" s="52"/>
      <c r="AT86" s="52"/>
      <c r="AU86" s="52"/>
      <c r="AV86" s="52"/>
      <c r="AW86" s="52"/>
      <c r="AX86" s="52"/>
      <c r="AY86" s="52"/>
      <c r="AZ86" s="734"/>
      <c r="BA86" s="740"/>
      <c r="BB86" s="734"/>
      <c r="BC86" s="740"/>
      <c r="BD86" s="734"/>
      <c r="BE86" s="52"/>
      <c r="BF86" s="52"/>
      <c r="BG86" s="734"/>
      <c r="BH86" s="734"/>
      <c r="BI86" s="734"/>
      <c r="BJ86" s="734"/>
    </row>
    <row r="87" ht="15.75" customHeight="1">
      <c r="B87" s="765" t="str">
        <f>vlookup(F87,'2) Tracker'!$A$3:$O$410,5,false)</f>
        <v>C</v>
      </c>
      <c r="C87" s="765" t="str">
        <f>vlookup(F87,'2) Tracker'!$A$3:$O$410,4,false)</f>
        <v/>
      </c>
      <c r="D87" s="734"/>
      <c r="E87" s="734" t="str">
        <f>vlookup(F87,'2) Tracker'!$A$3:$O$406,15,false)</f>
        <v/>
      </c>
      <c r="F87" s="788" t="s">
        <v>479</v>
      </c>
      <c r="G87" s="783">
        <f>VLOOKUP(F87,'2) Tracker'!$A$2:$BO$360,2,FALSE)</f>
        <v>42472</v>
      </c>
      <c r="H87" s="768">
        <f>VLOOKUP(F87,'2) Tracker'!$A$2:$BO$360,3,FALSE)</f>
        <v>84000</v>
      </c>
      <c r="I87" s="777" t="str">
        <f>VLOOKUP(F87,'2) Tracker'!$A$2:$BO$360,9,FALSE)</f>
        <v>OE</v>
      </c>
      <c r="J87" s="770" t="str">
        <f>VLOOKUP(F87,'2) Tracker'!$A$2:$BO$360,12,FALSE)</f>
        <v>loads USG</v>
      </c>
      <c r="K87" s="771">
        <f t="shared" ref="K87:O87" si="130">AD87</f>
        <v>46137</v>
      </c>
      <c r="L87" s="771">
        <f t="shared" si="130"/>
        <v>46137</v>
      </c>
      <c r="M87" s="771">
        <f t="shared" si="130"/>
        <v>46169</v>
      </c>
      <c r="N87" s="772" t="str">
        <f t="shared" si="130"/>
        <v/>
      </c>
      <c r="O87" s="772" t="str">
        <f t="shared" si="130"/>
        <v/>
      </c>
      <c r="P87" s="773" t="str">
        <f>iferror(if(vlookup(F87,'Voyage days'!$M$808:$N$819,2,false),"GOA",""),"")</f>
        <v/>
      </c>
      <c r="Q87" s="771" t="str">
        <f t="shared" si="81"/>
        <v/>
      </c>
      <c r="R87" s="771" t="str">
        <f t="shared" si="83"/>
        <v/>
      </c>
      <c r="S87" s="774">
        <f t="shared" si="5"/>
        <v>46157</v>
      </c>
      <c r="T87" s="771" t="str">
        <f t="shared" si="6"/>
        <v/>
      </c>
      <c r="U87" s="771" t="str">
        <f t="shared" si="84"/>
        <v/>
      </c>
      <c r="V87" s="771"/>
      <c r="W87" s="771" t="str">
        <f t="shared" si="85"/>
        <v/>
      </c>
      <c r="X87" s="775" t="str">
        <f t="shared" si="9"/>
        <v/>
      </c>
      <c r="Y87" s="784"/>
      <c r="Z87" s="777" t="str">
        <f>vlookup(F87,'2) Tracker'!$A$3:$Q$504,16,false)</f>
        <v>ETA USG 24 Apr via Cape</v>
      </c>
      <c r="AA87" s="777" t="str">
        <f>vlookup(F87,'2) Tracker'!$A$3:$R$504,18,false)</f>
        <v>OE 24-25 Apr USG</v>
      </c>
      <c r="AB87" s="777" t="str">
        <f>vlookup(F87,'2) Tracker'!$A$3:$Q$504,17,false)</f>
        <v>SK 25-26 Apr USG OOS?</v>
      </c>
      <c r="AC87" s="778"/>
      <c r="AD87" s="778">
        <f>VLOOKUP(F87,'2) Tracker'!$A$2:$BO$980,37,FALSE)</f>
        <v>46137</v>
      </c>
      <c r="AE87" s="778">
        <f>VLOOKUP(F87,'2) Tracker'!$A$2:$BO$980,40,FALSE)</f>
        <v>46137</v>
      </c>
      <c r="AF87" s="778">
        <f>VLOOKUP(F87,'2) Tracker'!$A$2:$BO$980,67,FALSE)</f>
        <v>46169</v>
      </c>
      <c r="AG87" s="778" t="str">
        <f>VLOOKUP(F87,'2) Tracker'!$A$2:$BO$980,34,FALSE)</f>
        <v/>
      </c>
      <c r="AH87" s="778" t="str">
        <f>VLOOKUP(F87,'2) Tracker'!$A$2:$BN$980,66,FALSE)</f>
        <v/>
      </c>
      <c r="AI87" s="778" t="str">
        <f>VLOOKUP(F87,'2) Tracker'!$A$2:$BO$980,56,FALSE)</f>
        <v/>
      </c>
      <c r="AJ87" s="778" t="str">
        <f>VLOOKUP(F87,'2) Tracker'!$A$2:$BO$980,52,FALSE)</f>
        <v/>
      </c>
      <c r="AK87" s="778" t="str">
        <f>VLOOKUP(F87,'2) Tracker'!$A$2:$AQ$980,43,FALSE)</f>
        <v/>
      </c>
      <c r="AL87" s="778">
        <f>VLOOKUP(F87,'2) Tracker'!$A$2:$BH$980,46,FALSE())</f>
        <v>46157</v>
      </c>
      <c r="AM87" s="778" t="str">
        <f>VLOOKUP(F87,'2) Tracker'!$A$2:$BO$980,65,FALSE())</f>
        <v/>
      </c>
      <c r="AN87" s="778" t="str">
        <f>VLOOKUP(F87,'2) Tracker'!$A$2:$BK$980,63,FALSE())</f>
        <v/>
      </c>
      <c r="AO87" s="778" t="str">
        <f>VLOOKUP(F87,'2) Tracker'!$A$2:$BF$980,58,FALSE())</f>
        <v/>
      </c>
      <c r="AP87" s="52"/>
      <c r="AQ87" s="52"/>
      <c r="AR87" s="52"/>
      <c r="AS87" s="52"/>
      <c r="AT87" s="52"/>
      <c r="AU87" s="52"/>
      <c r="AV87" s="52"/>
      <c r="AW87" s="52"/>
      <c r="AX87" s="52"/>
      <c r="AY87" s="52"/>
      <c r="AZ87" s="734"/>
      <c r="BA87" s="786" t="str">
        <f>vlookup(AZ87,'Iran, FS'!$A$1:$B$318,2, false)</f>
        <v>#N/A</v>
      </c>
      <c r="BB87" s="787" t="str">
        <f>vlookup(AZ87,'1) Kpler'!$E$2:$F$500,2,false)</f>
        <v>#N/A</v>
      </c>
      <c r="BC87" s="740"/>
      <c r="BD87" s="734"/>
      <c r="BE87" s="52"/>
      <c r="BF87" s="52"/>
      <c r="BG87" s="734"/>
      <c r="BH87" s="734"/>
      <c r="BI87" s="734"/>
      <c r="BJ87" s="734"/>
    </row>
    <row r="88">
      <c r="B88" s="765"/>
      <c r="C88" s="765"/>
      <c r="D88" s="734"/>
      <c r="E88" s="734"/>
      <c r="F88" s="819" t="s">
        <v>1414</v>
      </c>
      <c r="G88" s="820">
        <v>2026.0</v>
      </c>
      <c r="H88" s="821">
        <v>93000.0</v>
      </c>
      <c r="I88" s="777" t="str">
        <f>VLOOKUP(F88,'2) Tracker'!$A$2:$BO$360,9,FALSE)</f>
        <v>Helios</v>
      </c>
      <c r="J88" s="770" t="str">
        <f>VLOOKUP(F88,'2) Tracker'!$A$2:$BO$360,12,FALSE)</f>
        <v>loads USG</v>
      </c>
      <c r="K88" s="771">
        <f t="shared" ref="K88:L88" si="131">AD88</f>
        <v>46137</v>
      </c>
      <c r="L88" s="771">
        <f t="shared" si="131"/>
        <v>46137</v>
      </c>
      <c r="M88" s="771"/>
      <c r="N88" s="771" t="str">
        <f t="shared" ref="N88:O88" si="132">AG88</f>
        <v/>
      </c>
      <c r="O88" s="772" t="str">
        <f t="shared" si="132"/>
        <v/>
      </c>
      <c r="P88" s="773" t="str">
        <f>iferror(if(vlookup(F83,'Voyage days'!$M$808:$N$819,2,false),"GOA",""),"")</f>
        <v/>
      </c>
      <c r="Q88" s="772" t="str">
        <f t="shared" si="81"/>
        <v/>
      </c>
      <c r="R88" s="771" t="str">
        <f t="shared" si="83"/>
        <v/>
      </c>
      <c r="S88" s="774">
        <f t="shared" si="5"/>
        <v>46157</v>
      </c>
      <c r="T88" s="774" t="str">
        <f t="shared" si="6"/>
        <v/>
      </c>
      <c r="U88" s="771" t="str">
        <f t="shared" si="84"/>
        <v/>
      </c>
      <c r="V88" s="771"/>
      <c r="W88" s="771" t="str">
        <f t="shared" si="85"/>
        <v/>
      </c>
      <c r="X88" s="775" t="str">
        <f t="shared" si="9"/>
        <v/>
      </c>
      <c r="Y88" s="776"/>
      <c r="Z88" s="777" t="str">
        <f>vlookup(F88,'2) Tracker'!$A$3:$Q$504,16,false)</f>
        <v>ETA Balboa 19 Apr</v>
      </c>
      <c r="AA88" s="777" t="str">
        <f>vlookup(F88,'2) Tracker'!$A$3:$R$504,18,false)</f>
        <v>Petredec 25-26 Apr USG</v>
      </c>
      <c r="AB88" s="777" t="str">
        <f>vlookup(F88,'2) Tracker'!$A$3:$Q$504,17,false)</f>
        <v/>
      </c>
      <c r="AC88" s="778"/>
      <c r="AD88" s="778">
        <f>VLOOKUP(F88,'2) Tracker'!$A$2:$BO$980,37,FALSE)</f>
        <v>46137</v>
      </c>
      <c r="AE88" s="778">
        <f>VLOOKUP(F88,'2) Tracker'!$A$2:$BO$980,40,FALSE)</f>
        <v>46137</v>
      </c>
      <c r="AF88" s="778">
        <f>VLOOKUP(F88,'2) Tracker'!$A$2:$BO$980,67,FALSE)</f>
        <v>46169</v>
      </c>
      <c r="AG88" s="778" t="str">
        <f>VLOOKUP(F88,'2) Tracker'!$A$2:$BO$980,34,FALSE)</f>
        <v/>
      </c>
      <c r="AH88" s="778" t="str">
        <f>VLOOKUP(F88,'2) Tracker'!$A$2:$BN$980,66,FALSE)</f>
        <v/>
      </c>
      <c r="AI88" s="778" t="str">
        <f>VLOOKUP(F88,'2) Tracker'!$A$2:$BO$980,56,FALSE)</f>
        <v/>
      </c>
      <c r="AJ88" s="778" t="str">
        <f>VLOOKUP(F88,'2) Tracker'!$A$2:$BO$980,52,FALSE)</f>
        <v/>
      </c>
      <c r="AK88" s="778" t="str">
        <f>VLOOKUP(F88,'2) Tracker'!$A$2:$AQ$980,43,FALSE)</f>
        <v/>
      </c>
      <c r="AL88" s="778">
        <f>VLOOKUP(F88,'2) Tracker'!$A$2:$BH$980,46,FALSE())</f>
        <v>46157</v>
      </c>
      <c r="AM88" s="778" t="str">
        <f>VLOOKUP(F88,'2) Tracker'!$A$2:$BO$980,65,FALSE())</f>
        <v/>
      </c>
      <c r="AN88" s="778" t="str">
        <f>VLOOKUP(F88,'2) Tracker'!$A$2:$BK$980,63,FALSE())</f>
        <v/>
      </c>
      <c r="AO88" s="778" t="str">
        <f>VLOOKUP(F88,'2) Tracker'!$A$2:$BF$980,58,FALSE())</f>
        <v/>
      </c>
      <c r="AP88" s="52"/>
      <c r="AQ88" s="52"/>
      <c r="AR88" s="52"/>
      <c r="AS88" s="52"/>
      <c r="AT88" s="52"/>
      <c r="AU88" s="52"/>
      <c r="AV88" s="52"/>
      <c r="AW88" s="52"/>
      <c r="AX88" s="52"/>
      <c r="AY88" s="52"/>
      <c r="AZ88" s="734"/>
      <c r="BA88" s="740"/>
      <c r="BB88" s="734"/>
      <c r="BC88" s="740"/>
      <c r="BD88" s="734"/>
      <c r="BE88" s="52"/>
      <c r="BF88" s="52"/>
      <c r="BG88" s="734"/>
      <c r="BH88" s="734"/>
      <c r="BI88" s="734"/>
      <c r="BJ88" s="734"/>
    </row>
    <row r="89">
      <c r="B89" s="765" t="str">
        <f>vlookup(F89,'2) Tracker'!$A$3:$O$410,5,false)</f>
        <v/>
      </c>
      <c r="C89" s="765" t="str">
        <f>vlookup(F89,'2) Tracker'!$A$3:$O$410,4,false)</f>
        <v>US</v>
      </c>
      <c r="D89" s="732" t="s">
        <v>1515</v>
      </c>
      <c r="E89" s="734" t="str">
        <f>vlookup(F89,'2) Tracker'!$A$3:$O$406,15,false)</f>
        <v/>
      </c>
      <c r="F89" s="797" t="s">
        <v>356</v>
      </c>
      <c r="G89" s="783">
        <f>VLOOKUP(F89,'2) Tracker'!$A$2:$BO$360,2,FALSE)</f>
        <v>2025</v>
      </c>
      <c r="H89" s="768">
        <f>VLOOKUP(F89,'2) Tracker'!$A$2:$BO$360,3,FALSE)</f>
        <v>87000</v>
      </c>
      <c r="I89" s="769" t="str">
        <f>VLOOKUP(F89,'2) Tracker'!$A$2:$BO$360,9,FALSE)</f>
        <v>Chevron</v>
      </c>
      <c r="J89" s="770" t="str">
        <f>VLOOKUP(F89,'2) Tracker'!$A$2:$BO$360,12,FALSE)</f>
        <v>Balboa</v>
      </c>
      <c r="K89" s="774">
        <f t="shared" ref="K89:O89" si="133">AD89</f>
        <v>46137</v>
      </c>
      <c r="L89" s="774" t="str">
        <f t="shared" si="133"/>
        <v/>
      </c>
      <c r="M89" s="771" t="str">
        <f t="shared" si="133"/>
        <v/>
      </c>
      <c r="N89" s="772" t="str">
        <f t="shared" si="133"/>
        <v/>
      </c>
      <c r="O89" s="772" t="str">
        <f t="shared" si="133"/>
        <v/>
      </c>
      <c r="P89" s="773" t="str">
        <f>iferror(if(vlookup(F89,'Voyage days'!$M$808:$N$819,2,false),"GOA",""),"")</f>
        <v/>
      </c>
      <c r="Q89" s="771" t="str">
        <f t="shared" si="81"/>
        <v/>
      </c>
      <c r="R89" s="774" t="str">
        <f t="shared" si="83"/>
        <v/>
      </c>
      <c r="S89" s="774" t="str">
        <f t="shared" si="5"/>
        <v/>
      </c>
      <c r="T89" s="771" t="str">
        <f t="shared" si="6"/>
        <v/>
      </c>
      <c r="U89" s="774" t="str">
        <f t="shared" si="84"/>
        <v/>
      </c>
      <c r="V89" s="778"/>
      <c r="W89" s="778" t="str">
        <f t="shared" si="85"/>
        <v/>
      </c>
      <c r="X89" s="775" t="str">
        <f t="shared" si="9"/>
        <v/>
      </c>
      <c r="Y89" s="776"/>
      <c r="Z89" s="777" t="str">
        <f>vlookup(F89,'2) Tracker'!$A$3:$Q$504,16,false)</f>
        <v>ETA Balboa 14 Apr</v>
      </c>
      <c r="AA89" s="777" t="str">
        <f>vlookup(F89,'2) Tracker'!$A$3:$R$504,18,false)</f>
        <v>Chevron 07-08 Feb Targa</v>
      </c>
      <c r="AB89" s="777" t="str">
        <f>vlookup(F89,'2) Tracker'!$A$3:$Q$504,17,false)</f>
        <v>Has 18-19 Apr looking to swap for 28-29 Apr</v>
      </c>
      <c r="AC89" s="778"/>
      <c r="AD89" s="778">
        <f>VLOOKUP(F89,'2) Tracker'!$A$2:$BO$980,37,FALSE)</f>
        <v>46137</v>
      </c>
      <c r="AE89" s="778" t="str">
        <f>VLOOKUP(F89,'2) Tracker'!$A$2:$BO$980,40,FALSE)</f>
        <v/>
      </c>
      <c r="AF89" s="778" t="str">
        <f>VLOOKUP(F89,'2) Tracker'!$A$2:$BO$980,67,FALSE)</f>
        <v/>
      </c>
      <c r="AG89" s="778" t="str">
        <f>VLOOKUP(F89,'2) Tracker'!$A$2:$BO$980,34,FALSE)</f>
        <v/>
      </c>
      <c r="AH89" s="778" t="str">
        <f>VLOOKUP(F89,'2) Tracker'!$A$2:$BN$980,66,FALSE)</f>
        <v/>
      </c>
      <c r="AI89" s="778" t="str">
        <f>VLOOKUP(F89,'2) Tracker'!$A$2:$BO$980,56,FALSE)</f>
        <v/>
      </c>
      <c r="AJ89" s="778" t="str">
        <f>VLOOKUP(F89,'2) Tracker'!$A$2:$BO$980,52,FALSE)</f>
        <v/>
      </c>
      <c r="AK89" s="778" t="str">
        <f>VLOOKUP(F89,'2) Tracker'!$A$2:$AQ$980,43,FALSE)</f>
        <v/>
      </c>
      <c r="AL89" s="778" t="str">
        <f>VLOOKUP(F89,'2) Tracker'!$A$2:$BH$980,46,FALSE())</f>
        <v/>
      </c>
      <c r="AM89" s="778" t="str">
        <f>VLOOKUP(F89,'2) Tracker'!$A$2:$BO$980,65,FALSE())</f>
        <v/>
      </c>
      <c r="AN89" s="778" t="str">
        <f>VLOOKUP(F89,'2) Tracker'!$A$2:$BK$980,63,FALSE())</f>
        <v/>
      </c>
      <c r="AO89" s="778" t="str">
        <f>VLOOKUP(F89,'2) Tracker'!$A$2:$BF$980,58,FALSE())</f>
        <v/>
      </c>
      <c r="AP89" s="52"/>
      <c r="AQ89" s="52"/>
      <c r="AR89" s="52"/>
      <c r="AS89" s="52"/>
      <c r="AT89" s="52"/>
      <c r="AU89" s="52"/>
      <c r="AV89" s="52"/>
      <c r="AW89" s="52"/>
      <c r="AX89" s="52"/>
      <c r="AY89" s="52"/>
      <c r="AZ89" s="734"/>
      <c r="BA89" s="786" t="str">
        <f>vlookup(AZ89,'Iran, FS'!$A$1:$B$318,2, false)</f>
        <v>#N/A</v>
      </c>
      <c r="BB89" s="787" t="str">
        <f>vlookup(AZ89,'1) Kpler'!$E$2:$F$500,2,false)</f>
        <v>#N/A</v>
      </c>
      <c r="BC89" s="740"/>
      <c r="BD89" s="734"/>
      <c r="BE89" s="52"/>
      <c r="BF89" s="52"/>
      <c r="BG89" s="734"/>
      <c r="BH89" s="734"/>
      <c r="BI89" s="734"/>
      <c r="BJ89" s="734"/>
    </row>
    <row r="90">
      <c r="B90" s="765" t="str">
        <f>vlookup(F90,'2) Tracker'!$A$3:$O$410,5,false)</f>
        <v/>
      </c>
      <c r="C90" s="765" t="str">
        <f>vlookup(F90,'2) Tracker'!$A$3:$O$410,4,false)</f>
        <v>US</v>
      </c>
      <c r="D90" s="734"/>
      <c r="E90" s="734" t="str">
        <f>vlookup(F90,'2) Tracker'!$A$3:$O$406,15,false)</f>
        <v/>
      </c>
      <c r="F90" s="788" t="s">
        <v>925</v>
      </c>
      <c r="G90" s="783">
        <f>VLOOKUP(F90,'2) Tracker'!$A$2:$BO$360,2,FALSE)</f>
        <v>42741</v>
      </c>
      <c r="H90" s="768">
        <f>VLOOKUP(F90,'2) Tracker'!$A$2:$BO$360,3,FALSE)</f>
        <v>84180</v>
      </c>
      <c r="I90" s="777" t="str">
        <f>VLOOKUP(F90,'2) Tracker'!$A$2:$BO$360,9,FALSE)</f>
        <v>Exxon</v>
      </c>
      <c r="J90" s="770" t="str">
        <f>VLOOKUP(F90,'2) Tracker'!$A$2:$BO$360,12,FALSE)</f>
        <v>loads USG</v>
      </c>
      <c r="K90" s="771">
        <f t="shared" ref="K90:O90" si="134">AD90</f>
        <v>46138</v>
      </c>
      <c r="L90" s="771">
        <f t="shared" si="134"/>
        <v>46138</v>
      </c>
      <c r="M90" s="771">
        <f t="shared" si="134"/>
        <v>46170</v>
      </c>
      <c r="N90" s="771" t="str">
        <f t="shared" si="134"/>
        <v/>
      </c>
      <c r="O90" s="772" t="str">
        <f t="shared" si="134"/>
        <v/>
      </c>
      <c r="P90" s="773" t="str">
        <f>iferror(if(vlookup(F90,'Voyage days'!$M$808:$N$819,2,false),"GOA",""),"")</f>
        <v/>
      </c>
      <c r="Q90" s="771" t="str">
        <f t="shared" si="81"/>
        <v/>
      </c>
      <c r="R90" s="771" t="str">
        <f t="shared" si="83"/>
        <v/>
      </c>
      <c r="S90" s="774">
        <f t="shared" si="5"/>
        <v>46158</v>
      </c>
      <c r="T90" s="771" t="str">
        <f t="shared" si="6"/>
        <v/>
      </c>
      <c r="U90" s="771" t="str">
        <f t="shared" si="84"/>
        <v/>
      </c>
      <c r="V90" s="771"/>
      <c r="W90" s="771" t="str">
        <f t="shared" si="85"/>
        <v/>
      </c>
      <c r="X90" s="775" t="str">
        <f t="shared" si="9"/>
        <v/>
      </c>
      <c r="Y90" s="776"/>
      <c r="Z90" s="777" t="str">
        <f>vlookup(F90,'2) Tracker'!$A$3:$Q$504,16,false)</f>
        <v>ETA USG 26 Apr via Cape</v>
      </c>
      <c r="AA90" s="777" t="str">
        <f>vlookup(F90,'2) Tracker'!$A$3:$R$504,18,false)</f>
        <v>Pertamina 25-26 Mar Freeport</v>
      </c>
      <c r="AB90" s="777" t="str">
        <f>vlookup(F90,'2) Tracker'!$A$3:$Q$504,17,false)</f>
        <v/>
      </c>
      <c r="AC90" s="778"/>
      <c r="AD90" s="778">
        <f>VLOOKUP(F90,'2) Tracker'!$A$2:$BO$980,37,FALSE)</f>
        <v>46138</v>
      </c>
      <c r="AE90" s="778">
        <f>VLOOKUP(F90,'2) Tracker'!$A$2:$BO$980,40,FALSE)</f>
        <v>46138</v>
      </c>
      <c r="AF90" s="778">
        <f>VLOOKUP(F90,'2) Tracker'!$A$2:$BO$980,67,FALSE)</f>
        <v>46170</v>
      </c>
      <c r="AG90" s="778" t="str">
        <f>VLOOKUP(F90,'2) Tracker'!$A$2:$BO$980,34,FALSE)</f>
        <v/>
      </c>
      <c r="AH90" s="778" t="str">
        <f>VLOOKUP(F90,'2) Tracker'!$A$2:$BN$980,66,FALSE)</f>
        <v/>
      </c>
      <c r="AI90" s="778" t="str">
        <f>VLOOKUP(F90,'2) Tracker'!$A$2:$BO$980,56,FALSE)</f>
        <v/>
      </c>
      <c r="AJ90" s="778" t="str">
        <f>VLOOKUP(F90,'2) Tracker'!$A$2:$BO$980,52,FALSE)</f>
        <v/>
      </c>
      <c r="AK90" s="778" t="str">
        <f>VLOOKUP(F90,'2) Tracker'!$A$2:$AQ$980,43,FALSE)</f>
        <v/>
      </c>
      <c r="AL90" s="778">
        <f>VLOOKUP(F90,'2) Tracker'!$A$2:$BH$980,46,FALSE())</f>
        <v>46158</v>
      </c>
      <c r="AM90" s="778" t="str">
        <f>VLOOKUP(F90,'2) Tracker'!$A$2:$BO$980,65,FALSE())</f>
        <v/>
      </c>
      <c r="AN90" s="778" t="str">
        <f>VLOOKUP(F90,'2) Tracker'!$A$2:$BK$980,63,FALSE())</f>
        <v/>
      </c>
      <c r="AO90" s="778" t="str">
        <f>VLOOKUP(F90,'2) Tracker'!$A$2:$BF$980,58,FALSE())</f>
        <v/>
      </c>
      <c r="AP90" s="52"/>
      <c r="AQ90" s="52"/>
      <c r="AR90" s="52"/>
      <c r="AS90" s="52"/>
      <c r="AT90" s="52"/>
      <c r="AU90" s="52"/>
      <c r="AV90" s="52"/>
      <c r="AW90" s="52"/>
      <c r="AX90" s="52"/>
      <c r="AY90" s="52"/>
      <c r="AZ90" s="734"/>
      <c r="BA90" s="740"/>
      <c r="BB90" s="734"/>
      <c r="BC90" s="740"/>
      <c r="BD90" s="734"/>
      <c r="BE90" s="52"/>
      <c r="BF90" s="52"/>
      <c r="BG90" s="734"/>
      <c r="BH90" s="734"/>
      <c r="BI90" s="734"/>
      <c r="BJ90" s="734"/>
    </row>
    <row r="91">
      <c r="B91" s="765" t="str">
        <f>vlookup(F91,'2) Tracker'!$A$3:$O$410,5,false)</f>
        <v/>
      </c>
      <c r="C91" s="765" t="str">
        <f>vlookup(F91,'2) Tracker'!$A$3:$O$410,4,false)</f>
        <v/>
      </c>
      <c r="D91" s="734"/>
      <c r="E91" s="734" t="str">
        <f>vlookup(F91,'2) Tracker'!$A$3:$O$406,15,false)</f>
        <v/>
      </c>
      <c r="F91" s="788" t="s">
        <v>37</v>
      </c>
      <c r="G91" s="783">
        <f>VLOOKUP(F91,'2) Tracker'!$A$2:$BO$360,2,FALSE)</f>
        <v>39783</v>
      </c>
      <c r="H91" s="768">
        <f>VLOOKUP(F91,'2) Tracker'!$A$2:$BO$360,3,FALSE)</f>
        <v>82200</v>
      </c>
      <c r="I91" s="770" t="str">
        <f>VLOOKUP(F91,'2) Tracker'!$A$2:$BO$360,9,FALSE)</f>
        <v>Neptune</v>
      </c>
      <c r="J91" s="770" t="str">
        <f>VLOOKUP(F91,'2) Tracker'!$A$2:$BO$360,12,FALSE)</f>
        <v>loads USG</v>
      </c>
      <c r="K91" s="771">
        <f t="shared" ref="K91:O91" si="135">AD91</f>
        <v>46138</v>
      </c>
      <c r="L91" s="771">
        <f t="shared" si="135"/>
        <v>46138</v>
      </c>
      <c r="M91" s="771">
        <f t="shared" si="135"/>
        <v>46170</v>
      </c>
      <c r="N91" s="771" t="str">
        <f t="shared" si="135"/>
        <v/>
      </c>
      <c r="O91" s="772" t="str">
        <f t="shared" si="135"/>
        <v/>
      </c>
      <c r="P91" s="773" t="str">
        <f>iferror(if(vlookup(F91,'Voyage days'!$M$808:$N$819,2,false),"GOA",""),"")</f>
        <v/>
      </c>
      <c r="Q91" s="778" t="str">
        <f t="shared" si="81"/>
        <v/>
      </c>
      <c r="R91" s="771" t="str">
        <f t="shared" si="83"/>
        <v/>
      </c>
      <c r="S91" s="774">
        <f t="shared" si="5"/>
        <v>46158</v>
      </c>
      <c r="T91" s="771" t="str">
        <f t="shared" si="6"/>
        <v/>
      </c>
      <c r="U91" s="771" t="str">
        <f t="shared" si="84"/>
        <v/>
      </c>
      <c r="V91" s="771"/>
      <c r="W91" s="771" t="str">
        <f t="shared" si="85"/>
        <v/>
      </c>
      <c r="X91" s="775" t="str">
        <f t="shared" si="9"/>
        <v/>
      </c>
      <c r="Y91" s="776"/>
      <c r="Z91" s="777" t="str">
        <f>vlookup(F91,'2) Tracker'!$A$3:$Q$504,16,false)</f>
        <v>ETA USG 26 Apr via Cape</v>
      </c>
      <c r="AA91" s="777" t="str">
        <f>vlookup(F91,'2) Tracker'!$A$3:$R$504,18,false)</f>
        <v>Abalone 26-27 Apr USG</v>
      </c>
      <c r="AB91" s="777" t="str">
        <f>vlookup(F91,'2) Tracker'!$A$3:$Q$504,17,false)</f>
        <v/>
      </c>
      <c r="AC91" s="778"/>
      <c r="AD91" s="778">
        <f>VLOOKUP(F91,'2) Tracker'!$A$2:$BO$980,37,FALSE)</f>
        <v>46138</v>
      </c>
      <c r="AE91" s="778">
        <f>VLOOKUP(F91,'2) Tracker'!$A$2:$BO$980,40,FALSE)</f>
        <v>46138</v>
      </c>
      <c r="AF91" s="778">
        <f>VLOOKUP(F91,'2) Tracker'!$A$2:$BO$980,67,FALSE)</f>
        <v>46170</v>
      </c>
      <c r="AG91" s="778" t="str">
        <f>VLOOKUP(F91,'2) Tracker'!$A$2:$BO$980,34,FALSE)</f>
        <v/>
      </c>
      <c r="AH91" s="778" t="str">
        <f>VLOOKUP(F91,'2) Tracker'!$A$2:$BN$980,66,FALSE)</f>
        <v/>
      </c>
      <c r="AI91" s="778" t="str">
        <f>VLOOKUP(F91,'2) Tracker'!$A$2:$BO$980,56,FALSE)</f>
        <v/>
      </c>
      <c r="AJ91" s="778" t="str">
        <f>VLOOKUP(F91,'2) Tracker'!$A$2:$BO$980,52,FALSE)</f>
        <v/>
      </c>
      <c r="AK91" s="778" t="str">
        <f>VLOOKUP(F91,'2) Tracker'!$A$2:$AQ$980,43,FALSE)</f>
        <v/>
      </c>
      <c r="AL91" s="778">
        <f>VLOOKUP(F91,'2) Tracker'!$A$2:$BH$980,46,FALSE())</f>
        <v>46158</v>
      </c>
      <c r="AM91" s="778" t="str">
        <f>VLOOKUP(F91,'2) Tracker'!$A$2:$BO$980,65,FALSE())</f>
        <v/>
      </c>
      <c r="AN91" s="778" t="str">
        <f>VLOOKUP(F91,'2) Tracker'!$A$2:$BK$980,63,FALSE())</f>
        <v/>
      </c>
      <c r="AO91" s="778" t="str">
        <f>VLOOKUP(F91,'2) Tracker'!$A$2:$BF$980,58,FALSE())</f>
        <v/>
      </c>
      <c r="AP91" s="52"/>
      <c r="AQ91" s="52"/>
      <c r="AR91" s="52"/>
      <c r="AS91" s="52"/>
      <c r="AT91" s="52"/>
      <c r="AU91" s="52"/>
      <c r="AV91" s="52"/>
      <c r="AW91" s="52"/>
      <c r="AX91" s="52"/>
      <c r="AY91" s="52"/>
      <c r="AZ91" s="787"/>
      <c r="BA91" s="786" t="str">
        <f>vlookup(AZ91,'Iran, FS'!$A$1:$B$318,2, false)</f>
        <v>#N/A</v>
      </c>
      <c r="BB91" s="787" t="str">
        <f>vlookup(AZ91,'1) Kpler'!$E$2:$F$500,2,false)</f>
        <v>#N/A</v>
      </c>
      <c r="BC91" s="788"/>
      <c r="BD91" s="787"/>
      <c r="BE91" s="52"/>
      <c r="BF91" s="52"/>
      <c r="BG91" s="787"/>
      <c r="BH91" s="787"/>
      <c r="BI91" s="787"/>
      <c r="BJ91" s="787"/>
    </row>
    <row r="92">
      <c r="B92" s="765" t="str">
        <f>vlookup(F92,'2) Tracker'!$A$3:$O$410,5,false)</f>
        <v/>
      </c>
      <c r="C92" s="765" t="str">
        <f>vlookup(F92,'2) Tracker'!$A$3:$O$410,4,false)</f>
        <v/>
      </c>
      <c r="D92" s="734"/>
      <c r="E92" s="734" t="str">
        <f>vlookup(F92,'2) Tracker'!$A$3:$O$406,15,false)</f>
        <v/>
      </c>
      <c r="F92" s="766" t="str">
        <f>'2) Tracker'!A221</f>
        <v>Albert II</v>
      </c>
      <c r="G92" s="792">
        <f>VLOOKUP(F92,'2) Tracker'!$A$2:$BO$360,2,FALSE)</f>
        <v>42717</v>
      </c>
      <c r="H92" s="768">
        <f>VLOOKUP(F92,'2) Tracker'!$A$2:$BO$360,3,FALSE)</f>
        <v>84000</v>
      </c>
      <c r="I92" s="769" t="str">
        <f>VLOOKUP(F92,'2) Tracker'!$A$2:$BO$360,9,FALSE)</f>
        <v>Tomza</v>
      </c>
      <c r="J92" s="770" t="str">
        <f>VLOOKUP(F92,'2) Tracker'!$A$2:$BO$360,12,FALSE)</f>
        <v>Suape</v>
      </c>
      <c r="K92" s="771">
        <f t="shared" ref="K92:O92" si="136">AD92</f>
        <v>46139</v>
      </c>
      <c r="L92" s="771">
        <f t="shared" si="136"/>
        <v>46139</v>
      </c>
      <c r="M92" s="771" t="str">
        <f t="shared" si="136"/>
        <v/>
      </c>
      <c r="N92" s="771" t="str">
        <f t="shared" si="136"/>
        <v/>
      </c>
      <c r="O92" s="772" t="str">
        <f t="shared" si="136"/>
        <v/>
      </c>
      <c r="P92" s="773" t="str">
        <f>iferror(if(vlookup(F92,'Voyage days'!$M$808:$N$819,2,false),"GOA",""),"")</f>
        <v/>
      </c>
      <c r="Q92" s="771" t="str">
        <f t="shared" si="81"/>
        <v/>
      </c>
      <c r="R92" s="771" t="str">
        <f t="shared" si="83"/>
        <v/>
      </c>
      <c r="S92" s="774">
        <f t="shared" si="5"/>
        <v>46137</v>
      </c>
      <c r="T92" s="771">
        <f t="shared" si="6"/>
        <v>46134</v>
      </c>
      <c r="U92" s="771" t="str">
        <f t="shared" si="84"/>
        <v/>
      </c>
      <c r="V92" s="771"/>
      <c r="W92" s="771" t="str">
        <f t="shared" si="85"/>
        <v/>
      </c>
      <c r="X92" s="775" t="str">
        <f t="shared" si="9"/>
        <v/>
      </c>
      <c r="Y92" s="776"/>
      <c r="Z92" s="777" t="str">
        <f>vlookup(F92,'2) Tracker'!$A$3:$Q$504,16,false)</f>
        <v>@ Omoa 12 Apr</v>
      </c>
      <c r="AA92" s="777" t="str">
        <f>vlookup(F92,'2) Tracker'!$A$3:$R$504,18,false)</f>
        <v>Tomza 06 Apr Enterprise</v>
      </c>
      <c r="AB92" s="777"/>
      <c r="AC92" s="778"/>
      <c r="AD92" s="778">
        <f>VLOOKUP(F92,'2) Tracker'!$A$2:$BO$980,37,FALSE)</f>
        <v>46139</v>
      </c>
      <c r="AE92" s="778">
        <f>VLOOKUP(F92,'2) Tracker'!$A$2:$BO$980,40,FALSE)</f>
        <v>46139</v>
      </c>
      <c r="AF92" s="778" t="str">
        <f>VLOOKUP(F92,'2) Tracker'!$A$2:$BO$980,67,FALSE)</f>
        <v/>
      </c>
      <c r="AG92" s="778" t="str">
        <f>VLOOKUP(F92,'2) Tracker'!$A$2:$BO$980,34,FALSE)</f>
        <v/>
      </c>
      <c r="AH92" s="778" t="str">
        <f>VLOOKUP(F92,'2) Tracker'!$A$2:$BN$980,66,FALSE)</f>
        <v/>
      </c>
      <c r="AI92" s="778" t="str">
        <f>VLOOKUP(F92,'2) Tracker'!$A$2:$BO$980,56,FALSE)</f>
        <v/>
      </c>
      <c r="AJ92" s="778" t="str">
        <f>VLOOKUP(F92,'2) Tracker'!$A$2:$BO$980,52,FALSE)</f>
        <v/>
      </c>
      <c r="AK92" s="778">
        <f>VLOOKUP(F92,'2) Tracker'!$A$2:$AQ$980,43,FALSE)</f>
        <v>46134</v>
      </c>
      <c r="AL92" s="778">
        <f>VLOOKUP(F92,'2) Tracker'!$A$2:$BH$980,46,FALSE())</f>
        <v>46137</v>
      </c>
      <c r="AM92" s="778" t="str">
        <f>VLOOKUP(F92,'2) Tracker'!$A$2:$BO$980,65,FALSE())</f>
        <v/>
      </c>
      <c r="AN92" s="778" t="str">
        <f>VLOOKUP(F92,'2) Tracker'!$A$2:$BK$980,63,FALSE())</f>
        <v/>
      </c>
      <c r="AO92" s="778" t="str">
        <f>VLOOKUP(F92,'2) Tracker'!$A$2:$BF$980,58,FALSE())</f>
        <v/>
      </c>
      <c r="AP92" s="52"/>
      <c r="AQ92" s="52"/>
      <c r="AR92" s="52"/>
      <c r="AS92" s="52"/>
      <c r="AT92" s="52"/>
      <c r="AU92" s="52"/>
      <c r="AV92" s="52"/>
      <c r="AW92" s="52"/>
      <c r="AX92" s="52"/>
      <c r="AY92" s="52"/>
      <c r="AZ92" s="734"/>
      <c r="BA92" s="786" t="str">
        <f>vlookup(AZ92,'Iran, FS'!$A$1:$B$318,2, false)</f>
        <v>#N/A</v>
      </c>
      <c r="BB92" s="787" t="str">
        <f>vlookup(AZ92,'1) Kpler'!$E$2:$F$500,2,false)</f>
        <v>#N/A</v>
      </c>
      <c r="BC92" s="740"/>
      <c r="BD92" s="734"/>
      <c r="BE92" s="52"/>
      <c r="BF92" s="52"/>
      <c r="BG92" s="734"/>
      <c r="BH92" s="734"/>
      <c r="BI92" s="734"/>
      <c r="BJ92" s="734"/>
    </row>
    <row r="93">
      <c r="B93" s="765" t="str">
        <f>vlookup(F93,'2) Tracker'!$A$3:$O$410,5,false)</f>
        <v/>
      </c>
      <c r="C93" s="765" t="str">
        <f>vlookup(F93,'2) Tracker'!$A$3:$O$410,4,false)</f>
        <v/>
      </c>
      <c r="D93" s="734"/>
      <c r="E93" s="734" t="str">
        <f>vlookup(F93,'2) Tracker'!$A$3:$O$406,15,false)</f>
        <v>eu</v>
      </c>
      <c r="F93" s="766" t="s">
        <v>471</v>
      </c>
      <c r="G93" s="789">
        <f>VLOOKUP(F93,'2) Tracker'!$A$2:$BO$360,2,FALSE)</f>
        <v>2023</v>
      </c>
      <c r="H93" s="768">
        <f>VLOOKUP(F93,'2) Tracker'!$A$2:$BO$360,3,FALSE)</f>
        <v>91000</v>
      </c>
      <c r="I93" s="769" t="str">
        <f>VLOOKUP(F93,'2) Tracker'!$A$2:$BO$360,9,FALSE)</f>
        <v>Borealis</v>
      </c>
      <c r="J93" s="770" t="str">
        <f>VLOOKUP(F93,'2) Tracker'!$A$2:$BO$360,12,FALSE)</f>
        <v>Eu</v>
      </c>
      <c r="K93" s="771">
        <f t="shared" ref="K93:O93" si="137">AD93</f>
        <v>46139</v>
      </c>
      <c r="L93" s="771">
        <f t="shared" si="137"/>
        <v>46140</v>
      </c>
      <c r="M93" s="771" t="str">
        <f t="shared" si="137"/>
        <v/>
      </c>
      <c r="N93" s="771" t="str">
        <f t="shared" si="137"/>
        <v/>
      </c>
      <c r="O93" s="772" t="str">
        <f t="shared" si="137"/>
        <v/>
      </c>
      <c r="P93" s="773" t="str">
        <f>iferror(if(vlookup(F93,'Voyage days'!$M$808:$N$819,2,false),"GOA",""),"")</f>
        <v/>
      </c>
      <c r="Q93" s="771">
        <f t="shared" si="81"/>
        <v>46126</v>
      </c>
      <c r="R93" s="771">
        <f t="shared" si="83"/>
        <v>46139</v>
      </c>
      <c r="S93" s="774">
        <f t="shared" si="5"/>
        <v>46127</v>
      </c>
      <c r="T93" s="771">
        <f t="shared" si="6"/>
        <v>46136</v>
      </c>
      <c r="U93" s="771" t="str">
        <f t="shared" si="84"/>
        <v/>
      </c>
      <c r="V93" s="771"/>
      <c r="W93" s="771" t="str">
        <f t="shared" si="85"/>
        <v/>
      </c>
      <c r="X93" s="775" t="str">
        <f t="shared" si="9"/>
        <v/>
      </c>
      <c r="Y93" s="776"/>
      <c r="Z93" s="777" t="str">
        <f>vlookup(F93,'2) Tracker'!$A$3:$Q$504,16,false)</f>
        <v>@ Skagen 08 Apr</v>
      </c>
      <c r="AA93" s="777" t="str">
        <f>vlookup(F93,'2) Tracker'!$A$3:$R$504,18,false)</f>
        <v>Borealis 05-06 Mar Targa</v>
      </c>
      <c r="AB93" s="777" t="str">
        <f>vlookup(F93,'2) Tracker'!$A$3:$Q$504,17,false)</f>
        <v/>
      </c>
      <c r="AC93" s="778"/>
      <c r="AD93" s="778">
        <f>VLOOKUP(F93,'2) Tracker'!$A$2:$BO$980,37,FALSE)</f>
        <v>46139</v>
      </c>
      <c r="AE93" s="778">
        <f>VLOOKUP(F93,'2) Tracker'!$A$2:$BO$980,40,FALSE)</f>
        <v>46140</v>
      </c>
      <c r="AF93" s="778" t="str">
        <f>VLOOKUP(F93,'2) Tracker'!$A$2:$BO$980,67,FALSE)</f>
        <v/>
      </c>
      <c r="AG93" s="778" t="str">
        <f>VLOOKUP(F93,'2) Tracker'!$A$2:$BO$980,34,FALSE)</f>
        <v/>
      </c>
      <c r="AH93" s="778" t="str">
        <f>VLOOKUP(F93,'2) Tracker'!$A$2:$BN$980,66,FALSE)</f>
        <v/>
      </c>
      <c r="AI93" s="778" t="str">
        <f>VLOOKUP(F93,'2) Tracker'!$A$2:$BO$980,56,FALSE)</f>
        <v/>
      </c>
      <c r="AJ93" s="778" t="str">
        <f>VLOOKUP(F93,'2) Tracker'!$A$2:$BO$980,52,FALSE)</f>
        <v/>
      </c>
      <c r="AK93" s="778">
        <f>VLOOKUP(F93,'2) Tracker'!$A$2:$AQ$980,43,FALSE)</f>
        <v>46136</v>
      </c>
      <c r="AL93" s="778">
        <f>VLOOKUP(F93,'2) Tracker'!$A$2:$BH$980,46,FALSE())</f>
        <v>46127</v>
      </c>
      <c r="AM93" s="778">
        <f>VLOOKUP(F93,'2) Tracker'!$A$2:$BO$980,65,FALSE())</f>
        <v>46126</v>
      </c>
      <c r="AN93" s="778">
        <f>VLOOKUP(F93,'2) Tracker'!$A$2:$BK$980,63,FALSE())</f>
        <v>46139</v>
      </c>
      <c r="AO93" s="778" t="str">
        <f>VLOOKUP(F93,'2) Tracker'!$A$2:$BF$980,58,FALSE())</f>
        <v/>
      </c>
      <c r="AP93" s="52"/>
      <c r="AQ93" s="52"/>
      <c r="AR93" s="52"/>
      <c r="AS93" s="52"/>
      <c r="AT93" s="52"/>
      <c r="AU93" s="52"/>
      <c r="AV93" s="52"/>
      <c r="AW93" s="52"/>
      <c r="AX93" s="52"/>
      <c r="AY93" s="52"/>
      <c r="AZ93" s="734"/>
      <c r="BA93" s="740"/>
      <c r="BB93" s="734"/>
      <c r="BC93" s="740"/>
      <c r="BD93" s="734"/>
      <c r="BE93" s="52"/>
      <c r="BF93" s="52"/>
      <c r="BG93" s="734"/>
      <c r="BH93" s="734"/>
      <c r="BI93" s="734"/>
      <c r="BJ93" s="734"/>
    </row>
    <row r="94">
      <c r="B94" s="765" t="str">
        <f>vlookup(F94,'2) Tracker'!$A$3:$O$410,5,false)</f>
        <v>C</v>
      </c>
      <c r="C94" s="765" t="str">
        <f>vlookup(F94,'2) Tracker'!$A$3:$O$410,4,false)</f>
        <v/>
      </c>
      <c r="D94" s="734"/>
      <c r="E94" s="734" t="str">
        <f>vlookup(F94,'2) Tracker'!$A$3:$O$406,15,false)</f>
        <v/>
      </c>
      <c r="F94" s="822" t="s">
        <v>309</v>
      </c>
      <c r="G94" s="789">
        <f>VLOOKUP(F94,'2) Tracker'!$A$2:$BO$360,2,FALSE)</f>
        <v>2021</v>
      </c>
      <c r="H94" s="768">
        <f>VLOOKUP(F94,'2) Tracker'!$A$2:$BO$360,3,FALSE)</f>
        <v>86000</v>
      </c>
      <c r="I94" s="770" t="str">
        <f>VLOOKUP(F94,'2) Tracker'!$A$2:$BO$360,9,FALSE)</f>
        <v>Wanhua</v>
      </c>
      <c r="J94" s="770" t="str">
        <f>VLOOKUP(F94,'2) Tracker'!$A$2:$BO$360,12,FALSE)</f>
        <v>Turkey</v>
      </c>
      <c r="K94" s="771">
        <f t="shared" ref="K94:O94" si="138">AD94</f>
        <v>46139</v>
      </c>
      <c r="L94" s="774">
        <f t="shared" si="138"/>
        <v>46145</v>
      </c>
      <c r="M94" s="771" t="str">
        <f t="shared" si="138"/>
        <v/>
      </c>
      <c r="N94" s="772">
        <f t="shared" si="138"/>
        <v>46135</v>
      </c>
      <c r="O94" s="772" t="str">
        <f t="shared" si="138"/>
        <v/>
      </c>
      <c r="P94" s="773" t="str">
        <f>iferror(if(vlookup(F94,'Voyage days'!$M$808:$N$819,2,false),"GOA",""),"")</f>
        <v/>
      </c>
      <c r="Q94" s="772">
        <f t="shared" si="81"/>
        <v>46126</v>
      </c>
      <c r="R94" s="774">
        <f t="shared" si="83"/>
        <v>46129</v>
      </c>
      <c r="S94" s="774">
        <f t="shared" si="5"/>
        <v>46130</v>
      </c>
      <c r="T94" s="771">
        <f t="shared" si="6"/>
        <v>46140</v>
      </c>
      <c r="U94" s="774" t="str">
        <f t="shared" si="84"/>
        <v/>
      </c>
      <c r="V94" s="771"/>
      <c r="W94" s="771" t="str">
        <f t="shared" si="85"/>
        <v/>
      </c>
      <c r="X94" s="775" t="str">
        <f t="shared" si="9"/>
        <v/>
      </c>
      <c r="Y94" s="784"/>
      <c r="Z94" s="777" t="str">
        <f>vlookup(F94,'2) Tracker'!$A$3:$Q$504,16,false)</f>
        <v>@ Yarimca 08 Apr</v>
      </c>
      <c r="AA94" s="777" t="str">
        <f>vlookup(F94,'2) Tracker'!$A$3:$R$504,18,false)</f>
        <v>Wanhua 9-10 Mar USG</v>
      </c>
      <c r="AB94" s="777" t="str">
        <f>vlookup(F94,'2) Tracker'!$A$3:$Q$504,17,false)</f>
        <v/>
      </c>
      <c r="AC94" s="778"/>
      <c r="AD94" s="778">
        <f>VLOOKUP(F94,'2) Tracker'!$A$2:$BO$980,37,FALSE)</f>
        <v>46139</v>
      </c>
      <c r="AE94" s="778">
        <f>VLOOKUP(F94,'2) Tracker'!$A$2:$BO$980,40,FALSE)</f>
        <v>46145</v>
      </c>
      <c r="AF94" s="778" t="str">
        <f>VLOOKUP(F94,'2) Tracker'!$A$2:$BO$980,67,FALSE)</f>
        <v/>
      </c>
      <c r="AG94" s="778">
        <f>VLOOKUP(F94,'2) Tracker'!$A$2:$BO$980,34,FALSE)</f>
        <v>46135</v>
      </c>
      <c r="AH94" s="778" t="str">
        <f>VLOOKUP(F94,'2) Tracker'!$A$2:$BN$980,66,FALSE)</f>
        <v/>
      </c>
      <c r="AI94" s="778" t="str">
        <f>VLOOKUP(F94,'2) Tracker'!$A$2:$BO$980,56,FALSE)</f>
        <v/>
      </c>
      <c r="AJ94" s="778" t="str">
        <f>VLOOKUP(F94,'2) Tracker'!$A$2:$BO$980,52,FALSE)</f>
        <v/>
      </c>
      <c r="AK94" s="778">
        <f>VLOOKUP(F94,'2) Tracker'!$A$2:$AQ$980,43,FALSE)</f>
        <v>46140</v>
      </c>
      <c r="AL94" s="778">
        <f>VLOOKUP(F94,'2) Tracker'!$A$2:$BH$980,46,FALSE())</f>
        <v>46130</v>
      </c>
      <c r="AM94" s="778">
        <f>VLOOKUP(F94,'2) Tracker'!$A$2:$BO$980,65,FALSE())</f>
        <v>46126</v>
      </c>
      <c r="AN94" s="778">
        <f>VLOOKUP(F94,'2) Tracker'!$A$2:$BK$980,63,FALSE())</f>
        <v>46129</v>
      </c>
      <c r="AO94" s="778" t="str">
        <f>VLOOKUP(F94,'2) Tracker'!$A$2:$BF$980,58,FALSE())</f>
        <v/>
      </c>
      <c r="AP94" s="52"/>
      <c r="AQ94" s="52"/>
      <c r="AR94" s="52"/>
      <c r="AS94" s="52"/>
      <c r="AT94" s="52"/>
      <c r="AU94" s="52"/>
      <c r="AV94" s="52"/>
      <c r="AW94" s="52"/>
      <c r="AX94" s="52"/>
      <c r="AY94" s="52"/>
      <c r="AZ94" s="734" t="s">
        <v>1556</v>
      </c>
      <c r="BA94" s="823">
        <f>vlookup(AZ94,'Iran, FS'!$A$1:$B$318,2, false)</f>
        <v>34001</v>
      </c>
      <c r="BB94" s="787" t="str">
        <f>vlookup(AZ94,'1) Kpler'!$E$2:$F$500,2,false)</f>
        <v>#N/A</v>
      </c>
      <c r="BC94" s="740"/>
      <c r="BD94" s="734"/>
      <c r="BE94" s="52"/>
      <c r="BF94" s="52"/>
      <c r="BG94" s="734"/>
      <c r="BH94" s="734"/>
      <c r="BI94" s="734"/>
      <c r="BJ94" s="734"/>
    </row>
    <row r="95">
      <c r="B95" s="765" t="str">
        <f>vlookup(F95,'2) Tracker'!$A$3:$O$410,5,false)</f>
        <v/>
      </c>
      <c r="C95" s="765" t="str">
        <f>vlookup(F95,'2) Tracker'!$A$3:$O$410,4,false)</f>
        <v/>
      </c>
      <c r="D95" s="734"/>
      <c r="E95" s="734" t="str">
        <f>vlookup(F95,'2) Tracker'!$A$3:$O$406,15,false)</f>
        <v>eu</v>
      </c>
      <c r="F95" s="766" t="s">
        <v>78</v>
      </c>
      <c r="G95" s="783">
        <f>VLOOKUP(F95,'2) Tracker'!$A$2:$BO$360,2,FALSE)</f>
        <v>40298</v>
      </c>
      <c r="H95" s="768">
        <f>VLOOKUP(F95,'2) Tracker'!$A$2:$BO$360,3,FALSE)</f>
        <v>83270</v>
      </c>
      <c r="I95" s="769" t="str">
        <f>VLOOKUP(F95,'2) Tracker'!$A$2:$BO$360,9,FALSE)</f>
        <v>ATC</v>
      </c>
      <c r="J95" s="770" t="str">
        <f>VLOOKUP(F95,'2) Tracker'!$A$2:$BO$360,12,FALSE)</f>
        <v>Turkey</v>
      </c>
      <c r="K95" s="774">
        <f t="shared" ref="K95:O95" si="139">AD95</f>
        <v>46139</v>
      </c>
      <c r="L95" s="774">
        <f t="shared" si="139"/>
        <v>46145</v>
      </c>
      <c r="M95" s="771" t="str">
        <f t="shared" si="139"/>
        <v/>
      </c>
      <c r="N95" s="771">
        <f t="shared" si="139"/>
        <v>46135</v>
      </c>
      <c r="O95" s="772" t="str">
        <f t="shared" si="139"/>
        <v/>
      </c>
      <c r="P95" s="773" t="str">
        <f>iferror(if(vlookup(F95,'Voyage days'!$M$808:$N$819,2,false),"GOA",""),"")</f>
        <v/>
      </c>
      <c r="Q95" s="771">
        <f t="shared" si="81"/>
        <v>46126</v>
      </c>
      <c r="R95" s="771">
        <f t="shared" si="83"/>
        <v>46129</v>
      </c>
      <c r="S95" s="774">
        <f t="shared" si="5"/>
        <v>46130</v>
      </c>
      <c r="T95" s="771">
        <f t="shared" si="6"/>
        <v>46140</v>
      </c>
      <c r="U95" s="771" t="str">
        <f t="shared" si="84"/>
        <v/>
      </c>
      <c r="V95" s="771"/>
      <c r="W95" s="771" t="str">
        <f t="shared" si="85"/>
        <v/>
      </c>
      <c r="X95" s="775" t="str">
        <f t="shared" si="9"/>
        <v/>
      </c>
      <c r="Y95" s="795" t="s">
        <v>1557</v>
      </c>
      <c r="Z95" s="777" t="str">
        <f>vlookup(F95,'2) Tracker'!$A$3:$Q$504,16,false)</f>
        <v>@ Dortyol 07 Apr</v>
      </c>
      <c r="AA95" s="777" t="str">
        <f>vlookup(F95,'2) Tracker'!$A$3:$R$504,18,false)</f>
        <v>ATC 01-02 Apr Yanbu</v>
      </c>
      <c r="AB95" s="777" t="str">
        <f>vlookup(F95,'2) Tracker'!$A$3:$Q$504,17,false)</f>
        <v/>
      </c>
      <c r="AC95" s="778"/>
      <c r="AD95" s="778">
        <f>VLOOKUP(F95,'2) Tracker'!$A$2:$BO$980,37,FALSE)</f>
        <v>46139</v>
      </c>
      <c r="AE95" s="778">
        <f>VLOOKUP(F95,'2) Tracker'!$A$2:$BO$980,40,FALSE)</f>
        <v>46145</v>
      </c>
      <c r="AF95" s="778" t="str">
        <f>VLOOKUP(F95,'2) Tracker'!$A$2:$BO$980,67,FALSE)</f>
        <v/>
      </c>
      <c r="AG95" s="778">
        <f>VLOOKUP(F95,'2) Tracker'!$A$2:$BO$980,34,FALSE)</f>
        <v>46135</v>
      </c>
      <c r="AH95" s="778" t="str">
        <f>VLOOKUP(F95,'2) Tracker'!$A$2:$BN$980,66,FALSE)</f>
        <v/>
      </c>
      <c r="AI95" s="778" t="str">
        <f>VLOOKUP(F95,'2) Tracker'!$A$2:$BO$980,56,FALSE)</f>
        <v/>
      </c>
      <c r="AJ95" s="778" t="str">
        <f>VLOOKUP(F95,'2) Tracker'!$A$2:$BO$980,52,FALSE)</f>
        <v/>
      </c>
      <c r="AK95" s="778">
        <f>VLOOKUP(F95,'2) Tracker'!$A$2:$AQ$980,43,FALSE)</f>
        <v>46140</v>
      </c>
      <c r="AL95" s="778">
        <f>VLOOKUP(F95,'2) Tracker'!$A$2:$BH$980,46,FALSE())</f>
        <v>46130</v>
      </c>
      <c r="AM95" s="778">
        <f>VLOOKUP(F95,'2) Tracker'!$A$2:$BO$980,65,FALSE())</f>
        <v>46126</v>
      </c>
      <c r="AN95" s="778">
        <f>VLOOKUP(F95,'2) Tracker'!$A$2:$BK$980,63,FALSE())</f>
        <v>46129</v>
      </c>
      <c r="AO95" s="778" t="str">
        <f>VLOOKUP(F95,'2) Tracker'!$A$2:$BF$980,58,FALSE())</f>
        <v/>
      </c>
      <c r="AP95" s="52"/>
      <c r="AQ95" s="52"/>
      <c r="AR95" s="52"/>
      <c r="AS95" s="52"/>
      <c r="AT95" s="52"/>
      <c r="AU95" s="52"/>
      <c r="AV95" s="52"/>
      <c r="AW95" s="52"/>
      <c r="AX95" s="52"/>
      <c r="AY95" s="52"/>
      <c r="AZ95" s="734"/>
      <c r="BA95" s="740"/>
      <c r="BB95" s="734"/>
      <c r="BC95" s="740"/>
      <c r="BD95" s="734"/>
      <c r="BE95" s="52"/>
      <c r="BF95" s="52"/>
      <c r="BG95" s="734"/>
      <c r="BH95" s="734"/>
      <c r="BI95" s="734"/>
      <c r="BJ95" s="734"/>
    </row>
    <row r="96">
      <c r="B96" s="765" t="str">
        <f>vlookup(F96,'2) Tracker'!$A$3:$O$410,5,false)</f>
        <v/>
      </c>
      <c r="C96" s="765" t="str">
        <f>vlookup(F96,'2) Tracker'!$A$3:$O$410,4,false)</f>
        <v>US</v>
      </c>
      <c r="D96" s="732" t="s">
        <v>1515</v>
      </c>
      <c r="E96" s="734" t="str">
        <f>vlookup(F96,'2) Tracker'!$A$3:$O$406,15,false)</f>
        <v/>
      </c>
      <c r="F96" s="797" t="s">
        <v>180</v>
      </c>
      <c r="G96" s="783">
        <f>VLOOKUP(F96,'2) Tracker'!$A$2:$BO$360,2,FALSE)</f>
        <v>42978</v>
      </c>
      <c r="H96" s="768">
        <f>VLOOKUP(F96,'2) Tracker'!$A$2:$BO$360,3,FALSE)</f>
        <v>78700</v>
      </c>
      <c r="I96" s="769" t="str">
        <f>VLOOKUP(F96,'2) Tracker'!$A$2:$BO$360,9,FALSE)</f>
        <v>P66</v>
      </c>
      <c r="J96" s="770" t="str">
        <f>VLOOKUP(F96,'2) Tracker'!$A$2:$BO$360,12,FALSE)</f>
        <v>loads USG</v>
      </c>
      <c r="K96" s="771">
        <f t="shared" ref="K96:O96" si="140">AD96</f>
        <v>46140</v>
      </c>
      <c r="L96" s="771">
        <f t="shared" si="140"/>
        <v>46140</v>
      </c>
      <c r="M96" s="771">
        <f t="shared" si="140"/>
        <v>46172</v>
      </c>
      <c r="N96" s="771" t="str">
        <f t="shared" si="140"/>
        <v/>
      </c>
      <c r="O96" s="772" t="str">
        <f t="shared" si="140"/>
        <v/>
      </c>
      <c r="P96" s="773" t="str">
        <f>iferror(if(vlookup(F96,'Voyage days'!$M$808:$N$819,2,false),"GOA",""),"")</f>
        <v/>
      </c>
      <c r="Q96" s="771" t="str">
        <f t="shared" si="81"/>
        <v/>
      </c>
      <c r="R96" s="771" t="str">
        <f t="shared" si="83"/>
        <v/>
      </c>
      <c r="S96" s="774">
        <f t="shared" si="5"/>
        <v>46160</v>
      </c>
      <c r="T96" s="771" t="str">
        <f t="shared" si="6"/>
        <v/>
      </c>
      <c r="U96" s="771" t="str">
        <f t="shared" si="84"/>
        <v/>
      </c>
      <c r="V96" s="771"/>
      <c r="W96" s="771" t="str">
        <f t="shared" si="85"/>
        <v/>
      </c>
      <c r="X96" s="775" t="str">
        <f t="shared" si="9"/>
        <v/>
      </c>
      <c r="Y96" s="795"/>
      <c r="Z96" s="777" t="str">
        <f>vlookup(F96,'2) Tracker'!$A$3:$Q$504,16,false)</f>
        <v>ETA Freeport 27 Apr via Cape</v>
      </c>
      <c r="AA96" s="777" t="str">
        <f>vlookup(F96,'2) Tracker'!$A$3:$R$504,18,false)</f>
        <v>P66 28-29 Apr Freeport</v>
      </c>
      <c r="AB96" s="777" t="str">
        <f>vlookup(F96,'2) Tracker'!$A$3:$Q$504,17,false)</f>
        <v/>
      </c>
      <c r="AC96" s="778"/>
      <c r="AD96" s="778">
        <f>VLOOKUP(F96,'2) Tracker'!$A$2:$BO$980,37,FALSE)</f>
        <v>46140</v>
      </c>
      <c r="AE96" s="778">
        <f>VLOOKUP(F96,'2) Tracker'!$A$2:$BO$980,40,FALSE)</f>
        <v>46140</v>
      </c>
      <c r="AF96" s="778">
        <f>VLOOKUP(F96,'2) Tracker'!$A$2:$BO$980,67,FALSE)</f>
        <v>46172</v>
      </c>
      <c r="AG96" s="778" t="str">
        <f>VLOOKUP(F96,'2) Tracker'!$A$2:$BO$980,34,FALSE)</f>
        <v/>
      </c>
      <c r="AH96" s="778" t="str">
        <f>VLOOKUP(F96,'2) Tracker'!$A$2:$BN$980,66,FALSE)</f>
        <v/>
      </c>
      <c r="AI96" s="778" t="str">
        <f>VLOOKUP(F96,'2) Tracker'!$A$2:$BO$980,56,FALSE)</f>
        <v/>
      </c>
      <c r="AJ96" s="778" t="str">
        <f>VLOOKUP(F96,'2) Tracker'!$A$2:$BO$980,52,FALSE)</f>
        <v/>
      </c>
      <c r="AK96" s="778" t="str">
        <f>VLOOKUP(F96,'2) Tracker'!$A$2:$AQ$980,43,FALSE)</f>
        <v/>
      </c>
      <c r="AL96" s="778">
        <f>VLOOKUP(F96,'2) Tracker'!$A$2:$BH$980,46,FALSE())</f>
        <v>46160</v>
      </c>
      <c r="AM96" s="778" t="str">
        <f>VLOOKUP(F96,'2) Tracker'!$A$2:$BO$980,65,FALSE())</f>
        <v/>
      </c>
      <c r="AN96" s="778" t="str">
        <f>VLOOKUP(F96,'2) Tracker'!$A$2:$BK$980,63,FALSE())</f>
        <v/>
      </c>
      <c r="AO96" s="778" t="str">
        <f>VLOOKUP(F96,'2) Tracker'!$A$2:$BF$980,58,FALSE())</f>
        <v/>
      </c>
      <c r="AP96" s="52"/>
      <c r="AQ96" s="52"/>
      <c r="AR96" s="52"/>
      <c r="AS96" s="52"/>
      <c r="AT96" s="52"/>
      <c r="AU96" s="52"/>
      <c r="AV96" s="52"/>
      <c r="AW96" s="52"/>
      <c r="AX96" s="52"/>
      <c r="AY96" s="52"/>
      <c r="AZ96" s="734"/>
      <c r="BA96" s="786" t="str">
        <f>vlookup(AZ96,'Iran, FS'!$A$1:$B$318,2, false)</f>
        <v>#N/A</v>
      </c>
      <c r="BB96" s="787" t="str">
        <f>vlookup(AZ96,'1) Kpler'!$E$2:$F$500,2,false)</f>
        <v>#N/A</v>
      </c>
      <c r="BC96" s="740"/>
      <c r="BD96" s="734"/>
      <c r="BE96" s="52"/>
      <c r="BF96" s="52"/>
      <c r="BG96" s="734"/>
      <c r="BH96" s="734"/>
      <c r="BI96" s="734"/>
      <c r="BJ96" s="734"/>
    </row>
    <row r="97">
      <c r="B97" s="765" t="str">
        <f>vlookup(F97,'2) Tracker'!$A$3:$O$410,5,false)</f>
        <v/>
      </c>
      <c r="C97" s="765" t="str">
        <f>vlookup(F97,'2) Tracker'!$A$3:$O$410,4,false)</f>
        <v>US</v>
      </c>
      <c r="D97" s="734"/>
      <c r="E97" s="734" t="str">
        <f>vlookup(F97,'2) Tracker'!$A$3:$O$406,15,false)</f>
        <v/>
      </c>
      <c r="F97" s="740" t="s">
        <v>165</v>
      </c>
      <c r="G97" s="783">
        <f>VLOOKUP(F97,'2) Tracker'!$A$2:$BO$360,2,FALSE)</f>
        <v>42299</v>
      </c>
      <c r="H97" s="768">
        <f>VLOOKUP(F97,'2) Tracker'!$A$2:$BO$360,3,FALSE)</f>
        <v>84000</v>
      </c>
      <c r="I97" s="770" t="str">
        <f>VLOOKUP(F97,'2) Tracker'!$A$2:$BO$360,9,FALSE)</f>
        <v>Helios</v>
      </c>
      <c r="J97" s="770" t="str">
        <f>VLOOKUP(F97,'2) Tracker'!$A$2:$BO$360,12,FALSE)</f>
        <v>loads USG</v>
      </c>
      <c r="K97" s="774">
        <f t="shared" ref="K97:O97" si="141">AD97</f>
        <v>46140</v>
      </c>
      <c r="L97" s="774">
        <f t="shared" si="141"/>
        <v>46140</v>
      </c>
      <c r="M97" s="771">
        <f t="shared" si="141"/>
        <v>46172</v>
      </c>
      <c r="N97" s="771" t="str">
        <f t="shared" si="141"/>
        <v/>
      </c>
      <c r="O97" s="772" t="str">
        <f t="shared" si="141"/>
        <v/>
      </c>
      <c r="P97" s="773" t="str">
        <f>iferror(if(vlookup(F97,'Voyage days'!$M$808:$N$819,2,false),"GOA",""),"")</f>
        <v/>
      </c>
      <c r="Q97" s="771" t="str">
        <f t="shared" si="81"/>
        <v/>
      </c>
      <c r="R97" s="774" t="str">
        <f t="shared" si="83"/>
        <v/>
      </c>
      <c r="S97" s="824">
        <f t="shared" si="5"/>
        <v>46160</v>
      </c>
      <c r="T97" s="771" t="str">
        <f t="shared" si="6"/>
        <v/>
      </c>
      <c r="U97" s="774" t="str">
        <f t="shared" si="84"/>
        <v/>
      </c>
      <c r="V97" s="771"/>
      <c r="W97" s="771" t="str">
        <f t="shared" si="85"/>
        <v/>
      </c>
      <c r="X97" s="775" t="str">
        <f t="shared" si="9"/>
        <v/>
      </c>
      <c r="Y97" s="776"/>
      <c r="Z97" s="777" t="str">
        <f>vlookup(F97,'2) Tracker'!$A$3:$Q$504,16,false)</f>
        <v>ETA Freeport 13 Apr via Cape</v>
      </c>
      <c r="AA97" s="777" t="str">
        <f>vlookup(F97,'2) Tracker'!$A$3:$R$504,18,false)</f>
        <v>Axpo 28-29 Apr Freeport</v>
      </c>
      <c r="AB97" s="777" t="str">
        <f>vlookup(F97,'2) Tracker'!$A$3:$Q$504,17,false)</f>
        <v/>
      </c>
      <c r="AC97" s="778"/>
      <c r="AD97" s="778">
        <f>VLOOKUP(F97,'2) Tracker'!$A$2:$BO$980,37,FALSE)</f>
        <v>46140</v>
      </c>
      <c r="AE97" s="778">
        <f>VLOOKUP(F97,'2) Tracker'!$A$2:$BO$980,40,FALSE)</f>
        <v>46140</v>
      </c>
      <c r="AF97" s="778">
        <f>VLOOKUP(F97,'2) Tracker'!$A$2:$BO$980,67,FALSE)</f>
        <v>46172</v>
      </c>
      <c r="AG97" s="778" t="str">
        <f>VLOOKUP(F97,'2) Tracker'!$A$2:$BO$980,34,FALSE)</f>
        <v/>
      </c>
      <c r="AH97" s="778" t="str">
        <f>VLOOKUP(F97,'2) Tracker'!$A$2:$BN$980,66,FALSE)</f>
        <v/>
      </c>
      <c r="AI97" s="778" t="str">
        <f>VLOOKUP(F97,'2) Tracker'!$A$2:$BO$980,56,FALSE)</f>
        <v/>
      </c>
      <c r="AJ97" s="778" t="str">
        <f>VLOOKUP(F97,'2) Tracker'!$A$2:$BO$980,52,FALSE)</f>
        <v/>
      </c>
      <c r="AK97" s="778" t="str">
        <f>VLOOKUP(F97,'2) Tracker'!$A$2:$AQ$980,43,FALSE)</f>
        <v/>
      </c>
      <c r="AL97" s="778">
        <f>VLOOKUP(F97,'2) Tracker'!$A$2:$BH$980,46,FALSE())</f>
        <v>46160</v>
      </c>
      <c r="AM97" s="778" t="str">
        <f>VLOOKUP(F97,'2) Tracker'!$A$2:$BO$980,65,FALSE())</f>
        <v/>
      </c>
      <c r="AN97" s="778" t="str">
        <f>VLOOKUP(F97,'2) Tracker'!$A$2:$BK$980,63,FALSE())</f>
        <v/>
      </c>
      <c r="AO97" s="778" t="str">
        <f>VLOOKUP(F97,'2) Tracker'!$A$2:$BF$980,58,FALSE())</f>
        <v/>
      </c>
      <c r="AP97" s="52"/>
      <c r="AQ97" s="52"/>
      <c r="AR97" s="52"/>
      <c r="AS97" s="52"/>
      <c r="AT97" s="52"/>
      <c r="AU97" s="52"/>
      <c r="AV97" s="52"/>
      <c r="AW97" s="52"/>
      <c r="AX97" s="52"/>
      <c r="AY97" s="52"/>
      <c r="AZ97" s="734"/>
      <c r="BA97" s="786" t="str">
        <f>vlookup(AZ97,'Iran, FS'!$A$1:$B$318,2, false)</f>
        <v>#N/A</v>
      </c>
      <c r="BB97" s="787" t="str">
        <f>vlookup(AZ97,'1) Kpler'!$E$2:$F$500,2,false)</f>
        <v>#N/A</v>
      </c>
      <c r="BC97" s="740"/>
      <c r="BD97" s="734"/>
      <c r="BE97" s="52"/>
      <c r="BF97" s="52"/>
      <c r="BG97" s="734"/>
      <c r="BH97" s="734"/>
      <c r="BI97" s="734"/>
      <c r="BJ97" s="734"/>
    </row>
    <row r="98">
      <c r="B98" s="765" t="str">
        <f>vlookup(F98,'2) Tracker'!$A$3:$O$410,5,false)</f>
        <v/>
      </c>
      <c r="C98" s="765" t="str">
        <f>vlookup(F98,'2) Tracker'!$A$3:$O$410,4,false)</f>
        <v>US</v>
      </c>
      <c r="D98" s="734"/>
      <c r="E98" s="734" t="str">
        <f>vlookup(F98,'2) Tracker'!$A$3:$O$406,15,false)</f>
        <v>S</v>
      </c>
      <c r="F98" s="740" t="s">
        <v>201</v>
      </c>
      <c r="G98" s="783">
        <f>VLOOKUP(F98,'2) Tracker'!$A$2:$BO$360,2,FALSE)</f>
        <v>42308</v>
      </c>
      <c r="H98" s="768">
        <f>VLOOKUP(F98,'2) Tracker'!$A$2:$BO$360,3,FALSE)</f>
        <v>84000</v>
      </c>
      <c r="I98" s="770" t="str">
        <f>VLOOKUP(F98,'2) Tracker'!$A$2:$BO$360,9,FALSE)</f>
        <v>Helios</v>
      </c>
      <c r="J98" s="770" t="str">
        <f>VLOOKUP(F98,'2) Tracker'!$A$2:$BO$360,12,FALSE)</f>
        <v>loads USG</v>
      </c>
      <c r="K98" s="771">
        <f t="shared" ref="K98:O98" si="142">AD98</f>
        <v>46140</v>
      </c>
      <c r="L98" s="771">
        <f t="shared" si="142"/>
        <v>46140</v>
      </c>
      <c r="M98" s="771">
        <f t="shared" si="142"/>
        <v>46172</v>
      </c>
      <c r="N98" s="771" t="str">
        <f t="shared" si="142"/>
        <v/>
      </c>
      <c r="O98" s="772" t="str">
        <f t="shared" si="142"/>
        <v/>
      </c>
      <c r="P98" s="773" t="str">
        <f>iferror(if(vlookup(F98,'Voyage days'!$M$808:$N$819,2,false),"GOA",""),"")</f>
        <v/>
      </c>
      <c r="Q98" s="771" t="str">
        <f t="shared" si="81"/>
        <v/>
      </c>
      <c r="R98" s="771" t="str">
        <f t="shared" si="83"/>
        <v/>
      </c>
      <c r="S98" s="774">
        <f t="shared" si="5"/>
        <v>46160</v>
      </c>
      <c r="T98" s="771" t="str">
        <f t="shared" si="6"/>
        <v/>
      </c>
      <c r="U98" s="771" t="str">
        <f t="shared" si="84"/>
        <v/>
      </c>
      <c r="V98" s="745" t="s">
        <v>1523</v>
      </c>
      <c r="W98" s="771" t="str">
        <f t="shared" si="85"/>
        <v/>
      </c>
      <c r="X98" s="775" t="str">
        <f t="shared" si="9"/>
        <v/>
      </c>
      <c r="Y98" s="776"/>
      <c r="Z98" s="777" t="str">
        <f>vlookup(F98,'2) Tracker'!$A$3:$Q$504,16,false)</f>
        <v>ETA Balboa 20 Apr</v>
      </c>
      <c r="AA98" s="777" t="str">
        <f>vlookup(F98,'2) Tracker'!$A$3:$R$504,18,false)</f>
        <v>BP 28-29 Apr USG</v>
      </c>
      <c r="AB98" s="777" t="str">
        <f>vlookup(F98,'2) Tracker'!$A$3:$Q$504,17,false)</f>
        <v/>
      </c>
      <c r="AC98" s="778"/>
      <c r="AD98" s="778">
        <f>VLOOKUP(F98,'2) Tracker'!$A$2:$BO$980,37,FALSE)</f>
        <v>46140</v>
      </c>
      <c r="AE98" s="778">
        <f>VLOOKUP(F98,'2) Tracker'!$A$2:$BO$980,40,FALSE)</f>
        <v>46140</v>
      </c>
      <c r="AF98" s="778">
        <f>VLOOKUP(F98,'2) Tracker'!$A$2:$BO$980,67,FALSE)</f>
        <v>46172</v>
      </c>
      <c r="AG98" s="778" t="str">
        <f>VLOOKUP(F98,'2) Tracker'!$A$2:$BO$980,34,FALSE)</f>
        <v/>
      </c>
      <c r="AH98" s="778" t="str">
        <f>VLOOKUP(F98,'2) Tracker'!$A$2:$BN$980,66,FALSE)</f>
        <v/>
      </c>
      <c r="AI98" s="778" t="str">
        <f>VLOOKUP(F98,'2) Tracker'!$A$2:$BO$980,56,FALSE)</f>
        <v/>
      </c>
      <c r="AJ98" s="778" t="str">
        <f>VLOOKUP(F98,'2) Tracker'!$A$2:$BO$980,52,FALSE)</f>
        <v/>
      </c>
      <c r="AK98" s="778" t="str">
        <f>VLOOKUP(F98,'2) Tracker'!$A$2:$AQ$980,43,FALSE)</f>
        <v/>
      </c>
      <c r="AL98" s="778">
        <f>VLOOKUP(F98,'2) Tracker'!$A$2:$BH$980,46,FALSE())</f>
        <v>46160</v>
      </c>
      <c r="AM98" s="778" t="str">
        <f>VLOOKUP(F98,'2) Tracker'!$A$2:$BO$980,65,FALSE())</f>
        <v/>
      </c>
      <c r="AN98" s="778" t="str">
        <f>VLOOKUP(F98,'2) Tracker'!$A$2:$BK$980,63,FALSE())</f>
        <v/>
      </c>
      <c r="AO98" s="778" t="str">
        <f>VLOOKUP(F98,'2) Tracker'!$A$2:$BF$980,58,FALSE())</f>
        <v/>
      </c>
      <c r="AP98" s="52"/>
      <c r="AQ98" s="52"/>
      <c r="AR98" s="52"/>
      <c r="AS98" s="52"/>
      <c r="AT98" s="52"/>
      <c r="AU98" s="52"/>
      <c r="AV98" s="52"/>
      <c r="AW98" s="52"/>
      <c r="AX98" s="52"/>
      <c r="AY98" s="52"/>
      <c r="AZ98" s="787"/>
      <c r="BA98" s="786" t="str">
        <f>vlookup(AZ98,'Iran, FS'!$A$1:$B$318,2, false)</f>
        <v>#N/A</v>
      </c>
      <c r="BB98" s="787" t="str">
        <f>vlookup(AZ98,'1) Kpler'!$E$2:$F$500,2,false)</f>
        <v>#N/A</v>
      </c>
      <c r="BC98" s="788"/>
      <c r="BD98" s="787"/>
      <c r="BE98" s="52"/>
      <c r="BF98" s="52"/>
      <c r="BG98" s="787"/>
      <c r="BH98" s="787"/>
      <c r="BI98" s="787"/>
      <c r="BJ98" s="787"/>
    </row>
    <row r="99">
      <c r="B99" s="765" t="str">
        <f>vlookup(F99,'2) Tracker'!$A$3:$O$410,5,false)</f>
        <v/>
      </c>
      <c r="C99" s="765" t="str">
        <f>vlookup(F99,'2) Tracker'!$A$3:$O$410,4,false)</f>
        <v>US</v>
      </c>
      <c r="D99" s="734"/>
      <c r="E99" s="734" t="str">
        <f>vlookup(F99,'2) Tracker'!$A$3:$O$406,15,false)</f>
        <v/>
      </c>
      <c r="F99" s="788" t="s">
        <v>194</v>
      </c>
      <c r="G99" s="783">
        <f>VLOOKUP(F99,'2) Tracker'!$A$2:$BO$360,2,FALSE)</f>
        <v>42234</v>
      </c>
      <c r="H99" s="768">
        <f>VLOOKUP(F99,'2) Tracker'!$A$2:$BO$360,3,FALSE)</f>
        <v>84000</v>
      </c>
      <c r="I99" s="770" t="str">
        <f>VLOOKUP(F99,'2) Tracker'!$A$2:$BO$360,9,FALSE)</f>
        <v>Helios</v>
      </c>
      <c r="J99" s="770" t="str">
        <f>VLOOKUP(F99,'2) Tracker'!$A$2:$BO$360,12,FALSE)</f>
        <v>loads USG</v>
      </c>
      <c r="K99" s="771">
        <f t="shared" ref="K99:O99" si="143">AD99</f>
        <v>46140</v>
      </c>
      <c r="L99" s="771">
        <f t="shared" si="143"/>
        <v>46140</v>
      </c>
      <c r="M99" s="771">
        <f t="shared" si="143"/>
        <v>46172</v>
      </c>
      <c r="N99" s="771" t="str">
        <f t="shared" si="143"/>
        <v/>
      </c>
      <c r="O99" s="772" t="str">
        <f t="shared" si="143"/>
        <v/>
      </c>
      <c r="P99" s="773" t="str">
        <f>iferror(if(vlookup(F99,'Voyage days'!$M$808:$N$819,2,false),"GOA",""),"")</f>
        <v/>
      </c>
      <c r="Q99" s="771" t="str">
        <f t="shared" si="81"/>
        <v/>
      </c>
      <c r="R99" s="771" t="str">
        <f t="shared" si="83"/>
        <v/>
      </c>
      <c r="S99" s="774">
        <f t="shared" si="5"/>
        <v>46160</v>
      </c>
      <c r="T99" s="771" t="str">
        <f t="shared" si="6"/>
        <v/>
      </c>
      <c r="U99" s="771" t="str">
        <f t="shared" si="84"/>
        <v/>
      </c>
      <c r="V99" s="771"/>
      <c r="W99" s="771" t="str">
        <f t="shared" si="85"/>
        <v/>
      </c>
      <c r="X99" s="775" t="str">
        <f t="shared" si="9"/>
        <v/>
      </c>
      <c r="Y99" s="804" t="s">
        <v>1558</v>
      </c>
      <c r="Z99" s="777" t="str">
        <f>vlookup(F99,'2) Tracker'!$A$3:$Q$504,16,false)</f>
        <v>ETA Nederland 23 Apr</v>
      </c>
      <c r="AA99" s="777" t="str">
        <f>vlookup(F99,'2) Tracker'!$A$3:$R$504,18,false)</f>
        <v>Total 28-29 Apr Nederland</v>
      </c>
      <c r="AB99" s="777" t="str">
        <f>vlookup(F99,'2) Tracker'!$A$3:$Q$504,17,false)</f>
        <v/>
      </c>
      <c r="AC99" s="778"/>
      <c r="AD99" s="778">
        <f>VLOOKUP(F99,'2) Tracker'!$A$2:$BO$980,37,FALSE)</f>
        <v>46140</v>
      </c>
      <c r="AE99" s="778">
        <f>VLOOKUP(F99,'2) Tracker'!$A$2:$BO$980,40,FALSE)</f>
        <v>46140</v>
      </c>
      <c r="AF99" s="778">
        <f>VLOOKUP(F99,'2) Tracker'!$A$2:$BO$980,67,FALSE)</f>
        <v>46172</v>
      </c>
      <c r="AG99" s="778" t="str">
        <f>VLOOKUP(F99,'2) Tracker'!$A$2:$BO$980,34,FALSE)</f>
        <v/>
      </c>
      <c r="AH99" s="778" t="str">
        <f>VLOOKUP(F99,'2) Tracker'!$A$2:$BN$980,66,FALSE)</f>
        <v/>
      </c>
      <c r="AI99" s="778" t="str">
        <f>VLOOKUP(F99,'2) Tracker'!$A$2:$BO$980,56,FALSE)</f>
        <v/>
      </c>
      <c r="AJ99" s="778" t="str">
        <f>VLOOKUP(F99,'2) Tracker'!$A$2:$BO$980,52,FALSE)</f>
        <v/>
      </c>
      <c r="AK99" s="778" t="str">
        <f>VLOOKUP(F99,'2) Tracker'!$A$2:$AQ$980,43,FALSE)</f>
        <v/>
      </c>
      <c r="AL99" s="778">
        <f>VLOOKUP(F99,'2) Tracker'!$A$2:$BH$980,46,FALSE())</f>
        <v>46160</v>
      </c>
      <c r="AM99" s="778" t="str">
        <f>VLOOKUP(F99,'2) Tracker'!$A$2:$BO$980,65,FALSE())</f>
        <v/>
      </c>
      <c r="AN99" s="778" t="str">
        <f>VLOOKUP(F99,'2) Tracker'!$A$2:$BK$980,63,FALSE())</f>
        <v/>
      </c>
      <c r="AO99" s="778" t="str">
        <f>VLOOKUP(F99,'2) Tracker'!$A$2:$BF$980,58,FALSE())</f>
        <v/>
      </c>
      <c r="AP99" s="52"/>
      <c r="AQ99" s="52"/>
      <c r="AR99" s="52"/>
      <c r="AS99" s="52"/>
      <c r="AT99" s="52"/>
      <c r="AU99" s="52"/>
      <c r="AV99" s="52"/>
      <c r="AW99" s="52"/>
      <c r="AX99" s="52"/>
      <c r="AY99" s="52"/>
      <c r="AZ99" s="734"/>
      <c r="BA99" s="740"/>
      <c r="BB99" s="734"/>
      <c r="BC99" s="740"/>
      <c r="BD99" s="734"/>
      <c r="BE99" s="52"/>
      <c r="BF99" s="52"/>
      <c r="BG99" s="734"/>
      <c r="BH99" s="734"/>
      <c r="BI99" s="734"/>
      <c r="BJ99" s="734"/>
    </row>
    <row r="100">
      <c r="B100" s="765" t="str">
        <f>vlookup(F100,'2) Tracker'!$A$3:$O$410,5,false)</f>
        <v/>
      </c>
      <c r="C100" s="765" t="str">
        <f>vlookup(F100,'2) Tracker'!$A$3:$O$410,4,false)</f>
        <v/>
      </c>
      <c r="D100" s="734"/>
      <c r="E100" s="734" t="str">
        <f>vlookup(F100,'2) Tracker'!$A$3:$O$406,15,false)</f>
        <v>eu</v>
      </c>
      <c r="F100" s="788" t="s">
        <v>827</v>
      </c>
      <c r="G100" s="783">
        <f>VLOOKUP(F100,'2) Tracker'!$A$2:$BO$360,2,FALSE)</f>
        <v>42741</v>
      </c>
      <c r="H100" s="768">
        <f>VLOOKUP(F100,'2) Tracker'!$A$2:$BO$360,3,FALSE)</f>
        <v>84000</v>
      </c>
      <c r="I100" s="777" t="str">
        <f>VLOOKUP(F100,'2) Tracker'!$A$2:$BO$360,9,FALSE)</f>
        <v>BP</v>
      </c>
      <c r="J100" s="770" t="str">
        <f>VLOOKUP(F100,'2) Tracker'!$A$2:$BO$360,12,FALSE)</f>
        <v>Eu</v>
      </c>
      <c r="K100" s="771">
        <f t="shared" ref="K100:O100" si="144">AD100</f>
        <v>46140</v>
      </c>
      <c r="L100" s="771">
        <f t="shared" si="144"/>
        <v>46141</v>
      </c>
      <c r="M100" s="771" t="str">
        <f t="shared" si="144"/>
        <v/>
      </c>
      <c r="N100" s="772" t="str">
        <f t="shared" si="144"/>
        <v/>
      </c>
      <c r="O100" s="772" t="str">
        <f t="shared" si="144"/>
        <v/>
      </c>
      <c r="P100" s="773" t="str">
        <f>iferror(if(vlookup(F100,'Voyage days'!$M$808:$N$819,2,false),"GOA",""),"")</f>
        <v/>
      </c>
      <c r="Q100" s="771">
        <f t="shared" si="81"/>
        <v>46127</v>
      </c>
      <c r="R100" s="771">
        <f t="shared" si="83"/>
        <v>46140</v>
      </c>
      <c r="S100" s="774">
        <f t="shared" si="5"/>
        <v>46128</v>
      </c>
      <c r="T100" s="771">
        <f t="shared" si="6"/>
        <v>46137</v>
      </c>
      <c r="U100" s="771" t="str">
        <f t="shared" si="84"/>
        <v/>
      </c>
      <c r="V100" s="745" t="s">
        <v>1523</v>
      </c>
      <c r="W100" s="771" t="str">
        <f t="shared" si="85"/>
        <v/>
      </c>
      <c r="X100" s="775" t="str">
        <f t="shared" si="9"/>
        <v/>
      </c>
      <c r="Y100" s="776"/>
      <c r="Z100" s="777" t="str">
        <f>vlookup(F100,'2) Tracker'!$A$3:$Q$504,16,false)</f>
        <v>@ Lavera 06 Apr</v>
      </c>
      <c r="AA100" s="777" t="str">
        <f>vlookup(F100,'2) Tracker'!$A$3:$R$504,18,false)</f>
        <v>Exxon/ATC 23-24 Mar USG</v>
      </c>
      <c r="AB100" s="777" t="str">
        <f>vlookup(F100,'2) Tracker'!$A$3:$Q$504,17,false)</f>
        <v/>
      </c>
      <c r="AC100" s="778"/>
      <c r="AD100" s="778">
        <f>VLOOKUP(F100,'2) Tracker'!$A$2:$BO$980,37,FALSE)</f>
        <v>46140</v>
      </c>
      <c r="AE100" s="778">
        <f>VLOOKUP(F100,'2) Tracker'!$A$2:$BO$980,40,FALSE)</f>
        <v>46141</v>
      </c>
      <c r="AF100" s="778" t="str">
        <f>VLOOKUP(F100,'2) Tracker'!$A$2:$BO$980,67,FALSE)</f>
        <v/>
      </c>
      <c r="AG100" s="778" t="str">
        <f>VLOOKUP(F100,'2) Tracker'!$A$2:$BO$980,34,FALSE)</f>
        <v/>
      </c>
      <c r="AH100" s="778" t="str">
        <f>VLOOKUP(F100,'2) Tracker'!$A$2:$BN$980,66,FALSE)</f>
        <v/>
      </c>
      <c r="AI100" s="778" t="str">
        <f>VLOOKUP(F100,'2) Tracker'!$A$2:$BO$980,56,FALSE)</f>
        <v/>
      </c>
      <c r="AJ100" s="778" t="str">
        <f>VLOOKUP(F100,'2) Tracker'!$A$2:$BO$980,52,FALSE)</f>
        <v/>
      </c>
      <c r="AK100" s="778">
        <f>VLOOKUP(F100,'2) Tracker'!$A$2:$AQ$980,43,FALSE)</f>
        <v>46137</v>
      </c>
      <c r="AL100" s="778">
        <f>VLOOKUP(F100,'2) Tracker'!$A$2:$BH$980,46,FALSE())</f>
        <v>46128</v>
      </c>
      <c r="AM100" s="778">
        <f>VLOOKUP(F100,'2) Tracker'!$A$2:$BO$980,65,FALSE())</f>
        <v>46127</v>
      </c>
      <c r="AN100" s="778">
        <f>VLOOKUP(F100,'2) Tracker'!$A$2:$BK$980,63,FALSE())</f>
        <v>46140</v>
      </c>
      <c r="AO100" s="778" t="str">
        <f>VLOOKUP(F100,'2) Tracker'!$A$2:$BF$980,58,FALSE())</f>
        <v/>
      </c>
      <c r="AP100" s="52"/>
      <c r="AQ100" s="52"/>
      <c r="AR100" s="52"/>
      <c r="AS100" s="52"/>
      <c r="AT100" s="52"/>
      <c r="AU100" s="52"/>
      <c r="AV100" s="52"/>
      <c r="AW100" s="52"/>
      <c r="AX100" s="52"/>
      <c r="AY100" s="52"/>
      <c r="AZ100" s="787"/>
      <c r="BA100" s="786" t="str">
        <f>vlookup(AZ100,'Iran, FS'!$A$1:$B$318,2, false)</f>
        <v>#N/A</v>
      </c>
      <c r="BB100" s="787" t="str">
        <f>vlookup(AZ100,'1) Kpler'!$E$2:$F$500,2,false)</f>
        <v>#N/A</v>
      </c>
      <c r="BC100" s="788"/>
      <c r="BD100" s="787"/>
      <c r="BE100" s="52"/>
      <c r="BF100" s="52"/>
      <c r="BG100" s="787"/>
      <c r="BH100" s="787"/>
      <c r="BI100" s="787"/>
      <c r="BJ100" s="787"/>
    </row>
    <row r="101">
      <c r="B101" s="765" t="str">
        <f>vlookup(F101,'2) Tracker'!$A$3:$O$410,5,false)</f>
        <v/>
      </c>
      <c r="C101" s="765" t="str">
        <f>vlookup(F101,'2) Tracker'!$A$3:$O$410,4,false)</f>
        <v>US</v>
      </c>
      <c r="D101" s="734"/>
      <c r="E101" s="734" t="str">
        <f>vlookup(F101,'2) Tracker'!$A$3:$O$406,15,false)</f>
        <v/>
      </c>
      <c r="F101" s="788" t="s">
        <v>164</v>
      </c>
      <c r="G101" s="783">
        <f>VLOOKUP(F101,'2) Tracker'!$A$2:$BO$360,2,FALSE)</f>
        <v>42331</v>
      </c>
      <c r="H101" s="768">
        <f>VLOOKUP(F101,'2) Tracker'!$A$2:$BO$360,3,FALSE)</f>
        <v>84000</v>
      </c>
      <c r="I101" s="777" t="str">
        <f>VLOOKUP(F101,'2) Tracker'!$A$2:$BO$360,9,FALSE)</f>
        <v>Helios &gt; Petrobras</v>
      </c>
      <c r="J101" s="770" t="str">
        <f>VLOOKUP(F101,'2) Tracker'!$A$2:$BO$360,12,FALSE)</f>
        <v>Suape</v>
      </c>
      <c r="K101" s="771">
        <f t="shared" ref="K101:O101" si="145">AD101</f>
        <v>46141</v>
      </c>
      <c r="L101" s="771">
        <f t="shared" si="145"/>
        <v>46141</v>
      </c>
      <c r="M101" s="771" t="str">
        <f t="shared" si="145"/>
        <v/>
      </c>
      <c r="N101" s="771" t="str">
        <f t="shared" si="145"/>
        <v/>
      </c>
      <c r="O101" s="772" t="str">
        <f t="shared" si="145"/>
        <v/>
      </c>
      <c r="P101" s="773" t="str">
        <f>iferror(if(vlookup(F101,'Voyage days'!$M$808:$N$819,2,false),"GOA",""),"")</f>
        <v/>
      </c>
      <c r="Q101" s="771" t="str">
        <f t="shared" si="81"/>
        <v/>
      </c>
      <c r="R101" s="771" t="str">
        <f t="shared" si="83"/>
        <v/>
      </c>
      <c r="S101" s="774">
        <f t="shared" si="5"/>
        <v>46139</v>
      </c>
      <c r="T101" s="771">
        <f t="shared" si="6"/>
        <v>46136</v>
      </c>
      <c r="U101" s="771" t="str">
        <f t="shared" si="84"/>
        <v/>
      </c>
      <c r="V101" s="745" t="s">
        <v>1523</v>
      </c>
      <c r="W101" s="771" t="str">
        <f t="shared" si="85"/>
        <v/>
      </c>
      <c r="X101" s="775" t="str">
        <f t="shared" si="9"/>
        <v/>
      </c>
      <c r="Y101" s="776"/>
      <c r="Z101" s="777" t="str">
        <f>vlookup(F101,'2) Tracker'!$A$3:$Q$504,16,false)</f>
        <v>@ Suape since 06 Mar</v>
      </c>
      <c r="AA101" s="777" t="str">
        <f>vlookup(F101,'2) Tracker'!$A$3:$R$504,18,false)</f>
        <v>ATC 09 Nov Nederland</v>
      </c>
      <c r="AB101" s="777" t="str">
        <f>vlookup(F101,'2) Tracker'!$A$3:$Q$504,17,false)</f>
        <v/>
      </c>
      <c r="AC101" s="778"/>
      <c r="AD101" s="778">
        <f>VLOOKUP(F101,'2) Tracker'!$A$2:$BO$980,37,FALSE)</f>
        <v>46141</v>
      </c>
      <c r="AE101" s="778">
        <f>VLOOKUP(F101,'2) Tracker'!$A$2:$BO$980,40,FALSE)</f>
        <v>46141</v>
      </c>
      <c r="AF101" s="778" t="str">
        <f>VLOOKUP(F101,'2) Tracker'!$A$2:$BO$980,67,FALSE)</f>
        <v/>
      </c>
      <c r="AG101" s="778" t="str">
        <f>VLOOKUP(F101,'2) Tracker'!$A$2:$BO$980,34,FALSE)</f>
        <v/>
      </c>
      <c r="AH101" s="778" t="str">
        <f>VLOOKUP(F101,'2) Tracker'!$A$2:$BN$980,66,FALSE)</f>
        <v/>
      </c>
      <c r="AI101" s="778" t="str">
        <f>VLOOKUP(F101,'2) Tracker'!$A$2:$BO$980,56,FALSE)</f>
        <v/>
      </c>
      <c r="AJ101" s="778" t="str">
        <f>VLOOKUP(F101,'2) Tracker'!$A$2:$BO$980,52,FALSE)</f>
        <v/>
      </c>
      <c r="AK101" s="778">
        <f>VLOOKUP(F101,'2) Tracker'!$A$2:$AQ$980,43,FALSE)</f>
        <v>46136</v>
      </c>
      <c r="AL101" s="778">
        <f>VLOOKUP(F101,'2) Tracker'!$A$2:$BH$980,46,FALSE())</f>
        <v>46139</v>
      </c>
      <c r="AM101" s="778" t="str">
        <f>VLOOKUP(F101,'2) Tracker'!$A$2:$BO$980,65,FALSE())</f>
        <v/>
      </c>
      <c r="AN101" s="778" t="str">
        <f>VLOOKUP(F101,'2) Tracker'!$A$2:$BK$980,63,FALSE())</f>
        <v/>
      </c>
      <c r="AO101" s="778" t="str">
        <f>VLOOKUP(F101,'2) Tracker'!$A$2:$BF$980,58,FALSE())</f>
        <v/>
      </c>
      <c r="AP101" s="52"/>
      <c r="AQ101" s="52"/>
      <c r="AR101" s="52"/>
      <c r="AS101" s="52"/>
      <c r="AT101" s="52"/>
      <c r="AU101" s="52"/>
      <c r="AV101" s="52"/>
      <c r="AW101" s="52"/>
      <c r="AX101" s="52"/>
      <c r="AY101" s="52"/>
      <c r="AZ101" s="734"/>
      <c r="BA101" s="786" t="str">
        <f>vlookup(AZ101,'Iran, FS'!$A$1:$B$318,2, false)</f>
        <v>#N/A</v>
      </c>
      <c r="BB101" s="787" t="str">
        <f>vlookup(AZ101,'1) Kpler'!$E$2:$F$500,2,false)</f>
        <v>#N/A</v>
      </c>
      <c r="BC101" s="740"/>
      <c r="BD101" s="734"/>
      <c r="BE101" s="52"/>
      <c r="BF101" s="52"/>
      <c r="BG101" s="734"/>
      <c r="BH101" s="734"/>
      <c r="BI101" s="734"/>
      <c r="BJ101" s="734"/>
    </row>
    <row r="102" ht="17.25" customHeight="1">
      <c r="B102" s="765" t="str">
        <f>vlookup(F102,'2) Tracker'!$A$3:$O$410,5,false)</f>
        <v/>
      </c>
      <c r="C102" s="765" t="str">
        <f>vlookup(F102,'2) Tracker'!$A$3:$O$410,4,false)</f>
        <v/>
      </c>
      <c r="D102" s="734"/>
      <c r="E102" s="734" t="str">
        <f>vlookup(F102,'2) Tracker'!$A$3:$O$406,15,false)</f>
        <v>eu</v>
      </c>
      <c r="F102" s="766" t="s">
        <v>84</v>
      </c>
      <c r="G102" s="789">
        <f>VLOOKUP(F102,'2) Tracker'!$A$2:$BO$360,2,FALSE)</f>
        <v>2024</v>
      </c>
      <c r="H102" s="768">
        <f>VLOOKUP(F102,'2) Tracker'!$A$2:$BO$360,3,FALSE)</f>
        <v>91000</v>
      </c>
      <c r="I102" s="769" t="str">
        <f>VLOOKUP(F102,'2) Tracker'!$A$2:$BO$360,9,FALSE)</f>
        <v>BGN</v>
      </c>
      <c r="J102" s="770" t="str">
        <f>VLOOKUP(F102,'2) Tracker'!$A$2:$BO$360,12,FALSE)</f>
        <v>loads USG</v>
      </c>
      <c r="K102" s="774">
        <f t="shared" ref="K102:O102" si="146">AD102</f>
        <v>46141</v>
      </c>
      <c r="L102" s="774">
        <f t="shared" si="146"/>
        <v>46141</v>
      </c>
      <c r="M102" s="771">
        <f t="shared" si="146"/>
        <v>46173</v>
      </c>
      <c r="N102" s="771" t="str">
        <f t="shared" si="146"/>
        <v/>
      </c>
      <c r="O102" s="772" t="str">
        <f t="shared" si="146"/>
        <v/>
      </c>
      <c r="P102" s="773" t="str">
        <f>iferror(if(vlookup(F102,'Voyage days'!$M$808:$N$819,2,false),"GOA",""),"")</f>
        <v/>
      </c>
      <c r="Q102" s="771" t="str">
        <f t="shared" si="81"/>
        <v/>
      </c>
      <c r="R102" s="774" t="str">
        <f t="shared" si="83"/>
        <v/>
      </c>
      <c r="S102" s="774">
        <f t="shared" si="5"/>
        <v>46161</v>
      </c>
      <c r="T102" s="771" t="str">
        <f t="shared" si="6"/>
        <v/>
      </c>
      <c r="U102" s="774" t="str">
        <f t="shared" si="84"/>
        <v/>
      </c>
      <c r="V102" s="771"/>
      <c r="W102" s="771" t="str">
        <f t="shared" si="85"/>
        <v/>
      </c>
      <c r="X102" s="775" t="str">
        <f t="shared" si="9"/>
        <v/>
      </c>
      <c r="Y102" s="776"/>
      <c r="Z102" s="777" t="str">
        <f>vlookup(F102,'2) Tracker'!$A$3:$Q$504,16,false)</f>
        <v>ETA USG 29 Apr</v>
      </c>
      <c r="AA102" s="777" t="str">
        <f>vlookup(F102,'2) Tracker'!$A$3:$R$504,18,false)</f>
        <v>BGN 28-1 Mar Nederland</v>
      </c>
      <c r="AB102" s="777" t="str">
        <f>vlookup(F102,'2) Tracker'!$A$3:$Q$504,17,false)</f>
        <v/>
      </c>
      <c r="AC102" s="778"/>
      <c r="AD102" s="778">
        <f>VLOOKUP(F102,'2) Tracker'!$A$2:$BO$980,37,FALSE)</f>
        <v>46141</v>
      </c>
      <c r="AE102" s="778">
        <f>VLOOKUP(F102,'2) Tracker'!$A$2:$BO$980,40,FALSE)</f>
        <v>46141</v>
      </c>
      <c r="AF102" s="778">
        <f>VLOOKUP(F102,'2) Tracker'!$A$2:$BO$980,67,FALSE)</f>
        <v>46173</v>
      </c>
      <c r="AG102" s="778" t="str">
        <f>VLOOKUP(F102,'2) Tracker'!$A$2:$BO$980,34,FALSE)</f>
        <v/>
      </c>
      <c r="AH102" s="778" t="str">
        <f>VLOOKUP(F102,'2) Tracker'!$A$2:$BN$980,66,FALSE)</f>
        <v/>
      </c>
      <c r="AI102" s="778" t="str">
        <f>VLOOKUP(F102,'2) Tracker'!$A$2:$BO$980,56,FALSE)</f>
        <v/>
      </c>
      <c r="AJ102" s="778" t="str">
        <f>VLOOKUP(F102,'2) Tracker'!$A$2:$BO$980,52,FALSE)</f>
        <v/>
      </c>
      <c r="AK102" s="778" t="str">
        <f>VLOOKUP(F102,'2) Tracker'!$A$2:$AQ$980,43,FALSE)</f>
        <v/>
      </c>
      <c r="AL102" s="778">
        <f>VLOOKUP(F102,'2) Tracker'!$A$2:$BH$980,46,FALSE())</f>
        <v>46161</v>
      </c>
      <c r="AM102" s="778" t="str">
        <f>VLOOKUP(F102,'2) Tracker'!$A$2:$BO$980,65,FALSE())</f>
        <v/>
      </c>
      <c r="AN102" s="778" t="str">
        <f>VLOOKUP(F102,'2) Tracker'!$A$2:$BK$980,63,FALSE())</f>
        <v/>
      </c>
      <c r="AO102" s="778" t="str">
        <f>VLOOKUP(F102,'2) Tracker'!$A$2:$BF$980,58,FALSE())</f>
        <v/>
      </c>
      <c r="AP102" s="52"/>
      <c r="AQ102" s="52"/>
      <c r="AR102" s="52"/>
      <c r="AS102" s="52"/>
      <c r="AT102" s="52"/>
      <c r="AU102" s="52"/>
      <c r="AV102" s="52"/>
      <c r="AW102" s="52"/>
      <c r="AX102" s="52"/>
      <c r="AY102" s="52"/>
      <c r="AZ102" s="787"/>
      <c r="BA102" s="786" t="str">
        <f>vlookup(AZ102,'Iran, FS'!$A$1:$B$318,2, false)</f>
        <v>#N/A</v>
      </c>
      <c r="BB102" s="787" t="str">
        <f>vlookup(AZ102,'1) Kpler'!$E$2:$F$500,2,false)</f>
        <v>#N/A</v>
      </c>
      <c r="BC102" s="798" t="s">
        <v>1534</v>
      </c>
      <c r="BD102" s="787"/>
      <c r="BE102" s="52"/>
      <c r="BF102" s="52"/>
      <c r="BG102" s="787"/>
      <c r="BH102" s="787"/>
      <c r="BI102" s="787"/>
      <c r="BJ102" s="787"/>
    </row>
    <row r="103">
      <c r="B103" s="765" t="str">
        <f>vlookup(F103,'2) Tracker'!$A$3:$O$410,5,false)</f>
        <v/>
      </c>
      <c r="C103" s="765" t="str">
        <f>vlookup(F103,'2) Tracker'!$A$3:$O$410,4,false)</f>
        <v/>
      </c>
      <c r="D103" s="734"/>
      <c r="E103" s="734" t="str">
        <f>vlookup(F103,'2) Tracker'!$A$3:$O$406,15,false)</f>
        <v/>
      </c>
      <c r="F103" s="788" t="s">
        <v>409</v>
      </c>
      <c r="G103" s="792">
        <f>VLOOKUP(F103,'2) Tracker'!$A$2:$BO$360,2,FALSE)</f>
        <v>37895</v>
      </c>
      <c r="H103" s="768">
        <f>VLOOKUP(F103,'2) Tracker'!$A$2:$BO$360,3,FALSE)</f>
        <v>82000</v>
      </c>
      <c r="I103" s="777" t="str">
        <f>VLOOKUP(F103,'2) Tracker'!$A$2:$BO$360,9,FALSE)</f>
        <v>Astomos</v>
      </c>
      <c r="J103" s="770" t="str">
        <f>VLOOKUP(F103,'2) Tracker'!$A$2:$BO$360,12,FALSE)</f>
        <v>Honolulu</v>
      </c>
      <c r="K103" s="771">
        <f t="shared" ref="K103:O103" si="147">AD103</f>
        <v>46141</v>
      </c>
      <c r="L103" s="771" t="str">
        <f t="shared" si="147"/>
        <v/>
      </c>
      <c r="M103" s="771" t="str">
        <f t="shared" si="147"/>
        <v/>
      </c>
      <c r="N103" s="772" t="str">
        <f t="shared" si="147"/>
        <v/>
      </c>
      <c r="O103" s="772" t="str">
        <f t="shared" si="147"/>
        <v/>
      </c>
      <c r="P103" s="773" t="str">
        <f>iferror(if(vlookup(F103,'Voyage days'!$M$808:$N$819,2,false),"GOA",""),"")</f>
        <v/>
      </c>
      <c r="Q103" s="771" t="str">
        <f t="shared" si="81"/>
        <v/>
      </c>
      <c r="R103" s="771" t="str">
        <f t="shared" si="83"/>
        <v/>
      </c>
      <c r="S103" s="774" t="str">
        <f t="shared" si="5"/>
        <v/>
      </c>
      <c r="T103" s="771" t="str">
        <f t="shared" si="6"/>
        <v/>
      </c>
      <c r="U103" s="771" t="str">
        <f t="shared" si="84"/>
        <v/>
      </c>
      <c r="V103" s="771"/>
      <c r="W103" s="771" t="str">
        <f t="shared" si="85"/>
        <v/>
      </c>
      <c r="X103" s="775" t="str">
        <f t="shared" si="9"/>
        <v/>
      </c>
      <c r="Y103" s="795"/>
      <c r="Z103" s="777" t="str">
        <f>vlookup(F103,'2) Tracker'!$A$3:$Q$504,16,false)</f>
        <v>ex DD, @ Honolulu 11 Apr</v>
      </c>
      <c r="AA103" s="777" t="str">
        <f>vlookup(F103,'2) Tracker'!$A$3:$R$504,18,false)</f>
        <v>Astomos 25-26 Dec Ras Laffan</v>
      </c>
      <c r="AB103" s="777" t="str">
        <f>vlookup(F103,'2) Tracker'!$A$3:$Q$504,17,false)</f>
        <v/>
      </c>
      <c r="AC103" s="778"/>
      <c r="AD103" s="778">
        <f>VLOOKUP(F103,'2) Tracker'!$A$2:$BO$980,37,FALSE)</f>
        <v>46141</v>
      </c>
      <c r="AE103" s="778" t="str">
        <f>VLOOKUP(F103,'2) Tracker'!$A$2:$BO$980,40,FALSE)</f>
        <v/>
      </c>
      <c r="AF103" s="778" t="str">
        <f>VLOOKUP(F103,'2) Tracker'!$A$2:$BO$980,67,FALSE)</f>
        <v/>
      </c>
      <c r="AG103" s="778" t="str">
        <f>VLOOKUP(F103,'2) Tracker'!$A$2:$BO$980,34,FALSE)</f>
        <v/>
      </c>
      <c r="AH103" s="778" t="str">
        <f>VLOOKUP(F103,'2) Tracker'!$A$2:$BN$980,66,FALSE)</f>
        <v/>
      </c>
      <c r="AI103" s="778" t="str">
        <f>VLOOKUP(F103,'2) Tracker'!$A$2:$BO$980,56,FALSE)</f>
        <v/>
      </c>
      <c r="AJ103" s="778" t="str">
        <f>VLOOKUP(F103,'2) Tracker'!$A$2:$BO$980,52,FALSE)</f>
        <v/>
      </c>
      <c r="AK103" s="778" t="str">
        <f>VLOOKUP(F103,'2) Tracker'!$A$2:$AQ$980,43,FALSE)</f>
        <v/>
      </c>
      <c r="AL103" s="778" t="str">
        <f>VLOOKUP(F103,'2) Tracker'!$A$2:$BH$980,46,FALSE())</f>
        <v/>
      </c>
      <c r="AM103" s="778" t="str">
        <f>VLOOKUP(F103,'2) Tracker'!$A$2:$BO$980,65,FALSE())</f>
        <v/>
      </c>
      <c r="AN103" s="778" t="str">
        <f>VLOOKUP(F103,'2) Tracker'!$A$2:$BK$980,63,FALSE())</f>
        <v/>
      </c>
      <c r="AO103" s="778" t="str">
        <f>VLOOKUP(F103,'2) Tracker'!$A$2:$BF$980,58,FALSE())</f>
        <v/>
      </c>
      <c r="AP103" s="52"/>
      <c r="AQ103" s="52"/>
      <c r="AR103" s="52"/>
      <c r="AS103" s="52"/>
      <c r="AT103" s="52"/>
      <c r="AU103" s="52"/>
      <c r="AV103" s="52"/>
      <c r="AW103" s="52"/>
      <c r="AX103" s="52"/>
      <c r="AY103" s="52"/>
      <c r="AZ103" s="734"/>
      <c r="BA103" s="786" t="str">
        <f>vlookup(AZ103,'Iran, FS'!$A$1:$B$318,2, false)</f>
        <v>#N/A</v>
      </c>
      <c r="BB103" s="787" t="str">
        <f>vlookup(AZ103,'1) Kpler'!$E$2:$F$500,2,false)</f>
        <v>#N/A</v>
      </c>
      <c r="BC103" s="740"/>
      <c r="BD103" s="734"/>
      <c r="BE103" s="52"/>
      <c r="BF103" s="52"/>
      <c r="BG103" s="734"/>
      <c r="BH103" s="734"/>
      <c r="BI103" s="734"/>
      <c r="BJ103" s="734"/>
    </row>
    <row r="104">
      <c r="B104" s="765" t="str">
        <f>vlookup(F104,'2) Tracker'!$A$3:$O$410,5,false)</f>
        <v/>
      </c>
      <c r="C104" s="765" t="str">
        <f>vlookup(F104,'2) Tracker'!$A$3:$O$410,4,false)</f>
        <v/>
      </c>
      <c r="D104" s="734"/>
      <c r="E104" s="734" t="str">
        <f>vlookup(F104,'2) Tracker'!$A$3:$O$406,15,false)</f>
        <v/>
      </c>
      <c r="F104" s="740" t="s">
        <v>1336</v>
      </c>
      <c r="G104" s="783">
        <f>VLOOKUP(F104,'2) Tracker'!$A$2:$BO$360,2,FALSE)</f>
        <v>42443</v>
      </c>
      <c r="H104" s="768">
        <f>VLOOKUP(F104,'2) Tracker'!$A$2:$BO$360,3,FALSE)</f>
        <v>84142</v>
      </c>
      <c r="I104" s="770" t="str">
        <f>VLOOKUP(F104,'2) Tracker'!$A$2:$BO$360,9,FALSE)</f>
        <v>BW</v>
      </c>
      <c r="J104" s="770" t="str">
        <f>VLOOKUP(F104,'2) Tracker'!$A$2:$BO$360,12,FALSE)</f>
        <v>loads USG</v>
      </c>
      <c r="K104" s="774">
        <f t="shared" ref="K104:O104" si="148">AD104</f>
        <v>46142</v>
      </c>
      <c r="L104" s="774">
        <f t="shared" si="148"/>
        <v>46142</v>
      </c>
      <c r="M104" s="771">
        <f t="shared" si="148"/>
        <v>46174</v>
      </c>
      <c r="N104" s="771" t="str">
        <f t="shared" si="148"/>
        <v/>
      </c>
      <c r="O104" s="772" t="str">
        <f t="shared" si="148"/>
        <v/>
      </c>
      <c r="P104" s="773" t="str">
        <f>iferror(if(vlookup(F104,'Voyage days'!$M$808:$N$819,2,false),"GOA",""),"")</f>
        <v/>
      </c>
      <c r="Q104" s="771" t="str">
        <f t="shared" si="81"/>
        <v/>
      </c>
      <c r="R104" s="771" t="str">
        <f t="shared" si="83"/>
        <v/>
      </c>
      <c r="S104" s="774">
        <f t="shared" si="5"/>
        <v>46162</v>
      </c>
      <c r="T104" s="771" t="str">
        <f t="shared" si="6"/>
        <v/>
      </c>
      <c r="U104" s="771" t="str">
        <f t="shared" si="84"/>
        <v/>
      </c>
      <c r="V104" s="802"/>
      <c r="W104" s="802" t="str">
        <f t="shared" si="85"/>
        <v/>
      </c>
      <c r="X104" s="775" t="str">
        <f t="shared" si="9"/>
        <v/>
      </c>
      <c r="Y104" s="776"/>
      <c r="Z104" s="777" t="str">
        <f>vlookup(F104,'2) Tracker'!$A$3:$Q$504,16,false)</f>
        <v>ex DD, ETA Balboa 24 Apr</v>
      </c>
      <c r="AA104" s="777" t="str">
        <f>vlookup(F104,'2) Tracker'!$A$3:$R$504,18,false)</f>
        <v>BASF 29-30 Apr USG</v>
      </c>
      <c r="AB104" s="777" t="str">
        <f>vlookup(F104,'2) Tracker'!$A$3:$Q$504,17,false)</f>
        <v/>
      </c>
      <c r="AC104" s="778"/>
      <c r="AD104" s="778">
        <f>VLOOKUP(F104,'2) Tracker'!$A$2:$BO$980,37,FALSE)</f>
        <v>46142</v>
      </c>
      <c r="AE104" s="778">
        <f>VLOOKUP(F104,'2) Tracker'!$A$2:$BO$980,40,FALSE)</f>
        <v>46142</v>
      </c>
      <c r="AF104" s="778">
        <f>VLOOKUP(F104,'2) Tracker'!$A$2:$BO$980,67,FALSE)</f>
        <v>46174</v>
      </c>
      <c r="AG104" s="778" t="str">
        <f>VLOOKUP(F104,'2) Tracker'!$A$2:$BO$980,34,FALSE)</f>
        <v/>
      </c>
      <c r="AH104" s="778" t="str">
        <f>VLOOKUP(F104,'2) Tracker'!$A$2:$BN$980,66,FALSE)</f>
        <v/>
      </c>
      <c r="AI104" s="778" t="str">
        <f>VLOOKUP(F104,'2) Tracker'!$A$2:$BO$980,56,FALSE)</f>
        <v/>
      </c>
      <c r="AJ104" s="778" t="str">
        <f>VLOOKUP(F104,'2) Tracker'!$A$2:$BO$980,52,FALSE)</f>
        <v/>
      </c>
      <c r="AK104" s="778" t="str">
        <f>VLOOKUP(F104,'2) Tracker'!$A$2:$AQ$980,43,FALSE)</f>
        <v/>
      </c>
      <c r="AL104" s="778">
        <f>VLOOKUP(F104,'2) Tracker'!$A$2:$BH$980,46,FALSE())</f>
        <v>46162</v>
      </c>
      <c r="AM104" s="778" t="str">
        <f>VLOOKUP(F104,'2) Tracker'!$A$2:$BO$980,65,FALSE())</f>
        <v/>
      </c>
      <c r="AN104" s="778" t="str">
        <f>VLOOKUP(F104,'2) Tracker'!$A$2:$BK$980,63,FALSE())</f>
        <v/>
      </c>
      <c r="AO104" s="778" t="str">
        <f>VLOOKUP(F104,'2) Tracker'!$A$2:$BF$980,58,FALSE())</f>
        <v/>
      </c>
      <c r="AP104" s="52"/>
      <c r="AQ104" s="52"/>
      <c r="AR104" s="52"/>
      <c r="AS104" s="52"/>
      <c r="AT104" s="52"/>
      <c r="AU104" s="52"/>
      <c r="AV104" s="52"/>
      <c r="AW104" s="52"/>
      <c r="AX104" s="52"/>
      <c r="AY104" s="52"/>
      <c r="AZ104" s="787"/>
      <c r="BA104" s="786" t="str">
        <f>vlookup(AZ104,'Iran, FS'!$A$1:$B$318,2, false)</f>
        <v>#N/A</v>
      </c>
      <c r="BB104" s="787" t="str">
        <f>vlookup(AZ104,'1) Kpler'!$E$2:$F$500,2,false)</f>
        <v>#N/A</v>
      </c>
      <c r="BC104" s="788"/>
      <c r="BD104" s="787"/>
      <c r="BE104" s="52"/>
      <c r="BF104" s="52"/>
      <c r="BG104" s="787"/>
      <c r="BH104" s="787"/>
      <c r="BI104" s="787"/>
      <c r="BJ104" s="787"/>
    </row>
    <row r="105">
      <c r="B105" s="765" t="str">
        <f>vlookup(F105,'2) Tracker'!$A$3:$O$410,5,false)</f>
        <v/>
      </c>
      <c r="C105" s="765" t="str">
        <f>vlookup(F105,'2) Tracker'!$A$3:$O$410,4,false)</f>
        <v>US</v>
      </c>
      <c r="D105" s="734"/>
      <c r="E105" s="734" t="str">
        <f>vlookup(F105,'2) Tracker'!$A$3:$O$406,15,false)</f>
        <v/>
      </c>
      <c r="F105" s="822" t="s">
        <v>243</v>
      </c>
      <c r="G105" s="783">
        <f>VLOOKUP(F105,'2) Tracker'!$A$2:$BO$360,2,FALSE)</f>
        <v>39888</v>
      </c>
      <c r="H105" s="768">
        <f>VLOOKUP(F105,'2) Tracker'!$A$2:$BO$360,3,FALSE)</f>
        <v>82000</v>
      </c>
      <c r="I105" s="777" t="str">
        <f>VLOOKUP(F105,'2) Tracker'!$A$2:$BO$360,9,FALSE)</f>
        <v>SHV</v>
      </c>
      <c r="J105" s="770" t="str">
        <f>VLOOKUP(F105,'2) Tracker'!$A$2:$BO$360,12,FALSE)</f>
        <v>loads USG</v>
      </c>
      <c r="K105" s="771">
        <f t="shared" ref="K105:O105" si="149">AD105</f>
        <v>46142</v>
      </c>
      <c r="L105" s="771">
        <f t="shared" si="149"/>
        <v>46142</v>
      </c>
      <c r="M105" s="771">
        <f t="shared" si="149"/>
        <v>46174</v>
      </c>
      <c r="N105" s="771" t="str">
        <f t="shared" si="149"/>
        <v/>
      </c>
      <c r="O105" s="772" t="str">
        <f t="shared" si="149"/>
        <v/>
      </c>
      <c r="P105" s="773" t="str">
        <f>iferror(if(vlookup(F105,'Voyage days'!$M$808:$N$819,2,false),"GOA",""),"")</f>
        <v/>
      </c>
      <c r="Q105" s="771" t="str">
        <f t="shared" si="81"/>
        <v/>
      </c>
      <c r="R105" s="771" t="str">
        <f t="shared" si="83"/>
        <v/>
      </c>
      <c r="S105" s="774">
        <f t="shared" si="5"/>
        <v>46162</v>
      </c>
      <c r="T105" s="771" t="str">
        <f t="shared" si="6"/>
        <v/>
      </c>
      <c r="U105" s="771" t="str">
        <f t="shared" si="84"/>
        <v/>
      </c>
      <c r="V105" s="771"/>
      <c r="W105" s="771" t="str">
        <f t="shared" si="85"/>
        <v/>
      </c>
      <c r="X105" s="775" t="str">
        <f t="shared" si="9"/>
        <v/>
      </c>
      <c r="Y105" s="795" t="s">
        <v>1559</v>
      </c>
      <c r="Z105" s="777" t="str">
        <f>vlookup(F105,'2) Tracker'!$A$3:$Q$504,16,false)</f>
        <v>ETA Freeport 30 Apr via Cape</v>
      </c>
      <c r="AA105" s="777" t="str">
        <f>vlookup(F105,'2) Tracker'!$A$3:$R$504,18,false)</f>
        <v>Pertamina 29-30 Apr Freeport</v>
      </c>
      <c r="AB105" s="777" t="str">
        <f>vlookup(F105,'2) Tracker'!$A$3:$Q$504,17,false)</f>
        <v/>
      </c>
      <c r="AC105" s="778"/>
      <c r="AD105" s="778">
        <f>VLOOKUP(F105,'2) Tracker'!$A$2:$BO$980,37,FALSE)</f>
        <v>46142</v>
      </c>
      <c r="AE105" s="778">
        <f>VLOOKUP(F105,'2) Tracker'!$A$2:$BO$980,40,FALSE)</f>
        <v>46142</v>
      </c>
      <c r="AF105" s="778">
        <f>VLOOKUP(F105,'2) Tracker'!$A$2:$BO$980,67,FALSE)</f>
        <v>46174</v>
      </c>
      <c r="AG105" s="778" t="str">
        <f>VLOOKUP(F105,'2) Tracker'!$A$2:$BO$980,34,FALSE)</f>
        <v/>
      </c>
      <c r="AH105" s="778" t="str">
        <f>VLOOKUP(F105,'2) Tracker'!$A$2:$BN$980,66,FALSE)</f>
        <v/>
      </c>
      <c r="AI105" s="778" t="str">
        <f>VLOOKUP(F105,'2) Tracker'!$A$2:$BO$980,56,FALSE)</f>
        <v/>
      </c>
      <c r="AJ105" s="778" t="str">
        <f>VLOOKUP(F105,'2) Tracker'!$A$2:$BO$980,52,FALSE)</f>
        <v/>
      </c>
      <c r="AK105" s="778" t="str">
        <f>VLOOKUP(F105,'2) Tracker'!$A$2:$AQ$980,43,FALSE)</f>
        <v/>
      </c>
      <c r="AL105" s="778">
        <f>VLOOKUP(F105,'2) Tracker'!$A$2:$BH$980,46,FALSE())</f>
        <v>46162</v>
      </c>
      <c r="AM105" s="778" t="str">
        <f>VLOOKUP(F105,'2) Tracker'!$A$2:$BO$980,65,FALSE())</f>
        <v/>
      </c>
      <c r="AN105" s="778" t="str">
        <f>VLOOKUP(F105,'2) Tracker'!$A$2:$BK$980,63,FALSE())</f>
        <v/>
      </c>
      <c r="AO105" s="778" t="str">
        <f>VLOOKUP(F105,'2) Tracker'!$A$2:$BF$980,58,FALSE())</f>
        <v/>
      </c>
      <c r="AP105" s="52"/>
      <c r="AQ105" s="52"/>
      <c r="AR105" s="52"/>
      <c r="AS105" s="52"/>
      <c r="AT105" s="52"/>
      <c r="AU105" s="52"/>
      <c r="AV105" s="52"/>
      <c r="AW105" s="52"/>
      <c r="AX105" s="52"/>
      <c r="AY105" s="52"/>
      <c r="AZ105" s="734"/>
      <c r="BA105" s="786" t="str">
        <f>vlookup(AZ105,'Iran, FS'!$A$1:$B$318,2, false)</f>
        <v>#N/A</v>
      </c>
      <c r="BB105" s="787" t="str">
        <f>vlookup(AZ105,'1) Kpler'!$E$2:$F$500,2,false)</f>
        <v>#N/A</v>
      </c>
      <c r="BC105" s="740"/>
      <c r="BD105" s="734"/>
      <c r="BE105" s="52"/>
      <c r="BF105" s="52"/>
      <c r="BG105" s="734"/>
      <c r="BH105" s="734"/>
      <c r="BI105" s="734"/>
      <c r="BJ105" s="734"/>
    </row>
    <row r="106">
      <c r="B106" s="765" t="str">
        <f>vlookup(F106,'2) Tracker'!$A$3:$O$410,5,false)</f>
        <v/>
      </c>
      <c r="C106" s="765" t="str">
        <f>vlookup(F106,'2) Tracker'!$A$3:$O$410,4,false)</f>
        <v/>
      </c>
      <c r="D106" s="734"/>
      <c r="E106" s="734" t="str">
        <f>vlookup(F106,'2) Tracker'!$A$3:$O$406,15,false)</f>
        <v/>
      </c>
      <c r="F106" s="788" t="s">
        <v>460</v>
      </c>
      <c r="G106" s="789">
        <f>VLOOKUP(F106,'2) Tracker'!$A$2:$BO$360,2,FALSE)</f>
        <v>2023</v>
      </c>
      <c r="H106" s="768">
        <f>VLOOKUP(F106,'2) Tracker'!$A$2:$BO$360,3,FALSE)</f>
        <v>91000</v>
      </c>
      <c r="I106" s="770" t="str">
        <f>VLOOKUP(F106,'2) Tracker'!$A$2:$BO$360,9,FALSE)</f>
        <v>SwissChemGas</v>
      </c>
      <c r="J106" s="770" t="str">
        <f>VLOOKUP(F106,'2) Tracker'!$A$2:$BO$360,12,FALSE)</f>
        <v>Eu</v>
      </c>
      <c r="K106" s="771">
        <f t="shared" ref="K106:O106" si="150">AD106</f>
        <v>46142</v>
      </c>
      <c r="L106" s="771">
        <f t="shared" si="150"/>
        <v>46143</v>
      </c>
      <c r="M106" s="771" t="str">
        <f t="shared" si="150"/>
        <v/>
      </c>
      <c r="N106" s="771" t="str">
        <f t="shared" si="150"/>
        <v/>
      </c>
      <c r="O106" s="772" t="str">
        <f t="shared" si="150"/>
        <v/>
      </c>
      <c r="P106" s="773" t="str">
        <f>iferror(if(vlookup(F106,'Voyage days'!$M$808:$N$819,2,false),"GOA",""),"")</f>
        <v/>
      </c>
      <c r="Q106" s="771">
        <f t="shared" si="81"/>
        <v>46129</v>
      </c>
      <c r="R106" s="771">
        <f t="shared" si="83"/>
        <v>46142</v>
      </c>
      <c r="S106" s="774">
        <f t="shared" si="5"/>
        <v>46130</v>
      </c>
      <c r="T106" s="771">
        <f t="shared" si="6"/>
        <v>46139</v>
      </c>
      <c r="U106" s="771" t="str">
        <f t="shared" si="84"/>
        <v/>
      </c>
      <c r="V106" s="771"/>
      <c r="W106" s="771" t="str">
        <f t="shared" si="85"/>
        <v/>
      </c>
      <c r="X106" s="775" t="str">
        <f t="shared" si="9"/>
        <v/>
      </c>
      <c r="Y106" s="776"/>
      <c r="Z106" s="777" t="str">
        <f>vlookup(F106,'2) Tracker'!$A$3:$Q$504,16,false)</f>
        <v>ETA Stenungsund 13 Apr</v>
      </c>
      <c r="AA106" s="777" t="str">
        <f>vlookup(F106,'2) Tracker'!$A$3:$R$504,18,false)</f>
        <v>SwissChemGas 26-27 Mar USG</v>
      </c>
      <c r="AB106" s="777" t="str">
        <f>vlookup(F106,'2) Tracker'!$A$3:$Q$504,17,false)</f>
        <v/>
      </c>
      <c r="AC106" s="778"/>
      <c r="AD106" s="778">
        <f>VLOOKUP(F106,'2) Tracker'!$A$2:$BO$980,37,FALSE)</f>
        <v>46142</v>
      </c>
      <c r="AE106" s="778">
        <f>VLOOKUP(F106,'2) Tracker'!$A$2:$BO$980,40,FALSE)</f>
        <v>46143</v>
      </c>
      <c r="AF106" s="778" t="str">
        <f>VLOOKUP(F106,'2) Tracker'!$A$2:$BO$980,67,FALSE)</f>
        <v/>
      </c>
      <c r="AG106" s="778" t="str">
        <f>VLOOKUP(F106,'2) Tracker'!$A$2:$BO$980,34,FALSE)</f>
        <v/>
      </c>
      <c r="AH106" s="778" t="str">
        <f>VLOOKUP(F106,'2) Tracker'!$A$2:$BN$980,66,FALSE)</f>
        <v/>
      </c>
      <c r="AI106" s="778" t="str">
        <f>VLOOKUP(F106,'2) Tracker'!$A$2:$BO$980,56,FALSE)</f>
        <v/>
      </c>
      <c r="AJ106" s="778" t="str">
        <f>VLOOKUP(F106,'2) Tracker'!$A$2:$BO$980,52,FALSE)</f>
        <v/>
      </c>
      <c r="AK106" s="778">
        <f>VLOOKUP(F106,'2) Tracker'!$A$2:$AQ$980,43,FALSE)</f>
        <v>46139</v>
      </c>
      <c r="AL106" s="778">
        <f>VLOOKUP(F106,'2) Tracker'!$A$2:$BH$980,46,FALSE())</f>
        <v>46130</v>
      </c>
      <c r="AM106" s="778">
        <f>VLOOKUP(F106,'2) Tracker'!$A$2:$BO$980,65,FALSE())</f>
        <v>46129</v>
      </c>
      <c r="AN106" s="778">
        <f>VLOOKUP(F106,'2) Tracker'!$A$2:$BK$980,63,FALSE())</f>
        <v>46142</v>
      </c>
      <c r="AO106" s="778" t="str">
        <f>VLOOKUP(F106,'2) Tracker'!$A$2:$BF$980,58,FALSE())</f>
        <v/>
      </c>
      <c r="AP106" s="52"/>
      <c r="AQ106" s="52"/>
      <c r="AR106" s="52"/>
      <c r="AS106" s="52"/>
      <c r="AT106" s="52"/>
      <c r="AU106" s="52"/>
      <c r="AV106" s="52"/>
      <c r="AW106" s="52"/>
      <c r="AX106" s="52"/>
      <c r="AY106" s="52"/>
      <c r="AZ106" s="787"/>
      <c r="BA106" s="786" t="str">
        <f>vlookup(AZ106,'Iran, FS'!$A$1:$B$318,2, false)</f>
        <v>#N/A</v>
      </c>
      <c r="BB106" s="787" t="str">
        <f>vlookup(AZ106,'1) Kpler'!$E$2:$F$500,2,false)</f>
        <v>#N/A</v>
      </c>
      <c r="BC106" s="788"/>
      <c r="BD106" s="787"/>
      <c r="BE106" s="52"/>
      <c r="BF106" s="52"/>
      <c r="BG106" s="787"/>
      <c r="BH106" s="787"/>
      <c r="BI106" s="787"/>
      <c r="BJ106" s="787"/>
    </row>
    <row r="107">
      <c r="B107" s="765" t="str">
        <f>vlookup(F107,'2) Tracker'!$A$3:$O$410,5,false)</f>
        <v/>
      </c>
      <c r="C107" s="765" t="str">
        <f>vlookup(F107,'2) Tracker'!$A$3:$O$410,4,false)</f>
        <v/>
      </c>
      <c r="D107" s="734"/>
      <c r="E107" s="734" t="str">
        <f>vlookup(F107,'2) Tracker'!$A$3:$O$406,15,false)</f>
        <v/>
      </c>
      <c r="F107" s="766" t="s">
        <v>204</v>
      </c>
      <c r="G107" s="789">
        <f>VLOOKUP(F107,'2) Tracker'!$A$2:$BO$360,2,FALSE)</f>
        <v>2020</v>
      </c>
      <c r="H107" s="768">
        <f>VLOOKUP(F107,'2) Tracker'!$A$2:$BO$360,3,FALSE)</f>
        <v>82000</v>
      </c>
      <c r="I107" s="769" t="str">
        <f>VLOOKUP(F107,'2) Tracker'!$A$2:$BO$360,9,FALSE)</f>
        <v>Equinor</v>
      </c>
      <c r="J107" s="770" t="str">
        <f>VLOOKUP(F107,'2) Tracker'!$A$2:$BO$360,12,FALSE)</f>
        <v>loads USG</v>
      </c>
      <c r="K107" s="774">
        <f t="shared" ref="K107:O107" si="151">AD107</f>
        <v>46143</v>
      </c>
      <c r="L107" s="774">
        <f t="shared" si="151"/>
        <v>46143</v>
      </c>
      <c r="M107" s="771">
        <f t="shared" si="151"/>
        <v>46175</v>
      </c>
      <c r="N107" s="772" t="str">
        <f t="shared" si="151"/>
        <v/>
      </c>
      <c r="O107" s="772" t="str">
        <f t="shared" si="151"/>
        <v/>
      </c>
      <c r="P107" s="773" t="str">
        <f>iferror(if(vlookup(F107,'Voyage days'!$M$808:$N$819,2,false),"GOA",""),"")</f>
        <v/>
      </c>
      <c r="Q107" s="771" t="str">
        <f t="shared" si="81"/>
        <v/>
      </c>
      <c r="R107" s="774" t="str">
        <f t="shared" si="83"/>
        <v/>
      </c>
      <c r="S107" s="774">
        <f t="shared" si="5"/>
        <v>46163</v>
      </c>
      <c r="T107" s="771" t="str">
        <f t="shared" si="6"/>
        <v/>
      </c>
      <c r="U107" s="774" t="str">
        <f t="shared" si="84"/>
        <v/>
      </c>
      <c r="V107" s="771"/>
      <c r="W107" s="771" t="str">
        <f t="shared" si="85"/>
        <v/>
      </c>
      <c r="X107" s="775" t="str">
        <f t="shared" si="9"/>
        <v/>
      </c>
      <c r="Y107" s="776"/>
      <c r="Z107" s="777" t="str">
        <f>vlookup(F107,'2) Tracker'!$A$3:$Q$504,16,false)</f>
        <v>ETA Balboa 22 Apr</v>
      </c>
      <c r="AA107" s="777" t="str">
        <f>vlookup(F107,'2) Tracker'!$A$3:$R$504,18,false)</f>
        <v>Equinor 01-05 May USG?</v>
      </c>
      <c r="AB107" s="777" t="str">
        <f>vlookup(F107,'2) Tracker'!$A$3:$Q$504,17,false)</f>
        <v/>
      </c>
      <c r="AC107" s="778"/>
      <c r="AD107" s="778">
        <f>VLOOKUP(F107,'2) Tracker'!$A$2:$BO$980,37,FALSE)</f>
        <v>46143</v>
      </c>
      <c r="AE107" s="778">
        <f>VLOOKUP(F107,'2) Tracker'!$A$2:$BO$980,40,FALSE)</f>
        <v>46143</v>
      </c>
      <c r="AF107" s="778">
        <f>VLOOKUP(F107,'2) Tracker'!$A$2:$BO$980,67,FALSE)</f>
        <v>46175</v>
      </c>
      <c r="AG107" s="778" t="str">
        <f>VLOOKUP(F107,'2) Tracker'!$A$2:$BO$980,34,FALSE)</f>
        <v/>
      </c>
      <c r="AH107" s="778" t="str">
        <f>VLOOKUP(F107,'2) Tracker'!$A$2:$BN$980,66,FALSE)</f>
        <v/>
      </c>
      <c r="AI107" s="778" t="str">
        <f>VLOOKUP(F107,'2) Tracker'!$A$2:$BO$980,56,FALSE)</f>
        <v/>
      </c>
      <c r="AJ107" s="778" t="str">
        <f>VLOOKUP(F107,'2) Tracker'!$A$2:$BO$980,52,FALSE)</f>
        <v/>
      </c>
      <c r="AK107" s="778" t="str">
        <f>VLOOKUP(F107,'2) Tracker'!$A$2:$AQ$980,43,FALSE)</f>
        <v/>
      </c>
      <c r="AL107" s="778">
        <f>VLOOKUP(F107,'2) Tracker'!$A$2:$BH$980,46,FALSE())</f>
        <v>46163</v>
      </c>
      <c r="AM107" s="778" t="str">
        <f>VLOOKUP(F107,'2) Tracker'!$A$2:$BO$980,65,FALSE())</f>
        <v/>
      </c>
      <c r="AN107" s="778" t="str">
        <f>VLOOKUP(F107,'2) Tracker'!$A$2:$BK$980,63,FALSE())</f>
        <v/>
      </c>
      <c r="AO107" s="778" t="str">
        <f>VLOOKUP(F107,'2) Tracker'!$A$2:$BF$980,58,FALSE())</f>
        <v/>
      </c>
      <c r="AP107" s="52"/>
      <c r="AQ107" s="52"/>
      <c r="AR107" s="52"/>
      <c r="AS107" s="52"/>
      <c r="AT107" s="52"/>
      <c r="AU107" s="52"/>
      <c r="AV107" s="52"/>
      <c r="AW107" s="52"/>
      <c r="AX107" s="52"/>
      <c r="AY107" s="52"/>
      <c r="AZ107" s="734"/>
      <c r="BA107" s="786" t="str">
        <f>vlookup(AZ107,'Iran, FS'!$A$1:$B$318,2, false)</f>
        <v>#N/A</v>
      </c>
      <c r="BB107" s="787" t="str">
        <f>vlookup(AZ107,'1) Kpler'!$E$2:$F$500,2,false)</f>
        <v>#N/A</v>
      </c>
      <c r="BC107" s="740"/>
      <c r="BD107" s="734"/>
      <c r="BE107" s="52"/>
      <c r="BF107" s="52"/>
      <c r="BG107" s="734"/>
      <c r="BH107" s="734"/>
      <c r="BI107" s="734"/>
      <c r="BJ107" s="734"/>
    </row>
    <row r="108">
      <c r="B108" s="765" t="str">
        <f>vlookup(F108,'2) Tracker'!$A$3:$O$410,5,false)</f>
        <v/>
      </c>
      <c r="C108" s="765" t="str">
        <f>vlookup(F108,'2) Tracker'!$A$3:$O$410,4,false)</f>
        <v/>
      </c>
      <c r="D108" s="734"/>
      <c r="E108" s="734" t="str">
        <f>vlookup(F108,'2) Tracker'!$A$3:$O$406,15,false)</f>
        <v/>
      </c>
      <c r="F108" s="766" t="s">
        <v>155</v>
      </c>
      <c r="G108" s="789">
        <f>VLOOKUP(F108,'2) Tracker'!$A$2:$BO$360,2,FALSE)</f>
        <v>2022</v>
      </c>
      <c r="H108" s="768">
        <f>VLOOKUP(F108,'2) Tracker'!$A$2:$BO$360,3,FALSE)</f>
        <v>84000</v>
      </c>
      <c r="I108" s="769" t="str">
        <f>VLOOKUP(F108,'2) Tracker'!$A$2:$BO$360,9,FALSE)</f>
        <v>Equinor</v>
      </c>
      <c r="J108" s="770" t="str">
        <f>VLOOKUP(F108,'2) Tracker'!$A$2:$BO$360,12,FALSE)</f>
        <v>loads USG</v>
      </c>
      <c r="K108" s="771">
        <f t="shared" ref="K108:O108" si="152">AD108</f>
        <v>46143</v>
      </c>
      <c r="L108" s="771">
        <f t="shared" si="152"/>
        <v>46143</v>
      </c>
      <c r="M108" s="771">
        <f t="shared" si="152"/>
        <v>46175</v>
      </c>
      <c r="N108" s="772" t="str">
        <f t="shared" si="152"/>
        <v/>
      </c>
      <c r="O108" s="772" t="str">
        <f t="shared" si="152"/>
        <v/>
      </c>
      <c r="P108" s="773" t="str">
        <f>iferror(if(vlookup(F108,'Voyage days'!$M$808:$N$819,2,false),"GOA",""),"")</f>
        <v/>
      </c>
      <c r="Q108" s="771" t="str">
        <f t="shared" si="81"/>
        <v/>
      </c>
      <c r="R108" s="771" t="str">
        <f t="shared" si="83"/>
        <v/>
      </c>
      <c r="S108" s="774">
        <f t="shared" si="5"/>
        <v>46163</v>
      </c>
      <c r="T108" s="771" t="str">
        <f t="shared" si="6"/>
        <v/>
      </c>
      <c r="U108" s="771" t="str">
        <f t="shared" si="84"/>
        <v/>
      </c>
      <c r="V108" s="771"/>
      <c r="W108" s="771" t="str">
        <f t="shared" si="85"/>
        <v/>
      </c>
      <c r="X108" s="775" t="str">
        <f t="shared" si="9"/>
        <v/>
      </c>
      <c r="Y108" s="776"/>
      <c r="Z108" s="777" t="str">
        <f>vlookup(F108,'2) Tracker'!$A$3:$Q$504,16,false)</f>
        <v>ETA Balboa 24 Apr</v>
      </c>
      <c r="AA108" s="777" t="str">
        <f>vlookup(F108,'2) Tracker'!$A$3:$R$504,18,false)</f>
        <v>Equinor 01-05 May USG?</v>
      </c>
      <c r="AB108" s="777" t="str">
        <f>vlookup(F108,'2) Tracker'!$A$3:$Q$504,17,false)</f>
        <v/>
      </c>
      <c r="AC108" s="778"/>
      <c r="AD108" s="778">
        <f>VLOOKUP(F108,'2) Tracker'!$A$2:$BO$980,37,FALSE)</f>
        <v>46143</v>
      </c>
      <c r="AE108" s="778">
        <f>VLOOKUP(F108,'2) Tracker'!$A$2:$BO$980,40,FALSE)</f>
        <v>46143</v>
      </c>
      <c r="AF108" s="778">
        <f>VLOOKUP(F108,'2) Tracker'!$A$2:$BO$980,67,FALSE)</f>
        <v>46175</v>
      </c>
      <c r="AG108" s="778" t="str">
        <f>VLOOKUP(F108,'2) Tracker'!$A$2:$BO$980,34,FALSE)</f>
        <v/>
      </c>
      <c r="AH108" s="778" t="str">
        <f>VLOOKUP(F108,'2) Tracker'!$A$2:$BN$980,66,FALSE)</f>
        <v/>
      </c>
      <c r="AI108" s="778" t="str">
        <f>VLOOKUP(F108,'2) Tracker'!$A$2:$BO$980,56,FALSE)</f>
        <v/>
      </c>
      <c r="AJ108" s="778" t="str">
        <f>VLOOKUP(F108,'2) Tracker'!$A$2:$BO$980,52,FALSE)</f>
        <v/>
      </c>
      <c r="AK108" s="778" t="str">
        <f>VLOOKUP(F108,'2) Tracker'!$A$2:$AQ$980,43,FALSE)</f>
        <v/>
      </c>
      <c r="AL108" s="778">
        <f>VLOOKUP(F108,'2) Tracker'!$A$2:$BH$980,46,FALSE())</f>
        <v>46163</v>
      </c>
      <c r="AM108" s="778" t="str">
        <f>VLOOKUP(F108,'2) Tracker'!$A$2:$BO$980,65,FALSE())</f>
        <v/>
      </c>
      <c r="AN108" s="778" t="str">
        <f>VLOOKUP(F108,'2) Tracker'!$A$2:$BK$980,63,FALSE())</f>
        <v/>
      </c>
      <c r="AO108" s="778" t="str">
        <f>VLOOKUP(F108,'2) Tracker'!$A$2:$BF$980,58,FALSE())</f>
        <v/>
      </c>
      <c r="AW108" s="52"/>
      <c r="AX108" s="52"/>
      <c r="AY108" s="52"/>
      <c r="AZ108" s="734"/>
      <c r="BA108" s="740"/>
      <c r="BB108" s="734"/>
      <c r="BC108" s="740"/>
      <c r="BD108" s="734"/>
      <c r="BE108" s="52"/>
      <c r="BF108" s="52"/>
      <c r="BG108" s="734"/>
      <c r="BH108" s="734"/>
      <c r="BI108" s="734"/>
      <c r="BJ108" s="734"/>
    </row>
    <row r="109">
      <c r="B109" s="765"/>
      <c r="C109" s="765" t="str">
        <f>vlookup(F109,'2) Tracker'!$A$3:$O$410,4,false)</f>
        <v/>
      </c>
      <c r="D109" s="732" t="s">
        <v>1515</v>
      </c>
      <c r="E109" s="734" t="str">
        <f>vlookup(F109,'2) Tracker'!$A$3:$O$406,15,false)</f>
        <v/>
      </c>
      <c r="F109" s="797" t="s">
        <v>452</v>
      </c>
      <c r="G109" s="789">
        <f>VLOOKUP(F109,'2) Tracker'!$A$2:$BO$360,2,FALSE)</f>
        <v>2024</v>
      </c>
      <c r="H109" s="768">
        <f>VLOOKUP(F109,'2) Tracker'!$A$2:$BO$360,3,FALSE)</f>
        <v>88000</v>
      </c>
      <c r="I109" s="769" t="str">
        <f>VLOOKUP(F109,'2) Tracker'!$A$2:$BO$360,9,FALSE)</f>
        <v>Geogas</v>
      </c>
      <c r="J109" s="770" t="str">
        <f>VLOOKUP(F109,'2) Tracker'!$A$2:$BO$360,12,FALSE)</f>
        <v>loads USG</v>
      </c>
      <c r="K109" s="771">
        <f t="shared" ref="K109:O109" si="153">AD109</f>
        <v>46143</v>
      </c>
      <c r="L109" s="771">
        <f t="shared" si="153"/>
        <v>46143</v>
      </c>
      <c r="M109" s="771">
        <f t="shared" si="153"/>
        <v>46175</v>
      </c>
      <c r="N109" s="771" t="str">
        <f t="shared" si="153"/>
        <v/>
      </c>
      <c r="O109" s="772" t="str">
        <f t="shared" si="153"/>
        <v/>
      </c>
      <c r="P109" s="773" t="str">
        <f>iferror(if(vlookup(F109,'Voyage days'!$M$808:$N$819,2,false),"GOA",""),"")</f>
        <v/>
      </c>
      <c r="Q109" s="771" t="str">
        <f t="shared" si="81"/>
        <v/>
      </c>
      <c r="R109" s="771" t="str">
        <f t="shared" si="83"/>
        <v/>
      </c>
      <c r="S109" s="774">
        <f t="shared" si="5"/>
        <v>46163</v>
      </c>
      <c r="T109" s="774" t="str">
        <f t="shared" si="6"/>
        <v/>
      </c>
      <c r="U109" s="771" t="str">
        <f t="shared" si="84"/>
        <v/>
      </c>
      <c r="V109" s="771"/>
      <c r="W109" s="771" t="str">
        <f t="shared" si="85"/>
        <v/>
      </c>
      <c r="X109" s="775" t="str">
        <f t="shared" si="9"/>
        <v/>
      </c>
      <c r="Y109" s="776"/>
      <c r="Z109" s="777" t="str">
        <f>vlookup(F109,'2) Tracker'!$A$3:$Q$504,16,false)</f>
        <v>Sailed Mombasa 03 Apr, ETA USG 29 Apr</v>
      </c>
      <c r="AA109" s="777" t="str">
        <f>vlookup(F109,'2) Tracker'!$A$3:$R$504,18,false)</f>
        <v>Geogas 26-27 Feb Enterprise</v>
      </c>
      <c r="AB109" s="777" t="str">
        <f>vlookup(F109,'2) Tracker'!$A$3:$Q$504,17,false)</f>
        <v/>
      </c>
      <c r="AC109" s="778"/>
      <c r="AD109" s="778">
        <f>VLOOKUP(F109,'2) Tracker'!$A$2:$BO$980,37,FALSE)</f>
        <v>46143</v>
      </c>
      <c r="AE109" s="778">
        <f>VLOOKUP(F109,'2) Tracker'!$A$2:$BO$980,40,FALSE)</f>
        <v>46143</v>
      </c>
      <c r="AF109" s="778">
        <f>VLOOKUP(F109,'2) Tracker'!$A$2:$BO$980,67,FALSE)</f>
        <v>46175</v>
      </c>
      <c r="AG109" s="778" t="str">
        <f>VLOOKUP(F109,'2) Tracker'!$A$2:$BO$980,34,FALSE)</f>
        <v/>
      </c>
      <c r="AH109" s="778" t="str">
        <f>VLOOKUP(F109,'2) Tracker'!$A$2:$BN$980,66,FALSE)</f>
        <v/>
      </c>
      <c r="AI109" s="778" t="str">
        <f>VLOOKUP(F109,'2) Tracker'!$A$2:$BO$980,56,FALSE)</f>
        <v/>
      </c>
      <c r="AJ109" s="778" t="str">
        <f>VLOOKUP(F109,'2) Tracker'!$A$2:$BO$980,52,FALSE)</f>
        <v/>
      </c>
      <c r="AK109" s="778" t="str">
        <f>VLOOKUP(F109,'2) Tracker'!$A$2:$AQ$980,43,FALSE)</f>
        <v/>
      </c>
      <c r="AL109" s="778">
        <f>VLOOKUP(F109,'2) Tracker'!$A$2:$BH$980,46,FALSE())</f>
        <v>46163</v>
      </c>
      <c r="AM109" s="778" t="str">
        <f>VLOOKUP(F109,'2) Tracker'!$A$2:$BO$980,65,FALSE())</f>
        <v/>
      </c>
      <c r="AN109" s="778" t="str">
        <f>VLOOKUP(F109,'2) Tracker'!$A$2:$BK$980,63,FALSE())</f>
        <v/>
      </c>
      <c r="AO109" s="778" t="str">
        <f>VLOOKUP(F109,'2) Tracker'!$A$2:$BF$980,58,FALSE())</f>
        <v/>
      </c>
      <c r="AP109" s="52"/>
      <c r="AQ109" s="52"/>
      <c r="AR109" s="52"/>
      <c r="AS109" s="52"/>
      <c r="AT109" s="52"/>
      <c r="AU109" s="52"/>
      <c r="AV109" s="52"/>
      <c r="AW109" s="52"/>
      <c r="AX109" s="52"/>
      <c r="AY109" s="52"/>
      <c r="AZ109" s="734"/>
      <c r="BA109" s="786" t="str">
        <f>vlookup(AZ109,'Iran, FS'!$A$1:$B$318,2, false)</f>
        <v>#N/A</v>
      </c>
      <c r="BB109" s="787" t="str">
        <f>vlookup(AZ109,'1) Kpler'!$E$2:$F$500,2,false)</f>
        <v>#N/A</v>
      </c>
      <c r="BC109" s="740"/>
      <c r="BD109" s="734"/>
      <c r="BE109" s="52"/>
      <c r="BF109" s="52"/>
      <c r="BG109" s="734"/>
      <c r="BH109" s="734"/>
      <c r="BI109" s="734"/>
      <c r="BJ109" s="734"/>
    </row>
    <row r="110">
      <c r="B110" s="765" t="str">
        <f>vlookup(F110,'2) Tracker'!$A$3:$O$410,5,false)</f>
        <v/>
      </c>
      <c r="C110" s="765" t="str">
        <f>vlookup(F110,'2) Tracker'!$A$3:$O$410,4,false)</f>
        <v>US</v>
      </c>
      <c r="D110" s="734"/>
      <c r="E110" s="734" t="str">
        <f>vlookup(F110,'2) Tracker'!$A$3:$O$406,15,false)</f>
        <v/>
      </c>
      <c r="F110" s="788" t="s">
        <v>1420</v>
      </c>
      <c r="G110" s="789">
        <f>VLOOKUP(F110,'2) Tracker'!$A$2:$BO$360,2,FALSE)</f>
        <v>2007</v>
      </c>
      <c r="H110" s="768">
        <f>VLOOKUP(F110,'2) Tracker'!$A$2:$BO$360,3,FALSE)</f>
        <v>82000</v>
      </c>
      <c r="I110" s="770" t="str">
        <f>VLOOKUP(F110,'2) Tracker'!$A$2:$BO$360,9,FALSE)</f>
        <v>Helios</v>
      </c>
      <c r="J110" s="770" t="str">
        <f>VLOOKUP(F110,'2) Tracker'!$A$2:$BO$360,12,FALSE)</f>
        <v>loads USG</v>
      </c>
      <c r="K110" s="771">
        <f t="shared" ref="K110:O110" si="154">AD110</f>
        <v>46143</v>
      </c>
      <c r="L110" s="771">
        <f t="shared" si="154"/>
        <v>46143</v>
      </c>
      <c r="M110" s="771">
        <f t="shared" si="154"/>
        <v>46175</v>
      </c>
      <c r="N110" s="771" t="str">
        <f t="shared" si="154"/>
        <v/>
      </c>
      <c r="O110" s="772" t="str">
        <f t="shared" si="154"/>
        <v/>
      </c>
      <c r="P110" s="773" t="str">
        <f>iferror(if(vlookup(F110,'Voyage days'!$M$808:$N$819,2,false),"GOA",""),"")</f>
        <v/>
      </c>
      <c r="Q110" s="771" t="str">
        <f t="shared" si="81"/>
        <v/>
      </c>
      <c r="R110" s="774" t="str">
        <f t="shared" si="83"/>
        <v/>
      </c>
      <c r="S110" s="774">
        <f t="shared" si="5"/>
        <v>46163</v>
      </c>
      <c r="T110" s="771" t="str">
        <f t="shared" si="6"/>
        <v/>
      </c>
      <c r="U110" s="774" t="str">
        <f t="shared" si="84"/>
        <v/>
      </c>
      <c r="V110" s="771"/>
      <c r="W110" s="771" t="str">
        <f t="shared" si="85"/>
        <v/>
      </c>
      <c r="X110" s="775" t="str">
        <f t="shared" si="9"/>
        <v/>
      </c>
      <c r="Y110" s="770"/>
      <c r="Z110" s="777" t="str">
        <f>vlookup(F110,'2) Tracker'!$A$3:$Q$504,16,false)</f>
        <v>ETA USG 29 Apr via Cape</v>
      </c>
      <c r="AA110" s="777" t="str">
        <f>vlookup(F110,'2) Tracker'!$A$3:$R$504,18,false)</f>
        <v>BGN Ely May USG</v>
      </c>
      <c r="AB110" s="777" t="str">
        <f>vlookup(F110,'2) Tracker'!$A$3:$Q$504,17,false)</f>
        <v/>
      </c>
      <c r="AC110" s="778"/>
      <c r="AD110" s="778">
        <f>VLOOKUP(F110,'2) Tracker'!$A$2:$BO$980,37,FALSE)</f>
        <v>46143</v>
      </c>
      <c r="AE110" s="778">
        <f>VLOOKUP(F110,'2) Tracker'!$A$2:$BO$980,40,FALSE)</f>
        <v>46143</v>
      </c>
      <c r="AF110" s="778">
        <f>VLOOKUP(F110,'2) Tracker'!$A$2:$BO$980,67,FALSE)</f>
        <v>46175</v>
      </c>
      <c r="AG110" s="778" t="str">
        <f>VLOOKUP(F110,'2) Tracker'!$A$2:$BO$980,34,FALSE)</f>
        <v/>
      </c>
      <c r="AH110" s="778" t="str">
        <f>VLOOKUP(F110,'2) Tracker'!$A$2:$BN$980,66,FALSE)</f>
        <v/>
      </c>
      <c r="AI110" s="778" t="str">
        <f>VLOOKUP(F110,'2) Tracker'!$A$2:$BO$980,56,FALSE)</f>
        <v/>
      </c>
      <c r="AJ110" s="778" t="str">
        <f>VLOOKUP(F110,'2) Tracker'!$A$2:$BO$980,52,FALSE)</f>
        <v/>
      </c>
      <c r="AK110" s="778" t="str">
        <f>VLOOKUP(F110,'2) Tracker'!$A$2:$AQ$980,43,FALSE)</f>
        <v/>
      </c>
      <c r="AL110" s="778">
        <f>VLOOKUP(F110,'2) Tracker'!$A$2:$BH$980,46,FALSE())</f>
        <v>46163</v>
      </c>
      <c r="AM110" s="778" t="str">
        <f>VLOOKUP(F110,'2) Tracker'!$A$2:$BO$980,65,FALSE())</f>
        <v/>
      </c>
      <c r="AN110" s="778" t="str">
        <f>VLOOKUP(F110,'2) Tracker'!$A$2:$BK$980,63,FALSE())</f>
        <v/>
      </c>
      <c r="AO110" s="778" t="str">
        <f>VLOOKUP(F110,'2) Tracker'!$A$2:$BF$980,58,FALSE())</f>
        <v/>
      </c>
      <c r="AP110" s="52"/>
      <c r="AQ110" s="52"/>
      <c r="AR110" s="52"/>
      <c r="AS110" s="52"/>
      <c r="AT110" s="52"/>
      <c r="AU110" s="52"/>
      <c r="AV110" s="52"/>
      <c r="AW110" s="52"/>
      <c r="AX110" s="52"/>
      <c r="AY110" s="52"/>
      <c r="AZ110" s="734"/>
      <c r="BA110" s="786" t="str">
        <f>vlookup(AZ110,'Iran, FS'!$A$1:$B$318,2, false)</f>
        <v>#N/A</v>
      </c>
      <c r="BB110" s="787" t="str">
        <f>vlookup(AZ110,'1) Kpler'!$E$2:$F$500,2,false)</f>
        <v>#N/A</v>
      </c>
      <c r="BC110" s="740"/>
      <c r="BD110" s="734"/>
      <c r="BE110" s="52"/>
      <c r="BF110" s="52"/>
      <c r="BG110" s="734"/>
      <c r="BH110" s="734"/>
      <c r="BI110" s="734"/>
      <c r="BJ110" s="734"/>
    </row>
    <row r="111">
      <c r="B111" s="765" t="str">
        <f>vlookup(F111,'2) Tracker'!$A$3:$O$410,5,false)</f>
        <v/>
      </c>
      <c r="C111" s="765" t="str">
        <f>vlookup(F111,'2) Tracker'!$A$3:$O$410,4,false)</f>
        <v/>
      </c>
      <c r="D111" s="734"/>
      <c r="E111" s="734" t="str">
        <f>vlookup(F111,'2) Tracker'!$A$3:$O$406,15,false)</f>
        <v/>
      </c>
      <c r="F111" s="812" t="s">
        <v>208</v>
      </c>
      <c r="G111" s="767">
        <f>VLOOKUP(F111,'2) Tracker'!$A$2:$BO$360,2,FALSE)</f>
        <v>2025</v>
      </c>
      <c r="H111" s="768">
        <f>VLOOKUP(F111,'2) Tracker'!$A$2:$BO$360,3,FALSE)</f>
        <v>86700</v>
      </c>
      <c r="I111" s="769" t="str">
        <f>VLOOKUP(F111,'2) Tracker'!$A$2:$BO$360,9,FALSE)</f>
        <v>BGN</v>
      </c>
      <c r="J111" s="770" t="str">
        <f>VLOOKUP(F111,'2) Tracker'!$A$2:$BO$360,12,FALSE)</f>
        <v>Eu</v>
      </c>
      <c r="K111" s="774">
        <f t="shared" ref="K111:O111" si="155">AD111</f>
        <v>46143</v>
      </c>
      <c r="L111" s="774">
        <f t="shared" si="155"/>
        <v>46144</v>
      </c>
      <c r="M111" s="771" t="str">
        <f t="shared" si="155"/>
        <v/>
      </c>
      <c r="N111" s="771" t="str">
        <f t="shared" si="155"/>
        <v/>
      </c>
      <c r="O111" s="772" t="str">
        <f t="shared" si="155"/>
        <v/>
      </c>
      <c r="P111" s="773" t="str">
        <f>iferror(if(vlookup(F111,'Voyage days'!$M$808:$N$819,2,false),"GOA",""),"")</f>
        <v/>
      </c>
      <c r="Q111" s="771">
        <f t="shared" si="81"/>
        <v>46132</v>
      </c>
      <c r="R111" s="774">
        <f t="shared" si="83"/>
        <v>46143</v>
      </c>
      <c r="S111" s="774">
        <f t="shared" si="5"/>
        <v>46131</v>
      </c>
      <c r="T111" s="771">
        <f t="shared" si="6"/>
        <v>46140</v>
      </c>
      <c r="U111" s="774" t="str">
        <f t="shared" si="84"/>
        <v/>
      </c>
      <c r="V111" s="774"/>
      <c r="W111" s="774" t="str">
        <f t="shared" si="85"/>
        <v/>
      </c>
      <c r="X111" s="775" t="str">
        <f t="shared" si="9"/>
        <v/>
      </c>
      <c r="Y111" s="770"/>
      <c r="Z111" s="777" t="str">
        <f>vlookup(F111,'2) Tracker'!$A$3:$Q$504,16,false)</f>
        <v>ETA Horizon Tangier 13 Apr</v>
      </c>
      <c r="AA111" s="777" t="str">
        <f>vlookup(F111,'2) Tracker'!$A$3:$R$504,18,false)</f>
        <v>BGN 23-24 Mar Nederland</v>
      </c>
      <c r="AB111" s="777" t="str">
        <f>vlookup(F111,'2) Tracker'!$A$3:$Q$504,17,false)</f>
        <v/>
      </c>
      <c r="AC111" s="778"/>
      <c r="AD111" s="778">
        <f>VLOOKUP(F111,'2) Tracker'!$A$2:$BO$980,37,FALSE)</f>
        <v>46143</v>
      </c>
      <c r="AE111" s="778">
        <f>VLOOKUP(F111,'2) Tracker'!$A$2:$BO$980,40,FALSE)</f>
        <v>46144</v>
      </c>
      <c r="AF111" s="778" t="str">
        <f>VLOOKUP(F111,'2) Tracker'!$A$2:$BO$980,67,FALSE)</f>
        <v/>
      </c>
      <c r="AG111" s="778" t="str">
        <f>VLOOKUP(F111,'2) Tracker'!$A$2:$BO$980,34,FALSE)</f>
        <v/>
      </c>
      <c r="AH111" s="778" t="str">
        <f>VLOOKUP(F111,'2) Tracker'!$A$2:$BN$980,66,FALSE)</f>
        <v/>
      </c>
      <c r="AI111" s="778" t="str">
        <f>VLOOKUP(F111,'2) Tracker'!$A$2:$BO$980,56,FALSE)</f>
        <v/>
      </c>
      <c r="AJ111" s="778" t="str">
        <f>VLOOKUP(F111,'2) Tracker'!$A$2:$BO$980,52,FALSE)</f>
        <v/>
      </c>
      <c r="AK111" s="778">
        <f>VLOOKUP(F111,'2) Tracker'!$A$2:$AQ$980,43,FALSE)</f>
        <v>46140</v>
      </c>
      <c r="AL111" s="778">
        <f>VLOOKUP(F111,'2) Tracker'!$A$2:$BH$980,46,FALSE())</f>
        <v>46131</v>
      </c>
      <c r="AM111" s="778">
        <f>VLOOKUP(F111,'2) Tracker'!$A$2:$BO$980,65,FALSE())</f>
        <v>46132</v>
      </c>
      <c r="AN111" s="778">
        <f>VLOOKUP(F111,'2) Tracker'!$A$2:$BK$980,63,FALSE())</f>
        <v>46143</v>
      </c>
      <c r="AO111" s="778" t="str">
        <f>VLOOKUP(F111,'2) Tracker'!$A$2:$BF$980,58,FALSE())</f>
        <v/>
      </c>
      <c r="AP111" s="52"/>
      <c r="AQ111" s="52"/>
      <c r="AR111" s="52"/>
      <c r="AS111" s="52"/>
      <c r="AT111" s="52"/>
      <c r="AU111" s="52"/>
      <c r="AV111" s="52"/>
      <c r="AW111" s="52"/>
      <c r="AX111" s="52"/>
      <c r="AY111" s="52"/>
      <c r="AZ111" s="734"/>
      <c r="BA111" s="786" t="str">
        <f>vlookup(AZ111,'Iran, FS'!$A$1:$B$318,2, false)</f>
        <v>#N/A</v>
      </c>
      <c r="BB111" s="787" t="str">
        <f>vlookup(AZ111,'1) Kpler'!$E$2:$F$500,2,false)</f>
        <v>#N/A</v>
      </c>
      <c r="BC111" s="740"/>
      <c r="BD111" s="734"/>
      <c r="BE111" s="52"/>
      <c r="BF111" s="52"/>
      <c r="BG111" s="734"/>
      <c r="BH111" s="734"/>
      <c r="BI111" s="734"/>
      <c r="BJ111" s="734"/>
    </row>
    <row r="112">
      <c r="B112" s="765" t="str">
        <f>vlookup(F112,'2) Tracker'!$A$3:$O$410,5,false)</f>
        <v/>
      </c>
      <c r="C112" s="765" t="str">
        <f>vlookup(F112,'2) Tracker'!$A$3:$O$410,4,false)</f>
        <v/>
      </c>
      <c r="D112" s="734"/>
      <c r="E112" s="771" t="str">
        <f>vlookup(F112,'2) Tracker'!$A$3:$O$406,15,false)</f>
        <v/>
      </c>
      <c r="F112" s="766" t="s">
        <v>502</v>
      </c>
      <c r="G112" s="820">
        <v>2016.0</v>
      </c>
      <c r="H112" s="768">
        <f>VLOOKUP(F112,'2) Tracker'!$A$2:$BO$360,3,FALSE)</f>
        <v>84000</v>
      </c>
      <c r="I112" s="769" t="str">
        <f>VLOOKUP(F112,'2) Tracker'!$A$2:$BO$360,9,FALSE)</f>
        <v>ATC</v>
      </c>
      <c r="J112" s="770" t="str">
        <f>VLOOKUP(F112,'2) Tracker'!$A$2:$BO$360,12,FALSE)</f>
        <v>Suez</v>
      </c>
      <c r="K112" s="774">
        <f t="shared" ref="K112:O112" si="156">AD112</f>
        <v>46143</v>
      </c>
      <c r="L112" s="774">
        <f t="shared" si="156"/>
        <v>46146</v>
      </c>
      <c r="M112" s="771" t="str">
        <f t="shared" si="156"/>
        <v/>
      </c>
      <c r="N112" s="771">
        <f t="shared" si="156"/>
        <v>46134</v>
      </c>
      <c r="O112" s="772" t="str">
        <f t="shared" si="156"/>
        <v/>
      </c>
      <c r="P112" s="773" t="str">
        <f>iferror(if(vlookup(F112,'Voyage days'!$M$808:$N$819,2,false),"GOA",""),"")</f>
        <v/>
      </c>
      <c r="Q112" s="771">
        <f t="shared" si="81"/>
        <v>46126</v>
      </c>
      <c r="R112" s="771">
        <f t="shared" si="83"/>
        <v>46126.5</v>
      </c>
      <c r="S112" s="774">
        <f t="shared" si="5"/>
        <v>46133</v>
      </c>
      <c r="T112" s="771">
        <f t="shared" si="6"/>
        <v>46140</v>
      </c>
      <c r="U112" s="771" t="str">
        <f t="shared" si="84"/>
        <v/>
      </c>
      <c r="V112" s="774"/>
      <c r="W112" s="774" t="str">
        <f t="shared" si="85"/>
        <v/>
      </c>
      <c r="X112" s="775" t="str">
        <f t="shared" si="9"/>
        <v/>
      </c>
      <c r="Y112" s="795" t="s">
        <v>1557</v>
      </c>
      <c r="Z112" s="777" t="str">
        <f>vlookup(F112,'2) Tracker'!$A$3:$Q$504,16,false)</f>
        <v>drifting off Jizan since 29 Mar</v>
      </c>
      <c r="AA112" s="777" t="str">
        <f>vlookup(F112,'2) Tracker'!$A$3:$R$504,18,false)</f>
        <v>ATC 7 Jan STS Red Sea (G Alkhaleej)</v>
      </c>
      <c r="AB112" s="777" t="str">
        <f>vlookup(F112,'2) Tracker'!$A$3:$Q$504,17,false)</f>
        <v/>
      </c>
      <c r="AC112" s="778"/>
      <c r="AD112" s="778">
        <f>VLOOKUP(F112,'2) Tracker'!$A$2:$BO$980,37,FALSE)</f>
        <v>46143</v>
      </c>
      <c r="AE112" s="778">
        <f>VLOOKUP(F112,'2) Tracker'!$A$2:$BO$980,40,FALSE)</f>
        <v>46146</v>
      </c>
      <c r="AF112" s="778" t="str">
        <f>VLOOKUP(F112,'2) Tracker'!$A$2:$BO$980,67,FALSE)</f>
        <v/>
      </c>
      <c r="AG112" s="778">
        <f>VLOOKUP(F112,'2) Tracker'!$A$2:$BO$980,34,FALSE)</f>
        <v>46134</v>
      </c>
      <c r="AH112" s="778" t="str">
        <f>VLOOKUP(F112,'2) Tracker'!$A$2:$BN$980,66,FALSE)</f>
        <v/>
      </c>
      <c r="AI112" s="778" t="str">
        <f>VLOOKUP(F112,'2) Tracker'!$A$2:$BO$980,56,FALSE)</f>
        <v/>
      </c>
      <c r="AJ112" s="778" t="str">
        <f>VLOOKUP(F112,'2) Tracker'!$A$2:$BO$980,52,FALSE)</f>
        <v/>
      </c>
      <c r="AK112" s="778">
        <f>VLOOKUP(F112,'2) Tracker'!$A$2:$AQ$980,43,FALSE)</f>
        <v>46140</v>
      </c>
      <c r="AL112" s="778">
        <f>VLOOKUP(F112,'2) Tracker'!$A$2:$BH$980,46,FALSE())</f>
        <v>46133</v>
      </c>
      <c r="AM112" s="778">
        <f>VLOOKUP(F112,'2) Tracker'!$A$2:$BO$980,65,FALSE())</f>
        <v>46126</v>
      </c>
      <c r="AN112" s="778">
        <f>VLOOKUP(F112,'2) Tracker'!$A$2:$BK$980,63,FALSE())</f>
        <v>46126.5</v>
      </c>
      <c r="AO112" s="778" t="str">
        <f>VLOOKUP(F112,'2) Tracker'!$A$2:$BF$980,58,FALSE())</f>
        <v/>
      </c>
      <c r="AP112" s="52"/>
      <c r="AQ112" s="52"/>
      <c r="AR112" s="52"/>
      <c r="AS112" s="52"/>
      <c r="AT112" s="52"/>
      <c r="AU112" s="52"/>
      <c r="AV112" s="52"/>
      <c r="AW112" s="52"/>
      <c r="AX112" s="52"/>
      <c r="AY112" s="52"/>
      <c r="AZ112" s="734"/>
      <c r="BA112" s="740"/>
      <c r="BB112" s="734"/>
      <c r="BC112" s="740"/>
      <c r="BD112" s="734"/>
      <c r="BE112" s="52"/>
      <c r="BF112" s="52"/>
      <c r="BG112" s="734"/>
      <c r="BH112" s="734"/>
      <c r="BI112" s="734"/>
      <c r="BJ112" s="734"/>
    </row>
    <row r="113">
      <c r="B113" s="765" t="str">
        <f>vlookup(F113,'2) Tracker'!$A$3:$O$410,5,false)</f>
        <v/>
      </c>
      <c r="C113" s="765" t="str">
        <f>vlookup(F113,'2) Tracker'!$A$3:$O$410,4,false)</f>
        <v/>
      </c>
      <c r="D113" s="734"/>
      <c r="E113" s="734" t="str">
        <f>vlookup(F113,'2) Tracker'!$A$3:$O$406,15,false)</f>
        <v/>
      </c>
      <c r="F113" s="766" t="s">
        <v>557</v>
      </c>
      <c r="G113" s="789">
        <f>VLOOKUP(F113,'2) Tracker'!$A$2:$BO$360,2,FALSE)</f>
        <v>2024</v>
      </c>
      <c r="H113" s="768">
        <f>VLOOKUP(F113,'2) Tracker'!$A$2:$BO$360,3,FALSE)</f>
        <v>93000</v>
      </c>
      <c r="I113" s="777" t="str">
        <f>VLOOKUP(F113,'2) Tracker'!$A$2:$BO$360,9,FALSE)</f>
        <v>Vitol</v>
      </c>
      <c r="J113" s="770" t="str">
        <f>VLOOKUP(F113,'2) Tracker'!$A$2:$BO$360,12,FALSE)</f>
        <v>USG</v>
      </c>
      <c r="K113" s="771">
        <f t="shared" ref="K113:O113" si="157">AD113</f>
        <v>46143</v>
      </c>
      <c r="L113" s="771" t="str">
        <f t="shared" si="157"/>
        <v/>
      </c>
      <c r="M113" s="771" t="str">
        <f t="shared" si="157"/>
        <v/>
      </c>
      <c r="N113" s="771" t="str">
        <f t="shared" si="157"/>
        <v/>
      </c>
      <c r="O113" s="772" t="str">
        <f t="shared" si="157"/>
        <v/>
      </c>
      <c r="P113" s="773" t="str">
        <f>iferror(if(vlookup(F113,'Voyage days'!$M$808:$N$819,2,false),"GOA",""),"")</f>
        <v/>
      </c>
      <c r="Q113" s="771" t="str">
        <f t="shared" si="81"/>
        <v/>
      </c>
      <c r="R113" s="771" t="str">
        <f t="shared" si="83"/>
        <v/>
      </c>
      <c r="S113" s="774">
        <f t="shared" si="5"/>
        <v>46157</v>
      </c>
      <c r="T113" s="771" t="str">
        <f t="shared" si="6"/>
        <v/>
      </c>
      <c r="U113" s="771" t="str">
        <f t="shared" si="84"/>
        <v/>
      </c>
      <c r="V113" s="771"/>
      <c r="W113" s="771" t="str">
        <f t="shared" si="85"/>
        <v/>
      </c>
      <c r="X113" s="775" t="str">
        <f t="shared" si="9"/>
        <v/>
      </c>
      <c r="Y113" s="770"/>
      <c r="Z113" s="777" t="str">
        <f>vlookup(F113,'2) Tracker'!$A$3:$Q$504,16,false)</f>
        <v>ML: Newbuild / floating outside - Iran owner. Blacklisted by US.</v>
      </c>
      <c r="AA113" s="777" t="str">
        <f>vlookup(F113,'2) Tracker'!$A$3:$R$504,18,false)</f>
        <v/>
      </c>
      <c r="AB113" s="777" t="str">
        <f>vlookup(F113,'2) Tracker'!$A$3:$Q$504,17,false)</f>
        <v/>
      </c>
      <c r="AC113" s="778"/>
      <c r="AD113" s="778">
        <f>VLOOKUP(F113,'2) Tracker'!$A$2:$BO$980,37,FALSE)</f>
        <v>46143</v>
      </c>
      <c r="AE113" s="778" t="str">
        <f>VLOOKUP(F113,'2) Tracker'!$A$2:$BO$980,40,FALSE)</f>
        <v/>
      </c>
      <c r="AF113" s="778" t="str">
        <f>VLOOKUP(F113,'2) Tracker'!$A$2:$BO$980,67,FALSE)</f>
        <v/>
      </c>
      <c r="AG113" s="778" t="str">
        <f>VLOOKUP(F113,'2) Tracker'!$A$2:$BO$980,34,FALSE)</f>
        <v/>
      </c>
      <c r="AH113" s="778" t="str">
        <f>VLOOKUP(F113,'2) Tracker'!$A$2:$BN$980,66,FALSE)</f>
        <v/>
      </c>
      <c r="AI113" s="778" t="str">
        <f>VLOOKUP(F113,'2) Tracker'!$A$2:$BO$980,56,FALSE)</f>
        <v/>
      </c>
      <c r="AJ113" s="778" t="str">
        <f>VLOOKUP(F113,'2) Tracker'!$A$2:$BO$980,52,FALSE)</f>
        <v/>
      </c>
      <c r="AK113" s="778" t="str">
        <f>VLOOKUP(F113,'2) Tracker'!$A$2:$AQ$980,43,FALSE)</f>
        <v/>
      </c>
      <c r="AL113" s="778">
        <f>VLOOKUP(F113,'2) Tracker'!$A$2:$BH$980,46,FALSE())</f>
        <v>46157</v>
      </c>
      <c r="AM113" s="778" t="str">
        <f>VLOOKUP(F113,'2) Tracker'!$A$2:$BO$980,65,FALSE())</f>
        <v/>
      </c>
      <c r="AN113" s="778" t="str">
        <f>VLOOKUP(F113,'2) Tracker'!$A$2:$BK$980,63,FALSE())</f>
        <v/>
      </c>
      <c r="AO113" s="778" t="str">
        <f>VLOOKUP(F113,'2) Tracker'!$A$2:$BF$980,58,FALSE())</f>
        <v/>
      </c>
      <c r="AP113" s="52"/>
      <c r="AQ113" s="52"/>
      <c r="AR113" s="52"/>
      <c r="AS113" s="52"/>
      <c r="AT113" s="52"/>
      <c r="AU113" s="52"/>
      <c r="AV113" s="52"/>
      <c r="AW113" s="52"/>
      <c r="AX113" s="52"/>
      <c r="AY113" s="52"/>
      <c r="AZ113" s="734"/>
      <c r="BA113" s="740"/>
      <c r="BB113" s="734"/>
      <c r="BC113" s="740"/>
      <c r="BD113" s="734"/>
      <c r="BE113" s="52"/>
      <c r="BF113" s="52"/>
      <c r="BG113" s="734"/>
      <c r="BH113" s="734"/>
      <c r="BI113" s="734"/>
      <c r="BJ113" s="734"/>
    </row>
    <row r="114">
      <c r="B114" s="765" t="str">
        <f>vlookup(F114,'2) Tracker'!$A$3:$O$410,5,false)</f>
        <v/>
      </c>
      <c r="C114" s="765"/>
      <c r="D114" s="734"/>
      <c r="E114" s="734" t="str">
        <f>vlookup(F114,'2) Tracker'!$A$3:$O$406,15,false)</f>
        <v/>
      </c>
      <c r="F114" s="798" t="s">
        <v>248</v>
      </c>
      <c r="G114" s="789">
        <f>VLOOKUP(F114,'2) Tracker'!$A$2:$BO$360,2,FALSE)</f>
        <v>2022</v>
      </c>
      <c r="H114" s="768">
        <f>VLOOKUP(F114,'2) Tracker'!$A$2:$BO$360,3,FALSE)</f>
        <v>91000</v>
      </c>
      <c r="I114" s="777" t="str">
        <f>VLOOKUP(F114,'2) Tracker'!$A$2:$BO$360,9,FALSE)</f>
        <v>Trafigura</v>
      </c>
      <c r="J114" s="770" t="str">
        <f>VLOOKUP(F114,'2) Tracker'!$A$2:$BO$360,12,FALSE)</f>
        <v>loads USG</v>
      </c>
      <c r="K114" s="771">
        <f t="shared" ref="K114:O114" si="158">AD114</f>
        <v>46144</v>
      </c>
      <c r="L114" s="771">
        <f t="shared" si="158"/>
        <v>46144</v>
      </c>
      <c r="M114" s="771">
        <f t="shared" si="158"/>
        <v>46176</v>
      </c>
      <c r="N114" s="771" t="str">
        <f t="shared" si="158"/>
        <v/>
      </c>
      <c r="O114" s="772" t="str">
        <f t="shared" si="158"/>
        <v/>
      </c>
      <c r="P114" s="773" t="str">
        <f>iferror(if(vlookup(F114,'Voyage days'!$M$808:$N$819,2,false),"GOA",""),"")</f>
        <v/>
      </c>
      <c r="Q114" s="771" t="str">
        <f t="shared" si="81"/>
        <v/>
      </c>
      <c r="R114" s="774" t="str">
        <f t="shared" si="83"/>
        <v/>
      </c>
      <c r="S114" s="774">
        <f t="shared" si="5"/>
        <v>46164</v>
      </c>
      <c r="T114" s="771" t="str">
        <f t="shared" si="6"/>
        <v/>
      </c>
      <c r="U114" s="774" t="str">
        <f t="shared" si="84"/>
        <v/>
      </c>
      <c r="V114" s="774"/>
      <c r="W114" s="774" t="str">
        <f t="shared" si="85"/>
        <v/>
      </c>
      <c r="X114" s="775" t="str">
        <f t="shared" si="9"/>
        <v/>
      </c>
      <c r="Y114" s="784"/>
      <c r="Z114" s="777" t="str">
        <f>vlookup(F114,'2) Tracker'!$A$3:$Q$504,16,false)</f>
        <v>ETA USG via Cape 30 Apr</v>
      </c>
      <c r="AA114" s="777" t="str">
        <f>vlookup(F114,'2) Tracker'!$A$3:$R$504,18,false)</f>
        <v>Petredec 02-03 May USG</v>
      </c>
      <c r="AB114" s="777" t="str">
        <f>vlookup(F114,'2) Tracker'!$A$3:$Q$504,17,false)</f>
        <v/>
      </c>
      <c r="AC114" s="778"/>
      <c r="AD114" s="778">
        <f>VLOOKUP(F114,'2) Tracker'!$A$2:$BO$980,37,FALSE)</f>
        <v>46144</v>
      </c>
      <c r="AE114" s="778">
        <f>VLOOKUP(F114,'2) Tracker'!$A$2:$BO$980,40,FALSE)</f>
        <v>46144</v>
      </c>
      <c r="AF114" s="778">
        <f>VLOOKUP(F114,'2) Tracker'!$A$2:$BO$980,67,FALSE)</f>
        <v>46176</v>
      </c>
      <c r="AG114" s="778" t="str">
        <f>VLOOKUP(F114,'2) Tracker'!$A$2:$BO$980,34,FALSE)</f>
        <v/>
      </c>
      <c r="AH114" s="778" t="str">
        <f>VLOOKUP(F114,'2) Tracker'!$A$2:$BN$980,66,FALSE)</f>
        <v/>
      </c>
      <c r="AI114" s="778" t="str">
        <f>VLOOKUP(F114,'2) Tracker'!$A$2:$BO$980,56,FALSE)</f>
        <v/>
      </c>
      <c r="AJ114" s="778" t="str">
        <f>VLOOKUP(F114,'2) Tracker'!$A$2:$BO$980,52,FALSE)</f>
        <v/>
      </c>
      <c r="AK114" s="778" t="str">
        <f>VLOOKUP(F114,'2) Tracker'!$A$2:$AQ$980,43,FALSE)</f>
        <v/>
      </c>
      <c r="AL114" s="778">
        <f>VLOOKUP(F114,'2) Tracker'!$A$2:$BH$980,46,FALSE())</f>
        <v>46164</v>
      </c>
      <c r="AM114" s="778" t="str">
        <f>VLOOKUP(F114,'2) Tracker'!$A$2:$BO$980,65,FALSE())</f>
        <v/>
      </c>
      <c r="AN114" s="778" t="str">
        <f>VLOOKUP(F114,'2) Tracker'!$A$2:$BK$980,63,FALSE())</f>
        <v/>
      </c>
      <c r="AO114" s="778" t="str">
        <f>VLOOKUP(F114,'2) Tracker'!$A$2:$BF$980,58,FALSE())</f>
        <v/>
      </c>
      <c r="AP114" s="52"/>
      <c r="AQ114" s="52"/>
      <c r="AR114" s="52"/>
      <c r="AS114" s="52"/>
      <c r="AT114" s="52"/>
      <c r="AU114" s="52"/>
      <c r="AV114" s="52"/>
      <c r="AW114" s="52"/>
      <c r="AX114" s="52"/>
      <c r="AY114" s="52"/>
      <c r="AZ114" s="787"/>
      <c r="BA114" s="786" t="str">
        <f>vlookup(AZ114,'Iran, FS'!$A$1:$B$318,2, false)</f>
        <v>#N/A</v>
      </c>
      <c r="BB114" s="787" t="str">
        <f>vlookup(AZ114,'1) Kpler'!$E$2:$F$500,2,false)</f>
        <v>#N/A</v>
      </c>
      <c r="BC114" s="788"/>
      <c r="BD114" s="787"/>
      <c r="BE114" s="52"/>
      <c r="BF114" s="52"/>
      <c r="BG114" s="787"/>
      <c r="BH114" s="787"/>
      <c r="BI114" s="787"/>
      <c r="BJ114" s="787"/>
    </row>
    <row r="115">
      <c r="B115" s="765" t="str">
        <f>vlookup(F115,'2) Tracker'!$A$3:$O$410,5,false)</f>
        <v/>
      </c>
      <c r="C115" s="765" t="str">
        <f>vlookup(F115,'2) Tracker'!$A$3:$O$410,4,false)</f>
        <v>US</v>
      </c>
      <c r="D115" s="734"/>
      <c r="E115" s="734" t="str">
        <f>vlookup(F115,'2) Tracker'!$A$3:$O$406,15,false)</f>
        <v/>
      </c>
      <c r="F115" s="788" t="s">
        <v>497</v>
      </c>
      <c r="G115" s="789">
        <f>VLOOKUP(F115,'2) Tracker'!$A$2:$BO$360,2,FALSE)</f>
        <v>2023</v>
      </c>
      <c r="H115" s="768">
        <f>VLOOKUP(F115,'2) Tracker'!$A$2:$BO$360,3,FALSE)</f>
        <v>87000</v>
      </c>
      <c r="I115" s="770" t="str">
        <f>VLOOKUP(F115,'2) Tracker'!$A$2:$BO$360,9,FALSE)</f>
        <v>Exxon</v>
      </c>
      <c r="J115" s="770" t="str">
        <f>VLOOKUP(F115,'2) Tracker'!$A$2:$BO$360,12,FALSE)</f>
        <v>loads USG</v>
      </c>
      <c r="K115" s="774">
        <f t="shared" ref="K115:O115" si="159">AD115</f>
        <v>46144</v>
      </c>
      <c r="L115" s="774">
        <f t="shared" si="159"/>
        <v>46144</v>
      </c>
      <c r="M115" s="771">
        <f t="shared" si="159"/>
        <v>46176</v>
      </c>
      <c r="N115" s="772" t="str">
        <f t="shared" si="159"/>
        <v/>
      </c>
      <c r="O115" s="772" t="str">
        <f t="shared" si="159"/>
        <v/>
      </c>
      <c r="P115" s="773" t="str">
        <f>iferror(if(vlookup(F115,'Voyage days'!$M$808:$N$819,2,false),"GOA",""),"")</f>
        <v/>
      </c>
      <c r="Q115" s="771" t="str">
        <f t="shared" si="81"/>
        <v/>
      </c>
      <c r="R115" s="774" t="str">
        <f t="shared" si="83"/>
        <v/>
      </c>
      <c r="S115" s="774">
        <f t="shared" si="5"/>
        <v>46164</v>
      </c>
      <c r="T115" s="771" t="str">
        <f t="shared" si="6"/>
        <v/>
      </c>
      <c r="U115" s="774" t="str">
        <f t="shared" si="84"/>
        <v/>
      </c>
      <c r="V115" s="771"/>
      <c r="W115" s="771" t="str">
        <f t="shared" si="85"/>
        <v/>
      </c>
      <c r="X115" s="775" t="str">
        <f t="shared" si="9"/>
        <v/>
      </c>
      <c r="Y115" s="795"/>
      <c r="Z115" s="777" t="str">
        <f>vlookup(F115,'2) Tracker'!$A$3:$Q$504,16,false)</f>
        <v>ETA Balboa 18 Apr</v>
      </c>
      <c r="AA115" s="777" t="str">
        <f>vlookup(F115,'2) Tracker'!$A$3:$R$504,18,false)</f>
        <v>BWPS 02-04 May USG</v>
      </c>
      <c r="AB115" s="777" t="str">
        <f>vlookup(F115,'2) Tracker'!$A$3:$Q$504,17,false)</f>
        <v/>
      </c>
      <c r="AC115" s="778"/>
      <c r="AD115" s="778">
        <f>VLOOKUP(F115,'2) Tracker'!$A$2:$BO$980,37,FALSE)</f>
        <v>46144</v>
      </c>
      <c r="AE115" s="778">
        <f>VLOOKUP(F115,'2) Tracker'!$A$2:$BO$980,40,FALSE)</f>
        <v>46144</v>
      </c>
      <c r="AF115" s="778">
        <f>VLOOKUP(F115,'2) Tracker'!$A$2:$BO$980,67,FALSE)</f>
        <v>46176</v>
      </c>
      <c r="AG115" s="778" t="str">
        <f>VLOOKUP(F115,'2) Tracker'!$A$2:$BO$980,34,FALSE)</f>
        <v/>
      </c>
      <c r="AH115" s="778" t="str">
        <f>VLOOKUP(F115,'2) Tracker'!$A$2:$BN$980,66,FALSE)</f>
        <v/>
      </c>
      <c r="AI115" s="778" t="str">
        <f>VLOOKUP(F115,'2) Tracker'!$A$2:$BO$980,56,FALSE)</f>
        <v/>
      </c>
      <c r="AJ115" s="778" t="str">
        <f>VLOOKUP(F115,'2) Tracker'!$A$2:$BO$980,52,FALSE)</f>
        <v/>
      </c>
      <c r="AK115" s="778" t="str">
        <f>VLOOKUP(F115,'2) Tracker'!$A$2:$AQ$980,43,FALSE)</f>
        <v/>
      </c>
      <c r="AL115" s="778">
        <f>VLOOKUP(F115,'2) Tracker'!$A$2:$BH$980,46,FALSE())</f>
        <v>46164</v>
      </c>
      <c r="AM115" s="778" t="str">
        <f>VLOOKUP(F115,'2) Tracker'!$A$2:$BO$980,65,FALSE())</f>
        <v/>
      </c>
      <c r="AN115" s="778" t="str">
        <f>VLOOKUP(F115,'2) Tracker'!$A$2:$BK$980,63,FALSE())</f>
        <v/>
      </c>
      <c r="AO115" s="778" t="str">
        <f>VLOOKUP(F115,'2) Tracker'!$A$2:$BF$980,58,FALSE())</f>
        <v/>
      </c>
      <c r="AP115" s="52"/>
      <c r="AQ115" s="52"/>
      <c r="AR115" s="52"/>
      <c r="AS115" s="52"/>
      <c r="AT115" s="52"/>
      <c r="AU115" s="52"/>
      <c r="AV115" s="825" t="s">
        <v>1560</v>
      </c>
      <c r="AW115" s="52"/>
      <c r="AX115" s="52"/>
      <c r="AY115" s="52"/>
      <c r="AZ115" s="787"/>
      <c r="BA115" s="786" t="str">
        <f>vlookup(AZ115,'Iran, FS'!$A$1:$B$318,2, false)</f>
        <v>#N/A</v>
      </c>
      <c r="BB115" s="787" t="str">
        <f>vlookup(AZ115,'1) Kpler'!$E$2:$F$500,2,false)</f>
        <v>#N/A</v>
      </c>
      <c r="BC115" s="788"/>
      <c r="BD115" s="787"/>
      <c r="BE115" s="52"/>
      <c r="BF115" s="52"/>
      <c r="BG115" s="787"/>
      <c r="BH115" s="787"/>
      <c r="BI115" s="787"/>
      <c r="BJ115" s="787"/>
    </row>
    <row r="116">
      <c r="B116" s="765" t="str">
        <f>vlookup(F116,'2) Tracker'!$A$3:$O$410,5,false)</f>
        <v/>
      </c>
      <c r="C116" s="765" t="str">
        <f>vlookup(F116,'2) Tracker'!$A$3:$O$410,4,false)</f>
        <v/>
      </c>
      <c r="D116" s="734"/>
      <c r="E116" s="734"/>
      <c r="F116" s="819" t="s">
        <v>442</v>
      </c>
      <c r="G116" s="732">
        <v>2025.0</v>
      </c>
      <c r="H116" s="826">
        <v>86665.0</v>
      </c>
      <c r="I116" s="777" t="str">
        <f>VLOOKUP(F116,'2) Tracker'!$A$2:$BO$360,9,FALSE)</f>
        <v>BGN</v>
      </c>
      <c r="J116" s="770" t="str">
        <f>VLOOKUP(F116,'2) Tracker'!$A$2:$BO$360,12,FALSE)</f>
        <v>Eu</v>
      </c>
      <c r="K116" s="771">
        <f t="shared" ref="K116:K124" si="161">AD116</f>
        <v>46144</v>
      </c>
      <c r="L116" s="827"/>
      <c r="N116" s="771" t="str">
        <f t="shared" ref="N116:O116" si="160">AG116</f>
        <v/>
      </c>
      <c r="O116" s="772" t="str">
        <f t="shared" si="160"/>
        <v/>
      </c>
      <c r="P116" s="773" t="str">
        <f>iferror(if(vlookup(F116,'Voyage days'!$M$808:$N$819,2,false),"GOA",""),"")</f>
        <v/>
      </c>
      <c r="Q116" s="771">
        <f t="shared" si="81"/>
        <v>46131</v>
      </c>
      <c r="R116" s="774">
        <f t="shared" si="83"/>
        <v>46144</v>
      </c>
      <c r="S116" s="774">
        <f t="shared" si="5"/>
        <v>46132</v>
      </c>
      <c r="T116" s="774">
        <f t="shared" si="6"/>
        <v>46141</v>
      </c>
      <c r="U116" s="774" t="str">
        <f t="shared" si="84"/>
        <v/>
      </c>
      <c r="V116" s="802"/>
      <c r="W116" s="802" t="str">
        <f t="shared" si="85"/>
        <v/>
      </c>
      <c r="X116" s="775" t="str">
        <f t="shared" si="9"/>
        <v/>
      </c>
      <c r="Y116" s="776"/>
      <c r="Z116" s="777" t="str">
        <f>vlookup(F116,'2) Tracker'!$A$3:$Q$504,16,false)</f>
        <v>Heading towards Eygpt 14 Apr</v>
      </c>
      <c r="AA116" s="777" t="str">
        <f>vlookup(F116,'2) Tracker'!$A$3:$R$504,18,false)</f>
        <v>BGN 25-26 Mar USG</v>
      </c>
      <c r="AB116" s="777" t="str">
        <f>vlookup(F116,'2) Tracker'!$A$3:$Q$504,17,false)</f>
        <v/>
      </c>
      <c r="AC116" s="778"/>
      <c r="AD116" s="778">
        <f>VLOOKUP(F116,'2) Tracker'!$A$2:$BO$980,37,FALSE)</f>
        <v>46144</v>
      </c>
      <c r="AE116" s="778">
        <f>VLOOKUP(F116,'2) Tracker'!$A$2:$BO$980,40,FALSE)</f>
        <v>46145</v>
      </c>
      <c r="AF116" s="778" t="str">
        <f>VLOOKUP(F116,'2) Tracker'!$A$2:$BO$980,67,FALSE)</f>
        <v/>
      </c>
      <c r="AG116" s="778" t="str">
        <f>VLOOKUP(F116,'2) Tracker'!$A$2:$BO$980,34,FALSE)</f>
        <v/>
      </c>
      <c r="AH116" s="778" t="str">
        <f>VLOOKUP(F116,'2) Tracker'!$A$2:$BN$980,66,FALSE)</f>
        <v/>
      </c>
      <c r="AI116" s="778" t="str">
        <f>VLOOKUP(F116,'2) Tracker'!$A$2:$BO$980,56,FALSE)</f>
        <v/>
      </c>
      <c r="AJ116" s="778" t="str">
        <f>VLOOKUP(F116,'2) Tracker'!$A$2:$BO$980,52,FALSE)</f>
        <v/>
      </c>
      <c r="AK116" s="778">
        <f>VLOOKUP(F116,'2) Tracker'!$A$2:$AQ$980,43,FALSE)</f>
        <v>46141</v>
      </c>
      <c r="AL116" s="778">
        <f>VLOOKUP(F116,'2) Tracker'!$A$2:$BH$980,46,FALSE())</f>
        <v>46132</v>
      </c>
      <c r="AM116" s="778">
        <f>VLOOKUP(F116,'2) Tracker'!$A$2:$BO$980,65,FALSE())</f>
        <v>46131</v>
      </c>
      <c r="AN116" s="778">
        <f>VLOOKUP(F116,'2) Tracker'!$A$2:$BK$980,63,FALSE())</f>
        <v>46144</v>
      </c>
      <c r="AO116" s="778" t="str">
        <f>VLOOKUP(F116,'2) Tracker'!$A$2:$BF$980,58,FALSE())</f>
        <v/>
      </c>
      <c r="AP116" s="52"/>
      <c r="AQ116" s="52"/>
      <c r="AR116" s="52"/>
      <c r="AS116" s="52"/>
      <c r="AT116" s="52"/>
      <c r="AU116" s="52"/>
      <c r="AV116" s="52"/>
      <c r="AW116" s="52"/>
      <c r="AX116" s="52"/>
      <c r="AY116" s="52"/>
      <c r="AZ116" s="734"/>
      <c r="BA116" s="786" t="str">
        <f>vlookup(AZ116,'Iran, FS'!$A$1:$B$318,2, false)</f>
        <v>#N/A</v>
      </c>
      <c r="BB116" s="787" t="str">
        <f>vlookup(AZ116,'1) Kpler'!$E$2:$F$500,2,false)</f>
        <v>#N/A</v>
      </c>
      <c r="BC116" s="740"/>
      <c r="BD116" s="734"/>
      <c r="BE116" s="52"/>
      <c r="BF116" s="52"/>
      <c r="BG116" s="734"/>
      <c r="BH116" s="734"/>
      <c r="BI116" s="734"/>
      <c r="BJ116" s="734"/>
    </row>
    <row r="117">
      <c r="B117" s="765" t="str">
        <f>vlookup(F117,'2) Tracker'!$A$3:$O$410,5,false)</f>
        <v/>
      </c>
      <c r="C117" s="765" t="str">
        <f>vlookup(F117,'2) Tracker'!$A$3:$O$410,4,false)</f>
        <v/>
      </c>
      <c r="D117" s="734"/>
      <c r="E117" s="734" t="str">
        <f>vlookup(F117,'2) Tracker'!$A$3:$O$406,15,false)</f>
        <v/>
      </c>
      <c r="F117" s="828" t="s">
        <v>526</v>
      </c>
      <c r="G117" s="783">
        <f>VLOOKUP(F117,'2) Tracker'!$A$2:$BO$360,2,FALSE)</f>
        <v>42517</v>
      </c>
      <c r="H117" s="768">
        <f>VLOOKUP(F117,'2) Tracker'!$A$2:$BO$360,3,FALSE)</f>
        <v>84000</v>
      </c>
      <c r="I117" s="777" t="str">
        <f>VLOOKUP(F117,'2) Tracker'!$A$2:$BO$360,9,FALSE)</f>
        <v>Neptune</v>
      </c>
      <c r="J117" s="770" t="str">
        <f>VLOOKUP(F117,'2) Tracker'!$A$2:$BO$360,12,FALSE)</f>
        <v>loads USG</v>
      </c>
      <c r="K117" s="771">
        <f t="shared" si="161"/>
        <v>46145</v>
      </c>
      <c r="L117" s="771">
        <f t="shared" ref="L117:O117" si="162">AE117</f>
        <v>46145</v>
      </c>
      <c r="M117" s="771">
        <f t="shared" si="162"/>
        <v>46177</v>
      </c>
      <c r="N117" s="771" t="str">
        <f t="shared" si="162"/>
        <v/>
      </c>
      <c r="O117" s="772" t="str">
        <f t="shared" si="162"/>
        <v/>
      </c>
      <c r="P117" s="773" t="str">
        <f>iferror(if(vlookup(F117,'Voyage days'!$M$808:$N$819,2,false),"GOA",""),"")</f>
        <v/>
      </c>
      <c r="Q117" s="771" t="str">
        <f t="shared" si="81"/>
        <v/>
      </c>
      <c r="R117" s="771" t="str">
        <f t="shared" si="83"/>
        <v/>
      </c>
      <c r="S117" s="774">
        <f t="shared" si="5"/>
        <v>46165</v>
      </c>
      <c r="T117" s="771" t="str">
        <f t="shared" si="6"/>
        <v/>
      </c>
      <c r="U117" s="771" t="str">
        <f t="shared" si="84"/>
        <v/>
      </c>
      <c r="V117" s="771"/>
      <c r="W117" s="771" t="str">
        <f t="shared" si="85"/>
        <v/>
      </c>
      <c r="X117" s="775" t="str">
        <f t="shared" si="9"/>
        <v/>
      </c>
      <c r="Y117" s="776"/>
      <c r="Z117" s="777" t="str">
        <f>vlookup(F117,'2) Tracker'!$A$3:$Q$504,16,false)</f>
        <v>ex DD, ETA Balboa 25 Apr</v>
      </c>
      <c r="AA117" s="777" t="str">
        <f>vlookup(F117,'2) Tracker'!$A$3:$R$504,18,false)</f>
        <v>Levgas 03-04 May USG</v>
      </c>
      <c r="AB117" s="777" t="str">
        <f>vlookup(F117,'2) Tracker'!$A$3:$Q$504,17,false)</f>
        <v/>
      </c>
      <c r="AC117" s="778"/>
      <c r="AD117" s="778">
        <f>VLOOKUP(F117,'2) Tracker'!$A$2:$BO$980,37,FALSE)</f>
        <v>46145</v>
      </c>
      <c r="AE117" s="778">
        <f>VLOOKUP(F117,'2) Tracker'!$A$2:$BO$980,40,FALSE)</f>
        <v>46145</v>
      </c>
      <c r="AF117" s="778">
        <f>VLOOKUP(F117,'2) Tracker'!$A$2:$BO$980,67,FALSE)</f>
        <v>46177</v>
      </c>
      <c r="AG117" s="778" t="str">
        <f>VLOOKUP(F117,'2) Tracker'!$A$2:$BO$980,34,FALSE)</f>
        <v/>
      </c>
      <c r="AH117" s="778" t="str">
        <f>VLOOKUP(F117,'2) Tracker'!$A$2:$BN$980,66,FALSE)</f>
        <v/>
      </c>
      <c r="AI117" s="778" t="str">
        <f>VLOOKUP(F117,'2) Tracker'!$A$2:$BO$980,56,FALSE)</f>
        <v/>
      </c>
      <c r="AJ117" s="778" t="str">
        <f>VLOOKUP(F117,'2) Tracker'!$A$2:$BO$980,52,FALSE)</f>
        <v/>
      </c>
      <c r="AK117" s="778" t="str">
        <f>VLOOKUP(F117,'2) Tracker'!$A$2:$AQ$980,43,FALSE)</f>
        <v/>
      </c>
      <c r="AL117" s="778">
        <f>VLOOKUP(F117,'2) Tracker'!$A$2:$BH$980,46,FALSE())</f>
        <v>46165</v>
      </c>
      <c r="AM117" s="778" t="str">
        <f>VLOOKUP(F117,'2) Tracker'!$A$2:$BO$980,65,FALSE())</f>
        <v/>
      </c>
      <c r="AN117" s="778" t="str">
        <f>VLOOKUP(F117,'2) Tracker'!$A$2:$BK$980,63,FALSE())</f>
        <v/>
      </c>
      <c r="AO117" s="778" t="str">
        <f>VLOOKUP(F117,'2) Tracker'!$A$2:$BF$980,58,FALSE())</f>
        <v/>
      </c>
      <c r="AP117" s="52"/>
      <c r="AQ117" s="52"/>
      <c r="AR117" s="52"/>
      <c r="AS117" s="52"/>
      <c r="AT117" s="52"/>
      <c r="AU117" s="52"/>
      <c r="AV117" s="52"/>
      <c r="AW117" s="52"/>
      <c r="AX117" s="52"/>
      <c r="AY117" s="52"/>
      <c r="AZ117" s="787"/>
      <c r="BA117" s="786"/>
      <c r="BB117" s="787"/>
      <c r="BC117" s="788"/>
      <c r="BD117" s="787"/>
      <c r="BE117" s="52"/>
      <c r="BF117" s="52"/>
      <c r="BG117" s="787"/>
      <c r="BH117" s="787"/>
      <c r="BI117" s="787"/>
      <c r="BJ117" s="787"/>
    </row>
    <row r="118">
      <c r="B118" s="765" t="str">
        <f>vlookup(F118,'2) Tracker'!$A$3:$O$410,5,false)</f>
        <v/>
      </c>
      <c r="C118" s="765" t="str">
        <f>vlookup(F118,'2) Tracker'!$A$3:$O$410,4,false)</f>
        <v/>
      </c>
      <c r="D118" s="734"/>
      <c r="E118" s="734" t="str">
        <f>vlookup(F118,'2) Tracker'!$A$3:$O$406,15,false)</f>
        <v/>
      </c>
      <c r="F118" s="829" t="s">
        <v>310</v>
      </c>
      <c r="G118" s="789">
        <f>VLOOKUP(F118,'2) Tracker'!$A$2:$BO$360,2,FALSE)</f>
        <v>2020</v>
      </c>
      <c r="H118" s="768">
        <f>VLOOKUP(F118,'2) Tracker'!$A$2:$BO$360,3,FALSE)</f>
        <v>84000</v>
      </c>
      <c r="I118" s="777" t="str">
        <f>VLOOKUP(F118,'2) Tracker'!$A$2:$BO$360,9,FALSE)</f>
        <v>E1</v>
      </c>
      <c r="J118" s="770" t="str">
        <f>VLOOKUP(F118,'2) Tracker'!$A$2:$BO$360,12,FALSE)</f>
        <v>loads USG</v>
      </c>
      <c r="K118" s="771">
        <f t="shared" si="161"/>
        <v>46145</v>
      </c>
      <c r="L118" s="774">
        <f t="shared" ref="L118:O118" si="163">AE118</f>
        <v>46145</v>
      </c>
      <c r="M118" s="771">
        <f t="shared" si="163"/>
        <v>46177</v>
      </c>
      <c r="N118" s="771" t="str">
        <f t="shared" si="163"/>
        <v/>
      </c>
      <c r="O118" s="772" t="str">
        <f t="shared" si="163"/>
        <v/>
      </c>
      <c r="P118" s="773" t="str">
        <f>iferror(if(vlookup(F118,'Voyage days'!$M$808:$N$819,2,false),"GOA",""),"")</f>
        <v/>
      </c>
      <c r="Q118" s="771" t="str">
        <f t="shared" si="81"/>
        <v/>
      </c>
      <c r="R118" s="774" t="str">
        <f t="shared" si="83"/>
        <v/>
      </c>
      <c r="S118" s="774">
        <f t="shared" si="5"/>
        <v>46165</v>
      </c>
      <c r="T118" s="771" t="str">
        <f t="shared" si="6"/>
        <v/>
      </c>
      <c r="U118" s="774" t="str">
        <f t="shared" si="84"/>
        <v/>
      </c>
      <c r="V118" s="771"/>
      <c r="W118" s="771" t="str">
        <f t="shared" si="85"/>
        <v/>
      </c>
      <c r="X118" s="775" t="str">
        <f t="shared" si="9"/>
        <v/>
      </c>
      <c r="Y118" s="776"/>
      <c r="Z118" s="777" t="str">
        <f>vlookup(F118,'2) Tracker'!$A$3:$Q$504,16,false)</f>
        <v>ETA Houston 01 May via Cape</v>
      </c>
      <c r="AA118" s="777" t="str">
        <f>vlookup(F118,'2) Tracker'!$A$3:$R$504,18,false)</f>
        <v>Trafi 03-04 May USG</v>
      </c>
      <c r="AB118" s="777" t="str">
        <f>vlookup(F118,'2) Tracker'!$A$3:$Q$504,17,false)</f>
        <v/>
      </c>
      <c r="AC118" s="778"/>
      <c r="AD118" s="778">
        <f>VLOOKUP(F118,'2) Tracker'!$A$2:$BO$980,37,FALSE)</f>
        <v>46145</v>
      </c>
      <c r="AE118" s="778">
        <f>VLOOKUP(F118,'2) Tracker'!$A$2:$BO$980,40,FALSE)</f>
        <v>46145</v>
      </c>
      <c r="AF118" s="778">
        <f>VLOOKUP(F118,'2) Tracker'!$A$2:$BO$980,67,FALSE)</f>
        <v>46177</v>
      </c>
      <c r="AG118" s="778" t="str">
        <f>VLOOKUP(F118,'2) Tracker'!$A$2:$BO$980,34,FALSE)</f>
        <v/>
      </c>
      <c r="AH118" s="778" t="str">
        <f>VLOOKUP(F118,'2) Tracker'!$A$2:$BN$980,66,FALSE)</f>
        <v/>
      </c>
      <c r="AI118" s="778" t="str">
        <f>VLOOKUP(F118,'2) Tracker'!$A$2:$BO$980,56,FALSE)</f>
        <v/>
      </c>
      <c r="AJ118" s="778" t="str">
        <f>VLOOKUP(F118,'2) Tracker'!$A$2:$BO$980,52,FALSE)</f>
        <v/>
      </c>
      <c r="AK118" s="778" t="str">
        <f>VLOOKUP(F118,'2) Tracker'!$A$2:$AQ$980,43,FALSE)</f>
        <v/>
      </c>
      <c r="AL118" s="778">
        <f>VLOOKUP(F118,'2) Tracker'!$A$2:$BH$980,46,FALSE())</f>
        <v>46165</v>
      </c>
      <c r="AM118" s="778" t="str">
        <f>VLOOKUP(F118,'2) Tracker'!$A$2:$BO$980,65,FALSE())</f>
        <v/>
      </c>
      <c r="AN118" s="778" t="str">
        <f>VLOOKUP(F118,'2) Tracker'!$A$2:$BK$980,63,FALSE())</f>
        <v/>
      </c>
      <c r="AO118" s="778" t="str">
        <f>VLOOKUP(F118,'2) Tracker'!$A$2:$BF$980,58,FALSE())</f>
        <v/>
      </c>
      <c r="AP118" s="52"/>
      <c r="AQ118" s="52"/>
      <c r="AR118" s="52"/>
      <c r="AS118" s="52"/>
      <c r="AT118" s="52"/>
      <c r="AU118" s="52"/>
      <c r="AV118" s="52"/>
      <c r="AW118" s="52"/>
      <c r="AX118" s="52"/>
      <c r="AY118" s="52"/>
      <c r="AZ118" s="734"/>
      <c r="BA118" s="786" t="str">
        <f>vlookup(AZ118,'Iran, FS'!A354:B354)</f>
        <v>#N/A</v>
      </c>
      <c r="BB118" s="787" t="str">
        <f>vlookup(AZ118,'1) Kpler'!$E$2:$F$500,2,false)</f>
        <v>#N/A</v>
      </c>
      <c r="BC118" s="740"/>
      <c r="BD118" s="734"/>
      <c r="BE118" s="52"/>
      <c r="BF118" s="52"/>
      <c r="BG118" s="734"/>
      <c r="BH118" s="734"/>
      <c r="BI118" s="734"/>
      <c r="BJ118" s="734"/>
    </row>
    <row r="119">
      <c r="B119" s="765" t="str">
        <f>vlookup(F119,'2) Tracker'!$A$3:$O$410,5,false)</f>
        <v/>
      </c>
      <c r="C119" s="765" t="str">
        <f>vlookup(F119,'2) Tracker'!$A$3:$O$410,4,false)</f>
        <v>US</v>
      </c>
      <c r="D119" s="734"/>
      <c r="E119" s="734" t="str">
        <f>vlookup(F119,'2) Tracker'!$A$3:$O$406,15,false)</f>
        <v>eu</v>
      </c>
      <c r="F119" s="740" t="s">
        <v>186</v>
      </c>
      <c r="G119" s="783">
        <f>VLOOKUP(F119,'2) Tracker'!$A$2:$BO$360,2,FALSE)</f>
        <v>41848</v>
      </c>
      <c r="H119" s="768">
        <f>VLOOKUP(F119,'2) Tracker'!$A$2:$BO$360,3,FALSE)</f>
        <v>84000</v>
      </c>
      <c r="I119" s="770" t="str">
        <f>VLOOKUP(F119,'2) Tracker'!$A$2:$BO$360,9,FALSE)</f>
        <v>Helios</v>
      </c>
      <c r="J119" s="770" t="str">
        <f>VLOOKUP(F119,'2) Tracker'!$A$2:$BO$360,12,FALSE)</f>
        <v>Eu</v>
      </c>
      <c r="K119" s="774">
        <f t="shared" si="161"/>
        <v>46145</v>
      </c>
      <c r="L119" s="774">
        <f t="shared" ref="L119:O119" si="164">AE119</f>
        <v>46146</v>
      </c>
      <c r="M119" s="771" t="str">
        <f t="shared" si="164"/>
        <v/>
      </c>
      <c r="N119" s="771" t="str">
        <f t="shared" si="164"/>
        <v/>
      </c>
      <c r="O119" s="772" t="str">
        <f t="shared" si="164"/>
        <v/>
      </c>
      <c r="P119" s="773" t="str">
        <f>iferror(if(vlookup(F119,'Voyage days'!$M$808:$N$819,2,false),"GOA",""),"")</f>
        <v/>
      </c>
      <c r="Q119" s="771">
        <f t="shared" si="81"/>
        <v>46132</v>
      </c>
      <c r="R119" s="774">
        <f t="shared" si="83"/>
        <v>46145</v>
      </c>
      <c r="S119" s="774">
        <f t="shared" si="5"/>
        <v>46133</v>
      </c>
      <c r="T119" s="771">
        <f t="shared" si="6"/>
        <v>46142</v>
      </c>
      <c r="U119" s="774" t="str">
        <f t="shared" si="84"/>
        <v/>
      </c>
      <c r="V119" s="745" t="s">
        <v>1523</v>
      </c>
      <c r="W119" s="802" t="str">
        <f t="shared" si="85"/>
        <v/>
      </c>
      <c r="X119" s="775" t="str">
        <f t="shared" si="9"/>
        <v/>
      </c>
      <c r="Y119" s="776"/>
      <c r="Z119" s="777" t="str">
        <f>vlookup(F119,'2) Tracker'!$A$3:$Q$504,16,false)</f>
        <v>ETA Ternuezen 16 Apr</v>
      </c>
      <c r="AA119" s="777" t="str">
        <f>vlookup(F119,'2) Tracker'!$A$3:$R$504,18,false)</f>
        <v>COA 27-28 Mar Enterprise</v>
      </c>
      <c r="AB119" s="777" t="str">
        <f>vlookup(F119,'2) Tracker'!$A$3:$Q$504,17,false)</f>
        <v/>
      </c>
      <c r="AC119" s="778"/>
      <c r="AD119" s="778">
        <f>VLOOKUP(F119,'2) Tracker'!$A$2:$BO$980,37,FALSE)</f>
        <v>46145</v>
      </c>
      <c r="AE119" s="778">
        <f>VLOOKUP(F119,'2) Tracker'!$A$2:$BO$980,40,FALSE)</f>
        <v>46146</v>
      </c>
      <c r="AF119" s="778" t="str">
        <f>VLOOKUP(F119,'2) Tracker'!$A$2:$BO$980,67,FALSE)</f>
        <v/>
      </c>
      <c r="AG119" s="778" t="str">
        <f>VLOOKUP(F119,'2) Tracker'!$A$2:$BO$980,34,FALSE)</f>
        <v/>
      </c>
      <c r="AH119" s="778" t="str">
        <f>VLOOKUP(F119,'2) Tracker'!$A$2:$BN$980,66,FALSE)</f>
        <v/>
      </c>
      <c r="AI119" s="778" t="str">
        <f>VLOOKUP(F119,'2) Tracker'!$A$2:$BO$980,56,FALSE)</f>
        <v/>
      </c>
      <c r="AJ119" s="778" t="str">
        <f>VLOOKUP(F119,'2) Tracker'!$A$2:$BO$980,52,FALSE)</f>
        <v/>
      </c>
      <c r="AK119" s="778">
        <f>VLOOKUP(F119,'2) Tracker'!$A$2:$AQ$980,43,FALSE)</f>
        <v>46142</v>
      </c>
      <c r="AL119" s="778">
        <f>VLOOKUP(F119,'2) Tracker'!$A$2:$BH$980,46,FALSE())</f>
        <v>46133</v>
      </c>
      <c r="AM119" s="778">
        <f>VLOOKUP(F119,'2) Tracker'!$A$2:$BO$980,65,FALSE())</f>
        <v>46132</v>
      </c>
      <c r="AN119" s="778">
        <f>VLOOKUP(F119,'2) Tracker'!$A$2:$BK$980,63,FALSE())</f>
        <v>46145</v>
      </c>
      <c r="AO119" s="778" t="str">
        <f>VLOOKUP(F119,'2) Tracker'!$A$2:$BF$980,58,FALSE())</f>
        <v/>
      </c>
      <c r="AP119" s="52"/>
      <c r="AQ119" s="52"/>
      <c r="AR119" s="52"/>
      <c r="AS119" s="52"/>
      <c r="AT119" s="52"/>
      <c r="AU119" s="52"/>
      <c r="AV119" s="52"/>
      <c r="AW119" s="52"/>
      <c r="AX119" s="52"/>
      <c r="AY119" s="52"/>
      <c r="AZ119" s="734"/>
      <c r="BA119" s="786" t="str">
        <f>vlookup(AZ119,'Iran, FS'!$A$1:$B$318,2, false)</f>
        <v>#N/A</v>
      </c>
      <c r="BB119" s="787" t="str">
        <f>vlookup(AZ119,'1) Kpler'!$E$2:$F$500,2,false)</f>
        <v>#N/A</v>
      </c>
      <c r="BC119" s="740"/>
      <c r="BD119" s="734"/>
      <c r="BE119" s="52"/>
      <c r="BF119" s="52"/>
      <c r="BG119" s="734"/>
      <c r="BH119" s="734"/>
      <c r="BI119" s="734"/>
      <c r="BJ119" s="734"/>
    </row>
    <row r="120">
      <c r="B120" s="765" t="str">
        <f>vlookup(F120,'2) Tracker'!$A$3:$O$410,5,false)</f>
        <v/>
      </c>
      <c r="C120" s="765" t="str">
        <f>vlookup(F120,'2) Tracker'!$A$3:$O$410,4,false)</f>
        <v>US</v>
      </c>
      <c r="D120" s="734"/>
      <c r="E120" s="734" t="str">
        <f>vlookup(F120,'2) Tracker'!$A$3:$O$406,15,false)</f>
        <v>eu</v>
      </c>
      <c r="F120" s="766" t="s">
        <v>896</v>
      </c>
      <c r="G120" s="783">
        <f>VLOOKUP(F120,'2) Tracker'!$A$2:$BO$360,2,FALSE)</f>
        <v>43617</v>
      </c>
      <c r="H120" s="768">
        <f>VLOOKUP(F120,'2) Tracker'!$A$2:$BO$360,3,FALSE)</f>
        <v>82200</v>
      </c>
      <c r="I120" s="769" t="str">
        <f>VLOOKUP(F120,'2) Tracker'!$A$2:$BO$360,9,FALSE)</f>
        <v>Energy Transfer</v>
      </c>
      <c r="J120" s="770" t="str">
        <f>VLOOKUP(F120,'2) Tracker'!$A$2:$BO$360,12,FALSE)</f>
        <v>Eu</v>
      </c>
      <c r="K120" s="771">
        <f t="shared" si="161"/>
        <v>46145</v>
      </c>
      <c r="L120" s="771">
        <f t="shared" ref="L120:O120" si="165">AE120</f>
        <v>46146</v>
      </c>
      <c r="M120" s="771" t="str">
        <f t="shared" si="165"/>
        <v/>
      </c>
      <c r="N120" s="771" t="str">
        <f t="shared" si="165"/>
        <v/>
      </c>
      <c r="O120" s="772" t="str">
        <f t="shared" si="165"/>
        <v/>
      </c>
      <c r="P120" s="773" t="str">
        <f>iferror(if(vlookup(F120,'Voyage days'!$M$808:$N$819,2,false),"GOA",""),"")</f>
        <v/>
      </c>
      <c r="Q120" s="771">
        <f t="shared" si="81"/>
        <v>46132</v>
      </c>
      <c r="R120" s="771">
        <f t="shared" si="83"/>
        <v>46145</v>
      </c>
      <c r="S120" s="774">
        <f t="shared" si="5"/>
        <v>46133</v>
      </c>
      <c r="T120" s="771">
        <f t="shared" si="6"/>
        <v>46142</v>
      </c>
      <c r="U120" s="771" t="str">
        <f t="shared" si="84"/>
        <v/>
      </c>
      <c r="V120" s="745" t="s">
        <v>1523</v>
      </c>
      <c r="W120" s="771" t="str">
        <f t="shared" si="85"/>
        <v/>
      </c>
      <c r="X120" s="775" t="str">
        <f t="shared" si="9"/>
        <v/>
      </c>
      <c r="Y120" s="776"/>
      <c r="Z120" s="777" t="str">
        <f>vlookup(F120,'2) Tracker'!$A$3:$Q$504,16,false)</f>
        <v>ETA Flushing 15 Apr</v>
      </c>
      <c r="AA120" s="777" t="str">
        <f>vlookup(F120,'2) Tracker'!$A$3:$R$504,18,false)</f>
        <v>ET 03-04 Apr MH</v>
      </c>
      <c r="AB120" s="777" t="str">
        <f>vlookup(F120,'2) Tracker'!$A$3:$Q$504,17,false)</f>
        <v/>
      </c>
      <c r="AC120" s="778"/>
      <c r="AD120" s="778">
        <f>VLOOKUP(F120,'2) Tracker'!$A$2:$BO$980,37,FALSE)</f>
        <v>46145</v>
      </c>
      <c r="AE120" s="778">
        <f>VLOOKUP(F120,'2) Tracker'!$A$2:$BO$980,40,FALSE)</f>
        <v>46146</v>
      </c>
      <c r="AF120" s="778" t="str">
        <f>VLOOKUP(F120,'2) Tracker'!$A$2:$BO$980,67,FALSE)</f>
        <v/>
      </c>
      <c r="AG120" s="778" t="str">
        <f>VLOOKUP(F120,'2) Tracker'!$A$2:$BO$980,34,FALSE)</f>
        <v/>
      </c>
      <c r="AH120" s="778" t="str">
        <f>VLOOKUP(F120,'2) Tracker'!$A$2:$BN$980,66,FALSE)</f>
        <v/>
      </c>
      <c r="AI120" s="778" t="str">
        <f>VLOOKUP(F120,'2) Tracker'!$A$2:$BO$980,56,FALSE)</f>
        <v/>
      </c>
      <c r="AJ120" s="778" t="str">
        <f>VLOOKUP(F120,'2) Tracker'!$A$2:$BO$980,52,FALSE)</f>
        <v/>
      </c>
      <c r="AK120" s="778">
        <f>VLOOKUP(F120,'2) Tracker'!$A$2:$AQ$980,43,FALSE)</f>
        <v>46142</v>
      </c>
      <c r="AL120" s="778">
        <f>VLOOKUP(F120,'2) Tracker'!$A$2:$BH$980,46,FALSE())</f>
        <v>46133</v>
      </c>
      <c r="AM120" s="778">
        <f>VLOOKUP(F120,'2) Tracker'!$A$2:$BO$980,65,FALSE())</f>
        <v>46132</v>
      </c>
      <c r="AN120" s="778">
        <f>VLOOKUP(F120,'2) Tracker'!$A$2:$BK$980,63,FALSE())</f>
        <v>46145</v>
      </c>
      <c r="AO120" s="778" t="str">
        <f>VLOOKUP(F120,'2) Tracker'!$A$2:$BF$980,58,FALSE())</f>
        <v/>
      </c>
      <c r="AP120" s="52"/>
      <c r="AQ120" s="52"/>
      <c r="AR120" s="52"/>
      <c r="AS120" s="52"/>
      <c r="AT120" s="52"/>
      <c r="AU120" s="52"/>
      <c r="AV120" s="52"/>
      <c r="AW120" s="52"/>
      <c r="AX120" s="52"/>
      <c r="AY120" s="52"/>
      <c r="AZ120" s="787"/>
      <c r="BA120" s="786" t="str">
        <f>vlookup(AZ120,'Iran, FS'!$A$1:$B$318,2, false)</f>
        <v>#N/A</v>
      </c>
      <c r="BB120" s="787" t="str">
        <f>vlookup(AZ120,'1) Kpler'!$E$2:$F$500,2,false)</f>
        <v>#N/A</v>
      </c>
      <c r="BC120" s="788"/>
      <c r="BD120" s="787"/>
      <c r="BE120" s="52"/>
      <c r="BF120" s="52"/>
      <c r="BG120" s="787"/>
      <c r="BH120" s="787"/>
      <c r="BI120" s="787"/>
      <c r="BJ120" s="787"/>
    </row>
    <row r="121">
      <c r="B121" s="765" t="str">
        <f>vlookup(F121,'2) Tracker'!$A$3:$O$410,5,false)</f>
        <v/>
      </c>
      <c r="C121" s="765" t="str">
        <f>vlookup(F121,'2) Tracker'!$A$3:$O$410,4,false)</f>
        <v/>
      </c>
      <c r="D121" s="734"/>
      <c r="E121" s="734" t="str">
        <f>vlookup(F121,'2) Tracker'!$A$3:$O$406,15,false)</f>
        <v>R</v>
      </c>
      <c r="F121" s="830" t="s">
        <v>267</v>
      </c>
      <c r="G121" s="767">
        <f>VLOOKUP(F121,'2) Tracker'!$A$2:$BO$360,2,FALSE)</f>
        <v>2008</v>
      </c>
      <c r="H121" s="768">
        <f>VLOOKUP(F121,'2) Tracker'!$A$2:$BO$360,3,FALSE)</f>
        <v>82200</v>
      </c>
      <c r="I121" s="777" t="str">
        <f>VLOOKUP(F121,'2) Tracker'!$A$2:$BO$360,9,FALSE)</f>
        <v>SwissChemGas</v>
      </c>
      <c r="J121" s="770" t="str">
        <f>VLOOKUP(F121,'2) Tracker'!$A$2:$BO$360,12,FALSE)</f>
        <v>loads USG</v>
      </c>
      <c r="K121" s="771">
        <f t="shared" si="161"/>
        <v>46146</v>
      </c>
      <c r="L121" s="771">
        <f t="shared" ref="L121:O121" si="166">AE121</f>
        <v>46146</v>
      </c>
      <c r="M121" s="771">
        <f t="shared" si="166"/>
        <v>46178</v>
      </c>
      <c r="N121" s="771" t="str">
        <f t="shared" si="166"/>
        <v/>
      </c>
      <c r="O121" s="772" t="str">
        <f t="shared" si="166"/>
        <v/>
      </c>
      <c r="P121" s="831" t="s">
        <v>1513</v>
      </c>
      <c r="Q121" s="772" t="str">
        <f t="shared" si="81"/>
        <v/>
      </c>
      <c r="R121" s="771" t="str">
        <f t="shared" si="83"/>
        <v/>
      </c>
      <c r="S121" s="774">
        <f t="shared" si="5"/>
        <v>46166</v>
      </c>
      <c r="T121" s="774" t="str">
        <f t="shared" si="6"/>
        <v/>
      </c>
      <c r="U121" s="771" t="str">
        <f t="shared" si="84"/>
        <v/>
      </c>
      <c r="V121" s="771"/>
      <c r="W121" s="771" t="str">
        <f t="shared" si="85"/>
        <v/>
      </c>
      <c r="X121" s="775" t="str">
        <f t="shared" si="9"/>
        <v/>
      </c>
      <c r="Y121" s="784" t="s">
        <v>1561</v>
      </c>
      <c r="Z121" s="777" t="str">
        <f>vlookup(F121,'2) Tracker'!$A$3:$Q$504,16,false)</f>
        <v>ETA Balboa 28 Apr</v>
      </c>
      <c r="AA121" s="777" t="str">
        <f>vlookup(F121,'2) Tracker'!$A$3:$R$504,18,false)</f>
        <v>BWPS 04-05 May USG</v>
      </c>
      <c r="AB121" s="777" t="str">
        <f>vlookup(F121,'2) Tracker'!$A$3:$Q$504,17,false)</f>
        <v/>
      </c>
      <c r="AC121" s="778"/>
      <c r="AD121" s="778">
        <f>VLOOKUP(F121,'2) Tracker'!$A$2:$BO$980,37,FALSE)</f>
        <v>46146</v>
      </c>
      <c r="AE121" s="778">
        <f>VLOOKUP(F121,'2) Tracker'!$A$2:$BO$980,40,FALSE)</f>
        <v>46146</v>
      </c>
      <c r="AF121" s="778">
        <f>VLOOKUP(F121,'2) Tracker'!$A$2:$BO$980,67,FALSE)</f>
        <v>46178</v>
      </c>
      <c r="AG121" s="778" t="str">
        <f>VLOOKUP(F121,'2) Tracker'!$A$2:$BO$980,34,FALSE)</f>
        <v/>
      </c>
      <c r="AH121" s="778" t="str">
        <f>VLOOKUP(F121,'2) Tracker'!$A$2:$BN$980,66,FALSE)</f>
        <v/>
      </c>
      <c r="AI121" s="778" t="str">
        <f>VLOOKUP(F121,'2) Tracker'!$A$2:$BO$980,56,FALSE)</f>
        <v/>
      </c>
      <c r="AJ121" s="778" t="str">
        <f>VLOOKUP(F121,'2) Tracker'!$A$2:$BO$980,52,FALSE)</f>
        <v/>
      </c>
      <c r="AK121" s="778" t="str">
        <f>VLOOKUP(F121,'2) Tracker'!$A$2:$AQ$980,43,FALSE)</f>
        <v/>
      </c>
      <c r="AL121" s="778">
        <f>VLOOKUP(F121,'2) Tracker'!$A$2:$BH$980,46,FALSE())</f>
        <v>46166</v>
      </c>
      <c r="AM121" s="778" t="str">
        <f>VLOOKUP(F121,'2) Tracker'!$A$2:$BO$980,65,FALSE())</f>
        <v/>
      </c>
      <c r="AN121" s="778" t="str">
        <f>VLOOKUP(F121,'2) Tracker'!$A$2:$BK$980,63,FALSE())</f>
        <v/>
      </c>
      <c r="AO121" s="778" t="str">
        <f>VLOOKUP(F121,'2) Tracker'!$A$2:$BF$980,58,FALSE())</f>
        <v/>
      </c>
      <c r="AP121" s="52"/>
      <c r="AQ121" s="52"/>
      <c r="AR121" s="52"/>
      <c r="AS121" s="52"/>
      <c r="AT121" s="52"/>
      <c r="AU121" s="52"/>
      <c r="AV121" s="52"/>
      <c r="AW121" s="52"/>
      <c r="AX121" s="52"/>
      <c r="AY121" s="52"/>
      <c r="AZ121" s="787"/>
      <c r="BA121" s="786" t="str">
        <f>vlookup(AZ121,'Iran, FS'!$A$1:$B$318,2, false)</f>
        <v>#N/A</v>
      </c>
      <c r="BB121" s="787" t="str">
        <f>vlookup(AZ121,'1) Kpler'!$E$2:$F$500,2,false)</f>
        <v>#N/A</v>
      </c>
      <c r="BC121" s="788"/>
      <c r="BD121" s="787"/>
      <c r="BE121" s="52"/>
      <c r="BF121" s="52"/>
      <c r="BG121" s="787"/>
      <c r="BH121" s="787"/>
      <c r="BI121" s="787"/>
      <c r="BJ121" s="787"/>
    </row>
    <row r="122">
      <c r="B122" s="765" t="str">
        <f>vlookup(F122,'2) Tracker'!$A$3:$O$410,5,false)</f>
        <v/>
      </c>
      <c r="C122" s="765" t="str">
        <f>vlookup(F122,'2) Tracker'!$A$3:$O$410,4,false)</f>
        <v/>
      </c>
      <c r="D122" s="734"/>
      <c r="E122" s="734" t="str">
        <f>vlookup(F122,'2) Tracker'!$A$3:$O$406,15,false)</f>
        <v/>
      </c>
      <c r="F122" s="788" t="s">
        <v>311</v>
      </c>
      <c r="G122" s="783">
        <f>VLOOKUP(F122,'2) Tracker'!$A$2:$BO$360,2,FALSE)</f>
        <v>40961</v>
      </c>
      <c r="H122" s="768">
        <f>VLOOKUP(F122,'2) Tracker'!$A$2:$BO$360,3,FALSE)</f>
        <v>78000</v>
      </c>
      <c r="I122" s="770" t="str">
        <f>VLOOKUP(F122,'2) Tracker'!$A$2:$BO$360,9,FALSE)</f>
        <v>PTT</v>
      </c>
      <c r="J122" s="770" t="str">
        <f>VLOOKUP(F122,'2) Tracker'!$A$2:$BO$360,12,FALSE)</f>
        <v>loads USG</v>
      </c>
      <c r="K122" s="774">
        <f t="shared" si="161"/>
        <v>46147</v>
      </c>
      <c r="L122" s="774">
        <f t="shared" ref="L122:O122" si="167">AE122</f>
        <v>46147</v>
      </c>
      <c r="M122" s="771">
        <f t="shared" si="167"/>
        <v>46179</v>
      </c>
      <c r="N122" s="771" t="str">
        <f t="shared" si="167"/>
        <v/>
      </c>
      <c r="O122" s="772" t="str">
        <f t="shared" si="167"/>
        <v/>
      </c>
      <c r="P122" s="773" t="str">
        <f>iferror(if(vlookup(F122,'Voyage days'!$M$808:$N$819,2,false),"GOA",""),"")</f>
        <v/>
      </c>
      <c r="Q122" s="771" t="str">
        <f t="shared" si="81"/>
        <v/>
      </c>
      <c r="R122" s="774" t="str">
        <f t="shared" si="83"/>
        <v/>
      </c>
      <c r="S122" s="774">
        <f t="shared" si="5"/>
        <v>46167</v>
      </c>
      <c r="T122" s="771" t="str">
        <f t="shared" si="6"/>
        <v/>
      </c>
      <c r="U122" s="774" t="str">
        <f t="shared" si="84"/>
        <v/>
      </c>
      <c r="V122" s="771"/>
      <c r="W122" s="771" t="str">
        <f t="shared" si="85"/>
        <v/>
      </c>
      <c r="X122" s="775" t="str">
        <f t="shared" si="9"/>
        <v/>
      </c>
      <c r="Y122" s="804" t="s">
        <v>1121</v>
      </c>
      <c r="Z122" s="777" t="str">
        <f>vlookup(F122,'2) Tracker'!$A$3:$Q$504,16,false)</f>
        <v>ETA USG 03 May via Cape</v>
      </c>
      <c r="AA122" s="777" t="str">
        <f>vlookup(F122,'2) Tracker'!$A$3:$R$504,18,false)</f>
        <v>ATC 05-06 May USG</v>
      </c>
      <c r="AB122" s="777" t="str">
        <f>vlookup(F122,'2) Tracker'!$A$3:$Q$504,17,false)</f>
        <v>"14 knots speed" </v>
      </c>
      <c r="AC122" s="778"/>
      <c r="AD122" s="778">
        <f>VLOOKUP(F122,'2) Tracker'!$A$2:$BO$980,37,FALSE)</f>
        <v>46147</v>
      </c>
      <c r="AE122" s="778">
        <f>VLOOKUP(F122,'2) Tracker'!$A$2:$BO$980,40,FALSE)</f>
        <v>46147</v>
      </c>
      <c r="AF122" s="778">
        <f>VLOOKUP(F122,'2) Tracker'!$A$2:$BO$980,67,FALSE)</f>
        <v>46179</v>
      </c>
      <c r="AG122" s="778" t="str">
        <f>VLOOKUP(F122,'2) Tracker'!$A$2:$BO$980,34,FALSE)</f>
        <v/>
      </c>
      <c r="AH122" s="778" t="str">
        <f>VLOOKUP(F122,'2) Tracker'!$A$2:$BN$980,66,FALSE)</f>
        <v/>
      </c>
      <c r="AI122" s="779" t="str">
        <f>VLOOKUP(F122,'2) Tracker'!$A$2:$BO$980,56,FALSE)</f>
        <v/>
      </c>
      <c r="AJ122" s="778" t="str">
        <f>VLOOKUP(F122,'2) Tracker'!$A$2:$BO$980,52,FALSE)</f>
        <v/>
      </c>
      <c r="AK122" s="778" t="str">
        <f>VLOOKUP(F122,'2) Tracker'!$A$2:$AQ$980,43,FALSE)</f>
        <v/>
      </c>
      <c r="AL122" s="778">
        <f>VLOOKUP(F122,'2) Tracker'!$A$2:$BH$980,46,FALSE())</f>
        <v>46167</v>
      </c>
      <c r="AM122" s="778" t="str">
        <f>VLOOKUP(F122,'2) Tracker'!$A$2:$BO$980,65,FALSE())</f>
        <v/>
      </c>
      <c r="AN122" s="778" t="str">
        <f>VLOOKUP(F122,'2) Tracker'!$A$2:$BK$980,63,FALSE())</f>
        <v/>
      </c>
      <c r="AO122" s="778" t="str">
        <f>VLOOKUP(F122,'2) Tracker'!$A$2:$BF$980,58,FALSE())</f>
        <v/>
      </c>
      <c r="AP122" s="52"/>
      <c r="AQ122" s="52"/>
      <c r="AR122" s="52"/>
      <c r="AS122" s="52"/>
      <c r="AT122" s="52"/>
      <c r="AU122" s="52"/>
      <c r="AV122" s="52"/>
      <c r="AW122" s="52"/>
      <c r="AX122" s="52"/>
      <c r="AY122" s="52"/>
      <c r="AZ122" s="787"/>
      <c r="BA122" s="786"/>
      <c r="BB122" s="787"/>
      <c r="BC122" s="788"/>
      <c r="BD122" s="787"/>
      <c r="BE122" s="52"/>
      <c r="BF122" s="52"/>
      <c r="BG122" s="787"/>
      <c r="BH122" s="787"/>
      <c r="BI122" s="787"/>
      <c r="BJ122" s="787"/>
    </row>
    <row r="123" ht="18.0" customHeight="1">
      <c r="B123" s="765" t="str">
        <f>vlookup(F123,'2) Tracker'!$A$3:$O$410,5,false)</f>
        <v/>
      </c>
      <c r="C123" s="765" t="str">
        <f>vlookup(F123,'2) Tracker'!$A$3:$O$410,4,false)</f>
        <v/>
      </c>
      <c r="D123" s="734"/>
      <c r="E123" s="734" t="str">
        <f>vlookup(F123,'2) Tracker'!$A$3:$O$406,15,false)</f>
        <v>eu</v>
      </c>
      <c r="F123" s="798" t="s">
        <v>179</v>
      </c>
      <c r="G123" s="783">
        <f>VLOOKUP(F123,'2) Tracker'!$A$2:$BO$360,2,FALSE)</f>
        <v>43553</v>
      </c>
      <c r="H123" s="768">
        <f>VLOOKUP(F123,'2) Tracker'!$A$2:$BO$360,3,FALSE)</f>
        <v>84200</v>
      </c>
      <c r="I123" s="770" t="str">
        <f>VLOOKUP(F123,'2) Tracker'!$A$2:$BO$360,9,FALSE)</f>
        <v>Vitol</v>
      </c>
      <c r="J123" s="770" t="str">
        <f>VLOOKUP(F123,'2) Tracker'!$A$2:$BO$360,12,FALSE)</f>
        <v>East Med</v>
      </c>
      <c r="K123" s="774">
        <f t="shared" si="161"/>
        <v>46147</v>
      </c>
      <c r="L123" s="774">
        <f t="shared" ref="L123:O123" si="168">AE123</f>
        <v>46148</v>
      </c>
      <c r="M123" s="771" t="str">
        <f t="shared" si="168"/>
        <v/>
      </c>
      <c r="N123" s="771" t="str">
        <f t="shared" si="168"/>
        <v/>
      </c>
      <c r="O123" s="772" t="str">
        <f t="shared" si="168"/>
        <v/>
      </c>
      <c r="P123" s="773" t="str">
        <f>iferror(if(vlookup(F123,'Voyage days'!$M$808:$N$819,2,false),"GOA",""),"")</f>
        <v/>
      </c>
      <c r="Q123" s="771">
        <f t="shared" si="81"/>
        <v>46132</v>
      </c>
      <c r="R123" s="774">
        <f t="shared" si="83"/>
        <v>46136</v>
      </c>
      <c r="S123" s="774">
        <f t="shared" si="5"/>
        <v>46134</v>
      </c>
      <c r="T123" s="771">
        <f t="shared" si="6"/>
        <v>46143</v>
      </c>
      <c r="U123" s="774" t="str">
        <f t="shared" si="84"/>
        <v/>
      </c>
      <c r="V123" s="774"/>
      <c r="W123" s="774" t="str">
        <f t="shared" si="85"/>
        <v/>
      </c>
      <c r="X123" s="775" t="str">
        <f t="shared" si="9"/>
        <v/>
      </c>
      <c r="Y123" s="776"/>
      <c r="Z123" s="777" t="str">
        <f>vlookup(F123,'2) Tracker'!$A$3:$Q$504,16,false)</f>
        <v>ETA Ceuta 16 Apr</v>
      </c>
      <c r="AA123" s="777" t="str">
        <f>vlookup(F123,'2) Tracker'!$A$3:$R$504,18,false)</f>
        <v>Vitol 08-09 Apr Escravos</v>
      </c>
      <c r="AB123" s="777" t="str">
        <f>vlookup(F123,'2) Tracker'!$A$3:$Q$504,17,false)</f>
        <v/>
      </c>
      <c r="AC123" s="778"/>
      <c r="AD123" s="778">
        <f>VLOOKUP(F123,'2) Tracker'!$A$2:$BO$980,37,FALSE)</f>
        <v>46147</v>
      </c>
      <c r="AE123" s="778">
        <f>VLOOKUP(F123,'2) Tracker'!$A$2:$BO$980,40,FALSE)</f>
        <v>46148</v>
      </c>
      <c r="AF123" s="778" t="str">
        <f>VLOOKUP(F123,'2) Tracker'!$A$2:$BO$980,67,FALSE)</f>
        <v/>
      </c>
      <c r="AG123" s="778" t="str">
        <f>VLOOKUP(F123,'2) Tracker'!$A$2:$BO$980,34,FALSE)</f>
        <v/>
      </c>
      <c r="AH123" s="778" t="str">
        <f>VLOOKUP(F123,'2) Tracker'!$A$2:$BN$980,66,FALSE)</f>
        <v/>
      </c>
      <c r="AI123" s="778" t="str">
        <f>VLOOKUP(F123,'2) Tracker'!$A$2:$BO$980,56,FALSE)</f>
        <v/>
      </c>
      <c r="AJ123" s="778" t="str">
        <f>VLOOKUP(F123,'2) Tracker'!$A$2:$BO$980,52,FALSE)</f>
        <v/>
      </c>
      <c r="AK123" s="778">
        <f>VLOOKUP(F123,'2) Tracker'!$A$2:$AQ$980,43,FALSE)</f>
        <v>46143</v>
      </c>
      <c r="AL123" s="778">
        <f>VLOOKUP(F123,'2) Tracker'!$A$2:$BH$980,46,FALSE())</f>
        <v>46134</v>
      </c>
      <c r="AM123" s="778">
        <f>VLOOKUP(F123,'2) Tracker'!$A$2:$BO$980,65,FALSE())</f>
        <v>46132</v>
      </c>
      <c r="AN123" s="778">
        <f>VLOOKUP(F123,'2) Tracker'!$A$2:$BK$980,63,FALSE())</f>
        <v>46136</v>
      </c>
      <c r="AO123" s="778" t="str">
        <f>VLOOKUP(F123,'2) Tracker'!$A$2:$BF$980,58,FALSE())</f>
        <v/>
      </c>
      <c r="AP123" s="813"/>
      <c r="AQ123" s="813"/>
      <c r="AR123" s="52"/>
      <c r="AS123" s="52"/>
      <c r="AT123" s="52"/>
      <c r="AU123" s="52"/>
      <c r="AV123" s="52"/>
      <c r="AW123" s="52"/>
      <c r="AX123" s="52"/>
      <c r="AY123" s="52"/>
      <c r="AZ123" s="734"/>
      <c r="BA123" s="786" t="str">
        <f>vlookup(AZ123,'Iran, FS'!$A$1:$B$318,2, false)</f>
        <v>#N/A</v>
      </c>
      <c r="BB123" s="787" t="str">
        <f>vlookup(AZ123,'1) Kpler'!$E$2:$F$500,2,false)</f>
        <v>#N/A</v>
      </c>
      <c r="BC123" s="740"/>
      <c r="BD123" s="734"/>
      <c r="BE123" s="52"/>
      <c r="BF123" s="52"/>
      <c r="BG123" s="734"/>
      <c r="BH123" s="734"/>
      <c r="BI123" s="734"/>
      <c r="BJ123" s="734"/>
    </row>
    <row r="124">
      <c r="B124" s="765" t="str">
        <f>vlookup(F124,'2) Tracker'!$A$3:$O$410,5,false)</f>
        <v/>
      </c>
      <c r="C124" s="765" t="str">
        <f>vlookup(F124,'2) Tracker'!$A$3:$O$410,4,false)</f>
        <v/>
      </c>
      <c r="D124" s="734"/>
      <c r="E124" s="734" t="str">
        <f>vlookup(F124,'2) Tracker'!$A$3:$O$406,15,false)</f>
        <v/>
      </c>
      <c r="F124" s="766" t="s">
        <v>420</v>
      </c>
      <c r="G124" s="787">
        <f>VLOOKUP(F124,'2) Tracker'!$A$2:$BO$360,2,FALSE)</f>
        <v>2019</v>
      </c>
      <c r="H124" s="768">
        <f>VLOOKUP(F124,'2) Tracker'!$A$2:$BO$360,3,FALSE)</f>
        <v>83000</v>
      </c>
      <c r="I124" s="769" t="str">
        <f>VLOOKUP(F124,'2) Tracker'!$A$2:$BO$360,9,FALSE)</f>
        <v>Total</v>
      </c>
      <c r="J124" s="770" t="str">
        <f>VLOOKUP(F124,'2) Tracker'!$A$2:$BO$360,12,FALSE)</f>
        <v>Eu</v>
      </c>
      <c r="K124" s="774">
        <f t="shared" si="161"/>
        <v>46147</v>
      </c>
      <c r="L124" s="774">
        <f t="shared" ref="L124:O124" si="169">AE124</f>
        <v>46148</v>
      </c>
      <c r="M124" s="771" t="str">
        <f t="shared" si="169"/>
        <v/>
      </c>
      <c r="N124" s="772" t="str">
        <f t="shared" si="169"/>
        <v/>
      </c>
      <c r="O124" s="772" t="str">
        <f t="shared" si="169"/>
        <v/>
      </c>
      <c r="P124" s="773" t="str">
        <f>iferror(if(vlookup(F124,'Voyage days'!$M$808:$N$819,2,false),"GOA",""),"")</f>
        <v/>
      </c>
      <c r="Q124" s="771">
        <f t="shared" si="81"/>
        <v>46134</v>
      </c>
      <c r="R124" s="771">
        <f t="shared" si="83"/>
        <v>46147</v>
      </c>
      <c r="S124" s="774">
        <f t="shared" si="5"/>
        <v>46135</v>
      </c>
      <c r="T124" s="771">
        <f t="shared" si="6"/>
        <v>46144</v>
      </c>
      <c r="U124" s="771" t="str">
        <f t="shared" si="84"/>
        <v/>
      </c>
      <c r="V124" s="771"/>
      <c r="W124" s="771" t="str">
        <f t="shared" si="85"/>
        <v/>
      </c>
      <c r="X124" s="775" t="str">
        <f t="shared" si="9"/>
        <v/>
      </c>
      <c r="Y124" s="776"/>
      <c r="Z124" s="777" t="str">
        <f>vlookup(F124,'2) Tracker'!$A$3:$Q$504,16,false)</f>
        <v>ETA Terneuzen 17 Apr</v>
      </c>
      <c r="AA124" s="777" t="str">
        <f>vlookup(F124,'2) Tracker'!$A$3:$R$504,18,false)</f>
        <v>Total 31 Mar Nederland</v>
      </c>
      <c r="AB124" s="777" t="str">
        <f>vlookup(F124,'2) Tracker'!$A$3:$Q$504,17,false)</f>
        <v/>
      </c>
      <c r="AC124" s="778"/>
      <c r="AD124" s="778">
        <f>VLOOKUP(F124,'2) Tracker'!$A$2:$BO$980,37,FALSE)</f>
        <v>46147</v>
      </c>
      <c r="AE124" s="778">
        <f>VLOOKUP(F124,'2) Tracker'!$A$2:$BO$980,40,FALSE)</f>
        <v>46148</v>
      </c>
      <c r="AF124" s="778" t="str">
        <f>VLOOKUP(F124,'2) Tracker'!$A$2:$BO$980,67,FALSE)</f>
        <v/>
      </c>
      <c r="AG124" s="778" t="str">
        <f>VLOOKUP(F124,'2) Tracker'!$A$2:$BO$980,34,FALSE)</f>
        <v/>
      </c>
      <c r="AH124" s="778" t="str">
        <f>VLOOKUP(F124,'2) Tracker'!$A$2:$BN$980,66,FALSE)</f>
        <v/>
      </c>
      <c r="AI124" s="778" t="str">
        <f>VLOOKUP(F124,'2) Tracker'!$A$2:$BO$980,56,FALSE)</f>
        <v/>
      </c>
      <c r="AJ124" s="778" t="str">
        <f>VLOOKUP(F124,'2) Tracker'!$A$2:$BO$980,52,FALSE)</f>
        <v/>
      </c>
      <c r="AK124" s="778">
        <f>VLOOKUP(F124,'2) Tracker'!$A$2:$AQ$980,43,FALSE)</f>
        <v>46144</v>
      </c>
      <c r="AL124" s="778">
        <f>VLOOKUP(F124,'2) Tracker'!$A$2:$BH$980,46,FALSE())</f>
        <v>46135</v>
      </c>
      <c r="AM124" s="778">
        <f>VLOOKUP(F124,'2) Tracker'!$A$2:$BO$980,65,FALSE())</f>
        <v>46134</v>
      </c>
      <c r="AN124" s="778">
        <f>VLOOKUP(F124,'2) Tracker'!$A$2:$BK$980,63,FALSE())</f>
        <v>46147</v>
      </c>
      <c r="AO124" s="778" t="str">
        <f>VLOOKUP(F124,'2) Tracker'!$A$2:$BF$980,58,FALSE())</f>
        <v/>
      </c>
      <c r="AP124" s="52"/>
      <c r="AQ124" s="52"/>
      <c r="AR124" s="52"/>
      <c r="AS124" s="52"/>
      <c r="AT124" s="52"/>
      <c r="AU124" s="52"/>
      <c r="AV124" s="52"/>
      <c r="AW124" s="52"/>
      <c r="AX124" s="52"/>
      <c r="AY124" s="52"/>
      <c r="AZ124" s="734"/>
      <c r="BA124" s="786" t="str">
        <f>vlookup(AZ124,'Iran, FS'!$A$1:$B$318,2, false)</f>
        <v>#N/A</v>
      </c>
      <c r="BB124" s="787" t="str">
        <f>vlookup(AZ124,'1) Kpler'!$E$2:$F$500,2,false)</f>
        <v>#N/A</v>
      </c>
      <c r="BC124" s="740"/>
      <c r="BD124" s="734"/>
      <c r="BE124" s="52"/>
      <c r="BF124" s="52"/>
      <c r="BG124" s="734"/>
      <c r="BH124" s="734"/>
      <c r="BI124" s="734"/>
      <c r="BJ124" s="734"/>
    </row>
    <row r="125">
      <c r="B125" s="765" t="str">
        <f>vlookup(F125,'2) Tracker'!$A$3:$O$410,5,false)</f>
        <v>S</v>
      </c>
      <c r="C125" s="765" t="str">
        <f>vlookup(F125,'2) Tracker'!$A$3:$O$410,4,false)</f>
        <v>IOC</v>
      </c>
      <c r="D125" s="734"/>
      <c r="E125" s="734" t="str">
        <f>vlookup(F125,'2) Tracker'!$A$3:$O$406,15,false)</f>
        <v/>
      </c>
      <c r="F125" s="819" t="s">
        <v>469</v>
      </c>
      <c r="G125" s="789">
        <f>VLOOKUP(F125,'2) Tracker'!$A$2:$BO$360,2,FALSE)</f>
        <v>2008</v>
      </c>
      <c r="H125" s="768">
        <f>VLOOKUP(F125,'2) Tracker'!$A$2:$BO$360,3,FALSE)</f>
        <v>82200</v>
      </c>
      <c r="I125" s="777" t="str">
        <f>VLOOKUP(F125,'2) Tracker'!$A$2:$BO$360,9,FALSE)</f>
        <v>SwissChemGas&gt;ATL</v>
      </c>
      <c r="J125" s="770" t="str">
        <f>VLOOKUP(F125,'2) Tracker'!$A$2:$BO$360,12,FALSE)</f>
        <v>Galle</v>
      </c>
      <c r="K125" s="774">
        <f t="shared" ref="K125:L125" si="170">AD126</f>
        <v>46147</v>
      </c>
      <c r="L125" s="774">
        <f t="shared" si="170"/>
        <v>46150</v>
      </c>
      <c r="M125" s="771" t="str">
        <f t="shared" ref="M125:N125" si="171">AF125</f>
        <v/>
      </c>
      <c r="N125" s="771">
        <f t="shared" si="171"/>
        <v>46130</v>
      </c>
      <c r="P125" s="773" t="str">
        <f>iferror(if(vlookup(F125,'Voyage days'!$M$808:$N$824,2,false),"GOA",""),"")</f>
        <v>GOA</v>
      </c>
      <c r="Q125" s="772">
        <f t="shared" si="81"/>
        <v>46134</v>
      </c>
      <c r="R125" s="771">
        <f t="shared" si="83"/>
        <v>46168</v>
      </c>
      <c r="S125" s="774">
        <f t="shared" si="5"/>
        <v>46151</v>
      </c>
      <c r="T125" s="774">
        <f t="shared" si="6"/>
        <v>46143</v>
      </c>
      <c r="U125" s="771">
        <f t="shared" si="84"/>
        <v>46132</v>
      </c>
      <c r="V125" s="771"/>
      <c r="W125" s="771" t="str">
        <f t="shared" si="85"/>
        <v/>
      </c>
      <c r="X125" s="775" t="str">
        <f t="shared" si="9"/>
        <v/>
      </c>
      <c r="Y125" s="795" t="s">
        <v>1562</v>
      </c>
      <c r="Z125" s="777" t="str">
        <f>vlookup(F125,'2) Tracker'!$A$3:$Q$504,16,false)</f>
        <v>Ex Trincomalee 12 Apr</v>
      </c>
      <c r="AA125" s="777" t="str">
        <f>vlookup(F125,'2) Tracker'!$A$3:$R$504,18,false)</f>
        <v>ATC 19 Mar Yanbu</v>
      </c>
      <c r="AB125" s="777" t="str">
        <f>vlookup(F125,'2) Tracker'!$A$3:$Q$504,17,false)</f>
        <v/>
      </c>
      <c r="AC125" s="778"/>
      <c r="AD125" s="778" t="str">
        <f>VLOOKUP(F125,'2) Tracker'!$A$2:$BO$980,37,FALSE)</f>
        <v/>
      </c>
      <c r="AE125" s="778">
        <f>VLOOKUP(F125,'2) Tracker'!$A$2:$BO$980,40,FALSE)</f>
        <v>46156</v>
      </c>
      <c r="AF125" s="778" t="str">
        <f>VLOOKUP(F125,'2) Tracker'!$A$2:$BO$980,67,FALSE)</f>
        <v/>
      </c>
      <c r="AG125" s="778">
        <f>VLOOKUP(F125,'2) Tracker'!$A$2:$BO$980,34,FALSE)</f>
        <v>46130</v>
      </c>
      <c r="AH125" s="778" t="str">
        <f>VLOOKUP(F125,'2) Tracker'!$A$2:$BN$980,66,FALSE)</f>
        <v/>
      </c>
      <c r="AI125" s="778">
        <f>VLOOKUP(F125,'2) Tracker'!$A$2:$BO$980,56,FALSE)</f>
        <v>46132</v>
      </c>
      <c r="AJ125" s="778" t="str">
        <f>VLOOKUP(F125,'2) Tracker'!$A$2:$BO$980,52,FALSE)</f>
        <v/>
      </c>
      <c r="AK125" s="778">
        <f>VLOOKUP(F125,'2) Tracker'!$A$2:$AQ$980,43,FALSE)</f>
        <v>46143</v>
      </c>
      <c r="AL125" s="778">
        <f>VLOOKUP(F125,'2) Tracker'!$A$2:$BH$980,46,FALSE())</f>
        <v>46151</v>
      </c>
      <c r="AM125" s="778">
        <f>VLOOKUP(F125,'2) Tracker'!$A$2:$BO$980,65,FALSE())</f>
        <v>46134</v>
      </c>
      <c r="AN125" s="778">
        <f>VLOOKUP(F125,'2) Tracker'!$A$2:$BK$980,63,FALSE())</f>
        <v>46168</v>
      </c>
      <c r="AO125" s="778" t="str">
        <f>VLOOKUP(F125,'2) Tracker'!$A$2:$BF$980,58,FALSE())</f>
        <v/>
      </c>
      <c r="AP125" s="52"/>
      <c r="AQ125" s="52"/>
      <c r="AR125" s="52"/>
      <c r="AS125" s="52"/>
      <c r="AT125" s="52"/>
      <c r="AU125" s="52"/>
      <c r="AV125" s="52"/>
      <c r="AW125" s="52"/>
      <c r="AX125" s="52"/>
      <c r="AY125" s="52"/>
      <c r="AZ125" s="734"/>
      <c r="BA125" s="740"/>
      <c r="BB125" s="734"/>
      <c r="BC125" s="740"/>
      <c r="BD125" s="734"/>
      <c r="BE125" s="52"/>
      <c r="BF125" s="52"/>
      <c r="BG125" s="734"/>
      <c r="BH125" s="734"/>
      <c r="BI125" s="734"/>
      <c r="BJ125" s="734"/>
    </row>
    <row r="126">
      <c r="B126" s="765" t="str">
        <f>vlookup(F126,'2) Tracker'!$A$3:$O$410,5,false)</f>
        <v/>
      </c>
      <c r="C126" s="765" t="str">
        <f>vlookup(F126,'2) Tracker'!$A$3:$O$410,4,false)</f>
        <v/>
      </c>
      <c r="D126" s="734"/>
      <c r="E126" s="734" t="str">
        <f>vlookup(F126,'2) Tracker'!$A$3:$O$406,15,false)</f>
        <v/>
      </c>
      <c r="F126" s="788" t="s">
        <v>546</v>
      </c>
      <c r="G126" s="792">
        <f>VLOOKUP(F126,'2) Tracker'!$A$2:$BO$360,2,FALSE)</f>
        <v>36800</v>
      </c>
      <c r="H126" s="768">
        <f>VLOOKUP(F126,'2) Tracker'!$A$2:$BO$360,3,FALSE)</f>
        <v>78874</v>
      </c>
      <c r="I126" s="770" t="str">
        <f>VLOOKUP(F126,'2) Tracker'!$A$2:$BO$360,9,FALSE)</f>
        <v>EGPC</v>
      </c>
      <c r="J126" s="770" t="str">
        <f>VLOOKUP(F126,'2) Tracker'!$A$2:$BO$360,12,FALSE)</f>
        <v>Suez</v>
      </c>
      <c r="K126" s="771">
        <f t="shared" ref="K126:O126" si="172">AD126</f>
        <v>46147</v>
      </c>
      <c r="L126" s="771">
        <f t="shared" si="172"/>
        <v>46150</v>
      </c>
      <c r="M126" s="771" t="str">
        <f t="shared" si="172"/>
        <v/>
      </c>
      <c r="N126" s="771">
        <f t="shared" si="172"/>
        <v>46138</v>
      </c>
      <c r="O126" s="772" t="str">
        <f t="shared" si="172"/>
        <v/>
      </c>
      <c r="P126" s="773" t="str">
        <f>iferror(if(vlookup(F126,'Voyage days'!$M$808:$N$819,2,false),"GOA",""),"")</f>
        <v/>
      </c>
      <c r="Q126" s="771">
        <f t="shared" si="81"/>
        <v>46130</v>
      </c>
      <c r="R126" s="771">
        <f t="shared" si="83"/>
        <v>46130.5</v>
      </c>
      <c r="S126" s="774">
        <f t="shared" si="5"/>
        <v>46137</v>
      </c>
      <c r="T126" s="774">
        <f t="shared" si="6"/>
        <v>46144</v>
      </c>
      <c r="U126" s="771" t="str">
        <f t="shared" si="84"/>
        <v/>
      </c>
      <c r="V126" s="771"/>
      <c r="W126" s="771" t="str">
        <f t="shared" si="85"/>
        <v/>
      </c>
      <c r="X126" s="775" t="str">
        <f t="shared" si="9"/>
        <v/>
      </c>
      <c r="Y126" s="776"/>
      <c r="Z126" s="777" t="str">
        <f>vlookup(F126,'2) Tracker'!$A$3:$Q$504,16,false)</f>
        <v>Floater ex Egypt from 06 Jan 26</v>
      </c>
      <c r="AA126" s="777" t="str">
        <f>vlookup(F126,'2) Tracker'!$A$3:$R$504,18,false)</f>
        <v>Floating Storage</v>
      </c>
      <c r="AB126" s="777" t="str">
        <f>vlookup(F126,'2) Tracker'!$A$3:$Q$504,17,false)</f>
        <v/>
      </c>
      <c r="AC126" s="778"/>
      <c r="AD126" s="778">
        <f>VLOOKUP(F126,'2) Tracker'!$A$2:$BO$980,37,FALSE)</f>
        <v>46147</v>
      </c>
      <c r="AE126" s="778">
        <f>VLOOKUP(F126,'2) Tracker'!$A$2:$BO$980,40,FALSE)</f>
        <v>46150</v>
      </c>
      <c r="AF126" s="778" t="str">
        <f>VLOOKUP(F126,'2) Tracker'!$A$2:$BO$980,67,FALSE)</f>
        <v/>
      </c>
      <c r="AG126" s="778">
        <f>VLOOKUP(F126,'2) Tracker'!$A$2:$BO$980,34,FALSE)</f>
        <v>46138</v>
      </c>
      <c r="AH126" s="778" t="str">
        <f>VLOOKUP(F126,'2) Tracker'!$A$2:$BN$980,66,FALSE)</f>
        <v/>
      </c>
      <c r="AI126" s="778" t="str">
        <f>VLOOKUP(F126,'2) Tracker'!$A$2:$BO$980,56,FALSE)</f>
        <v/>
      </c>
      <c r="AJ126" s="778" t="str">
        <f>VLOOKUP(F126,'2) Tracker'!$A$2:$BO$980,52,FALSE)</f>
        <v/>
      </c>
      <c r="AK126" s="778">
        <f>VLOOKUP(F126,'2) Tracker'!$A$2:$AQ$980,43,FALSE)</f>
        <v>46144</v>
      </c>
      <c r="AL126" s="778">
        <f>VLOOKUP(F126,'2) Tracker'!$A$2:$BH$980,46,FALSE())</f>
        <v>46137</v>
      </c>
      <c r="AM126" s="778">
        <f>VLOOKUP(F126,'2) Tracker'!$A$2:$BO$980,65,FALSE())</f>
        <v>46130</v>
      </c>
      <c r="AN126" s="778">
        <f>VLOOKUP(F126,'2) Tracker'!$A$2:$BK$980,63,FALSE())</f>
        <v>46130.5</v>
      </c>
      <c r="AO126" s="778" t="str">
        <f>VLOOKUP(F126,'2) Tracker'!$A$2:$BF$980,58,FALSE())</f>
        <v/>
      </c>
      <c r="AP126" s="52"/>
      <c r="AQ126" s="52"/>
      <c r="AR126" s="52"/>
      <c r="AS126" s="52"/>
      <c r="AT126" s="52"/>
      <c r="AU126" s="52"/>
      <c r="AV126" s="52"/>
      <c r="AW126" s="52"/>
      <c r="AX126" s="52"/>
      <c r="AY126" s="52"/>
      <c r="AZ126" s="787"/>
      <c r="BA126" s="786" t="str">
        <f>vlookup(AZ126,'Iran, FS'!$A$1:$B$318,2, false)</f>
        <v>#N/A</v>
      </c>
      <c r="BB126" s="787" t="str">
        <f>vlookup(AZ126,'1) Kpler'!$E$2:$F$500,2,false)</f>
        <v>#N/A</v>
      </c>
      <c r="BC126" s="788"/>
      <c r="BD126" s="787"/>
      <c r="BE126" s="52"/>
      <c r="BF126" s="52"/>
      <c r="BG126" s="787"/>
      <c r="BH126" s="787"/>
      <c r="BI126" s="787"/>
      <c r="BJ126" s="787"/>
    </row>
    <row r="127">
      <c r="B127" s="765" t="str">
        <f>vlookup(F127,'2) Tracker'!$A$3:$O$410,5,false)</f>
        <v/>
      </c>
      <c r="C127" s="765" t="str">
        <f>vlookup(F127,'2) Tracker'!$A$3:$O$410,4,false)</f>
        <v/>
      </c>
      <c r="D127" s="734"/>
      <c r="E127" s="734" t="str">
        <f>vlookup(F127,'2) Tracker'!$A$3:$O$406,15,false)</f>
        <v/>
      </c>
      <c r="F127" s="788" t="s">
        <v>1395</v>
      </c>
      <c r="G127" s="783">
        <f>VLOOKUP(F127,'2) Tracker'!$A$2:$BO$360,2,FALSE)</f>
        <v>42460</v>
      </c>
      <c r="H127" s="768">
        <f>VLOOKUP(F127,'2) Tracker'!$A$2:$BO$360,3,FALSE)</f>
        <v>83839</v>
      </c>
      <c r="I127" s="770" t="str">
        <f>VLOOKUP(F127,'2) Tracker'!$A$2:$BO$360,9,FALSE)</f>
        <v>BW</v>
      </c>
      <c r="J127" s="770" t="str">
        <f>VLOOKUP(F127,'2) Tracker'!$A$2:$BO$360,12,FALSE)</f>
        <v>loads USG</v>
      </c>
      <c r="K127" s="774">
        <f t="shared" ref="K127:O127" si="173">AD127</f>
        <v>46148</v>
      </c>
      <c r="L127" s="774">
        <f t="shared" si="173"/>
        <v>46148</v>
      </c>
      <c r="M127" s="771">
        <f t="shared" si="173"/>
        <v>46180</v>
      </c>
      <c r="N127" s="771" t="str">
        <f t="shared" si="173"/>
        <v/>
      </c>
      <c r="O127" s="772" t="str">
        <f t="shared" si="173"/>
        <v/>
      </c>
      <c r="P127" s="773" t="str">
        <f>iferror(if(vlookup(F127,'Voyage days'!$M$808:$N$819,2,false),"GOA",""),"")</f>
        <v/>
      </c>
      <c r="Q127" s="771" t="str">
        <f t="shared" si="81"/>
        <v/>
      </c>
      <c r="R127" s="774" t="str">
        <f t="shared" si="83"/>
        <v/>
      </c>
      <c r="S127" s="774">
        <f t="shared" si="5"/>
        <v>46168</v>
      </c>
      <c r="T127" s="771" t="str">
        <f t="shared" si="6"/>
        <v/>
      </c>
      <c r="U127" s="774" t="str">
        <f t="shared" si="84"/>
        <v/>
      </c>
      <c r="V127" s="771"/>
      <c r="W127" s="771" t="str">
        <f t="shared" si="85"/>
        <v/>
      </c>
      <c r="X127" s="775" t="str">
        <f t="shared" si="9"/>
        <v/>
      </c>
      <c r="Y127" s="804" t="s">
        <v>1397</v>
      </c>
      <c r="Z127" s="777" t="str">
        <f>vlookup(F127,'2) Tracker'!$A$3:$Q$504,16,false)</f>
        <v>ex DD, ETA Balboa 25 Apr</v>
      </c>
      <c r="AA127" s="777" t="str">
        <f>vlookup(F127,'2) Tracker'!$A$3:$R$504,18,false)</f>
        <v>BGN 06-07 May USG</v>
      </c>
      <c r="AB127" s="777" t="str">
        <f>vlookup(F127,'2) Tracker'!$A$3:$Q$504,17,false)</f>
        <v/>
      </c>
      <c r="AC127" s="778"/>
      <c r="AD127" s="778">
        <f>VLOOKUP(F127,'2) Tracker'!$A$2:$BO$980,37,FALSE)</f>
        <v>46148</v>
      </c>
      <c r="AE127" s="778">
        <f>VLOOKUP(F127,'2) Tracker'!$A$2:$BO$980,40,FALSE)</f>
        <v>46148</v>
      </c>
      <c r="AF127" s="778">
        <f>VLOOKUP(F127,'2) Tracker'!$A$2:$BO$980,67,FALSE)</f>
        <v>46180</v>
      </c>
      <c r="AG127" s="778" t="str">
        <f>VLOOKUP(F127,'2) Tracker'!$A$2:$BO$980,34,FALSE)</f>
        <v/>
      </c>
      <c r="AH127" s="778" t="str">
        <f>VLOOKUP(F127,'2) Tracker'!$A$2:$BN$980,66,FALSE)</f>
        <v/>
      </c>
      <c r="AI127" s="778" t="str">
        <f>VLOOKUP(F127,'2) Tracker'!$A$2:$BO$980,56,FALSE)</f>
        <v/>
      </c>
      <c r="AJ127" s="778" t="str">
        <f>VLOOKUP(F127,'2) Tracker'!$A$2:$BO$980,52,FALSE)</f>
        <v/>
      </c>
      <c r="AK127" s="778" t="str">
        <f>VLOOKUP(F127,'2) Tracker'!$A$2:$AQ$980,43,FALSE)</f>
        <v/>
      </c>
      <c r="AL127" s="778">
        <f>VLOOKUP(F127,'2) Tracker'!$A$2:$BH$980,46,FALSE())</f>
        <v>46168</v>
      </c>
      <c r="AM127" s="778" t="str">
        <f>VLOOKUP(F127,'2) Tracker'!$A$2:$BO$980,65,FALSE())</f>
        <v/>
      </c>
      <c r="AN127" s="778" t="str">
        <f>VLOOKUP(F127,'2) Tracker'!$A$2:$BK$980,63,FALSE())</f>
        <v/>
      </c>
      <c r="AO127" s="778" t="str">
        <f>VLOOKUP(F127,'2) Tracker'!$A$2:$BF$980,58,FALSE())</f>
        <v/>
      </c>
      <c r="AP127" s="52"/>
      <c r="AQ127" s="52"/>
      <c r="AR127" s="52"/>
      <c r="AS127" s="52"/>
      <c r="AT127" s="52"/>
      <c r="AU127" s="52"/>
      <c r="AV127" s="832" t="s">
        <v>1563</v>
      </c>
      <c r="AW127" s="52"/>
      <c r="AX127" s="52"/>
      <c r="AY127" s="52"/>
      <c r="AZ127" s="787"/>
      <c r="BA127" s="786" t="str">
        <f>vlookup(AZ127,'Iran, FS'!$A$1:$B$318,2, false)</f>
        <v>#N/A</v>
      </c>
      <c r="BB127" s="787" t="str">
        <f>vlookup(AZ127,'1) Kpler'!$E$2:$F$500,2,false)</f>
        <v>#N/A</v>
      </c>
      <c r="BC127" s="788"/>
      <c r="BD127" s="787"/>
      <c r="BE127" s="52"/>
      <c r="BF127" s="52"/>
      <c r="BG127" s="787"/>
      <c r="BH127" s="787"/>
      <c r="BI127" s="787"/>
      <c r="BJ127" s="787"/>
    </row>
    <row r="128">
      <c r="B128" s="765" t="str">
        <f>vlookup(F128,'2) Tracker'!$A$3:$O$410,5,false)</f>
        <v/>
      </c>
      <c r="C128" s="765" t="str">
        <f>vlookup(F128,'2) Tracker'!$A$3:$O$410,4,false)</f>
        <v/>
      </c>
      <c r="D128" s="734"/>
      <c r="E128" s="734" t="str">
        <f>vlookup(F128,'2) Tracker'!$A$3:$O$406,15,false)</f>
        <v/>
      </c>
      <c r="F128" s="740" t="s">
        <v>413</v>
      </c>
      <c r="G128" s="783">
        <f>VLOOKUP(F128,'2) Tracker'!$A$2:$BO$360,2,FALSE)</f>
        <v>42853</v>
      </c>
      <c r="H128" s="768">
        <f>VLOOKUP(F128,'2) Tracker'!$A$2:$BO$360,3,FALSE)</f>
        <v>83000</v>
      </c>
      <c r="I128" s="777" t="str">
        <f>VLOOKUP(F128,'2) Tracker'!$A$2:$BO$360,9,FALSE)</f>
        <v>Shell</v>
      </c>
      <c r="J128" s="770" t="str">
        <f>VLOOKUP(F128,'2) Tracker'!$A$2:$BO$360,12,FALSE)</f>
        <v>loads USG</v>
      </c>
      <c r="K128" s="771">
        <f t="shared" ref="K128:O128" si="174">AD128</f>
        <v>46148</v>
      </c>
      <c r="L128" s="771">
        <f t="shared" si="174"/>
        <v>46148</v>
      </c>
      <c r="M128" s="771">
        <f t="shared" si="174"/>
        <v>46180</v>
      </c>
      <c r="N128" s="771" t="str">
        <f t="shared" si="174"/>
        <v/>
      </c>
      <c r="O128" s="772" t="str">
        <f t="shared" si="174"/>
        <v/>
      </c>
      <c r="P128" s="773" t="str">
        <f>iferror(if(vlookup(F128,'Voyage days'!$M$808:$N$819,2,false),"GOA",""),"")</f>
        <v/>
      </c>
      <c r="Q128" s="771" t="str">
        <f t="shared" si="81"/>
        <v/>
      </c>
      <c r="R128" s="771" t="str">
        <f t="shared" si="83"/>
        <v/>
      </c>
      <c r="S128" s="774">
        <f t="shared" si="5"/>
        <v>46168</v>
      </c>
      <c r="T128" s="771" t="str">
        <f t="shared" si="6"/>
        <v/>
      </c>
      <c r="U128" s="771" t="str">
        <f t="shared" si="84"/>
        <v/>
      </c>
      <c r="V128" s="745" t="s">
        <v>1523</v>
      </c>
      <c r="W128" s="771" t="str">
        <f t="shared" si="85"/>
        <v/>
      </c>
      <c r="X128" s="775" t="str">
        <f t="shared" si="9"/>
        <v/>
      </c>
      <c r="Y128" s="784" t="s">
        <v>1561</v>
      </c>
      <c r="Z128" s="777" t="str">
        <f>vlookup(F128,'2) Tracker'!$A$3:$Q$504,16,false)</f>
        <v>ETA Nederland 03 May via Cape</v>
      </c>
      <c r="AA128" s="777" t="str">
        <f>vlookup(F128,'2) Tracker'!$A$3:$R$504,18,false)</f>
        <v>ET 06-07 May Nederland</v>
      </c>
      <c r="AB128" s="777" t="str">
        <f>vlookup(F128,'2) Tracker'!$A$3:$Q$504,17,false)</f>
        <v/>
      </c>
      <c r="AC128" s="778"/>
      <c r="AD128" s="778">
        <f>VLOOKUP(F128,'2) Tracker'!$A$2:$BO$980,37,FALSE)</f>
        <v>46148</v>
      </c>
      <c r="AE128" s="778">
        <f>VLOOKUP(F128,'2) Tracker'!$A$2:$BO$980,40,FALSE)</f>
        <v>46148</v>
      </c>
      <c r="AF128" s="778">
        <f>VLOOKUP(F128,'2) Tracker'!$A$2:$BO$980,67,FALSE)</f>
        <v>46180</v>
      </c>
      <c r="AG128" s="778" t="str">
        <f>VLOOKUP(F128,'2) Tracker'!$A$2:$BO$980,34,FALSE)</f>
        <v/>
      </c>
      <c r="AH128" s="778" t="str">
        <f>VLOOKUP(F128,'2) Tracker'!$A$2:$BN$980,66,FALSE)</f>
        <v/>
      </c>
      <c r="AI128" s="778" t="str">
        <f>VLOOKUP(F128,'2) Tracker'!$A$2:$BO$980,56,FALSE)</f>
        <v/>
      </c>
      <c r="AJ128" s="778" t="str">
        <f>VLOOKUP(F128,'2) Tracker'!$A$2:$BO$980,52,FALSE)</f>
        <v/>
      </c>
      <c r="AK128" s="778" t="str">
        <f>VLOOKUP(F128,'2) Tracker'!$A$2:$AQ$980,43,FALSE)</f>
        <v/>
      </c>
      <c r="AL128" s="778">
        <f>VLOOKUP(F128,'2) Tracker'!$A$2:$BH$980,46,FALSE())</f>
        <v>46168</v>
      </c>
      <c r="AM128" s="778" t="str">
        <f>VLOOKUP(F128,'2) Tracker'!$A$2:$BO$980,65,FALSE())</f>
        <v/>
      </c>
      <c r="AN128" s="778" t="str">
        <f>VLOOKUP(F128,'2) Tracker'!$A$2:$BK$980,63,FALSE())</f>
        <v/>
      </c>
      <c r="AO128" s="778" t="str">
        <f>VLOOKUP(F128,'2) Tracker'!$A$2:$BF$980,58,FALSE())</f>
        <v/>
      </c>
      <c r="AP128" s="52"/>
      <c r="AQ128" s="52"/>
      <c r="AR128" s="52"/>
      <c r="AS128" s="52"/>
      <c r="AT128" s="52"/>
      <c r="AU128" s="52"/>
      <c r="AV128" s="52"/>
      <c r="AW128" s="52"/>
      <c r="AX128" s="52"/>
      <c r="AY128" s="52"/>
      <c r="AZ128" s="734"/>
      <c r="BA128" s="786" t="str">
        <f>vlookup(AZ128,'Iran, FS'!$A$1:$B$318,2, false)</f>
        <v>#N/A</v>
      </c>
      <c r="BB128" s="787" t="str">
        <f>vlookup(AZ128,'1) Kpler'!$E$2:$F$500,2,false)</f>
        <v>#N/A</v>
      </c>
      <c r="BC128" s="740"/>
      <c r="BD128" s="734"/>
      <c r="BE128" s="52"/>
      <c r="BF128" s="52"/>
      <c r="BG128" s="734"/>
      <c r="BH128" s="734"/>
      <c r="BI128" s="734"/>
      <c r="BJ128" s="734"/>
    </row>
    <row r="129">
      <c r="B129" s="765" t="str">
        <f>vlookup(F129,'2) Tracker'!$A$3:$O$410,5,false)</f>
        <v/>
      </c>
      <c r="C129" s="765" t="str">
        <f>vlookup(F129,'2) Tracker'!$A$3:$O$410,4,false)</f>
        <v/>
      </c>
      <c r="D129" s="734"/>
      <c r="E129" s="734" t="str">
        <f>vlookup(F129,'2) Tracker'!$A$3:$O$406,15,false)</f>
        <v/>
      </c>
      <c r="F129" s="822" t="s">
        <v>337</v>
      </c>
      <c r="G129" s="767">
        <f>VLOOKUP(F129,'2) Tracker'!$A$2:$BO$360,2,FALSE)</f>
        <v>2016</v>
      </c>
      <c r="H129" s="768">
        <f>VLOOKUP(F129,'2) Tracker'!$A$2:$BO$360,3,FALSE)</f>
        <v>83000</v>
      </c>
      <c r="I129" s="770" t="str">
        <f>VLOOKUP(F129,'2) Tracker'!$A$2:$BO$360,9,FALSE)</f>
        <v>Eneos&gt;Itochu</v>
      </c>
      <c r="J129" s="770" t="str">
        <f>VLOOKUP(F129,'2) Tracker'!$A$2:$BO$360,12,FALSE)</f>
        <v>loads USG</v>
      </c>
      <c r="K129" s="774">
        <f t="shared" ref="K129:O129" si="175">AD129</f>
        <v>46148</v>
      </c>
      <c r="L129" s="774">
        <f t="shared" si="175"/>
        <v>46148</v>
      </c>
      <c r="M129" s="771">
        <f t="shared" si="175"/>
        <v>46180</v>
      </c>
      <c r="N129" s="771" t="str">
        <f t="shared" si="175"/>
        <v/>
      </c>
      <c r="O129" s="772" t="str">
        <f t="shared" si="175"/>
        <v/>
      </c>
      <c r="P129" s="773" t="str">
        <f>iferror(if(vlookup(F129,'Voyage days'!$M$808:$N$819,2,false),"GOA",""),"")</f>
        <v/>
      </c>
      <c r="Q129" s="771" t="str">
        <f t="shared" si="81"/>
        <v/>
      </c>
      <c r="R129" s="774" t="str">
        <f t="shared" si="83"/>
        <v/>
      </c>
      <c r="S129" s="774">
        <f t="shared" si="5"/>
        <v>46168</v>
      </c>
      <c r="T129" s="771" t="str">
        <f t="shared" si="6"/>
        <v/>
      </c>
      <c r="U129" s="774" t="str">
        <f t="shared" si="84"/>
        <v/>
      </c>
      <c r="V129" s="774"/>
      <c r="W129" s="774" t="str">
        <f t="shared" si="85"/>
        <v/>
      </c>
      <c r="X129" s="775" t="str">
        <f t="shared" si="9"/>
        <v/>
      </c>
      <c r="Y129" s="784" t="s">
        <v>1561</v>
      </c>
      <c r="Z129" s="777" t="str">
        <f>vlookup(F129,'2) Tracker'!$A$3:$Q$504,16,false)</f>
        <v>ETA Balboa 25 Apr</v>
      </c>
      <c r="AA129" s="777" t="str">
        <f>vlookup(F129,'2) Tracker'!$A$3:$R$504,18,false)</f>
        <v>Vitol 06-07 May USG</v>
      </c>
      <c r="AB129" s="777" t="str">
        <f>vlookup(F129,'2) Tracker'!$A$3:$Q$504,17,false)</f>
        <v/>
      </c>
      <c r="AC129" s="778"/>
      <c r="AD129" s="778">
        <f>VLOOKUP(F129,'2) Tracker'!$A$2:$BO$980,37,FALSE)</f>
        <v>46148</v>
      </c>
      <c r="AE129" s="778">
        <f>VLOOKUP(F129,'2) Tracker'!$A$2:$BO$980,40,FALSE)</f>
        <v>46148</v>
      </c>
      <c r="AF129" s="778">
        <f>VLOOKUP(F129,'2) Tracker'!$A$2:$BO$980,67,FALSE)</f>
        <v>46180</v>
      </c>
      <c r="AG129" s="778" t="str">
        <f>VLOOKUP(F129,'2) Tracker'!$A$2:$BO$980,34,FALSE)</f>
        <v/>
      </c>
      <c r="AH129" s="778" t="str">
        <f>VLOOKUP(F129,'2) Tracker'!$A$2:$BN$980,66,FALSE)</f>
        <v/>
      </c>
      <c r="AI129" s="778" t="str">
        <f>VLOOKUP(F129,'2) Tracker'!$A$2:$BO$980,56,FALSE)</f>
        <v/>
      </c>
      <c r="AJ129" s="778" t="str">
        <f>VLOOKUP(F129,'2) Tracker'!$A$2:$BO$980,52,FALSE)</f>
        <v/>
      </c>
      <c r="AK129" s="778" t="str">
        <f>VLOOKUP(F129,'2) Tracker'!$A$2:$AQ$980,43,FALSE)</f>
        <v/>
      </c>
      <c r="AL129" s="778">
        <f>VLOOKUP(F129,'2) Tracker'!$A$2:$BH$980,46,FALSE())</f>
        <v>46168</v>
      </c>
      <c r="AM129" s="778" t="str">
        <f>VLOOKUP(F129,'2) Tracker'!$A$2:$BO$980,65,FALSE())</f>
        <v/>
      </c>
      <c r="AN129" s="778" t="str">
        <f>VLOOKUP(F129,'2) Tracker'!$A$2:$BK$980,63,FALSE())</f>
        <v/>
      </c>
      <c r="AO129" s="778" t="str">
        <f>VLOOKUP(F129,'2) Tracker'!$A$2:$BF$980,58,FALSE())</f>
        <v/>
      </c>
      <c r="AP129" s="52"/>
      <c r="AQ129" s="52"/>
      <c r="AR129" s="52"/>
      <c r="AS129" s="52"/>
      <c r="AT129" s="52"/>
      <c r="AU129" s="52"/>
      <c r="AV129" s="52"/>
      <c r="AW129" s="52"/>
      <c r="AX129" s="52"/>
      <c r="AY129" s="52"/>
      <c r="AZ129" s="734"/>
      <c r="BA129" s="786" t="str">
        <f>vlookup(AZ129,'Iran, FS'!$A$1:$B$318,2, false)</f>
        <v>#N/A</v>
      </c>
      <c r="BB129" s="787" t="str">
        <f>vlookup(AZ129,'1) Kpler'!$E$2:$F$500,2,false)</f>
        <v>#N/A</v>
      </c>
      <c r="BC129" s="740"/>
      <c r="BD129" s="734"/>
      <c r="BE129" s="52"/>
      <c r="BF129" s="52"/>
      <c r="BG129" s="734"/>
      <c r="BH129" s="734"/>
      <c r="BI129" s="734"/>
      <c r="BJ129" s="734"/>
    </row>
    <row r="130" ht="15.75" customHeight="1">
      <c r="B130" s="765" t="str">
        <f>vlookup(F130,'2) Tracker'!$A$3:$O$410,5,false)</f>
        <v/>
      </c>
      <c r="C130" s="765" t="str">
        <f>vlookup(F130,'2) Tracker'!$A$3:$O$410,4,false)</f>
        <v>US</v>
      </c>
      <c r="D130" s="734"/>
      <c r="E130" s="734" t="str">
        <f>vlookup(F130,'2) Tracker'!$A$3:$O$406,15,false)</f>
        <v>O</v>
      </c>
      <c r="F130" s="788" t="s">
        <v>202</v>
      </c>
      <c r="G130" s="783">
        <f>VLOOKUP(F130,'2) Tracker'!$A$2:$BO$360,2,FALSE)</f>
        <v>42248</v>
      </c>
      <c r="H130" s="768">
        <f>VLOOKUP(F130,'2) Tracker'!$A$2:$BO$360,3,FALSE)</f>
        <v>84000</v>
      </c>
      <c r="I130" s="769" t="str">
        <f>VLOOKUP(F130,'2) Tracker'!$A$2:$BO$360,9,FALSE)</f>
        <v>Helios</v>
      </c>
      <c r="J130" s="770" t="str">
        <f>VLOOKUP(F130,'2) Tracker'!$A$2:$BO$360,12,FALSE)</f>
        <v>Balboa</v>
      </c>
      <c r="K130" s="771">
        <f t="shared" ref="K130:O130" si="176">AD130</f>
        <v>46148</v>
      </c>
      <c r="L130" s="771" t="str">
        <f t="shared" si="176"/>
        <v/>
      </c>
      <c r="M130" s="771" t="str">
        <f t="shared" si="176"/>
        <v/>
      </c>
      <c r="N130" s="771" t="str">
        <f t="shared" si="176"/>
        <v/>
      </c>
      <c r="O130" s="772" t="str">
        <f t="shared" si="176"/>
        <v/>
      </c>
      <c r="P130" s="773" t="str">
        <f>iferror(if(vlookup(F130,'Voyage days'!$M$808:$N$819,2,false),"GOA",""),"")</f>
        <v/>
      </c>
      <c r="Q130" s="771" t="str">
        <f t="shared" si="81"/>
        <v/>
      </c>
      <c r="R130" s="771" t="str">
        <f t="shared" si="83"/>
        <v/>
      </c>
      <c r="S130" s="774" t="str">
        <f t="shared" si="5"/>
        <v/>
      </c>
      <c r="T130" s="774" t="str">
        <f t="shared" si="6"/>
        <v/>
      </c>
      <c r="U130" s="771" t="str">
        <f t="shared" si="84"/>
        <v/>
      </c>
      <c r="V130" s="771"/>
      <c r="W130" s="771" t="str">
        <f t="shared" si="85"/>
        <v/>
      </c>
      <c r="X130" s="775" t="str">
        <f t="shared" si="9"/>
        <v/>
      </c>
      <c r="Y130" s="795"/>
      <c r="Z130" s="777" t="str">
        <f>vlookup(F130,'2) Tracker'!$A$3:$Q$504,16,false)</f>
        <v>ETA Balboa 24 Apr, USG 04-05 May</v>
      </c>
      <c r="AA130" s="777" t="str">
        <f>vlookup(F130,'2) Tracker'!$A$3:$R$504,18,false)</f>
        <v>Gyxis 21-22 Feb Enterprise</v>
      </c>
      <c r="AB130" s="777" t="str">
        <f>vlookup(F130,'2) Tracker'!$A$3:$Q$504,17,false)</f>
        <v/>
      </c>
      <c r="AC130" s="778"/>
      <c r="AD130" s="778">
        <f>VLOOKUP(F130,'2) Tracker'!$A$2:$BO$980,37,FALSE)</f>
        <v>46148</v>
      </c>
      <c r="AE130" s="778" t="str">
        <f>VLOOKUP(F130,'2) Tracker'!$A$2:$BO$980,40,FALSE)</f>
        <v/>
      </c>
      <c r="AF130" s="778" t="str">
        <f>VLOOKUP(F130,'2) Tracker'!$A$2:$BO$980,67,FALSE)</f>
        <v/>
      </c>
      <c r="AG130" s="778" t="str">
        <f>VLOOKUP(F130,'2) Tracker'!$A$2:$BO$980,34,FALSE)</f>
        <v/>
      </c>
      <c r="AH130" s="778" t="str">
        <f>VLOOKUP(F130,'2) Tracker'!$A$2:$BN$980,66,FALSE)</f>
        <v/>
      </c>
      <c r="AI130" s="778" t="str">
        <f>VLOOKUP(F130,'2) Tracker'!$A$2:$BO$980,56,FALSE)</f>
        <v/>
      </c>
      <c r="AJ130" s="778" t="str">
        <f>VLOOKUP(F130,'2) Tracker'!$A$2:$BO$980,52,FALSE)</f>
        <v/>
      </c>
      <c r="AK130" s="778" t="str">
        <f>VLOOKUP(F130,'2) Tracker'!$A$2:$AQ$980,43,FALSE)</f>
        <v/>
      </c>
      <c r="AL130" s="778" t="str">
        <f>VLOOKUP(F130,'2) Tracker'!$A$2:$BH$980,46,FALSE())</f>
        <v/>
      </c>
      <c r="AM130" s="778" t="str">
        <f>VLOOKUP(F130,'2) Tracker'!$A$2:$BO$980,65,FALSE())</f>
        <v/>
      </c>
      <c r="AN130" s="778" t="str">
        <f>VLOOKUP(F130,'2) Tracker'!$A$2:$BK$980,63,FALSE())</f>
        <v/>
      </c>
      <c r="AO130" s="778" t="str">
        <f>VLOOKUP(F130,'2) Tracker'!$A$2:$BF$980,58,FALSE())</f>
        <v/>
      </c>
      <c r="AP130" s="52"/>
      <c r="AQ130" s="52"/>
      <c r="AR130" s="52"/>
      <c r="AS130" s="52"/>
      <c r="AT130" s="52"/>
      <c r="AU130" s="52"/>
      <c r="AV130" s="52"/>
      <c r="AW130" s="52"/>
      <c r="AX130" s="52"/>
      <c r="AY130" s="52"/>
      <c r="AZ130" s="734"/>
      <c r="BA130" s="786" t="str">
        <f>vlookup(AZ130,'Iran, FS'!$A$1:$B$318,2, false)</f>
        <v>#N/A</v>
      </c>
      <c r="BB130" s="787" t="str">
        <f>vlookup(AZ130,'1) Kpler'!$E$2:$F$500,2,false)</f>
        <v>#N/A</v>
      </c>
      <c r="BC130" s="740"/>
      <c r="BD130" s="734"/>
      <c r="BE130" s="52"/>
      <c r="BF130" s="52"/>
      <c r="BG130" s="734"/>
      <c r="BH130" s="734"/>
      <c r="BI130" s="734"/>
      <c r="BJ130" s="734"/>
    </row>
    <row r="131">
      <c r="B131" s="765" t="str">
        <f>vlookup(F131,'2) Tracker'!$A$3:$O$410,5,false)</f>
        <v/>
      </c>
      <c r="C131" s="765" t="str">
        <f>vlookup(F131,'2) Tracker'!$A$3:$O$410,4,false)</f>
        <v/>
      </c>
      <c r="D131" s="734"/>
      <c r="E131" s="734" t="str">
        <f>vlookup(F131,'2) Tracker'!$A$3:$O$406,15,false)</f>
        <v/>
      </c>
      <c r="F131" s="788" t="s">
        <v>253</v>
      </c>
      <c r="G131" s="783">
        <f>VLOOKUP(F131,'2) Tracker'!$A$2:$BO$360,2,FALSE)</f>
        <v>43102</v>
      </c>
      <c r="H131" s="768">
        <f>VLOOKUP(F131,'2) Tracker'!$A$2:$BO$360,3,FALSE)</f>
        <v>84000</v>
      </c>
      <c r="I131" s="777" t="str">
        <f>VLOOKUP(F131,'2) Tracker'!$A$2:$BO$360,9,FALSE)</f>
        <v>SK Gas</v>
      </c>
      <c r="J131" s="770" t="str">
        <f>VLOOKUP(F131,'2) Tracker'!$A$2:$BO$360,12,FALSE)</f>
        <v>Balboa</v>
      </c>
      <c r="K131" s="771">
        <f t="shared" ref="K131:O131" si="177">AD131</f>
        <v>46148</v>
      </c>
      <c r="L131" s="771" t="str">
        <f t="shared" si="177"/>
        <v/>
      </c>
      <c r="M131" s="771" t="str">
        <f t="shared" si="177"/>
        <v/>
      </c>
      <c r="N131" s="771" t="str">
        <f t="shared" si="177"/>
        <v/>
      </c>
      <c r="O131" s="772" t="str">
        <f t="shared" si="177"/>
        <v/>
      </c>
      <c r="P131" s="773" t="str">
        <f>iferror(if(vlookup(F131,'Voyage days'!$M$808:$N$819,2,false),"GOA",""),"")</f>
        <v/>
      </c>
      <c r="Q131" s="771" t="str">
        <f t="shared" si="81"/>
        <v/>
      </c>
      <c r="R131" s="771" t="str">
        <f t="shared" si="83"/>
        <v/>
      </c>
      <c r="S131" s="774" t="str">
        <f t="shared" si="5"/>
        <v/>
      </c>
      <c r="T131" s="771" t="str">
        <f t="shared" si="6"/>
        <v/>
      </c>
      <c r="U131" s="771" t="str">
        <f t="shared" si="84"/>
        <v/>
      </c>
      <c r="V131" s="771"/>
      <c r="W131" s="771" t="str">
        <f t="shared" si="85"/>
        <v/>
      </c>
      <c r="X131" s="775" t="str">
        <f t="shared" si="9"/>
        <v/>
      </c>
      <c r="Y131" s="776"/>
      <c r="Z131" s="777" t="str">
        <f>vlookup(F131,'2) Tracker'!$A$3:$Q$504,16,false)</f>
        <v>ETA Balboa 25 Apr</v>
      </c>
      <c r="AA131" s="777" t="str">
        <f>vlookup(F131,'2) Tracker'!$A$3:$R$504,18,false)</f>
        <v>SK Gas 13 Feb Enterprise</v>
      </c>
      <c r="AB131" s="777" t="str">
        <f>vlookup(F131,'2) Tracker'!$A$3:$Q$504,17,false)</f>
        <v/>
      </c>
      <c r="AC131" s="778"/>
      <c r="AD131" s="778">
        <f>VLOOKUP(F131,'2) Tracker'!$A$2:$BO$980,37,FALSE)</f>
        <v>46148</v>
      </c>
      <c r="AE131" s="778" t="str">
        <f>VLOOKUP(F131,'2) Tracker'!$A$2:$BO$980,40,FALSE)</f>
        <v/>
      </c>
      <c r="AF131" s="778" t="str">
        <f>VLOOKUP(F131,'2) Tracker'!$A$2:$BO$980,67,FALSE)</f>
        <v/>
      </c>
      <c r="AG131" s="778" t="str">
        <f>VLOOKUP(F131,'2) Tracker'!$A$2:$BO$980,34,FALSE)</f>
        <v/>
      </c>
      <c r="AH131" s="778" t="str">
        <f>VLOOKUP(F131,'2) Tracker'!$A$2:$BN$980,66,FALSE)</f>
        <v/>
      </c>
      <c r="AI131" s="778" t="str">
        <f>VLOOKUP(F131,'2) Tracker'!$A$2:$BO$980,56,FALSE)</f>
        <v/>
      </c>
      <c r="AJ131" s="778" t="str">
        <f>VLOOKUP(F131,'2) Tracker'!$A$2:$BO$980,52,FALSE)</f>
        <v/>
      </c>
      <c r="AK131" s="778" t="str">
        <f>VLOOKUP(F131,'2) Tracker'!$A$2:$AQ$980,43,FALSE)</f>
        <v/>
      </c>
      <c r="AL131" s="778" t="str">
        <f>VLOOKUP(F131,'2) Tracker'!$A$2:$BH$980,46,FALSE())</f>
        <v/>
      </c>
      <c r="AM131" s="778" t="str">
        <f>VLOOKUP(F131,'2) Tracker'!$A$2:$BO$980,65,FALSE())</f>
        <v/>
      </c>
      <c r="AN131" s="778" t="str">
        <f>VLOOKUP(F131,'2) Tracker'!$A$2:$BK$980,63,FALSE())</f>
        <v/>
      </c>
      <c r="AO131" s="778" t="str">
        <f>VLOOKUP(F131,'2) Tracker'!$A$2:$BF$980,58,FALSE())</f>
        <v/>
      </c>
      <c r="AP131" s="52"/>
      <c r="AQ131" s="52"/>
      <c r="AR131" s="52"/>
      <c r="AS131" s="52"/>
      <c r="AT131" s="52"/>
      <c r="AU131" s="52"/>
      <c r="AV131" s="52"/>
      <c r="AW131" s="52"/>
      <c r="AX131" s="52"/>
      <c r="AY131" s="52"/>
      <c r="AZ131" s="734"/>
      <c r="BA131" s="786" t="str">
        <f>vlookup(AZ131,'Iran, FS'!$A$1:$B$318,2, false)</f>
        <v>#N/A</v>
      </c>
      <c r="BB131" s="787" t="str">
        <f>vlookup(AZ131,'1) Kpler'!$E$2:$F$500,2,false)</f>
        <v>#N/A</v>
      </c>
      <c r="BC131" s="740"/>
      <c r="BD131" s="734"/>
      <c r="BE131" s="52"/>
      <c r="BF131" s="52"/>
      <c r="BG131" s="734"/>
      <c r="BH131" s="734"/>
      <c r="BI131" s="734"/>
      <c r="BJ131" s="734"/>
    </row>
    <row r="132" ht="15.0" customHeight="1">
      <c r="B132" s="765" t="str">
        <f>vlookup(F132,'2) Tracker'!$A$3:$O$410,5,false)</f>
        <v>C</v>
      </c>
      <c r="C132" s="765" t="str">
        <f>vlookup(F132,'2) Tracker'!$A$3:$O$410,4,false)</f>
        <v/>
      </c>
      <c r="D132" s="732" t="s">
        <v>1515</v>
      </c>
      <c r="E132" s="734" t="str">
        <f>vlookup(F132,'2) Tracker'!$A$3:$O$406,15,false)</f>
        <v>eu</v>
      </c>
      <c r="F132" s="797" t="s">
        <v>560</v>
      </c>
      <c r="G132" s="789">
        <f>VLOOKUP(F132,'2) Tracker'!$A$2:$BO$360,2,FALSE)</f>
        <v>2024</v>
      </c>
      <c r="H132" s="768">
        <f>VLOOKUP(F132,'2) Tracker'!$A$2:$BO$360,3,FALSE)</f>
        <v>86000</v>
      </c>
      <c r="I132" s="777" t="str">
        <f>VLOOKUP(F132,'2) Tracker'!$A$2:$BO$360,9,FALSE)</f>
        <v>Eneos</v>
      </c>
      <c r="J132" s="770" t="str">
        <f>VLOOKUP(F132,'2) Tracker'!$A$2:$BO$360,12,FALSE)</f>
        <v>loads USG</v>
      </c>
      <c r="K132" s="771">
        <f t="shared" ref="K132:O132" si="178">AD132</f>
        <v>46149</v>
      </c>
      <c r="L132" s="771">
        <f t="shared" si="178"/>
        <v>46149</v>
      </c>
      <c r="M132" s="771">
        <f t="shared" si="178"/>
        <v>46181</v>
      </c>
      <c r="N132" s="771" t="str">
        <f t="shared" si="178"/>
        <v/>
      </c>
      <c r="O132" s="772" t="str">
        <f t="shared" si="178"/>
        <v/>
      </c>
      <c r="P132" s="773" t="str">
        <f>iferror(if(vlookup(F132,'Voyage days'!$M$808:$N$819,2,false),"GOA",""),"")</f>
        <v/>
      </c>
      <c r="Q132" s="771" t="str">
        <f t="shared" si="81"/>
        <v/>
      </c>
      <c r="R132" s="774" t="str">
        <f t="shared" si="83"/>
        <v/>
      </c>
      <c r="S132" s="774">
        <f t="shared" si="5"/>
        <v>46169</v>
      </c>
      <c r="T132" s="771" t="str">
        <f t="shared" si="6"/>
        <v/>
      </c>
      <c r="U132" s="774" t="str">
        <f t="shared" si="84"/>
        <v/>
      </c>
      <c r="V132" s="771"/>
      <c r="W132" s="771" t="str">
        <f t="shared" si="85"/>
        <v/>
      </c>
      <c r="X132" s="775" t="str">
        <f t="shared" si="9"/>
        <v/>
      </c>
      <c r="Y132" s="804" t="s">
        <v>890</v>
      </c>
      <c r="Z132" s="777" t="str">
        <f>vlookup(F132,'2) Tracker'!$A$3:$Q$504,16,false)</f>
        <v>@ Dortyol 11 Apr</v>
      </c>
      <c r="AA132" s="777" t="str">
        <f>vlookup(F132,'2) Tracker'!$A$3:$R$504,18,false)</f>
        <v>Vitol 07-08 May USG</v>
      </c>
      <c r="AB132" s="777" t="str">
        <f>vlookup(F132,'2) Tracker'!$A$3:$Q$504,17,false)</f>
        <v/>
      </c>
      <c r="AC132" s="778"/>
      <c r="AD132" s="778">
        <f>VLOOKUP(F132,'2) Tracker'!$A$2:$BO$980,37,FALSE)</f>
        <v>46149</v>
      </c>
      <c r="AE132" s="778">
        <f>VLOOKUP(F132,'2) Tracker'!$A$2:$BO$980,40,FALSE)</f>
        <v>46149</v>
      </c>
      <c r="AF132" s="778">
        <f>VLOOKUP(F132,'2) Tracker'!$A$2:$BO$980,67,FALSE)</f>
        <v>46181</v>
      </c>
      <c r="AG132" s="778" t="str">
        <f>VLOOKUP(F132,'2) Tracker'!$A$2:$BO$980,34,FALSE)</f>
        <v/>
      </c>
      <c r="AH132" s="778" t="str">
        <f>VLOOKUP(F132,'2) Tracker'!$A$2:$BN$980,66,FALSE)</f>
        <v/>
      </c>
      <c r="AI132" s="778" t="str">
        <f>VLOOKUP(F132,'2) Tracker'!$A$2:$BO$980,56,FALSE)</f>
        <v/>
      </c>
      <c r="AJ132" s="778" t="str">
        <f>VLOOKUP(F132,'2) Tracker'!$A$2:$BO$980,52,FALSE)</f>
        <v/>
      </c>
      <c r="AK132" s="778" t="str">
        <f>VLOOKUP(F132,'2) Tracker'!$A$2:$AQ$980,43,FALSE)</f>
        <v/>
      </c>
      <c r="AL132" s="778">
        <f>VLOOKUP(F132,'2) Tracker'!$A$2:$BH$980,46,FALSE())</f>
        <v>46169</v>
      </c>
      <c r="AM132" s="778" t="str">
        <f>VLOOKUP(F132,'2) Tracker'!$A$2:$BO$980,65,FALSE())</f>
        <v/>
      </c>
      <c r="AN132" s="778" t="str">
        <f>VLOOKUP(F132,'2) Tracker'!$A$2:$BK$980,63,FALSE())</f>
        <v/>
      </c>
      <c r="AO132" s="778" t="str">
        <f>VLOOKUP(F132,'2) Tracker'!$A$2:$BF$980,58,FALSE())</f>
        <v/>
      </c>
      <c r="AP132" s="52"/>
      <c r="AQ132" s="52"/>
      <c r="AR132" s="52"/>
      <c r="AS132" s="52"/>
      <c r="AT132" s="52"/>
      <c r="AU132" s="52"/>
      <c r="AV132" s="52"/>
      <c r="AW132" s="52"/>
      <c r="AX132" s="52"/>
      <c r="AY132" s="52"/>
      <c r="AZ132" s="787"/>
      <c r="BA132" s="786" t="str">
        <f>vlookup(AZ132,'Iran, FS'!$A$1:$B$318,2, false)</f>
        <v>#N/A</v>
      </c>
      <c r="BB132" s="787" t="str">
        <f>vlookup(AZ132,'1) Kpler'!$E$2:$F$500,2,false)</f>
        <v>#N/A</v>
      </c>
      <c r="BC132" s="788"/>
      <c r="BD132" s="787"/>
      <c r="BE132" s="52"/>
      <c r="BF132" s="52"/>
      <c r="BG132" s="787"/>
      <c r="BH132" s="787"/>
      <c r="BI132" s="787"/>
      <c r="BJ132" s="787"/>
    </row>
    <row r="133">
      <c r="B133" s="765" t="str">
        <f>vlookup(F133,'2) Tracker'!$A$3:$O$410,5,false)</f>
        <v/>
      </c>
      <c r="C133" s="765" t="str">
        <f>vlookup(F133,'2) Tracker'!$A$3:$O$410,4,false)</f>
        <v/>
      </c>
      <c r="D133" s="732" t="s">
        <v>1515</v>
      </c>
      <c r="E133" s="734" t="str">
        <f>vlookup(F133,'2) Tracker'!$A$3:$O$406,15,false)</f>
        <v/>
      </c>
      <c r="F133" s="794" t="s">
        <v>501</v>
      </c>
      <c r="G133" s="783">
        <f>VLOOKUP(F133,'2) Tracker'!$A$2:$BO$360,2,FALSE)</f>
        <v>43123</v>
      </c>
      <c r="H133" s="768">
        <f>VLOOKUP(F133,'2) Tracker'!$A$2:$BO$360,3,FALSE)</f>
        <v>78700</v>
      </c>
      <c r="I133" s="770" t="str">
        <f>VLOOKUP(F133,'2) Tracker'!$A$2:$BO$360,9,FALSE)</f>
        <v>Petredec</v>
      </c>
      <c r="J133" s="770" t="str">
        <f>VLOOKUP(F133,'2) Tracker'!$A$2:$BO$360,12,FALSE)</f>
        <v>loads USG</v>
      </c>
      <c r="K133" s="771">
        <f t="shared" ref="K133:O133" si="179">AD133</f>
        <v>46149</v>
      </c>
      <c r="L133" s="771">
        <f t="shared" si="179"/>
        <v>46149</v>
      </c>
      <c r="M133" s="771">
        <f t="shared" si="179"/>
        <v>46181</v>
      </c>
      <c r="N133" s="771" t="str">
        <f t="shared" si="179"/>
        <v/>
      </c>
      <c r="O133" s="772" t="str">
        <f t="shared" si="179"/>
        <v/>
      </c>
      <c r="P133" s="773" t="str">
        <f>iferror(if(vlookup(F133,'Voyage days'!$M$808:$N$819,2,false),"GOA",""),"")</f>
        <v/>
      </c>
      <c r="Q133" s="771" t="str">
        <f t="shared" si="81"/>
        <v/>
      </c>
      <c r="R133" s="771" t="str">
        <f t="shared" si="83"/>
        <v/>
      </c>
      <c r="S133" s="774">
        <f t="shared" si="5"/>
        <v>46169</v>
      </c>
      <c r="T133" s="774" t="str">
        <f t="shared" si="6"/>
        <v/>
      </c>
      <c r="U133" s="771" t="str">
        <f t="shared" si="84"/>
        <v/>
      </c>
      <c r="V133" s="771"/>
      <c r="W133" s="771" t="str">
        <f t="shared" si="85"/>
        <v/>
      </c>
      <c r="X133" s="775" t="str">
        <f t="shared" si="9"/>
        <v/>
      </c>
      <c r="Y133" s="804" t="s">
        <v>1096</v>
      </c>
      <c r="Z133" s="777" t="str">
        <f>vlookup(F133,'2) Tracker'!$A$3:$Q$504,16,false)</f>
        <v>ETA Balboa 28 Apr</v>
      </c>
      <c r="AA133" s="777" t="str">
        <f>vlookup(F133,'2) Tracker'!$A$3:$R$504,18,false)</f>
        <v>Total 07-08 May USG</v>
      </c>
      <c r="AB133" s="777" t="str">
        <f>vlookup(F133,'2) Tracker'!$A$3:$Q$504,17,false)</f>
        <v/>
      </c>
      <c r="AC133" s="778"/>
      <c r="AD133" s="778">
        <f>VLOOKUP(F133,'2) Tracker'!$A$2:$BO$980,37,FALSE)</f>
        <v>46149</v>
      </c>
      <c r="AE133" s="778">
        <f>VLOOKUP(F133,'2) Tracker'!$A$2:$BO$980,40,FALSE)</f>
        <v>46149</v>
      </c>
      <c r="AF133" s="778">
        <f>VLOOKUP(F133,'2) Tracker'!$A$2:$BO$980,67,FALSE)</f>
        <v>46181</v>
      </c>
      <c r="AG133" s="778" t="str">
        <f>VLOOKUP(F133,'2) Tracker'!$A$2:$BO$980,34,FALSE)</f>
        <v/>
      </c>
      <c r="AH133" s="778" t="str">
        <f>VLOOKUP(F133,'2) Tracker'!$A$2:$BN$980,66,FALSE)</f>
        <v/>
      </c>
      <c r="AI133" s="778" t="str">
        <f>VLOOKUP(F133,'2) Tracker'!$A$2:$BO$980,56,FALSE)</f>
        <v/>
      </c>
      <c r="AJ133" s="778" t="str">
        <f>VLOOKUP(F133,'2) Tracker'!$A$2:$BO$980,52,FALSE)</f>
        <v/>
      </c>
      <c r="AK133" s="778" t="str">
        <f>VLOOKUP(F133,'2) Tracker'!$A$2:$AQ$980,43,FALSE)</f>
        <v/>
      </c>
      <c r="AL133" s="778">
        <f>VLOOKUP(F133,'2) Tracker'!$A$2:$BH$980,46,FALSE())</f>
        <v>46169</v>
      </c>
      <c r="AM133" s="778" t="str">
        <f>VLOOKUP(F133,'2) Tracker'!$A$2:$BO$980,65,FALSE())</f>
        <v/>
      </c>
      <c r="AN133" s="778" t="str">
        <f>VLOOKUP(F133,'2) Tracker'!$A$2:$BK$980,63,FALSE())</f>
        <v/>
      </c>
      <c r="AO133" s="778" t="str">
        <f>VLOOKUP(F133,'2) Tracker'!$A$2:$BF$980,58,FALSE())</f>
        <v/>
      </c>
      <c r="AP133" s="52"/>
      <c r="AQ133" s="52"/>
      <c r="AR133" s="52"/>
      <c r="AS133" s="52"/>
      <c r="AT133" s="52"/>
      <c r="AU133" s="52"/>
      <c r="AV133" s="52"/>
      <c r="AW133" s="52"/>
      <c r="AX133" s="52"/>
      <c r="AY133" s="52"/>
      <c r="AZ133" s="787"/>
      <c r="BA133" s="786" t="str">
        <f>vlookup(AZ133,'Iran, FS'!$A$1:$B$318,2, false)</f>
        <v>#N/A</v>
      </c>
      <c r="BB133" s="787" t="str">
        <f>vlookup(AZ133,'1) Kpler'!$E$2:$F$500,2,false)</f>
        <v>#N/A</v>
      </c>
      <c r="BC133" s="788"/>
      <c r="BD133" s="787"/>
      <c r="BE133" s="52"/>
      <c r="BF133" s="52"/>
      <c r="BG133" s="787"/>
      <c r="BH133" s="787"/>
      <c r="BI133" s="787"/>
      <c r="BJ133" s="787"/>
    </row>
    <row r="134">
      <c r="B134" s="765" t="str">
        <f>vlookup(F134,'2) Tracker'!$A$3:$O$410,5,false)</f>
        <v/>
      </c>
      <c r="C134" s="765" t="str">
        <f>vlookup(F134,'2) Tracker'!$A$3:$O$410,4,false)</f>
        <v>US</v>
      </c>
      <c r="D134" s="732" t="s">
        <v>1515</v>
      </c>
      <c r="E134" s="734" t="str">
        <f>vlookup(F134,'2) Tracker'!$A$3:$O$406,15,false)</f>
        <v>S</v>
      </c>
      <c r="F134" s="797" t="s">
        <v>357</v>
      </c>
      <c r="G134" s="789">
        <f>VLOOKUP(F134,'2) Tracker'!$A$2:$BO$360,2,FALSE)</f>
        <v>2020</v>
      </c>
      <c r="H134" s="768">
        <f>VLOOKUP(F134,'2) Tracker'!$A$2:$BO$360,3,FALSE)</f>
        <v>80000</v>
      </c>
      <c r="I134" s="769" t="str">
        <f>VLOOKUP(F134,'2) Tracker'!$A$2:$BO$360,9,FALSE)</f>
        <v>Chevron</v>
      </c>
      <c r="J134" s="770" t="str">
        <f>VLOOKUP(F134,'2) Tracker'!$A$2:$BO$360,12,FALSE)</f>
        <v>Eu</v>
      </c>
      <c r="K134" s="771">
        <f t="shared" ref="K134:O134" si="180">AD134</f>
        <v>46149</v>
      </c>
      <c r="L134" s="771">
        <f t="shared" si="180"/>
        <v>46150</v>
      </c>
      <c r="M134" s="771" t="str">
        <f t="shared" si="180"/>
        <v/>
      </c>
      <c r="N134" s="771" t="str">
        <f t="shared" si="180"/>
        <v/>
      </c>
      <c r="O134" s="772" t="str">
        <f t="shared" si="180"/>
        <v/>
      </c>
      <c r="P134" s="773" t="str">
        <f>iferror(if(vlookup(F134,'Voyage days'!$M$808:$N$819,2,false),"GOA",""),"")</f>
        <v/>
      </c>
      <c r="Q134" s="771">
        <f t="shared" si="81"/>
        <v>46136</v>
      </c>
      <c r="R134" s="771">
        <f t="shared" si="83"/>
        <v>46149</v>
      </c>
      <c r="S134" s="774">
        <f t="shared" si="5"/>
        <v>46137</v>
      </c>
      <c r="T134" s="771">
        <f t="shared" si="6"/>
        <v>46146</v>
      </c>
      <c r="U134" s="771" t="str">
        <f t="shared" si="84"/>
        <v/>
      </c>
      <c r="V134" s="771"/>
      <c r="W134" s="771" t="str">
        <f t="shared" si="85"/>
        <v/>
      </c>
      <c r="X134" s="775" t="str">
        <f t="shared" si="9"/>
        <v/>
      </c>
      <c r="Y134" s="784"/>
      <c r="Z134" s="777" t="str">
        <f>vlookup(F134,'2) Tracker'!$A$3:$Q$504,16,false)</f>
        <v>ETA Antwerp 19 Apr</v>
      </c>
      <c r="AA134" s="777" t="str">
        <f>vlookup(F134,'2) Tracker'!$A$3:$R$504,18,false)</f>
        <v>Chevron 02 Apr Targa</v>
      </c>
      <c r="AB134" s="777" t="str">
        <f>vlookup(F134,'2) Tracker'!$A$3:$Q$504,17,false)</f>
        <v/>
      </c>
      <c r="AC134" s="778"/>
      <c r="AD134" s="778">
        <f>VLOOKUP(F134,'2) Tracker'!$A$2:$BO$980,37,FALSE)</f>
        <v>46149</v>
      </c>
      <c r="AE134" s="778">
        <f>VLOOKUP(F134,'2) Tracker'!$A$2:$BO$980,40,FALSE)</f>
        <v>46150</v>
      </c>
      <c r="AF134" s="778" t="str">
        <f>VLOOKUP(F134,'2) Tracker'!$A$2:$BO$980,67,FALSE)</f>
        <v/>
      </c>
      <c r="AG134" s="778" t="str">
        <f>VLOOKUP(F134,'2) Tracker'!$A$2:$BO$980,34,FALSE)</f>
        <v/>
      </c>
      <c r="AH134" s="778" t="str">
        <f>VLOOKUP(F134,'2) Tracker'!$A$2:$BN$980,66,FALSE)</f>
        <v/>
      </c>
      <c r="AI134" s="778" t="str">
        <f>VLOOKUP(F134,'2) Tracker'!$A$2:$BO$980,56,FALSE)</f>
        <v/>
      </c>
      <c r="AJ134" s="778" t="str">
        <f>VLOOKUP(F134,'2) Tracker'!$A$2:$BO$980,52,FALSE)</f>
        <v/>
      </c>
      <c r="AK134" s="778">
        <f>VLOOKUP(F134,'2) Tracker'!$A$2:$AQ$980,43,FALSE)</f>
        <v>46146</v>
      </c>
      <c r="AL134" s="778">
        <f>VLOOKUP(F134,'2) Tracker'!$A$2:$BH$980,46,FALSE())</f>
        <v>46137</v>
      </c>
      <c r="AM134" s="778">
        <f>VLOOKUP(F134,'2) Tracker'!$A$2:$BO$980,65,FALSE())</f>
        <v>46136</v>
      </c>
      <c r="AN134" s="778">
        <f>VLOOKUP(F134,'2) Tracker'!$A$2:$BK$980,63,FALSE())</f>
        <v>46149</v>
      </c>
      <c r="AO134" s="778" t="str">
        <f>VLOOKUP(F134,'2) Tracker'!$A$2:$BF$980,58,FALSE())</f>
        <v/>
      </c>
      <c r="AP134" s="52"/>
      <c r="AQ134" s="52"/>
      <c r="AR134" s="52"/>
      <c r="AS134" s="52"/>
      <c r="AT134" s="52"/>
      <c r="AU134" s="52"/>
      <c r="AV134" s="52"/>
      <c r="AW134" s="52"/>
      <c r="AX134" s="52"/>
      <c r="AY134" s="52"/>
      <c r="AZ134" s="734"/>
      <c r="BA134" s="786" t="str">
        <f>vlookup(AZ134,'Iran, FS'!$A$1:$B$318,2, false)</f>
        <v>#N/A</v>
      </c>
      <c r="BB134" s="787" t="str">
        <f>vlookup(AZ134,'1) Kpler'!$E$2:$F$500,2,false)</f>
        <v>#N/A</v>
      </c>
      <c r="BC134" s="740"/>
      <c r="BD134" s="734"/>
      <c r="BE134" s="52"/>
      <c r="BF134" s="52"/>
      <c r="BG134" s="734"/>
      <c r="BH134" s="734"/>
      <c r="BI134" s="734"/>
      <c r="BJ134" s="734"/>
    </row>
    <row r="135">
      <c r="B135" s="765" t="str">
        <f>vlookup(F135,'2) Tracker'!$A$3:$O$410,5,false)</f>
        <v>C</v>
      </c>
      <c r="C135" s="765" t="str">
        <f>vlookup(F135,'2) Tracker'!$A$3:$O$410,4,false)</f>
        <v/>
      </c>
      <c r="D135" s="732" t="s">
        <v>1515</v>
      </c>
      <c r="E135" s="734" t="str">
        <f>vlookup(F135,'2) Tracker'!$A$3:$O$406,15,false)</f>
        <v/>
      </c>
      <c r="F135" s="794" t="s">
        <v>585</v>
      </c>
      <c r="G135" s="789">
        <f>VLOOKUP(F135,'2) Tracker'!$A$2:$BO$360,2,FALSE)</f>
        <v>2025</v>
      </c>
      <c r="H135" s="768">
        <f>VLOOKUP(F135,'2) Tracker'!$A$2:$BO$360,3,FALSE)</f>
        <v>88000</v>
      </c>
      <c r="I135" s="777" t="str">
        <f>VLOOKUP(F135,'2) Tracker'!$A$2:$BO$360,9,FALSE)</f>
        <v>AGT</v>
      </c>
      <c r="J135" s="770" t="str">
        <f>VLOOKUP(F135,'2) Tracker'!$A$2:$BO$360,12,FALSE)</f>
        <v>loads USG</v>
      </c>
      <c r="K135" s="771">
        <f t="shared" ref="K135:O135" si="181">AD135</f>
        <v>46150</v>
      </c>
      <c r="L135" s="771">
        <f t="shared" si="181"/>
        <v>46150</v>
      </c>
      <c r="M135" s="771">
        <f t="shared" si="181"/>
        <v>46182</v>
      </c>
      <c r="N135" s="771" t="str">
        <f t="shared" si="181"/>
        <v/>
      </c>
      <c r="O135" s="772" t="str">
        <f t="shared" si="181"/>
        <v/>
      </c>
      <c r="P135" s="773" t="str">
        <f>iferror(if(vlookup(F135,'Voyage days'!$M$808:$N$819,2,false),"GOA",""),"")</f>
        <v/>
      </c>
      <c r="Q135" s="771" t="str">
        <f t="shared" si="81"/>
        <v/>
      </c>
      <c r="R135" s="771" t="str">
        <f t="shared" si="83"/>
        <v/>
      </c>
      <c r="S135" s="774">
        <f t="shared" si="5"/>
        <v>46170</v>
      </c>
      <c r="T135" s="771" t="str">
        <f t="shared" si="6"/>
        <v/>
      </c>
      <c r="U135" s="771" t="str">
        <f t="shared" si="84"/>
        <v/>
      </c>
      <c r="V135" s="771"/>
      <c r="W135" s="771" t="str">
        <f t="shared" si="85"/>
        <v/>
      </c>
      <c r="X135" s="775" t="str">
        <f t="shared" si="9"/>
        <v/>
      </c>
      <c r="Y135" s="804" t="s">
        <v>726</v>
      </c>
      <c r="Z135" s="777" t="str">
        <f>vlookup(F135,'2) Tracker'!$A$3:$Q$504,16,false)</f>
        <v>ETA Balboa 29 Apr</v>
      </c>
      <c r="AA135" s="777" t="str">
        <f>vlookup(F135,'2) Tracker'!$A$3:$R$504,18,false)</f>
        <v>Exxon 08-09 May USG</v>
      </c>
      <c r="AB135" s="777" t="str">
        <f>vlookup(F135,'2) Tracker'!$A$3:$Q$504,17,false)</f>
        <v/>
      </c>
      <c r="AC135" s="778"/>
      <c r="AD135" s="778">
        <f>VLOOKUP(F135,'2) Tracker'!$A$2:$BO$980,37,FALSE)</f>
        <v>46150</v>
      </c>
      <c r="AE135" s="778">
        <f>VLOOKUP(F135,'2) Tracker'!$A$2:$BO$980,40,FALSE)</f>
        <v>46150</v>
      </c>
      <c r="AF135" s="778">
        <f>VLOOKUP(F135,'2) Tracker'!$A$2:$BO$980,67,FALSE)</f>
        <v>46182</v>
      </c>
      <c r="AG135" s="778" t="str">
        <f>VLOOKUP(F135,'2) Tracker'!$A$2:$BO$980,34,FALSE)</f>
        <v/>
      </c>
      <c r="AH135" s="778" t="str">
        <f>VLOOKUP(F135,'2) Tracker'!$A$2:$BN$980,66,FALSE)</f>
        <v/>
      </c>
      <c r="AI135" s="778" t="str">
        <f>VLOOKUP(F135,'2) Tracker'!$A$2:$BO$980,56,FALSE)</f>
        <v/>
      </c>
      <c r="AJ135" s="778" t="str">
        <f>VLOOKUP(F135,'2) Tracker'!$A$2:$BO$980,52,FALSE)</f>
        <v/>
      </c>
      <c r="AK135" s="778" t="str">
        <f>VLOOKUP(F135,'2) Tracker'!$A$2:$AQ$980,43,FALSE)</f>
        <v/>
      </c>
      <c r="AL135" s="778">
        <f>VLOOKUP(F135,'2) Tracker'!$A$2:$BH$980,46,FALSE())</f>
        <v>46170</v>
      </c>
      <c r="AM135" s="778" t="str">
        <f>VLOOKUP(F135,'2) Tracker'!$A$2:$BO$980,65,FALSE())</f>
        <v/>
      </c>
      <c r="AN135" s="778" t="str">
        <f>VLOOKUP(F135,'2) Tracker'!$A$2:$BK$980,63,FALSE())</f>
        <v/>
      </c>
      <c r="AO135" s="778" t="str">
        <f>VLOOKUP(F135,'2) Tracker'!$A$2:$BF$980,58,FALSE())</f>
        <v/>
      </c>
      <c r="AP135" s="52"/>
      <c r="AQ135" s="52"/>
      <c r="AR135" s="52"/>
      <c r="AS135" s="52"/>
      <c r="AT135" s="52"/>
      <c r="AU135" s="52"/>
      <c r="AV135" s="52"/>
      <c r="AW135" s="52"/>
      <c r="AX135" s="52"/>
      <c r="AY135" s="52"/>
      <c r="AZ135" s="787"/>
      <c r="BA135" s="786" t="str">
        <f>vlookup(AZ135,'Iran, FS'!$A$1:$B$318,2, false)</f>
        <v>#N/A</v>
      </c>
      <c r="BB135" s="787" t="str">
        <f>vlookup(AZ135,'1) Kpler'!$E$2:$F$500,2,false)</f>
        <v>#N/A</v>
      </c>
      <c r="BC135" s="788"/>
      <c r="BD135" s="787"/>
      <c r="BE135" s="52"/>
      <c r="BF135" s="52"/>
      <c r="BG135" s="787"/>
      <c r="BH135" s="787"/>
      <c r="BI135" s="787"/>
      <c r="BJ135" s="787"/>
    </row>
    <row r="136">
      <c r="B136" s="765" t="str">
        <f>vlookup(F136,'2) Tracker'!$A$3:$O$410,5,false)</f>
        <v/>
      </c>
      <c r="C136" s="765" t="str">
        <f>vlookup(F136,'2) Tracker'!$A$3:$O$410,4,false)</f>
        <v/>
      </c>
      <c r="D136" s="732" t="s">
        <v>1515</v>
      </c>
      <c r="E136" s="734" t="str">
        <f>vlookup(F136,'2) Tracker'!$A$3:$O$406,15,false)</f>
        <v>R?</v>
      </c>
      <c r="F136" s="797" t="s">
        <v>222</v>
      </c>
      <c r="G136" s="789">
        <f>VLOOKUP(F136,'2) Tracker'!$A$2:$BO$360,2,FALSE)</f>
        <v>2025</v>
      </c>
      <c r="H136" s="768">
        <f>VLOOKUP(F136,'2) Tracker'!$A$2:$BO$360,3,FALSE)</f>
        <v>88000</v>
      </c>
      <c r="I136" s="777" t="str">
        <f>VLOOKUP(F136,'2) Tracker'!$A$2:$BO$360,9,FALSE)</f>
        <v>Evalend&gt;Geogas </v>
      </c>
      <c r="J136" s="770" t="str">
        <f>VLOOKUP(F136,'2) Tracker'!$A$2:$BO$360,12,FALSE)</f>
        <v>Balboa</v>
      </c>
      <c r="K136" s="778">
        <f t="shared" ref="K136:O136" si="182">AD136</f>
        <v>46150</v>
      </c>
      <c r="L136" s="778" t="str">
        <f t="shared" si="182"/>
        <v/>
      </c>
      <c r="M136" s="772" t="str">
        <f t="shared" si="182"/>
        <v/>
      </c>
      <c r="N136" s="771" t="str">
        <f t="shared" si="182"/>
        <v/>
      </c>
      <c r="O136" s="772" t="str">
        <f t="shared" si="182"/>
        <v/>
      </c>
      <c r="P136" s="773" t="str">
        <f>iferror(if(vlookup(F136,'Voyage days'!$M$808:$N$819,2,false),"GOA",""),"")</f>
        <v/>
      </c>
      <c r="Q136" s="772" t="str">
        <f t="shared" si="81"/>
        <v/>
      </c>
      <c r="R136" s="778" t="str">
        <f t="shared" si="83"/>
        <v/>
      </c>
      <c r="S136" s="778" t="str">
        <f t="shared" si="5"/>
        <v/>
      </c>
      <c r="T136" s="772" t="str">
        <f t="shared" si="6"/>
        <v/>
      </c>
      <c r="U136" s="778" t="str">
        <f t="shared" si="84"/>
        <v/>
      </c>
      <c r="V136" s="778"/>
      <c r="W136" s="778" t="str">
        <f t="shared" si="85"/>
        <v/>
      </c>
      <c r="X136" s="775" t="str">
        <f t="shared" si="9"/>
        <v/>
      </c>
      <c r="Y136" s="776"/>
      <c r="Z136" s="777" t="str">
        <f>vlookup(F136,'2) Tracker'!$A$3:$Q$504,16,false)</f>
        <v>ETA Balboa 27 Apr</v>
      </c>
      <c r="AA136" s="777" t="str">
        <f>vlookup(F136,'2) Tracker'!$A$3:$R$504,18,false)</f>
        <v>Geogas 17-18 Feb Targa</v>
      </c>
      <c r="AB136" s="777" t="str">
        <f>vlookup(F136,'2) Tracker'!$A$3:$Q$504,17,false)</f>
        <v/>
      </c>
      <c r="AC136" s="778"/>
      <c r="AD136" s="778">
        <f>VLOOKUP(F136,'2) Tracker'!$A$2:$BO$980,37,FALSE)</f>
        <v>46150</v>
      </c>
      <c r="AE136" s="778" t="str">
        <f>VLOOKUP(F136,'2) Tracker'!$A$2:$BO$980,40,FALSE)</f>
        <v/>
      </c>
      <c r="AF136" s="778" t="str">
        <f>VLOOKUP(F136,'2) Tracker'!$A$2:$BO$980,67,FALSE)</f>
        <v/>
      </c>
      <c r="AG136" s="778" t="str">
        <f>VLOOKUP(F136,'2) Tracker'!$A$2:$BO$980,34,FALSE)</f>
        <v/>
      </c>
      <c r="AH136" s="778" t="str">
        <f>VLOOKUP(F136,'2) Tracker'!$A$2:$BN$980,66,FALSE)</f>
        <v/>
      </c>
      <c r="AI136" s="778" t="str">
        <f>VLOOKUP(F136,'2) Tracker'!$A$2:$BO$980,56,FALSE)</f>
        <v/>
      </c>
      <c r="AJ136" s="778" t="str">
        <f>VLOOKUP(F136,'2) Tracker'!$A$2:$BO$980,52,FALSE)</f>
        <v/>
      </c>
      <c r="AK136" s="778" t="str">
        <f>VLOOKUP(F136,'2) Tracker'!$A$2:$AQ$980,43,FALSE)</f>
        <v/>
      </c>
      <c r="AL136" s="778" t="str">
        <f>VLOOKUP(F136,'2) Tracker'!$A$2:$BH$980,46,FALSE())</f>
        <v/>
      </c>
      <c r="AM136" s="778" t="str">
        <f>VLOOKUP(F136,'2) Tracker'!$A$2:$BO$980,65,FALSE())</f>
        <v/>
      </c>
      <c r="AN136" s="778" t="str">
        <f>VLOOKUP(F136,'2) Tracker'!$A$2:$BK$980,63,FALSE())</f>
        <v/>
      </c>
      <c r="AO136" s="778" t="str">
        <f>VLOOKUP(F136,'2) Tracker'!$A$2:$BF$980,58,FALSE())</f>
        <v/>
      </c>
      <c r="AP136" s="52"/>
      <c r="AQ136" s="52"/>
      <c r="AR136" s="52"/>
      <c r="AS136" s="52"/>
      <c r="AT136" s="52"/>
      <c r="AU136" s="52"/>
      <c r="AV136" s="52"/>
      <c r="AW136" s="52"/>
      <c r="AX136" s="52"/>
      <c r="AY136" s="52"/>
      <c r="AZ136" s="734"/>
      <c r="BA136" s="740"/>
      <c r="BB136" s="734"/>
      <c r="BC136" s="740"/>
      <c r="BD136" s="734"/>
      <c r="BE136" s="52"/>
      <c r="BF136" s="52"/>
      <c r="BG136" s="734"/>
      <c r="BH136" s="734"/>
      <c r="BI136" s="734"/>
      <c r="BJ136" s="734"/>
    </row>
    <row r="137">
      <c r="B137" s="765" t="str">
        <f>vlookup(F137,'2) Tracker'!$A$3:$O$410,5,false)</f>
        <v>C</v>
      </c>
      <c r="C137" s="765" t="str">
        <f>vlookup(F137,'2) Tracker'!$A$3:$O$410,4,false)</f>
        <v/>
      </c>
      <c r="D137" s="734"/>
      <c r="E137" s="734" t="str">
        <f>vlookup(F137,'2) Tracker'!$A$3:$O$406,15,false)</f>
        <v/>
      </c>
      <c r="F137" s="788" t="s">
        <v>993</v>
      </c>
      <c r="G137" s="789">
        <f>VLOOKUP(F137,'2) Tracker'!$A$2:$BO$360,2,FALSE)</f>
        <v>2023</v>
      </c>
      <c r="H137" s="768">
        <f>VLOOKUP(F137,'2) Tracker'!$A$2:$BO$360,3,FALSE)</f>
        <v>86700</v>
      </c>
      <c r="I137" s="777" t="str">
        <f>VLOOKUP(F137,'2) Tracker'!$A$2:$BO$360,9,FALSE)</f>
        <v>Itochu</v>
      </c>
      <c r="J137" s="770" t="str">
        <f>VLOOKUP(F137,'2) Tracker'!$A$2:$BO$360,12,FALSE)</f>
        <v>loads USG</v>
      </c>
      <c r="K137" s="771">
        <f t="shared" ref="K137:O137" si="183">AD137</f>
        <v>46151</v>
      </c>
      <c r="L137" s="771">
        <f t="shared" si="183"/>
        <v>46151</v>
      </c>
      <c r="M137" s="771">
        <f t="shared" si="183"/>
        <v>46183</v>
      </c>
      <c r="N137" s="771" t="str">
        <f t="shared" si="183"/>
        <v/>
      </c>
      <c r="O137" s="772" t="str">
        <f t="shared" si="183"/>
        <v/>
      </c>
      <c r="P137" s="773" t="str">
        <f>iferror(if(vlookup(F137,'Voyage days'!$M$808:$N$819,2,false),"GOA",""),"")</f>
        <v/>
      </c>
      <c r="Q137" s="771" t="str">
        <f t="shared" si="81"/>
        <v/>
      </c>
      <c r="R137" s="771" t="str">
        <f t="shared" si="83"/>
        <v/>
      </c>
      <c r="S137" s="774">
        <f t="shared" si="5"/>
        <v>46171</v>
      </c>
      <c r="T137" s="771" t="str">
        <f t="shared" si="6"/>
        <v/>
      </c>
      <c r="U137" s="771" t="str">
        <f t="shared" si="84"/>
        <v/>
      </c>
      <c r="V137" s="771"/>
      <c r="W137" s="771" t="str">
        <f t="shared" si="85"/>
        <v/>
      </c>
      <c r="X137" s="775" t="str">
        <f t="shared" si="9"/>
        <v/>
      </c>
      <c r="Y137" s="776"/>
      <c r="Z137" s="777" t="str">
        <f>vlookup(F137,'2) Tracker'!$A$3:$Q$504,16,false)</f>
        <v>ETA USG via Cape 05 May</v>
      </c>
      <c r="AA137" s="777" t="str">
        <f>vlookup(F137,'2) Tracker'!$A$3:$R$504,18,false)</f>
        <v>Helios/BP 09-10 May USG?</v>
      </c>
      <c r="AB137" s="777" t="str">
        <f>vlookup(F137,'2) Tracker'!$A$3:$Q$504,17,false)</f>
        <v/>
      </c>
      <c r="AC137" s="778"/>
      <c r="AD137" s="778">
        <f>VLOOKUP(F137,'2) Tracker'!$A$2:$BO$980,37,FALSE)</f>
        <v>46151</v>
      </c>
      <c r="AE137" s="778">
        <f>VLOOKUP(F137,'2) Tracker'!$A$2:$BO$980,40,FALSE)</f>
        <v>46151</v>
      </c>
      <c r="AF137" s="778">
        <f>VLOOKUP(F137,'2) Tracker'!$A$2:$BO$980,67,FALSE)</f>
        <v>46183</v>
      </c>
      <c r="AG137" s="778" t="str">
        <f>VLOOKUP(F137,'2) Tracker'!$A$2:$BO$980,34,FALSE)</f>
        <v/>
      </c>
      <c r="AH137" s="778" t="str">
        <f>VLOOKUP(F137,'2) Tracker'!$A$2:$BN$980,66,FALSE)</f>
        <v/>
      </c>
      <c r="AI137" s="778" t="str">
        <f>VLOOKUP(F137,'2) Tracker'!$A$2:$BO$980,56,FALSE)</f>
        <v/>
      </c>
      <c r="AJ137" s="778" t="str">
        <f>VLOOKUP(F137,'2) Tracker'!$A$2:$BO$980,52,FALSE)</f>
        <v/>
      </c>
      <c r="AK137" s="778" t="str">
        <f>VLOOKUP(F137,'2) Tracker'!$A$2:$AQ$980,43,FALSE)</f>
        <v/>
      </c>
      <c r="AL137" s="778">
        <f>VLOOKUP(F137,'2) Tracker'!$A$2:$BH$980,46,FALSE())</f>
        <v>46171</v>
      </c>
      <c r="AM137" s="778" t="str">
        <f>VLOOKUP(F137,'2) Tracker'!$A$2:$BO$980,65,FALSE())</f>
        <v/>
      </c>
      <c r="AN137" s="778" t="str">
        <f>VLOOKUP(F137,'2) Tracker'!$A$2:$BK$980,63,FALSE())</f>
        <v/>
      </c>
      <c r="AO137" s="778" t="str">
        <f>VLOOKUP(F137,'2) Tracker'!$A$2:$BF$980,58,FALSE())</f>
        <v/>
      </c>
      <c r="AP137" s="52"/>
      <c r="AQ137" s="52"/>
      <c r="AR137" s="52"/>
      <c r="AS137" s="52"/>
      <c r="AT137" s="52"/>
      <c r="AU137" s="52"/>
      <c r="AV137" s="52"/>
      <c r="AW137" s="52"/>
      <c r="AX137" s="52"/>
      <c r="AY137" s="52"/>
      <c r="AZ137" s="787"/>
      <c r="BA137" s="786" t="str">
        <f>vlookup(AZ137,'Iran, FS'!$A$1:$B$318,2, false)</f>
        <v>#N/A</v>
      </c>
      <c r="BB137" s="787" t="str">
        <f>vlookup(AZ137,'1) Kpler'!$E$2:$F$500,2,false)</f>
        <v>#N/A</v>
      </c>
      <c r="BC137" s="788"/>
      <c r="BD137" s="787"/>
      <c r="BE137" s="52"/>
      <c r="BF137" s="52"/>
      <c r="BG137" s="787"/>
      <c r="BH137" s="787"/>
      <c r="BI137" s="787"/>
      <c r="BJ137" s="787"/>
    </row>
    <row r="138">
      <c r="B138" s="765" t="str">
        <f>vlookup(F138,'2) Tracker'!$A$3:$O$410,5,false)</f>
        <v/>
      </c>
      <c r="C138" s="765" t="str">
        <f>vlookup(F138,'2) Tracker'!$A$3:$O$410,4,false)</f>
        <v/>
      </c>
      <c r="D138" s="734"/>
      <c r="E138" s="734" t="str">
        <f>vlookup(F138,'2) Tracker'!$A$3:$O$406,15,false)</f>
        <v/>
      </c>
      <c r="F138" s="788" t="s">
        <v>210</v>
      </c>
      <c r="G138" s="783">
        <f>VLOOKUP(F138,'2) Tracker'!$A$2:$BO$360,2,FALSE)</f>
        <v>42938</v>
      </c>
      <c r="H138" s="768">
        <f>VLOOKUP(F138,'2) Tracker'!$A$2:$BO$360,3,FALSE)</f>
        <v>82200</v>
      </c>
      <c r="I138" s="777" t="str">
        <f>VLOOKUP(F138,'2) Tracker'!$A$2:$BO$360,9,FALSE)</f>
        <v>Astomos &gt; AGT</v>
      </c>
      <c r="J138" s="770" t="str">
        <f>VLOOKUP(F138,'2) Tracker'!$A$2:$BO$360,12,FALSE)</f>
        <v>loads USG</v>
      </c>
      <c r="K138" s="774">
        <f t="shared" ref="K138:O138" si="184">AD138</f>
        <v>46151</v>
      </c>
      <c r="L138" s="774">
        <f t="shared" si="184"/>
        <v>46151</v>
      </c>
      <c r="M138" s="771">
        <f t="shared" si="184"/>
        <v>46183</v>
      </c>
      <c r="N138" s="772" t="str">
        <f t="shared" si="184"/>
        <v/>
      </c>
      <c r="O138" s="772" t="str">
        <f t="shared" si="184"/>
        <v/>
      </c>
      <c r="P138" s="773" t="str">
        <f>iferror(if(vlookup(F138,'Voyage days'!$M$808:$N$819,2,false),"GOA",""),"")</f>
        <v/>
      </c>
      <c r="Q138" s="771" t="str">
        <f t="shared" si="81"/>
        <v/>
      </c>
      <c r="R138" s="774" t="str">
        <f t="shared" si="83"/>
        <v/>
      </c>
      <c r="S138" s="774">
        <f t="shared" si="5"/>
        <v>46171</v>
      </c>
      <c r="T138" s="771" t="str">
        <f t="shared" si="6"/>
        <v/>
      </c>
      <c r="U138" s="774" t="str">
        <f t="shared" si="84"/>
        <v/>
      </c>
      <c r="V138" s="771"/>
      <c r="W138" s="771" t="str">
        <f t="shared" si="85"/>
        <v/>
      </c>
      <c r="X138" s="775" t="str">
        <f t="shared" si="9"/>
        <v/>
      </c>
      <c r="Y138" s="795"/>
      <c r="Z138" s="777" t="str">
        <f>vlookup(F138,'2) Tracker'!$A$3:$Q$504,16,false)</f>
        <v>ETA Singapore 15 Apr</v>
      </c>
      <c r="AA138" s="777" t="str">
        <f>vlookup(F138,'2) Tracker'!$A$3:$R$504,18,false)</f>
        <v>AGT own cargo early May </v>
      </c>
      <c r="AB138" s="777" t="str">
        <f>vlookup(F138,'2) Tracker'!$A$3:$Q$504,17,false)</f>
        <v/>
      </c>
      <c r="AC138" s="778"/>
      <c r="AD138" s="778">
        <f>VLOOKUP(F138,'2) Tracker'!$A$2:$BO$980,37,FALSE)</f>
        <v>46151</v>
      </c>
      <c r="AE138" s="778">
        <f>VLOOKUP(F138,'2) Tracker'!$A$2:$BO$980,40,FALSE)</f>
        <v>46151</v>
      </c>
      <c r="AF138" s="778">
        <f>VLOOKUP(F138,'2) Tracker'!$A$2:$BO$980,67,FALSE)</f>
        <v>46183</v>
      </c>
      <c r="AG138" s="778" t="str">
        <f>VLOOKUP(F138,'2) Tracker'!$A$2:$BO$980,34,FALSE)</f>
        <v/>
      </c>
      <c r="AH138" s="778" t="str">
        <f>VLOOKUP(F138,'2) Tracker'!$A$2:$BN$980,66,FALSE)</f>
        <v/>
      </c>
      <c r="AI138" s="778" t="str">
        <f>VLOOKUP(F138,'2) Tracker'!$A$2:$BO$980,56,FALSE)</f>
        <v/>
      </c>
      <c r="AJ138" s="778" t="str">
        <f>VLOOKUP(F138,'2) Tracker'!$A$2:$BO$980,52,FALSE)</f>
        <v/>
      </c>
      <c r="AK138" s="778" t="str">
        <f>VLOOKUP(F138,'2) Tracker'!$A$2:$AQ$980,43,FALSE)</f>
        <v/>
      </c>
      <c r="AL138" s="778">
        <f>VLOOKUP(F138,'2) Tracker'!$A$2:$BH$980,46,FALSE())</f>
        <v>46171</v>
      </c>
      <c r="AM138" s="778" t="str">
        <f>VLOOKUP(F138,'2) Tracker'!$A$2:$BO$980,65,FALSE())</f>
        <v/>
      </c>
      <c r="AN138" s="778" t="str">
        <f>VLOOKUP(F138,'2) Tracker'!$A$2:$BK$980,63,FALSE())</f>
        <v/>
      </c>
      <c r="AO138" s="778" t="str">
        <f>VLOOKUP(F138,'2) Tracker'!$A$2:$BF$980,58,FALSE())</f>
        <v/>
      </c>
      <c r="AP138" s="52"/>
      <c r="AQ138" s="52"/>
      <c r="AR138" s="52"/>
      <c r="AS138" s="52"/>
      <c r="AT138" s="52"/>
      <c r="AU138" s="52"/>
      <c r="AV138" s="52"/>
      <c r="AW138" s="52"/>
      <c r="AX138" s="52"/>
      <c r="AY138" s="52"/>
      <c r="AZ138" s="734"/>
      <c r="BA138" s="740"/>
      <c r="BB138" s="734"/>
      <c r="BC138" s="740"/>
      <c r="BD138" s="734"/>
      <c r="BE138" s="52"/>
      <c r="BF138" s="52"/>
      <c r="BG138" s="734"/>
      <c r="BH138" s="734"/>
      <c r="BI138" s="734"/>
      <c r="BJ138" s="734"/>
    </row>
    <row r="139">
      <c r="B139" s="765" t="str">
        <f>vlookup(F139,'2) Tracker'!$A$3:$O$410,5,false)</f>
        <v/>
      </c>
      <c r="C139" s="765" t="str">
        <f>vlookup(F139,'2) Tracker'!$A$3:$O$410,4,false)</f>
        <v/>
      </c>
      <c r="D139" s="734"/>
      <c r="E139" s="734" t="str">
        <f>vlookup(F139,'2) Tracker'!$A$3:$O$406,15,false)</f>
        <v/>
      </c>
      <c r="F139" s="788" t="s">
        <v>533</v>
      </c>
      <c r="G139" s="783">
        <f>VLOOKUP(F139,'2) Tracker'!$A$2:$BO$360,2,FALSE)</f>
        <v>42384</v>
      </c>
      <c r="H139" s="768">
        <f>VLOOKUP(F139,'2) Tracker'!$A$2:$BO$360,3,FALSE)</f>
        <v>84000</v>
      </c>
      <c r="I139" s="777" t="str">
        <f>VLOOKUP(F139,'2) Tracker'!$A$2:$BO$360,9,FALSE)</f>
        <v>Petredec</v>
      </c>
      <c r="J139" s="770" t="str">
        <f>VLOOKUP(F139,'2) Tracker'!$A$2:$BO$360,12,FALSE)</f>
        <v>loads USG</v>
      </c>
      <c r="K139" s="771">
        <f t="shared" ref="K139:O139" si="185">AD139</f>
        <v>46151</v>
      </c>
      <c r="L139" s="771">
        <f t="shared" si="185"/>
        <v>46151</v>
      </c>
      <c r="M139" s="771">
        <f t="shared" si="185"/>
        <v>46183</v>
      </c>
      <c r="N139" s="772" t="str">
        <f t="shared" si="185"/>
        <v/>
      </c>
      <c r="O139" s="772" t="str">
        <f t="shared" si="185"/>
        <v/>
      </c>
      <c r="P139" s="773" t="str">
        <f>iferror(if(vlookup(F139,'Voyage days'!$M$808:$N$819,2,false),"GOA",""),"")</f>
        <v/>
      </c>
      <c r="Q139" s="771" t="str">
        <f t="shared" si="81"/>
        <v/>
      </c>
      <c r="R139" s="771" t="str">
        <f t="shared" si="83"/>
        <v/>
      </c>
      <c r="S139" s="774">
        <f t="shared" si="5"/>
        <v>46171</v>
      </c>
      <c r="T139" s="771" t="str">
        <f t="shared" si="6"/>
        <v/>
      </c>
      <c r="U139" s="771" t="str">
        <f t="shared" si="84"/>
        <v/>
      </c>
      <c r="V139" s="771"/>
      <c r="W139" s="771" t="str">
        <f t="shared" si="85"/>
        <v/>
      </c>
      <c r="X139" s="775" t="str">
        <f t="shared" si="9"/>
        <v/>
      </c>
      <c r="Y139" s="804" t="s">
        <v>1564</v>
      </c>
      <c r="Z139" s="777" t="str">
        <f>vlookup(F139,'2) Tracker'!$A$3:$Q$504,16,false)</f>
        <v>ETA Freeport 08 May via Cape</v>
      </c>
      <c r="AA139" s="777" t="str">
        <f>vlookup(F139,'2) Tracker'!$A$3:$R$504,18,false)</f>
        <v>Petredec 08-09 May Freeport</v>
      </c>
      <c r="AB139" s="777" t="str">
        <f>vlookup(F139,'2) Tracker'!$A$3:$Q$504,17,false)</f>
        <v/>
      </c>
      <c r="AC139" s="778"/>
      <c r="AD139" s="778">
        <f>VLOOKUP(F139,'2) Tracker'!$A$2:$BO$980,37,FALSE)</f>
        <v>46151</v>
      </c>
      <c r="AE139" s="778">
        <f>VLOOKUP(F139,'2) Tracker'!$A$2:$BO$980,40,FALSE)</f>
        <v>46151</v>
      </c>
      <c r="AF139" s="778">
        <f>VLOOKUP(F139,'2) Tracker'!$A$2:$BO$980,67,FALSE)</f>
        <v>46183</v>
      </c>
      <c r="AG139" s="778" t="str">
        <f>VLOOKUP(F139,'2) Tracker'!$A$2:$BO$980,34,FALSE)</f>
        <v/>
      </c>
      <c r="AH139" s="778" t="str">
        <f>VLOOKUP(F139,'2) Tracker'!$A$2:$BN$980,66,FALSE)</f>
        <v/>
      </c>
      <c r="AI139" s="778" t="str">
        <f>VLOOKUP(F139,'2) Tracker'!$A$2:$BO$980,56,FALSE)</f>
        <v/>
      </c>
      <c r="AJ139" s="778" t="str">
        <f>VLOOKUP(F139,'2) Tracker'!$A$2:$BO$980,52,FALSE)</f>
        <v/>
      </c>
      <c r="AK139" s="778" t="str">
        <f>VLOOKUP(F139,'2) Tracker'!$A$2:$AQ$980,43,FALSE)</f>
        <v/>
      </c>
      <c r="AL139" s="778">
        <f>VLOOKUP(F139,'2) Tracker'!$A$2:$BH$980,46,FALSE())</f>
        <v>46171</v>
      </c>
      <c r="AM139" s="778" t="str">
        <f>VLOOKUP(F139,'2) Tracker'!$A$2:$BO$980,65,FALSE())</f>
        <v/>
      </c>
      <c r="AN139" s="778" t="str">
        <f>VLOOKUP(F139,'2) Tracker'!$A$2:$BK$980,63,FALSE())</f>
        <v/>
      </c>
      <c r="AO139" s="778" t="str">
        <f>VLOOKUP(F139,'2) Tracker'!$A$2:$BF$980,58,FALSE())</f>
        <v/>
      </c>
      <c r="AP139" s="52"/>
      <c r="AQ139" s="52"/>
      <c r="AR139" s="52"/>
      <c r="AS139" s="52"/>
      <c r="AT139" s="52"/>
      <c r="AU139" s="52"/>
      <c r="AV139" s="52"/>
      <c r="AW139" s="52"/>
      <c r="AX139" s="52"/>
      <c r="AY139" s="52"/>
      <c r="AZ139" s="787"/>
      <c r="BA139" s="786" t="str">
        <f>vlookup(AZ139,'Iran, FS'!$A$1:$B$318,2, false)</f>
        <v>#N/A</v>
      </c>
      <c r="BB139" s="787" t="str">
        <f>vlookup(AZ139,'1) Kpler'!$E$2:$F$500,2,false)</f>
        <v>#N/A</v>
      </c>
      <c r="BC139" s="788"/>
      <c r="BD139" s="787"/>
      <c r="BE139" s="52"/>
      <c r="BF139" s="52"/>
      <c r="BG139" s="787"/>
      <c r="BH139" s="787"/>
      <c r="BI139" s="787"/>
      <c r="BJ139" s="787"/>
    </row>
    <row r="140">
      <c r="B140" s="765" t="str">
        <f>vlookup(F140,'2) Tracker'!$A$3:$O$410,5,false)</f>
        <v/>
      </c>
      <c r="C140" s="765" t="str">
        <f>vlookup(F140,'2) Tracker'!$A$3:$O$410,4,false)</f>
        <v/>
      </c>
      <c r="D140" s="734"/>
      <c r="E140" s="734" t="str">
        <f>vlookup(F140,'2) Tracker'!$A$3:$O$406,15,false)</f>
        <v/>
      </c>
      <c r="F140" s="788" t="s">
        <v>506</v>
      </c>
      <c r="G140" s="767">
        <f>VLOOKUP(F140,'2) Tracker'!$A$2:$BO$360,2,FALSE)</f>
        <v>2019</v>
      </c>
      <c r="H140" s="768">
        <f>VLOOKUP(F140,'2) Tracker'!$A$2:$BO$360,3,FALSE)</f>
        <v>82000</v>
      </c>
      <c r="I140" s="777" t="str">
        <f>VLOOKUP(F140,'2) Tracker'!$A$2:$BO$360,9,FALSE)</f>
        <v>Gyxis</v>
      </c>
      <c r="J140" s="770" t="str">
        <f>VLOOKUP(F140,'2) Tracker'!$A$2:$BO$360,12,FALSE)</f>
        <v>loads USG</v>
      </c>
      <c r="K140" s="774">
        <f t="shared" ref="K140:O140" si="186">AD140</f>
        <v>46151</v>
      </c>
      <c r="L140" s="774">
        <f t="shared" si="186"/>
        <v>46151</v>
      </c>
      <c r="M140" s="771">
        <f t="shared" si="186"/>
        <v>46183</v>
      </c>
      <c r="N140" s="771" t="str">
        <f t="shared" si="186"/>
        <v/>
      </c>
      <c r="O140" s="772" t="str">
        <f t="shared" si="186"/>
        <v/>
      </c>
      <c r="P140" s="773" t="str">
        <f>iferror(if(vlookup(F140,'Voyage days'!$M$808:$N$819,2,false),"GOA",""),"")</f>
        <v/>
      </c>
      <c r="Q140" s="771" t="str">
        <f t="shared" si="81"/>
        <v/>
      </c>
      <c r="R140" s="774" t="str">
        <f t="shared" si="83"/>
        <v/>
      </c>
      <c r="S140" s="774">
        <f t="shared" si="5"/>
        <v>46171</v>
      </c>
      <c r="T140" s="771" t="str">
        <f t="shared" si="6"/>
        <v/>
      </c>
      <c r="U140" s="774" t="str">
        <f t="shared" si="84"/>
        <v/>
      </c>
      <c r="V140" s="774"/>
      <c r="W140" s="774" t="str">
        <f t="shared" si="85"/>
        <v/>
      </c>
      <c r="X140" s="775" t="str">
        <f t="shared" si="9"/>
        <v/>
      </c>
      <c r="Y140" s="804" t="s">
        <v>988</v>
      </c>
      <c r="Z140" s="777" t="str">
        <f>vlookup(F140,'2) Tracker'!$A$3:$Q$504,16,false)</f>
        <v>ETA USG 05 May via Cape</v>
      </c>
      <c r="AA140" s="777" t="str">
        <f>vlookup(F140,'2) Tracker'!$A$3:$R$504,18,false)</f>
        <v>BGN 09-10 May USG</v>
      </c>
      <c r="AB140" s="777" t="str">
        <f>vlookup(F140,'2) Tracker'!$A$3:$Q$504,17,false)</f>
        <v/>
      </c>
      <c r="AC140" s="778"/>
      <c r="AD140" s="778">
        <f>VLOOKUP(F140,'2) Tracker'!$A$2:$BO$980,37,FALSE)</f>
        <v>46151</v>
      </c>
      <c r="AE140" s="778">
        <f>VLOOKUP(F140,'2) Tracker'!$A$2:$BO$980,40,FALSE)</f>
        <v>46151</v>
      </c>
      <c r="AF140" s="778">
        <f>VLOOKUP(F140,'2) Tracker'!$A$2:$BO$980,67,FALSE)</f>
        <v>46183</v>
      </c>
      <c r="AG140" s="778" t="str">
        <f>VLOOKUP(F140,'2) Tracker'!$A$2:$BO$980,34,FALSE)</f>
        <v/>
      </c>
      <c r="AH140" s="778" t="str">
        <f>VLOOKUP(F140,'2) Tracker'!$A$2:$BN$980,66,FALSE)</f>
        <v/>
      </c>
      <c r="AI140" s="778" t="str">
        <f>VLOOKUP(F140,'2) Tracker'!$A$2:$BO$980,56,FALSE)</f>
        <v/>
      </c>
      <c r="AJ140" s="778" t="str">
        <f>VLOOKUP(F140,'2) Tracker'!$A$2:$BO$980,52,FALSE)</f>
        <v/>
      </c>
      <c r="AK140" s="778" t="str">
        <f>VLOOKUP(F140,'2) Tracker'!$A$2:$AQ$980,43,FALSE)</f>
        <v/>
      </c>
      <c r="AL140" s="778">
        <f>VLOOKUP(F140,'2) Tracker'!$A$2:$BH$980,46,FALSE())</f>
        <v>46171</v>
      </c>
      <c r="AM140" s="778" t="str">
        <f>VLOOKUP(F140,'2) Tracker'!$A$2:$BO$980,65,FALSE())</f>
        <v/>
      </c>
      <c r="AN140" s="778" t="str">
        <f>VLOOKUP(F140,'2) Tracker'!$A$2:$BK$980,63,FALSE())</f>
        <v/>
      </c>
      <c r="AO140" s="778" t="str">
        <f>VLOOKUP(F140,'2) Tracker'!$A$2:$BF$980,58,FALSE())</f>
        <v/>
      </c>
      <c r="AP140" s="52"/>
      <c r="AQ140" s="52"/>
      <c r="AR140" s="52"/>
      <c r="AS140" s="52"/>
      <c r="AT140" s="52"/>
      <c r="AU140" s="52"/>
      <c r="AV140" s="52"/>
      <c r="AW140" s="52"/>
      <c r="AX140" s="52"/>
      <c r="AY140" s="52"/>
      <c r="AZ140" s="787"/>
      <c r="BA140" s="786" t="str">
        <f>vlookup(AZ140,'Iran, FS'!$A$1:$B$318,2, false)</f>
        <v>#N/A</v>
      </c>
      <c r="BB140" s="787" t="str">
        <f>vlookup(AZ140,'1) Kpler'!$E$2:$F$500,2,false)</f>
        <v>#N/A</v>
      </c>
      <c r="BC140" s="788"/>
      <c r="BD140" s="787"/>
      <c r="BE140" s="52"/>
      <c r="BF140" s="52"/>
      <c r="BG140" s="787"/>
      <c r="BH140" s="787"/>
      <c r="BI140" s="787"/>
      <c r="BJ140" s="787"/>
    </row>
    <row r="141">
      <c r="B141" s="765" t="str">
        <f>vlookup(F141,'2) Tracker'!$A$3:$O$410,5,false)</f>
        <v/>
      </c>
      <c r="C141" s="765" t="str">
        <f>vlookup(F141,'2) Tracker'!$A$3:$O$410,4,false)</f>
        <v>US</v>
      </c>
      <c r="D141" s="734"/>
      <c r="E141" s="734" t="str">
        <f>vlookup(F141,'2) Tracker'!$A$3:$O$406,15,false)</f>
        <v/>
      </c>
      <c r="F141" s="740" t="s">
        <v>166</v>
      </c>
      <c r="G141" s="783">
        <f>VLOOKUP(F141,'2) Tracker'!$A$2:$BO$360,2,FALSE)</f>
        <v>42290</v>
      </c>
      <c r="H141" s="768">
        <f>VLOOKUP(F141,'2) Tracker'!$A$2:$BO$360,3,FALSE)</f>
        <v>84000</v>
      </c>
      <c r="I141" s="770" t="str">
        <f>VLOOKUP(F141,'2) Tracker'!$A$2:$BO$360,9,FALSE)</f>
        <v>Helios</v>
      </c>
      <c r="J141" s="770" t="str">
        <f>VLOOKUP(F141,'2) Tracker'!$A$2:$BO$360,12,FALSE)</f>
        <v>loads MH</v>
      </c>
      <c r="K141" s="771">
        <f t="shared" ref="K141:O141" si="187">AD141</f>
        <v>46151</v>
      </c>
      <c r="L141" s="771" t="str">
        <f t="shared" si="187"/>
        <v/>
      </c>
      <c r="M141" s="771" t="str">
        <f t="shared" si="187"/>
        <v/>
      </c>
      <c r="N141" s="771" t="str">
        <f t="shared" si="187"/>
        <v/>
      </c>
      <c r="O141" s="772" t="str">
        <f t="shared" si="187"/>
        <v/>
      </c>
      <c r="P141" s="773" t="str">
        <f>iferror(if(vlookup(F141,'Voyage days'!$M$808:$N$819,2,false),"GOA",""),"")</f>
        <v/>
      </c>
      <c r="Q141" s="771" t="str">
        <f t="shared" si="81"/>
        <v/>
      </c>
      <c r="R141" s="771" t="str">
        <f t="shared" si="83"/>
        <v/>
      </c>
      <c r="S141" s="774">
        <f t="shared" si="5"/>
        <v>46166</v>
      </c>
      <c r="T141" s="771" t="str">
        <f t="shared" si="6"/>
        <v/>
      </c>
      <c r="U141" s="771" t="str">
        <f t="shared" si="84"/>
        <v/>
      </c>
      <c r="V141" s="745" t="s">
        <v>1523</v>
      </c>
      <c r="W141" s="771" t="str">
        <f t="shared" si="85"/>
        <v/>
      </c>
      <c r="X141" s="775" t="str">
        <f t="shared" si="9"/>
        <v/>
      </c>
      <c r="Y141" s="804" t="s">
        <v>1432</v>
      </c>
      <c r="Z141" s="777" t="str">
        <f>vlookup(F141,'2) Tracker'!$A$3:$Q$504,16,false)</f>
        <v>ETA Balboa 27 Apr</v>
      </c>
      <c r="AA141" s="777" t="str">
        <f>vlookup(F141,'2) Tracker'!$A$3:$R$504,18,false)</f>
        <v>BP 09-10 May MH</v>
      </c>
      <c r="AB141" s="777" t="str">
        <f>vlookup(F141,'2) Tracker'!$A$3:$Q$504,17,false)</f>
        <v/>
      </c>
      <c r="AC141" s="778"/>
      <c r="AD141" s="778">
        <f>VLOOKUP(F141,'2) Tracker'!$A$2:$BO$980,37,FALSE)</f>
        <v>46151</v>
      </c>
      <c r="AE141" s="778" t="str">
        <f>VLOOKUP(F141,'2) Tracker'!$A$2:$BO$980,40,FALSE)</f>
        <v/>
      </c>
      <c r="AF141" s="778" t="str">
        <f>VLOOKUP(F141,'2) Tracker'!$A$2:$BO$980,67,FALSE)</f>
        <v/>
      </c>
      <c r="AG141" s="778" t="str">
        <f>VLOOKUP(F141,'2) Tracker'!$A$2:$BO$980,34,FALSE)</f>
        <v/>
      </c>
      <c r="AH141" s="778" t="str">
        <f>VLOOKUP(F141,'2) Tracker'!$A$2:$BN$980,66,FALSE)</f>
        <v/>
      </c>
      <c r="AI141" s="778" t="str">
        <f>VLOOKUP(F141,'2) Tracker'!$A$2:$BO$980,56,FALSE)</f>
        <v/>
      </c>
      <c r="AJ141" s="778" t="str">
        <f>VLOOKUP(F141,'2) Tracker'!$A$2:$BO$980,52,FALSE)</f>
        <v/>
      </c>
      <c r="AK141" s="778" t="str">
        <f>VLOOKUP(F141,'2) Tracker'!$A$2:$AQ$980,43,FALSE)</f>
        <v/>
      </c>
      <c r="AL141" s="778">
        <f>VLOOKUP(F141,'2) Tracker'!$A$2:$BH$980,46,FALSE())</f>
        <v>46166</v>
      </c>
      <c r="AM141" s="778" t="str">
        <f>VLOOKUP(F141,'2) Tracker'!$A$2:$BO$980,65,FALSE())</f>
        <v/>
      </c>
      <c r="AN141" s="778" t="str">
        <f>VLOOKUP(F141,'2) Tracker'!$A$2:$BK$980,63,FALSE())</f>
        <v/>
      </c>
      <c r="AO141" s="778" t="str">
        <f>VLOOKUP(F141,'2) Tracker'!$A$2:$BF$980,58,FALSE())</f>
        <v/>
      </c>
      <c r="AP141" s="52"/>
      <c r="AQ141" s="52"/>
      <c r="AR141" s="52"/>
      <c r="AS141" s="52"/>
      <c r="AT141" s="52"/>
      <c r="AU141" s="52"/>
      <c r="AV141" s="52"/>
      <c r="AW141" s="52"/>
      <c r="AX141" s="52"/>
      <c r="AY141" s="52"/>
      <c r="AZ141" s="787"/>
      <c r="BA141" s="786" t="str">
        <f>vlookup(AZ141,'Iran, FS'!$A$1:$B$318,2, false)</f>
        <v>#N/A</v>
      </c>
      <c r="BB141" s="787" t="str">
        <f>vlookup(AZ141,'1) Kpler'!$E$2:$F$500,2,false)</f>
        <v>#N/A</v>
      </c>
      <c r="BC141" s="788"/>
      <c r="BD141" s="787"/>
      <c r="BE141" s="52"/>
      <c r="BF141" s="52"/>
      <c r="BG141" s="787"/>
      <c r="BH141" s="787"/>
      <c r="BI141" s="787"/>
      <c r="BJ141" s="787"/>
    </row>
    <row r="142">
      <c r="B142" s="765" t="str">
        <f>vlookup(F142,'2) Tracker'!$A$3:$O$410,5,false)</f>
        <v/>
      </c>
      <c r="C142" s="765" t="str">
        <f>vlookup(F142,'2) Tracker'!$A$3:$O$410,4,false)</f>
        <v/>
      </c>
      <c r="D142" s="734"/>
      <c r="E142" s="734" t="str">
        <f>vlookup(F142,'2) Tracker'!$A$3:$O$406,15,false)</f>
        <v/>
      </c>
      <c r="F142" s="788" t="s">
        <v>1393</v>
      </c>
      <c r="G142" s="789">
        <f>VLOOKUP(F142,'2) Tracker'!$A$2:$BO$360,2,FALSE)</f>
        <v>2023</v>
      </c>
      <c r="H142" s="768">
        <f>VLOOKUP(F142,'2) Tracker'!$A$2:$BO$360,3,FALSE)</f>
        <v>91000</v>
      </c>
      <c r="I142" s="770" t="str">
        <f>VLOOKUP(F142,'2) Tracker'!$A$2:$BO$360,9,FALSE)</f>
        <v>BW</v>
      </c>
      <c r="J142" s="770" t="str">
        <f>VLOOKUP(F142,'2) Tracker'!$A$2:$BO$360,12,FALSE)</f>
        <v>loads USG</v>
      </c>
      <c r="K142" s="771">
        <f t="shared" ref="K142:O142" si="188">AD142</f>
        <v>46152</v>
      </c>
      <c r="L142" s="771">
        <f t="shared" si="188"/>
        <v>46152</v>
      </c>
      <c r="M142" s="771">
        <f t="shared" si="188"/>
        <v>46184</v>
      </c>
      <c r="N142" s="771" t="str">
        <f t="shared" si="188"/>
        <v/>
      </c>
      <c r="O142" s="772" t="str">
        <f t="shared" si="188"/>
        <v/>
      </c>
      <c r="P142" s="773" t="str">
        <f>iferror(if(vlookup(F142,'Voyage days'!$M$808:$N$819,2,false),"GOA",""),"")</f>
        <v/>
      </c>
      <c r="Q142" s="771" t="str">
        <f t="shared" si="81"/>
        <v/>
      </c>
      <c r="R142" s="771" t="str">
        <f t="shared" si="83"/>
        <v/>
      </c>
      <c r="S142" s="774">
        <f t="shared" si="5"/>
        <v>46172</v>
      </c>
      <c r="T142" s="774" t="str">
        <f t="shared" si="6"/>
        <v/>
      </c>
      <c r="U142" s="771" t="str">
        <f t="shared" si="84"/>
        <v/>
      </c>
      <c r="V142" s="771"/>
      <c r="W142" s="771" t="str">
        <f t="shared" si="85"/>
        <v/>
      </c>
      <c r="X142" s="775" t="str">
        <f t="shared" si="9"/>
        <v/>
      </c>
      <c r="Y142" s="784" t="s">
        <v>1565</v>
      </c>
      <c r="Z142" s="777" t="str">
        <f>vlookup(F142,'2) Tracker'!$A$3:$Q$504,16,false)</f>
        <v>ETA USG 03 May via Cape</v>
      </c>
      <c r="AA142" s="777" t="str">
        <f>vlookup(F142,'2) Tracker'!$A$3:$R$504,18,false)</f>
        <v>Equinor 10-11 May USG</v>
      </c>
      <c r="AB142" s="777" t="str">
        <f>vlookup(F142,'2) Tracker'!$A$3:$Q$504,17,false)</f>
        <v/>
      </c>
      <c r="AC142" s="778"/>
      <c r="AD142" s="778">
        <f>VLOOKUP(F142,'2) Tracker'!$A$2:$BO$980,37,FALSE)</f>
        <v>46152</v>
      </c>
      <c r="AE142" s="778">
        <f>VLOOKUP(F142,'2) Tracker'!$A$2:$BO$980,40,FALSE)</f>
        <v>46152</v>
      </c>
      <c r="AF142" s="778">
        <f>VLOOKUP(F142,'2) Tracker'!$A$2:$BO$980,67,FALSE)</f>
        <v>46184</v>
      </c>
      <c r="AG142" s="778" t="str">
        <f>VLOOKUP(F142,'2) Tracker'!$A$2:$BO$980,34,FALSE)</f>
        <v/>
      </c>
      <c r="AH142" s="778" t="str">
        <f>VLOOKUP(F142,'2) Tracker'!$A$2:$BN$980,66,FALSE)</f>
        <v/>
      </c>
      <c r="AI142" s="778" t="str">
        <f>VLOOKUP(F142,'2) Tracker'!$A$2:$BO$980,56,FALSE)</f>
        <v/>
      </c>
      <c r="AJ142" s="778" t="str">
        <f>VLOOKUP(F142,'2) Tracker'!$A$2:$BO$980,52,FALSE)</f>
        <v/>
      </c>
      <c r="AK142" s="778" t="str">
        <f>VLOOKUP(F142,'2) Tracker'!$A$2:$AQ$980,43,FALSE)</f>
        <v/>
      </c>
      <c r="AL142" s="778">
        <f>VLOOKUP(F142,'2) Tracker'!$A$2:$BH$980,46,FALSE())</f>
        <v>46172</v>
      </c>
      <c r="AM142" s="778" t="str">
        <f>VLOOKUP(F142,'2) Tracker'!$A$2:$BO$980,65,FALSE())</f>
        <v/>
      </c>
      <c r="AN142" s="778" t="str">
        <f>VLOOKUP(F142,'2) Tracker'!$A$2:$BK$980,63,FALSE())</f>
        <v/>
      </c>
      <c r="AO142" s="778" t="str">
        <f>VLOOKUP(F142,'2) Tracker'!$A$2:$BF$980,58,FALSE())</f>
        <v/>
      </c>
      <c r="AP142" s="52"/>
      <c r="AQ142" s="52"/>
      <c r="AR142" s="52"/>
      <c r="AS142" s="52"/>
      <c r="AT142" s="52"/>
      <c r="AU142" s="52"/>
      <c r="AV142" s="52"/>
      <c r="AW142" s="52"/>
      <c r="AX142" s="52"/>
      <c r="AY142" s="52"/>
      <c r="AZ142" s="734"/>
      <c r="BA142" s="740"/>
      <c r="BB142" s="734"/>
      <c r="BC142" s="740"/>
      <c r="BD142" s="734"/>
      <c r="BE142" s="52"/>
      <c r="BF142" s="52"/>
      <c r="BG142" s="734"/>
      <c r="BH142" s="734"/>
      <c r="BI142" s="734"/>
      <c r="BJ142" s="734"/>
    </row>
    <row r="143">
      <c r="B143" s="765" t="str">
        <f>vlookup(F143,'2) Tracker'!$A$3:$O$410,5,false)</f>
        <v/>
      </c>
      <c r="C143" s="765" t="str">
        <f>vlookup(F143,'2) Tracker'!$A$3:$O$410,4,false)</f>
        <v/>
      </c>
      <c r="D143" s="734"/>
      <c r="E143" s="734" t="str">
        <f>vlookup(F143,'2) Tracker'!$A$3:$O$406,15,false)</f>
        <v>eu</v>
      </c>
      <c r="F143" s="788" t="s">
        <v>548</v>
      </c>
      <c r="G143" s="767">
        <f>VLOOKUP(F143,'2) Tracker'!$A$2:$BO$360,2,FALSE)</f>
        <v>2013</v>
      </c>
      <c r="H143" s="768">
        <f>VLOOKUP(F143,'2) Tracker'!$A$2:$BO$360,3,FALSE)</f>
        <v>83300</v>
      </c>
      <c r="I143" s="770" t="str">
        <f>VLOOKUP(F143,'2) Tracker'!$A$2:$BO$360,9,FALSE)</f>
        <v>Gyxis</v>
      </c>
      <c r="J143" s="770" t="str">
        <f>VLOOKUP(F143,'2) Tracker'!$A$2:$BO$360,12,FALSE)</f>
        <v>loads USG</v>
      </c>
      <c r="K143" s="771">
        <f t="shared" ref="K143:O143" si="189">AD143</f>
        <v>46152</v>
      </c>
      <c r="L143" s="771">
        <f t="shared" si="189"/>
        <v>46152</v>
      </c>
      <c r="M143" s="771">
        <f t="shared" si="189"/>
        <v>46184</v>
      </c>
      <c r="N143" s="771" t="str">
        <f t="shared" si="189"/>
        <v/>
      </c>
      <c r="O143" s="772" t="str">
        <f t="shared" si="189"/>
        <v/>
      </c>
      <c r="P143" s="773" t="str">
        <f>iferror(if(vlookup(F143,'Voyage days'!$M$808:$N$819,2,false),"GOA",""),"")</f>
        <v/>
      </c>
      <c r="Q143" s="771" t="str">
        <f t="shared" si="81"/>
        <v/>
      </c>
      <c r="R143" s="771" t="str">
        <f t="shared" si="83"/>
        <v/>
      </c>
      <c r="S143" s="774">
        <f t="shared" si="5"/>
        <v>46172</v>
      </c>
      <c r="T143" s="771" t="str">
        <f t="shared" si="6"/>
        <v/>
      </c>
      <c r="U143" s="771" t="str">
        <f t="shared" si="84"/>
        <v/>
      </c>
      <c r="V143" s="771"/>
      <c r="W143" s="771" t="str">
        <f t="shared" si="85"/>
        <v/>
      </c>
      <c r="X143" s="775" t="str">
        <f t="shared" si="9"/>
        <v/>
      </c>
      <c r="Y143" s="776"/>
      <c r="Z143" s="777" t="str">
        <f>vlookup(F143,'2) Tracker'!$A$3:$Q$504,16,false)</f>
        <v>ETA Antwerp 17 Apr</v>
      </c>
      <c r="AA143" s="777" t="str">
        <f>vlookup(F143,'2) Tracker'!$A$3:$R$504,18,false)</f>
        <v>Dow 10-11 May USG</v>
      </c>
      <c r="AB143" s="777" t="str">
        <f>vlookup(F143,'2) Tracker'!$A$3:$Q$504,17,false)</f>
        <v/>
      </c>
      <c r="AC143" s="778"/>
      <c r="AD143" s="778">
        <f>VLOOKUP(F143,'2) Tracker'!$A$2:$BO$980,37,FALSE)</f>
        <v>46152</v>
      </c>
      <c r="AE143" s="778">
        <f>VLOOKUP(F143,'2) Tracker'!$A$2:$BO$980,40,FALSE)</f>
        <v>46152</v>
      </c>
      <c r="AF143" s="778">
        <f>VLOOKUP(F143,'2) Tracker'!$A$2:$BO$980,67,FALSE)</f>
        <v>46184</v>
      </c>
      <c r="AG143" s="778" t="str">
        <f>VLOOKUP(F143,'2) Tracker'!$A$2:$BO$980,34,FALSE)</f>
        <v/>
      </c>
      <c r="AH143" s="778" t="str">
        <f>VLOOKUP(F143,'2) Tracker'!$A$2:$BN$980,66,FALSE)</f>
        <v/>
      </c>
      <c r="AI143" s="778" t="str">
        <f>VLOOKUP(F143,'2) Tracker'!$A$2:$BO$980,56,FALSE)</f>
        <v/>
      </c>
      <c r="AJ143" s="778" t="str">
        <f>VLOOKUP(F143,'2) Tracker'!$A$2:$BO$980,52,FALSE)</f>
        <v/>
      </c>
      <c r="AK143" s="778" t="str">
        <f>VLOOKUP(F143,'2) Tracker'!$A$2:$AQ$980,43,FALSE)</f>
        <v/>
      </c>
      <c r="AL143" s="778">
        <f>VLOOKUP(F143,'2) Tracker'!$A$2:$BH$980,46,FALSE())</f>
        <v>46172</v>
      </c>
      <c r="AM143" s="778" t="str">
        <f>VLOOKUP(F143,'2) Tracker'!$A$2:$BO$980,65,FALSE())</f>
        <v/>
      </c>
      <c r="AN143" s="778" t="str">
        <f>VLOOKUP(F143,'2) Tracker'!$A$2:$BK$980,63,FALSE())</f>
        <v/>
      </c>
      <c r="AO143" s="778" t="str">
        <f>VLOOKUP(F143,'2) Tracker'!$A$2:$BF$980,58,FALSE())</f>
        <v/>
      </c>
      <c r="AP143" s="52"/>
      <c r="AQ143" s="52"/>
      <c r="AR143" s="52"/>
      <c r="AS143" s="52"/>
      <c r="AT143" s="52"/>
      <c r="AU143" s="52"/>
      <c r="AV143" s="52"/>
      <c r="AW143" s="52"/>
      <c r="AX143" s="52"/>
      <c r="AY143" s="52"/>
      <c r="AZ143" s="734"/>
      <c r="BA143" s="740"/>
      <c r="BB143" s="734"/>
      <c r="BC143" s="740"/>
      <c r="BD143" s="734"/>
      <c r="BE143" s="52"/>
      <c r="BF143" s="52"/>
      <c r="BG143" s="734"/>
      <c r="BH143" s="734"/>
      <c r="BI143" s="734"/>
      <c r="BJ143" s="734"/>
    </row>
    <row r="144">
      <c r="B144" s="765" t="str">
        <f>vlookup(F144,'2) Tracker'!$A$3:$O$410,5,false)</f>
        <v/>
      </c>
      <c r="C144" s="765" t="str">
        <f>vlookup(F144,'2) Tracker'!$A$3:$O$410,4,false)</f>
        <v>US</v>
      </c>
      <c r="D144" s="734"/>
      <c r="E144" s="734" t="str">
        <f>vlookup(F144,'2) Tracker'!$A$3:$O$406,15,false)</f>
        <v/>
      </c>
      <c r="F144" s="788" t="s">
        <v>191</v>
      </c>
      <c r="G144" s="783">
        <f>VLOOKUP(F144,'2) Tracker'!$A$2:$BO$360,2,FALSE)</f>
        <v>42179</v>
      </c>
      <c r="H144" s="768">
        <f>VLOOKUP(F144,'2) Tracker'!$A$2:$BO$360,3,FALSE)</f>
        <v>84000</v>
      </c>
      <c r="I144" s="770" t="str">
        <f>VLOOKUP(F144,'2) Tracker'!$A$2:$BO$360,9,FALSE)</f>
        <v>Helios</v>
      </c>
      <c r="J144" s="770" t="str">
        <f>VLOOKUP(F144,'2) Tracker'!$A$2:$BO$360,12,FALSE)</f>
        <v>loads USG</v>
      </c>
      <c r="K144" s="771">
        <f t="shared" ref="K144:O144" si="190">AD144</f>
        <v>46152</v>
      </c>
      <c r="L144" s="771">
        <f t="shared" si="190"/>
        <v>46152</v>
      </c>
      <c r="M144" s="771">
        <f t="shared" si="190"/>
        <v>46184</v>
      </c>
      <c r="N144" s="771" t="str">
        <f t="shared" si="190"/>
        <v/>
      </c>
      <c r="O144" s="772" t="str">
        <f t="shared" si="190"/>
        <v/>
      </c>
      <c r="P144" s="773" t="str">
        <f>iferror(if(vlookup(F144,'Voyage days'!$M$808:$N$819,2,false),"GOA",""),"")</f>
        <v/>
      </c>
      <c r="Q144" s="771" t="str">
        <f t="shared" si="81"/>
        <v/>
      </c>
      <c r="R144" s="771" t="str">
        <f t="shared" si="83"/>
        <v/>
      </c>
      <c r="S144" s="774">
        <f t="shared" si="5"/>
        <v>46172</v>
      </c>
      <c r="T144" s="771" t="str">
        <f t="shared" si="6"/>
        <v/>
      </c>
      <c r="U144" s="771" t="str">
        <f t="shared" si="84"/>
        <v/>
      </c>
      <c r="V144" s="771"/>
      <c r="W144" s="771" t="str">
        <f t="shared" si="85"/>
        <v/>
      </c>
      <c r="X144" s="775" t="str">
        <f t="shared" si="9"/>
        <v/>
      </c>
      <c r="Y144" s="795" t="s">
        <v>1566</v>
      </c>
      <c r="Z144" s="777" t="str">
        <f>vlookup(F144,'2) Tracker'!$A$3:$Q$504,16,false)</f>
        <v>ETA Balboa 26 Apr</v>
      </c>
      <c r="AA144" s="777" t="str">
        <f>vlookup(F144,'2) Tracker'!$A$3:$R$504,18,false)</f>
        <v>Gunvor 10-11 May USG</v>
      </c>
      <c r="AB144" s="777" t="str">
        <f>vlookup(F144,'2) Tracker'!$A$3:$Q$504,17,false)</f>
        <v/>
      </c>
      <c r="AC144" s="778"/>
      <c r="AD144" s="778">
        <f>VLOOKUP(F144,'2) Tracker'!$A$2:$BO$980,37,FALSE)</f>
        <v>46152</v>
      </c>
      <c r="AE144" s="778">
        <f>VLOOKUP(F144,'2) Tracker'!$A$2:$BO$980,40,FALSE)</f>
        <v>46152</v>
      </c>
      <c r="AF144" s="778">
        <f>VLOOKUP(F144,'2) Tracker'!$A$2:$BO$980,67,FALSE)</f>
        <v>46184</v>
      </c>
      <c r="AG144" s="778" t="str">
        <f>VLOOKUP(F144,'2) Tracker'!$A$2:$BO$980,34,FALSE)</f>
        <v/>
      </c>
      <c r="AH144" s="778" t="str">
        <f>VLOOKUP(F144,'2) Tracker'!$A$2:$BN$980,66,FALSE)</f>
        <v/>
      </c>
      <c r="AI144" s="778" t="str">
        <f>VLOOKUP(F144,'2) Tracker'!$A$2:$BO$980,56,FALSE)</f>
        <v/>
      </c>
      <c r="AJ144" s="778" t="str">
        <f>VLOOKUP(F144,'2) Tracker'!$A$2:$BO$980,52,FALSE)</f>
        <v/>
      </c>
      <c r="AK144" s="778" t="str">
        <f>VLOOKUP(F144,'2) Tracker'!$A$2:$AQ$980,43,FALSE)</f>
        <v/>
      </c>
      <c r="AL144" s="778">
        <f>VLOOKUP(F144,'2) Tracker'!$A$2:$BH$980,46,FALSE())</f>
        <v>46172</v>
      </c>
      <c r="AM144" s="778" t="str">
        <f>VLOOKUP(F144,'2) Tracker'!$A$2:$BO$980,65,FALSE())</f>
        <v/>
      </c>
      <c r="AN144" s="778" t="str">
        <f>VLOOKUP(F144,'2) Tracker'!$A$2:$BK$980,63,FALSE())</f>
        <v/>
      </c>
      <c r="AO144" s="778" t="str">
        <f>VLOOKUP(F144,'2) Tracker'!$A$2:$BF$980,58,FALSE())</f>
        <v/>
      </c>
      <c r="AP144" s="52"/>
      <c r="AQ144" s="52"/>
      <c r="AR144" s="52"/>
      <c r="AS144" s="52"/>
      <c r="AT144" s="52"/>
      <c r="AU144" s="52"/>
      <c r="AV144" s="52"/>
      <c r="AW144" s="52"/>
      <c r="AX144" s="52"/>
      <c r="AY144" s="52"/>
      <c r="AZ144" s="787"/>
      <c r="BA144" s="786" t="str">
        <f>vlookup(AZ144,'Iran, FS'!$A$1:$B$318,2, false)</f>
        <v>#N/A</v>
      </c>
      <c r="BB144" s="787" t="str">
        <f>vlookup(AZ144,'1) Kpler'!$E$2:$F$500,2,false)</f>
        <v>#N/A</v>
      </c>
      <c r="BC144" s="788"/>
      <c r="BD144" s="787"/>
      <c r="BE144" s="52"/>
      <c r="BF144" s="52"/>
      <c r="BG144" s="787"/>
      <c r="BH144" s="787"/>
      <c r="BI144" s="787"/>
      <c r="BJ144" s="787"/>
    </row>
    <row r="145">
      <c r="B145" s="765" t="str">
        <f>vlookup(F145,'2) Tracker'!$A$3:$O$410,5,false)</f>
        <v/>
      </c>
      <c r="C145" s="765" t="str">
        <f>vlookup(F145,'2) Tracker'!$A$3:$O$410,4,false)</f>
        <v/>
      </c>
      <c r="D145" s="734"/>
      <c r="E145" s="734" t="str">
        <f>vlookup(F145,'2) Tracker'!$A$3:$O$406,15,false)</f>
        <v> </v>
      </c>
      <c r="F145" s="766" t="s">
        <v>523</v>
      </c>
      <c r="G145" s="783">
        <f>VLOOKUP(F145,'2) Tracker'!$A$2:$BO$360,2,FALSE)</f>
        <v>41275</v>
      </c>
      <c r="H145" s="768">
        <f>VLOOKUP(F145,'2) Tracker'!$A$2:$BO$360,3,FALSE)</f>
        <v>83000</v>
      </c>
      <c r="I145" s="769" t="str">
        <f>VLOOKUP(F145,'2) Tracker'!$A$2:$BO$360,9,FALSE)</f>
        <v>Equinor</v>
      </c>
      <c r="J145" s="770" t="str">
        <f>VLOOKUP(F145,'2) Tracker'!$A$2:$BO$360,12,FALSE)</f>
        <v>Balboa</v>
      </c>
      <c r="K145" s="771">
        <f t="shared" ref="K145:O145" si="191">AD145</f>
        <v>46152</v>
      </c>
      <c r="L145" s="771" t="str">
        <f t="shared" si="191"/>
        <v/>
      </c>
      <c r="M145" s="771" t="str">
        <f t="shared" si="191"/>
        <v/>
      </c>
      <c r="N145" s="771" t="str">
        <f t="shared" si="191"/>
        <v/>
      </c>
      <c r="O145" s="772" t="str">
        <f t="shared" si="191"/>
        <v/>
      </c>
      <c r="P145" s="773" t="str">
        <f>iferror(if(vlookup(F145,'Voyage days'!$M$808:$N$819,2,false),"GOA",""),"")</f>
        <v/>
      </c>
      <c r="Q145" s="771" t="str">
        <f t="shared" si="81"/>
        <v/>
      </c>
      <c r="R145" s="771" t="str">
        <f t="shared" si="83"/>
        <v/>
      </c>
      <c r="S145" s="774" t="str">
        <f t="shared" si="5"/>
        <v/>
      </c>
      <c r="T145" s="771" t="str">
        <f t="shared" si="6"/>
        <v/>
      </c>
      <c r="U145" s="771" t="str">
        <f t="shared" si="84"/>
        <v/>
      </c>
      <c r="V145" s="771"/>
      <c r="W145" s="771" t="str">
        <f t="shared" si="85"/>
        <v/>
      </c>
      <c r="X145" s="775" t="str">
        <f t="shared" si="9"/>
        <v/>
      </c>
      <c r="Y145" s="776"/>
      <c r="Z145" s="777" t="str">
        <f>vlookup(F145,'2) Tracker'!$A$3:$Q$504,16,false)</f>
        <v>ETA Balboa 29 Apr</v>
      </c>
      <c r="AA145" s="777" t="str">
        <f>vlookup(F145,'2) Tracker'!$A$3:$R$504,18,false)</f>
        <v>Equinor 13-14 Feb Targa</v>
      </c>
      <c r="AB145" s="777" t="str">
        <f>vlookup(F145,'2) Tracker'!$A$3:$Q$504,17,false)</f>
        <v/>
      </c>
      <c r="AC145" s="778"/>
      <c r="AD145" s="778">
        <f>VLOOKUP(F145,'2) Tracker'!$A$2:$BO$980,37,FALSE)</f>
        <v>46152</v>
      </c>
      <c r="AE145" s="778" t="str">
        <f>VLOOKUP(F145,'2) Tracker'!$A$2:$BO$980,40,FALSE)</f>
        <v/>
      </c>
      <c r="AF145" s="778" t="str">
        <f>VLOOKUP(F145,'2) Tracker'!$A$2:$BO$980,67,FALSE)</f>
        <v/>
      </c>
      <c r="AG145" s="778" t="str">
        <f>VLOOKUP(F145,'2) Tracker'!$A$2:$BO$980,34,FALSE)</f>
        <v/>
      </c>
      <c r="AH145" s="778" t="str">
        <f>VLOOKUP(F145,'2) Tracker'!$A$2:$BN$980,66,FALSE)</f>
        <v/>
      </c>
      <c r="AI145" s="778" t="str">
        <f>VLOOKUP(F145,'2) Tracker'!$A$2:$BO$980,56,FALSE)</f>
        <v/>
      </c>
      <c r="AJ145" s="778" t="str">
        <f>VLOOKUP(F145,'2) Tracker'!$A$2:$BO$980,52,FALSE)</f>
        <v/>
      </c>
      <c r="AK145" s="778" t="str">
        <f>VLOOKUP(F145,'2) Tracker'!$A$2:$AQ$980,43,FALSE)</f>
        <v/>
      </c>
      <c r="AL145" s="778" t="str">
        <f>VLOOKUP(F145,'2) Tracker'!$A$2:$BH$980,46,FALSE())</f>
        <v/>
      </c>
      <c r="AM145" s="778" t="str">
        <f>VLOOKUP(F145,'2) Tracker'!$A$2:$BO$980,65,FALSE())</f>
        <v/>
      </c>
      <c r="AN145" s="778" t="str">
        <f>VLOOKUP(F145,'2) Tracker'!$A$2:$BK$980,63,FALSE())</f>
        <v/>
      </c>
      <c r="AO145" s="778" t="str">
        <f>VLOOKUP(F145,'2) Tracker'!$A$2:$BF$980,58,FALSE())</f>
        <v/>
      </c>
      <c r="AP145" s="52"/>
      <c r="AQ145" s="52"/>
      <c r="AR145" s="52"/>
      <c r="AS145" s="52"/>
      <c r="AT145" s="52"/>
      <c r="AU145" s="52"/>
      <c r="AV145" s="52"/>
      <c r="AW145" s="52"/>
      <c r="AX145" s="52"/>
      <c r="AY145" s="52"/>
      <c r="AZ145" s="734"/>
      <c r="BA145" s="786" t="str">
        <f>vlookup(AZ145,'Iran, FS'!$A$1:$B$318,2, false)</f>
        <v>#N/A</v>
      </c>
      <c r="BB145" s="787" t="str">
        <f>vlookup(AZ145,'1) Kpler'!$E$2:$F$500,2,false)</f>
        <v>#N/A</v>
      </c>
      <c r="BC145" s="740"/>
      <c r="BD145" s="734"/>
      <c r="BE145" s="52"/>
      <c r="BF145" s="52"/>
      <c r="BG145" s="734"/>
      <c r="BH145" s="734"/>
      <c r="BI145" s="734"/>
      <c r="BJ145" s="734"/>
    </row>
    <row r="146">
      <c r="B146" s="765" t="str">
        <f>vlookup(F146,'2) Tracker'!$A$3:$O$410,5,false)</f>
        <v/>
      </c>
      <c r="C146" s="765" t="str">
        <f>vlookup(F146,'2) Tracker'!$A$3:$O$410,4,false)</f>
        <v/>
      </c>
      <c r="D146" s="732" t="s">
        <v>1515</v>
      </c>
      <c r="E146" s="734" t="str">
        <f>vlookup(F146,'2) Tracker'!$A$3:$O$406,15,false)</f>
        <v/>
      </c>
      <c r="F146" s="797" t="s">
        <v>167</v>
      </c>
      <c r="G146" s="783">
        <f>VLOOKUP(F146,'2) Tracker'!$A$2:$BO$360,2,FALSE)</f>
        <v>43678</v>
      </c>
      <c r="H146" s="768">
        <f>VLOOKUP(F146,'2) Tracker'!$A$2:$BO$360,3,FALSE)</f>
        <v>80000</v>
      </c>
      <c r="I146" s="777" t="str">
        <f>VLOOKUP(F146,'2) Tracker'!$A$2:$BO$360,9,FALSE)</f>
        <v>Trafigura</v>
      </c>
      <c r="J146" s="770" t="str">
        <f>VLOOKUP(F146,'2) Tracker'!$A$2:$BO$360,12,FALSE)</f>
        <v>loads USG</v>
      </c>
      <c r="K146" s="771">
        <f t="shared" ref="K146:O146" si="192">AD146</f>
        <v>46153</v>
      </c>
      <c r="L146" s="771">
        <f t="shared" si="192"/>
        <v>46153</v>
      </c>
      <c r="M146" s="771">
        <f t="shared" si="192"/>
        <v>46185</v>
      </c>
      <c r="N146" s="771" t="str">
        <f t="shared" si="192"/>
        <v/>
      </c>
      <c r="O146" s="772" t="str">
        <f t="shared" si="192"/>
        <v/>
      </c>
      <c r="P146" s="773" t="str">
        <f>iferror(if(vlookup(F146,'Voyage days'!$M$808:$N$819,2,false),"GOA",""),"")</f>
        <v/>
      </c>
      <c r="Q146" s="771" t="str">
        <f t="shared" si="81"/>
        <v/>
      </c>
      <c r="R146" s="771" t="str">
        <f t="shared" si="83"/>
        <v/>
      </c>
      <c r="S146" s="774">
        <f t="shared" si="5"/>
        <v>46173</v>
      </c>
      <c r="T146" s="771" t="str">
        <f t="shared" si="6"/>
        <v/>
      </c>
      <c r="U146" s="771" t="str">
        <f t="shared" si="84"/>
        <v/>
      </c>
      <c r="V146" s="771"/>
      <c r="W146" s="771" t="str">
        <f t="shared" si="85"/>
        <v/>
      </c>
      <c r="X146" s="775" t="str">
        <f t="shared" si="9"/>
        <v/>
      </c>
      <c r="Y146" s="804" t="s">
        <v>1261</v>
      </c>
      <c r="Z146" s="777" t="str">
        <f>vlookup(F146,'2) Tracker'!$A$3:$Q$504,16,false)</f>
        <v>ETA Balboa 27 Apr</v>
      </c>
      <c r="AA146" s="777" t="str">
        <f>vlookup(F146,'2) Tracker'!$A$3:$R$504,18,false)</f>
        <v>Petrochina 11-12 May USG</v>
      </c>
      <c r="AB146" s="777" t="str">
        <f>vlookup(F146,'2) Tracker'!$A$3:$Q$504,17,false)</f>
        <v/>
      </c>
      <c r="AC146" s="778"/>
      <c r="AD146" s="778">
        <f>VLOOKUP(F146,'2) Tracker'!$A$2:$BO$980,37,FALSE)</f>
        <v>46153</v>
      </c>
      <c r="AE146" s="778">
        <f>VLOOKUP(F146,'2) Tracker'!$A$2:$BO$980,40,FALSE)</f>
        <v>46153</v>
      </c>
      <c r="AF146" s="778">
        <f>VLOOKUP(F146,'2) Tracker'!$A$2:$BO$980,67,FALSE)</f>
        <v>46185</v>
      </c>
      <c r="AG146" s="778" t="str">
        <f>VLOOKUP(F146,'2) Tracker'!$A$2:$BO$980,34,FALSE)</f>
        <v/>
      </c>
      <c r="AH146" s="778" t="str">
        <f>VLOOKUP(F146,'2) Tracker'!$A$2:$BN$980,66,FALSE)</f>
        <v/>
      </c>
      <c r="AI146" s="778" t="str">
        <f>VLOOKUP(F146,'2) Tracker'!$A$2:$BO$980,56,FALSE)</f>
        <v/>
      </c>
      <c r="AJ146" s="778" t="str">
        <f>VLOOKUP(F146,'2) Tracker'!$A$2:$BO$980,52,FALSE)</f>
        <v/>
      </c>
      <c r="AK146" s="778" t="str">
        <f>VLOOKUP(F146,'2) Tracker'!$A$2:$AQ$980,43,FALSE)</f>
        <v/>
      </c>
      <c r="AL146" s="778">
        <f>VLOOKUP(F146,'2) Tracker'!$A$2:$BH$980,46,FALSE())</f>
        <v>46173</v>
      </c>
      <c r="AM146" s="778" t="str">
        <f>VLOOKUP(F146,'2) Tracker'!$A$2:$BO$980,65,FALSE())</f>
        <v/>
      </c>
      <c r="AN146" s="778" t="str">
        <f>VLOOKUP(F146,'2) Tracker'!$A$2:$BK$980,63,FALSE())</f>
        <v/>
      </c>
      <c r="AO146" s="778" t="str">
        <f>VLOOKUP(F146,'2) Tracker'!$A$2:$BF$980,58,FALSE())</f>
        <v/>
      </c>
      <c r="AP146" s="52"/>
      <c r="AQ146" s="52"/>
      <c r="AR146" s="52"/>
      <c r="AS146" s="52"/>
      <c r="AT146" s="52"/>
      <c r="AU146" s="52"/>
      <c r="AV146" s="52"/>
      <c r="AW146" s="52"/>
      <c r="AX146" s="52"/>
      <c r="AY146" s="52"/>
      <c r="AZ146" s="787"/>
      <c r="BA146" s="786" t="str">
        <f>vlookup(AZ146,'Iran, FS'!$A$1:$B$318,2, false)</f>
        <v>#N/A</v>
      </c>
      <c r="BB146" s="787" t="str">
        <f>vlookup(AZ146,'1) Kpler'!$E$2:$F$500,2,false)</f>
        <v>#N/A</v>
      </c>
      <c r="BC146" s="788"/>
      <c r="BD146" s="787"/>
      <c r="BE146" s="52"/>
      <c r="BF146" s="52"/>
      <c r="BG146" s="787"/>
      <c r="BH146" s="787"/>
      <c r="BI146" s="787"/>
      <c r="BJ146" s="787"/>
    </row>
    <row r="147">
      <c r="B147" s="765" t="str">
        <f>vlookup(F147,'2) Tracker'!$A$3:$O$410,5,false)</f>
        <v/>
      </c>
      <c r="C147" s="765" t="str">
        <f>vlookup(F147,'2) Tracker'!$A$3:$O$410,4,false)</f>
        <v/>
      </c>
      <c r="D147" s="734"/>
      <c r="E147" s="734" t="str">
        <f>vlookup(F147,'2) Tracker'!$A$3:$O$406,15,false)</f>
        <v/>
      </c>
      <c r="F147" s="830" t="s">
        <v>294</v>
      </c>
      <c r="G147" s="789">
        <f>VLOOKUP(F147,'2) Tracker'!$A$2:$BO$360,2,FALSE)</f>
        <v>2022</v>
      </c>
      <c r="H147" s="768">
        <f>VLOOKUP(F147,'2) Tracker'!$A$2:$BO$360,3,FALSE)</f>
        <v>91000</v>
      </c>
      <c r="I147" s="770" t="str">
        <f>VLOOKUP(F147,'2) Tracker'!$A$2:$BO$360,9,FALSE)</f>
        <v>PTT</v>
      </c>
      <c r="J147" s="770" t="str">
        <f>VLOOKUP(F147,'2) Tracker'!$A$2:$BO$360,12,FALSE)</f>
        <v>loads USG</v>
      </c>
      <c r="K147" s="771">
        <f t="shared" ref="K147:O147" si="193">AD147</f>
        <v>46153</v>
      </c>
      <c r="L147" s="771">
        <f t="shared" si="193"/>
        <v>46153</v>
      </c>
      <c r="M147" s="771">
        <f t="shared" si="193"/>
        <v>46185</v>
      </c>
      <c r="N147" s="771" t="str">
        <f t="shared" si="193"/>
        <v/>
      </c>
      <c r="O147" s="772" t="str">
        <f t="shared" si="193"/>
        <v/>
      </c>
      <c r="P147" s="773" t="str">
        <f>iferror(if(vlookup(F147,'Voyage days'!$M$808:$N$819,2,false),"GOA",""),"")</f>
        <v/>
      </c>
      <c r="Q147" s="771" t="str">
        <f t="shared" si="81"/>
        <v/>
      </c>
      <c r="R147" s="774" t="str">
        <f t="shared" si="83"/>
        <v/>
      </c>
      <c r="S147" s="774">
        <f t="shared" si="5"/>
        <v>46173</v>
      </c>
      <c r="T147" s="774" t="str">
        <f t="shared" si="6"/>
        <v/>
      </c>
      <c r="U147" s="774" t="str">
        <f t="shared" si="84"/>
        <v/>
      </c>
      <c r="V147" s="774"/>
      <c r="W147" s="774" t="str">
        <f t="shared" si="85"/>
        <v/>
      </c>
      <c r="X147" s="775" t="str">
        <f t="shared" si="9"/>
        <v/>
      </c>
      <c r="Y147" s="784" t="s">
        <v>1561</v>
      </c>
      <c r="Z147" s="777" t="str">
        <f>vlookup(F147,'2) Tracker'!$A$3:$Q$504,16,false)</f>
        <v>ETA USG 10 May via Cape</v>
      </c>
      <c r="AA147" s="777" t="str">
        <f>vlookup(F147,'2) Tracker'!$A$3:$R$504,18,false)</f>
        <v>BGN 11-12 May USG</v>
      </c>
      <c r="AB147" s="777" t="str">
        <f>vlookup(F147,'2) Tracker'!$A$3:$Q$504,17,false)</f>
        <v/>
      </c>
      <c r="AC147" s="778"/>
      <c r="AD147" s="778">
        <f>VLOOKUP(F147,'2) Tracker'!$A$2:$BO$980,37,FALSE)</f>
        <v>46153</v>
      </c>
      <c r="AE147" s="778">
        <f>VLOOKUP(F147,'2) Tracker'!$A$2:$BO$980,40,FALSE)</f>
        <v>46153</v>
      </c>
      <c r="AF147" s="778">
        <f>VLOOKUP(F147,'2) Tracker'!$A$2:$BO$980,67,FALSE)</f>
        <v>46185</v>
      </c>
      <c r="AG147" s="778" t="str">
        <f>VLOOKUP(F147,'2) Tracker'!$A$2:$BO$980,34,FALSE)</f>
        <v/>
      </c>
      <c r="AH147" s="778" t="str">
        <f>VLOOKUP(F147,'2) Tracker'!$A$2:$BN$980,66,FALSE)</f>
        <v/>
      </c>
      <c r="AI147" s="778" t="str">
        <f>VLOOKUP(F147,'2) Tracker'!$A$2:$BO$980,56,FALSE)</f>
        <v/>
      </c>
      <c r="AJ147" s="778" t="str">
        <f>VLOOKUP(F147,'2) Tracker'!$A$2:$BO$980,52,FALSE)</f>
        <v/>
      </c>
      <c r="AK147" s="778" t="str">
        <f>VLOOKUP(F147,'2) Tracker'!$A$2:$AQ$980,43,FALSE)</f>
        <v/>
      </c>
      <c r="AL147" s="778">
        <f>VLOOKUP(F147,'2) Tracker'!$A$2:$BH$980,46,FALSE())</f>
        <v>46173</v>
      </c>
      <c r="AM147" s="778" t="str">
        <f>VLOOKUP(F147,'2) Tracker'!$A$2:$BO$980,65,FALSE())</f>
        <v/>
      </c>
      <c r="AN147" s="778" t="str">
        <f>VLOOKUP(F147,'2) Tracker'!$A$2:$BK$980,63,FALSE())</f>
        <v/>
      </c>
      <c r="AO147" s="778" t="str">
        <f>VLOOKUP(F147,'2) Tracker'!$A$2:$BF$980,58,FALSE())</f>
        <v/>
      </c>
      <c r="AP147" s="52"/>
      <c r="AQ147" s="52"/>
      <c r="AR147" s="52"/>
      <c r="AS147" s="52"/>
      <c r="AT147" s="52"/>
      <c r="AU147" s="52"/>
      <c r="AV147" s="833" t="s">
        <v>1503</v>
      </c>
      <c r="AW147" s="52"/>
      <c r="AX147" s="52"/>
      <c r="AY147" s="52"/>
      <c r="AZ147" s="787"/>
      <c r="BA147" s="786" t="str">
        <f>vlookup(AZ147,'Iran, FS'!$A$1:$B$318,2, false)</f>
        <v>#N/A</v>
      </c>
      <c r="BB147" s="787" t="str">
        <f>vlookup(AZ147,'1) Kpler'!$E$2:$F$500,2,false)</f>
        <v>#N/A</v>
      </c>
      <c r="BC147" s="798" t="s">
        <v>1534</v>
      </c>
      <c r="BD147" s="787"/>
      <c r="BE147" s="52"/>
      <c r="BF147" s="52"/>
      <c r="BG147" s="787"/>
      <c r="BH147" s="787"/>
      <c r="BI147" s="787"/>
      <c r="BJ147" s="787"/>
    </row>
    <row r="148">
      <c r="B148" s="765" t="str">
        <f>vlookup(F148,'2) Tracker'!$A$3:$O$410,5,false)</f>
        <v/>
      </c>
      <c r="C148" s="765" t="str">
        <f>vlookup(F148,'2) Tracker'!$A$3:$O$410,4,false)</f>
        <v/>
      </c>
      <c r="D148" s="734"/>
      <c r="E148" s="734" t="str">
        <f>vlookup(F148,'2) Tracker'!$A$3:$O$406,15,false)</f>
        <v/>
      </c>
      <c r="F148" s="798" t="s">
        <v>407</v>
      </c>
      <c r="G148" s="789">
        <f>VLOOKUP(F148,'2) Tracker'!$A$2:$BO$360,2,FALSE)</f>
        <v>2016</v>
      </c>
      <c r="H148" s="768">
        <f>VLOOKUP(F148,'2) Tracker'!$A$2:$BO$360,3,FALSE)</f>
        <v>84000</v>
      </c>
      <c r="I148" s="777" t="str">
        <f>VLOOKUP(F148,'2) Tracker'!$A$2:$BO$360,9,FALSE)</f>
        <v>Petredec</v>
      </c>
      <c r="J148" s="770" t="str">
        <f>VLOOKUP(F148,'2) Tracker'!$A$2:$BO$360,12,FALSE)</f>
        <v>Eu</v>
      </c>
      <c r="K148" s="774">
        <f t="shared" ref="K148:O148" si="194">AD148</f>
        <v>46153</v>
      </c>
      <c r="L148" s="774">
        <f t="shared" si="194"/>
        <v>46154</v>
      </c>
      <c r="M148" s="771" t="str">
        <f t="shared" si="194"/>
        <v/>
      </c>
      <c r="N148" s="771" t="str">
        <f t="shared" si="194"/>
        <v/>
      </c>
      <c r="O148" s="772" t="str">
        <f t="shared" si="194"/>
        <v/>
      </c>
      <c r="P148" s="773" t="str">
        <f>iferror(if(vlookup(F148,'Voyage days'!$M$808:$N$819,2,false),"GOA",""),"")</f>
        <v/>
      </c>
      <c r="Q148" s="771">
        <f t="shared" si="81"/>
        <v>46140</v>
      </c>
      <c r="R148" s="774">
        <f t="shared" si="83"/>
        <v>46153</v>
      </c>
      <c r="S148" s="774">
        <f t="shared" si="5"/>
        <v>46141</v>
      </c>
      <c r="T148" s="771">
        <f t="shared" si="6"/>
        <v>46150</v>
      </c>
      <c r="U148" s="774" t="str">
        <f t="shared" si="84"/>
        <v/>
      </c>
      <c r="V148" s="774"/>
      <c r="W148" s="774" t="str">
        <f t="shared" si="85"/>
        <v/>
      </c>
      <c r="X148" s="775" t="str">
        <f t="shared" si="9"/>
        <v/>
      </c>
      <c r="Y148" s="784"/>
      <c r="Z148" s="777" t="str">
        <f>vlookup(F148,'2) Tracker'!$A$3:$Q$504,16,false)</f>
        <v>@ Nederland 06 Apr, pending firm disport</v>
      </c>
      <c r="AA148" s="777" t="str">
        <f>vlookup(F148,'2) Tracker'!$A$3:$R$504,18,false)</f>
        <v>ET 05-06 Apr Nederland</v>
      </c>
      <c r="AB148" s="777" t="str">
        <f>vlookup(F148,'2) Tracker'!$A$3:$Q$504,17,false)</f>
        <v/>
      </c>
      <c r="AC148" s="778"/>
      <c r="AD148" s="778">
        <f>VLOOKUP(F148,'2) Tracker'!$A$2:$BO$980,37,FALSE)</f>
        <v>46153</v>
      </c>
      <c r="AE148" s="778">
        <f>VLOOKUP(F148,'2) Tracker'!$A$2:$BO$980,40,FALSE)</f>
        <v>46154</v>
      </c>
      <c r="AF148" s="778" t="str">
        <f>VLOOKUP(F148,'2) Tracker'!$A$2:$BO$980,67,FALSE)</f>
        <v/>
      </c>
      <c r="AG148" s="778" t="str">
        <f>VLOOKUP(F148,'2) Tracker'!$A$2:$BO$980,34,FALSE)</f>
        <v/>
      </c>
      <c r="AH148" s="778" t="str">
        <f>VLOOKUP(F148,'2) Tracker'!$A$2:$BN$980,66,FALSE)</f>
        <v/>
      </c>
      <c r="AI148" s="778" t="str">
        <f>VLOOKUP(F148,'2) Tracker'!$A$2:$BO$980,56,FALSE)</f>
        <v/>
      </c>
      <c r="AJ148" s="778" t="str">
        <f>VLOOKUP(F148,'2) Tracker'!$A$2:$BO$980,52,FALSE)</f>
        <v/>
      </c>
      <c r="AK148" s="778">
        <f>VLOOKUP(F148,'2) Tracker'!$A$2:$AQ$980,43,FALSE)</f>
        <v>46150</v>
      </c>
      <c r="AL148" s="778">
        <f>VLOOKUP(F148,'2) Tracker'!$A$2:$BH$980,46,FALSE())</f>
        <v>46141</v>
      </c>
      <c r="AM148" s="778">
        <f>VLOOKUP(F148,'2) Tracker'!$A$2:$BO$980,65,FALSE())</f>
        <v>46140</v>
      </c>
      <c r="AN148" s="778">
        <f>VLOOKUP(F148,'2) Tracker'!$A$2:$BK$980,63,FALSE())</f>
        <v>46153</v>
      </c>
      <c r="AO148" s="778" t="str">
        <f>VLOOKUP(F148,'2) Tracker'!$A$2:$BF$980,58,FALSE())</f>
        <v/>
      </c>
      <c r="AP148" s="52"/>
      <c r="AQ148" s="52"/>
      <c r="AR148" s="52"/>
      <c r="AS148" s="52"/>
      <c r="AT148" s="52"/>
      <c r="AU148" s="52"/>
      <c r="AV148" s="52"/>
      <c r="AW148" s="52"/>
      <c r="AX148" s="52"/>
      <c r="AY148" s="52"/>
      <c r="AZ148" s="734"/>
      <c r="BA148" s="786" t="str">
        <f>vlookup(AZ148,'Iran, FS'!$A$1:$B$318,2, false)</f>
        <v>#N/A</v>
      </c>
      <c r="BB148" s="787" t="str">
        <f>vlookup(AZ148,'1) Kpler'!$E$2:$F$500,2,false)</f>
        <v>#N/A</v>
      </c>
      <c r="BC148" s="740"/>
      <c r="BD148" s="734"/>
      <c r="BE148" s="52"/>
      <c r="BF148" s="52"/>
      <c r="BG148" s="734"/>
      <c r="BH148" s="734"/>
      <c r="BI148" s="734"/>
      <c r="BJ148" s="734"/>
    </row>
    <row r="149">
      <c r="B149" s="765" t="str">
        <f>vlookup(F149,'2) Tracker'!$A$3:$O$410,5,false)</f>
        <v/>
      </c>
      <c r="C149" s="765" t="str">
        <f>vlookup(F149,'2) Tracker'!$A$3:$O$410,4,false)</f>
        <v/>
      </c>
      <c r="D149" s="734"/>
      <c r="E149" s="734" t="str">
        <f>vlookup(F149,'2) Tracker'!$A$3:$O$406,15,false)</f>
        <v/>
      </c>
      <c r="F149" s="766" t="s">
        <v>359</v>
      </c>
      <c r="G149" s="783">
        <f>VLOOKUP(F149,'2) Tracker'!$A$2:$BO$360,2,FALSE)</f>
        <v>42377</v>
      </c>
      <c r="H149" s="768">
        <f>VLOOKUP(F149,'2) Tracker'!$A$2:$BO$360,3,FALSE)</f>
        <v>84000</v>
      </c>
      <c r="I149" s="769" t="str">
        <f>VLOOKUP(F149,'2) Tracker'!$A$2:$BO$360,9,FALSE)</f>
        <v>Total</v>
      </c>
      <c r="J149" s="770" t="str">
        <f>VLOOKUP(F149,'2) Tracker'!$A$2:$BO$360,12,FALSE)</f>
        <v>loads USG</v>
      </c>
      <c r="K149" s="774">
        <f t="shared" ref="K149:O149" si="195">AD149</f>
        <v>46154</v>
      </c>
      <c r="L149" s="774">
        <f t="shared" si="195"/>
        <v>46154</v>
      </c>
      <c r="M149" s="771">
        <f t="shared" si="195"/>
        <v>46186</v>
      </c>
      <c r="N149" s="772" t="str">
        <f t="shared" si="195"/>
        <v/>
      </c>
      <c r="O149" s="772" t="str">
        <f t="shared" si="195"/>
        <v/>
      </c>
      <c r="P149" s="773" t="str">
        <f>iferror(if(vlookup(F149,'Voyage days'!$M$808:$N$819,2,false),"GOA",""),"")</f>
        <v/>
      </c>
      <c r="Q149" s="771" t="str">
        <f t="shared" si="81"/>
        <v/>
      </c>
      <c r="R149" s="774" t="str">
        <f t="shared" si="83"/>
        <v/>
      </c>
      <c r="S149" s="774">
        <f t="shared" si="5"/>
        <v>46174</v>
      </c>
      <c r="T149" s="771" t="str">
        <f t="shared" si="6"/>
        <v/>
      </c>
      <c r="U149" s="774" t="str">
        <f t="shared" si="84"/>
        <v/>
      </c>
      <c r="V149" s="771"/>
      <c r="W149" s="771" t="str">
        <f t="shared" si="85"/>
        <v/>
      </c>
      <c r="X149" s="775" t="str">
        <f t="shared" si="9"/>
        <v/>
      </c>
      <c r="Y149" s="795"/>
      <c r="Z149" s="777" t="str">
        <f>vlookup(F149,'2) Tracker'!$A$3:$Q$504,16,false)</f>
        <v>ETA Nederland 10 May via Cape</v>
      </c>
      <c r="AA149" s="777" t="str">
        <f>vlookup(F149,'2) Tracker'!$A$3:$R$504,18,false)</f>
        <v>Total 10-11 May Nederland</v>
      </c>
      <c r="AB149" s="777" t="str">
        <f>vlookup(F149,'2) Tracker'!$A$3:$Q$504,17,false)</f>
        <v/>
      </c>
      <c r="AC149" s="778"/>
      <c r="AD149" s="778">
        <f>VLOOKUP(F149,'2) Tracker'!$A$2:$BO$980,37,FALSE)</f>
        <v>46154</v>
      </c>
      <c r="AE149" s="778">
        <f>VLOOKUP(F149,'2) Tracker'!$A$2:$BO$980,40,FALSE)</f>
        <v>46154</v>
      </c>
      <c r="AF149" s="778">
        <f>VLOOKUP(F149,'2) Tracker'!$A$2:$BO$980,67,FALSE)</f>
        <v>46186</v>
      </c>
      <c r="AG149" s="778" t="str">
        <f>VLOOKUP(F149,'2) Tracker'!$A$2:$BO$980,34,FALSE)</f>
        <v/>
      </c>
      <c r="AH149" s="778" t="str">
        <f>VLOOKUP(F149,'2) Tracker'!$A$2:$BN$980,66,FALSE)</f>
        <v/>
      </c>
      <c r="AI149" s="778" t="str">
        <f>VLOOKUP(F149,'2) Tracker'!$A$2:$BO$980,56,FALSE)</f>
        <v/>
      </c>
      <c r="AJ149" s="778" t="str">
        <f>VLOOKUP(F149,'2) Tracker'!$A$2:$BO$980,52,FALSE)</f>
        <v/>
      </c>
      <c r="AK149" s="778" t="str">
        <f>VLOOKUP(F149,'2) Tracker'!$A$2:$AQ$980,43,FALSE)</f>
        <v/>
      </c>
      <c r="AL149" s="778">
        <f>VLOOKUP(F149,'2) Tracker'!$A$2:$BH$980,46,FALSE())</f>
        <v>46174</v>
      </c>
      <c r="AM149" s="778" t="str">
        <f>VLOOKUP(F149,'2) Tracker'!$A$2:$BO$980,65,FALSE())</f>
        <v/>
      </c>
      <c r="AN149" s="778" t="str">
        <f>VLOOKUP(F149,'2) Tracker'!$A$2:$BK$980,63,FALSE())</f>
        <v/>
      </c>
      <c r="AO149" s="778" t="str">
        <f>VLOOKUP(F149,'2) Tracker'!$A$2:$BF$980,58,FALSE())</f>
        <v/>
      </c>
      <c r="AP149" s="52"/>
      <c r="AQ149" s="52"/>
      <c r="AR149" s="52"/>
      <c r="AS149" s="52"/>
      <c r="AT149" s="52"/>
      <c r="AU149" s="52"/>
      <c r="AV149" s="52"/>
      <c r="AW149" s="52"/>
      <c r="AX149" s="52"/>
      <c r="AY149" s="52"/>
      <c r="AZ149" s="734"/>
      <c r="BA149" s="740"/>
      <c r="BB149" s="734"/>
      <c r="BC149" s="740"/>
      <c r="BD149" s="734"/>
      <c r="BE149" s="52"/>
      <c r="BF149" s="52"/>
      <c r="BG149" s="734"/>
      <c r="BH149" s="734"/>
      <c r="BI149" s="734"/>
      <c r="BJ149" s="734"/>
    </row>
    <row r="150">
      <c r="B150" s="765" t="str">
        <f>vlookup(F150,'2) Tracker'!$A$3:$O$410,5,false)</f>
        <v/>
      </c>
      <c r="C150" s="765" t="str">
        <f>vlookup(F150,'2) Tracker'!$A$3:$O$410,4,false)</f>
        <v/>
      </c>
      <c r="D150" s="734"/>
      <c r="E150" s="734" t="str">
        <f>vlookup(F150,'2) Tracker'!$A$3:$O$406,15,false)</f>
        <v/>
      </c>
      <c r="F150" s="822" t="s">
        <v>320</v>
      </c>
      <c r="G150" s="783">
        <f>VLOOKUP(F150,'2) Tracker'!$A$2:$BO$360,2,FALSE)</f>
        <v>41883</v>
      </c>
      <c r="H150" s="768">
        <f>VLOOKUP(F150,'2) Tracker'!$A$2:$BO$360,3,FALSE)</f>
        <v>84000</v>
      </c>
      <c r="I150" s="777" t="str">
        <f>VLOOKUP(F150,'2) Tracker'!$A$2:$BO$360,9,FALSE)</f>
        <v>E1</v>
      </c>
      <c r="J150" s="770" t="str">
        <f>VLOOKUP(F150,'2) Tracker'!$A$2:$BO$360,12,FALSE)</f>
        <v>loads USG</v>
      </c>
      <c r="K150" s="771">
        <f t="shared" ref="K150:O150" si="196">AD150</f>
        <v>46154</v>
      </c>
      <c r="L150" s="771">
        <f t="shared" si="196"/>
        <v>46154</v>
      </c>
      <c r="M150" s="771">
        <f t="shared" si="196"/>
        <v>46186</v>
      </c>
      <c r="N150" s="771" t="str">
        <f t="shared" si="196"/>
        <v/>
      </c>
      <c r="O150" s="772" t="str">
        <f t="shared" si="196"/>
        <v/>
      </c>
      <c r="P150" s="773" t="str">
        <f>iferror(if(vlookup(F150,'Voyage days'!$M$808:$N$819,2,false),"GOA",""),"")</f>
        <v/>
      </c>
      <c r="Q150" s="771" t="str">
        <f t="shared" si="81"/>
        <v/>
      </c>
      <c r="R150" s="771" t="str">
        <f t="shared" si="83"/>
        <v/>
      </c>
      <c r="S150" s="774">
        <f t="shared" si="5"/>
        <v>46174</v>
      </c>
      <c r="T150" s="771" t="str">
        <f t="shared" si="6"/>
        <v/>
      </c>
      <c r="U150" s="771" t="str">
        <f t="shared" si="84"/>
        <v/>
      </c>
      <c r="V150" s="771"/>
      <c r="W150" s="771" t="str">
        <f t="shared" si="85"/>
        <v/>
      </c>
      <c r="X150" s="775" t="str">
        <f t="shared" si="9"/>
        <v/>
      </c>
      <c r="Y150" s="776" t="s">
        <v>1567</v>
      </c>
      <c r="Z150" s="777" t="str">
        <f>vlookup(F150,'2) Tracker'!$A$3:$Q$504,16,false)</f>
        <v>ETA USG 07 May via Cape</v>
      </c>
      <c r="AA150" s="777" t="str">
        <f>vlookup(F150,'2) Tracker'!$A$3:$R$504,18,false)</f>
        <v>BGN 12-13 May USG</v>
      </c>
      <c r="AB150" s="777" t="str">
        <f>vlookup(F150,'2) Tracker'!$A$3:$Q$504,17,false)</f>
        <v/>
      </c>
      <c r="AC150" s="778"/>
      <c r="AD150" s="778">
        <f>VLOOKUP(F150,'2) Tracker'!$A$2:$BO$980,37,FALSE)</f>
        <v>46154</v>
      </c>
      <c r="AE150" s="778">
        <f>VLOOKUP(F150,'2) Tracker'!$A$2:$BO$980,40,FALSE)</f>
        <v>46154</v>
      </c>
      <c r="AF150" s="778">
        <f>VLOOKUP(F150,'2) Tracker'!$A$2:$BO$980,67,FALSE)</f>
        <v>46186</v>
      </c>
      <c r="AG150" s="778" t="str">
        <f>VLOOKUP(F150,'2) Tracker'!$A$2:$BO$980,34,FALSE)</f>
        <v/>
      </c>
      <c r="AH150" s="778" t="str">
        <f>VLOOKUP(F150,'2) Tracker'!$A$2:$BN$980,66,FALSE)</f>
        <v/>
      </c>
      <c r="AI150" s="778" t="str">
        <f>VLOOKUP(F150,'2) Tracker'!$A$2:$BO$980,56,FALSE)</f>
        <v/>
      </c>
      <c r="AJ150" s="778" t="str">
        <f>VLOOKUP(F150,'2) Tracker'!$A$2:$BO$980,52,FALSE)</f>
        <v/>
      </c>
      <c r="AK150" s="778" t="str">
        <f>VLOOKUP(F150,'2) Tracker'!$A$2:$AQ$980,43,FALSE)</f>
        <v/>
      </c>
      <c r="AL150" s="778">
        <f>VLOOKUP(F150,'2) Tracker'!$A$2:$BH$980,46,FALSE())</f>
        <v>46174</v>
      </c>
      <c r="AM150" s="778" t="str">
        <f>VLOOKUP(F150,'2) Tracker'!$A$2:$BO$980,65,FALSE())</f>
        <v/>
      </c>
      <c r="AN150" s="778" t="str">
        <f>VLOOKUP(F150,'2) Tracker'!$A$2:$BK$980,63,FALSE())</f>
        <v/>
      </c>
      <c r="AO150" s="778" t="str">
        <f>VLOOKUP(F150,'2) Tracker'!$A$2:$BF$980,58,FALSE())</f>
        <v/>
      </c>
      <c r="AP150" s="52"/>
      <c r="AQ150" s="52"/>
      <c r="AR150" s="52"/>
      <c r="AS150" s="52"/>
      <c r="AT150" s="52"/>
      <c r="AU150" s="52"/>
      <c r="AV150" s="52"/>
      <c r="AW150" s="52"/>
      <c r="AX150" s="52"/>
      <c r="AY150" s="52"/>
      <c r="AZ150" s="787"/>
      <c r="BA150" s="786" t="str">
        <f>vlookup(AZ150,'Iran, FS'!$A$1:$B$318,2, false)</f>
        <v>#N/A</v>
      </c>
      <c r="BB150" s="787" t="str">
        <f>vlookup(AZ150,'1) Kpler'!$E$2:$F$500,2,false)</f>
        <v>#N/A</v>
      </c>
      <c r="BC150" s="788"/>
      <c r="BD150" s="787"/>
      <c r="BE150" s="52"/>
      <c r="BF150" s="52"/>
      <c r="BG150" s="787"/>
      <c r="BH150" s="787"/>
      <c r="BI150" s="787"/>
      <c r="BJ150" s="787"/>
    </row>
    <row r="151">
      <c r="B151" s="765" t="str">
        <f>vlookup(F151,'2) Tracker'!$A$3:$O$410,5,false)</f>
        <v/>
      </c>
      <c r="C151" s="765" t="str">
        <f>vlookup(F151,'2) Tracker'!$A$3:$O$410,4,false)</f>
        <v/>
      </c>
      <c r="D151" s="734"/>
      <c r="E151" s="734" t="str">
        <f>vlookup(F151,'2) Tracker'!$A$3:$O$406,15,false)</f>
        <v/>
      </c>
      <c r="F151" s="788" t="s">
        <v>51</v>
      </c>
      <c r="G151" s="783">
        <f>VLOOKUP(F151,'2) Tracker'!$A$2:$BO$360,2,FALSE)</f>
        <v>41094</v>
      </c>
      <c r="H151" s="768">
        <f>VLOOKUP(F151,'2) Tracker'!$A$2:$BO$360,3,FALSE)</f>
        <v>83000</v>
      </c>
      <c r="I151" s="770" t="str">
        <f>VLOOKUP(F151,'2) Tracker'!$A$2:$BO$360,9,FALSE)</f>
        <v>BASF</v>
      </c>
      <c r="J151" s="770" t="str">
        <f>VLOOKUP(F151,'2) Tracker'!$A$2:$BO$360,12,FALSE)</f>
        <v>loads USG</v>
      </c>
      <c r="K151" s="774">
        <f t="shared" ref="K151:O151" si="197">AD151</f>
        <v>46154</v>
      </c>
      <c r="L151" s="774">
        <f t="shared" si="197"/>
        <v>46154</v>
      </c>
      <c r="M151" s="771">
        <f t="shared" si="197"/>
        <v>46186</v>
      </c>
      <c r="N151" s="771" t="str">
        <f t="shared" si="197"/>
        <v/>
      </c>
      <c r="O151" s="772" t="str">
        <f t="shared" si="197"/>
        <v/>
      </c>
      <c r="P151" s="773" t="str">
        <f>iferror(if(vlookup(F151,'Voyage days'!$M$808:$N$819,2,false),"GOA",""),"")</f>
        <v/>
      </c>
      <c r="Q151" s="771" t="str">
        <f t="shared" si="81"/>
        <v/>
      </c>
      <c r="R151" s="774" t="str">
        <f t="shared" si="83"/>
        <v/>
      </c>
      <c r="S151" s="774">
        <f t="shared" si="5"/>
        <v>46174</v>
      </c>
      <c r="T151" s="771" t="str">
        <f t="shared" si="6"/>
        <v/>
      </c>
      <c r="U151" s="774" t="str">
        <f t="shared" si="84"/>
        <v/>
      </c>
      <c r="V151" s="745" t="s">
        <v>1523</v>
      </c>
      <c r="W151" s="774" t="str">
        <f t="shared" si="85"/>
        <v/>
      </c>
      <c r="X151" s="775" t="str">
        <f t="shared" si="9"/>
        <v/>
      </c>
      <c r="Y151" s="776"/>
      <c r="Z151" s="777" t="str">
        <f>vlookup(F151,'2) Tracker'!$A$3:$Q$504,16,false)</f>
        <v>ETA Freeport 12 May via Cape</v>
      </c>
      <c r="AA151" s="777" t="str">
        <f>vlookup(F151,'2) Tracker'!$A$3:$R$504,18,false)</f>
        <v>BASF 04-05 May Freeport</v>
      </c>
      <c r="AB151" s="777" t="str">
        <f>vlookup(F151,'2) Tracker'!$A$3:$Q$504,17,false)</f>
        <v/>
      </c>
      <c r="AC151" s="778"/>
      <c r="AD151" s="778">
        <f>VLOOKUP(F151,'2) Tracker'!$A$2:$BO$980,37,FALSE)</f>
        <v>46154</v>
      </c>
      <c r="AE151" s="778">
        <f>VLOOKUP(F151,'2) Tracker'!$A$2:$BO$980,40,FALSE)</f>
        <v>46154</v>
      </c>
      <c r="AF151" s="778">
        <f>VLOOKUP(F151,'2) Tracker'!$A$2:$BO$980,67,FALSE)</f>
        <v>46186</v>
      </c>
      <c r="AG151" s="778" t="str">
        <f>VLOOKUP(F151,'2) Tracker'!$A$2:$BO$980,34,FALSE)</f>
        <v/>
      </c>
      <c r="AH151" s="778" t="str">
        <f>VLOOKUP(F151,'2) Tracker'!$A$2:$BN$980,66,FALSE)</f>
        <v/>
      </c>
      <c r="AI151" s="778" t="str">
        <f>VLOOKUP(F151,'2) Tracker'!$A$2:$BO$980,56,FALSE)</f>
        <v/>
      </c>
      <c r="AJ151" s="778" t="str">
        <f>VLOOKUP(F151,'2) Tracker'!$A$2:$BO$980,52,FALSE)</f>
        <v/>
      </c>
      <c r="AK151" s="778" t="str">
        <f>VLOOKUP(F151,'2) Tracker'!$A$2:$AQ$980,43,FALSE)</f>
        <v/>
      </c>
      <c r="AL151" s="778">
        <f>VLOOKUP(F151,'2) Tracker'!$A$2:$BH$980,46,FALSE())</f>
        <v>46174</v>
      </c>
      <c r="AM151" s="778" t="str">
        <f>VLOOKUP(F151,'2) Tracker'!$A$2:$BO$980,65,FALSE())</f>
        <v/>
      </c>
      <c r="AN151" s="778" t="str">
        <f>VLOOKUP(F151,'2) Tracker'!$A$2:$BK$980,63,FALSE())</f>
        <v/>
      </c>
      <c r="AO151" s="778" t="str">
        <f>VLOOKUP(F151,'2) Tracker'!$A$2:$BF$980,58,FALSE())</f>
        <v/>
      </c>
      <c r="AP151" s="52"/>
      <c r="AQ151" s="52"/>
      <c r="AR151" s="52"/>
      <c r="AS151" s="52"/>
      <c r="AT151" s="52"/>
      <c r="AU151" s="52"/>
      <c r="AV151" s="52"/>
      <c r="AW151" s="52"/>
      <c r="AX151" s="52"/>
      <c r="AY151" s="52"/>
      <c r="AZ151" s="787"/>
      <c r="BA151" s="786" t="str">
        <f>vlookup(AZ151,'Iran, FS'!$A$1:$B$318,2, false)</f>
        <v>#N/A</v>
      </c>
      <c r="BB151" s="787" t="str">
        <f>vlookup(AZ151,'1) Kpler'!$E$2:$F$500,2,false)</f>
        <v>#N/A</v>
      </c>
      <c r="BC151" s="788"/>
      <c r="BD151" s="787"/>
      <c r="BE151" s="52"/>
      <c r="BF151" s="52"/>
      <c r="BG151" s="787"/>
      <c r="BH151" s="787"/>
      <c r="BI151" s="787"/>
      <c r="BJ151" s="787"/>
    </row>
    <row r="152">
      <c r="B152" s="765" t="str">
        <f>vlookup(F152,'2) Tracker'!$A$3:$O$410,5,false)</f>
        <v/>
      </c>
      <c r="C152" s="765" t="str">
        <f>vlookup(F152,'2) Tracker'!$A$3:$O$410,4,false)</f>
        <v/>
      </c>
      <c r="D152" s="734"/>
      <c r="E152" s="734" t="str">
        <f>vlookup(F152,'2) Tracker'!$A$3:$O$406,15,false)</f>
        <v/>
      </c>
      <c r="F152" s="766" t="s">
        <v>290</v>
      </c>
      <c r="G152" s="789">
        <f>VLOOKUP(F152,'2) Tracker'!$A$2:$BO$360,2,FALSE)</f>
        <v>2021</v>
      </c>
      <c r="H152" s="768">
        <f>VLOOKUP(F152,'2) Tracker'!$A$2:$BO$360,3,FALSE)</f>
        <v>84000</v>
      </c>
      <c r="I152" s="769" t="str">
        <f>VLOOKUP(F152,'2) Tracker'!$A$2:$BO$360,9,FALSE)</f>
        <v>BGN</v>
      </c>
      <c r="J152" s="770" t="str">
        <f>VLOOKUP(F152,'2) Tracker'!$A$2:$BO$360,12,FALSE)</f>
        <v>Malaysia ballast</v>
      </c>
      <c r="K152" s="774">
        <f t="shared" ref="K152:O152" si="198">AD152</f>
        <v>46154</v>
      </c>
      <c r="L152" s="774">
        <f t="shared" si="198"/>
        <v>46155</v>
      </c>
      <c r="M152" s="771" t="str">
        <f t="shared" si="198"/>
        <v/>
      </c>
      <c r="N152" s="771">
        <f t="shared" si="198"/>
        <v>46131</v>
      </c>
      <c r="O152" s="772" t="str">
        <f t="shared" si="198"/>
        <v/>
      </c>
      <c r="P152" s="773" t="str">
        <f>iferror(if(vlookup(F152,'Voyage days'!$M$808:$N$819,2,false),"GOA",""),"")</f>
        <v/>
      </c>
      <c r="Q152" s="771">
        <f t="shared" si="81"/>
        <v>46134</v>
      </c>
      <c r="R152" s="771">
        <f t="shared" si="83"/>
        <v>46159</v>
      </c>
      <c r="S152" s="774">
        <f t="shared" si="5"/>
        <v>46149</v>
      </c>
      <c r="T152" s="771">
        <f t="shared" si="6"/>
        <v>46141</v>
      </c>
      <c r="U152" s="771">
        <f t="shared" si="84"/>
        <v>46123</v>
      </c>
      <c r="V152" s="771"/>
      <c r="W152" s="771">
        <f t="shared" si="85"/>
        <v>46126.5</v>
      </c>
      <c r="X152" s="775" t="str">
        <f t="shared" si="9"/>
        <v/>
      </c>
      <c r="Y152" s="776"/>
      <c r="Z152" s="777" t="str">
        <f>vlookup(F152,'2) Tracker'!$A$3:$Q$504,16,false)</f>
        <v>ex DD, @ Port Klang 07 Apr coolant</v>
      </c>
      <c r="AA152" s="777" t="str">
        <f>vlookup(F152,'2) Tracker'!$A$3:$R$504,18,false)</f>
        <v>BGN 19-20 Jan Nederland (delay)?</v>
      </c>
      <c r="AB152" s="777" t="str">
        <f>vlookup(F152,'2) Tracker'!$A$3:$Q$504,17,false)</f>
        <v/>
      </c>
      <c r="AC152" s="778"/>
      <c r="AD152" s="778">
        <f>VLOOKUP(F152,'2) Tracker'!$A$2:$BO$980,37,FALSE)</f>
        <v>46154</v>
      </c>
      <c r="AE152" s="778">
        <f>VLOOKUP(F152,'2) Tracker'!$A$2:$BO$980,40,FALSE)</f>
        <v>46155</v>
      </c>
      <c r="AF152" s="778" t="str">
        <f>VLOOKUP(F152,'2) Tracker'!$A$2:$BO$980,67,FALSE)</f>
        <v/>
      </c>
      <c r="AG152" s="778">
        <f>VLOOKUP(F152,'2) Tracker'!$A$2:$BO$980,34,FALSE)</f>
        <v>46131</v>
      </c>
      <c r="AH152" s="778" t="str">
        <f>VLOOKUP(F152,'2) Tracker'!$A$2:$BN$980,66,FALSE)</f>
        <v/>
      </c>
      <c r="AI152" s="778">
        <f>VLOOKUP(F152,'2) Tracker'!$A$2:$BO$980,56,FALSE)</f>
        <v>46123</v>
      </c>
      <c r="AJ152" s="778">
        <f>VLOOKUP(F152,'2) Tracker'!$A$2:$BO$980,52,FALSE)</f>
        <v>46126.5</v>
      </c>
      <c r="AK152" s="778">
        <f>VLOOKUP(F152,'2) Tracker'!$A$2:$AQ$980,43,FALSE)</f>
        <v>46141</v>
      </c>
      <c r="AL152" s="778">
        <f>VLOOKUP(F152,'2) Tracker'!$A$2:$BH$980,46,FALSE())</f>
        <v>46149</v>
      </c>
      <c r="AM152" s="778">
        <f>VLOOKUP(F152,'2) Tracker'!$A$2:$BO$980,65,FALSE())</f>
        <v>46134</v>
      </c>
      <c r="AN152" s="778">
        <f>VLOOKUP(F152,'2) Tracker'!$A$2:$BK$980,63,FALSE())</f>
        <v>46159</v>
      </c>
      <c r="AO152" s="778" t="str">
        <f>VLOOKUP(F152,'2) Tracker'!$A$2:$BF$980,58,FALSE())</f>
        <v/>
      </c>
      <c r="AP152" s="52"/>
      <c r="AQ152" s="52"/>
      <c r="AR152" s="52"/>
      <c r="AS152" s="52"/>
      <c r="AT152" s="52"/>
      <c r="AU152" s="52"/>
      <c r="AV152" s="52"/>
      <c r="AW152" s="52"/>
      <c r="AX152" s="52"/>
      <c r="AY152" s="52"/>
      <c r="AZ152" s="787"/>
      <c r="BA152" s="786" t="str">
        <f>vlookup(AZ152,'Iran, FS'!$A$1:$B$318,2, false)</f>
        <v>#N/A</v>
      </c>
      <c r="BB152" s="787" t="str">
        <f>vlookup(AZ152,'1) Kpler'!$E$2:$F$500,2,false)</f>
        <v>#N/A</v>
      </c>
      <c r="BC152" s="788"/>
      <c r="BD152" s="787"/>
      <c r="BE152" s="52"/>
      <c r="BF152" s="52"/>
      <c r="BG152" s="787"/>
      <c r="BH152" s="787"/>
      <c r="BI152" s="787"/>
      <c r="BJ152" s="787"/>
    </row>
    <row r="153">
      <c r="B153" s="765" t="str">
        <f>vlookup(F153,'2) Tracker'!$A$3:$O$410,5,false)</f>
        <v/>
      </c>
      <c r="C153" s="765" t="str">
        <f>vlookup(F153,'2) Tracker'!$A$3:$O$410,4,false)</f>
        <v/>
      </c>
      <c r="D153" s="734"/>
      <c r="E153" s="734" t="str">
        <f>vlookup(F153,'2) Tracker'!$A$3:$O$406,15,false)</f>
        <v/>
      </c>
      <c r="F153" s="788" t="s">
        <v>411</v>
      </c>
      <c r="G153" s="789">
        <f>VLOOKUP(F153,'2) Tracker'!$A$2:$BO$360,2,FALSE)</f>
        <v>2023</v>
      </c>
      <c r="H153" s="768">
        <f>VLOOKUP(F153,'2) Tracker'!$A$2:$BO$360,3,FALSE)</f>
        <v>84000</v>
      </c>
      <c r="I153" s="770" t="str">
        <f>VLOOKUP(F153,'2) Tracker'!$A$2:$BO$360,9,FALSE)</f>
        <v>Astomos</v>
      </c>
      <c r="J153" s="770" t="str">
        <f>VLOOKUP(F153,'2) Tracker'!$A$2:$BO$360,12,FALSE)</f>
        <v>Balboa</v>
      </c>
      <c r="K153" s="774">
        <f t="shared" ref="K153:O153" si="199">AD153</f>
        <v>46154</v>
      </c>
      <c r="L153" s="774" t="str">
        <f t="shared" si="199"/>
        <v/>
      </c>
      <c r="M153" s="771" t="str">
        <f t="shared" si="199"/>
        <v/>
      </c>
      <c r="N153" s="772" t="str">
        <f t="shared" si="199"/>
        <v/>
      </c>
      <c r="O153" s="772" t="str">
        <f t="shared" si="199"/>
        <v/>
      </c>
      <c r="P153" s="773" t="str">
        <f>iferror(if(vlookup(F153,'Voyage days'!$M$808:$N$819,2,false),"GOA",""),"")</f>
        <v/>
      </c>
      <c r="Q153" s="771" t="str">
        <f t="shared" si="81"/>
        <v/>
      </c>
      <c r="R153" s="771" t="str">
        <f t="shared" si="83"/>
        <v/>
      </c>
      <c r="S153" s="774" t="str">
        <f t="shared" si="5"/>
        <v/>
      </c>
      <c r="T153" s="771" t="str">
        <f t="shared" si="6"/>
        <v/>
      </c>
      <c r="U153" s="771" t="str">
        <f t="shared" si="84"/>
        <v/>
      </c>
      <c r="V153" s="771"/>
      <c r="W153" s="771" t="str">
        <f t="shared" si="85"/>
        <v/>
      </c>
      <c r="X153" s="775" t="str">
        <f t="shared" si="9"/>
        <v/>
      </c>
      <c r="Y153" s="776"/>
      <c r="Z153" s="777" t="str">
        <f>vlookup(F153,'2) Tracker'!$A$3:$Q$504,16,false)</f>
        <v>ETA Balboa 01 May</v>
      </c>
      <c r="AA153" s="777" t="str">
        <f>vlookup(F153,'2) Tracker'!$A$3:$R$504,18,false)</f>
        <v>Marathon 22-23 Feb Freeport</v>
      </c>
      <c r="AB153" s="777" t="str">
        <f>vlookup(F153,'2) Tracker'!$A$3:$Q$504,17,false)</f>
        <v/>
      </c>
      <c r="AC153" s="778"/>
      <c r="AD153" s="778">
        <f>VLOOKUP(F153,'2) Tracker'!$A$2:$BO$980,37,FALSE)</f>
        <v>46154</v>
      </c>
      <c r="AE153" s="778" t="str">
        <f>VLOOKUP(F153,'2) Tracker'!$A$2:$BO$980,40,FALSE)</f>
        <v/>
      </c>
      <c r="AF153" s="778" t="str">
        <f>VLOOKUP(F153,'2) Tracker'!$A$2:$BO$980,67,FALSE)</f>
        <v/>
      </c>
      <c r="AG153" s="778" t="str">
        <f>VLOOKUP(F153,'2) Tracker'!$A$2:$BO$980,34,FALSE)</f>
        <v/>
      </c>
      <c r="AH153" s="778" t="str">
        <f>VLOOKUP(F153,'2) Tracker'!$A$2:$BN$980,66,FALSE)</f>
        <v/>
      </c>
      <c r="AI153" s="778" t="str">
        <f>VLOOKUP(F153,'2) Tracker'!$A$2:$BO$980,56,FALSE)</f>
        <v/>
      </c>
      <c r="AJ153" s="778" t="str">
        <f>VLOOKUP(F153,'2) Tracker'!$A$2:$BO$980,52,FALSE)</f>
        <v/>
      </c>
      <c r="AK153" s="778" t="str">
        <f>VLOOKUP(F153,'2) Tracker'!$A$2:$AQ$980,43,FALSE)</f>
        <v/>
      </c>
      <c r="AL153" s="778" t="str">
        <f>VLOOKUP(F153,'2) Tracker'!$A$2:$BH$980,46,FALSE())</f>
        <v/>
      </c>
      <c r="AM153" s="778" t="str">
        <f>VLOOKUP(F153,'2) Tracker'!$A$2:$BO$980,65,FALSE())</f>
        <v/>
      </c>
      <c r="AN153" s="778" t="str">
        <f>VLOOKUP(F153,'2) Tracker'!$A$2:$BK$980,63,FALSE())</f>
        <v/>
      </c>
      <c r="AO153" s="778" t="str">
        <f>VLOOKUP(F153,'2) Tracker'!$A$2:$BF$980,58,FALSE())</f>
        <v/>
      </c>
      <c r="AP153" s="52"/>
      <c r="AQ153" s="52"/>
      <c r="AR153" s="52"/>
      <c r="AS153" s="52"/>
      <c r="AT153" s="52"/>
      <c r="AU153" s="52"/>
      <c r="AV153" s="52"/>
      <c r="AW153" s="52"/>
      <c r="AX153" s="52"/>
      <c r="AY153" s="52"/>
      <c r="AZ153" s="787"/>
      <c r="BA153" s="786" t="str">
        <f>vlookup(AZ153,'Iran, FS'!$A$1:$B$318,2, false)</f>
        <v>#N/A</v>
      </c>
      <c r="BB153" s="787" t="str">
        <f>vlookup(AZ153,'1) Kpler'!$E$2:$F$500,2,false)</f>
        <v>#N/A</v>
      </c>
      <c r="BC153" s="788"/>
      <c r="BD153" s="787"/>
      <c r="BE153" s="52"/>
      <c r="BF153" s="52"/>
      <c r="BG153" s="787"/>
      <c r="BH153" s="787"/>
      <c r="BI153" s="787"/>
      <c r="BJ153" s="787"/>
    </row>
    <row r="154">
      <c r="B154" s="765" t="str">
        <f>vlookup(F154,'2) Tracker'!$A$3:$O$410,5,false)</f>
        <v>C</v>
      </c>
      <c r="C154" s="765" t="str">
        <f>vlookup(F154,'2) Tracker'!$A$3:$O$410,4,false)</f>
        <v>US</v>
      </c>
      <c r="D154" s="734"/>
      <c r="E154" s="734" t="str">
        <f>vlookup(F154,'2) Tracker'!$A$3:$O$406,15,false)</f>
        <v>eu</v>
      </c>
      <c r="F154" s="788" t="s">
        <v>410</v>
      </c>
      <c r="G154" s="789">
        <f>VLOOKUP(F154,'2) Tracker'!$A$2:$BO$360,2,FALSE)</f>
        <v>2023</v>
      </c>
      <c r="H154" s="768">
        <f>VLOOKUP(F154,'2) Tracker'!$A$2:$BO$360,3,FALSE)</f>
        <v>91000</v>
      </c>
      <c r="I154" s="769" t="str">
        <f>VLOOKUP(F154,'2) Tracker'!$A$2:$BO$360,9,FALSE)</f>
        <v>BGN</v>
      </c>
      <c r="J154" s="770" t="str">
        <f>VLOOKUP(F154,'2) Tracker'!$A$2:$BO$360,12,FALSE)</f>
        <v>Suez</v>
      </c>
      <c r="K154" s="771">
        <f t="shared" ref="K154:O154" si="200">AD154</f>
        <v>46155</v>
      </c>
      <c r="L154" s="771">
        <f t="shared" si="200"/>
        <v>46158</v>
      </c>
      <c r="M154" s="771" t="str">
        <f t="shared" si="200"/>
        <v/>
      </c>
      <c r="N154" s="771">
        <f t="shared" si="200"/>
        <v>46146</v>
      </c>
      <c r="O154" s="772" t="str">
        <f t="shared" si="200"/>
        <v/>
      </c>
      <c r="P154" s="773" t="str">
        <f>iferror(if(vlookup(F154,'Voyage days'!$M$808:$N$819,2,false),"GOA",""),"")</f>
        <v/>
      </c>
      <c r="Q154" s="771">
        <f t="shared" si="81"/>
        <v>46138</v>
      </c>
      <c r="R154" s="771">
        <f t="shared" si="83"/>
        <v>46138.5</v>
      </c>
      <c r="S154" s="774">
        <f t="shared" si="5"/>
        <v>46145</v>
      </c>
      <c r="T154" s="771">
        <f t="shared" si="6"/>
        <v>46152</v>
      </c>
      <c r="U154" s="771" t="str">
        <f t="shared" si="84"/>
        <v/>
      </c>
      <c r="V154" s="771"/>
      <c r="W154" s="771" t="str">
        <f t="shared" si="85"/>
        <v/>
      </c>
      <c r="X154" s="775" t="str">
        <f t="shared" si="9"/>
        <v/>
      </c>
      <c r="Y154" s="776"/>
      <c r="Z154" s="777" t="str">
        <f>vlookup(F154,'2) Tracker'!$A$3:$Q$504,16,false)</f>
        <v>ETA Ain Sukhna 18 Apr</v>
      </c>
      <c r="AA154" s="777" t="str">
        <f>vlookup(F154,'2) Tracker'!$A$3:$R$504,18,false)</f>
        <v>BGN 27-28 Mar Nederland</v>
      </c>
      <c r="AB154" s="777" t="str">
        <f>vlookup(F154,'2) Tracker'!$A$3:$Q$504,17,false)</f>
        <v/>
      </c>
      <c r="AC154" s="778"/>
      <c r="AD154" s="778">
        <f>VLOOKUP(F154,'2) Tracker'!$A$2:$BO$980,37,FALSE)</f>
        <v>46155</v>
      </c>
      <c r="AE154" s="778">
        <f>VLOOKUP(F154,'2) Tracker'!$A$2:$BO$980,40,FALSE)</f>
        <v>46158</v>
      </c>
      <c r="AF154" s="778" t="str">
        <f>VLOOKUP(F154,'2) Tracker'!$A$2:$BO$980,67,FALSE)</f>
        <v/>
      </c>
      <c r="AG154" s="778">
        <f>VLOOKUP(F154,'2) Tracker'!$A$2:$BO$980,34,FALSE)</f>
        <v>46146</v>
      </c>
      <c r="AH154" s="778" t="str">
        <f>VLOOKUP(F154,'2) Tracker'!$A$2:$BN$980,66,FALSE)</f>
        <v/>
      </c>
      <c r="AI154" s="778" t="str">
        <f>VLOOKUP(F154,'2) Tracker'!$A$2:$BO$980,56,FALSE)</f>
        <v/>
      </c>
      <c r="AJ154" s="778" t="str">
        <f>VLOOKUP(F154,'2) Tracker'!$A$2:$BO$980,52,FALSE)</f>
        <v/>
      </c>
      <c r="AK154" s="778">
        <f>VLOOKUP(F154,'2) Tracker'!$A$2:$AQ$980,43,FALSE)</f>
        <v>46152</v>
      </c>
      <c r="AL154" s="778">
        <f>VLOOKUP(F154,'2) Tracker'!$A$2:$BH$980,46,FALSE())</f>
        <v>46145</v>
      </c>
      <c r="AM154" s="778">
        <f>VLOOKUP(F154,'2) Tracker'!$A$2:$BO$980,65,FALSE())</f>
        <v>46138</v>
      </c>
      <c r="AN154" s="778">
        <f>VLOOKUP(F154,'2) Tracker'!$A$2:$BK$980,63,FALSE())</f>
        <v>46138.5</v>
      </c>
      <c r="AO154" s="778" t="str">
        <f>VLOOKUP(F154,'2) Tracker'!$A$2:$BF$980,58,FALSE())</f>
        <v/>
      </c>
      <c r="AP154" s="52"/>
      <c r="AQ154" s="52"/>
      <c r="AR154" s="52"/>
      <c r="AS154" s="52"/>
      <c r="AT154" s="52"/>
      <c r="AU154" s="52"/>
      <c r="AV154" s="52"/>
      <c r="AW154" s="52"/>
      <c r="AX154" s="52"/>
      <c r="AY154" s="52"/>
      <c r="AZ154" s="734"/>
      <c r="BA154" s="740"/>
      <c r="BB154" s="734"/>
      <c r="BC154" s="740"/>
      <c r="BD154" s="734"/>
      <c r="BE154" s="52"/>
      <c r="BF154" s="52"/>
      <c r="BG154" s="734"/>
      <c r="BH154" s="734"/>
      <c r="BI154" s="734"/>
      <c r="BJ154" s="734"/>
    </row>
    <row r="155">
      <c r="B155" s="765" t="str">
        <f>vlookup(F155,'2) Tracker'!$A$3:$O$410,5,false)</f>
        <v/>
      </c>
      <c r="C155" s="765" t="str">
        <f>vlookup(F155,'2) Tracker'!$A$3:$O$410,4,false)</f>
        <v/>
      </c>
      <c r="D155" s="734"/>
      <c r="E155" s="734" t="str">
        <f>vlookup(F155,'2) Tracker'!$A$3:$O$406,15,false)</f>
        <v/>
      </c>
      <c r="F155" s="798" t="s">
        <v>1355</v>
      </c>
      <c r="G155" s="789">
        <f>VLOOKUP(F155,'2) Tracker'!$A$2:$BO$360,2,FALSE)</f>
        <v>2015</v>
      </c>
      <c r="H155" s="768">
        <f>VLOOKUP(F155,'2) Tracker'!$A$2:$BO$360,3,FALSE)</f>
        <v>83000</v>
      </c>
      <c r="I155" s="770" t="str">
        <f>VLOOKUP(F155,'2) Tracker'!$A$2:$BO$360,9,FALSE)</f>
        <v>BW</v>
      </c>
      <c r="J155" s="770" t="str">
        <f>VLOOKUP(F155,'2) Tracker'!$A$2:$BO$360,12,FALSE)</f>
        <v>Balboa</v>
      </c>
      <c r="K155" s="771">
        <f t="shared" ref="K155:O155" si="201">AD155</f>
        <v>46155</v>
      </c>
      <c r="L155" s="774" t="str">
        <f t="shared" si="201"/>
        <v/>
      </c>
      <c r="M155" s="771" t="str">
        <f t="shared" si="201"/>
        <v/>
      </c>
      <c r="N155" s="771" t="str">
        <f t="shared" si="201"/>
        <v/>
      </c>
      <c r="O155" s="772" t="str">
        <f t="shared" si="201"/>
        <v/>
      </c>
      <c r="P155" s="773" t="str">
        <f>iferror(if(vlookup(F155,'Voyage days'!$M$808:$N$819,2,false),"GOA",""),"")</f>
        <v/>
      </c>
      <c r="Q155" s="771" t="str">
        <f t="shared" si="81"/>
        <v/>
      </c>
      <c r="R155" s="774" t="str">
        <f t="shared" si="83"/>
        <v/>
      </c>
      <c r="S155" s="774" t="str">
        <f t="shared" si="5"/>
        <v/>
      </c>
      <c r="T155" s="771" t="str">
        <f t="shared" si="6"/>
        <v/>
      </c>
      <c r="U155" s="774" t="str">
        <f t="shared" si="84"/>
        <v/>
      </c>
      <c r="V155" s="771"/>
      <c r="W155" s="771" t="str">
        <f t="shared" si="85"/>
        <v/>
      </c>
      <c r="X155" s="775" t="str">
        <f t="shared" si="9"/>
        <v/>
      </c>
      <c r="Y155" s="784" t="s">
        <v>1565</v>
      </c>
      <c r="Z155" s="777" t="str">
        <f>vlookup(F155,'2) Tracker'!$A$3:$Q$504,16,false)</f>
        <v>ETA Balboa 02 May</v>
      </c>
      <c r="AA155" s="777" t="str">
        <f>vlookup(F155,'2) Tracker'!$A$3:$R$504,18,false)</f>
        <v>Altagas 16-17 Mar RIPET</v>
      </c>
      <c r="AB155" s="777" t="str">
        <f>vlookup(F155,'2) Tracker'!$A$3:$Q$504,17,false)</f>
        <v/>
      </c>
      <c r="AC155" s="778"/>
      <c r="AD155" s="778">
        <f>VLOOKUP(F155,'2) Tracker'!$A$2:$BO$980,37,FALSE)</f>
        <v>46155</v>
      </c>
      <c r="AE155" s="778" t="str">
        <f>VLOOKUP(F155,'2) Tracker'!$A$2:$BO$980,40,FALSE)</f>
        <v/>
      </c>
      <c r="AF155" s="778" t="str">
        <f>VLOOKUP(F155,'2) Tracker'!$A$2:$BO$980,67,FALSE)</f>
        <v/>
      </c>
      <c r="AG155" s="778" t="str">
        <f>VLOOKUP(F155,'2) Tracker'!$A$2:$BO$980,34,FALSE)</f>
        <v/>
      </c>
      <c r="AH155" s="778" t="str">
        <f>VLOOKUP(F155,'2) Tracker'!$A$2:$BN$980,66,FALSE)</f>
        <v/>
      </c>
      <c r="AI155" s="778" t="str">
        <f>VLOOKUP(F155,'2) Tracker'!$A$2:$BO$980,56,FALSE)</f>
        <v/>
      </c>
      <c r="AJ155" s="778" t="str">
        <f>VLOOKUP(F155,'2) Tracker'!$A$2:$BO$980,52,FALSE)</f>
        <v/>
      </c>
      <c r="AK155" s="778" t="str">
        <f>VLOOKUP(F155,'2) Tracker'!$A$2:$AQ$980,43,FALSE)</f>
        <v/>
      </c>
      <c r="AL155" s="778" t="str">
        <f>VLOOKUP(F155,'2) Tracker'!$A$2:$BH$980,46,FALSE())</f>
        <v/>
      </c>
      <c r="AM155" s="778" t="str">
        <f>VLOOKUP(F155,'2) Tracker'!$A$2:$BO$980,65,FALSE())</f>
        <v/>
      </c>
      <c r="AN155" s="778" t="str">
        <f>VLOOKUP(F155,'2) Tracker'!$A$2:$BK$980,63,FALSE())</f>
        <v/>
      </c>
      <c r="AO155" s="778" t="str">
        <f>VLOOKUP(F155,'2) Tracker'!$A$2:$BF$980,58,FALSE())</f>
        <v/>
      </c>
      <c r="AP155" s="52"/>
      <c r="AQ155" s="52"/>
      <c r="AR155" s="52"/>
      <c r="AS155" s="52"/>
      <c r="AT155" s="52"/>
      <c r="AU155" s="52"/>
      <c r="AV155" s="52"/>
      <c r="AW155" s="52"/>
      <c r="AX155" s="52"/>
      <c r="AY155" s="52"/>
      <c r="AZ155" s="787"/>
      <c r="BA155" s="786" t="str">
        <f>vlookup(AZ155,'Iran, FS'!$A$1:$B$318,2, false)</f>
        <v>#N/A</v>
      </c>
      <c r="BB155" s="787" t="str">
        <f>vlookup(AZ155,'1) Kpler'!$E$2:$F$500,2,false)</f>
        <v>#N/A</v>
      </c>
      <c r="BC155" s="788"/>
      <c r="BD155" s="787"/>
      <c r="BE155" s="52"/>
      <c r="BF155" s="52"/>
      <c r="BG155" s="787"/>
      <c r="BH155" s="787"/>
      <c r="BI155" s="787"/>
      <c r="BJ155" s="787"/>
    </row>
    <row r="156" ht="14.25" customHeight="1">
      <c r="B156" s="765" t="str">
        <f>vlookup(F156,'2) Tracker'!$A$3:$O$410,5,false)</f>
        <v/>
      </c>
      <c r="C156" s="765" t="str">
        <f>vlookup(F156,'2) Tracker'!$A$3:$O$410,4,false)</f>
        <v/>
      </c>
      <c r="D156" s="734"/>
      <c r="E156" s="734" t="str">
        <f>vlookup(F156,'2) Tracker'!$A$3:$O$406,15,false)</f>
        <v>R?</v>
      </c>
      <c r="F156" s="788" t="s">
        <v>367</v>
      </c>
      <c r="G156" s="805">
        <f>VLOOKUP(F156,'2) Tracker'!$A$2:$BO$360,2,FALSE)</f>
        <v>2023</v>
      </c>
      <c r="H156" s="768">
        <f>VLOOKUP(F156,'2) Tracker'!$A$2:$BO$360,3,FALSE)</f>
        <v>93000</v>
      </c>
      <c r="I156" s="777" t="str">
        <f>VLOOKUP(F156,'2) Tracker'!$A$2:$BO$360,9,FALSE)</f>
        <v>Petredec</v>
      </c>
      <c r="J156" s="770" t="str">
        <f>VLOOKUP(F156,'2) Tracker'!$A$2:$BO$360,12,FALSE)</f>
        <v>loads USG</v>
      </c>
      <c r="K156" s="771">
        <f t="shared" ref="K156:O156" si="202">AD156</f>
        <v>46156</v>
      </c>
      <c r="L156" s="771">
        <f t="shared" si="202"/>
        <v>46156</v>
      </c>
      <c r="M156" s="771">
        <f t="shared" si="202"/>
        <v>46188</v>
      </c>
      <c r="N156" s="771" t="str">
        <f t="shared" si="202"/>
        <v/>
      </c>
      <c r="O156" s="772" t="str">
        <f t="shared" si="202"/>
        <v/>
      </c>
      <c r="P156" s="773" t="str">
        <f>iferror(if(vlookup(F156,'Voyage days'!$M$808:$N$819,2,false),"GOA",""),"")</f>
        <v/>
      </c>
      <c r="Q156" s="771" t="str">
        <f t="shared" si="81"/>
        <v/>
      </c>
      <c r="R156" s="774" t="str">
        <f t="shared" si="83"/>
        <v/>
      </c>
      <c r="S156" s="774">
        <f t="shared" si="5"/>
        <v>46176</v>
      </c>
      <c r="T156" s="771" t="str">
        <f t="shared" si="6"/>
        <v/>
      </c>
      <c r="U156" s="774" t="str">
        <f t="shared" si="84"/>
        <v/>
      </c>
      <c r="V156" s="774"/>
      <c r="W156" s="774" t="str">
        <f t="shared" si="85"/>
        <v/>
      </c>
      <c r="X156" s="775" t="str">
        <f t="shared" si="9"/>
        <v/>
      </c>
      <c r="Y156" s="795"/>
      <c r="Z156" s="777" t="str">
        <f>vlookup(F156,'2) Tracker'!$A$3:$Q$504,16,false)</f>
        <v>ETA Balboa 28 Apr</v>
      </c>
      <c r="AA156" s="777" t="str">
        <f>vlookup(F156,'2) Tracker'!$A$3:$R$504,18,false)</f>
        <v>Petredec 14-15 May USG</v>
      </c>
      <c r="AB156" s="777" t="str">
        <f>vlookup(F156,'2) Tracker'!$A$3:$Q$504,17,false)</f>
        <v/>
      </c>
      <c r="AC156" s="778"/>
      <c r="AD156" s="778">
        <f>VLOOKUP(F156,'2) Tracker'!$A$2:$BO$980,37,FALSE)</f>
        <v>46156</v>
      </c>
      <c r="AE156" s="778">
        <f>VLOOKUP(F156,'2) Tracker'!$A$2:$BO$980,40,FALSE)</f>
        <v>46156</v>
      </c>
      <c r="AF156" s="778">
        <f>VLOOKUP(F156,'2) Tracker'!$A$2:$BO$980,67,FALSE)</f>
        <v>46188</v>
      </c>
      <c r="AG156" s="778" t="str">
        <f>VLOOKUP(F156,'2) Tracker'!$A$2:$BO$980,34,FALSE)</f>
        <v/>
      </c>
      <c r="AH156" s="778" t="str">
        <f>VLOOKUP(F156,'2) Tracker'!$A$2:$BN$980,66,FALSE)</f>
        <v/>
      </c>
      <c r="AI156" s="778" t="str">
        <f>VLOOKUP(F156,'2) Tracker'!$A$2:$BO$980,56,FALSE)</f>
        <v/>
      </c>
      <c r="AJ156" s="778" t="str">
        <f>VLOOKUP(F156,'2) Tracker'!$A$2:$BO$980,52,FALSE)</f>
        <v/>
      </c>
      <c r="AK156" s="778" t="str">
        <f>VLOOKUP(F156,'2) Tracker'!$A$2:$AQ$980,43,FALSE)</f>
        <v/>
      </c>
      <c r="AL156" s="778">
        <f>VLOOKUP(F156,'2) Tracker'!$A$2:$BH$980,46,FALSE())</f>
        <v>46176</v>
      </c>
      <c r="AM156" s="778" t="str">
        <f>VLOOKUP(F156,'2) Tracker'!$A$2:$BO$980,65,FALSE())</f>
        <v/>
      </c>
      <c r="AN156" s="778" t="str">
        <f>VLOOKUP(F156,'2) Tracker'!$A$2:$BK$980,63,FALSE())</f>
        <v/>
      </c>
      <c r="AO156" s="778" t="str">
        <f>VLOOKUP(F156,'2) Tracker'!$A$2:$BF$980,58,FALSE())</f>
        <v/>
      </c>
      <c r="AP156" s="52"/>
      <c r="AQ156" s="52"/>
      <c r="AR156" s="52"/>
      <c r="AS156" s="52"/>
      <c r="AT156" s="52"/>
      <c r="AU156" s="52"/>
      <c r="AV156" s="52"/>
      <c r="AW156" s="52"/>
      <c r="AX156" s="52"/>
      <c r="AY156" s="52"/>
      <c r="AZ156" s="787"/>
      <c r="BA156" s="786" t="str">
        <f>vlookup(AZ156,'Iran, FS'!$A$1:$B$318,2, false)</f>
        <v>#N/A</v>
      </c>
      <c r="BB156" s="787" t="str">
        <f>vlookup(AZ156,'1) Kpler'!$E$2:$F$500,2,false)</f>
        <v>#N/A</v>
      </c>
      <c r="BC156" s="788"/>
      <c r="BD156" s="787"/>
      <c r="BE156" s="52"/>
      <c r="BF156" s="52"/>
      <c r="BG156" s="787"/>
      <c r="BH156" s="787"/>
      <c r="BI156" s="787"/>
      <c r="BJ156" s="787"/>
    </row>
    <row r="157">
      <c r="B157" s="765" t="str">
        <f>vlookup(F157,'2) Tracker'!$A$3:$O$410,5,false)</f>
        <v>C</v>
      </c>
      <c r="C157" s="765" t="str">
        <f>vlookup(F157,'2) Tracker'!$A$3:$O$410,4,false)</f>
        <v/>
      </c>
      <c r="D157" s="734"/>
      <c r="E157" s="734" t="str">
        <f>vlookup(F157,'2) Tracker'!$A$3:$O$406,15,false)</f>
        <v/>
      </c>
      <c r="F157" s="788" t="s">
        <v>433</v>
      </c>
      <c r="G157" s="789">
        <f>VLOOKUP(F157,'2) Tracker'!$A$2:$BO$360,2,FALSE)</f>
        <v>2024</v>
      </c>
      <c r="H157" s="768">
        <f>VLOOKUP(F157,'2) Tracker'!$A$2:$BO$360,3,FALSE)</f>
        <v>93000</v>
      </c>
      <c r="I157" s="777" t="str">
        <f>VLOOKUP(F157,'2) Tracker'!$A$2:$BO$360,9,FALSE)</f>
        <v>OE</v>
      </c>
      <c r="J157" s="770" t="str">
        <f>VLOOKUP(F157,'2) Tracker'!$A$2:$BO$360,12,FALSE)</f>
        <v>Singapore ballast</v>
      </c>
      <c r="K157" s="771">
        <f t="shared" ref="K157:O157" si="203">AD157</f>
        <v>46156</v>
      </c>
      <c r="L157" s="771">
        <f t="shared" si="203"/>
        <v>46157</v>
      </c>
      <c r="M157" s="771" t="str">
        <f t="shared" si="203"/>
        <v/>
      </c>
      <c r="N157" s="771">
        <f t="shared" si="203"/>
        <v>46133</v>
      </c>
      <c r="O157" s="772" t="str">
        <f t="shared" si="203"/>
        <v/>
      </c>
      <c r="P157" s="773" t="str">
        <f>iferror(if(vlookup(F157,'Voyage days'!$M$808:$N$819,2,false),"GOA",""),"")</f>
        <v/>
      </c>
      <c r="Q157" s="771">
        <f t="shared" si="81"/>
        <v>46136</v>
      </c>
      <c r="R157" s="771">
        <f t="shared" si="83"/>
        <v>46160</v>
      </c>
      <c r="S157" s="774">
        <f t="shared" si="5"/>
        <v>46151</v>
      </c>
      <c r="T157" s="771">
        <f t="shared" si="6"/>
        <v>46143</v>
      </c>
      <c r="U157" s="771">
        <f t="shared" si="84"/>
        <v>46123</v>
      </c>
      <c r="V157" s="771"/>
      <c r="W157" s="771">
        <f t="shared" si="85"/>
        <v>46128.25</v>
      </c>
      <c r="X157" s="775" t="str">
        <f t="shared" si="9"/>
        <v/>
      </c>
      <c r="Y157" s="776"/>
      <c r="Z157" s="777" t="str">
        <f>vlookup(F157,'2) Tracker'!$A$3:$Q$504,16,false)</f>
        <v>Ex Singapore 11 Apr, ETA USG 21 May</v>
      </c>
      <c r="AA157" s="777" t="str">
        <f>vlookup(F157,'2) Tracker'!$A$3:$R$504,18,false)</f>
        <v>ATC 18-19 Feb USG</v>
      </c>
      <c r="AB157" s="777" t="str">
        <f>vlookup(F157,'2) Tracker'!$A$3:$Q$504,17,false)</f>
        <v/>
      </c>
      <c r="AC157" s="778"/>
      <c r="AD157" s="778">
        <f>VLOOKUP(F157,'2) Tracker'!$A$2:$BO$980,37,FALSE)</f>
        <v>46156</v>
      </c>
      <c r="AE157" s="778">
        <f>VLOOKUP(F157,'2) Tracker'!$A$2:$BO$980,40,FALSE)</f>
        <v>46157</v>
      </c>
      <c r="AF157" s="778" t="str">
        <f>VLOOKUP(F157,'2) Tracker'!$A$2:$BO$980,67,FALSE)</f>
        <v/>
      </c>
      <c r="AG157" s="778">
        <f>VLOOKUP(F157,'2) Tracker'!$A$2:$BO$980,34,FALSE)</f>
        <v>46133</v>
      </c>
      <c r="AH157" s="778" t="str">
        <f>VLOOKUP(F157,'2) Tracker'!$A$2:$BN$980,66,FALSE)</f>
        <v/>
      </c>
      <c r="AI157" s="778">
        <f>VLOOKUP(F157,'2) Tracker'!$A$2:$BO$980,56,FALSE)</f>
        <v>46123</v>
      </c>
      <c r="AJ157" s="778">
        <f>VLOOKUP(F157,'2) Tracker'!$A$2:$BO$980,52,FALSE)</f>
        <v>46128.25</v>
      </c>
      <c r="AK157" s="778">
        <f>VLOOKUP(F157,'2) Tracker'!$A$2:$AQ$980,43,FALSE)</f>
        <v>46143</v>
      </c>
      <c r="AL157" s="778">
        <f>VLOOKUP(F157,'2) Tracker'!$A$2:$BH$980,46,FALSE())</f>
        <v>46151</v>
      </c>
      <c r="AM157" s="778">
        <f>VLOOKUP(F157,'2) Tracker'!$A$2:$BO$980,65,FALSE())</f>
        <v>46136</v>
      </c>
      <c r="AN157" s="778">
        <f>VLOOKUP(F157,'2) Tracker'!$A$2:$BK$980,63,FALSE())</f>
        <v>46160</v>
      </c>
      <c r="AO157" s="778" t="str">
        <f>VLOOKUP(F157,'2) Tracker'!$A$2:$BF$980,58,FALSE())</f>
        <v/>
      </c>
      <c r="AP157" s="52"/>
      <c r="AQ157" s="52"/>
      <c r="AR157" s="52"/>
      <c r="AS157" s="52"/>
      <c r="AT157" s="52"/>
      <c r="AU157" s="52"/>
      <c r="AV157" s="52"/>
      <c r="AW157" s="52"/>
      <c r="AX157" s="52"/>
      <c r="AY157" s="52"/>
      <c r="AZ157" s="734"/>
      <c r="BA157" s="786" t="str">
        <f>vlookup(AZ157,'Iran, FS'!$A$1:$B$318,2, false)</f>
        <v>#N/A</v>
      </c>
      <c r="BB157" s="787" t="str">
        <f>vlookup(AZ157,'1) Kpler'!$E$2:$F$500,2,false)</f>
        <v>#N/A</v>
      </c>
      <c r="BC157" s="740"/>
      <c r="BD157" s="734"/>
      <c r="BE157" s="52"/>
      <c r="BF157" s="52"/>
      <c r="BG157" s="734"/>
      <c r="BH157" s="734"/>
      <c r="BI157" s="734"/>
      <c r="BJ157" s="734"/>
    </row>
    <row r="158">
      <c r="B158" s="834"/>
      <c r="C158" s="765" t="str">
        <f>vlookup(F158,'2) Tracker'!$A$3:$O$410,4,false)</f>
        <v/>
      </c>
      <c r="D158" s="732" t="s">
        <v>1515</v>
      </c>
      <c r="E158" s="734" t="str">
        <f>vlookup(F158,'2) Tracker'!$A$3:$O$406,15,false)</f>
        <v/>
      </c>
      <c r="F158" s="797" t="s">
        <v>221</v>
      </c>
      <c r="G158" s="783">
        <f>VLOOKUP(F158,'2) Tracker'!$A$2:$BO$360,2,FALSE)</f>
        <v>43709</v>
      </c>
      <c r="H158" s="768">
        <f>VLOOKUP(F158,'2) Tracker'!$A$2:$BO$360,3,FALSE)</f>
        <v>80000</v>
      </c>
      <c r="I158" s="777" t="str">
        <f>VLOOKUP(F158,'2) Tracker'!$A$2:$BO$360,9,FALSE)</f>
        <v>Trafigura</v>
      </c>
      <c r="J158" s="770" t="str">
        <f>VLOOKUP(F158,'2) Tracker'!$A$2:$BO$360,12,FALSE)</f>
        <v>Balboa</v>
      </c>
      <c r="K158" s="771">
        <f t="shared" ref="K158:O158" si="204">AD158</f>
        <v>46156</v>
      </c>
      <c r="L158" s="771" t="str">
        <f t="shared" si="204"/>
        <v/>
      </c>
      <c r="M158" s="771" t="str">
        <f t="shared" si="204"/>
        <v/>
      </c>
      <c r="N158" s="771" t="str">
        <f t="shared" si="204"/>
        <v/>
      </c>
      <c r="O158" s="772" t="str">
        <f t="shared" si="204"/>
        <v/>
      </c>
      <c r="P158" s="773" t="str">
        <f>iferror(if(vlookup(F158,'Voyage days'!$M$808:$N$819,2,false),"GOA",""),"")</f>
        <v/>
      </c>
      <c r="Q158" s="771" t="str">
        <f t="shared" si="81"/>
        <v/>
      </c>
      <c r="R158" s="771" t="str">
        <f t="shared" si="83"/>
        <v/>
      </c>
      <c r="S158" s="774" t="str">
        <f t="shared" si="5"/>
        <v/>
      </c>
      <c r="T158" s="771" t="str">
        <f t="shared" si="6"/>
        <v/>
      </c>
      <c r="U158" s="771" t="str">
        <f t="shared" si="84"/>
        <v/>
      </c>
      <c r="V158" s="745" t="s">
        <v>1523</v>
      </c>
      <c r="W158" s="771" t="str">
        <f t="shared" si="85"/>
        <v/>
      </c>
      <c r="X158" s="775" t="str">
        <f t="shared" si="9"/>
        <v/>
      </c>
      <c r="Y158" s="795" t="s">
        <v>1532</v>
      </c>
      <c r="Z158" s="777" t="str">
        <f>vlookup(F158,'2) Tracker'!$A$3:$Q$504,16,false)</f>
        <v>ETA Balboa 3 May</v>
      </c>
      <c r="AA158" s="777" t="str">
        <f>vlookup(F158,'2) Tracker'!$A$3:$R$504,18,false)</f>
        <v>Trafi 24-25 Jan USG</v>
      </c>
      <c r="AB158" s="777" t="str">
        <f>vlookup(F158,'2) Tracker'!$A$3:$Q$504,17,false)</f>
        <v/>
      </c>
      <c r="AC158" s="778"/>
      <c r="AD158" s="778">
        <f>VLOOKUP(F158,'2) Tracker'!$A$2:$BO$980,37,FALSE)</f>
        <v>46156</v>
      </c>
      <c r="AE158" s="778" t="str">
        <f>VLOOKUP(F158,'2) Tracker'!$A$2:$BO$980,40,FALSE)</f>
        <v/>
      </c>
      <c r="AF158" s="778" t="str">
        <f>VLOOKUP(F158,'2) Tracker'!$A$2:$BO$980,67,FALSE)</f>
        <v/>
      </c>
      <c r="AG158" s="778" t="str">
        <f>VLOOKUP(F158,'2) Tracker'!$A$2:$BO$980,34,FALSE)</f>
        <v/>
      </c>
      <c r="AH158" s="778" t="str">
        <f>VLOOKUP(F158,'2) Tracker'!$A$2:$BN$980,66,FALSE)</f>
        <v/>
      </c>
      <c r="AI158" s="778" t="str">
        <f>VLOOKUP(F158,'2) Tracker'!$A$2:$BO$980,56,FALSE)</f>
        <v/>
      </c>
      <c r="AJ158" s="778" t="str">
        <f>VLOOKUP(F158,'2) Tracker'!$A$2:$BO$980,52,FALSE)</f>
        <v/>
      </c>
      <c r="AK158" s="778" t="str">
        <f>VLOOKUP(F158,'2) Tracker'!$A$2:$AQ$980,43,FALSE)</f>
        <v/>
      </c>
      <c r="AL158" s="778" t="str">
        <f>VLOOKUP(F158,'2) Tracker'!$A$2:$BH$980,46,FALSE())</f>
        <v/>
      </c>
      <c r="AM158" s="778" t="str">
        <f>VLOOKUP(F158,'2) Tracker'!$A$2:$BO$980,65,FALSE())</f>
        <v/>
      </c>
      <c r="AN158" s="778" t="str">
        <f>VLOOKUP(F158,'2) Tracker'!$A$2:$BK$980,63,FALSE())</f>
        <v/>
      </c>
      <c r="AO158" s="778" t="str">
        <f>VLOOKUP(F158,'2) Tracker'!$A$2:$BF$980,58,FALSE())</f>
        <v/>
      </c>
      <c r="AP158" s="52"/>
      <c r="AQ158" s="52"/>
      <c r="AR158" s="52"/>
      <c r="AS158" s="52"/>
      <c r="AT158" s="52"/>
      <c r="AU158" s="52"/>
      <c r="AV158" s="52"/>
      <c r="AW158" s="52"/>
      <c r="AX158" s="52"/>
      <c r="AY158" s="52"/>
      <c r="AZ158" s="734"/>
      <c r="BA158" s="786" t="str">
        <f>vlookup(AZ158,'Iran, FS'!$A$1:$B$318,2, false)</f>
        <v>#N/A</v>
      </c>
      <c r="BB158" s="787" t="str">
        <f>vlookup(AZ158,'1) Kpler'!$E$2:$F$500,2,false)</f>
        <v>#N/A</v>
      </c>
      <c r="BC158" s="740"/>
      <c r="BD158" s="734"/>
      <c r="BE158" s="52"/>
      <c r="BF158" s="52"/>
      <c r="BG158" s="734"/>
      <c r="BH158" s="734"/>
      <c r="BI158" s="734"/>
      <c r="BJ158" s="734"/>
    </row>
    <row r="159">
      <c r="B159" s="765" t="str">
        <f>vlookup(F159,'2) Tracker'!$A$3:$O$410,5,false)</f>
        <v/>
      </c>
      <c r="C159" s="765" t="str">
        <f>vlookup(F159,'2) Tracker'!$A$3:$O$410,4,false)</f>
        <v/>
      </c>
      <c r="D159" s="732" t="s">
        <v>1515</v>
      </c>
      <c r="E159" s="734"/>
      <c r="F159" s="797" t="s">
        <v>63</v>
      </c>
      <c r="G159" s="783">
        <f>VLOOKUP(F159,'2) Tracker'!$A$2:$BO$360,2,FALSE)</f>
        <v>2026</v>
      </c>
      <c r="H159" s="768">
        <f>VLOOKUP(F159,'2) Tracker'!$A$2:$BO$360,3,FALSE)</f>
        <v>87000</v>
      </c>
      <c r="I159" s="769" t="str">
        <f>VLOOKUP(F159,'2) Tracker'!$A$2:$BO$360,9,FALSE)</f>
        <v>Chevron</v>
      </c>
      <c r="J159" s="770" t="str">
        <f>VLOOKUP(F159,'2) Tracker'!$A$2:$BO$360,12,FALSE)</f>
        <v>Balboa</v>
      </c>
      <c r="K159" s="771">
        <f t="shared" ref="K159:O159" si="205">AD159</f>
        <v>46156</v>
      </c>
      <c r="L159" s="771" t="str">
        <f t="shared" si="205"/>
        <v/>
      </c>
      <c r="M159" s="771" t="str">
        <f t="shared" si="205"/>
        <v/>
      </c>
      <c r="N159" s="771" t="str">
        <f t="shared" si="205"/>
        <v/>
      </c>
      <c r="O159" s="772" t="str">
        <f t="shared" si="205"/>
        <v/>
      </c>
      <c r="P159" s="773" t="str">
        <f>iferror(if(vlookup(F159,'Voyage days'!$M$808:$N$819,2,false),"GOA",""),"")</f>
        <v/>
      </c>
      <c r="Q159" s="771" t="str">
        <f t="shared" si="81"/>
        <v/>
      </c>
      <c r="R159" s="771" t="str">
        <f t="shared" si="83"/>
        <v/>
      </c>
      <c r="S159" s="774" t="str">
        <f t="shared" si="5"/>
        <v/>
      </c>
      <c r="T159" s="771" t="str">
        <f t="shared" si="6"/>
        <v/>
      </c>
      <c r="U159" s="771" t="str">
        <f t="shared" si="84"/>
        <v/>
      </c>
      <c r="V159" s="745" t="s">
        <v>1523</v>
      </c>
      <c r="W159" s="771" t="str">
        <f t="shared" si="85"/>
        <v/>
      </c>
      <c r="X159" s="775" t="str">
        <f t="shared" si="9"/>
        <v/>
      </c>
      <c r="Y159" s="795"/>
      <c r="Z159" s="777" t="str">
        <f>vlookup(F159,'2) Tracker'!$A$3:$Q$504,16,false)</f>
        <v>ETA Balboa 03 May</v>
      </c>
      <c r="AA159" s="777" t="str">
        <f>vlookup(F159,'2) Tracker'!$A$3:$R$504,18,false)</f>
        <v>Chevron 03-04 Mar Enterprise</v>
      </c>
      <c r="AB159" s="777" t="str">
        <f>vlookup(F159,'2) Tracker'!$A$3:$Q$504,17,false)</f>
        <v/>
      </c>
      <c r="AC159" s="778"/>
      <c r="AD159" s="778">
        <f>VLOOKUP(F159,'2) Tracker'!$A$2:$BO$980,37,FALSE)</f>
        <v>46156</v>
      </c>
      <c r="AE159" s="778" t="str">
        <f>VLOOKUP(F159,'2) Tracker'!$A$2:$BO$980,40,FALSE)</f>
        <v/>
      </c>
      <c r="AF159" s="778" t="str">
        <f>VLOOKUP(F159,'2) Tracker'!$A$2:$BO$980,67,FALSE)</f>
        <v/>
      </c>
      <c r="AG159" s="778" t="str">
        <f>VLOOKUP(F159,'2) Tracker'!$A$2:$BO$980,34,FALSE)</f>
        <v/>
      </c>
      <c r="AH159" s="778" t="str">
        <f>VLOOKUP(F159,'2) Tracker'!$A$2:$BN$980,66,FALSE)</f>
        <v/>
      </c>
      <c r="AI159" s="778" t="str">
        <f>VLOOKUP(F159,'2) Tracker'!$A$2:$BO$980,56,FALSE)</f>
        <v/>
      </c>
      <c r="AJ159" s="778" t="str">
        <f>VLOOKUP(F159,'2) Tracker'!$A$2:$BO$980,52,FALSE)</f>
        <v/>
      </c>
      <c r="AK159" s="778" t="str">
        <f>VLOOKUP(F159,'2) Tracker'!$A$2:$AQ$980,43,FALSE)</f>
        <v/>
      </c>
      <c r="AL159" s="778" t="str">
        <f>VLOOKUP(F159,'2) Tracker'!$A$2:$BH$980,46,FALSE())</f>
        <v/>
      </c>
      <c r="AM159" s="778" t="str">
        <f>VLOOKUP(F159,'2) Tracker'!$A$2:$BO$980,65,FALSE())</f>
        <v/>
      </c>
      <c r="AN159" s="778" t="str">
        <f>VLOOKUP(F159,'2) Tracker'!$A$2:$BK$980,63,FALSE())</f>
        <v/>
      </c>
      <c r="AO159" s="778" t="str">
        <f>VLOOKUP(F159,'2) Tracker'!$A$2:$BF$980,58,FALSE())</f>
        <v/>
      </c>
      <c r="AP159" s="52"/>
      <c r="AQ159" s="52"/>
      <c r="AR159" s="52"/>
      <c r="AS159" s="52"/>
      <c r="AT159" s="52"/>
      <c r="AU159" s="52"/>
      <c r="AV159" s="835" t="s">
        <v>1510</v>
      </c>
      <c r="AW159" s="52"/>
      <c r="AX159" s="52"/>
      <c r="AY159" s="52"/>
      <c r="AZ159" s="787"/>
      <c r="BA159" s="786" t="str">
        <f>vlookup(AZ159,'Iran, FS'!$A$1:$B$318,2, false)</f>
        <v>#N/A</v>
      </c>
      <c r="BB159" s="787" t="str">
        <f>vlookup(AZ159,'1) Kpler'!$E$2:$F$500,2,false)</f>
        <v>#N/A</v>
      </c>
      <c r="BC159" s="798" t="s">
        <v>1568</v>
      </c>
      <c r="BD159" s="52"/>
      <c r="BE159" s="52"/>
      <c r="BF159" s="52"/>
      <c r="BG159" s="803" t="s">
        <v>1466</v>
      </c>
      <c r="BH159" s="788" t="s">
        <v>1569</v>
      </c>
      <c r="BI159" s="787"/>
      <c r="BJ159" s="787"/>
    </row>
    <row r="160">
      <c r="B160" s="765" t="str">
        <f>vlookup(F160,'2) Tracker'!$A$3:$O$410,5,false)</f>
        <v/>
      </c>
      <c r="C160" s="765" t="str">
        <f>vlookup(F160,'2) Tracker'!$A$3:$O$410,4,false)</f>
        <v/>
      </c>
      <c r="D160" s="734"/>
      <c r="E160" s="734"/>
      <c r="F160" s="730" t="s">
        <v>298</v>
      </c>
      <c r="G160" s="820">
        <v>2026.0</v>
      </c>
      <c r="H160" s="821">
        <v>90964.0</v>
      </c>
      <c r="I160" s="836" t="s">
        <v>1227</v>
      </c>
      <c r="J160" s="770" t="str">
        <f>VLOOKUP(F160,'2) Tracker'!$A$2:$BO$360,12,FALSE)</f>
        <v>Balboa</v>
      </c>
      <c r="K160" s="771">
        <f t="shared" ref="K160:K339" si="207">AD160</f>
        <v>46156</v>
      </c>
      <c r="L160" s="827"/>
      <c r="N160" s="772" t="str">
        <f t="shared" ref="N160:O160" si="206">AG160</f>
        <v/>
      </c>
      <c r="O160" s="772" t="str">
        <f t="shared" si="206"/>
        <v/>
      </c>
      <c r="P160" s="773" t="str">
        <f>iferror(if(vlookup(F160,'Voyage days'!$M$808:$N$821,2,false),"GOA",""),"")</f>
        <v>GOA</v>
      </c>
      <c r="Q160" s="772" t="str">
        <f t="shared" si="81"/>
        <v/>
      </c>
      <c r="R160" s="774" t="str">
        <f t="shared" si="83"/>
        <v/>
      </c>
      <c r="S160" s="774" t="str">
        <f t="shared" si="5"/>
        <v/>
      </c>
      <c r="T160" s="771" t="str">
        <f t="shared" si="6"/>
        <v/>
      </c>
      <c r="U160" s="774" t="str">
        <f t="shared" si="84"/>
        <v/>
      </c>
      <c r="V160" s="802"/>
      <c r="W160" s="802" t="str">
        <f t="shared" si="85"/>
        <v/>
      </c>
      <c r="X160" s="775" t="str">
        <f t="shared" si="9"/>
        <v/>
      </c>
      <c r="Y160" s="796" t="s">
        <v>1561</v>
      </c>
      <c r="Z160" s="777" t="str">
        <f>vlookup(F160,'2) Tracker'!$A$3:$Q$504,16,false)</f>
        <v>ETA Balboa 03 May</v>
      </c>
      <c r="AA160" s="777" t="str">
        <f>vlookup(F160,'2) Tracker'!$A$3:$R$504,18,false)</f>
        <v>Petredec 14-15 May USG (2/2)</v>
      </c>
      <c r="AB160" s="777" t="str">
        <f>vlookup(F160,'2) Tracker'!$A$3:$Q$504,17,false)</f>
        <v/>
      </c>
      <c r="AC160" s="778"/>
      <c r="AD160" s="778">
        <f>VLOOKUP(F160,'2) Tracker'!$A$2:$BO$980,37,FALSE)</f>
        <v>46156</v>
      </c>
      <c r="AE160" s="778" t="str">
        <f>VLOOKUP(F160,'2) Tracker'!$A$2:$BO$980,40,FALSE)</f>
        <v/>
      </c>
      <c r="AF160" s="778" t="str">
        <f>VLOOKUP(F160,'2) Tracker'!$A$2:$BO$980,67,FALSE)</f>
        <v/>
      </c>
      <c r="AG160" s="778" t="str">
        <f>VLOOKUP(F160,'2) Tracker'!$A$2:$BO$980,34,FALSE)</f>
        <v/>
      </c>
      <c r="AH160" s="778" t="str">
        <f>VLOOKUP(F160,'2) Tracker'!$A$2:$BN$980,66,FALSE)</f>
        <v/>
      </c>
      <c r="AI160" s="778" t="str">
        <f>VLOOKUP(F160,'2) Tracker'!$A$2:$BO$980,56,FALSE)</f>
        <v/>
      </c>
      <c r="AJ160" s="778" t="str">
        <f>VLOOKUP(F160,'2) Tracker'!$A$2:$BO$980,52,FALSE)</f>
        <v/>
      </c>
      <c r="AK160" s="778" t="str">
        <f>VLOOKUP(F160,'2) Tracker'!$A$2:$AQ$980,43,FALSE)</f>
        <v/>
      </c>
      <c r="AL160" s="778" t="str">
        <f>VLOOKUP(F160,'2) Tracker'!$A$2:$BH$980,46,FALSE())</f>
        <v/>
      </c>
      <c r="AM160" s="778" t="str">
        <f>VLOOKUP(F160,'2) Tracker'!$A$2:$BO$980,65,FALSE())</f>
        <v/>
      </c>
      <c r="AN160" s="778" t="str">
        <f>VLOOKUP(F160,'2) Tracker'!$A$2:$BK$980,63,FALSE())</f>
        <v/>
      </c>
      <c r="AO160" s="778" t="str">
        <f>VLOOKUP(F160,'2) Tracker'!$A$2:$BF$980,58,FALSE())</f>
        <v/>
      </c>
      <c r="AP160" s="52"/>
      <c r="AQ160" s="52"/>
      <c r="AR160" s="52"/>
      <c r="AS160" s="52"/>
      <c r="AT160" s="52"/>
      <c r="AU160" s="52"/>
      <c r="AV160" s="52"/>
      <c r="AW160" s="52"/>
      <c r="AX160" s="52"/>
      <c r="AY160" s="52"/>
      <c r="AZ160" s="787"/>
      <c r="BA160" s="786" t="str">
        <f>vlookup(AZ160,'Iran, FS'!$A$1:$B$318,2, false)</f>
        <v>#N/A</v>
      </c>
      <c r="BB160" s="787" t="str">
        <f>vlookup(AZ160,'1) Kpler'!$E$2:$F$500,2,false)</f>
        <v>#N/A</v>
      </c>
      <c r="BC160" s="788"/>
      <c r="BD160" s="787"/>
      <c r="BE160" s="52"/>
      <c r="BF160" s="52"/>
      <c r="BG160" s="787"/>
      <c r="BH160" s="787"/>
      <c r="BI160" s="787"/>
      <c r="BJ160" s="787"/>
    </row>
    <row r="161">
      <c r="B161" s="765" t="str">
        <f>vlookup(F161,'2) Tracker'!$A$3:$O$410,5,false)</f>
        <v>C</v>
      </c>
      <c r="C161" s="765" t="str">
        <f>vlookup(F161,'2) Tracker'!$A$3:$O$410,4,false)</f>
        <v>US</v>
      </c>
      <c r="D161" s="734"/>
      <c r="E161" s="734" t="str">
        <f>vlookup(F161,'2) Tracker'!$A$3:$O$406,15,false)</f>
        <v/>
      </c>
      <c r="F161" s="788" t="s">
        <v>178</v>
      </c>
      <c r="G161" s="783">
        <f>VLOOKUP(F161,'2) Tracker'!$A$2:$BO$360,2,FALSE)</f>
        <v>2013</v>
      </c>
      <c r="H161" s="768">
        <f>VLOOKUP(F161,'2) Tracker'!$A$2:$BO$360,3,FALSE)</f>
        <v>84000</v>
      </c>
      <c r="I161" s="770" t="str">
        <f>VLOOKUP(F161,'2) Tracker'!$A$2:$BO$360,9,FALSE)</f>
        <v>Trafigura</v>
      </c>
      <c r="J161" s="770" t="str">
        <f>VLOOKUP(F161,'2) Tracker'!$A$2:$BO$360,12,FALSE)</f>
        <v>loads USG</v>
      </c>
      <c r="K161" s="774">
        <f t="shared" si="207"/>
        <v>46157</v>
      </c>
      <c r="L161" s="774">
        <f t="shared" ref="L161:O161" si="208">AE161</f>
        <v>46157</v>
      </c>
      <c r="M161" s="771">
        <f t="shared" si="208"/>
        <v>46189</v>
      </c>
      <c r="N161" s="771" t="str">
        <f t="shared" si="208"/>
        <v/>
      </c>
      <c r="O161" s="772" t="str">
        <f t="shared" si="208"/>
        <v/>
      </c>
      <c r="P161" s="773" t="str">
        <f>iferror(if(vlookup(F161,'Voyage days'!$M$808:$N$819,2,false),"GOA",""),"")</f>
        <v/>
      </c>
      <c r="Q161" s="771" t="str">
        <f t="shared" si="81"/>
        <v/>
      </c>
      <c r="R161" s="774" t="str">
        <f t="shared" si="83"/>
        <v/>
      </c>
      <c r="S161" s="774">
        <f t="shared" si="5"/>
        <v>46177</v>
      </c>
      <c r="T161" s="771" t="str">
        <f t="shared" si="6"/>
        <v/>
      </c>
      <c r="U161" s="774" t="str">
        <f t="shared" si="84"/>
        <v/>
      </c>
      <c r="V161" s="771"/>
      <c r="W161" s="771" t="str">
        <f t="shared" si="85"/>
        <v/>
      </c>
      <c r="X161" s="775" t="str">
        <f t="shared" si="9"/>
        <v/>
      </c>
      <c r="Y161" s="796" t="s">
        <v>1561</v>
      </c>
      <c r="Z161" s="777" t="str">
        <f>vlookup(F161,'2) Tracker'!$A$3:$Q$504,16,false)</f>
        <v>ETA Balboa 22 Apr</v>
      </c>
      <c r="AA161" s="777" t="str">
        <f>vlookup(F161,'2) Tracker'!$A$3:$R$504,18,false)</f>
        <v>Gunvor 15-16 May USG</v>
      </c>
      <c r="AB161" s="777" t="str">
        <f>vlookup(F161,'2) Tracker'!$A$3:$Q$504,17,false)</f>
        <v/>
      </c>
      <c r="AC161" s="778"/>
      <c r="AD161" s="778">
        <f>VLOOKUP(F161,'2) Tracker'!$A$2:$BO$980,37,FALSE)</f>
        <v>46157</v>
      </c>
      <c r="AE161" s="778">
        <f>VLOOKUP(F161,'2) Tracker'!$A$2:$BO$980,40,FALSE)</f>
        <v>46157</v>
      </c>
      <c r="AF161" s="778">
        <f>VLOOKUP(F161,'2) Tracker'!$A$2:$BO$980,67,FALSE)</f>
        <v>46189</v>
      </c>
      <c r="AG161" s="778" t="str">
        <f>VLOOKUP(F161,'2) Tracker'!$A$2:$BO$980,34,FALSE)</f>
        <v/>
      </c>
      <c r="AH161" s="778" t="str">
        <f>VLOOKUP(F161,'2) Tracker'!$A$2:$BN$980,66,FALSE)</f>
        <v/>
      </c>
      <c r="AI161" s="778" t="str">
        <f>VLOOKUP(F161,'2) Tracker'!$A$2:$BO$980,56,FALSE)</f>
        <v/>
      </c>
      <c r="AJ161" s="778" t="str">
        <f>VLOOKUP(F161,'2) Tracker'!$A$2:$BO$980,52,FALSE)</f>
        <v/>
      </c>
      <c r="AK161" s="778" t="str">
        <f>VLOOKUP(F161,'2) Tracker'!$A$2:$AQ$980,43,FALSE)</f>
        <v/>
      </c>
      <c r="AL161" s="778">
        <f>VLOOKUP(F161,'2) Tracker'!$A$2:$BH$980,46,FALSE())</f>
        <v>46177</v>
      </c>
      <c r="AM161" s="778" t="str">
        <f>VLOOKUP(F161,'2) Tracker'!$A$2:$BO$980,65,FALSE())</f>
        <v/>
      </c>
      <c r="AN161" s="778" t="str">
        <f>VLOOKUP(F161,'2) Tracker'!$A$2:$BK$980,63,FALSE())</f>
        <v/>
      </c>
      <c r="AO161" s="778" t="str">
        <f>VLOOKUP(F161,'2) Tracker'!$A$2:$BF$980,58,FALSE())</f>
        <v/>
      </c>
      <c r="AP161" s="837"/>
      <c r="AQ161" s="837"/>
      <c r="AR161" s="52"/>
      <c r="AS161" s="52"/>
      <c r="AT161" s="52"/>
      <c r="AU161" s="52"/>
      <c r="AV161" s="52"/>
      <c r="AW161" s="52"/>
      <c r="AX161" s="52"/>
      <c r="AY161" s="52"/>
      <c r="AZ161" s="734"/>
      <c r="BA161" s="786" t="str">
        <f>vlookup(AZ161,'Iran, FS'!$A$1:$B$318,2, false)</f>
        <v>#N/A</v>
      </c>
      <c r="BB161" s="787" t="str">
        <f>vlookup(AZ161,'1) Kpler'!$E$2:$F$500,2,false)</f>
        <v>#N/A</v>
      </c>
      <c r="BC161" s="740"/>
      <c r="BD161" s="734"/>
      <c r="BE161" s="52"/>
      <c r="BF161" s="52"/>
      <c r="BG161" s="734"/>
      <c r="BH161" s="734"/>
      <c r="BI161" s="734"/>
      <c r="BJ161" s="734"/>
    </row>
    <row r="162">
      <c r="B162" s="765" t="str">
        <f>vlookup(F162,'2) Tracker'!$A$3:$O$410,5,false)</f>
        <v/>
      </c>
      <c r="C162" s="765" t="str">
        <f>vlookup(F162,'2) Tracker'!$A$3:$O$410,4,false)</f>
        <v>US</v>
      </c>
      <c r="D162" s="734"/>
      <c r="E162" s="734" t="str">
        <f>vlookup(F162,'2) Tracker'!$A$3:$O$406,15,false)</f>
        <v/>
      </c>
      <c r="F162" s="740" t="s">
        <v>531</v>
      </c>
      <c r="G162" s="783">
        <f>VLOOKUP(F162,'2) Tracker'!$A$2:$BO$360,2,FALSE)</f>
        <v>42389</v>
      </c>
      <c r="H162" s="768">
        <f>VLOOKUP(F162,'2) Tracker'!$A$2:$BO$360,3,FALSE)</f>
        <v>84000</v>
      </c>
      <c r="I162" s="777" t="str">
        <f>VLOOKUP(F162,'2) Tracker'!$A$2:$BO$360,9,FALSE)</f>
        <v>Helios</v>
      </c>
      <c r="J162" s="770" t="str">
        <f>VLOOKUP(F162,'2) Tracker'!$A$2:$BO$360,12,FALSE)</f>
        <v>loads USG</v>
      </c>
      <c r="K162" s="771">
        <f t="shared" si="207"/>
        <v>46157</v>
      </c>
      <c r="L162" s="771">
        <f t="shared" ref="L162:O162" si="209">AE162</f>
        <v>46157</v>
      </c>
      <c r="M162" s="771">
        <f t="shared" si="209"/>
        <v>46189</v>
      </c>
      <c r="N162" s="771" t="str">
        <f t="shared" si="209"/>
        <v/>
      </c>
      <c r="O162" s="772" t="str">
        <f t="shared" si="209"/>
        <v/>
      </c>
      <c r="P162" s="773" t="str">
        <f>iferror(if(vlookup(F162,'Voyage days'!$M$808:$N$819,2,false),"GOA",""),"")</f>
        <v/>
      </c>
      <c r="Q162" s="771" t="str">
        <f t="shared" si="81"/>
        <v/>
      </c>
      <c r="R162" s="771" t="str">
        <f t="shared" si="83"/>
        <v/>
      </c>
      <c r="S162" s="774">
        <f t="shared" si="5"/>
        <v>46177</v>
      </c>
      <c r="T162" s="774" t="str">
        <f t="shared" si="6"/>
        <v/>
      </c>
      <c r="U162" s="771" t="str">
        <f t="shared" si="84"/>
        <v/>
      </c>
      <c r="V162" s="745"/>
      <c r="W162" s="771" t="str">
        <f t="shared" si="85"/>
        <v/>
      </c>
      <c r="X162" s="775" t="str">
        <f t="shared" si="9"/>
        <v/>
      </c>
      <c r="Y162" s="804" t="s">
        <v>1570</v>
      </c>
      <c r="Z162" s="777" t="str">
        <f>vlookup(F162,'2) Tracker'!$A$3:$Q$504,16,false)</f>
        <v>ETA Balboa 05 May</v>
      </c>
      <c r="AA162" s="777" t="str">
        <f>vlookup(F162,'2) Tracker'!$A$3:$R$504,18,false)</f>
        <v>BASF 15-16 May USG</v>
      </c>
      <c r="AB162" s="777" t="str">
        <f>vlookup(F162,'2) Tracker'!$A$3:$Q$504,17,false)</f>
        <v/>
      </c>
      <c r="AC162" s="778"/>
      <c r="AD162" s="778">
        <f>VLOOKUP(F162,'2) Tracker'!$A$2:$BO$980,37,FALSE)</f>
        <v>46157</v>
      </c>
      <c r="AE162" s="778">
        <f>VLOOKUP(F162,'2) Tracker'!$A$2:$BO$980,40,FALSE)</f>
        <v>46157</v>
      </c>
      <c r="AF162" s="778">
        <f>VLOOKUP(F162,'2) Tracker'!$A$2:$BO$980,67,FALSE)</f>
        <v>46189</v>
      </c>
      <c r="AG162" s="778" t="str">
        <f>VLOOKUP(F162,'2) Tracker'!$A$2:$BO$980,34,FALSE)</f>
        <v/>
      </c>
      <c r="AH162" s="778" t="str">
        <f>VLOOKUP(F162,'2) Tracker'!$A$2:$BN$980,66,FALSE)</f>
        <v/>
      </c>
      <c r="AI162" s="778" t="str">
        <f>VLOOKUP(F162,'2) Tracker'!$A$2:$BO$980,56,FALSE)</f>
        <v/>
      </c>
      <c r="AJ162" s="778" t="str">
        <f>VLOOKUP(F162,'2) Tracker'!$A$2:$BO$980,52,FALSE)</f>
        <v/>
      </c>
      <c r="AK162" s="778" t="str">
        <f>VLOOKUP(F162,'2) Tracker'!$A$2:$AQ$980,43,FALSE)</f>
        <v/>
      </c>
      <c r="AL162" s="778">
        <f>VLOOKUP(F162,'2) Tracker'!$A$2:$BH$980,46,FALSE())</f>
        <v>46177</v>
      </c>
      <c r="AM162" s="778" t="str">
        <f>VLOOKUP(F162,'2) Tracker'!$A$2:$BO$980,65,FALSE())</f>
        <v/>
      </c>
      <c r="AN162" s="778" t="str">
        <f>VLOOKUP(F162,'2) Tracker'!$A$2:$BK$980,63,FALSE())</f>
        <v/>
      </c>
      <c r="AO162" s="778" t="str">
        <f>VLOOKUP(F162,'2) Tracker'!$A$2:$BF$980,58,FALSE())</f>
        <v/>
      </c>
      <c r="AP162" s="52"/>
      <c r="AQ162" s="52"/>
      <c r="AR162" s="52"/>
      <c r="AS162" s="52"/>
      <c r="AT162" s="52"/>
      <c r="AU162" s="52"/>
      <c r="AV162" s="52"/>
      <c r="AW162" s="52"/>
      <c r="AX162" s="52"/>
      <c r="AY162" s="52"/>
      <c r="AZ162" s="734"/>
      <c r="BA162" s="786" t="str">
        <f>vlookup(AZ162,'Iran, FS'!$A$1:$B$318,2, false)</f>
        <v>#N/A</v>
      </c>
      <c r="BB162" s="787" t="str">
        <f>vlookup(AZ162,'1) Kpler'!$E$2:$F$500,2,false)</f>
        <v>#N/A</v>
      </c>
      <c r="BC162" s="740"/>
      <c r="BD162" s="734"/>
      <c r="BE162" s="52"/>
      <c r="BF162" s="52"/>
      <c r="BG162" s="734"/>
      <c r="BH162" s="734"/>
      <c r="BI162" s="734"/>
      <c r="BJ162" s="734"/>
    </row>
    <row r="163">
      <c r="B163" s="765" t="str">
        <f>vlookup(F163,'2) Tracker'!$A$3:$O$410,5,false)</f>
        <v/>
      </c>
      <c r="C163" s="765" t="str">
        <f>vlookup(F163,'2) Tracker'!$A$3:$O$410,4,false)</f>
        <v/>
      </c>
      <c r="D163" s="734"/>
      <c r="E163" s="734" t="str">
        <f>vlookup(F163,'2) Tracker'!$A$3:$O$406,15,false)</f>
        <v/>
      </c>
      <c r="F163" s="788" t="s">
        <v>281</v>
      </c>
      <c r="G163" s="783">
        <f>VLOOKUP(F163,'2) Tracker'!$A$2:$BO$360,2,FALSE)</f>
        <v>39479</v>
      </c>
      <c r="H163" s="768">
        <f>VLOOKUP(F163,'2) Tracker'!$A$2:$BO$360,3,FALSE)</f>
        <v>82000</v>
      </c>
      <c r="I163" s="770" t="str">
        <f>VLOOKUP(F163,'2) Tracker'!$A$2:$BO$360,9,FALSE)</f>
        <v>Exxon</v>
      </c>
      <c r="J163" s="770" t="str">
        <f>VLOOKUP(F163,'2) Tracker'!$A$2:$BO$360,12,FALSE)</f>
        <v>loads USG</v>
      </c>
      <c r="K163" s="771">
        <f t="shared" si="207"/>
        <v>46157</v>
      </c>
      <c r="L163" s="771">
        <f t="shared" ref="L163:O163" si="210">AE163</f>
        <v>46157</v>
      </c>
      <c r="M163" s="771">
        <f t="shared" si="210"/>
        <v>46189</v>
      </c>
      <c r="N163" s="772" t="str">
        <f t="shared" si="210"/>
        <v/>
      </c>
      <c r="O163" s="772" t="str">
        <f t="shared" si="210"/>
        <v/>
      </c>
      <c r="P163" s="831" t="s">
        <v>1513</v>
      </c>
      <c r="Q163" s="772" t="str">
        <f t="shared" si="81"/>
        <v/>
      </c>
      <c r="R163" s="771" t="str">
        <f t="shared" si="83"/>
        <v/>
      </c>
      <c r="S163" s="774">
        <f t="shared" si="5"/>
        <v>46177</v>
      </c>
      <c r="T163" s="774" t="str">
        <f t="shared" si="6"/>
        <v/>
      </c>
      <c r="U163" s="771" t="str">
        <f t="shared" si="84"/>
        <v/>
      </c>
      <c r="V163" s="771"/>
      <c r="W163" s="771" t="str">
        <f t="shared" si="85"/>
        <v/>
      </c>
      <c r="X163" s="775" t="str">
        <f t="shared" si="9"/>
        <v/>
      </c>
      <c r="Y163" s="776" t="s">
        <v>1571</v>
      </c>
      <c r="Z163" s="777" t="str">
        <f>vlookup(F163,'2) Tracker'!$A$3:$Q$504,16,false)</f>
        <v>ETA Freeport 12 May via Cape</v>
      </c>
      <c r="AA163" s="777" t="str">
        <f>vlookup(F163,'2) Tracker'!$A$3:$R$504,18,false)</f>
        <v>SwissChemGas 15-16 May USG</v>
      </c>
      <c r="AB163" s="777" t="str">
        <f>vlookup(F163,'2) Tracker'!$A$3:$Q$504,17,false)</f>
        <v/>
      </c>
      <c r="AC163" s="778"/>
      <c r="AD163" s="778">
        <f>VLOOKUP(F163,'2) Tracker'!$A$2:$BO$980,37,FALSE)</f>
        <v>46157</v>
      </c>
      <c r="AE163" s="778">
        <f>VLOOKUP(F163,'2) Tracker'!$A$2:$BO$980,40,FALSE)</f>
        <v>46157</v>
      </c>
      <c r="AF163" s="778">
        <f>VLOOKUP(F163,'2) Tracker'!$A$2:$BO$980,67,FALSE)</f>
        <v>46189</v>
      </c>
      <c r="AG163" s="778" t="str">
        <f>VLOOKUP(F163,'2) Tracker'!$A$2:$BO$980,34,FALSE)</f>
        <v/>
      </c>
      <c r="AH163" s="778" t="str">
        <f>VLOOKUP(F163,'2) Tracker'!$A$2:$BN$980,66,FALSE)</f>
        <v/>
      </c>
      <c r="AI163" s="778" t="str">
        <f>VLOOKUP(F163,'2) Tracker'!$A$2:$BO$980,56,FALSE)</f>
        <v/>
      </c>
      <c r="AJ163" s="778" t="str">
        <f>VLOOKUP(F163,'2) Tracker'!$A$2:$BO$980,52,FALSE)</f>
        <v/>
      </c>
      <c r="AK163" s="778" t="str">
        <f>VLOOKUP(F163,'2) Tracker'!$A$2:$AQ$980,43,FALSE)</f>
        <v/>
      </c>
      <c r="AL163" s="778">
        <f>VLOOKUP(F163,'2) Tracker'!$A$2:$BH$980,46,FALSE())</f>
        <v>46177</v>
      </c>
      <c r="AM163" s="778" t="str">
        <f>VLOOKUP(F163,'2) Tracker'!$A$2:$BO$980,65,FALSE())</f>
        <v/>
      </c>
      <c r="AN163" s="778" t="str">
        <f>VLOOKUP(F163,'2) Tracker'!$A$2:$BK$980,63,FALSE())</f>
        <v/>
      </c>
      <c r="AO163" s="778" t="str">
        <f>VLOOKUP(F163,'2) Tracker'!$A$2:$BF$980,58,FALSE())</f>
        <v/>
      </c>
      <c r="AP163" s="52"/>
      <c r="AQ163" s="52"/>
      <c r="AR163" s="52"/>
      <c r="AS163" s="52"/>
      <c r="AT163" s="52"/>
      <c r="AU163" s="52"/>
      <c r="AV163" s="52"/>
      <c r="AW163" s="52"/>
      <c r="AX163" s="52"/>
      <c r="AY163" s="52"/>
      <c r="AZ163" s="787"/>
      <c r="BA163" s="786" t="str">
        <f>vlookup(AZ163,'Iran, FS'!$A$1:$B$318,2, false)</f>
        <v>#N/A</v>
      </c>
      <c r="BB163" s="787" t="str">
        <f>vlookup(AZ163,'1) Kpler'!$E$2:$F$500,2,false)</f>
        <v>#N/A</v>
      </c>
      <c r="BC163" s="788"/>
      <c r="BD163" s="787"/>
      <c r="BE163" s="52"/>
      <c r="BF163" s="52"/>
      <c r="BG163" s="787"/>
      <c r="BH163" s="787"/>
      <c r="BI163" s="787"/>
      <c r="BJ163" s="787"/>
    </row>
    <row r="164">
      <c r="B164" s="765" t="str">
        <f>vlookup(F164,'2) Tracker'!$A$3:$O$410,5,false)</f>
        <v/>
      </c>
      <c r="C164" s="765" t="str">
        <f>vlookup(F164,'2) Tracker'!$A$3:$O$410,4,false)</f>
        <v/>
      </c>
      <c r="D164" s="734"/>
      <c r="E164" s="734" t="str">
        <f>vlookup(F164,'2) Tracker'!$A$3:$O$406,15,false)</f>
        <v/>
      </c>
      <c r="F164" s="788" t="s">
        <v>1122</v>
      </c>
      <c r="G164" s="783">
        <f>VLOOKUP(F164,'2) Tracker'!$A$2:$BO$360,2,FALSE)</f>
        <v>42062</v>
      </c>
      <c r="H164" s="768">
        <f>VLOOKUP(F164,'2) Tracker'!$A$2:$BO$360,3,FALSE)</f>
        <v>84154</v>
      </c>
      <c r="I164" s="770" t="str">
        <f>VLOOKUP(F164,'2) Tracker'!$A$2:$BO$360,9,FALSE)</f>
        <v>Satellite</v>
      </c>
      <c r="J164" s="770" t="str">
        <f>VLOOKUP(F164,'2) Tracker'!$A$2:$BO$360,12,FALSE)</f>
        <v>loads USG</v>
      </c>
      <c r="K164" s="771">
        <f t="shared" si="207"/>
        <v>46157</v>
      </c>
      <c r="L164" s="771">
        <f t="shared" ref="L164:O164" si="211">AE164</f>
        <v>46157</v>
      </c>
      <c r="M164" s="771">
        <f t="shared" si="211"/>
        <v>46189</v>
      </c>
      <c r="N164" s="771" t="str">
        <f t="shared" si="211"/>
        <v/>
      </c>
      <c r="O164" s="772" t="str">
        <f t="shared" si="211"/>
        <v/>
      </c>
      <c r="P164" s="773" t="str">
        <f>iferror(if(vlookup(F164,'Voyage days'!$M$808:$N$819,2,false),"GOA",""),"")</f>
        <v/>
      </c>
      <c r="Q164" s="771" t="str">
        <f t="shared" si="81"/>
        <v/>
      </c>
      <c r="R164" s="771" t="str">
        <f t="shared" si="83"/>
        <v/>
      </c>
      <c r="S164" s="774">
        <f t="shared" si="5"/>
        <v>46177</v>
      </c>
      <c r="T164" s="771" t="str">
        <f t="shared" si="6"/>
        <v/>
      </c>
      <c r="U164" s="771" t="str">
        <f t="shared" si="84"/>
        <v/>
      </c>
      <c r="V164" s="771"/>
      <c r="W164" s="771" t="str">
        <f t="shared" si="85"/>
        <v/>
      </c>
      <c r="X164" s="775" t="str">
        <f t="shared" si="9"/>
        <v/>
      </c>
      <c r="Y164" s="784"/>
      <c r="Z164" s="777" t="str">
        <f>vlookup(F164,'2) Tracker'!$A$3:$Q$504,16,false)</f>
        <v>ETA 3rd port Tokyo Bay 13 Apr</v>
      </c>
      <c r="AA164" s="777" t="str">
        <f>vlookup(F164,'2) Tracker'!$A$3:$R$504,18,false)</f>
        <v>SK Gas 15-16 May USG</v>
      </c>
      <c r="AB164" s="777" t="str">
        <f>vlookup(F164,'2) Tracker'!$A$3:$Q$504,17,false)</f>
        <v>Has 18-19 May Ndl looking to swap for 22-25 May </v>
      </c>
      <c r="AC164" s="778"/>
      <c r="AD164" s="778">
        <f>VLOOKUP(F164,'2) Tracker'!$A$2:$BO$980,37,FALSE)</f>
        <v>46157</v>
      </c>
      <c r="AE164" s="778">
        <f>VLOOKUP(F164,'2) Tracker'!$A$2:$BO$980,40,FALSE)</f>
        <v>46157</v>
      </c>
      <c r="AF164" s="778">
        <f>VLOOKUP(F164,'2) Tracker'!$A$2:$BO$980,67,FALSE)</f>
        <v>46189</v>
      </c>
      <c r="AG164" s="778" t="str">
        <f>VLOOKUP(F164,'2) Tracker'!$A$2:$BO$980,34,FALSE)</f>
        <v/>
      </c>
      <c r="AH164" s="778" t="str">
        <f>VLOOKUP(F164,'2) Tracker'!$A$2:$BN$980,66,FALSE)</f>
        <v/>
      </c>
      <c r="AI164" s="778" t="str">
        <f>VLOOKUP(F164,'2) Tracker'!$A$2:$BO$980,56,FALSE)</f>
        <v/>
      </c>
      <c r="AJ164" s="778" t="str">
        <f>VLOOKUP(F164,'2) Tracker'!$A$2:$BO$980,52,FALSE)</f>
        <v/>
      </c>
      <c r="AK164" s="778" t="str">
        <f>VLOOKUP(F164,'2) Tracker'!$A$2:$AQ$980,43,FALSE)</f>
        <v/>
      </c>
      <c r="AL164" s="778">
        <f>VLOOKUP(F164,'2) Tracker'!$A$2:$BH$980,46,FALSE())</f>
        <v>46177</v>
      </c>
      <c r="AM164" s="778" t="str">
        <f>VLOOKUP(F164,'2) Tracker'!$A$2:$BO$980,65,FALSE())</f>
        <v/>
      </c>
      <c r="AN164" s="778" t="str">
        <f>VLOOKUP(F164,'2) Tracker'!$A$2:$BK$980,63,FALSE())</f>
        <v/>
      </c>
      <c r="AO164" s="778" t="str">
        <f>VLOOKUP(F164,'2) Tracker'!$A$2:$BF$980,58,FALSE())</f>
        <v/>
      </c>
      <c r="AP164" s="52"/>
      <c r="AQ164" s="52"/>
      <c r="AR164" s="52"/>
      <c r="AS164" s="52"/>
      <c r="AT164" s="52"/>
      <c r="AU164" s="52"/>
      <c r="AV164" s="52"/>
      <c r="AW164" s="52"/>
      <c r="AX164" s="52"/>
      <c r="AY164" s="52"/>
      <c r="AZ164" s="734"/>
      <c r="BA164" s="786" t="str">
        <f>vlookup(AZ164,'Iran, FS'!$A$1:$B$318,2, false)</f>
        <v>#N/A</v>
      </c>
      <c r="BB164" s="787" t="str">
        <f>vlookup(AZ164,'1) Kpler'!$E$2:$F$500,2,false)</f>
        <v>#N/A</v>
      </c>
      <c r="BC164" s="740"/>
      <c r="BD164" s="734"/>
      <c r="BE164" s="52"/>
      <c r="BF164" s="52"/>
      <c r="BG164" s="734"/>
      <c r="BH164" s="734"/>
      <c r="BI164" s="734"/>
      <c r="BJ164" s="734"/>
    </row>
    <row r="165">
      <c r="B165" s="765" t="str">
        <f>vlookup(F165,'2) Tracker'!$A$3:$O$410,5,false)</f>
        <v>C</v>
      </c>
      <c r="C165" s="765" t="str">
        <f>vlookup(F165,'2) Tracker'!$A$3:$O$410,4,false)</f>
        <v/>
      </c>
      <c r="D165" s="734"/>
      <c r="E165" s="734" t="str">
        <f>vlookup(F165,'2) Tracker'!$A$3:$O$406,15,false)</f>
        <v/>
      </c>
      <c r="F165" s="788" t="s">
        <v>472</v>
      </c>
      <c r="G165" s="783">
        <f>VLOOKUP(F165,'2) Tracker'!$A$2:$BO$360,2,FALSE)</f>
        <v>42535</v>
      </c>
      <c r="H165" s="768">
        <f>VLOOKUP(F165,'2) Tracker'!$A$2:$BO$360,3,FALSE)</f>
        <v>84000</v>
      </c>
      <c r="I165" s="770" t="s">
        <v>994</v>
      </c>
      <c r="J165" s="770" t="str">
        <f>VLOOKUP(F165,'2) Tracker'!$A$2:$BO$360,12,FALSE)</f>
        <v>loads USG</v>
      </c>
      <c r="K165" s="771">
        <f t="shared" si="207"/>
        <v>46157</v>
      </c>
      <c r="L165" s="771">
        <f t="shared" ref="L165:O165" si="212">AE165</f>
        <v>46157</v>
      </c>
      <c r="M165" s="771">
        <f t="shared" si="212"/>
        <v>46189</v>
      </c>
      <c r="N165" s="771" t="str">
        <f t="shared" si="212"/>
        <v/>
      </c>
      <c r="O165" s="772" t="str">
        <f t="shared" si="212"/>
        <v/>
      </c>
      <c r="P165" s="773" t="str">
        <f>iferror(if(vlookup(F165,'Voyage days'!$M$808:$N$819,2,false),"GOA",""),"")</f>
        <v/>
      </c>
      <c r="Q165" s="771" t="str">
        <f t="shared" si="81"/>
        <v/>
      </c>
      <c r="R165" s="774" t="str">
        <f t="shared" si="83"/>
        <v/>
      </c>
      <c r="S165" s="774">
        <f t="shared" si="5"/>
        <v>46177</v>
      </c>
      <c r="T165" s="771" t="str">
        <f t="shared" si="6"/>
        <v/>
      </c>
      <c r="U165" s="774" t="str">
        <f t="shared" si="84"/>
        <v/>
      </c>
      <c r="V165" s="771"/>
      <c r="W165" s="771" t="str">
        <f t="shared" si="85"/>
        <v/>
      </c>
      <c r="X165" s="775" t="str">
        <f t="shared" si="9"/>
        <v/>
      </c>
      <c r="Y165" s="776"/>
      <c r="Z165" s="777" t="str">
        <f>vlookup(F165,'2) Tracker'!$A$3:$Q$504,16,false)</f>
        <v>ETA Cape 23 Apr</v>
      </c>
      <c r="AA165" s="777" t="str">
        <f>vlookup(F165,'2) Tracker'!$A$3:$R$504,18,false)</f>
        <v>Itochu 15-16 May USG</v>
      </c>
      <c r="AB165" s="777" t="str">
        <f>vlookup(F165,'2) Tracker'!$A$3:$Q$504,17,false)</f>
        <v>Give out 2/2 15-16 May, Take back ~20 May</v>
      </c>
      <c r="AC165" s="778"/>
      <c r="AD165" s="778">
        <f>VLOOKUP(F165,'2) Tracker'!$A$2:$BO$980,37,FALSE)</f>
        <v>46157</v>
      </c>
      <c r="AE165" s="778">
        <f>VLOOKUP(F165,'2) Tracker'!$A$2:$BO$980,40,FALSE)</f>
        <v>46157</v>
      </c>
      <c r="AF165" s="778">
        <f>VLOOKUP(F165,'2) Tracker'!$A$2:$BO$980,67,FALSE)</f>
        <v>46189</v>
      </c>
      <c r="AG165" s="778" t="str">
        <f>VLOOKUP(F165,'2) Tracker'!$A$2:$BO$980,34,FALSE)</f>
        <v/>
      </c>
      <c r="AH165" s="778" t="str">
        <f>VLOOKUP(F165,'2) Tracker'!$A$2:$BN$980,66,FALSE)</f>
        <v/>
      </c>
      <c r="AI165" s="778" t="str">
        <f>VLOOKUP(F165,'2) Tracker'!$A$2:$BO$980,56,FALSE)</f>
        <v/>
      </c>
      <c r="AJ165" s="778" t="str">
        <f>VLOOKUP(F165,'2) Tracker'!$A$2:$BO$980,52,FALSE)</f>
        <v/>
      </c>
      <c r="AK165" s="778" t="str">
        <f>VLOOKUP(F165,'2) Tracker'!$A$2:$AQ$980,43,FALSE)</f>
        <v/>
      </c>
      <c r="AL165" s="778">
        <f>VLOOKUP(F165,'2) Tracker'!$A$2:$BH$980,46,FALSE())</f>
        <v>46177</v>
      </c>
      <c r="AM165" s="778" t="str">
        <f>VLOOKUP(F165,'2) Tracker'!$A$2:$BO$980,65,FALSE())</f>
        <v/>
      </c>
      <c r="AN165" s="778" t="str">
        <f>VLOOKUP(F165,'2) Tracker'!$A$2:$BK$980,63,FALSE())</f>
        <v/>
      </c>
      <c r="AO165" s="778" t="str">
        <f>VLOOKUP(F165,'2) Tracker'!$A$2:$BF$980,58,FALSE())</f>
        <v/>
      </c>
      <c r="AP165" s="52"/>
      <c r="AQ165" s="52"/>
      <c r="AR165" s="52"/>
      <c r="AS165" s="52"/>
      <c r="AT165" s="52"/>
      <c r="AU165" s="52"/>
      <c r="AV165" s="52"/>
      <c r="AW165" s="52"/>
      <c r="AX165" s="52"/>
      <c r="AY165" s="52"/>
      <c r="AZ165" s="734"/>
      <c r="BA165" s="786" t="str">
        <f>vlookup(AZ165,'Iran, FS'!$A$1:$B$318,2, false)</f>
        <v>#N/A</v>
      </c>
      <c r="BB165" s="787" t="str">
        <f>vlookup(AZ165,'1) Kpler'!$E$2:$F$500,2,false)</f>
        <v>#N/A</v>
      </c>
      <c r="BC165" s="740"/>
      <c r="BD165" s="734"/>
      <c r="BE165" s="52"/>
      <c r="BF165" s="52"/>
      <c r="BG165" s="734"/>
      <c r="BH165" s="734"/>
      <c r="BI165" s="734"/>
      <c r="BJ165" s="734"/>
    </row>
    <row r="166">
      <c r="B166" s="765" t="str">
        <f>vlookup(F166,'2) Tracker'!$A$3:$O$410,5,false)</f>
        <v/>
      </c>
      <c r="C166" s="765" t="str">
        <f>vlookup(F166,'2) Tracker'!$A$3:$O$410,4,false)</f>
        <v>US</v>
      </c>
      <c r="D166" s="734"/>
      <c r="E166" s="734" t="str">
        <f>vlookup(F166,'2) Tracker'!$A$3:$O$406,15,false)</f>
        <v>eu</v>
      </c>
      <c r="F166" s="766" t="s">
        <v>317</v>
      </c>
      <c r="G166" s="783">
        <f>VLOOKUP(F166,'2) Tracker'!$A$2:$BO$360,2,FALSE)</f>
        <v>2017</v>
      </c>
      <c r="H166" s="768">
        <f>VLOOKUP(F166,'2) Tracker'!$A$2:$BO$360,3,FALSE)</f>
        <v>83000</v>
      </c>
      <c r="I166" s="769" t="str">
        <f>VLOOKUP(F166,'2) Tracker'!$A$2:$BO$360,9,FALSE)</f>
        <v>Energy Transfer</v>
      </c>
      <c r="J166" s="770" t="str">
        <f>VLOOKUP(F166,'2) Tracker'!$A$2:$BO$360,12,FALSE)</f>
        <v>Eu</v>
      </c>
      <c r="K166" s="771">
        <f t="shared" si="207"/>
        <v>46157</v>
      </c>
      <c r="L166" s="771">
        <f t="shared" ref="L166:O166" si="213">AE166</f>
        <v>46158</v>
      </c>
      <c r="M166" s="771" t="str">
        <f t="shared" si="213"/>
        <v/>
      </c>
      <c r="N166" s="771" t="str">
        <f t="shared" si="213"/>
        <v/>
      </c>
      <c r="O166" s="772" t="str">
        <f t="shared" si="213"/>
        <v/>
      </c>
      <c r="P166" s="773" t="str">
        <f>iferror(if(vlookup(F166,'Voyage days'!$M$808:$N$819,2,false),"GOA",""),"")</f>
        <v/>
      </c>
      <c r="Q166" s="771">
        <f t="shared" si="81"/>
        <v>46144</v>
      </c>
      <c r="R166" s="771">
        <f t="shared" si="83"/>
        <v>46157</v>
      </c>
      <c r="S166" s="774">
        <f t="shared" si="5"/>
        <v>46145</v>
      </c>
      <c r="T166" s="771">
        <f t="shared" si="6"/>
        <v>46154</v>
      </c>
      <c r="U166" s="771" t="str">
        <f t="shared" si="84"/>
        <v/>
      </c>
      <c r="V166" s="745" t="s">
        <v>1523</v>
      </c>
      <c r="W166" s="771" t="str">
        <f t="shared" si="85"/>
        <v/>
      </c>
      <c r="X166" s="775" t="str">
        <f t="shared" si="9"/>
        <v/>
      </c>
      <c r="Y166" s="776"/>
      <c r="Z166" s="777" t="str">
        <f>vlookup(F166,'2) Tracker'!$A$3:$Q$504,16,false)</f>
        <v>ETA Stenungsund 26 Apr </v>
      </c>
      <c r="AA166" s="777" t="str">
        <f>vlookup(F166,'2) Tracker'!$A$3:$R$504,18,false)</f>
        <v>ET 06-07 Apr Nederland</v>
      </c>
      <c r="AB166" s="777" t="str">
        <f>vlookup(F166,'2) Tracker'!$A$3:$Q$504,17,false)</f>
        <v/>
      </c>
      <c r="AC166" s="778"/>
      <c r="AD166" s="778">
        <f>VLOOKUP(F166,'2) Tracker'!$A$2:$BO$980,37,FALSE)</f>
        <v>46157</v>
      </c>
      <c r="AE166" s="778">
        <f>VLOOKUP(F166,'2) Tracker'!$A$2:$BO$980,40,FALSE)</f>
        <v>46158</v>
      </c>
      <c r="AF166" s="778" t="str">
        <f>VLOOKUP(F166,'2) Tracker'!$A$2:$BO$980,67,FALSE)</f>
        <v/>
      </c>
      <c r="AG166" s="778" t="str">
        <f>VLOOKUP(F166,'2) Tracker'!$A$2:$BO$980,34,FALSE)</f>
        <v/>
      </c>
      <c r="AH166" s="778" t="str">
        <f>VLOOKUP(F166,'2) Tracker'!$A$2:$BN$980,66,FALSE)</f>
        <v/>
      </c>
      <c r="AI166" s="778" t="str">
        <f>VLOOKUP(F166,'2) Tracker'!$A$2:$BO$980,56,FALSE)</f>
        <v/>
      </c>
      <c r="AJ166" s="778" t="str">
        <f>VLOOKUP(F166,'2) Tracker'!$A$2:$BO$980,52,FALSE)</f>
        <v/>
      </c>
      <c r="AK166" s="778">
        <f>VLOOKUP(F166,'2) Tracker'!$A$2:$AQ$980,43,FALSE)</f>
        <v>46154</v>
      </c>
      <c r="AL166" s="778">
        <f>VLOOKUP(F166,'2) Tracker'!$A$2:$BH$980,46,FALSE())</f>
        <v>46145</v>
      </c>
      <c r="AM166" s="778">
        <f>VLOOKUP(F166,'2) Tracker'!$A$2:$BO$980,65,FALSE())</f>
        <v>46144</v>
      </c>
      <c r="AN166" s="778">
        <f>VLOOKUP(F166,'2) Tracker'!$A$2:$BK$980,63,FALSE())</f>
        <v>46157</v>
      </c>
      <c r="AO166" s="778" t="str">
        <f>VLOOKUP(F166,'2) Tracker'!$A$2:$BF$980,58,FALSE())</f>
        <v/>
      </c>
      <c r="AP166" s="52"/>
      <c r="AQ166" s="52"/>
      <c r="AR166" s="52"/>
      <c r="AS166" s="52"/>
      <c r="AT166" s="52"/>
      <c r="AU166" s="52"/>
      <c r="AV166" s="52"/>
      <c r="AW166" s="52"/>
      <c r="AX166" s="52"/>
      <c r="AY166" s="52"/>
      <c r="AZ166" s="787"/>
      <c r="BA166" s="786" t="str">
        <f>vlookup(AZ166,'Iran, FS'!$A$1:$B$318,2, false)</f>
        <v>#N/A</v>
      </c>
      <c r="BB166" s="787" t="str">
        <f>vlookup(AZ166,'1) Kpler'!$E$2:$F$500,2,false)</f>
        <v>#N/A</v>
      </c>
      <c r="BC166" s="788"/>
      <c r="BD166" s="787"/>
      <c r="BE166" s="52"/>
      <c r="BF166" s="52"/>
      <c r="BG166" s="787"/>
      <c r="BH166" s="787"/>
      <c r="BI166" s="787"/>
      <c r="BJ166" s="787"/>
    </row>
    <row r="167">
      <c r="B167" s="765" t="str">
        <f>vlookup(F167,'2) Tracker'!$A$3:$O$410,5,false)</f>
        <v>C</v>
      </c>
      <c r="C167" s="765" t="str">
        <f>vlookup(F167,'2) Tracker'!$A$3:$O$410,4,false)</f>
        <v/>
      </c>
      <c r="D167" s="734"/>
      <c r="E167" s="734" t="str">
        <f>vlookup(F167,'2) Tracker'!$A$3:$O$406,15,false)</f>
        <v>R?</v>
      </c>
      <c r="F167" s="788" t="s">
        <v>476</v>
      </c>
      <c r="G167" s="783">
        <f>VLOOKUP(F167,'2) Tracker'!$A$2:$BO$360,2,FALSE)</f>
        <v>42583</v>
      </c>
      <c r="H167" s="768">
        <f>VLOOKUP(F167,'2) Tracker'!$A$2:$BO$360,3,FALSE)</f>
        <v>84000</v>
      </c>
      <c r="I167" s="770" t="str">
        <f>VLOOKUP(F167,'2) Tracker'!$A$2:$BO$360,9,FALSE)</f>
        <v>Wanhua</v>
      </c>
      <c r="J167" s="770" t="str">
        <f>VLOOKUP(F167,'2) Tracker'!$A$2:$BO$360,12,FALSE)</f>
        <v>Balboa</v>
      </c>
      <c r="K167" s="774">
        <f t="shared" si="207"/>
        <v>46157</v>
      </c>
      <c r="L167" s="774" t="str">
        <f t="shared" ref="L167:O167" si="214">AE167</f>
        <v/>
      </c>
      <c r="M167" s="771" t="str">
        <f t="shared" si="214"/>
        <v/>
      </c>
      <c r="N167" s="771" t="str">
        <f t="shared" si="214"/>
        <v/>
      </c>
      <c r="O167" s="772" t="str">
        <f t="shared" si="214"/>
        <v/>
      </c>
      <c r="P167" s="773" t="str">
        <f>iferror(if(vlookup(F167,'Voyage days'!$M$808:$N$821,2,false),"GOA",""),"")</f>
        <v/>
      </c>
      <c r="Q167" s="772" t="str">
        <f t="shared" si="81"/>
        <v/>
      </c>
      <c r="R167" s="774" t="str">
        <f t="shared" si="83"/>
        <v/>
      </c>
      <c r="S167" s="774" t="str">
        <f t="shared" si="5"/>
        <v/>
      </c>
      <c r="T167" s="774" t="str">
        <f t="shared" si="6"/>
        <v/>
      </c>
      <c r="U167" s="774" t="str">
        <f t="shared" si="84"/>
        <v/>
      </c>
      <c r="V167" s="745" t="s">
        <v>1523</v>
      </c>
      <c r="W167" s="771" t="str">
        <f t="shared" si="85"/>
        <v/>
      </c>
      <c r="X167" s="775" t="str">
        <f t="shared" si="9"/>
        <v/>
      </c>
      <c r="Y167" s="795"/>
      <c r="Z167" s="777" t="str">
        <f>vlookup(F167,'2) Tracker'!$A$3:$Q$504,16,false)</f>
        <v>ETA Balboa 4 May / proxy for USG</v>
      </c>
      <c r="AA167" s="777" t="str">
        <f>vlookup(F167,'2) Tracker'!$A$3:$R$504,18,false)</f>
        <v>Wanhua 20-21 Feb Nederland</v>
      </c>
      <c r="AB167" s="777" t="str">
        <f>vlookup(F167,'2) Tracker'!$A$3:$Q$504,17,false)</f>
        <v>load end May USG</v>
      </c>
      <c r="AC167" s="778"/>
      <c r="AD167" s="778">
        <f>VLOOKUP(F167,'2) Tracker'!$A$2:$BO$980,37,FALSE)</f>
        <v>46157</v>
      </c>
      <c r="AE167" s="778" t="str">
        <f>VLOOKUP(F167,'2) Tracker'!$A$2:$BO$980,40,FALSE)</f>
        <v/>
      </c>
      <c r="AF167" s="778" t="str">
        <f>VLOOKUP(F167,'2) Tracker'!$A$2:$BO$980,67,FALSE)</f>
        <v/>
      </c>
      <c r="AG167" s="778" t="str">
        <f>VLOOKUP(F167,'2) Tracker'!$A$2:$BO$980,34,FALSE)</f>
        <v/>
      </c>
      <c r="AH167" s="778" t="str">
        <f>VLOOKUP(F167,'2) Tracker'!$A$2:$BN$980,66,FALSE)</f>
        <v/>
      </c>
      <c r="AI167" s="778" t="str">
        <f>VLOOKUP(F167,'2) Tracker'!$A$2:$BO$980,56,FALSE)</f>
        <v/>
      </c>
      <c r="AJ167" s="778" t="str">
        <f>VLOOKUP(F167,'2) Tracker'!$A$2:$BO$980,52,FALSE)</f>
        <v/>
      </c>
      <c r="AK167" s="778" t="str">
        <f>VLOOKUP(F167,'2) Tracker'!$A$2:$AQ$980,43,FALSE)</f>
        <v/>
      </c>
      <c r="AL167" s="778" t="str">
        <f>VLOOKUP(F167,'2) Tracker'!$A$2:$BH$980,46,FALSE())</f>
        <v/>
      </c>
      <c r="AM167" s="778" t="str">
        <f>VLOOKUP(F167,'2) Tracker'!$A$2:$BO$980,65,FALSE())</f>
        <v/>
      </c>
      <c r="AN167" s="778" t="str">
        <f>VLOOKUP(F167,'2) Tracker'!$A$2:$BK$980,63,FALSE())</f>
        <v/>
      </c>
      <c r="AO167" s="778" t="str">
        <f>VLOOKUP(F167,'2) Tracker'!$A$2:$BF$980,58,FALSE())</f>
        <v/>
      </c>
      <c r="AP167" s="52"/>
      <c r="AQ167" s="52"/>
      <c r="AR167" s="52"/>
      <c r="AS167" s="52"/>
      <c r="AT167" s="52"/>
      <c r="AU167" s="52"/>
      <c r="AV167" s="52"/>
      <c r="AW167" s="52"/>
      <c r="AX167" s="52"/>
      <c r="AY167" s="52"/>
      <c r="AZ167" s="787"/>
      <c r="BA167" s="786" t="str">
        <f>vlookup(AZ167,'Iran, FS'!$A$1:$B$318,2, false)</f>
        <v>#N/A</v>
      </c>
      <c r="BB167" s="787" t="str">
        <f>vlookup(AZ167,'1) Kpler'!$E$2:$F$500,2,false)</f>
        <v>#N/A</v>
      </c>
      <c r="BC167" s="788"/>
      <c r="BD167" s="787"/>
      <c r="BE167" s="52"/>
      <c r="BF167" s="52"/>
      <c r="BG167" s="787"/>
      <c r="BH167" s="787"/>
      <c r="BI167" s="787"/>
      <c r="BJ167" s="787"/>
    </row>
    <row r="168">
      <c r="B168" s="765" t="str">
        <f>vlookup(F168,'2) Tracker'!$A$3:$O$410,5,false)</f>
        <v>C</v>
      </c>
      <c r="C168" s="765" t="str">
        <f>vlookup(F168,'2) Tracker'!$A$3:$O$410,4,false)</f>
        <v/>
      </c>
      <c r="D168" s="734"/>
      <c r="E168" s="734" t="str">
        <f>vlookup(F168,'2) Tracker'!$A$3:$O$406,15,false)</f>
        <v/>
      </c>
      <c r="F168" s="740" t="s">
        <v>295</v>
      </c>
      <c r="G168" s="789">
        <f>VLOOKUP(F168,'2) Tracker'!$A$2:$BO$360,2,FALSE)</f>
        <v>2023</v>
      </c>
      <c r="H168" s="768">
        <f>VLOOKUP(F168,'2) Tracker'!$A$2:$BO$360,3,FALSE)</f>
        <v>93000</v>
      </c>
      <c r="I168" s="838" t="str">
        <f>VLOOKUP(F168,'2) Tracker'!$A$2:$BO$360,9,FALSE)</f>
        <v>BW-Sinogas pool</v>
      </c>
      <c r="J168" s="770" t="str">
        <f>VLOOKUP(F168,'2) Tracker'!$A$2:$BO$360,12,FALSE)</f>
        <v>loads USG</v>
      </c>
      <c r="K168" s="771">
        <f t="shared" si="207"/>
        <v>46158</v>
      </c>
      <c r="L168" s="771">
        <f t="shared" ref="L168:O168" si="215">AE168</f>
        <v>46158</v>
      </c>
      <c r="M168" s="771">
        <f t="shared" si="215"/>
        <v>46190</v>
      </c>
      <c r="N168" s="771" t="str">
        <f t="shared" si="215"/>
        <v/>
      </c>
      <c r="O168" s="772" t="str">
        <f t="shared" si="215"/>
        <v/>
      </c>
      <c r="P168" s="773" t="str">
        <f>iferror(if(vlookup(F168,'Voyage days'!$M$808:$N$821,2,false),"GOA",""),"")</f>
        <v/>
      </c>
      <c r="Q168" s="771" t="str">
        <f t="shared" si="81"/>
        <v/>
      </c>
      <c r="R168" s="771" t="str">
        <f t="shared" si="83"/>
        <v/>
      </c>
      <c r="S168" s="774">
        <f t="shared" si="5"/>
        <v>46178</v>
      </c>
      <c r="T168" s="771" t="str">
        <f t="shared" si="6"/>
        <v/>
      </c>
      <c r="U168" s="771" t="str">
        <f t="shared" si="84"/>
        <v/>
      </c>
      <c r="V168" s="771"/>
      <c r="W168" s="771" t="str">
        <f t="shared" si="85"/>
        <v/>
      </c>
      <c r="X168" s="775" t="str">
        <f t="shared" si="9"/>
        <v/>
      </c>
      <c r="Y168" s="784"/>
      <c r="Z168" s="777" t="str">
        <f>vlookup(F168,'2) Tracker'!$A$3:$Q$504,16,false)</f>
        <v>ETA Port Louis 14 Apr</v>
      </c>
      <c r="AA168" s="777" t="str">
        <f>vlookup(F168,'2) Tracker'!$A$3:$R$504,18,false)</f>
        <v>SHV 16-17 May Nederland</v>
      </c>
      <c r="AB168" s="777" t="str">
        <f>vlookup(F168,'2) Tracker'!$A$3:$Q$504,17,false)</f>
        <v/>
      </c>
      <c r="AC168" s="778"/>
      <c r="AD168" s="778">
        <f>VLOOKUP(F168,'2) Tracker'!$A$2:$BO$980,37,FALSE)</f>
        <v>46158</v>
      </c>
      <c r="AE168" s="778">
        <f>VLOOKUP(F168,'2) Tracker'!$A$2:$BO$980,40,FALSE)</f>
        <v>46158</v>
      </c>
      <c r="AF168" s="778">
        <f>VLOOKUP(F168,'2) Tracker'!$A$2:$BO$980,67,FALSE)</f>
        <v>46190</v>
      </c>
      <c r="AG168" s="778" t="str">
        <f>VLOOKUP(F168,'2) Tracker'!$A$2:$BO$980,34,FALSE)</f>
        <v/>
      </c>
      <c r="AH168" s="778" t="str">
        <f>VLOOKUP(F168,'2) Tracker'!$A$2:$BN$980,66,FALSE)</f>
        <v/>
      </c>
      <c r="AI168" s="778" t="str">
        <f>VLOOKUP(F168,'2) Tracker'!$A$2:$BO$980,56,FALSE)</f>
        <v/>
      </c>
      <c r="AJ168" s="778" t="str">
        <f>VLOOKUP(F168,'2) Tracker'!$A$2:$BO$980,52,FALSE)</f>
        <v/>
      </c>
      <c r="AK168" s="778" t="str">
        <f>VLOOKUP(F168,'2) Tracker'!$A$2:$AQ$980,43,FALSE)</f>
        <v/>
      </c>
      <c r="AL168" s="778">
        <f>VLOOKUP(F168,'2) Tracker'!$A$2:$BH$980,46,FALSE())</f>
        <v>46178</v>
      </c>
      <c r="AM168" s="778" t="str">
        <f>VLOOKUP(F168,'2) Tracker'!$A$2:$BO$980,65,FALSE())</f>
        <v/>
      </c>
      <c r="AN168" s="778" t="str">
        <f>VLOOKUP(F168,'2) Tracker'!$A$2:$BK$980,63,FALSE())</f>
        <v/>
      </c>
      <c r="AO168" s="778" t="str">
        <f>VLOOKUP(F168,'2) Tracker'!$A$2:$BF$980,58,FALSE())</f>
        <v/>
      </c>
      <c r="AP168" s="52"/>
      <c r="AQ168" s="52"/>
      <c r="AR168" s="52"/>
      <c r="AS168" s="52"/>
      <c r="AT168" s="52"/>
      <c r="AU168" s="52"/>
      <c r="AV168" s="52"/>
      <c r="AW168" s="52"/>
      <c r="AX168" s="52"/>
      <c r="AY168" s="52"/>
      <c r="AZ168" s="787"/>
      <c r="BA168" s="786" t="str">
        <f>vlookup(AZ168,'Iran, FS'!$A$1:$B$318,2, false)</f>
        <v>#N/A</v>
      </c>
      <c r="BB168" s="787" t="str">
        <f>vlookup(AZ168,'1) Kpler'!$E$2:$F$500,2,false)</f>
        <v>#N/A</v>
      </c>
      <c r="BC168" s="788"/>
      <c r="BD168" s="787"/>
      <c r="BE168" s="52"/>
      <c r="BF168" s="52"/>
      <c r="BG168" s="787"/>
      <c r="BH168" s="787"/>
      <c r="BI168" s="787"/>
      <c r="BJ168" s="787"/>
    </row>
    <row r="169">
      <c r="B169" s="765" t="str">
        <f>vlookup(F169,'2) Tracker'!$A$3:$O$410,5,false)</f>
        <v/>
      </c>
      <c r="C169" s="765" t="str">
        <f>vlookup(F169,'2) Tracker'!$A$3:$O$410,4,false)</f>
        <v>US</v>
      </c>
      <c r="D169" s="734"/>
      <c r="E169" s="734" t="str">
        <f>vlookup(F169,'2) Tracker'!$A$3:$O$406,15,false)</f>
        <v/>
      </c>
      <c r="F169" s="770" t="s">
        <v>48</v>
      </c>
      <c r="G169" s="783">
        <f>VLOOKUP(F169,'2) Tracker'!$A$2:$BO$360,2,FALSE)</f>
        <v>40193</v>
      </c>
      <c r="H169" s="768">
        <f>VLOOKUP(F169,'2) Tracker'!$A$2:$BO$360,3,FALSE)</f>
        <v>83278</v>
      </c>
      <c r="I169" s="777" t="str">
        <f>VLOOKUP(F169,'2) Tracker'!$A$2:$BO$360,9,FALSE)</f>
        <v>Helios</v>
      </c>
      <c r="J169" s="770" t="str">
        <f>VLOOKUP(F169,'2) Tracker'!$A$2:$BO$360,12,FALSE)</f>
        <v>loads USG</v>
      </c>
      <c r="K169" s="771">
        <f t="shared" si="207"/>
        <v>46158</v>
      </c>
      <c r="L169" s="771">
        <f t="shared" ref="L169:O169" si="216">AE169</f>
        <v>46158</v>
      </c>
      <c r="M169" s="771">
        <f t="shared" si="216"/>
        <v>46190</v>
      </c>
      <c r="N169" s="772" t="str">
        <f t="shared" si="216"/>
        <v/>
      </c>
      <c r="O169" s="772" t="str">
        <f t="shared" si="216"/>
        <v/>
      </c>
      <c r="P169" s="773" t="str">
        <f>iferror(if(vlookup(F169,'Voyage days'!$M$808:$N$819,2,false),"GOA",""),"")</f>
        <v/>
      </c>
      <c r="Q169" s="771" t="str">
        <f t="shared" si="81"/>
        <v/>
      </c>
      <c r="R169" s="771" t="str">
        <f t="shared" si="83"/>
        <v/>
      </c>
      <c r="S169" s="774">
        <f t="shared" si="5"/>
        <v>46178</v>
      </c>
      <c r="T169" s="771" t="str">
        <f t="shared" si="6"/>
        <v/>
      </c>
      <c r="U169" s="771" t="str">
        <f t="shared" si="84"/>
        <v/>
      </c>
      <c r="V169" s="771"/>
      <c r="W169" s="771" t="str">
        <f t="shared" si="85"/>
        <v/>
      </c>
      <c r="X169" s="775" t="str">
        <f t="shared" si="9"/>
        <v/>
      </c>
      <c r="Y169" s="776"/>
      <c r="Z169" s="777" t="str">
        <f>vlookup(F169,'2) Tracker'!$A$3:$Q$504,16,false)</f>
        <v>ETA USG 16 May via Cape</v>
      </c>
      <c r="AA169" s="777" t="str">
        <f>vlookup(F169,'2) Tracker'!$A$3:$R$504,18,false)</f>
        <v>Itochu 15-16 May USG</v>
      </c>
      <c r="AB169" s="777" t="str">
        <f>vlookup(F169,'2) Tracker'!$A$3:$Q$504,17,false)</f>
        <v/>
      </c>
      <c r="AC169" s="778"/>
      <c r="AD169" s="778">
        <f>VLOOKUP(F169,'2) Tracker'!$A$2:$BO$980,37,FALSE)</f>
        <v>46158</v>
      </c>
      <c r="AE169" s="778">
        <f>VLOOKUP(F169,'2) Tracker'!$A$2:$BO$980,40,FALSE)</f>
        <v>46158</v>
      </c>
      <c r="AF169" s="778">
        <f>VLOOKUP(F169,'2) Tracker'!$A$2:$BO$980,67,FALSE)</f>
        <v>46190</v>
      </c>
      <c r="AG169" s="778" t="str">
        <f>VLOOKUP(F169,'2) Tracker'!$A$2:$BO$980,34,FALSE)</f>
        <v/>
      </c>
      <c r="AH169" s="778" t="str">
        <f>VLOOKUP(F169,'2) Tracker'!$A$2:$BN$980,66,FALSE)</f>
        <v/>
      </c>
      <c r="AI169" s="778" t="str">
        <f>VLOOKUP(F169,'2) Tracker'!$A$2:$BO$980,56,FALSE)</f>
        <v/>
      </c>
      <c r="AJ169" s="778" t="str">
        <f>VLOOKUP(F169,'2) Tracker'!$A$2:$BO$980,52,FALSE)</f>
        <v/>
      </c>
      <c r="AK169" s="778" t="str">
        <f>VLOOKUP(F169,'2) Tracker'!$A$2:$AQ$980,43,FALSE)</f>
        <v/>
      </c>
      <c r="AL169" s="778">
        <f>VLOOKUP(F169,'2) Tracker'!$A$2:$BH$980,46,FALSE())</f>
        <v>46178</v>
      </c>
      <c r="AM169" s="778" t="str">
        <f>VLOOKUP(F169,'2) Tracker'!$A$2:$BO$980,65,FALSE())</f>
        <v/>
      </c>
      <c r="AN169" s="778" t="str">
        <f>VLOOKUP(F169,'2) Tracker'!$A$2:$BK$980,63,FALSE())</f>
        <v/>
      </c>
      <c r="AO169" s="778" t="str">
        <f>VLOOKUP(F169,'2) Tracker'!$A$2:$BF$980,58,FALSE())</f>
        <v/>
      </c>
      <c r="AP169" s="52"/>
      <c r="AQ169" s="52"/>
      <c r="AR169" s="52"/>
      <c r="AS169" s="52"/>
      <c r="AT169" s="52"/>
      <c r="AU169" s="52"/>
      <c r="AV169" s="52"/>
      <c r="AW169" s="52"/>
      <c r="AX169" s="52"/>
      <c r="AY169" s="52"/>
      <c r="AZ169" s="789"/>
      <c r="BA169" s="786" t="str">
        <f>vlookup(AZ169,'Iran, FS'!$A$1:$B$318,2, false)</f>
        <v>#N/A</v>
      </c>
      <c r="BB169" s="787" t="str">
        <f>vlookup(AZ169,'1) Kpler'!$E$2:$F$500,2,false)</f>
        <v>#N/A</v>
      </c>
      <c r="BC169" s="770"/>
      <c r="BD169" s="734"/>
      <c r="BE169" s="52"/>
      <c r="BF169" s="52"/>
      <c r="BG169" s="734"/>
      <c r="BH169" s="734"/>
      <c r="BI169" s="734"/>
      <c r="BJ169" s="734"/>
    </row>
    <row r="170">
      <c r="B170" s="765" t="str">
        <f>vlookup(F170,'2) Tracker'!$A$3:$O$410,5,false)</f>
        <v/>
      </c>
      <c r="C170" s="765" t="str">
        <f>vlookup(F170,'2) Tracker'!$A$3:$O$410,4,false)</f>
        <v/>
      </c>
      <c r="D170" s="734"/>
      <c r="E170" s="734" t="str">
        <f>vlookup(F170,'2) Tracker'!$A$3:$O$406,15,false)</f>
        <v>R</v>
      </c>
      <c r="F170" s="830" t="s">
        <v>425</v>
      </c>
      <c r="G170" s="783">
        <f>VLOOKUP(F170,'2) Tracker'!$A$2:$BO$360,2,FALSE)</f>
        <v>39783</v>
      </c>
      <c r="H170" s="768">
        <f>VLOOKUP(F170,'2) Tracker'!$A$2:$BO$360,3,FALSE)</f>
        <v>78000</v>
      </c>
      <c r="I170" s="777" t="str">
        <f>VLOOKUP(F170,'2) Tracker'!$A$2:$BO$360,9,FALSE)</f>
        <v>Exxon</v>
      </c>
      <c r="J170" s="770" t="str">
        <f>VLOOKUP(F170,'2) Tracker'!$A$2:$BO$360,12,FALSE)</f>
        <v>Singapore ballast</v>
      </c>
      <c r="K170" s="774">
        <f t="shared" si="207"/>
        <v>46158</v>
      </c>
      <c r="L170" s="774">
        <f t="shared" ref="L170:O170" si="217">AE170</f>
        <v>46159</v>
      </c>
      <c r="M170" s="771" t="str">
        <f t="shared" si="217"/>
        <v/>
      </c>
      <c r="N170" s="771">
        <f t="shared" si="217"/>
        <v>46135</v>
      </c>
      <c r="O170" s="772" t="str">
        <f t="shared" si="217"/>
        <v/>
      </c>
      <c r="P170" s="773" t="str">
        <f>iferror(if(vlookup(F170,'Voyage days'!$M$808:$N$819,2,false),"GOA",""),"")</f>
        <v/>
      </c>
      <c r="Q170" s="771">
        <f t="shared" si="81"/>
        <v>46139</v>
      </c>
      <c r="R170" s="774">
        <f t="shared" si="83"/>
        <v>46162</v>
      </c>
      <c r="S170" s="774">
        <f t="shared" si="5"/>
        <v>46153</v>
      </c>
      <c r="T170" s="771">
        <f t="shared" si="6"/>
        <v>46145</v>
      </c>
      <c r="U170" s="774">
        <f t="shared" si="84"/>
        <v>46126</v>
      </c>
      <c r="V170" s="745" t="s">
        <v>1523</v>
      </c>
      <c r="W170" s="771">
        <f t="shared" si="85"/>
        <v>46130.25</v>
      </c>
      <c r="X170" s="775" t="str">
        <f t="shared" si="9"/>
        <v/>
      </c>
      <c r="Y170" s="776"/>
      <c r="Z170" s="777" t="str">
        <f>vlookup(F170,'2) Tracker'!$A$3:$Q$504,16,false)</f>
        <v>ETA Singapore 13 Apr</v>
      </c>
      <c r="AA170" s="777" t="str">
        <f>vlookup(F170,'2) Tracker'!$A$3:$R$504,18,false)</f>
        <v>BGN 16-17 Feb Nederland (delay)</v>
      </c>
      <c r="AB170" s="777" t="str">
        <f>vlookup(F170,'2) Tracker'!$A$3:$Q$504,17,false)</f>
        <v/>
      </c>
      <c r="AC170" s="778"/>
      <c r="AD170" s="778">
        <f>VLOOKUP(F170,'2) Tracker'!$A$2:$BO$980,37,FALSE)</f>
        <v>46158</v>
      </c>
      <c r="AE170" s="778">
        <f>VLOOKUP(F170,'2) Tracker'!$A$2:$BO$980,40,FALSE)</f>
        <v>46159</v>
      </c>
      <c r="AF170" s="778" t="str">
        <f>VLOOKUP(F170,'2) Tracker'!$A$2:$BO$980,67,FALSE)</f>
        <v/>
      </c>
      <c r="AG170" s="778">
        <f>VLOOKUP(F170,'2) Tracker'!$A$2:$BO$980,34,FALSE)</f>
        <v>46135</v>
      </c>
      <c r="AH170" s="778" t="str">
        <f>VLOOKUP(F170,'2) Tracker'!$A$2:$BN$980,66,FALSE)</f>
        <v/>
      </c>
      <c r="AI170" s="778">
        <f>VLOOKUP(F170,'2) Tracker'!$A$2:$BO$980,56,FALSE)</f>
        <v>46126</v>
      </c>
      <c r="AJ170" s="778">
        <f>VLOOKUP(F170,'2) Tracker'!$A$2:$BO$980,52,FALSE)</f>
        <v>46130.25</v>
      </c>
      <c r="AK170" s="778">
        <f>VLOOKUP(F170,'2) Tracker'!$A$2:$AQ$980,43,FALSE)</f>
        <v>46145</v>
      </c>
      <c r="AL170" s="778">
        <f>VLOOKUP(F170,'2) Tracker'!$A$2:$BH$980,46,FALSE())</f>
        <v>46153</v>
      </c>
      <c r="AM170" s="778">
        <f>VLOOKUP(F170,'2) Tracker'!$A$2:$BO$980,65,FALSE())</f>
        <v>46139</v>
      </c>
      <c r="AN170" s="778">
        <f>VLOOKUP(F170,'2) Tracker'!$A$2:$BK$980,63,FALSE())</f>
        <v>46162</v>
      </c>
      <c r="AO170" s="778" t="str">
        <f>VLOOKUP(F170,'2) Tracker'!$A$2:$BF$980,58,FALSE())</f>
        <v/>
      </c>
      <c r="AP170" s="52"/>
      <c r="AQ170" s="52"/>
      <c r="AR170" s="52"/>
      <c r="AS170" s="52"/>
      <c r="AT170" s="52"/>
      <c r="AU170" s="52"/>
      <c r="AV170" s="52"/>
      <c r="AW170" s="52"/>
      <c r="AX170" s="52"/>
      <c r="AY170" s="52"/>
      <c r="AZ170" s="787"/>
      <c r="BA170" s="786" t="str">
        <f>vlookup(AZ170,'Iran, FS'!$A$1:$B$318,2, false)</f>
        <v>#N/A</v>
      </c>
      <c r="BB170" s="787" t="str">
        <f>vlookup(AZ170,'1) Kpler'!$E$2:$F$500,2,false)</f>
        <v>#N/A</v>
      </c>
      <c r="BC170" s="788"/>
      <c r="BD170" s="787"/>
      <c r="BE170" s="52"/>
      <c r="BF170" s="52"/>
      <c r="BG170" s="787"/>
      <c r="BH170" s="787"/>
      <c r="BI170" s="787"/>
      <c r="BJ170" s="787"/>
    </row>
    <row r="171">
      <c r="B171" s="765" t="str">
        <f>vlookup(F171,'2) Tracker'!$A$3:$O$410,5,false)</f>
        <v/>
      </c>
      <c r="C171" s="765" t="str">
        <f>vlookup(F171,'2) Tracker'!$A$3:$O$410,4,false)</f>
        <v/>
      </c>
      <c r="D171" s="734"/>
      <c r="E171" s="734" t="str">
        <f>vlookup(F171,'2) Tracker'!$A$3:$O$406,15,false)</f>
        <v/>
      </c>
      <c r="F171" s="822" t="s">
        <v>512</v>
      </c>
      <c r="G171" s="789">
        <f>VLOOKUP(F171,'2) Tracker'!$A$2:$BO$360,2,FALSE)</f>
        <v>2020</v>
      </c>
      <c r="H171" s="768">
        <f>VLOOKUP(F171,'2) Tracker'!$A$2:$BO$360,3,FALSE)</f>
        <v>84000</v>
      </c>
      <c r="I171" s="777" t="str">
        <f>VLOOKUP(F171,'2) Tracker'!$A$2:$BO$360,9,FALSE)</f>
        <v>Petredec</v>
      </c>
      <c r="J171" s="770" t="str">
        <f>VLOOKUP(F171,'2) Tracker'!$A$2:$BO$360,12,FALSE)</f>
        <v>loads USG</v>
      </c>
      <c r="K171" s="771">
        <f t="shared" si="207"/>
        <v>46159</v>
      </c>
      <c r="L171" s="771">
        <f t="shared" ref="L171:O171" si="218">AE171</f>
        <v>46159</v>
      </c>
      <c r="M171" s="771">
        <f t="shared" si="218"/>
        <v>46191</v>
      </c>
      <c r="N171" s="771" t="str">
        <f t="shared" si="218"/>
        <v/>
      </c>
      <c r="O171" s="772" t="str">
        <f t="shared" si="218"/>
        <v/>
      </c>
      <c r="P171" s="773" t="str">
        <f>iferror(if(vlookup(F171,'Voyage days'!$M$808:$N$819,2,false),"GOA",""),"")</f>
        <v/>
      </c>
      <c r="Q171" s="771" t="str">
        <f t="shared" si="81"/>
        <v/>
      </c>
      <c r="R171" s="771" t="str">
        <f t="shared" si="83"/>
        <v/>
      </c>
      <c r="S171" s="774">
        <f t="shared" si="5"/>
        <v>46179</v>
      </c>
      <c r="T171" s="771" t="str">
        <f t="shared" si="6"/>
        <v/>
      </c>
      <c r="U171" s="771" t="str">
        <f t="shared" si="84"/>
        <v/>
      </c>
      <c r="V171" s="771"/>
      <c r="W171" s="771" t="str">
        <f t="shared" si="85"/>
        <v/>
      </c>
      <c r="X171" s="775" t="str">
        <f t="shared" si="9"/>
        <v/>
      </c>
      <c r="Y171" s="776"/>
      <c r="Z171" s="777" t="str">
        <f>vlookup(F171,'2) Tracker'!$A$3:$Q$504,16,false)</f>
        <v>ETA Singapore 10 Apr</v>
      </c>
      <c r="AA171" s="777" t="str">
        <f>vlookup(F171,'2) Tracker'!$A$3:$R$504,18,false)</f>
        <v>Borealis 17-18 May USG</v>
      </c>
      <c r="AB171" s="777" t="str">
        <f>vlookup(F171,'2) Tracker'!$A$3:$Q$504,17,false)</f>
        <v/>
      </c>
      <c r="AC171" s="778"/>
      <c r="AD171" s="778">
        <f>VLOOKUP(F171,'2) Tracker'!$A$2:$BO$980,37,FALSE)</f>
        <v>46159</v>
      </c>
      <c r="AE171" s="778">
        <f>VLOOKUP(F171,'2) Tracker'!$A$2:$BO$980,40,FALSE)</f>
        <v>46159</v>
      </c>
      <c r="AF171" s="778">
        <f>VLOOKUP(F171,'2) Tracker'!$A$2:$BO$980,67,FALSE)</f>
        <v>46191</v>
      </c>
      <c r="AG171" s="778" t="str">
        <f>VLOOKUP(F171,'2) Tracker'!$A$2:$BO$980,34,FALSE)</f>
        <v/>
      </c>
      <c r="AH171" s="778" t="str">
        <f>VLOOKUP(F171,'2) Tracker'!$A$2:$BN$980,66,FALSE)</f>
        <v/>
      </c>
      <c r="AI171" s="778" t="str">
        <f>VLOOKUP(F171,'2) Tracker'!$A$2:$BO$980,56,FALSE)</f>
        <v/>
      </c>
      <c r="AJ171" s="778" t="str">
        <f>VLOOKUP(F171,'2) Tracker'!$A$2:$BO$980,52,FALSE)</f>
        <v/>
      </c>
      <c r="AK171" s="778" t="str">
        <f>VLOOKUP(F171,'2) Tracker'!$A$2:$AQ$980,43,FALSE)</f>
        <v/>
      </c>
      <c r="AL171" s="778">
        <f>VLOOKUP(F171,'2) Tracker'!$A$2:$BH$980,46,FALSE())</f>
        <v>46179</v>
      </c>
      <c r="AM171" s="778" t="str">
        <f>VLOOKUP(F171,'2) Tracker'!$A$2:$BO$980,65,FALSE())</f>
        <v/>
      </c>
      <c r="AN171" s="778" t="str">
        <f>VLOOKUP(F171,'2) Tracker'!$A$2:$BK$980,63,FALSE())</f>
        <v/>
      </c>
      <c r="AO171" s="778" t="str">
        <f>VLOOKUP(F171,'2) Tracker'!$A$2:$BF$980,58,FALSE())</f>
        <v/>
      </c>
      <c r="AP171" s="52"/>
      <c r="AQ171" s="52"/>
      <c r="AR171" s="52"/>
      <c r="AS171" s="52"/>
      <c r="AT171" s="52"/>
      <c r="AU171" s="52"/>
      <c r="AV171" s="52"/>
      <c r="AW171" s="52"/>
      <c r="AX171" s="52"/>
      <c r="AY171" s="52"/>
      <c r="AZ171" s="734"/>
      <c r="BA171" s="786" t="str">
        <f>vlookup(AZ171,'Iran, FS'!$A$1:$B$318,2, false)</f>
        <v>#N/A</v>
      </c>
      <c r="BB171" s="787" t="str">
        <f>vlookup(AZ171,'1) Kpler'!$E$2:$F$500,2,false)</f>
        <v>#N/A</v>
      </c>
      <c r="BC171" s="740"/>
      <c r="BD171" s="734"/>
      <c r="BE171" s="52"/>
      <c r="BF171" s="52"/>
      <c r="BG171" s="734"/>
      <c r="BH171" s="734"/>
      <c r="BI171" s="734"/>
      <c r="BJ171" s="734"/>
    </row>
    <row r="172">
      <c r="B172" s="765" t="str">
        <f>vlookup(F172,'2) Tracker'!$A$3:$O$410,5,false)</f>
        <v/>
      </c>
      <c r="C172" s="765" t="str">
        <f>vlookup(F172,'2) Tracker'!$A$3:$O$410,4,false)</f>
        <v/>
      </c>
      <c r="D172" s="734"/>
      <c r="E172" s="734" t="str">
        <f>vlookup(F172,'2) Tracker'!$A$3:$O$406,15,false)</f>
        <v/>
      </c>
      <c r="F172" s="766" t="s">
        <v>297</v>
      </c>
      <c r="G172" s="789">
        <f>VLOOKUP(F172,'2) Tracker'!$A$2:$BO$360,2,FALSE)</f>
        <v>2023</v>
      </c>
      <c r="H172" s="768">
        <f>VLOOKUP(F172,'2) Tracker'!$A$2:$BO$360,3,FALSE)</f>
        <v>86000</v>
      </c>
      <c r="I172" s="769" t="str">
        <f>VLOOKUP(F172,'2) Tracker'!$A$2:$BO$360,9,FALSE)</f>
        <v>BGN</v>
      </c>
      <c r="J172" s="770" t="str">
        <f>VLOOKUP(F172,'2) Tracker'!$A$2:$BO$360,12,FALSE)</f>
        <v>Korea</v>
      </c>
      <c r="K172" s="771">
        <f t="shared" si="207"/>
        <v>46159</v>
      </c>
      <c r="L172" s="771">
        <f t="shared" ref="L172:O172" si="219">AE172</f>
        <v>46166</v>
      </c>
      <c r="M172" s="771" t="str">
        <f t="shared" si="219"/>
        <v/>
      </c>
      <c r="N172" s="771">
        <f t="shared" si="219"/>
        <v>46143</v>
      </c>
      <c r="O172" s="772" t="str">
        <f t="shared" si="219"/>
        <v/>
      </c>
      <c r="P172" s="773" t="str">
        <f>iferror(if(vlookup(F172,'Voyage days'!$M$808:$N$819,2,false),"GOA",""),"")</f>
        <v/>
      </c>
      <c r="Q172" s="771">
        <f t="shared" si="81"/>
        <v>46146</v>
      </c>
      <c r="R172" s="771">
        <f t="shared" si="83"/>
        <v>46170</v>
      </c>
      <c r="S172" s="774">
        <f t="shared" si="5"/>
        <v>46160</v>
      </c>
      <c r="T172" s="771">
        <f t="shared" si="6"/>
        <v>46154</v>
      </c>
      <c r="U172" s="771">
        <f t="shared" si="84"/>
        <v>46134</v>
      </c>
      <c r="V172" s="771"/>
      <c r="W172" s="771">
        <f t="shared" si="85"/>
        <v>46133</v>
      </c>
      <c r="X172" s="775">
        <f t="shared" si="9"/>
        <v>46136</v>
      </c>
      <c r="Y172" s="770"/>
      <c r="Z172" s="777" t="str">
        <f>vlookup(F172,'2) Tracker'!$A$3:$Q$504,16,false)</f>
        <v>@ Yosu 07 Apr bunkers</v>
      </c>
      <c r="AA172" s="777" t="str">
        <f>vlookup(F172,'2) Tracker'!$A$3:$R$504,18,false)</f>
        <v>BGN 25-26 Feb Targa</v>
      </c>
      <c r="AB172" s="777" t="str">
        <f>vlookup(F172,'2) Tracker'!$A$3:$Q$504,17,false)</f>
        <v/>
      </c>
      <c r="AC172" s="778"/>
      <c r="AD172" s="778">
        <f>VLOOKUP(F172,'2) Tracker'!$A$2:$BO$980,37,FALSE)</f>
        <v>46159</v>
      </c>
      <c r="AE172" s="778">
        <f>VLOOKUP(F172,'2) Tracker'!$A$2:$BO$980,40,FALSE)</f>
        <v>46166</v>
      </c>
      <c r="AF172" s="778" t="str">
        <f>VLOOKUP(F172,'2) Tracker'!$A$2:$BO$980,67,FALSE)</f>
        <v/>
      </c>
      <c r="AG172" s="778">
        <f>VLOOKUP(F172,'2) Tracker'!$A$2:$BO$980,34,FALSE)</f>
        <v>46143</v>
      </c>
      <c r="AH172" s="778" t="str">
        <f>VLOOKUP(F172,'2) Tracker'!$A$2:$BN$980,66,FALSE)</f>
        <v/>
      </c>
      <c r="AI172" s="778">
        <f>VLOOKUP(F172,'2) Tracker'!$A$2:$BO$980,56,FALSE)</f>
        <v>46134</v>
      </c>
      <c r="AJ172" s="778">
        <f>VLOOKUP(F172,'2) Tracker'!$A$2:$BO$980,52,FALSE)</f>
        <v>46133</v>
      </c>
      <c r="AK172" s="778">
        <f>VLOOKUP(F172,'2) Tracker'!$A$2:$AQ$980,43,FALSE)</f>
        <v>46154</v>
      </c>
      <c r="AL172" s="778">
        <f>VLOOKUP(F172,'2) Tracker'!$A$2:$BH$980,46,FALSE())</f>
        <v>46160</v>
      </c>
      <c r="AM172" s="778">
        <f>VLOOKUP(F172,'2) Tracker'!$A$2:$BO$980,65,FALSE())</f>
        <v>46146</v>
      </c>
      <c r="AN172" s="778">
        <f>VLOOKUP(F172,'2) Tracker'!$A$2:$BK$980,63,FALSE())</f>
        <v>46170</v>
      </c>
      <c r="AO172" s="778">
        <f>VLOOKUP(F172,'2) Tracker'!$A$2:$BF$980,58,FALSE())</f>
        <v>46136</v>
      </c>
      <c r="AP172" s="52"/>
      <c r="AQ172" s="52"/>
      <c r="AR172" s="52"/>
      <c r="AS172" s="52"/>
      <c r="AT172" s="52"/>
      <c r="AU172" s="52"/>
      <c r="AV172" s="52"/>
      <c r="AW172" s="52"/>
      <c r="AX172" s="52"/>
      <c r="AY172" s="52"/>
      <c r="AZ172" s="787"/>
      <c r="BA172" s="786" t="str">
        <f>vlookup(AZ172,'Iran, FS'!$A$1:$B$318,2, false)</f>
        <v>#N/A</v>
      </c>
      <c r="BB172" s="787" t="str">
        <f>vlookup(AZ172,'1) Kpler'!$E$2:$F$500,2,false)</f>
        <v>#N/A</v>
      </c>
      <c r="BC172" s="788"/>
      <c r="BD172" s="787"/>
      <c r="BE172" s="52"/>
      <c r="BF172" s="52"/>
      <c r="BG172" s="787"/>
      <c r="BH172" s="787"/>
      <c r="BI172" s="787"/>
      <c r="BJ172" s="787"/>
    </row>
    <row r="173">
      <c r="B173" s="765" t="str">
        <f>vlookup(F173,'2) Tracker'!$A$3:$O$410,5,false)</f>
        <v/>
      </c>
      <c r="C173" s="765" t="str">
        <f>vlookup(F173,'2) Tracker'!$A$3:$O$410,4,false)</f>
        <v/>
      </c>
      <c r="D173" s="734"/>
      <c r="E173" s="734" t="str">
        <f>vlookup(F173,'2) Tracker'!$A$3:$O$406,15,false)</f>
        <v/>
      </c>
      <c r="F173" s="766" t="s">
        <v>518</v>
      </c>
      <c r="G173" s="783">
        <f>VLOOKUP(F173,'2) Tracker'!$A$2:$BO$360,2,FALSE)</f>
        <v>43831</v>
      </c>
      <c r="H173" s="768">
        <f>VLOOKUP(F173,'2) Tracker'!$A$2:$BO$360,3,FALSE)</f>
        <v>84000</v>
      </c>
      <c r="I173" s="769" t="str">
        <f>VLOOKUP(F173,'2) Tracker'!$A$2:$BO$360,9,FALSE)</f>
        <v>Equinor</v>
      </c>
      <c r="J173" s="770" t="str">
        <f>VLOOKUP(F173,'2) Tracker'!$A$2:$BO$360,12,FALSE)</f>
        <v>Japan</v>
      </c>
      <c r="K173" s="771">
        <f t="shared" si="207"/>
        <v>46159</v>
      </c>
      <c r="L173" s="771">
        <f t="shared" ref="L173:O173" si="220">AE173</f>
        <v>46169</v>
      </c>
      <c r="M173" s="771" t="str">
        <f t="shared" si="220"/>
        <v/>
      </c>
      <c r="N173" s="771">
        <f t="shared" si="220"/>
        <v>46145</v>
      </c>
      <c r="O173" s="772" t="str">
        <f t="shared" si="220"/>
        <v/>
      </c>
      <c r="P173" s="773" t="str">
        <f>iferror(if(vlookup(F173,'Voyage days'!$M$808:$N$819,2,false),"GOA",""),"")</f>
        <v/>
      </c>
      <c r="Q173" s="771">
        <f t="shared" si="81"/>
        <v>46148</v>
      </c>
      <c r="R173" s="771">
        <f t="shared" si="83"/>
        <v>46173</v>
      </c>
      <c r="S173" s="774">
        <f t="shared" si="5"/>
        <v>46163</v>
      </c>
      <c r="T173" s="771">
        <f t="shared" si="6"/>
        <v>46157</v>
      </c>
      <c r="U173" s="771">
        <f t="shared" si="84"/>
        <v>46136</v>
      </c>
      <c r="V173" s="771"/>
      <c r="W173" s="771">
        <f t="shared" si="85"/>
        <v>46135.25</v>
      </c>
      <c r="X173" s="775">
        <f t="shared" si="9"/>
        <v>46138</v>
      </c>
      <c r="Y173" s="776"/>
      <c r="Z173" s="777" t="str">
        <f>vlookup(F173,'2) Tracker'!$A$3:$Q$504,16,false)</f>
        <v>ETA 2nd port Sendai 13 Apr</v>
      </c>
      <c r="AA173" s="777" t="str">
        <f>vlookup(F173,'2) Tracker'!$A$3:$R$504,18,false)</f>
        <v>Equinor 24-25 Feb Targa</v>
      </c>
      <c r="AB173" s="777" t="str">
        <f>vlookup(F173,'2) Tracker'!$A$3:$Q$504,17,false)</f>
        <v/>
      </c>
      <c r="AC173" s="778"/>
      <c r="AD173" s="778">
        <f>VLOOKUP(F173,'2) Tracker'!$A$2:$BO$980,37,FALSE)</f>
        <v>46159</v>
      </c>
      <c r="AE173" s="778">
        <f>VLOOKUP(F173,'2) Tracker'!$A$2:$BO$980,40,FALSE)</f>
        <v>46169</v>
      </c>
      <c r="AF173" s="778" t="str">
        <f>VLOOKUP(F173,'2) Tracker'!$A$2:$BO$980,67,FALSE)</f>
        <v/>
      </c>
      <c r="AG173" s="778">
        <f>VLOOKUP(F173,'2) Tracker'!$A$2:$BO$980,34,FALSE)</f>
        <v>46145</v>
      </c>
      <c r="AH173" s="778" t="str">
        <f>VLOOKUP(F173,'2) Tracker'!$A$2:$BN$980,66,FALSE)</f>
        <v/>
      </c>
      <c r="AI173" s="778">
        <f>VLOOKUP(F173,'2) Tracker'!$A$2:$BO$980,56,FALSE)</f>
        <v>46136</v>
      </c>
      <c r="AJ173" s="778">
        <f>VLOOKUP(F173,'2) Tracker'!$A$2:$BO$980,52,FALSE)</f>
        <v>46135.25</v>
      </c>
      <c r="AK173" s="778">
        <f>VLOOKUP(F173,'2) Tracker'!$A$2:$AQ$980,43,FALSE)</f>
        <v>46157</v>
      </c>
      <c r="AL173" s="778">
        <f>VLOOKUP(F173,'2) Tracker'!$A$2:$BH$980,46,FALSE())</f>
        <v>46163</v>
      </c>
      <c r="AM173" s="778">
        <f>VLOOKUP(F173,'2) Tracker'!$A$2:$BO$980,65,FALSE())</f>
        <v>46148</v>
      </c>
      <c r="AN173" s="778">
        <f>VLOOKUP(F173,'2) Tracker'!$A$2:$BK$980,63,FALSE())</f>
        <v>46173</v>
      </c>
      <c r="AO173" s="778">
        <f>VLOOKUP(F173,'2) Tracker'!$A$2:$BF$980,58,FALSE())</f>
        <v>46138</v>
      </c>
      <c r="AP173" s="52"/>
      <c r="AQ173" s="52"/>
      <c r="AR173" s="52"/>
      <c r="AS173" s="52"/>
      <c r="AT173" s="52"/>
      <c r="AU173" s="52"/>
      <c r="AV173" s="52"/>
      <c r="AW173" s="52"/>
      <c r="AX173" s="52"/>
      <c r="AY173" s="52"/>
      <c r="AZ173" s="787"/>
      <c r="BA173" s="786" t="str">
        <f>vlookup(AZ173,'Iran, FS'!$A$1:$B$318,2, false)</f>
        <v>#N/A</v>
      </c>
      <c r="BB173" s="787" t="str">
        <f>vlookup(AZ173,'1) Kpler'!$E$2:$F$500,2,false)</f>
        <v>#N/A</v>
      </c>
      <c r="BC173" s="788"/>
      <c r="BD173" s="787"/>
      <c r="BE173" s="52"/>
      <c r="BF173" s="52"/>
      <c r="BG173" s="787"/>
      <c r="BH173" s="787"/>
      <c r="BI173" s="787"/>
      <c r="BJ173" s="787"/>
    </row>
    <row r="174">
      <c r="B174" s="765" t="str">
        <f>vlookup(F174,'2) Tracker'!$A$3:$O$410,5,false)</f>
        <v/>
      </c>
      <c r="C174" s="765" t="str">
        <f>vlookup(F174,'2) Tracker'!$A$3:$O$410,4,false)</f>
        <v/>
      </c>
      <c r="D174" s="734"/>
      <c r="E174" s="734" t="str">
        <f>vlookup(F174,'2) Tracker'!$A$3:$O$406,15,false)</f>
        <v/>
      </c>
      <c r="F174" s="822" t="s">
        <v>532</v>
      </c>
      <c r="G174" s="783">
        <f>VLOOKUP(F174,'2) Tracker'!$A$2:$BO$360,2,FALSE)</f>
        <v>42485</v>
      </c>
      <c r="H174" s="768">
        <f>VLOOKUP(F174,'2) Tracker'!$A$2:$BO$360,3,FALSE)</f>
        <v>84000</v>
      </c>
      <c r="I174" s="770" t="str">
        <f>VLOOKUP(F174,'2) Tracker'!$A$2:$BO$360,9,FALSE)</f>
        <v>Itochu</v>
      </c>
      <c r="J174" s="770" t="str">
        <f>VLOOKUP(F174,'2) Tracker'!$A$2:$BO$360,12,FALSE)</f>
        <v>East China</v>
      </c>
      <c r="K174" s="771">
        <f t="shared" si="207"/>
        <v>46159</v>
      </c>
      <c r="L174" s="771">
        <f t="shared" ref="L174:O174" si="221">AE174</f>
        <v>46170</v>
      </c>
      <c r="M174" s="771" t="str">
        <f t="shared" si="221"/>
        <v/>
      </c>
      <c r="N174" s="771">
        <f t="shared" si="221"/>
        <v>46143</v>
      </c>
      <c r="O174" s="772" t="str">
        <f t="shared" si="221"/>
        <v/>
      </c>
      <c r="P174" s="773" t="str">
        <f>iferror(if(vlookup(F174,'Voyage days'!$M$808:$N$819,2,false),"GOA",""),"")</f>
        <v/>
      </c>
      <c r="Q174" s="771">
        <f t="shared" si="81"/>
        <v>46145</v>
      </c>
      <c r="R174" s="771">
        <f t="shared" si="83"/>
        <v>46170</v>
      </c>
      <c r="S174" s="774">
        <f t="shared" si="5"/>
        <v>46161</v>
      </c>
      <c r="T174" s="771">
        <f t="shared" si="6"/>
        <v>46154</v>
      </c>
      <c r="U174" s="771">
        <f t="shared" si="84"/>
        <v>46133</v>
      </c>
      <c r="V174" s="771"/>
      <c r="W174" s="771">
        <f t="shared" si="85"/>
        <v>46133.25</v>
      </c>
      <c r="X174" s="775">
        <f t="shared" si="9"/>
        <v>46139</v>
      </c>
      <c r="Y174" s="776"/>
      <c r="Z174" s="777" t="str">
        <f>vlookup(F174,'2) Tracker'!$A$3:$Q$504,16,false)</f>
        <v>in DD since 21 Mar</v>
      </c>
      <c r="AA174" s="777" t="str">
        <f>vlookup(F174,'2) Tracker'!$A$3:$R$504,18,false)</f>
        <v>Itochu 17-18 Jan Nederland</v>
      </c>
      <c r="AB174" s="777" t="str">
        <f>vlookup(F174,'2) Tracker'!$A$3:$Q$504,17,false)</f>
        <v/>
      </c>
      <c r="AC174" s="778"/>
      <c r="AD174" s="778">
        <f>VLOOKUP(F174,'2) Tracker'!$A$2:$BO$980,37,FALSE)</f>
        <v>46159</v>
      </c>
      <c r="AE174" s="778">
        <f>VLOOKUP(F174,'2) Tracker'!$A$2:$BO$980,40,FALSE)</f>
        <v>46170</v>
      </c>
      <c r="AF174" s="778" t="str">
        <f>VLOOKUP(F174,'2) Tracker'!$A$2:$BO$980,67,FALSE)</f>
        <v/>
      </c>
      <c r="AG174" s="778">
        <f>VLOOKUP(F174,'2) Tracker'!$A$2:$BO$980,34,FALSE)</f>
        <v>46143</v>
      </c>
      <c r="AH174" s="778" t="str">
        <f>VLOOKUP(F174,'2) Tracker'!$A$2:$BN$980,66,FALSE)</f>
        <v/>
      </c>
      <c r="AI174" s="779">
        <f>VLOOKUP(F174,'2) Tracker'!$A$2:$BO$980,56,FALSE)</f>
        <v>46133</v>
      </c>
      <c r="AJ174" s="779">
        <f>VLOOKUP(F174,'2) Tracker'!$A$2:$BO$980,52,FALSE)</f>
        <v>46133.25</v>
      </c>
      <c r="AK174" s="779">
        <f>VLOOKUP(F174,'2) Tracker'!$A$2:$AQ$980,43,FALSE)</f>
        <v>46154</v>
      </c>
      <c r="AL174" s="780">
        <f>VLOOKUP(F174,'2) Tracker'!$A$2:$BH$980,46,FALSE())</f>
        <v>46161</v>
      </c>
      <c r="AM174" s="780">
        <f>VLOOKUP(F174,'2) Tracker'!$A$2:$BO$980,65,FALSE())</f>
        <v>46145</v>
      </c>
      <c r="AN174" s="780">
        <f>VLOOKUP(F174,'2) Tracker'!$A$2:$BK$980,63,FALSE())</f>
        <v>46170</v>
      </c>
      <c r="AO174" s="780">
        <f>VLOOKUP(F174,'2) Tracker'!$A$2:$BF$980,58,FALSE())</f>
        <v>46139</v>
      </c>
      <c r="AP174" s="52"/>
      <c r="AQ174" s="52"/>
      <c r="AR174" s="52"/>
      <c r="AS174" s="52"/>
      <c r="AT174" s="52"/>
      <c r="AU174" s="52"/>
      <c r="AV174" s="52"/>
      <c r="AW174" s="52"/>
      <c r="AX174" s="52"/>
      <c r="AY174" s="52"/>
      <c r="AZ174" s="734"/>
      <c r="BA174" s="786" t="str">
        <f>vlookup(AZ174,'Iran, FS'!$A$1:$B$318,2, false)</f>
        <v>#N/A</v>
      </c>
      <c r="BB174" s="787" t="str">
        <f>vlookup(AZ174,'1) Kpler'!$E$2:$F$500,2,false)</f>
        <v>#N/A</v>
      </c>
      <c r="BC174" s="740"/>
      <c r="BD174" s="734"/>
      <c r="BE174" s="52"/>
      <c r="BF174" s="52"/>
      <c r="BG174" s="734"/>
      <c r="BH174" s="734"/>
      <c r="BI174" s="734"/>
      <c r="BJ174" s="734"/>
    </row>
    <row r="175">
      <c r="B175" s="765" t="str">
        <f>vlookup(F175,'2) Tracker'!$A$3:$O$410,5,false)</f>
        <v/>
      </c>
      <c r="C175" s="765" t="str">
        <f>vlookup(F175,'2) Tracker'!$A$3:$O$410,4,false)</f>
        <v/>
      </c>
      <c r="D175" s="732" t="s">
        <v>1515</v>
      </c>
      <c r="E175" s="734" t="str">
        <f>vlookup(F175,'2) Tracker'!$A$3:$O$406,15,false)</f>
        <v/>
      </c>
      <c r="F175" s="797" t="s">
        <v>485</v>
      </c>
      <c r="G175" s="820">
        <v>2017.0</v>
      </c>
      <c r="H175" s="768">
        <f>VLOOKUP(F175,'2) Tracker'!$A$2:$BO$360,3,FALSE)</f>
        <v>78700</v>
      </c>
      <c r="I175" s="777" t="str">
        <f>VLOOKUP(F175,'2) Tracker'!$A$2:$BO$360,9,FALSE)</f>
        <v>Petredec</v>
      </c>
      <c r="J175" s="770" t="str">
        <f>VLOOKUP(F175,'2) Tracker'!$A$2:$BO$360,12,FALSE)</f>
        <v>loads USG</v>
      </c>
      <c r="K175" s="774">
        <f t="shared" si="207"/>
        <v>46160</v>
      </c>
      <c r="L175" s="774">
        <f t="shared" ref="L175:O175" si="222">AE175</f>
        <v>46160</v>
      </c>
      <c r="M175" s="771">
        <f t="shared" si="222"/>
        <v>46192</v>
      </c>
      <c r="N175" s="771" t="str">
        <f t="shared" si="222"/>
        <v/>
      </c>
      <c r="O175" s="772" t="str">
        <f t="shared" si="222"/>
        <v/>
      </c>
      <c r="P175" s="773" t="str">
        <f>iferror(if(vlookup(F175,'Voyage days'!$M$808:$N$819,2,false),"GOA",""),"")</f>
        <v/>
      </c>
      <c r="Q175" s="771" t="str">
        <f t="shared" si="81"/>
        <v/>
      </c>
      <c r="R175" s="774" t="str">
        <f t="shared" si="83"/>
        <v/>
      </c>
      <c r="S175" s="774">
        <f t="shared" si="5"/>
        <v>46180</v>
      </c>
      <c r="T175" s="771" t="str">
        <f t="shared" si="6"/>
        <v/>
      </c>
      <c r="U175" s="774" t="str">
        <f t="shared" si="84"/>
        <v/>
      </c>
      <c r="V175" s="771"/>
      <c r="W175" s="771" t="str">
        <f t="shared" si="85"/>
        <v/>
      </c>
      <c r="X175" s="775" t="str">
        <f t="shared" si="9"/>
        <v/>
      </c>
      <c r="Y175" s="776"/>
      <c r="Z175" s="777" t="str">
        <f>vlookup(F175,'2) Tracker'!$A$3:$Q$504,16,false)</f>
        <v>ETA 1st port Nanao 12 Apr</v>
      </c>
      <c r="AA175" s="777" t="str">
        <f>vlookup(F175,'2) Tracker'!$A$3:$R$504,18,false)</f>
        <v>Exxon 18-19 May USG</v>
      </c>
      <c r="AB175" s="777" t="str">
        <f>vlookup(F175,'2) Tracker'!$A$3:$Q$504,17,false)</f>
        <v/>
      </c>
      <c r="AC175" s="778"/>
      <c r="AD175" s="778">
        <f>VLOOKUP(F175,'2) Tracker'!$A$2:$BO$980,37,FALSE)</f>
        <v>46160</v>
      </c>
      <c r="AE175" s="778">
        <f>VLOOKUP(F175,'2) Tracker'!$A$2:$BO$980,40,FALSE)</f>
        <v>46160</v>
      </c>
      <c r="AF175" s="778">
        <f>VLOOKUP(F175,'2) Tracker'!$A$2:$BO$980,67,FALSE)</f>
        <v>46192</v>
      </c>
      <c r="AG175" s="778" t="str">
        <f>VLOOKUP(F175,'2) Tracker'!$A$2:$BO$980,34,FALSE)</f>
        <v/>
      </c>
      <c r="AH175" s="778" t="str">
        <f>VLOOKUP(F175,'2) Tracker'!$A$2:$BN$980,66,FALSE)</f>
        <v/>
      </c>
      <c r="AI175" s="778" t="str">
        <f>VLOOKUP(F175,'2) Tracker'!$A$2:$BO$980,56,FALSE)</f>
        <v/>
      </c>
      <c r="AJ175" s="778" t="str">
        <f>VLOOKUP(F175,'2) Tracker'!$A$2:$BO$980,52,FALSE)</f>
        <v/>
      </c>
      <c r="AK175" s="778" t="str">
        <f>VLOOKUP(F175,'2) Tracker'!$A$2:$AQ$980,43,FALSE)</f>
        <v/>
      </c>
      <c r="AL175" s="778">
        <f>VLOOKUP(F175,'2) Tracker'!$A$2:$BH$980,46,FALSE())</f>
        <v>46180</v>
      </c>
      <c r="AM175" s="778" t="str">
        <f>VLOOKUP(F175,'2) Tracker'!$A$2:$BO$980,65,FALSE())</f>
        <v/>
      </c>
      <c r="AN175" s="778" t="str">
        <f>VLOOKUP(F175,'2) Tracker'!$A$2:$BK$980,63,FALSE())</f>
        <v/>
      </c>
      <c r="AO175" s="778" t="str">
        <f>VLOOKUP(F175,'2) Tracker'!$A$2:$BF$980,58,FALSE())</f>
        <v/>
      </c>
      <c r="AP175" s="52"/>
      <c r="AQ175" s="52"/>
      <c r="AR175" s="52"/>
      <c r="AS175" s="52"/>
      <c r="AT175" s="52"/>
      <c r="AU175" s="52"/>
      <c r="AV175" s="52"/>
      <c r="AW175" s="52"/>
      <c r="AX175" s="52"/>
      <c r="AY175" s="52"/>
      <c r="AZ175" s="787"/>
      <c r="BA175" s="786" t="str">
        <f>vlookup(AZ175,'Iran, FS'!$A$1:$B$318,2, false)</f>
        <v>#N/A</v>
      </c>
      <c r="BB175" s="787" t="str">
        <f>vlookup(AZ175,'1) Kpler'!$E$2:$F$500,2,false)</f>
        <v>#N/A</v>
      </c>
      <c r="BC175" s="798" t="s">
        <v>1572</v>
      </c>
      <c r="BD175" s="787"/>
      <c r="BE175" s="52"/>
      <c r="BF175" s="52"/>
      <c r="BG175" s="787"/>
      <c r="BH175" s="787"/>
      <c r="BI175" s="787"/>
      <c r="BJ175" s="787"/>
    </row>
    <row r="176">
      <c r="B176" s="765" t="str">
        <f>vlookup(F176,'2) Tracker'!$A$3:$O$410,5,false)</f>
        <v/>
      </c>
      <c r="C176" s="765" t="str">
        <f>vlookup(F176,'2) Tracker'!$A$3:$O$410,4,false)</f>
        <v/>
      </c>
      <c r="D176" s="732" t="s">
        <v>1515</v>
      </c>
      <c r="E176" s="734" t="str">
        <f>vlookup(F176,'2) Tracker'!$A$3:$O$406,15,false)</f>
        <v/>
      </c>
      <c r="F176" s="797" t="s">
        <v>569</v>
      </c>
      <c r="G176" s="799">
        <f>VLOOKUP(F176,'2) Tracker'!$A$2:$BO$360,2,FALSE)</f>
        <v>2017</v>
      </c>
      <c r="H176" s="768">
        <f>VLOOKUP(F176,'2) Tracker'!$A$2:$BO$360,3,FALSE)</f>
        <v>79329</v>
      </c>
      <c r="I176" s="777" t="str">
        <f>VLOOKUP(F176,'2) Tracker'!$A$2:$BO$360,9,FALSE)</f>
        <v>BWPS</v>
      </c>
      <c r="J176" s="770" t="str">
        <f>VLOOKUP(F176,'2) Tracker'!$A$2:$BO$360,12,FALSE)</f>
        <v>loads USG</v>
      </c>
      <c r="K176" s="771">
        <f t="shared" si="207"/>
        <v>46160</v>
      </c>
      <c r="L176" s="771">
        <f t="shared" ref="L176:O176" si="223">AE176</f>
        <v>46160</v>
      </c>
      <c r="M176" s="771">
        <f t="shared" si="223"/>
        <v>46192</v>
      </c>
      <c r="N176" s="772" t="str">
        <f t="shared" si="223"/>
        <v/>
      </c>
      <c r="O176" s="772" t="str">
        <f t="shared" si="223"/>
        <v/>
      </c>
      <c r="P176" s="773" t="str">
        <f>iferror(if(vlookup(F176,'Voyage days'!$M$808:$N$819,2,false),"GOA",""),"")</f>
        <v/>
      </c>
      <c r="Q176" s="771" t="str">
        <f t="shared" si="81"/>
        <v/>
      </c>
      <c r="R176" s="771" t="str">
        <f t="shared" si="83"/>
        <v/>
      </c>
      <c r="S176" s="774">
        <f t="shared" si="5"/>
        <v>46180</v>
      </c>
      <c r="T176" s="771" t="str">
        <f t="shared" si="6"/>
        <v/>
      </c>
      <c r="U176" s="771" t="str">
        <f t="shared" si="84"/>
        <v/>
      </c>
      <c r="V176" s="745" t="s">
        <v>1523</v>
      </c>
      <c r="W176" s="771" t="str">
        <f t="shared" si="85"/>
        <v/>
      </c>
      <c r="X176" s="775" t="str">
        <f t="shared" si="9"/>
        <v/>
      </c>
      <c r="Y176" s="796"/>
      <c r="Z176" s="777" t="str">
        <f>vlookup(F176,'2) Tracker'!$A$3:$Q$504,16,false)</f>
        <v>ETA Balboa 05 May</v>
      </c>
      <c r="AA176" s="777" t="str">
        <f>vlookup(F176,'2) Tracker'!$A$3:$R$504,18,false)</f>
        <v>STL 18-19 May USG</v>
      </c>
      <c r="AB176" s="777" t="str">
        <f>vlookup(F176,'2) Tracker'!$A$3:$Q$504,17,false)</f>
        <v/>
      </c>
      <c r="AC176" s="778"/>
      <c r="AD176" s="778">
        <f>VLOOKUP(F176,'2) Tracker'!$A$2:$BO$980,37,FALSE)</f>
        <v>46160</v>
      </c>
      <c r="AE176" s="778">
        <f>VLOOKUP(F176,'2) Tracker'!$A$2:$BO$980,40,FALSE)</f>
        <v>46160</v>
      </c>
      <c r="AF176" s="778">
        <f>VLOOKUP(F176,'2) Tracker'!$A$2:$BO$980,67,FALSE)</f>
        <v>46192</v>
      </c>
      <c r="AG176" s="778" t="str">
        <f>VLOOKUP(F176,'2) Tracker'!$A$2:$BO$980,34,FALSE)</f>
        <v/>
      </c>
      <c r="AH176" s="778" t="str">
        <f>VLOOKUP(F176,'2) Tracker'!$A$2:$BN$980,66,FALSE)</f>
        <v/>
      </c>
      <c r="AI176" s="778" t="str">
        <f>VLOOKUP(F176,'2) Tracker'!$A$2:$BO$980,56,FALSE)</f>
        <v/>
      </c>
      <c r="AJ176" s="778" t="str">
        <f>VLOOKUP(F176,'2) Tracker'!$A$2:$BO$980,52,FALSE)</f>
        <v/>
      </c>
      <c r="AK176" s="778" t="str">
        <f>VLOOKUP(F176,'2) Tracker'!$A$2:$AQ$980,43,FALSE)</f>
        <v/>
      </c>
      <c r="AL176" s="778">
        <f>VLOOKUP(F176,'2) Tracker'!$A$2:$BH$980,46,FALSE())</f>
        <v>46180</v>
      </c>
      <c r="AM176" s="778" t="str">
        <f>VLOOKUP(F176,'2) Tracker'!$A$2:$BO$980,65,FALSE())</f>
        <v/>
      </c>
      <c r="AN176" s="778" t="str">
        <f>VLOOKUP(F176,'2) Tracker'!$A$2:$BK$980,63,FALSE())</f>
        <v/>
      </c>
      <c r="AO176" s="778" t="str">
        <f>VLOOKUP(F176,'2) Tracker'!$A$2:$BF$980,58,FALSE())</f>
        <v/>
      </c>
      <c r="AP176" s="52"/>
      <c r="AQ176" s="52"/>
      <c r="AR176" s="52"/>
      <c r="AS176" s="52"/>
      <c r="AT176" s="52"/>
      <c r="AU176" s="52"/>
      <c r="AV176" s="52"/>
      <c r="AW176" s="52"/>
      <c r="AX176" s="52"/>
      <c r="AY176" s="52"/>
      <c r="AZ176" s="734"/>
      <c r="BA176" s="786" t="str">
        <f>vlookup(AZ176,'Iran, FS'!$A$1:$B$318,2, false)</f>
        <v>#N/A</v>
      </c>
      <c r="BB176" s="787" t="str">
        <f>vlookup(AZ176,'1) Kpler'!$E$2:$F$500,2,false)</f>
        <v>#N/A</v>
      </c>
      <c r="BC176" s="740"/>
      <c r="BD176" s="734"/>
      <c r="BE176" s="52"/>
      <c r="BF176" s="52"/>
      <c r="BG176" s="734"/>
      <c r="BH176" s="734"/>
      <c r="BI176" s="734"/>
      <c r="BJ176" s="734"/>
    </row>
    <row r="177">
      <c r="B177" s="765" t="str">
        <f>vlookup(F177,'2) Tracker'!$A$3:$O$410,5,false)</f>
        <v/>
      </c>
      <c r="C177" s="765" t="str">
        <f>vlookup(F177,'2) Tracker'!$A$3:$O$410,4,false)</f>
        <v/>
      </c>
      <c r="D177" s="734"/>
      <c r="E177" s="734" t="str">
        <f>vlookup(F177,'2) Tracker'!$A$3:$O$406,15,false)</f>
        <v>R?</v>
      </c>
      <c r="F177" s="740" t="s">
        <v>542</v>
      </c>
      <c r="G177" s="783">
        <f>VLOOKUP(F177,'2) Tracker'!$A$2:$BO$360,2,FALSE)</f>
        <v>42459</v>
      </c>
      <c r="H177" s="768">
        <f>VLOOKUP(F177,'2) Tracker'!$A$2:$BO$360,3,FALSE)</f>
        <v>82200</v>
      </c>
      <c r="I177" s="770" t="str">
        <f>VLOOKUP(F177,'2) Tracker'!$A$2:$BO$360,9,FALSE)</f>
        <v>Nep-Asto-NSU-Itochu</v>
      </c>
      <c r="J177" s="770" t="str">
        <f>VLOOKUP(F177,'2) Tracker'!$A$2:$BO$360,12,FALSE)</f>
        <v>Singapore ballast</v>
      </c>
      <c r="K177" s="771">
        <f t="shared" si="207"/>
        <v>46160</v>
      </c>
      <c r="L177" s="771">
        <f t="shared" ref="L177:O177" si="224">AE177</f>
        <v>46161</v>
      </c>
      <c r="M177" s="771" t="str">
        <f t="shared" si="224"/>
        <v/>
      </c>
      <c r="N177" s="771">
        <f t="shared" si="224"/>
        <v>46137</v>
      </c>
      <c r="O177" s="772" t="str">
        <f t="shared" si="224"/>
        <v/>
      </c>
      <c r="P177" s="773" t="str">
        <f>iferror(if(vlookup(F177,'Voyage days'!$M$808:$N$819,2,false),"GOA",""),"")</f>
        <v/>
      </c>
      <c r="Q177" s="772">
        <f t="shared" si="81"/>
        <v>46141</v>
      </c>
      <c r="R177" s="771">
        <f t="shared" si="83"/>
        <v>46164</v>
      </c>
      <c r="S177" s="774">
        <f t="shared" si="5"/>
        <v>46155</v>
      </c>
      <c r="T177" s="771">
        <f t="shared" si="6"/>
        <v>46147</v>
      </c>
      <c r="U177" s="771">
        <f t="shared" si="84"/>
        <v>46128</v>
      </c>
      <c r="V177" s="771"/>
      <c r="W177" s="771">
        <f t="shared" si="85"/>
        <v>46132.25</v>
      </c>
      <c r="X177" s="775" t="str">
        <f t="shared" si="9"/>
        <v/>
      </c>
      <c r="Y177" s="795"/>
      <c r="Z177" s="777" t="str">
        <f>vlookup(F177,'2) Tracker'!$A$3:$Q$504,16,false)</f>
        <v>ex DD, ETA Singapore 15 Apr</v>
      </c>
      <c r="AA177" s="777" t="str">
        <f>vlookup(F177,'2) Tracker'!$A$3:$R$504,18,false)</f>
        <v>Inpex 17-18 Feb Darwin</v>
      </c>
      <c r="AB177" s="777" t="str">
        <f>vlookup(F177,'2) Tracker'!$A$3:$Q$504,17,false)</f>
        <v/>
      </c>
      <c r="AC177" s="778"/>
      <c r="AD177" s="778">
        <f>VLOOKUP(F177,'2) Tracker'!$A$2:$BO$980,37,FALSE)</f>
        <v>46160</v>
      </c>
      <c r="AE177" s="778">
        <f>VLOOKUP(F177,'2) Tracker'!$A$2:$BO$980,40,FALSE)</f>
        <v>46161</v>
      </c>
      <c r="AF177" s="778" t="str">
        <f>VLOOKUP(F177,'2) Tracker'!$A$2:$BO$980,67,FALSE)</f>
        <v/>
      </c>
      <c r="AG177" s="778">
        <f>VLOOKUP(F177,'2) Tracker'!$A$2:$BO$980,34,FALSE)</f>
        <v>46137</v>
      </c>
      <c r="AH177" s="778" t="str">
        <f>VLOOKUP(F177,'2) Tracker'!$A$2:$BN$980,66,FALSE)</f>
        <v/>
      </c>
      <c r="AI177" s="778">
        <f>VLOOKUP(F177,'2) Tracker'!$A$2:$BO$980,56,FALSE)</f>
        <v>46128</v>
      </c>
      <c r="AJ177" s="778">
        <f>VLOOKUP(F177,'2) Tracker'!$A$2:$BO$980,52,FALSE)</f>
        <v>46132.25</v>
      </c>
      <c r="AK177" s="778">
        <f>VLOOKUP(F177,'2) Tracker'!$A$2:$AQ$980,43,FALSE)</f>
        <v>46147</v>
      </c>
      <c r="AL177" s="778">
        <f>VLOOKUP(F177,'2) Tracker'!$A$2:$BH$980,46,FALSE())</f>
        <v>46155</v>
      </c>
      <c r="AM177" s="778">
        <f>VLOOKUP(F177,'2) Tracker'!$A$2:$BO$980,65,FALSE())</f>
        <v>46141</v>
      </c>
      <c r="AN177" s="778">
        <f>VLOOKUP(F177,'2) Tracker'!$A$2:$BK$980,63,FALSE())</f>
        <v>46164</v>
      </c>
      <c r="AO177" s="778" t="str">
        <f>VLOOKUP(F177,'2) Tracker'!$A$2:$BF$980,58,FALSE())</f>
        <v/>
      </c>
      <c r="AP177" s="52"/>
      <c r="AQ177" s="52"/>
      <c r="AR177" s="52"/>
      <c r="AS177" s="52"/>
      <c r="AT177" s="52"/>
      <c r="AU177" s="52"/>
      <c r="AV177" s="52"/>
      <c r="AW177" s="52"/>
      <c r="AX177" s="52"/>
      <c r="AY177" s="52"/>
      <c r="AZ177" s="787"/>
      <c r="BA177" s="786" t="str">
        <f>vlookup(AZ177,'Iran, FS'!$A$1:$B$318,2, false)</f>
        <v>#N/A</v>
      </c>
      <c r="BB177" s="787" t="str">
        <f>vlookup(AZ177,'1) Kpler'!$E$2:$F$500,2,false)</f>
        <v>#N/A</v>
      </c>
      <c r="BC177" s="788"/>
      <c r="BD177" s="787"/>
      <c r="BE177" s="52"/>
      <c r="BF177" s="52"/>
      <c r="BG177" s="787"/>
      <c r="BH177" s="787"/>
      <c r="BI177" s="787"/>
      <c r="BJ177" s="787"/>
    </row>
    <row r="178">
      <c r="B178" s="765" t="str">
        <f>vlookup(F178,'2) Tracker'!$A$3:$O$410,5,false)</f>
        <v/>
      </c>
      <c r="C178" s="765" t="str">
        <f>vlookup(F178,'2) Tracker'!$A$3:$O$410,4,false)</f>
        <v/>
      </c>
      <c r="D178" s="734"/>
      <c r="E178" s="734" t="str">
        <f>vlookup(F178,'2) Tracker'!$A$3:$O$406,15,false)</f>
        <v/>
      </c>
      <c r="F178" s="788" t="s">
        <v>1398</v>
      </c>
      <c r="G178" s="783">
        <f>VLOOKUP(F178,'2) Tracker'!$A$2:$BO$360,2,FALSE)</f>
        <v>42501</v>
      </c>
      <c r="H178" s="768">
        <f>VLOOKUP(F178,'2) Tracker'!$A$2:$BO$360,3,FALSE)</f>
        <v>84134</v>
      </c>
      <c r="I178" s="770" t="str">
        <f>VLOOKUP(F178,'2) Tracker'!$A$2:$BO$360,9,FALSE)</f>
        <v>ATC &gt; BW?</v>
      </c>
      <c r="J178" s="770" t="str">
        <f>VLOOKUP(F178,'2) Tracker'!$A$2:$BO$360,12,FALSE)</f>
        <v>Korea</v>
      </c>
      <c r="K178" s="774">
        <f t="shared" si="207"/>
        <v>46160</v>
      </c>
      <c r="L178" s="774">
        <f t="shared" ref="L178:O178" si="225">AE178</f>
        <v>46167</v>
      </c>
      <c r="M178" s="771" t="str">
        <f t="shared" si="225"/>
        <v/>
      </c>
      <c r="N178" s="771">
        <f t="shared" si="225"/>
        <v>46144</v>
      </c>
      <c r="O178" s="772" t="str">
        <f t="shared" si="225"/>
        <v/>
      </c>
      <c r="P178" s="773" t="str">
        <f>iferror(if(vlookup(F178,'Voyage days'!$M$808:$N$819,2,false),"GOA",""),"")</f>
        <v/>
      </c>
      <c r="Q178" s="771">
        <f t="shared" si="81"/>
        <v>46146</v>
      </c>
      <c r="R178" s="774">
        <f t="shared" si="83"/>
        <v>46171</v>
      </c>
      <c r="S178" s="774">
        <f t="shared" si="5"/>
        <v>46161</v>
      </c>
      <c r="T178" s="771">
        <f t="shared" si="6"/>
        <v>46155</v>
      </c>
      <c r="U178" s="774">
        <f t="shared" si="84"/>
        <v>46134</v>
      </c>
      <c r="V178" s="771"/>
      <c r="W178" s="771">
        <f t="shared" si="85"/>
        <v>46134</v>
      </c>
      <c r="X178" s="775">
        <f t="shared" si="9"/>
        <v>46137</v>
      </c>
      <c r="Y178" s="776"/>
      <c r="Z178" s="777" t="str">
        <f>vlookup(F178,'2) Tracker'!$A$3:$Q$504,16,false)</f>
        <v>ETA Yeosu 14 Apr bunkers</v>
      </c>
      <c r="AA178" s="777" t="str">
        <f>vlookup(F178,'2) Tracker'!$A$3:$R$504,18,false)</f>
        <v>Equinor 26-27 Feb Enterprise (India opt)</v>
      </c>
      <c r="AB178" s="777" t="str">
        <f>vlookup(F178,'2) Tracker'!$A$3:$Q$504,17,false)</f>
        <v/>
      </c>
      <c r="AC178" s="778"/>
      <c r="AD178" s="778">
        <f>VLOOKUP(F178,'2) Tracker'!$A$2:$BO$980,37,FALSE)</f>
        <v>46160</v>
      </c>
      <c r="AE178" s="778">
        <f>VLOOKUP(F178,'2) Tracker'!$A$2:$BO$980,40,FALSE)</f>
        <v>46167</v>
      </c>
      <c r="AF178" s="778" t="str">
        <f>VLOOKUP(F178,'2) Tracker'!$A$2:$BO$980,67,FALSE)</f>
        <v/>
      </c>
      <c r="AG178" s="778">
        <f>VLOOKUP(F178,'2) Tracker'!$A$2:$BO$980,34,FALSE)</f>
        <v>46144</v>
      </c>
      <c r="AH178" s="778" t="str">
        <f>VLOOKUP(F178,'2) Tracker'!$A$2:$BN$980,66,FALSE)</f>
        <v/>
      </c>
      <c r="AI178" s="778">
        <f>VLOOKUP(F178,'2) Tracker'!$A$2:$BO$980,56,FALSE)</f>
        <v>46134</v>
      </c>
      <c r="AJ178" s="778">
        <f>VLOOKUP(F178,'2) Tracker'!$A$2:$BO$980,52,FALSE)</f>
        <v>46134</v>
      </c>
      <c r="AK178" s="778">
        <f>VLOOKUP(F178,'2) Tracker'!$A$2:$AQ$980,43,FALSE)</f>
        <v>46155</v>
      </c>
      <c r="AL178" s="778">
        <f>VLOOKUP(F178,'2) Tracker'!$A$2:$BH$980,46,FALSE())</f>
        <v>46161</v>
      </c>
      <c r="AM178" s="778">
        <f>VLOOKUP(F178,'2) Tracker'!$A$2:$BO$980,65,FALSE())</f>
        <v>46146</v>
      </c>
      <c r="AN178" s="778">
        <f>VLOOKUP(F178,'2) Tracker'!$A$2:$BK$980,63,FALSE())</f>
        <v>46171</v>
      </c>
      <c r="AO178" s="778">
        <f>VLOOKUP(F178,'2) Tracker'!$A$2:$BF$980,58,FALSE())</f>
        <v>46137</v>
      </c>
      <c r="AP178" s="52"/>
      <c r="AQ178" s="52"/>
      <c r="AR178" s="52"/>
      <c r="AS178" s="52"/>
      <c r="AT178" s="52"/>
      <c r="AU178" s="52"/>
      <c r="AV178" s="809" t="s">
        <v>1510</v>
      </c>
      <c r="AW178" s="52"/>
      <c r="AX178" s="52"/>
      <c r="AY178" s="52"/>
      <c r="AZ178" s="787"/>
      <c r="BA178" s="786" t="str">
        <f>vlookup(AZ178,'Iran, FS'!$A$1:$B$318,2, false)</f>
        <v>#N/A</v>
      </c>
      <c r="BB178" s="787" t="str">
        <f>vlookup(AZ178,'1) Kpler'!$E$2:$F$500,2,false)</f>
        <v>#N/A</v>
      </c>
      <c r="BC178" s="798" t="s">
        <v>1534</v>
      </c>
      <c r="BD178" s="787"/>
      <c r="BE178" s="52"/>
      <c r="BF178" s="52"/>
      <c r="BG178" s="787"/>
      <c r="BH178" s="787"/>
      <c r="BI178" s="787"/>
      <c r="BJ178" s="787"/>
    </row>
    <row r="179">
      <c r="B179" s="765" t="str">
        <f>vlookup(F179,'2) Tracker'!$A$3:$O$410,5,false)</f>
        <v/>
      </c>
      <c r="C179" s="765" t="str">
        <f>vlookup(F179,'2) Tracker'!$A$3:$O$410,4,false)</f>
        <v>US</v>
      </c>
      <c r="D179" s="734"/>
      <c r="E179" s="734" t="str">
        <f>vlookup(F179,'2) Tracker'!$A$3:$O$406,15,false)</f>
        <v>O?</v>
      </c>
      <c r="F179" s="788" t="s">
        <v>200</v>
      </c>
      <c r="G179" s="783">
        <f>VLOOKUP(F179,'2) Tracker'!$A$2:$BO$360,2,FALSE)</f>
        <v>42171</v>
      </c>
      <c r="H179" s="768">
        <f>VLOOKUP(F179,'2) Tracker'!$A$2:$BO$360,3,FALSE)</f>
        <v>84000</v>
      </c>
      <c r="I179" s="769" t="str">
        <f>VLOOKUP(F179,'2) Tracker'!$A$2:$BO$360,9,FALSE)</f>
        <v>Helios</v>
      </c>
      <c r="J179" s="770" t="str">
        <f>VLOOKUP(F179,'2) Tracker'!$A$2:$BO$360,12,FALSE)</f>
        <v>Balboa</v>
      </c>
      <c r="K179" s="771">
        <f t="shared" si="207"/>
        <v>46160</v>
      </c>
      <c r="L179" s="771" t="str">
        <f t="shared" ref="L179:O179" si="226">AE179</f>
        <v/>
      </c>
      <c r="M179" s="771" t="str">
        <f t="shared" si="226"/>
        <v/>
      </c>
      <c r="N179" s="771" t="str">
        <f t="shared" si="226"/>
        <v/>
      </c>
      <c r="O179" s="772" t="str">
        <f t="shared" si="226"/>
        <v/>
      </c>
      <c r="P179" s="773" t="str">
        <f>iferror(if(vlookup(F179,'Voyage days'!$M$808:$N$819,2,false),"GOA",""),"")</f>
        <v/>
      </c>
      <c r="Q179" s="771" t="str">
        <f t="shared" si="81"/>
        <v/>
      </c>
      <c r="R179" s="771" t="str">
        <f t="shared" si="83"/>
        <v/>
      </c>
      <c r="S179" s="774" t="str">
        <f t="shared" si="5"/>
        <v/>
      </c>
      <c r="T179" s="771" t="str">
        <f t="shared" si="6"/>
        <v/>
      </c>
      <c r="U179" s="771" t="str">
        <f t="shared" si="84"/>
        <v/>
      </c>
      <c r="V179" s="771"/>
      <c r="W179" s="771" t="str">
        <f t="shared" si="85"/>
        <v/>
      </c>
      <c r="X179" s="775" t="str">
        <f t="shared" si="9"/>
        <v/>
      </c>
      <c r="Y179" s="776"/>
      <c r="Z179" s="777" t="str">
        <f>vlookup(F179,'2) Tracker'!$A$3:$Q$504,16,false)</f>
        <v>ETA Balboa 07 May</v>
      </c>
      <c r="AA179" s="777" t="str">
        <f>vlookup(F179,'2) Tracker'!$A$3:$R$504,18,false)</f>
        <v>Unipec 23-24 Feb Enterprise</v>
      </c>
      <c r="AB179" s="777" t="str">
        <f>vlookup(F179,'2) Tracker'!$A$3:$Q$504,17,false)</f>
        <v/>
      </c>
      <c r="AC179" s="778"/>
      <c r="AD179" s="778">
        <f>VLOOKUP(F179,'2) Tracker'!$A$2:$BO$980,37,FALSE)</f>
        <v>46160</v>
      </c>
      <c r="AE179" s="778" t="str">
        <f>VLOOKUP(F179,'2) Tracker'!$A$2:$BO$980,40,FALSE)</f>
        <v/>
      </c>
      <c r="AF179" s="778" t="str">
        <f>VLOOKUP(F179,'2) Tracker'!$A$2:$BO$980,67,FALSE)</f>
        <v/>
      </c>
      <c r="AG179" s="778" t="str">
        <f>VLOOKUP(F179,'2) Tracker'!$A$2:$BO$980,34,FALSE)</f>
        <v/>
      </c>
      <c r="AH179" s="778" t="str">
        <f>VLOOKUP(F179,'2) Tracker'!$A$2:$BN$980,66,FALSE)</f>
        <v/>
      </c>
      <c r="AI179" s="778" t="str">
        <f>VLOOKUP(F179,'2) Tracker'!$A$2:$BO$980,56,FALSE)</f>
        <v/>
      </c>
      <c r="AJ179" s="778" t="str">
        <f>VLOOKUP(F179,'2) Tracker'!$A$2:$BO$980,52,FALSE)</f>
        <v/>
      </c>
      <c r="AK179" s="778" t="str">
        <f>VLOOKUP(F179,'2) Tracker'!$A$2:$AQ$980,43,FALSE)</f>
        <v/>
      </c>
      <c r="AL179" s="778" t="str">
        <f>VLOOKUP(F179,'2) Tracker'!$A$2:$BH$980,46,FALSE())</f>
        <v/>
      </c>
      <c r="AM179" s="778" t="str">
        <f>VLOOKUP(F179,'2) Tracker'!$A$2:$BO$980,65,FALSE())</f>
        <v/>
      </c>
      <c r="AN179" s="778" t="str">
        <f>VLOOKUP(F179,'2) Tracker'!$A$2:$BK$980,63,FALSE())</f>
        <v/>
      </c>
      <c r="AO179" s="778" t="str">
        <f>VLOOKUP(F179,'2) Tracker'!$A$2:$BF$980,58,FALSE())</f>
        <v/>
      </c>
      <c r="AP179" s="52"/>
      <c r="AQ179" s="52"/>
      <c r="AR179" s="52"/>
      <c r="AS179" s="52"/>
      <c r="AT179" s="52"/>
      <c r="AU179" s="52"/>
      <c r="AV179" s="52"/>
      <c r="AW179" s="52"/>
      <c r="AX179" s="52"/>
      <c r="AY179" s="52"/>
      <c r="AZ179" s="787"/>
      <c r="BA179" s="786" t="str">
        <f>vlookup(AZ179,'Iran, FS'!$A$1:$B$318,2, false)</f>
        <v>#N/A</v>
      </c>
      <c r="BB179" s="787" t="str">
        <f>vlookup(AZ179,'1) Kpler'!$E$2:$F$500,2,false)</f>
        <v>#N/A</v>
      </c>
      <c r="BC179" s="788"/>
      <c r="BD179" s="787"/>
      <c r="BE179" s="52"/>
      <c r="BF179" s="52"/>
      <c r="BG179" s="787"/>
      <c r="BH179" s="787"/>
      <c r="BI179" s="787"/>
      <c r="BJ179" s="787"/>
    </row>
    <row r="180">
      <c r="B180" s="765" t="str">
        <f>vlookup(F180,'2) Tracker'!$A$3:$O$410,5,false)</f>
        <v/>
      </c>
      <c r="C180" s="765" t="str">
        <f>vlookup(F180,'2) Tracker'!$A$3:$O$410,4,false)</f>
        <v/>
      </c>
      <c r="D180" s="734"/>
      <c r="E180" s="734" t="str">
        <f>vlookup(F180,'2) Tracker'!$A$3:$O$406,15,false)</f>
        <v/>
      </c>
      <c r="F180" s="788" t="s">
        <v>223</v>
      </c>
      <c r="G180" s="783">
        <f>VLOOKUP(F180,'2) Tracker'!$A$2:$BO$360,2,FALSE)</f>
        <v>42752</v>
      </c>
      <c r="H180" s="768">
        <f>VLOOKUP(F180,'2) Tracker'!$A$2:$BO$360,3,FALSE)</f>
        <v>81653</v>
      </c>
      <c r="I180" s="770" t="str">
        <f>VLOOKUP(F180,'2) Tracker'!$A$2:$BO$360,9,FALSE)</f>
        <v>BW</v>
      </c>
      <c r="J180" s="770" t="str">
        <f>VLOOKUP(F180,'2) Tracker'!$A$2:$BO$360,12,FALSE)</f>
        <v>Korea</v>
      </c>
      <c r="K180" s="774">
        <f t="shared" si="207"/>
        <v>46161</v>
      </c>
      <c r="L180" s="774">
        <f t="shared" ref="L180:O180" si="227">AE180</f>
        <v>46168</v>
      </c>
      <c r="M180" s="771" t="str">
        <f t="shared" si="227"/>
        <v/>
      </c>
      <c r="N180" s="771">
        <f t="shared" si="227"/>
        <v>46145</v>
      </c>
      <c r="O180" s="772" t="str">
        <f t="shared" si="227"/>
        <v/>
      </c>
      <c r="P180" s="773" t="str">
        <f>iferror(if(vlookup(F180,'Voyage days'!$M$808:$N$819,2,false),"GOA",""),"")</f>
        <v/>
      </c>
      <c r="Q180" s="771">
        <f t="shared" si="81"/>
        <v>46147</v>
      </c>
      <c r="R180" s="774">
        <f t="shared" si="83"/>
        <v>46172</v>
      </c>
      <c r="S180" s="774">
        <f t="shared" si="5"/>
        <v>46162</v>
      </c>
      <c r="T180" s="771">
        <f t="shared" si="6"/>
        <v>46156</v>
      </c>
      <c r="U180" s="774">
        <f t="shared" si="84"/>
        <v>46135</v>
      </c>
      <c r="V180" s="771"/>
      <c r="W180" s="771">
        <f t="shared" si="85"/>
        <v>46135</v>
      </c>
      <c r="X180" s="775">
        <f t="shared" si="9"/>
        <v>46138</v>
      </c>
      <c r="Y180" s="784"/>
      <c r="Z180" s="777" t="str">
        <f>vlookup(F180,'2) Tracker'!$A$3:$Q$504,16,false)</f>
        <v>ETA 1st port Yeosu 12 Apr</v>
      </c>
      <c r="AA180" s="777" t="str">
        <f>vlookup(F180,'2) Tracker'!$A$3:$R$504,18,false)</f>
        <v>Altagas 27-28 Mar RIPET</v>
      </c>
      <c r="AB180" s="777" t="str">
        <f>vlookup(F180,'2) Tracker'!$A$3:$Q$504,17,false)</f>
        <v/>
      </c>
      <c r="AC180" s="778"/>
      <c r="AD180" s="778">
        <f>VLOOKUP(F180,'2) Tracker'!$A$2:$BO$980,37,FALSE)</f>
        <v>46161</v>
      </c>
      <c r="AE180" s="778">
        <f>VLOOKUP(F180,'2) Tracker'!$A$2:$BO$980,40,FALSE)</f>
        <v>46168</v>
      </c>
      <c r="AF180" s="778" t="str">
        <f>VLOOKUP(F180,'2) Tracker'!$A$2:$BO$980,67,FALSE)</f>
        <v/>
      </c>
      <c r="AG180" s="778">
        <f>VLOOKUP(F180,'2) Tracker'!$A$2:$BO$980,34,FALSE)</f>
        <v>46145</v>
      </c>
      <c r="AH180" s="778" t="str">
        <f>VLOOKUP(F180,'2) Tracker'!$A$2:$BN$980,66,FALSE)</f>
        <v/>
      </c>
      <c r="AI180" s="778">
        <f>VLOOKUP(F180,'2) Tracker'!$A$2:$BO$980,56,FALSE)</f>
        <v>46135</v>
      </c>
      <c r="AJ180" s="778">
        <f>VLOOKUP(F180,'2) Tracker'!$A$2:$BO$980,52,FALSE)</f>
        <v>46135</v>
      </c>
      <c r="AK180" s="778">
        <f>VLOOKUP(F180,'2) Tracker'!$A$2:$AQ$980,43,FALSE)</f>
        <v>46156</v>
      </c>
      <c r="AL180" s="778">
        <f>VLOOKUP(F180,'2) Tracker'!$A$2:$BH$980,46,FALSE())</f>
        <v>46162</v>
      </c>
      <c r="AM180" s="778">
        <f>VLOOKUP(F180,'2) Tracker'!$A$2:$BO$980,65,FALSE())</f>
        <v>46147</v>
      </c>
      <c r="AN180" s="778">
        <f>VLOOKUP(F180,'2) Tracker'!$A$2:$BK$980,63,FALSE())</f>
        <v>46172</v>
      </c>
      <c r="AO180" s="778">
        <f>VLOOKUP(F180,'2) Tracker'!$A$2:$BF$980,58,FALSE())</f>
        <v>46138</v>
      </c>
      <c r="AP180" s="52"/>
      <c r="AQ180" s="52"/>
      <c r="AR180" s="52"/>
      <c r="AS180" s="52"/>
      <c r="AT180" s="52"/>
      <c r="AU180" s="52"/>
      <c r="AV180" s="52"/>
      <c r="AW180" s="52"/>
      <c r="AX180" s="52"/>
      <c r="AY180" s="52"/>
      <c r="AZ180" s="787"/>
      <c r="BA180" s="786" t="str">
        <f>vlookup(AZ180,'Iran, FS'!$A$1:$B$318,2, false)</f>
        <v>#N/A</v>
      </c>
      <c r="BB180" s="787" t="str">
        <f>vlookup(AZ180,'1) Kpler'!$E$2:$F$500,2,false)</f>
        <v>#N/A</v>
      </c>
      <c r="BC180" s="788"/>
      <c r="BD180" s="787"/>
      <c r="BE180" s="52"/>
      <c r="BF180" s="52"/>
      <c r="BG180" s="787"/>
      <c r="BH180" s="787"/>
      <c r="BI180" s="787"/>
      <c r="BJ180" s="787"/>
    </row>
    <row r="181">
      <c r="B181" s="765" t="str">
        <f>vlookup(F181,'2) Tracker'!$A$3:$O$410,5,false)</f>
        <v>C</v>
      </c>
      <c r="C181" s="765" t="str">
        <f>vlookup(F181,'2) Tracker'!$A$3:$O$410,4,false)</f>
        <v/>
      </c>
      <c r="D181" s="734"/>
      <c r="E181" s="734" t="str">
        <f>vlookup(F181,'2) Tracker'!$A$3:$O$406,15,false)</f>
        <v/>
      </c>
      <c r="F181" s="798" t="s">
        <v>1345</v>
      </c>
      <c r="G181" s="789">
        <f>VLOOKUP(F181,'2) Tracker'!$A$2:$BO$360,2,FALSE)</f>
        <v>2022</v>
      </c>
      <c r="H181" s="768">
        <f>VLOOKUP(F181,'2) Tracker'!$A$2:$BO$360,3,FALSE)</f>
        <v>91000</v>
      </c>
      <c r="I181" s="777" t="str">
        <f>VLOOKUP(F181,'2) Tracker'!$A$2:$BO$360,9,FALSE)</f>
        <v>BW</v>
      </c>
      <c r="J181" s="770" t="str">
        <f>VLOOKUP(F181,'2) Tracker'!$A$2:$BO$360,12,FALSE)</f>
        <v>East China</v>
      </c>
      <c r="K181" s="774">
        <f t="shared" si="207"/>
        <v>46161</v>
      </c>
      <c r="L181" s="774">
        <f t="shared" ref="L181:O181" si="228">AE181</f>
        <v>46172</v>
      </c>
      <c r="M181" s="771" t="str">
        <f t="shared" si="228"/>
        <v/>
      </c>
      <c r="N181" s="771">
        <f t="shared" si="228"/>
        <v>46145</v>
      </c>
      <c r="O181" s="772" t="str">
        <f t="shared" si="228"/>
        <v/>
      </c>
      <c r="P181" s="773" t="str">
        <f>iferror(if(vlookup(F181,'Voyage days'!$M$808:$N$819,2,false),"GOA",""),"")</f>
        <v/>
      </c>
      <c r="Q181" s="771">
        <f t="shared" si="81"/>
        <v>46147</v>
      </c>
      <c r="R181" s="774">
        <f t="shared" si="83"/>
        <v>46172</v>
      </c>
      <c r="S181" s="774">
        <f t="shared" si="5"/>
        <v>46163</v>
      </c>
      <c r="T181" s="771">
        <f t="shared" si="6"/>
        <v>46156</v>
      </c>
      <c r="U181" s="774">
        <f t="shared" si="84"/>
        <v>46135</v>
      </c>
      <c r="V181" s="771"/>
      <c r="W181" s="771">
        <f t="shared" si="85"/>
        <v>46135.25</v>
      </c>
      <c r="X181" s="775">
        <f t="shared" si="9"/>
        <v>46141</v>
      </c>
      <c r="Y181" s="784"/>
      <c r="Z181" s="777" t="str">
        <f>vlookup(F181,'2) Tracker'!$A$3:$Q$504,16,false)</f>
        <v>ETA 2nd port Jinshan 15 Apr</v>
      </c>
      <c r="AA181" s="777" t="str">
        <f>vlookup(F181,'2) Tracker'!$A$3:$R$504,18,false)</f>
        <v>Petredec 04-05 Mar Targa</v>
      </c>
      <c r="AB181" s="777" t="str">
        <f>vlookup(F181,'2) Tracker'!$A$3:$Q$504,17,false)</f>
        <v>COA next voy</v>
      </c>
      <c r="AC181" s="778"/>
      <c r="AD181" s="778">
        <f>VLOOKUP(F181,'2) Tracker'!$A$2:$BO$980,37,FALSE)</f>
        <v>46161</v>
      </c>
      <c r="AE181" s="778">
        <f>VLOOKUP(F181,'2) Tracker'!$A$2:$BO$980,40,FALSE)</f>
        <v>46172</v>
      </c>
      <c r="AF181" s="778" t="str">
        <f>VLOOKUP(F181,'2) Tracker'!$A$2:$BO$980,67,FALSE)</f>
        <v/>
      </c>
      <c r="AG181" s="778">
        <f>VLOOKUP(F181,'2) Tracker'!$A$2:$BO$980,34,FALSE)</f>
        <v>46145</v>
      </c>
      <c r="AH181" s="778" t="str">
        <f>VLOOKUP(F181,'2) Tracker'!$A$2:$BN$980,66,FALSE)</f>
        <v/>
      </c>
      <c r="AI181" s="778">
        <f>VLOOKUP(F181,'2) Tracker'!$A$2:$BO$980,56,FALSE)</f>
        <v>46135</v>
      </c>
      <c r="AJ181" s="778">
        <f>VLOOKUP(F181,'2) Tracker'!$A$2:$BO$980,52,FALSE)</f>
        <v>46135.25</v>
      </c>
      <c r="AK181" s="778">
        <f>VLOOKUP(F181,'2) Tracker'!$A$2:$AQ$980,43,FALSE)</f>
        <v>46156</v>
      </c>
      <c r="AL181" s="778">
        <f>VLOOKUP(F181,'2) Tracker'!$A$2:$BH$980,46,FALSE())</f>
        <v>46163</v>
      </c>
      <c r="AM181" s="778">
        <f>VLOOKUP(F181,'2) Tracker'!$A$2:$BO$980,65,FALSE())</f>
        <v>46147</v>
      </c>
      <c r="AN181" s="778">
        <f>VLOOKUP(F181,'2) Tracker'!$A$2:$BK$980,63,FALSE())</f>
        <v>46172</v>
      </c>
      <c r="AO181" s="778">
        <f>VLOOKUP(F181,'2) Tracker'!$A$2:$BF$980,58,FALSE())</f>
        <v>46141</v>
      </c>
      <c r="AP181" s="52"/>
      <c r="AQ181" s="52"/>
      <c r="AR181" s="52"/>
      <c r="AS181" s="52"/>
      <c r="AT181" s="52"/>
      <c r="AU181" s="52"/>
      <c r="AV181" s="52"/>
      <c r="AW181" s="52"/>
      <c r="AX181" s="52"/>
      <c r="AY181" s="52"/>
      <c r="AZ181" s="734"/>
      <c r="BA181" s="786" t="str">
        <f>vlookup(AZ181,'Iran, FS'!$A$1:$B$318,2, false)</f>
        <v>#N/A</v>
      </c>
      <c r="BB181" s="787" t="str">
        <f>vlookup(AZ181,'1) Kpler'!$E$2:$F$500,2,false)</f>
        <v>#N/A</v>
      </c>
      <c r="BC181" s="740"/>
      <c r="BD181" s="734"/>
      <c r="BE181" s="52"/>
      <c r="BF181" s="52"/>
      <c r="BG181" s="734"/>
      <c r="BH181" s="734"/>
      <c r="BI181" s="734"/>
      <c r="BJ181" s="734"/>
    </row>
    <row r="182">
      <c r="B182" s="765" t="str">
        <f>vlookup(F182,'2) Tracker'!$A$3:$O$410,5,false)</f>
        <v/>
      </c>
      <c r="C182" s="765" t="str">
        <f>vlookup(F182,'2) Tracker'!$A$3:$O$410,4,false)</f>
        <v>US</v>
      </c>
      <c r="D182" s="734"/>
      <c r="E182" s="734" t="str">
        <f>vlookup(F182,'2) Tracker'!$A$3:$O$406,15,false)</f>
        <v/>
      </c>
      <c r="F182" s="740" t="s">
        <v>198</v>
      </c>
      <c r="G182" s="783">
        <f>VLOOKUP(F182,'2) Tracker'!$A$2:$BO$360,2,FALSE)</f>
        <v>41908</v>
      </c>
      <c r="H182" s="768">
        <f>VLOOKUP(F182,'2) Tracker'!$A$2:$BO$360,3,FALSE)</f>
        <v>84000</v>
      </c>
      <c r="I182" s="777" t="str">
        <f>VLOOKUP(F182,'2) Tracker'!$A$2:$BO$360,9,FALSE)</f>
        <v>Helios</v>
      </c>
      <c r="J182" s="770" t="str">
        <f>VLOOKUP(F182,'2) Tracker'!$A$2:$BO$360,12,FALSE)</f>
        <v>loads USG</v>
      </c>
      <c r="K182" s="771">
        <f t="shared" si="207"/>
        <v>46162</v>
      </c>
      <c r="L182" s="771">
        <f t="shared" ref="L182:O182" si="229">AE182</f>
        <v>46162</v>
      </c>
      <c r="M182" s="771">
        <f t="shared" si="229"/>
        <v>46194</v>
      </c>
      <c r="N182" s="771" t="str">
        <f t="shared" si="229"/>
        <v/>
      </c>
      <c r="O182" s="772" t="str">
        <f t="shared" si="229"/>
        <v/>
      </c>
      <c r="P182" s="773" t="str">
        <f>iferror(if(vlookup(F182,'Voyage days'!$M$808:$N$819,2,false),"GOA",""),"")</f>
        <v/>
      </c>
      <c r="Q182" s="771" t="str">
        <f t="shared" si="81"/>
        <v/>
      </c>
      <c r="R182" s="771" t="str">
        <f t="shared" si="83"/>
        <v/>
      </c>
      <c r="S182" s="774">
        <f t="shared" si="5"/>
        <v>46182</v>
      </c>
      <c r="T182" s="771" t="str">
        <f t="shared" si="6"/>
        <v/>
      </c>
      <c r="U182" s="771" t="str">
        <f t="shared" si="84"/>
        <v/>
      </c>
      <c r="V182" s="771"/>
      <c r="W182" s="771" t="str">
        <f t="shared" si="85"/>
        <v/>
      </c>
      <c r="X182" s="775" t="str">
        <f t="shared" si="9"/>
        <v/>
      </c>
      <c r="Y182" s="839" t="s">
        <v>1573</v>
      </c>
      <c r="Z182" s="777" t="str">
        <f>vlookup(F182,'2) Tracker'!$A$3:$Q$504,16,false)</f>
        <v>ETA Colombo 13 Apr bunkers</v>
      </c>
      <c r="AA182" s="777" t="str">
        <f>vlookup(F182,'2) Tracker'!$A$3:$R$504,18,false)</f>
        <v>PetroChina 20-21 May USG</v>
      </c>
      <c r="AB182" s="777" t="str">
        <f>vlookup(F182,'2) Tracker'!$A$3:$Q$504,17,false)</f>
        <v/>
      </c>
      <c r="AC182" s="778"/>
      <c r="AD182" s="778">
        <f>VLOOKUP(F182,'2) Tracker'!$A$2:$BO$980,37,FALSE)</f>
        <v>46162</v>
      </c>
      <c r="AE182" s="778">
        <f>VLOOKUP(F182,'2) Tracker'!$A$2:$BO$980,40,FALSE)</f>
        <v>46162</v>
      </c>
      <c r="AF182" s="778">
        <f>VLOOKUP(F182,'2) Tracker'!$A$2:$BO$980,67,FALSE)</f>
        <v>46194</v>
      </c>
      <c r="AG182" s="778" t="str">
        <f>VLOOKUP(F182,'2) Tracker'!$A$2:$BO$980,34,FALSE)</f>
        <v/>
      </c>
      <c r="AH182" s="778" t="str">
        <f>VLOOKUP(F182,'2) Tracker'!$A$2:$BN$980,66,FALSE)</f>
        <v/>
      </c>
      <c r="AI182" s="778" t="str">
        <f>VLOOKUP(F182,'2) Tracker'!$A$2:$BO$980,56,FALSE)</f>
        <v/>
      </c>
      <c r="AJ182" s="778" t="str">
        <f>VLOOKUP(F182,'2) Tracker'!$A$2:$BO$980,52,FALSE)</f>
        <v/>
      </c>
      <c r="AK182" s="778" t="str">
        <f>VLOOKUP(F182,'2) Tracker'!$A$2:$AQ$980,43,FALSE)</f>
        <v/>
      </c>
      <c r="AL182" s="778">
        <f>VLOOKUP(F182,'2) Tracker'!$A$2:$BH$980,46,FALSE())</f>
        <v>46182</v>
      </c>
      <c r="AM182" s="778" t="str">
        <f>VLOOKUP(F182,'2) Tracker'!$A$2:$BO$980,65,FALSE())</f>
        <v/>
      </c>
      <c r="AN182" s="778" t="str">
        <f>VLOOKUP(F182,'2) Tracker'!$A$2:$BK$980,63,FALSE())</f>
        <v/>
      </c>
      <c r="AO182" s="778" t="str">
        <f>VLOOKUP(F182,'2) Tracker'!$A$2:$BF$980,58,FALSE())</f>
        <v/>
      </c>
      <c r="AP182" s="52"/>
      <c r="AQ182" s="52"/>
      <c r="AR182" s="52"/>
      <c r="AS182" s="52"/>
      <c r="AT182" s="52"/>
      <c r="AU182" s="52"/>
      <c r="AV182" s="52"/>
      <c r="AW182" s="52"/>
      <c r="AX182" s="52"/>
      <c r="AY182" s="52"/>
      <c r="AZ182" s="734"/>
      <c r="BA182" s="786" t="str">
        <f>vlookup(AZ182,'Iran, FS'!$A$1:$B$318,2, false)</f>
        <v>#N/A</v>
      </c>
      <c r="BB182" s="787" t="str">
        <f>vlookup(AZ182,'1) Kpler'!$E$2:$F$500,2,false)</f>
        <v>#N/A</v>
      </c>
      <c r="BC182" s="740"/>
      <c r="BD182" s="734"/>
      <c r="BE182" s="52"/>
      <c r="BF182" s="52"/>
      <c r="BG182" s="734"/>
      <c r="BH182" s="734"/>
      <c r="BI182" s="734"/>
      <c r="BJ182" s="734"/>
    </row>
    <row r="183">
      <c r="B183" s="765" t="str">
        <f>vlookup(F183,'2) Tracker'!$A$3:$O$410,5,false)</f>
        <v/>
      </c>
      <c r="C183" s="765" t="str">
        <f>vlookup(F183,'2) Tracker'!$A$3:$O$410,4,false)</f>
        <v>US</v>
      </c>
      <c r="D183" s="734"/>
      <c r="E183" s="734" t="str">
        <f>vlookup(F183,'2) Tracker'!$A$3:$O$406,15,false)</f>
        <v/>
      </c>
      <c r="F183" s="766" t="s">
        <v>360</v>
      </c>
      <c r="G183" s="783">
        <f>VLOOKUP(F183,'2) Tracker'!$A$2:$BO$360,2,FALSE)</f>
        <v>42291</v>
      </c>
      <c r="H183" s="768">
        <f>VLOOKUP(F183,'2) Tracker'!$A$2:$BO$360,3,FALSE)</f>
        <v>84000</v>
      </c>
      <c r="I183" s="769" t="str">
        <f>VLOOKUP(F183,'2) Tracker'!$A$2:$BO$360,9,FALSE)</f>
        <v>Chevron</v>
      </c>
      <c r="J183" s="770" t="str">
        <f>VLOOKUP(F183,'2) Tracker'!$A$2:$BO$360,12,FALSE)</f>
        <v>South China</v>
      </c>
      <c r="K183" s="774">
        <f t="shared" si="207"/>
        <v>46162</v>
      </c>
      <c r="L183" s="774">
        <f t="shared" ref="L183:O183" si="230">AE183</f>
        <v>46167</v>
      </c>
      <c r="M183" s="771" t="str">
        <f t="shared" si="230"/>
        <v/>
      </c>
      <c r="N183" s="771">
        <f t="shared" si="230"/>
        <v>46140</v>
      </c>
      <c r="O183" s="772" t="str">
        <f t="shared" si="230"/>
        <v/>
      </c>
      <c r="P183" s="773" t="str">
        <f>iferror(if(vlookup(F183,'Voyage days'!$M$808:$N$821,2,false),"GOA",""),"")</f>
        <v/>
      </c>
      <c r="Q183" s="771">
        <f t="shared" si="81"/>
        <v>46143</v>
      </c>
      <c r="R183" s="774">
        <f t="shared" si="83"/>
        <v>46167</v>
      </c>
      <c r="S183" s="774">
        <f t="shared" si="5"/>
        <v>46158</v>
      </c>
      <c r="T183" s="771">
        <f t="shared" si="6"/>
        <v>46151</v>
      </c>
      <c r="U183" s="774">
        <f t="shared" si="84"/>
        <v>46130</v>
      </c>
      <c r="V183" s="745" t="s">
        <v>1523</v>
      </c>
      <c r="W183" s="771">
        <f t="shared" si="85"/>
        <v>46131.75</v>
      </c>
      <c r="X183" s="775" t="str">
        <f t="shared" si="9"/>
        <v/>
      </c>
      <c r="Y183" s="776"/>
      <c r="Z183" s="777" t="str">
        <f>vlookup(F183,'2) Tracker'!$A$3:$Q$504,16,false)</f>
        <v>@ Dongguan 12 Apr</v>
      </c>
      <c r="AA183" s="777" t="str">
        <f>vlookup(F183,'2) Tracker'!$A$3:$R$504,18,false)</f>
        <v>Chevron 22-23 Feb Escravos</v>
      </c>
      <c r="AB183" s="777" t="str">
        <f>vlookup(F183,'2) Tracker'!$A$3:$Q$504,17,false)</f>
        <v/>
      </c>
      <c r="AC183" s="778"/>
      <c r="AD183" s="778">
        <f>VLOOKUP(F183,'2) Tracker'!$A$2:$BO$980,37,FALSE)</f>
        <v>46162</v>
      </c>
      <c r="AE183" s="778">
        <f>VLOOKUP(F183,'2) Tracker'!$A$2:$BO$980,40,FALSE)</f>
        <v>46167</v>
      </c>
      <c r="AF183" s="778" t="str">
        <f>VLOOKUP(F183,'2) Tracker'!$A$2:$BO$980,67,FALSE)</f>
        <v/>
      </c>
      <c r="AG183" s="778">
        <f>VLOOKUP(F183,'2) Tracker'!$A$2:$BO$980,34,FALSE)</f>
        <v>46140</v>
      </c>
      <c r="AH183" s="778" t="str">
        <f>VLOOKUP(F183,'2) Tracker'!$A$2:$BN$980,66,FALSE)</f>
        <v/>
      </c>
      <c r="AI183" s="778">
        <f>VLOOKUP(F183,'2) Tracker'!$A$2:$BO$980,56,FALSE)</f>
        <v>46130</v>
      </c>
      <c r="AJ183" s="778">
        <f>VLOOKUP(F183,'2) Tracker'!$A$2:$BO$980,52,FALSE)</f>
        <v>46131.75</v>
      </c>
      <c r="AK183" s="778">
        <f>VLOOKUP(F183,'2) Tracker'!$A$2:$AQ$980,43,FALSE)</f>
        <v>46151</v>
      </c>
      <c r="AL183" s="778">
        <f>VLOOKUP(F183,'2) Tracker'!$A$2:$BH$980,46,FALSE())</f>
        <v>46158</v>
      </c>
      <c r="AM183" s="778">
        <f>VLOOKUP(F183,'2) Tracker'!$A$2:$BO$980,65,FALSE())</f>
        <v>46143</v>
      </c>
      <c r="AN183" s="778">
        <f>VLOOKUP(F183,'2) Tracker'!$A$2:$BK$980,63,FALSE())</f>
        <v>46167</v>
      </c>
      <c r="AO183" s="778" t="str">
        <f>VLOOKUP(F183,'2) Tracker'!$A$2:$BF$980,58,FALSE())</f>
        <v/>
      </c>
      <c r="AP183" s="52"/>
      <c r="AQ183" s="52"/>
      <c r="AR183" s="52"/>
      <c r="AS183" s="52"/>
      <c r="AT183" s="52"/>
      <c r="AU183" s="52"/>
      <c r="AV183" s="52"/>
      <c r="AW183" s="52"/>
      <c r="AX183" s="52"/>
      <c r="AY183" s="52"/>
      <c r="AZ183" s="734"/>
      <c r="BA183" s="786" t="str">
        <f>vlookup(AZ183,'Iran, FS'!$A$1:$B$318,2, false)</f>
        <v>#N/A</v>
      </c>
      <c r="BB183" s="787" t="str">
        <f>vlookup(AZ183,'1) Kpler'!$E$2:$F$500,2,false)</f>
        <v>#N/A</v>
      </c>
      <c r="BC183" s="740"/>
      <c r="BD183" s="734"/>
      <c r="BE183" s="52"/>
      <c r="BF183" s="52"/>
      <c r="BG183" s="734"/>
      <c r="BH183" s="734"/>
      <c r="BI183" s="734"/>
      <c r="BJ183" s="734"/>
    </row>
    <row r="184">
      <c r="B184" s="765" t="str">
        <f>vlookup(F184,'2) Tracker'!$A$3:$O$410,5,false)</f>
        <v/>
      </c>
      <c r="C184" s="765" t="str">
        <f>vlookup(F184,'2) Tracker'!$A$3:$O$410,4,false)</f>
        <v/>
      </c>
      <c r="D184" s="734"/>
      <c r="E184" s="734" t="str">
        <f>vlookup(F184,'2) Tracker'!$A$3:$O$406,15,false)</f>
        <v/>
      </c>
      <c r="F184" s="788" t="s">
        <v>308</v>
      </c>
      <c r="G184" s="783">
        <f>VLOOKUP(F184,'2) Tracker'!$A$2:$BO$360,2,FALSE)</f>
        <v>44007</v>
      </c>
      <c r="H184" s="768">
        <f>VLOOKUP(F184,'2) Tracker'!$A$2:$BO$360,3,FALSE)</f>
        <v>84000</v>
      </c>
      <c r="I184" s="777" t="str">
        <f>VLOOKUP(F184,'2) Tracker'!$A$2:$BO$360,9,FALSE)</f>
        <v>Mercuria</v>
      </c>
      <c r="J184" s="770" t="str">
        <f>VLOOKUP(F184,'2) Tracker'!$A$2:$BO$360,12,FALSE)</f>
        <v>Japan</v>
      </c>
      <c r="K184" s="774">
        <f t="shared" si="207"/>
        <v>46162</v>
      </c>
      <c r="L184" s="774">
        <f t="shared" ref="L184:O184" si="231">AE184</f>
        <v>46172</v>
      </c>
      <c r="M184" s="771" t="str">
        <f t="shared" si="231"/>
        <v/>
      </c>
      <c r="N184" s="772">
        <f t="shared" si="231"/>
        <v>46148</v>
      </c>
      <c r="O184" s="772" t="str">
        <f t="shared" si="231"/>
        <v/>
      </c>
      <c r="P184" s="773" t="str">
        <f>iferror(if(vlookup(F184,'Voyage days'!$M$808:$N$819,2,false),"GOA",""),"")</f>
        <v/>
      </c>
      <c r="Q184" s="771">
        <f t="shared" si="81"/>
        <v>46151</v>
      </c>
      <c r="R184" s="771">
        <f t="shared" si="83"/>
        <v>46176</v>
      </c>
      <c r="S184" s="774">
        <f t="shared" si="5"/>
        <v>46166</v>
      </c>
      <c r="T184" s="771">
        <f t="shared" si="6"/>
        <v>46160</v>
      </c>
      <c r="U184" s="771">
        <f t="shared" si="84"/>
        <v>46139</v>
      </c>
      <c r="V184" s="771"/>
      <c r="W184" s="771">
        <f t="shared" si="85"/>
        <v>46138.25</v>
      </c>
      <c r="X184" s="775">
        <f t="shared" si="9"/>
        <v>46141</v>
      </c>
      <c r="Y184" s="776"/>
      <c r="Z184" s="777" t="str">
        <f>vlookup(F184,'2) Tracker'!$A$3:$Q$504,16,false)</f>
        <v>@ Tokyo Bay lighterage 13 Apr, 1st port Chiba</v>
      </c>
      <c r="AA184" s="777" t="str">
        <f>vlookup(F184,'2) Tracker'!$A$3:$R$504,18,false)</f>
        <v>E1 07-08 Mar Nederland</v>
      </c>
      <c r="AB184" s="777" t="str">
        <f>vlookup(F184,'2) Tracker'!$A$3:$Q$504,17,false)</f>
        <v/>
      </c>
      <c r="AC184" s="778"/>
      <c r="AD184" s="778">
        <f>VLOOKUP(F184,'2) Tracker'!$A$2:$BO$980,37,FALSE)</f>
        <v>46162</v>
      </c>
      <c r="AE184" s="778">
        <f>VLOOKUP(F184,'2) Tracker'!$A$2:$BO$980,40,FALSE)</f>
        <v>46172</v>
      </c>
      <c r="AF184" s="778" t="str">
        <f>VLOOKUP(F184,'2) Tracker'!$A$2:$BO$980,67,FALSE)</f>
        <v/>
      </c>
      <c r="AG184" s="778">
        <f>VLOOKUP(F184,'2) Tracker'!$A$2:$BO$980,34,FALSE)</f>
        <v>46148</v>
      </c>
      <c r="AH184" s="778" t="str">
        <f>VLOOKUP(F184,'2) Tracker'!$A$2:$BN$980,66,FALSE)</f>
        <v/>
      </c>
      <c r="AI184" s="778">
        <f>VLOOKUP(F184,'2) Tracker'!$A$2:$BO$980,56,FALSE)</f>
        <v>46139</v>
      </c>
      <c r="AJ184" s="778">
        <f>VLOOKUP(F184,'2) Tracker'!$A$2:$BO$980,52,FALSE)</f>
        <v>46138.25</v>
      </c>
      <c r="AK184" s="778">
        <f>VLOOKUP(F184,'2) Tracker'!$A$2:$AQ$980,43,FALSE)</f>
        <v>46160</v>
      </c>
      <c r="AL184" s="778">
        <f>VLOOKUP(F184,'2) Tracker'!$A$2:$BH$980,46,FALSE())</f>
        <v>46166</v>
      </c>
      <c r="AM184" s="778">
        <f>VLOOKUP(F184,'2) Tracker'!$A$2:$BO$980,65,FALSE())</f>
        <v>46151</v>
      </c>
      <c r="AN184" s="778">
        <f>VLOOKUP(F184,'2) Tracker'!$A$2:$BK$980,63,FALSE())</f>
        <v>46176</v>
      </c>
      <c r="AO184" s="778">
        <f>VLOOKUP(F184,'2) Tracker'!$A$2:$BF$980,58,FALSE())</f>
        <v>46141</v>
      </c>
      <c r="AP184" s="52"/>
      <c r="AQ184" s="52"/>
      <c r="AR184" s="52"/>
      <c r="AS184" s="52"/>
      <c r="AT184" s="52"/>
      <c r="AU184" s="52"/>
      <c r="AV184" s="52"/>
      <c r="AW184" s="52"/>
      <c r="AX184" s="52"/>
      <c r="AY184" s="52"/>
      <c r="AZ184" s="787"/>
      <c r="BA184" s="786" t="str">
        <f>vlookup(AZ184,'Iran, FS'!$A$1:$B$318,2, false)</f>
        <v>#N/A</v>
      </c>
      <c r="BB184" s="787" t="str">
        <f>vlookup(AZ184,'1) Kpler'!$E$2:$F$500,2,false)</f>
        <v>#N/A</v>
      </c>
      <c r="BC184" s="788"/>
      <c r="BD184" s="787"/>
      <c r="BE184" s="52"/>
      <c r="BF184" s="52"/>
      <c r="BG184" s="787"/>
      <c r="BH184" s="787"/>
      <c r="BI184" s="787"/>
      <c r="BJ184" s="787"/>
    </row>
    <row r="185">
      <c r="B185" s="765" t="str">
        <f>vlookup(F185,'2) Tracker'!$A$3:$O$410,5,false)</f>
        <v/>
      </c>
      <c r="C185" s="765" t="str">
        <f>vlookup(F185,'2) Tracker'!$A$3:$O$410,4,false)</f>
        <v/>
      </c>
      <c r="D185" s="734"/>
      <c r="E185" s="734" t="str">
        <f>vlookup(F185,'2) Tracker'!$A$3:$O$406,15,false)</f>
        <v/>
      </c>
      <c r="F185" s="788" t="s">
        <v>259</v>
      </c>
      <c r="G185" s="767">
        <f>VLOOKUP(F185,'2) Tracker'!$A$2:$BO$360,2,FALSE)</f>
        <v>2014</v>
      </c>
      <c r="H185" s="768">
        <f>VLOOKUP(F185,'2) Tracker'!$A$2:$BO$360,3,FALSE)</f>
        <v>82400</v>
      </c>
      <c r="I185" s="777" t="str">
        <f>VLOOKUP(F185,'2) Tracker'!$A$2:$BO$360,9,FALSE)</f>
        <v>Gyxis</v>
      </c>
      <c r="J185" s="770" t="str">
        <f>VLOOKUP(F185,'2) Tracker'!$A$2:$BO$360,12,FALSE)</f>
        <v>loads USG</v>
      </c>
      <c r="K185" s="771">
        <f t="shared" si="207"/>
        <v>46163</v>
      </c>
      <c r="L185" s="771">
        <f t="shared" ref="L185:O185" si="232">AE185</f>
        <v>46163</v>
      </c>
      <c r="M185" s="771">
        <f t="shared" si="232"/>
        <v>46195</v>
      </c>
      <c r="N185" s="771" t="str">
        <f t="shared" si="232"/>
        <v/>
      </c>
      <c r="O185" s="772" t="str">
        <f t="shared" si="232"/>
        <v/>
      </c>
      <c r="P185" s="773" t="str">
        <f>iferror(if(vlookup(F185,'Voyage days'!$M$808:$N$819,2,false),"GOA",""),"")</f>
        <v/>
      </c>
      <c r="Q185" s="771" t="str">
        <f t="shared" si="81"/>
        <v/>
      </c>
      <c r="R185" s="771" t="str">
        <f t="shared" si="83"/>
        <v/>
      </c>
      <c r="S185" s="774">
        <f t="shared" si="5"/>
        <v>46183</v>
      </c>
      <c r="T185" s="771" t="str">
        <f t="shared" si="6"/>
        <v/>
      </c>
      <c r="U185" s="771" t="str">
        <f t="shared" si="84"/>
        <v/>
      </c>
      <c r="V185" s="771"/>
      <c r="W185" s="771" t="str">
        <f t="shared" si="85"/>
        <v/>
      </c>
      <c r="X185" s="775" t="str">
        <f t="shared" si="9"/>
        <v/>
      </c>
      <c r="Y185" s="804" t="s">
        <v>977</v>
      </c>
      <c r="Z185" s="777" t="str">
        <f>vlookup(F185,'2) Tracker'!$A$3:$Q$504,16,false)</f>
        <v>ETA 1st port Senboku 21 May</v>
      </c>
      <c r="AA185" s="777" t="str">
        <f>vlookup(F185,'2) Tracker'!$A$3:$R$504,18,false)</f>
        <v>BGN 21-22 May USG</v>
      </c>
      <c r="AB185" s="777" t="str">
        <f>vlookup(F185,'2) Tracker'!$A$3:$Q$504,17,false)</f>
        <v/>
      </c>
      <c r="AC185" s="778"/>
      <c r="AD185" s="778">
        <f>VLOOKUP(F185,'2) Tracker'!$A$2:$BO$980,37,FALSE)</f>
        <v>46163</v>
      </c>
      <c r="AE185" s="778">
        <f>VLOOKUP(F185,'2) Tracker'!$A$2:$BO$980,40,FALSE)</f>
        <v>46163</v>
      </c>
      <c r="AF185" s="778">
        <f>VLOOKUP(F185,'2) Tracker'!$A$2:$BO$980,67,FALSE)</f>
        <v>46195</v>
      </c>
      <c r="AG185" s="778" t="str">
        <f>VLOOKUP(F185,'2) Tracker'!$A$2:$BO$980,34,FALSE)</f>
        <v/>
      </c>
      <c r="AH185" s="778" t="str">
        <f>VLOOKUP(F185,'2) Tracker'!$A$2:$BN$980,66,FALSE)</f>
        <v/>
      </c>
      <c r="AI185" s="778" t="str">
        <f>VLOOKUP(F185,'2) Tracker'!$A$2:$BO$980,56,FALSE)</f>
        <v/>
      </c>
      <c r="AJ185" s="778" t="str">
        <f>VLOOKUP(F185,'2) Tracker'!$A$2:$BO$980,52,FALSE)</f>
        <v/>
      </c>
      <c r="AK185" s="778" t="str">
        <f>VLOOKUP(F185,'2) Tracker'!$A$2:$AQ$980,43,FALSE)</f>
        <v/>
      </c>
      <c r="AL185" s="778">
        <f>VLOOKUP(F185,'2) Tracker'!$A$2:$BH$980,46,FALSE())</f>
        <v>46183</v>
      </c>
      <c r="AM185" s="778" t="str">
        <f>VLOOKUP(F185,'2) Tracker'!$A$2:$BO$980,65,FALSE())</f>
        <v/>
      </c>
      <c r="AN185" s="778" t="str">
        <f>VLOOKUP(F185,'2) Tracker'!$A$2:$BK$980,63,FALSE())</f>
        <v/>
      </c>
      <c r="AO185" s="778" t="str">
        <f>VLOOKUP(F185,'2) Tracker'!$A$2:$BF$980,58,FALSE())</f>
        <v/>
      </c>
      <c r="AP185" s="52"/>
      <c r="AQ185" s="52"/>
      <c r="AR185" s="52"/>
      <c r="AS185" s="52"/>
      <c r="AT185" s="52"/>
      <c r="AU185" s="52"/>
      <c r="AV185" s="52"/>
      <c r="AW185" s="52"/>
      <c r="AX185" s="52"/>
      <c r="AY185" s="52"/>
      <c r="AZ185" s="787"/>
      <c r="BA185" s="786" t="str">
        <f>vlookup(AZ185,'Iran, FS'!$A$1:$B$318,2, false)</f>
        <v>#N/A</v>
      </c>
      <c r="BB185" s="787" t="str">
        <f>vlookup(AZ185,'1) Kpler'!$E$2:$F$500,2,false)</f>
        <v>#N/A</v>
      </c>
      <c r="BC185" s="788"/>
      <c r="BD185" s="787"/>
      <c r="BE185" s="52"/>
      <c r="BF185" s="52"/>
      <c r="BG185" s="787"/>
      <c r="BH185" s="787"/>
      <c r="BI185" s="787"/>
      <c r="BJ185" s="787"/>
    </row>
    <row r="186">
      <c r="B186" s="765" t="str">
        <f>vlookup(F186,'2) Tracker'!$A$3:$O$410,5,false)</f>
        <v/>
      </c>
      <c r="C186" s="765" t="str">
        <f>vlookup(F186,'2) Tracker'!$A$3:$O$410,4,false)</f>
        <v/>
      </c>
      <c r="D186" s="734"/>
      <c r="E186" s="734" t="str">
        <f>vlookup(F186,'2) Tracker'!$A$3:$O$406,15,false)</f>
        <v/>
      </c>
      <c r="F186" s="740" t="s">
        <v>224</v>
      </c>
      <c r="G186" s="783">
        <f>VLOOKUP(F186,'2) Tracker'!$A$2:$BO$360,2,FALSE)</f>
        <v>40848</v>
      </c>
      <c r="H186" s="768">
        <f>VLOOKUP(F186,'2) Tracker'!$A$2:$BO$360,3,FALSE)</f>
        <v>78599.89</v>
      </c>
      <c r="I186" s="770" t="str">
        <f>VLOOKUP(F186,'2) Tracker'!$A$2:$BO$360,9,FALSE)</f>
        <v>SwissChemGas</v>
      </c>
      <c r="J186" s="770" t="str">
        <f>VLOOKUP(F186,'2) Tracker'!$A$2:$BO$360,12,FALSE)</f>
        <v>Singapore ballast</v>
      </c>
      <c r="K186" s="771">
        <f t="shared" si="207"/>
        <v>46163</v>
      </c>
      <c r="L186" s="771">
        <f t="shared" ref="L186:O186" si="233">AE186</f>
        <v>46164</v>
      </c>
      <c r="M186" s="771" t="str">
        <f t="shared" si="233"/>
        <v/>
      </c>
      <c r="N186" s="771">
        <f t="shared" si="233"/>
        <v>46140</v>
      </c>
      <c r="O186" s="772" t="str">
        <f t="shared" si="233"/>
        <v/>
      </c>
      <c r="P186" s="773" t="str">
        <f>iferror(if(vlookup(F186,'Voyage days'!$M$808:$N$819,2,false),"GOA",""),"")</f>
        <v/>
      </c>
      <c r="Q186" s="771">
        <f t="shared" si="81"/>
        <v>46144</v>
      </c>
      <c r="R186" s="771">
        <f t="shared" si="83"/>
        <v>46167</v>
      </c>
      <c r="S186" s="774">
        <f t="shared" si="5"/>
        <v>46158</v>
      </c>
      <c r="T186" s="771">
        <f t="shared" si="6"/>
        <v>46150</v>
      </c>
      <c r="U186" s="771">
        <f t="shared" si="84"/>
        <v>46131</v>
      </c>
      <c r="V186" s="771"/>
      <c r="W186" s="771">
        <f t="shared" si="85"/>
        <v>46135.25</v>
      </c>
      <c r="X186" s="775" t="str">
        <f t="shared" si="9"/>
        <v/>
      </c>
      <c r="Y186" s="795"/>
      <c r="Z186" s="777" t="str">
        <f>vlookup(F186,'2) Tracker'!$A$3:$Q$504,16,false)</f>
        <v>ETA Singapore 18 Apr</v>
      </c>
      <c r="AA186" s="777" t="str">
        <f>vlookup(F186,'2) Tracker'!$A$3:$R$504,18,false)</f>
        <v>Marathon 25-26 Feb Freeport</v>
      </c>
      <c r="AB186" s="777" t="str">
        <f>vlookup(F186,'2) Tracker'!$A$3:$Q$504,17,false)</f>
        <v>Swiss to BWPS 16-17 to Marathon </v>
      </c>
      <c r="AC186" s="778"/>
      <c r="AD186" s="778">
        <f>VLOOKUP(F186,'2) Tracker'!$A$2:$BO$980,37,FALSE)</f>
        <v>46163</v>
      </c>
      <c r="AE186" s="778">
        <f>VLOOKUP(F186,'2) Tracker'!$A$2:$BO$980,40,FALSE)</f>
        <v>46164</v>
      </c>
      <c r="AF186" s="778" t="str">
        <f>VLOOKUP(F186,'2) Tracker'!$A$2:$BO$980,67,FALSE)</f>
        <v/>
      </c>
      <c r="AG186" s="778">
        <f>VLOOKUP(F186,'2) Tracker'!$A$2:$BO$980,34,FALSE)</f>
        <v>46140</v>
      </c>
      <c r="AH186" s="778" t="str">
        <f>VLOOKUP(F186,'2) Tracker'!$A$2:$BN$980,66,FALSE)</f>
        <v/>
      </c>
      <c r="AI186" s="778">
        <f>VLOOKUP(F186,'2) Tracker'!$A$2:$BO$980,56,FALSE)</f>
        <v>46131</v>
      </c>
      <c r="AJ186" s="778">
        <f>VLOOKUP(F186,'2) Tracker'!$A$2:$BO$980,52,FALSE)</f>
        <v>46135.25</v>
      </c>
      <c r="AK186" s="778">
        <f>VLOOKUP(F186,'2) Tracker'!$A$2:$AQ$980,43,FALSE)</f>
        <v>46150</v>
      </c>
      <c r="AL186" s="778">
        <f>VLOOKUP(F186,'2) Tracker'!$A$2:$BH$980,46,FALSE())</f>
        <v>46158</v>
      </c>
      <c r="AM186" s="778">
        <f>VLOOKUP(F186,'2) Tracker'!$A$2:$BO$980,65,FALSE())</f>
        <v>46144</v>
      </c>
      <c r="AN186" s="778">
        <f>VLOOKUP(F186,'2) Tracker'!$A$2:$BK$980,63,FALSE())</f>
        <v>46167</v>
      </c>
      <c r="AO186" s="778" t="str">
        <f>VLOOKUP(F186,'2) Tracker'!$A$2:$BF$980,58,FALSE())</f>
        <v/>
      </c>
      <c r="AP186" s="52"/>
      <c r="AQ186" s="52"/>
      <c r="AR186" s="52"/>
      <c r="AS186" s="52"/>
      <c r="AT186" s="52"/>
      <c r="AU186" s="52"/>
      <c r="AV186" s="52"/>
      <c r="AW186" s="52"/>
      <c r="AX186" s="52"/>
      <c r="AY186" s="52"/>
      <c r="AZ186" s="734"/>
      <c r="BA186" s="740"/>
      <c r="BB186" s="734"/>
      <c r="BC186" s="740"/>
      <c r="BD186" s="734"/>
      <c r="BE186" s="52"/>
      <c r="BF186" s="52"/>
      <c r="BG186" s="734"/>
      <c r="BH186" s="734"/>
      <c r="BI186" s="734"/>
      <c r="BJ186" s="734"/>
    </row>
    <row r="187">
      <c r="B187" s="765" t="str">
        <f>vlookup(F187,'2) Tracker'!$A$3:$O$410,5,false)</f>
        <v/>
      </c>
      <c r="C187" s="765" t="str">
        <f>vlookup(F187,'2) Tracker'!$A$3:$O$410,4,false)</f>
        <v/>
      </c>
      <c r="D187" s="734"/>
      <c r="E187" s="734" t="str">
        <f>vlookup(F187,'2) Tracker'!$A$3:$O$406,15,false)</f>
        <v/>
      </c>
      <c r="F187" s="788" t="s">
        <v>354</v>
      </c>
      <c r="G187" s="789">
        <f>VLOOKUP(F187,'2) Tracker'!$A$2:$BO$360,2,FALSE)</f>
        <v>2023</v>
      </c>
      <c r="H187" s="768">
        <f>VLOOKUP(F187,'2) Tracker'!$A$2:$BO$360,3,FALSE)</f>
        <v>93000</v>
      </c>
      <c r="I187" s="777" t="str">
        <f>VLOOKUP(F187,'2) Tracker'!$A$2:$BO$360,9,FALSE)</f>
        <v>Petredec</v>
      </c>
      <c r="J187" s="770" t="str">
        <f>VLOOKUP(F187,'2) Tracker'!$A$2:$BO$360,12,FALSE)</f>
        <v>Japan</v>
      </c>
      <c r="K187" s="771">
        <f t="shared" si="207"/>
        <v>46163</v>
      </c>
      <c r="L187" s="771">
        <f t="shared" ref="L187:O187" si="234">AE187</f>
        <v>46173</v>
      </c>
      <c r="M187" s="771" t="str">
        <f t="shared" si="234"/>
        <v/>
      </c>
      <c r="N187" s="771">
        <f t="shared" si="234"/>
        <v>46149</v>
      </c>
      <c r="O187" s="772" t="str">
        <f t="shared" si="234"/>
        <v/>
      </c>
      <c r="P187" s="773" t="str">
        <f>iferror(if(vlookup(F187,'Voyage days'!$M$808:$N$819,2,false),"GOA",""),"")</f>
        <v/>
      </c>
      <c r="Q187" s="771">
        <f t="shared" si="81"/>
        <v>46152</v>
      </c>
      <c r="R187" s="771">
        <f t="shared" si="83"/>
        <v>46177</v>
      </c>
      <c r="S187" s="774">
        <f t="shared" si="5"/>
        <v>46167</v>
      </c>
      <c r="T187" s="771">
        <f t="shared" si="6"/>
        <v>46161</v>
      </c>
      <c r="U187" s="771">
        <f t="shared" si="84"/>
        <v>46140</v>
      </c>
      <c r="V187" s="771"/>
      <c r="W187" s="771">
        <f t="shared" si="85"/>
        <v>46139.25</v>
      </c>
      <c r="X187" s="775">
        <f t="shared" si="9"/>
        <v>46142</v>
      </c>
      <c r="Y187" s="776"/>
      <c r="Z187" s="777" t="str">
        <f>vlookup(F187,'2) Tracker'!$A$3:$Q$504,16,false)</f>
        <v>ETA 1st port Oita 14 Apr</v>
      </c>
      <c r="AA187" s="777" t="str">
        <f>vlookup(F187,'2) Tracker'!$A$3:$R$504,18,false)</f>
        <v>Petredec 12 Mar Targa</v>
      </c>
      <c r="AB187" s="777" t="str">
        <f>vlookup(F187,'2) Tracker'!$A$3:$Q$504,17,false)</f>
        <v/>
      </c>
      <c r="AC187" s="778"/>
      <c r="AD187" s="778">
        <f>VLOOKUP(F187,'2) Tracker'!$A$2:$BO$980,37,FALSE)</f>
        <v>46163</v>
      </c>
      <c r="AE187" s="778">
        <f>VLOOKUP(F187,'2) Tracker'!$A$2:$BO$980,40,FALSE)</f>
        <v>46173</v>
      </c>
      <c r="AF187" s="778" t="str">
        <f>VLOOKUP(F187,'2) Tracker'!$A$2:$BO$980,67,FALSE)</f>
        <v/>
      </c>
      <c r="AG187" s="778">
        <f>VLOOKUP(F187,'2) Tracker'!$A$2:$BO$980,34,FALSE)</f>
        <v>46149</v>
      </c>
      <c r="AH187" s="778" t="str">
        <f>VLOOKUP(F187,'2) Tracker'!$A$2:$BN$980,66,FALSE)</f>
        <v/>
      </c>
      <c r="AI187" s="778">
        <f>VLOOKUP(F187,'2) Tracker'!$A$2:$BO$980,56,FALSE)</f>
        <v>46140</v>
      </c>
      <c r="AJ187" s="778">
        <f>VLOOKUP(F187,'2) Tracker'!$A$2:$BO$980,52,FALSE)</f>
        <v>46139.25</v>
      </c>
      <c r="AK187" s="778">
        <f>VLOOKUP(F187,'2) Tracker'!$A$2:$AQ$980,43,FALSE)</f>
        <v>46161</v>
      </c>
      <c r="AL187" s="778">
        <f>VLOOKUP(F187,'2) Tracker'!$A$2:$BH$980,46,FALSE())</f>
        <v>46167</v>
      </c>
      <c r="AM187" s="778">
        <f>VLOOKUP(F187,'2) Tracker'!$A$2:$BO$980,65,FALSE())</f>
        <v>46152</v>
      </c>
      <c r="AN187" s="778">
        <f>VLOOKUP(F187,'2) Tracker'!$A$2:$BK$980,63,FALSE())</f>
        <v>46177</v>
      </c>
      <c r="AO187" s="778">
        <f>VLOOKUP(F187,'2) Tracker'!$A$2:$BF$980,58,FALSE())</f>
        <v>46142</v>
      </c>
      <c r="AP187" s="52"/>
      <c r="AQ187" s="52"/>
      <c r="AR187" s="52"/>
      <c r="AS187" s="52"/>
      <c r="AT187" s="52"/>
      <c r="AU187" s="52"/>
      <c r="AV187" s="52"/>
      <c r="AW187" s="52"/>
      <c r="AX187" s="52"/>
      <c r="AY187" s="52"/>
      <c r="AZ187" s="787"/>
      <c r="BA187" s="786" t="str">
        <f>vlookup(AZ187,'Iran, FS'!$A$1:$B$318,2, false)</f>
        <v>#N/A</v>
      </c>
      <c r="BB187" s="787" t="str">
        <f>vlookup(AZ187,'1) Kpler'!$E$2:$F$500,2,false)</f>
        <v>#N/A</v>
      </c>
      <c r="BC187" s="788"/>
      <c r="BD187" s="787"/>
      <c r="BE187" s="52"/>
      <c r="BF187" s="52"/>
      <c r="BG187" s="787"/>
      <c r="BH187" s="787"/>
      <c r="BI187" s="787"/>
      <c r="BJ187" s="787"/>
    </row>
    <row r="188">
      <c r="B188" s="765"/>
      <c r="C188" s="765"/>
      <c r="D188" s="734"/>
      <c r="E188" s="734"/>
      <c r="F188" s="776" t="s">
        <v>233</v>
      </c>
      <c r="G188" s="732">
        <v>2026.0</v>
      </c>
      <c r="H188" s="826">
        <v>88000.0</v>
      </c>
      <c r="I188" s="840" t="str">
        <f>VLOOKUP(F188,'2) Tracker'!$A$2:$BO$360,9,FALSE)</f>
        <v>Total</v>
      </c>
      <c r="J188" s="770" t="str">
        <f>VLOOKUP(F188,'2) Tracker'!$A$2:$BO$360,12,FALSE)</f>
        <v>East China</v>
      </c>
      <c r="K188" s="771">
        <f t="shared" si="207"/>
        <v>46163</v>
      </c>
      <c r="L188" s="827"/>
      <c r="N188" s="771">
        <f t="shared" ref="N188:O188" si="235">AG188</f>
        <v>46147</v>
      </c>
      <c r="O188" s="772" t="str">
        <f t="shared" si="235"/>
        <v/>
      </c>
      <c r="P188" s="773" t="str">
        <f>iferror(if(vlookup(F188,'Voyage days'!$M$808:$N$819,2,false),"GOA",""),"")</f>
        <v/>
      </c>
      <c r="Q188" s="771">
        <f t="shared" si="81"/>
        <v>46149</v>
      </c>
      <c r="R188" s="774">
        <f t="shared" si="83"/>
        <v>46174</v>
      </c>
      <c r="S188" s="774">
        <f t="shared" si="5"/>
        <v>46165</v>
      </c>
      <c r="T188" s="771">
        <f t="shared" si="6"/>
        <v>46158</v>
      </c>
      <c r="U188" s="774">
        <f t="shared" si="84"/>
        <v>46137</v>
      </c>
      <c r="V188" s="802"/>
      <c r="W188" s="802">
        <f t="shared" si="85"/>
        <v>46137.25</v>
      </c>
      <c r="X188" s="775">
        <f t="shared" si="9"/>
        <v>46143</v>
      </c>
      <c r="Y188" s="776" t="s">
        <v>1574</v>
      </c>
      <c r="Z188" s="777" t="str">
        <f>vlookup(F188,'2) Tracker'!$A$3:$Q$504,16,false)</f>
        <v>ETA Jiangyin 15 Apr</v>
      </c>
      <c r="AA188" s="777" t="str">
        <f>vlookup(F188,'2) Tracker'!$A$3:$R$504,18,false)</f>
        <v>Total 11 Mar Nederland</v>
      </c>
      <c r="AB188" s="777" t="str">
        <f>vlookup(F188,'2) Tracker'!$A$3:$Q$504,17,false)</f>
        <v/>
      </c>
      <c r="AC188" s="778"/>
      <c r="AD188" s="778">
        <f>VLOOKUP(F188,'2) Tracker'!$A$2:$BO$980,37,FALSE)</f>
        <v>46163</v>
      </c>
      <c r="AE188" s="778">
        <f>VLOOKUP(F188,'2) Tracker'!$A$2:$BO$980,40,FALSE)</f>
        <v>46174</v>
      </c>
      <c r="AF188" s="778" t="str">
        <f>VLOOKUP(F188,'2) Tracker'!$A$2:$BO$980,67,FALSE)</f>
        <v/>
      </c>
      <c r="AG188" s="778">
        <f>VLOOKUP(F188,'2) Tracker'!$A$2:$BO$980,34,FALSE)</f>
        <v>46147</v>
      </c>
      <c r="AH188" s="778" t="str">
        <f>VLOOKUP(F188,'2) Tracker'!$A$2:$BN$980,66,FALSE)</f>
        <v/>
      </c>
      <c r="AI188" s="778">
        <f>VLOOKUP(F188,'2) Tracker'!$A$2:$BO$980,56,FALSE)</f>
        <v>46137</v>
      </c>
      <c r="AJ188" s="778">
        <f>VLOOKUP(F188,'2) Tracker'!$A$2:$BO$980,52,FALSE)</f>
        <v>46137.25</v>
      </c>
      <c r="AK188" s="778">
        <f>VLOOKUP(F188,'2) Tracker'!$A$2:$AQ$980,43,FALSE)</f>
        <v>46158</v>
      </c>
      <c r="AL188" s="778">
        <f>VLOOKUP(F188,'2) Tracker'!$A$2:$BH$980,46,FALSE())</f>
        <v>46165</v>
      </c>
      <c r="AM188" s="778">
        <f>VLOOKUP(F188,'2) Tracker'!$A$2:$BO$980,65,FALSE())</f>
        <v>46149</v>
      </c>
      <c r="AN188" s="778">
        <f>VLOOKUP(F188,'2) Tracker'!$A$2:$BK$980,63,FALSE())</f>
        <v>46174</v>
      </c>
      <c r="AO188" s="778">
        <f>VLOOKUP(F188,'2) Tracker'!$A$2:$BF$980,58,FALSE())</f>
        <v>46143</v>
      </c>
      <c r="AP188" s="52"/>
      <c r="AQ188" s="52"/>
      <c r="AR188" s="52"/>
      <c r="AS188" s="52"/>
      <c r="AT188" s="52"/>
      <c r="AU188" s="52"/>
      <c r="AV188" s="52"/>
      <c r="AW188" s="52"/>
      <c r="AX188" s="52"/>
      <c r="AY188" s="52"/>
      <c r="AZ188" s="787"/>
      <c r="BA188" s="786" t="str">
        <f>vlookup(AZ188,'Iran, FS'!$A$1:$B$318,2, false)</f>
        <v>#N/A</v>
      </c>
      <c r="BB188" s="787" t="str">
        <f>vlookup(AZ188,'1) Kpler'!$E$2:$F$500,2,false)</f>
        <v>#N/A</v>
      </c>
      <c r="BC188" s="788"/>
      <c r="BD188" s="787"/>
      <c r="BE188" s="52"/>
      <c r="BF188" s="52"/>
      <c r="BG188" s="787"/>
      <c r="BH188" s="787"/>
      <c r="BI188" s="787"/>
      <c r="BJ188" s="787"/>
    </row>
    <row r="189">
      <c r="B189" s="765" t="str">
        <f>vlookup(F189,'2) Tracker'!$A$3:$O$410,5,false)</f>
        <v/>
      </c>
      <c r="C189" s="765" t="str">
        <f>vlookup(F189,'2) Tracker'!$A$3:$O$410,4,false)</f>
        <v/>
      </c>
      <c r="D189" s="734"/>
      <c r="E189" s="734" t="str">
        <f>vlookup(F189,'2) Tracker'!$A$3:$O$406,15,false)</f>
        <v/>
      </c>
      <c r="F189" s="766" t="s">
        <v>293</v>
      </c>
      <c r="G189" s="789">
        <f>VLOOKUP(F189,'2) Tracker'!$A$2:$BO$360,2,FALSE)</f>
        <v>2021</v>
      </c>
      <c r="H189" s="768">
        <f>VLOOKUP(F189,'2) Tracker'!$A$2:$BO$360,3,FALSE)</f>
        <v>84000</v>
      </c>
      <c r="I189" s="769" t="str">
        <f>VLOOKUP(F189,'2) Tracker'!$A$2:$BO$360,9,FALSE)</f>
        <v>BGN</v>
      </c>
      <c r="J189" s="770" t="str">
        <f>VLOOKUP(F189,'2) Tracker'!$A$2:$BO$360,12,FALSE)</f>
        <v>Indo</v>
      </c>
      <c r="K189" s="771">
        <f t="shared" si="207"/>
        <v>46164</v>
      </c>
      <c r="L189" s="771">
        <f t="shared" ref="L189:O189" si="236">AE189</f>
        <v>46162</v>
      </c>
      <c r="M189" s="771" t="str">
        <f t="shared" si="236"/>
        <v/>
      </c>
      <c r="N189" s="772">
        <f t="shared" si="236"/>
        <v>46136</v>
      </c>
      <c r="O189" s="772" t="str">
        <f t="shared" si="236"/>
        <v/>
      </c>
      <c r="P189" s="773" t="str">
        <f>iferror(if(vlookup(F189,'Voyage days'!$M$808:$N$819,2,false),"GOA",""),"")</f>
        <v/>
      </c>
      <c r="Q189" s="771">
        <f t="shared" si="81"/>
        <v>46139</v>
      </c>
      <c r="R189" s="771">
        <f t="shared" si="83"/>
        <v>46162</v>
      </c>
      <c r="S189" s="774">
        <f t="shared" si="5"/>
        <v>46154</v>
      </c>
      <c r="T189" s="771">
        <f t="shared" si="6"/>
        <v>46145</v>
      </c>
      <c r="U189" s="771">
        <f t="shared" si="84"/>
        <v>46129</v>
      </c>
      <c r="V189" s="771"/>
      <c r="W189" s="771">
        <f t="shared" si="85"/>
        <v>46129</v>
      </c>
      <c r="X189" s="775" t="str">
        <f t="shared" si="9"/>
        <v/>
      </c>
      <c r="Y189" s="776"/>
      <c r="Z189" s="777" t="str">
        <f>vlookup(F189,'2) Tracker'!$A$3:$Q$504,16,false)</f>
        <v>ETD Balikpapan 13 Apr, heading back to USG?</v>
      </c>
      <c r="AA189" s="777" t="str">
        <f>vlookup(F189,'2) Tracker'!$A$3:$R$504,18,false)</f>
        <v>BGN 15-17 Feb USG (delay)</v>
      </c>
      <c r="AB189" s="777" t="str">
        <f>vlookup(F189,'2) Tracker'!$A$3:$Q$504,17,false)</f>
        <v/>
      </c>
      <c r="AC189" s="778"/>
      <c r="AD189" s="778">
        <f>VLOOKUP(F189,'2) Tracker'!$A$2:$BO$980,37,FALSE)</f>
        <v>46164</v>
      </c>
      <c r="AE189" s="778">
        <f>VLOOKUP(F189,'2) Tracker'!$A$2:$BO$980,40,FALSE)</f>
        <v>46162</v>
      </c>
      <c r="AF189" s="778" t="str">
        <f>VLOOKUP(F189,'2) Tracker'!$A$2:$BO$980,67,FALSE)</f>
        <v/>
      </c>
      <c r="AG189" s="778">
        <f>VLOOKUP(F189,'2) Tracker'!$A$2:$BO$980,34,FALSE)</f>
        <v>46136</v>
      </c>
      <c r="AH189" s="778" t="str">
        <f>VLOOKUP(F189,'2) Tracker'!$A$2:$BN$980,66,FALSE)</f>
        <v/>
      </c>
      <c r="AI189" s="778">
        <f>VLOOKUP(F189,'2) Tracker'!$A$2:$BO$980,56,FALSE)</f>
        <v>46129</v>
      </c>
      <c r="AJ189" s="778">
        <f>VLOOKUP(F189,'2) Tracker'!$A$2:$BO$980,52,FALSE)</f>
        <v>46129</v>
      </c>
      <c r="AK189" s="778">
        <f>VLOOKUP(F189,'2) Tracker'!$A$2:$AQ$980,43,FALSE)</f>
        <v>46145</v>
      </c>
      <c r="AL189" s="778">
        <f>VLOOKUP(F189,'2) Tracker'!$A$2:$BH$980,46,FALSE())</f>
        <v>46154</v>
      </c>
      <c r="AM189" s="778">
        <f>VLOOKUP(F189,'2) Tracker'!$A$2:$BO$980,65,FALSE())</f>
        <v>46139</v>
      </c>
      <c r="AN189" s="778">
        <f>VLOOKUP(F189,'2) Tracker'!$A$2:$BK$980,63,FALSE())</f>
        <v>46162</v>
      </c>
      <c r="AO189" s="778" t="str">
        <f>VLOOKUP(F189,'2) Tracker'!$A$2:$BF$980,58,FALSE())</f>
        <v/>
      </c>
      <c r="AP189" s="52"/>
      <c r="AQ189" s="52"/>
      <c r="AR189" s="52"/>
      <c r="AS189" s="52"/>
      <c r="AT189" s="52"/>
      <c r="AU189" s="52"/>
      <c r="AV189" s="52"/>
      <c r="AW189" s="52"/>
      <c r="AX189" s="52"/>
      <c r="AY189" s="52"/>
      <c r="AZ189" s="787"/>
      <c r="BA189" s="786" t="str">
        <f>vlookup(AZ189,'Iran, FS'!$A$1:$B$318,2, false)</f>
        <v>#N/A</v>
      </c>
      <c r="BB189" s="787" t="str">
        <f>vlookup(AZ189,'1) Kpler'!$E$2:$F$500,2,false)</f>
        <v>#N/A</v>
      </c>
      <c r="BC189" s="788"/>
      <c r="BD189" s="787"/>
      <c r="BE189" s="52"/>
      <c r="BF189" s="52"/>
      <c r="BG189" s="787"/>
      <c r="BH189" s="787"/>
      <c r="BI189" s="787"/>
      <c r="BJ189" s="52"/>
    </row>
    <row r="190">
      <c r="B190" s="765" t="str">
        <f>vlookup(F190,'2) Tracker'!$A$3:$O$410,5,false)</f>
        <v>C</v>
      </c>
      <c r="C190" s="765" t="str">
        <f>vlookup(F190,'2) Tracker'!$A$3:$O$410,4,false)</f>
        <v/>
      </c>
      <c r="D190" s="734"/>
      <c r="E190" s="734" t="str">
        <f>vlookup(F190,'2) Tracker'!$A$3:$O$406,15,false)</f>
        <v/>
      </c>
      <c r="F190" s="788" t="s">
        <v>292</v>
      </c>
      <c r="G190" s="783">
        <f>VLOOKUP(F190,'2) Tracker'!$A$2:$BO$360,2,FALSE)</f>
        <v>43084</v>
      </c>
      <c r="H190" s="768">
        <f>VLOOKUP(F190,'2) Tracker'!$A$2:$BO$360,3,FALSE)</f>
        <v>84000</v>
      </c>
      <c r="I190" s="777" t="str">
        <f>VLOOKUP(F190,'2) Tracker'!$A$2:$BO$360,9,FALSE)</f>
        <v>Satellite</v>
      </c>
      <c r="J190" s="770" t="str">
        <f>VLOOKUP(F190,'2) Tracker'!$A$2:$BO$360,12,FALSE)</f>
        <v>loads USG</v>
      </c>
      <c r="K190" s="771">
        <f t="shared" si="207"/>
        <v>46164</v>
      </c>
      <c r="L190" s="771">
        <f t="shared" ref="L190:O190" si="237">AE190</f>
        <v>46164</v>
      </c>
      <c r="M190" s="771">
        <f t="shared" si="237"/>
        <v>46196</v>
      </c>
      <c r="N190" s="771" t="str">
        <f t="shared" si="237"/>
        <v/>
      </c>
      <c r="O190" s="772" t="str">
        <f t="shared" si="237"/>
        <v/>
      </c>
      <c r="P190" s="773" t="str">
        <f>iferror(if(vlookup(F190,'Voyage days'!$M$808:$N$819,2,false),"GOA",""),"")</f>
        <v/>
      </c>
      <c r="Q190" s="771" t="str">
        <f t="shared" si="81"/>
        <v/>
      </c>
      <c r="R190" s="771" t="str">
        <f t="shared" si="83"/>
        <v/>
      </c>
      <c r="S190" s="774">
        <f t="shared" si="5"/>
        <v>46184</v>
      </c>
      <c r="T190" s="771" t="str">
        <f t="shared" si="6"/>
        <v/>
      </c>
      <c r="U190" s="771" t="str">
        <f t="shared" si="84"/>
        <v/>
      </c>
      <c r="V190" s="745" t="s">
        <v>1523</v>
      </c>
      <c r="W190" s="771" t="str">
        <f t="shared" si="85"/>
        <v/>
      </c>
      <c r="X190" s="775" t="str">
        <f t="shared" si="9"/>
        <v/>
      </c>
      <c r="Y190" s="804" t="s">
        <v>1133</v>
      </c>
      <c r="Z190" s="777" t="str">
        <f>vlookup(F190,'2) Tracker'!$A$3:$Q$504,16,false)</f>
        <v>ETA USG 20 May via Cape</v>
      </c>
      <c r="AA190" s="777" t="str">
        <f>vlookup(F190,'2) Tracker'!$A$3:$R$504,18,false)</f>
        <v>ATC 22-23 May USG</v>
      </c>
      <c r="AB190" s="777" t="str">
        <f>vlookup(F190,'2) Tracker'!$A$3:$Q$504,17,false)</f>
        <v/>
      </c>
      <c r="AC190" s="778"/>
      <c r="AD190" s="778">
        <f>VLOOKUP(F190,'2) Tracker'!$A$2:$BO$980,37,FALSE)</f>
        <v>46164</v>
      </c>
      <c r="AE190" s="778">
        <f>VLOOKUP(F190,'2) Tracker'!$A$2:$BO$980,40,FALSE)</f>
        <v>46164</v>
      </c>
      <c r="AF190" s="778">
        <f>VLOOKUP(F190,'2) Tracker'!$A$2:$BO$980,67,FALSE)</f>
        <v>46196</v>
      </c>
      <c r="AG190" s="778" t="str">
        <f>VLOOKUP(F190,'2) Tracker'!$A$2:$BO$980,34,FALSE)</f>
        <v/>
      </c>
      <c r="AH190" s="778" t="str">
        <f>VLOOKUP(F190,'2) Tracker'!$A$2:$BN$980,66,FALSE)</f>
        <v/>
      </c>
      <c r="AI190" s="778" t="str">
        <f>VLOOKUP(F190,'2) Tracker'!$A$2:$BO$980,56,FALSE)</f>
        <v/>
      </c>
      <c r="AJ190" s="778" t="str">
        <f>VLOOKUP(F190,'2) Tracker'!$A$2:$BO$980,52,FALSE)</f>
        <v/>
      </c>
      <c r="AK190" s="778" t="str">
        <f>VLOOKUP(F190,'2) Tracker'!$A$2:$AQ$980,43,FALSE)</f>
        <v/>
      </c>
      <c r="AL190" s="778">
        <f>VLOOKUP(F190,'2) Tracker'!$A$2:$BH$980,46,FALSE())</f>
        <v>46184</v>
      </c>
      <c r="AM190" s="778" t="str">
        <f>VLOOKUP(F190,'2) Tracker'!$A$2:$BO$980,65,FALSE())</f>
        <v/>
      </c>
      <c r="AN190" s="778" t="str">
        <f>VLOOKUP(F190,'2) Tracker'!$A$2:$BK$980,63,FALSE())</f>
        <v/>
      </c>
      <c r="AO190" s="778" t="str">
        <f>VLOOKUP(F190,'2) Tracker'!$A$2:$BF$980,58,FALSE())</f>
        <v/>
      </c>
      <c r="AP190" s="52"/>
      <c r="AQ190" s="52"/>
      <c r="AR190" s="52"/>
      <c r="AS190" s="52"/>
      <c r="AT190" s="52"/>
      <c r="AU190" s="52"/>
      <c r="AV190" s="52"/>
      <c r="AW190" s="52"/>
      <c r="AX190" s="52"/>
      <c r="AY190" s="52"/>
      <c r="AZ190" s="734"/>
      <c r="BA190" s="786" t="str">
        <f>vlookup(AZ190,'Iran, FS'!$A$1:$B$318,2, false)</f>
        <v>#N/A</v>
      </c>
      <c r="BB190" s="787" t="str">
        <f>vlookup(AZ190,'1) Kpler'!$E$2:$F$500,2,false)</f>
        <v>#N/A</v>
      </c>
      <c r="BC190" s="740"/>
      <c r="BD190" s="734"/>
      <c r="BE190" s="52"/>
      <c r="BF190" s="52"/>
      <c r="BG190" s="734"/>
      <c r="BH190" s="734"/>
      <c r="BI190" s="734"/>
      <c r="BJ190" s="734"/>
    </row>
    <row r="191">
      <c r="B191" s="765" t="str">
        <f>vlookup(F191,'2) Tracker'!$A$3:$O$410,5,false)</f>
        <v/>
      </c>
      <c r="C191" s="765" t="str">
        <f>vlookup(F191,'2) Tracker'!$A$3:$O$410,4,false)</f>
        <v/>
      </c>
      <c r="D191" s="734"/>
      <c r="E191" s="734" t="str">
        <f>vlookup(F191,'2) Tracker'!$A$3:$O$406,15,false)</f>
        <v>eu</v>
      </c>
      <c r="F191" s="766" t="s">
        <v>161</v>
      </c>
      <c r="G191" s="783">
        <f>VLOOKUP(F191,'2) Tracker'!$A$2:$BO$360,2,FALSE)</f>
        <v>42353</v>
      </c>
      <c r="H191" s="768">
        <f>VLOOKUP(F191,'2) Tracker'!$A$2:$BO$360,3,FALSE)</f>
        <v>84000</v>
      </c>
      <c r="I191" s="769" t="str">
        <f>VLOOKUP(F191,'2) Tracker'!$A$2:$BO$360,9,FALSE)</f>
        <v>BGN</v>
      </c>
      <c r="J191" s="770" t="str">
        <f>VLOOKUP(F191,'2) Tracker'!$A$2:$BO$360,12,FALSE)</f>
        <v>Suez</v>
      </c>
      <c r="K191" s="771">
        <f t="shared" si="207"/>
        <v>46164</v>
      </c>
      <c r="L191" s="771">
        <f t="shared" ref="L191:O191" si="238">AE191</f>
        <v>46167</v>
      </c>
      <c r="M191" s="771" t="str">
        <f t="shared" si="238"/>
        <v/>
      </c>
      <c r="N191" s="771">
        <f t="shared" si="238"/>
        <v>46155</v>
      </c>
      <c r="O191" s="772" t="str">
        <f t="shared" si="238"/>
        <v/>
      </c>
      <c r="P191" s="773" t="str">
        <f>iferror(if(vlookup(F191,'Voyage days'!$M$808:$N$819,2,false),"GOA",""),"")</f>
        <v/>
      </c>
      <c r="Q191" s="771">
        <f t="shared" si="81"/>
        <v>46140</v>
      </c>
      <c r="R191" s="771">
        <f t="shared" si="83"/>
        <v>46147.5</v>
      </c>
      <c r="S191" s="774">
        <f t="shared" si="5"/>
        <v>46154</v>
      </c>
      <c r="T191" s="771">
        <f t="shared" si="6"/>
        <v>46161</v>
      </c>
      <c r="U191" s="771" t="str">
        <f t="shared" si="84"/>
        <v/>
      </c>
      <c r="V191" s="745" t="s">
        <v>1523</v>
      </c>
      <c r="W191" s="771" t="str">
        <f t="shared" si="85"/>
        <v/>
      </c>
      <c r="X191" s="775" t="str">
        <f t="shared" si="9"/>
        <v/>
      </c>
      <c r="Y191" s="776"/>
      <c r="Z191" s="777" t="str">
        <f>vlookup(F191,'2) Tracker'!$A$3:$Q$504,16,false)</f>
        <v>ETA Port Said 27 Apr</v>
      </c>
      <c r="AA191" s="777" t="str">
        <f>vlookup(F191,'2) Tracker'!$A$3:$R$504,18,false)</f>
        <v>BGN 08-09 Apr MH</v>
      </c>
      <c r="AB191" s="777" t="str">
        <f>vlookup(F191,'2) Tracker'!$A$3:$Q$504,17,false)</f>
        <v/>
      </c>
      <c r="AC191" s="778"/>
      <c r="AD191" s="778">
        <f>VLOOKUP(F191,'2) Tracker'!$A$2:$BO$980,37,FALSE)</f>
        <v>46164</v>
      </c>
      <c r="AE191" s="778">
        <f>VLOOKUP(F191,'2) Tracker'!$A$2:$BO$980,40,FALSE)</f>
        <v>46167</v>
      </c>
      <c r="AF191" s="778" t="str">
        <f>VLOOKUP(F191,'2) Tracker'!$A$2:$BO$980,67,FALSE)</f>
        <v/>
      </c>
      <c r="AG191" s="778">
        <f>VLOOKUP(F191,'2) Tracker'!$A$2:$BO$980,34,FALSE)</f>
        <v>46155</v>
      </c>
      <c r="AH191" s="778" t="str">
        <f>VLOOKUP(F191,'2) Tracker'!$A$2:$BN$980,66,FALSE)</f>
        <v/>
      </c>
      <c r="AI191" s="778" t="str">
        <f>VLOOKUP(F191,'2) Tracker'!$A$2:$BO$980,56,FALSE)</f>
        <v/>
      </c>
      <c r="AJ191" s="778" t="str">
        <f>VLOOKUP(F191,'2) Tracker'!$A$2:$BO$980,52,FALSE)</f>
        <v/>
      </c>
      <c r="AK191" s="778">
        <f>VLOOKUP(F191,'2) Tracker'!$A$2:$AQ$980,43,FALSE)</f>
        <v>46161</v>
      </c>
      <c r="AL191" s="778">
        <f>VLOOKUP(F191,'2) Tracker'!$A$2:$BH$980,46,FALSE())</f>
        <v>46154</v>
      </c>
      <c r="AM191" s="778">
        <f>VLOOKUP(F191,'2) Tracker'!$A$2:$BO$980,65,FALSE())</f>
        <v>46140</v>
      </c>
      <c r="AN191" s="778">
        <f>VLOOKUP(F191,'2) Tracker'!$A$2:$BK$980,63,FALSE())</f>
        <v>46147.5</v>
      </c>
      <c r="AO191" s="778" t="str">
        <f>VLOOKUP(F191,'2) Tracker'!$A$2:$BF$980,58,FALSE())</f>
        <v/>
      </c>
      <c r="AP191" s="52"/>
      <c r="AQ191" s="52"/>
      <c r="AR191" s="52"/>
      <c r="AS191" s="52"/>
      <c r="AT191" s="52"/>
      <c r="AU191" s="52"/>
      <c r="AV191" s="52"/>
      <c r="AW191" s="52"/>
      <c r="AX191" s="52"/>
      <c r="AY191" s="52"/>
      <c r="AZ191" s="787"/>
      <c r="BA191" s="786" t="str">
        <f>vlookup(AZ191,'Iran, FS'!$A$1:$B$318,2, false)</f>
        <v>#N/A</v>
      </c>
      <c r="BB191" s="787" t="str">
        <f>vlookup(AZ191,'1) Kpler'!$E$2:$F$500,2,false)</f>
        <v>#N/A</v>
      </c>
      <c r="BC191" s="788"/>
      <c r="BD191" s="787"/>
      <c r="BE191" s="52"/>
      <c r="BF191" s="52"/>
      <c r="BG191" s="787"/>
      <c r="BH191" s="787"/>
      <c r="BI191" s="787"/>
      <c r="BJ191" s="787"/>
    </row>
    <row r="192">
      <c r="B192" s="765" t="str">
        <f>vlookup(F192,'2) Tracker'!$A$3:$O$410,5,false)</f>
        <v/>
      </c>
      <c r="C192" s="765" t="str">
        <f>vlookup(F192,'2) Tracker'!$A$3:$O$410,4,false)</f>
        <v/>
      </c>
      <c r="D192" s="732" t="s">
        <v>1515</v>
      </c>
      <c r="E192" s="734" t="str">
        <f>vlookup(F192,'2) Tracker'!$A$3:$O$406,15,false)</f>
        <v/>
      </c>
      <c r="F192" s="797" t="s">
        <v>338</v>
      </c>
      <c r="G192" s="789">
        <f>VLOOKUP(F192,'2) Tracker'!$A$2:$BO$360,2,FALSE)</f>
        <v>2023</v>
      </c>
      <c r="H192" s="768">
        <f>VLOOKUP(F192,'2) Tracker'!$A$2:$BO$360,3,FALSE)</f>
        <v>86000</v>
      </c>
      <c r="I192" s="777" t="str">
        <f>VLOOKUP(F192,'2) Tracker'!$A$2:$BO$360,9,FALSE)</f>
        <v>Eneos</v>
      </c>
      <c r="J192" s="770" t="str">
        <f>VLOOKUP(F192,'2) Tracker'!$A$2:$BO$360,12,FALSE)</f>
        <v>loads USG</v>
      </c>
      <c r="K192" s="771">
        <f t="shared" si="207"/>
        <v>46165</v>
      </c>
      <c r="L192" s="771">
        <f t="shared" ref="L192:O192" si="239">AE192</f>
        <v>46165</v>
      </c>
      <c r="M192" s="771">
        <f t="shared" si="239"/>
        <v>46197</v>
      </c>
      <c r="N192" s="771" t="str">
        <f t="shared" si="239"/>
        <v/>
      </c>
      <c r="O192" s="772" t="str">
        <f t="shared" si="239"/>
        <v/>
      </c>
      <c r="P192" s="773" t="str">
        <f>iferror(if(vlookup(F192,'Voyage days'!$M$808:$N$819,2,false),"GOA",""),"")</f>
        <v/>
      </c>
      <c r="Q192" s="771" t="str">
        <f t="shared" si="81"/>
        <v/>
      </c>
      <c r="R192" s="771" t="str">
        <f t="shared" si="83"/>
        <v/>
      </c>
      <c r="S192" s="774">
        <f t="shared" si="5"/>
        <v>46185</v>
      </c>
      <c r="T192" s="771" t="str">
        <f t="shared" si="6"/>
        <v/>
      </c>
      <c r="U192" s="771" t="str">
        <f t="shared" si="84"/>
        <v/>
      </c>
      <c r="V192" s="771"/>
      <c r="W192" s="771" t="str">
        <f t="shared" si="85"/>
        <v/>
      </c>
      <c r="X192" s="775" t="str">
        <f t="shared" si="9"/>
        <v/>
      </c>
      <c r="Y192" s="804" t="s">
        <v>881</v>
      </c>
      <c r="Z192" s="777" t="str">
        <f>vlookup(F192,'2) Tracker'!$A$3:$Q$504,16,false)</f>
        <v>ETA Daesan 16 Apr</v>
      </c>
      <c r="AA192" s="777" t="str">
        <f>vlookup(F192,'2) Tracker'!$A$3:$R$504,18,false)</f>
        <v>Eneos 12 Mar Nederland</v>
      </c>
      <c r="AB192" s="777" t="str">
        <f>vlookup(F192,'2) Tracker'!$A$3:$Q$504,17,false)</f>
        <v>load own stem End May USG</v>
      </c>
      <c r="AC192" s="778"/>
      <c r="AD192" s="778">
        <f>VLOOKUP(F192,'2) Tracker'!$A$2:$BO$980,37,FALSE)</f>
        <v>46165</v>
      </c>
      <c r="AE192" s="778">
        <f>VLOOKUP(F192,'2) Tracker'!$A$2:$BO$980,40,FALSE)</f>
        <v>46165</v>
      </c>
      <c r="AF192" s="778">
        <f>VLOOKUP(F192,'2) Tracker'!$A$2:$BO$980,67,FALSE)</f>
        <v>46197</v>
      </c>
      <c r="AG192" s="778" t="str">
        <f>VLOOKUP(F192,'2) Tracker'!$A$2:$BO$980,34,FALSE)</f>
        <v/>
      </c>
      <c r="AH192" s="778" t="str">
        <f>VLOOKUP(F192,'2) Tracker'!$A$2:$BN$980,66,FALSE)</f>
        <v/>
      </c>
      <c r="AI192" s="778" t="str">
        <f>VLOOKUP(F192,'2) Tracker'!$A$2:$BO$980,56,FALSE)</f>
        <v/>
      </c>
      <c r="AJ192" s="778" t="str">
        <f>VLOOKUP(F192,'2) Tracker'!$A$2:$BO$980,52,FALSE)</f>
        <v/>
      </c>
      <c r="AK192" s="778" t="str">
        <f>VLOOKUP(F192,'2) Tracker'!$A$2:$AQ$980,43,FALSE)</f>
        <v/>
      </c>
      <c r="AL192" s="778">
        <f>VLOOKUP(F192,'2) Tracker'!$A$2:$BH$980,46,FALSE())</f>
        <v>46185</v>
      </c>
      <c r="AM192" s="778" t="str">
        <f>VLOOKUP(F192,'2) Tracker'!$A$2:$BO$980,65,FALSE())</f>
        <v/>
      </c>
      <c r="AN192" s="778" t="str">
        <f>VLOOKUP(F192,'2) Tracker'!$A$2:$BK$980,63,FALSE())</f>
        <v/>
      </c>
      <c r="AO192" s="778" t="str">
        <f>VLOOKUP(F192,'2) Tracker'!$A$2:$BF$980,58,FALSE())</f>
        <v/>
      </c>
      <c r="AP192" s="52"/>
      <c r="AQ192" s="52"/>
      <c r="AR192" s="52"/>
      <c r="AS192" s="52"/>
      <c r="AT192" s="52"/>
      <c r="AU192" s="52"/>
      <c r="AV192" s="52"/>
      <c r="AW192" s="52"/>
      <c r="AX192" s="52"/>
      <c r="AY192" s="52"/>
      <c r="AZ192" s="787"/>
      <c r="BA192" s="786" t="str">
        <f>vlookup(AZ192,'Iran, FS'!$A$1:$B$318,2, false)</f>
        <v>#N/A</v>
      </c>
      <c r="BB192" s="787" t="str">
        <f>vlookup(AZ192,'1) Kpler'!$E$2:$F$500,2,false)</f>
        <v>#N/A</v>
      </c>
      <c r="BC192" s="788"/>
      <c r="BD192" s="787"/>
      <c r="BE192" s="52"/>
      <c r="BF192" s="52"/>
      <c r="BG192" s="787"/>
      <c r="BH192" s="787"/>
      <c r="BI192" s="787"/>
      <c r="BJ192" s="787"/>
    </row>
    <row r="193">
      <c r="B193" s="765" t="str">
        <f>vlookup(F193,'2) Tracker'!$A$3:$O$410,5,false)</f>
        <v>C</v>
      </c>
      <c r="C193" s="765" t="str">
        <f>vlookup(F193,'2) Tracker'!$A$3:$O$410,4,false)</f>
        <v/>
      </c>
      <c r="D193" s="734"/>
      <c r="E193" s="734" t="str">
        <f>vlookup(F193,'2) Tracker'!$A$3:$O$406,15,false)</f>
        <v>O</v>
      </c>
      <c r="F193" s="788" t="s">
        <v>273</v>
      </c>
      <c r="G193" s="789">
        <f>VLOOKUP(F193,'2) Tracker'!$A$2:$BO$360,2,FALSE)</f>
        <v>2024</v>
      </c>
      <c r="H193" s="768">
        <f>VLOOKUP(F193,'2) Tracker'!$A$2:$BO$360,3,FALSE)</f>
        <v>93000</v>
      </c>
      <c r="I193" s="777" t="str">
        <f>VLOOKUP(F193,'2) Tracker'!$A$2:$BO$360,9,FALSE)</f>
        <v>Sinogas</v>
      </c>
      <c r="J193" s="770" t="str">
        <f>VLOOKUP(F193,'2) Tracker'!$A$2:$BO$360,12,FALSE)</f>
        <v>Singapore ballast</v>
      </c>
      <c r="K193" s="771">
        <f t="shared" si="207"/>
        <v>46165</v>
      </c>
      <c r="L193" s="771">
        <f t="shared" ref="L193:O193" si="240">AE193</f>
        <v>46166</v>
      </c>
      <c r="M193" s="771" t="str">
        <f t="shared" si="240"/>
        <v/>
      </c>
      <c r="N193" s="771">
        <f t="shared" si="240"/>
        <v>46142</v>
      </c>
      <c r="O193" s="772" t="str">
        <f t="shared" si="240"/>
        <v/>
      </c>
      <c r="P193" s="800" t="str">
        <f>iferror(if(vlookup(F193,'Voyage days'!$M$808:$N$828,2,false),"GOA",""),"")</f>
        <v>GOA</v>
      </c>
      <c r="Q193" s="801">
        <f t="shared" si="81"/>
        <v>46146</v>
      </c>
      <c r="R193" s="771">
        <f t="shared" si="83"/>
        <v>46169</v>
      </c>
      <c r="S193" s="774">
        <f t="shared" si="5"/>
        <v>46160</v>
      </c>
      <c r="T193" s="771">
        <f t="shared" si="6"/>
        <v>46152</v>
      </c>
      <c r="U193" s="771">
        <f t="shared" si="84"/>
        <v>46133</v>
      </c>
      <c r="V193" s="771"/>
      <c r="W193" s="771">
        <f t="shared" si="85"/>
        <v>46137.25</v>
      </c>
      <c r="X193" s="775" t="str">
        <f t="shared" si="9"/>
        <v/>
      </c>
      <c r="Y193" s="784"/>
      <c r="Z193" s="777" t="str">
        <f>vlookup(F193,'2) Tracker'!$A$3:$Q$504,16,false)</f>
        <v>ETA Oz 22-25 Apr, WAF 13-15 May, ETA Bethioua 20-25 May</v>
      </c>
      <c r="AA193" s="777" t="str">
        <f>vlookup(F193,'2) Tracker'!$A$3:$R$504,18,false)</f>
        <v>Inpex 30-31 Mar Darwin</v>
      </c>
      <c r="AB193" s="777" t="str">
        <f>vlookup(F193,'2) Tracker'!$A$3:$Q$504,17,false)</f>
        <v/>
      </c>
      <c r="AC193" s="778"/>
      <c r="AD193" s="778">
        <f>VLOOKUP(F193,'2) Tracker'!$A$2:$BO$980,37,FALSE)</f>
        <v>46165</v>
      </c>
      <c r="AE193" s="778">
        <f>VLOOKUP(F193,'2) Tracker'!$A$2:$BO$980,40,FALSE)</f>
        <v>46166</v>
      </c>
      <c r="AF193" s="778" t="str">
        <f>VLOOKUP(F193,'2) Tracker'!$A$2:$BO$980,67,FALSE)</f>
        <v/>
      </c>
      <c r="AG193" s="778">
        <f>VLOOKUP(F193,'2) Tracker'!$A$2:$BO$980,34,FALSE)</f>
        <v>46142</v>
      </c>
      <c r="AH193" s="778" t="str">
        <f>VLOOKUP(F193,'2) Tracker'!$A$2:$BN$980,66,FALSE)</f>
        <v/>
      </c>
      <c r="AI193" s="778">
        <f>VLOOKUP(F193,'2) Tracker'!$A$2:$BO$980,56,FALSE)</f>
        <v>46133</v>
      </c>
      <c r="AJ193" s="778">
        <f>VLOOKUP(F193,'2) Tracker'!$A$2:$BO$980,52,FALSE)</f>
        <v>46137.25</v>
      </c>
      <c r="AK193" s="778">
        <f>VLOOKUP(F193,'2) Tracker'!$A$2:$AQ$980,43,FALSE)</f>
        <v>46152</v>
      </c>
      <c r="AL193" s="778">
        <f>VLOOKUP(F193,'2) Tracker'!$A$2:$BH$980,46,FALSE())</f>
        <v>46160</v>
      </c>
      <c r="AM193" s="778">
        <f>VLOOKUP(F193,'2) Tracker'!$A$2:$BO$980,65,FALSE())</f>
        <v>46146</v>
      </c>
      <c r="AN193" s="778">
        <f>VLOOKUP(F193,'2) Tracker'!$A$2:$BK$980,63,FALSE())</f>
        <v>46169</v>
      </c>
      <c r="AO193" s="778" t="str">
        <f>VLOOKUP(F193,'2) Tracker'!$A$2:$BF$980,58,FALSE())</f>
        <v/>
      </c>
      <c r="AP193" s="52"/>
      <c r="AQ193" s="52"/>
      <c r="AR193" s="52"/>
      <c r="AS193" s="52"/>
      <c r="AT193" s="52"/>
      <c r="AU193" s="52"/>
      <c r="AV193" s="52"/>
      <c r="AW193" s="52"/>
      <c r="AX193" s="52"/>
      <c r="AY193" s="52"/>
      <c r="AZ193" s="734"/>
      <c r="BA193" s="786" t="str">
        <f>vlookup(AZ193,'Iran, FS'!$A$1:$B$318,2, false)</f>
        <v>#N/A</v>
      </c>
      <c r="BB193" s="787" t="str">
        <f>vlookup(AZ193,'1) Kpler'!$E$2:$F$500,2,false)</f>
        <v>#N/A</v>
      </c>
      <c r="BC193" s="740"/>
      <c r="BD193" s="734"/>
      <c r="BE193" s="52"/>
      <c r="BF193" s="52"/>
      <c r="BG193" s="734"/>
      <c r="BH193" s="734"/>
      <c r="BI193" s="734"/>
      <c r="BJ193" s="734"/>
    </row>
    <row r="194">
      <c r="B194" s="765" t="str">
        <f>vlookup(F194,'2) Tracker'!$A$3:$O$410,5,false)</f>
        <v/>
      </c>
      <c r="C194" s="765" t="str">
        <f>vlookup(F194,'2) Tracker'!$A$3:$O$410,4,false)</f>
        <v/>
      </c>
      <c r="D194" s="734"/>
      <c r="E194" s="734" t="str">
        <f>vlookup(F194,'2) Tracker'!$A$3:$O$406,15,false)</f>
        <v/>
      </c>
      <c r="F194" s="822" t="s">
        <v>419</v>
      </c>
      <c r="G194" s="789">
        <f>VLOOKUP(F194,'2) Tracker'!$A$2:$BO$360,2,FALSE)</f>
        <v>2024</v>
      </c>
      <c r="H194" s="768">
        <f>VLOOKUP(F194,'2) Tracker'!$A$2:$BO$360,3,FALSE)</f>
        <v>86700</v>
      </c>
      <c r="I194" s="770" t="str">
        <f>VLOOKUP(F194,'2) Tracker'!$A$2:$BO$360,9,FALSE)</f>
        <v>Astomos</v>
      </c>
      <c r="J194" s="770" t="str">
        <f>VLOOKUP(F194,'2) Tracker'!$A$2:$BO$360,12,FALSE)</f>
        <v>Japan</v>
      </c>
      <c r="K194" s="771">
        <f t="shared" si="207"/>
        <v>46165</v>
      </c>
      <c r="L194" s="771">
        <f t="shared" ref="L194:O194" si="241">AE194</f>
        <v>46175</v>
      </c>
      <c r="M194" s="771" t="str">
        <f t="shared" si="241"/>
        <v/>
      </c>
      <c r="N194" s="771">
        <f t="shared" si="241"/>
        <v>46151</v>
      </c>
      <c r="O194" s="772" t="str">
        <f t="shared" si="241"/>
        <v/>
      </c>
      <c r="P194" s="773" t="str">
        <f>iferror(if(vlookup(F194,'Voyage days'!$M$808:$N$819,2,false),"GOA",""),"")</f>
        <v/>
      </c>
      <c r="Q194" s="771">
        <f t="shared" si="81"/>
        <v>46154</v>
      </c>
      <c r="R194" s="774">
        <f t="shared" si="83"/>
        <v>46179</v>
      </c>
      <c r="S194" s="774">
        <f t="shared" si="5"/>
        <v>46169</v>
      </c>
      <c r="T194" s="771">
        <f t="shared" si="6"/>
        <v>46163</v>
      </c>
      <c r="U194" s="774">
        <f t="shared" si="84"/>
        <v>46142</v>
      </c>
      <c r="V194" s="771"/>
      <c r="W194" s="771">
        <f t="shared" si="85"/>
        <v>46141.25</v>
      </c>
      <c r="X194" s="775">
        <f t="shared" si="9"/>
        <v>46144</v>
      </c>
      <c r="Y194" s="776"/>
      <c r="Z194" s="777" t="str">
        <f>vlookup(F194,'2) Tracker'!$A$3:$Q$504,16,false)</f>
        <v>ETA 1st port Sakai 15 Apr</v>
      </c>
      <c r="AA194" s="777" t="str">
        <f>vlookup(F194,'2) Tracker'!$A$3:$R$504,18,false)</f>
        <v>Astomos 25-26 Mar Dampier</v>
      </c>
      <c r="AB194" s="777" t="str">
        <f>vlookup(F194,'2) Tracker'!$A$3:$Q$504,17,false)</f>
        <v/>
      </c>
      <c r="AC194" s="778"/>
      <c r="AD194" s="778">
        <f>VLOOKUP(F194,'2) Tracker'!$A$2:$BO$980,37,FALSE)</f>
        <v>46165</v>
      </c>
      <c r="AE194" s="778">
        <f>VLOOKUP(F194,'2) Tracker'!$A$2:$BO$980,40,FALSE)</f>
        <v>46175</v>
      </c>
      <c r="AF194" s="778" t="str">
        <f>VLOOKUP(F194,'2) Tracker'!$A$2:$BO$980,67,FALSE)</f>
        <v/>
      </c>
      <c r="AG194" s="778">
        <f>VLOOKUP(F194,'2) Tracker'!$A$2:$BO$980,34,FALSE)</f>
        <v>46151</v>
      </c>
      <c r="AH194" s="778" t="str">
        <f>VLOOKUP(F194,'2) Tracker'!$A$2:$BN$980,66,FALSE)</f>
        <v/>
      </c>
      <c r="AI194" s="778">
        <f>VLOOKUP(F194,'2) Tracker'!$A$2:$BO$980,56,FALSE)</f>
        <v>46142</v>
      </c>
      <c r="AJ194" s="778">
        <f>VLOOKUP(F194,'2) Tracker'!$A$2:$BO$980,52,FALSE)</f>
        <v>46141.25</v>
      </c>
      <c r="AK194" s="778">
        <f>VLOOKUP(F194,'2) Tracker'!$A$2:$AQ$980,43,FALSE)</f>
        <v>46163</v>
      </c>
      <c r="AL194" s="778">
        <f>VLOOKUP(F194,'2) Tracker'!$A$2:$BH$980,46,FALSE())</f>
        <v>46169</v>
      </c>
      <c r="AM194" s="778">
        <f>VLOOKUP(F194,'2) Tracker'!$A$2:$BO$980,65,FALSE())</f>
        <v>46154</v>
      </c>
      <c r="AN194" s="778">
        <f>VLOOKUP(F194,'2) Tracker'!$A$2:$BK$980,63,FALSE())</f>
        <v>46179</v>
      </c>
      <c r="AO194" s="778">
        <f>VLOOKUP(F194,'2) Tracker'!$A$2:$BF$980,58,FALSE())</f>
        <v>46144</v>
      </c>
      <c r="AP194" s="52"/>
      <c r="AQ194" s="52"/>
      <c r="AR194" s="52"/>
      <c r="AS194" s="51" t="s">
        <v>1417</v>
      </c>
      <c r="AT194" s="52"/>
      <c r="AU194" s="52"/>
      <c r="AV194" s="52"/>
      <c r="AW194" s="52"/>
      <c r="AX194" s="52"/>
      <c r="AY194" s="52"/>
      <c r="AZ194" s="787"/>
      <c r="BA194" s="786" t="str">
        <f>vlookup(AZ194,'Iran, FS'!$A$1:$B$318,2, false)</f>
        <v>#N/A</v>
      </c>
      <c r="BB194" s="787" t="str">
        <f>vlookup(AZ194,'1) Kpler'!$E$2:$F$500,2,false)</f>
        <v>#N/A</v>
      </c>
      <c r="BC194" s="788"/>
      <c r="BD194" s="787"/>
      <c r="BE194" s="52"/>
      <c r="BF194" s="52"/>
      <c r="BG194" s="787"/>
      <c r="BH194" s="787"/>
      <c r="BI194" s="787"/>
      <c r="BJ194" s="787"/>
    </row>
    <row r="195">
      <c r="B195" s="765" t="str">
        <f>vlookup(F195,'2) Tracker'!$A$3:$O$410,5,false)</f>
        <v/>
      </c>
      <c r="C195" s="765" t="str">
        <f>vlookup(F195,'2) Tracker'!$A$3:$O$410,4,false)</f>
        <v/>
      </c>
      <c r="D195" s="734"/>
      <c r="E195" s="734" t="str">
        <f>vlookup(F195,'2) Tracker'!$A$3:$O$406,15,false)</f>
        <v/>
      </c>
      <c r="F195" s="822" t="s">
        <v>328</v>
      </c>
      <c r="G195" s="767">
        <f>VLOOKUP(F195,'2) Tracker'!$A$2:$BO$360,2,FALSE)</f>
        <v>2017</v>
      </c>
      <c r="H195" s="768">
        <f>VLOOKUP(F195,'2) Tracker'!$A$2:$BO$360,3,FALSE)</f>
        <v>84000</v>
      </c>
      <c r="I195" s="777" t="str">
        <f>VLOOKUP(F195,'2) Tracker'!$A$2:$BO$360,9,FALSE)</f>
        <v>Gyxis</v>
      </c>
      <c r="J195" s="770" t="str">
        <f>VLOOKUP(F195,'2) Tracker'!$A$2:$BO$360,12,FALSE)</f>
        <v>Japan</v>
      </c>
      <c r="K195" s="771">
        <f t="shared" si="207"/>
        <v>46165</v>
      </c>
      <c r="L195" s="771">
        <f t="shared" ref="L195:O195" si="242">AE195</f>
        <v>46175</v>
      </c>
      <c r="M195" s="771" t="str">
        <f t="shared" si="242"/>
        <v/>
      </c>
      <c r="N195" s="771">
        <f t="shared" si="242"/>
        <v>46151</v>
      </c>
      <c r="O195" s="772" t="str">
        <f t="shared" si="242"/>
        <v/>
      </c>
      <c r="P195" s="773" t="str">
        <f>iferror(if(vlookup(F195,'Voyage days'!$M$808:$N$819,2,false),"GOA",""),"")</f>
        <v/>
      </c>
      <c r="Q195" s="771">
        <f t="shared" si="81"/>
        <v>46154</v>
      </c>
      <c r="R195" s="771">
        <f t="shared" si="83"/>
        <v>46179</v>
      </c>
      <c r="S195" s="774">
        <f t="shared" si="5"/>
        <v>46169</v>
      </c>
      <c r="T195" s="771">
        <f t="shared" si="6"/>
        <v>46163</v>
      </c>
      <c r="U195" s="771">
        <f t="shared" si="84"/>
        <v>46142</v>
      </c>
      <c r="V195" s="771"/>
      <c r="W195" s="771">
        <f t="shared" si="85"/>
        <v>46141.25</v>
      </c>
      <c r="X195" s="775">
        <f t="shared" si="9"/>
        <v>46144</v>
      </c>
      <c r="Y195" s="776"/>
      <c r="Z195" s="777" t="str">
        <f>vlookup(F195,'2) Tracker'!$A$3:$Q$504,16,false)</f>
        <v>ETA 1st port Oita 16 Apr</v>
      </c>
      <c r="AA195" s="777" t="str">
        <f>vlookup(F195,'2) Tracker'!$A$3:$R$504,18,false)</f>
        <v>PetroChina 13-14 Mar Enterprise</v>
      </c>
      <c r="AB195" s="777" t="str">
        <f>vlookup(F195,'2) Tracker'!$A$3:$Q$504,17,false)</f>
        <v>Internally Programmed 24-25 May</v>
      </c>
      <c r="AC195" s="778"/>
      <c r="AD195" s="778">
        <f>VLOOKUP(F195,'2) Tracker'!$A$2:$BO$980,37,FALSE)</f>
        <v>46165</v>
      </c>
      <c r="AE195" s="778">
        <f>VLOOKUP(F195,'2) Tracker'!$A$2:$BO$980,40,FALSE)</f>
        <v>46175</v>
      </c>
      <c r="AF195" s="778" t="str">
        <f>VLOOKUP(F195,'2) Tracker'!$A$2:$BO$980,67,FALSE)</f>
        <v/>
      </c>
      <c r="AG195" s="778">
        <f>VLOOKUP(F195,'2) Tracker'!$A$2:$BO$980,34,FALSE)</f>
        <v>46151</v>
      </c>
      <c r="AH195" s="778" t="str">
        <f>VLOOKUP(F195,'2) Tracker'!$A$2:$BN$980,66,FALSE)</f>
        <v/>
      </c>
      <c r="AI195" s="778">
        <f>VLOOKUP(F195,'2) Tracker'!$A$2:$BO$980,56,FALSE)</f>
        <v>46142</v>
      </c>
      <c r="AJ195" s="778">
        <f>VLOOKUP(F195,'2) Tracker'!$A$2:$BO$980,52,FALSE)</f>
        <v>46141.25</v>
      </c>
      <c r="AK195" s="778">
        <f>VLOOKUP(F195,'2) Tracker'!$A$2:$AQ$980,43,FALSE)</f>
        <v>46163</v>
      </c>
      <c r="AL195" s="778">
        <f>VLOOKUP(F195,'2) Tracker'!$A$2:$BH$980,46,FALSE())</f>
        <v>46169</v>
      </c>
      <c r="AM195" s="778">
        <f>VLOOKUP(F195,'2) Tracker'!$A$2:$BO$980,65,FALSE())</f>
        <v>46154</v>
      </c>
      <c r="AN195" s="778">
        <f>VLOOKUP(F195,'2) Tracker'!$A$2:$BK$980,63,FALSE())</f>
        <v>46179</v>
      </c>
      <c r="AO195" s="778">
        <f>VLOOKUP(F195,'2) Tracker'!$A$2:$BF$980,58,FALSE())</f>
        <v>46144</v>
      </c>
      <c r="AP195" s="52"/>
      <c r="AQ195" s="52"/>
      <c r="AR195" s="52"/>
      <c r="AS195" s="52"/>
      <c r="AT195" s="52"/>
      <c r="AU195" s="52"/>
      <c r="AV195" s="52"/>
      <c r="AW195" s="52"/>
      <c r="AX195" s="52"/>
      <c r="AY195" s="52"/>
      <c r="AZ195" s="734"/>
      <c r="BA195" s="786" t="str">
        <f>vlookup(AZ195,'Iran, FS'!$A$1:$B$318,2, false)</f>
        <v>#N/A</v>
      </c>
      <c r="BB195" s="787" t="str">
        <f>vlookup(AZ195,'1) Kpler'!$E$2:$F$500,2,false)</f>
        <v>#N/A</v>
      </c>
      <c r="BC195" s="740"/>
      <c r="BD195" s="734"/>
      <c r="BE195" s="52"/>
      <c r="BF195" s="52"/>
      <c r="BG195" s="734"/>
      <c r="BH195" s="734"/>
      <c r="BI195" s="734"/>
      <c r="BJ195" s="734"/>
    </row>
    <row r="196">
      <c r="B196" s="765" t="str">
        <f>vlookup(F196,'2) Tracker'!$A$3:$O$410,5,false)</f>
        <v/>
      </c>
      <c r="C196" s="765" t="str">
        <f>vlookup(F196,'2) Tracker'!$A$3:$O$410,4,false)</f>
        <v/>
      </c>
      <c r="D196" s="734"/>
      <c r="E196" s="734" t="str">
        <f>vlookup(F196,'2) Tracker'!$A$3:$O$406,15,false)</f>
        <v/>
      </c>
      <c r="F196" s="766" t="s">
        <v>751</v>
      </c>
      <c r="G196" s="783">
        <f>VLOOKUP(F196,'2) Tracker'!$A$2:$BO$360,2,FALSE)</f>
        <v>42551</v>
      </c>
      <c r="H196" s="768">
        <f>VLOOKUP(F196,'2) Tracker'!$A$2:$BO$360,3,FALSE)</f>
        <v>84143</v>
      </c>
      <c r="I196" s="769" t="str">
        <f>VLOOKUP(F196,'2) Tracker'!$A$2:$BO$360,9,FALSE)</f>
        <v>BASF</v>
      </c>
      <c r="J196" s="770" t="str">
        <f>VLOOKUP(F196,'2) Tracker'!$A$2:$BO$360,12,FALSE)</f>
        <v>East China</v>
      </c>
      <c r="K196" s="771">
        <f t="shared" si="207"/>
        <v>46165</v>
      </c>
      <c r="L196" s="771">
        <f t="shared" ref="L196:O196" si="243">AE196</f>
        <v>46176</v>
      </c>
      <c r="M196" s="771" t="str">
        <f t="shared" si="243"/>
        <v/>
      </c>
      <c r="N196" s="771">
        <f t="shared" si="243"/>
        <v>46149</v>
      </c>
      <c r="O196" s="772" t="str">
        <f t="shared" si="243"/>
        <v/>
      </c>
      <c r="P196" s="773" t="str">
        <f>iferror(if(vlookup(F196,'Voyage days'!$M$808:$N$819,2,false),"GOA",""),"")</f>
        <v/>
      </c>
      <c r="Q196" s="771">
        <f t="shared" si="81"/>
        <v>46151</v>
      </c>
      <c r="R196" s="771">
        <f t="shared" si="83"/>
        <v>46176</v>
      </c>
      <c r="S196" s="774">
        <f t="shared" si="5"/>
        <v>46167</v>
      </c>
      <c r="T196" s="774">
        <f t="shared" si="6"/>
        <v>46160</v>
      </c>
      <c r="U196" s="771">
        <f t="shared" si="84"/>
        <v>46139</v>
      </c>
      <c r="V196" s="771"/>
      <c r="W196" s="771">
        <f t="shared" si="85"/>
        <v>46139.25</v>
      </c>
      <c r="X196" s="775">
        <f t="shared" si="9"/>
        <v>46145</v>
      </c>
      <c r="Y196" s="784"/>
      <c r="Z196" s="777" t="str">
        <f>vlookup(F196,'2) Tracker'!$A$3:$Q$504,16,false)</f>
        <v>ETA Jinshan 16 Apr</v>
      </c>
      <c r="AA196" s="777" t="str">
        <f>vlookup(F196,'2) Tracker'!$A$3:$R$504,18,false)</f>
        <v>BASF 21-22 Feb Freeport</v>
      </c>
      <c r="AB196" s="777" t="str">
        <f>vlookup(F196,'2) Tracker'!$A$3:$Q$504,17,false)</f>
        <v/>
      </c>
      <c r="AC196" s="778"/>
      <c r="AD196" s="778">
        <f>VLOOKUP(F196,'2) Tracker'!$A$2:$BO$980,37,FALSE)</f>
        <v>46165</v>
      </c>
      <c r="AE196" s="778">
        <f>VLOOKUP(F196,'2) Tracker'!$A$2:$BO$980,40,FALSE)</f>
        <v>46176</v>
      </c>
      <c r="AF196" s="778" t="str">
        <f>VLOOKUP(F196,'2) Tracker'!$A$2:$BO$980,67,FALSE)</f>
        <v/>
      </c>
      <c r="AG196" s="778">
        <f>VLOOKUP(F196,'2) Tracker'!$A$2:$BO$980,34,FALSE)</f>
        <v>46149</v>
      </c>
      <c r="AH196" s="778" t="str">
        <f>VLOOKUP(F196,'2) Tracker'!$A$2:$BN$980,66,FALSE)</f>
        <v/>
      </c>
      <c r="AI196" s="778">
        <f>VLOOKUP(F196,'2) Tracker'!$A$2:$BO$980,56,FALSE)</f>
        <v>46139</v>
      </c>
      <c r="AJ196" s="778">
        <f>VLOOKUP(F196,'2) Tracker'!$A$2:$BO$980,52,FALSE)</f>
        <v>46139.25</v>
      </c>
      <c r="AK196" s="778">
        <f>VLOOKUP(F196,'2) Tracker'!$A$2:$AQ$980,43,FALSE)</f>
        <v>46160</v>
      </c>
      <c r="AL196" s="778">
        <f>VLOOKUP(F196,'2) Tracker'!$A$2:$BH$980,46,FALSE())</f>
        <v>46167</v>
      </c>
      <c r="AM196" s="778">
        <f>VLOOKUP(F196,'2) Tracker'!$A$2:$BO$980,65,FALSE())</f>
        <v>46151</v>
      </c>
      <c r="AN196" s="778">
        <f>VLOOKUP(F196,'2) Tracker'!$A$2:$BK$980,63,FALSE())</f>
        <v>46176</v>
      </c>
      <c r="AO196" s="778">
        <f>VLOOKUP(F196,'2) Tracker'!$A$2:$BF$980,58,FALSE())</f>
        <v>46145</v>
      </c>
      <c r="AP196" s="52"/>
      <c r="AQ196" s="52"/>
      <c r="AR196" s="52"/>
      <c r="AS196" s="52"/>
      <c r="AT196" s="52"/>
      <c r="AU196" s="52"/>
      <c r="AV196" s="52"/>
      <c r="AW196" s="52"/>
      <c r="AX196" s="52"/>
      <c r="AY196" s="52"/>
      <c r="AZ196" s="787"/>
      <c r="BA196" s="786" t="str">
        <f>vlookup(AZ196,'Iran, FS'!$A$1:$B$318,2, false)</f>
        <v>#N/A</v>
      </c>
      <c r="BB196" s="787" t="str">
        <f>vlookup(AZ196,'1) Kpler'!$E$2:$F$500,2,false)</f>
        <v>#N/A</v>
      </c>
      <c r="BC196" s="788"/>
      <c r="BD196" s="787"/>
      <c r="BE196" s="52"/>
      <c r="BF196" s="52"/>
      <c r="BG196" s="787"/>
      <c r="BH196" s="787"/>
      <c r="BI196" s="787"/>
      <c r="BJ196" s="787"/>
    </row>
    <row r="197">
      <c r="B197" s="765" t="str">
        <f>vlookup(F197,'2) Tracker'!$A$3:$O$410,5,false)</f>
        <v/>
      </c>
      <c r="C197" s="765" t="str">
        <f>vlookup(F197,'2) Tracker'!$A$3:$O$410,4,false)</f>
        <v/>
      </c>
      <c r="D197" s="734"/>
      <c r="E197" s="734" t="str">
        <f>vlookup(F197,'2) Tracker'!$A$3:$O$406,15,false)</f>
        <v>O</v>
      </c>
      <c r="F197" s="788" t="s">
        <v>1382</v>
      </c>
      <c r="G197" s="783">
        <f>VLOOKUP(F197,'2) Tracker'!$A$2:$BO$360,2,FALSE)</f>
        <v>42184</v>
      </c>
      <c r="H197" s="768">
        <f>VLOOKUP(F197,'2) Tracker'!$A$2:$BO$360,3,FALSE)</f>
        <v>83000</v>
      </c>
      <c r="I197" s="770" t="str">
        <f>VLOOKUP(F197,'2) Tracker'!$A$2:$BO$360,9,FALSE)</f>
        <v>BW</v>
      </c>
      <c r="J197" s="770" t="str">
        <f>VLOOKUP(F197,'2) Tracker'!$A$2:$BO$360,12,FALSE)</f>
        <v>Indo</v>
      </c>
      <c r="K197" s="774">
        <f t="shared" si="207"/>
        <v>46166</v>
      </c>
      <c r="L197" s="774">
        <f t="shared" ref="L197:O197" si="244">AE197</f>
        <v>46164</v>
      </c>
      <c r="M197" s="771" t="str">
        <f t="shared" si="244"/>
        <v/>
      </c>
      <c r="N197" s="771">
        <f t="shared" si="244"/>
        <v>46138</v>
      </c>
      <c r="O197" s="772" t="str">
        <f t="shared" si="244"/>
        <v/>
      </c>
      <c r="P197" s="773" t="str">
        <f>iferror(if(vlookup(F197,'Voyage days'!$M$808:$N$819,2,false),"GOA",""),"")</f>
        <v/>
      </c>
      <c r="Q197" s="771">
        <f t="shared" si="81"/>
        <v>46142</v>
      </c>
      <c r="R197" s="771">
        <f t="shared" si="83"/>
        <v>46164</v>
      </c>
      <c r="S197" s="774">
        <f t="shared" si="5"/>
        <v>46156</v>
      </c>
      <c r="T197" s="771">
        <f t="shared" si="6"/>
        <v>46147</v>
      </c>
      <c r="U197" s="771">
        <f t="shared" si="84"/>
        <v>46132</v>
      </c>
      <c r="V197" s="771"/>
      <c r="W197" s="771">
        <f t="shared" si="85"/>
        <v>46131</v>
      </c>
      <c r="X197" s="775" t="str">
        <f t="shared" si="9"/>
        <v/>
      </c>
      <c r="Y197" s="784"/>
      <c r="Z197" s="777" t="str">
        <f>vlookup(F197,'2) Tracker'!$A$3:$Q$504,16,false)</f>
        <v>ETA Merak 11 Apr, Darwin candidate?</v>
      </c>
      <c r="AA197" s="777" t="str">
        <f>vlookup(F197,'2) Tracker'!$A$3:$R$504,18,false)</f>
        <v>BGN 20-21 Feb Nederland</v>
      </c>
      <c r="AB197" s="777" t="str">
        <f>vlookup(F197,'2) Tracker'!$A$3:$Q$504,17,false)</f>
        <v/>
      </c>
      <c r="AC197" s="778"/>
      <c r="AD197" s="778">
        <f>VLOOKUP(F197,'2) Tracker'!$A$2:$BO$980,37,FALSE)</f>
        <v>46166</v>
      </c>
      <c r="AE197" s="778">
        <f>VLOOKUP(F197,'2) Tracker'!$A$2:$BO$980,40,FALSE)</f>
        <v>46164</v>
      </c>
      <c r="AF197" s="778" t="str">
        <f>VLOOKUP(F197,'2) Tracker'!$A$2:$BO$980,67,FALSE)</f>
        <v/>
      </c>
      <c r="AG197" s="778">
        <f>VLOOKUP(F197,'2) Tracker'!$A$2:$BO$980,34,FALSE)</f>
        <v>46138</v>
      </c>
      <c r="AH197" s="778" t="str">
        <f>VLOOKUP(F197,'2) Tracker'!$A$2:$BN$980,66,FALSE)</f>
        <v/>
      </c>
      <c r="AI197" s="778">
        <f>VLOOKUP(F197,'2) Tracker'!$A$2:$BO$980,56,FALSE)</f>
        <v>46132</v>
      </c>
      <c r="AJ197" s="778">
        <f>VLOOKUP(F197,'2) Tracker'!$A$2:$BO$980,52,FALSE)</f>
        <v>46131</v>
      </c>
      <c r="AK197" s="778">
        <f>VLOOKUP(F197,'2) Tracker'!$A$2:$AQ$980,43,FALSE)</f>
        <v>46147</v>
      </c>
      <c r="AL197" s="778">
        <f>VLOOKUP(F197,'2) Tracker'!$A$2:$BH$980,46,FALSE())</f>
        <v>46156</v>
      </c>
      <c r="AM197" s="778">
        <f>VLOOKUP(F197,'2) Tracker'!$A$2:$BO$980,65,FALSE())</f>
        <v>46142</v>
      </c>
      <c r="AN197" s="778">
        <f>VLOOKUP(F197,'2) Tracker'!$A$2:$BK$980,63,FALSE())</f>
        <v>46164</v>
      </c>
      <c r="AO197" s="778" t="str">
        <f>VLOOKUP(F197,'2) Tracker'!$A$2:$BF$980,58,FALSE())</f>
        <v/>
      </c>
      <c r="AP197" s="52"/>
      <c r="AQ197" s="52"/>
      <c r="AR197" s="52"/>
      <c r="AS197" s="52"/>
      <c r="AT197" s="52"/>
      <c r="AU197" s="52"/>
      <c r="AV197" s="52"/>
      <c r="AW197" s="52"/>
      <c r="AX197" s="52"/>
      <c r="AY197" s="52"/>
      <c r="AZ197" s="787"/>
      <c r="BA197" s="786" t="str">
        <f>vlookup(AZ197,'Iran, FS'!$A$1:$B$318,2, false)</f>
        <v>#N/A</v>
      </c>
      <c r="BB197" s="787" t="str">
        <f>vlookup(AZ197,'1) Kpler'!$E$2:$F$500,2,false)</f>
        <v>#N/A</v>
      </c>
      <c r="BC197" s="788"/>
      <c r="BD197" s="787"/>
      <c r="BE197" s="52"/>
      <c r="BF197" s="52"/>
      <c r="BG197" s="787"/>
      <c r="BH197" s="787"/>
      <c r="BI197" s="787"/>
      <c r="BJ197" s="787"/>
    </row>
    <row r="198">
      <c r="B198" s="765" t="str">
        <f>vlookup(F198,'2) Tracker'!$A$3:$O$410,5,false)</f>
        <v/>
      </c>
      <c r="C198" s="765" t="str">
        <f>vlookup(F198,'2) Tracker'!$A$3:$O$410,4,false)</f>
        <v/>
      </c>
      <c r="D198" s="734"/>
      <c r="E198" s="734" t="str">
        <f>vlookup(F198,'2) Tracker'!$A$3:$O$406,15,false)</f>
        <v/>
      </c>
      <c r="F198" s="819" t="s">
        <v>1333</v>
      </c>
      <c r="G198" s="789">
        <f>VLOOKUP(F198,'2) Tracker'!$A$2:$BO$360,2,FALSE)</f>
        <v>2023</v>
      </c>
      <c r="H198" s="768">
        <f>VLOOKUP(F198,'2) Tracker'!$A$2:$BO$360,3,FALSE)</f>
        <v>91000</v>
      </c>
      <c r="I198" s="777" t="str">
        <f>VLOOKUP(F198,'2) Tracker'!$A$2:$BO$360,9,FALSE)</f>
        <v>BW</v>
      </c>
      <c r="J198" s="770" t="str">
        <f>VLOOKUP(F198,'2) Tracker'!$A$2:$BO$360,12,FALSE)</f>
        <v>loads USG</v>
      </c>
      <c r="K198" s="771">
        <f t="shared" si="207"/>
        <v>46166</v>
      </c>
      <c r="L198" s="771">
        <f t="shared" ref="L198:O198" si="245">AE198</f>
        <v>46166</v>
      </c>
      <c r="M198" s="771">
        <f t="shared" si="245"/>
        <v>46198</v>
      </c>
      <c r="N198" s="771" t="str">
        <f t="shared" si="245"/>
        <v/>
      </c>
      <c r="O198" s="772" t="str">
        <f t="shared" si="245"/>
        <v/>
      </c>
      <c r="P198" s="773" t="str">
        <f>iferror(if(vlookup(F198,'Voyage days'!$M$808:$N$819,2,false),"GOA",""),"")</f>
        <v/>
      </c>
      <c r="Q198" s="771" t="str">
        <f t="shared" si="81"/>
        <v/>
      </c>
      <c r="R198" s="771" t="str">
        <f t="shared" si="83"/>
        <v/>
      </c>
      <c r="S198" s="774">
        <f t="shared" si="5"/>
        <v>46186</v>
      </c>
      <c r="T198" s="771" t="str">
        <f t="shared" si="6"/>
        <v/>
      </c>
      <c r="U198" s="771" t="str">
        <f t="shared" si="84"/>
        <v/>
      </c>
      <c r="V198" s="771"/>
      <c r="W198" s="771" t="str">
        <f t="shared" si="85"/>
        <v/>
      </c>
      <c r="X198" s="775" t="str">
        <f t="shared" si="9"/>
        <v/>
      </c>
      <c r="Y198" s="804" t="s">
        <v>1335</v>
      </c>
      <c r="Z198" s="777" t="str">
        <f>vlookup(F198,'2) Tracker'!$A$3:$Q$504,16,false)</f>
        <v>ETA 1st port Nagoya 16 Apr</v>
      </c>
      <c r="AA198" s="777" t="str">
        <f>vlookup(F198,'2) Tracker'!$A$3:$R$504,18,false)</f>
        <v>P66 24-25 May USG</v>
      </c>
      <c r="AB198" s="777" t="str">
        <f>vlookup(F198,'2) Tracker'!$A$3:$Q$504,17,false)</f>
        <v/>
      </c>
      <c r="AC198" s="778"/>
      <c r="AD198" s="778">
        <f>VLOOKUP(F198,'2) Tracker'!$A$2:$BO$980,37,FALSE)</f>
        <v>46166</v>
      </c>
      <c r="AE198" s="778">
        <f>VLOOKUP(F198,'2) Tracker'!$A$2:$BO$980,40,FALSE)</f>
        <v>46166</v>
      </c>
      <c r="AF198" s="778">
        <f>VLOOKUP(F198,'2) Tracker'!$A$2:$BO$980,67,FALSE)</f>
        <v>46198</v>
      </c>
      <c r="AG198" s="778" t="str">
        <f>VLOOKUP(F198,'2) Tracker'!$A$2:$BO$980,34,FALSE)</f>
        <v/>
      </c>
      <c r="AH198" s="778" t="str">
        <f>VLOOKUP(F198,'2) Tracker'!$A$2:$BN$980,66,FALSE)</f>
        <v/>
      </c>
      <c r="AI198" s="778" t="str">
        <f>VLOOKUP(F198,'2) Tracker'!$A$2:$BO$980,56,FALSE)</f>
        <v/>
      </c>
      <c r="AJ198" s="778" t="str">
        <f>VLOOKUP(F198,'2) Tracker'!$A$2:$BO$980,52,FALSE)</f>
        <v/>
      </c>
      <c r="AK198" s="778" t="str">
        <f>VLOOKUP(F198,'2) Tracker'!$A$2:$AQ$980,43,FALSE)</f>
        <v/>
      </c>
      <c r="AL198" s="778">
        <f>VLOOKUP(F198,'2) Tracker'!$A$2:$BH$980,46,FALSE())</f>
        <v>46186</v>
      </c>
      <c r="AM198" s="778" t="str">
        <f>VLOOKUP(F198,'2) Tracker'!$A$2:$BO$980,65,FALSE())</f>
        <v/>
      </c>
      <c r="AN198" s="778" t="str">
        <f>VLOOKUP(F198,'2) Tracker'!$A$2:$BK$980,63,FALSE())</f>
        <v/>
      </c>
      <c r="AO198" s="778" t="str">
        <f>VLOOKUP(F198,'2) Tracker'!$A$2:$BF$980,58,FALSE())</f>
        <v/>
      </c>
      <c r="AP198" s="52"/>
      <c r="AQ198" s="52"/>
      <c r="AR198" s="52"/>
      <c r="AS198" s="52"/>
      <c r="AT198" s="52"/>
      <c r="AU198" s="52"/>
      <c r="AV198" s="52"/>
      <c r="AW198" s="52"/>
      <c r="AX198" s="52"/>
      <c r="AY198" s="52"/>
      <c r="AZ198" s="787"/>
      <c r="BA198" s="786" t="str">
        <f>vlookup(AZ198,'Iran, FS'!$A$1:$B$318,2, false)</f>
        <v>#N/A</v>
      </c>
      <c r="BB198" s="787" t="str">
        <f>vlookup(AZ198,'1) Kpler'!$E$2:$F$500,2,false)</f>
        <v>#N/A</v>
      </c>
      <c r="BC198" s="788"/>
      <c r="BD198" s="787"/>
      <c r="BE198" s="52"/>
      <c r="BF198" s="52"/>
      <c r="BG198" s="787"/>
      <c r="BH198" s="787"/>
      <c r="BI198" s="787"/>
      <c r="BJ198" s="787"/>
    </row>
    <row r="199">
      <c r="B199" s="765" t="str">
        <f>vlookup(F199,'2) Tracker'!$A$3:$O$410,5,false)</f>
        <v/>
      </c>
      <c r="C199" s="765" t="str">
        <f>vlookup(F199,'2) Tracker'!$A$3:$O$410,4,false)</f>
        <v/>
      </c>
      <c r="D199" s="734"/>
      <c r="E199" s="734" t="str">
        <f>vlookup(F199,'2) Tracker'!$A$3:$O$406,15,false)</f>
        <v/>
      </c>
      <c r="F199" s="788" t="s">
        <v>1150</v>
      </c>
      <c r="G199" s="783">
        <f>VLOOKUP(F199,'2) Tracker'!$A$2:$BO$360,2,FALSE)</f>
        <v>40512</v>
      </c>
      <c r="H199" s="768">
        <f>VLOOKUP(F199,'2) Tracker'!$A$2:$BO$360,3,FALSE)</f>
        <v>83299</v>
      </c>
      <c r="I199" s="777" t="str">
        <f>VLOOKUP(F199,'2) Tracker'!$A$2:$BO$360,9,FALSE)</f>
        <v>SK Gas</v>
      </c>
      <c r="J199" s="770" t="str">
        <f>VLOOKUP(F199,'2) Tracker'!$A$2:$BO$360,12,FALSE)</f>
        <v>Balboa</v>
      </c>
      <c r="K199" s="774">
        <f t="shared" si="207"/>
        <v>46166</v>
      </c>
      <c r="L199" s="774" t="str">
        <f t="shared" ref="L199:O199" si="246">AE199</f>
        <v/>
      </c>
      <c r="M199" s="771" t="str">
        <f t="shared" si="246"/>
        <v/>
      </c>
      <c r="N199" s="771" t="str">
        <f t="shared" si="246"/>
        <v/>
      </c>
      <c r="O199" s="772" t="str">
        <f t="shared" si="246"/>
        <v/>
      </c>
      <c r="P199" s="773" t="str">
        <f>iferror(if(vlookup(F199,'Voyage days'!$M$808:$N$819,2,false),"GOA",""),"")</f>
        <v/>
      </c>
      <c r="Q199" s="771" t="str">
        <f t="shared" si="81"/>
        <v/>
      </c>
      <c r="R199" s="774" t="str">
        <f t="shared" si="83"/>
        <v/>
      </c>
      <c r="S199" s="774" t="str">
        <f t="shared" si="5"/>
        <v/>
      </c>
      <c r="T199" s="771" t="str">
        <f t="shared" si="6"/>
        <v/>
      </c>
      <c r="U199" s="774" t="str">
        <f t="shared" si="84"/>
        <v/>
      </c>
      <c r="V199" s="774"/>
      <c r="W199" s="774" t="str">
        <f t="shared" si="85"/>
        <v/>
      </c>
      <c r="X199" s="775" t="str">
        <f t="shared" si="9"/>
        <v/>
      </c>
      <c r="Y199" s="795"/>
      <c r="Z199" s="777" t="str">
        <f>vlookup(F199,'2) Tracker'!$A$3:$Q$504,16,false)</f>
        <v>ETA Balboa 14 May</v>
      </c>
      <c r="AA199" s="777" t="str">
        <f>vlookup(F199,'2) Tracker'!$A$3:$R$504,18,false)</f>
        <v>SK Gas 18 Feb Enterprise</v>
      </c>
      <c r="AB199" s="777" t="str">
        <f>vlookup(F199,'2) Tracker'!$A$3:$Q$504,17,false)</f>
        <v/>
      </c>
      <c r="AC199" s="778"/>
      <c r="AD199" s="778">
        <f>VLOOKUP(F199,'2) Tracker'!$A$2:$BO$980,37,FALSE)</f>
        <v>46166</v>
      </c>
      <c r="AE199" s="778" t="str">
        <f>VLOOKUP(F199,'2) Tracker'!$A$2:$BO$980,40,FALSE)</f>
        <v/>
      </c>
      <c r="AF199" s="778" t="str">
        <f>VLOOKUP(F199,'2) Tracker'!$A$2:$BO$980,67,FALSE)</f>
        <v/>
      </c>
      <c r="AG199" s="778" t="str">
        <f>VLOOKUP(F199,'2) Tracker'!$A$2:$BO$980,34,FALSE)</f>
        <v/>
      </c>
      <c r="AH199" s="778" t="str">
        <f>VLOOKUP(F199,'2) Tracker'!$A$2:$BN$980,66,FALSE)</f>
        <v/>
      </c>
      <c r="AI199" s="778" t="str">
        <f>VLOOKUP(F199,'2) Tracker'!$A$2:$BO$980,56,FALSE)</f>
        <v/>
      </c>
      <c r="AJ199" s="778" t="str">
        <f>VLOOKUP(F199,'2) Tracker'!$A$2:$BO$980,52,FALSE)</f>
        <v/>
      </c>
      <c r="AK199" s="778" t="str">
        <f>VLOOKUP(F199,'2) Tracker'!$A$2:$AQ$980,43,FALSE)</f>
        <v/>
      </c>
      <c r="AL199" s="778" t="str">
        <f>VLOOKUP(F199,'2) Tracker'!$A$2:$BH$980,46,FALSE())</f>
        <v/>
      </c>
      <c r="AM199" s="778" t="str">
        <f>VLOOKUP(F199,'2) Tracker'!$A$2:$BO$980,65,FALSE())</f>
        <v/>
      </c>
      <c r="AN199" s="778" t="str">
        <f>VLOOKUP(F199,'2) Tracker'!$A$2:$BK$980,63,FALSE())</f>
        <v/>
      </c>
      <c r="AO199" s="778" t="str">
        <f>VLOOKUP(F199,'2) Tracker'!$A$2:$BF$980,58,FALSE())</f>
        <v/>
      </c>
      <c r="AP199" s="52"/>
      <c r="AQ199" s="52"/>
      <c r="AR199" s="52"/>
      <c r="AS199" s="52"/>
      <c r="AT199" s="52"/>
      <c r="AU199" s="52"/>
      <c r="AV199" s="52"/>
      <c r="AW199" s="52"/>
      <c r="AX199" s="52"/>
      <c r="AY199" s="52"/>
      <c r="AZ199" s="787"/>
      <c r="BA199" s="786" t="str">
        <f>vlookup(AZ199,'Iran, FS'!$A$1:$B$318,2, false)</f>
        <v>#N/A</v>
      </c>
      <c r="BB199" s="787" t="str">
        <f>vlookup(AZ199,'1) Kpler'!$E$2:$F$500,2,false)</f>
        <v>#N/A</v>
      </c>
      <c r="BC199" s="788"/>
      <c r="BD199" s="787"/>
      <c r="BE199" s="52"/>
      <c r="BF199" s="52"/>
      <c r="BG199" s="787"/>
      <c r="BH199" s="787"/>
      <c r="BI199" s="787"/>
      <c r="BJ199" s="787"/>
    </row>
    <row r="200">
      <c r="B200" s="765" t="str">
        <f>vlookup(F200,'2) Tracker'!$A$3:$O$410,5,false)</f>
        <v/>
      </c>
      <c r="C200" s="765" t="str">
        <f>vlookup(F200,'2) Tracker'!$A$3:$O$410,4,false)</f>
        <v>US</v>
      </c>
      <c r="D200" s="734"/>
      <c r="E200" s="734" t="str">
        <f>vlookup(F200,'2) Tracker'!$A$3:$O$406,15,false)</f>
        <v>R?</v>
      </c>
      <c r="F200" s="730" t="s">
        <v>391</v>
      </c>
      <c r="G200" s="783">
        <f>VLOOKUP(F200,'2) Tracker'!$A$2:$BO$360,2,FALSE)</f>
        <v>42326</v>
      </c>
      <c r="H200" s="768">
        <f>VLOOKUP(F200,'2) Tracker'!$A$2:$BO$360,3,FALSE)</f>
        <v>84000</v>
      </c>
      <c r="I200" s="777" t="str">
        <f>VLOOKUP(F200,'2) Tracker'!$A$2:$BO$360,9,FALSE)</f>
        <v>Exxon</v>
      </c>
      <c r="J200" s="770" t="str">
        <f>VLOOKUP(F200,'2) Tracker'!$A$2:$BO$360,12,FALSE)</f>
        <v>Indo</v>
      </c>
      <c r="K200" s="774">
        <f t="shared" si="207"/>
        <v>46167</v>
      </c>
      <c r="L200" s="774">
        <f t="shared" ref="L200:O200" si="247">AE200</f>
        <v>46165</v>
      </c>
      <c r="M200" s="771" t="str">
        <f t="shared" si="247"/>
        <v/>
      </c>
      <c r="N200" s="772">
        <f t="shared" si="247"/>
        <v>46139</v>
      </c>
      <c r="O200" s="772" t="str">
        <f t="shared" si="247"/>
        <v/>
      </c>
      <c r="P200" s="773" t="str">
        <f>iferror(if(vlookup(F200,'Voyage days'!$M$808:$N$819,2,false),"GOA",""),"")</f>
        <v/>
      </c>
      <c r="Q200" s="771">
        <f t="shared" si="81"/>
        <v>46144</v>
      </c>
      <c r="R200" s="771">
        <f t="shared" si="83"/>
        <v>46165</v>
      </c>
      <c r="S200" s="774">
        <f t="shared" si="5"/>
        <v>46157</v>
      </c>
      <c r="T200" s="771">
        <f t="shared" si="6"/>
        <v>46148</v>
      </c>
      <c r="U200" s="771">
        <f t="shared" si="84"/>
        <v>46134</v>
      </c>
      <c r="V200" s="771"/>
      <c r="W200" s="771">
        <f t="shared" si="85"/>
        <v>46132</v>
      </c>
      <c r="X200" s="775" t="str">
        <f t="shared" si="9"/>
        <v/>
      </c>
      <c r="Y200" s="776"/>
      <c r="Z200" s="777" t="str">
        <f>vlookup(F200,'2) Tracker'!$A$3:$Q$504,16,false)</f>
        <v>@ Kalbut 12 Apr, Darwin candidate?</v>
      </c>
      <c r="AA200" s="777" t="str">
        <f>vlookup(F200,'2) Tracker'!$A$3:$R$504,18,false)</f>
        <v>Pertamina 27-28 Feb Freeport</v>
      </c>
      <c r="AB200" s="777" t="str">
        <f>vlookup(F200,'2) Tracker'!$A$3:$Q$504,17,false)</f>
        <v/>
      </c>
      <c r="AC200" s="778"/>
      <c r="AD200" s="778">
        <f>VLOOKUP(F200,'2) Tracker'!$A$2:$BO$980,37,FALSE)</f>
        <v>46167</v>
      </c>
      <c r="AE200" s="778">
        <f>VLOOKUP(F200,'2) Tracker'!$A$2:$BO$980,40,FALSE)</f>
        <v>46165</v>
      </c>
      <c r="AF200" s="778" t="str">
        <f>VLOOKUP(F200,'2) Tracker'!$A$2:$BO$980,67,FALSE)</f>
        <v/>
      </c>
      <c r="AG200" s="778">
        <f>VLOOKUP(F200,'2) Tracker'!$A$2:$BO$980,34,FALSE)</f>
        <v>46139</v>
      </c>
      <c r="AH200" s="778" t="str">
        <f>VLOOKUP(F200,'2) Tracker'!$A$2:$BN$980,66,FALSE)</f>
        <v/>
      </c>
      <c r="AI200" s="778">
        <f>VLOOKUP(F200,'2) Tracker'!$A$2:$BO$980,56,FALSE)</f>
        <v>46134</v>
      </c>
      <c r="AJ200" s="778">
        <f>VLOOKUP(F200,'2) Tracker'!$A$2:$BO$980,52,FALSE)</f>
        <v>46132</v>
      </c>
      <c r="AK200" s="778">
        <f>VLOOKUP(F200,'2) Tracker'!$A$2:$AQ$980,43,FALSE)</f>
        <v>46148</v>
      </c>
      <c r="AL200" s="778">
        <f>VLOOKUP(F200,'2) Tracker'!$A$2:$BH$980,46,FALSE())</f>
        <v>46157</v>
      </c>
      <c r="AM200" s="778">
        <f>VLOOKUP(F200,'2) Tracker'!$A$2:$BO$980,65,FALSE())</f>
        <v>46144</v>
      </c>
      <c r="AN200" s="778">
        <f>VLOOKUP(F200,'2) Tracker'!$A$2:$BK$980,63,FALSE())</f>
        <v>46165</v>
      </c>
      <c r="AO200" s="778" t="str">
        <f>VLOOKUP(F200,'2) Tracker'!$A$2:$BF$980,58,FALSE())</f>
        <v/>
      </c>
      <c r="AP200" s="52"/>
      <c r="AQ200" s="52"/>
      <c r="AR200" s="52"/>
      <c r="AS200" s="52"/>
      <c r="AT200" s="52"/>
      <c r="AU200" s="52"/>
      <c r="AV200" s="52"/>
      <c r="AW200" s="52"/>
      <c r="AX200" s="52"/>
      <c r="AY200" s="52"/>
      <c r="AZ200" s="734"/>
      <c r="BA200" s="786" t="str">
        <f>vlookup(AZ200,'Iran, FS'!$A$1:$B$318,2, false)</f>
        <v>#N/A</v>
      </c>
      <c r="BB200" s="787" t="str">
        <f>vlookup(AZ200,'1) Kpler'!$E$2:$F$500,2,false)</f>
        <v>#N/A</v>
      </c>
      <c r="BC200" s="740"/>
      <c r="BD200" s="734"/>
      <c r="BE200" s="52"/>
      <c r="BF200" s="52"/>
      <c r="BG200" s="734"/>
      <c r="BH200" s="734"/>
      <c r="BI200" s="734"/>
      <c r="BJ200" s="734"/>
    </row>
    <row r="201">
      <c r="B201" s="765" t="str">
        <f>vlookup(F201,'2) Tracker'!$A$3:$O$410,5,false)</f>
        <v/>
      </c>
      <c r="C201" s="765" t="str">
        <f>vlookup(F201,'2) Tracker'!$A$3:$O$410,4,false)</f>
        <v/>
      </c>
      <c r="D201" s="734"/>
      <c r="E201" s="734" t="str">
        <f>vlookup(F201,'2) Tracker'!$A$3:$O$406,15,false)</f>
        <v>R</v>
      </c>
      <c r="F201" s="830" t="s">
        <v>577</v>
      </c>
      <c r="G201" s="783">
        <f>VLOOKUP(F201,'2) Tracker'!$A$2:$BO$360,2,FALSE)</f>
        <v>39845</v>
      </c>
      <c r="H201" s="768">
        <f>VLOOKUP(F201,'2) Tracker'!$A$2:$BO$360,3,FALSE)</f>
        <v>82000</v>
      </c>
      <c r="I201" s="770" t="str">
        <f>VLOOKUP(F201,'2) Tracker'!$A$2:$BO$360,9,FALSE)</f>
        <v>SHV</v>
      </c>
      <c r="J201" s="770" t="str">
        <f>VLOOKUP(F201,'2) Tracker'!$A$2:$BO$360,12,FALSE)</f>
        <v>Malaysia laden</v>
      </c>
      <c r="K201" s="771">
        <f t="shared" si="207"/>
        <v>46167</v>
      </c>
      <c r="L201" s="771">
        <f t="shared" ref="L201:O201" si="248">AE201</f>
        <v>46168</v>
      </c>
      <c r="M201" s="771" t="str">
        <f t="shared" si="248"/>
        <v/>
      </c>
      <c r="N201" s="771">
        <f t="shared" si="248"/>
        <v>46144</v>
      </c>
      <c r="O201" s="772" t="str">
        <f t="shared" si="248"/>
        <v/>
      </c>
      <c r="P201" s="773" t="str">
        <f>iferror(if(vlookup(F201,'Voyage days'!$M$808:$N$819,2,false),"GOA",""),"")</f>
        <v/>
      </c>
      <c r="Q201" s="771">
        <f t="shared" si="81"/>
        <v>46147</v>
      </c>
      <c r="R201" s="771">
        <f t="shared" si="83"/>
        <v>46172</v>
      </c>
      <c r="S201" s="774">
        <f t="shared" si="5"/>
        <v>46162</v>
      </c>
      <c r="T201" s="771">
        <f t="shared" si="6"/>
        <v>46154</v>
      </c>
      <c r="U201" s="771">
        <f t="shared" si="84"/>
        <v>46135</v>
      </c>
      <c r="V201" s="771"/>
      <c r="W201" s="771">
        <f t="shared" si="85"/>
        <v>46139</v>
      </c>
      <c r="X201" s="775" t="str">
        <f t="shared" si="9"/>
        <v/>
      </c>
      <c r="Y201" s="776"/>
      <c r="Z201" s="777" t="str">
        <f>vlookup(F201,'2) Tracker'!$A$3:$Q$504,16,false)</f>
        <v>@ Port Klang 12 Apr, ETA USG 23-25 May via Cape</v>
      </c>
      <c r="AA201" s="777" t="str">
        <f>vlookup(F201,'2) Tracker'!$A$3:$R$504,18,false)</f>
        <v>OQ 30-31 Mar Salalah</v>
      </c>
      <c r="AB201" s="777" t="str">
        <f>vlookup(F201,'2) Tracker'!$A$3:$Q$504,17,false)</f>
        <v/>
      </c>
      <c r="AC201" s="778"/>
      <c r="AD201" s="778">
        <f>VLOOKUP(F201,'2) Tracker'!$A$2:$BO$980,37,FALSE)</f>
        <v>46167</v>
      </c>
      <c r="AE201" s="778">
        <f>VLOOKUP(F201,'2) Tracker'!$A$2:$BO$980,40,FALSE)</f>
        <v>46168</v>
      </c>
      <c r="AF201" s="778" t="str">
        <f>VLOOKUP(F201,'2) Tracker'!$A$2:$BO$980,67,FALSE)</f>
        <v/>
      </c>
      <c r="AG201" s="778">
        <f>VLOOKUP(F201,'2) Tracker'!$A$2:$BO$980,34,FALSE)</f>
        <v>46144</v>
      </c>
      <c r="AH201" s="778" t="str">
        <f>VLOOKUP(F201,'2) Tracker'!$A$2:$BN$980,66,FALSE)</f>
        <v/>
      </c>
      <c r="AI201" s="778">
        <f>VLOOKUP(F201,'2) Tracker'!$A$2:$BO$980,56,FALSE)</f>
        <v>46135</v>
      </c>
      <c r="AJ201" s="778">
        <f>VLOOKUP(F201,'2) Tracker'!$A$2:$BO$980,52,FALSE)</f>
        <v>46139</v>
      </c>
      <c r="AK201" s="778">
        <f>VLOOKUP(F201,'2) Tracker'!$A$2:$AQ$980,43,FALSE)</f>
        <v>46154</v>
      </c>
      <c r="AL201" s="778">
        <f>VLOOKUP(F201,'2) Tracker'!$A$2:$BH$980,46,FALSE())</f>
        <v>46162</v>
      </c>
      <c r="AM201" s="778">
        <f>VLOOKUP(F201,'2) Tracker'!$A$2:$BO$980,65,FALSE())</f>
        <v>46147</v>
      </c>
      <c r="AN201" s="778">
        <f>VLOOKUP(F201,'2) Tracker'!$A$2:$BK$980,63,FALSE())</f>
        <v>46172</v>
      </c>
      <c r="AO201" s="778" t="str">
        <f>VLOOKUP(F201,'2) Tracker'!$A$2:$BF$980,58,FALSE())</f>
        <v/>
      </c>
      <c r="AP201" s="52"/>
      <c r="AQ201" s="52"/>
      <c r="AR201" s="52"/>
      <c r="AS201" s="52"/>
      <c r="AT201" s="52"/>
      <c r="AU201" s="52"/>
      <c r="AV201" s="52"/>
      <c r="AW201" s="52"/>
      <c r="AX201" s="52"/>
      <c r="AY201" s="52"/>
      <c r="AZ201" s="789"/>
      <c r="BA201" s="786" t="str">
        <f>vlookup(AZ201,'Iran, FS'!$A$1:$B$318,2, false)</f>
        <v>#N/A</v>
      </c>
      <c r="BB201" s="787" t="str">
        <f>vlookup(AZ201,'1) Kpler'!$E$2:$F$500,2,false)</f>
        <v>#N/A</v>
      </c>
      <c r="BC201" s="770"/>
      <c r="BD201" s="787"/>
      <c r="BE201" s="52"/>
      <c r="BF201" s="52"/>
      <c r="BG201" s="787"/>
      <c r="BH201" s="787"/>
      <c r="BI201" s="787"/>
      <c r="BJ201" s="787"/>
    </row>
    <row r="202">
      <c r="B202" s="765" t="str">
        <f>vlookup(F202,'2) Tracker'!$A$3:$O$410,5,false)</f>
        <v/>
      </c>
      <c r="C202" s="765" t="str">
        <f>vlookup(F202,'2) Tracker'!$A$3:$O$410,4,false)</f>
        <v/>
      </c>
      <c r="D202" s="734"/>
      <c r="E202" s="734" t="str">
        <f>vlookup(F202,'2) Tracker'!$A$3:$O$406,15,false)</f>
        <v>eu</v>
      </c>
      <c r="F202" s="766" t="s">
        <v>276</v>
      </c>
      <c r="G202" s="789">
        <f>VLOOKUP(F202,'2) Tracker'!$A$2:$BO$360,2,FALSE)</f>
        <v>2021</v>
      </c>
      <c r="H202" s="768">
        <f>VLOOKUP(F202,'2) Tracker'!$A$2:$BO$360,3,FALSE)</f>
        <v>84000</v>
      </c>
      <c r="I202" s="769" t="str">
        <f>VLOOKUP(F202,'2) Tracker'!$A$2:$BO$360,9,FALSE)</f>
        <v>BGN</v>
      </c>
      <c r="J202" s="770" t="str">
        <f>VLOOKUP(F202,'2) Tracker'!$A$2:$BO$360,12,FALSE)</f>
        <v>Suez</v>
      </c>
      <c r="K202" s="774">
        <f t="shared" si="207"/>
        <v>46167</v>
      </c>
      <c r="L202" s="774">
        <f t="shared" ref="L202:O202" si="249">AE202</f>
        <v>46170</v>
      </c>
      <c r="M202" s="771" t="str">
        <f t="shared" si="249"/>
        <v/>
      </c>
      <c r="N202" s="771">
        <f t="shared" si="249"/>
        <v>46158</v>
      </c>
      <c r="O202" s="772" t="str">
        <f t="shared" si="249"/>
        <v/>
      </c>
      <c r="P202" s="773" t="str">
        <f>iferror(if(vlookup(F202,'Voyage days'!$M$808:$N$819,2,false),"GOA",""),"")</f>
        <v/>
      </c>
      <c r="Q202" s="771">
        <f t="shared" si="81"/>
        <v>46150</v>
      </c>
      <c r="R202" s="774">
        <f t="shared" si="83"/>
        <v>46150.5</v>
      </c>
      <c r="S202" s="774">
        <f t="shared" si="5"/>
        <v>46157</v>
      </c>
      <c r="T202" s="771">
        <f t="shared" si="6"/>
        <v>46164</v>
      </c>
      <c r="U202" s="774" t="str">
        <f t="shared" si="84"/>
        <v/>
      </c>
      <c r="V202" s="771"/>
      <c r="W202" s="771" t="str">
        <f t="shared" si="85"/>
        <v/>
      </c>
      <c r="X202" s="775" t="str">
        <f t="shared" si="9"/>
        <v/>
      </c>
      <c r="Y202" s="776"/>
      <c r="Z202" s="777" t="str">
        <f>vlookup(F202,'2) Tracker'!$A$3:$Q$504,16,false)</f>
        <v>ETA Port Said 30 Apr</v>
      </c>
      <c r="AA202" s="777" t="str">
        <f>vlookup(F202,'2) Tracker'!$A$3:$R$504,18,false)</f>
        <v>BGN 08-09 Apr Nederland</v>
      </c>
      <c r="AB202" s="777" t="str">
        <f>vlookup(F202,'2) Tracker'!$A$3:$Q$504,17,false)</f>
        <v/>
      </c>
      <c r="AC202" s="778"/>
      <c r="AD202" s="778">
        <f>VLOOKUP(F202,'2) Tracker'!$A$2:$BO$980,37,FALSE)</f>
        <v>46167</v>
      </c>
      <c r="AE202" s="778">
        <f>VLOOKUP(F202,'2) Tracker'!$A$2:$BO$980,40,FALSE)</f>
        <v>46170</v>
      </c>
      <c r="AF202" s="778" t="str">
        <f>VLOOKUP(F202,'2) Tracker'!$A$2:$BO$980,67,FALSE)</f>
        <v/>
      </c>
      <c r="AG202" s="778">
        <f>VLOOKUP(F202,'2) Tracker'!$A$2:$BO$980,34,FALSE)</f>
        <v>46158</v>
      </c>
      <c r="AH202" s="778" t="str">
        <f>VLOOKUP(F202,'2) Tracker'!$A$2:$BN$980,66,FALSE)</f>
        <v/>
      </c>
      <c r="AI202" s="778" t="str">
        <f>VLOOKUP(F202,'2) Tracker'!$A$2:$BO$980,56,FALSE)</f>
        <v/>
      </c>
      <c r="AJ202" s="778" t="str">
        <f>VLOOKUP(F202,'2) Tracker'!$A$2:$BO$980,52,FALSE)</f>
        <v/>
      </c>
      <c r="AK202" s="778">
        <f>VLOOKUP(F202,'2) Tracker'!$A$2:$AQ$980,43,FALSE)</f>
        <v>46164</v>
      </c>
      <c r="AL202" s="778">
        <f>VLOOKUP(F202,'2) Tracker'!$A$2:$BH$980,46,FALSE())</f>
        <v>46157</v>
      </c>
      <c r="AM202" s="778">
        <f>VLOOKUP(F202,'2) Tracker'!$A$2:$BO$980,65,FALSE())</f>
        <v>46150</v>
      </c>
      <c r="AN202" s="778">
        <f>VLOOKUP(F202,'2) Tracker'!$A$2:$BK$980,63,FALSE())</f>
        <v>46150.5</v>
      </c>
      <c r="AO202" s="778" t="str">
        <f>VLOOKUP(F202,'2) Tracker'!$A$2:$BF$980,58,FALSE())</f>
        <v/>
      </c>
      <c r="AP202" s="52"/>
      <c r="AQ202" s="52"/>
      <c r="AR202" s="52"/>
      <c r="AS202" s="52"/>
      <c r="AT202" s="52"/>
      <c r="AU202" s="52"/>
      <c r="AV202" s="52"/>
      <c r="AW202" s="52"/>
      <c r="AX202" s="52"/>
      <c r="AY202" s="52"/>
      <c r="AZ202" s="734"/>
      <c r="BA202" s="786" t="str">
        <f>vlookup(AZ202,'Iran, FS'!$A$1:$B$318,2, false)</f>
        <v>#N/A</v>
      </c>
      <c r="BB202" s="787" t="str">
        <f>vlookup(AZ202,'1) Kpler'!$E$2:$F$500,2,false)</f>
        <v>#N/A</v>
      </c>
      <c r="BC202" s="740"/>
      <c r="BD202" s="734"/>
      <c r="BE202" s="52"/>
      <c r="BF202" s="52"/>
      <c r="BG202" s="734"/>
      <c r="BH202" s="734"/>
      <c r="BI202" s="734"/>
      <c r="BJ202" s="734"/>
    </row>
    <row r="203">
      <c r="B203" s="765" t="str">
        <f>vlookup(F203,'2) Tracker'!$A$3:$O$410,5,false)</f>
        <v/>
      </c>
      <c r="C203" s="765" t="str">
        <f>vlookup(F203,'2) Tracker'!$A$3:$O$410,4,false)</f>
        <v>US</v>
      </c>
      <c r="D203" s="734"/>
      <c r="E203" s="734" t="str">
        <f>vlookup(F203,'2) Tracker'!$A$3:$O$406,15,false)</f>
        <v/>
      </c>
      <c r="F203" s="740" t="s">
        <v>1417</v>
      </c>
      <c r="G203" s="783">
        <f>VLOOKUP(F203,'2) Tracker'!$A$2:$BO$360,2,FALSE)</f>
        <v>39931</v>
      </c>
      <c r="H203" s="768">
        <f>VLOOKUP(F203,'2) Tracker'!$A$2:$BO$360,3,FALSE)</f>
        <v>83271</v>
      </c>
      <c r="I203" s="841" t="str">
        <f>VLOOKUP(F203,'2) Tracker'!$A$2:$BO$360,9,FALSE)</f>
        <v>Helios</v>
      </c>
      <c r="J203" s="770" t="str">
        <f>VLOOKUP(F203,'2) Tracker'!$A$2:$BO$360,12,FALSE)</f>
        <v>Far East</v>
      </c>
      <c r="K203" s="771">
        <f t="shared" si="207"/>
        <v>46167</v>
      </c>
      <c r="L203" s="771">
        <f t="shared" ref="L203:O203" si="250">AE203</f>
        <v>46174</v>
      </c>
      <c r="M203" s="771" t="str">
        <f t="shared" si="250"/>
        <v/>
      </c>
      <c r="N203" s="771">
        <f t="shared" si="250"/>
        <v>46154</v>
      </c>
      <c r="O203" s="772" t="str">
        <f t="shared" si="250"/>
        <v/>
      </c>
      <c r="P203" s="773" t="str">
        <f>iferror(if(vlookup(F203,'Voyage days'!$M$808:$N$819,2,false),"GOA",""),"")</f>
        <v/>
      </c>
      <c r="Q203" s="771">
        <f t="shared" si="81"/>
        <v>46157</v>
      </c>
      <c r="R203" s="771">
        <f t="shared" si="83"/>
        <v>46182</v>
      </c>
      <c r="S203" s="774">
        <f t="shared" si="5"/>
        <v>46172</v>
      </c>
      <c r="T203" s="774">
        <f t="shared" si="6"/>
        <v>46166</v>
      </c>
      <c r="U203" s="771">
        <f t="shared" si="84"/>
        <v>46145</v>
      </c>
      <c r="V203" s="771"/>
      <c r="W203" s="771">
        <f t="shared" si="85"/>
        <v>46144.25</v>
      </c>
      <c r="X203" s="775">
        <f t="shared" si="9"/>
        <v>46147</v>
      </c>
      <c r="Y203" s="784"/>
      <c r="Z203" s="777" t="str">
        <f>vlookup(F203,'2) Tracker'!$A$3:$Q$504,16,false)</f>
        <v>@ Ferndale 07 Apr</v>
      </c>
      <c r="AA203" s="777" t="str">
        <f>vlookup(F203,'2) Tracker'!$A$3:$R$504,18,false)</f>
        <v>Altagas 01-02 Apr Ferndale</v>
      </c>
      <c r="AB203" s="777" t="str">
        <f>vlookup(F203,'2) Tracker'!$A$3:$Q$504,17,false)</f>
        <v/>
      </c>
      <c r="AC203" s="778"/>
      <c r="AD203" s="778">
        <f>VLOOKUP(F203,'2) Tracker'!$A$2:$BO$980,37,FALSE)</f>
        <v>46167</v>
      </c>
      <c r="AE203" s="778">
        <f>VLOOKUP(F203,'2) Tracker'!$A$2:$BO$980,40,FALSE)</f>
        <v>46174</v>
      </c>
      <c r="AF203" s="778" t="str">
        <f>VLOOKUP(F203,'2) Tracker'!$A$2:$BO$980,67,FALSE)</f>
        <v/>
      </c>
      <c r="AG203" s="778">
        <f>VLOOKUP(F203,'2) Tracker'!$A$2:$BO$980,34,FALSE)</f>
        <v>46154</v>
      </c>
      <c r="AH203" s="778" t="str">
        <f>VLOOKUP(F203,'2) Tracker'!$A$2:$BN$980,66,FALSE)</f>
        <v/>
      </c>
      <c r="AI203" s="778">
        <f>VLOOKUP(F203,'2) Tracker'!$A$2:$BO$980,56,FALSE)</f>
        <v>46145</v>
      </c>
      <c r="AJ203" s="778">
        <f>VLOOKUP(F203,'2) Tracker'!$A$2:$BO$980,52,FALSE)</f>
        <v>46144.25</v>
      </c>
      <c r="AK203" s="778">
        <f>VLOOKUP(F203,'2) Tracker'!$A$2:$AQ$980,43,FALSE)</f>
        <v>46166</v>
      </c>
      <c r="AL203" s="778">
        <f>VLOOKUP(F203,'2) Tracker'!$A$2:$BH$980,46,FALSE())</f>
        <v>46172</v>
      </c>
      <c r="AM203" s="778">
        <f>VLOOKUP(F203,'2) Tracker'!$A$2:$BO$980,65,FALSE())</f>
        <v>46157</v>
      </c>
      <c r="AN203" s="778">
        <f>VLOOKUP(F203,'2) Tracker'!$A$2:$BK$980,63,FALSE())</f>
        <v>46182</v>
      </c>
      <c r="AO203" s="778">
        <f>VLOOKUP(F203,'2) Tracker'!$A$2:$BF$980,58,FALSE())</f>
        <v>46147</v>
      </c>
      <c r="AP203" s="52"/>
      <c r="AQ203" s="52"/>
      <c r="AR203" s="52"/>
      <c r="AS203" s="52"/>
      <c r="AT203" s="52"/>
      <c r="AU203" s="52"/>
      <c r="AV203" s="52"/>
      <c r="AW203" s="52"/>
      <c r="AX203" s="52"/>
      <c r="AY203" s="52"/>
      <c r="AZ203" s="734"/>
      <c r="BA203" s="786" t="str">
        <f>vlookup(AZ203,'Iran, FS'!$A$1:$B$318,2, false)</f>
        <v>#N/A</v>
      </c>
      <c r="BB203" s="787" t="str">
        <f>vlookup(AZ203,'1) Kpler'!$E$2:$F$500,2,false)</f>
        <v>#N/A</v>
      </c>
      <c r="BC203" s="740"/>
      <c r="BD203" s="734"/>
      <c r="BE203" s="52"/>
      <c r="BF203" s="52"/>
      <c r="BG203" s="734"/>
      <c r="BH203" s="734"/>
      <c r="BI203" s="734"/>
      <c r="BJ203" s="734"/>
    </row>
    <row r="204">
      <c r="B204" s="765" t="str">
        <f>vlookup(F204,'2) Tracker'!$A$3:$O$410,5,false)</f>
        <v/>
      </c>
      <c r="C204" s="765" t="str">
        <f>vlookup(F204,'2) Tracker'!$A$3:$O$410,4,false)</f>
        <v/>
      </c>
      <c r="D204" s="734"/>
      <c r="E204" s="734" t="str">
        <f>vlookup(F204,'2) Tracker'!$A$3:$O$406,15,false)</f>
        <v> </v>
      </c>
      <c r="F204" s="766" t="s">
        <v>503</v>
      </c>
      <c r="G204" s="792">
        <f>VLOOKUP(F204,'2) Tracker'!$A$2:$BO$360,2,FALSE)</f>
        <v>37530</v>
      </c>
      <c r="H204" s="768">
        <f>VLOOKUP(F204,'2) Tracker'!$A$2:$BO$360,3,FALSE)</f>
        <v>82200</v>
      </c>
      <c r="I204" s="769" t="str">
        <f>VLOOKUP(F204,'2) Tracker'!$A$2:$BO$360,9,FALSE)</f>
        <v>Pertamina</v>
      </c>
      <c r="J204" s="770" t="str">
        <f>VLOOKUP(F204,'2) Tracker'!$A$2:$BO$360,12,FALSE)</f>
        <v>Indo</v>
      </c>
      <c r="K204" s="771">
        <f t="shared" si="207"/>
        <v>46168</v>
      </c>
      <c r="L204" s="771">
        <f t="shared" ref="L204:O204" si="251">AE204</f>
        <v>46166</v>
      </c>
      <c r="M204" s="771" t="str">
        <f t="shared" si="251"/>
        <v/>
      </c>
      <c r="N204" s="771">
        <f t="shared" si="251"/>
        <v>46140</v>
      </c>
      <c r="O204" s="772" t="str">
        <f t="shared" si="251"/>
        <v/>
      </c>
      <c r="P204" s="773" t="str">
        <f>iferror(if(vlookup(F204,'Voyage days'!$M$808:$N$819,2,false),"GOA",""),"")</f>
        <v/>
      </c>
      <c r="Q204" s="771">
        <f t="shared" si="81"/>
        <v>46143</v>
      </c>
      <c r="R204" s="771">
        <f t="shared" si="83"/>
        <v>46166</v>
      </c>
      <c r="S204" s="774">
        <f t="shared" si="5"/>
        <v>46158</v>
      </c>
      <c r="T204" s="774">
        <f t="shared" si="6"/>
        <v>46149</v>
      </c>
      <c r="U204" s="771">
        <f t="shared" si="84"/>
        <v>46133</v>
      </c>
      <c r="V204" s="745" t="s">
        <v>1523</v>
      </c>
      <c r="W204" s="771">
        <f t="shared" si="85"/>
        <v>46133</v>
      </c>
      <c r="X204" s="775" t="str">
        <f t="shared" si="9"/>
        <v/>
      </c>
      <c r="Y204" s="776"/>
      <c r="Z204" s="777" t="str">
        <f>vlookup(F204,'2) Tracker'!$A$3:$Q$504,16,false)</f>
        <v>Drifting off Kalbut 18 Feb</v>
      </c>
      <c r="AA204" s="777" t="str">
        <f>vlookup(F204,'2) Tracker'!$A$3:$R$504,18,false)</f>
        <v>Perta 24-25 Oct Freeport</v>
      </c>
      <c r="AB204" s="777" t="str">
        <f>vlookup(F204,'2) Tracker'!$A$3:$Q$504,17,false)</f>
        <v/>
      </c>
      <c r="AC204" s="778"/>
      <c r="AD204" s="778">
        <f>VLOOKUP(F204,'2) Tracker'!$A$2:$BO$980,37,FALSE)</f>
        <v>46168</v>
      </c>
      <c r="AE204" s="778">
        <f>VLOOKUP(F204,'2) Tracker'!$A$2:$BO$980,40,FALSE)</f>
        <v>46166</v>
      </c>
      <c r="AF204" s="778" t="str">
        <f>VLOOKUP(F204,'2) Tracker'!$A$2:$BO$980,67,FALSE)</f>
        <v/>
      </c>
      <c r="AG204" s="778">
        <f>VLOOKUP(F204,'2) Tracker'!$A$2:$BO$980,34,FALSE)</f>
        <v>46140</v>
      </c>
      <c r="AH204" s="778" t="str">
        <f>VLOOKUP(F204,'2) Tracker'!$A$2:$BN$980,66,FALSE)</f>
        <v/>
      </c>
      <c r="AI204" s="778">
        <f>VLOOKUP(F204,'2) Tracker'!$A$2:$BO$980,56,FALSE)</f>
        <v>46133</v>
      </c>
      <c r="AJ204" s="778">
        <f>VLOOKUP(F204,'2) Tracker'!$A$2:$BO$980,52,FALSE)</f>
        <v>46133</v>
      </c>
      <c r="AK204" s="778">
        <f>VLOOKUP(F204,'2) Tracker'!$A$2:$AQ$980,43,FALSE)</f>
        <v>46149</v>
      </c>
      <c r="AL204" s="778">
        <f>VLOOKUP(F204,'2) Tracker'!$A$2:$BH$980,46,FALSE())</f>
        <v>46158</v>
      </c>
      <c r="AM204" s="778">
        <f>VLOOKUP(F204,'2) Tracker'!$A$2:$BO$980,65,FALSE())</f>
        <v>46143</v>
      </c>
      <c r="AN204" s="778">
        <f>VLOOKUP(F204,'2) Tracker'!$A$2:$BK$980,63,FALSE())</f>
        <v>46166</v>
      </c>
      <c r="AO204" s="778" t="str">
        <f>VLOOKUP(F204,'2) Tracker'!$A$2:$BF$980,58,FALSE())</f>
        <v/>
      </c>
      <c r="AP204" s="52"/>
      <c r="AQ204" s="52"/>
      <c r="AR204" s="52"/>
      <c r="AS204" s="52"/>
      <c r="AT204" s="52"/>
      <c r="AU204" s="52"/>
      <c r="AV204" s="52"/>
      <c r="AW204" s="52"/>
      <c r="AX204" s="52"/>
      <c r="AY204" s="52"/>
      <c r="AZ204" s="787"/>
      <c r="BA204" s="786" t="str">
        <f>vlookup(AZ204,'Iran, FS'!$A$1:$B$318,2, false)</f>
        <v>#N/A</v>
      </c>
      <c r="BB204" s="787" t="str">
        <f>vlookup(AZ204,'1) Kpler'!$E$2:$F$500,2,false)</f>
        <v>#N/A</v>
      </c>
      <c r="BC204" s="788"/>
      <c r="BD204" s="787"/>
      <c r="BE204" s="52"/>
      <c r="BF204" s="52"/>
      <c r="BG204" s="787"/>
      <c r="BH204" s="787"/>
      <c r="BI204" s="787"/>
      <c r="BJ204" s="787"/>
    </row>
    <row r="205">
      <c r="B205" s="765" t="str">
        <f>vlookup(F205,'2) Tracker'!$A$3:$O$410,5,false)</f>
        <v>C</v>
      </c>
      <c r="C205" s="765" t="str">
        <f>vlookup(F205,'2) Tracker'!$A$3:$O$410,4,false)</f>
        <v>US</v>
      </c>
      <c r="D205" s="734"/>
      <c r="E205" s="734" t="str">
        <f>vlookup(F205,'2) Tracker'!$A$3:$O$406,15,false)</f>
        <v/>
      </c>
      <c r="F205" s="788" t="s">
        <v>94</v>
      </c>
      <c r="G205" s="789">
        <f>VLOOKUP(F205,'2) Tracker'!$A$2:$BO$360,2,FALSE)</f>
        <v>2023</v>
      </c>
      <c r="H205" s="768">
        <f>VLOOKUP(F205,'2) Tracker'!$A$2:$BO$360,3,FALSE)</f>
        <v>91000</v>
      </c>
      <c r="I205" s="777" t="str">
        <f>VLOOKUP(F205,'2) Tracker'!$A$2:$BO$360,9,FALSE)</f>
        <v>Neptune</v>
      </c>
      <c r="J205" s="770" t="str">
        <f>VLOOKUP(F205,'2) Tracker'!$A$2:$BO$360,12,FALSE)</f>
        <v>loads USG</v>
      </c>
      <c r="K205" s="774">
        <f t="shared" si="207"/>
        <v>46168</v>
      </c>
      <c r="L205" s="774">
        <f t="shared" ref="L205:O205" si="252">AE205</f>
        <v>46168</v>
      </c>
      <c r="M205" s="771">
        <f t="shared" si="252"/>
        <v>46200</v>
      </c>
      <c r="N205" s="771" t="str">
        <f t="shared" si="252"/>
        <v/>
      </c>
      <c r="O205" s="772" t="str">
        <f t="shared" si="252"/>
        <v/>
      </c>
      <c r="P205" s="773" t="str">
        <f>iferror(if(vlookup(F205,'Voyage days'!$M$808:$N$819,2,false),"GOA",""),"")</f>
        <v/>
      </c>
      <c r="Q205" s="771" t="str">
        <f t="shared" si="81"/>
        <v/>
      </c>
      <c r="R205" s="774" t="str">
        <f t="shared" si="83"/>
        <v/>
      </c>
      <c r="S205" s="774">
        <f t="shared" si="5"/>
        <v>46188</v>
      </c>
      <c r="T205" s="771" t="str">
        <f t="shared" si="6"/>
        <v/>
      </c>
      <c r="U205" s="774" t="str">
        <f t="shared" si="84"/>
        <v/>
      </c>
      <c r="V205" s="771"/>
      <c r="W205" s="771" t="str">
        <f t="shared" si="85"/>
        <v/>
      </c>
      <c r="X205" s="775" t="str">
        <f t="shared" si="9"/>
        <v/>
      </c>
      <c r="Y205" s="804" t="s">
        <v>1469</v>
      </c>
      <c r="Z205" s="777" t="str">
        <f>vlookup(F205,'2) Tracker'!$A$3:$Q$504,16,false)</f>
        <v>@ 1st port Ningbo 12 Apr</v>
      </c>
      <c r="AA205" s="777" t="str">
        <f>vlookup(F205,'2) Tracker'!$A$3:$R$504,18,false)</f>
        <v>Geogas 26-27 May USG</v>
      </c>
      <c r="AB205" s="777" t="str">
        <f>vlookup(F205,'2) Tracker'!$A$3:$Q$504,17,false)</f>
        <v/>
      </c>
      <c r="AC205" s="778"/>
      <c r="AD205" s="778">
        <f>VLOOKUP(F205,'2) Tracker'!$A$2:$BO$980,37,FALSE)</f>
        <v>46168</v>
      </c>
      <c r="AE205" s="778">
        <f>VLOOKUP(F205,'2) Tracker'!$A$2:$BO$980,40,FALSE)</f>
        <v>46168</v>
      </c>
      <c r="AF205" s="778">
        <f>VLOOKUP(F205,'2) Tracker'!$A$2:$BO$980,67,FALSE)</f>
        <v>46200</v>
      </c>
      <c r="AG205" s="778" t="str">
        <f>VLOOKUP(F205,'2) Tracker'!$A$2:$BO$980,34,FALSE)</f>
        <v/>
      </c>
      <c r="AH205" s="778" t="str">
        <f>VLOOKUP(F205,'2) Tracker'!$A$2:$BN$980,66,FALSE)</f>
        <v/>
      </c>
      <c r="AI205" s="778" t="str">
        <f>VLOOKUP(F205,'2) Tracker'!$A$2:$BO$980,56,FALSE)</f>
        <v/>
      </c>
      <c r="AJ205" s="778" t="str">
        <f>VLOOKUP(F205,'2) Tracker'!$A$2:$BO$980,52,FALSE)</f>
        <v/>
      </c>
      <c r="AK205" s="778" t="str">
        <f>VLOOKUP(F205,'2) Tracker'!$A$2:$AQ$980,43,FALSE)</f>
        <v/>
      </c>
      <c r="AL205" s="778">
        <f>VLOOKUP(F205,'2) Tracker'!$A$2:$BH$980,46,FALSE())</f>
        <v>46188</v>
      </c>
      <c r="AM205" s="778" t="str">
        <f>VLOOKUP(F205,'2) Tracker'!$A$2:$BO$980,65,FALSE())</f>
        <v/>
      </c>
      <c r="AN205" s="778" t="str">
        <f>VLOOKUP(F205,'2) Tracker'!$A$2:$BK$980,63,FALSE())</f>
        <v/>
      </c>
      <c r="AO205" s="778" t="str">
        <f>VLOOKUP(F205,'2) Tracker'!$A$2:$BF$980,58,FALSE())</f>
        <v/>
      </c>
      <c r="AP205" s="52"/>
      <c r="AQ205" s="52"/>
      <c r="AR205" s="52"/>
      <c r="AS205" s="52"/>
      <c r="AT205" s="52"/>
      <c r="AU205" s="52"/>
      <c r="AV205" s="52"/>
      <c r="AW205" s="52"/>
      <c r="AX205" s="52"/>
      <c r="AY205" s="52"/>
      <c r="AZ205" s="734"/>
      <c r="BA205" s="786" t="str">
        <f>vlookup(AZ205,'Iran, FS'!$A$1:$B$318,2, false)</f>
        <v>#N/A</v>
      </c>
      <c r="BB205" s="787" t="str">
        <f>vlookup(AZ205,'1) Kpler'!$E$2:$F$500,2,false)</f>
        <v>#N/A</v>
      </c>
      <c r="BC205" s="740"/>
      <c r="BD205" s="734"/>
      <c r="BE205" s="52"/>
      <c r="BF205" s="52"/>
      <c r="BG205" s="734"/>
      <c r="BH205" s="734"/>
      <c r="BI205" s="734"/>
      <c r="BJ205" s="734"/>
    </row>
    <row r="206">
      <c r="B206" s="765" t="str">
        <f>vlookup(F206,'2) Tracker'!$A$3:$O$410,5,false)</f>
        <v/>
      </c>
      <c r="C206" s="765" t="str">
        <f>vlookup(F206,'2) Tracker'!$A$3:$O$410,4,false)</f>
        <v/>
      </c>
      <c r="D206" s="734"/>
      <c r="E206" s="734" t="str">
        <f>vlookup(F206,'2) Tracker'!$A$3:$O$406,15,false)</f>
        <v/>
      </c>
      <c r="F206" s="788" t="s">
        <v>226</v>
      </c>
      <c r="G206" s="789">
        <f>VLOOKUP(F206,'2) Tracker'!$A$2:$BO$360,2,FALSE)</f>
        <v>2021</v>
      </c>
      <c r="H206" s="768">
        <f>VLOOKUP(F206,'2) Tracker'!$A$2:$BO$360,3,FALSE)</f>
        <v>84000</v>
      </c>
      <c r="I206" s="777" t="str">
        <f>VLOOKUP(F206,'2) Tracker'!$A$2:$BO$360,9,FALSE)</f>
        <v>Gyxis</v>
      </c>
      <c r="J206" s="770" t="str">
        <f>VLOOKUP(F206,'2) Tracker'!$A$2:$BO$360,12,FALSE)</f>
        <v>Japan</v>
      </c>
      <c r="K206" s="771">
        <f t="shared" si="207"/>
        <v>46168</v>
      </c>
      <c r="L206" s="771">
        <f t="shared" ref="L206:O206" si="253">AE206</f>
        <v>46178</v>
      </c>
      <c r="M206" s="771" t="str">
        <f t="shared" si="253"/>
        <v/>
      </c>
      <c r="N206" s="771">
        <f t="shared" si="253"/>
        <v>46154</v>
      </c>
      <c r="O206" s="772" t="str">
        <f t="shared" si="253"/>
        <v/>
      </c>
      <c r="P206" s="773" t="str">
        <f>iferror(if(vlookup(F206,'Voyage days'!$M$808:$N$819,2,false),"GOA",""),"")</f>
        <v/>
      </c>
      <c r="Q206" s="771">
        <f t="shared" si="81"/>
        <v>46157</v>
      </c>
      <c r="R206" s="771">
        <f t="shared" si="83"/>
        <v>46182</v>
      </c>
      <c r="S206" s="774">
        <f t="shared" si="5"/>
        <v>46172</v>
      </c>
      <c r="T206" s="771">
        <f t="shared" si="6"/>
        <v>46166</v>
      </c>
      <c r="U206" s="771">
        <f t="shared" si="84"/>
        <v>46145</v>
      </c>
      <c r="V206" s="771"/>
      <c r="W206" s="771">
        <f t="shared" si="85"/>
        <v>46144.25</v>
      </c>
      <c r="X206" s="775">
        <f t="shared" si="9"/>
        <v>46147</v>
      </c>
      <c r="Y206" s="776"/>
      <c r="Z206" s="777" t="str">
        <f>vlookup(F206,'2) Tracker'!$A$3:$Q$504,16,false)</f>
        <v>ETA 1st port Chiba 19 Apr</v>
      </c>
      <c r="AA206" s="777" t="str">
        <f>vlookup(F206,'2) Tracker'!$A$3:$R$504,18,false)</f>
        <v>Sinochem 17-18 Mar Nederland</v>
      </c>
      <c r="AB206" s="777" t="str">
        <f>vlookup(F206,'2) Tracker'!$A$3:$Q$504,17,false)</f>
        <v/>
      </c>
      <c r="AC206" s="778"/>
      <c r="AD206" s="778">
        <f>VLOOKUP(F206,'2) Tracker'!$A$2:$BO$980,37,FALSE)</f>
        <v>46168</v>
      </c>
      <c r="AE206" s="778">
        <f>VLOOKUP(F206,'2) Tracker'!$A$2:$BO$980,40,FALSE)</f>
        <v>46178</v>
      </c>
      <c r="AF206" s="778" t="str">
        <f>VLOOKUP(F206,'2) Tracker'!$A$2:$BO$980,67,FALSE)</f>
        <v/>
      </c>
      <c r="AG206" s="778">
        <f>VLOOKUP(F206,'2) Tracker'!$A$2:$BO$980,34,FALSE)</f>
        <v>46154</v>
      </c>
      <c r="AH206" s="778" t="str">
        <f>VLOOKUP(F206,'2) Tracker'!$A$2:$BN$980,66,FALSE)</f>
        <v/>
      </c>
      <c r="AI206" s="778">
        <f>VLOOKUP(F206,'2) Tracker'!$A$2:$BO$980,56,FALSE)</f>
        <v>46145</v>
      </c>
      <c r="AJ206" s="778">
        <f>VLOOKUP(F206,'2) Tracker'!$A$2:$BO$980,52,FALSE)</f>
        <v>46144.25</v>
      </c>
      <c r="AK206" s="778">
        <f>VLOOKUP(F206,'2) Tracker'!$A$2:$AQ$980,43,FALSE)</f>
        <v>46166</v>
      </c>
      <c r="AL206" s="778">
        <f>VLOOKUP(F206,'2) Tracker'!$A$2:$BH$980,46,FALSE())</f>
        <v>46172</v>
      </c>
      <c r="AM206" s="778">
        <f>VLOOKUP(F206,'2) Tracker'!$A$2:$BO$980,65,FALSE())</f>
        <v>46157</v>
      </c>
      <c r="AN206" s="778">
        <f>VLOOKUP(F206,'2) Tracker'!$A$2:$BK$980,63,FALSE())</f>
        <v>46182</v>
      </c>
      <c r="AO206" s="778">
        <f>VLOOKUP(F206,'2) Tracker'!$A$2:$BF$980,58,FALSE())</f>
        <v>46147</v>
      </c>
      <c r="AP206" s="52"/>
      <c r="AQ206" s="52"/>
      <c r="AR206" s="52"/>
      <c r="AS206" s="52"/>
      <c r="AT206" s="52"/>
      <c r="AU206" s="52"/>
      <c r="AV206" s="52"/>
      <c r="AW206" s="52"/>
      <c r="AX206" s="52"/>
      <c r="AY206" s="52"/>
      <c r="AZ206" s="734"/>
      <c r="BA206" s="786" t="str">
        <f>vlookup(AZ206,'Iran, FS'!$A$1:$B$318,2, false)</f>
        <v>#N/A</v>
      </c>
      <c r="BB206" s="787" t="str">
        <f>vlookup(AZ206,'1) Kpler'!$E$2:$F$500,2,false)</f>
        <v>#N/A</v>
      </c>
      <c r="BC206" s="740"/>
      <c r="BD206" s="734"/>
      <c r="BE206" s="52"/>
      <c r="BF206" s="52"/>
      <c r="BG206" s="734"/>
      <c r="BH206" s="734"/>
      <c r="BI206" s="734"/>
      <c r="BJ206" s="734"/>
    </row>
    <row r="207">
      <c r="B207" s="765" t="str">
        <f>vlookup(F207,'2) Tracker'!$A$3:$O$410,5,false)</f>
        <v/>
      </c>
      <c r="C207" s="765" t="str">
        <f>vlookup(F207,'2) Tracker'!$A$3:$O$410,4,false)</f>
        <v>US</v>
      </c>
      <c r="D207" s="734"/>
      <c r="E207" s="734" t="str">
        <f>vlookup(F207,'2) Tracker'!$A$3:$O$406,15,false)</f>
        <v/>
      </c>
      <c r="F207" s="740" t="s">
        <v>158</v>
      </c>
      <c r="G207" s="783">
        <f>VLOOKUP(F207,'2) Tracker'!$A$2:$BO$360,2,FALSE)</f>
        <v>42425</v>
      </c>
      <c r="H207" s="768">
        <f>VLOOKUP(F207,'2) Tracker'!$A$2:$BO$360,3,FALSE)</f>
        <v>84000</v>
      </c>
      <c r="I207" s="770" t="str">
        <f>VLOOKUP(F207,'2) Tracker'!$A$2:$BO$360,9,FALSE)</f>
        <v>Helios</v>
      </c>
      <c r="J207" s="770" t="str">
        <f>VLOOKUP(F207,'2) Tracker'!$A$2:$BO$360,12,FALSE)</f>
        <v>loads USG</v>
      </c>
      <c r="K207" s="771">
        <f t="shared" si="207"/>
        <v>46169</v>
      </c>
      <c r="L207" s="771">
        <f t="shared" ref="L207:O207" si="254">AE207</f>
        <v>46169</v>
      </c>
      <c r="M207" s="771">
        <f t="shared" si="254"/>
        <v>46201</v>
      </c>
      <c r="N207" s="771" t="str">
        <f t="shared" si="254"/>
        <v/>
      </c>
      <c r="O207" s="772" t="str">
        <f t="shared" si="254"/>
        <v/>
      </c>
      <c r="P207" s="773" t="str">
        <f>iferror(if(vlookup(F207,'Voyage days'!$M$808:$N$819,2,false),"GOA",""),"")</f>
        <v/>
      </c>
      <c r="Q207" s="771" t="str">
        <f t="shared" si="81"/>
        <v/>
      </c>
      <c r="R207" s="771" t="str">
        <f t="shared" si="83"/>
        <v/>
      </c>
      <c r="S207" s="774">
        <f t="shared" si="5"/>
        <v>46189</v>
      </c>
      <c r="T207" s="771" t="str">
        <f t="shared" si="6"/>
        <v/>
      </c>
      <c r="U207" s="771" t="str">
        <f t="shared" si="84"/>
        <v/>
      </c>
      <c r="V207" s="745" t="s">
        <v>1523</v>
      </c>
      <c r="W207" s="771" t="str">
        <f t="shared" si="85"/>
        <v/>
      </c>
      <c r="X207" s="775" t="str">
        <f t="shared" si="9"/>
        <v/>
      </c>
      <c r="Y207" s="804" t="s">
        <v>1575</v>
      </c>
      <c r="Z207" s="777" t="str">
        <f>vlookup(F207,'2) Tracker'!$A$3:$Q$504,16,false)</f>
        <v>ETA 1st port Ulsan 18 Apr</v>
      </c>
      <c r="AA207" s="777" t="str">
        <f>vlookup(F207,'2) Tracker'!$A$3:$R$504,18,false)</f>
        <v>Axpo 27-28 May USG</v>
      </c>
      <c r="AB207" s="777" t="str">
        <f>vlookup(F207,'2) Tracker'!$A$3:$Q$504,17,false)</f>
        <v/>
      </c>
      <c r="AC207" s="778"/>
      <c r="AD207" s="778">
        <f>VLOOKUP(F207,'2) Tracker'!$A$2:$BO$980,37,FALSE)</f>
        <v>46169</v>
      </c>
      <c r="AE207" s="778">
        <f>VLOOKUP(F207,'2) Tracker'!$A$2:$BO$980,40,FALSE)</f>
        <v>46169</v>
      </c>
      <c r="AF207" s="778">
        <f>VLOOKUP(F207,'2) Tracker'!$A$2:$BO$980,67,FALSE)</f>
        <v>46201</v>
      </c>
      <c r="AG207" s="778" t="str">
        <f>VLOOKUP(F207,'2) Tracker'!$A$2:$BO$980,34,FALSE)</f>
        <v/>
      </c>
      <c r="AH207" s="778" t="str">
        <f>VLOOKUP(F207,'2) Tracker'!$A$2:$BN$980,66,FALSE)</f>
        <v/>
      </c>
      <c r="AI207" s="778" t="str">
        <f>VLOOKUP(F207,'2) Tracker'!$A$2:$BO$980,56,FALSE)</f>
        <v/>
      </c>
      <c r="AJ207" s="778" t="str">
        <f>VLOOKUP(F207,'2) Tracker'!$A$2:$BO$980,52,FALSE)</f>
        <v/>
      </c>
      <c r="AK207" s="778" t="str">
        <f>VLOOKUP(F207,'2) Tracker'!$A$2:$AQ$980,43,FALSE)</f>
        <v/>
      </c>
      <c r="AL207" s="778">
        <f>VLOOKUP(F207,'2) Tracker'!$A$2:$BH$980,46,FALSE())</f>
        <v>46189</v>
      </c>
      <c r="AM207" s="778" t="str">
        <f>VLOOKUP(F207,'2) Tracker'!$A$2:$BO$980,65,FALSE())</f>
        <v/>
      </c>
      <c r="AN207" s="778" t="str">
        <f>VLOOKUP(F207,'2) Tracker'!$A$2:$BK$980,63,FALSE())</f>
        <v/>
      </c>
      <c r="AO207" s="778" t="str">
        <f>VLOOKUP(F207,'2) Tracker'!$A$2:$BF$980,58,FALSE())</f>
        <v/>
      </c>
      <c r="AP207" s="52"/>
      <c r="AQ207" s="52"/>
      <c r="AR207" s="52"/>
      <c r="AS207" s="52"/>
      <c r="AT207" s="52"/>
      <c r="AU207" s="52"/>
      <c r="AV207" s="52"/>
      <c r="AW207" s="52"/>
      <c r="AX207" s="52"/>
      <c r="AY207" s="52"/>
      <c r="AZ207" s="787"/>
      <c r="BA207" s="786" t="str">
        <f>vlookup(AZ207,'Iran, FS'!$A$1:$B$318,2, false)</f>
        <v>#N/A</v>
      </c>
      <c r="BB207" s="787" t="str">
        <f>vlookup(AZ207,'1) Kpler'!$E$2:$F$500,2,false)</f>
        <v>#N/A</v>
      </c>
      <c r="BC207" s="788"/>
      <c r="BD207" s="787"/>
      <c r="BE207" s="52"/>
      <c r="BF207" s="52"/>
      <c r="BG207" s="787"/>
      <c r="BH207" s="787"/>
      <c r="BI207" s="787"/>
      <c r="BJ207" s="787"/>
    </row>
    <row r="208">
      <c r="B208" s="765" t="str">
        <f>vlookup(F208,'2) Tracker'!$A$3:$O$410,5,false)</f>
        <v>C</v>
      </c>
      <c r="C208" s="765" t="str">
        <f>vlookup(F208,'2) Tracker'!$A$3:$O$410,4,false)</f>
        <v/>
      </c>
      <c r="D208" s="734"/>
      <c r="E208" s="734" t="str">
        <f>vlookup(F208,'2) Tracker'!$A$3:$O$406,15,false)</f>
        <v/>
      </c>
      <c r="F208" s="788" t="s">
        <v>477</v>
      </c>
      <c r="G208" s="783">
        <f>VLOOKUP(F208,'2) Tracker'!$A$2:$BO$360,2,FALSE)</f>
        <v>42887</v>
      </c>
      <c r="H208" s="768">
        <f>VLOOKUP(F208,'2) Tracker'!$A$2:$BO$360,3,FALSE)</f>
        <v>84000</v>
      </c>
      <c r="I208" s="777" t="str">
        <f>VLOOKUP(F208,'2) Tracker'!$A$2:$BO$360,9,FALSE)</f>
        <v>Shell</v>
      </c>
      <c r="J208" s="770" t="str">
        <f>VLOOKUP(F208,'2) Tracker'!$A$2:$BO$360,12,FALSE)</f>
        <v>loads USG</v>
      </c>
      <c r="K208" s="774">
        <f t="shared" si="207"/>
        <v>46169</v>
      </c>
      <c r="L208" s="774">
        <f t="shared" ref="L208:O208" si="255">AE208</f>
        <v>46169</v>
      </c>
      <c r="M208" s="771">
        <f t="shared" si="255"/>
        <v>46201</v>
      </c>
      <c r="N208" s="771" t="str">
        <f t="shared" si="255"/>
        <v/>
      </c>
      <c r="O208" s="772" t="str">
        <f t="shared" si="255"/>
        <v/>
      </c>
      <c r="P208" s="773" t="str">
        <f>iferror(if(vlookup(F208,'Voyage days'!$M$808:$N$819,2,false),"GOA",""),"")</f>
        <v/>
      </c>
      <c r="Q208" s="771" t="str">
        <f t="shared" si="81"/>
        <v/>
      </c>
      <c r="R208" s="771" t="str">
        <f t="shared" si="83"/>
        <v/>
      </c>
      <c r="S208" s="774">
        <f t="shared" si="5"/>
        <v>46189</v>
      </c>
      <c r="T208" s="771" t="str">
        <f t="shared" si="6"/>
        <v/>
      </c>
      <c r="U208" s="771" t="str">
        <f t="shared" si="84"/>
        <v/>
      </c>
      <c r="V208" s="745" t="s">
        <v>1523</v>
      </c>
      <c r="W208" s="771" t="str">
        <f t="shared" si="85"/>
        <v/>
      </c>
      <c r="X208" s="775" t="str">
        <f t="shared" si="9"/>
        <v/>
      </c>
      <c r="Y208" s="839" t="s">
        <v>1138</v>
      </c>
      <c r="Z208" s="777" t="str">
        <f>vlookup(F208,'2) Tracker'!$A$3:$Q$504,16,false)</f>
        <v>@ Dongguan 11 Apr</v>
      </c>
      <c r="AA208" s="777" t="str">
        <f>vlookup(F208,'2) Tracker'!$A$3:$R$504,18,false)</f>
        <v>Mercuria 06-07 Apr Tg Sulong</v>
      </c>
      <c r="AB208" s="777" t="str">
        <f>vlookup(F208,'2) Tracker'!$A$3:$Q$504,17,false)</f>
        <v>Petredec 27-28 May USG</v>
      </c>
      <c r="AC208" s="778"/>
      <c r="AD208" s="778">
        <f>VLOOKUP(F208,'2) Tracker'!$A$2:$BO$980,37,FALSE)</f>
        <v>46169</v>
      </c>
      <c r="AE208" s="778">
        <f>VLOOKUP(F208,'2) Tracker'!$A$2:$BO$980,40,FALSE)</f>
        <v>46169</v>
      </c>
      <c r="AF208" s="778">
        <f>VLOOKUP(F208,'2) Tracker'!$A$2:$BO$980,67,FALSE)</f>
        <v>46201</v>
      </c>
      <c r="AG208" s="778" t="str">
        <f>VLOOKUP(F208,'2) Tracker'!$A$2:$BO$980,34,FALSE)</f>
        <v/>
      </c>
      <c r="AH208" s="778" t="str">
        <f>VLOOKUP(F208,'2) Tracker'!$A$2:$BN$980,66,FALSE)</f>
        <v/>
      </c>
      <c r="AI208" s="778" t="str">
        <f>VLOOKUP(F208,'2) Tracker'!$A$2:$BO$980,56,FALSE)</f>
        <v/>
      </c>
      <c r="AJ208" s="778" t="str">
        <f>VLOOKUP(F208,'2) Tracker'!$A$2:$BO$980,52,FALSE)</f>
        <v/>
      </c>
      <c r="AK208" s="778" t="str">
        <f>VLOOKUP(F208,'2) Tracker'!$A$2:$AQ$980,43,FALSE)</f>
        <v/>
      </c>
      <c r="AL208" s="778">
        <f>VLOOKUP(F208,'2) Tracker'!$A$2:$BH$980,46,FALSE())</f>
        <v>46189</v>
      </c>
      <c r="AM208" s="778" t="str">
        <f>VLOOKUP(F208,'2) Tracker'!$A$2:$BO$980,65,FALSE())</f>
        <v/>
      </c>
      <c r="AN208" s="778" t="str">
        <f>VLOOKUP(F208,'2) Tracker'!$A$2:$BK$980,63,FALSE())</f>
        <v/>
      </c>
      <c r="AO208" s="778" t="str">
        <f>VLOOKUP(F208,'2) Tracker'!$A$2:$BF$980,58,FALSE())</f>
        <v/>
      </c>
      <c r="AP208" s="52"/>
      <c r="AQ208" s="52"/>
      <c r="AR208" s="52"/>
      <c r="AS208" s="52"/>
      <c r="AT208" s="52"/>
      <c r="AU208" s="52"/>
      <c r="AV208" s="52"/>
      <c r="AW208" s="52"/>
      <c r="AX208" s="52"/>
      <c r="AY208" s="52"/>
      <c r="AZ208" s="787"/>
      <c r="BA208" s="786" t="str">
        <f>vlookup(AZ208,'Iran, FS'!$A$1:$B$318,2, false)</f>
        <v>#N/A</v>
      </c>
      <c r="BB208" s="787" t="str">
        <f>vlookup(AZ208,'1) Kpler'!$E$2:$F$500,2,false)</f>
        <v>#N/A</v>
      </c>
      <c r="BC208" s="788"/>
      <c r="BD208" s="787"/>
      <c r="BE208" s="52"/>
      <c r="BF208" s="52"/>
      <c r="BG208" s="787"/>
      <c r="BH208" s="787"/>
      <c r="BI208" s="787"/>
      <c r="BJ208" s="787"/>
    </row>
    <row r="209">
      <c r="B209" s="765" t="str">
        <f>vlookup(F209,'2) Tracker'!$A$3:$O$410,5,false)</f>
        <v/>
      </c>
      <c r="C209" s="765" t="str">
        <f>vlookup(F209,'2) Tracker'!$A$3:$O$410,4,false)</f>
        <v/>
      </c>
      <c r="D209" s="734"/>
      <c r="E209" s="734" t="str">
        <f>vlookup(F209,'2) Tracker'!$A$3:$O$406,15,false)</f>
        <v/>
      </c>
      <c r="F209" s="740" t="s">
        <v>25</v>
      </c>
      <c r="G209" s="789">
        <f>VLOOKUP(F209,'2) Tracker'!$A$2:$BO$360,2,FALSE)</f>
        <v>2008</v>
      </c>
      <c r="H209" s="768">
        <f>VLOOKUP(F209,'2) Tracker'!$A$2:$BO$360,3,FALSE)</f>
        <v>84000</v>
      </c>
      <c r="I209" s="770" t="str">
        <f>VLOOKUP(F209,'2) Tracker'!$A$2:$BO$360,9,FALSE)</f>
        <v>AGT&gt;ATL 60-90days</v>
      </c>
      <c r="J209" s="770" t="str">
        <f>VLOOKUP(F209,'2) Tracker'!$A$2:$BO$360,12,FALSE)</f>
        <v>South China</v>
      </c>
      <c r="K209" s="771">
        <f t="shared" si="207"/>
        <v>46169</v>
      </c>
      <c r="L209" s="771">
        <f t="shared" ref="L209:O209" si="256">AE209</f>
        <v>46174</v>
      </c>
      <c r="M209" s="771" t="str">
        <f t="shared" si="256"/>
        <v/>
      </c>
      <c r="N209" s="771">
        <f t="shared" si="256"/>
        <v>46147</v>
      </c>
      <c r="O209" s="772" t="str">
        <f t="shared" si="256"/>
        <v/>
      </c>
      <c r="P209" s="831" t="s">
        <v>1513</v>
      </c>
      <c r="Q209" s="772">
        <f t="shared" si="81"/>
        <v>46150</v>
      </c>
      <c r="R209" s="774">
        <f t="shared" si="83"/>
        <v>46174</v>
      </c>
      <c r="S209" s="774">
        <f t="shared" si="5"/>
        <v>46165</v>
      </c>
      <c r="T209" s="771">
        <f t="shared" si="6"/>
        <v>46158</v>
      </c>
      <c r="U209" s="774">
        <f t="shared" si="84"/>
        <v>46137</v>
      </c>
      <c r="V209" s="771"/>
      <c r="W209" s="771">
        <f t="shared" si="85"/>
        <v>46138.75</v>
      </c>
      <c r="X209" s="775" t="str">
        <f t="shared" si="9"/>
        <v/>
      </c>
      <c r="Y209" s="784"/>
      <c r="Z209" s="777" t="str">
        <f>vlookup(F209,'2) Tracker'!$A$3:$Q$504,16,false)</f>
        <v>ATC short TC, ETA South China 18 Apr</v>
      </c>
      <c r="AA209" s="777" t="str">
        <f>vlookup(F209,'2) Tracker'!$A$3:$R$504,18,false)</f>
        <v>ATC End Mar Yanbu (short TC)</v>
      </c>
      <c r="AB209" s="777" t="str">
        <f>vlookup(F209,'2) Tracker'!$A$3:$Q$504,17,false)</f>
        <v/>
      </c>
      <c r="AC209" s="778"/>
      <c r="AD209" s="778">
        <f>VLOOKUP(F209,'2) Tracker'!$A$2:$BO$980,37,FALSE)</f>
        <v>46169</v>
      </c>
      <c r="AE209" s="778">
        <f>VLOOKUP(F209,'2) Tracker'!$A$2:$BO$980,40,FALSE)</f>
        <v>46174</v>
      </c>
      <c r="AF209" s="778" t="str">
        <f>VLOOKUP(F209,'2) Tracker'!$A$2:$BO$980,67,FALSE)</f>
        <v/>
      </c>
      <c r="AG209" s="778">
        <f>VLOOKUP(F209,'2) Tracker'!$A$2:$BO$980,34,FALSE)</f>
        <v>46147</v>
      </c>
      <c r="AH209" s="778" t="str">
        <f>VLOOKUP(F209,'2) Tracker'!$A$2:$BN$980,66,FALSE)</f>
        <v/>
      </c>
      <c r="AI209" s="778">
        <f>VLOOKUP(F209,'2) Tracker'!$A$2:$BO$980,56,FALSE)</f>
        <v>46137</v>
      </c>
      <c r="AJ209" s="778">
        <f>VLOOKUP(F209,'2) Tracker'!$A$2:$BO$980,52,FALSE)</f>
        <v>46138.75</v>
      </c>
      <c r="AK209" s="778">
        <f>VLOOKUP(F209,'2) Tracker'!$A$2:$AQ$980,43,FALSE)</f>
        <v>46158</v>
      </c>
      <c r="AL209" s="778">
        <f>VLOOKUP(F209,'2) Tracker'!$A$2:$BH$980,46,FALSE())</f>
        <v>46165</v>
      </c>
      <c r="AM209" s="778">
        <f>VLOOKUP(F209,'2) Tracker'!$A$2:$BO$980,65,FALSE())</f>
        <v>46150</v>
      </c>
      <c r="AN209" s="778">
        <f>VLOOKUP(F209,'2) Tracker'!$A$2:$BK$980,63,FALSE())</f>
        <v>46174</v>
      </c>
      <c r="AO209" s="778" t="str">
        <f>VLOOKUP(F209,'2) Tracker'!$A$2:$BF$980,58,FALSE())</f>
        <v/>
      </c>
      <c r="AP209" s="52"/>
      <c r="AQ209" s="52"/>
      <c r="AR209" s="52"/>
      <c r="AS209" s="52"/>
      <c r="AT209" s="52"/>
      <c r="AU209" s="52"/>
      <c r="AV209" s="52"/>
      <c r="AW209" s="52"/>
      <c r="AX209" s="52"/>
      <c r="AY209" s="52"/>
      <c r="AZ209" s="734"/>
      <c r="BA209" s="740"/>
      <c r="BB209" s="734"/>
      <c r="BC209" s="740"/>
      <c r="BD209" s="734"/>
      <c r="BE209" s="52"/>
      <c r="BF209" s="52"/>
      <c r="BG209" s="734"/>
      <c r="BH209" s="734"/>
      <c r="BI209" s="734"/>
      <c r="BJ209" s="734"/>
    </row>
    <row r="210">
      <c r="B210" s="834"/>
      <c r="C210" s="765" t="str">
        <f>vlookup(F210,'2) Tracker'!$A$3:$O$410,4,false)</f>
        <v/>
      </c>
      <c r="D210" s="734"/>
      <c r="E210" s="734" t="str">
        <f>vlookup(F210,'2) Tracker'!$A$3:$O$406,15,false)</f>
        <v/>
      </c>
      <c r="F210" s="788" t="s">
        <v>480</v>
      </c>
      <c r="G210" s="783">
        <f>VLOOKUP(F210,'2) Tracker'!$A$2:$BO$360,2,FALSE)</f>
        <v>42937</v>
      </c>
      <c r="H210" s="768">
        <f>VLOOKUP(F210,'2) Tracker'!$A$2:$BO$360,3,FALSE)</f>
        <v>84000</v>
      </c>
      <c r="I210" s="770" t="str">
        <f>VLOOKUP(F210,'2) Tracker'!$A$2:$BO$360,9,FALSE)</f>
        <v>Wanhua</v>
      </c>
      <c r="J210" s="770" t="str">
        <f>VLOOKUP(F210,'2) Tracker'!$A$2:$BO$360,12,FALSE)</f>
        <v>North China</v>
      </c>
      <c r="K210" s="771">
        <f t="shared" si="207"/>
        <v>46169</v>
      </c>
      <c r="L210" s="771">
        <f t="shared" ref="L210:O210" si="257">AE210</f>
        <v>46178</v>
      </c>
      <c r="M210" s="771" t="str">
        <f t="shared" si="257"/>
        <v/>
      </c>
      <c r="N210" s="771">
        <f t="shared" si="257"/>
        <v>46154</v>
      </c>
      <c r="O210" s="772" t="str">
        <f t="shared" si="257"/>
        <v/>
      </c>
      <c r="P210" s="773" t="str">
        <f>iferror(if(vlookup(F210,'Voyage days'!$M$808:$N$821,2,false),"GOA",""),"")</f>
        <v/>
      </c>
      <c r="Q210" s="772">
        <f t="shared" si="81"/>
        <v>46157</v>
      </c>
      <c r="R210" s="774">
        <f t="shared" si="83"/>
        <v>46182</v>
      </c>
      <c r="S210" s="774">
        <f t="shared" si="5"/>
        <v>46171</v>
      </c>
      <c r="T210" s="774">
        <f t="shared" si="6"/>
        <v>46165</v>
      </c>
      <c r="U210" s="774">
        <f t="shared" si="84"/>
        <v>46145</v>
      </c>
      <c r="V210" s="745" t="s">
        <v>1523</v>
      </c>
      <c r="W210" s="771">
        <f t="shared" si="85"/>
        <v>46145</v>
      </c>
      <c r="X210" s="775">
        <f t="shared" si="9"/>
        <v>46149</v>
      </c>
      <c r="Y210" s="784"/>
      <c r="Z210" s="777" t="str">
        <f>vlookup(F210,'2) Tracker'!$A$3:$Q$504,16,false)</f>
        <v>ETA Yantai 20 Apr</v>
      </c>
      <c r="AA210" s="777" t="str">
        <f>vlookup(F210,'2) Tracker'!$A$3:$R$504,18,false)</f>
        <v>Wanhua 06 Mar Bethioua</v>
      </c>
      <c r="AB210" s="777" t="str">
        <f>vlookup(F210,'2) Tracker'!$A$3:$Q$504,17,false)</f>
        <v/>
      </c>
      <c r="AC210" s="778"/>
      <c r="AD210" s="778">
        <f>VLOOKUP(F210,'2) Tracker'!$A$2:$BO$980,37,FALSE)</f>
        <v>46169</v>
      </c>
      <c r="AE210" s="778">
        <f>VLOOKUP(F210,'2) Tracker'!$A$2:$BO$980,40,FALSE)</f>
        <v>46178</v>
      </c>
      <c r="AF210" s="778" t="str">
        <f>VLOOKUP(F210,'2) Tracker'!$A$2:$BO$980,67,FALSE)</f>
        <v/>
      </c>
      <c r="AG210" s="778">
        <f>VLOOKUP(F210,'2) Tracker'!$A$2:$BO$980,34,FALSE)</f>
        <v>46154</v>
      </c>
      <c r="AH210" s="778" t="str">
        <f>VLOOKUP(F210,'2) Tracker'!$A$2:$BN$980,66,FALSE)</f>
        <v/>
      </c>
      <c r="AI210" s="778">
        <f>VLOOKUP(F210,'2) Tracker'!$A$2:$BO$980,56,FALSE)</f>
        <v>46145</v>
      </c>
      <c r="AJ210" s="778">
        <f>VLOOKUP(F210,'2) Tracker'!$A$2:$BO$980,52,FALSE)</f>
        <v>46145</v>
      </c>
      <c r="AK210" s="778">
        <f>VLOOKUP(F210,'2) Tracker'!$A$2:$AQ$980,43,FALSE)</f>
        <v>46165</v>
      </c>
      <c r="AL210" s="778">
        <f>VLOOKUP(F210,'2) Tracker'!$A$2:$BH$980,46,FALSE())</f>
        <v>46171</v>
      </c>
      <c r="AM210" s="778">
        <f>VLOOKUP(F210,'2) Tracker'!$A$2:$BO$980,65,FALSE())</f>
        <v>46157</v>
      </c>
      <c r="AN210" s="778">
        <f>VLOOKUP(F210,'2) Tracker'!$A$2:$BK$980,63,FALSE())</f>
        <v>46182</v>
      </c>
      <c r="AO210" s="778">
        <f>VLOOKUP(F210,'2) Tracker'!$A$2:$BF$980,58,FALSE())</f>
        <v>46149</v>
      </c>
      <c r="AP210" s="52"/>
      <c r="AQ210" s="52"/>
      <c r="AR210" s="52"/>
      <c r="AS210" s="51" t="s">
        <v>1576</v>
      </c>
      <c r="AT210" s="52"/>
      <c r="AU210" s="52"/>
      <c r="AV210" s="52"/>
      <c r="AW210" s="52"/>
      <c r="AX210" s="52"/>
      <c r="AY210" s="52"/>
      <c r="AZ210" s="787"/>
      <c r="BA210" s="786" t="str">
        <f>vlookup(AZ210,'Iran, FS'!$A$1:$B$318,2, false)</f>
        <v>#N/A</v>
      </c>
      <c r="BB210" s="787" t="str">
        <f>vlookup(AZ210,'1) Kpler'!$E$2:$F$500,2,false)</f>
        <v>#N/A</v>
      </c>
      <c r="BC210" s="788"/>
      <c r="BD210" s="787"/>
      <c r="BE210" s="52"/>
      <c r="BF210" s="52"/>
      <c r="BG210" s="787"/>
      <c r="BH210" s="787"/>
      <c r="BI210" s="787"/>
      <c r="BJ210" s="787"/>
    </row>
    <row r="211">
      <c r="B211" s="765" t="str">
        <f>vlookup(F211,'2) Tracker'!$A$3:$O$410,5,false)</f>
        <v/>
      </c>
      <c r="C211" s="765" t="str">
        <f>vlookup(F211,'2) Tracker'!$A$3:$O$410,4,false)</f>
        <v/>
      </c>
      <c r="D211" s="734"/>
      <c r="E211" s="734" t="str">
        <f>vlookup(F211,'2) Tracker'!$A$3:$O$406,15,false)</f>
        <v/>
      </c>
      <c r="F211" s="788" t="s">
        <v>333</v>
      </c>
      <c r="G211" s="767">
        <f>VLOOKUP(F211,'2) Tracker'!$A$2:$BO$360,2,FALSE)</f>
        <v>2018</v>
      </c>
      <c r="H211" s="768">
        <f>VLOOKUP(F211,'2) Tracker'!$A$2:$BO$360,3,FALSE)</f>
        <v>82200</v>
      </c>
      <c r="I211" s="770" t="str">
        <f>VLOOKUP(F211,'2) Tracker'!$A$2:$BO$360,9,FALSE)</f>
        <v>Gyxis</v>
      </c>
      <c r="J211" s="770" t="str">
        <f>VLOOKUP(F211,'2) Tracker'!$A$2:$BO$360,12,FALSE)</f>
        <v>Japan</v>
      </c>
      <c r="K211" s="774">
        <f t="shared" si="207"/>
        <v>46169</v>
      </c>
      <c r="L211" s="771">
        <f t="shared" ref="L211:O211" si="258">AE211</f>
        <v>46179</v>
      </c>
      <c r="M211" s="771" t="str">
        <f t="shared" si="258"/>
        <v/>
      </c>
      <c r="N211" s="771">
        <f t="shared" si="258"/>
        <v>46155</v>
      </c>
      <c r="O211" s="772" t="str">
        <f t="shared" si="258"/>
        <v/>
      </c>
      <c r="P211" s="773" t="str">
        <f>iferror(if(vlookup(F211,'Voyage days'!$M$808:$N$819,2,false),"GOA",""),"")</f>
        <v/>
      </c>
      <c r="Q211" s="771">
        <f t="shared" si="81"/>
        <v>46158</v>
      </c>
      <c r="R211" s="771">
        <f t="shared" si="83"/>
        <v>46183</v>
      </c>
      <c r="S211" s="774">
        <f t="shared" si="5"/>
        <v>46173</v>
      </c>
      <c r="T211" s="771">
        <f t="shared" si="6"/>
        <v>46167</v>
      </c>
      <c r="U211" s="771">
        <f t="shared" si="84"/>
        <v>46146</v>
      </c>
      <c r="V211" s="745" t="s">
        <v>1523</v>
      </c>
      <c r="W211" s="771">
        <f t="shared" si="85"/>
        <v>46145.25</v>
      </c>
      <c r="X211" s="775">
        <f t="shared" si="9"/>
        <v>46148</v>
      </c>
      <c r="Y211" s="776"/>
      <c r="Z211" s="777" t="str">
        <f>vlookup(F211,'2) Tracker'!$A$3:$Q$504,16,false)</f>
        <v>ETA 1st port Nagoya 20 Apr</v>
      </c>
      <c r="AA211" s="777" t="str">
        <f>vlookup(F211,'2) Tracker'!$A$3:$R$504,18,false)</f>
        <v>MB Energy 16-17 Mar Enterprise</v>
      </c>
      <c r="AB211" s="777" t="str">
        <f>vlookup(F211,'2) Tracker'!$A$3:$Q$504,17,false)</f>
        <v/>
      </c>
      <c r="AC211" s="778"/>
      <c r="AD211" s="778">
        <f>VLOOKUP(F211,'2) Tracker'!$A$2:$BO$980,37,FALSE)</f>
        <v>46169</v>
      </c>
      <c r="AE211" s="778">
        <f>VLOOKUP(F211,'2) Tracker'!$A$2:$BO$980,40,FALSE)</f>
        <v>46179</v>
      </c>
      <c r="AF211" s="778" t="str">
        <f>VLOOKUP(F211,'2) Tracker'!$A$2:$BO$980,67,FALSE)</f>
        <v/>
      </c>
      <c r="AG211" s="778">
        <f>VLOOKUP(F211,'2) Tracker'!$A$2:$BO$980,34,FALSE)</f>
        <v>46155</v>
      </c>
      <c r="AH211" s="778" t="str">
        <f>VLOOKUP(F211,'2) Tracker'!$A$2:$BN$980,66,FALSE)</f>
        <v/>
      </c>
      <c r="AI211" s="778">
        <f>VLOOKUP(F211,'2) Tracker'!$A$2:$BO$980,56,FALSE)</f>
        <v>46146</v>
      </c>
      <c r="AJ211" s="778">
        <f>VLOOKUP(F211,'2) Tracker'!$A$2:$BO$980,52,FALSE)</f>
        <v>46145.25</v>
      </c>
      <c r="AK211" s="778">
        <f>VLOOKUP(F211,'2) Tracker'!$A$2:$AQ$980,43,FALSE)</f>
        <v>46167</v>
      </c>
      <c r="AL211" s="778">
        <f>VLOOKUP(F211,'2) Tracker'!$A$2:$BH$980,46,FALSE())</f>
        <v>46173</v>
      </c>
      <c r="AM211" s="778">
        <f>VLOOKUP(F211,'2) Tracker'!$A$2:$BO$980,65,FALSE())</f>
        <v>46158</v>
      </c>
      <c r="AN211" s="778">
        <f>VLOOKUP(F211,'2) Tracker'!$A$2:$BK$980,63,FALSE())</f>
        <v>46183</v>
      </c>
      <c r="AO211" s="778">
        <f>VLOOKUP(F211,'2) Tracker'!$A$2:$BF$980,58,FALSE())</f>
        <v>46148</v>
      </c>
      <c r="AP211" s="52"/>
      <c r="AQ211" s="52"/>
      <c r="AR211" s="52"/>
      <c r="AS211" s="52"/>
      <c r="AT211" s="51" t="s">
        <v>1577</v>
      </c>
      <c r="AU211" s="52"/>
      <c r="AV211" s="52"/>
      <c r="AW211" s="52"/>
      <c r="AX211" s="52"/>
      <c r="AY211" s="52"/>
      <c r="AZ211" s="787"/>
      <c r="BA211" s="786" t="str">
        <f>vlookup(AZ211,'Iran, FS'!$A$1:$B$318,2, false)</f>
        <v>#N/A</v>
      </c>
      <c r="BB211" s="787" t="str">
        <f>vlookup(AZ211,'1) Kpler'!$E$2:$F$500,2,false)</f>
        <v>#N/A</v>
      </c>
      <c r="BC211" s="788"/>
      <c r="BD211" s="787"/>
      <c r="BE211" s="52"/>
      <c r="BF211" s="52"/>
      <c r="BG211" s="787"/>
      <c r="BH211" s="787"/>
      <c r="BI211" s="787"/>
      <c r="BJ211" s="787"/>
    </row>
    <row r="212">
      <c r="B212" s="765" t="str">
        <f>vlookup(F212,'2) Tracker'!$A$3:$O$410,5,false)</f>
        <v/>
      </c>
      <c r="C212" s="765" t="str">
        <f>vlookup(F212,'2) Tracker'!$A$3:$O$410,4,false)</f>
        <v/>
      </c>
      <c r="D212" s="734"/>
      <c r="E212" s="734" t="str">
        <f>vlookup(F212,'2) Tracker'!$A$3:$O$406,15,false)</f>
        <v/>
      </c>
      <c r="F212" s="788" t="s">
        <v>218</v>
      </c>
      <c r="G212" s="783">
        <f>VLOOKUP(F212,'2) Tracker'!$A$2:$BO$360,2,FALSE)</f>
        <v>42396</v>
      </c>
      <c r="H212" s="768">
        <f>VLOOKUP(F212,'2) Tracker'!$A$2:$BO$360,3,FALSE)</f>
        <v>84000</v>
      </c>
      <c r="I212" s="770" t="str">
        <f>VLOOKUP(F212,'2) Tracker'!$A$2:$BO$360,9,FALSE)</f>
        <v>Wanhua</v>
      </c>
      <c r="J212" s="770" t="str">
        <f>VLOOKUP(F212,'2) Tracker'!$A$2:$BO$360,12,FALSE)</f>
        <v>East China</v>
      </c>
      <c r="K212" s="774">
        <f t="shared" si="207"/>
        <v>46169</v>
      </c>
      <c r="L212" s="774">
        <f t="shared" ref="L212:O212" si="259">AE212</f>
        <v>46180</v>
      </c>
      <c r="M212" s="771" t="str">
        <f t="shared" si="259"/>
        <v/>
      </c>
      <c r="N212" s="771">
        <f t="shared" si="259"/>
        <v>46153</v>
      </c>
      <c r="O212" s="772" t="str">
        <f t="shared" si="259"/>
        <v/>
      </c>
      <c r="P212" s="773" t="str">
        <f>iferror(if(vlookup(F212,'Voyage days'!$M$808:$N$819,2,false),"GOA",""),"")</f>
        <v>GOA</v>
      </c>
      <c r="Q212" s="772">
        <f t="shared" si="81"/>
        <v>46155</v>
      </c>
      <c r="R212" s="774">
        <f t="shared" si="83"/>
        <v>46180</v>
      </c>
      <c r="S212" s="774">
        <f t="shared" si="5"/>
        <v>46171</v>
      </c>
      <c r="T212" s="771">
        <f t="shared" si="6"/>
        <v>46164</v>
      </c>
      <c r="U212" s="774">
        <f t="shared" si="84"/>
        <v>46143</v>
      </c>
      <c r="V212" s="771"/>
      <c r="W212" s="771">
        <f t="shared" si="85"/>
        <v>46143.25</v>
      </c>
      <c r="X212" s="775">
        <f t="shared" si="9"/>
        <v>46149</v>
      </c>
      <c r="Y212" s="776"/>
      <c r="Z212" s="777" t="str">
        <f>vlookup(F212,'2) Tracker'!$A$3:$Q$504,16,false)</f>
        <v>ETA China 20 Apr</v>
      </c>
      <c r="AA212" s="777" t="str">
        <f>vlookup(F212,'2) Tracker'!$A$3:$R$504,18,false)</f>
        <v>Wanhua 06-07 Apr Yanbu</v>
      </c>
      <c r="AB212" s="777" t="str">
        <f>vlookup(F212,'2) Tracker'!$A$3:$Q$504,17,false)</f>
        <v/>
      </c>
      <c r="AC212" s="778"/>
      <c r="AD212" s="778">
        <f>VLOOKUP(F212,'2) Tracker'!$A$2:$BO$980,37,FALSE)</f>
        <v>46169</v>
      </c>
      <c r="AE212" s="778">
        <f>VLOOKUP(F212,'2) Tracker'!$A$2:$BO$980,40,FALSE)</f>
        <v>46180</v>
      </c>
      <c r="AF212" s="778" t="str">
        <f>VLOOKUP(F212,'2) Tracker'!$A$2:$BO$980,67,FALSE)</f>
        <v/>
      </c>
      <c r="AG212" s="778">
        <f>VLOOKUP(F212,'2) Tracker'!$A$2:$BO$980,34,FALSE)</f>
        <v>46153</v>
      </c>
      <c r="AH212" s="778" t="str">
        <f>VLOOKUP(F212,'2) Tracker'!$A$2:$BN$980,66,FALSE)</f>
        <v/>
      </c>
      <c r="AI212" s="778">
        <f>VLOOKUP(F212,'2) Tracker'!$A$2:$BO$980,56,FALSE)</f>
        <v>46143</v>
      </c>
      <c r="AJ212" s="778">
        <f>VLOOKUP(F212,'2) Tracker'!$A$2:$BO$980,52,FALSE)</f>
        <v>46143.25</v>
      </c>
      <c r="AK212" s="778">
        <f>VLOOKUP(F212,'2) Tracker'!$A$2:$AQ$980,43,FALSE)</f>
        <v>46164</v>
      </c>
      <c r="AL212" s="778">
        <f>VLOOKUP(F212,'2) Tracker'!$A$2:$BH$980,46,FALSE())</f>
        <v>46171</v>
      </c>
      <c r="AM212" s="778">
        <f>VLOOKUP(F212,'2) Tracker'!$A$2:$BO$980,65,FALSE())</f>
        <v>46155</v>
      </c>
      <c r="AN212" s="778">
        <f>VLOOKUP(F212,'2) Tracker'!$A$2:$BK$980,63,FALSE())</f>
        <v>46180</v>
      </c>
      <c r="AO212" s="778">
        <f>VLOOKUP(F212,'2) Tracker'!$A$2:$BF$980,58,FALSE())</f>
        <v>46149</v>
      </c>
      <c r="AP212" s="52"/>
      <c r="AQ212" s="52"/>
      <c r="AR212" s="52"/>
      <c r="AS212" s="52"/>
      <c r="AT212" s="52"/>
      <c r="AU212" s="52"/>
      <c r="AV212" s="52"/>
      <c r="AW212" s="52"/>
      <c r="AX212" s="52"/>
      <c r="AY212" s="52"/>
      <c r="AZ212" s="734"/>
      <c r="BA212" s="786" t="str">
        <f>vlookup(AZ212,'Iran, FS'!$A$1:$B$318,2, false)</f>
        <v>#N/A</v>
      </c>
      <c r="BB212" s="787" t="str">
        <f>vlookup(AZ212,'1) Kpler'!$E$2:$F$500,2,false)</f>
        <v>#N/A</v>
      </c>
      <c r="BC212" s="740"/>
      <c r="BD212" s="734"/>
      <c r="BE212" s="52"/>
      <c r="BF212" s="52"/>
      <c r="BG212" s="734"/>
      <c r="BH212" s="734"/>
      <c r="BI212" s="734"/>
      <c r="BJ212" s="734"/>
    </row>
    <row r="213">
      <c r="B213" s="765"/>
      <c r="C213" s="765" t="str">
        <f>vlookup(F213,'2) Tracker'!$A$3:$O$410,4,false)</f>
        <v/>
      </c>
      <c r="D213" s="734"/>
      <c r="E213" s="734" t="str">
        <f>vlookup(F213,'2) Tracker'!$A$3:$O$406,15,false)</f>
        <v/>
      </c>
      <c r="F213" s="798" t="s">
        <v>468</v>
      </c>
      <c r="G213" s="842">
        <v>42248.0</v>
      </c>
      <c r="H213" s="843">
        <v>84000.0</v>
      </c>
      <c r="I213" s="777" t="str">
        <f>VLOOKUP(F213,'2) Tracker'!$A$2:$BO$360,9,FALSE)</f>
        <v>Pacific Gas</v>
      </c>
      <c r="J213" s="770" t="str">
        <f>VLOOKUP(F213,'2) Tracker'!$A$2:$BO$360,12,FALSE)</f>
        <v>Philippines</v>
      </c>
      <c r="K213" s="771">
        <f t="shared" si="207"/>
        <v>46169</v>
      </c>
      <c r="L213" s="827"/>
      <c r="N213" s="771">
        <f t="shared" ref="N213:O213" si="260">AG213</f>
        <v>46147</v>
      </c>
      <c r="O213" s="772" t="str">
        <f t="shared" si="260"/>
        <v/>
      </c>
      <c r="P213" s="773" t="str">
        <f>iferror(if(vlookup(F213,'Voyage days'!$M$808:$N$819,2,false),"GOA",""),"")</f>
        <v/>
      </c>
      <c r="Q213" s="771">
        <f t="shared" si="81"/>
        <v>46149</v>
      </c>
      <c r="R213" s="774">
        <f t="shared" si="83"/>
        <v>46174</v>
      </c>
      <c r="S213" s="774">
        <f t="shared" si="5"/>
        <v>46164</v>
      </c>
      <c r="T213" s="771">
        <f t="shared" si="6"/>
        <v>46158</v>
      </c>
      <c r="U213" s="774">
        <f t="shared" si="84"/>
        <v>46137</v>
      </c>
      <c r="V213" s="802"/>
      <c r="W213" s="802">
        <f t="shared" si="85"/>
        <v>46137.25</v>
      </c>
      <c r="X213" s="775">
        <f t="shared" si="9"/>
        <v>46147</v>
      </c>
      <c r="Y213" s="804" t="s">
        <v>1578</v>
      </c>
      <c r="Z213" s="777" t="str">
        <f>vlookup(F213,'2) Tracker'!$A$3:$Q$504,16,false)</f>
        <v>ETA Singapore 13 Apr, 4 ports Phils discharge</v>
      </c>
      <c r="AA213" s="777" t="str">
        <f>vlookup(F213,'2) Tracker'!$A$3:$R$504,18,false)</f>
        <v>ATC 28 Mar Yanbu</v>
      </c>
      <c r="AB213" s="777" t="str">
        <f>vlookup(F213,'2) Tracker'!$A$3:$Q$504,17,false)</f>
        <v/>
      </c>
      <c r="AC213" s="778"/>
      <c r="AD213" s="778">
        <f>VLOOKUP(F213,'2) Tracker'!$A$2:$BO$980,37,FALSE)</f>
        <v>46169</v>
      </c>
      <c r="AE213" s="778">
        <f>VLOOKUP(F213,'2) Tracker'!$A$2:$BO$980,40,FALSE)</f>
        <v>46170</v>
      </c>
      <c r="AF213" s="778" t="str">
        <f>VLOOKUP(F213,'2) Tracker'!$A$2:$BO$980,67,FALSE)</f>
        <v/>
      </c>
      <c r="AG213" s="778">
        <f>VLOOKUP(F213,'2) Tracker'!$A$2:$BO$980,34,FALSE)</f>
        <v>46147</v>
      </c>
      <c r="AH213" s="778" t="str">
        <f>VLOOKUP(F213,'2) Tracker'!$A$2:$BN$980,66,FALSE)</f>
        <v/>
      </c>
      <c r="AI213" s="778">
        <f>VLOOKUP(F213,'2) Tracker'!$A$2:$BO$980,56,FALSE)</f>
        <v>46137</v>
      </c>
      <c r="AJ213" s="778">
        <f>VLOOKUP(F213,'2) Tracker'!$A$2:$BO$980,52,FALSE)</f>
        <v>46137.25</v>
      </c>
      <c r="AK213" s="778">
        <f>VLOOKUP(F213,'2) Tracker'!$A$2:$AQ$980,43,FALSE)</f>
        <v>46158</v>
      </c>
      <c r="AL213" s="778">
        <f>VLOOKUP(F213,'2) Tracker'!$A$2:$BH$980,46,FALSE())</f>
        <v>46164</v>
      </c>
      <c r="AM213" s="778">
        <f>VLOOKUP(F213,'2) Tracker'!$A$2:$BO$980,65,FALSE())</f>
        <v>46149</v>
      </c>
      <c r="AN213" s="778">
        <f>VLOOKUP(F213,'2) Tracker'!$A$2:$BK$980,63,FALSE())</f>
        <v>46174</v>
      </c>
      <c r="AO213" s="778">
        <f>VLOOKUP(F213,'2) Tracker'!$A$2:$BF$980,58,FALSE())</f>
        <v>46147</v>
      </c>
      <c r="AP213" s="52"/>
      <c r="AQ213" s="52"/>
      <c r="AR213" s="52"/>
      <c r="AS213" s="52"/>
      <c r="AT213" s="52"/>
      <c r="AU213" s="52"/>
      <c r="AV213" s="52"/>
      <c r="AW213" s="52"/>
      <c r="AX213" s="52"/>
      <c r="AY213" s="52"/>
      <c r="AZ213" s="734"/>
      <c r="BA213" s="786" t="str">
        <f>vlookup(AZ213,'Iran, FS'!$A$1:$B$318,2, false)</f>
        <v>#N/A</v>
      </c>
      <c r="BB213" s="787" t="str">
        <f>vlookup(AZ213,'1) Kpler'!$E$2:$F$500,2,false)</f>
        <v>#N/A</v>
      </c>
      <c r="BC213" s="740"/>
      <c r="BD213" s="734"/>
      <c r="BE213" s="52"/>
      <c r="BF213" s="52"/>
      <c r="BG213" s="734"/>
      <c r="BH213" s="734"/>
      <c r="BI213" s="734"/>
      <c r="BJ213" s="734"/>
    </row>
    <row r="214">
      <c r="B214" s="765" t="str">
        <f>vlookup(F214,'2) Tracker'!$A$3:$O$410,5,false)</f>
        <v/>
      </c>
      <c r="C214" s="765" t="str">
        <f>vlookup(F214,'2) Tracker'!$A$3:$O$410,4,false)</f>
        <v/>
      </c>
      <c r="D214" s="734"/>
      <c r="E214" s="734" t="str">
        <f>vlookup(F214,'2) Tracker'!$A$3:$O$406,15,false)</f>
        <v/>
      </c>
      <c r="F214" s="788" t="s">
        <v>493</v>
      </c>
      <c r="G214" s="789">
        <f>VLOOKUP(F214,'2) Tracker'!$A$2:$BO$360,2,FALSE)</f>
        <v>2024</v>
      </c>
      <c r="H214" s="768">
        <f>VLOOKUP(F214,'2) Tracker'!$A$2:$BO$360,3,FALSE)</f>
        <v>91000</v>
      </c>
      <c r="I214" s="770" t="str">
        <f>VLOOKUP(F214,'2) Tracker'!$A$2:$BO$360,9,FALSE)</f>
        <v>SwissChemGas</v>
      </c>
      <c r="J214" s="770" t="str">
        <f>VLOOKUP(F214,'2) Tracker'!$A$2:$BO$360,12,FALSE)</f>
        <v>Malaysia laden</v>
      </c>
      <c r="K214" s="774">
        <f t="shared" si="207"/>
        <v>46170</v>
      </c>
      <c r="L214" s="774">
        <f t="shared" ref="L214:O214" si="261">AE214</f>
        <v>46171</v>
      </c>
      <c r="M214" s="771" t="str">
        <f t="shared" si="261"/>
        <v/>
      </c>
      <c r="N214" s="771">
        <f t="shared" si="261"/>
        <v>46147</v>
      </c>
      <c r="O214" s="772" t="str">
        <f t="shared" si="261"/>
        <v/>
      </c>
      <c r="P214" s="773" t="str">
        <f>iferror(if(vlookup(F214,'Voyage days'!$M$808:$N$819,2,false),"GOA",""),"")</f>
        <v/>
      </c>
      <c r="Q214" s="771">
        <f t="shared" si="81"/>
        <v>46150</v>
      </c>
      <c r="R214" s="774">
        <f t="shared" si="83"/>
        <v>46175</v>
      </c>
      <c r="S214" s="774">
        <f t="shared" si="5"/>
        <v>46165</v>
      </c>
      <c r="T214" s="771">
        <f t="shared" si="6"/>
        <v>46157</v>
      </c>
      <c r="U214" s="774">
        <f t="shared" si="84"/>
        <v>46138</v>
      </c>
      <c r="V214" s="774"/>
      <c r="W214" s="774">
        <f t="shared" si="85"/>
        <v>46142</v>
      </c>
      <c r="X214" s="775" t="str">
        <f t="shared" si="9"/>
        <v/>
      </c>
      <c r="Y214" s="776"/>
      <c r="Z214" s="777" t="str">
        <f>vlookup(F214,'2) Tracker'!$A$3:$Q$504,16,false)</f>
        <v>ETA Port Klang 19 Apr</v>
      </c>
      <c r="AA214" s="777" t="str">
        <f>vlookup(F214,'2) Tracker'!$A$3:$R$504,18,false)</f>
        <v>SwissChemGas 07 Mar Enterprise</v>
      </c>
      <c r="AB214" s="777" t="str">
        <f>vlookup(F214,'2) Tracker'!$A$3:$Q$504,17,false)</f>
        <v/>
      </c>
      <c r="AC214" s="778"/>
      <c r="AD214" s="778">
        <f>VLOOKUP(F214,'2) Tracker'!$A$2:$BO$980,37,FALSE)</f>
        <v>46170</v>
      </c>
      <c r="AE214" s="778">
        <f>VLOOKUP(F214,'2) Tracker'!$A$2:$BO$980,40,FALSE)</f>
        <v>46171</v>
      </c>
      <c r="AF214" s="778" t="str">
        <f>VLOOKUP(F214,'2) Tracker'!$A$2:$BO$980,67,FALSE)</f>
        <v/>
      </c>
      <c r="AG214" s="778">
        <f>VLOOKUP(F214,'2) Tracker'!$A$2:$BO$980,34,FALSE)</f>
        <v>46147</v>
      </c>
      <c r="AH214" s="778" t="str">
        <f>VLOOKUP(F214,'2) Tracker'!$A$2:$BN$980,66,FALSE)</f>
        <v/>
      </c>
      <c r="AI214" s="778">
        <f>VLOOKUP(F214,'2) Tracker'!$A$2:$BO$980,56,FALSE)</f>
        <v>46138</v>
      </c>
      <c r="AJ214" s="778">
        <f>VLOOKUP(F214,'2) Tracker'!$A$2:$BO$980,52,FALSE)</f>
        <v>46142</v>
      </c>
      <c r="AK214" s="778">
        <f>VLOOKUP(F214,'2) Tracker'!$A$2:$AQ$980,43,FALSE)</f>
        <v>46157</v>
      </c>
      <c r="AL214" s="778">
        <f>VLOOKUP(F214,'2) Tracker'!$A$2:$BH$980,46,FALSE())</f>
        <v>46165</v>
      </c>
      <c r="AM214" s="778">
        <f>VLOOKUP(F214,'2) Tracker'!$A$2:$BO$980,65,FALSE())</f>
        <v>46150</v>
      </c>
      <c r="AN214" s="778">
        <f>VLOOKUP(F214,'2) Tracker'!$A$2:$BK$980,63,FALSE())</f>
        <v>46175</v>
      </c>
      <c r="AO214" s="778" t="str">
        <f>VLOOKUP(F214,'2) Tracker'!$A$2:$BF$980,58,FALSE())</f>
        <v/>
      </c>
      <c r="AP214" s="52"/>
      <c r="AQ214" s="52"/>
      <c r="AR214" s="52"/>
      <c r="AS214" s="52"/>
      <c r="AT214" s="52"/>
      <c r="AU214" s="52"/>
      <c r="AV214" s="52"/>
      <c r="AW214" s="52"/>
      <c r="AX214" s="52"/>
      <c r="AY214" s="52"/>
      <c r="AZ214" s="734"/>
      <c r="BA214" s="786" t="str">
        <f>vlookup(AZ214,'Iran, FS'!$A$1:$B$318,2, false)</f>
        <v>#N/A</v>
      </c>
      <c r="BB214" s="787" t="str">
        <f>vlookup(AZ214,'1) Kpler'!$E$2:$F$500,2,false)</f>
        <v>#N/A</v>
      </c>
      <c r="BC214" s="740"/>
      <c r="BD214" s="734"/>
      <c r="BE214" s="52"/>
      <c r="BF214" s="52"/>
      <c r="BG214" s="734"/>
      <c r="BH214" s="734"/>
      <c r="BI214" s="734"/>
      <c r="BJ214" s="734"/>
    </row>
    <row r="215">
      <c r="B215" s="765" t="str">
        <f>vlookup(F215,'2) Tracker'!$A$3:$O$410,5,false)</f>
        <v/>
      </c>
      <c r="C215" s="765" t="str">
        <f>vlookup(F215,'2) Tracker'!$A$3:$O$410,4,false)</f>
        <v/>
      </c>
      <c r="D215" s="734"/>
      <c r="E215" s="734" t="str">
        <f>vlookup(F215,'2) Tracker'!$A$3:$O$406,15,false)</f>
        <v/>
      </c>
      <c r="F215" s="766" t="s">
        <v>444</v>
      </c>
      <c r="G215" s="789">
        <f>VLOOKUP(F215,'2) Tracker'!$A$2:$BO$360,2,FALSE)</f>
        <v>2023</v>
      </c>
      <c r="H215" s="768">
        <f>VLOOKUP(F215,'2) Tracker'!$A$2:$BO$360,3,FALSE)</f>
        <v>91000</v>
      </c>
      <c r="I215" s="769" t="str">
        <f>VLOOKUP(F215,'2) Tracker'!$A$2:$BO$360,9,FALSE)</f>
        <v>Gunvor</v>
      </c>
      <c r="J215" s="770" t="str">
        <f>VLOOKUP(F215,'2) Tracker'!$A$2:$BO$360,12,FALSE)</f>
        <v>Taiwan</v>
      </c>
      <c r="K215" s="771">
        <f t="shared" si="207"/>
        <v>46170</v>
      </c>
      <c r="L215" s="771">
        <f t="shared" ref="L215:O215" si="262">AE215</f>
        <v>46178</v>
      </c>
      <c r="M215" s="771" t="str">
        <f t="shared" si="262"/>
        <v/>
      </c>
      <c r="N215" s="771">
        <f t="shared" si="262"/>
        <v>46150</v>
      </c>
      <c r="O215" s="772" t="str">
        <f t="shared" si="262"/>
        <v/>
      </c>
      <c r="P215" s="773" t="str">
        <f>iferror(if(vlookup(F215,'Voyage days'!$M$808:$N$819,2,false),"GOA",""),"")</f>
        <v/>
      </c>
      <c r="Q215" s="771">
        <f t="shared" si="81"/>
        <v>46152</v>
      </c>
      <c r="R215" s="774">
        <f t="shared" si="83"/>
        <v>46178</v>
      </c>
      <c r="S215" s="774">
        <f t="shared" si="5"/>
        <v>46168</v>
      </c>
      <c r="T215" s="771">
        <f t="shared" si="6"/>
        <v>46162</v>
      </c>
      <c r="U215" s="774">
        <f t="shared" si="84"/>
        <v>46141</v>
      </c>
      <c r="V215" s="771"/>
      <c r="W215" s="771">
        <f t="shared" si="85"/>
        <v>46141</v>
      </c>
      <c r="X215" s="775">
        <f t="shared" si="9"/>
        <v>46148</v>
      </c>
      <c r="Y215" s="776"/>
      <c r="Z215" s="777" t="str">
        <f>vlookup(F215,'2) Tracker'!$A$3:$Q$504,16,false)</f>
        <v>ETA 1st port Mailiao 20 Apr</v>
      </c>
      <c r="AA215" s="777" t="str">
        <f>vlookup(F215,'2) Tracker'!$A$3:$R$504,18,false)</f>
        <v>Gunvor 16 Mar Enterprise</v>
      </c>
      <c r="AB215" s="777" t="str">
        <f>vlookup(F215,'2) Tracker'!$A$3:$Q$504,17,false)</f>
        <v/>
      </c>
      <c r="AC215" s="778"/>
      <c r="AD215" s="778">
        <f>VLOOKUP(F215,'2) Tracker'!$A$2:$BO$980,37,FALSE)</f>
        <v>46170</v>
      </c>
      <c r="AE215" s="778">
        <f>VLOOKUP(F215,'2) Tracker'!$A$2:$BO$980,40,FALSE)</f>
        <v>46178</v>
      </c>
      <c r="AF215" s="778" t="str">
        <f>VLOOKUP(F215,'2) Tracker'!$A$2:$BO$980,67,FALSE)</f>
        <v/>
      </c>
      <c r="AG215" s="778">
        <f>VLOOKUP(F215,'2) Tracker'!$A$2:$BO$980,34,FALSE)</f>
        <v>46150</v>
      </c>
      <c r="AH215" s="778" t="str">
        <f>VLOOKUP(F215,'2) Tracker'!$A$2:$BN$980,66,FALSE)</f>
        <v/>
      </c>
      <c r="AI215" s="778">
        <f>VLOOKUP(F215,'2) Tracker'!$A$2:$BO$980,56,FALSE)</f>
        <v>46141</v>
      </c>
      <c r="AJ215" s="778">
        <f>VLOOKUP(F215,'2) Tracker'!$A$2:$BO$980,52,FALSE)</f>
        <v>46141</v>
      </c>
      <c r="AK215" s="778">
        <f>VLOOKUP(F215,'2) Tracker'!$A$2:$AQ$980,43,FALSE)</f>
        <v>46162</v>
      </c>
      <c r="AL215" s="778">
        <f>VLOOKUP(F215,'2) Tracker'!$A$2:$BH$980,46,FALSE())</f>
        <v>46168</v>
      </c>
      <c r="AM215" s="778">
        <f>VLOOKUP(F215,'2) Tracker'!$A$2:$BO$980,65,FALSE())</f>
        <v>46152</v>
      </c>
      <c r="AN215" s="778">
        <f>VLOOKUP(F215,'2) Tracker'!$A$2:$BK$980,63,FALSE())</f>
        <v>46178</v>
      </c>
      <c r="AO215" s="778">
        <f>VLOOKUP(F215,'2) Tracker'!$A$2:$BF$980,58,FALSE())</f>
        <v>46148</v>
      </c>
      <c r="AP215" s="52"/>
      <c r="AQ215" s="52"/>
      <c r="AR215" s="52"/>
      <c r="AS215" s="52"/>
      <c r="AT215" s="52"/>
      <c r="AU215" s="52"/>
      <c r="AV215" s="52"/>
      <c r="AW215" s="52"/>
      <c r="AX215" s="52"/>
      <c r="AY215" s="52"/>
      <c r="AZ215" s="787"/>
      <c r="BA215" s="786" t="str">
        <f>vlookup(AZ215,'Iran, FS'!$A$1:$B$318,2, false)</f>
        <v>#N/A</v>
      </c>
      <c r="BB215" s="787" t="str">
        <f>vlookup(AZ215,'1) Kpler'!$E$2:$F$500,2,false)</f>
        <v>#N/A</v>
      </c>
      <c r="BC215" s="788"/>
      <c r="BD215" s="787"/>
      <c r="BE215" s="52"/>
      <c r="BF215" s="52"/>
      <c r="BG215" s="787"/>
      <c r="BH215" s="787"/>
      <c r="BI215" s="787"/>
      <c r="BJ215" s="787"/>
    </row>
    <row r="216">
      <c r="B216" s="765" t="str">
        <f>vlookup(F216,'2) Tracker'!$A$3:$O$410,5,false)</f>
        <v>C</v>
      </c>
      <c r="C216" s="765" t="str">
        <f>vlookup(F216,'2) Tracker'!$A$3:$O$410,4,false)</f>
        <v/>
      </c>
      <c r="D216" s="734"/>
      <c r="E216" s="734" t="str">
        <f>vlookup(F216,'2) Tracker'!$A$3:$O$406,15,false)</f>
        <v/>
      </c>
      <c r="F216" s="788" t="s">
        <v>313</v>
      </c>
      <c r="G216" s="789">
        <f>VLOOKUP(F216,'2) Tracker'!$A$2:$BO$360,2,FALSE)</f>
        <v>2016</v>
      </c>
      <c r="H216" s="768">
        <f>VLOOKUP(F216,'2) Tracker'!$A$2:$BO$360,3,FALSE)</f>
        <v>83000</v>
      </c>
      <c r="I216" s="777" t="str">
        <f>VLOOKUP(F216,'2) Tracker'!$A$2:$BO$360,9,FALSE)</f>
        <v>Mercuria</v>
      </c>
      <c r="J216" s="770" t="str">
        <f>VLOOKUP(F216,'2) Tracker'!$A$2:$BO$360,12,FALSE)</f>
        <v>Japan</v>
      </c>
      <c r="K216" s="771">
        <f t="shared" si="207"/>
        <v>46170</v>
      </c>
      <c r="L216" s="771">
        <f t="shared" ref="L216:O216" si="263">AE216</f>
        <v>46180</v>
      </c>
      <c r="M216" s="771" t="str">
        <f t="shared" si="263"/>
        <v/>
      </c>
      <c r="N216" s="771">
        <f t="shared" si="263"/>
        <v>46156</v>
      </c>
      <c r="O216" s="772" t="str">
        <f t="shared" si="263"/>
        <v/>
      </c>
      <c r="P216" s="773" t="str">
        <f>iferror(if(vlookup(F216,'Voyage days'!$M$808:$N$819,2,false),"GOA",""),"")</f>
        <v/>
      </c>
      <c r="Q216" s="771">
        <f t="shared" si="81"/>
        <v>46160</v>
      </c>
      <c r="R216" s="771">
        <f t="shared" si="83"/>
        <v>46184</v>
      </c>
      <c r="S216" s="774">
        <f t="shared" si="5"/>
        <v>46174</v>
      </c>
      <c r="T216" s="771">
        <f t="shared" si="6"/>
        <v>46168</v>
      </c>
      <c r="U216" s="771">
        <f t="shared" si="84"/>
        <v>46148</v>
      </c>
      <c r="V216" s="771"/>
      <c r="W216" s="771">
        <f t="shared" si="85"/>
        <v>46146.25</v>
      </c>
      <c r="X216" s="775">
        <f t="shared" si="9"/>
        <v>46149</v>
      </c>
      <c r="Y216" s="795"/>
      <c r="Z216" s="777" t="str">
        <f>vlookup(F216,'2) Tracker'!$A$3:$Q$504,16,false)</f>
        <v>ETA 1st port Chiba 20 Apr</v>
      </c>
      <c r="AA216" s="777" t="str">
        <f>vlookup(F216,'2) Tracker'!$A$3:$R$504,18,false)</f>
        <v>Mercuria 18-19 Mar Nederland</v>
      </c>
      <c r="AB216" s="777" t="str">
        <f>vlookup(F216,'2) Tracker'!$A$3:$Q$504,17,false)</f>
        <v/>
      </c>
      <c r="AC216" s="778"/>
      <c r="AD216" s="778">
        <f>VLOOKUP(F216,'2) Tracker'!$A$2:$BO$980,37,FALSE)</f>
        <v>46170</v>
      </c>
      <c r="AE216" s="778">
        <f>VLOOKUP(F216,'2) Tracker'!$A$2:$BO$980,40,FALSE)</f>
        <v>46180</v>
      </c>
      <c r="AF216" s="778" t="str">
        <f>VLOOKUP(F216,'2) Tracker'!$A$2:$BO$980,67,FALSE)</f>
        <v/>
      </c>
      <c r="AG216" s="778">
        <f>VLOOKUP(F216,'2) Tracker'!$A$2:$BO$980,34,FALSE)</f>
        <v>46156</v>
      </c>
      <c r="AH216" s="778" t="str">
        <f>VLOOKUP(F216,'2) Tracker'!$A$2:$BN$980,66,FALSE)</f>
        <v/>
      </c>
      <c r="AI216" s="778">
        <f>VLOOKUP(F216,'2) Tracker'!$A$2:$BO$980,56,FALSE)</f>
        <v>46148</v>
      </c>
      <c r="AJ216" s="778">
        <f>VLOOKUP(F216,'2) Tracker'!$A$2:$BO$980,52,FALSE)</f>
        <v>46146.25</v>
      </c>
      <c r="AK216" s="778">
        <f>VLOOKUP(F216,'2) Tracker'!$A$2:$AQ$980,43,FALSE)</f>
        <v>46168</v>
      </c>
      <c r="AL216" s="778">
        <f>VLOOKUP(F216,'2) Tracker'!$A$2:$BH$980,46,FALSE())</f>
        <v>46174</v>
      </c>
      <c r="AM216" s="778">
        <f>VLOOKUP(F216,'2) Tracker'!$A$2:$BO$980,65,FALSE())</f>
        <v>46160</v>
      </c>
      <c r="AN216" s="778">
        <f>VLOOKUP(F216,'2) Tracker'!$A$2:$BK$980,63,FALSE())</f>
        <v>46184</v>
      </c>
      <c r="AO216" s="778">
        <f>VLOOKUP(F216,'2) Tracker'!$A$2:$BF$980,58,FALSE())</f>
        <v>46149</v>
      </c>
      <c r="AP216" s="52"/>
      <c r="AQ216" s="52"/>
      <c r="AR216" s="52"/>
      <c r="AS216" s="52"/>
      <c r="AT216" s="52"/>
      <c r="AU216" s="52"/>
      <c r="AV216" s="52"/>
      <c r="AW216" s="52"/>
      <c r="AX216" s="52"/>
      <c r="AY216" s="52"/>
      <c r="AZ216" s="734"/>
      <c r="BA216" s="786" t="str">
        <f>vlookup(AZ216,'Iran, FS'!$A$1:$B$318,2, false)</f>
        <v>#N/A</v>
      </c>
      <c r="BB216" s="787" t="str">
        <f>vlookup(AZ216,'1) Kpler'!$E$2:$F$500,2,false)</f>
        <v>#N/A</v>
      </c>
      <c r="BC216" s="740"/>
      <c r="BD216" s="734"/>
      <c r="BE216" s="52"/>
      <c r="BF216" s="52"/>
      <c r="BG216" s="734"/>
      <c r="BH216" s="734"/>
      <c r="BI216" s="734"/>
      <c r="BJ216" s="734"/>
    </row>
    <row r="217">
      <c r="B217" s="765" t="str">
        <f>vlookup(F217,'2) Tracker'!$A$3:$O$410,5,false)</f>
        <v/>
      </c>
      <c r="C217" s="765" t="str">
        <f>vlookup(F217,'2) Tracker'!$A$3:$O$410,4,false)</f>
        <v/>
      </c>
      <c r="D217" s="734"/>
      <c r="E217" s="734" t="str">
        <f>vlookup(F217,'2) Tracker'!$A$3:$O$406,15,false)</f>
        <v/>
      </c>
      <c r="F217" s="788" t="s">
        <v>414</v>
      </c>
      <c r="G217" s="783">
        <f>VLOOKUP(F217,'2) Tracker'!$A$2:$BO$360,2,FALSE)</f>
        <v>42370</v>
      </c>
      <c r="H217" s="768">
        <f>VLOOKUP(F217,'2) Tracker'!$A$2:$BO$360,3,FALSE)</f>
        <v>83000</v>
      </c>
      <c r="I217" s="777" t="str">
        <f>VLOOKUP(F217,'2) Tracker'!$A$2:$BO$360,9,FALSE)</f>
        <v>Astomos</v>
      </c>
      <c r="J217" s="770" t="str">
        <f>VLOOKUP(F217,'2) Tracker'!$A$2:$BO$360,12,FALSE)</f>
        <v>Japan</v>
      </c>
      <c r="K217" s="771">
        <f t="shared" si="207"/>
        <v>46170</v>
      </c>
      <c r="L217" s="771">
        <f t="shared" ref="L217:O217" si="264">AE217</f>
        <v>46180</v>
      </c>
      <c r="M217" s="771" t="str">
        <f t="shared" si="264"/>
        <v/>
      </c>
      <c r="N217" s="771">
        <f t="shared" si="264"/>
        <v>46156</v>
      </c>
      <c r="O217" s="772" t="str">
        <f t="shared" si="264"/>
        <v/>
      </c>
      <c r="P217" s="773" t="str">
        <f>iferror(if(vlookup(F217,'Voyage days'!$M$808:$N$819,2,false),"GOA",""),"")</f>
        <v/>
      </c>
      <c r="Q217" s="771">
        <f t="shared" si="81"/>
        <v>46159</v>
      </c>
      <c r="R217" s="771">
        <f t="shared" si="83"/>
        <v>46184</v>
      </c>
      <c r="S217" s="774">
        <f t="shared" si="5"/>
        <v>46174</v>
      </c>
      <c r="T217" s="771">
        <f t="shared" si="6"/>
        <v>46168</v>
      </c>
      <c r="U217" s="771">
        <f t="shared" si="84"/>
        <v>46147</v>
      </c>
      <c r="V217" s="771"/>
      <c r="W217" s="771">
        <f t="shared" si="85"/>
        <v>46146.25</v>
      </c>
      <c r="X217" s="775">
        <f t="shared" si="9"/>
        <v>46149</v>
      </c>
      <c r="Y217" s="776" t="s">
        <v>1504</v>
      </c>
      <c r="Z217" s="777" t="str">
        <f>vlookup(F217,'2) Tracker'!$A$3:$Q$504,16,false)</f>
        <v>ETA 1st port Sodegaura 20 Apr</v>
      </c>
      <c r="AA217" s="777" t="str">
        <f>vlookup(F217,'2) Tracker'!$A$3:$R$504,18,false)</f>
        <v>Astomos 18-19 Mar Enterprise</v>
      </c>
      <c r="AB217" s="777" t="str">
        <f>vlookup(F217,'2) Tracker'!$A$3:$Q$504,15,false)</f>
        <v/>
      </c>
      <c r="AC217" s="778"/>
      <c r="AD217" s="778">
        <f>VLOOKUP(F217,'2) Tracker'!$A$2:$BO$980,37,FALSE)</f>
        <v>46170</v>
      </c>
      <c r="AE217" s="778">
        <f>VLOOKUP(F217,'2) Tracker'!$A$2:$BO$980,40,FALSE)</f>
        <v>46180</v>
      </c>
      <c r="AF217" s="778" t="str">
        <f>VLOOKUP(F217,'2) Tracker'!$A$2:$BO$980,67,FALSE)</f>
        <v/>
      </c>
      <c r="AG217" s="778">
        <f>VLOOKUP(F217,'2) Tracker'!$A$2:$BO$980,34,FALSE)</f>
        <v>46156</v>
      </c>
      <c r="AH217" s="778" t="str">
        <f>VLOOKUP(F217,'2) Tracker'!$A$2:$BN$980,66,FALSE)</f>
        <v/>
      </c>
      <c r="AI217" s="778">
        <f>VLOOKUP(F217,'2) Tracker'!$A$2:$BO$980,56,FALSE)</f>
        <v>46147</v>
      </c>
      <c r="AJ217" s="778">
        <f>VLOOKUP(F217,'2) Tracker'!$A$2:$BO$980,52,FALSE)</f>
        <v>46146.25</v>
      </c>
      <c r="AK217" s="778">
        <f>VLOOKUP(F217,'2) Tracker'!$A$2:$AQ$980,43,FALSE)</f>
        <v>46168</v>
      </c>
      <c r="AL217" s="778">
        <f>VLOOKUP(F217,'2) Tracker'!$A$2:$BH$980,46,FALSE())</f>
        <v>46174</v>
      </c>
      <c r="AM217" s="778">
        <f>VLOOKUP(F217,'2) Tracker'!$A$2:$BO$980,65,FALSE())</f>
        <v>46159</v>
      </c>
      <c r="AN217" s="778">
        <f>VLOOKUP(F217,'2) Tracker'!$A$2:$BK$980,63,FALSE())</f>
        <v>46184</v>
      </c>
      <c r="AO217" s="778">
        <f>VLOOKUP(F217,'2) Tracker'!$A$2:$BF$980,58,FALSE())</f>
        <v>46149</v>
      </c>
      <c r="AP217" s="52"/>
      <c r="AQ217" s="52"/>
      <c r="AR217" s="52"/>
      <c r="AS217" s="52"/>
      <c r="AT217" s="52"/>
      <c r="AU217" s="52"/>
      <c r="AV217" s="52"/>
      <c r="AW217" s="52"/>
      <c r="AX217" s="52"/>
      <c r="AY217" s="52"/>
      <c r="AZ217" s="787"/>
      <c r="BA217" s="786" t="str">
        <f>vlookup(AZ217,'Iran, FS'!$A$1:$B$318,2, false)</f>
        <v>#N/A</v>
      </c>
      <c r="BB217" s="787" t="str">
        <f>vlookup(AZ217,'1) Kpler'!$E$2:$F$500,2,false)</f>
        <v>#N/A</v>
      </c>
      <c r="BC217" s="798" t="s">
        <v>1579</v>
      </c>
      <c r="BD217" s="787"/>
      <c r="BE217" s="52"/>
      <c r="BF217" s="52"/>
      <c r="BG217" s="787"/>
      <c r="BH217" s="787"/>
      <c r="BI217" s="787"/>
      <c r="BJ217" s="787"/>
    </row>
    <row r="218">
      <c r="B218" s="765" t="str">
        <f>vlookup(F218,'2) Tracker'!$A$3:$O$410,5,false)</f>
        <v/>
      </c>
      <c r="C218" s="765" t="str">
        <f>vlookup(F218,'2) Tracker'!$A$3:$O$410,4,false)</f>
        <v/>
      </c>
      <c r="D218" s="734"/>
      <c r="E218" s="734" t="str">
        <f>vlookup(F218,'2) Tracker'!$A$3:$O$406,15,false)</f>
        <v/>
      </c>
      <c r="F218" s="766" t="s">
        <v>92</v>
      </c>
      <c r="G218" s="789">
        <f>VLOOKUP(F218,'2) Tracker'!$A$2:$BO$360,2,FALSE)</f>
        <v>2024</v>
      </c>
      <c r="H218" s="768">
        <f>VLOOKUP(F218,'2) Tracker'!$A$2:$BO$360,3,FALSE)</f>
        <v>91000</v>
      </c>
      <c r="I218" s="769" t="str">
        <f>VLOOKUP(F218,'2) Tracker'!$A$2:$BO$360,9,FALSE)</f>
        <v>AltaGas</v>
      </c>
      <c r="J218" s="770" t="str">
        <f>VLOOKUP(F218,'2) Tracker'!$A$2:$BO$360,12,FALSE)</f>
        <v>East China</v>
      </c>
      <c r="K218" s="771">
        <f t="shared" si="207"/>
        <v>46170</v>
      </c>
      <c r="L218" s="771">
        <f t="shared" ref="L218:O218" si="265">AE218</f>
        <v>46181</v>
      </c>
      <c r="M218" s="771" t="str">
        <f t="shared" si="265"/>
        <v/>
      </c>
      <c r="N218" s="771">
        <f t="shared" si="265"/>
        <v>46154</v>
      </c>
      <c r="O218" s="772" t="str">
        <f t="shared" si="265"/>
        <v/>
      </c>
      <c r="P218" s="773" t="str">
        <f>iferror(if(vlookup(F218,'Voyage days'!$M$808:$N$819,2,false),"GOA",""),"")</f>
        <v/>
      </c>
      <c r="Q218" s="771">
        <f t="shared" si="81"/>
        <v>46156</v>
      </c>
      <c r="R218" s="771">
        <f t="shared" si="83"/>
        <v>46181</v>
      </c>
      <c r="S218" s="774">
        <f t="shared" si="5"/>
        <v>46172</v>
      </c>
      <c r="T218" s="771">
        <f t="shared" si="6"/>
        <v>46165</v>
      </c>
      <c r="U218" s="771">
        <f t="shared" si="84"/>
        <v>46144</v>
      </c>
      <c r="V218" s="771"/>
      <c r="W218" s="771">
        <f t="shared" si="85"/>
        <v>46144.25</v>
      </c>
      <c r="X218" s="775">
        <f t="shared" si="9"/>
        <v>46150</v>
      </c>
      <c r="Y218" s="776"/>
      <c r="Z218" s="777" t="str">
        <f>vlookup(F218,'2) Tracker'!$A$3:$Q$504,16,false)</f>
        <v>ETA Jiangyin 21 Apr</v>
      </c>
      <c r="AA218" s="777" t="str">
        <f>vlookup(F218,'2) Tracker'!$A$3:$R$504,18,false)</f>
        <v>Altagas 05 Apr RIPET</v>
      </c>
      <c r="AB218" s="777" t="str">
        <f>vlookup(F218,'2) Tracker'!$A$3:$Q$504,17,false)</f>
        <v/>
      </c>
      <c r="AC218" s="778"/>
      <c r="AD218" s="778">
        <f>VLOOKUP(F218,'2) Tracker'!$A$2:$BO$980,37,FALSE)</f>
        <v>46170</v>
      </c>
      <c r="AE218" s="778">
        <f>VLOOKUP(F218,'2) Tracker'!$A$2:$BO$980,40,FALSE)</f>
        <v>46181</v>
      </c>
      <c r="AF218" s="778" t="str">
        <f>VLOOKUP(F218,'2) Tracker'!$A$2:$BO$980,67,FALSE)</f>
        <v/>
      </c>
      <c r="AG218" s="778">
        <f>VLOOKUP(F218,'2) Tracker'!$A$2:$BO$980,34,FALSE)</f>
        <v>46154</v>
      </c>
      <c r="AH218" s="778" t="str">
        <f>VLOOKUP(F218,'2) Tracker'!$A$2:$BN$980,66,FALSE)</f>
        <v/>
      </c>
      <c r="AI218" s="778">
        <f>VLOOKUP(F218,'2) Tracker'!$A$2:$BO$980,56,FALSE)</f>
        <v>46144</v>
      </c>
      <c r="AJ218" s="778">
        <f>VLOOKUP(F218,'2) Tracker'!$A$2:$BO$980,52,FALSE)</f>
        <v>46144.25</v>
      </c>
      <c r="AK218" s="778">
        <f>VLOOKUP(F218,'2) Tracker'!$A$2:$AQ$980,43,FALSE)</f>
        <v>46165</v>
      </c>
      <c r="AL218" s="778">
        <f>VLOOKUP(F218,'2) Tracker'!$A$2:$BH$980,46,FALSE())</f>
        <v>46172</v>
      </c>
      <c r="AM218" s="778">
        <f>VLOOKUP(F218,'2) Tracker'!$A$2:$BO$980,65,FALSE())</f>
        <v>46156</v>
      </c>
      <c r="AN218" s="778">
        <f>VLOOKUP(F218,'2) Tracker'!$A$2:$BK$980,63,FALSE())</f>
        <v>46181</v>
      </c>
      <c r="AO218" s="778">
        <f>VLOOKUP(F218,'2) Tracker'!$A$2:$BF$980,58,FALSE())</f>
        <v>46150</v>
      </c>
      <c r="AP218" s="52"/>
      <c r="AQ218" s="52"/>
      <c r="AR218" s="52"/>
      <c r="AS218" s="52"/>
      <c r="AT218" s="52"/>
      <c r="AU218" s="52"/>
      <c r="AV218" s="52"/>
      <c r="AW218" s="52"/>
      <c r="AX218" s="52"/>
      <c r="AY218" s="52"/>
      <c r="AZ218" s="787"/>
      <c r="BA218" s="786" t="str">
        <f>vlookup(AZ218,'Iran, FS'!$A$1:$B$318,2, false)</f>
        <v>#N/A</v>
      </c>
      <c r="BB218" s="787" t="str">
        <f>vlookup(AZ218,'1) Kpler'!$E$2:$F$500,2,false)</f>
        <v>#N/A</v>
      </c>
      <c r="BC218" s="788"/>
      <c r="BD218" s="787"/>
      <c r="BE218" s="52"/>
      <c r="BF218" s="52"/>
      <c r="BG218" s="787"/>
      <c r="BH218" s="787"/>
      <c r="BI218" s="787"/>
      <c r="BJ218" s="787"/>
    </row>
    <row r="219">
      <c r="B219" s="765" t="str">
        <f>vlookup(F219,'2) Tracker'!$A$3:$O$410,5,false)</f>
        <v/>
      </c>
      <c r="C219" s="765" t="str">
        <f>vlookup(F219,'2) Tracker'!$A$3:$O$410,4,false)</f>
        <v/>
      </c>
      <c r="D219" s="734"/>
      <c r="E219" s="734" t="str">
        <f>vlookup(F219,'2) Tracker'!$A$3:$O$406,15,false)</f>
        <v/>
      </c>
      <c r="F219" s="740" t="s">
        <v>329</v>
      </c>
      <c r="G219" s="789">
        <f>VLOOKUP(F219,'2) Tracker'!$A$2:$BO$360,2,FALSE)</f>
        <v>2017</v>
      </c>
      <c r="H219" s="768">
        <f>VLOOKUP(F219,'2) Tracker'!$A$2:$BO$360,3,FALSE)</f>
        <v>84000</v>
      </c>
      <c r="I219" s="777" t="str">
        <f>VLOOKUP(F219,'2) Tracker'!$A$2:$BO$360,9,FALSE)</f>
        <v>BB Energy</v>
      </c>
      <c r="J219" s="770" t="str">
        <f>VLOOKUP(F219,'2) Tracker'!$A$2:$BO$360,12,FALSE)</f>
        <v>Indo</v>
      </c>
      <c r="K219" s="771">
        <f t="shared" si="207"/>
        <v>46171</v>
      </c>
      <c r="L219" s="771">
        <f t="shared" ref="L219:O219" si="266">AE219</f>
        <v>46169</v>
      </c>
      <c r="M219" s="771" t="str">
        <f t="shared" si="266"/>
        <v/>
      </c>
      <c r="N219" s="771">
        <f t="shared" si="266"/>
        <v>46143</v>
      </c>
      <c r="O219" s="772" t="str">
        <f t="shared" si="266"/>
        <v/>
      </c>
      <c r="P219" s="773" t="str">
        <f>iferror(if(vlookup(F219,'Voyage days'!$M$808:$N$819,2,false),"GOA",""),"")</f>
        <v/>
      </c>
      <c r="Q219" s="771">
        <f t="shared" si="81"/>
        <v>46146</v>
      </c>
      <c r="R219" s="771">
        <f t="shared" si="83"/>
        <v>46169</v>
      </c>
      <c r="S219" s="774">
        <f t="shared" si="5"/>
        <v>46161</v>
      </c>
      <c r="T219" s="771">
        <f t="shared" si="6"/>
        <v>46152</v>
      </c>
      <c r="U219" s="771">
        <f t="shared" si="84"/>
        <v>46136</v>
      </c>
      <c r="V219" s="745" t="s">
        <v>1523</v>
      </c>
      <c r="W219" s="771">
        <f t="shared" si="85"/>
        <v>46136</v>
      </c>
      <c r="X219" s="775" t="str">
        <f t="shared" si="9"/>
        <v/>
      </c>
      <c r="Y219" s="776"/>
      <c r="Z219" s="777" t="str">
        <f>vlookup(F219,'2) Tracker'!$A$3:$Q$504,16,false)</f>
        <v>ETA Darwin 12-13 Apr</v>
      </c>
      <c r="AA219" s="777" t="str">
        <f>vlookup(F219,'2) Tracker'!$A$3:$R$504,18,false)</f>
        <v>Total 10-11 Apr Darwin</v>
      </c>
      <c r="AB219" s="777" t="str">
        <f>vlookup(F219,'2) Tracker'!$A$3:$Q$504,17,false)</f>
        <v/>
      </c>
      <c r="AC219" s="778"/>
      <c r="AD219" s="778">
        <f>VLOOKUP(F219,'2) Tracker'!$A$2:$BO$980,37,FALSE)</f>
        <v>46171</v>
      </c>
      <c r="AE219" s="778">
        <f>VLOOKUP(F219,'2) Tracker'!$A$2:$BO$980,40,FALSE)</f>
        <v>46169</v>
      </c>
      <c r="AF219" s="778" t="str">
        <f>VLOOKUP(F219,'2) Tracker'!$A$2:$BO$980,67,FALSE)</f>
        <v/>
      </c>
      <c r="AG219" s="778">
        <f>VLOOKUP(F219,'2) Tracker'!$A$2:$BO$980,34,FALSE)</f>
        <v>46143</v>
      </c>
      <c r="AH219" s="778" t="str">
        <f>VLOOKUP(F219,'2) Tracker'!$A$2:$BN$980,66,FALSE)</f>
        <v/>
      </c>
      <c r="AI219" s="778">
        <f>VLOOKUP(F219,'2) Tracker'!$A$2:$BO$980,56,FALSE)</f>
        <v>46136</v>
      </c>
      <c r="AJ219" s="778">
        <f>VLOOKUP(F219,'2) Tracker'!$A$2:$BO$980,52,FALSE)</f>
        <v>46136</v>
      </c>
      <c r="AK219" s="778">
        <f>VLOOKUP(F219,'2) Tracker'!$A$2:$AQ$980,43,FALSE)</f>
        <v>46152</v>
      </c>
      <c r="AL219" s="778">
        <f>VLOOKUP(F219,'2) Tracker'!$A$2:$BH$980,46,FALSE())</f>
        <v>46161</v>
      </c>
      <c r="AM219" s="778">
        <f>VLOOKUP(F219,'2) Tracker'!$A$2:$BO$980,65,FALSE())</f>
        <v>46146</v>
      </c>
      <c r="AN219" s="778">
        <f>VLOOKUP(F219,'2) Tracker'!$A$2:$BK$980,63,FALSE())</f>
        <v>46169</v>
      </c>
      <c r="AO219" s="778" t="str">
        <f>VLOOKUP(F219,'2) Tracker'!$A$2:$BF$980,58,FALSE())</f>
        <v/>
      </c>
      <c r="AP219" s="52"/>
      <c r="AQ219" s="52"/>
      <c r="AR219" s="52"/>
      <c r="AS219" s="52"/>
      <c r="AT219" s="52"/>
      <c r="AU219" s="52"/>
      <c r="AV219" s="52"/>
      <c r="AW219" s="52"/>
      <c r="AX219" s="52"/>
      <c r="AY219" s="52"/>
      <c r="AZ219" s="787"/>
      <c r="BA219" s="786"/>
      <c r="BB219" s="787"/>
      <c r="BC219" s="788"/>
      <c r="BD219" s="787"/>
      <c r="BE219" s="52"/>
      <c r="BF219" s="52"/>
      <c r="BG219" s="787"/>
      <c r="BH219" s="787"/>
      <c r="BI219" s="787"/>
      <c r="BJ219" s="787"/>
    </row>
    <row r="220">
      <c r="B220" s="765" t="str">
        <f>vlookup(F220,'2) Tracker'!$A$3:$O$410,5,false)</f>
        <v/>
      </c>
      <c r="C220" s="765" t="str">
        <f>vlookup(F220,'2) Tracker'!$A$3:$O$410,4,false)</f>
        <v/>
      </c>
      <c r="D220" s="734"/>
      <c r="E220" s="734" t="str">
        <f>vlookup(F220,'2) Tracker'!$A$3:$O$406,15,false)</f>
        <v/>
      </c>
      <c r="F220" s="766" t="s">
        <v>268</v>
      </c>
      <c r="G220" s="783">
        <f>VLOOKUP(F220,'2) Tracker'!$A$2:$BO$360,2,FALSE)</f>
        <v>39546</v>
      </c>
      <c r="H220" s="768">
        <f>VLOOKUP(F220,'2) Tracker'!$A$2:$BO$360,3,FALSE)</f>
        <v>83783</v>
      </c>
      <c r="I220" s="769" t="str">
        <f>VLOOKUP(F220,'2) Tracker'!$A$2:$BO$360,9,FALSE)</f>
        <v>Pertamina</v>
      </c>
      <c r="J220" s="770" t="str">
        <f>VLOOKUP(F220,'2) Tracker'!$A$2:$BO$360,12,FALSE)</f>
        <v>Indo</v>
      </c>
      <c r="K220" s="774">
        <f t="shared" si="207"/>
        <v>46171</v>
      </c>
      <c r="L220" s="774">
        <f t="shared" ref="L220:O220" si="267">AE220</f>
        <v>46169</v>
      </c>
      <c r="M220" s="771" t="str">
        <f t="shared" si="267"/>
        <v/>
      </c>
      <c r="N220" s="772">
        <f t="shared" si="267"/>
        <v>46143</v>
      </c>
      <c r="O220" s="772" t="str">
        <f t="shared" si="267"/>
        <v/>
      </c>
      <c r="P220" s="773" t="str">
        <f>iferror(if(vlookup(F220,'Voyage days'!$M$808:$N$819,2,false),"GOA",""),"")</f>
        <v/>
      </c>
      <c r="Q220" s="771">
        <f t="shared" si="81"/>
        <v>46146</v>
      </c>
      <c r="R220" s="774">
        <f t="shared" si="83"/>
        <v>46169</v>
      </c>
      <c r="S220" s="774">
        <f t="shared" si="5"/>
        <v>46161</v>
      </c>
      <c r="T220" s="771">
        <f t="shared" si="6"/>
        <v>46152</v>
      </c>
      <c r="U220" s="774">
        <f t="shared" si="84"/>
        <v>46136</v>
      </c>
      <c r="V220" s="745" t="s">
        <v>1523</v>
      </c>
      <c r="W220" s="771">
        <f t="shared" si="85"/>
        <v>46136</v>
      </c>
      <c r="X220" s="775" t="str">
        <f t="shared" si="9"/>
        <v/>
      </c>
      <c r="Y220" s="804" t="s">
        <v>1068</v>
      </c>
      <c r="Z220" s="777" t="str">
        <f>vlookup(F220,'2) Tracker'!$A$3:$Q$504,16,false)</f>
        <v>ETA Arun 15 Apr</v>
      </c>
      <c r="AA220" s="777" t="str">
        <f>vlookup(F220,'2) Tracker'!$A$3:$R$504,18,false)</f>
        <v>Perta 02-03 Mar Freeport</v>
      </c>
      <c r="AB220" s="777" t="str">
        <f>vlookup(F220,'2) Tracker'!$A$3:$Q$504,17,false)</f>
        <v/>
      </c>
      <c r="AC220" s="778"/>
      <c r="AD220" s="778">
        <f>VLOOKUP(F220,'2) Tracker'!$A$2:$BO$980,37,FALSE)</f>
        <v>46171</v>
      </c>
      <c r="AE220" s="778">
        <f>VLOOKUP(F220,'2) Tracker'!$A$2:$BO$980,40,FALSE)</f>
        <v>46169</v>
      </c>
      <c r="AF220" s="778" t="str">
        <f>VLOOKUP(F220,'2) Tracker'!$A$2:$BO$980,67,FALSE)</f>
        <v/>
      </c>
      <c r="AG220" s="778">
        <f>VLOOKUP(F220,'2) Tracker'!$A$2:$BO$980,34,FALSE)</f>
        <v>46143</v>
      </c>
      <c r="AH220" s="778" t="str">
        <f>VLOOKUP(F220,'2) Tracker'!$A$2:$BN$980,66,FALSE)</f>
        <v/>
      </c>
      <c r="AI220" s="778">
        <f>VLOOKUP(F220,'2) Tracker'!$A$2:$BO$980,56,FALSE)</f>
        <v>46136</v>
      </c>
      <c r="AJ220" s="778">
        <f>VLOOKUP(F220,'2) Tracker'!$A$2:$BO$980,52,FALSE)</f>
        <v>46136</v>
      </c>
      <c r="AK220" s="778">
        <f>VLOOKUP(F220,'2) Tracker'!$A$2:$AQ$980,43,FALSE)</f>
        <v>46152</v>
      </c>
      <c r="AL220" s="778">
        <f>VLOOKUP(F220,'2) Tracker'!$A$2:$BH$980,46,FALSE())</f>
        <v>46161</v>
      </c>
      <c r="AM220" s="778">
        <f>VLOOKUP(F220,'2) Tracker'!$A$2:$BO$980,65,FALSE())</f>
        <v>46146</v>
      </c>
      <c r="AN220" s="778">
        <f>VLOOKUP(F220,'2) Tracker'!$A$2:$BK$980,63,FALSE())</f>
        <v>46169</v>
      </c>
      <c r="AO220" s="778" t="str">
        <f>VLOOKUP(F220,'2) Tracker'!$A$2:$BF$980,58,FALSE())</f>
        <v/>
      </c>
      <c r="AP220" s="52"/>
      <c r="AQ220" s="52"/>
      <c r="AR220" s="52"/>
      <c r="AS220" s="52"/>
      <c r="AT220" s="52"/>
      <c r="AU220" s="52"/>
      <c r="AV220" s="52"/>
      <c r="AW220" s="52"/>
      <c r="AX220" s="52"/>
      <c r="AY220" s="52"/>
      <c r="AZ220" s="787"/>
      <c r="BA220" s="786" t="str">
        <f>vlookup(AZ220,'Iran, FS'!$A$1:$B$318,2, false)</f>
        <v>#N/A</v>
      </c>
      <c r="BB220" s="787" t="str">
        <f>vlookup(AZ220,'1) Kpler'!$E$2:$F$500,2,false)</f>
        <v>#N/A</v>
      </c>
      <c r="BC220" s="788"/>
      <c r="BD220" s="787"/>
      <c r="BE220" s="52"/>
      <c r="BF220" s="52"/>
      <c r="BG220" s="787"/>
      <c r="BH220" s="787"/>
      <c r="BI220" s="787"/>
      <c r="BJ220" s="787"/>
    </row>
    <row r="221">
      <c r="B221" s="765" t="str">
        <f>vlookup(F221,'2) Tracker'!$A$3:$O$410,5,false)</f>
        <v>C</v>
      </c>
      <c r="C221" s="765" t="str">
        <f>vlookup(F221,'2) Tracker'!$A$3:$O$410,4,false)</f>
        <v/>
      </c>
      <c r="D221" s="734"/>
      <c r="E221" s="734" t="str">
        <f>vlookup(F221,'2) Tracker'!$A$3:$O$406,15,false)</f>
        <v/>
      </c>
      <c r="F221" s="788" t="s">
        <v>325</v>
      </c>
      <c r="G221" s="789">
        <f>VLOOKUP(F221,'2) Tracker'!$A$2:$BO$360,2,FALSE)</f>
        <v>2021</v>
      </c>
      <c r="H221" s="768">
        <f>VLOOKUP(F221,'2) Tracker'!$A$2:$BO$360,3,FALSE)</f>
        <v>86000</v>
      </c>
      <c r="I221" s="838" t="str">
        <f>VLOOKUP(F221,'2) Tracker'!$A$2:$BO$360,9,FALSE)</f>
        <v>BW-Sinogas pool</v>
      </c>
      <c r="J221" s="770" t="str">
        <f>VLOOKUP(F221,'2) Tracker'!$A$2:$BO$360,12,FALSE)</f>
        <v>Indo</v>
      </c>
      <c r="K221" s="774">
        <f t="shared" si="207"/>
        <v>46171</v>
      </c>
      <c r="L221" s="774">
        <f t="shared" ref="L221:O221" si="268">AE221</f>
        <v>46169</v>
      </c>
      <c r="M221" s="771" t="str">
        <f t="shared" si="268"/>
        <v/>
      </c>
      <c r="N221" s="771">
        <f t="shared" si="268"/>
        <v>46143</v>
      </c>
      <c r="O221" s="772" t="str">
        <f t="shared" si="268"/>
        <v/>
      </c>
      <c r="P221" s="773" t="str">
        <f>iferror(if(vlookup(F221,'Voyage days'!$M$808:$N$819,2,false),"GOA",""),"")</f>
        <v/>
      </c>
      <c r="Q221" s="771">
        <f t="shared" si="81"/>
        <v>46146</v>
      </c>
      <c r="R221" s="774">
        <f t="shared" si="83"/>
        <v>46169</v>
      </c>
      <c r="S221" s="774">
        <f t="shared" si="5"/>
        <v>46161</v>
      </c>
      <c r="T221" s="771">
        <f t="shared" si="6"/>
        <v>46152</v>
      </c>
      <c r="U221" s="774">
        <f t="shared" si="84"/>
        <v>46136</v>
      </c>
      <c r="V221" s="771"/>
      <c r="W221" s="771">
        <f t="shared" si="85"/>
        <v>46136</v>
      </c>
      <c r="X221" s="775" t="str">
        <f t="shared" si="9"/>
        <v/>
      </c>
      <c r="Y221" s="770"/>
      <c r="Z221" s="777" t="str">
        <f>vlookup(F221,'2) Tracker'!$A$3:$Q$504,16,false)</f>
        <v>ETA Merak 16 Apr,  Darwin candidate?</v>
      </c>
      <c r="AA221" s="777" t="str">
        <f>vlookup(F221,'2) Tracker'!$A$3:$R$504,18,false)</f>
        <v>Altagas 19 Mar Ferndale</v>
      </c>
      <c r="AB221" s="777" t="str">
        <f>vlookup(F221,'2) Tracker'!$A$3:$Q$504,17,false)</f>
        <v/>
      </c>
      <c r="AC221" s="778"/>
      <c r="AD221" s="778">
        <f>VLOOKUP(F221,'2) Tracker'!$A$2:$BO$980,37,FALSE)</f>
        <v>46171</v>
      </c>
      <c r="AE221" s="778">
        <f>VLOOKUP(F221,'2) Tracker'!$A$2:$BO$980,40,FALSE)</f>
        <v>46169</v>
      </c>
      <c r="AF221" s="778" t="str">
        <f>VLOOKUP(F221,'2) Tracker'!$A$2:$BO$980,67,FALSE)</f>
        <v/>
      </c>
      <c r="AG221" s="778">
        <f>VLOOKUP(F221,'2) Tracker'!$A$2:$BO$980,34,FALSE)</f>
        <v>46143</v>
      </c>
      <c r="AH221" s="778" t="str">
        <f>VLOOKUP(F221,'2) Tracker'!$A$2:$BN$980,66,FALSE)</f>
        <v/>
      </c>
      <c r="AI221" s="778">
        <f>VLOOKUP(F221,'2) Tracker'!$A$2:$BO$980,56,FALSE)</f>
        <v>46136</v>
      </c>
      <c r="AJ221" s="778">
        <f>VLOOKUP(F221,'2) Tracker'!$A$2:$BO$980,52,FALSE)</f>
        <v>46136</v>
      </c>
      <c r="AK221" s="778">
        <f>VLOOKUP(F221,'2) Tracker'!$A$2:$AQ$980,43,FALSE)</f>
        <v>46152</v>
      </c>
      <c r="AL221" s="778">
        <f>VLOOKUP(F221,'2) Tracker'!$A$2:$BH$980,46,FALSE())</f>
        <v>46161</v>
      </c>
      <c r="AM221" s="778">
        <f>VLOOKUP(F221,'2) Tracker'!$A$2:$BO$980,65,FALSE())</f>
        <v>46146</v>
      </c>
      <c r="AN221" s="778">
        <f>VLOOKUP(F221,'2) Tracker'!$A$2:$BK$980,63,FALSE())</f>
        <v>46169</v>
      </c>
      <c r="AO221" s="778" t="str">
        <f>VLOOKUP(F221,'2) Tracker'!$A$2:$BF$980,58,FALSE())</f>
        <v/>
      </c>
      <c r="AP221" s="52"/>
      <c r="AQ221" s="52"/>
      <c r="AR221" s="52"/>
      <c r="AS221" s="52"/>
      <c r="AT221" s="52"/>
      <c r="AU221" s="52"/>
      <c r="AV221" s="52"/>
      <c r="AW221" s="52"/>
      <c r="AX221" s="52"/>
      <c r="AY221" s="52"/>
      <c r="AZ221" s="734"/>
      <c r="BA221" s="786" t="str">
        <f>vlookup(AZ221,'Iran, FS'!$A$1:$B$318,2, false)</f>
        <v>#N/A</v>
      </c>
      <c r="BB221" s="787" t="str">
        <f>vlookup(AZ221,'1) Kpler'!$E$2:$F$500,2,false)</f>
        <v>#N/A</v>
      </c>
      <c r="BC221" s="740"/>
      <c r="BD221" s="734"/>
      <c r="BE221" s="52"/>
      <c r="BF221" s="52"/>
      <c r="BG221" s="734"/>
      <c r="BH221" s="734"/>
      <c r="BI221" s="734"/>
      <c r="BJ221" s="734"/>
    </row>
    <row r="222">
      <c r="B222" s="765"/>
      <c r="C222" s="765" t="str">
        <f>vlookup(F222,'2) Tracker'!$A$3:$O$410,4,false)</f>
        <v/>
      </c>
      <c r="D222" s="734"/>
      <c r="E222" s="734" t="str">
        <f>vlookup(F222,'2) Tracker'!$A$3:$O$406,15,false)</f>
        <v/>
      </c>
      <c r="F222" s="798" t="s">
        <v>304</v>
      </c>
      <c r="G222" s="783">
        <f>VLOOKUP(F222,'2) Tracker'!$A$2:$BO$360,2,FALSE)</f>
        <v>38687</v>
      </c>
      <c r="H222" s="768">
        <f>VLOOKUP(F222,'2) Tracker'!$A$2:$BO$360,3,FALSE)</f>
        <v>78913</v>
      </c>
      <c r="I222" s="770" t="str">
        <f>VLOOKUP(F222,'2) Tracker'!$A$2:$BO$360,9,FALSE)</f>
        <v>Phecda Leading Shipping Limited</v>
      </c>
      <c r="J222" s="770" t="str">
        <f>VLOOKUP(F222,'2) Tracker'!$A$2:$BO$360,12,FALSE)</f>
        <v>loads USG</v>
      </c>
      <c r="K222" s="771">
        <f t="shared" si="207"/>
        <v>46171</v>
      </c>
      <c r="L222" s="771">
        <f t="shared" ref="L222:O222" si="269">AE222</f>
        <v>46171</v>
      </c>
      <c r="M222" s="771">
        <f t="shared" si="269"/>
        <v>46203</v>
      </c>
      <c r="N222" s="772" t="str">
        <f t="shared" si="269"/>
        <v/>
      </c>
      <c r="O222" s="772" t="str">
        <f t="shared" si="269"/>
        <v/>
      </c>
      <c r="P222" s="773" t="str">
        <f>iferror(if(vlookup(F222,'Voyage days'!$M$808:$N$819,2,false),"GOA",""),"")</f>
        <v/>
      </c>
      <c r="Q222" s="772" t="str">
        <f t="shared" si="81"/>
        <v/>
      </c>
      <c r="R222" s="771" t="str">
        <f t="shared" si="83"/>
        <v/>
      </c>
      <c r="S222" s="774">
        <f t="shared" si="5"/>
        <v>46191</v>
      </c>
      <c r="T222" s="774" t="str">
        <f t="shared" si="6"/>
        <v/>
      </c>
      <c r="U222" s="771" t="str">
        <f t="shared" si="84"/>
        <v/>
      </c>
      <c r="V222" s="771"/>
      <c r="W222" s="771" t="str">
        <f t="shared" si="85"/>
        <v/>
      </c>
      <c r="X222" s="775" t="str">
        <f t="shared" si="9"/>
        <v/>
      </c>
      <c r="Y222" s="776"/>
      <c r="Z222" s="777" t="str">
        <f>vlookup(F222,'2) Tracker'!$A$3:$Q$504,16,false)</f>
        <v>ex DD,  ETA Singapore 15 Apr</v>
      </c>
      <c r="AA222" s="777" t="str">
        <f>vlookup(F222,'2) Tracker'!$A$3:$R$504,18,false)</f>
        <v>SwissChemGas End May USG</v>
      </c>
      <c r="AB222" s="777" t="str">
        <f>vlookup(F222,'2) Tracker'!$A$3:$Q$504,17,false)</f>
        <v/>
      </c>
      <c r="AC222" s="778"/>
      <c r="AD222" s="778">
        <f>VLOOKUP(F222,'2) Tracker'!$A$2:$BO$980,37,FALSE)</f>
        <v>46171</v>
      </c>
      <c r="AE222" s="778">
        <f>VLOOKUP(F222,'2) Tracker'!$A$2:$BO$980,40,FALSE)</f>
        <v>46171</v>
      </c>
      <c r="AF222" s="778">
        <f>VLOOKUP(F222,'2) Tracker'!$A$2:$BO$980,67,FALSE)</f>
        <v>46203</v>
      </c>
      <c r="AG222" s="778" t="str">
        <f>VLOOKUP(F222,'2) Tracker'!$A$2:$BO$980,34,FALSE)</f>
        <v/>
      </c>
      <c r="AH222" s="778" t="str">
        <f>VLOOKUP(F222,'2) Tracker'!$A$2:$BN$980,66,FALSE)</f>
        <v/>
      </c>
      <c r="AI222" s="779" t="str">
        <f>VLOOKUP(F222,'2) Tracker'!$A$2:$BO$980,56,FALSE)</f>
        <v/>
      </c>
      <c r="AJ222" s="778" t="str">
        <f>VLOOKUP(F222,'2) Tracker'!$A$2:$BO$980,52,FALSE)</f>
        <v/>
      </c>
      <c r="AK222" s="778" t="str">
        <f>VLOOKUP(F222,'2) Tracker'!$A$2:$AQ$980,43,FALSE)</f>
        <v/>
      </c>
      <c r="AL222" s="778">
        <f>VLOOKUP(F222,'2) Tracker'!$A$2:$BH$980,46,FALSE())</f>
        <v>46191</v>
      </c>
      <c r="AM222" s="778" t="str">
        <f>VLOOKUP(F222,'2) Tracker'!$A$2:$BO$980,65,FALSE())</f>
        <v/>
      </c>
      <c r="AN222" s="778" t="str">
        <f>VLOOKUP(F222,'2) Tracker'!$A$2:$BK$980,63,FALSE())</f>
        <v/>
      </c>
      <c r="AO222" s="778" t="str">
        <f>VLOOKUP(F222,'2) Tracker'!$A$2:$BF$980,58,FALSE())</f>
        <v/>
      </c>
      <c r="AP222" s="52"/>
      <c r="AQ222" s="52"/>
      <c r="AR222" s="52"/>
      <c r="AS222" s="52"/>
      <c r="AT222" s="52"/>
      <c r="AU222" s="52"/>
      <c r="AV222" s="52"/>
      <c r="AW222" s="52"/>
      <c r="AX222" s="52"/>
      <c r="AY222" s="52"/>
      <c r="AZ222" s="734"/>
      <c r="BA222" s="786" t="str">
        <f>vlookup(AZ222,'Iran, FS'!$A$1:$B$318,2, false)</f>
        <v>#N/A</v>
      </c>
      <c r="BB222" s="787" t="str">
        <f>vlookup(AZ222,'1) Kpler'!$E$2:$F$500,2,false)</f>
        <v>#N/A</v>
      </c>
      <c r="BC222" s="740"/>
      <c r="BD222" s="734"/>
      <c r="BE222" s="52"/>
      <c r="BF222" s="52"/>
      <c r="BG222" s="734"/>
      <c r="BH222" s="734"/>
      <c r="BI222" s="734"/>
      <c r="BJ222" s="734"/>
    </row>
    <row r="223">
      <c r="B223" s="765" t="str">
        <f>vlookup(F223,'2) Tracker'!$A$3:$O$410,5,false)</f>
        <v/>
      </c>
      <c r="C223" s="765" t="str">
        <f>vlookup(F223,'2) Tracker'!$A$3:$O$410,4,false)</f>
        <v>US</v>
      </c>
      <c r="D223" s="732" t="s">
        <v>1515</v>
      </c>
      <c r="E223" s="734" t="str">
        <f>vlookup(F223,'2) Tracker'!$A$3:$O$406,15,false)</f>
        <v/>
      </c>
      <c r="F223" s="797" t="s">
        <v>578</v>
      </c>
      <c r="G223" s="789">
        <f>VLOOKUP(F223,'2) Tracker'!$A$2:$BO$360,2,FALSE)</f>
        <v>2021</v>
      </c>
      <c r="H223" s="768">
        <f>VLOOKUP(F223,'2) Tracker'!$A$2:$BO$360,3,FALSE)</f>
        <v>84000</v>
      </c>
      <c r="I223" s="769" t="str">
        <f>VLOOKUP(F223,'2) Tracker'!$A$2:$BO$360,9,FALSE)</f>
        <v>Chevron</v>
      </c>
      <c r="J223" s="770" t="str">
        <f>VLOOKUP(F223,'2) Tracker'!$A$2:$BO$360,12,FALSE)</f>
        <v>Singapore laden</v>
      </c>
      <c r="K223" s="771">
        <f t="shared" si="207"/>
        <v>46171</v>
      </c>
      <c r="L223" s="771">
        <f t="shared" ref="L223:O223" si="270">AE223</f>
        <v>46172</v>
      </c>
      <c r="M223" s="771" t="str">
        <f t="shared" si="270"/>
        <v/>
      </c>
      <c r="N223" s="771">
        <f t="shared" si="270"/>
        <v>46148</v>
      </c>
      <c r="O223" s="772" t="str">
        <f t="shared" si="270"/>
        <v/>
      </c>
      <c r="P223" s="773" t="str">
        <f>iferror(if(vlookup(F223,'Voyage days'!$M$808:$N$819,2,false),"GOA",""),"")</f>
        <v/>
      </c>
      <c r="Q223" s="771">
        <f t="shared" si="81"/>
        <v>46153</v>
      </c>
      <c r="R223" s="771">
        <f t="shared" si="83"/>
        <v>46176</v>
      </c>
      <c r="S223" s="774">
        <f t="shared" si="5"/>
        <v>46166</v>
      </c>
      <c r="T223" s="771">
        <f t="shared" si="6"/>
        <v>46158</v>
      </c>
      <c r="U223" s="771">
        <f t="shared" si="84"/>
        <v>46141</v>
      </c>
      <c r="V223" s="771"/>
      <c r="W223" s="771">
        <f t="shared" si="85"/>
        <v>46143</v>
      </c>
      <c r="X223" s="775" t="str">
        <f t="shared" si="9"/>
        <v/>
      </c>
      <c r="Y223" s="784"/>
      <c r="Z223" s="777" t="str">
        <f>vlookup(F223,'2) Tracker'!$A$3:$Q$504,16,false)</f>
        <v>ETA Singapore 21 Apr</v>
      </c>
      <c r="AA223" s="777" t="str">
        <f>vlookup(F223,'2) Tracker'!$A$3:$R$504,18,false)</f>
        <v>Chevron 07-08 Mar Escravos+Soyo</v>
      </c>
      <c r="AB223" s="777" t="str">
        <f>vlookup(F223,'2) Tracker'!$A$3:$Q$504,17,false)</f>
        <v/>
      </c>
      <c r="AC223" s="778"/>
      <c r="AD223" s="778">
        <f>VLOOKUP(F223,'2) Tracker'!$A$2:$BO$980,37,FALSE)</f>
        <v>46171</v>
      </c>
      <c r="AE223" s="778">
        <f>VLOOKUP(F223,'2) Tracker'!$A$2:$BO$980,40,FALSE)</f>
        <v>46172</v>
      </c>
      <c r="AF223" s="778" t="str">
        <f>VLOOKUP(F223,'2) Tracker'!$A$2:$BO$980,67,FALSE)</f>
        <v/>
      </c>
      <c r="AG223" s="778">
        <f>VLOOKUP(F223,'2) Tracker'!$A$2:$BO$980,34,FALSE)</f>
        <v>46148</v>
      </c>
      <c r="AH223" s="778" t="str">
        <f>VLOOKUP(F223,'2) Tracker'!$A$2:$BN$980,66,FALSE)</f>
        <v/>
      </c>
      <c r="AI223" s="778">
        <f>VLOOKUP(F223,'2) Tracker'!$A$2:$BO$980,56,FALSE)</f>
        <v>46141</v>
      </c>
      <c r="AJ223" s="778">
        <f>VLOOKUP(F223,'2) Tracker'!$A$2:$BO$980,52,FALSE)</f>
        <v>46143</v>
      </c>
      <c r="AK223" s="778">
        <f>VLOOKUP(F223,'2) Tracker'!$A$2:$AQ$980,43,FALSE)</f>
        <v>46158</v>
      </c>
      <c r="AL223" s="778">
        <f>VLOOKUP(F223,'2) Tracker'!$A$2:$BH$980,46,FALSE())</f>
        <v>46166</v>
      </c>
      <c r="AM223" s="778">
        <f>VLOOKUP(F223,'2) Tracker'!$A$2:$BO$980,65,FALSE())</f>
        <v>46153</v>
      </c>
      <c r="AN223" s="778">
        <f>VLOOKUP(F223,'2) Tracker'!$A$2:$BK$980,63,FALSE())</f>
        <v>46176</v>
      </c>
      <c r="AO223" s="778" t="str">
        <f>VLOOKUP(F223,'2) Tracker'!$A$2:$BF$980,58,FALSE())</f>
        <v/>
      </c>
      <c r="AP223" s="52"/>
      <c r="AQ223" s="52"/>
      <c r="AR223" s="52"/>
      <c r="AS223" s="52"/>
      <c r="AT223" s="52"/>
      <c r="AU223" s="52"/>
      <c r="AV223" s="52"/>
      <c r="AW223" s="52"/>
      <c r="AX223" s="52"/>
      <c r="AY223" s="52"/>
      <c r="AZ223" s="787"/>
      <c r="BA223" s="786" t="str">
        <f>vlookup(AZ223,'Iran, FS'!$A$1:$B$318,2, false)</f>
        <v>#N/A</v>
      </c>
      <c r="BB223" s="787" t="str">
        <f>vlookup(AZ223,'1) Kpler'!$E$2:$F$500,2,false)</f>
        <v>#N/A</v>
      </c>
      <c r="BC223" s="788"/>
      <c r="BD223" s="787"/>
      <c r="BE223" s="52"/>
      <c r="BF223" s="52"/>
      <c r="BG223" s="787"/>
      <c r="BH223" s="787"/>
      <c r="BI223" s="787"/>
      <c r="BJ223" s="787"/>
    </row>
    <row r="224">
      <c r="B224" s="765" t="str">
        <f>vlookup(F224,'2) Tracker'!$A$3:$O$410,5,false)</f>
        <v/>
      </c>
      <c r="C224" s="834"/>
      <c r="D224" s="734"/>
      <c r="E224" s="734" t="str">
        <f>vlookup(F224,'2) Tracker'!$A$3:$O$406,15,false)</f>
        <v/>
      </c>
      <c r="F224" s="822" t="s">
        <v>567</v>
      </c>
      <c r="G224" s="789">
        <f>VLOOKUP(F224,'2) Tracker'!$A$2:$BO$360,2,FALSE)</f>
        <v>2020</v>
      </c>
      <c r="H224" s="768">
        <f>VLOOKUP(F224,'2) Tracker'!$A$2:$BO$360,3,FALSE)</f>
        <v>84000</v>
      </c>
      <c r="I224" s="777" t="str">
        <f>VLOOKUP(F224,'2) Tracker'!$A$2:$BO$360,9,FALSE)</f>
        <v>Mercuria</v>
      </c>
      <c r="J224" s="770" t="str">
        <f>VLOOKUP(F224,'2) Tracker'!$A$2:$BO$360,12,FALSE)</f>
        <v>Taiwan</v>
      </c>
      <c r="K224" s="771">
        <f t="shared" si="207"/>
        <v>46171</v>
      </c>
      <c r="L224" s="771">
        <f t="shared" ref="L224:O224" si="271">AE224</f>
        <v>46179</v>
      </c>
      <c r="M224" s="771" t="str">
        <f t="shared" si="271"/>
        <v/>
      </c>
      <c r="N224" s="772">
        <f t="shared" si="271"/>
        <v>46151</v>
      </c>
      <c r="O224" s="772" t="str">
        <f t="shared" si="271"/>
        <v/>
      </c>
      <c r="P224" s="773" t="str">
        <f>iferror(if(vlookup(F224,'Voyage days'!$M$808:$N$819,2,false),"GOA",""),"")</f>
        <v/>
      </c>
      <c r="Q224" s="771">
        <f t="shared" si="81"/>
        <v>46154</v>
      </c>
      <c r="R224" s="771">
        <f t="shared" si="83"/>
        <v>46179</v>
      </c>
      <c r="S224" s="774">
        <f t="shared" si="5"/>
        <v>46169</v>
      </c>
      <c r="T224" s="771">
        <f t="shared" si="6"/>
        <v>46163</v>
      </c>
      <c r="U224" s="771">
        <f t="shared" si="84"/>
        <v>46143</v>
      </c>
      <c r="V224" s="771"/>
      <c r="W224" s="771">
        <f t="shared" si="85"/>
        <v>46142</v>
      </c>
      <c r="X224" s="775">
        <f t="shared" si="9"/>
        <v>46149</v>
      </c>
      <c r="Y224" s="804" t="s">
        <v>1580</v>
      </c>
      <c r="Z224" s="777" t="str">
        <f>vlookup(F224,'2) Tracker'!$A$3:$Q$504,16,false)</f>
        <v>ex DD, ETA 1st port Kaohsiung 21 Apr</v>
      </c>
      <c r="AA224" s="777" t="str">
        <f>vlookup(F224,'2) Tracker'!$A$3:$R$504,18,false)</f>
        <v>BP 14-15 Mar Nederland</v>
      </c>
      <c r="AB224" s="777" t="str">
        <f>vlookup(F224,'2) Tracker'!$A$3:$Q$504,17,false)</f>
        <v/>
      </c>
      <c r="AC224" s="778"/>
      <c r="AD224" s="778">
        <f>VLOOKUP(F224,'2) Tracker'!$A$2:$BO$980,37,FALSE)</f>
        <v>46171</v>
      </c>
      <c r="AE224" s="778">
        <f>VLOOKUP(F224,'2) Tracker'!$A$2:$BO$980,40,FALSE)</f>
        <v>46179</v>
      </c>
      <c r="AF224" s="778" t="str">
        <f>VLOOKUP(F224,'2) Tracker'!$A$2:$BO$980,67,FALSE)</f>
        <v/>
      </c>
      <c r="AG224" s="778">
        <f>VLOOKUP(F224,'2) Tracker'!$A$2:$BO$980,34,FALSE)</f>
        <v>46151</v>
      </c>
      <c r="AH224" s="778" t="str">
        <f>VLOOKUP(F224,'2) Tracker'!$A$2:$BN$980,66,FALSE)</f>
        <v/>
      </c>
      <c r="AI224" s="778">
        <f>VLOOKUP(F224,'2) Tracker'!$A$2:$BO$980,56,FALSE)</f>
        <v>46143</v>
      </c>
      <c r="AJ224" s="778">
        <f>VLOOKUP(F224,'2) Tracker'!$A$2:$BO$980,52,FALSE)</f>
        <v>46142</v>
      </c>
      <c r="AK224" s="778">
        <f>VLOOKUP(F224,'2) Tracker'!$A$2:$AQ$980,43,FALSE)</f>
        <v>46163</v>
      </c>
      <c r="AL224" s="778">
        <f>VLOOKUP(F224,'2) Tracker'!$A$2:$BH$980,46,FALSE())</f>
        <v>46169</v>
      </c>
      <c r="AM224" s="778">
        <f>VLOOKUP(F224,'2) Tracker'!$A$2:$BO$980,65,FALSE())</f>
        <v>46154</v>
      </c>
      <c r="AN224" s="778">
        <f>VLOOKUP(F224,'2) Tracker'!$A$2:$BK$980,63,FALSE())</f>
        <v>46179</v>
      </c>
      <c r="AO224" s="778">
        <f>VLOOKUP(F224,'2) Tracker'!$A$2:$BF$980,58,FALSE())</f>
        <v>46149</v>
      </c>
      <c r="AP224" s="52"/>
      <c r="AQ224" s="52"/>
      <c r="AR224" s="52"/>
      <c r="AS224" s="52"/>
      <c r="AT224" s="52"/>
      <c r="AU224" s="52"/>
      <c r="AV224" s="52"/>
      <c r="AW224" s="52"/>
      <c r="AX224" s="52"/>
      <c r="AY224" s="52"/>
      <c r="AZ224" s="734"/>
      <c r="BA224" s="786" t="str">
        <f>vlookup(AZ224,'Iran, FS'!$A$1:$B$318,2, false)</f>
        <v>#N/A</v>
      </c>
      <c r="BB224" s="787" t="str">
        <f>vlookup(AZ224,'1) Kpler'!$E$2:$F$500,2,false)</f>
        <v>#N/A</v>
      </c>
      <c r="BC224" s="740"/>
      <c r="BD224" s="734"/>
      <c r="BE224" s="52"/>
      <c r="BF224" s="52"/>
      <c r="BG224" s="734"/>
      <c r="BH224" s="734"/>
      <c r="BI224" s="734"/>
      <c r="BJ224" s="734"/>
    </row>
    <row r="225">
      <c r="B225" s="765" t="str">
        <f>vlookup(F225,'2) Tracker'!$A$3:$O$410,5,false)</f>
        <v/>
      </c>
      <c r="C225" s="765" t="str">
        <f>vlookup(F225,'2) Tracker'!$A$3:$O$410,4,false)</f>
        <v/>
      </c>
      <c r="D225" s="734"/>
      <c r="E225" s="734" t="str">
        <f>vlookup(F225,'2) Tracker'!$A$3:$O$406,15,false)</f>
        <v/>
      </c>
      <c r="F225" s="766" t="s">
        <v>490</v>
      </c>
      <c r="G225" s="789">
        <f>VLOOKUP(F225,'2) Tracker'!$A$2:$BO$360,2,FALSE)</f>
        <v>2024</v>
      </c>
      <c r="H225" s="768">
        <f>VLOOKUP(F225,'2) Tracker'!$A$2:$BO$360,3,FALSE)</f>
        <v>91000</v>
      </c>
      <c r="I225" s="769" t="str">
        <f>VLOOKUP(F225,'2) Tracker'!$A$2:$BO$360,9,FALSE)</f>
        <v>BGN</v>
      </c>
      <c r="J225" s="770" t="str">
        <f>VLOOKUP(F225,'2) Tracker'!$A$2:$BO$360,12,FALSE)</f>
        <v>Port Louis laden</v>
      </c>
      <c r="K225" s="771">
        <f t="shared" si="207"/>
        <v>46171</v>
      </c>
      <c r="L225" s="774">
        <f t="shared" ref="L225:O225" si="272">AE225</f>
        <v>46179</v>
      </c>
      <c r="M225" s="771" t="str">
        <f t="shared" si="272"/>
        <v/>
      </c>
      <c r="N225" s="771">
        <f t="shared" si="272"/>
        <v>46151</v>
      </c>
      <c r="O225" s="772" t="str">
        <f t="shared" si="272"/>
        <v/>
      </c>
      <c r="P225" s="773" t="str">
        <f>iferror(if(vlookup(F225,'Voyage days'!$M$808:$N$819,2,false),"GOA",""),"")</f>
        <v/>
      </c>
      <c r="Q225" s="771">
        <f t="shared" si="81"/>
        <v>46126</v>
      </c>
      <c r="R225" s="771">
        <f t="shared" si="83"/>
        <v>46178</v>
      </c>
      <c r="S225" s="774">
        <f t="shared" si="5"/>
        <v>46170</v>
      </c>
      <c r="T225" s="771">
        <f t="shared" si="6"/>
        <v>46162</v>
      </c>
      <c r="U225" s="771">
        <f t="shared" si="84"/>
        <v>46143</v>
      </c>
      <c r="V225" s="771"/>
      <c r="W225" s="771">
        <f t="shared" si="85"/>
        <v>46145</v>
      </c>
      <c r="X225" s="775" t="str">
        <f t="shared" si="9"/>
        <v/>
      </c>
      <c r="Y225" s="770" t="s">
        <v>1581</v>
      </c>
      <c r="Z225" s="777" t="str">
        <f>vlookup(F225,'2) Tracker'!$A$3:$Q$504,16,false)</f>
        <v>ETA Port Louis 13 Apr</v>
      </c>
      <c r="AA225" s="777" t="str">
        <f>vlookup(F225,'2) Tracker'!$A$3:$R$504,18,false)</f>
        <v>BGN 13-14 Mar Nederland?</v>
      </c>
      <c r="AB225" s="777" t="str">
        <f>vlookup(F225,'2) Tracker'!$A$3:$Q$504,17,false)</f>
        <v/>
      </c>
      <c r="AC225" s="778"/>
      <c r="AD225" s="778">
        <f>VLOOKUP(F225,'2) Tracker'!$A$2:$BO$980,37,FALSE)</f>
        <v>46171</v>
      </c>
      <c r="AE225" s="778">
        <f>VLOOKUP(F225,'2) Tracker'!$A$2:$BO$980,40,FALSE)</f>
        <v>46179</v>
      </c>
      <c r="AF225" s="778" t="str">
        <f>VLOOKUP(F225,'2) Tracker'!$A$2:$BO$980,67,FALSE)</f>
        <v/>
      </c>
      <c r="AG225" s="778">
        <f>VLOOKUP(F225,'2) Tracker'!$A$2:$BO$980,34,FALSE)</f>
        <v>46151</v>
      </c>
      <c r="AH225" s="778" t="str">
        <f>VLOOKUP(F225,'2) Tracker'!$A$2:$BN$980,66,FALSE)</f>
        <v/>
      </c>
      <c r="AI225" s="778">
        <f>VLOOKUP(F225,'2) Tracker'!$A$2:$BO$980,56,FALSE)</f>
        <v>46143</v>
      </c>
      <c r="AJ225" s="778">
        <f>VLOOKUP(F225,'2) Tracker'!$A$2:$BO$980,52,FALSE)</f>
        <v>46145</v>
      </c>
      <c r="AK225" s="778">
        <f>VLOOKUP(F225,'2) Tracker'!$A$2:$AQ$980,43,FALSE)</f>
        <v>46162</v>
      </c>
      <c r="AL225" s="778">
        <f>VLOOKUP(F225,'2) Tracker'!$A$2:$BH$980,46,FALSE())</f>
        <v>46170</v>
      </c>
      <c r="AM225" s="778">
        <f>VLOOKUP(F225,'2) Tracker'!$A$2:$BO$980,65,FALSE())</f>
        <v>46126</v>
      </c>
      <c r="AN225" s="778">
        <f>VLOOKUP(F225,'2) Tracker'!$A$2:$BK$980,63,FALSE())</f>
        <v>46178</v>
      </c>
      <c r="AO225" s="778" t="str">
        <f>VLOOKUP(F225,'2) Tracker'!$A$2:$BF$980,58,FALSE())</f>
        <v/>
      </c>
      <c r="AP225" s="52"/>
      <c r="AQ225" s="52"/>
      <c r="AR225" s="52"/>
      <c r="AS225" s="52"/>
      <c r="AT225" s="52"/>
      <c r="AU225" s="52"/>
      <c r="AV225" s="52"/>
      <c r="AW225" s="52"/>
      <c r="AX225" s="52"/>
      <c r="AY225" s="52"/>
      <c r="AZ225" s="734"/>
      <c r="BA225" s="786" t="str">
        <f>vlookup(AZ225,'Iran, FS'!$A$1:$B$318,2, false)</f>
        <v>#N/A</v>
      </c>
      <c r="BB225" s="787" t="str">
        <f>vlookup(AZ225,'1) Kpler'!$E$2:$F$500,2,false)</f>
        <v>#N/A</v>
      </c>
      <c r="BC225" s="740"/>
      <c r="BD225" s="734"/>
      <c r="BE225" s="52"/>
      <c r="BF225" s="52"/>
      <c r="BG225" s="734"/>
      <c r="BH225" s="734"/>
      <c r="BI225" s="734"/>
      <c r="BJ225" s="734"/>
    </row>
    <row r="226">
      <c r="B226" s="765" t="str">
        <f>vlookup(F226,'2) Tracker'!$A$3:$O$410,5,false)</f>
        <v/>
      </c>
      <c r="C226" s="765" t="str">
        <f>vlookup(F226,'2) Tracker'!$A$3:$O$410,4,false)</f>
        <v/>
      </c>
      <c r="D226" s="734"/>
      <c r="E226" s="734" t="str">
        <f>vlookup(F226,'2) Tracker'!$A$3:$O$406,15,false)</f>
        <v/>
      </c>
      <c r="F226" s="788" t="s">
        <v>458</v>
      </c>
      <c r="G226" s="783">
        <f>VLOOKUP(F226,'2) Tracker'!$A$2:$BO$360,2,FALSE)</f>
        <v>42249</v>
      </c>
      <c r="H226" s="768">
        <f>VLOOKUP(F226,'2) Tracker'!$A$2:$BO$360,3,FALSE)</f>
        <v>84000</v>
      </c>
      <c r="I226" s="770" t="str">
        <f>VLOOKUP(F226,'2) Tracker'!$A$2:$BO$360,9,FALSE)</f>
        <v>Shell</v>
      </c>
      <c r="J226" s="770" t="str">
        <f>VLOOKUP(F226,'2) Tracker'!$A$2:$BO$360,12,FALSE)</f>
        <v>Indo</v>
      </c>
      <c r="K226" s="771">
        <f t="shared" si="207"/>
        <v>46172</v>
      </c>
      <c r="L226" s="771">
        <f t="shared" ref="L226:O226" si="273">AE226</f>
        <v>46170</v>
      </c>
      <c r="M226" s="771" t="str">
        <f t="shared" si="273"/>
        <v/>
      </c>
      <c r="N226" s="771">
        <f t="shared" si="273"/>
        <v>46144</v>
      </c>
      <c r="O226" s="772" t="str">
        <f t="shared" si="273"/>
        <v/>
      </c>
      <c r="P226" s="773" t="str">
        <f>iferror(if(vlookup(F226,'Voyage days'!$M$808:$N$819,2,false),"GOA",""),"")</f>
        <v/>
      </c>
      <c r="Q226" s="771">
        <f t="shared" si="81"/>
        <v>46147</v>
      </c>
      <c r="R226" s="774">
        <f t="shared" si="83"/>
        <v>46170</v>
      </c>
      <c r="S226" s="774">
        <f t="shared" si="5"/>
        <v>46162</v>
      </c>
      <c r="T226" s="771">
        <f t="shared" si="6"/>
        <v>46153</v>
      </c>
      <c r="U226" s="774">
        <f t="shared" si="84"/>
        <v>46137</v>
      </c>
      <c r="V226" s="771"/>
      <c r="W226" s="771">
        <f t="shared" si="85"/>
        <v>46137</v>
      </c>
      <c r="X226" s="775" t="str">
        <f t="shared" si="9"/>
        <v/>
      </c>
      <c r="Y226" s="776"/>
      <c r="Z226" s="777" t="str">
        <f>vlookup(F226,'2) Tracker'!$A$3:$Q$504,16,false)</f>
        <v>ETA Prelude 14 Apr</v>
      </c>
      <c r="AA226" s="777" t="str">
        <f>vlookup(F226,'2) Tracker'!$A$3:$R$504,18,false)</f>
        <v>Shell 14-15 Apr Prelude</v>
      </c>
      <c r="AB226" s="777" t="str">
        <f>vlookup(F226,'2) Tracker'!$A$3:$Q$504,17,false)</f>
        <v/>
      </c>
      <c r="AC226" s="778"/>
      <c r="AD226" s="778">
        <f>VLOOKUP(F226,'2) Tracker'!$A$2:$BO$980,37,FALSE)</f>
        <v>46172</v>
      </c>
      <c r="AE226" s="778">
        <f>VLOOKUP(F226,'2) Tracker'!$A$2:$BO$980,40,FALSE)</f>
        <v>46170</v>
      </c>
      <c r="AF226" s="778" t="str">
        <f>VLOOKUP(F226,'2) Tracker'!$A$2:$BO$980,67,FALSE)</f>
        <v/>
      </c>
      <c r="AG226" s="778">
        <f>VLOOKUP(F226,'2) Tracker'!$A$2:$BO$980,34,FALSE)</f>
        <v>46144</v>
      </c>
      <c r="AH226" s="778" t="str">
        <f>VLOOKUP(F226,'2) Tracker'!$A$2:$BN$980,66,FALSE)</f>
        <v/>
      </c>
      <c r="AI226" s="778">
        <f>VLOOKUP(F226,'2) Tracker'!$A$2:$BO$980,56,FALSE)</f>
        <v>46137</v>
      </c>
      <c r="AJ226" s="778">
        <f>VLOOKUP(F226,'2) Tracker'!$A$2:$BO$980,52,FALSE)</f>
        <v>46137</v>
      </c>
      <c r="AK226" s="778">
        <f>VLOOKUP(F226,'2) Tracker'!$A$2:$AQ$980,43,FALSE)</f>
        <v>46153</v>
      </c>
      <c r="AL226" s="778">
        <f>VLOOKUP(F226,'2) Tracker'!$A$2:$BH$980,46,FALSE())</f>
        <v>46162</v>
      </c>
      <c r="AM226" s="778">
        <f>VLOOKUP(F226,'2) Tracker'!$A$2:$BO$980,65,FALSE())</f>
        <v>46147</v>
      </c>
      <c r="AN226" s="778">
        <f>VLOOKUP(F226,'2) Tracker'!$A$2:$BK$980,63,FALSE())</f>
        <v>46170</v>
      </c>
      <c r="AO226" s="778" t="str">
        <f>VLOOKUP(F226,'2) Tracker'!$A$2:$BF$980,58,FALSE())</f>
        <v/>
      </c>
      <c r="AP226" s="52"/>
      <c r="AQ226" s="52"/>
      <c r="AR226" s="52"/>
      <c r="AS226" s="52"/>
      <c r="AT226" s="52"/>
      <c r="AU226" s="52"/>
      <c r="AV226" s="52"/>
      <c r="AW226" s="52"/>
      <c r="AX226" s="52"/>
      <c r="AY226" s="52"/>
      <c r="AZ226" s="734"/>
      <c r="BA226" s="786" t="str">
        <f>vlookup(AZ226,'Iran, FS'!$A$1:$B$318,2, false)</f>
        <v>#N/A</v>
      </c>
      <c r="BB226" s="787" t="str">
        <f>vlookup(AZ226,'1) Kpler'!$E$2:$F$500,2,false)</f>
        <v>#N/A</v>
      </c>
      <c r="BC226" s="740"/>
      <c r="BD226" s="734"/>
      <c r="BE226" s="52"/>
      <c r="BF226" s="52"/>
      <c r="BG226" s="734"/>
      <c r="BH226" s="734"/>
      <c r="BI226" s="734"/>
      <c r="BJ226" s="734"/>
    </row>
    <row r="227">
      <c r="B227" s="765" t="str">
        <f>vlookup(F227,'2) Tracker'!$A$3:$O$410,5,false)</f>
        <v/>
      </c>
      <c r="C227" s="765" t="str">
        <f>vlookup(F227,'2) Tracker'!$A$3:$O$410,4,false)</f>
        <v>US</v>
      </c>
      <c r="D227" s="734"/>
      <c r="E227" s="734" t="str">
        <f>vlookup(F227,'2) Tracker'!$A$3:$O$406,15,false)</f>
        <v/>
      </c>
      <c r="F227" s="740" t="s">
        <v>192</v>
      </c>
      <c r="G227" s="783">
        <f>VLOOKUP(F227,'2) Tracker'!$A$2:$BO$360,2,FALSE)</f>
        <v>42277</v>
      </c>
      <c r="H227" s="768">
        <f>VLOOKUP(F227,'2) Tracker'!$A$2:$BO$360,3,FALSE)</f>
        <v>84000</v>
      </c>
      <c r="I227" s="770" t="str">
        <f>VLOOKUP(F227,'2) Tracker'!$A$2:$BO$360,9,FALSE)</f>
        <v>Helios</v>
      </c>
      <c r="J227" s="770" t="str">
        <f>VLOOKUP(F227,'2) Tracker'!$A$2:$BO$360,12,FALSE)</f>
        <v>loads USG</v>
      </c>
      <c r="K227" s="771">
        <f t="shared" si="207"/>
        <v>46172</v>
      </c>
      <c r="L227" s="771">
        <f t="shared" ref="L227:O227" si="274">AE227</f>
        <v>46172</v>
      </c>
      <c r="M227" s="771">
        <f t="shared" si="274"/>
        <v>46204</v>
      </c>
      <c r="N227" s="771" t="str">
        <f t="shared" si="274"/>
        <v/>
      </c>
      <c r="O227" s="772" t="str">
        <f t="shared" si="274"/>
        <v/>
      </c>
      <c r="P227" s="773" t="str">
        <f>iferror(if(vlookup(F227,'Voyage days'!$M$808:$N$819,2,false),"GOA",""),"")</f>
        <v/>
      </c>
      <c r="Q227" s="771" t="str">
        <f t="shared" si="81"/>
        <v/>
      </c>
      <c r="R227" s="771" t="str">
        <f t="shared" si="83"/>
        <v/>
      </c>
      <c r="S227" s="774">
        <f t="shared" si="5"/>
        <v>46192</v>
      </c>
      <c r="T227" s="771" t="str">
        <f t="shared" si="6"/>
        <v/>
      </c>
      <c r="U227" s="771" t="str">
        <f t="shared" si="84"/>
        <v/>
      </c>
      <c r="V227" s="771"/>
      <c r="W227" s="771" t="str">
        <f t="shared" si="85"/>
        <v/>
      </c>
      <c r="X227" s="775" t="str">
        <f t="shared" si="9"/>
        <v/>
      </c>
      <c r="Y227" s="776"/>
      <c r="Z227" s="777" t="str">
        <f>vlookup(F227,'2) Tracker'!$A$3:$Q$504,16,false)</f>
        <v>ETA 1st port Chiba 22 Apr</v>
      </c>
      <c r="AA227" s="777" t="str">
        <f>vlookup(F227,'2) Tracker'!$A$3:$R$504,18,false)</f>
        <v>AXPO 30-31 May USG</v>
      </c>
      <c r="AB227" s="777" t="str">
        <f>vlookup(F227,'2) Tracker'!$A$3:$Q$504,17,false)</f>
        <v/>
      </c>
      <c r="AC227" s="778"/>
      <c r="AD227" s="778">
        <f>VLOOKUP(F227,'2) Tracker'!$A$2:$BO$980,37,FALSE)</f>
        <v>46172</v>
      </c>
      <c r="AE227" s="778">
        <f>VLOOKUP(F227,'2) Tracker'!$A$2:$BO$980,40,FALSE)</f>
        <v>46172</v>
      </c>
      <c r="AF227" s="778">
        <f>VLOOKUP(F227,'2) Tracker'!$A$2:$BO$980,67,FALSE)</f>
        <v>46204</v>
      </c>
      <c r="AG227" s="778" t="str">
        <f>VLOOKUP(F227,'2) Tracker'!$A$2:$BO$980,34,FALSE)</f>
        <v/>
      </c>
      <c r="AH227" s="778" t="str">
        <f>VLOOKUP(F227,'2) Tracker'!$A$2:$BN$980,66,FALSE)</f>
        <v/>
      </c>
      <c r="AI227" s="778" t="str">
        <f>VLOOKUP(F227,'2) Tracker'!$A$2:$BO$980,56,FALSE)</f>
        <v/>
      </c>
      <c r="AJ227" s="778" t="str">
        <f>VLOOKUP(F227,'2) Tracker'!$A$2:$BO$980,52,FALSE)</f>
        <v/>
      </c>
      <c r="AK227" s="778" t="str">
        <f>VLOOKUP(F227,'2) Tracker'!$A$2:$AQ$980,43,FALSE)</f>
        <v/>
      </c>
      <c r="AL227" s="778">
        <f>VLOOKUP(F227,'2) Tracker'!$A$2:$BH$980,46,FALSE())</f>
        <v>46192</v>
      </c>
      <c r="AM227" s="778" t="str">
        <f>VLOOKUP(F227,'2) Tracker'!$A$2:$BO$980,65,FALSE())</f>
        <v/>
      </c>
      <c r="AN227" s="778" t="str">
        <f>VLOOKUP(F227,'2) Tracker'!$A$2:$BK$980,63,FALSE())</f>
        <v/>
      </c>
      <c r="AO227" s="778" t="str">
        <f>VLOOKUP(F227,'2) Tracker'!$A$2:$BF$980,58,FALSE())</f>
        <v/>
      </c>
      <c r="AP227" s="52"/>
      <c r="AQ227" s="52"/>
      <c r="AR227" s="52"/>
      <c r="AS227" s="52"/>
      <c r="AT227" s="52"/>
      <c r="AU227" s="52"/>
      <c r="AV227" s="52"/>
      <c r="AW227" s="52"/>
      <c r="AX227" s="52"/>
      <c r="AY227" s="52"/>
      <c r="AZ227" s="734"/>
      <c r="BA227" s="786" t="str">
        <f>vlookup(AZ227,'Iran, FS'!$A$1:$B$318,2, false)</f>
        <v>#N/A</v>
      </c>
      <c r="BB227" s="787" t="str">
        <f>vlookup(AZ227,'1) Kpler'!$E$2:$F$500,2,false)</f>
        <v>#N/A</v>
      </c>
      <c r="BC227" s="740"/>
      <c r="BD227" s="734"/>
      <c r="BE227" s="52"/>
      <c r="BF227" s="52"/>
      <c r="BG227" s="734"/>
      <c r="BH227" s="734"/>
      <c r="BI227" s="734"/>
      <c r="BJ227" s="734"/>
    </row>
    <row r="228">
      <c r="B228" s="765"/>
      <c r="C228" s="765"/>
      <c r="D228" s="734"/>
      <c r="E228" s="734"/>
      <c r="F228" s="776" t="s">
        <v>424</v>
      </c>
      <c r="G228" s="732">
        <v>2026.0</v>
      </c>
      <c r="H228" s="826">
        <v>86700.0</v>
      </c>
      <c r="I228" s="777" t="str">
        <f>VLOOKUP(F228,'2) Tracker'!$A$2:$BO$360,9,FALSE)</f>
        <v>BGN</v>
      </c>
      <c r="J228" s="770" t="str">
        <f>VLOOKUP(F228,'2) Tracker'!$A$2:$BO$360,12,FALSE)</f>
        <v>Indo</v>
      </c>
      <c r="K228" s="771">
        <f t="shared" si="207"/>
        <v>46172</v>
      </c>
      <c r="L228" s="827"/>
      <c r="N228" s="771">
        <f t="shared" ref="N228:O228" si="275">AG228</f>
        <v>46144</v>
      </c>
      <c r="O228" s="772" t="str">
        <f t="shared" si="275"/>
        <v/>
      </c>
      <c r="P228" s="773" t="str">
        <f>iferror(if(vlookup(F228,'Voyage days'!$M$808:$N$819,2,false),"GOA",""),"")</f>
        <v/>
      </c>
      <c r="Q228" s="771">
        <f t="shared" si="81"/>
        <v>46147</v>
      </c>
      <c r="R228" s="774">
        <f t="shared" si="83"/>
        <v>46170</v>
      </c>
      <c r="S228" s="774">
        <f t="shared" si="5"/>
        <v>46162</v>
      </c>
      <c r="T228" s="771">
        <f t="shared" si="6"/>
        <v>46153</v>
      </c>
      <c r="U228" s="774">
        <f t="shared" si="84"/>
        <v>46137</v>
      </c>
      <c r="V228" s="802"/>
      <c r="W228" s="802">
        <f t="shared" si="85"/>
        <v>46137</v>
      </c>
      <c r="X228" s="775" t="str">
        <f t="shared" si="9"/>
        <v/>
      </c>
      <c r="Y228" s="776"/>
      <c r="Z228" s="777" t="str">
        <f>vlookup(F228,'2) Tracker'!$A$3:$Q$504,16,false)</f>
        <v>ETA indo 17 Apr</v>
      </c>
      <c r="AA228" s="777" t="str">
        <f>vlookup(F228,'2) Tracker'!$A$3:$R$504,18,false)</f>
        <v>BGN 22-23 Mar Nederland</v>
      </c>
      <c r="AB228" s="777" t="str">
        <f>vlookup(F228,'2) Tracker'!$A$3:$Q$504,17,false)</f>
        <v/>
      </c>
      <c r="AC228" s="778"/>
      <c r="AD228" s="778">
        <f>VLOOKUP(F228,'2) Tracker'!$A$2:$BO$980,37,FALSE)</f>
        <v>46172</v>
      </c>
      <c r="AE228" s="778">
        <f>VLOOKUP(F228,'2) Tracker'!$A$2:$BO$980,40,FALSE)</f>
        <v>46170</v>
      </c>
      <c r="AF228" s="778" t="str">
        <f>VLOOKUP(F228,'2) Tracker'!$A$2:$BO$980,67,FALSE)</f>
        <v/>
      </c>
      <c r="AG228" s="778">
        <f>VLOOKUP(F228,'2) Tracker'!$A$2:$BO$980,34,FALSE)</f>
        <v>46144</v>
      </c>
      <c r="AH228" s="778" t="str">
        <f>VLOOKUP(F228,'2) Tracker'!$A$2:$BN$980,66,FALSE)</f>
        <v/>
      </c>
      <c r="AI228" s="778">
        <f>VLOOKUP(F228,'2) Tracker'!$A$2:$BO$980,56,FALSE)</f>
        <v>46137</v>
      </c>
      <c r="AJ228" s="778">
        <f>VLOOKUP(F228,'2) Tracker'!$A$2:$BO$980,52,FALSE)</f>
        <v>46137</v>
      </c>
      <c r="AK228" s="778">
        <f>VLOOKUP(F228,'2) Tracker'!$A$2:$AQ$980,43,FALSE)</f>
        <v>46153</v>
      </c>
      <c r="AL228" s="778">
        <f>VLOOKUP(F228,'2) Tracker'!$A$2:$BH$980,46,FALSE())</f>
        <v>46162</v>
      </c>
      <c r="AM228" s="778">
        <f>VLOOKUP(F228,'2) Tracker'!$A$2:$BO$980,65,FALSE())</f>
        <v>46147</v>
      </c>
      <c r="AN228" s="778">
        <f>VLOOKUP(F228,'2) Tracker'!$A$2:$BK$980,63,FALSE())</f>
        <v>46170</v>
      </c>
      <c r="AO228" s="778" t="str">
        <f>VLOOKUP(F228,'2) Tracker'!$A$2:$BF$980,58,FALSE())</f>
        <v/>
      </c>
      <c r="AP228" s="52"/>
      <c r="AQ228" s="52"/>
      <c r="AR228" s="52"/>
      <c r="AS228" s="52"/>
      <c r="AT228" s="52"/>
      <c r="AU228" s="52"/>
      <c r="AV228" s="52"/>
      <c r="AW228" s="52"/>
      <c r="AX228" s="52"/>
      <c r="AY228" s="52"/>
      <c r="AZ228" s="787"/>
      <c r="BA228" s="786" t="str">
        <f>vlookup(AZ228,'Iran, FS'!$A$1:$B$318,2, false)</f>
        <v>#N/A</v>
      </c>
      <c r="BB228" s="787" t="str">
        <f>vlookup(AZ228,'1) Kpler'!$E$2:$F$500,2,false)</f>
        <v>#N/A</v>
      </c>
      <c r="BC228" s="788"/>
      <c r="BD228" s="787"/>
      <c r="BE228" s="52"/>
      <c r="BF228" s="52"/>
      <c r="BG228" s="787"/>
      <c r="BH228" s="787"/>
      <c r="BI228" s="787"/>
      <c r="BJ228" s="787"/>
    </row>
    <row r="229">
      <c r="B229" s="765" t="str">
        <f>vlookup(F229,'2) Tracker'!$A$3:$O$410,5,false)</f>
        <v/>
      </c>
      <c r="C229" s="765" t="str">
        <f>vlookup(F229,'2) Tracker'!$A$3:$O$410,4,false)</f>
        <v/>
      </c>
      <c r="D229" s="732" t="s">
        <v>1515</v>
      </c>
      <c r="E229" s="734" t="str">
        <f>vlookup(F229,'2) Tracker'!$A$3:$O$406,15,false)</f>
        <v/>
      </c>
      <c r="F229" s="797" t="s">
        <v>288</v>
      </c>
      <c r="G229" s="789">
        <f>VLOOKUP(F229,'2) Tracker'!$A$2:$BO$360,2,FALSE)</f>
        <v>2021</v>
      </c>
      <c r="H229" s="768">
        <f>VLOOKUP(F229,'2) Tracker'!$A$2:$BO$360,3,FALSE)</f>
        <v>80421</v>
      </c>
      <c r="I229" s="777" t="str">
        <f>VLOOKUP(F229,'2) Tracker'!$A$2:$BO$360,9,FALSE)</f>
        <v>BWPS</v>
      </c>
      <c r="J229" s="770" t="str">
        <f>VLOOKUP(F229,'2) Tracker'!$A$2:$BO$360,12,FALSE)</f>
        <v>Vietnam</v>
      </c>
      <c r="K229" s="774">
        <f t="shared" si="207"/>
        <v>46173</v>
      </c>
      <c r="L229" s="774">
        <f t="shared" ref="L229:O229" si="276">AE229</f>
        <v>46175</v>
      </c>
      <c r="M229" s="771" t="str">
        <f t="shared" si="276"/>
        <v/>
      </c>
      <c r="N229" s="772">
        <f t="shared" si="276"/>
        <v>46149</v>
      </c>
      <c r="O229" s="772" t="str">
        <f t="shared" si="276"/>
        <v/>
      </c>
      <c r="P229" s="773" t="str">
        <f>iferror(if(vlookup(F229,'Voyage days'!$M$808:$N$819,2,false),"GOA",""),"")</f>
        <v/>
      </c>
      <c r="Q229" s="771">
        <f t="shared" si="81"/>
        <v>46151</v>
      </c>
      <c r="R229" s="774">
        <f t="shared" si="83"/>
        <v>46176</v>
      </c>
      <c r="S229" s="774">
        <f t="shared" si="5"/>
        <v>46166</v>
      </c>
      <c r="T229" s="771">
        <f t="shared" si="6"/>
        <v>46160</v>
      </c>
      <c r="U229" s="774">
        <f t="shared" si="84"/>
        <v>46139</v>
      </c>
      <c r="V229" s="771"/>
      <c r="W229" s="771">
        <f t="shared" si="85"/>
        <v>46142.25</v>
      </c>
      <c r="X229" s="775" t="str">
        <f t="shared" si="9"/>
        <v/>
      </c>
      <c r="Y229" s="776"/>
      <c r="Z229" s="777" t="str">
        <f>vlookup(F229,'2) Tracker'!$A$3:$Q$504,16,false)</f>
        <v>ETA Vung Tau 21 Apr</v>
      </c>
      <c r="AA229" s="777" t="str">
        <f>vlookup(F229,'2) Tracker'!$A$3:$R$504,18,false)</f>
        <v>BWPS 15-16 Mar Targa</v>
      </c>
      <c r="AB229" s="777" t="str">
        <f>vlookup(F229,'2) Tracker'!$A$3:$Q$504,17,false)</f>
        <v/>
      </c>
      <c r="AC229" s="778"/>
      <c r="AD229" s="778">
        <f>VLOOKUP(F229,'2) Tracker'!$A$2:$BO$980,37,FALSE)</f>
        <v>46173</v>
      </c>
      <c r="AE229" s="778">
        <f>VLOOKUP(F229,'2) Tracker'!$A$2:$BO$980,40,FALSE)</f>
        <v>46175</v>
      </c>
      <c r="AF229" s="778" t="str">
        <f>VLOOKUP(F229,'2) Tracker'!$A$2:$BO$980,67,FALSE)</f>
        <v/>
      </c>
      <c r="AG229" s="778">
        <f>VLOOKUP(F229,'2) Tracker'!$A$2:$BO$980,34,FALSE)</f>
        <v>46149</v>
      </c>
      <c r="AH229" s="778" t="str">
        <f>VLOOKUP(F229,'2) Tracker'!$A$2:$BN$980,66,FALSE)</f>
        <v/>
      </c>
      <c r="AI229" s="778">
        <f>VLOOKUP(F229,'2) Tracker'!$A$2:$BO$980,56,FALSE)</f>
        <v>46139</v>
      </c>
      <c r="AJ229" s="778">
        <f>VLOOKUP(F229,'2) Tracker'!$A$2:$BO$980,52,FALSE)</f>
        <v>46142.25</v>
      </c>
      <c r="AK229" s="778">
        <f>VLOOKUP(F229,'2) Tracker'!$A$2:$AQ$980,43,FALSE)</f>
        <v>46160</v>
      </c>
      <c r="AL229" s="778">
        <f>VLOOKUP(F229,'2) Tracker'!$A$2:$BH$980,46,FALSE())</f>
        <v>46166</v>
      </c>
      <c r="AM229" s="778">
        <f>VLOOKUP(F229,'2) Tracker'!$A$2:$BO$980,65,FALSE())</f>
        <v>46151</v>
      </c>
      <c r="AN229" s="778">
        <f>VLOOKUP(F229,'2) Tracker'!$A$2:$BK$980,63,FALSE())</f>
        <v>46176</v>
      </c>
      <c r="AO229" s="778" t="str">
        <f>VLOOKUP(F229,'2) Tracker'!$A$2:$BF$980,58,FALSE())</f>
        <v/>
      </c>
      <c r="AP229" s="52"/>
      <c r="AQ229" s="52"/>
      <c r="AR229" s="52"/>
      <c r="AS229" s="52"/>
      <c r="AT229" s="52"/>
      <c r="AU229" s="52"/>
      <c r="AV229" s="52"/>
      <c r="AW229" s="52"/>
      <c r="AX229" s="52"/>
      <c r="AY229" s="52"/>
      <c r="AZ229" s="734"/>
      <c r="BA229" s="786" t="str">
        <f>vlookup(AZ229,'Iran, FS'!$A$1:$B$318,2, false)</f>
        <v>#N/A</v>
      </c>
      <c r="BB229" s="787" t="str">
        <f>vlookup(AZ229,'1) Kpler'!$E$2:$F$500,2,false)</f>
        <v>#N/A</v>
      </c>
      <c r="BC229" s="740"/>
      <c r="BD229" s="734"/>
      <c r="BE229" s="52"/>
      <c r="BF229" s="52"/>
      <c r="BG229" s="734"/>
      <c r="BH229" s="734"/>
      <c r="BI229" s="734"/>
      <c r="BJ229" s="734"/>
    </row>
    <row r="230">
      <c r="B230" s="765" t="str">
        <f>vlookup(F230,'2) Tracker'!$A$3:$O$410,5,false)</f>
        <v/>
      </c>
      <c r="C230" s="765" t="str">
        <f>vlookup(F230,'2) Tracker'!$A$3:$O$410,4,false)</f>
        <v>US</v>
      </c>
      <c r="D230" s="734"/>
      <c r="E230" s="734" t="str">
        <f>vlookup(F230,'2) Tracker'!$A$3:$O$406,15,false)</f>
        <v/>
      </c>
      <c r="F230" s="740" t="s">
        <v>185</v>
      </c>
      <c r="G230" s="783">
        <f>VLOOKUP(F230,'2) Tracker'!$A$2:$BO$360,2,FALSE)</f>
        <v>42181</v>
      </c>
      <c r="H230" s="768">
        <f>VLOOKUP(F230,'2) Tracker'!$A$2:$BO$360,3,FALSE)</f>
        <v>84000</v>
      </c>
      <c r="I230" s="770" t="str">
        <f>VLOOKUP(F230,'2) Tracker'!$A$2:$BO$360,9,FALSE)</f>
        <v>Helios</v>
      </c>
      <c r="J230" s="770" t="str">
        <f>VLOOKUP(F230,'2) Tracker'!$A$2:$BO$360,12,FALSE)</f>
        <v>Japan</v>
      </c>
      <c r="K230" s="771">
        <f t="shared" si="207"/>
        <v>46173</v>
      </c>
      <c r="L230" s="771">
        <f t="shared" ref="L230:O230" si="277">AE230</f>
        <v>46183</v>
      </c>
      <c r="M230" s="771" t="str">
        <f t="shared" si="277"/>
        <v/>
      </c>
      <c r="N230" s="771">
        <f t="shared" si="277"/>
        <v>46159</v>
      </c>
      <c r="O230" s="772" t="str">
        <f t="shared" si="277"/>
        <v/>
      </c>
      <c r="P230" s="773" t="str">
        <f>iferror(if(vlookup(F230,'Voyage days'!$M$808:$N$819,2,false),"GOA",""),"")</f>
        <v/>
      </c>
      <c r="Q230" s="771">
        <f t="shared" si="81"/>
        <v>46162</v>
      </c>
      <c r="R230" s="774">
        <f t="shared" si="83"/>
        <v>46187</v>
      </c>
      <c r="S230" s="774">
        <f t="shared" si="5"/>
        <v>46177</v>
      </c>
      <c r="T230" s="774">
        <f t="shared" si="6"/>
        <v>46171</v>
      </c>
      <c r="U230" s="774">
        <f t="shared" si="84"/>
        <v>46150</v>
      </c>
      <c r="V230" s="774"/>
      <c r="W230" s="774">
        <f t="shared" si="85"/>
        <v>46149.25</v>
      </c>
      <c r="X230" s="775">
        <f t="shared" si="9"/>
        <v>46152</v>
      </c>
      <c r="Y230" s="784"/>
      <c r="Z230" s="777" t="str">
        <f>vlookup(F230,'2) Tracker'!$A$3:$Q$504,16,false)</f>
        <v>ETA 1st port Chiba 23 Apr</v>
      </c>
      <c r="AA230" s="777" t="str">
        <f>vlookup(F230,'2) Tracker'!$A$3:$R$504,18,false)</f>
        <v>? 23 Mar Nederland</v>
      </c>
      <c r="AB230" s="777" t="str">
        <f>vlookup(F230,'2) Tracker'!$A$3:$Q$504,17,false)</f>
        <v/>
      </c>
      <c r="AC230" s="778"/>
      <c r="AD230" s="778">
        <f>VLOOKUP(F230,'2) Tracker'!$A$2:$BO$980,37,FALSE)</f>
        <v>46173</v>
      </c>
      <c r="AE230" s="778">
        <f>VLOOKUP(F230,'2) Tracker'!$A$2:$BO$980,40,FALSE)</f>
        <v>46183</v>
      </c>
      <c r="AF230" s="778" t="str">
        <f>VLOOKUP(F230,'2) Tracker'!$A$2:$BO$980,67,FALSE)</f>
        <v/>
      </c>
      <c r="AG230" s="778">
        <f>VLOOKUP(F230,'2) Tracker'!$A$2:$BO$980,34,FALSE)</f>
        <v>46159</v>
      </c>
      <c r="AH230" s="778" t="str">
        <f>VLOOKUP(F230,'2) Tracker'!$A$2:$BN$980,66,FALSE)</f>
        <v/>
      </c>
      <c r="AI230" s="778">
        <f>VLOOKUP(F230,'2) Tracker'!$A$2:$BO$980,56,FALSE)</f>
        <v>46150</v>
      </c>
      <c r="AJ230" s="778">
        <f>VLOOKUP(F230,'2) Tracker'!$A$2:$BO$980,52,FALSE)</f>
        <v>46149.25</v>
      </c>
      <c r="AK230" s="778">
        <f>VLOOKUP(F230,'2) Tracker'!$A$2:$AQ$980,43,FALSE)</f>
        <v>46171</v>
      </c>
      <c r="AL230" s="778">
        <f>VLOOKUP(F230,'2) Tracker'!$A$2:$BH$980,46,FALSE())</f>
        <v>46177</v>
      </c>
      <c r="AM230" s="778">
        <f>VLOOKUP(F230,'2) Tracker'!$A$2:$BO$980,65,FALSE())</f>
        <v>46162</v>
      </c>
      <c r="AN230" s="778">
        <f>VLOOKUP(F230,'2) Tracker'!$A$2:$BK$980,63,FALSE())</f>
        <v>46187</v>
      </c>
      <c r="AO230" s="778">
        <f>VLOOKUP(F230,'2) Tracker'!$A$2:$BF$980,58,FALSE())</f>
        <v>46152</v>
      </c>
      <c r="AP230" s="52"/>
      <c r="AQ230" s="52"/>
      <c r="AR230" s="52"/>
      <c r="AS230" s="52"/>
      <c r="AT230" s="52"/>
      <c r="AU230" s="52"/>
      <c r="AV230" s="52"/>
      <c r="AW230" s="52"/>
      <c r="AX230" s="52"/>
      <c r="AY230" s="52"/>
      <c r="AZ230" s="734"/>
      <c r="BA230" s="786" t="str">
        <f>vlookup(AZ230,'Iran, FS'!$A$1:$B$318,2, false)</f>
        <v>#N/A</v>
      </c>
      <c r="BB230" s="787" t="str">
        <f>vlookup(AZ230,'1) Kpler'!$E$2:$F$500,2,false)</f>
        <v>#N/A</v>
      </c>
      <c r="BC230" s="740"/>
      <c r="BD230" s="734"/>
      <c r="BE230" s="52"/>
      <c r="BF230" s="52"/>
      <c r="BG230" s="734"/>
      <c r="BH230" s="734"/>
      <c r="BI230" s="734"/>
      <c r="BJ230" s="734"/>
    </row>
    <row r="231">
      <c r="B231" s="765" t="str">
        <f>vlookup(F231,'2) Tracker'!$A$3:$O$410,5,false)</f>
        <v/>
      </c>
      <c r="C231" s="765" t="str">
        <f>vlookup(F231,'2) Tracker'!$A$3:$O$410,4,false)</f>
        <v/>
      </c>
      <c r="D231" s="734"/>
      <c r="E231" s="734" t="str">
        <f>vlookup(F231,'2) Tracker'!$A$3:$O$406,15,false)</f>
        <v/>
      </c>
      <c r="F231" s="740" t="s">
        <v>351</v>
      </c>
      <c r="G231" s="805">
        <f>VLOOKUP(F231,'2) Tracker'!$A$2:$BO$360,2,FALSE)</f>
        <v>2023</v>
      </c>
      <c r="H231" s="768">
        <f>VLOOKUP(F231,'2) Tracker'!$A$2:$BO$360,3,FALSE)</f>
        <v>86000</v>
      </c>
      <c r="I231" s="777" t="str">
        <f>VLOOKUP(F231,'2) Tracker'!$A$2:$BO$360,9,FALSE)</f>
        <v>Trafigura</v>
      </c>
      <c r="J231" s="770" t="str">
        <f>VLOOKUP(F231,'2) Tracker'!$A$2:$BO$360,12,FALSE)</f>
        <v>East China</v>
      </c>
      <c r="K231" s="774">
        <f t="shared" si="207"/>
        <v>46173</v>
      </c>
      <c r="L231" s="774">
        <f t="shared" ref="L231:O231" si="278">AE231</f>
        <v>46184</v>
      </c>
      <c r="M231" s="771" t="str">
        <f t="shared" si="278"/>
        <v/>
      </c>
      <c r="N231" s="771">
        <f t="shared" si="278"/>
        <v>46157</v>
      </c>
      <c r="O231" s="772" t="str">
        <f t="shared" si="278"/>
        <v/>
      </c>
      <c r="P231" s="773" t="str">
        <f>iferror(if(vlookup(F231,'Voyage days'!$M$808:$N$819,2,false),"GOA",""),"")</f>
        <v/>
      </c>
      <c r="Q231" s="771">
        <f t="shared" si="81"/>
        <v>46160</v>
      </c>
      <c r="R231" s="771">
        <f t="shared" si="83"/>
        <v>46184</v>
      </c>
      <c r="S231" s="774">
        <f t="shared" si="5"/>
        <v>46175</v>
      </c>
      <c r="T231" s="771">
        <f t="shared" si="6"/>
        <v>46168</v>
      </c>
      <c r="U231" s="771">
        <f t="shared" si="84"/>
        <v>46148</v>
      </c>
      <c r="V231" s="771"/>
      <c r="W231" s="771">
        <f t="shared" si="85"/>
        <v>46147.25</v>
      </c>
      <c r="X231" s="775">
        <f t="shared" si="9"/>
        <v>46153</v>
      </c>
      <c r="Y231" s="776" t="s">
        <v>1582</v>
      </c>
      <c r="Z231" s="777" t="str">
        <f>vlookup(F231,'2) Tracker'!$A$3:$Q$504,16,false)</f>
        <v>ETA 1st port Ningbo 24 Apr</v>
      </c>
      <c r="AA231" s="777" t="str">
        <f>vlookup(F231,'2) Tracker'!$A$3:$R$504,18,false)</f>
        <v>Trafigura 22 Mar Enterprise</v>
      </c>
      <c r="AB231" s="777" t="str">
        <f>vlookup(F231,'2) Tracker'!$A$3:$Q$504,17,false)</f>
        <v/>
      </c>
      <c r="AC231" s="778"/>
      <c r="AD231" s="778">
        <f>VLOOKUP(F231,'2) Tracker'!$A$2:$BO$980,37,FALSE)</f>
        <v>46173</v>
      </c>
      <c r="AE231" s="778">
        <f>VLOOKUP(F231,'2) Tracker'!$A$2:$BO$980,40,FALSE)</f>
        <v>46184</v>
      </c>
      <c r="AF231" s="778" t="str">
        <f>VLOOKUP(F231,'2) Tracker'!$A$2:$BO$980,67,FALSE)</f>
        <v/>
      </c>
      <c r="AG231" s="778">
        <f>VLOOKUP(F231,'2) Tracker'!$A$2:$BO$980,34,FALSE)</f>
        <v>46157</v>
      </c>
      <c r="AH231" s="778" t="str">
        <f>VLOOKUP(F231,'2) Tracker'!$A$2:$BN$980,66,FALSE)</f>
        <v/>
      </c>
      <c r="AI231" s="778">
        <f>VLOOKUP(F231,'2) Tracker'!$A$2:$BO$980,56,FALSE)</f>
        <v>46148</v>
      </c>
      <c r="AJ231" s="778">
        <f>VLOOKUP(F231,'2) Tracker'!$A$2:$BO$980,52,FALSE)</f>
        <v>46147.25</v>
      </c>
      <c r="AK231" s="778">
        <f>VLOOKUP(F231,'2) Tracker'!$A$2:$AQ$980,43,FALSE)</f>
        <v>46168</v>
      </c>
      <c r="AL231" s="778">
        <f>VLOOKUP(F231,'2) Tracker'!$A$2:$BH$980,46,FALSE())</f>
        <v>46175</v>
      </c>
      <c r="AM231" s="778">
        <f>VLOOKUP(F231,'2) Tracker'!$A$2:$BO$980,65,FALSE())</f>
        <v>46160</v>
      </c>
      <c r="AN231" s="778">
        <f>VLOOKUP(F231,'2) Tracker'!$A$2:$BK$980,63,FALSE())</f>
        <v>46184</v>
      </c>
      <c r="AO231" s="778">
        <f>VLOOKUP(F231,'2) Tracker'!$A$2:$BF$980,58,FALSE())</f>
        <v>46153</v>
      </c>
      <c r="AP231" s="52"/>
      <c r="AQ231" s="52"/>
      <c r="AR231" s="52"/>
      <c r="AS231" s="52"/>
      <c r="AT231" s="52"/>
      <c r="AU231" s="52"/>
      <c r="AV231" s="52"/>
      <c r="AW231" s="52"/>
      <c r="AX231" s="52"/>
      <c r="AY231" s="52"/>
      <c r="AZ231" s="734"/>
      <c r="BA231" s="786" t="str">
        <f>vlookup(AZ231,'Iran, FS'!$A$1:$B$318,2, false)</f>
        <v>#N/A</v>
      </c>
      <c r="BB231" s="787" t="str">
        <f>vlookup(AZ231,'1) Kpler'!$E$2:$F$500,2,false)</f>
        <v>#N/A</v>
      </c>
      <c r="BC231" s="740"/>
      <c r="BD231" s="734"/>
      <c r="BE231" s="52"/>
      <c r="BF231" s="52"/>
      <c r="BG231" s="734"/>
      <c r="BH231" s="734"/>
      <c r="BI231" s="734"/>
      <c r="BJ231" s="734"/>
    </row>
    <row r="232">
      <c r="B232" s="765" t="str">
        <f>vlookup(F232,'2) Tracker'!$A$3:$O$410,5,false)</f>
        <v/>
      </c>
      <c r="C232" s="765" t="str">
        <f>vlookup(F232,'2) Tracker'!$A$3:$O$410,4,false)</f>
        <v/>
      </c>
      <c r="D232" s="734"/>
      <c r="E232" s="734"/>
      <c r="F232" s="798" t="s">
        <v>451</v>
      </c>
      <c r="G232" s="844">
        <v>2025.0</v>
      </c>
      <c r="H232" s="845">
        <v>87965.0</v>
      </c>
      <c r="I232" s="777" t="str">
        <f>VLOOKUP(F232,'2) Tracker'!$A$2:$BO$360,9,FALSE)</f>
        <v>BGN</v>
      </c>
      <c r="J232" s="770" t="str">
        <f>VLOOKUP(F232,'2) Tracker'!$A$2:$BO$360,12,FALSE)</f>
        <v>Vietnam</v>
      </c>
      <c r="K232" s="771">
        <f t="shared" si="207"/>
        <v>46173</v>
      </c>
      <c r="L232" s="827"/>
      <c r="N232" s="771">
        <f t="shared" ref="N232:O232" si="279">AG232</f>
        <v>46149</v>
      </c>
      <c r="O232" s="772" t="str">
        <f t="shared" si="279"/>
        <v/>
      </c>
      <c r="P232" s="773" t="str">
        <f>iferror(if(vlookup(F232,'Voyage days'!$M$808:$N$819,2,false),"GOA",""),"")</f>
        <v/>
      </c>
      <c r="Q232" s="771">
        <f t="shared" si="81"/>
        <v>46151</v>
      </c>
      <c r="R232" s="774">
        <f t="shared" si="83"/>
        <v>46176</v>
      </c>
      <c r="S232" s="774">
        <f t="shared" si="5"/>
        <v>46166</v>
      </c>
      <c r="T232" s="771">
        <f t="shared" si="6"/>
        <v>46160</v>
      </c>
      <c r="U232" s="774">
        <f t="shared" si="84"/>
        <v>46139</v>
      </c>
      <c r="V232" s="802"/>
      <c r="W232" s="802">
        <f t="shared" si="85"/>
        <v>46142.25</v>
      </c>
      <c r="X232" s="775" t="str">
        <f t="shared" si="9"/>
        <v/>
      </c>
      <c r="Y232" s="776"/>
      <c r="Z232" s="777" t="str">
        <f>vlookup(F232,'2) Tracker'!$A$3:$Q$504,16,false)</f>
        <v>ETA Vung Tau 21 Apr</v>
      </c>
      <c r="AA232" s="777" t="str">
        <f>vlookup(F232,'2) Tracker'!$A$3:$R$504,18,false)</f>
        <v>BGN 10-11 Mar Enterprise</v>
      </c>
      <c r="AB232" s="777" t="str">
        <f>vlookup(F232,'2) Tracker'!$A$3:$Q$504,17,false)</f>
        <v/>
      </c>
      <c r="AC232" s="778"/>
      <c r="AD232" s="778">
        <f>VLOOKUP(F232,'2) Tracker'!$A$2:$BO$980,37,FALSE)</f>
        <v>46173</v>
      </c>
      <c r="AE232" s="778">
        <f>VLOOKUP(F232,'2) Tracker'!$A$2:$BO$980,40,FALSE)</f>
        <v>46175</v>
      </c>
      <c r="AF232" s="778" t="str">
        <f>VLOOKUP(F232,'2) Tracker'!$A$2:$BO$980,67,FALSE)</f>
        <v/>
      </c>
      <c r="AG232" s="778">
        <f>VLOOKUP(F232,'2) Tracker'!$A$2:$BO$980,34,FALSE)</f>
        <v>46149</v>
      </c>
      <c r="AH232" s="778" t="str">
        <f>VLOOKUP(F232,'2) Tracker'!$A$2:$BN$980,66,FALSE)</f>
        <v/>
      </c>
      <c r="AI232" s="778">
        <f>VLOOKUP(F232,'2) Tracker'!$A$2:$BO$980,56,FALSE)</f>
        <v>46139</v>
      </c>
      <c r="AJ232" s="778">
        <f>VLOOKUP(F232,'2) Tracker'!$A$2:$BO$980,52,FALSE)</f>
        <v>46142.25</v>
      </c>
      <c r="AK232" s="778">
        <f>VLOOKUP(F232,'2) Tracker'!$A$2:$AQ$980,43,FALSE)</f>
        <v>46160</v>
      </c>
      <c r="AL232" s="778">
        <f>VLOOKUP(F232,'2) Tracker'!$A$2:$BH$980,46,FALSE())</f>
        <v>46166</v>
      </c>
      <c r="AM232" s="778">
        <f>VLOOKUP(F232,'2) Tracker'!$A$2:$BO$980,65,FALSE())</f>
        <v>46151</v>
      </c>
      <c r="AN232" s="778">
        <f>VLOOKUP(F232,'2) Tracker'!$A$2:$BK$980,63,FALSE())</f>
        <v>46176</v>
      </c>
      <c r="AO232" s="778" t="str">
        <f>VLOOKUP(F232,'2) Tracker'!$A$2:$BF$980,58,FALSE())</f>
        <v/>
      </c>
      <c r="AP232" s="52"/>
      <c r="AQ232" s="52"/>
      <c r="AR232" s="52"/>
      <c r="AS232" s="52"/>
      <c r="AT232" s="52"/>
      <c r="AU232" s="52"/>
      <c r="AV232" s="52"/>
      <c r="AW232" s="52"/>
      <c r="AX232" s="52"/>
      <c r="AY232" s="52"/>
      <c r="AZ232" s="734"/>
      <c r="BA232" s="786" t="str">
        <f>vlookup(AZ232,'Iran, FS'!$A$1:$B$318,2, false)</f>
        <v>#N/A</v>
      </c>
      <c r="BB232" s="787" t="str">
        <f>vlookup(AZ232,'1) Kpler'!$E$2:$F$500,2,false)</f>
        <v>#N/A</v>
      </c>
      <c r="BC232" s="740"/>
      <c r="BD232" s="734"/>
      <c r="BE232" s="52"/>
      <c r="BF232" s="52"/>
      <c r="BG232" s="734"/>
      <c r="BH232" s="734"/>
      <c r="BI232" s="734"/>
      <c r="BJ232" s="734"/>
    </row>
    <row r="233">
      <c r="B233" s="765" t="str">
        <f>vlookup(F233,'2) Tracker'!$A$3:$O$410,5,false)</f>
        <v/>
      </c>
      <c r="C233" s="765" t="str">
        <f>vlookup(F233,'2) Tracker'!$A$3:$O$410,4,false)</f>
        <v/>
      </c>
      <c r="D233" s="734"/>
      <c r="E233" s="734" t="str">
        <f>vlookup(F233,'2) Tracker'!$A$3:$O$406,15,false)</f>
        <v/>
      </c>
      <c r="F233" s="788" t="s">
        <v>250</v>
      </c>
      <c r="G233" s="783">
        <f>VLOOKUP(F233,'2) Tracker'!$A$2:$BO$360,2,FALSE)</f>
        <v>41450</v>
      </c>
      <c r="H233" s="768">
        <f>VLOOKUP(F233,'2) Tracker'!$A$2:$BO$360,3,FALSE)</f>
        <v>82000</v>
      </c>
      <c r="I233" s="777" t="str">
        <f>VLOOKUP(F233,'2) Tracker'!$A$2:$BO$360,9,FALSE)</f>
        <v>SK Gas</v>
      </c>
      <c r="J233" s="770" t="str">
        <f>VLOOKUP(F233,'2) Tracker'!$A$2:$BO$360,12,FALSE)</f>
        <v>Korea</v>
      </c>
      <c r="K233" s="774">
        <f t="shared" si="207"/>
        <v>46174</v>
      </c>
      <c r="L233" s="774">
        <f t="shared" ref="L233:O233" si="280">AE233</f>
        <v>46181</v>
      </c>
      <c r="M233" s="771" t="str">
        <f t="shared" si="280"/>
        <v/>
      </c>
      <c r="N233" s="771">
        <f t="shared" si="280"/>
        <v>46158</v>
      </c>
      <c r="O233" s="772" t="str">
        <f t="shared" si="280"/>
        <v/>
      </c>
      <c r="P233" s="773" t="str">
        <f>iferror(if(vlookup(F233,'Voyage days'!$M$808:$N$819,2,false),"GOA",""),"")</f>
        <v/>
      </c>
      <c r="Q233" s="771">
        <f t="shared" si="81"/>
        <v>46160</v>
      </c>
      <c r="R233" s="774">
        <f t="shared" si="83"/>
        <v>46185</v>
      </c>
      <c r="S233" s="774">
        <f t="shared" si="5"/>
        <v>46175</v>
      </c>
      <c r="T233" s="771">
        <f t="shared" si="6"/>
        <v>46169</v>
      </c>
      <c r="U233" s="774">
        <f t="shared" si="84"/>
        <v>46148</v>
      </c>
      <c r="V233" s="771"/>
      <c r="W233" s="771">
        <f t="shared" si="85"/>
        <v>46148</v>
      </c>
      <c r="X233" s="775">
        <f t="shared" si="9"/>
        <v>46151</v>
      </c>
      <c r="Y233" s="776"/>
      <c r="Z233" s="777" t="str">
        <f>vlookup(F233,'2) Tracker'!$A$3:$Q$504,16,false)</f>
        <v>ETA 1st port Ulsan 24 Apr</v>
      </c>
      <c r="AA233" s="777" t="str">
        <f>vlookup(F233,'2) Tracker'!$A$3:$R$504,18,false)</f>
        <v>SK Gas 17 Mar Enterprise</v>
      </c>
      <c r="AB233" s="777" t="str">
        <f>vlookup(F233,'2) Tracker'!$A$3:$Q$504,17,false)</f>
        <v/>
      </c>
      <c r="AC233" s="778"/>
      <c r="AD233" s="778">
        <f>VLOOKUP(F233,'2) Tracker'!$A$2:$BO$980,37,FALSE)</f>
        <v>46174</v>
      </c>
      <c r="AE233" s="778">
        <f>VLOOKUP(F233,'2) Tracker'!$A$2:$BO$980,40,FALSE)</f>
        <v>46181</v>
      </c>
      <c r="AF233" s="778" t="str">
        <f>VLOOKUP(F233,'2) Tracker'!$A$2:$BO$980,67,FALSE)</f>
        <v/>
      </c>
      <c r="AG233" s="778">
        <f>VLOOKUP(F233,'2) Tracker'!$A$2:$BO$980,34,FALSE)</f>
        <v>46158</v>
      </c>
      <c r="AH233" s="778" t="str">
        <f>VLOOKUP(F233,'2) Tracker'!$A$2:$BN$980,66,FALSE)</f>
        <v/>
      </c>
      <c r="AI233" s="778">
        <f>VLOOKUP(F233,'2) Tracker'!$A$2:$BO$980,56,FALSE)</f>
        <v>46148</v>
      </c>
      <c r="AJ233" s="778">
        <f>VLOOKUP(F233,'2) Tracker'!$A$2:$BO$980,52,FALSE)</f>
        <v>46148</v>
      </c>
      <c r="AK233" s="778">
        <f>VLOOKUP(F233,'2) Tracker'!$A$2:$AQ$980,43,FALSE)</f>
        <v>46169</v>
      </c>
      <c r="AL233" s="778">
        <f>VLOOKUP(F233,'2) Tracker'!$A$2:$BH$980,46,FALSE())</f>
        <v>46175</v>
      </c>
      <c r="AM233" s="778">
        <f>VLOOKUP(F233,'2) Tracker'!$A$2:$BO$980,65,FALSE())</f>
        <v>46160</v>
      </c>
      <c r="AN233" s="778">
        <f>VLOOKUP(F233,'2) Tracker'!$A$2:$BK$980,63,FALSE())</f>
        <v>46185</v>
      </c>
      <c r="AO233" s="778">
        <f>VLOOKUP(F233,'2) Tracker'!$A$2:$BF$980,58,FALSE())</f>
        <v>46151</v>
      </c>
      <c r="AP233" s="52"/>
      <c r="AQ233" s="52"/>
      <c r="AR233" s="52"/>
      <c r="AS233" s="52"/>
      <c r="AT233" s="52"/>
      <c r="AU233" s="52"/>
      <c r="AV233" s="52"/>
      <c r="AW233" s="52"/>
      <c r="AX233" s="52"/>
      <c r="AY233" s="52"/>
      <c r="AZ233" s="734"/>
      <c r="BA233" s="786" t="str">
        <f>vlookup(AZ233,'Iran, FS'!$A$1:$B$318,2, false)</f>
        <v>#N/A</v>
      </c>
      <c r="BB233" s="787" t="str">
        <f>vlookup(AZ233,'1) Kpler'!$E$2:$F$500,2,false)</f>
        <v>#N/A</v>
      </c>
      <c r="BC233" s="740"/>
      <c r="BD233" s="734"/>
      <c r="BE233" s="52"/>
      <c r="BF233" s="52"/>
      <c r="BG233" s="734"/>
      <c r="BH233" s="734"/>
      <c r="BI233" s="734"/>
      <c r="BJ233" s="734"/>
    </row>
    <row r="234">
      <c r="B234" s="765" t="str">
        <f>vlookup(F234,'2) Tracker'!$A$3:$O$410,5,false)</f>
        <v/>
      </c>
      <c r="C234" s="765" t="str">
        <f>vlookup(F234,'2) Tracker'!$A$3:$O$410,4,false)</f>
        <v/>
      </c>
      <c r="D234" s="734"/>
      <c r="E234" s="734" t="str">
        <f>vlookup(F234,'2) Tracker'!$A$3:$O$406,15,false)</f>
        <v/>
      </c>
      <c r="F234" s="788" t="s">
        <v>1358</v>
      </c>
      <c r="G234" s="783">
        <f>VLOOKUP(F234,'2) Tracker'!$A$2:$BO$360,2,FALSE)</f>
        <v>42247</v>
      </c>
      <c r="H234" s="768">
        <f>VLOOKUP(F234,'2) Tracker'!$A$2:$BO$360,3,FALSE)</f>
        <v>84000</v>
      </c>
      <c r="I234" s="770" t="str">
        <f>VLOOKUP(F234,'2) Tracker'!$A$2:$BO$360,9,FALSE)</f>
        <v>BW</v>
      </c>
      <c r="J234" s="770" t="str">
        <f>VLOOKUP(F234,'2) Tracker'!$A$2:$BO$360,12,FALSE)</f>
        <v>Far East</v>
      </c>
      <c r="K234" s="771">
        <f t="shared" si="207"/>
        <v>46175</v>
      </c>
      <c r="L234" s="771">
        <f t="shared" ref="L234:O234" si="281">AE234</f>
        <v>46182</v>
      </c>
      <c r="M234" s="771" t="str">
        <f t="shared" si="281"/>
        <v/>
      </c>
      <c r="N234" s="771">
        <f t="shared" si="281"/>
        <v>46162</v>
      </c>
      <c r="O234" s="772" t="str">
        <f t="shared" si="281"/>
        <v/>
      </c>
      <c r="P234" s="773" t="str">
        <f>iferror(if(vlookup(F234,'Voyage days'!$M$808:$N$819,2,false),"GOA",""),"")</f>
        <v/>
      </c>
      <c r="Q234" s="771">
        <f t="shared" si="81"/>
        <v>46165</v>
      </c>
      <c r="R234" s="771">
        <f t="shared" si="83"/>
        <v>46190</v>
      </c>
      <c r="S234" s="774">
        <f t="shared" si="5"/>
        <v>46180</v>
      </c>
      <c r="T234" s="771">
        <f t="shared" si="6"/>
        <v>46174</v>
      </c>
      <c r="U234" s="771">
        <f t="shared" si="84"/>
        <v>46153</v>
      </c>
      <c r="V234" s="771"/>
      <c r="W234" s="771">
        <f t="shared" si="85"/>
        <v>46152.25</v>
      </c>
      <c r="X234" s="775">
        <f t="shared" si="9"/>
        <v>46155</v>
      </c>
      <c r="Y234" s="784"/>
      <c r="Z234" s="777" t="str">
        <f>vlookup(F234,'2) Tracker'!$A$3:$Q$504,16,false)</f>
        <v>@ RIPET 12 Apr</v>
      </c>
      <c r="AA234" s="777" t="str">
        <f>vlookup(F234,'2) Tracker'!$A$3:$R$504,18,false)</f>
        <v>Altagas 09-10 Apr RIPET</v>
      </c>
      <c r="AB234" s="777" t="str">
        <f>vlookup(F234,'2) Tracker'!$A$3:$Q$504,17,false)</f>
        <v/>
      </c>
      <c r="AC234" s="778"/>
      <c r="AD234" s="778">
        <f>VLOOKUP(F234,'2) Tracker'!$A$2:$BO$980,37,FALSE)</f>
        <v>46175</v>
      </c>
      <c r="AE234" s="778">
        <f>VLOOKUP(F234,'2) Tracker'!$A$2:$BO$980,40,FALSE)</f>
        <v>46182</v>
      </c>
      <c r="AF234" s="778" t="str">
        <f>VLOOKUP(F234,'2) Tracker'!$A$2:$BO$980,67,FALSE)</f>
        <v/>
      </c>
      <c r="AG234" s="778">
        <f>VLOOKUP(F234,'2) Tracker'!$A$2:$BO$980,34,FALSE)</f>
        <v>46162</v>
      </c>
      <c r="AH234" s="778" t="str">
        <f>VLOOKUP(F234,'2) Tracker'!$A$2:$BN$980,66,FALSE)</f>
        <v/>
      </c>
      <c r="AI234" s="778">
        <f>VLOOKUP(F234,'2) Tracker'!$A$2:$BO$980,56,FALSE)</f>
        <v>46153</v>
      </c>
      <c r="AJ234" s="778">
        <f>VLOOKUP(F234,'2) Tracker'!$A$2:$BO$980,52,FALSE)</f>
        <v>46152.25</v>
      </c>
      <c r="AK234" s="778">
        <f>VLOOKUP(F234,'2) Tracker'!$A$2:$AQ$980,43,FALSE)</f>
        <v>46174</v>
      </c>
      <c r="AL234" s="778">
        <f>VLOOKUP(F234,'2) Tracker'!$A$2:$BH$980,46,FALSE())</f>
        <v>46180</v>
      </c>
      <c r="AM234" s="778">
        <f>VLOOKUP(F234,'2) Tracker'!$A$2:$BO$980,65,FALSE())</f>
        <v>46165</v>
      </c>
      <c r="AN234" s="778">
        <f>VLOOKUP(F234,'2) Tracker'!$A$2:$BK$980,63,FALSE())</f>
        <v>46190</v>
      </c>
      <c r="AO234" s="778">
        <f>VLOOKUP(F234,'2) Tracker'!$A$2:$BF$980,58,FALSE())</f>
        <v>46155</v>
      </c>
      <c r="AP234" s="52"/>
      <c r="AQ234" s="52"/>
      <c r="AR234" s="52"/>
      <c r="AS234" s="52"/>
      <c r="AT234" s="52"/>
      <c r="AU234" s="52"/>
      <c r="AV234" s="52"/>
      <c r="AW234" s="52"/>
      <c r="AX234" s="52"/>
      <c r="AY234" s="52"/>
      <c r="AZ234" s="734"/>
      <c r="BA234" s="786" t="str">
        <f>vlookup(AZ234,'Iran, FS'!$A$1:$B$318,2, false)</f>
        <v>#N/A</v>
      </c>
      <c r="BB234" s="787" t="str">
        <f>vlookup(AZ234,'1) Kpler'!$E$2:$F$500,2,false)</f>
        <v>#N/A</v>
      </c>
      <c r="BC234" s="740"/>
      <c r="BD234" s="734"/>
      <c r="BE234" s="52"/>
      <c r="BF234" s="52"/>
      <c r="BG234" s="734"/>
      <c r="BH234" s="734"/>
      <c r="BI234" s="734"/>
      <c r="BJ234" s="734"/>
    </row>
    <row r="235">
      <c r="B235" s="765" t="str">
        <f>vlookup(F235,'2) Tracker'!$A$3:$O$410,5,false)</f>
        <v/>
      </c>
      <c r="C235" s="765" t="str">
        <f>vlookup(F235,'2) Tracker'!$A$3:$O$410,4,false)</f>
        <v/>
      </c>
      <c r="D235" s="734"/>
      <c r="E235" s="734" t="str">
        <f>vlookup(F235,'2) Tracker'!$A$3:$O$406,15,false)</f>
        <v/>
      </c>
      <c r="F235" s="822" t="s">
        <v>330</v>
      </c>
      <c r="G235" s="783">
        <f>VLOOKUP(F235,'2) Tracker'!$A$2:$BO$360,2,FALSE)</f>
        <v>43009</v>
      </c>
      <c r="H235" s="768">
        <f>VLOOKUP(F235,'2) Tracker'!$A$2:$BO$360,3,FALSE)</f>
        <v>84000</v>
      </c>
      <c r="I235" s="770" t="str">
        <f>VLOOKUP(F235,'2) Tracker'!$A$2:$BO$360,9,FALSE)</f>
        <v>SK Gas</v>
      </c>
      <c r="J235" s="770" t="str">
        <f>VLOOKUP(F235,'2) Tracker'!$A$2:$BO$360,12,FALSE)</f>
        <v>Singapore laden</v>
      </c>
      <c r="K235" s="771">
        <f t="shared" si="207"/>
        <v>46176</v>
      </c>
      <c r="L235" s="771">
        <f t="shared" ref="L235:O235" si="282">AE235</f>
        <v>46177</v>
      </c>
      <c r="M235" s="771" t="str">
        <f t="shared" si="282"/>
        <v/>
      </c>
      <c r="N235" s="771">
        <f t="shared" si="282"/>
        <v>46153</v>
      </c>
      <c r="O235" s="772" t="str">
        <f t="shared" si="282"/>
        <v/>
      </c>
      <c r="P235" s="773" t="str">
        <f>iferror(if(vlookup(F235,'Voyage days'!$M$808:$N$819,2,false),"GOA",""),"")</f>
        <v/>
      </c>
      <c r="Q235" s="771">
        <f t="shared" si="81"/>
        <v>46158</v>
      </c>
      <c r="R235" s="771">
        <f t="shared" si="83"/>
        <v>46181</v>
      </c>
      <c r="S235" s="774">
        <f t="shared" si="5"/>
        <v>46171</v>
      </c>
      <c r="T235" s="771">
        <f t="shared" si="6"/>
        <v>46163</v>
      </c>
      <c r="U235" s="771">
        <f t="shared" si="84"/>
        <v>46146</v>
      </c>
      <c r="V235" s="771"/>
      <c r="W235" s="771">
        <f t="shared" si="85"/>
        <v>46148</v>
      </c>
      <c r="X235" s="775" t="str">
        <f t="shared" si="9"/>
        <v/>
      </c>
      <c r="Y235" s="804" t="s">
        <v>1583</v>
      </c>
      <c r="Z235" s="777" t="str">
        <f>vlookup(F235,'2) Tracker'!$A$3:$Q$504,16,false)</f>
        <v>ETA Singapore 26 Apr, pending disport</v>
      </c>
      <c r="AA235" s="777" t="str">
        <f>vlookup(F235,'2) Tracker'!$A$3:$R$504,18,false)</f>
        <v>Exxon 12-13 Mar Targa</v>
      </c>
      <c r="AB235" s="777" t="str">
        <f>vlookup(F235,'2) Tracker'!$A$3:$Q$504,17,false)</f>
        <v/>
      </c>
      <c r="AC235" s="778"/>
      <c r="AD235" s="778">
        <f>VLOOKUP(F235,'2) Tracker'!$A$2:$BO$980,37,FALSE)</f>
        <v>46176</v>
      </c>
      <c r="AE235" s="778">
        <f>VLOOKUP(F235,'2) Tracker'!$A$2:$BO$980,40,FALSE)</f>
        <v>46177</v>
      </c>
      <c r="AF235" s="778" t="str">
        <f>VLOOKUP(F235,'2) Tracker'!$A$2:$BO$980,67,FALSE)</f>
        <v/>
      </c>
      <c r="AG235" s="778">
        <f>VLOOKUP(F235,'2) Tracker'!$A$2:$BO$980,34,FALSE)</f>
        <v>46153</v>
      </c>
      <c r="AH235" s="778" t="str">
        <f>VLOOKUP(F235,'2) Tracker'!$A$2:$BN$980,66,FALSE)</f>
        <v/>
      </c>
      <c r="AI235" s="778">
        <f>VLOOKUP(F235,'2) Tracker'!$A$2:$BO$980,56,FALSE)</f>
        <v>46146</v>
      </c>
      <c r="AJ235" s="778">
        <f>VLOOKUP(F235,'2) Tracker'!$A$2:$BO$980,52,FALSE)</f>
        <v>46148</v>
      </c>
      <c r="AK235" s="778">
        <f>VLOOKUP(F235,'2) Tracker'!$A$2:$AQ$980,43,FALSE)</f>
        <v>46163</v>
      </c>
      <c r="AL235" s="778">
        <f>VLOOKUP(F235,'2) Tracker'!$A$2:$BH$980,46,FALSE())</f>
        <v>46171</v>
      </c>
      <c r="AM235" s="778">
        <f>VLOOKUP(F235,'2) Tracker'!$A$2:$BO$980,65,FALSE())</f>
        <v>46158</v>
      </c>
      <c r="AN235" s="778">
        <f>VLOOKUP(F235,'2) Tracker'!$A$2:$BK$980,63,FALSE())</f>
        <v>46181</v>
      </c>
      <c r="AO235" s="778" t="str">
        <f>VLOOKUP(F235,'2) Tracker'!$A$2:$BF$980,58,FALSE())</f>
        <v/>
      </c>
      <c r="AP235" s="52"/>
      <c r="AQ235" s="52"/>
      <c r="AR235" s="52"/>
      <c r="AS235" s="52"/>
      <c r="AT235" s="52"/>
      <c r="AU235" s="52"/>
      <c r="AV235" s="52"/>
      <c r="AW235" s="52"/>
      <c r="AX235" s="52"/>
      <c r="AY235" s="52"/>
      <c r="AZ235" s="734"/>
      <c r="BA235" s="786" t="str">
        <f>vlookup(AZ235,'Iran, FS'!$A$1:$B$318,2, false)</f>
        <v>#N/A</v>
      </c>
      <c r="BB235" s="787" t="str">
        <f>vlookup(AZ235,'1) Kpler'!$E$2:$F$500,2,false)</f>
        <v>#N/A</v>
      </c>
      <c r="BC235" s="740"/>
      <c r="BD235" s="734"/>
      <c r="BE235" s="52"/>
      <c r="BF235" s="52"/>
      <c r="BG235" s="734"/>
      <c r="BH235" s="734"/>
      <c r="BI235" s="734"/>
      <c r="BJ235" s="734"/>
    </row>
    <row r="236">
      <c r="B236" s="765" t="str">
        <f>vlookup(F236,'2) Tracker'!$A$3:$O$410,5,false)</f>
        <v/>
      </c>
      <c r="C236" s="765" t="str">
        <f>vlookup(F236,'2) Tracker'!$A$3:$O$410,4,false)</f>
        <v>US</v>
      </c>
      <c r="D236" s="732" t="s">
        <v>1515</v>
      </c>
      <c r="E236" s="734" t="str">
        <f>vlookup(F236,'2) Tracker'!$A$3:$O$406,15,false)</f>
        <v>O</v>
      </c>
      <c r="F236" s="797" t="s">
        <v>245</v>
      </c>
      <c r="G236" s="789">
        <f>VLOOKUP(F236,'2) Tracker'!$A$2:$BO$360,2,FALSE)</f>
        <v>2020</v>
      </c>
      <c r="H236" s="768">
        <f>VLOOKUP(F236,'2) Tracker'!$A$2:$BO$360,3,FALSE)</f>
        <v>80000</v>
      </c>
      <c r="I236" s="770" t="str">
        <f>VLOOKUP(F236,'2) Tracker'!$A$2:$BO$360,9,FALSE)</f>
        <v>Helios</v>
      </c>
      <c r="J236" s="770" t="str">
        <f>VLOOKUP(F236,'2) Tracker'!$A$2:$BO$360,12,FALSE)</f>
        <v>Japan</v>
      </c>
      <c r="K236" s="774">
        <f t="shared" si="207"/>
        <v>46176</v>
      </c>
      <c r="L236" s="774">
        <f t="shared" ref="L236:O236" si="283">AE236</f>
        <v>46186</v>
      </c>
      <c r="M236" s="771" t="str">
        <f t="shared" si="283"/>
        <v/>
      </c>
      <c r="N236" s="771">
        <f t="shared" si="283"/>
        <v>46162</v>
      </c>
      <c r="O236" s="772" t="str">
        <f t="shared" si="283"/>
        <v/>
      </c>
      <c r="P236" s="773" t="str">
        <f>iferror(if(vlookup(F236,'Voyage days'!$M$808:$N$819,2,false),"GOA",""),"")</f>
        <v/>
      </c>
      <c r="Q236" s="771">
        <f t="shared" si="81"/>
        <v>46166</v>
      </c>
      <c r="R236" s="774">
        <f t="shared" si="83"/>
        <v>46190</v>
      </c>
      <c r="S236" s="774">
        <f t="shared" si="5"/>
        <v>46180</v>
      </c>
      <c r="T236" s="771">
        <f t="shared" si="6"/>
        <v>46174</v>
      </c>
      <c r="U236" s="774">
        <f t="shared" si="84"/>
        <v>46154</v>
      </c>
      <c r="V236" s="771"/>
      <c r="W236" s="771">
        <f t="shared" si="85"/>
        <v>46152.25</v>
      </c>
      <c r="X236" s="775">
        <f t="shared" si="9"/>
        <v>46155</v>
      </c>
      <c r="Y236" s="776"/>
      <c r="Z236" s="777" t="str">
        <f>vlookup(F236,'2) Tracker'!$A$3:$Q$504,16,false)</f>
        <v>ETA 1st port Chiba 25 Apr</v>
      </c>
      <c r="AA236" s="777" t="str">
        <f>vlookup(F236,'2) Tracker'!$A$3:$R$504,18,false)</f>
        <v>? 23-24 Mar Enterprise</v>
      </c>
      <c r="AB236" s="777" t="str">
        <f>vlookup(F236,'2) Tracker'!$A$3:$Q$504,17,false)</f>
        <v/>
      </c>
      <c r="AC236" s="778"/>
      <c r="AD236" s="778">
        <f>VLOOKUP(F236,'2) Tracker'!$A$2:$BO$980,37,FALSE)</f>
        <v>46176</v>
      </c>
      <c r="AE236" s="778">
        <f>VLOOKUP(F236,'2) Tracker'!$A$2:$BO$980,40,FALSE)</f>
        <v>46186</v>
      </c>
      <c r="AF236" s="778" t="str">
        <f>VLOOKUP(F236,'2) Tracker'!$A$2:$BO$980,67,FALSE)</f>
        <v/>
      </c>
      <c r="AG236" s="778">
        <f>VLOOKUP(F236,'2) Tracker'!$A$2:$BO$980,34,FALSE)</f>
        <v>46162</v>
      </c>
      <c r="AH236" s="778" t="str">
        <f>VLOOKUP(F236,'2) Tracker'!$A$2:$BN$980,66,FALSE)</f>
        <v/>
      </c>
      <c r="AI236" s="778">
        <f>VLOOKUP(F236,'2) Tracker'!$A$2:$BO$980,56,FALSE)</f>
        <v>46154</v>
      </c>
      <c r="AJ236" s="778">
        <f>VLOOKUP(F236,'2) Tracker'!$A$2:$BO$980,52,FALSE)</f>
        <v>46152.25</v>
      </c>
      <c r="AK236" s="778">
        <f>VLOOKUP(F236,'2) Tracker'!$A$2:$AQ$980,43,FALSE)</f>
        <v>46174</v>
      </c>
      <c r="AL236" s="778">
        <f>VLOOKUP(F236,'2) Tracker'!$A$2:$BH$980,46,FALSE())</f>
        <v>46180</v>
      </c>
      <c r="AM236" s="778">
        <f>VLOOKUP(F236,'2) Tracker'!$A$2:$BO$980,65,FALSE())</f>
        <v>46166</v>
      </c>
      <c r="AN236" s="778">
        <f>VLOOKUP(F236,'2) Tracker'!$A$2:$BK$980,63,FALSE())</f>
        <v>46190</v>
      </c>
      <c r="AO236" s="778">
        <f>VLOOKUP(F236,'2) Tracker'!$A$2:$BF$980,58,FALSE())</f>
        <v>46155</v>
      </c>
      <c r="AP236" s="52"/>
      <c r="AQ236" s="52"/>
      <c r="AR236" s="52"/>
      <c r="AS236" s="52"/>
      <c r="AT236" s="52"/>
      <c r="AU236" s="52"/>
      <c r="AV236" s="52"/>
      <c r="AW236" s="52"/>
      <c r="AX236" s="52"/>
      <c r="AY236" s="52"/>
      <c r="AZ236" s="734"/>
      <c r="BA236" s="786" t="str">
        <f>vlookup(AZ236,'Iran, FS'!$A$1:$B$318,2, false)</f>
        <v>#N/A</v>
      </c>
      <c r="BB236" s="787" t="str">
        <f>vlookup(AZ236,'1) Kpler'!$E$2:$F$500,2,false)</f>
        <v>#N/A</v>
      </c>
      <c r="BC236" s="740"/>
      <c r="BD236" s="734"/>
      <c r="BE236" s="52"/>
      <c r="BF236" s="52"/>
      <c r="BG236" s="734"/>
      <c r="BH236" s="734"/>
      <c r="BI236" s="734"/>
      <c r="BJ236" s="734"/>
    </row>
    <row r="237">
      <c r="B237" s="765" t="str">
        <f>vlookup(F237,'2) Tracker'!$A$3:$O$410,5,false)</f>
        <v/>
      </c>
      <c r="C237" s="765" t="str">
        <f>vlookup(F237,'2) Tracker'!$A$3:$O$410,4,false)</f>
        <v/>
      </c>
      <c r="D237" s="734"/>
      <c r="E237" s="734" t="str">
        <f>vlookup(F237,'2) Tracker'!$A$3:$O$406,15,false)</f>
        <v/>
      </c>
      <c r="F237" s="766" t="s">
        <v>394</v>
      </c>
      <c r="G237" s="789">
        <f>VLOOKUP(F237,'2) Tracker'!$A$2:$BO$360,2,FALSE)</f>
        <v>2022</v>
      </c>
      <c r="H237" s="768">
        <f>VLOOKUP(F237,'2) Tracker'!$A$2:$BO$360,3,FALSE)</f>
        <v>90000</v>
      </c>
      <c r="I237" s="769" t="str">
        <f>VLOOKUP(F237,'2) Tracker'!$A$2:$BO$360,9,FALSE)</f>
        <v>Geogas</v>
      </c>
      <c r="J237" s="770" t="str">
        <f>VLOOKUP(F237,'2) Tracker'!$A$2:$BO$360,12,FALSE)</f>
        <v>Tanzania</v>
      </c>
      <c r="K237" s="771">
        <f t="shared" si="207"/>
        <v>46177</v>
      </c>
      <c r="L237" s="771">
        <f t="shared" ref="L237:O237" si="284">AE237</f>
        <v>46156</v>
      </c>
      <c r="M237" s="771" t="str">
        <f t="shared" si="284"/>
        <v/>
      </c>
      <c r="N237" s="771">
        <f t="shared" si="284"/>
        <v>46138</v>
      </c>
      <c r="O237" s="772" t="str">
        <f t="shared" si="284"/>
        <v/>
      </c>
      <c r="P237" s="773" t="str">
        <f>iferror(if(vlookup(F237,'Voyage days'!$M$808:$N$819,2,false),"GOA",""),"")</f>
        <v/>
      </c>
      <c r="Q237" s="771">
        <f t="shared" si="81"/>
        <v>46143</v>
      </c>
      <c r="R237" s="771">
        <f t="shared" si="83"/>
        <v>46129</v>
      </c>
      <c r="S237" s="774">
        <f t="shared" si="5"/>
        <v>46144</v>
      </c>
      <c r="T237" s="771">
        <f t="shared" si="6"/>
        <v>46143</v>
      </c>
      <c r="U237" s="771">
        <f t="shared" si="84"/>
        <v>46141</v>
      </c>
      <c r="V237" s="771"/>
      <c r="W237" s="771">
        <f t="shared" si="85"/>
        <v>46144</v>
      </c>
      <c r="X237" s="775" t="str">
        <f t="shared" si="9"/>
        <v/>
      </c>
      <c r="Y237" s="776"/>
      <c r="Z237" s="777" t="str">
        <f>vlookup(F237,'2) Tracker'!$A$3:$Q$504,16,false)</f>
        <v>shuttle/STS ship East Africa 05 Feb</v>
      </c>
      <c r="AA237" s="777" t="str">
        <f>vlookup(F237,'2) Tracker'!$A$3:$R$504,18,false)</f>
        <v>Geogas 29 Mar STS Bumbwini</v>
      </c>
      <c r="AB237" s="777" t="str">
        <f>vlookup(F237,'2) Tracker'!$A$3:$Q$504,17,false)</f>
        <v/>
      </c>
      <c r="AC237" s="778"/>
      <c r="AD237" s="778">
        <f>VLOOKUP(F237,'2) Tracker'!$A$2:$BO$980,37,FALSE)</f>
        <v>46177</v>
      </c>
      <c r="AE237" s="778">
        <f>VLOOKUP(F237,'2) Tracker'!$A$2:$BO$980,40,FALSE)</f>
        <v>46156</v>
      </c>
      <c r="AF237" s="778" t="str">
        <f>VLOOKUP(F237,'2) Tracker'!$A$2:$BO$980,67,FALSE)</f>
        <v/>
      </c>
      <c r="AG237" s="778">
        <f>VLOOKUP(F237,'2) Tracker'!$A$2:$BO$980,34,FALSE)</f>
        <v>46138</v>
      </c>
      <c r="AH237" s="778" t="str">
        <f>VLOOKUP(F237,'2) Tracker'!$A$2:$BN$980,66,FALSE)</f>
        <v/>
      </c>
      <c r="AI237" s="778">
        <f>VLOOKUP(F237,'2) Tracker'!$A$2:$BO$980,56,FALSE)</f>
        <v>46141</v>
      </c>
      <c r="AJ237" s="778">
        <f>VLOOKUP(F237,'2) Tracker'!$A$2:$BO$980,52,FALSE)</f>
        <v>46144</v>
      </c>
      <c r="AK237" s="778">
        <f>VLOOKUP(F237,'2) Tracker'!$A$2:$AQ$980,43,FALSE)</f>
        <v>46143</v>
      </c>
      <c r="AL237" s="778">
        <f>VLOOKUP(F237,'2) Tracker'!$A$2:$BH$980,46,FALSE())</f>
        <v>46144</v>
      </c>
      <c r="AM237" s="778">
        <f>VLOOKUP(F237,'2) Tracker'!$A$2:$BO$980,65,FALSE())</f>
        <v>46143</v>
      </c>
      <c r="AN237" s="778">
        <f>VLOOKUP(F237,'2) Tracker'!$A$2:$BK$980,63,FALSE())</f>
        <v>46129</v>
      </c>
      <c r="AO237" s="778" t="str">
        <f>VLOOKUP(F237,'2) Tracker'!$A$2:$BF$980,58,FALSE())</f>
        <v/>
      </c>
      <c r="AP237" s="52"/>
      <c r="AQ237" s="52"/>
      <c r="AR237" s="52"/>
      <c r="AS237" s="52"/>
      <c r="AT237" s="52"/>
      <c r="AU237" s="52"/>
      <c r="AV237" s="52"/>
      <c r="AW237" s="52"/>
      <c r="AX237" s="52"/>
      <c r="AY237" s="52"/>
      <c r="AZ237" s="787"/>
      <c r="BA237" s="786" t="str">
        <f>vlookup(AZ237,'Iran, FS'!$A$1:$B$318,2, false)</f>
        <v>#N/A</v>
      </c>
      <c r="BB237" s="787" t="str">
        <f>vlookup(AZ237,'1) Kpler'!$E$2:$F$500,2,false)</f>
        <v>#N/A</v>
      </c>
      <c r="BC237" s="788"/>
      <c r="BD237" s="787"/>
      <c r="BE237" s="52"/>
      <c r="BF237" s="52"/>
      <c r="BG237" s="787"/>
      <c r="BH237" s="787"/>
      <c r="BI237" s="787"/>
      <c r="BJ237" s="787"/>
    </row>
    <row r="238">
      <c r="B238" s="765" t="str">
        <f>vlookup(F238,'2) Tracker'!$A$3:$O$410,5,false)</f>
        <v/>
      </c>
      <c r="C238" s="765" t="str">
        <f>vlookup(F238,'2) Tracker'!$A$3:$O$410,4,false)</f>
        <v/>
      </c>
      <c r="D238" s="734"/>
      <c r="E238" s="734" t="str">
        <f>vlookup(F238,'2) Tracker'!$A$3:$O$406,15,false)</f>
        <v/>
      </c>
      <c r="F238" s="788" t="s">
        <v>252</v>
      </c>
      <c r="G238" s="783">
        <f>VLOOKUP(F238,'2) Tracker'!$A$2:$BO$360,2,FALSE)</f>
        <v>41353</v>
      </c>
      <c r="H238" s="768">
        <f>VLOOKUP(F238,'2) Tracker'!$A$2:$BO$360,3,FALSE)</f>
        <v>82000</v>
      </c>
      <c r="I238" s="777" t="str">
        <f>VLOOKUP(F238,'2) Tracker'!$A$2:$BO$360,9,FALSE)</f>
        <v>SK Gas</v>
      </c>
      <c r="J238" s="770" t="str">
        <f>VLOOKUP(F238,'2) Tracker'!$A$2:$BO$360,12,FALSE)</f>
        <v>Singapore laden</v>
      </c>
      <c r="K238" s="774">
        <f t="shared" si="207"/>
        <v>46177</v>
      </c>
      <c r="L238" s="774">
        <f t="shared" ref="L238:O238" si="285">AE238</f>
        <v>46178</v>
      </c>
      <c r="M238" s="771" t="str">
        <f t="shared" si="285"/>
        <v/>
      </c>
      <c r="N238" s="771">
        <f t="shared" si="285"/>
        <v>46154</v>
      </c>
      <c r="O238" s="772" t="str">
        <f t="shared" si="285"/>
        <v/>
      </c>
      <c r="P238" s="773" t="str">
        <f>iferror(if(vlookup(F238,'Voyage days'!$M$808:$N$819,2,false),"GOA",""),"")</f>
        <v/>
      </c>
      <c r="Q238" s="771">
        <f t="shared" si="81"/>
        <v>46159</v>
      </c>
      <c r="R238" s="774">
        <f t="shared" si="83"/>
        <v>46182</v>
      </c>
      <c r="S238" s="774">
        <f t="shared" si="5"/>
        <v>46172</v>
      </c>
      <c r="T238" s="771">
        <f t="shared" si="6"/>
        <v>46164</v>
      </c>
      <c r="U238" s="774">
        <f t="shared" si="84"/>
        <v>46147</v>
      </c>
      <c r="V238" s="745" t="s">
        <v>1523</v>
      </c>
      <c r="W238" s="771">
        <f t="shared" si="85"/>
        <v>46149</v>
      </c>
      <c r="X238" s="775" t="str">
        <f t="shared" si="9"/>
        <v/>
      </c>
      <c r="Y238" s="804" t="s">
        <v>1584</v>
      </c>
      <c r="Z238" s="777" t="str">
        <f>vlookup(F238,'2) Tracker'!$A$3:$Q$504,16,false)</f>
        <v>ETA Singapore 27 Apr, pending disport</v>
      </c>
      <c r="AA238" s="777" t="str">
        <f>vlookup(F238,'2) Tracker'!$A$3:$R$504,18,false)</f>
        <v>BASF 07-08 Mar Freeport - FC C4</v>
      </c>
      <c r="AB238" s="777" t="str">
        <f>vlookup(F238,'2) Tracker'!$A$3:$Q$504,17,false)</f>
        <v/>
      </c>
      <c r="AC238" s="778"/>
      <c r="AD238" s="778">
        <f>VLOOKUP(F238,'2) Tracker'!$A$2:$BO$980,37,FALSE)</f>
        <v>46177</v>
      </c>
      <c r="AE238" s="778">
        <f>VLOOKUP(F238,'2) Tracker'!$A$2:$BO$980,40,FALSE)</f>
        <v>46178</v>
      </c>
      <c r="AF238" s="778" t="str">
        <f>VLOOKUP(F238,'2) Tracker'!$A$2:$BO$980,67,FALSE)</f>
        <v/>
      </c>
      <c r="AG238" s="778">
        <f>VLOOKUP(F238,'2) Tracker'!$A$2:$BO$980,34,FALSE)</f>
        <v>46154</v>
      </c>
      <c r="AH238" s="778" t="str">
        <f>VLOOKUP(F238,'2) Tracker'!$A$2:$BN$980,66,FALSE)</f>
        <v/>
      </c>
      <c r="AI238" s="778">
        <f>VLOOKUP(F238,'2) Tracker'!$A$2:$BO$980,56,FALSE)</f>
        <v>46147</v>
      </c>
      <c r="AJ238" s="778">
        <f>VLOOKUP(F238,'2) Tracker'!$A$2:$BO$980,52,FALSE)</f>
        <v>46149</v>
      </c>
      <c r="AK238" s="778">
        <f>VLOOKUP(F238,'2) Tracker'!$A$2:$AQ$980,43,FALSE)</f>
        <v>46164</v>
      </c>
      <c r="AL238" s="778">
        <f>VLOOKUP(F238,'2) Tracker'!$A$2:$BH$980,46,FALSE())</f>
        <v>46172</v>
      </c>
      <c r="AM238" s="778">
        <f>VLOOKUP(F238,'2) Tracker'!$A$2:$BO$980,65,FALSE())</f>
        <v>46159</v>
      </c>
      <c r="AN238" s="778">
        <f>VLOOKUP(F238,'2) Tracker'!$A$2:$BK$980,63,FALSE())</f>
        <v>46182</v>
      </c>
      <c r="AO238" s="778" t="str">
        <f>VLOOKUP(F238,'2) Tracker'!$A$2:$BF$980,58,FALSE())</f>
        <v/>
      </c>
      <c r="AP238" s="52"/>
      <c r="AQ238" s="52"/>
      <c r="AR238" s="52"/>
      <c r="AS238" s="52"/>
      <c r="AT238" s="52"/>
      <c r="AU238" s="52"/>
      <c r="AV238" s="52"/>
      <c r="AW238" s="52"/>
      <c r="AX238" s="52"/>
      <c r="AY238" s="52"/>
      <c r="AZ238" s="734"/>
      <c r="BA238" s="786" t="str">
        <f>vlookup(AZ238,'Iran, FS'!$A$1:$B$318,2, false)</f>
        <v>#N/A</v>
      </c>
      <c r="BB238" s="787" t="str">
        <f>vlookup(AZ238,'1) Kpler'!$E$2:$F$500,2,false)</f>
        <v>#N/A</v>
      </c>
      <c r="BC238" s="740"/>
      <c r="BD238" s="734"/>
      <c r="BE238" s="52"/>
      <c r="BF238" s="52"/>
      <c r="BG238" s="734"/>
      <c r="BH238" s="734"/>
      <c r="BI238" s="734"/>
      <c r="BJ238" s="734"/>
    </row>
    <row r="239">
      <c r="B239" s="765" t="str">
        <f>vlookup(F239,'2) Tracker'!$A$3:$O$410,5,false)</f>
        <v/>
      </c>
      <c r="C239" s="765" t="str">
        <f>vlookup(F239,'2) Tracker'!$A$3:$O$410,4,false)</f>
        <v/>
      </c>
      <c r="D239" s="734"/>
      <c r="E239" s="734" t="str">
        <f>vlookup(F239,'2) Tracker'!$A$3:$O$406,15,false)</f>
        <v/>
      </c>
      <c r="F239" s="788" t="s">
        <v>1127</v>
      </c>
      <c r="G239" s="783">
        <f>VLOOKUP(F239,'2) Tracker'!$A$2:$BO$360,2,FALSE)</f>
        <v>42202</v>
      </c>
      <c r="H239" s="768">
        <f>VLOOKUP(F239,'2) Tracker'!$A$2:$BO$360,3,FALSE)</f>
        <v>83000</v>
      </c>
      <c r="I239" s="770" t="str">
        <f>VLOOKUP(F239,'2) Tracker'!$A$2:$BO$360,9,FALSE)</f>
        <v>Satellite</v>
      </c>
      <c r="J239" s="770" t="str">
        <f>VLOOKUP(F239,'2) Tracker'!$A$2:$BO$360,12,FALSE)</f>
        <v>Far East</v>
      </c>
      <c r="K239" s="771">
        <f t="shared" si="207"/>
        <v>46177</v>
      </c>
      <c r="L239" s="771">
        <f t="shared" ref="L239:O239" si="286">AE239</f>
        <v>46184</v>
      </c>
      <c r="M239" s="771" t="str">
        <f t="shared" si="286"/>
        <v/>
      </c>
      <c r="N239" s="771">
        <f t="shared" si="286"/>
        <v>46164</v>
      </c>
      <c r="O239" s="772" t="str">
        <f t="shared" si="286"/>
        <v/>
      </c>
      <c r="P239" s="773" t="str">
        <f>iferror(if(vlookup(F239,'Voyage days'!$M$808:$N$819,2,false),"GOA",""),"")</f>
        <v/>
      </c>
      <c r="Q239" s="771">
        <f t="shared" si="81"/>
        <v>46170</v>
      </c>
      <c r="R239" s="771">
        <f t="shared" si="83"/>
        <v>46192</v>
      </c>
      <c r="S239" s="774">
        <f t="shared" si="5"/>
        <v>46182</v>
      </c>
      <c r="T239" s="771">
        <f t="shared" si="6"/>
        <v>46176</v>
      </c>
      <c r="U239" s="771">
        <f t="shared" si="84"/>
        <v>46158</v>
      </c>
      <c r="V239" s="771"/>
      <c r="W239" s="771">
        <f t="shared" si="85"/>
        <v>46154.25</v>
      </c>
      <c r="X239" s="775">
        <f t="shared" si="9"/>
        <v>46157</v>
      </c>
      <c r="Y239" s="784"/>
      <c r="Z239" s="777" t="str">
        <f>vlookup(F239,'2) Tracker'!$A$3:$Q$504,16,false)</f>
        <v>@ Cristobal 12 Apr, pending disport</v>
      </c>
      <c r="AA239" s="777" t="str">
        <f>vlookup(F239,'2) Tracker'!$A$3:$R$504,18,false)</f>
        <v>PC FOB -&gt; STL 04-05 Apr Nederland</v>
      </c>
      <c r="AB239" s="777" t="str">
        <f>vlookup(F239,'2) Tracker'!$A$3:$Q$504,17,false)</f>
        <v/>
      </c>
      <c r="AC239" s="778"/>
      <c r="AD239" s="778">
        <f>VLOOKUP(F239,'2) Tracker'!$A$2:$BO$980,37,FALSE)</f>
        <v>46177</v>
      </c>
      <c r="AE239" s="778">
        <f>VLOOKUP(F239,'2) Tracker'!$A$2:$BO$980,40,FALSE)</f>
        <v>46184</v>
      </c>
      <c r="AF239" s="778" t="str">
        <f>VLOOKUP(F239,'2) Tracker'!$A$2:$BO$980,67,FALSE)</f>
        <v/>
      </c>
      <c r="AG239" s="778">
        <f>VLOOKUP(F239,'2) Tracker'!$A$2:$BO$980,34,FALSE)</f>
        <v>46164</v>
      </c>
      <c r="AH239" s="778" t="str">
        <f>VLOOKUP(F239,'2) Tracker'!$A$2:$BN$980,66,FALSE)</f>
        <v/>
      </c>
      <c r="AI239" s="778">
        <f>VLOOKUP(F239,'2) Tracker'!$A$2:$BO$980,56,FALSE)</f>
        <v>46158</v>
      </c>
      <c r="AJ239" s="778">
        <f>VLOOKUP(F239,'2) Tracker'!$A$2:$BO$980,52,FALSE)</f>
        <v>46154.25</v>
      </c>
      <c r="AK239" s="778">
        <f>VLOOKUP(F239,'2) Tracker'!$A$2:$AQ$980,43,FALSE)</f>
        <v>46176</v>
      </c>
      <c r="AL239" s="778">
        <f>VLOOKUP(F239,'2) Tracker'!$A$2:$BH$980,46,FALSE())</f>
        <v>46182</v>
      </c>
      <c r="AM239" s="778">
        <f>VLOOKUP(F239,'2) Tracker'!$A$2:$BO$980,65,FALSE())</f>
        <v>46170</v>
      </c>
      <c r="AN239" s="778">
        <f>VLOOKUP(F239,'2) Tracker'!$A$2:$BK$980,63,FALSE())</f>
        <v>46192</v>
      </c>
      <c r="AO239" s="778">
        <f>VLOOKUP(F239,'2) Tracker'!$A$2:$BF$980,58,FALSE())</f>
        <v>46157</v>
      </c>
      <c r="AP239" s="52"/>
      <c r="AQ239" s="52"/>
      <c r="AR239" s="52"/>
      <c r="AS239" s="52"/>
      <c r="AT239" s="52"/>
      <c r="AU239" s="52"/>
      <c r="AV239" s="52"/>
      <c r="AW239" s="52"/>
      <c r="AX239" s="52"/>
      <c r="AY239" s="52"/>
      <c r="AZ239" s="734"/>
      <c r="BA239" s="786" t="str">
        <f>vlookup(AZ239,'Iran, FS'!$A$1:$B$318,2, false)</f>
        <v>#N/A</v>
      </c>
      <c r="BB239" s="787" t="str">
        <f>vlookup(AZ239,'1) Kpler'!$E$2:$F$500,2,false)</f>
        <v>#N/A</v>
      </c>
      <c r="BC239" s="740"/>
      <c r="BD239" s="734"/>
      <c r="BE239" s="52"/>
      <c r="BF239" s="52"/>
      <c r="BG239" s="734"/>
      <c r="BH239" s="734"/>
      <c r="BI239" s="734"/>
      <c r="BJ239" s="734"/>
    </row>
    <row r="240">
      <c r="B240" s="765" t="str">
        <f>vlookup(F240,'2) Tracker'!$A$3:$O$410,5,false)</f>
        <v/>
      </c>
      <c r="C240" s="765" t="str">
        <f>vlookup(F240,'2) Tracker'!$A$3:$O$410,4,false)</f>
        <v>US</v>
      </c>
      <c r="D240" s="732" t="s">
        <v>1515</v>
      </c>
      <c r="E240" s="734" t="str">
        <f>vlookup(F240,'2) Tracker'!$A$3:$O$406,15,false)</f>
        <v/>
      </c>
      <c r="F240" s="809" t="s">
        <v>408</v>
      </c>
      <c r="G240" s="789">
        <f>VLOOKUP(F240,'2) Tracker'!$A$2:$BO$360,2,FALSE)</f>
        <v>2024</v>
      </c>
      <c r="H240" s="768">
        <f>VLOOKUP(F240,'2) Tracker'!$A$2:$BO$360,3,FALSE)</f>
        <v>88000</v>
      </c>
      <c r="I240" s="769" t="str">
        <f>VLOOKUP(F240,'2) Tracker'!$A$2:$BO$360,9,FALSE)</f>
        <v>Chevron</v>
      </c>
      <c r="J240" s="770" t="str">
        <f>VLOOKUP(F240,'2) Tracker'!$A$2:$BO$360,12,FALSE)</f>
        <v>Japan</v>
      </c>
      <c r="K240" s="774">
        <f t="shared" si="207"/>
        <v>46177</v>
      </c>
      <c r="L240" s="774">
        <f t="shared" ref="L240:O240" si="287">AE240</f>
        <v>46187</v>
      </c>
      <c r="M240" s="771" t="str">
        <f t="shared" si="287"/>
        <v/>
      </c>
      <c r="N240" s="771">
        <f t="shared" si="287"/>
        <v>46163</v>
      </c>
      <c r="O240" s="772" t="str">
        <f t="shared" si="287"/>
        <v/>
      </c>
      <c r="P240" s="773" t="str">
        <f>iferror(if(vlookup(F240,'Voyage days'!$M$808:$N$819,2,false),"GOA",""),"")</f>
        <v/>
      </c>
      <c r="Q240" s="771">
        <f t="shared" si="81"/>
        <v>46166</v>
      </c>
      <c r="R240" s="774">
        <f t="shared" si="83"/>
        <v>46191</v>
      </c>
      <c r="S240" s="774">
        <f t="shared" si="5"/>
        <v>46181</v>
      </c>
      <c r="T240" s="771">
        <f t="shared" si="6"/>
        <v>46175</v>
      </c>
      <c r="U240" s="774">
        <f t="shared" si="84"/>
        <v>46154</v>
      </c>
      <c r="V240" s="771"/>
      <c r="W240" s="771">
        <f t="shared" si="85"/>
        <v>46153.25</v>
      </c>
      <c r="X240" s="775">
        <f t="shared" si="9"/>
        <v>46156</v>
      </c>
      <c r="Z240" s="777" t="str">
        <f>vlookup(F240,'2) Tracker'!$A$3:$Q$504,16,false)</f>
        <v>ETA 1st port Chiba 28 Apr</v>
      </c>
      <c r="AA240" s="777" t="str">
        <f>vlookup(F240,'2) Tracker'!$A$3:$R$504,18,false)</f>
        <v>Chevron 25-26 Mar Targa</v>
      </c>
      <c r="AB240" s="777" t="str">
        <f>vlookup(F240,'2) Tracker'!$A$3:$Q$504,17,false)</f>
        <v/>
      </c>
      <c r="AC240" s="778"/>
      <c r="AD240" s="778">
        <f>VLOOKUP(F240,'2) Tracker'!$A$2:$BO$980,37,FALSE)</f>
        <v>46177</v>
      </c>
      <c r="AE240" s="778">
        <f>VLOOKUP(F240,'2) Tracker'!$A$2:$BO$980,40,FALSE)</f>
        <v>46187</v>
      </c>
      <c r="AF240" s="778" t="str">
        <f>VLOOKUP(F240,'2) Tracker'!$A$2:$BO$980,67,FALSE)</f>
        <v/>
      </c>
      <c r="AG240" s="778">
        <f>VLOOKUP(F240,'2) Tracker'!$A$2:$BO$980,34,FALSE)</f>
        <v>46163</v>
      </c>
      <c r="AH240" s="778" t="str">
        <f>VLOOKUP(F240,'2) Tracker'!$A$2:$BN$980,66,FALSE)</f>
        <v/>
      </c>
      <c r="AI240" s="778">
        <f>VLOOKUP(F240,'2) Tracker'!$A$2:$BO$980,56,FALSE)</f>
        <v>46154</v>
      </c>
      <c r="AJ240" s="778">
        <f>VLOOKUP(F240,'2) Tracker'!$A$2:$BO$980,52,FALSE)</f>
        <v>46153.25</v>
      </c>
      <c r="AK240" s="778">
        <f>VLOOKUP(F240,'2) Tracker'!$A$2:$AQ$980,43,FALSE)</f>
        <v>46175</v>
      </c>
      <c r="AL240" s="778">
        <f>VLOOKUP(F240,'2) Tracker'!$A$2:$BH$980,46,FALSE())</f>
        <v>46181</v>
      </c>
      <c r="AM240" s="778">
        <f>VLOOKUP(F240,'2) Tracker'!$A$2:$BO$980,65,FALSE())</f>
        <v>46166</v>
      </c>
      <c r="AN240" s="778">
        <f>VLOOKUP(F240,'2) Tracker'!$A$2:$BK$980,63,FALSE())</f>
        <v>46191</v>
      </c>
      <c r="AO240" s="778">
        <f>VLOOKUP(F240,'2) Tracker'!$A$2:$BF$980,58,FALSE())</f>
        <v>46156</v>
      </c>
      <c r="AP240" s="52"/>
      <c r="AQ240" s="52"/>
      <c r="AR240" s="52"/>
      <c r="AS240" s="52"/>
      <c r="AT240" s="52"/>
      <c r="AU240" s="52"/>
      <c r="AV240" s="52"/>
      <c r="AW240" s="52"/>
      <c r="AX240" s="52"/>
      <c r="AY240" s="52"/>
      <c r="AZ240" s="734"/>
      <c r="BA240" s="786" t="str">
        <f>vlookup(AZ240,'Iran, FS'!$A$1:$B$318,2, false)</f>
        <v>#N/A</v>
      </c>
      <c r="BB240" s="787" t="str">
        <f>vlookup(AZ240,'1) Kpler'!$E$2:$F$500,2,false)</f>
        <v>#N/A</v>
      </c>
      <c r="BC240" s="740"/>
      <c r="BD240" s="734"/>
      <c r="BE240" s="52"/>
      <c r="BF240" s="52"/>
      <c r="BG240" s="734"/>
      <c r="BH240" s="734"/>
      <c r="BI240" s="734"/>
      <c r="BJ240" s="734"/>
    </row>
    <row r="241">
      <c r="B241" s="765" t="str">
        <f>vlookup(F241,'2) Tracker'!$A$3:$O$410,5,false)</f>
        <v/>
      </c>
      <c r="C241" s="765" t="str">
        <f>vlookup(F241,'2) Tracker'!$A$3:$O$410,4,false)</f>
        <v>US</v>
      </c>
      <c r="D241" s="734"/>
      <c r="E241" s="734" t="str">
        <f>vlookup(F241,'2) Tracker'!$A$3:$O$406,15,false)</f>
        <v/>
      </c>
      <c r="F241" s="788" t="s">
        <v>189</v>
      </c>
      <c r="G241" s="783">
        <f>VLOOKUP(F241,'2) Tracker'!$A$2:$BO$360,2,FALSE)</f>
        <v>42248</v>
      </c>
      <c r="H241" s="768">
        <f>VLOOKUP(F241,'2) Tracker'!$A$2:$BO$360,3,FALSE)</f>
        <v>84000</v>
      </c>
      <c r="I241" s="770" t="str">
        <f>VLOOKUP(F241,'2) Tracker'!$A$2:$BO$360,9,FALSE)</f>
        <v>Satellite</v>
      </c>
      <c r="J241" s="770" t="str">
        <f>VLOOKUP(F241,'2) Tracker'!$A$2:$BO$360,12,FALSE)</f>
        <v>Japan</v>
      </c>
      <c r="K241" s="774">
        <f t="shared" si="207"/>
        <v>46177</v>
      </c>
      <c r="L241" s="774">
        <f t="shared" ref="L241:O241" si="288">AE241</f>
        <v>46187</v>
      </c>
      <c r="M241" s="771" t="str">
        <f t="shared" si="288"/>
        <v/>
      </c>
      <c r="N241" s="771">
        <f t="shared" si="288"/>
        <v>46163</v>
      </c>
      <c r="O241" s="772" t="str">
        <f t="shared" si="288"/>
        <v/>
      </c>
      <c r="P241" s="773" t="str">
        <f>iferror(if(vlookup(F241,'Voyage days'!$M$808:$N$819,2,false),"GOA",""),"")</f>
        <v/>
      </c>
      <c r="Q241" s="771">
        <f t="shared" si="81"/>
        <v>46167</v>
      </c>
      <c r="R241" s="774">
        <f t="shared" si="83"/>
        <v>46191</v>
      </c>
      <c r="S241" s="774">
        <f t="shared" si="5"/>
        <v>46181</v>
      </c>
      <c r="T241" s="771">
        <f t="shared" si="6"/>
        <v>46175</v>
      </c>
      <c r="U241" s="774">
        <f t="shared" si="84"/>
        <v>46155</v>
      </c>
      <c r="V241" s="745" t="s">
        <v>1523</v>
      </c>
      <c r="W241" s="771">
        <f t="shared" si="85"/>
        <v>46153.25</v>
      </c>
      <c r="X241" s="775">
        <f t="shared" si="9"/>
        <v>46156</v>
      </c>
      <c r="Y241" s="784"/>
      <c r="Z241" s="777" t="str">
        <f>vlookup(F241,'2) Tracker'!$A$3:$Q$504,16,false)</f>
        <v>ETA 1st port Chiba 27 Apr</v>
      </c>
      <c r="AA241" s="777" t="str">
        <f>vlookup(F241,'2) Tracker'!$A$3:$R$504,18,false)</f>
        <v>Exxon 24-25 Mar Nederland</v>
      </c>
      <c r="AB241" s="777"/>
      <c r="AC241" s="778"/>
      <c r="AD241" s="778">
        <f>VLOOKUP(F241,'2) Tracker'!$A$2:$BO$980,37,FALSE)</f>
        <v>46177</v>
      </c>
      <c r="AE241" s="778">
        <f>VLOOKUP(F241,'2) Tracker'!$A$2:$BO$980,40,FALSE)</f>
        <v>46187</v>
      </c>
      <c r="AF241" s="778" t="str">
        <f>VLOOKUP(F241,'2) Tracker'!$A$2:$BO$980,67,FALSE)</f>
        <v/>
      </c>
      <c r="AG241" s="778">
        <f>VLOOKUP(F241,'2) Tracker'!$A$2:$BO$980,34,FALSE)</f>
        <v>46163</v>
      </c>
      <c r="AH241" s="778" t="str">
        <f>VLOOKUP(F241,'2) Tracker'!$A$2:$BN$980,66,FALSE)</f>
        <v/>
      </c>
      <c r="AI241" s="778">
        <f>VLOOKUP(F241,'2) Tracker'!$A$2:$BO$980,56,FALSE)</f>
        <v>46155</v>
      </c>
      <c r="AJ241" s="778">
        <f>VLOOKUP(F241,'2) Tracker'!$A$2:$BO$980,52,FALSE)</f>
        <v>46153.25</v>
      </c>
      <c r="AK241" s="778">
        <f>VLOOKUP(F241,'2) Tracker'!$A$2:$AQ$980,43,FALSE)</f>
        <v>46175</v>
      </c>
      <c r="AL241" s="778">
        <f>VLOOKUP(F241,'2) Tracker'!$A$2:$BH$980,46,FALSE())</f>
        <v>46181</v>
      </c>
      <c r="AM241" s="778">
        <f>VLOOKUP(F241,'2) Tracker'!$A$2:$BO$980,65,FALSE())</f>
        <v>46167</v>
      </c>
      <c r="AN241" s="778">
        <f>VLOOKUP(F241,'2) Tracker'!$A$2:$BK$980,63,FALSE())</f>
        <v>46191</v>
      </c>
      <c r="AO241" s="778">
        <f>VLOOKUP(F241,'2) Tracker'!$A$2:$BF$980,58,FALSE())</f>
        <v>46156</v>
      </c>
      <c r="AP241" s="52"/>
      <c r="AQ241" s="52"/>
      <c r="AR241" s="52"/>
      <c r="AS241" s="52"/>
      <c r="AT241" s="52"/>
      <c r="AU241" s="52"/>
      <c r="AV241" s="52"/>
      <c r="AW241" s="52"/>
      <c r="AX241" s="52"/>
      <c r="AY241" s="52"/>
      <c r="AZ241" s="734"/>
      <c r="BA241" s="786" t="str">
        <f>vlookup(AZ241,'Iran, FS'!$A$1:$B$318,2, false)</f>
        <v>#N/A</v>
      </c>
      <c r="BB241" s="787" t="str">
        <f>vlookup(AZ241,'1) Kpler'!$E$2:$F$500,2,false)</f>
        <v>#N/A</v>
      </c>
      <c r="BC241" s="740"/>
      <c r="BD241" s="734"/>
      <c r="BE241" s="52"/>
      <c r="BF241" s="52"/>
      <c r="BG241" s="734"/>
      <c r="BH241" s="734"/>
      <c r="BI241" s="734"/>
      <c r="BJ241" s="734"/>
    </row>
    <row r="242">
      <c r="B242" s="765" t="str">
        <f>vlookup(F242,'2) Tracker'!$A$3:$O$410,5,false)</f>
        <v/>
      </c>
      <c r="C242" s="765" t="str">
        <f>vlookup(F242,'2) Tracker'!$A$3:$O$410,4,false)</f>
        <v>US</v>
      </c>
      <c r="D242" s="734"/>
      <c r="E242" s="734" t="str">
        <f>vlookup(F242,'2) Tracker'!$A$3:$O$406,15,false)</f>
        <v/>
      </c>
      <c r="F242" s="788" t="s">
        <v>195</v>
      </c>
      <c r="G242" s="783">
        <f>VLOOKUP(F242,'2) Tracker'!$A$2:$BO$360,2,FALSE)</f>
        <v>42208</v>
      </c>
      <c r="H242" s="768">
        <f>VLOOKUP(F242,'2) Tracker'!$A$2:$BO$360,3,FALSE)</f>
        <v>84000</v>
      </c>
      <c r="I242" s="770" t="str">
        <f>VLOOKUP(F242,'2) Tracker'!$A$2:$BO$360,9,FALSE)</f>
        <v>Helios</v>
      </c>
      <c r="J242" s="770" t="str">
        <f>VLOOKUP(F242,'2) Tracker'!$A$2:$BO$360,12,FALSE)</f>
        <v>Japan</v>
      </c>
      <c r="K242" s="771">
        <f t="shared" si="207"/>
        <v>46177</v>
      </c>
      <c r="L242" s="771">
        <f t="shared" ref="L242:O242" si="289">AE242</f>
        <v>46187</v>
      </c>
      <c r="M242" s="771" t="str">
        <f t="shared" si="289"/>
        <v/>
      </c>
      <c r="N242" s="771">
        <f t="shared" si="289"/>
        <v>46163</v>
      </c>
      <c r="O242" s="772" t="str">
        <f t="shared" si="289"/>
        <v/>
      </c>
      <c r="P242" s="773" t="str">
        <f>iferror(if(vlookup(F242,'Voyage days'!$M$808:$N$819,2,false),"GOA",""),"")</f>
        <v/>
      </c>
      <c r="Q242" s="771">
        <f t="shared" si="81"/>
        <v>46166</v>
      </c>
      <c r="R242" s="771">
        <f t="shared" si="83"/>
        <v>46191</v>
      </c>
      <c r="S242" s="774">
        <f t="shared" si="5"/>
        <v>46181</v>
      </c>
      <c r="T242" s="771">
        <f t="shared" si="6"/>
        <v>46175</v>
      </c>
      <c r="U242" s="771">
        <f t="shared" si="84"/>
        <v>46154</v>
      </c>
      <c r="V242" s="802"/>
      <c r="W242" s="802">
        <f t="shared" si="85"/>
        <v>46153.25</v>
      </c>
      <c r="X242" s="775">
        <f t="shared" si="9"/>
        <v>46156</v>
      </c>
      <c r="Y242" s="795" t="s">
        <v>1585</v>
      </c>
      <c r="Z242" s="777" t="str">
        <f>vlookup(F242,'2) Tracker'!$A$3:$Q$504,16,false)</f>
        <v>ETA 1st port Chiba 28 Apr</v>
      </c>
      <c r="AA242" s="777" t="str">
        <f>vlookup(F242,'2) Tracker'!$A$3:$R$504,18,false)</f>
        <v>Equinor 18-19 Mar Enterprise</v>
      </c>
      <c r="AB242" s="777" t="str">
        <f>vlookup(F242,'2) Tracker'!$A$3:$Q$504,17,false)</f>
        <v/>
      </c>
      <c r="AC242" s="778"/>
      <c r="AD242" s="778">
        <f>VLOOKUP(F242,'2) Tracker'!$A$2:$BO$980,37,FALSE)</f>
        <v>46177</v>
      </c>
      <c r="AE242" s="778">
        <f>VLOOKUP(F242,'2) Tracker'!$A$2:$BO$980,40,FALSE)</f>
        <v>46187</v>
      </c>
      <c r="AF242" s="778" t="str">
        <f>VLOOKUP(F242,'2) Tracker'!$A$2:$BO$980,67,FALSE)</f>
        <v/>
      </c>
      <c r="AG242" s="778">
        <f>VLOOKUP(F242,'2) Tracker'!$A$2:$BO$980,34,FALSE)</f>
        <v>46163</v>
      </c>
      <c r="AH242" s="778" t="str">
        <f>VLOOKUP(F242,'2) Tracker'!$A$2:$BN$980,66,FALSE)</f>
        <v/>
      </c>
      <c r="AI242" s="778">
        <f>VLOOKUP(F242,'2) Tracker'!$A$2:$BO$980,56,FALSE)</f>
        <v>46154</v>
      </c>
      <c r="AJ242" s="778">
        <f>VLOOKUP(F242,'2) Tracker'!$A$2:$BO$980,52,FALSE)</f>
        <v>46153.25</v>
      </c>
      <c r="AK242" s="778">
        <f>VLOOKUP(F242,'2) Tracker'!$A$2:$AQ$980,43,FALSE)</f>
        <v>46175</v>
      </c>
      <c r="AL242" s="778">
        <f>VLOOKUP(F242,'2) Tracker'!$A$2:$BH$980,46,FALSE())</f>
        <v>46181</v>
      </c>
      <c r="AM242" s="778">
        <f>VLOOKUP(F242,'2) Tracker'!$A$2:$BO$980,65,FALSE())</f>
        <v>46166</v>
      </c>
      <c r="AN242" s="778">
        <f>VLOOKUP(F242,'2) Tracker'!$A$2:$BK$980,63,FALSE())</f>
        <v>46191</v>
      </c>
      <c r="AO242" s="778">
        <f>VLOOKUP(F242,'2) Tracker'!$A$2:$BF$980,58,FALSE())</f>
        <v>46156</v>
      </c>
      <c r="AP242" s="52"/>
      <c r="AQ242" s="52"/>
      <c r="AR242" s="52"/>
      <c r="AS242" s="52"/>
      <c r="AT242" s="52"/>
      <c r="AU242" s="52"/>
      <c r="AV242" s="52"/>
      <c r="AW242" s="52"/>
      <c r="AX242" s="52"/>
      <c r="AY242" s="52"/>
      <c r="AZ242" s="787"/>
      <c r="BA242" s="786" t="str">
        <f>vlookup(AZ242,'Iran, FS'!$A$1:$B$318,2, false)</f>
        <v>#N/A</v>
      </c>
      <c r="BB242" s="787" t="str">
        <f>vlookup(AZ242,'1) Kpler'!$E$2:$F$500,2,false)</f>
        <v>#N/A</v>
      </c>
      <c r="BC242" s="788"/>
      <c r="BD242" s="787"/>
      <c r="BE242" s="52"/>
      <c r="BF242" s="52"/>
      <c r="BG242" s="787"/>
      <c r="BH242" s="787"/>
      <c r="BI242" s="787"/>
      <c r="BJ242" s="787"/>
    </row>
    <row r="243">
      <c r="B243" s="765" t="str">
        <f>vlookup(F243,'2) Tracker'!$A$3:$O$410,5,false)</f>
        <v>C</v>
      </c>
      <c r="C243" s="765" t="str">
        <f>vlookup(F243,'2) Tracker'!$A$3:$O$410,4,false)</f>
        <v/>
      </c>
      <c r="D243" s="734"/>
      <c r="E243" s="734" t="str">
        <f>vlookup(F243,'2) Tracker'!$A$3:$O$406,15,false)</f>
        <v/>
      </c>
      <c r="F243" s="788" t="s">
        <v>85</v>
      </c>
      <c r="G243" s="789">
        <f>VLOOKUP(F243,'2) Tracker'!$A$2:$BO$360,2,FALSE)</f>
        <v>2021</v>
      </c>
      <c r="H243" s="768">
        <f>VLOOKUP(F243,'2) Tracker'!$A$2:$BO$360,3,FALSE)</f>
        <v>91000</v>
      </c>
      <c r="I243" s="777" t="str">
        <f>VLOOKUP(F243,'2) Tracker'!$A$2:$BO$360,9,FALSE)</f>
        <v>Trafigura</v>
      </c>
      <c r="J243" s="770" t="str">
        <f>VLOOKUP(F243,'2) Tracker'!$A$2:$BO$360,12,FALSE)</f>
        <v>Japan</v>
      </c>
      <c r="K243" s="774">
        <f t="shared" si="207"/>
        <v>46177</v>
      </c>
      <c r="L243" s="774">
        <f t="shared" ref="L243:O243" si="290">AE243</f>
        <v>46187</v>
      </c>
      <c r="M243" s="771" t="str">
        <f t="shared" si="290"/>
        <v/>
      </c>
      <c r="N243" s="772">
        <f t="shared" si="290"/>
        <v>46163</v>
      </c>
      <c r="O243" s="772" t="str">
        <f t="shared" si="290"/>
        <v/>
      </c>
      <c r="P243" s="773" t="str">
        <f>iferror(if(vlookup(F243,'Voyage days'!$M$808:$N$819,2,false),"GOA",""),"")</f>
        <v/>
      </c>
      <c r="Q243" s="771">
        <f t="shared" si="81"/>
        <v>46166</v>
      </c>
      <c r="R243" s="774">
        <f t="shared" si="83"/>
        <v>46191</v>
      </c>
      <c r="S243" s="774">
        <f t="shared" si="5"/>
        <v>46181</v>
      </c>
      <c r="T243" s="771">
        <f t="shared" si="6"/>
        <v>46175</v>
      </c>
      <c r="U243" s="774">
        <f t="shared" si="84"/>
        <v>46154</v>
      </c>
      <c r="V243" s="771"/>
      <c r="W243" s="771">
        <f t="shared" si="85"/>
        <v>46153.25</v>
      </c>
      <c r="X243" s="775">
        <f t="shared" si="9"/>
        <v>46156</v>
      </c>
      <c r="Y243" s="784"/>
      <c r="Z243" s="777" t="str">
        <f>vlookup(F243,'2) Tracker'!$A$3:$Q$504,16,false)</f>
        <v>ETA Chiba 26 Apr</v>
      </c>
      <c r="AA243" s="777" t="str">
        <f>vlookup(F243,'2) Tracker'!$A$3:$R$504,18,false)</f>
        <v>BWPS 19-20 Mar Enterprise</v>
      </c>
      <c r="AB243" s="777" t="str">
        <f>vlookup(F243,'2) Tracker'!$A$3:$Q$504,17,false)</f>
        <v/>
      </c>
      <c r="AC243" s="778"/>
      <c r="AD243" s="778">
        <f>VLOOKUP(F243,'2) Tracker'!$A$2:$BO$980,37,FALSE)</f>
        <v>46177</v>
      </c>
      <c r="AE243" s="778">
        <f>VLOOKUP(F243,'2) Tracker'!$A$2:$BO$980,40,FALSE)</f>
        <v>46187</v>
      </c>
      <c r="AF243" s="778" t="str">
        <f>VLOOKUP(F243,'2) Tracker'!$A$2:$BO$980,67,FALSE)</f>
        <v/>
      </c>
      <c r="AG243" s="778">
        <f>VLOOKUP(F243,'2) Tracker'!$A$2:$BO$980,34,FALSE)</f>
        <v>46163</v>
      </c>
      <c r="AH243" s="778" t="str">
        <f>VLOOKUP(F243,'2) Tracker'!$A$2:$BN$980,66,FALSE)</f>
        <v/>
      </c>
      <c r="AI243" s="778">
        <f>VLOOKUP(F243,'2) Tracker'!$A$2:$BO$980,56,FALSE)</f>
        <v>46154</v>
      </c>
      <c r="AJ243" s="778">
        <f>VLOOKUP(F243,'2) Tracker'!$A$2:$BO$980,52,FALSE)</f>
        <v>46153.25</v>
      </c>
      <c r="AK243" s="778">
        <f>VLOOKUP(F243,'2) Tracker'!$A$2:$AQ$980,43,FALSE)</f>
        <v>46175</v>
      </c>
      <c r="AL243" s="778">
        <f>VLOOKUP(F243,'2) Tracker'!$A$2:$BH$980,46,FALSE())</f>
        <v>46181</v>
      </c>
      <c r="AM243" s="778">
        <f>VLOOKUP(F243,'2) Tracker'!$A$2:$BO$980,65,FALSE())</f>
        <v>46166</v>
      </c>
      <c r="AN243" s="778">
        <f>VLOOKUP(F243,'2) Tracker'!$A$2:$BK$980,63,FALSE())</f>
        <v>46191</v>
      </c>
      <c r="AO243" s="778">
        <f>VLOOKUP(F243,'2) Tracker'!$A$2:$BF$980,58,FALSE())</f>
        <v>46156</v>
      </c>
      <c r="AP243" s="52"/>
      <c r="AQ243" s="52"/>
      <c r="AR243" s="52"/>
      <c r="AS243" s="52"/>
      <c r="AT243" s="52"/>
      <c r="AU243" s="52"/>
      <c r="AV243" s="52"/>
      <c r="AW243" s="52"/>
      <c r="AX243" s="52"/>
      <c r="AY243" s="52"/>
      <c r="AZ243" s="734"/>
      <c r="BA243" s="786" t="str">
        <f>vlookup(AZ243,'Iran, FS'!$A$1:$B$318,2, false)</f>
        <v>#N/A</v>
      </c>
      <c r="BB243" s="787" t="str">
        <f>vlookup(AZ243,'1) Kpler'!$E$2:$F$500,2,false)</f>
        <v>#N/A</v>
      </c>
      <c r="BC243" s="740"/>
      <c r="BD243" s="734"/>
      <c r="BE243" s="52"/>
      <c r="BF243" s="52"/>
      <c r="BG243" s="734"/>
      <c r="BH243" s="734"/>
      <c r="BI243" s="734"/>
      <c r="BJ243" s="734"/>
    </row>
    <row r="244">
      <c r="B244" s="765" t="str">
        <f>vlookup(F244,'2) Tracker'!$A$3:$O$410,5,false)</f>
        <v/>
      </c>
      <c r="C244" s="765" t="str">
        <f>vlookup(F244,'2) Tracker'!$A$3:$O$410,4,false)</f>
        <v/>
      </c>
      <c r="D244" s="734"/>
      <c r="E244" s="734" t="str">
        <f>vlookup(F244,'2) Tracker'!$A$3:$O$406,15,false)</f>
        <v/>
      </c>
      <c r="F244" s="740" t="s">
        <v>764</v>
      </c>
      <c r="G244" s="789">
        <f>VLOOKUP(F244,'2) Tracker'!$A$2:$BO$360,2,FALSE)</f>
        <v>2020</v>
      </c>
      <c r="H244" s="768">
        <f>VLOOKUP(F244,'2) Tracker'!$A$2:$BO$360,3,FALSE)</f>
        <v>83000</v>
      </c>
      <c r="I244" s="770" t="str">
        <f>VLOOKUP(F244,'2) Tracker'!$A$2:$BO$360,9,FALSE)</f>
        <v>BGN</v>
      </c>
      <c r="J244" s="770" t="str">
        <f>VLOOKUP(F244,'2) Tracker'!$A$2:$BO$360,12,FALSE)</f>
        <v>Indo</v>
      </c>
      <c r="K244" s="771">
        <f t="shared" si="207"/>
        <v>46178</v>
      </c>
      <c r="L244" s="771">
        <f t="shared" ref="L244:O244" si="291">AE244</f>
        <v>46176</v>
      </c>
      <c r="M244" s="771" t="str">
        <f t="shared" si="291"/>
        <v/>
      </c>
      <c r="N244" s="771">
        <f t="shared" si="291"/>
        <v>46150</v>
      </c>
      <c r="O244" s="772" t="str">
        <f t="shared" si="291"/>
        <v/>
      </c>
      <c r="P244" s="773" t="str">
        <f>iferror(if(vlookup(F244,'Voyage days'!$M$808:$N$819,2,false),"GOA",""),"")</f>
        <v/>
      </c>
      <c r="Q244" s="771">
        <f t="shared" si="81"/>
        <v>46153</v>
      </c>
      <c r="R244" s="771">
        <f t="shared" si="83"/>
        <v>46176</v>
      </c>
      <c r="S244" s="774">
        <f t="shared" si="5"/>
        <v>46168</v>
      </c>
      <c r="T244" s="771">
        <f t="shared" si="6"/>
        <v>46159</v>
      </c>
      <c r="U244" s="771">
        <f t="shared" si="84"/>
        <v>46143</v>
      </c>
      <c r="V244" s="771"/>
      <c r="W244" s="771">
        <f t="shared" si="85"/>
        <v>46143</v>
      </c>
      <c r="X244" s="775" t="str">
        <f t="shared" si="9"/>
        <v/>
      </c>
      <c r="Y244" s="804" t="s">
        <v>1586</v>
      </c>
      <c r="Z244" s="777" t="str">
        <f>vlookup(F244,'2) Tracker'!$A$3:$Q$504,16,false)</f>
        <v>ETA Merak 23 Apr</v>
      </c>
      <c r="AA244" s="777" t="str">
        <f>vlookup(F244,'2) Tracker'!$A$3:$R$504,18,false)</f>
        <v>BGN 10-11 Mar Freeport</v>
      </c>
      <c r="AB244" s="777" t="str">
        <f>vlookup(F244,'2) Tracker'!$A$3:$Q$504,17,false)</f>
        <v/>
      </c>
      <c r="AC244" s="778"/>
      <c r="AD244" s="778">
        <f>VLOOKUP(F244,'2) Tracker'!$A$2:$BO$980,37,FALSE)</f>
        <v>46178</v>
      </c>
      <c r="AE244" s="778">
        <f>VLOOKUP(F244,'2) Tracker'!$A$2:$BO$980,40,FALSE)</f>
        <v>46176</v>
      </c>
      <c r="AF244" s="778" t="str">
        <f>VLOOKUP(F244,'2) Tracker'!$A$2:$BO$980,67,FALSE)</f>
        <v/>
      </c>
      <c r="AG244" s="778">
        <f>VLOOKUP(F244,'2) Tracker'!$A$2:$BO$980,34,FALSE)</f>
        <v>46150</v>
      </c>
      <c r="AH244" s="778" t="str">
        <f>VLOOKUP(F244,'2) Tracker'!$A$2:$BN$980,66,FALSE)</f>
        <v/>
      </c>
      <c r="AI244" s="778">
        <f>VLOOKUP(F244,'2) Tracker'!$A$2:$BO$980,56,FALSE)</f>
        <v>46143</v>
      </c>
      <c r="AJ244" s="778">
        <f>VLOOKUP(F244,'2) Tracker'!$A$2:$BO$980,52,FALSE)</f>
        <v>46143</v>
      </c>
      <c r="AK244" s="778">
        <f>VLOOKUP(F244,'2) Tracker'!$A$2:$AQ$980,43,FALSE)</f>
        <v>46159</v>
      </c>
      <c r="AL244" s="778">
        <f>VLOOKUP(F244,'2) Tracker'!$A$2:$BH$980,46,FALSE())</f>
        <v>46168</v>
      </c>
      <c r="AM244" s="778">
        <f>VLOOKUP(F244,'2) Tracker'!$A$2:$BO$980,65,FALSE())</f>
        <v>46153</v>
      </c>
      <c r="AN244" s="778">
        <f>VLOOKUP(F244,'2) Tracker'!$A$2:$BK$980,63,FALSE())</f>
        <v>46176</v>
      </c>
      <c r="AO244" s="778" t="str">
        <f>VLOOKUP(F244,'2) Tracker'!$A$2:$BF$980,58,FALSE())</f>
        <v/>
      </c>
      <c r="AP244" s="52"/>
      <c r="AQ244" s="52"/>
      <c r="AR244" s="52"/>
      <c r="AS244" s="52"/>
      <c r="AT244" s="52"/>
      <c r="AU244" s="52"/>
      <c r="AV244" s="52"/>
      <c r="AW244" s="52"/>
      <c r="AX244" s="52"/>
      <c r="AY244" s="52"/>
      <c r="AZ244" s="734"/>
      <c r="BA244" s="740"/>
      <c r="BB244" s="734"/>
      <c r="BC244" s="740"/>
      <c r="BD244" s="734"/>
      <c r="BE244" s="52"/>
      <c r="BF244" s="52"/>
      <c r="BG244" s="734"/>
      <c r="BH244" s="734"/>
      <c r="BI244" s="734"/>
      <c r="BJ244" s="734"/>
    </row>
    <row r="245">
      <c r="B245" s="765" t="str">
        <f>vlookup(F245,'2) Tracker'!$A$3:$O$410,5,false)</f>
        <v/>
      </c>
      <c r="C245" s="765" t="str">
        <f>vlookup(F245,'2) Tracker'!$A$3:$O$410,4,false)</f>
        <v/>
      </c>
      <c r="D245" s="734"/>
      <c r="E245" s="771" t="str">
        <f>vlookup(F245,'2) Tracker'!$A$3:$O$406,15,false)</f>
        <v/>
      </c>
      <c r="F245" s="788" t="s">
        <v>421</v>
      </c>
      <c r="G245" s="789">
        <f>VLOOKUP(F245,'2) Tracker'!$A$2:$BO$360,2,FALSE)</f>
        <v>2019</v>
      </c>
      <c r="H245" s="768">
        <f>VLOOKUP(F245,'2) Tracker'!$A$2:$BO$360,3,FALSE)</f>
        <v>83000</v>
      </c>
      <c r="I245" s="777" t="str">
        <f>VLOOKUP(F245,'2) Tracker'!$A$2:$BO$360,9,FALSE)</f>
        <v>Astomos</v>
      </c>
      <c r="J245" s="770" t="str">
        <f>VLOOKUP(F245,'2) Tracker'!$A$2:$BO$360,12,FALSE)</f>
        <v>Far East</v>
      </c>
      <c r="K245" s="771">
        <f t="shared" si="207"/>
        <v>46178</v>
      </c>
      <c r="L245" s="771">
        <f t="shared" ref="L245:O245" si="292">AE245</f>
        <v>46185</v>
      </c>
      <c r="M245" s="771" t="str">
        <f t="shared" si="292"/>
        <v/>
      </c>
      <c r="N245" s="771">
        <f t="shared" si="292"/>
        <v>46165</v>
      </c>
      <c r="O245" s="772" t="str">
        <f t="shared" si="292"/>
        <v/>
      </c>
      <c r="P245" s="773" t="str">
        <f>iferror(if(vlookup(F245,'Voyage days'!$M$808:$N$819,2,false),"GOA",""),"")</f>
        <v/>
      </c>
      <c r="Q245" s="771">
        <f t="shared" si="81"/>
        <v>46171</v>
      </c>
      <c r="R245" s="771">
        <f t="shared" si="83"/>
        <v>46193</v>
      </c>
      <c r="S245" s="774">
        <f t="shared" si="5"/>
        <v>46183</v>
      </c>
      <c r="T245" s="771">
        <f t="shared" si="6"/>
        <v>46177</v>
      </c>
      <c r="U245" s="771">
        <f t="shared" si="84"/>
        <v>46159</v>
      </c>
      <c r="V245" s="745" t="s">
        <v>1523</v>
      </c>
      <c r="W245" s="771">
        <f t="shared" si="85"/>
        <v>46155.25</v>
      </c>
      <c r="X245" s="775">
        <f t="shared" si="9"/>
        <v>46158</v>
      </c>
      <c r="Y245" s="776"/>
      <c r="Z245" s="777" t="str">
        <f>vlookup(F245,'2) Tracker'!$A$3:$Q$504,16,false)</f>
        <v>ETA RIPET 14 Apr</v>
      </c>
      <c r="AA245" s="777" t="str">
        <f>vlookup(F245,'2) Tracker'!$A$3:$R$504,18,false)</f>
        <v>Astomos 15-16 Apr RIPET</v>
      </c>
      <c r="AB245" s="777" t="str">
        <f>vlookup(F245,'2) Tracker'!$A$3:$Q$504,17,false)</f>
        <v/>
      </c>
      <c r="AC245" s="778"/>
      <c r="AD245" s="778">
        <f>VLOOKUP(F245,'2) Tracker'!$A$2:$BO$980,37,FALSE)</f>
        <v>46178</v>
      </c>
      <c r="AE245" s="778">
        <f>VLOOKUP(F245,'2) Tracker'!$A$2:$BO$980,40,FALSE)</f>
        <v>46185</v>
      </c>
      <c r="AF245" s="778" t="str">
        <f>VLOOKUP(F245,'2) Tracker'!$A$2:$BO$980,67,FALSE)</f>
        <v/>
      </c>
      <c r="AG245" s="778">
        <f>VLOOKUP(F245,'2) Tracker'!$A$2:$BO$980,34,FALSE)</f>
        <v>46165</v>
      </c>
      <c r="AH245" s="778" t="str">
        <f>VLOOKUP(F245,'2) Tracker'!$A$2:$BN$980,66,FALSE)</f>
        <v/>
      </c>
      <c r="AI245" s="778">
        <f>VLOOKUP(F245,'2) Tracker'!$A$2:$BO$980,56,FALSE)</f>
        <v>46159</v>
      </c>
      <c r="AJ245" s="778">
        <f>VLOOKUP(F245,'2) Tracker'!$A$2:$BO$980,52,FALSE)</f>
        <v>46155.25</v>
      </c>
      <c r="AK245" s="778">
        <f>VLOOKUP(F245,'2) Tracker'!$A$2:$AQ$980,43,FALSE)</f>
        <v>46177</v>
      </c>
      <c r="AL245" s="778">
        <f>VLOOKUP(F245,'2) Tracker'!$A$2:$BH$980,46,FALSE())</f>
        <v>46183</v>
      </c>
      <c r="AM245" s="778">
        <f>VLOOKUP(F245,'2) Tracker'!$A$2:$BO$980,65,FALSE())</f>
        <v>46171</v>
      </c>
      <c r="AN245" s="778">
        <f>VLOOKUP(F245,'2) Tracker'!$A$2:$BK$980,63,FALSE())</f>
        <v>46193</v>
      </c>
      <c r="AO245" s="778">
        <f>VLOOKUP(F245,'2) Tracker'!$A$2:$BF$980,58,FALSE())</f>
        <v>46158</v>
      </c>
      <c r="AP245" s="52"/>
      <c r="AQ245" s="52"/>
      <c r="AR245" s="52"/>
      <c r="AS245" s="52"/>
      <c r="AT245" s="52"/>
      <c r="AU245" s="52"/>
      <c r="AV245" s="52"/>
      <c r="AW245" s="52"/>
      <c r="AX245" s="52"/>
      <c r="AY245" s="52"/>
      <c r="AZ245" s="734"/>
      <c r="BA245" s="786" t="str">
        <f>vlookup(AZ245,'Iran, FS'!$A$1:$B$318,2, false)</f>
        <v>#N/A</v>
      </c>
      <c r="BB245" s="787" t="str">
        <f>vlookup(AZ245,'1) Kpler'!$E$2:$F$500,2,false)</f>
        <v>#N/A</v>
      </c>
      <c r="BC245" s="740"/>
      <c r="BD245" s="734"/>
      <c r="BE245" s="52"/>
      <c r="BF245" s="52"/>
      <c r="BG245" s="734"/>
      <c r="BH245" s="734"/>
      <c r="BI245" s="734"/>
      <c r="BJ245" s="734"/>
    </row>
    <row r="246">
      <c r="B246" s="765" t="str">
        <f>vlookup(F246,'2) Tracker'!$A$3:$O$410,5,false)</f>
        <v/>
      </c>
      <c r="C246" s="765" t="str">
        <f>vlookup(F246,'2) Tracker'!$A$3:$O$410,4,false)</f>
        <v>US</v>
      </c>
      <c r="D246" s="734"/>
      <c r="E246" s="734" t="str">
        <f>vlookup(F246,'2) Tracker'!$A$3:$O$406,15,false)</f>
        <v/>
      </c>
      <c r="F246" s="740" t="s">
        <v>395</v>
      </c>
      <c r="G246" s="783">
        <f>VLOOKUP(F246,'2) Tracker'!$A$2:$BO$360,2,FALSE)</f>
        <v>40422</v>
      </c>
      <c r="H246" s="768">
        <f>VLOOKUP(F246,'2) Tracker'!$A$2:$BO$360,3,FALSE)</f>
        <v>80199</v>
      </c>
      <c r="I246" s="770" t="str">
        <f>VLOOKUP(F246,'2) Tracker'!$A$2:$BO$360,9,FALSE)</f>
        <v>Exxon</v>
      </c>
      <c r="J246" s="770" t="str">
        <f>VLOOKUP(F246,'2) Tracker'!$A$2:$BO$360,12,FALSE)</f>
        <v>Vietnam</v>
      </c>
      <c r="K246" s="774">
        <f t="shared" si="207"/>
        <v>46179</v>
      </c>
      <c r="L246" s="774">
        <f t="shared" ref="L246:O246" si="293">AE246</f>
        <v>46181</v>
      </c>
      <c r="M246" s="771" t="str">
        <f t="shared" si="293"/>
        <v/>
      </c>
      <c r="N246" s="771">
        <f t="shared" si="293"/>
        <v>46155</v>
      </c>
      <c r="O246" s="772" t="str">
        <f t="shared" si="293"/>
        <v/>
      </c>
      <c r="P246" s="773" t="str">
        <f>iferror(if(vlookup(F246,'Voyage days'!$M$808:$N$821,2,false),"GOA",""),"")</f>
        <v/>
      </c>
      <c r="Q246" s="771">
        <f t="shared" si="81"/>
        <v>46157</v>
      </c>
      <c r="R246" s="774">
        <f t="shared" si="83"/>
        <v>46182</v>
      </c>
      <c r="S246" s="774">
        <f t="shared" si="5"/>
        <v>46172</v>
      </c>
      <c r="T246" s="774">
        <f t="shared" si="6"/>
        <v>46166</v>
      </c>
      <c r="U246" s="774">
        <f t="shared" si="84"/>
        <v>46145</v>
      </c>
      <c r="V246" s="774"/>
      <c r="W246" s="774">
        <f t="shared" si="85"/>
        <v>46148.25</v>
      </c>
      <c r="X246" s="775" t="str">
        <f t="shared" si="9"/>
        <v/>
      </c>
      <c r="Y246" s="804" t="s">
        <v>1587</v>
      </c>
      <c r="Z246" s="777" t="str">
        <f>vlookup(F246,'2) Tracker'!$A$3:$Q$504,16,false)</f>
        <v>ETA Vung Tau 28 Apr</v>
      </c>
      <c r="AA246" s="777" t="str">
        <f>vlookup(F246,'2) Tracker'!$A$3:$R$504,18,false)</f>
        <v>ATC 16-17 Mar Targa</v>
      </c>
      <c r="AB246" s="777" t="str">
        <f>vlookup(F246,'2) Tracker'!$A$3:$Q$504,17,false)</f>
        <v/>
      </c>
      <c r="AC246" s="778"/>
      <c r="AD246" s="778">
        <f>VLOOKUP(F246,'2) Tracker'!$A$2:$BO$980,37,FALSE)</f>
        <v>46179</v>
      </c>
      <c r="AE246" s="778">
        <f>VLOOKUP(F246,'2) Tracker'!$A$2:$BO$980,40,FALSE)</f>
        <v>46181</v>
      </c>
      <c r="AF246" s="778" t="str">
        <f>VLOOKUP(F246,'2) Tracker'!$A$2:$BO$980,67,FALSE)</f>
        <v/>
      </c>
      <c r="AG246" s="778">
        <f>VLOOKUP(F246,'2) Tracker'!$A$2:$BO$980,34,FALSE)</f>
        <v>46155</v>
      </c>
      <c r="AH246" s="778" t="str">
        <f>VLOOKUP(F246,'2) Tracker'!$A$2:$BN$980,66,FALSE)</f>
        <v/>
      </c>
      <c r="AI246" s="778">
        <f>VLOOKUP(F246,'2) Tracker'!$A$2:$BO$980,56,FALSE)</f>
        <v>46145</v>
      </c>
      <c r="AJ246" s="778">
        <f>VLOOKUP(F246,'2) Tracker'!$A$2:$BO$980,52,FALSE)</f>
        <v>46148.25</v>
      </c>
      <c r="AK246" s="778">
        <f>VLOOKUP(F246,'2) Tracker'!$A$2:$AQ$980,43,FALSE)</f>
        <v>46166</v>
      </c>
      <c r="AL246" s="778">
        <f>VLOOKUP(F246,'2) Tracker'!$A$2:$BH$980,46,FALSE())</f>
        <v>46172</v>
      </c>
      <c r="AM246" s="778">
        <f>VLOOKUP(F246,'2) Tracker'!$A$2:$BO$980,65,FALSE())</f>
        <v>46157</v>
      </c>
      <c r="AN246" s="778">
        <f>VLOOKUP(F246,'2) Tracker'!$A$2:$BK$980,63,FALSE())</f>
        <v>46182</v>
      </c>
      <c r="AO246" s="778" t="str">
        <f>VLOOKUP(F246,'2) Tracker'!$A$2:$BF$980,58,FALSE())</f>
        <v/>
      </c>
      <c r="AP246" s="52"/>
      <c r="AQ246" s="52"/>
      <c r="AR246" s="52"/>
      <c r="AS246" s="52"/>
      <c r="AT246" s="52"/>
      <c r="AU246" s="52"/>
      <c r="AV246" s="52"/>
      <c r="AW246" s="52"/>
      <c r="AX246" s="52"/>
      <c r="AY246" s="52"/>
      <c r="AZ246" s="734"/>
      <c r="BA246" s="786" t="str">
        <f>vlookup(AZ246,'Iran, FS'!$A$1:$B$318,2, false)</f>
        <v>#N/A</v>
      </c>
      <c r="BB246" s="787" t="str">
        <f>vlookup(AZ246,'1) Kpler'!$E$2:$F$500,2,false)</f>
        <v>#N/A</v>
      </c>
      <c r="BC246" s="740"/>
      <c r="BD246" s="734"/>
      <c r="BE246" s="52"/>
      <c r="BF246" s="52"/>
      <c r="BG246" s="734"/>
      <c r="BH246" s="734"/>
      <c r="BI246" s="734"/>
      <c r="BJ246" s="734"/>
    </row>
    <row r="247">
      <c r="B247" s="765" t="str">
        <f>vlookup(F247,'2) Tracker'!$A$3:$O$410,5,false)</f>
        <v>C</v>
      </c>
      <c r="C247" s="765" t="str">
        <f>vlookup(F247,'2) Tracker'!$A$3:$O$410,4,false)</f>
        <v/>
      </c>
      <c r="D247" s="734"/>
      <c r="E247" s="734" t="str">
        <f>vlookup(F247,'2) Tracker'!$A$3:$O$406,15,false)</f>
        <v/>
      </c>
      <c r="F247" s="788" t="s">
        <v>163</v>
      </c>
      <c r="G247" s="783">
        <f>VLOOKUP(F247,'2) Tracker'!$A$2:$BO$360,2,FALSE)</f>
        <v>42377</v>
      </c>
      <c r="H247" s="768">
        <f>VLOOKUP(F247,'2) Tracker'!$A$2:$BO$360,3,FALSE)</f>
        <v>83000</v>
      </c>
      <c r="I247" s="770" t="str">
        <f>VLOOKUP(F247,'2) Tracker'!$A$2:$BO$360,9,FALSE)</f>
        <v>Sinochem Intl</v>
      </c>
      <c r="J247" s="770" t="str">
        <f>VLOOKUP(F247,'2) Tracker'!$A$2:$BO$360,12,FALSE)</f>
        <v>South China</v>
      </c>
      <c r="K247" s="771">
        <f t="shared" si="207"/>
        <v>46179</v>
      </c>
      <c r="L247" s="774">
        <f t="shared" ref="L247:O247" si="294">AE247</f>
        <v>46184</v>
      </c>
      <c r="M247" s="771" t="str">
        <f t="shared" si="294"/>
        <v/>
      </c>
      <c r="N247" s="771">
        <f t="shared" si="294"/>
        <v>46157</v>
      </c>
      <c r="O247" s="772" t="str">
        <f t="shared" si="294"/>
        <v/>
      </c>
      <c r="P247" s="773" t="str">
        <f>iferror(if(vlookup(F247,'Voyage days'!$M$808:$N$819,2,false),"GOA",""),"")</f>
        <v/>
      </c>
      <c r="Q247" s="771">
        <f t="shared" si="81"/>
        <v>46160</v>
      </c>
      <c r="R247" s="774">
        <f t="shared" si="83"/>
        <v>46184</v>
      </c>
      <c r="S247" s="774">
        <f t="shared" si="5"/>
        <v>46175</v>
      </c>
      <c r="T247" s="771">
        <f t="shared" si="6"/>
        <v>46168</v>
      </c>
      <c r="U247" s="774">
        <f t="shared" si="84"/>
        <v>46147</v>
      </c>
      <c r="V247" s="771"/>
      <c r="W247" s="771">
        <f t="shared" si="85"/>
        <v>46148.75</v>
      </c>
      <c r="X247" s="775" t="str">
        <f t="shared" si="9"/>
        <v/>
      </c>
      <c r="Y247" s="776"/>
      <c r="Z247" s="777" t="str">
        <f>vlookup(F247,'2) Tracker'!$A$3:$Q$504,16,false)</f>
        <v>ETA 1st port Dongguan 27 Apr</v>
      </c>
      <c r="AA247" s="777" t="str">
        <f>vlookup(F247,'2) Tracker'!$A$3:$R$504,18,false)</f>
        <v>Gyxis 23-24 Mar Freeport</v>
      </c>
      <c r="AB247" s="777" t="str">
        <f>vlookup(F247,'2) Tracker'!$A$3:$Q$504,17,false)</f>
        <v/>
      </c>
      <c r="AC247" s="778"/>
      <c r="AD247" s="778">
        <f>VLOOKUP(F247,'2) Tracker'!$A$2:$BO$980,37,FALSE)</f>
        <v>46179</v>
      </c>
      <c r="AE247" s="778">
        <f>VLOOKUP(F247,'2) Tracker'!$A$2:$BO$980,40,FALSE)</f>
        <v>46184</v>
      </c>
      <c r="AF247" s="778" t="str">
        <f>VLOOKUP(F247,'2) Tracker'!$A$2:$BO$980,67,FALSE)</f>
        <v/>
      </c>
      <c r="AG247" s="778">
        <f>VLOOKUP(F247,'2) Tracker'!$A$2:$BO$980,34,FALSE)</f>
        <v>46157</v>
      </c>
      <c r="AH247" s="778" t="str">
        <f>VLOOKUP(F247,'2) Tracker'!$A$2:$BN$980,66,FALSE)</f>
        <v/>
      </c>
      <c r="AI247" s="778">
        <f>VLOOKUP(F247,'2) Tracker'!$A$2:$BO$980,56,FALSE)</f>
        <v>46147</v>
      </c>
      <c r="AJ247" s="778">
        <f>VLOOKUP(F247,'2) Tracker'!$A$2:$BO$980,52,FALSE)</f>
        <v>46148.75</v>
      </c>
      <c r="AK247" s="778">
        <f>VLOOKUP(F247,'2) Tracker'!$A$2:$AQ$980,43,FALSE)</f>
        <v>46168</v>
      </c>
      <c r="AL247" s="778">
        <f>VLOOKUP(F247,'2) Tracker'!$A$2:$BH$980,46,FALSE())</f>
        <v>46175</v>
      </c>
      <c r="AM247" s="778">
        <f>VLOOKUP(F247,'2) Tracker'!$A$2:$BO$980,65,FALSE())</f>
        <v>46160</v>
      </c>
      <c r="AN247" s="778">
        <f>VLOOKUP(F247,'2) Tracker'!$A$2:$BK$980,63,FALSE())</f>
        <v>46184</v>
      </c>
      <c r="AO247" s="778" t="str">
        <f>VLOOKUP(F247,'2) Tracker'!$A$2:$BF$980,58,FALSE())</f>
        <v/>
      </c>
      <c r="AP247" s="813"/>
      <c r="AQ247" s="813"/>
      <c r="AR247" s="52"/>
      <c r="AS247" s="52"/>
      <c r="AT247" s="52"/>
      <c r="AU247" s="52"/>
      <c r="AV247" s="52"/>
      <c r="AW247" s="52"/>
      <c r="AX247" s="52"/>
      <c r="AY247" s="52"/>
      <c r="AZ247" s="734"/>
      <c r="BA247" s="786" t="str">
        <f>vlookup(AZ247,'Iran, FS'!$A$1:$B$318,2, false)</f>
        <v>#N/A</v>
      </c>
      <c r="BB247" s="787" t="str">
        <f>vlookup(AZ247,'1) Kpler'!$E$2:$F$500,2,false)</f>
        <v>#N/A</v>
      </c>
      <c r="BC247" s="740"/>
      <c r="BD247" s="734"/>
      <c r="BE247" s="52"/>
      <c r="BF247" s="52"/>
      <c r="BG247" s="734"/>
      <c r="BH247" s="734"/>
      <c r="BI247" s="734"/>
      <c r="BJ247" s="734"/>
    </row>
    <row r="248">
      <c r="B248" s="765" t="str">
        <f>vlookup(F248,'2) Tracker'!$A$3:$O$410,5,false)</f>
        <v/>
      </c>
      <c r="C248" s="765" t="str">
        <f>vlookup(F248,'2) Tracker'!$A$3:$O$410,4,false)</f>
        <v/>
      </c>
      <c r="D248" s="734"/>
      <c r="E248" s="734" t="str">
        <f>vlookup(F248,'2) Tracker'!$A$3:$O$406,15,false)</f>
        <v/>
      </c>
      <c r="F248" s="788" t="s">
        <v>437</v>
      </c>
      <c r="G248" s="783">
        <f>VLOOKUP(F248,'2) Tracker'!$A$2:$BO$360,2,FALSE)</f>
        <v>43556</v>
      </c>
      <c r="H248" s="768">
        <f>VLOOKUP(F248,'2) Tracker'!$A$2:$BO$360,3,FALSE)</f>
        <v>82200</v>
      </c>
      <c r="I248" s="777" t="str">
        <f>VLOOKUP(F248,'2) Tracker'!$A$2:$BO$360,9,FALSE)</f>
        <v>AGT</v>
      </c>
      <c r="J248" s="770" t="str">
        <f>VLOOKUP(F248,'2) Tracker'!$A$2:$BO$360,12,FALSE)</f>
        <v>Korea</v>
      </c>
      <c r="K248" s="771">
        <f t="shared" si="207"/>
        <v>46179</v>
      </c>
      <c r="L248" s="771">
        <f t="shared" ref="L248:O248" si="295">AE248</f>
        <v>46186</v>
      </c>
      <c r="M248" s="771" t="str">
        <f t="shared" si="295"/>
        <v/>
      </c>
      <c r="N248" s="771">
        <f t="shared" si="295"/>
        <v>46163</v>
      </c>
      <c r="O248" s="772" t="str">
        <f t="shared" si="295"/>
        <v/>
      </c>
      <c r="P248" s="773" t="str">
        <f>iferror(if(vlookup(F248,'Voyage days'!$M$808:$N$819,2,false),"GOA",""),"")</f>
        <v/>
      </c>
      <c r="Q248" s="771">
        <f t="shared" si="81"/>
        <v>46165</v>
      </c>
      <c r="R248" s="771">
        <f t="shared" si="83"/>
        <v>46190</v>
      </c>
      <c r="S248" s="774">
        <f t="shared" si="5"/>
        <v>46180</v>
      </c>
      <c r="T248" s="771">
        <f t="shared" si="6"/>
        <v>46174</v>
      </c>
      <c r="U248" s="771">
        <f t="shared" si="84"/>
        <v>46153</v>
      </c>
      <c r="V248" s="745" t="s">
        <v>1523</v>
      </c>
      <c r="W248" s="771">
        <f t="shared" si="85"/>
        <v>46153</v>
      </c>
      <c r="X248" s="775">
        <f t="shared" si="9"/>
        <v>46156</v>
      </c>
      <c r="Y248" s="804" t="s">
        <v>1588</v>
      </c>
      <c r="Z248" s="777" t="str">
        <f>vlookup(F248,'2) Tracker'!$A$3:$Q$504,16,false)</f>
        <v>ETA 1st port Ulsan 30 Apr</v>
      </c>
      <c r="AA248" s="777" t="str">
        <f>vlookup(F248,'2) Tracker'!$A$3:$R$504,18,false)</f>
        <v>AGT 26 Mar Enterprise</v>
      </c>
      <c r="AB248" s="777" t="str">
        <f>vlookup(F248,'2) Tracker'!$A$3:$Q$504,17,false)</f>
        <v/>
      </c>
      <c r="AC248" s="778"/>
      <c r="AD248" s="778">
        <f>VLOOKUP(F248,'2) Tracker'!$A$2:$BO$980,37,FALSE)</f>
        <v>46179</v>
      </c>
      <c r="AE248" s="778">
        <f>VLOOKUP(F248,'2) Tracker'!$A$2:$BO$980,40,FALSE)</f>
        <v>46186</v>
      </c>
      <c r="AF248" s="778" t="str">
        <f>VLOOKUP(F248,'2) Tracker'!$A$2:$BO$980,67,FALSE)</f>
        <v/>
      </c>
      <c r="AG248" s="778">
        <f>VLOOKUP(F248,'2) Tracker'!$A$2:$BO$980,34,FALSE)</f>
        <v>46163</v>
      </c>
      <c r="AH248" s="778" t="str">
        <f>VLOOKUP(F248,'2) Tracker'!$A$2:$BN$980,66,FALSE)</f>
        <v/>
      </c>
      <c r="AI248" s="778">
        <f>VLOOKUP(F248,'2) Tracker'!$A$2:$BO$980,56,FALSE)</f>
        <v>46153</v>
      </c>
      <c r="AJ248" s="778">
        <f>VLOOKUP(F248,'2) Tracker'!$A$2:$BO$980,52,FALSE)</f>
        <v>46153</v>
      </c>
      <c r="AK248" s="778">
        <f>VLOOKUP(F248,'2) Tracker'!$A$2:$AQ$980,43,FALSE)</f>
        <v>46174</v>
      </c>
      <c r="AL248" s="778">
        <f>VLOOKUP(F248,'2) Tracker'!$A$2:$BH$980,46,FALSE())</f>
        <v>46180</v>
      </c>
      <c r="AM248" s="778">
        <f>VLOOKUP(F248,'2) Tracker'!$A$2:$BO$980,65,FALSE())</f>
        <v>46165</v>
      </c>
      <c r="AN248" s="778">
        <f>VLOOKUP(F248,'2) Tracker'!$A$2:$BK$980,63,FALSE())</f>
        <v>46190</v>
      </c>
      <c r="AO248" s="778">
        <f>VLOOKUP(F248,'2) Tracker'!$A$2:$BF$980,58,FALSE())</f>
        <v>46156</v>
      </c>
      <c r="AP248" s="52"/>
      <c r="AQ248" s="52"/>
      <c r="AR248" s="52"/>
      <c r="AS248" s="51" t="s">
        <v>1589</v>
      </c>
      <c r="AT248" s="52"/>
      <c r="AU248" s="52"/>
      <c r="AV248" s="52"/>
      <c r="AW248" s="52"/>
      <c r="AX248" s="52"/>
      <c r="AY248" s="52"/>
      <c r="AZ248" s="787"/>
      <c r="BA248" s="786" t="str">
        <f>vlookup(AZ248,'Iran, FS'!$A$1:$B$318,2, false)</f>
        <v>#N/A</v>
      </c>
      <c r="BB248" s="787" t="str">
        <f>vlookup(AZ248,'1) Kpler'!$E$2:$F$500,2,false)</f>
        <v>#N/A</v>
      </c>
      <c r="BC248" s="788"/>
      <c r="BD248" s="787"/>
      <c r="BE248" s="52"/>
      <c r="BF248" s="52"/>
      <c r="BG248" s="787"/>
      <c r="BH248" s="787"/>
      <c r="BI248" s="787"/>
      <c r="BJ248" s="787"/>
    </row>
    <row r="249">
      <c r="B249" s="765" t="str">
        <f>vlookup(F249,'2) Tracker'!$A$3:$O$410,5,false)</f>
        <v/>
      </c>
      <c r="C249" s="765" t="str">
        <f>vlookup(F249,'2) Tracker'!$A$3:$O$410,4,false)</f>
        <v/>
      </c>
      <c r="D249" s="734"/>
      <c r="E249" s="734" t="str">
        <f>vlookup(F249,'2) Tracker'!$A$3:$O$406,15,false)</f>
        <v/>
      </c>
      <c r="F249" s="788" t="s">
        <v>334</v>
      </c>
      <c r="G249" s="789">
        <f>VLOOKUP(F249,'2) Tracker'!$A$2:$BO$360,2,FALSE)</f>
        <v>2013</v>
      </c>
      <c r="H249" s="768">
        <f>VLOOKUP(F249,'2) Tracker'!$A$2:$BO$360,3,FALSE)</f>
        <v>82000</v>
      </c>
      <c r="I249" s="770" t="str">
        <f>VLOOKUP(F249,'2) Tracker'!$A$2:$BO$360,9,FALSE)</f>
        <v>Mercuria</v>
      </c>
      <c r="J249" s="770" t="str">
        <f>VLOOKUP(F249,'2) Tracker'!$A$2:$BO$360,12,FALSE)</f>
        <v>Japan</v>
      </c>
      <c r="K249" s="774">
        <f t="shared" si="207"/>
        <v>46179</v>
      </c>
      <c r="L249" s="774">
        <f t="shared" ref="L249:O249" si="296">AE249</f>
        <v>46189</v>
      </c>
      <c r="M249" s="771" t="str">
        <f t="shared" si="296"/>
        <v/>
      </c>
      <c r="N249" s="771">
        <f t="shared" si="296"/>
        <v>46165</v>
      </c>
      <c r="O249" s="772" t="str">
        <f t="shared" si="296"/>
        <v/>
      </c>
      <c r="P249" s="773" t="str">
        <f>iferror(if(vlookup(F249,'Voyage days'!$M$808:$N$819,2,false),"GOA",""),"")</f>
        <v/>
      </c>
      <c r="Q249" s="771">
        <f t="shared" si="81"/>
        <v>46168</v>
      </c>
      <c r="R249" s="774">
        <f t="shared" si="83"/>
        <v>46193</v>
      </c>
      <c r="S249" s="774">
        <f t="shared" si="5"/>
        <v>46183</v>
      </c>
      <c r="T249" s="771">
        <f t="shared" si="6"/>
        <v>46177</v>
      </c>
      <c r="U249" s="774">
        <f t="shared" si="84"/>
        <v>46156</v>
      </c>
      <c r="V249" s="774"/>
      <c r="W249" s="774">
        <f t="shared" si="85"/>
        <v>46155.25</v>
      </c>
      <c r="X249" s="775">
        <f t="shared" si="9"/>
        <v>46158</v>
      </c>
      <c r="Y249" s="776"/>
      <c r="Z249" s="777" t="str">
        <f>vlookup(F249,'2) Tracker'!$A$3:$Q$504,16,false)</f>
        <v>ETA 1st port Chiba 01 May</v>
      </c>
      <c r="AA249" s="777" t="str">
        <f>vlookup(F249,'2) Tracker'!$A$3:$R$504,18,false)</f>
        <v>Mercuria 26 Mar Nederland</v>
      </c>
      <c r="AB249" s="777" t="str">
        <f>vlookup(F249,'2) Tracker'!$A$3:$Q$504,17,false)</f>
        <v/>
      </c>
      <c r="AC249" s="778"/>
      <c r="AD249" s="778">
        <f>VLOOKUP(F249,'2) Tracker'!$A$2:$BO$980,37,FALSE)</f>
        <v>46179</v>
      </c>
      <c r="AE249" s="778">
        <f>VLOOKUP(F249,'2) Tracker'!$A$2:$BO$980,40,FALSE)</f>
        <v>46189</v>
      </c>
      <c r="AF249" s="778" t="str">
        <f>VLOOKUP(F249,'2) Tracker'!$A$2:$BO$980,67,FALSE)</f>
        <v/>
      </c>
      <c r="AG249" s="778">
        <f>VLOOKUP(F249,'2) Tracker'!$A$2:$BO$980,34,FALSE)</f>
        <v>46165</v>
      </c>
      <c r="AH249" s="778" t="str">
        <f>VLOOKUP(F249,'2) Tracker'!$A$2:$BN$980,66,FALSE)</f>
        <v/>
      </c>
      <c r="AI249" s="778">
        <f>VLOOKUP(F249,'2) Tracker'!$A$2:$BO$980,56,FALSE)</f>
        <v>46156</v>
      </c>
      <c r="AJ249" s="778">
        <f>VLOOKUP(F249,'2) Tracker'!$A$2:$BO$980,52,FALSE)</f>
        <v>46155.25</v>
      </c>
      <c r="AK249" s="778">
        <f>VLOOKUP(F249,'2) Tracker'!$A$2:$AQ$980,43,FALSE)</f>
        <v>46177</v>
      </c>
      <c r="AL249" s="778">
        <f>VLOOKUP(F249,'2) Tracker'!$A$2:$BH$980,46,FALSE())</f>
        <v>46183</v>
      </c>
      <c r="AM249" s="778">
        <f>VLOOKUP(F249,'2) Tracker'!$A$2:$BO$980,65,FALSE())</f>
        <v>46168</v>
      </c>
      <c r="AN249" s="778">
        <f>VLOOKUP(F249,'2) Tracker'!$A$2:$BK$980,63,FALSE())</f>
        <v>46193</v>
      </c>
      <c r="AO249" s="778">
        <f>VLOOKUP(F249,'2) Tracker'!$A$2:$BF$980,58,FALSE())</f>
        <v>46158</v>
      </c>
      <c r="AP249" s="52"/>
      <c r="AQ249" s="52"/>
      <c r="AR249" s="52"/>
      <c r="AS249" s="52"/>
      <c r="AT249" s="52"/>
      <c r="AU249" s="52"/>
      <c r="AV249" s="51"/>
      <c r="AW249" s="52"/>
      <c r="AX249" s="52"/>
      <c r="AY249" s="52"/>
      <c r="AZ249" s="787"/>
      <c r="BA249" s="786"/>
      <c r="BB249" s="787"/>
      <c r="BC249" s="798"/>
      <c r="BD249" s="787"/>
      <c r="BE249" s="52"/>
      <c r="BF249" s="52"/>
      <c r="BG249" s="787"/>
      <c r="BH249" s="787"/>
      <c r="BI249" s="787"/>
      <c r="BJ249" s="787"/>
    </row>
    <row r="250">
      <c r="B250" s="765" t="str">
        <f>vlookup(F250,'2) Tracker'!$A$3:$O$410,5,false)</f>
        <v/>
      </c>
      <c r="C250" s="765" t="str">
        <f>vlookup(F250,'2) Tracker'!$A$3:$O$410,4,false)</f>
        <v/>
      </c>
      <c r="D250" s="732" t="s">
        <v>1515</v>
      </c>
      <c r="E250" s="734" t="str">
        <f>vlookup(F250,'2) Tracker'!$A$3:$O$406,15,false)</f>
        <v/>
      </c>
      <c r="F250" s="797" t="s">
        <v>423</v>
      </c>
      <c r="G250" s="805">
        <f>VLOOKUP(F250,'2) Tracker'!$A$2:$BO$360,2,FALSE)</f>
        <v>2023</v>
      </c>
      <c r="H250" s="768">
        <f>VLOOKUP(F250,'2) Tracker'!$A$2:$BO$360,3,FALSE)</f>
        <v>86000</v>
      </c>
      <c r="I250" s="777" t="str">
        <f>VLOOKUP(F250,'2) Tracker'!$A$2:$BO$360,9,FALSE)</f>
        <v>Trafigura</v>
      </c>
      <c r="J250" s="770" t="str">
        <f>VLOOKUP(F250,'2) Tracker'!$A$2:$BO$360,12,FALSE)</f>
        <v>Japan</v>
      </c>
      <c r="K250" s="771">
        <f t="shared" si="207"/>
        <v>46179</v>
      </c>
      <c r="L250" s="771">
        <f t="shared" ref="L250:O250" si="297">AE250</f>
        <v>46189</v>
      </c>
      <c r="M250" s="771" t="str">
        <f t="shared" si="297"/>
        <v/>
      </c>
      <c r="N250" s="771">
        <f t="shared" si="297"/>
        <v>46165</v>
      </c>
      <c r="O250" s="772" t="str">
        <f t="shared" si="297"/>
        <v/>
      </c>
      <c r="P250" s="773" t="str">
        <f>iferror(if(vlookup(F250,'Voyage days'!$M$808:$N$819,2,false),"GOA",""),"")</f>
        <v/>
      </c>
      <c r="Q250" s="771">
        <f t="shared" si="81"/>
        <v>46168</v>
      </c>
      <c r="R250" s="774">
        <f t="shared" si="83"/>
        <v>46193</v>
      </c>
      <c r="S250" s="774">
        <f t="shared" si="5"/>
        <v>46183</v>
      </c>
      <c r="T250" s="771">
        <f t="shared" si="6"/>
        <v>46177</v>
      </c>
      <c r="U250" s="774">
        <f t="shared" si="84"/>
        <v>46156</v>
      </c>
      <c r="V250" s="774"/>
      <c r="W250" s="774">
        <f t="shared" si="85"/>
        <v>46155.25</v>
      </c>
      <c r="X250" s="775">
        <f t="shared" si="9"/>
        <v>46158</v>
      </c>
      <c r="Y250" s="795" t="s">
        <v>1532</v>
      </c>
      <c r="Z250" s="777" t="str">
        <f>vlookup(F250,'2) Tracker'!$A$3:$Q$504,16,false)</f>
        <v>ETA 1st port Chiba 29 Apr</v>
      </c>
      <c r="AA250" s="777" t="str">
        <f>vlookup(F250,'2) Tracker'!$A$3:$R$504,18,false)</f>
        <v>Trafigura 27 Mar Enterprise</v>
      </c>
      <c r="AB250" s="777" t="str">
        <f>vlookup(F250,'2) Tracker'!$A$3:$Q$504,17,false)</f>
        <v/>
      </c>
      <c r="AC250" s="778"/>
      <c r="AD250" s="778">
        <f>VLOOKUP(F250,'2) Tracker'!$A$2:$BO$980,37,FALSE)</f>
        <v>46179</v>
      </c>
      <c r="AE250" s="778">
        <f>VLOOKUP(F250,'2) Tracker'!$A$2:$BO$980,40,FALSE)</f>
        <v>46189</v>
      </c>
      <c r="AF250" s="778" t="str">
        <f>VLOOKUP(F250,'2) Tracker'!$A$2:$BO$980,67,FALSE)</f>
        <v/>
      </c>
      <c r="AG250" s="778">
        <f>VLOOKUP(F250,'2) Tracker'!$A$2:$BO$980,34,FALSE)</f>
        <v>46165</v>
      </c>
      <c r="AH250" s="778" t="str">
        <f>VLOOKUP(F250,'2) Tracker'!$A$2:$BN$980,66,FALSE)</f>
        <v/>
      </c>
      <c r="AI250" s="778">
        <f>VLOOKUP(F250,'2) Tracker'!$A$2:$BO$980,56,FALSE)</f>
        <v>46156</v>
      </c>
      <c r="AJ250" s="778">
        <f>VLOOKUP(F250,'2) Tracker'!$A$2:$BO$980,52,FALSE)</f>
        <v>46155.25</v>
      </c>
      <c r="AK250" s="778">
        <f>VLOOKUP(F250,'2) Tracker'!$A$2:$AQ$980,43,FALSE)</f>
        <v>46177</v>
      </c>
      <c r="AL250" s="778">
        <f>VLOOKUP(F250,'2) Tracker'!$A$2:$BH$980,46,FALSE())</f>
        <v>46183</v>
      </c>
      <c r="AM250" s="778">
        <f>VLOOKUP(F250,'2) Tracker'!$A$2:$BO$980,65,FALSE())</f>
        <v>46168</v>
      </c>
      <c r="AN250" s="778">
        <f>VLOOKUP(F250,'2) Tracker'!$A$2:$BK$980,63,FALSE())</f>
        <v>46193</v>
      </c>
      <c r="AO250" s="778">
        <f>VLOOKUP(F250,'2) Tracker'!$A$2:$BF$980,58,FALSE())</f>
        <v>46158</v>
      </c>
      <c r="AP250" s="52"/>
      <c r="AQ250" s="52"/>
      <c r="AR250" s="52"/>
      <c r="AS250" s="52"/>
      <c r="AT250" s="52"/>
      <c r="AU250" s="52"/>
      <c r="AV250" s="52"/>
      <c r="AW250" s="52"/>
      <c r="AX250" s="52"/>
      <c r="AY250" s="52"/>
      <c r="AZ250" s="734"/>
      <c r="BA250" s="786" t="str">
        <f>vlookup(AZ250,'Iran, FS'!$A$1:$B$318,2, false)</f>
        <v>#N/A</v>
      </c>
      <c r="BB250" s="787" t="str">
        <f>vlookup(AZ250,'1) Kpler'!$E$2:$F$500,2,false)</f>
        <v>#N/A</v>
      </c>
      <c r="BC250" s="740"/>
      <c r="BD250" s="734"/>
      <c r="BE250" s="52"/>
      <c r="BF250" s="52"/>
      <c r="BG250" s="734"/>
      <c r="BH250" s="734"/>
      <c r="BI250" s="734"/>
      <c r="BJ250" s="734"/>
    </row>
    <row r="251">
      <c r="B251" s="765" t="str">
        <f>vlookup(F251,'2) Tracker'!$A$3:$O$410,5,false)</f>
        <v/>
      </c>
      <c r="C251" s="765" t="str">
        <f>vlookup(F251,'2) Tracker'!$A$3:$O$410,4,false)</f>
        <v/>
      </c>
      <c r="D251" s="734"/>
      <c r="E251" s="734" t="str">
        <f>vlookup(F251,'2) Tracker'!$A$3:$O$406,15,false)</f>
        <v/>
      </c>
      <c r="F251" s="766" t="s">
        <v>287</v>
      </c>
      <c r="G251" s="783">
        <f>VLOOKUP(F251,'2) Tracker'!$A$2:$BO$360,2,FALSE)</f>
        <v>39692</v>
      </c>
      <c r="H251" s="768">
        <f>VLOOKUP(F251,'2) Tracker'!$A$2:$BO$360,3,FALSE)</f>
        <v>82791</v>
      </c>
      <c r="I251" s="769" t="str">
        <f>VLOOKUP(F251,'2) Tracker'!$A$2:$BO$360,9,FALSE)</f>
        <v>Pertamina</v>
      </c>
      <c r="J251" s="770" t="str">
        <f>VLOOKUP(F251,'2) Tracker'!$A$2:$BO$360,12,FALSE)</f>
        <v>Indo</v>
      </c>
      <c r="K251" s="774">
        <f t="shared" si="207"/>
        <v>46180</v>
      </c>
      <c r="L251" s="774">
        <f t="shared" ref="L251:O251" si="298">AE251</f>
        <v>46178</v>
      </c>
      <c r="M251" s="771" t="str">
        <f t="shared" si="298"/>
        <v/>
      </c>
      <c r="N251" s="772">
        <f t="shared" si="298"/>
        <v>46152</v>
      </c>
      <c r="O251" s="772" t="str">
        <f t="shared" si="298"/>
        <v/>
      </c>
      <c r="P251" s="773" t="str">
        <f>iferror(if(vlookup(F251,'Voyage days'!$M$808:$N$819,2,false),"GOA",""),"")</f>
        <v/>
      </c>
      <c r="Q251" s="771">
        <f t="shared" si="81"/>
        <v>46155</v>
      </c>
      <c r="R251" s="774">
        <f t="shared" si="83"/>
        <v>46178</v>
      </c>
      <c r="S251" s="774">
        <f t="shared" si="5"/>
        <v>46170</v>
      </c>
      <c r="T251" s="774">
        <f t="shared" si="6"/>
        <v>46161</v>
      </c>
      <c r="U251" s="774">
        <f t="shared" si="84"/>
        <v>46145</v>
      </c>
      <c r="V251" s="771"/>
      <c r="W251" s="771">
        <f t="shared" si="85"/>
        <v>46145</v>
      </c>
      <c r="X251" s="775" t="str">
        <f t="shared" si="9"/>
        <v/>
      </c>
      <c r="Y251" s="776"/>
      <c r="Z251" s="777" t="str">
        <f>vlookup(F251,'2) Tracker'!$A$3:$Q$504,16,false)</f>
        <v>Floater ex Kalbut</v>
      </c>
      <c r="AA251" s="777" t="str">
        <f>vlookup(F251,'2) Tracker'!$A$3:$R$504,18,false)</f>
        <v>Floating Storage</v>
      </c>
      <c r="AB251" s="777" t="str">
        <f>vlookup(F251,'2) Tracker'!$A$3:$Q$504,17,false)</f>
        <v/>
      </c>
      <c r="AC251" s="778"/>
      <c r="AD251" s="778">
        <f>VLOOKUP(F251,'2) Tracker'!$A$2:$BO$980,37,FALSE)</f>
        <v>46180</v>
      </c>
      <c r="AE251" s="778">
        <f>VLOOKUP(F251,'2) Tracker'!$A$2:$BO$980,40,FALSE)</f>
        <v>46178</v>
      </c>
      <c r="AF251" s="778" t="str">
        <f>VLOOKUP(F251,'2) Tracker'!$A$2:$BO$980,67,FALSE)</f>
        <v/>
      </c>
      <c r="AG251" s="778">
        <f>VLOOKUP(F251,'2) Tracker'!$A$2:$BO$980,34,FALSE)</f>
        <v>46152</v>
      </c>
      <c r="AH251" s="778" t="str">
        <f>VLOOKUP(F251,'2) Tracker'!$A$2:$BN$980,66,FALSE)</f>
        <v/>
      </c>
      <c r="AI251" s="778">
        <f>VLOOKUP(F251,'2) Tracker'!$A$2:$BO$980,56,FALSE)</f>
        <v>46145</v>
      </c>
      <c r="AJ251" s="778">
        <f>VLOOKUP(F251,'2) Tracker'!$A$2:$BO$980,52,FALSE)</f>
        <v>46145</v>
      </c>
      <c r="AK251" s="778">
        <f>VLOOKUP(F251,'2) Tracker'!$A$2:$AQ$980,43,FALSE)</f>
        <v>46161</v>
      </c>
      <c r="AL251" s="778">
        <f>VLOOKUP(F251,'2) Tracker'!$A$2:$BH$980,46,FALSE())</f>
        <v>46170</v>
      </c>
      <c r="AM251" s="778">
        <f>VLOOKUP(F251,'2) Tracker'!$A$2:$BO$980,65,FALSE())</f>
        <v>46155</v>
      </c>
      <c r="AN251" s="778">
        <f>VLOOKUP(F251,'2) Tracker'!$A$2:$BK$980,63,FALSE())</f>
        <v>46178</v>
      </c>
      <c r="AO251" s="778" t="str">
        <f>VLOOKUP(F251,'2) Tracker'!$A$2:$BF$980,58,FALSE())</f>
        <v/>
      </c>
      <c r="AP251" s="52"/>
      <c r="AQ251" s="52"/>
      <c r="AR251" s="52"/>
      <c r="AS251" s="52"/>
      <c r="AT251" s="52"/>
      <c r="AU251" s="52"/>
      <c r="AV251" s="52"/>
      <c r="AW251" s="52"/>
      <c r="AX251" s="52"/>
      <c r="AY251" s="52"/>
      <c r="AZ251" s="734"/>
      <c r="BA251" s="786" t="str">
        <f>vlookup(AZ251,'Iran, FS'!$A$1:$B$318,2, false)</f>
        <v>#N/A</v>
      </c>
      <c r="BB251" s="787" t="str">
        <f>vlookup(AZ251,'1) Kpler'!$E$2:$F$500,2,false)</f>
        <v>#N/A</v>
      </c>
      <c r="BC251" s="740"/>
      <c r="BD251" s="734"/>
      <c r="BE251" s="52"/>
      <c r="BF251" s="52"/>
      <c r="BG251" s="734"/>
      <c r="BH251" s="734"/>
      <c r="BI251" s="734"/>
      <c r="BJ251" s="734"/>
    </row>
    <row r="252">
      <c r="B252" s="765" t="str">
        <f>vlookup(F252,'2) Tracker'!$A$3:$O$410,5,false)</f>
        <v/>
      </c>
      <c r="C252" s="765" t="str">
        <f>vlookup(F252,'2) Tracker'!$A$3:$O$410,4,false)</f>
        <v/>
      </c>
      <c r="D252" s="734"/>
      <c r="E252" s="734" t="str">
        <f>vlookup(F252,'2) Tracker'!$A$3:$O$406,15,false)</f>
        <v/>
      </c>
      <c r="F252" s="766" t="s">
        <v>278</v>
      </c>
      <c r="G252" s="783">
        <f>VLOOKUP(F252,'2) Tracker'!$A$2:$BO$360,2,FALSE)</f>
        <v>39600</v>
      </c>
      <c r="H252" s="768">
        <f>VLOOKUP(F252,'2) Tracker'!$A$2:$BO$360,3,FALSE)</f>
        <v>82000</v>
      </c>
      <c r="I252" s="769" t="str">
        <f>VLOOKUP(F252,'2) Tracker'!$A$2:$BO$360,9,FALSE)</f>
        <v>Pertamina</v>
      </c>
      <c r="J252" s="770" t="str">
        <f>VLOOKUP(F252,'2) Tracker'!$A$2:$BO$360,12,FALSE)</f>
        <v>Indo</v>
      </c>
      <c r="K252" s="774">
        <f t="shared" si="207"/>
        <v>46180</v>
      </c>
      <c r="L252" s="774">
        <f t="shared" ref="L252:O252" si="299">AE252</f>
        <v>46178</v>
      </c>
      <c r="M252" s="771" t="str">
        <f t="shared" si="299"/>
        <v/>
      </c>
      <c r="N252" s="772">
        <f t="shared" si="299"/>
        <v>46152</v>
      </c>
      <c r="O252" s="772" t="str">
        <f t="shared" si="299"/>
        <v/>
      </c>
      <c r="P252" s="773" t="str">
        <f>iferror(if(vlookup(F252,'Voyage days'!$M$808:$N$819,2,false),"GOA",""),"")</f>
        <v/>
      </c>
      <c r="Q252" s="771">
        <f t="shared" si="81"/>
        <v>46155</v>
      </c>
      <c r="R252" s="774">
        <f t="shared" si="83"/>
        <v>46178</v>
      </c>
      <c r="S252" s="774">
        <f t="shared" si="5"/>
        <v>46170</v>
      </c>
      <c r="T252" s="774">
        <f t="shared" si="6"/>
        <v>46161</v>
      </c>
      <c r="U252" s="774">
        <f t="shared" si="84"/>
        <v>46145</v>
      </c>
      <c r="V252" s="771"/>
      <c r="W252" s="771">
        <f t="shared" si="85"/>
        <v>46145</v>
      </c>
      <c r="X252" s="775" t="str">
        <f t="shared" si="9"/>
        <v/>
      </c>
      <c r="Y252" s="776"/>
      <c r="Z252" s="777" t="str">
        <f>vlookup(F252,'2) Tracker'!$A$3:$Q$504,16,false)</f>
        <v>Floater ex Balikpapan</v>
      </c>
      <c r="AA252" s="777" t="str">
        <f>vlookup(F252,'2) Tracker'!$A$3:$R$504,18,false)</f>
        <v>Floating Storage</v>
      </c>
      <c r="AB252" s="777" t="str">
        <f>vlookup(F252,'2) Tracker'!$A$3:$Q$504,17,false)</f>
        <v/>
      </c>
      <c r="AC252" s="778"/>
      <c r="AD252" s="778">
        <f>VLOOKUP(F252,'2) Tracker'!$A$2:$BO$980,37,FALSE)</f>
        <v>46180</v>
      </c>
      <c r="AE252" s="778">
        <f>VLOOKUP(F252,'2) Tracker'!$A$2:$BO$980,40,FALSE)</f>
        <v>46178</v>
      </c>
      <c r="AF252" s="778" t="str">
        <f>VLOOKUP(F252,'2) Tracker'!$A$2:$BO$980,67,FALSE)</f>
        <v/>
      </c>
      <c r="AG252" s="778">
        <f>VLOOKUP(F252,'2) Tracker'!$A$2:$BO$980,34,FALSE)</f>
        <v>46152</v>
      </c>
      <c r="AH252" s="778" t="str">
        <f>VLOOKUP(F252,'2) Tracker'!$A$2:$BN$980,66,FALSE)</f>
        <v/>
      </c>
      <c r="AI252" s="778">
        <f>VLOOKUP(F252,'2) Tracker'!$A$2:$BO$980,56,FALSE)</f>
        <v>46145</v>
      </c>
      <c r="AJ252" s="778">
        <f>VLOOKUP(F252,'2) Tracker'!$A$2:$BO$980,52,FALSE)</f>
        <v>46145</v>
      </c>
      <c r="AK252" s="778">
        <f>VLOOKUP(F252,'2) Tracker'!$A$2:$AQ$980,43,FALSE)</f>
        <v>46161</v>
      </c>
      <c r="AL252" s="778">
        <f>VLOOKUP(F252,'2) Tracker'!$A$2:$BH$980,46,FALSE())</f>
        <v>46170</v>
      </c>
      <c r="AM252" s="778">
        <f>VLOOKUP(F252,'2) Tracker'!$A$2:$BO$980,65,FALSE())</f>
        <v>46155</v>
      </c>
      <c r="AN252" s="778">
        <f>VLOOKUP(F252,'2) Tracker'!$A$2:$BK$980,63,FALSE())</f>
        <v>46178</v>
      </c>
      <c r="AO252" s="778" t="str">
        <f>VLOOKUP(F252,'2) Tracker'!$A$2:$BF$980,58,FALSE())</f>
        <v/>
      </c>
      <c r="AP252" s="52"/>
      <c r="AQ252" s="52"/>
      <c r="AR252" s="52"/>
      <c r="AS252" s="52"/>
      <c r="AT252" s="52"/>
      <c r="AU252" s="52"/>
      <c r="AV252" s="52"/>
      <c r="AW252" s="52"/>
      <c r="AX252" s="52"/>
      <c r="AY252" s="52"/>
      <c r="AZ252" s="734"/>
      <c r="BA252" s="786" t="str">
        <f>vlookup(AZ252,'Iran, FS'!$A$1:$B$318,2, false)</f>
        <v>#N/A</v>
      </c>
      <c r="BB252" s="787" t="str">
        <f>vlookup(AZ252,'1) Kpler'!$E$2:$F$500,2,false)</f>
        <v>#N/A</v>
      </c>
      <c r="BC252" s="740"/>
      <c r="BD252" s="734"/>
      <c r="BE252" s="52"/>
      <c r="BF252" s="52"/>
      <c r="BG252" s="734"/>
      <c r="BH252" s="734"/>
      <c r="BI252" s="734"/>
      <c r="BJ252" s="734"/>
    </row>
    <row r="253">
      <c r="B253" s="765" t="str">
        <f>vlookup(F253,'2) Tracker'!$A$3:$O$410,5,false)</f>
        <v/>
      </c>
      <c r="C253" s="765" t="str">
        <f>vlookup(F253,'2) Tracker'!$A$3:$O$410,4,false)</f>
        <v/>
      </c>
      <c r="D253" s="734"/>
      <c r="E253" s="734" t="str">
        <f>vlookup(F253,'2) Tracker'!$A$3:$O$406,15,false)</f>
        <v/>
      </c>
      <c r="F253" s="788" t="s">
        <v>582</v>
      </c>
      <c r="G253" s="767">
        <f>VLOOKUP(F253,'2) Tracker'!$A$2:$BO$360,2,FALSE)</f>
        <v>2008</v>
      </c>
      <c r="H253" s="768">
        <f>VLOOKUP(F253,'2) Tracker'!$A$2:$BO$360,3,FALSE)</f>
        <v>78500</v>
      </c>
      <c r="I253" s="770" t="str">
        <f>VLOOKUP(F253,'2) Tracker'!$A$2:$BO$360,9,FALSE)</f>
        <v>Trafigura</v>
      </c>
      <c r="J253" s="770" t="str">
        <f>VLOOKUP(F253,'2) Tracker'!$A$2:$BO$360,12,FALSE)</f>
        <v>Singapore laden</v>
      </c>
      <c r="K253" s="771">
        <f t="shared" si="207"/>
        <v>46180</v>
      </c>
      <c r="L253" s="771">
        <f t="shared" ref="L253:O253" si="300">AE253</f>
        <v>46181</v>
      </c>
      <c r="M253" s="771" t="str">
        <f t="shared" si="300"/>
        <v/>
      </c>
      <c r="N253" s="771">
        <f t="shared" si="300"/>
        <v>46157</v>
      </c>
      <c r="O253" s="772" t="str">
        <f t="shared" si="300"/>
        <v/>
      </c>
      <c r="P253" s="773" t="str">
        <f>iferror(if(vlookup(F253,'Voyage days'!$M$808:$N$819,2,false),"GOA",""),"")</f>
        <v/>
      </c>
      <c r="Q253" s="771">
        <f t="shared" si="81"/>
        <v>46162</v>
      </c>
      <c r="R253" s="771">
        <f t="shared" si="83"/>
        <v>46185</v>
      </c>
      <c r="S253" s="774">
        <f t="shared" si="5"/>
        <v>46175</v>
      </c>
      <c r="T253" s="771">
        <f t="shared" si="6"/>
        <v>46167</v>
      </c>
      <c r="U253" s="771">
        <f t="shared" si="84"/>
        <v>46150</v>
      </c>
      <c r="V253" s="771"/>
      <c r="W253" s="771">
        <f t="shared" si="85"/>
        <v>46152</v>
      </c>
      <c r="X253" s="775" t="str">
        <f t="shared" si="9"/>
        <v/>
      </c>
      <c r="Y253" s="776"/>
      <c r="Z253" s="777" t="str">
        <f>vlookup(F253,'2) Tracker'!$A$3:$Q$504,16,false)</f>
        <v>ETA Singapore 30 Apr</v>
      </c>
      <c r="AA253" s="777" t="str">
        <f>vlookup(F253,'2) Tracker'!$A$3:$R$504,18,false)</f>
        <v>Vitol 01-03 Apr Bonny</v>
      </c>
      <c r="AB253" s="777" t="str">
        <f>vlookup(F253,'2) Tracker'!$A$3:$Q$504,17,false)</f>
        <v/>
      </c>
      <c r="AC253" s="778"/>
      <c r="AD253" s="778">
        <f>VLOOKUP(F253,'2) Tracker'!$A$2:$BO$980,37,FALSE)</f>
        <v>46180</v>
      </c>
      <c r="AE253" s="778">
        <f>VLOOKUP(F253,'2) Tracker'!$A$2:$BO$980,40,FALSE)</f>
        <v>46181</v>
      </c>
      <c r="AF253" s="778" t="str">
        <f>VLOOKUP(F253,'2) Tracker'!$A$2:$BO$980,67,FALSE)</f>
        <v/>
      </c>
      <c r="AG253" s="778">
        <f>VLOOKUP(F253,'2) Tracker'!$A$2:$BO$980,34,FALSE)</f>
        <v>46157</v>
      </c>
      <c r="AH253" s="778" t="str">
        <f>VLOOKUP(F253,'2) Tracker'!$A$2:$BN$980,66,FALSE)</f>
        <v/>
      </c>
      <c r="AI253" s="778">
        <f>VLOOKUP(F253,'2) Tracker'!$A$2:$BO$980,56,FALSE)</f>
        <v>46150</v>
      </c>
      <c r="AJ253" s="778">
        <f>VLOOKUP(F253,'2) Tracker'!$A$2:$BO$980,52,FALSE)</f>
        <v>46152</v>
      </c>
      <c r="AK253" s="778">
        <f>VLOOKUP(F253,'2) Tracker'!$A$2:$AQ$980,43,FALSE)</f>
        <v>46167</v>
      </c>
      <c r="AL253" s="778">
        <f>VLOOKUP(F253,'2) Tracker'!$A$2:$BH$980,46,FALSE())</f>
        <v>46175</v>
      </c>
      <c r="AM253" s="778">
        <f>VLOOKUP(F253,'2) Tracker'!$A$2:$BO$980,65,FALSE())</f>
        <v>46162</v>
      </c>
      <c r="AN253" s="778">
        <f>VLOOKUP(F253,'2) Tracker'!$A$2:$BK$980,63,FALSE())</f>
        <v>46185</v>
      </c>
      <c r="AO253" s="778" t="str">
        <f>VLOOKUP(F253,'2) Tracker'!$A$2:$BF$980,58,FALSE())</f>
        <v/>
      </c>
      <c r="AP253" s="52"/>
      <c r="AQ253" s="52"/>
      <c r="AR253" s="52"/>
      <c r="AS253" s="52"/>
      <c r="AT253" s="52"/>
      <c r="AU253" s="52"/>
      <c r="AV253" s="52"/>
      <c r="AW253" s="52"/>
      <c r="AX253" s="52"/>
      <c r="AY253" s="52"/>
      <c r="AZ253" s="734"/>
      <c r="BA253" s="740"/>
      <c r="BB253" s="734"/>
      <c r="BC253" s="740"/>
      <c r="BD253" s="734"/>
      <c r="BE253" s="52"/>
      <c r="BF253" s="52"/>
      <c r="BG253" s="734"/>
      <c r="BH253" s="734"/>
      <c r="BI253" s="734"/>
      <c r="BJ253" s="734"/>
    </row>
    <row r="254">
      <c r="B254" s="834"/>
      <c r="C254" s="765" t="str">
        <f>vlookup(F254,'2) Tracker'!$A$3:$O$410,4,false)</f>
        <v>US</v>
      </c>
      <c r="D254" s="732" t="s">
        <v>1515</v>
      </c>
      <c r="E254" s="734" t="str">
        <f>vlookup(F254,'2) Tracker'!$A$3:$O$406,15,false)</f>
        <v/>
      </c>
      <c r="F254" s="797" t="s">
        <v>1462</v>
      </c>
      <c r="G254" s="789">
        <f>VLOOKUP(F254,'2) Tracker'!$A$2:$BO$360,2,FALSE)</f>
        <v>2023</v>
      </c>
      <c r="H254" s="768">
        <f>VLOOKUP(F254,'2) Tracker'!$A$2:$BO$360,3,FALSE)</f>
        <v>86000</v>
      </c>
      <c r="I254" s="770" t="str">
        <f>VLOOKUP(F254,'2) Tracker'!$A$2:$BO$360,9,FALSE)</f>
        <v>Helios</v>
      </c>
      <c r="J254" s="770" t="str">
        <f>VLOOKUP(F254,'2) Tracker'!$A$2:$BO$360,12,FALSE)</f>
        <v>East China</v>
      </c>
      <c r="K254" s="771">
        <f t="shared" si="207"/>
        <v>46180</v>
      </c>
      <c r="L254" s="771">
        <f t="shared" ref="L254:M254" si="301">AE254</f>
        <v>46191</v>
      </c>
      <c r="M254" s="771" t="str">
        <f t="shared" si="301"/>
        <v/>
      </c>
      <c r="N254" s="732" t="s">
        <v>70</v>
      </c>
      <c r="O254" s="772" t="str">
        <f>AH254</f>
        <v/>
      </c>
      <c r="P254" s="773" t="str">
        <f>iferror(if(vlookup(F254,'Voyage days'!$M$808:$N$819,2,false),"GOA",""),"")</f>
        <v/>
      </c>
      <c r="Q254" s="771">
        <f t="shared" si="81"/>
        <v>46166</v>
      </c>
      <c r="R254" s="771">
        <f t="shared" si="83"/>
        <v>46191</v>
      </c>
      <c r="S254" s="774">
        <f t="shared" si="5"/>
        <v>46182</v>
      </c>
      <c r="T254" s="771">
        <f t="shared" si="6"/>
        <v>46175</v>
      </c>
      <c r="U254" s="771">
        <f t="shared" si="84"/>
        <v>46154</v>
      </c>
      <c r="V254" s="771"/>
      <c r="W254" s="771">
        <f t="shared" si="85"/>
        <v>46154.25</v>
      </c>
      <c r="X254" s="775">
        <f t="shared" si="9"/>
        <v>46160</v>
      </c>
      <c r="Y254" s="776"/>
      <c r="Z254" s="777" t="str">
        <f>vlookup(F254,'2) Tracker'!$A$3:$Q$504,16,false)</f>
        <v>ETA Ningbo 29 Apr</v>
      </c>
      <c r="AA254" s="777" t="str">
        <f>vlookup(F254,'2) Tracker'!$A$3:$R$504,18,false)</f>
        <v>? 24-25 Mar Targa</v>
      </c>
      <c r="AB254" s="777" t="str">
        <f>vlookup(F254,'2) Tracker'!$A$3:$Q$504,17,false)</f>
        <v/>
      </c>
      <c r="AC254" s="778"/>
      <c r="AD254" s="778">
        <f>VLOOKUP(F254,'2) Tracker'!$A$2:$BO$980,37,FALSE)</f>
        <v>46180</v>
      </c>
      <c r="AE254" s="778">
        <f>VLOOKUP(F254,'2) Tracker'!$A$2:$BO$980,40,FALSE)</f>
        <v>46191</v>
      </c>
      <c r="AF254" s="778" t="str">
        <f>VLOOKUP(F254,'2) Tracker'!$A$2:$BO$980,67,FALSE)</f>
        <v/>
      </c>
      <c r="AG254" s="778">
        <f>VLOOKUP(F254,'2) Tracker'!$A$2:$BO$980,34,FALSE)</f>
        <v>46164</v>
      </c>
      <c r="AH254" s="778" t="str">
        <f>VLOOKUP(F254,'2) Tracker'!$A$2:$BN$980,66,FALSE)</f>
        <v/>
      </c>
      <c r="AI254" s="779">
        <f>VLOOKUP(F254,'2) Tracker'!$A$2:$BO$980,56,FALSE)</f>
        <v>46154</v>
      </c>
      <c r="AJ254" s="778">
        <f>VLOOKUP(F254,'2) Tracker'!$A$2:$BO$980,52,FALSE)</f>
        <v>46154.25</v>
      </c>
      <c r="AK254" s="778">
        <f>VLOOKUP(F254,'2) Tracker'!$A$2:$AQ$980,43,FALSE)</f>
        <v>46175</v>
      </c>
      <c r="AL254" s="778">
        <f>VLOOKUP(F254,'2) Tracker'!$A$2:$BH$980,46,FALSE())</f>
        <v>46182</v>
      </c>
      <c r="AM254" s="780">
        <f>VLOOKUP(F254,'2) Tracker'!$A$2:$BO$980,65,FALSE())</f>
        <v>46166</v>
      </c>
      <c r="AN254" s="780">
        <f>VLOOKUP(F254,'2) Tracker'!$A$2:$BK$980,63,FALSE())</f>
        <v>46191</v>
      </c>
      <c r="AO254" s="780">
        <f>VLOOKUP(F254,'2) Tracker'!$A$2:$BF$980,58,FALSE())</f>
        <v>46160</v>
      </c>
      <c r="AP254" s="52"/>
      <c r="AQ254" s="52"/>
      <c r="AR254" s="52"/>
      <c r="AS254" s="52"/>
      <c r="AT254" s="52"/>
      <c r="AU254" s="52"/>
      <c r="AV254" s="52"/>
      <c r="AW254" s="52"/>
      <c r="AX254" s="52"/>
      <c r="AY254" s="52"/>
      <c r="AZ254" s="734"/>
      <c r="BA254" s="786" t="str">
        <f>vlookup(AZ254,'Iran, FS'!$A$1:$B$318,2, false)</f>
        <v>#N/A</v>
      </c>
      <c r="BB254" s="787" t="str">
        <f>vlookup(AZ254,'1) Kpler'!$E$2:$F$500,2,false)</f>
        <v>#N/A</v>
      </c>
      <c r="BC254" s="740"/>
      <c r="BD254" s="734"/>
      <c r="BE254" s="52"/>
      <c r="BF254" s="52"/>
      <c r="BG254" s="734"/>
      <c r="BH254" s="734"/>
      <c r="BI254" s="734"/>
      <c r="BJ254" s="734"/>
    </row>
    <row r="255">
      <c r="B255" s="765" t="str">
        <f>vlookup(F255,'2) Tracker'!$A$3:$O$410,5,false)</f>
        <v/>
      </c>
      <c r="C255" s="765" t="str">
        <f>vlookup(F255,'2) Tracker'!$A$3:$O$410,4,false)</f>
        <v/>
      </c>
      <c r="D255" s="734"/>
      <c r="E255" s="734" t="str">
        <f>vlookup(F255,'2) Tracker'!$A$3:$O$406,15,false)</f>
        <v/>
      </c>
      <c r="F255" s="740" t="s">
        <v>1339</v>
      </c>
      <c r="G255" s="783">
        <f>VLOOKUP(F255,'2) Tracker'!$A$2:$BO$360,2,FALSE)</f>
        <v>42489</v>
      </c>
      <c r="H255" s="768">
        <f>VLOOKUP(F255,'2) Tracker'!$A$2:$BO$360,3,FALSE)</f>
        <v>84114</v>
      </c>
      <c r="I255" s="770" t="str">
        <f>VLOOKUP(F255,'2) Tracker'!$A$2:$BO$360,9,FALSE)</f>
        <v>BW</v>
      </c>
      <c r="J255" s="770" t="str">
        <f>VLOOKUP(F255,'2) Tracker'!$A$2:$BO$360,12,FALSE)</f>
        <v>East China</v>
      </c>
      <c r="K255" s="771">
        <f t="shared" si="207"/>
        <v>46180</v>
      </c>
      <c r="L255" s="771">
        <f t="shared" ref="L255:O255" si="302">AE255</f>
        <v>46191</v>
      </c>
      <c r="M255" s="771" t="str">
        <f t="shared" si="302"/>
        <v/>
      </c>
      <c r="N255" s="772">
        <f t="shared" si="302"/>
        <v>46164</v>
      </c>
      <c r="O255" s="772" t="str">
        <f t="shared" si="302"/>
        <v/>
      </c>
      <c r="P255" s="773" t="str">
        <f>iferror(if(vlookup(F255,'Voyage days'!$M$808:$N$821,2,false),"GOA",""),"")</f>
        <v/>
      </c>
      <c r="Q255" s="771">
        <f t="shared" si="81"/>
        <v>46170</v>
      </c>
      <c r="R255" s="771">
        <f t="shared" si="83"/>
        <v>46191</v>
      </c>
      <c r="S255" s="774">
        <f t="shared" si="5"/>
        <v>46182</v>
      </c>
      <c r="T255" s="771">
        <f t="shared" si="6"/>
        <v>46175</v>
      </c>
      <c r="U255" s="771">
        <f t="shared" si="84"/>
        <v>46158</v>
      </c>
      <c r="V255" s="745" t="s">
        <v>1523</v>
      </c>
      <c r="W255" s="771">
        <f t="shared" si="85"/>
        <v>46154.25</v>
      </c>
      <c r="X255" s="775">
        <f t="shared" si="9"/>
        <v>46160</v>
      </c>
      <c r="Y255" s="776"/>
      <c r="Z255" s="777" t="str">
        <f>vlookup(F255,'2) Tracker'!$A$3:$Q$504,16,false)</f>
        <v>ETA Zhoushan 14 Apr, DD</v>
      </c>
      <c r="AA255" s="777" t="str">
        <f>vlookup(F255,'2) Tracker'!$A$3:$R$504,18,false)</f>
        <v>BASF COA 03-04 Mar Freeport</v>
      </c>
      <c r="AB255" s="777" t="str">
        <f>vlookup(F255,'2) Tracker'!$A$3:$Q$504,17,false)</f>
        <v/>
      </c>
      <c r="AC255" s="778"/>
      <c r="AD255" s="778">
        <f>VLOOKUP(F255,'2) Tracker'!$A$2:$BO$980,37,FALSE)</f>
        <v>46180</v>
      </c>
      <c r="AE255" s="778">
        <f>VLOOKUP(F255,'2) Tracker'!$A$2:$BO$980,40,FALSE)</f>
        <v>46191</v>
      </c>
      <c r="AF255" s="778" t="str">
        <f>VLOOKUP(F255,'2) Tracker'!$A$2:$BO$980,67,FALSE)</f>
        <v/>
      </c>
      <c r="AG255" s="778">
        <f>VLOOKUP(F255,'2) Tracker'!$A$2:$BO$980,34,FALSE)</f>
        <v>46164</v>
      </c>
      <c r="AH255" s="778" t="str">
        <f>VLOOKUP(F255,'2) Tracker'!$A$2:$BN$980,66,FALSE)</f>
        <v/>
      </c>
      <c r="AI255" s="778">
        <f>VLOOKUP(F255,'2) Tracker'!$A$2:$BO$980,56,FALSE)</f>
        <v>46158</v>
      </c>
      <c r="AJ255" s="778">
        <f>VLOOKUP(F255,'2) Tracker'!$A$2:$BO$980,52,FALSE)</f>
        <v>46154.25</v>
      </c>
      <c r="AK255" s="778">
        <f>VLOOKUP(F255,'2) Tracker'!$A$2:$AQ$980,43,FALSE)</f>
        <v>46175</v>
      </c>
      <c r="AL255" s="778">
        <f>VLOOKUP(F255,'2) Tracker'!$A$2:$BH$980,46,FALSE())</f>
        <v>46182</v>
      </c>
      <c r="AM255" s="778">
        <f>VLOOKUP(F255,'2) Tracker'!$A$2:$BO$980,65,FALSE())</f>
        <v>46170</v>
      </c>
      <c r="AN255" s="778">
        <f>VLOOKUP(F255,'2) Tracker'!$A$2:$BK$980,63,FALSE())</f>
        <v>46191</v>
      </c>
      <c r="AO255" s="778">
        <f>VLOOKUP(F255,'2) Tracker'!$A$2:$BF$980,58,FALSE())</f>
        <v>46160</v>
      </c>
      <c r="AP255" s="52"/>
      <c r="AQ255" s="52"/>
      <c r="AR255" s="52"/>
      <c r="AS255" s="52"/>
      <c r="AT255" s="52"/>
      <c r="AU255" s="52"/>
      <c r="AV255" s="52"/>
      <c r="AW255" s="52"/>
      <c r="AX255" s="52"/>
      <c r="AY255" s="52"/>
      <c r="AZ255" s="734"/>
      <c r="BA255" s="786" t="str">
        <f>vlookup(AZ255,'Iran, FS'!$A$1:$B$318,2, false)</f>
        <v>#N/A</v>
      </c>
      <c r="BB255" s="787" t="str">
        <f>vlookup(AZ255,'1) Kpler'!$E$2:$F$500,2,false)</f>
        <v>#N/A</v>
      </c>
      <c r="BC255" s="740"/>
      <c r="BD255" s="734"/>
      <c r="BE255" s="52"/>
      <c r="BF255" s="52"/>
      <c r="BG255" s="734"/>
      <c r="BH255" s="734"/>
      <c r="BI255" s="734"/>
      <c r="BJ255" s="734"/>
    </row>
    <row r="256">
      <c r="B256" s="765"/>
      <c r="C256" s="765"/>
      <c r="D256" s="734"/>
      <c r="E256" s="734" t="str">
        <f>vlookup(F256,'2) Tracker'!$A$3:$O$406,15,false)</f>
        <v>O</v>
      </c>
      <c r="F256" s="798" t="s">
        <v>1390</v>
      </c>
      <c r="G256" s="820">
        <v>2011.0</v>
      </c>
      <c r="H256" s="821">
        <v>80000.0</v>
      </c>
      <c r="I256" s="777" t="str">
        <f>VLOOKUP(F256,'2) Tracker'!$A$2:$BO$360,9,FALSE)</f>
        <v>BW</v>
      </c>
      <c r="J256" s="770" t="str">
        <f>VLOOKUP(F256,'2) Tracker'!$A$2:$BO$360,12,FALSE)</f>
        <v>Indo</v>
      </c>
      <c r="K256" s="771">
        <f t="shared" si="207"/>
        <v>46181</v>
      </c>
      <c r="L256" s="771">
        <f t="shared" ref="L256:O256" si="303">AE256</f>
        <v>46179</v>
      </c>
      <c r="M256" s="771" t="str">
        <f t="shared" si="303"/>
        <v/>
      </c>
      <c r="N256" s="771">
        <f t="shared" si="303"/>
        <v>46153</v>
      </c>
      <c r="O256" s="772" t="str">
        <f t="shared" si="303"/>
        <v/>
      </c>
      <c r="P256" s="773" t="str">
        <f>iferror(if(vlookup(F256,'Voyage days'!$M$808:$N$819,2,false),"GOA",""),"")</f>
        <v/>
      </c>
      <c r="Q256" s="771">
        <f t="shared" si="81"/>
        <v>46156</v>
      </c>
      <c r="R256" s="771">
        <f t="shared" si="83"/>
        <v>46179</v>
      </c>
      <c r="S256" s="774">
        <f t="shared" si="5"/>
        <v>46171</v>
      </c>
      <c r="T256" s="771">
        <f t="shared" si="6"/>
        <v>46162</v>
      </c>
      <c r="U256" s="771">
        <f t="shared" si="84"/>
        <v>46146</v>
      </c>
      <c r="V256" s="745" t="s">
        <v>1523</v>
      </c>
      <c r="W256" s="771">
        <f t="shared" si="85"/>
        <v>46146</v>
      </c>
      <c r="X256" s="775" t="str">
        <f t="shared" si="9"/>
        <v/>
      </c>
      <c r="Y256" s="804" t="s">
        <v>1588</v>
      </c>
      <c r="Z256" s="777" t="str">
        <f>vlookup(F256,'2) Tracker'!$A$3:$Q$504,16,false)</f>
        <v>ex DD, Redel from IOC - will trade spot after DD</v>
      </c>
      <c r="AA256" s="836" t="s">
        <v>1590</v>
      </c>
      <c r="AB256" s="777" t="str">
        <f>vlookup(F256,'2) Tracker'!$A$3:$Q$504,17,false)</f>
        <v/>
      </c>
      <c r="AC256" s="778"/>
      <c r="AD256" s="778">
        <f>VLOOKUP(F256,'2) Tracker'!$A$2:$BO$980,37,FALSE)</f>
        <v>46181</v>
      </c>
      <c r="AE256" s="778">
        <f>VLOOKUP(F256,'2) Tracker'!$A$2:$BO$980,40,FALSE)</f>
        <v>46179</v>
      </c>
      <c r="AF256" s="778" t="str">
        <f>VLOOKUP(F256,'2) Tracker'!$A$2:$BO$980,67,FALSE)</f>
        <v/>
      </c>
      <c r="AG256" s="778">
        <f>VLOOKUP(F256,'2) Tracker'!$A$2:$BO$980,34,FALSE)</f>
        <v>46153</v>
      </c>
      <c r="AH256" s="778" t="str">
        <f>VLOOKUP(F256,'2) Tracker'!$A$2:$BN$980,66,FALSE)</f>
        <v/>
      </c>
      <c r="AI256" s="778">
        <f>VLOOKUP(F256,'2) Tracker'!$A$2:$BO$980,56,FALSE)</f>
        <v>46146</v>
      </c>
      <c r="AJ256" s="778">
        <f>VLOOKUP(F256,'2) Tracker'!$A$2:$BO$980,52,FALSE)</f>
        <v>46146</v>
      </c>
      <c r="AK256" s="778">
        <f>VLOOKUP(F256,'2) Tracker'!$A$2:$AQ$980,43,FALSE)</f>
        <v>46162</v>
      </c>
      <c r="AL256" s="778">
        <f>VLOOKUP(F256,'2) Tracker'!$A$2:$BH$980,46,FALSE())</f>
        <v>46171</v>
      </c>
      <c r="AM256" s="778">
        <f>VLOOKUP(F256,'2) Tracker'!$A$2:$BO$980,65,FALSE())</f>
        <v>46156</v>
      </c>
      <c r="AN256" s="778">
        <f>VLOOKUP(F256,'2) Tracker'!$A$2:$BK$980,63,FALSE())</f>
        <v>46179</v>
      </c>
      <c r="AO256" s="778" t="str">
        <f>VLOOKUP(F256,'2) Tracker'!$A$2:$BF$980,58,FALSE())</f>
        <v/>
      </c>
      <c r="AP256" s="52"/>
      <c r="AQ256" s="52"/>
      <c r="AR256" s="52"/>
      <c r="AS256" s="52"/>
      <c r="AT256" s="52"/>
      <c r="AU256" s="52"/>
      <c r="AV256" s="52"/>
      <c r="AW256" s="52"/>
      <c r="AX256" s="52"/>
      <c r="AY256" s="52"/>
      <c r="AZ256" s="734"/>
      <c r="BA256" s="786" t="str">
        <f>vlookup(AZ256,'Iran, FS'!$A$1:$B$318,2, false)</f>
        <v>#N/A</v>
      </c>
      <c r="BB256" s="787" t="str">
        <f>vlookup(AZ256,'1) Kpler'!$E$2:$F$500,2,false)</f>
        <v>#N/A</v>
      </c>
      <c r="BC256" s="740"/>
      <c r="BD256" s="734"/>
      <c r="BE256" s="52"/>
      <c r="BF256" s="52"/>
      <c r="BG256" s="734"/>
      <c r="BH256" s="734"/>
      <c r="BI256" s="734"/>
      <c r="BJ256" s="734"/>
    </row>
    <row r="257">
      <c r="B257" s="765" t="str">
        <f>vlookup(F257,'2) Tracker'!$A$3:$O$410,5,false)</f>
        <v/>
      </c>
      <c r="C257" s="765" t="str">
        <f>vlookup(F257,'2) Tracker'!$A$3:$O$410,4,false)</f>
        <v/>
      </c>
      <c r="D257" s="734"/>
      <c r="E257" s="734" t="str">
        <f>vlookup(F257,'2) Tracker'!$A$3:$O$406,15,false)</f>
        <v/>
      </c>
      <c r="F257" s="766" t="s">
        <v>54</v>
      </c>
      <c r="G257" s="783">
        <f>VLOOKUP(F257,'2) Tracker'!$A$2:$BO$360,2,FALSE)</f>
        <v>42460</v>
      </c>
      <c r="H257" s="768">
        <f>VLOOKUP(F257,'2) Tracker'!$A$2:$BO$360,3,FALSE)</f>
        <v>83000</v>
      </c>
      <c r="I257" s="769" t="str">
        <f>VLOOKUP(F257,'2) Tracker'!$A$2:$BO$360,9,FALSE)</f>
        <v>AltaGas</v>
      </c>
      <c r="J257" s="770" t="str">
        <f>VLOOKUP(F257,'2) Tracker'!$A$2:$BO$360,12,FALSE)</f>
        <v>Far East</v>
      </c>
      <c r="K257" s="774">
        <f t="shared" si="207"/>
        <v>46181</v>
      </c>
      <c r="L257" s="774">
        <f t="shared" ref="L257:O257" si="304">AE257</f>
        <v>46188</v>
      </c>
      <c r="M257" s="771" t="str">
        <f t="shared" si="304"/>
        <v/>
      </c>
      <c r="N257" s="772">
        <f t="shared" si="304"/>
        <v>46168</v>
      </c>
      <c r="O257" s="772" t="str">
        <f t="shared" si="304"/>
        <v/>
      </c>
      <c r="P257" s="773" t="str">
        <f>iferror(if(vlookup(F257,'Voyage days'!$M$808:$N$819,2,false),"GOA",""),"")</f>
        <v/>
      </c>
      <c r="Q257" s="771">
        <f t="shared" si="81"/>
        <v>46171</v>
      </c>
      <c r="R257" s="774">
        <f t="shared" si="83"/>
        <v>46196</v>
      </c>
      <c r="S257" s="774">
        <f t="shared" si="5"/>
        <v>46186</v>
      </c>
      <c r="T257" s="771">
        <f t="shared" si="6"/>
        <v>46180</v>
      </c>
      <c r="U257" s="774">
        <f t="shared" si="84"/>
        <v>46159</v>
      </c>
      <c r="V257" s="771"/>
      <c r="W257" s="771">
        <f t="shared" si="85"/>
        <v>46158.25</v>
      </c>
      <c r="X257" s="775">
        <f t="shared" si="9"/>
        <v>46161</v>
      </c>
      <c r="Y257" s="776"/>
      <c r="Z257" s="777" t="str">
        <f>vlookup(F257,'2) Tracker'!$A$3:$Q$504,16,false)</f>
        <v>ex DD, ETA Ferndale 16 Apr</v>
      </c>
      <c r="AA257" s="777" t="str">
        <f>vlookup(F257,'2) Tracker'!$A$3:$R$504,18,false)</f>
        <v>Altagas 16-17 Apr Ferndale</v>
      </c>
      <c r="AB257" s="777" t="str">
        <f>vlookup(F257,'2) Tracker'!$A$3:$Q$504,17,false)</f>
        <v/>
      </c>
      <c r="AC257" s="778"/>
      <c r="AD257" s="778">
        <f>VLOOKUP(F257,'2) Tracker'!$A$2:$BO$980,37,FALSE)</f>
        <v>46181</v>
      </c>
      <c r="AE257" s="778">
        <f>VLOOKUP(F257,'2) Tracker'!$A$2:$BO$980,40,FALSE)</f>
        <v>46188</v>
      </c>
      <c r="AF257" s="778" t="str">
        <f>VLOOKUP(F257,'2) Tracker'!$A$2:$BO$980,67,FALSE)</f>
        <v/>
      </c>
      <c r="AG257" s="778">
        <f>VLOOKUP(F257,'2) Tracker'!$A$2:$BO$980,34,FALSE)</f>
        <v>46168</v>
      </c>
      <c r="AH257" s="778" t="str">
        <f>VLOOKUP(F257,'2) Tracker'!$A$2:$BN$980,66,FALSE)</f>
        <v/>
      </c>
      <c r="AI257" s="778">
        <f>VLOOKUP(F257,'2) Tracker'!$A$2:$BO$980,56,FALSE)</f>
        <v>46159</v>
      </c>
      <c r="AJ257" s="778">
        <f>VLOOKUP(F257,'2) Tracker'!$A$2:$BO$980,52,FALSE)</f>
        <v>46158.25</v>
      </c>
      <c r="AK257" s="778">
        <f>VLOOKUP(F257,'2) Tracker'!$A$2:$AQ$980,43,FALSE)</f>
        <v>46180</v>
      </c>
      <c r="AL257" s="778">
        <f>VLOOKUP(F257,'2) Tracker'!$A$2:$BH$980,46,FALSE())</f>
        <v>46186</v>
      </c>
      <c r="AM257" s="778">
        <f>VLOOKUP(F257,'2) Tracker'!$A$2:$BO$980,65,FALSE())</f>
        <v>46171</v>
      </c>
      <c r="AN257" s="778">
        <f>VLOOKUP(F257,'2) Tracker'!$A$2:$BK$980,63,FALSE())</f>
        <v>46196</v>
      </c>
      <c r="AO257" s="778">
        <f>VLOOKUP(F257,'2) Tracker'!$A$2:$BF$980,58,FALSE())</f>
        <v>46161</v>
      </c>
      <c r="AP257" s="52"/>
      <c r="AQ257" s="52"/>
      <c r="AR257" s="52"/>
      <c r="AS257" s="52"/>
      <c r="AT257" s="52"/>
      <c r="AU257" s="52"/>
      <c r="AV257" s="52"/>
      <c r="AW257" s="52"/>
      <c r="AX257" s="52"/>
      <c r="AY257" s="52"/>
      <c r="AZ257" s="734"/>
      <c r="BA257" s="786" t="str">
        <f>vlookup(AZ257,'Iran, FS'!A353:B353)</f>
        <v>#N/A</v>
      </c>
      <c r="BB257" s="787" t="str">
        <f>vlookup(AZ257,'1) Kpler'!$E$2:$F$500,2,false)</f>
        <v>#N/A</v>
      </c>
      <c r="BC257" s="740"/>
      <c r="BD257" s="734"/>
      <c r="BE257" s="52"/>
      <c r="BF257" s="52"/>
      <c r="BG257" s="734"/>
      <c r="BH257" s="734"/>
      <c r="BI257" s="734"/>
      <c r="BJ257" s="734"/>
    </row>
    <row r="258">
      <c r="B258" s="765" t="str">
        <f>vlookup(F258,'2) Tracker'!$A$3:$O$410,5,false)</f>
        <v/>
      </c>
      <c r="C258" s="765" t="str">
        <f>vlookup(F258,'2) Tracker'!$A$3:$O$410,4,false)</f>
        <v/>
      </c>
      <c r="D258" s="734"/>
      <c r="E258" s="734" t="str">
        <f>vlookup(F258,'2) Tracker'!$A$3:$O$406,15,false)</f>
        <v/>
      </c>
      <c r="F258" s="770" t="s">
        <v>256</v>
      </c>
      <c r="G258" s="789">
        <f>VLOOKUP(F258,'2) Tracker'!$A$2:$BO$360,2,FALSE)</f>
        <v>2018</v>
      </c>
      <c r="H258" s="768">
        <f>VLOOKUP(F258,'2) Tracker'!$A$2:$BO$360,3,FALSE)</f>
        <v>84000</v>
      </c>
      <c r="I258" s="777" t="str">
        <f>VLOOKUP(F258,'2) Tracker'!$A$2:$BO$360,9,FALSE)</f>
        <v>SK Gas</v>
      </c>
      <c r="J258" s="770" t="str">
        <f>VLOOKUP(F258,'2) Tracker'!$A$2:$BO$360,12,FALSE)</f>
        <v>Korea</v>
      </c>
      <c r="K258" s="771">
        <f t="shared" si="207"/>
        <v>46182</v>
      </c>
      <c r="L258" s="771">
        <f t="shared" ref="L258:O258" si="305">AE258</f>
        <v>46189</v>
      </c>
      <c r="M258" s="771" t="str">
        <f t="shared" si="305"/>
        <v/>
      </c>
      <c r="N258" s="771">
        <f t="shared" si="305"/>
        <v>46166</v>
      </c>
      <c r="O258" s="772" t="str">
        <f t="shared" si="305"/>
        <v/>
      </c>
      <c r="P258" s="773" t="str">
        <f>iferror(if(vlookup(F258,'Voyage days'!$M$808:$N$819,2,false),"GOA",""),"")</f>
        <v/>
      </c>
      <c r="Q258" s="771">
        <f t="shared" si="81"/>
        <v>46170</v>
      </c>
      <c r="R258" s="771">
        <f t="shared" si="83"/>
        <v>46193</v>
      </c>
      <c r="S258" s="774">
        <f t="shared" si="5"/>
        <v>46183</v>
      </c>
      <c r="T258" s="771">
        <f t="shared" si="6"/>
        <v>46177</v>
      </c>
      <c r="U258" s="771">
        <f t="shared" si="84"/>
        <v>46158</v>
      </c>
      <c r="V258" s="771"/>
      <c r="W258" s="771">
        <f t="shared" si="85"/>
        <v>46156</v>
      </c>
      <c r="X258" s="775">
        <f t="shared" si="9"/>
        <v>46159</v>
      </c>
      <c r="Y258" s="776"/>
      <c r="Z258" s="777" t="str">
        <f>vlookup(F258,'2) Tracker'!$A$3:$Q$504,16,false)</f>
        <v>ETA 1st port Pyeongtaek 03 May</v>
      </c>
      <c r="AA258" s="777" t="str">
        <f>vlookup(F258,'2) Tracker'!$A$3:$R$504,18,false)</f>
        <v>SK Gas 29 Mar Enterprise</v>
      </c>
      <c r="AB258" s="777" t="str">
        <f>vlookup(F258,'2) Tracker'!$A$3:$Q$504,17,false)</f>
        <v/>
      </c>
      <c r="AC258" s="778"/>
      <c r="AD258" s="778">
        <f>VLOOKUP(F258,'2) Tracker'!$A$2:$BO$980,37,FALSE)</f>
        <v>46182</v>
      </c>
      <c r="AE258" s="778">
        <f>VLOOKUP(F258,'2) Tracker'!$A$2:$BO$980,40,FALSE)</f>
        <v>46189</v>
      </c>
      <c r="AF258" s="778" t="str">
        <f>VLOOKUP(F258,'2) Tracker'!$A$2:$BO$980,67,FALSE)</f>
        <v/>
      </c>
      <c r="AG258" s="778">
        <f>VLOOKUP(F258,'2) Tracker'!$A$2:$BO$980,34,FALSE)</f>
        <v>46166</v>
      </c>
      <c r="AH258" s="778" t="str">
        <f>VLOOKUP(F258,'2) Tracker'!$A$2:$BN$980,66,FALSE)</f>
        <v/>
      </c>
      <c r="AI258" s="778">
        <f>VLOOKUP(F258,'2) Tracker'!$A$2:$BO$980,56,FALSE)</f>
        <v>46158</v>
      </c>
      <c r="AJ258" s="778">
        <f>VLOOKUP(F258,'2) Tracker'!$A$2:$BO$980,52,FALSE)</f>
        <v>46156</v>
      </c>
      <c r="AK258" s="778">
        <f>VLOOKUP(F258,'2) Tracker'!$A$2:$AQ$980,43,FALSE)</f>
        <v>46177</v>
      </c>
      <c r="AL258" s="778">
        <f>VLOOKUP(F258,'2) Tracker'!$A$2:$BH$980,46,FALSE())</f>
        <v>46183</v>
      </c>
      <c r="AM258" s="778">
        <f>VLOOKUP(F258,'2) Tracker'!$A$2:$BO$980,65,FALSE())</f>
        <v>46170</v>
      </c>
      <c r="AN258" s="778">
        <f>VLOOKUP(F258,'2) Tracker'!$A$2:$BK$980,63,FALSE())</f>
        <v>46193</v>
      </c>
      <c r="AO258" s="778">
        <f>VLOOKUP(F258,'2) Tracker'!$A$2:$BF$980,58,FALSE())</f>
        <v>46159</v>
      </c>
      <c r="AP258" s="52"/>
      <c r="AQ258" s="52"/>
      <c r="AR258" s="52"/>
      <c r="AS258" s="52"/>
      <c r="AT258" s="52"/>
      <c r="AU258" s="52"/>
      <c r="AV258" s="52"/>
      <c r="AW258" s="52"/>
      <c r="AX258" s="52"/>
      <c r="AY258" s="52"/>
      <c r="AZ258" s="734"/>
      <c r="BA258" s="740"/>
      <c r="BB258" s="734"/>
      <c r="BC258" s="740"/>
      <c r="BD258" s="734"/>
      <c r="BE258" s="52"/>
      <c r="BF258" s="52"/>
      <c r="BG258" s="734"/>
      <c r="BH258" s="734"/>
      <c r="BI258" s="734"/>
      <c r="BJ258" s="734"/>
    </row>
    <row r="259">
      <c r="B259" s="765" t="str">
        <f>vlookup(F259,'2) Tracker'!$A$3:$O$410,5,false)</f>
        <v/>
      </c>
      <c r="C259" s="765" t="str">
        <f>vlookup(F259,'2) Tracker'!$A$3:$O$410,4,false)</f>
        <v/>
      </c>
      <c r="D259" s="734"/>
      <c r="E259" s="734" t="str">
        <f>vlookup(F259,'2) Tracker'!$A$3:$O$406,15,false)</f>
        <v/>
      </c>
      <c r="F259" s="766" t="s">
        <v>244</v>
      </c>
      <c r="G259" s="783">
        <f>VLOOKUP(F259,'2) Tracker'!$A$2:$BO$360,2,FALSE)</f>
        <v>43570</v>
      </c>
      <c r="H259" s="768">
        <f>VLOOKUP(F259,'2) Tracker'!$A$2:$BO$360,3,FALSE)</f>
        <v>83000</v>
      </c>
      <c r="I259" s="769" t="str">
        <f>VLOOKUP(F259,'2) Tracker'!$A$2:$BO$360,9,FALSE)</f>
        <v>BGN</v>
      </c>
      <c r="J259" s="770" t="str">
        <f>VLOOKUP(F259,'2) Tracker'!$A$2:$BO$360,12,FALSE)</f>
        <v>Far East</v>
      </c>
      <c r="K259" s="774">
        <f t="shared" si="207"/>
        <v>46182</v>
      </c>
      <c r="L259" s="774">
        <f t="shared" ref="L259:O259" si="306">AE259</f>
        <v>46189</v>
      </c>
      <c r="M259" s="771" t="str">
        <f t="shared" si="306"/>
        <v/>
      </c>
      <c r="N259" s="771">
        <f t="shared" si="306"/>
        <v>46169</v>
      </c>
      <c r="O259" s="772" t="str">
        <f t="shared" si="306"/>
        <v/>
      </c>
      <c r="P259" s="773" t="str">
        <f>iferror(if(vlookup(F259,'Voyage days'!$M$808:$N$819,2,false),"GOA",""),"")</f>
        <v/>
      </c>
      <c r="Q259" s="771">
        <f t="shared" si="81"/>
        <v>46172</v>
      </c>
      <c r="R259" s="774">
        <f t="shared" si="83"/>
        <v>46197</v>
      </c>
      <c r="S259" s="774">
        <f t="shared" si="5"/>
        <v>46187</v>
      </c>
      <c r="T259" s="771">
        <f t="shared" si="6"/>
        <v>46181</v>
      </c>
      <c r="U259" s="774">
        <f t="shared" si="84"/>
        <v>46160</v>
      </c>
      <c r="V259" s="745" t="s">
        <v>1523</v>
      </c>
      <c r="W259" s="774">
        <f t="shared" si="85"/>
        <v>46159.25</v>
      </c>
      <c r="X259" s="775">
        <f t="shared" si="9"/>
        <v>46162</v>
      </c>
      <c r="Y259" s="776"/>
      <c r="Z259" s="777" t="str">
        <f>vlookup(F259,'2) Tracker'!$A$3:$Q$504,16,false)</f>
        <v>Ex Nederland 06 Apr</v>
      </c>
      <c r="AA259" s="777" t="str">
        <f>vlookup(F259,'2) Tracker'!$A$3:$R$504,18,false)</f>
        <v>BGN 21-22 Mar Nederland</v>
      </c>
      <c r="AB259" s="777" t="str">
        <f>vlookup(F259,'2) Tracker'!$A$3:$Q$504,17,false)</f>
        <v/>
      </c>
      <c r="AC259" s="778"/>
      <c r="AD259" s="778">
        <f>VLOOKUP(F259,'2) Tracker'!$A$2:$BO$980,37,FALSE)</f>
        <v>46182</v>
      </c>
      <c r="AE259" s="778">
        <f>VLOOKUP(F259,'2) Tracker'!$A$2:$BO$980,40,FALSE)</f>
        <v>46189</v>
      </c>
      <c r="AF259" s="778" t="str">
        <f>VLOOKUP(F259,'2) Tracker'!$A$2:$BO$980,67,FALSE)</f>
        <v/>
      </c>
      <c r="AG259" s="778">
        <f>VLOOKUP(F259,'2) Tracker'!$A$2:$BO$980,34,FALSE)</f>
        <v>46169</v>
      </c>
      <c r="AH259" s="778" t="str">
        <f>VLOOKUP(F259,'2) Tracker'!$A$2:$BN$980,66,FALSE)</f>
        <v/>
      </c>
      <c r="AI259" s="778">
        <f>VLOOKUP(F259,'2) Tracker'!$A$2:$BO$980,56,FALSE)</f>
        <v>46160</v>
      </c>
      <c r="AJ259" s="778">
        <f>VLOOKUP(F259,'2) Tracker'!$A$2:$BO$980,52,FALSE)</f>
        <v>46159.25</v>
      </c>
      <c r="AK259" s="778">
        <f>VLOOKUP(F259,'2) Tracker'!$A$2:$AQ$980,43,FALSE)</f>
        <v>46181</v>
      </c>
      <c r="AL259" s="778">
        <f>VLOOKUP(F259,'2) Tracker'!$A$2:$BH$980,46,FALSE())</f>
        <v>46187</v>
      </c>
      <c r="AM259" s="778">
        <f>VLOOKUP(F259,'2) Tracker'!$A$2:$BO$980,65,FALSE())</f>
        <v>46172</v>
      </c>
      <c r="AN259" s="778">
        <f>VLOOKUP(F259,'2) Tracker'!$A$2:$BK$980,63,FALSE())</f>
        <v>46197</v>
      </c>
      <c r="AO259" s="778">
        <f>VLOOKUP(F259,'2) Tracker'!$A$2:$BF$980,58,FALSE())</f>
        <v>46162</v>
      </c>
      <c r="AP259" s="52"/>
      <c r="AQ259" s="52"/>
      <c r="AR259" s="52"/>
      <c r="AS259" s="52"/>
      <c r="AT259" s="52"/>
      <c r="AU259" s="52"/>
      <c r="AV259" s="52"/>
      <c r="AW259" s="52"/>
      <c r="AX259" s="52"/>
      <c r="AY259" s="52"/>
      <c r="AZ259" s="734"/>
      <c r="BA259" s="786" t="str">
        <f>vlookup(AZ259,'Iran, FS'!$A$1:$B$318,2, false)</f>
        <v>#N/A</v>
      </c>
      <c r="BB259" s="787" t="str">
        <f>vlookup(AZ259,'1) Kpler'!$E$2:$F$500,2,false)</f>
        <v>#N/A</v>
      </c>
      <c r="BC259" s="740"/>
      <c r="BD259" s="734"/>
      <c r="BE259" s="52"/>
      <c r="BF259" s="52"/>
      <c r="BG259" s="787"/>
      <c r="BH259" s="734"/>
      <c r="BI259" s="734"/>
      <c r="BJ259" s="734"/>
    </row>
    <row r="260">
      <c r="B260" s="765" t="str">
        <f>vlookup(F260,'2) Tracker'!$A$3:$O$410,5,false)</f>
        <v>C</v>
      </c>
      <c r="C260" s="765" t="str">
        <f>vlookup(F260,'2) Tracker'!$A$3:$O$410,4,false)</f>
        <v/>
      </c>
      <c r="D260" s="734"/>
      <c r="E260" s="734" t="str">
        <f>vlookup(F260,'2) Tracker'!$A$3:$O$406,15,false)</f>
        <v/>
      </c>
      <c r="F260" s="822" t="s">
        <v>475</v>
      </c>
      <c r="G260" s="783">
        <f>VLOOKUP(F260,'2) Tracker'!$A$2:$BO$360,2,FALSE)</f>
        <v>42583</v>
      </c>
      <c r="H260" s="768">
        <f>VLOOKUP(F260,'2) Tracker'!$A$2:$BO$360,3,FALSE)</f>
        <v>84000</v>
      </c>
      <c r="I260" s="770" t="str">
        <f>VLOOKUP(F260,'2) Tracker'!$A$2:$BO$360,9,FALSE)</f>
        <v>Shell</v>
      </c>
      <c r="J260" s="770" t="str">
        <f>VLOOKUP(F260,'2) Tracker'!$A$2:$BO$360,12,FALSE)</f>
        <v>Korea</v>
      </c>
      <c r="K260" s="771">
        <f t="shared" si="207"/>
        <v>46183</v>
      </c>
      <c r="L260" s="771">
        <f t="shared" ref="L260:O260" si="307">AE260</f>
        <v>46190</v>
      </c>
      <c r="M260" s="771" t="str">
        <f t="shared" si="307"/>
        <v/>
      </c>
      <c r="N260" s="771">
        <f t="shared" si="307"/>
        <v>46167</v>
      </c>
      <c r="O260" s="772" t="str">
        <f t="shared" si="307"/>
        <v/>
      </c>
      <c r="P260" s="773" t="str">
        <f>iferror(if(vlookup(F260,'Voyage days'!$M$808:$N$819,2,false),"GOA",""),"")</f>
        <v/>
      </c>
      <c r="Q260" s="771">
        <f t="shared" si="81"/>
        <v>46169</v>
      </c>
      <c r="R260" s="771">
        <f t="shared" si="83"/>
        <v>46194</v>
      </c>
      <c r="S260" s="774">
        <f t="shared" si="5"/>
        <v>46184</v>
      </c>
      <c r="T260" s="771">
        <f t="shared" si="6"/>
        <v>46178</v>
      </c>
      <c r="U260" s="771">
        <f t="shared" si="84"/>
        <v>46157</v>
      </c>
      <c r="V260" s="771"/>
      <c r="W260" s="771">
        <f t="shared" si="85"/>
        <v>46157</v>
      </c>
      <c r="X260" s="775">
        <f t="shared" si="9"/>
        <v>46160</v>
      </c>
      <c r="Y260" s="784" t="s">
        <v>1591</v>
      </c>
      <c r="Z260" s="777" t="str">
        <f>vlookup(F260,'2) Tracker'!$A$3:$Q$504,16,false)</f>
        <v>ETA 1st port Ulsan 04 May</v>
      </c>
      <c r="AA260" s="777" t="str">
        <f>vlookup(F260,'2) Tracker'!$A$3:$R$504,18,false)</f>
        <v>ATC 29-30 Mar Nederland</v>
      </c>
      <c r="AB260" s="777" t="str">
        <f>vlookup(F260,'2) Tracker'!$A$3:$Q$504,17,false)</f>
        <v/>
      </c>
      <c r="AC260" s="778"/>
      <c r="AD260" s="778">
        <f>VLOOKUP(F260,'2) Tracker'!$A$2:$BO$980,37,FALSE)</f>
        <v>46183</v>
      </c>
      <c r="AE260" s="778">
        <f>VLOOKUP(F260,'2) Tracker'!$A$2:$BO$980,40,FALSE)</f>
        <v>46190</v>
      </c>
      <c r="AF260" s="778" t="str">
        <f>VLOOKUP(F260,'2) Tracker'!$A$2:$BO$980,67,FALSE)</f>
        <v/>
      </c>
      <c r="AG260" s="778">
        <f>VLOOKUP(F260,'2) Tracker'!$A$2:$BO$980,34,FALSE)</f>
        <v>46167</v>
      </c>
      <c r="AH260" s="778" t="str">
        <f>VLOOKUP(F260,'2) Tracker'!$A$2:$BN$980,66,FALSE)</f>
        <v/>
      </c>
      <c r="AI260" s="778">
        <f>VLOOKUP(F260,'2) Tracker'!$A$2:$BO$980,56,FALSE)</f>
        <v>46157</v>
      </c>
      <c r="AJ260" s="778">
        <f>VLOOKUP(F260,'2) Tracker'!$A$2:$BO$980,52,FALSE)</f>
        <v>46157</v>
      </c>
      <c r="AK260" s="778">
        <f>VLOOKUP(F260,'2) Tracker'!$A$2:$AQ$980,43,FALSE)</f>
        <v>46178</v>
      </c>
      <c r="AL260" s="778">
        <f>VLOOKUP(F260,'2) Tracker'!$A$2:$BH$980,46,FALSE())</f>
        <v>46184</v>
      </c>
      <c r="AM260" s="778">
        <f>VLOOKUP(F260,'2) Tracker'!$A$2:$BO$980,65,FALSE())</f>
        <v>46169</v>
      </c>
      <c r="AN260" s="778">
        <f>VLOOKUP(F260,'2) Tracker'!$A$2:$BK$980,63,FALSE())</f>
        <v>46194</v>
      </c>
      <c r="AO260" s="778">
        <f>VLOOKUP(F260,'2) Tracker'!$A$2:$BF$980,58,FALSE())</f>
        <v>46160</v>
      </c>
      <c r="AP260" s="52"/>
      <c r="AQ260" s="52"/>
      <c r="AR260" s="52"/>
      <c r="AS260" s="52"/>
      <c r="AT260" s="52"/>
      <c r="AU260" s="52"/>
      <c r="AV260" s="52"/>
      <c r="AW260" s="52"/>
      <c r="AX260" s="52"/>
      <c r="AY260" s="52"/>
      <c r="AZ260" s="734"/>
      <c r="BA260" s="786" t="str">
        <f>vlookup(AZ260,'Iran, FS'!A352:B352)</f>
        <v>#N/A</v>
      </c>
      <c r="BB260" s="787" t="str">
        <f>vlookup(AZ260,'1) Kpler'!$E$2:$F$500,2,false)</f>
        <v>#N/A</v>
      </c>
      <c r="BC260" s="740"/>
      <c r="BD260" s="734"/>
      <c r="BE260" s="52"/>
      <c r="BF260" s="52"/>
      <c r="BG260" s="734"/>
      <c r="BH260" s="734"/>
      <c r="BI260" s="734"/>
      <c r="BJ260" s="734"/>
    </row>
    <row r="261">
      <c r="B261" s="765" t="str">
        <f>vlookup(F261,'2) Tracker'!$A$3:$O$410,5,false)</f>
        <v/>
      </c>
      <c r="C261" s="765" t="str">
        <f>vlookup(F261,'2) Tracker'!$A$3:$O$410,4,false)</f>
        <v>US</v>
      </c>
      <c r="D261" s="732" t="s">
        <v>1515</v>
      </c>
      <c r="E261" s="734" t="str">
        <f>vlookup(F261,'2) Tracker'!$A$3:$O$406,15,false)</f>
        <v/>
      </c>
      <c r="F261" s="797" t="s">
        <v>387</v>
      </c>
      <c r="G261" s="767">
        <f>VLOOKUP(F261,'2) Tracker'!$A$2:$BO$360,2,FALSE)</f>
        <v>2025</v>
      </c>
      <c r="H261" s="768">
        <f>VLOOKUP(F261,'2) Tracker'!$A$2:$BO$360,3,FALSE)</f>
        <v>88000</v>
      </c>
      <c r="I261" s="769" t="str">
        <f>VLOOKUP(F261,'2) Tracker'!$A$2:$BO$360,9,FALSE)</f>
        <v>Chevron</v>
      </c>
      <c r="J261" s="770" t="str">
        <f>VLOOKUP(F261,'2) Tracker'!$A$2:$BO$360,12,FALSE)</f>
        <v>Japan</v>
      </c>
      <c r="K261" s="771">
        <f t="shared" si="207"/>
        <v>46183</v>
      </c>
      <c r="L261" s="771">
        <f t="shared" ref="L261:O261" si="308">AE261</f>
        <v>46193</v>
      </c>
      <c r="M261" s="771" t="str">
        <f t="shared" si="308"/>
        <v/>
      </c>
      <c r="N261" s="771">
        <f t="shared" si="308"/>
        <v>46169</v>
      </c>
      <c r="O261" s="772" t="str">
        <f t="shared" si="308"/>
        <v/>
      </c>
      <c r="P261" s="773" t="str">
        <f>iferror(if(vlookup(F261,'Voyage days'!$M$808:$N$819,2,false),"GOA",""),"")</f>
        <v/>
      </c>
      <c r="Q261" s="771">
        <f t="shared" si="81"/>
        <v>46172</v>
      </c>
      <c r="R261" s="771">
        <f t="shared" si="83"/>
        <v>46197</v>
      </c>
      <c r="S261" s="774">
        <f t="shared" si="5"/>
        <v>46187</v>
      </c>
      <c r="T261" s="771">
        <f t="shared" si="6"/>
        <v>46181</v>
      </c>
      <c r="U261" s="771">
        <f t="shared" si="84"/>
        <v>46160</v>
      </c>
      <c r="V261" s="771"/>
      <c r="W261" s="771">
        <f t="shared" si="85"/>
        <v>46159.25</v>
      </c>
      <c r="X261" s="775">
        <f t="shared" si="9"/>
        <v>46162</v>
      </c>
      <c r="Y261" s="776"/>
      <c r="Z261" s="777" t="str">
        <f>vlookup(F261,'2) Tracker'!$A$3:$Q$504,16,false)</f>
        <v>ETA 1st port Chiba 03 May</v>
      </c>
      <c r="AA261" s="777" t="str">
        <f>vlookup(F261,'2) Tracker'!$A$3:$R$504,18,false)</f>
        <v>Chevron 26-27 Mar Enterprise</v>
      </c>
      <c r="AB261" s="777" t="str">
        <f>vlookup(F261,'2) Tracker'!$A$3:$Q$504,17,false)</f>
        <v/>
      </c>
      <c r="AC261" s="778"/>
      <c r="AD261" s="778">
        <f>VLOOKUP(F261,'2) Tracker'!$A$2:$BO$980,37,FALSE)</f>
        <v>46183</v>
      </c>
      <c r="AE261" s="778">
        <f>VLOOKUP(F261,'2) Tracker'!$A$2:$BO$980,40,FALSE)</f>
        <v>46193</v>
      </c>
      <c r="AF261" s="778" t="str">
        <f>VLOOKUP(F261,'2) Tracker'!$A$2:$BO$980,67,FALSE)</f>
        <v/>
      </c>
      <c r="AG261" s="778">
        <f>VLOOKUP(F261,'2) Tracker'!$A$2:$BO$980,34,FALSE)</f>
        <v>46169</v>
      </c>
      <c r="AH261" s="778" t="str">
        <f>VLOOKUP(F261,'2) Tracker'!$A$2:$BN$980,66,FALSE)</f>
        <v/>
      </c>
      <c r="AI261" s="778">
        <f>VLOOKUP(F261,'2) Tracker'!$A$2:$BO$980,56,FALSE)</f>
        <v>46160</v>
      </c>
      <c r="AJ261" s="778">
        <f>VLOOKUP(F261,'2) Tracker'!$A$2:$BO$980,52,FALSE)</f>
        <v>46159.25</v>
      </c>
      <c r="AK261" s="778">
        <f>VLOOKUP(F261,'2) Tracker'!$A$2:$AQ$980,43,FALSE)</f>
        <v>46181</v>
      </c>
      <c r="AL261" s="778">
        <f>VLOOKUP(F261,'2) Tracker'!$A$2:$BH$980,46,FALSE())</f>
        <v>46187</v>
      </c>
      <c r="AM261" s="778">
        <f>VLOOKUP(F261,'2) Tracker'!$A$2:$BO$980,65,FALSE())</f>
        <v>46172</v>
      </c>
      <c r="AN261" s="778">
        <f>VLOOKUP(F261,'2) Tracker'!$A$2:$BK$980,63,FALSE())</f>
        <v>46197</v>
      </c>
      <c r="AO261" s="778">
        <f>VLOOKUP(F261,'2) Tracker'!$A$2:$BF$980,58,FALSE())</f>
        <v>46162</v>
      </c>
      <c r="AP261" s="52"/>
      <c r="AQ261" s="52"/>
      <c r="AR261" s="52"/>
      <c r="AS261" s="52"/>
      <c r="AT261" s="52"/>
      <c r="AU261" s="52"/>
      <c r="AV261" s="52"/>
      <c r="AW261" s="52"/>
      <c r="AX261" s="52"/>
      <c r="AY261" s="52"/>
      <c r="AZ261" s="734"/>
      <c r="BA261" s="786" t="str">
        <f>vlookup(AZ261,'Iran, FS'!$A$1:$B$318,2, false)</f>
        <v>#N/A</v>
      </c>
      <c r="BB261" s="787" t="str">
        <f>vlookup(AZ261,'1) Kpler'!$E$2:$F$500,2,false)</f>
        <v>#N/A</v>
      </c>
      <c r="BC261" s="740"/>
      <c r="BD261" s="734"/>
      <c r="BE261" s="52"/>
      <c r="BF261" s="52"/>
      <c r="BG261" s="734"/>
      <c r="BH261" s="734"/>
      <c r="BI261" s="734"/>
      <c r="BJ261" s="734"/>
    </row>
    <row r="262">
      <c r="B262" s="765" t="str">
        <f>vlookup(F262,'2) Tracker'!$A$3:$O$410,5,false)</f>
        <v/>
      </c>
      <c r="C262" s="765" t="str">
        <f>vlookup(F262,'2) Tracker'!$A$3:$O$410,4,false)</f>
        <v/>
      </c>
      <c r="D262" s="734"/>
      <c r="E262" s="734" t="str">
        <f>vlookup(F262,'2) Tracker'!$A$3:$O$406,15,false)</f>
        <v/>
      </c>
      <c r="F262" s="788" t="s">
        <v>379</v>
      </c>
      <c r="G262" s="789">
        <f>VLOOKUP(F262,'2) Tracker'!$A$2:$BO$360,2,FALSE)</f>
        <v>2023</v>
      </c>
      <c r="H262" s="768">
        <f>VLOOKUP(F262,'2) Tracker'!$A$2:$BO$360,3,FALSE)</f>
        <v>93000</v>
      </c>
      <c r="I262" s="777" t="str">
        <f>VLOOKUP(F262,'2) Tracker'!$A$2:$BO$360,9,FALSE)</f>
        <v>Petredec</v>
      </c>
      <c r="J262" s="770" t="str">
        <f>VLOOKUP(F262,'2) Tracker'!$A$2:$BO$360,12,FALSE)</f>
        <v>East China</v>
      </c>
      <c r="K262" s="771">
        <f t="shared" si="207"/>
        <v>46183</v>
      </c>
      <c r="L262" s="771">
        <f t="shared" ref="L262:O262" si="309">AE262</f>
        <v>46194</v>
      </c>
      <c r="M262" s="771" t="str">
        <f t="shared" si="309"/>
        <v/>
      </c>
      <c r="N262" s="771">
        <f t="shared" si="309"/>
        <v>46167</v>
      </c>
      <c r="O262" s="772" t="str">
        <f t="shared" si="309"/>
        <v/>
      </c>
      <c r="P262" s="773" t="str">
        <f>iferror(if(vlookup(F262,'Voyage days'!$M$808:$N$819,2,false),"GOA",""),"")</f>
        <v/>
      </c>
      <c r="Q262" s="771">
        <f t="shared" si="81"/>
        <v>46170</v>
      </c>
      <c r="R262" s="771">
        <f t="shared" si="83"/>
        <v>46194</v>
      </c>
      <c r="S262" s="774">
        <f t="shared" si="5"/>
        <v>46185</v>
      </c>
      <c r="T262" s="771">
        <f t="shared" si="6"/>
        <v>46178</v>
      </c>
      <c r="U262" s="771">
        <f t="shared" si="84"/>
        <v>46158</v>
      </c>
      <c r="V262" s="771"/>
      <c r="W262" s="771">
        <f t="shared" si="85"/>
        <v>46157.25</v>
      </c>
      <c r="X262" s="775">
        <f t="shared" si="9"/>
        <v>46163</v>
      </c>
      <c r="Y262" s="776"/>
      <c r="Z262" s="777" t="str">
        <f>vlookup(F262,'2) Tracker'!$A$3:$Q$504,16,false)</f>
        <v>ETA 1st port Jiangyin 04 May</v>
      </c>
      <c r="AA262" s="777" t="str">
        <f>vlookup(F262,'2) Tracker'!$A$3:$R$504,18,false)</f>
        <v>Petredec 28 Mar Targa</v>
      </c>
      <c r="AB262" s="777" t="str">
        <f>vlookup(F262,'2) Tracker'!$A$3:$Q$504,17,false)</f>
        <v/>
      </c>
      <c r="AC262" s="778"/>
      <c r="AD262" s="778">
        <f>VLOOKUP(F262,'2) Tracker'!$A$2:$BO$980,37,FALSE)</f>
        <v>46183</v>
      </c>
      <c r="AE262" s="778">
        <f>VLOOKUP(F262,'2) Tracker'!$A$2:$BO$980,40,FALSE)</f>
        <v>46194</v>
      </c>
      <c r="AF262" s="778" t="str">
        <f>VLOOKUP(F262,'2) Tracker'!$A$2:$BO$980,67,FALSE)</f>
        <v/>
      </c>
      <c r="AG262" s="778">
        <f>VLOOKUP(F262,'2) Tracker'!$A$2:$BO$980,34,FALSE)</f>
        <v>46167</v>
      </c>
      <c r="AH262" s="778" t="str">
        <f>VLOOKUP(F262,'2) Tracker'!$A$2:$BN$980,66,FALSE)</f>
        <v/>
      </c>
      <c r="AI262" s="778">
        <f>VLOOKUP(F262,'2) Tracker'!$A$2:$BO$980,56,FALSE)</f>
        <v>46158</v>
      </c>
      <c r="AJ262" s="778">
        <f>VLOOKUP(F262,'2) Tracker'!$A$2:$BO$980,52,FALSE)</f>
        <v>46157.25</v>
      </c>
      <c r="AK262" s="778">
        <f>VLOOKUP(F262,'2) Tracker'!$A$2:$AQ$980,43,FALSE)</f>
        <v>46178</v>
      </c>
      <c r="AL262" s="778">
        <f>VLOOKUP(F262,'2) Tracker'!$A$2:$BH$980,46,FALSE())</f>
        <v>46185</v>
      </c>
      <c r="AM262" s="778">
        <f>VLOOKUP(F262,'2) Tracker'!$A$2:$BO$980,65,FALSE())</f>
        <v>46170</v>
      </c>
      <c r="AN262" s="778">
        <f>VLOOKUP(F262,'2) Tracker'!$A$2:$BK$980,63,FALSE())</f>
        <v>46194</v>
      </c>
      <c r="AO262" s="778">
        <f>VLOOKUP(F262,'2) Tracker'!$A$2:$BF$980,58,FALSE())</f>
        <v>46163</v>
      </c>
      <c r="AP262" s="52"/>
      <c r="AQ262" s="52"/>
      <c r="AR262" s="52"/>
      <c r="AS262" s="52"/>
      <c r="AT262" s="52"/>
      <c r="AU262" s="52"/>
      <c r="AV262" s="52"/>
      <c r="AW262" s="52"/>
      <c r="AX262" s="52"/>
      <c r="AY262" s="52"/>
      <c r="AZ262" s="787"/>
      <c r="BA262" s="786" t="str">
        <f>vlookup(AZ262,'Iran, FS'!$A$1:$B$318,2, false)</f>
        <v>#N/A</v>
      </c>
      <c r="BB262" s="787" t="str">
        <f>vlookup(AZ262,'1) Kpler'!$E$2:$F$500,2,false)</f>
        <v>#N/A</v>
      </c>
      <c r="BC262" s="788"/>
      <c r="BD262" s="787"/>
      <c r="BE262" s="52"/>
      <c r="BF262" s="52"/>
      <c r="BG262" s="787"/>
      <c r="BH262" s="787"/>
      <c r="BI262" s="787"/>
      <c r="BJ262" s="787"/>
    </row>
    <row r="263">
      <c r="B263" s="765" t="str">
        <f>vlookup(F263,'2) Tracker'!$A$3:$O$410,5,false)</f>
        <v/>
      </c>
      <c r="C263" s="765" t="str">
        <f>vlookup(F263,'2) Tracker'!$A$3:$O$410,4,false)</f>
        <v/>
      </c>
      <c r="D263" s="734"/>
      <c r="E263" s="734" t="str">
        <f>vlookup(F263,'2) Tracker'!$A$3:$O$406,15,false)</f>
        <v/>
      </c>
      <c r="F263" s="822" t="s">
        <v>513</v>
      </c>
      <c r="G263" s="789">
        <f>VLOOKUP(F263,'2) Tracker'!$A$2:$BO$360,2,FALSE)</f>
        <v>2020</v>
      </c>
      <c r="H263" s="768">
        <f>VLOOKUP(F263,'2) Tracker'!$A$2:$BO$360,3,FALSE)</f>
        <v>84000</v>
      </c>
      <c r="I263" s="777" t="str">
        <f>VLOOKUP(F263,'2) Tracker'!$A$2:$BO$360,9,FALSE)</f>
        <v>Petredec</v>
      </c>
      <c r="J263" s="770" t="str">
        <f>VLOOKUP(F263,'2) Tracker'!$A$2:$BO$360,12,FALSE)</f>
        <v>Indo</v>
      </c>
      <c r="K263" s="774">
        <f t="shared" si="207"/>
        <v>46184</v>
      </c>
      <c r="L263" s="774">
        <f t="shared" ref="L263:O263" si="310">AE263</f>
        <v>46182</v>
      </c>
      <c r="M263" s="771" t="str">
        <f t="shared" si="310"/>
        <v/>
      </c>
      <c r="N263" s="771">
        <f t="shared" si="310"/>
        <v>46156</v>
      </c>
      <c r="O263" s="772" t="str">
        <f t="shared" si="310"/>
        <v/>
      </c>
      <c r="P263" s="773" t="str">
        <f>iferror(if(vlookup(F263,'Voyage days'!$M$808:$N$819,2,false),"GOA",""),"")</f>
        <v/>
      </c>
      <c r="Q263" s="771">
        <f t="shared" si="81"/>
        <v>46159</v>
      </c>
      <c r="R263" s="771">
        <f t="shared" si="83"/>
        <v>46182</v>
      </c>
      <c r="S263" s="774">
        <f t="shared" si="5"/>
        <v>46174</v>
      </c>
      <c r="T263" s="771">
        <f t="shared" si="6"/>
        <v>46165</v>
      </c>
      <c r="U263" s="771">
        <f t="shared" si="84"/>
        <v>46149</v>
      </c>
      <c r="V263" s="771"/>
      <c r="W263" s="771">
        <f t="shared" si="85"/>
        <v>46149</v>
      </c>
      <c r="X263" s="775" t="str">
        <f t="shared" si="9"/>
        <v/>
      </c>
      <c r="Y263" s="776" t="s">
        <v>1531</v>
      </c>
      <c r="Z263" s="777" t="str">
        <f>vlookup(F263,'2) Tracker'!$A$3:$Q$504,16,false)</f>
        <v>ETA Merak 29 Apr, Darwin candidate?</v>
      </c>
      <c r="AA263" s="777" t="str">
        <f>vlookup(F263,'2) Tracker'!$A$3:$R$504,18,false)</f>
        <v>Petredec 22 Mar Freeport</v>
      </c>
      <c r="AB263" s="777" t="str">
        <f>vlookup(F263,'2) Tracker'!$A$3:$Q$504,17,false)</f>
        <v/>
      </c>
      <c r="AC263" s="778"/>
      <c r="AD263" s="778">
        <f>VLOOKUP(F263,'2) Tracker'!$A$2:$BO$980,37,FALSE)</f>
        <v>46184</v>
      </c>
      <c r="AE263" s="778">
        <f>VLOOKUP(F263,'2) Tracker'!$A$2:$BO$980,40,FALSE)</f>
        <v>46182</v>
      </c>
      <c r="AF263" s="778" t="str">
        <f>VLOOKUP(F263,'2) Tracker'!$A$2:$BO$980,67,FALSE)</f>
        <v/>
      </c>
      <c r="AG263" s="778">
        <f>VLOOKUP(F263,'2) Tracker'!$A$2:$BO$980,34,FALSE)</f>
        <v>46156</v>
      </c>
      <c r="AH263" s="778" t="str">
        <f>VLOOKUP(F263,'2) Tracker'!$A$2:$BN$980,66,FALSE)</f>
        <v/>
      </c>
      <c r="AI263" s="778">
        <f>VLOOKUP(F263,'2) Tracker'!$A$2:$BO$980,56,FALSE)</f>
        <v>46149</v>
      </c>
      <c r="AJ263" s="778">
        <f>VLOOKUP(F263,'2) Tracker'!$A$2:$BO$980,52,FALSE)</f>
        <v>46149</v>
      </c>
      <c r="AK263" s="778">
        <f>VLOOKUP(F263,'2) Tracker'!$A$2:$AQ$980,43,FALSE)</f>
        <v>46165</v>
      </c>
      <c r="AL263" s="778">
        <f>VLOOKUP(F263,'2) Tracker'!$A$2:$BH$980,46,FALSE())</f>
        <v>46174</v>
      </c>
      <c r="AM263" s="778">
        <f>VLOOKUP(F263,'2) Tracker'!$A$2:$BO$980,65,FALSE())</f>
        <v>46159</v>
      </c>
      <c r="AN263" s="778">
        <f>VLOOKUP(F263,'2) Tracker'!$A$2:$BK$980,63,FALSE())</f>
        <v>46182</v>
      </c>
      <c r="AO263" s="780" t="str">
        <f>VLOOKUP(F263,'2) Tracker'!$A$2:$BF$980,58,FALSE())</f>
        <v/>
      </c>
      <c r="AP263" s="52"/>
      <c r="AQ263" s="52"/>
      <c r="AR263" s="52"/>
      <c r="AS263" s="52"/>
      <c r="AT263" s="52"/>
      <c r="AU263" s="52"/>
      <c r="AV263" s="52"/>
      <c r="AW263" s="52"/>
      <c r="AX263" s="52"/>
      <c r="AY263" s="52"/>
      <c r="AZ263" s="734"/>
      <c r="BA263" s="740"/>
      <c r="BB263" s="734"/>
      <c r="BC263" s="740"/>
      <c r="BD263" s="734"/>
      <c r="BE263" s="52"/>
      <c r="BF263" s="52"/>
      <c r="BG263" s="734"/>
      <c r="BH263" s="734"/>
      <c r="BI263" s="734"/>
      <c r="BJ263" s="734"/>
    </row>
    <row r="264">
      <c r="B264" s="765" t="str">
        <f>vlookup(F264,'2) Tracker'!$A$3:$O$410,5,false)</f>
        <v/>
      </c>
      <c r="C264" s="765" t="str">
        <f>vlookup(F264,'2) Tracker'!$A$3:$O$410,4,false)</f>
        <v/>
      </c>
      <c r="D264" s="734"/>
      <c r="E264" s="734" t="str">
        <f>vlookup(F264,'2) Tracker'!$A$3:$O$406,15,false)</f>
        <v/>
      </c>
      <c r="F264" s="788" t="s">
        <v>219</v>
      </c>
      <c r="G264" s="792">
        <f>VLOOKUP(F264,'2) Tracker'!$A$2:$BO$360,2,FALSE)</f>
        <v>36801</v>
      </c>
      <c r="H264" s="768">
        <f>VLOOKUP(F264,'2) Tracker'!$A$2:$BO$360,3,FALSE)</f>
        <v>84310</v>
      </c>
      <c r="I264" s="769" t="str">
        <f>VLOOKUP(F264,'2) Tracker'!$A$2:$BO$360,9,FALSE)</f>
        <v>Sonatrach</v>
      </c>
      <c r="J264" s="770" t="str">
        <f>VLOOKUP(F264,'2) Tracker'!$A$2:$BO$360,12,FALSE)</f>
        <v>Indo</v>
      </c>
      <c r="K264" s="774">
        <f t="shared" si="207"/>
        <v>46184</v>
      </c>
      <c r="L264" s="774">
        <f t="shared" ref="L264:O264" si="311">AE264</f>
        <v>46182</v>
      </c>
      <c r="M264" s="771" t="str">
        <f t="shared" si="311"/>
        <v/>
      </c>
      <c r="N264" s="771">
        <f t="shared" si="311"/>
        <v>46156</v>
      </c>
      <c r="O264" s="772" t="str">
        <f t="shared" si="311"/>
        <v/>
      </c>
      <c r="P264" s="773" t="str">
        <f>iferror(if(vlookup(F264,'Voyage days'!$M$808:$N$819,2,false),"GOA",""),"")</f>
        <v/>
      </c>
      <c r="Q264" s="771">
        <f t="shared" si="81"/>
        <v>46159</v>
      </c>
      <c r="R264" s="774">
        <f t="shared" si="83"/>
        <v>46182</v>
      </c>
      <c r="S264" s="774">
        <f t="shared" si="5"/>
        <v>46174</v>
      </c>
      <c r="T264" s="771">
        <f t="shared" si="6"/>
        <v>46165</v>
      </c>
      <c r="U264" s="774">
        <f t="shared" si="84"/>
        <v>46149</v>
      </c>
      <c r="V264" s="774"/>
      <c r="W264" s="774">
        <f t="shared" si="85"/>
        <v>46149</v>
      </c>
      <c r="X264" s="775" t="str">
        <f t="shared" si="9"/>
        <v/>
      </c>
      <c r="Y264" s="776"/>
      <c r="Z264" s="777" t="str">
        <f>vlookup(F264,'2) Tracker'!$A$3:$Q$504,16,false)</f>
        <v>ETA Arun 30 Apr</v>
      </c>
      <c r="AA264" s="777" t="str">
        <f>vlookup(F264,'2) Tracker'!$A$3:$R$504,18,false)</f>
        <v>Sonatrach 23 Mar Bethioua</v>
      </c>
      <c r="AB264" s="777" t="str">
        <f>vlookup(F264,'2) Tracker'!$A$3:$Q$504,17,false)</f>
        <v/>
      </c>
      <c r="AC264" s="778"/>
      <c r="AD264" s="778">
        <f>VLOOKUP(F264,'2) Tracker'!$A$2:$BO$980,37,FALSE)</f>
        <v>46184</v>
      </c>
      <c r="AE264" s="778">
        <f>VLOOKUP(F264,'2) Tracker'!$A$2:$BO$980,40,FALSE)</f>
        <v>46182</v>
      </c>
      <c r="AF264" s="778" t="str">
        <f>VLOOKUP(F264,'2) Tracker'!$A$2:$BO$980,67,FALSE)</f>
        <v/>
      </c>
      <c r="AG264" s="778">
        <f>VLOOKUP(F264,'2) Tracker'!$A$2:$BO$980,34,FALSE)</f>
        <v>46156</v>
      </c>
      <c r="AH264" s="778" t="str">
        <f>VLOOKUP(F264,'2) Tracker'!$A$2:$BN$980,66,FALSE)</f>
        <v/>
      </c>
      <c r="AI264" s="778">
        <f>VLOOKUP(F264,'2) Tracker'!$A$2:$BO$980,56,FALSE)</f>
        <v>46149</v>
      </c>
      <c r="AJ264" s="778">
        <f>VLOOKUP(F264,'2) Tracker'!$A$2:$BO$980,52,FALSE)</f>
        <v>46149</v>
      </c>
      <c r="AK264" s="778">
        <f>VLOOKUP(F264,'2) Tracker'!$A$2:$AQ$980,43,FALSE)</f>
        <v>46165</v>
      </c>
      <c r="AL264" s="778">
        <f>VLOOKUP(F264,'2) Tracker'!$A$2:$BH$980,46,FALSE())</f>
        <v>46174</v>
      </c>
      <c r="AM264" s="778">
        <f>VLOOKUP(F264,'2) Tracker'!$A$2:$BO$980,65,FALSE())</f>
        <v>46159</v>
      </c>
      <c r="AN264" s="778">
        <f>VLOOKUP(F264,'2) Tracker'!$A$2:$BK$980,63,FALSE())</f>
        <v>46182</v>
      </c>
      <c r="AO264" s="778" t="str">
        <f>VLOOKUP(F264,'2) Tracker'!$A$2:$BF$980,58,FALSE())</f>
        <v/>
      </c>
      <c r="AP264" s="52"/>
      <c r="AQ264" s="52"/>
      <c r="AR264" s="52"/>
      <c r="AS264" s="52"/>
      <c r="AT264" s="52"/>
      <c r="AU264" s="52"/>
      <c r="AV264" s="52"/>
      <c r="AW264" s="52"/>
      <c r="AX264" s="52"/>
      <c r="AY264" s="52"/>
      <c r="AZ264" s="787"/>
      <c r="BA264" s="786" t="str">
        <f>vlookup(AZ264,'Iran, FS'!$A$1:$B$318,2, false)</f>
        <v>#N/A</v>
      </c>
      <c r="BB264" s="787" t="str">
        <f>vlookup(AZ264,'1) Kpler'!$E$2:$F$500,2,false)</f>
        <v>#N/A</v>
      </c>
      <c r="BC264" s="788"/>
      <c r="BD264" s="787"/>
      <c r="BE264" s="52"/>
      <c r="BF264" s="52"/>
      <c r="BG264" s="787"/>
      <c r="BH264" s="787"/>
      <c r="BI264" s="787"/>
      <c r="BJ264" s="787"/>
    </row>
    <row r="265">
      <c r="B265" s="765" t="str">
        <f>vlookup(F265,'2) Tracker'!$A$3:$O$410,5,false)</f>
        <v/>
      </c>
      <c r="C265" s="765" t="str">
        <f>vlookup(F265,'2) Tracker'!$A$3:$O$410,4,false)</f>
        <v>US</v>
      </c>
      <c r="D265" s="732" t="s">
        <v>1515</v>
      </c>
      <c r="E265" s="734" t="str">
        <f>vlookup(F265,'2) Tracker'!$A$3:$O$406,15,false)</f>
        <v/>
      </c>
      <c r="F265" s="797" t="s">
        <v>574</v>
      </c>
      <c r="G265" s="783">
        <f>VLOOKUP(F265,'2) Tracker'!$A$2:$BO$360,2,FALSE)</f>
        <v>43039</v>
      </c>
      <c r="H265" s="768">
        <f>VLOOKUP(F265,'2) Tracker'!$A$2:$BO$360,3,FALSE)</f>
        <v>78700</v>
      </c>
      <c r="I265" s="769" t="str">
        <f>VLOOKUP(F265,'2) Tracker'!$A$2:$BO$360,9,FALSE)</f>
        <v>Gunvor</v>
      </c>
      <c r="J265" s="770" t="str">
        <f>VLOOKUP(F265,'2) Tracker'!$A$2:$BO$360,12,FALSE)</f>
        <v>North China</v>
      </c>
      <c r="K265" s="771">
        <f t="shared" si="207"/>
        <v>46184</v>
      </c>
      <c r="L265" s="771">
        <f t="shared" ref="L265:O265" si="312">AE265</f>
        <v>46193</v>
      </c>
      <c r="M265" s="771" t="str">
        <f t="shared" si="312"/>
        <v/>
      </c>
      <c r="N265" s="772">
        <f t="shared" si="312"/>
        <v>46169</v>
      </c>
      <c r="O265" s="772" t="str">
        <f t="shared" si="312"/>
        <v/>
      </c>
      <c r="P265" s="773" t="str">
        <f>iferror(if(vlookup(F265,'Voyage days'!$M$808:$N$819,2,false),"GOA",""),"")</f>
        <v/>
      </c>
      <c r="Q265" s="771">
        <f t="shared" si="81"/>
        <v>46172</v>
      </c>
      <c r="R265" s="771">
        <f t="shared" si="83"/>
        <v>46197</v>
      </c>
      <c r="S265" s="774">
        <f t="shared" si="5"/>
        <v>46186</v>
      </c>
      <c r="T265" s="771">
        <f t="shared" si="6"/>
        <v>46180</v>
      </c>
      <c r="U265" s="771">
        <f t="shared" si="84"/>
        <v>46160</v>
      </c>
      <c r="V265" s="771"/>
      <c r="W265" s="771">
        <f t="shared" si="85"/>
        <v>46160</v>
      </c>
      <c r="X265" s="775">
        <f t="shared" si="9"/>
        <v>46164</v>
      </c>
      <c r="Y265" s="776"/>
      <c r="Z265" s="777" t="str">
        <f>vlookup(F265,'2) Tracker'!$A$3:$Q$504,16,false)</f>
        <v>ETA 1st port Qingdao 06 May</v>
      </c>
      <c r="AA265" s="777" t="str">
        <f>vlookup(F265,'2) Tracker'!$A$3:$R$504,18,false)</f>
        <v>Gunvor 09-10 Feb Enterprise</v>
      </c>
      <c r="AB265" s="777" t="str">
        <f>vlookup(F265,'2) Tracker'!$A$3:$Q$504,17,false)</f>
        <v/>
      </c>
      <c r="AC265" s="778"/>
      <c r="AD265" s="778">
        <f>VLOOKUP(F265,'2) Tracker'!$A$2:$BO$980,37,FALSE)</f>
        <v>46184</v>
      </c>
      <c r="AE265" s="778">
        <f>VLOOKUP(F265,'2) Tracker'!$A$2:$BO$980,40,FALSE)</f>
        <v>46193</v>
      </c>
      <c r="AF265" s="778" t="str">
        <f>VLOOKUP(F265,'2) Tracker'!$A$2:$BO$980,67,FALSE)</f>
        <v/>
      </c>
      <c r="AG265" s="778">
        <f>VLOOKUP(F265,'2) Tracker'!$A$2:$BO$980,34,FALSE)</f>
        <v>46169</v>
      </c>
      <c r="AH265" s="778" t="str">
        <f>VLOOKUP(F265,'2) Tracker'!$A$2:$BN$980,66,FALSE)</f>
        <v/>
      </c>
      <c r="AI265" s="778">
        <f>VLOOKUP(F265,'2) Tracker'!$A$2:$BO$980,56,FALSE)</f>
        <v>46160</v>
      </c>
      <c r="AJ265" s="778">
        <f>VLOOKUP(F265,'2) Tracker'!$A$2:$BO$980,52,FALSE)</f>
        <v>46160</v>
      </c>
      <c r="AK265" s="778">
        <f>VLOOKUP(F265,'2) Tracker'!$A$2:$AQ$980,43,FALSE)</f>
        <v>46180</v>
      </c>
      <c r="AL265" s="778">
        <f>VLOOKUP(F265,'2) Tracker'!$A$2:$BH$980,46,FALSE())</f>
        <v>46186</v>
      </c>
      <c r="AM265" s="778">
        <f>VLOOKUP(F265,'2) Tracker'!$A$2:$BO$980,65,FALSE())</f>
        <v>46172</v>
      </c>
      <c r="AN265" s="778">
        <f>VLOOKUP(F265,'2) Tracker'!$A$2:$BK$980,63,FALSE())</f>
        <v>46197</v>
      </c>
      <c r="AO265" s="778">
        <f>VLOOKUP(F265,'2) Tracker'!$A$2:$BF$980,58,FALSE())</f>
        <v>46164</v>
      </c>
      <c r="AP265" s="52"/>
      <c r="AQ265" s="52"/>
      <c r="AR265" s="52"/>
      <c r="AS265" s="52"/>
      <c r="AT265" s="52"/>
      <c r="AU265" s="52"/>
      <c r="AV265" s="52"/>
      <c r="AW265" s="52"/>
      <c r="AX265" s="52"/>
      <c r="AY265" s="52"/>
      <c r="AZ265" s="734"/>
      <c r="BA265" s="786" t="str">
        <f>vlookup(AZ265,'Iran, FS'!$A$1:$B$318,2, false)</f>
        <v>#N/A</v>
      </c>
      <c r="BB265" s="787" t="str">
        <f>vlookup(AZ265,'1) Kpler'!$E$2:$F$500,2,false)</f>
        <v>#N/A</v>
      </c>
      <c r="BC265" s="740"/>
      <c r="BD265" s="734"/>
      <c r="BE265" s="52"/>
      <c r="BF265" s="52"/>
      <c r="BG265" s="734"/>
      <c r="BH265" s="734"/>
      <c r="BI265" s="734"/>
      <c r="BJ265" s="734"/>
    </row>
    <row r="266">
      <c r="B266" s="765" t="str">
        <f>vlookup(F266,'2) Tracker'!$A$3:$O$410,5,false)</f>
        <v/>
      </c>
      <c r="C266" s="765" t="str">
        <f>vlookup(F266,'2) Tracker'!$A$3:$O$410,4,false)</f>
        <v/>
      </c>
      <c r="D266" s="734"/>
      <c r="E266" s="734" t="str">
        <f>vlookup(F266,'2) Tracker'!$A$3:$O$406,15,false)</f>
        <v/>
      </c>
      <c r="F266" s="788" t="s">
        <v>270</v>
      </c>
      <c r="G266" s="789">
        <v>2024.0</v>
      </c>
      <c r="H266" s="768">
        <f>VLOOKUP(F266,'2) Tracker'!$A$2:$BO$360,3,FALSE)</f>
        <v>86700</v>
      </c>
      <c r="I266" s="777" t="s">
        <v>667</v>
      </c>
      <c r="J266" s="770" t="str">
        <f>VLOOKUP(F266,'2) Tracker'!$A$2:$BO$360,12,FALSE)</f>
        <v>Japan</v>
      </c>
      <c r="K266" s="771">
        <f t="shared" si="207"/>
        <v>46184</v>
      </c>
      <c r="L266" s="771">
        <f t="shared" ref="L266:O266" si="313">AE266</f>
        <v>46194</v>
      </c>
      <c r="M266" s="771" t="str">
        <f t="shared" si="313"/>
        <v/>
      </c>
      <c r="N266" s="771">
        <f t="shared" si="313"/>
        <v>46170</v>
      </c>
      <c r="O266" s="772" t="str">
        <f t="shared" si="313"/>
        <v/>
      </c>
      <c r="P266" s="773" t="str">
        <f>iferror(if(vlookup(F266,'Voyage days'!$M$808:$N$819,2,false),"GOA",""),"")</f>
        <v/>
      </c>
      <c r="Q266" s="771">
        <f t="shared" si="81"/>
        <v>46173</v>
      </c>
      <c r="R266" s="771">
        <f t="shared" si="83"/>
        <v>46198</v>
      </c>
      <c r="S266" s="774">
        <f t="shared" si="5"/>
        <v>46188</v>
      </c>
      <c r="T266" s="771">
        <f t="shared" si="6"/>
        <v>46182</v>
      </c>
      <c r="U266" s="771">
        <f t="shared" si="84"/>
        <v>46161</v>
      </c>
      <c r="V266" s="771"/>
      <c r="W266" s="771">
        <f t="shared" si="85"/>
        <v>46160.25</v>
      </c>
      <c r="X266" s="775">
        <f t="shared" si="9"/>
        <v>46163</v>
      </c>
      <c r="Y266" s="795" t="s">
        <v>1504</v>
      </c>
      <c r="Z266" s="777" t="str">
        <f>vlookup(F266,'2) Tracker'!$A$3:$Q$504,16,false)</f>
        <v>ETA Nagoya 04 May</v>
      </c>
      <c r="AA266" s="777" t="str">
        <f>vlookup(F266,'2) Tracker'!$A$3:$R$504,18,false)</f>
        <v>Astomos 29-30 Mar Freeport</v>
      </c>
      <c r="AB266" s="777" t="str">
        <f>vlookup(F266,'2) Tracker'!$A$3:$Q$504,17,false)</f>
        <v/>
      </c>
      <c r="AC266" s="778"/>
      <c r="AD266" s="778">
        <f>VLOOKUP(F266,'2) Tracker'!$A$2:$BO$980,37,FALSE)</f>
        <v>46184</v>
      </c>
      <c r="AE266" s="778">
        <f>VLOOKUP(F266,'2) Tracker'!$A$2:$BO$980,40,FALSE)</f>
        <v>46194</v>
      </c>
      <c r="AF266" s="778" t="str">
        <f>VLOOKUP(F266,'2) Tracker'!$A$2:$BO$980,67,FALSE)</f>
        <v/>
      </c>
      <c r="AG266" s="778">
        <f>VLOOKUP(F266,'2) Tracker'!$A$2:$BO$980,34,FALSE)</f>
        <v>46170</v>
      </c>
      <c r="AH266" s="778" t="str">
        <f>VLOOKUP(F266,'2) Tracker'!$A$2:$BN$980,66,FALSE)</f>
        <v/>
      </c>
      <c r="AI266" s="778">
        <f>VLOOKUP(F266,'2) Tracker'!$A$2:$BO$980,56,FALSE)</f>
        <v>46161</v>
      </c>
      <c r="AJ266" s="778">
        <f>VLOOKUP(F266,'2) Tracker'!$A$2:$BO$980,52,FALSE)</f>
        <v>46160.25</v>
      </c>
      <c r="AK266" s="778">
        <f>VLOOKUP(F266,'2) Tracker'!$A$2:$AQ$980,43,FALSE)</f>
        <v>46182</v>
      </c>
      <c r="AL266" s="778">
        <f>VLOOKUP(F266,'2) Tracker'!$A$2:$BH$980,46,FALSE())</f>
        <v>46188</v>
      </c>
      <c r="AM266" s="778">
        <f>VLOOKUP(F266,'2) Tracker'!$A$2:$BO$980,65,FALSE())</f>
        <v>46173</v>
      </c>
      <c r="AN266" s="778">
        <f>VLOOKUP(F266,'2) Tracker'!$A$2:$BK$980,63,FALSE())</f>
        <v>46198</v>
      </c>
      <c r="AO266" s="778">
        <f>VLOOKUP(F266,'2) Tracker'!$A$2:$BF$980,58,FALSE())</f>
        <v>46163</v>
      </c>
      <c r="AP266" s="52"/>
      <c r="AQ266" s="52"/>
      <c r="AR266" s="52"/>
      <c r="AS266" s="52"/>
      <c r="AT266" s="52"/>
      <c r="AU266" s="52"/>
      <c r="AV266" s="52"/>
      <c r="AW266" s="52"/>
      <c r="AX266" s="52"/>
      <c r="AY266" s="52"/>
      <c r="AZ266" s="734"/>
      <c r="BA266" s="786" t="str">
        <f>vlookup(AZ266,'Iran, FS'!A355:B355)</f>
        <v>#N/A</v>
      </c>
      <c r="BB266" s="787" t="str">
        <f>vlookup(AZ266,'1) Kpler'!$E$2:$F$500,2,false)</f>
        <v>#N/A</v>
      </c>
      <c r="BC266" s="740"/>
      <c r="BD266" s="734"/>
      <c r="BE266" s="52"/>
      <c r="BF266" s="52"/>
      <c r="BG266" s="734"/>
      <c r="BH266" s="734"/>
      <c r="BI266" s="734"/>
      <c r="BJ266" s="734"/>
    </row>
    <row r="267">
      <c r="B267" s="765" t="str">
        <f>vlookup(F267,'2) Tracker'!$A$3:$O$410,5,false)</f>
        <v/>
      </c>
      <c r="C267" s="765" t="str">
        <f>vlookup(F267,'2) Tracker'!$A$3:$O$410,4,false)</f>
        <v/>
      </c>
      <c r="D267" s="734"/>
      <c r="E267" s="734" t="str">
        <f>vlookup(F267,'2) Tracker'!$A$3:$O$406,15,false)</f>
        <v/>
      </c>
      <c r="F267" s="770" t="s">
        <v>491</v>
      </c>
      <c r="G267" s="789">
        <f>VLOOKUP(F267,'2) Tracker'!$A$2:$BO$360,2,FALSE)</f>
        <v>2024</v>
      </c>
      <c r="H267" s="768">
        <f>VLOOKUP(F267,'2) Tracker'!$A$2:$BO$360,3,FALSE)</f>
        <v>91000</v>
      </c>
      <c r="I267" s="777" t="str">
        <f>VLOOKUP(F267,'2) Tracker'!$A$2:$BO$360,9,FALSE)</f>
        <v>SwissChemGas</v>
      </c>
      <c r="J267" s="770" t="str">
        <f>VLOOKUP(F267,'2) Tracker'!$A$2:$BO$360,12,FALSE)</f>
        <v>Japan</v>
      </c>
      <c r="K267" s="774">
        <f t="shared" si="207"/>
        <v>46184</v>
      </c>
      <c r="L267" s="774">
        <f t="shared" ref="L267:O267" si="314">AE267</f>
        <v>46194</v>
      </c>
      <c r="M267" s="771" t="str">
        <f t="shared" si="314"/>
        <v/>
      </c>
      <c r="N267" s="771">
        <f t="shared" si="314"/>
        <v>46170</v>
      </c>
      <c r="O267" s="772" t="str">
        <f t="shared" si="314"/>
        <v/>
      </c>
      <c r="P267" s="773" t="str">
        <f>iferror(if(vlookup(F267,'Voyage days'!$M$808:$N$819,2,false),"GOA",""),"")</f>
        <v/>
      </c>
      <c r="Q267" s="771">
        <f t="shared" si="81"/>
        <v>46173</v>
      </c>
      <c r="R267" s="774">
        <f t="shared" si="83"/>
        <v>46198</v>
      </c>
      <c r="S267" s="774">
        <f t="shared" si="5"/>
        <v>46188</v>
      </c>
      <c r="T267" s="774">
        <f t="shared" si="6"/>
        <v>46182</v>
      </c>
      <c r="U267" s="774">
        <f t="shared" si="84"/>
        <v>46161</v>
      </c>
      <c r="V267" s="774"/>
      <c r="W267" s="774">
        <f t="shared" si="85"/>
        <v>46160.25</v>
      </c>
      <c r="X267" s="775">
        <f t="shared" si="9"/>
        <v>46163</v>
      </c>
      <c r="Y267" s="776"/>
      <c r="Z267" s="777" t="str">
        <f>vlookup(F267,'2) Tracker'!$A$3:$Q$504,16,false)</f>
        <v>ETA 1st port Chiba 05 May</v>
      </c>
      <c r="AA267" s="777" t="str">
        <f>vlookup(F267,'2) Tracker'!$A$3:$R$504,18,false)</f>
        <v>SwissChemGas 02 Apr Enterprise</v>
      </c>
      <c r="AB267" s="777" t="str">
        <f>vlookup(F267,'2) Tracker'!$A$3:$Q$504,17,false)</f>
        <v/>
      </c>
      <c r="AC267" s="778"/>
      <c r="AD267" s="778">
        <f>VLOOKUP(F267,'2) Tracker'!$A$2:$BO$980,37,FALSE)</f>
        <v>46184</v>
      </c>
      <c r="AE267" s="778">
        <f>VLOOKUP(F267,'2) Tracker'!$A$2:$BO$980,40,FALSE)</f>
        <v>46194</v>
      </c>
      <c r="AF267" s="778" t="str">
        <f>VLOOKUP(F267,'2) Tracker'!$A$2:$BO$980,67,FALSE)</f>
        <v/>
      </c>
      <c r="AG267" s="778">
        <f>VLOOKUP(F267,'2) Tracker'!$A$2:$BO$980,34,FALSE)</f>
        <v>46170</v>
      </c>
      <c r="AH267" s="778" t="str">
        <f>VLOOKUP(F267,'2) Tracker'!$A$2:$BN$980,66,FALSE)</f>
        <v/>
      </c>
      <c r="AI267" s="778">
        <f>VLOOKUP(F267,'2) Tracker'!$A$2:$BO$980,56,FALSE)</f>
        <v>46161</v>
      </c>
      <c r="AJ267" s="778">
        <f>VLOOKUP(F267,'2) Tracker'!$A$2:$BO$980,52,FALSE)</f>
        <v>46160.25</v>
      </c>
      <c r="AK267" s="778">
        <f>VLOOKUP(F267,'2) Tracker'!$A$2:$AQ$980,43,FALSE)</f>
        <v>46182</v>
      </c>
      <c r="AL267" s="778">
        <f>VLOOKUP(F267,'2) Tracker'!$A$2:$BH$980,46,FALSE())</f>
        <v>46188</v>
      </c>
      <c r="AM267" s="778">
        <f>VLOOKUP(F267,'2) Tracker'!$A$2:$BO$980,65,FALSE())</f>
        <v>46173</v>
      </c>
      <c r="AN267" s="778">
        <f>VLOOKUP(F267,'2) Tracker'!$A$2:$BK$980,63,FALSE())</f>
        <v>46198</v>
      </c>
      <c r="AO267" s="778">
        <f>VLOOKUP(F267,'2) Tracker'!$A$2:$BF$980,58,FALSE())</f>
        <v>46163</v>
      </c>
      <c r="AP267" s="52"/>
      <c r="AQ267" s="52"/>
      <c r="AR267" s="52"/>
      <c r="AS267" s="52"/>
      <c r="AT267" s="52"/>
      <c r="AU267" s="52"/>
      <c r="AV267" s="52"/>
      <c r="AW267" s="52"/>
      <c r="AX267" s="52"/>
      <c r="AY267" s="52"/>
      <c r="AZ267" s="734"/>
      <c r="BA267" s="786" t="str">
        <f>vlookup(AZ267,'Iran, FS'!$A$1:$B$318,2, false)</f>
        <v>#N/A</v>
      </c>
      <c r="BB267" s="787" t="str">
        <f>vlookup(AZ267,'1) Kpler'!$E$2:$F$500,2,false)</f>
        <v>#N/A</v>
      </c>
      <c r="BC267" s="740"/>
      <c r="BD267" s="734"/>
      <c r="BE267" s="52"/>
      <c r="BF267" s="52"/>
      <c r="BG267" s="734"/>
      <c r="BH267" s="734"/>
      <c r="BI267" s="734"/>
      <c r="BJ267" s="734"/>
    </row>
    <row r="268">
      <c r="B268" s="765" t="str">
        <f>vlookup(F268,'2) Tracker'!$A$3:$O$410,5,false)</f>
        <v/>
      </c>
      <c r="C268" s="765" t="str">
        <f>vlookup(F268,'2) Tracker'!$A$3:$O$410,4,false)</f>
        <v/>
      </c>
      <c r="D268" s="732" t="s">
        <v>1515</v>
      </c>
      <c r="E268" s="734" t="str">
        <f>vlookup(F268,'2) Tracker'!$A$3:$O$406,15,false)</f>
        <v/>
      </c>
      <c r="F268" s="797" t="s">
        <v>540</v>
      </c>
      <c r="G268" s="789">
        <f>VLOOKUP(F268,'2) Tracker'!$A$2:$BO$360,2,FALSE)</f>
        <v>2024</v>
      </c>
      <c r="H268" s="768">
        <f>VLOOKUP(F268,'2) Tracker'!$A$2:$BO$360,3,FALSE)</f>
        <v>86000</v>
      </c>
      <c r="I268" s="770" t="str">
        <f>VLOOKUP(F268,'2) Tracker'!$A$2:$BO$360,9,FALSE)</f>
        <v>Trafigura</v>
      </c>
      <c r="J268" s="770" t="str">
        <f>VLOOKUP(F268,'2) Tracker'!$A$2:$BO$360,12,FALSE)</f>
        <v>Japan</v>
      </c>
      <c r="K268" s="771">
        <f t="shared" si="207"/>
        <v>46184</v>
      </c>
      <c r="L268" s="771">
        <f t="shared" ref="L268:O268" si="315">AE268</f>
        <v>46194</v>
      </c>
      <c r="M268" s="771" t="str">
        <f t="shared" si="315"/>
        <v/>
      </c>
      <c r="N268" s="771">
        <f t="shared" si="315"/>
        <v>46170</v>
      </c>
      <c r="O268" s="772" t="str">
        <f t="shared" si="315"/>
        <v/>
      </c>
      <c r="P268" s="773" t="str">
        <f>iferror(if(vlookup(F268,'Voyage days'!$M$808:$N$819,2,false),"GOA",""),"")</f>
        <v/>
      </c>
      <c r="Q268" s="771">
        <f t="shared" si="81"/>
        <v>46173</v>
      </c>
      <c r="R268" s="771">
        <f t="shared" si="83"/>
        <v>46198</v>
      </c>
      <c r="S268" s="774">
        <f t="shared" si="5"/>
        <v>46188</v>
      </c>
      <c r="T268" s="771">
        <f t="shared" si="6"/>
        <v>46182</v>
      </c>
      <c r="U268" s="771">
        <f t="shared" si="84"/>
        <v>46161</v>
      </c>
      <c r="V268" s="771"/>
      <c r="W268" s="771">
        <f t="shared" si="85"/>
        <v>46160.25</v>
      </c>
      <c r="X268" s="775">
        <f t="shared" si="9"/>
        <v>46163</v>
      </c>
      <c r="Y268" s="776"/>
      <c r="Z268" s="777" t="str">
        <f>vlookup(F268,'2) Tracker'!$A$3:$Q$504,16,false)</f>
        <v>ETA Cristobal 10 Apr, pending disport</v>
      </c>
      <c r="AA268" s="777" t="str">
        <f>vlookup(F268,'2) Tracker'!$A$3:$R$504,18,false)</f>
        <v>ATC 30-31 Mar Nederland</v>
      </c>
      <c r="AB268" s="777" t="str">
        <f>vlookup(F268,'2) Tracker'!$A$3:$Q$504,17,false)</f>
        <v/>
      </c>
      <c r="AC268" s="778"/>
      <c r="AD268" s="778">
        <f>VLOOKUP(F268,'2) Tracker'!$A$2:$BO$980,37,FALSE)</f>
        <v>46184</v>
      </c>
      <c r="AE268" s="778">
        <f>VLOOKUP(F268,'2) Tracker'!$A$2:$BO$980,40,FALSE)</f>
        <v>46194</v>
      </c>
      <c r="AF268" s="778" t="str">
        <f>VLOOKUP(F268,'2) Tracker'!$A$2:$BO$980,67,FALSE)</f>
        <v/>
      </c>
      <c r="AG268" s="778">
        <f>VLOOKUP(F268,'2) Tracker'!$A$2:$BO$980,34,FALSE)</f>
        <v>46170</v>
      </c>
      <c r="AH268" s="778" t="str">
        <f>VLOOKUP(F268,'2) Tracker'!$A$2:$BN$980,66,FALSE)</f>
        <v/>
      </c>
      <c r="AI268" s="778">
        <f>VLOOKUP(F268,'2) Tracker'!$A$2:$BO$980,56,FALSE)</f>
        <v>46161</v>
      </c>
      <c r="AJ268" s="778">
        <f>VLOOKUP(F268,'2) Tracker'!$A$2:$BO$980,52,FALSE)</f>
        <v>46160.25</v>
      </c>
      <c r="AK268" s="778">
        <f>VLOOKUP(F268,'2) Tracker'!$A$2:$AQ$980,43,FALSE)</f>
        <v>46182</v>
      </c>
      <c r="AL268" s="778">
        <f>VLOOKUP(F268,'2) Tracker'!$A$2:$BH$980,46,FALSE())</f>
        <v>46188</v>
      </c>
      <c r="AM268" s="778">
        <f>VLOOKUP(F268,'2) Tracker'!$A$2:$BO$980,65,FALSE())</f>
        <v>46173</v>
      </c>
      <c r="AN268" s="778">
        <f>VLOOKUP(F268,'2) Tracker'!$A$2:$BK$980,63,FALSE())</f>
        <v>46198</v>
      </c>
      <c r="AO268" s="778">
        <f>VLOOKUP(F268,'2) Tracker'!$A$2:$BF$980,58,FALSE())</f>
        <v>46163</v>
      </c>
      <c r="AP268" s="52"/>
      <c r="AQ268" s="52"/>
      <c r="AR268" s="52"/>
      <c r="AS268" s="52"/>
      <c r="AT268" s="52"/>
      <c r="AU268" s="52"/>
      <c r="AV268" s="52"/>
      <c r="AW268" s="52"/>
      <c r="AX268" s="52"/>
      <c r="AY268" s="52"/>
      <c r="AZ268" s="734"/>
      <c r="BA268" s="786" t="str">
        <f>vlookup(AZ268,'Iran, FS'!$A$1:$B$318,2, false)</f>
        <v>#N/A</v>
      </c>
      <c r="BB268" s="787" t="str">
        <f>vlookup(AZ268,'1) Kpler'!$E$2:$F$500,2,false)</f>
        <v>#N/A</v>
      </c>
      <c r="BC268" s="740"/>
      <c r="BD268" s="734"/>
      <c r="BE268" s="52"/>
      <c r="BF268" s="52"/>
      <c r="BG268" s="734"/>
      <c r="BH268" s="734"/>
      <c r="BI268" s="734"/>
      <c r="BJ268" s="734"/>
    </row>
    <row r="269">
      <c r="B269" s="765" t="str">
        <f>vlookup(F269,'2) Tracker'!$A$3:$O$410,5,false)</f>
        <v/>
      </c>
      <c r="C269" s="765" t="str">
        <f>vlookup(F269,'2) Tracker'!$A$3:$O$410,4,false)</f>
        <v>US</v>
      </c>
      <c r="D269" s="732" t="s">
        <v>1515</v>
      </c>
      <c r="E269" s="734" t="str">
        <f>vlookup(F269,'2) Tracker'!$A$3:$O$406,15,false)</f>
        <v/>
      </c>
      <c r="F269" s="797" t="s">
        <v>168</v>
      </c>
      <c r="G269" s="783">
        <f>VLOOKUP(F269,'2) Tracker'!$A$2:$BO$360,2,FALSE)</f>
        <v>42886</v>
      </c>
      <c r="H269" s="808">
        <f>VLOOKUP(F269,'2) Tracker'!$A$2:$BO$360,3,FALSE)</f>
        <v>78700</v>
      </c>
      <c r="I269" s="777" t="str">
        <f>VLOOKUP(F269,'2) Tracker'!$A$2:$BO$360,9,FALSE)</f>
        <v>P66</v>
      </c>
      <c r="J269" s="770" t="str">
        <f>VLOOKUP(F269,'2) Tracker'!$A$2:$BO$360,12,FALSE)</f>
        <v>Korea</v>
      </c>
      <c r="K269" s="771">
        <f t="shared" si="207"/>
        <v>46185</v>
      </c>
      <c r="L269" s="771">
        <f t="shared" ref="L269:O269" si="316">AE269</f>
        <v>46192</v>
      </c>
      <c r="M269" s="771" t="str">
        <f t="shared" si="316"/>
        <v/>
      </c>
      <c r="N269" s="771">
        <f t="shared" si="316"/>
        <v>46169</v>
      </c>
      <c r="O269" s="772" t="str">
        <f t="shared" si="316"/>
        <v/>
      </c>
      <c r="P269" s="773" t="str">
        <f>iferror(if(vlookup(F269,'Voyage days'!$M$808:$N$819,2,false),"GOA",""),"")</f>
        <v/>
      </c>
      <c r="Q269" s="771">
        <f t="shared" si="81"/>
        <v>46171</v>
      </c>
      <c r="R269" s="771">
        <f t="shared" si="83"/>
        <v>46196</v>
      </c>
      <c r="S269" s="774">
        <f t="shared" si="5"/>
        <v>46186</v>
      </c>
      <c r="T269" s="771">
        <f t="shared" si="6"/>
        <v>46180</v>
      </c>
      <c r="U269" s="771">
        <f t="shared" si="84"/>
        <v>46159</v>
      </c>
      <c r="V269" s="771"/>
      <c r="W269" s="771">
        <f t="shared" si="85"/>
        <v>46159</v>
      </c>
      <c r="X269" s="775">
        <f t="shared" si="9"/>
        <v>46162</v>
      </c>
      <c r="Y269" s="795"/>
      <c r="Z269" s="777" t="str">
        <f>vlookup(F269,'2) Tracker'!$A$3:$Q$504,16,false)</f>
        <v>ETA 1st port Daesan 06 May</v>
      </c>
      <c r="AA269" s="777" t="str">
        <f>vlookup(F269,'2) Tracker'!$A$3:$R$504,18,false)</f>
        <v>Vitol 28-29 Mar Nederland</v>
      </c>
      <c r="AB269" s="777" t="str">
        <f>vlookup(F269,'2) Tracker'!$A$3:$Q$504,17,false)</f>
        <v/>
      </c>
      <c r="AC269" s="778"/>
      <c r="AD269" s="778">
        <f>VLOOKUP(F269,'2) Tracker'!$A$2:$BO$980,37,FALSE)</f>
        <v>46185</v>
      </c>
      <c r="AE269" s="778">
        <f>VLOOKUP(F269,'2) Tracker'!$A$2:$BO$980,40,FALSE)</f>
        <v>46192</v>
      </c>
      <c r="AF269" s="778" t="str">
        <f>VLOOKUP(F269,'2) Tracker'!$A$2:$BO$980,67,FALSE)</f>
        <v/>
      </c>
      <c r="AG269" s="778">
        <f>VLOOKUP(F269,'2) Tracker'!$A$2:$BO$980,34,FALSE)</f>
        <v>46169</v>
      </c>
      <c r="AH269" s="778" t="str">
        <f>VLOOKUP(F269,'2) Tracker'!$A$2:$BN$980,66,FALSE)</f>
        <v/>
      </c>
      <c r="AI269" s="778">
        <f>VLOOKUP(F269,'2) Tracker'!$A$2:$BO$980,56,FALSE)</f>
        <v>46159</v>
      </c>
      <c r="AJ269" s="778">
        <f>VLOOKUP(F269,'2) Tracker'!$A$2:$BO$980,52,FALSE)</f>
        <v>46159</v>
      </c>
      <c r="AK269" s="778">
        <f>VLOOKUP(F269,'2) Tracker'!$A$2:$AQ$980,43,FALSE)</f>
        <v>46180</v>
      </c>
      <c r="AL269" s="778">
        <f>VLOOKUP(F269,'2) Tracker'!$A$2:$BH$980,46,FALSE())</f>
        <v>46186</v>
      </c>
      <c r="AM269" s="778">
        <f>VLOOKUP(F269,'2) Tracker'!$A$2:$BO$980,65,FALSE())</f>
        <v>46171</v>
      </c>
      <c r="AN269" s="778">
        <f>VLOOKUP(F269,'2) Tracker'!$A$2:$BK$980,63,FALSE())</f>
        <v>46196</v>
      </c>
      <c r="AO269" s="778">
        <f>VLOOKUP(F269,'2) Tracker'!$A$2:$BF$980,58,FALSE())</f>
        <v>46162</v>
      </c>
      <c r="AP269" s="52"/>
      <c r="AQ269" s="52"/>
      <c r="AR269" s="52"/>
      <c r="AS269" s="52"/>
      <c r="AT269" s="52"/>
      <c r="AU269" s="52"/>
      <c r="AV269" s="52"/>
      <c r="AW269" s="52"/>
      <c r="AX269" s="52"/>
      <c r="AY269" s="52"/>
      <c r="AZ269" s="734"/>
      <c r="BA269" s="740"/>
      <c r="BB269" s="734"/>
      <c r="BC269" s="740"/>
      <c r="BD269" s="734"/>
      <c r="BE269" s="52"/>
      <c r="BF269" s="52"/>
      <c r="BG269" s="734"/>
      <c r="BH269" s="734"/>
      <c r="BI269" s="734"/>
      <c r="BJ269" s="734"/>
    </row>
    <row r="270">
      <c r="B270" s="765" t="str">
        <f>vlookup(F270,'2) Tracker'!$A$3:$O$410,5,false)</f>
        <v/>
      </c>
      <c r="C270" s="765" t="str">
        <f>vlookup(F270,'2) Tracker'!$A$3:$O$410,4,false)</f>
        <v/>
      </c>
      <c r="D270" s="734"/>
      <c r="E270" s="734" t="str">
        <f>vlookup(F270,'2) Tracker'!$A$3:$O$406,15,false)</f>
        <v/>
      </c>
      <c r="F270" s="788" t="s">
        <v>1379</v>
      </c>
      <c r="G270" s="783">
        <f>VLOOKUP(F270,'2) Tracker'!$A$2:$BO$360,2,FALSE)</f>
        <v>42292</v>
      </c>
      <c r="H270" s="768">
        <f>VLOOKUP(F270,'2) Tracker'!$A$2:$BO$360,3,FALSE)</f>
        <v>84196</v>
      </c>
      <c r="I270" s="770" t="str">
        <f>VLOOKUP(F270,'2) Tracker'!$A$2:$BO$360,9,FALSE)</f>
        <v>BW</v>
      </c>
      <c r="J270" s="770" t="str">
        <f>VLOOKUP(F270,'2) Tracker'!$A$2:$BO$360,12,FALSE)</f>
        <v>Indo</v>
      </c>
      <c r="K270" s="774">
        <f t="shared" si="207"/>
        <v>46186</v>
      </c>
      <c r="L270" s="774">
        <f t="shared" ref="L270:O270" si="317">AE270</f>
        <v>46184</v>
      </c>
      <c r="M270" s="771" t="str">
        <f t="shared" si="317"/>
        <v/>
      </c>
      <c r="N270" s="771">
        <f t="shared" si="317"/>
        <v>46158</v>
      </c>
      <c r="O270" s="772" t="str">
        <f t="shared" si="317"/>
        <v/>
      </c>
      <c r="P270" s="773" t="str">
        <f>iferror(if(vlookup(F270,'Voyage days'!$M$808:$N$819,2,false),"GOA",""),"")</f>
        <v/>
      </c>
      <c r="Q270" s="771">
        <f t="shared" si="81"/>
        <v>46161</v>
      </c>
      <c r="R270" s="774">
        <f t="shared" si="83"/>
        <v>46184</v>
      </c>
      <c r="S270" s="774">
        <f t="shared" si="5"/>
        <v>46176</v>
      </c>
      <c r="T270" s="771">
        <f t="shared" si="6"/>
        <v>46167</v>
      </c>
      <c r="U270" s="774">
        <f t="shared" si="84"/>
        <v>46151</v>
      </c>
      <c r="V270" s="771"/>
      <c r="W270" s="771">
        <f t="shared" si="85"/>
        <v>46151</v>
      </c>
      <c r="X270" s="775" t="str">
        <f t="shared" si="9"/>
        <v/>
      </c>
      <c r="Y270" s="784" t="s">
        <v>1544</v>
      </c>
      <c r="Z270" s="777" t="str">
        <f>vlookup(F270,'2) Tracker'!$A$3:$Q$504,16,false)</f>
        <v>ETA Kalbut 30 Apr, Darwin candidate?</v>
      </c>
      <c r="AA270" s="777" t="str">
        <f>vlookup(F270,'2) Tracker'!$A$3:$R$504,18,false)</f>
        <v>BGN 20-21 Mar Enterprise</v>
      </c>
      <c r="AB270" s="777" t="str">
        <f>vlookup(F270,'2) Tracker'!$A$3:$Q$504,17,false)</f>
        <v/>
      </c>
      <c r="AC270" s="778"/>
      <c r="AD270" s="778">
        <f>VLOOKUP(F270,'2) Tracker'!$A$2:$BO$980,37,FALSE)</f>
        <v>46186</v>
      </c>
      <c r="AE270" s="778">
        <f>VLOOKUP(F270,'2) Tracker'!$A$2:$BO$980,40,FALSE)</f>
        <v>46184</v>
      </c>
      <c r="AF270" s="778" t="str">
        <f>VLOOKUP(F270,'2) Tracker'!$A$2:$BO$980,67,FALSE)</f>
        <v/>
      </c>
      <c r="AG270" s="778">
        <f>VLOOKUP(F270,'2) Tracker'!$A$2:$BO$980,34,FALSE)</f>
        <v>46158</v>
      </c>
      <c r="AH270" s="778" t="str">
        <f>VLOOKUP(F270,'2) Tracker'!$A$2:$BN$980,66,FALSE)</f>
        <v/>
      </c>
      <c r="AI270" s="778">
        <f>VLOOKUP(F270,'2) Tracker'!$A$2:$BO$980,56,FALSE)</f>
        <v>46151</v>
      </c>
      <c r="AJ270" s="778">
        <f>VLOOKUP(F270,'2) Tracker'!$A$2:$BO$980,52,FALSE)</f>
        <v>46151</v>
      </c>
      <c r="AK270" s="778">
        <f>VLOOKUP(F270,'2) Tracker'!$A$2:$AQ$980,43,FALSE)</f>
        <v>46167</v>
      </c>
      <c r="AL270" s="778">
        <f>VLOOKUP(F270,'2) Tracker'!$A$2:$BH$980,46,FALSE())</f>
        <v>46176</v>
      </c>
      <c r="AM270" s="778">
        <f>VLOOKUP(F270,'2) Tracker'!$A$2:$BO$980,65,FALSE())</f>
        <v>46161</v>
      </c>
      <c r="AN270" s="778">
        <f>VLOOKUP(F270,'2) Tracker'!$A$2:$BK$980,63,FALSE())</f>
        <v>46184</v>
      </c>
      <c r="AO270" s="778" t="str">
        <f>VLOOKUP(F270,'2) Tracker'!$A$2:$BF$980,58,FALSE())</f>
        <v/>
      </c>
      <c r="AP270" s="52"/>
      <c r="AQ270" s="52"/>
      <c r="AR270" s="52"/>
      <c r="AS270" s="52"/>
      <c r="AT270" s="52"/>
      <c r="AU270" s="52"/>
      <c r="AV270" s="52"/>
      <c r="AW270" s="52"/>
      <c r="AX270" s="52"/>
      <c r="AY270" s="52"/>
      <c r="AZ270" s="734"/>
      <c r="BA270" s="786" t="str">
        <f>vlookup(AZ270,'Iran, FS'!$A$1:$B$318,2, false)</f>
        <v>#N/A</v>
      </c>
      <c r="BB270" s="787" t="str">
        <f>vlookup(AZ270,'1) Kpler'!$E$2:$F$500,2,false)</f>
        <v>#N/A</v>
      </c>
      <c r="BC270" s="740"/>
      <c r="BD270" s="734"/>
      <c r="BE270" s="52"/>
      <c r="BF270" s="52"/>
      <c r="BG270" s="734"/>
      <c r="BH270" s="734"/>
      <c r="BI270" s="734"/>
      <c r="BJ270" s="734"/>
    </row>
    <row r="271">
      <c r="B271" s="765" t="str">
        <f>vlookup(F271,'2) Tracker'!$A$3:$O$410,5,false)</f>
        <v/>
      </c>
      <c r="C271" s="765" t="str">
        <f>vlookup(F271,'2) Tracker'!$A$3:$O$410,4,false)</f>
        <v/>
      </c>
      <c r="D271" s="734"/>
      <c r="E271" s="734" t="str">
        <f>vlookup(F271,'2) Tracker'!$A$3:$O$406,15,false)</f>
        <v/>
      </c>
      <c r="F271" s="766" t="s">
        <v>91</v>
      </c>
      <c r="G271" s="789">
        <f>VLOOKUP(F271,'2) Tracker'!$A$2:$BO$360,2,FALSE)</f>
        <v>2023</v>
      </c>
      <c r="H271" s="768">
        <f>VLOOKUP(F271,'2) Tracker'!$A$2:$BO$360,3,FALSE)</f>
        <v>91000</v>
      </c>
      <c r="I271" s="769" t="str">
        <f>VLOOKUP(F271,'2) Tracker'!$A$2:$BO$360,9,FALSE)</f>
        <v>AltaGas</v>
      </c>
      <c r="J271" s="770" t="str">
        <f>VLOOKUP(F271,'2) Tracker'!$A$2:$BO$360,12,FALSE)</f>
        <v>Far East</v>
      </c>
      <c r="K271" s="771">
        <f t="shared" si="207"/>
        <v>46186</v>
      </c>
      <c r="L271" s="771">
        <f t="shared" ref="L271:O271" si="318">AE271</f>
        <v>46193</v>
      </c>
      <c r="M271" s="771" t="str">
        <f t="shared" si="318"/>
        <v/>
      </c>
      <c r="N271" s="771">
        <f t="shared" si="318"/>
        <v>46173</v>
      </c>
      <c r="O271" s="772" t="str">
        <f t="shared" si="318"/>
        <v/>
      </c>
      <c r="P271" s="773" t="str">
        <f>iferror(if(vlookup(F271,'Voyage days'!$M$808:$N$819,2,false),"GOA",""),"")</f>
        <v/>
      </c>
      <c r="Q271" s="771">
        <f t="shared" si="81"/>
        <v>46176</v>
      </c>
      <c r="R271" s="774">
        <f t="shared" si="83"/>
        <v>46201</v>
      </c>
      <c r="S271" s="774">
        <f t="shared" si="5"/>
        <v>46191</v>
      </c>
      <c r="T271" s="771">
        <f t="shared" si="6"/>
        <v>46185</v>
      </c>
      <c r="U271" s="774">
        <f t="shared" si="84"/>
        <v>46164</v>
      </c>
      <c r="V271" s="771"/>
      <c r="W271" s="771">
        <f t="shared" si="85"/>
        <v>46163.25</v>
      </c>
      <c r="X271" s="775">
        <f t="shared" si="9"/>
        <v>46166</v>
      </c>
      <c r="Y271" s="776"/>
      <c r="Z271" s="777" t="str">
        <f>vlookup(F271,'2) Tracker'!$A$3:$Q$504,16,false)</f>
        <v>ETA Prince Rupert 23 Apr</v>
      </c>
      <c r="AA271" s="777" t="str">
        <f>vlookup(F271,'2) Tracker'!$A$3:$R$504,18,false)</f>
        <v>Altagas 23 Mar RIPET</v>
      </c>
      <c r="AB271" s="777" t="str">
        <f>vlookup(F271,'2) Tracker'!$A$3:$Q$504,17,false)</f>
        <v/>
      </c>
      <c r="AC271" s="778"/>
      <c r="AD271" s="778">
        <f>VLOOKUP(F271,'2) Tracker'!$A$2:$BO$980,37,FALSE)</f>
        <v>46186</v>
      </c>
      <c r="AE271" s="778">
        <f>VLOOKUP(F271,'2) Tracker'!$A$2:$BO$980,40,FALSE)</f>
        <v>46193</v>
      </c>
      <c r="AF271" s="778" t="str">
        <f>VLOOKUP(F271,'2) Tracker'!$A$2:$BO$980,67,FALSE)</f>
        <v/>
      </c>
      <c r="AG271" s="778">
        <f>VLOOKUP(F271,'2) Tracker'!$A$2:$BO$980,34,FALSE)</f>
        <v>46173</v>
      </c>
      <c r="AH271" s="778" t="str">
        <f>VLOOKUP(F271,'2) Tracker'!$A$2:$BN$980,66,FALSE)</f>
        <v/>
      </c>
      <c r="AI271" s="778">
        <f>VLOOKUP(F271,'2) Tracker'!$A$2:$BO$980,56,FALSE)</f>
        <v>46164</v>
      </c>
      <c r="AJ271" s="778">
        <f>VLOOKUP(F271,'2) Tracker'!$A$2:$BO$980,52,FALSE)</f>
        <v>46163.25</v>
      </c>
      <c r="AK271" s="778">
        <f>VLOOKUP(F271,'2) Tracker'!$A$2:$AQ$980,43,FALSE)</f>
        <v>46185</v>
      </c>
      <c r="AL271" s="778">
        <f>VLOOKUP(F271,'2) Tracker'!$A$2:$BH$980,46,FALSE())</f>
        <v>46191</v>
      </c>
      <c r="AM271" s="778">
        <f>VLOOKUP(F271,'2) Tracker'!$A$2:$BO$980,65,FALSE())</f>
        <v>46176</v>
      </c>
      <c r="AN271" s="778">
        <f>VLOOKUP(F271,'2) Tracker'!$A$2:$BK$980,63,FALSE())</f>
        <v>46201</v>
      </c>
      <c r="AO271" s="778">
        <f>VLOOKUP(F271,'2) Tracker'!$A$2:$BF$980,58,FALSE())</f>
        <v>46166</v>
      </c>
      <c r="AP271" s="52"/>
      <c r="AQ271" s="52"/>
      <c r="AR271" s="813"/>
      <c r="AS271" s="813"/>
      <c r="AT271" s="813"/>
      <c r="AU271" s="813"/>
      <c r="AV271" s="815" t="s">
        <v>1592</v>
      </c>
      <c r="AW271" s="813"/>
      <c r="AX271" s="51" t="s">
        <v>24</v>
      </c>
      <c r="AY271" s="52">
        <f>COUNTA(F268:F769)</f>
        <v>85</v>
      </c>
      <c r="AZ271" s="816" t="s">
        <v>1593</v>
      </c>
      <c r="BA271" s="788"/>
      <c r="BB271" s="788"/>
      <c r="BC271" s="788"/>
      <c r="BD271" s="787"/>
      <c r="BE271" s="813"/>
      <c r="BF271" s="813" t="s">
        <v>1008</v>
      </c>
      <c r="BG271" s="803" t="s">
        <v>1167</v>
      </c>
      <c r="BH271" s="788" t="s">
        <v>1594</v>
      </c>
      <c r="BI271" s="787"/>
      <c r="BJ271" s="787"/>
    </row>
    <row r="272">
      <c r="B272" s="765" t="str">
        <f>vlookup(F272,'2) Tracker'!$A$3:$O$410,5,false)</f>
        <v/>
      </c>
      <c r="C272" s="765" t="str">
        <f>vlookup(F272,'2) Tracker'!$A$3:$O$410,4,false)</f>
        <v/>
      </c>
      <c r="D272" s="734"/>
      <c r="E272" s="734" t="str">
        <f>vlookup(F272,'2) Tracker'!$A$3:$O$406,15,false)</f>
        <v/>
      </c>
      <c r="F272" s="822" t="s">
        <v>247</v>
      </c>
      <c r="G272" s="789">
        <f>VLOOKUP(F272,'2) Tracker'!$A$2:$BO$360,2,FALSE)</f>
        <v>2020</v>
      </c>
      <c r="H272" s="768">
        <f>VLOOKUP(F272,'2) Tracker'!$A$2:$BO$360,3,FALSE)</f>
        <v>83000</v>
      </c>
      <c r="I272" s="777" t="str">
        <f>VLOOKUP(F272,'2) Tracker'!$A$2:$BO$360,9,FALSE)</f>
        <v>Itochu</v>
      </c>
      <c r="J272" s="770" t="str">
        <f>VLOOKUP(F272,'2) Tracker'!$A$2:$BO$360,12,FALSE)</f>
        <v>Indo</v>
      </c>
      <c r="K272" s="771">
        <f t="shared" si="207"/>
        <v>46187</v>
      </c>
      <c r="L272" s="771">
        <f t="shared" ref="L272:O272" si="319">AE272</f>
        <v>46185</v>
      </c>
      <c r="M272" s="771" t="str">
        <f t="shared" si="319"/>
        <v/>
      </c>
      <c r="N272" s="771">
        <f t="shared" si="319"/>
        <v>46159</v>
      </c>
      <c r="O272" s="772" t="str">
        <f t="shared" si="319"/>
        <v/>
      </c>
      <c r="P272" s="773" t="str">
        <f>iferror(if(vlookup(F272,'Voyage days'!$M$808:$N$819,2,false),"GOA",""),"")</f>
        <v/>
      </c>
      <c r="Q272" s="771">
        <f t="shared" si="81"/>
        <v>46163</v>
      </c>
      <c r="R272" s="771">
        <f t="shared" si="83"/>
        <v>46185</v>
      </c>
      <c r="S272" s="774">
        <f t="shared" si="5"/>
        <v>46177</v>
      </c>
      <c r="T272" s="771">
        <f t="shared" si="6"/>
        <v>46168</v>
      </c>
      <c r="U272" s="771">
        <f t="shared" si="84"/>
        <v>46153</v>
      </c>
      <c r="V272" s="802"/>
      <c r="W272" s="802">
        <f t="shared" si="85"/>
        <v>46152</v>
      </c>
      <c r="X272" s="775" t="str">
        <f t="shared" si="9"/>
        <v/>
      </c>
      <c r="Y272" s="784" t="s">
        <v>1591</v>
      </c>
      <c r="Z272" s="777" t="str">
        <f>vlookup(F272,'2) Tracker'!$A$3:$Q$504,16,false)</f>
        <v>ETA Kalbut 02 May, Darwin candidate?</v>
      </c>
      <c r="AA272" s="777" t="str">
        <f>vlookup(F272,'2) Tracker'!$A$3:$R$504,18,false)</f>
        <v>Itochu 17-18 Mar Nederland</v>
      </c>
      <c r="AB272" s="777" t="str">
        <f>vlookup(F272,'2) Tracker'!$A$3:$Q$504,17,false)</f>
        <v/>
      </c>
      <c r="AC272" s="778"/>
      <c r="AD272" s="778">
        <f>VLOOKUP(F272,'2) Tracker'!$A$2:$BO$980,37,FALSE)</f>
        <v>46187</v>
      </c>
      <c r="AE272" s="778">
        <f>VLOOKUP(F272,'2) Tracker'!$A$2:$BO$980,40,FALSE)</f>
        <v>46185</v>
      </c>
      <c r="AF272" s="778" t="str">
        <f>VLOOKUP(F272,'2) Tracker'!$A$2:$BO$980,67,FALSE)</f>
        <v/>
      </c>
      <c r="AG272" s="778">
        <f>VLOOKUP(F272,'2) Tracker'!$A$2:$BO$980,34,FALSE)</f>
        <v>46159</v>
      </c>
      <c r="AH272" s="778" t="str">
        <f>VLOOKUP(F272,'2) Tracker'!$A$2:$BN$980,66,FALSE)</f>
        <v/>
      </c>
      <c r="AI272" s="778">
        <f>VLOOKUP(F272,'2) Tracker'!$A$2:$BO$980,56,FALSE)</f>
        <v>46153</v>
      </c>
      <c r="AJ272" s="778">
        <f>VLOOKUP(F272,'2) Tracker'!$A$2:$BO$980,52,FALSE)</f>
        <v>46152</v>
      </c>
      <c r="AK272" s="778">
        <f>VLOOKUP(F272,'2) Tracker'!$A$2:$AQ$980,43,FALSE)</f>
        <v>46168</v>
      </c>
      <c r="AL272" s="778">
        <f>VLOOKUP(F272,'2) Tracker'!$A$2:$BH$980,46,FALSE())</f>
        <v>46177</v>
      </c>
      <c r="AM272" s="778">
        <f>VLOOKUP(F272,'2) Tracker'!$A$2:$BO$980,65,FALSE())</f>
        <v>46163</v>
      </c>
      <c r="AN272" s="778">
        <f>VLOOKUP(F272,'2) Tracker'!$A$2:$BK$980,63,FALSE())</f>
        <v>46185</v>
      </c>
      <c r="AO272" s="778" t="str">
        <f>VLOOKUP(F272,'2) Tracker'!$A$2:$BF$980,58,FALSE())</f>
        <v/>
      </c>
      <c r="AP272" s="52"/>
      <c r="AQ272" s="52"/>
      <c r="AR272" s="52"/>
      <c r="AS272" s="52"/>
      <c r="AT272" s="52"/>
      <c r="AU272" s="52"/>
      <c r="AV272" s="52"/>
      <c r="AW272" s="52"/>
      <c r="AX272" s="52"/>
      <c r="AY272" s="52"/>
      <c r="AZ272" s="734"/>
      <c r="BA272" s="786" t="str">
        <f>vlookup(AZ272,'Iran, FS'!$A$1:$B$318,2, false)</f>
        <v>#N/A</v>
      </c>
      <c r="BB272" s="787" t="str">
        <f>vlookup(AZ272,'1) Kpler'!$E$2:$F$500,2,false)</f>
        <v>#N/A</v>
      </c>
      <c r="BC272" s="740"/>
      <c r="BD272" s="734"/>
      <c r="BE272" s="52"/>
      <c r="BF272" s="52"/>
      <c r="BG272" s="734"/>
      <c r="BH272" s="734"/>
      <c r="BI272" s="734"/>
      <c r="BJ272" s="734"/>
    </row>
    <row r="273">
      <c r="B273" s="765" t="str">
        <f>vlookup(F273,'2) Tracker'!$A$3:$O$410,5,false)</f>
        <v/>
      </c>
      <c r="C273" s="765" t="str">
        <f>vlookup(F273,'2) Tracker'!$A$3:$O$410,4,false)</f>
        <v/>
      </c>
      <c r="D273" s="734"/>
      <c r="E273" s="734" t="str">
        <f>vlookup(F273,'2) Tracker'!$A$3:$O$406,15,false)</f>
        <v/>
      </c>
      <c r="F273" s="788" t="s">
        <v>1368</v>
      </c>
      <c r="G273" s="783">
        <f>VLOOKUP(F273,'2) Tracker'!$A$2:$BO$360,2,FALSE)</f>
        <v>42016</v>
      </c>
      <c r="H273" s="768">
        <f>VLOOKUP(F273,'2) Tracker'!$A$2:$BO$360,3,FALSE)</f>
        <v>83000</v>
      </c>
      <c r="I273" s="770" t="str">
        <f>VLOOKUP(F273,'2) Tracker'!$A$2:$BO$360,9,FALSE)</f>
        <v>BW</v>
      </c>
      <c r="J273" s="770" t="str">
        <f>VLOOKUP(F273,'2) Tracker'!$A$2:$BO$360,12,FALSE)</f>
        <v>Thailand</v>
      </c>
      <c r="K273" s="774">
        <f t="shared" si="207"/>
        <v>46188</v>
      </c>
      <c r="L273" s="774">
        <f t="shared" ref="L273:O273" si="320">AE273</f>
        <v>46194</v>
      </c>
      <c r="M273" s="771" t="str">
        <f t="shared" si="320"/>
        <v/>
      </c>
      <c r="N273" s="771">
        <f t="shared" si="320"/>
        <v>46167</v>
      </c>
      <c r="O273" s="772" t="str">
        <f t="shared" si="320"/>
        <v/>
      </c>
      <c r="P273" s="773" t="str">
        <f>iferror(if(vlookup(F273,'Voyage days'!$M$808:$N$819,2,false),"GOA",""),"")</f>
        <v/>
      </c>
      <c r="Q273" s="771">
        <f t="shared" si="81"/>
        <v>46170</v>
      </c>
      <c r="R273" s="774">
        <f t="shared" si="83"/>
        <v>46195</v>
      </c>
      <c r="S273" s="774">
        <f t="shared" si="5"/>
        <v>46185</v>
      </c>
      <c r="T273" s="771">
        <f t="shared" si="6"/>
        <v>46176</v>
      </c>
      <c r="U273" s="774">
        <f t="shared" si="84"/>
        <v>46157</v>
      </c>
      <c r="V273" s="771"/>
      <c r="W273" s="771">
        <f t="shared" si="85"/>
        <v>46160.75</v>
      </c>
      <c r="X273" s="775" t="str">
        <f t="shared" si="9"/>
        <v/>
      </c>
      <c r="Y273" s="784" t="s">
        <v>1544</v>
      </c>
      <c r="Z273" s="777" t="str">
        <f>vlookup(F273,'2) Tracker'!$A$3:$Q$504,16,false)</f>
        <v>ETA Sri Racha 10 May</v>
      </c>
      <c r="AA273" s="740" t="str">
        <f>'2) Tracker'!R259</f>
        <v>Wanhua 02-03 Apr Bethioua</v>
      </c>
      <c r="AB273" s="777" t="str">
        <f>vlookup(F273,'2) Tracker'!$A$3:$Q$504,17,false)</f>
        <v/>
      </c>
      <c r="AC273" s="778"/>
      <c r="AD273" s="778">
        <f>VLOOKUP(F273,'2) Tracker'!$A$2:$BO$980,37,FALSE)</f>
        <v>46188</v>
      </c>
      <c r="AE273" s="778">
        <f>VLOOKUP(F273,'2) Tracker'!$A$2:$BO$980,40,FALSE)</f>
        <v>46194</v>
      </c>
      <c r="AF273" s="778" t="str">
        <f>VLOOKUP(F273,'2) Tracker'!$A$2:$BO$980,67,FALSE)</f>
        <v/>
      </c>
      <c r="AG273" s="778">
        <f>VLOOKUP(F273,'2) Tracker'!$A$2:$BO$980,34,FALSE)</f>
        <v>46167</v>
      </c>
      <c r="AH273" s="778" t="str">
        <f>VLOOKUP(F273,'2) Tracker'!$A$2:$BN$980,66,FALSE)</f>
        <v/>
      </c>
      <c r="AI273" s="778">
        <f>VLOOKUP(F273,'2) Tracker'!$A$2:$BO$980,56,FALSE)</f>
        <v>46157</v>
      </c>
      <c r="AJ273" s="778">
        <f>VLOOKUP(F273,'2) Tracker'!$A$2:$BO$980,52,FALSE)</f>
        <v>46160.75</v>
      </c>
      <c r="AK273" s="778">
        <f>VLOOKUP(F273,'2) Tracker'!$A$2:$AQ$980,43,FALSE)</f>
        <v>46176</v>
      </c>
      <c r="AL273" s="778">
        <f>VLOOKUP(F273,'2) Tracker'!$A$2:$BH$980,46,FALSE())</f>
        <v>46185</v>
      </c>
      <c r="AM273" s="778">
        <f>VLOOKUP(F273,'2) Tracker'!$A$2:$BO$980,65,FALSE())</f>
        <v>46170</v>
      </c>
      <c r="AN273" s="778">
        <f>VLOOKUP(F273,'2) Tracker'!$A$2:$BK$980,63,FALSE())</f>
        <v>46195</v>
      </c>
      <c r="AO273" s="778" t="str">
        <f>VLOOKUP(F273,'2) Tracker'!$A$2:$BF$980,58,FALSE())</f>
        <v/>
      </c>
      <c r="AP273" s="52"/>
      <c r="AQ273" s="52"/>
      <c r="AR273" s="52"/>
      <c r="AS273" s="52"/>
      <c r="AT273" s="52"/>
      <c r="AU273" s="52"/>
      <c r="AV273" s="52"/>
      <c r="AW273" s="52"/>
      <c r="AX273" s="52"/>
      <c r="AY273" s="52"/>
      <c r="AZ273" s="734"/>
      <c r="BA273" s="786" t="str">
        <f>vlookup(AZ273,'Iran, FS'!$A$1:$B$318,2, false)</f>
        <v>#N/A</v>
      </c>
      <c r="BB273" s="787" t="str">
        <f>vlookup(AZ273,'1) Kpler'!$E$2:$F$500,2,false)</f>
        <v>#N/A</v>
      </c>
      <c r="BC273" s="740"/>
      <c r="BD273" s="734"/>
      <c r="BE273" s="52"/>
      <c r="BF273" s="52"/>
      <c r="BG273" s="734"/>
      <c r="BH273" s="734"/>
      <c r="BI273" s="734"/>
      <c r="BJ273" s="734"/>
    </row>
    <row r="274">
      <c r="B274" s="765" t="str">
        <f>vlookup(F274,'2) Tracker'!$A$3:$O$410,5,false)</f>
        <v/>
      </c>
      <c r="C274" s="834"/>
      <c r="D274" s="734"/>
      <c r="E274" s="734" t="str">
        <f>vlookup(F274,'2) Tracker'!$A$3:$O$406,15,false)</f>
        <v/>
      </c>
      <c r="F274" s="788" t="s">
        <v>279</v>
      </c>
      <c r="G274" s="789">
        <f>VLOOKUP(F274,'2) Tracker'!$A$2:$BO$360,2,FALSE)</f>
        <v>2020</v>
      </c>
      <c r="H274" s="768">
        <f>VLOOKUP(F274,'2) Tracker'!$A$2:$BO$360,3,FALSE)</f>
        <v>84000</v>
      </c>
      <c r="I274" s="770" t="str">
        <f>VLOOKUP(F274,'2) Tracker'!$A$2:$BO$360,9,FALSE)</f>
        <v>Mercuria</v>
      </c>
      <c r="J274" s="770" t="str">
        <f>VLOOKUP(F274,'2) Tracker'!$A$2:$BO$360,12,FALSE)</f>
        <v>Singapore laden</v>
      </c>
      <c r="K274" s="771">
        <f t="shared" si="207"/>
        <v>46189</v>
      </c>
      <c r="L274" s="771">
        <f t="shared" ref="L274:O274" si="321">AE274</f>
        <v>46190</v>
      </c>
      <c r="M274" s="771" t="str">
        <f t="shared" si="321"/>
        <v/>
      </c>
      <c r="N274" s="771">
        <f t="shared" si="321"/>
        <v>46166</v>
      </c>
      <c r="O274" s="772" t="str">
        <f t="shared" si="321"/>
        <v/>
      </c>
      <c r="P274" s="773" t="str">
        <f>iferror(if(vlookup(F274,'Voyage days'!$M$808:$N$819,2,false),"GOA",""),"")</f>
        <v/>
      </c>
      <c r="Q274" s="771">
        <f t="shared" si="81"/>
        <v>46171</v>
      </c>
      <c r="R274" s="774">
        <f t="shared" si="83"/>
        <v>46194</v>
      </c>
      <c r="S274" s="774">
        <f t="shared" si="5"/>
        <v>46184</v>
      </c>
      <c r="T274" s="771">
        <f t="shared" si="6"/>
        <v>46176</v>
      </c>
      <c r="U274" s="774">
        <f t="shared" si="84"/>
        <v>46159</v>
      </c>
      <c r="V274" s="774"/>
      <c r="W274" s="774">
        <f t="shared" si="85"/>
        <v>46161</v>
      </c>
      <c r="X274" s="775" t="str">
        <f t="shared" si="9"/>
        <v/>
      </c>
      <c r="Y274" s="839" t="s">
        <v>1595</v>
      </c>
      <c r="Z274" s="777" t="str">
        <f>vlookup(F274,'2) Tracker'!$A$3:$Q$504,16,false)</f>
        <v>ETA Singapore 09 May, pending disport</v>
      </c>
      <c r="AA274" s="777" t="str">
        <f>vlookup(F274,'2) Tracker'!$A$3:$R$504,18,false)</f>
        <v>Ineos 04-05 Apr MH</v>
      </c>
      <c r="AB274" s="777" t="str">
        <f>vlookup(F274,'2) Tracker'!$A$3:$Q$504,17,false)</f>
        <v/>
      </c>
      <c r="AC274" s="778"/>
      <c r="AD274" s="778">
        <f>VLOOKUP(F274,'2) Tracker'!$A$2:$BO$980,37,FALSE)</f>
        <v>46189</v>
      </c>
      <c r="AE274" s="778">
        <f>VLOOKUP(F274,'2) Tracker'!$A$2:$BO$980,40,FALSE)</f>
        <v>46190</v>
      </c>
      <c r="AF274" s="778" t="str">
        <f>VLOOKUP(F274,'2) Tracker'!$A$2:$BO$980,67,FALSE)</f>
        <v/>
      </c>
      <c r="AG274" s="778">
        <f>VLOOKUP(F274,'2) Tracker'!$A$2:$BO$980,34,FALSE)</f>
        <v>46166</v>
      </c>
      <c r="AH274" s="778" t="str">
        <f>VLOOKUP(F274,'2) Tracker'!$A$2:$BN$980,66,FALSE)</f>
        <v/>
      </c>
      <c r="AI274" s="778">
        <f>VLOOKUP(F274,'2) Tracker'!$A$2:$BO$980,56,FALSE)</f>
        <v>46159</v>
      </c>
      <c r="AJ274" s="778">
        <f>VLOOKUP(F274,'2) Tracker'!$A$2:$BO$980,52,FALSE)</f>
        <v>46161</v>
      </c>
      <c r="AK274" s="778">
        <f>VLOOKUP(F274,'2) Tracker'!$A$2:$AQ$980,43,FALSE)</f>
        <v>46176</v>
      </c>
      <c r="AL274" s="778">
        <f>VLOOKUP(F274,'2) Tracker'!$A$2:$BH$980,46,FALSE())</f>
        <v>46184</v>
      </c>
      <c r="AM274" s="778">
        <f>VLOOKUP(F274,'2) Tracker'!$A$2:$BO$980,65,FALSE())</f>
        <v>46171</v>
      </c>
      <c r="AN274" s="778">
        <f>VLOOKUP(F274,'2) Tracker'!$A$2:$BK$980,63,FALSE())</f>
        <v>46194</v>
      </c>
      <c r="AO274" s="778" t="str">
        <f>VLOOKUP(F274,'2) Tracker'!$A$2:$BF$980,58,FALSE())</f>
        <v/>
      </c>
      <c r="AP274" s="52"/>
      <c r="AQ274" s="52"/>
      <c r="AR274" s="52"/>
      <c r="AS274" s="52"/>
      <c r="AT274" s="52"/>
      <c r="AU274" s="52"/>
      <c r="AV274" s="52"/>
      <c r="AW274" s="52"/>
      <c r="AX274" s="52"/>
      <c r="AY274" s="52"/>
      <c r="AZ274" s="734"/>
      <c r="BA274" s="740"/>
      <c r="BB274" s="734"/>
      <c r="BC274" s="740"/>
      <c r="BD274" s="734"/>
      <c r="BE274" s="52"/>
      <c r="BF274" s="52"/>
      <c r="BG274" s="734"/>
      <c r="BH274" s="734"/>
      <c r="BI274" s="734"/>
      <c r="BJ274" s="734"/>
    </row>
    <row r="275">
      <c r="B275" s="765" t="str">
        <f>vlookup(F275,'2) Tracker'!$A$3:$O$410,5,false)</f>
        <v/>
      </c>
      <c r="C275" s="765" t="str">
        <f>vlookup(F275,'2) Tracker'!$A$3:$O$410,4,false)</f>
        <v>US</v>
      </c>
      <c r="D275" s="734"/>
      <c r="E275" s="734" t="str">
        <f>vlookup(F275,'2) Tracker'!$A$3:$O$406,15,false)</f>
        <v/>
      </c>
      <c r="F275" s="822" t="s">
        <v>922</v>
      </c>
      <c r="G275" s="783">
        <f>VLOOKUP(F275,'2) Tracker'!$A$2:$BO$360,2,FALSE)</f>
        <v>42674</v>
      </c>
      <c r="H275" s="768">
        <f>VLOOKUP(F275,'2) Tracker'!$A$2:$BO$360,3,FALSE)</f>
        <v>84000</v>
      </c>
      <c r="I275" s="770" t="str">
        <f>VLOOKUP(F275,'2) Tracker'!$A$2:$BO$360,9,FALSE)</f>
        <v>Exxon</v>
      </c>
      <c r="J275" s="770" t="str">
        <f>VLOOKUP(F275,'2) Tracker'!$A$2:$BO$360,12,FALSE)</f>
        <v>Indo</v>
      </c>
      <c r="K275" s="774">
        <f t="shared" si="207"/>
        <v>46190</v>
      </c>
      <c r="L275" s="774">
        <f t="shared" ref="L275:O275" si="322">AE275</f>
        <v>46188</v>
      </c>
      <c r="M275" s="771" t="str">
        <f t="shared" si="322"/>
        <v/>
      </c>
      <c r="N275" s="771">
        <f t="shared" si="322"/>
        <v>46162</v>
      </c>
      <c r="O275" s="772" t="str">
        <f t="shared" si="322"/>
        <v/>
      </c>
      <c r="P275" s="773" t="str">
        <f>iferror(if(vlookup(F275,'Voyage days'!$M$808:$N$819,2,false),"GOA",""),"")</f>
        <v/>
      </c>
      <c r="Q275" s="771">
        <f t="shared" si="81"/>
        <v>46165</v>
      </c>
      <c r="R275" s="774">
        <f t="shared" si="83"/>
        <v>46188</v>
      </c>
      <c r="S275" s="774">
        <f t="shared" si="5"/>
        <v>46180</v>
      </c>
      <c r="T275" s="771">
        <f t="shared" si="6"/>
        <v>46171</v>
      </c>
      <c r="U275" s="774">
        <f t="shared" si="84"/>
        <v>46155</v>
      </c>
      <c r="V275" s="745" t="s">
        <v>1523</v>
      </c>
      <c r="W275" s="774">
        <f t="shared" si="85"/>
        <v>46155</v>
      </c>
      <c r="X275" s="775" t="str">
        <f t="shared" si="9"/>
        <v/>
      </c>
      <c r="Y275" s="784" t="s">
        <v>1591</v>
      </c>
      <c r="Z275" s="777" t="str">
        <f>vlookup(F275,'2) Tracker'!$A$3:$Q$504,16,false)</f>
        <v>ETA Kalbut 05 May, Darwin candidate?</v>
      </c>
      <c r="AA275" s="777" t="str">
        <f>vlookup(F275,'2) Tracker'!$A$3:$R$504,18,false)</f>
        <v>Pertamina 25-26 Mar Freeport</v>
      </c>
      <c r="AB275" s="777" t="str">
        <f>vlookup(F275,'2) Tracker'!$A$3:$Q$504,17,false)</f>
        <v/>
      </c>
      <c r="AC275" s="778"/>
      <c r="AD275" s="778">
        <f>VLOOKUP(F275,'2) Tracker'!$A$2:$BO$980,37,FALSE)</f>
        <v>46190</v>
      </c>
      <c r="AE275" s="778">
        <f>VLOOKUP(F275,'2) Tracker'!$A$2:$BO$980,40,FALSE)</f>
        <v>46188</v>
      </c>
      <c r="AF275" s="778" t="str">
        <f>VLOOKUP(F275,'2) Tracker'!$A$2:$BO$980,67,FALSE)</f>
        <v/>
      </c>
      <c r="AG275" s="778">
        <f>VLOOKUP(F275,'2) Tracker'!$A$2:$BO$980,34,FALSE)</f>
        <v>46162</v>
      </c>
      <c r="AH275" s="778" t="str">
        <f>VLOOKUP(F275,'2) Tracker'!$A$2:$BN$980,66,FALSE)</f>
        <v/>
      </c>
      <c r="AI275" s="778">
        <f>VLOOKUP(F275,'2) Tracker'!$A$2:$BO$980,56,FALSE)</f>
        <v>46155</v>
      </c>
      <c r="AJ275" s="778">
        <f>VLOOKUP(F275,'2) Tracker'!$A$2:$BO$980,52,FALSE)</f>
        <v>46155</v>
      </c>
      <c r="AK275" s="778">
        <f>VLOOKUP(F275,'2) Tracker'!$A$2:$AQ$980,43,FALSE)</f>
        <v>46171</v>
      </c>
      <c r="AL275" s="778">
        <f>VLOOKUP(F275,'2) Tracker'!$A$2:$BH$980,46,FALSE())</f>
        <v>46180</v>
      </c>
      <c r="AM275" s="778">
        <f>VLOOKUP(F275,'2) Tracker'!$A$2:$BO$980,65,FALSE())</f>
        <v>46165</v>
      </c>
      <c r="AN275" s="778">
        <f>VLOOKUP(F275,'2) Tracker'!$A$2:$BK$980,63,FALSE())</f>
        <v>46188</v>
      </c>
      <c r="AO275" s="778" t="str">
        <f>VLOOKUP(F275,'2) Tracker'!$A$2:$BF$980,58,FALSE())</f>
        <v/>
      </c>
      <c r="AP275" s="52"/>
      <c r="AQ275" s="52"/>
      <c r="AR275" s="52"/>
      <c r="AS275" s="52"/>
      <c r="AT275" s="52"/>
      <c r="AU275" s="52"/>
      <c r="AV275" s="52"/>
      <c r="AW275" s="52"/>
      <c r="AX275" s="52"/>
      <c r="AY275" s="52"/>
      <c r="AZ275" s="734"/>
      <c r="BA275" s="786" t="str">
        <f>vlookup(AZ275,'Iran, FS'!$A$1:$B$318,2, false)</f>
        <v>#N/A</v>
      </c>
      <c r="BB275" s="787" t="str">
        <f>vlookup(AZ275,'1) Kpler'!$E$2:$F$500,2,false)</f>
        <v>#N/A</v>
      </c>
      <c r="BC275" s="740"/>
      <c r="BD275" s="734"/>
      <c r="BE275" s="52"/>
      <c r="BF275" s="52"/>
      <c r="BG275" s="734"/>
      <c r="BH275" s="734"/>
      <c r="BI275" s="734"/>
      <c r="BJ275" s="734"/>
    </row>
    <row r="276">
      <c r="B276" s="765" t="str">
        <f>vlookup(F276,'2) Tracker'!$A$3:$O$410,5,false)</f>
        <v/>
      </c>
      <c r="C276" s="765" t="str">
        <f>vlookup(F276,'2) Tracker'!$A$3:$O$410,4,false)</f>
        <v/>
      </c>
      <c r="D276" s="734"/>
      <c r="E276" s="734" t="str">
        <f>vlookup(F276,'2) Tracker'!$A$3:$O$406,15,false)</f>
        <v/>
      </c>
      <c r="F276" s="788" t="s">
        <v>1372</v>
      </c>
      <c r="G276" s="783">
        <f>VLOOKUP(F276,'2) Tracker'!$A$2:$BO$360,2,FALSE)</f>
        <v>42016</v>
      </c>
      <c r="H276" s="768">
        <f>VLOOKUP(F276,'2) Tracker'!$A$2:$BO$360,3,FALSE)</f>
        <v>83000</v>
      </c>
      <c r="I276" s="770" t="str">
        <f>VLOOKUP(F276,'2) Tracker'!$A$2:$BO$360,9,FALSE)</f>
        <v>BW&gt;Geogas</v>
      </c>
      <c r="J276" s="770" t="str">
        <f>VLOOKUP(F276,'2) Tracker'!$A$2:$BO$360,12,FALSE)</f>
        <v>Tanzania</v>
      </c>
      <c r="K276" s="774">
        <f t="shared" si="207"/>
        <v>46191</v>
      </c>
      <c r="L276" s="774">
        <f t="shared" ref="L276:O276" si="323">AE276</f>
        <v>46170</v>
      </c>
      <c r="M276" s="771" t="str">
        <f t="shared" si="323"/>
        <v/>
      </c>
      <c r="N276" s="771">
        <f t="shared" si="323"/>
        <v>46152</v>
      </c>
      <c r="O276" s="772" t="str">
        <f t="shared" si="323"/>
        <v/>
      </c>
      <c r="P276" s="773" t="str">
        <f>iferror(if(vlookup(F276,'Voyage days'!$M$808:$N$819,2,false),"GOA",""),"")</f>
        <v/>
      </c>
      <c r="Q276" s="771">
        <f t="shared" si="81"/>
        <v>46157</v>
      </c>
      <c r="R276" s="774">
        <f t="shared" si="83"/>
        <v>46143</v>
      </c>
      <c r="S276" s="774">
        <f t="shared" si="5"/>
        <v>46158</v>
      </c>
      <c r="T276" s="771">
        <f t="shared" si="6"/>
        <v>46157</v>
      </c>
      <c r="U276" s="774">
        <f t="shared" si="84"/>
        <v>46155</v>
      </c>
      <c r="V276" s="774"/>
      <c r="W276" s="774">
        <f t="shared" si="85"/>
        <v>46158</v>
      </c>
      <c r="X276" s="775" t="str">
        <f t="shared" si="9"/>
        <v/>
      </c>
      <c r="Y276" s="770"/>
      <c r="Z276" s="777" t="str">
        <f>vlookup(F276,'2) Tracker'!$A$3:$Q$504,16,false)</f>
        <v>ETA Zanzibar 26 Apr</v>
      </c>
      <c r="AA276" s="777" t="str">
        <f>vlookup(F276,'2) Tracker'!$A$3:$R$504,18,false)</f>
        <v>Geogas 25-26 Mar Enterprise</v>
      </c>
      <c r="AB276" s="777" t="str">
        <f>vlookup(F276,'2) Tracker'!$A$3:$Q$504,17,false)</f>
        <v/>
      </c>
      <c r="AC276" s="778"/>
      <c r="AD276" s="778">
        <f>VLOOKUP(F276,'2) Tracker'!$A$2:$BO$980,37,FALSE)</f>
        <v>46191</v>
      </c>
      <c r="AE276" s="778">
        <f>VLOOKUP(F276,'2) Tracker'!$A$2:$BO$980,40,FALSE)</f>
        <v>46170</v>
      </c>
      <c r="AF276" s="778" t="str">
        <f>VLOOKUP(F276,'2) Tracker'!$A$2:$BO$980,67,FALSE)</f>
        <v/>
      </c>
      <c r="AG276" s="778">
        <f>VLOOKUP(F276,'2) Tracker'!$A$2:$BO$980,34,FALSE)</f>
        <v>46152</v>
      </c>
      <c r="AH276" s="778" t="str">
        <f>VLOOKUP(F276,'2) Tracker'!$A$2:$BN$980,66,FALSE)</f>
        <v/>
      </c>
      <c r="AI276" s="778">
        <f>VLOOKUP(F276,'2) Tracker'!$A$2:$BO$980,56,FALSE)</f>
        <v>46155</v>
      </c>
      <c r="AJ276" s="778">
        <f>VLOOKUP(F276,'2) Tracker'!$A$2:$BO$980,52,FALSE)</f>
        <v>46158</v>
      </c>
      <c r="AK276" s="778">
        <f>VLOOKUP(F276,'2) Tracker'!$A$2:$AQ$980,43,FALSE)</f>
        <v>46157</v>
      </c>
      <c r="AL276" s="778">
        <f>VLOOKUP(F276,'2) Tracker'!$A$2:$BH$980,46,FALSE())</f>
        <v>46158</v>
      </c>
      <c r="AM276" s="778">
        <f>VLOOKUP(F276,'2) Tracker'!$A$2:$BO$980,65,FALSE())</f>
        <v>46157</v>
      </c>
      <c r="AN276" s="778">
        <f>VLOOKUP(F276,'2) Tracker'!$A$2:$BK$980,63,FALSE())</f>
        <v>46143</v>
      </c>
      <c r="AO276" s="778" t="str">
        <f>VLOOKUP(F276,'2) Tracker'!$A$2:$BF$980,58,FALSE())</f>
        <v/>
      </c>
      <c r="AP276" s="52"/>
      <c r="AQ276" s="52"/>
      <c r="AR276" s="52"/>
      <c r="AS276" s="52"/>
      <c r="AT276" s="52"/>
      <c r="AU276" s="52"/>
      <c r="AV276" s="52"/>
      <c r="AW276" s="52"/>
      <c r="AX276" s="52"/>
      <c r="AY276" s="52"/>
      <c r="AZ276" s="734"/>
      <c r="BA276" s="740"/>
      <c r="BB276" s="734"/>
      <c r="BC276" s="740"/>
      <c r="BD276" s="734"/>
      <c r="BE276" s="52"/>
      <c r="BF276" s="52"/>
      <c r="BG276" s="734"/>
      <c r="BH276" s="734"/>
      <c r="BI276" s="734"/>
      <c r="BJ276" s="734"/>
    </row>
    <row r="277">
      <c r="B277" s="765" t="str">
        <f>vlookup(F277,'2) Tracker'!$A$3:$O$410,5,false)</f>
        <v/>
      </c>
      <c r="C277" s="765" t="str">
        <f>vlookup(F277,'2) Tracker'!$A$3:$O$410,4,false)</f>
        <v/>
      </c>
      <c r="D277" s="732" t="s">
        <v>1515</v>
      </c>
      <c r="E277" s="734" t="str">
        <f>vlookup(F277,'2) Tracker'!$A$3:$O$406,15,false)</f>
        <v/>
      </c>
      <c r="F277" s="797" t="s">
        <v>544</v>
      </c>
      <c r="G277" s="792">
        <f>VLOOKUP(F277,'2) Tracker'!$A$2:$BO$360,2,FALSE)</f>
        <v>38139</v>
      </c>
      <c r="H277" s="768">
        <f>VLOOKUP(F277,'2) Tracker'!$A$2:$BO$360,3,FALSE)</f>
        <v>78918</v>
      </c>
      <c r="I277" s="777" t="str">
        <f>VLOOKUP(F277,'2) Tracker'!$A$2:$BO$360,9,FALSE)</f>
        <v>Eneos</v>
      </c>
      <c r="J277" s="770" t="str">
        <f>VLOOKUP(F277,'2) Tracker'!$A$2:$BO$360,12,FALSE)</f>
        <v>Far East</v>
      </c>
      <c r="K277" s="771">
        <f t="shared" si="207"/>
        <v>46193</v>
      </c>
      <c r="L277" s="771">
        <f t="shared" ref="L277:O277" si="324">AE277</f>
        <v>46200</v>
      </c>
      <c r="M277" s="771" t="str">
        <f t="shared" si="324"/>
        <v/>
      </c>
      <c r="N277" s="771">
        <f t="shared" si="324"/>
        <v>46180</v>
      </c>
      <c r="O277" s="772" t="str">
        <f t="shared" si="324"/>
        <v/>
      </c>
      <c r="P277" s="773" t="str">
        <f>iferror(if(vlookup(F277,'Voyage days'!$M$808:$N$819,2,false),"GOA",""),"")</f>
        <v/>
      </c>
      <c r="Q277" s="771">
        <f t="shared" si="81"/>
        <v>46186</v>
      </c>
      <c r="R277" s="771">
        <f t="shared" si="83"/>
        <v>46208</v>
      </c>
      <c r="S277" s="774">
        <f t="shared" si="5"/>
        <v>46198</v>
      </c>
      <c r="T277" s="774">
        <f t="shared" si="6"/>
        <v>46192</v>
      </c>
      <c r="U277" s="771">
        <f t="shared" si="84"/>
        <v>46174</v>
      </c>
      <c r="V277" s="771"/>
      <c r="W277" s="771">
        <f t="shared" si="85"/>
        <v>46170.25</v>
      </c>
      <c r="X277" s="775">
        <f t="shared" si="9"/>
        <v>46173</v>
      </c>
      <c r="Y277" s="776"/>
      <c r="Z277" s="777" t="str">
        <f>vlookup(F277,'2) Tracker'!$A$3:$Q$504,16,false)</f>
        <v>ETA Cristobal 13 Apr, pending disport</v>
      </c>
      <c r="AA277" s="777" t="str">
        <f>vlookup(F277,'2) Tracker'!$A$3:$R$504,18,false)</f>
        <v>Eneos 03-04 Apr Targa</v>
      </c>
      <c r="AB277" s="777" t="str">
        <f>vlookup(F277,'2) Tracker'!$A$3:$Q$504,17,false)</f>
        <v/>
      </c>
      <c r="AC277" s="778"/>
      <c r="AD277" s="778">
        <f>VLOOKUP(F277,'2) Tracker'!$A$2:$BO$980,37,FALSE)</f>
        <v>46193</v>
      </c>
      <c r="AE277" s="778">
        <f>VLOOKUP(F277,'2) Tracker'!$A$2:$BO$980,40,FALSE)</f>
        <v>46200</v>
      </c>
      <c r="AF277" s="778" t="str">
        <f>VLOOKUP(F277,'2) Tracker'!$A$2:$BO$980,67,FALSE)</f>
        <v/>
      </c>
      <c r="AG277" s="778">
        <f>VLOOKUP(F277,'2) Tracker'!$A$2:$BO$980,34,FALSE)</f>
        <v>46180</v>
      </c>
      <c r="AH277" s="778" t="str">
        <f>VLOOKUP(F277,'2) Tracker'!$A$2:$BN$980,66,FALSE)</f>
        <v/>
      </c>
      <c r="AI277" s="778">
        <f>VLOOKUP(F277,'2) Tracker'!$A$2:$BO$980,56,FALSE)</f>
        <v>46174</v>
      </c>
      <c r="AJ277" s="778">
        <f>VLOOKUP(F277,'2) Tracker'!$A$2:$BO$980,52,FALSE)</f>
        <v>46170.25</v>
      </c>
      <c r="AK277" s="778">
        <f>VLOOKUP(F277,'2) Tracker'!$A$2:$AQ$980,43,FALSE)</f>
        <v>46192</v>
      </c>
      <c r="AL277" s="778">
        <f>VLOOKUP(F277,'2) Tracker'!$A$2:$BH$980,46,FALSE())</f>
        <v>46198</v>
      </c>
      <c r="AM277" s="778">
        <f>VLOOKUP(F277,'2) Tracker'!$A$2:$BO$980,65,FALSE())</f>
        <v>46186</v>
      </c>
      <c r="AN277" s="778">
        <f>VLOOKUP(F277,'2) Tracker'!$A$2:$BK$980,63,FALSE())</f>
        <v>46208</v>
      </c>
      <c r="AO277" s="778">
        <f>VLOOKUP(F277,'2) Tracker'!$A$2:$BF$980,58,FALSE())</f>
        <v>46173</v>
      </c>
      <c r="AP277" s="52"/>
      <c r="AQ277" s="52"/>
      <c r="AR277" s="52"/>
      <c r="AS277" s="52"/>
      <c r="AT277" s="52"/>
      <c r="AU277" s="52"/>
      <c r="AV277" s="52"/>
      <c r="AW277" s="52"/>
      <c r="AX277" s="52"/>
      <c r="AY277" s="52"/>
      <c r="AZ277" s="734"/>
      <c r="BA277" s="740"/>
      <c r="BB277" s="734"/>
      <c r="BC277" s="740"/>
      <c r="BD277" s="734"/>
      <c r="BE277" s="52"/>
      <c r="BF277" s="52"/>
      <c r="BG277" s="734"/>
      <c r="BH277" s="734"/>
      <c r="BI277" s="734"/>
      <c r="BJ277" s="734"/>
    </row>
    <row r="278">
      <c r="B278" s="765" t="str">
        <f>vlookup(F278,'2) Tracker'!$A$3:$O$410,5,false)</f>
        <v>C</v>
      </c>
      <c r="C278" s="765" t="str">
        <f>vlookup(F278,'2) Tracker'!$A$3:$O$410,4,false)</f>
        <v/>
      </c>
      <c r="D278" s="734"/>
      <c r="E278" s="734" t="str">
        <f>vlookup(F278,'2) Tracker'!$A$3:$O$406,15,false)</f>
        <v/>
      </c>
      <c r="F278" s="788" t="s">
        <v>478</v>
      </c>
      <c r="G278" s="783">
        <f>VLOOKUP(F278,'2) Tracker'!$A$2:$BO$360,2,FALSE)</f>
        <v>42538</v>
      </c>
      <c r="H278" s="768">
        <f>VLOOKUP(F278,'2) Tracker'!$A$2:$BO$360,3,FALSE)</f>
        <v>84000</v>
      </c>
      <c r="I278" s="777" t="str">
        <f>VLOOKUP(F278,'2) Tracker'!$A$2:$BO$360,9,FALSE)</f>
        <v>OE</v>
      </c>
      <c r="J278" s="770" t="str">
        <f>VLOOKUP(F278,'2) Tracker'!$A$2:$BO$360,12,FALSE)</f>
        <v>Singapore laden</v>
      </c>
      <c r="K278" s="771">
        <f t="shared" si="207"/>
        <v>46194</v>
      </c>
      <c r="L278" s="771">
        <f t="shared" ref="L278:O278" si="325">AE278</f>
        <v>46195</v>
      </c>
      <c r="M278" s="771" t="str">
        <f t="shared" si="325"/>
        <v/>
      </c>
      <c r="N278" s="771">
        <f t="shared" si="325"/>
        <v>46171</v>
      </c>
      <c r="O278" s="772" t="str">
        <f t="shared" si="325"/>
        <v/>
      </c>
      <c r="P278" s="773" t="str">
        <f>iferror(if(vlookup(F278,'Voyage days'!$M$808:$N$819,2,false),"GOA",""),"")</f>
        <v/>
      </c>
      <c r="Q278" s="771">
        <f t="shared" si="81"/>
        <v>46176</v>
      </c>
      <c r="R278" s="771">
        <f t="shared" si="83"/>
        <v>46199</v>
      </c>
      <c r="S278" s="774">
        <f t="shared" si="5"/>
        <v>46189</v>
      </c>
      <c r="T278" s="771">
        <f t="shared" si="6"/>
        <v>46181</v>
      </c>
      <c r="U278" s="771">
        <f t="shared" si="84"/>
        <v>46164</v>
      </c>
      <c r="V278" s="771"/>
      <c r="W278" s="771">
        <f t="shared" si="85"/>
        <v>46166</v>
      </c>
      <c r="X278" s="775" t="str">
        <f t="shared" si="9"/>
        <v/>
      </c>
      <c r="Y278" s="776" t="s">
        <v>1531</v>
      </c>
      <c r="Z278" s="777" t="str">
        <f>vlookup(F278,'2) Tracker'!$A$3:$Q$504,16,false)</f>
        <v>via Cape, ETA Singapore 14 May</v>
      </c>
      <c r="AA278" s="777" t="str">
        <f>vlookup(F278,'2) Tracker'!$A$3:$R$504,18,false)</f>
        <v>OE 03 Apr Enterprise</v>
      </c>
      <c r="AB278" s="777" t="str">
        <f>vlookup(F278,'2) Tracker'!$A$3:$Q$504,17,false)</f>
        <v/>
      </c>
      <c r="AC278" s="778"/>
      <c r="AD278" s="778">
        <f>VLOOKUP(F278,'2) Tracker'!$A$2:$BO$980,37,FALSE)</f>
        <v>46194</v>
      </c>
      <c r="AE278" s="778">
        <f>VLOOKUP(F278,'2) Tracker'!$A$2:$BO$980,40,FALSE)</f>
        <v>46195</v>
      </c>
      <c r="AF278" s="778" t="str">
        <f>VLOOKUP(F278,'2) Tracker'!$A$2:$BO$980,67,FALSE)</f>
        <v/>
      </c>
      <c r="AG278" s="778">
        <f>VLOOKUP(F278,'2) Tracker'!$A$2:$BO$980,34,FALSE)</f>
        <v>46171</v>
      </c>
      <c r="AH278" s="778" t="str">
        <f>VLOOKUP(F278,'2) Tracker'!$A$2:$BN$980,66,FALSE)</f>
        <v/>
      </c>
      <c r="AI278" s="778">
        <f>VLOOKUP(F278,'2) Tracker'!$A$2:$BO$980,56,FALSE)</f>
        <v>46164</v>
      </c>
      <c r="AJ278" s="778">
        <f>VLOOKUP(F278,'2) Tracker'!$A$2:$BO$980,52,FALSE)</f>
        <v>46166</v>
      </c>
      <c r="AK278" s="778">
        <f>VLOOKUP(F278,'2) Tracker'!$A$2:$AQ$980,43,FALSE)</f>
        <v>46181</v>
      </c>
      <c r="AL278" s="778">
        <f>VLOOKUP(F278,'2) Tracker'!$A$2:$BH$980,46,FALSE())</f>
        <v>46189</v>
      </c>
      <c r="AM278" s="778">
        <f>VLOOKUP(F278,'2) Tracker'!$A$2:$BO$980,65,FALSE())</f>
        <v>46176</v>
      </c>
      <c r="AN278" s="778">
        <f>VLOOKUP(F278,'2) Tracker'!$A$2:$BK$980,63,FALSE())</f>
        <v>46199</v>
      </c>
      <c r="AO278" s="778" t="str">
        <f>VLOOKUP(F278,'2) Tracker'!$A$2:$BF$980,58,FALSE())</f>
        <v/>
      </c>
      <c r="AP278" s="52"/>
      <c r="AQ278" s="52"/>
      <c r="AR278" s="52"/>
      <c r="AS278" s="52"/>
      <c r="AT278" s="52"/>
      <c r="AU278" s="52"/>
      <c r="AV278" s="52"/>
      <c r="AW278" s="52"/>
      <c r="AX278" s="52"/>
      <c r="AY278" s="52"/>
      <c r="AZ278" s="787"/>
      <c r="BA278" s="786" t="str">
        <f>vlookup(AZ278,'Iran, FS'!$A$1:$B$318,2, false)</f>
        <v>#N/A</v>
      </c>
      <c r="BB278" s="787" t="str">
        <f>vlookup(AZ278,'1) Kpler'!$E$2:$F$500,2,false)</f>
        <v>#N/A</v>
      </c>
      <c r="BC278" s="788"/>
      <c r="BD278" s="787"/>
      <c r="BE278" s="52"/>
      <c r="BF278" s="52"/>
      <c r="BG278" s="787"/>
      <c r="BH278" s="787"/>
      <c r="BI278" s="787"/>
      <c r="BJ278" s="787"/>
    </row>
    <row r="279">
      <c r="B279" s="765" t="str">
        <f>vlookup(F279,'2) Tracker'!$A$3:$O$410,5,false)</f>
        <v/>
      </c>
      <c r="C279" s="765" t="str">
        <f>vlookup(F279,'2) Tracker'!$A$3:$O$410,4,false)</f>
        <v/>
      </c>
      <c r="D279" s="734"/>
      <c r="E279" s="734" t="str">
        <f>vlookup(F279,'2) Tracker'!$A$3:$O$406,15,false)</f>
        <v>eu</v>
      </c>
      <c r="F279" s="730" t="s">
        <v>182</v>
      </c>
      <c r="G279" s="783">
        <f>VLOOKUP(F279,'2) Tracker'!$A$2:$BO$360,2,FALSE)</f>
        <v>43616</v>
      </c>
      <c r="H279" s="768">
        <f>VLOOKUP(F279,'2) Tracker'!$A$2:$BO$360,3,FALSE)</f>
        <v>84200</v>
      </c>
      <c r="I279" s="770" t="str">
        <f>VLOOKUP(F279,'2) Tracker'!$A$2:$BO$360,9,FALSE)</f>
        <v>Vitol</v>
      </c>
      <c r="J279" s="770" t="str">
        <f>VLOOKUP(F279,'2) Tracker'!$A$2:$BO$360,12,FALSE)</f>
        <v>South China</v>
      </c>
      <c r="K279" s="771">
        <f t="shared" si="207"/>
        <v>46194</v>
      </c>
      <c r="L279" s="771">
        <f t="shared" ref="L279:O279" si="326">AE279</f>
        <v>46199</v>
      </c>
      <c r="M279" s="771" t="str">
        <f t="shared" si="326"/>
        <v/>
      </c>
      <c r="N279" s="771">
        <f t="shared" si="326"/>
        <v>46172</v>
      </c>
      <c r="O279" s="772" t="str">
        <f t="shared" si="326"/>
        <v/>
      </c>
      <c r="P279" s="773" t="str">
        <f>iferror(if(vlookup(F279,'Voyage days'!$M$808:$N$819,2,false),"GOA",""),"")</f>
        <v/>
      </c>
      <c r="Q279" s="771">
        <f t="shared" si="81"/>
        <v>46175</v>
      </c>
      <c r="R279" s="771">
        <f t="shared" si="83"/>
        <v>46199</v>
      </c>
      <c r="S279" s="774">
        <f t="shared" si="5"/>
        <v>46190</v>
      </c>
      <c r="T279" s="771">
        <f t="shared" si="6"/>
        <v>46183</v>
      </c>
      <c r="U279" s="771">
        <f t="shared" si="84"/>
        <v>46162</v>
      </c>
      <c r="V279" s="771"/>
      <c r="W279" s="771">
        <f t="shared" si="85"/>
        <v>46163.75</v>
      </c>
      <c r="X279" s="775" t="str">
        <f t="shared" si="9"/>
        <v/>
      </c>
      <c r="Y279" s="770"/>
      <c r="Z279" s="777" t="str">
        <f>vlookup(F279,'2) Tracker'!$A$3:$Q$504,16,false)</f>
        <v>ETA 1st Zhanjiang 12 May via Cape</v>
      </c>
      <c r="AA279" s="777" t="str">
        <f>vlookup(F279,'2) Tracker'!$A$3:$R$504,18,false)</f>
        <v>Vitol 31 Mar Targa</v>
      </c>
      <c r="AB279" s="777" t="str">
        <f>vlookup(F279,'2) Tracker'!$A$3:$Q$504,17,false)</f>
        <v/>
      </c>
      <c r="AC279" s="778"/>
      <c r="AD279" s="778">
        <f>VLOOKUP(F279,'2) Tracker'!$A$2:$BO$980,37,FALSE)</f>
        <v>46194</v>
      </c>
      <c r="AE279" s="778">
        <f>VLOOKUP(F279,'2) Tracker'!$A$2:$BO$980,40,FALSE)</f>
        <v>46199</v>
      </c>
      <c r="AF279" s="778" t="str">
        <f>VLOOKUP(F279,'2) Tracker'!$A$2:$BO$980,67,FALSE)</f>
        <v/>
      </c>
      <c r="AG279" s="778">
        <f>VLOOKUP(F279,'2) Tracker'!$A$2:$BO$980,34,FALSE)</f>
        <v>46172</v>
      </c>
      <c r="AH279" s="778" t="str">
        <f>VLOOKUP(F279,'2) Tracker'!$A$2:$BN$980,66,FALSE)</f>
        <v/>
      </c>
      <c r="AI279" s="778">
        <f>VLOOKUP(F279,'2) Tracker'!$A$2:$BO$980,56,FALSE)</f>
        <v>46162</v>
      </c>
      <c r="AJ279" s="778">
        <f>VLOOKUP(F279,'2) Tracker'!$A$2:$BO$980,52,FALSE)</f>
        <v>46163.75</v>
      </c>
      <c r="AK279" s="778">
        <f>VLOOKUP(F279,'2) Tracker'!$A$2:$AQ$980,43,FALSE)</f>
        <v>46183</v>
      </c>
      <c r="AL279" s="778">
        <f>VLOOKUP(F279,'2) Tracker'!$A$2:$BH$980,46,FALSE())</f>
        <v>46190</v>
      </c>
      <c r="AM279" s="778">
        <f>VLOOKUP(F279,'2) Tracker'!$A$2:$BO$980,65,FALSE())</f>
        <v>46175</v>
      </c>
      <c r="AN279" s="778">
        <f>VLOOKUP(F279,'2) Tracker'!$A$2:$BK$980,63,FALSE())</f>
        <v>46199</v>
      </c>
      <c r="AO279" s="778" t="str">
        <f>VLOOKUP(F279,'2) Tracker'!$A$2:$BF$980,58,FALSE())</f>
        <v/>
      </c>
      <c r="AP279" s="52"/>
      <c r="AQ279" s="52"/>
      <c r="AR279" s="52"/>
      <c r="AS279" s="52"/>
      <c r="AT279" s="52"/>
      <c r="AU279" s="52"/>
      <c r="AV279" s="52"/>
      <c r="AW279" s="52"/>
      <c r="AX279" s="52"/>
      <c r="AY279" s="52"/>
      <c r="AZ279" s="734"/>
      <c r="BA279" s="786" t="str">
        <f>vlookup(AZ279,'Iran, FS'!$A$1:$B$318,2, false)</f>
        <v>#N/A</v>
      </c>
      <c r="BB279" s="787" t="str">
        <f>vlookup(AZ279,'1) Kpler'!$E$2:$F$500,2,false)</f>
        <v>#N/A</v>
      </c>
      <c r="BC279" s="740"/>
      <c r="BD279" s="734"/>
      <c r="BE279" s="52"/>
      <c r="BF279" s="52"/>
      <c r="BG279" s="734"/>
      <c r="BH279" s="734"/>
      <c r="BI279" s="734"/>
      <c r="BJ279" s="734"/>
    </row>
    <row r="280">
      <c r="B280" s="765" t="str">
        <f>vlookup(F280,'2) Tracker'!$A$3:$O$410,5,false)</f>
        <v/>
      </c>
      <c r="C280" s="765" t="str">
        <f>vlookup(F280,'2) Tracker'!$A$3:$O$410,4,false)</f>
        <v>US</v>
      </c>
      <c r="D280" s="734"/>
      <c r="E280" s="734" t="str">
        <f>vlookup(F280,'2) Tracker'!$A$3:$O$406,15,false)</f>
        <v/>
      </c>
      <c r="F280" s="788" t="s">
        <v>205</v>
      </c>
      <c r="G280" s="789">
        <f>VLOOKUP(F280,'2) Tracker'!$A$2:$BO$360,2,FALSE)</f>
        <v>2021</v>
      </c>
      <c r="H280" s="768">
        <f>VLOOKUP(F280,'2) Tracker'!$A$2:$BO$360,3,FALSE)</f>
        <v>84000</v>
      </c>
      <c r="I280" s="777" t="str">
        <f>VLOOKUP(F280,'2) Tracker'!$A$2:$BO$360,9,FALSE)</f>
        <v>Helios</v>
      </c>
      <c r="J280" s="770" t="str">
        <f>VLOOKUP(F280,'2) Tracker'!$A$2:$BO$360,12,FALSE)</f>
        <v>Far East</v>
      </c>
      <c r="K280" s="771">
        <f t="shared" si="207"/>
        <v>46194</v>
      </c>
      <c r="L280" s="771">
        <f t="shared" ref="L280:O280" si="327">AE280</f>
        <v>46201</v>
      </c>
      <c r="M280" s="771" t="str">
        <f t="shared" si="327"/>
        <v/>
      </c>
      <c r="N280" s="771">
        <f t="shared" si="327"/>
        <v>46181</v>
      </c>
      <c r="O280" s="772" t="str">
        <f t="shared" si="327"/>
        <v/>
      </c>
      <c r="P280" s="773" t="str">
        <f>iferror(if(vlookup(F280,'Voyage days'!$M$808:$N$819,2,false),"GOA",""),"")</f>
        <v/>
      </c>
      <c r="Q280" s="771">
        <f t="shared" si="81"/>
        <v>46184</v>
      </c>
      <c r="R280" s="771">
        <f t="shared" si="83"/>
        <v>46209</v>
      </c>
      <c r="S280" s="774">
        <f t="shared" si="5"/>
        <v>46199</v>
      </c>
      <c r="T280" s="771">
        <f t="shared" si="6"/>
        <v>46193</v>
      </c>
      <c r="U280" s="771">
        <f t="shared" si="84"/>
        <v>46172</v>
      </c>
      <c r="V280" s="745" t="s">
        <v>1523</v>
      </c>
      <c r="W280" s="771">
        <f t="shared" si="85"/>
        <v>46171.25</v>
      </c>
      <c r="X280" s="775">
        <f t="shared" si="9"/>
        <v>46174</v>
      </c>
      <c r="Y280" s="776"/>
      <c r="Z280" s="777" t="str">
        <f>vlookup(F280,'2) Tracker'!$A$3:$Q$504,16,false)</f>
        <v>ETA RIPET 01 May</v>
      </c>
      <c r="AA280" s="777" t="str">
        <f>vlookup(F280,'2) Tracker'!$A$3:$R$504,18,false)</f>
        <v>Altagas 01-02 May RIPET</v>
      </c>
      <c r="AB280" s="777" t="str">
        <f>vlookup(F280,'2) Tracker'!$A$3:$Q$504,17,false)</f>
        <v/>
      </c>
      <c r="AC280" s="778"/>
      <c r="AD280" s="778">
        <f>VLOOKUP(F280,'2) Tracker'!$A$2:$BO$980,37,FALSE)</f>
        <v>46194</v>
      </c>
      <c r="AE280" s="778">
        <f>VLOOKUP(F280,'2) Tracker'!$A$2:$BO$980,40,FALSE)</f>
        <v>46201</v>
      </c>
      <c r="AF280" s="778" t="str">
        <f>VLOOKUP(F280,'2) Tracker'!$A$2:$BO$980,67,FALSE)</f>
        <v/>
      </c>
      <c r="AG280" s="778">
        <f>VLOOKUP(F280,'2) Tracker'!$A$2:$BO$980,34,FALSE)</f>
        <v>46181</v>
      </c>
      <c r="AH280" s="778" t="str">
        <f>VLOOKUP(F280,'2) Tracker'!$A$2:$BN$980,66,FALSE)</f>
        <v/>
      </c>
      <c r="AI280" s="778">
        <f>VLOOKUP(F280,'2) Tracker'!$A$2:$BO$980,56,FALSE)</f>
        <v>46172</v>
      </c>
      <c r="AJ280" s="778">
        <f>VLOOKUP(F280,'2) Tracker'!$A$2:$BO$980,52,FALSE)</f>
        <v>46171.25</v>
      </c>
      <c r="AK280" s="778">
        <f>VLOOKUP(F280,'2) Tracker'!$A$2:$AQ$980,43,FALSE)</f>
        <v>46193</v>
      </c>
      <c r="AL280" s="778">
        <f>VLOOKUP(F280,'2) Tracker'!$A$2:$BH$980,46,FALSE())</f>
        <v>46199</v>
      </c>
      <c r="AM280" s="778">
        <f>VLOOKUP(F280,'2) Tracker'!$A$2:$BO$980,65,FALSE())</f>
        <v>46184</v>
      </c>
      <c r="AN280" s="778">
        <f>VLOOKUP(F280,'2) Tracker'!$A$2:$BK$980,63,FALSE())</f>
        <v>46209</v>
      </c>
      <c r="AO280" s="778">
        <f>VLOOKUP(F280,'2) Tracker'!$A$2:$BF$980,58,FALSE())</f>
        <v>46174</v>
      </c>
      <c r="AP280" s="52"/>
      <c r="AQ280" s="52"/>
      <c r="AR280" s="52"/>
      <c r="AS280" s="52"/>
      <c r="AT280" s="52"/>
      <c r="AU280" s="52"/>
      <c r="AV280" s="52"/>
      <c r="AW280" s="52"/>
      <c r="AX280" s="52"/>
      <c r="AY280" s="52"/>
      <c r="AZ280" s="734"/>
      <c r="BA280" s="786" t="str">
        <f>vlookup(AZ280,'Iran, FS'!$A$1:$B$318,2, false)</f>
        <v>#N/A</v>
      </c>
      <c r="BB280" s="787" t="str">
        <f>vlookup(AZ280,'1) Kpler'!$E$2:$F$500,2,false)</f>
        <v>#N/A</v>
      </c>
      <c r="BC280" s="740"/>
      <c r="BD280" s="734"/>
      <c r="BE280" s="52"/>
      <c r="BF280" s="52"/>
      <c r="BG280" s="734"/>
      <c r="BH280" s="734"/>
      <c r="BI280" s="734"/>
      <c r="BJ280" s="734"/>
    </row>
    <row r="281">
      <c r="B281" s="765" t="str">
        <f>vlookup(F281,'2) Tracker'!$A$3:$O$410,5,false)</f>
        <v/>
      </c>
      <c r="C281" s="765"/>
      <c r="D281" s="734"/>
      <c r="E281" s="734" t="str">
        <f>vlookup(F281,'2) Tracker'!$A$3:$O$406,15,false)</f>
        <v/>
      </c>
      <c r="F281" s="788" t="s">
        <v>381</v>
      </c>
      <c r="G281" s="789">
        <f>VLOOKUP(F281,'2) Tracker'!$A$2:$BO$360,2,FALSE)</f>
        <v>2023</v>
      </c>
      <c r="H281" s="768">
        <f>VLOOKUP(F281,'2) Tracker'!$A$2:$BO$360,3,FALSE)</f>
        <v>93000</v>
      </c>
      <c r="I281" s="777" t="str">
        <f>VLOOKUP(F281,'2) Tracker'!$A$2:$BO$360,9,FALSE)</f>
        <v>Petredec</v>
      </c>
      <c r="J281" s="770" t="str">
        <f>VLOOKUP(F281,'2) Tracker'!$A$2:$BO$360,12,FALSE)</f>
        <v>WCI</v>
      </c>
      <c r="K281" s="771">
        <f t="shared" si="207"/>
        <v>46194</v>
      </c>
      <c r="L281" s="771">
        <f t="shared" ref="L281:O281" si="328">AE281</f>
        <v>46203</v>
      </c>
      <c r="M281" s="771" t="str">
        <f t="shared" si="328"/>
        <v/>
      </c>
      <c r="N281" s="771">
        <f t="shared" si="328"/>
        <v>46179</v>
      </c>
      <c r="O281" s="772" t="str">
        <f t="shared" si="328"/>
        <v/>
      </c>
      <c r="P281" s="773" t="str">
        <f>iferror(if(vlookup(F281,'Voyage days'!$M$808:$N$819,2,false),"GOA",""),"")</f>
        <v/>
      </c>
      <c r="Q281" s="771">
        <f t="shared" si="81"/>
        <v>46182</v>
      </c>
      <c r="R281" s="771">
        <f t="shared" si="83"/>
        <v>46207</v>
      </c>
      <c r="S281" s="774">
        <f t="shared" si="5"/>
        <v>46196</v>
      </c>
      <c r="T281" s="771">
        <f t="shared" si="6"/>
        <v>46190</v>
      </c>
      <c r="U281" s="771">
        <f t="shared" si="84"/>
        <v>46169</v>
      </c>
      <c r="V281" s="771"/>
      <c r="W281" s="771">
        <f t="shared" si="85"/>
        <v>46170</v>
      </c>
      <c r="X281" s="775">
        <f t="shared" si="9"/>
        <v>46174</v>
      </c>
      <c r="Y281" s="846"/>
      <c r="Z281" s="777" t="str">
        <f>vlookup(F281,'2) Tracker'!$A$3:$Q$504,16,false)</f>
        <v>@ Mangalore 10 Apr</v>
      </c>
      <c r="AA281" s="777" t="str">
        <f>vlookup(F281,'2) Tracker'!$A$3:$R$504,18,false)</f>
        <v>Petredec 03 Mar Targa</v>
      </c>
      <c r="AB281" s="777" t="str">
        <f>vlookup(F281,'2) Tracker'!$A$3:$Q$504,17,false)</f>
        <v/>
      </c>
      <c r="AC281" s="740"/>
      <c r="AD281" s="778">
        <f>'2) Tracker'!AK259</f>
        <v>46194</v>
      </c>
      <c r="AE281" s="778">
        <f>'2) Tracker'!AN259</f>
        <v>46203</v>
      </c>
      <c r="AF281" s="778" t="str">
        <f>VLOOKUP(F281,'2) Tracker'!$A$2:$BO$980,67,FALSE)</f>
        <v/>
      </c>
      <c r="AG281" s="778">
        <f>'2) Tracker'!AH259</f>
        <v>46179</v>
      </c>
      <c r="AH281" s="778" t="str">
        <f>VLOOKUP(F281,'2) Tracker'!$A$2:$BN$980,66,FALSE)</f>
        <v/>
      </c>
      <c r="AI281" s="778">
        <f>'2) Tracker'!BC259</f>
        <v>46169</v>
      </c>
      <c r="AJ281" s="778">
        <f>'2) Tracker'!AZ259</f>
        <v>46170</v>
      </c>
      <c r="AK281" s="778">
        <f>'2) Tracker'!AQ259</f>
        <v>46190</v>
      </c>
      <c r="AL281" s="778">
        <f>'2) Tracker'!AT259</f>
        <v>46196</v>
      </c>
      <c r="AM281" s="778">
        <f>'2) Tracker'!BM259</f>
        <v>46182</v>
      </c>
      <c r="AN281" s="778">
        <f>'2) Tracker'!BK259</f>
        <v>46207</v>
      </c>
      <c r="AO281" s="778">
        <f>'2) Tracker'!BF259</f>
        <v>46174</v>
      </c>
      <c r="AP281" s="52"/>
      <c r="AQ281" s="52"/>
      <c r="AR281" s="52"/>
      <c r="AS281" s="52"/>
      <c r="AT281" s="52"/>
      <c r="AU281" s="52"/>
      <c r="AV281" s="52"/>
      <c r="AW281" s="52"/>
      <c r="AX281" s="52"/>
      <c r="AY281" s="52"/>
      <c r="AZ281" s="734"/>
      <c r="BA281" s="740"/>
      <c r="BB281" s="734"/>
      <c r="BC281" s="740"/>
      <c r="BD281" s="734"/>
      <c r="BE281" s="52"/>
      <c r="BF281" s="52"/>
      <c r="BG281" s="734"/>
      <c r="BH281" s="734"/>
      <c r="BI281" s="734"/>
      <c r="BJ281" s="734"/>
    </row>
    <row r="282">
      <c r="B282" s="765" t="str">
        <f>vlookup(F282,'2) Tracker'!$A$3:$O$410,5,false)</f>
        <v>C</v>
      </c>
      <c r="C282" s="765" t="str">
        <f>vlookup(F282,'2) Tracker'!$A$3:$O$410,4,false)</f>
        <v/>
      </c>
      <c r="D282" s="734"/>
      <c r="E282" s="734"/>
      <c r="F282" s="798" t="s">
        <v>1289</v>
      </c>
      <c r="G282" s="734">
        <f>'2) Tracker'!B259</f>
        <v>2022</v>
      </c>
      <c r="H282" s="847">
        <f>'2) Tracker'!C259</f>
        <v>86000</v>
      </c>
      <c r="I282" s="777" t="str">
        <f>'2) Tracker'!I259</f>
        <v>Wanhua</v>
      </c>
      <c r="J282" s="770" t="str">
        <f>VLOOKUP(F282,'2) Tracker'!$A$2:$BO$360,12,FALSE)</f>
        <v>North China</v>
      </c>
      <c r="K282" s="774">
        <f t="shared" si="207"/>
        <v>46194</v>
      </c>
      <c r="L282" s="774">
        <f t="shared" ref="L282:O282" si="329">AE282</f>
        <v>46203</v>
      </c>
      <c r="M282" s="771" t="str">
        <f t="shared" si="329"/>
        <v/>
      </c>
      <c r="N282" s="771">
        <f t="shared" si="329"/>
        <v>46179</v>
      </c>
      <c r="O282" s="772" t="str">
        <f t="shared" si="329"/>
        <v/>
      </c>
      <c r="P282" s="773" t="str">
        <f>iferror(if(vlookup(F282,'Voyage days'!$M$808:$N$819,2,false),"GOA",""),"")</f>
        <v/>
      </c>
      <c r="Q282" s="771">
        <f t="shared" si="81"/>
        <v>46182</v>
      </c>
      <c r="R282" s="774">
        <f t="shared" si="83"/>
        <v>46207</v>
      </c>
      <c r="S282" s="774">
        <f t="shared" si="5"/>
        <v>46196</v>
      </c>
      <c r="T282" s="771">
        <f t="shared" si="6"/>
        <v>46190</v>
      </c>
      <c r="U282" s="774">
        <f t="shared" si="84"/>
        <v>46170</v>
      </c>
      <c r="V282" s="745" t="s">
        <v>1523</v>
      </c>
      <c r="W282" s="771">
        <f t="shared" si="85"/>
        <v>46170</v>
      </c>
      <c r="X282" s="775">
        <f t="shared" si="9"/>
        <v>46174</v>
      </c>
      <c r="Y282" s="784"/>
      <c r="Z282" s="777" t="str">
        <f>vlookup(F282,'2) Tracker'!$A$3:$Q$504,16,false)</f>
        <v>ETA Yantai 19 May</v>
      </c>
      <c r="AA282" s="777" t="str">
        <f>vlookup(F282,'2) Tracker'!$A$3:$R$504,18,false)</f>
        <v>Wanhua 02-03 Apr Bethioua</v>
      </c>
      <c r="AB282" s="777" t="str">
        <f>vlookup(F282,'2) Tracker'!$A$3:$Q$504,17,false)</f>
        <v/>
      </c>
      <c r="AC282" s="778"/>
      <c r="AD282" s="778">
        <f>VLOOKUP(F282,'2) Tracker'!$A$2:$BO$980,37,FALSE)</f>
        <v>46194</v>
      </c>
      <c r="AE282" s="778">
        <f>VLOOKUP(F282,'2) Tracker'!$A$2:$BO$980,40,FALSE)</f>
        <v>46203</v>
      </c>
      <c r="AF282" s="778" t="str">
        <f>VLOOKUP(F282,'2) Tracker'!$A$2:$BO$980,67,FALSE)</f>
        <v/>
      </c>
      <c r="AG282" s="778">
        <f>VLOOKUP(F282,'2) Tracker'!$A$2:$BO$980,34,FALSE)</f>
        <v>46179</v>
      </c>
      <c r="AH282" s="778" t="str">
        <f>VLOOKUP(F282,'2) Tracker'!$A$2:$BN$980,66,FALSE)</f>
        <v/>
      </c>
      <c r="AI282" s="778">
        <f>VLOOKUP(F282,'2) Tracker'!$A$2:$BO$980,56,FALSE)</f>
        <v>46170</v>
      </c>
      <c r="AJ282" s="778">
        <f>VLOOKUP(F282,'2) Tracker'!$A$2:$BO$980,52,FALSE)</f>
        <v>46170</v>
      </c>
      <c r="AK282" s="778">
        <f>VLOOKUP(F282,'2) Tracker'!$A$2:$AQ$980,43,FALSE)</f>
        <v>46190</v>
      </c>
      <c r="AL282" s="778">
        <f>VLOOKUP(F282,'2) Tracker'!$A$2:$BH$980,46,FALSE())</f>
        <v>46196</v>
      </c>
      <c r="AM282" s="778">
        <f>VLOOKUP(F282,'2) Tracker'!$A$2:$BO$980,65,FALSE())</f>
        <v>46182</v>
      </c>
      <c r="AN282" s="778">
        <f>VLOOKUP(F282,'2) Tracker'!$A$2:$BK$980,63,FALSE())</f>
        <v>46207</v>
      </c>
      <c r="AO282" s="778">
        <f>VLOOKUP(F282,'2) Tracker'!$A$2:$BF$980,58,FALSE())</f>
        <v>46174</v>
      </c>
      <c r="AP282" s="52"/>
      <c r="AQ282" s="52"/>
      <c r="AR282" s="52"/>
      <c r="AS282" s="52"/>
      <c r="AT282" s="52"/>
      <c r="AU282" s="52"/>
      <c r="AV282" s="52"/>
      <c r="AW282" s="52"/>
      <c r="AX282" s="52"/>
      <c r="AY282" s="52"/>
      <c r="AZ282" s="734"/>
      <c r="BA282" s="740"/>
      <c r="BB282" s="734"/>
      <c r="BC282" s="740"/>
      <c r="BD282" s="734"/>
      <c r="BE282" s="52"/>
      <c r="BF282" s="52"/>
      <c r="BG282" s="734"/>
      <c r="BH282" s="734"/>
      <c r="BI282" s="734"/>
      <c r="BJ282" s="734"/>
    </row>
    <row r="283">
      <c r="B283" s="765" t="str">
        <f>vlookup(F283,'2) Tracker'!$A$3:$O$410,5,false)</f>
        <v/>
      </c>
      <c r="C283" s="765" t="str">
        <f>vlookup(F283,'2) Tracker'!$A$3:$O$410,4,false)</f>
        <v/>
      </c>
      <c r="D283" s="734"/>
      <c r="E283" s="734" t="str">
        <f>vlookup(F283,'2) Tracker'!$A$3:$O$406,15,false)</f>
        <v/>
      </c>
      <c r="F283" s="788" t="s">
        <v>74</v>
      </c>
      <c r="G283" s="789">
        <f>VLOOKUP(F283,'2) Tracker'!$A$2:$BO$360,2,FALSE)</f>
        <v>2023</v>
      </c>
      <c r="H283" s="768">
        <f>VLOOKUP(F283,'2) Tracker'!$A$2:$BO$360,3,FALSE)</f>
        <v>86700</v>
      </c>
      <c r="I283" s="777" t="str">
        <f>VLOOKUP(F283,'2) Tracker'!$A$2:$BO$360,9,FALSE)</f>
        <v>Gyxis</v>
      </c>
      <c r="J283" s="770" t="str">
        <f>VLOOKUP(F283,'2) Tracker'!$A$2:$BO$360,12,FALSE)</f>
        <v>Far East</v>
      </c>
      <c r="K283" s="771">
        <f t="shared" si="207"/>
        <v>46196</v>
      </c>
      <c r="L283" s="774">
        <f t="shared" ref="L283:M283" si="330">AE282</f>
        <v>46203</v>
      </c>
      <c r="M283" s="771" t="str">
        <f t="shared" si="330"/>
        <v/>
      </c>
      <c r="N283" s="771">
        <f t="shared" ref="N283:O283" si="331">AG283</f>
        <v>46183</v>
      </c>
      <c r="O283" s="772" t="str">
        <f t="shared" si="331"/>
        <v/>
      </c>
      <c r="P283" s="773" t="str">
        <f>iferror(if(vlookup(F283,'Voyage days'!$M$808:$N$819,2,false),"GOA",""),"")</f>
        <v/>
      </c>
      <c r="Q283" s="771">
        <f t="shared" si="81"/>
        <v>46186</v>
      </c>
      <c r="R283" s="771">
        <f t="shared" si="83"/>
        <v>46211</v>
      </c>
      <c r="S283" s="774">
        <f t="shared" si="5"/>
        <v>46201</v>
      </c>
      <c r="T283" s="771">
        <f t="shared" si="6"/>
        <v>46195</v>
      </c>
      <c r="U283" s="771">
        <f t="shared" si="84"/>
        <v>46174</v>
      </c>
      <c r="V283" s="771"/>
      <c r="W283" s="771">
        <f t="shared" si="85"/>
        <v>46173.25</v>
      </c>
      <c r="X283" s="775">
        <f t="shared" si="9"/>
        <v>46176</v>
      </c>
      <c r="Y283" s="776"/>
      <c r="Z283" s="777" t="str">
        <f>vlookup(F283,'2) Tracker'!$A$3:$Q$504,16,false)</f>
        <v>ex DD, ETA RIPET 22 Apr</v>
      </c>
      <c r="AA283" s="777" t="str">
        <f>vlookup(F283,'2) Tracker'!$A$3:$R$504,18,false)</f>
        <v>Gyxis 03-04 Feb Enterprise</v>
      </c>
      <c r="AB283" s="777" t="str">
        <f>vlookup(F283,'2) Tracker'!$A$3:$Q$504,17,false)</f>
        <v/>
      </c>
      <c r="AC283" s="778"/>
      <c r="AD283" s="778">
        <f>VLOOKUP(F283,'2) Tracker'!$A$2:$BO$980,37,FALSE)</f>
        <v>46196</v>
      </c>
      <c r="AE283" s="778">
        <f>VLOOKUP(F283,'2) Tracker'!$A$2:$BO$980,40,FALSE)</f>
        <v>46203</v>
      </c>
      <c r="AF283" s="778" t="str">
        <f>VLOOKUP(F283,'2) Tracker'!$A$2:$BO$980,67,FALSE)</f>
        <v/>
      </c>
      <c r="AG283" s="778">
        <f>VLOOKUP(F283,'2) Tracker'!$A$2:$BO$980,34,FALSE)</f>
        <v>46183</v>
      </c>
      <c r="AH283" s="778" t="str">
        <f>VLOOKUP(F283,'2) Tracker'!$A$2:$BN$980,66,FALSE)</f>
        <v/>
      </c>
      <c r="AI283" s="778">
        <f>VLOOKUP(F283,'2) Tracker'!$A$2:$BO$980,56,FALSE)</f>
        <v>46174</v>
      </c>
      <c r="AJ283" s="778">
        <f>VLOOKUP(F283,'2) Tracker'!$A$2:$BO$980,52,FALSE)</f>
        <v>46173.25</v>
      </c>
      <c r="AK283" s="778">
        <f>VLOOKUP(F283,'2) Tracker'!$A$2:$AQ$980,43,FALSE)</f>
        <v>46195</v>
      </c>
      <c r="AL283" s="778">
        <f>VLOOKUP(F283,'2) Tracker'!$A$2:$BH$980,46,FALSE())</f>
        <v>46201</v>
      </c>
      <c r="AM283" s="778">
        <f>VLOOKUP(F283,'2) Tracker'!$A$2:$BO$980,65,FALSE())</f>
        <v>46186</v>
      </c>
      <c r="AN283" s="778">
        <f>VLOOKUP(F283,'2) Tracker'!$A$2:$BK$980,63,FALSE())</f>
        <v>46211</v>
      </c>
      <c r="AO283" s="778">
        <f>VLOOKUP(F283,'2) Tracker'!$A$2:$BF$980,58,FALSE())</f>
        <v>46176</v>
      </c>
      <c r="AP283" s="52"/>
      <c r="AQ283" s="52"/>
      <c r="AR283" s="52"/>
      <c r="AS283" s="52"/>
      <c r="AT283" s="52"/>
      <c r="AU283" s="52"/>
      <c r="AV283" s="51"/>
      <c r="AW283" s="52"/>
      <c r="AX283" s="52"/>
      <c r="AY283" s="52"/>
      <c r="AZ283" s="787"/>
      <c r="BA283" s="786"/>
      <c r="BB283" s="787"/>
      <c r="BC283" s="798"/>
      <c r="BD283" s="787"/>
      <c r="BE283" s="52"/>
      <c r="BF283" s="52"/>
      <c r="BG283" s="787"/>
      <c r="BH283" s="787"/>
      <c r="BI283" s="787"/>
      <c r="BJ283" s="787"/>
    </row>
    <row r="284">
      <c r="B284" s="765" t="str">
        <f>vlookup(F284,'2) Tracker'!$A$3:$O$410,5,false)</f>
        <v/>
      </c>
      <c r="C284" s="765" t="str">
        <f>vlookup(F284,'2) Tracker'!$A$3:$O$410,4,false)</f>
        <v/>
      </c>
      <c r="D284" s="734"/>
      <c r="E284" s="734" t="str">
        <f>vlookup(F284,'2) Tracker'!$A$3:$O$406,15,false)</f>
        <v/>
      </c>
      <c r="F284" s="740" t="s">
        <v>415</v>
      </c>
      <c r="G284" s="789">
        <f>VLOOKUP(F284,'2) Tracker'!$A$2:$BO$360,2,FALSE)</f>
        <v>2022</v>
      </c>
      <c r="H284" s="768">
        <f>VLOOKUP(F284,'2) Tracker'!$A$2:$BO$360,3,FALSE)</f>
        <v>91000</v>
      </c>
      <c r="I284" s="777" t="str">
        <f>VLOOKUP(F284,'2) Tracker'!$A$2:$BO$360,9,FALSE)</f>
        <v>Trafigura</v>
      </c>
      <c r="J284" s="770" t="str">
        <f>VLOOKUP(F284,'2) Tracker'!$A$2:$BO$360,12,FALSE)</f>
        <v>Port Louis laden</v>
      </c>
      <c r="K284" s="771">
        <f t="shared" si="207"/>
        <v>46196</v>
      </c>
      <c r="L284" s="771">
        <f t="shared" ref="L284:O284" si="332">AE284</f>
        <v>46204</v>
      </c>
      <c r="M284" s="771" t="str">
        <f t="shared" si="332"/>
        <v/>
      </c>
      <c r="N284" s="771">
        <f t="shared" si="332"/>
        <v>46176</v>
      </c>
      <c r="O284" s="772" t="str">
        <f t="shared" si="332"/>
        <v/>
      </c>
      <c r="P284" s="773" t="str">
        <f>iferror(if(vlookup(F284,'Voyage days'!$M$808:$N$819,2,false),"GOA",""),"")</f>
        <v/>
      </c>
      <c r="Q284" s="771">
        <f t="shared" si="81"/>
        <v>46151</v>
      </c>
      <c r="R284" s="771">
        <f t="shared" si="83"/>
        <v>46203</v>
      </c>
      <c r="S284" s="774">
        <f t="shared" si="5"/>
        <v>46195</v>
      </c>
      <c r="T284" s="771">
        <f t="shared" si="6"/>
        <v>46187</v>
      </c>
      <c r="U284" s="771">
        <f t="shared" si="84"/>
        <v>46168</v>
      </c>
      <c r="V284" s="771"/>
      <c r="W284" s="771">
        <f t="shared" si="85"/>
        <v>46170</v>
      </c>
      <c r="X284" s="775" t="str">
        <f t="shared" si="9"/>
        <v/>
      </c>
      <c r="Y284" s="776"/>
      <c r="Z284" s="777" t="str">
        <f>vlookup(F284,'2) Tracker'!$A$3:$Q$504,16,false)</f>
        <v>ETA Port Louis 08 May</v>
      </c>
      <c r="AA284" s="777" t="str">
        <f>vlookup(F284,'2) Tracker'!$A$3:$R$504,18,false)</f>
        <v>Trafigura 09-10 Apr Enterprise</v>
      </c>
      <c r="AB284" s="777" t="str">
        <f>vlookup(F284,'2) Tracker'!$A$3:$Q$504,17,false)</f>
        <v/>
      </c>
      <c r="AC284" s="778"/>
      <c r="AD284" s="778">
        <f>VLOOKUP(F284,'2) Tracker'!$A$2:$BO$980,37,FALSE)</f>
        <v>46196</v>
      </c>
      <c r="AE284" s="778">
        <f>VLOOKUP(F284,'2) Tracker'!$A$2:$BO$980,40,FALSE)</f>
        <v>46204</v>
      </c>
      <c r="AF284" s="778" t="str">
        <f>VLOOKUP(F284,'2) Tracker'!$A$2:$BO$980,67,FALSE)</f>
        <v/>
      </c>
      <c r="AG284" s="778">
        <f>VLOOKUP(F284,'2) Tracker'!$A$2:$BO$980,34,FALSE)</f>
        <v>46176</v>
      </c>
      <c r="AH284" s="778" t="str">
        <f>VLOOKUP(F284,'2) Tracker'!$A$2:$BN$980,66,FALSE)</f>
        <v/>
      </c>
      <c r="AI284" s="778">
        <f>VLOOKUP(F284,'2) Tracker'!$A$2:$BO$980,56,FALSE)</f>
        <v>46168</v>
      </c>
      <c r="AJ284" s="778">
        <f>VLOOKUP(F284,'2) Tracker'!$A$2:$BO$980,52,FALSE)</f>
        <v>46170</v>
      </c>
      <c r="AK284" s="778">
        <f>VLOOKUP(F284,'2) Tracker'!$A$2:$AQ$980,43,FALSE)</f>
        <v>46187</v>
      </c>
      <c r="AL284" s="778">
        <f>VLOOKUP(F284,'2) Tracker'!$A$2:$BH$980,46,FALSE())</f>
        <v>46195</v>
      </c>
      <c r="AM284" s="778">
        <f>VLOOKUP(F284,'2) Tracker'!$A$2:$BO$980,65,FALSE())</f>
        <v>46151</v>
      </c>
      <c r="AN284" s="778">
        <f>VLOOKUP(F284,'2) Tracker'!$A$2:$BK$980,63,FALSE())</f>
        <v>46203</v>
      </c>
      <c r="AO284" s="778" t="str">
        <f>VLOOKUP(F284,'2) Tracker'!$A$2:$BF$980,58,FALSE())</f>
        <v/>
      </c>
      <c r="AP284" s="52"/>
      <c r="AQ284" s="52"/>
      <c r="AR284" s="52"/>
      <c r="AS284" s="52"/>
      <c r="AT284" s="52"/>
      <c r="AU284" s="52"/>
      <c r="AV284" s="52"/>
      <c r="AW284" s="52"/>
      <c r="AX284" s="52"/>
      <c r="AY284" s="52"/>
      <c r="AZ284" s="734"/>
      <c r="BA284" s="740"/>
      <c r="BB284" s="734"/>
      <c r="BC284" s="740"/>
      <c r="BD284" s="734"/>
      <c r="BE284" s="52"/>
      <c r="BF284" s="52"/>
      <c r="BG284" s="734"/>
      <c r="BH284" s="734"/>
      <c r="BI284" s="734"/>
      <c r="BJ284" s="734"/>
    </row>
    <row r="285">
      <c r="B285" s="765" t="str">
        <f>vlookup(F285,'2) Tracker'!$A$3:$O$410,5,false)</f>
        <v>C</v>
      </c>
      <c r="C285" s="765" t="str">
        <f>vlookup(F285,'2) Tracker'!$A$3:$O$410,4,false)</f>
        <v/>
      </c>
      <c r="D285" s="734"/>
      <c r="E285" s="734" t="str">
        <f>vlookup(F285,'2) Tracker'!$A$3:$O$406,15,false)</f>
        <v/>
      </c>
      <c r="F285" s="822" t="s">
        <v>482</v>
      </c>
      <c r="G285" s="783">
        <f>VLOOKUP(F285,'2) Tracker'!$A$2:$BO$360,2,FALSE)</f>
        <v>42439</v>
      </c>
      <c r="H285" s="768">
        <f>VLOOKUP(F285,'2) Tracker'!$A$2:$BO$360,3,FALSE)</f>
        <v>84000</v>
      </c>
      <c r="I285" s="777" t="str">
        <f>VLOOKUP(F285,'2) Tracker'!$A$2:$BO$360,9,FALSE)</f>
        <v>OE</v>
      </c>
      <c r="J285" s="770" t="str">
        <f>VLOOKUP(F285,'2) Tracker'!$A$2:$BO$360,12,FALSE)</f>
        <v>Singapore laden</v>
      </c>
      <c r="K285" s="774">
        <f t="shared" si="207"/>
        <v>46197</v>
      </c>
      <c r="L285" s="774">
        <f t="shared" ref="L285:O285" si="333">AE285</f>
        <v>46198</v>
      </c>
      <c r="M285" s="771" t="str">
        <f t="shared" si="333"/>
        <v/>
      </c>
      <c r="N285" s="771">
        <f t="shared" si="333"/>
        <v>46174</v>
      </c>
      <c r="O285" s="772" t="str">
        <f t="shared" si="333"/>
        <v/>
      </c>
      <c r="P285" s="773" t="str">
        <f>iferror(if(vlookup(F285,'Voyage days'!$M$808:$N$819,2,false),"GOA",""),"")</f>
        <v/>
      </c>
      <c r="Q285" s="771">
        <f t="shared" si="81"/>
        <v>46179</v>
      </c>
      <c r="R285" s="771">
        <f t="shared" si="83"/>
        <v>46202</v>
      </c>
      <c r="S285" s="774">
        <f t="shared" si="5"/>
        <v>46192</v>
      </c>
      <c r="T285" s="771">
        <f t="shared" si="6"/>
        <v>46184</v>
      </c>
      <c r="U285" s="771">
        <f t="shared" si="84"/>
        <v>46167</v>
      </c>
      <c r="V285" s="771"/>
      <c r="W285" s="771">
        <f t="shared" si="85"/>
        <v>46169</v>
      </c>
      <c r="X285" s="775" t="str">
        <f t="shared" si="9"/>
        <v/>
      </c>
      <c r="Y285" s="784"/>
      <c r="Z285" s="777" t="str">
        <f>vlookup(F285,'2) Tracker'!$A$3:$Q$504,16,false)</f>
        <v>via Cape, pending disport</v>
      </c>
      <c r="AA285" s="777" t="str">
        <f>vlookup(F285,'2) Tracker'!$A$3:$R$504,18,false)</f>
        <v>OE 31 Mar Enterprise</v>
      </c>
      <c r="AB285" s="777" t="str">
        <f>vlookup(F285,'2) Tracker'!$A$3:$Q$504,17,false)</f>
        <v/>
      </c>
      <c r="AC285" s="778"/>
      <c r="AD285" s="778">
        <f>VLOOKUP(F285,'2) Tracker'!$A$2:$BO$980,37,FALSE)</f>
        <v>46197</v>
      </c>
      <c r="AE285" s="778">
        <f>VLOOKUP(F285,'2) Tracker'!$A$2:$BO$980,40,FALSE)</f>
        <v>46198</v>
      </c>
      <c r="AF285" s="778" t="str">
        <f>VLOOKUP(F285,'2) Tracker'!$A$2:$BO$980,67,FALSE)</f>
        <v/>
      </c>
      <c r="AG285" s="778">
        <f>VLOOKUP(F285,'2) Tracker'!$A$2:$BO$980,34,FALSE)</f>
        <v>46174</v>
      </c>
      <c r="AH285" s="778" t="str">
        <f>VLOOKUP(F285,'2) Tracker'!$A$2:$BN$980,66,FALSE)</f>
        <v/>
      </c>
      <c r="AI285" s="778">
        <f>VLOOKUP(F285,'2) Tracker'!$A$2:$BO$980,56,FALSE)</f>
        <v>46167</v>
      </c>
      <c r="AJ285" s="778">
        <f>VLOOKUP(F285,'2) Tracker'!$A$2:$BO$980,52,FALSE)</f>
        <v>46169</v>
      </c>
      <c r="AK285" s="778">
        <f>VLOOKUP(F285,'2) Tracker'!$A$2:$AQ$980,43,FALSE)</f>
        <v>46184</v>
      </c>
      <c r="AL285" s="778">
        <f>VLOOKUP(F285,'2) Tracker'!$A$2:$BH$980,46,FALSE())</f>
        <v>46192</v>
      </c>
      <c r="AM285" s="778">
        <f>VLOOKUP(F285,'2) Tracker'!$A$2:$BO$980,65,FALSE())</f>
        <v>46179</v>
      </c>
      <c r="AN285" s="778">
        <f>VLOOKUP(F285,'2) Tracker'!$A$2:$BK$980,63,FALSE())</f>
        <v>46202</v>
      </c>
      <c r="AO285" s="778" t="str">
        <f>VLOOKUP(F285,'2) Tracker'!$A$2:$BF$980,58,FALSE())</f>
        <v/>
      </c>
      <c r="AP285" s="52"/>
      <c r="AQ285" s="52"/>
      <c r="AR285" s="52"/>
      <c r="AS285" s="52"/>
      <c r="AT285" s="52"/>
      <c r="AU285" s="52"/>
      <c r="AV285" s="52"/>
      <c r="AW285" s="52"/>
      <c r="AX285" s="52"/>
      <c r="AY285" s="52"/>
      <c r="AZ285" s="734"/>
      <c r="BA285" s="740"/>
      <c r="BB285" s="734"/>
      <c r="BC285" s="740"/>
      <c r="BD285" s="734"/>
      <c r="BE285" s="52"/>
      <c r="BF285" s="52"/>
      <c r="BG285" s="734"/>
      <c r="BH285" s="734"/>
      <c r="BI285" s="734"/>
      <c r="BJ285" s="734"/>
    </row>
    <row r="286">
      <c r="B286" s="765" t="str">
        <f>vlookup(F286,'2) Tracker'!$A$3:$O$410,5,false)</f>
        <v>C</v>
      </c>
      <c r="C286" s="765" t="str">
        <f>vlookup(F286,'2) Tracker'!$A$3:$O$410,4,false)</f>
        <v/>
      </c>
      <c r="D286" s="732" t="s">
        <v>0</v>
      </c>
      <c r="E286" s="734" t="str">
        <f>vlookup(F286,'2) Tracker'!$A$3:$O$406,15,false)</f>
        <v/>
      </c>
      <c r="F286" s="788" t="s">
        <v>324</v>
      </c>
      <c r="G286" s="789">
        <f>VLOOKUP(F286,'2) Tracker'!$A$2:$BO$360,2,FALSE)</f>
        <v>2024</v>
      </c>
      <c r="H286" s="768">
        <f>VLOOKUP(F286,'2) Tracker'!$A$2:$BO$360,3,FALSE)</f>
        <v>93000</v>
      </c>
      <c r="I286" s="777" t="str">
        <f>VLOOKUP(F286,'2) Tracker'!$A$2:$BO$360,9,FALSE)</f>
        <v>Sinogas</v>
      </c>
      <c r="J286" s="770" t="str">
        <f>VLOOKUP(F286,'2) Tracker'!$A$2:$BO$360,12,FALSE)</f>
        <v>Vietnam</v>
      </c>
      <c r="K286" s="771">
        <f t="shared" si="207"/>
        <v>46197</v>
      </c>
      <c r="L286" s="771">
        <f t="shared" ref="L286:O286" si="334">AE286</f>
        <v>46199</v>
      </c>
      <c r="M286" s="771" t="str">
        <f t="shared" si="334"/>
        <v/>
      </c>
      <c r="N286" s="771">
        <f t="shared" si="334"/>
        <v>46173</v>
      </c>
      <c r="O286" s="772" t="str">
        <f t="shared" si="334"/>
        <v/>
      </c>
      <c r="P286" s="800" t="str">
        <f>iferror(if(vlookup(F286,'Voyage days'!$M$808:$N$828,2,false),"GOA",""),"")</f>
        <v>GOA</v>
      </c>
      <c r="Q286" s="801">
        <f t="shared" si="81"/>
        <v>46175</v>
      </c>
      <c r="R286" s="774">
        <f t="shared" si="83"/>
        <v>46200</v>
      </c>
      <c r="S286" s="774">
        <f t="shared" si="5"/>
        <v>46190</v>
      </c>
      <c r="T286" s="771">
        <f t="shared" si="6"/>
        <v>46184</v>
      </c>
      <c r="U286" s="774">
        <f t="shared" si="84"/>
        <v>46163</v>
      </c>
      <c r="V286" s="771"/>
      <c r="W286" s="771">
        <f t="shared" si="85"/>
        <v>46166.25</v>
      </c>
      <c r="X286" s="775" t="str">
        <f t="shared" si="9"/>
        <v/>
      </c>
      <c r="Y286" s="776"/>
      <c r="Z286" s="777" t="str">
        <f>vlookup(F286,'2) Tracker'!$A$3:$Q$504,16,false)</f>
        <v>ETA Vung Tau 16 May</v>
      </c>
      <c r="AA286" s="777" t="str">
        <f>vlookup(F286,'2) Tracker'!$A$3:$R$504,18,false)</f>
        <v>BWPS 01-02 Apr Enterprise</v>
      </c>
      <c r="AB286" s="777" t="str">
        <f>vlookup(F286,'2) Tracker'!$A$3:$Q$504,17,false)</f>
        <v/>
      </c>
      <c r="AC286" s="778"/>
      <c r="AD286" s="778">
        <f>VLOOKUP(F286,'2) Tracker'!$A$2:$BO$980,37,FALSE)</f>
        <v>46197</v>
      </c>
      <c r="AE286" s="778">
        <f>VLOOKUP(F286,'2) Tracker'!$A$2:$BO$980,40,FALSE)</f>
        <v>46199</v>
      </c>
      <c r="AF286" s="778" t="str">
        <f>VLOOKUP(F286,'2) Tracker'!$A$2:$BO$980,67,FALSE)</f>
        <v/>
      </c>
      <c r="AG286" s="778">
        <f>VLOOKUP(F286,'2) Tracker'!$A$2:$BO$980,34,FALSE)</f>
        <v>46173</v>
      </c>
      <c r="AH286" s="778" t="str">
        <f>VLOOKUP(F286,'2) Tracker'!$A$2:$BN$980,66,FALSE)</f>
        <v/>
      </c>
      <c r="AI286" s="778">
        <f>VLOOKUP(F286,'2) Tracker'!$A$2:$BO$980,56,FALSE)</f>
        <v>46163</v>
      </c>
      <c r="AJ286" s="778">
        <f>VLOOKUP(F286,'2) Tracker'!$A$2:$BO$980,52,FALSE)</f>
        <v>46166.25</v>
      </c>
      <c r="AK286" s="778">
        <f>VLOOKUP(F286,'2) Tracker'!$A$2:$AQ$980,43,FALSE)</f>
        <v>46184</v>
      </c>
      <c r="AL286" s="778">
        <f>VLOOKUP(F286,'2) Tracker'!$A$2:$BH$980,46,FALSE())</f>
        <v>46190</v>
      </c>
      <c r="AM286" s="778">
        <f>VLOOKUP(F286,'2) Tracker'!$A$2:$BO$980,65,FALSE())</f>
        <v>46175</v>
      </c>
      <c r="AN286" s="778">
        <f>VLOOKUP(F286,'2) Tracker'!$A$2:$BK$980,63,FALSE())</f>
        <v>46200</v>
      </c>
      <c r="AO286" s="778" t="str">
        <f>VLOOKUP(F286,'2) Tracker'!$A$2:$BF$980,58,FALSE())</f>
        <v/>
      </c>
      <c r="AP286" s="52"/>
      <c r="AQ286" s="52"/>
      <c r="AR286" s="52"/>
      <c r="AS286" s="52"/>
      <c r="AT286" s="52"/>
      <c r="AU286" s="52"/>
      <c r="AV286" s="52"/>
      <c r="AW286" s="52"/>
      <c r="AX286" s="52"/>
      <c r="AY286" s="52"/>
      <c r="AZ286" s="734"/>
      <c r="BA286" s="786" t="str">
        <f>vlookup(AZ286,'Iran, FS'!$A$1:$B$318,2, false)</f>
        <v>#N/A</v>
      </c>
      <c r="BB286" s="787" t="str">
        <f>vlookup(AZ286,'1) Kpler'!$E$2:$F$500,2,false)</f>
        <v>#N/A</v>
      </c>
      <c r="BC286" s="740"/>
      <c r="BD286" s="734"/>
      <c r="BE286" s="52"/>
      <c r="BF286" s="52"/>
      <c r="BG286" s="734"/>
      <c r="BH286" s="734"/>
      <c r="BI286" s="734"/>
      <c r="BJ286" s="734"/>
    </row>
    <row r="287">
      <c r="B287" s="765" t="str">
        <f>vlookup(F287,'2) Tracker'!$A$3:$O$410,5,false)</f>
        <v/>
      </c>
      <c r="C287" s="765"/>
      <c r="D287" s="734"/>
      <c r="E287" s="734" t="str">
        <f>vlookup(F287,'2) Tracker'!$A$3:$O$406,15,false)</f>
        <v/>
      </c>
      <c r="F287" s="788" t="s">
        <v>515</v>
      </c>
      <c r="G287" s="792">
        <f>VLOOKUP(F287,'2) Tracker'!$A$2:$BO$360,2,FALSE)</f>
        <v>36465</v>
      </c>
      <c r="H287" s="768">
        <f>VLOOKUP(F287,'2) Tracker'!$A$2:$BO$360,3,FALSE)</f>
        <v>84000</v>
      </c>
      <c r="I287" s="769" t="str">
        <f>VLOOKUP(F287,'2) Tracker'!$A$2:$BO$360,9,FALSE)</f>
        <v>Sonatrach</v>
      </c>
      <c r="J287" s="770" t="str">
        <f>VLOOKUP(F287,'2) Tracker'!$A$2:$BO$360,12,FALSE)</f>
        <v>Indo</v>
      </c>
      <c r="K287" s="771">
        <f t="shared" si="207"/>
        <v>46198</v>
      </c>
      <c r="L287" s="771">
        <f t="shared" ref="L287:O287" si="335">AE287</f>
        <v>46196</v>
      </c>
      <c r="M287" s="771" t="str">
        <f t="shared" si="335"/>
        <v/>
      </c>
      <c r="N287" s="771">
        <f t="shared" si="335"/>
        <v>46170</v>
      </c>
      <c r="O287" s="772" t="str">
        <f t="shared" si="335"/>
        <v/>
      </c>
      <c r="P287" s="773" t="str">
        <f>iferror(if(vlookup(F287,'Voyage days'!$M$808:$N$819,2,false),"GOA",""),"")</f>
        <v/>
      </c>
      <c r="Q287" s="771">
        <f t="shared" si="81"/>
        <v>46173</v>
      </c>
      <c r="R287" s="771">
        <f t="shared" si="83"/>
        <v>46196</v>
      </c>
      <c r="S287" s="774">
        <f t="shared" si="5"/>
        <v>46188</v>
      </c>
      <c r="T287" s="771">
        <f t="shared" si="6"/>
        <v>46179</v>
      </c>
      <c r="U287" s="771">
        <f t="shared" si="84"/>
        <v>46163</v>
      </c>
      <c r="V287" s="771"/>
      <c r="W287" s="771">
        <f t="shared" si="85"/>
        <v>46163</v>
      </c>
      <c r="X287" s="775" t="str">
        <f t="shared" si="9"/>
        <v/>
      </c>
      <c r="Y287" s="776"/>
      <c r="Z287" s="777" t="str">
        <f>vlookup(F287,'2) Tracker'!$A$3:$Q$504,16,false)</f>
        <v>ETA Merak 14 May</v>
      </c>
      <c r="AA287" s="777" t="str">
        <f>vlookup(F287,'2) Tracker'!$A$3:$R$504,18,false)</f>
        <v>Sonatrach 07 Apr Bethioua</v>
      </c>
      <c r="AB287" s="777" t="str">
        <f>vlookup(F287,'2) Tracker'!$A$3:$Q$504,17,false)</f>
        <v/>
      </c>
      <c r="AC287" s="778"/>
      <c r="AD287" s="778">
        <f>VLOOKUP(F287,'2) Tracker'!$A$2:$BO$980,37,FALSE)</f>
        <v>46198</v>
      </c>
      <c r="AE287" s="778">
        <f>VLOOKUP(F287,'2) Tracker'!$A$2:$BO$980,40,FALSE)</f>
        <v>46196</v>
      </c>
      <c r="AF287" s="778" t="str">
        <f>VLOOKUP(F287,'2) Tracker'!$A$2:$BO$980,67,FALSE)</f>
        <v/>
      </c>
      <c r="AG287" s="778">
        <f>VLOOKUP(F287,'2) Tracker'!$A$2:$BO$980,34,FALSE)</f>
        <v>46170</v>
      </c>
      <c r="AH287" s="778" t="str">
        <f>VLOOKUP(F287,'2) Tracker'!$A$2:$BN$980,66,FALSE)</f>
        <v/>
      </c>
      <c r="AI287" s="778">
        <f>VLOOKUP(F287,'2) Tracker'!$A$2:$BO$980,56,FALSE)</f>
        <v>46163</v>
      </c>
      <c r="AJ287" s="778">
        <f>VLOOKUP(F287,'2) Tracker'!$A$2:$BO$980,52,FALSE)</f>
        <v>46163</v>
      </c>
      <c r="AK287" s="778">
        <f>VLOOKUP(F287,'2) Tracker'!$A$2:$AQ$980,43,FALSE)</f>
        <v>46179</v>
      </c>
      <c r="AL287" s="778">
        <f>VLOOKUP(F287,'2) Tracker'!$A$2:$BH$980,46,FALSE())</f>
        <v>46188</v>
      </c>
      <c r="AM287" s="778">
        <f>VLOOKUP(F287,'2) Tracker'!$A$2:$BO$980,65,FALSE())</f>
        <v>46173</v>
      </c>
      <c r="AN287" s="778">
        <f>VLOOKUP(F287,'2) Tracker'!$A$2:$BK$980,63,FALSE())</f>
        <v>46196</v>
      </c>
      <c r="AO287" s="778" t="str">
        <f>VLOOKUP(F287,'2) Tracker'!$A$2:$BF$980,58,FALSE())</f>
        <v/>
      </c>
      <c r="AP287" s="52"/>
      <c r="AQ287" s="52"/>
      <c r="AR287" s="52"/>
      <c r="AS287" s="52"/>
      <c r="AT287" s="52"/>
      <c r="AU287" s="52"/>
      <c r="AV287" s="52"/>
      <c r="AW287" s="52"/>
      <c r="AX287" s="52"/>
      <c r="AY287" s="52"/>
      <c r="AZ287" s="734"/>
      <c r="BA287" s="740"/>
      <c r="BB287" s="734"/>
      <c r="BC287" s="740"/>
      <c r="BD287" s="734"/>
      <c r="BE287" s="52"/>
      <c r="BF287" s="52"/>
      <c r="BG287" s="734"/>
      <c r="BH287" s="734"/>
      <c r="BI287" s="734"/>
      <c r="BJ287" s="734"/>
    </row>
    <row r="288">
      <c r="B288" s="765"/>
      <c r="C288" s="765" t="str">
        <f>vlookup(F288,'2) Tracker'!$A$3:$O$410,4,false)</f>
        <v/>
      </c>
      <c r="D288" s="734"/>
      <c r="E288" s="734" t="str">
        <f>vlookup(F288,'2) Tracker'!$A$3:$O$406,15,false)</f>
        <v/>
      </c>
      <c r="F288" s="788" t="s">
        <v>543</v>
      </c>
      <c r="G288" s="767">
        <f>VLOOKUP(F288,'2) Tracker'!$A$2:$BO$360,2,FALSE)</f>
        <v>2008</v>
      </c>
      <c r="H288" s="768">
        <f>VLOOKUP(F288,'2) Tracker'!$A$2:$BO$360,3,FALSE)</f>
        <v>80100</v>
      </c>
      <c r="I288" s="777" t="str">
        <f>VLOOKUP(F288,'2) Tracker'!$A$2:$BO$360,9,FALSE)</f>
        <v>Gyxis</v>
      </c>
      <c r="J288" s="770" t="str">
        <f>VLOOKUP(F288,'2) Tracker'!$A$2:$BO$360,12,FALSE)</f>
        <v>Indo</v>
      </c>
      <c r="K288" s="771">
        <f t="shared" si="207"/>
        <v>46198</v>
      </c>
      <c r="L288" s="771">
        <f t="shared" ref="L288:O288" si="336">AE288</f>
        <v>46196</v>
      </c>
      <c r="M288" s="771" t="str">
        <f t="shared" si="336"/>
        <v/>
      </c>
      <c r="N288" s="771">
        <f t="shared" si="336"/>
        <v>46170</v>
      </c>
      <c r="O288" s="772" t="str">
        <f t="shared" si="336"/>
        <v/>
      </c>
      <c r="P288" s="773" t="str">
        <f>iferror(if(vlookup(F288,'Voyage days'!$M$808:$N$819,2,false),"GOA",""),"")</f>
        <v/>
      </c>
      <c r="Q288" s="771">
        <f t="shared" si="81"/>
        <v>46173</v>
      </c>
      <c r="R288" s="771">
        <f t="shared" si="83"/>
        <v>46196</v>
      </c>
      <c r="S288" s="774">
        <f t="shared" si="5"/>
        <v>46188</v>
      </c>
      <c r="T288" s="771">
        <f t="shared" si="6"/>
        <v>46179</v>
      </c>
      <c r="U288" s="771">
        <f t="shared" si="84"/>
        <v>46163</v>
      </c>
      <c r="V288" s="771"/>
      <c r="W288" s="771">
        <f t="shared" si="85"/>
        <v>46163</v>
      </c>
      <c r="X288" s="775" t="str">
        <f t="shared" si="9"/>
        <v/>
      </c>
      <c r="Y288" s="784" t="s">
        <v>1544</v>
      </c>
      <c r="Z288" s="777" t="str">
        <f>vlookup(F288,'2) Tracker'!$A$3:$Q$504,16,false)</f>
        <v>ETA Merak 17 May, Darwin candidate?</v>
      </c>
      <c r="AA288" s="777" t="str">
        <f>vlookup(F288,'2) Tracker'!$A$3:$R$504,18,false)</f>
        <v>BGN 03-04 Apr Nederland</v>
      </c>
      <c r="AB288" s="777" t="str">
        <f>vlookup(F288,'2) Tracker'!$A$3:$Q$504,17,false)</f>
        <v/>
      </c>
      <c r="AC288" s="778"/>
      <c r="AD288" s="778">
        <f>VLOOKUP(F288,'2) Tracker'!$A$2:$BO$980,37,FALSE)</f>
        <v>46198</v>
      </c>
      <c r="AE288" s="778">
        <f>VLOOKUP(F288,'2) Tracker'!$A$2:$BO$980,40,FALSE)</f>
        <v>46196</v>
      </c>
      <c r="AF288" s="778" t="str">
        <f>VLOOKUP(F288,'2) Tracker'!$A$2:$BO$980,67,FALSE)</f>
        <v/>
      </c>
      <c r="AG288" s="778">
        <f>VLOOKUP(F288,'2) Tracker'!$A$2:$BO$980,34,FALSE)</f>
        <v>46170</v>
      </c>
      <c r="AH288" s="778" t="str">
        <f>VLOOKUP(F288,'2) Tracker'!$A$2:$BN$980,66,FALSE)</f>
        <v/>
      </c>
      <c r="AI288" s="778">
        <f>VLOOKUP(F288,'2) Tracker'!$A$2:$BO$980,56,FALSE)</f>
        <v>46163</v>
      </c>
      <c r="AJ288" s="778">
        <f>VLOOKUP(F288,'2) Tracker'!$A$2:$BO$980,52,FALSE)</f>
        <v>46163</v>
      </c>
      <c r="AK288" s="778">
        <f>VLOOKUP(F288,'2) Tracker'!$A$2:$AQ$980,43,FALSE)</f>
        <v>46179</v>
      </c>
      <c r="AL288" s="778">
        <f>VLOOKUP(F288,'2) Tracker'!$A$2:$BH$980,46,FALSE())</f>
        <v>46188</v>
      </c>
      <c r="AM288" s="778">
        <f>VLOOKUP(F288,'2) Tracker'!$A$2:$BO$980,65,FALSE())</f>
        <v>46173</v>
      </c>
      <c r="AN288" s="778">
        <f>VLOOKUP(F288,'2) Tracker'!$A$2:$BK$980,63,FALSE())</f>
        <v>46196</v>
      </c>
      <c r="AO288" s="778" t="str">
        <f>VLOOKUP(F288,'2) Tracker'!$A$2:$BF$980,58,FALSE())</f>
        <v/>
      </c>
      <c r="AP288" s="52"/>
      <c r="AQ288" s="52"/>
      <c r="AR288" s="52"/>
      <c r="AS288" s="52"/>
      <c r="AT288" s="52"/>
      <c r="AU288" s="52"/>
      <c r="AV288" s="52"/>
      <c r="AW288" s="52"/>
      <c r="AX288" s="52"/>
      <c r="AY288" s="52"/>
      <c r="AZ288" s="734"/>
      <c r="BA288" s="740"/>
      <c r="BB288" s="734"/>
      <c r="BC288" s="740"/>
      <c r="BD288" s="734"/>
      <c r="BE288" s="52"/>
      <c r="BF288" s="52"/>
      <c r="BG288" s="734"/>
      <c r="BH288" s="734"/>
      <c r="BI288" s="734"/>
      <c r="BJ288" s="734"/>
    </row>
    <row r="289">
      <c r="B289" s="765" t="str">
        <f>vlookup(F289,'2) Tracker'!$A$3:$O$410,5,false)</f>
        <v>C</v>
      </c>
      <c r="C289" s="765" t="str">
        <f>vlookup(F289,'2) Tracker'!$A$3:$O$410,4,false)</f>
        <v/>
      </c>
      <c r="D289" s="734"/>
      <c r="E289" s="734" t="str">
        <f>vlookup(F289,'2) Tracker'!$A$3:$O$406,15,false)</f>
        <v/>
      </c>
      <c r="F289" s="788" t="s">
        <v>300</v>
      </c>
      <c r="G289" s="789">
        <f>VLOOKUP(F289,'2) Tracker'!$A$2:$BO$360,2,FALSE)</f>
        <v>2016</v>
      </c>
      <c r="H289" s="768">
        <f>VLOOKUP(F289,'2) Tracker'!$A$2:$BO$360,3,FALSE)</f>
        <v>83000</v>
      </c>
      <c r="I289" s="777" t="str">
        <f>VLOOKUP(F289,'2) Tracker'!$A$2:$BO$360,9,FALSE)</f>
        <v>Sinogas</v>
      </c>
      <c r="J289" s="770" t="str">
        <f>VLOOKUP(F289,'2) Tracker'!$A$2:$BO$360,12,FALSE)</f>
        <v>Vietnam</v>
      </c>
      <c r="K289" s="771">
        <f t="shared" si="207"/>
        <v>46200</v>
      </c>
      <c r="L289" s="771">
        <f t="shared" ref="L289:O289" si="337">AE289</f>
        <v>46202</v>
      </c>
      <c r="M289" s="771" t="str">
        <f t="shared" si="337"/>
        <v/>
      </c>
      <c r="N289" s="772">
        <f t="shared" si="337"/>
        <v>46176</v>
      </c>
      <c r="O289" s="772" t="str">
        <f t="shared" si="337"/>
        <v/>
      </c>
      <c r="P289" s="800" t="str">
        <f>iferror(if(vlookup(F289,'Voyage days'!$M$808:$N$828,2,false),"GOA",""),"")</f>
        <v>GOA</v>
      </c>
      <c r="Q289" s="801">
        <f t="shared" si="81"/>
        <v>46178</v>
      </c>
      <c r="R289" s="771">
        <f t="shared" si="83"/>
        <v>46203</v>
      </c>
      <c r="S289" s="774">
        <f t="shared" si="5"/>
        <v>46193</v>
      </c>
      <c r="T289" s="771">
        <f t="shared" si="6"/>
        <v>46187</v>
      </c>
      <c r="U289" s="771">
        <f t="shared" si="84"/>
        <v>46166</v>
      </c>
      <c r="V289" s="771"/>
      <c r="W289" s="771">
        <f t="shared" si="85"/>
        <v>46169.25</v>
      </c>
      <c r="X289" s="775" t="str">
        <f t="shared" si="9"/>
        <v/>
      </c>
      <c r="Y289" s="784"/>
      <c r="Z289" s="777" t="str">
        <f>vlookup(F289,'2) Tracker'!$A$3:$Q$504,16,false)</f>
        <v>ETA Vung Tau 19 May</v>
      </c>
      <c r="AA289" s="777" t="str">
        <f>vlookup(F289,'2) Tracker'!$A$3:$R$504,18,false)</f>
        <v>BP 07-08 Apr Nederland</v>
      </c>
      <c r="AB289" s="777" t="str">
        <f>vlookup(F289,'2) Tracker'!$A$3:$Q$504,17,false)</f>
        <v/>
      </c>
      <c r="AC289" s="778"/>
      <c r="AD289" s="778">
        <f>VLOOKUP(F289,'2) Tracker'!$A$2:$BO$980,37,FALSE)</f>
        <v>46200</v>
      </c>
      <c r="AE289" s="778">
        <f>VLOOKUP(F289,'2) Tracker'!$A$2:$BO$980,40,FALSE)</f>
        <v>46202</v>
      </c>
      <c r="AF289" s="778" t="str">
        <f>VLOOKUP(F289,'2) Tracker'!$A$2:$BO$980,67,FALSE)</f>
        <v/>
      </c>
      <c r="AG289" s="778">
        <f>VLOOKUP(F289,'2) Tracker'!$A$2:$BO$980,34,FALSE)</f>
        <v>46176</v>
      </c>
      <c r="AH289" s="778" t="str">
        <f>VLOOKUP(F289,'2) Tracker'!$A$2:$BN$980,66,FALSE)</f>
        <v/>
      </c>
      <c r="AI289" s="778">
        <f>VLOOKUP(F289,'2) Tracker'!$A$2:$BO$980,56,FALSE)</f>
        <v>46166</v>
      </c>
      <c r="AJ289" s="778">
        <f>VLOOKUP(F289,'2) Tracker'!$A$2:$BO$980,52,FALSE)</f>
        <v>46169.25</v>
      </c>
      <c r="AK289" s="778">
        <f>VLOOKUP(F289,'2) Tracker'!$A$2:$AQ$980,43,FALSE)</f>
        <v>46187</v>
      </c>
      <c r="AL289" s="778">
        <f>VLOOKUP(F289,'2) Tracker'!$A$2:$BH$980,46,FALSE())</f>
        <v>46193</v>
      </c>
      <c r="AM289" s="778">
        <f>VLOOKUP(F289,'2) Tracker'!$A$2:$BO$980,65,FALSE())</f>
        <v>46178</v>
      </c>
      <c r="AN289" s="778">
        <f>VLOOKUP(F289,'2) Tracker'!$A$2:$BK$980,63,FALSE())</f>
        <v>46203</v>
      </c>
      <c r="AO289" s="778" t="str">
        <f>VLOOKUP(F289,'2) Tracker'!$A$2:$BF$980,58,FALSE())</f>
        <v/>
      </c>
      <c r="AP289" s="52"/>
      <c r="AQ289" s="52"/>
      <c r="AR289" s="52"/>
      <c r="AS289" s="52"/>
      <c r="AT289" s="52"/>
      <c r="AU289" s="52"/>
      <c r="AV289" s="52"/>
      <c r="AW289" s="52"/>
      <c r="AX289" s="52"/>
      <c r="AY289" s="52"/>
      <c r="AZ289" s="734"/>
      <c r="BA289" s="740"/>
      <c r="BB289" s="734"/>
      <c r="BC289" s="740"/>
      <c r="BD289" s="734"/>
      <c r="BE289" s="52"/>
      <c r="BF289" s="52"/>
      <c r="BG289" s="734"/>
      <c r="BH289" s="734"/>
      <c r="BI289" s="734"/>
      <c r="BJ289" s="734"/>
    </row>
    <row r="290">
      <c r="B290" s="765" t="str">
        <f>vlookup(F290,'2) Tracker'!$A$3:$O$410,5,false)</f>
        <v>C</v>
      </c>
      <c r="C290" s="765" t="str">
        <f>vlookup(F290,'2) Tracker'!$A$3:$O$410,4,false)</f>
        <v/>
      </c>
      <c r="D290" s="734"/>
      <c r="E290" s="734" t="str">
        <f>vlookup(F290,'2) Tracker'!$A$3:$O$406,15,false)</f>
        <v/>
      </c>
      <c r="F290" s="788" t="s">
        <v>275</v>
      </c>
      <c r="G290" s="783">
        <f>VLOOKUP(F290,'2) Tracker'!$A$2:$BO$360,2,FALSE)</f>
        <v>41645</v>
      </c>
      <c r="H290" s="768">
        <f>VLOOKUP(F290,'2) Tracker'!$A$2:$BO$360,3,FALSE)</f>
        <v>84000</v>
      </c>
      <c r="I290" s="777" t="str">
        <f>VLOOKUP(F290,'2) Tracker'!$A$2:$BO$360,9,FALSE)</f>
        <v>E1</v>
      </c>
      <c r="J290" s="770" t="str">
        <f>VLOOKUP(F290,'2) Tracker'!$A$2:$BO$360,12,FALSE)</f>
        <v>Indo</v>
      </c>
      <c r="K290" s="771">
        <f t="shared" si="207"/>
        <v>46201</v>
      </c>
      <c r="L290" s="774">
        <f t="shared" ref="L290:O290" si="338">AE290</f>
        <v>46199</v>
      </c>
      <c r="M290" s="771" t="str">
        <f t="shared" si="338"/>
        <v/>
      </c>
      <c r="N290" s="771">
        <f t="shared" si="338"/>
        <v>46173</v>
      </c>
      <c r="O290" s="772" t="str">
        <f t="shared" si="338"/>
        <v/>
      </c>
      <c r="P290" s="773" t="str">
        <f>iferror(if(vlookup(F290,'Voyage days'!$M$808:$N$819,2,false),"GOA",""),"")</f>
        <v/>
      </c>
      <c r="Q290" s="771">
        <f t="shared" si="81"/>
        <v>46176</v>
      </c>
      <c r="R290" s="774">
        <f t="shared" si="83"/>
        <v>46199</v>
      </c>
      <c r="S290" s="774">
        <f t="shared" si="5"/>
        <v>46191</v>
      </c>
      <c r="T290" s="771">
        <f t="shared" si="6"/>
        <v>46182</v>
      </c>
      <c r="U290" s="774">
        <f t="shared" si="84"/>
        <v>46166</v>
      </c>
      <c r="V290" s="771"/>
      <c r="W290" s="771">
        <f t="shared" si="85"/>
        <v>46166</v>
      </c>
      <c r="X290" s="775" t="str">
        <f t="shared" si="9"/>
        <v/>
      </c>
      <c r="Y290" s="770"/>
      <c r="Z290" s="777" t="str">
        <f>vlookup(F290,'2) Tracker'!$A$3:$Q$504,16,false)</f>
        <v>ETA Tg Sekong 16 May</v>
      </c>
      <c r="AA290" s="777" t="str">
        <f>vlookup(F290,'2) Tracker'!$A$3:$R$504,18,false)</f>
        <v>BGN 05-06 Apr Freeport</v>
      </c>
      <c r="AB290" s="777" t="str">
        <f>vlookup(F290,'2) Tracker'!$A$3:$Q$504,17,false)</f>
        <v/>
      </c>
      <c r="AC290" s="778"/>
      <c r="AD290" s="778">
        <f>VLOOKUP(F290,'2) Tracker'!$A$2:$BO$980,37,FALSE)</f>
        <v>46201</v>
      </c>
      <c r="AE290" s="778">
        <f>VLOOKUP(F290,'2) Tracker'!$A$2:$BO$980,40,FALSE)</f>
        <v>46199</v>
      </c>
      <c r="AF290" s="778" t="str">
        <f>VLOOKUP(F290,'2) Tracker'!$A$2:$BO$980,67,FALSE)</f>
        <v/>
      </c>
      <c r="AG290" s="778">
        <f>VLOOKUP(F290,'2) Tracker'!$A$2:$BO$980,34,FALSE)</f>
        <v>46173</v>
      </c>
      <c r="AH290" s="778" t="str">
        <f>VLOOKUP(F290,'2) Tracker'!$A$2:$BN$980,66,FALSE)</f>
        <v/>
      </c>
      <c r="AI290" s="778">
        <f>VLOOKUP(F290,'2) Tracker'!$A$2:$BO$980,56,FALSE)</f>
        <v>46166</v>
      </c>
      <c r="AJ290" s="778">
        <f>VLOOKUP(F290,'2) Tracker'!$A$2:$BO$980,52,FALSE)</f>
        <v>46166</v>
      </c>
      <c r="AK290" s="778">
        <f>VLOOKUP(F290,'2) Tracker'!$A$2:$AQ$980,43,FALSE)</f>
        <v>46182</v>
      </c>
      <c r="AL290" s="778">
        <f>VLOOKUP(F290,'2) Tracker'!$A$2:$BH$980,46,FALSE())</f>
        <v>46191</v>
      </c>
      <c r="AM290" s="778">
        <f>VLOOKUP(F290,'2) Tracker'!$A$2:$BO$980,65,FALSE())</f>
        <v>46176</v>
      </c>
      <c r="AN290" s="778">
        <f>VLOOKUP(F290,'2) Tracker'!$A$2:$BK$980,63,FALSE())</f>
        <v>46199</v>
      </c>
      <c r="AO290" s="778" t="str">
        <f>VLOOKUP(F290,'2) Tracker'!$A$2:$BF$980,58,FALSE())</f>
        <v/>
      </c>
      <c r="AP290" s="52"/>
      <c r="AQ290" s="52"/>
      <c r="AR290" s="837"/>
      <c r="AS290" s="837"/>
      <c r="AT290" s="837"/>
      <c r="AU290" s="837"/>
      <c r="AV290" s="837"/>
      <c r="AW290" s="837"/>
      <c r="AX290" s="837"/>
      <c r="AY290" s="837"/>
      <c r="AZ290" s="848"/>
      <c r="BA290" s="849"/>
      <c r="BB290" s="848"/>
      <c r="BC290" s="848" t="s">
        <v>1596</v>
      </c>
      <c r="BD290" s="850" t="s">
        <v>1597</v>
      </c>
      <c r="BE290" s="837"/>
      <c r="BF290" s="837" t="s">
        <v>1598</v>
      </c>
      <c r="BG290" s="851" t="s">
        <v>1599</v>
      </c>
      <c r="BH290" s="788" t="s">
        <v>1600</v>
      </c>
      <c r="BI290" s="787"/>
      <c r="BJ290" s="787"/>
    </row>
    <row r="291">
      <c r="B291" s="765" t="str">
        <f>vlookup(F291,'2) Tracker'!$A$3:$O$410,5,false)</f>
        <v/>
      </c>
      <c r="C291" s="765" t="str">
        <f>vlookup(F291,'2) Tracker'!$A$3:$O$410,4,false)</f>
        <v/>
      </c>
      <c r="D291" s="734"/>
      <c r="E291" s="734" t="str">
        <f>vlookup(F291,'2) Tracker'!$A$3:$O$406,15,false)</f>
        <v/>
      </c>
      <c r="F291" s="788" t="s">
        <v>564</v>
      </c>
      <c r="G291" s="783">
        <f>VLOOKUP(F291,'2) Tracker'!$A$2:$BO$360,2,FALSE)</f>
        <v>39630</v>
      </c>
      <c r="H291" s="768">
        <f>VLOOKUP(F291,'2) Tracker'!$A$2:$BO$360,3,FALSE)</f>
        <v>82182</v>
      </c>
      <c r="I291" s="777" t="str">
        <f>VLOOKUP(F291,'2) Tracker'!$A$2:$BO$360,9,FALSE)</f>
        <v>Neptune</v>
      </c>
      <c r="J291" s="770" t="str">
        <f>VLOOKUP(F291,'2) Tracker'!$A$2:$BO$360,12,FALSE)</f>
        <v>Indo</v>
      </c>
      <c r="K291" s="771">
        <f t="shared" si="207"/>
        <v>46203</v>
      </c>
      <c r="L291" s="771">
        <f t="shared" ref="L291:O291" si="339">AE291</f>
        <v>46201</v>
      </c>
      <c r="M291" s="771" t="str">
        <f t="shared" si="339"/>
        <v/>
      </c>
      <c r="N291" s="772">
        <f t="shared" si="339"/>
        <v>46175</v>
      </c>
      <c r="O291" s="772" t="str">
        <f t="shared" si="339"/>
        <v/>
      </c>
      <c r="P291" s="773" t="str">
        <f>iferror(if(vlookup(F291,'Voyage days'!$M$808:$N$819,2,false),"GOA",""),"")</f>
        <v/>
      </c>
      <c r="Q291" s="771">
        <f t="shared" si="81"/>
        <v>46178</v>
      </c>
      <c r="R291" s="774">
        <f t="shared" si="83"/>
        <v>46201</v>
      </c>
      <c r="S291" s="774">
        <f t="shared" si="5"/>
        <v>46193</v>
      </c>
      <c r="T291" s="771">
        <f t="shared" si="6"/>
        <v>46184</v>
      </c>
      <c r="U291" s="774">
        <f t="shared" si="84"/>
        <v>46168</v>
      </c>
      <c r="V291" s="771"/>
      <c r="W291" s="771">
        <f t="shared" si="85"/>
        <v>46168</v>
      </c>
      <c r="X291" s="775" t="str">
        <f t="shared" si="9"/>
        <v/>
      </c>
      <c r="Y291" s="784" t="s">
        <v>1544</v>
      </c>
      <c r="Z291" s="777" t="str">
        <f>vlookup(F291,'2) Tracker'!$A$3:$Q$504,16,false)</f>
        <v>ETA Tg Sekong 19 May</v>
      </c>
      <c r="AA291" s="777" t="str">
        <f>vlookup(F291,'2) Tracker'!$A$3:$R$504,18,false)</f>
        <v>Pertamina 08-09 Apr Freeport</v>
      </c>
      <c r="AB291" s="777" t="str">
        <f>vlookup(F291,'2) Tracker'!$A$3:$Q$504,17,false)</f>
        <v/>
      </c>
      <c r="AC291" s="778"/>
      <c r="AD291" s="778">
        <f>VLOOKUP(F291,'2) Tracker'!$A$2:$BO$980,37,FALSE)</f>
        <v>46203</v>
      </c>
      <c r="AE291" s="778">
        <f>VLOOKUP(F291,'2) Tracker'!$A$2:$BO$980,40,FALSE)</f>
        <v>46201</v>
      </c>
      <c r="AF291" s="778" t="str">
        <f>VLOOKUP(F291,'2) Tracker'!$A$2:$BO$980,67,FALSE)</f>
        <v/>
      </c>
      <c r="AG291" s="778">
        <f>VLOOKUP(F291,'2) Tracker'!$A$2:$BO$980,34,FALSE)</f>
        <v>46175</v>
      </c>
      <c r="AH291" s="778" t="str">
        <f>VLOOKUP(F291,'2) Tracker'!$A$2:$BN$980,66,FALSE)</f>
        <v/>
      </c>
      <c r="AI291" s="778">
        <f>VLOOKUP(F291,'2) Tracker'!$A$2:$BO$980,56,FALSE)</f>
        <v>46168</v>
      </c>
      <c r="AJ291" s="778">
        <f>VLOOKUP(F291,'2) Tracker'!$A$2:$BO$980,52,FALSE)</f>
        <v>46168</v>
      </c>
      <c r="AK291" s="778">
        <f>VLOOKUP(F291,'2) Tracker'!$A$2:$AQ$980,43,FALSE)</f>
        <v>46184</v>
      </c>
      <c r="AL291" s="778">
        <f>VLOOKUP(F291,'2) Tracker'!$A$2:$BH$980,46,FALSE())</f>
        <v>46193</v>
      </c>
      <c r="AM291" s="778">
        <f>VLOOKUP(F291,'2) Tracker'!$A$2:$BO$980,65,FALSE())</f>
        <v>46178</v>
      </c>
      <c r="AN291" s="778">
        <f>VLOOKUP(F291,'2) Tracker'!$A$2:$BK$980,63,FALSE())</f>
        <v>46201</v>
      </c>
      <c r="AO291" s="778" t="str">
        <f>VLOOKUP(F291,'2) Tracker'!$A$2:$BF$980,58,FALSE())</f>
        <v/>
      </c>
      <c r="AP291" s="52"/>
      <c r="AQ291" s="52"/>
      <c r="AR291" s="52"/>
      <c r="AS291" s="52"/>
      <c r="AT291" s="52"/>
      <c r="AU291" s="52"/>
      <c r="AV291" s="52"/>
      <c r="AW291" s="52"/>
      <c r="AX291" s="52"/>
      <c r="AY291" s="52"/>
      <c r="AZ291" s="734"/>
      <c r="BA291" s="786" t="str">
        <f>vlookup(AZ291,'Iran, FS'!$A$1:$B$318,2, false)</f>
        <v>#N/A</v>
      </c>
      <c r="BB291" s="787" t="str">
        <f>vlookup(AZ291,'1) Kpler'!$E$2:$F$500,2,false)</f>
        <v>#N/A</v>
      </c>
      <c r="BC291" s="740"/>
      <c r="BD291" s="734"/>
      <c r="BE291" s="52"/>
      <c r="BF291" s="52"/>
      <c r="BG291" s="734"/>
      <c r="BH291" s="734"/>
      <c r="BI291" s="734"/>
      <c r="BJ291" s="734"/>
    </row>
    <row r="292">
      <c r="B292" s="765" t="str">
        <f>vlookup(F292,'2) Tracker'!$A$3:$O$410,5,false)</f>
        <v/>
      </c>
      <c r="C292" s="765" t="str">
        <f>vlookup(F292,'2) Tracker'!$A$3:$O$410,4,false)</f>
        <v/>
      </c>
      <c r="D292" s="734"/>
      <c r="E292" s="734" t="str">
        <f>vlookup(F292,'2) Tracker'!$A$3:$O$406,15,false)</f>
        <v/>
      </c>
      <c r="F292" s="788" t="s">
        <v>583</v>
      </c>
      <c r="G292" s="783">
        <f>VLOOKUP(F292,'2) Tracker'!$A$2:$BO$360,2,FALSE)</f>
        <v>40040</v>
      </c>
      <c r="H292" s="768">
        <f>VLOOKUP(F292,'2) Tracker'!$A$2:$BO$360,3,FALSE)</f>
        <v>78000</v>
      </c>
      <c r="I292" s="770" t="str">
        <f>VLOOKUP(F292,'2) Tracker'!$A$2:$BO$360,9,FALSE)</f>
        <v>Vitol</v>
      </c>
      <c r="J292" s="770" t="str">
        <f>VLOOKUP(F292,'2) Tracker'!$A$2:$BO$360,12,FALSE)</f>
        <v>Indo</v>
      </c>
      <c r="K292" s="771">
        <f t="shared" si="207"/>
        <v>46204</v>
      </c>
      <c r="L292" s="771">
        <f t="shared" ref="L292:O292" si="340">AE292</f>
        <v>46202</v>
      </c>
      <c r="M292" s="771" t="str">
        <f t="shared" si="340"/>
        <v/>
      </c>
      <c r="N292" s="771">
        <f t="shared" si="340"/>
        <v>46176</v>
      </c>
      <c r="O292" s="772" t="str">
        <f t="shared" si="340"/>
        <v/>
      </c>
      <c r="P292" s="773" t="str">
        <f>iferror(if(vlookup(F292,'Voyage days'!$M$808:$N$819,2,false),"GOA",""),"")</f>
        <v/>
      </c>
      <c r="Q292" s="771">
        <f t="shared" si="81"/>
        <v>46179</v>
      </c>
      <c r="R292" s="771">
        <f t="shared" si="83"/>
        <v>46202</v>
      </c>
      <c r="S292" s="774">
        <f t="shared" si="5"/>
        <v>46194</v>
      </c>
      <c r="T292" s="771">
        <f t="shared" si="6"/>
        <v>46185</v>
      </c>
      <c r="U292" s="771">
        <f t="shared" si="84"/>
        <v>46169</v>
      </c>
      <c r="V292" s="745" t="s">
        <v>1523</v>
      </c>
      <c r="W292" s="771">
        <f t="shared" si="85"/>
        <v>46169</v>
      </c>
      <c r="X292" s="775" t="str">
        <f t="shared" si="9"/>
        <v/>
      </c>
      <c r="Y292" s="852"/>
      <c r="Z292" s="777" t="str">
        <f>vlookup(F292,'2) Tracker'!$A$3:$Q$504,16,false)</f>
        <v>ETA Merak 20 May</v>
      </c>
      <c r="AA292" s="777" t="str">
        <f>vlookup(F292,'2) Tracker'!$A$3:$R$504,18,false)</f>
        <v>Vitol 07-08 Apr Nederland</v>
      </c>
      <c r="AB292" s="777" t="str">
        <f>vlookup(F292,'2) Tracker'!$A$3:$Q$504,17,false)</f>
        <v/>
      </c>
      <c r="AC292" s="778"/>
      <c r="AD292" s="778">
        <f>VLOOKUP(F292,'2) Tracker'!$A$2:$BO$980,37,FALSE)</f>
        <v>46204</v>
      </c>
      <c r="AE292" s="778">
        <f>VLOOKUP(F292,'2) Tracker'!$A$2:$BO$980,40,FALSE)</f>
        <v>46202</v>
      </c>
      <c r="AF292" s="778" t="str">
        <f>VLOOKUP(F292,'2) Tracker'!$A$2:$BO$980,67,FALSE)</f>
        <v/>
      </c>
      <c r="AG292" s="778">
        <f>VLOOKUP(F292,'2) Tracker'!$A$2:$BO$980,34,FALSE)</f>
        <v>46176</v>
      </c>
      <c r="AH292" s="778" t="str">
        <f>VLOOKUP(F292,'2) Tracker'!$A$2:$BN$980,66,FALSE)</f>
        <v/>
      </c>
      <c r="AI292" s="778">
        <f>VLOOKUP(F292,'2) Tracker'!$A$2:$BO$980,56,FALSE)</f>
        <v>46169</v>
      </c>
      <c r="AJ292" s="778">
        <f>VLOOKUP(F292,'2) Tracker'!$A$2:$BO$980,52,FALSE)</f>
        <v>46169</v>
      </c>
      <c r="AK292" s="778">
        <f>VLOOKUP(F292,'2) Tracker'!$A$2:$AQ$980,43,FALSE)</f>
        <v>46185</v>
      </c>
      <c r="AL292" s="778">
        <f>VLOOKUP(F292,'2) Tracker'!$A$2:$BH$980,46,FALSE())</f>
        <v>46194</v>
      </c>
      <c r="AM292" s="778">
        <f>VLOOKUP(F292,'2) Tracker'!$A$2:$BO$980,65,FALSE())</f>
        <v>46179</v>
      </c>
      <c r="AN292" s="778">
        <f>VLOOKUP(F292,'2) Tracker'!$A$2:$BK$980,63,FALSE())</f>
        <v>46202</v>
      </c>
      <c r="AO292" s="778" t="str">
        <f>VLOOKUP(F292,'2) Tracker'!$A$2:$BF$980,58,FALSE())</f>
        <v/>
      </c>
      <c r="AP292" s="52"/>
      <c r="AQ292" s="52"/>
      <c r="AR292" s="52"/>
      <c r="AS292" s="52"/>
      <c r="AT292" s="52"/>
      <c r="AU292" s="52"/>
      <c r="AV292" s="52"/>
      <c r="AW292" s="52"/>
      <c r="AX292" s="52"/>
      <c r="AY292" s="52"/>
      <c r="AZ292" s="734"/>
      <c r="BA292" s="740"/>
      <c r="BB292" s="734"/>
      <c r="BC292" s="740"/>
      <c r="BD292" s="734"/>
      <c r="BE292" s="52"/>
      <c r="BF292" s="52"/>
      <c r="BG292" s="734"/>
      <c r="BH292" s="734"/>
      <c r="BI292" s="734"/>
      <c r="BJ292" s="734"/>
    </row>
    <row r="293">
      <c r="B293" s="765" t="str">
        <f>vlookup(F293,'2) Tracker'!$A$3:$O$410,5,false)</f>
        <v>C</v>
      </c>
      <c r="C293" s="765" t="str">
        <f>vlookup(F293,'2) Tracker'!$A$3:$O$410,4,false)</f>
        <v/>
      </c>
      <c r="D293" s="734"/>
      <c r="E293" s="734" t="str">
        <f>vlookup(F293,'2) Tracker'!$A$3:$O$406,15,false)</f>
        <v/>
      </c>
      <c r="F293" s="740" t="s">
        <v>473</v>
      </c>
      <c r="G293" s="783">
        <f>VLOOKUP(F293,'2) Tracker'!$A$2:$BO$360,2,FALSE)</f>
        <v>42979</v>
      </c>
      <c r="H293" s="768">
        <f>VLOOKUP(F293,'2) Tracker'!$A$2:$BO$360,3,FALSE)</f>
        <v>84099</v>
      </c>
      <c r="I293" s="770" t="str">
        <f>VLOOKUP(F293,'2) Tracker'!$A$2:$BO$360,9,FALSE)</f>
        <v>BW</v>
      </c>
      <c r="J293" s="770" t="str">
        <f>VLOOKUP(F293,'2) Tracker'!$A$2:$BO$360,12,FALSE)</f>
        <v>Singapore laden</v>
      </c>
      <c r="K293" s="771">
        <f t="shared" si="207"/>
        <v>46208</v>
      </c>
      <c r="L293" s="771">
        <f t="shared" ref="L293:O293" si="341">AE293</f>
        <v>46209</v>
      </c>
      <c r="M293" s="771" t="str">
        <f t="shared" si="341"/>
        <v/>
      </c>
      <c r="N293" s="771">
        <f t="shared" si="341"/>
        <v>46185</v>
      </c>
      <c r="O293" s="772" t="str">
        <f t="shared" si="341"/>
        <v/>
      </c>
      <c r="P293" s="773" t="str">
        <f>iferror(if(vlookup(F293,'Voyage days'!$M$808:$N$819,2,false),"GOA",""),"")</f>
        <v/>
      </c>
      <c r="Q293" s="771">
        <f t="shared" si="81"/>
        <v>46190</v>
      </c>
      <c r="R293" s="771">
        <f t="shared" si="83"/>
        <v>46213</v>
      </c>
      <c r="S293" s="774">
        <f t="shared" si="5"/>
        <v>46203</v>
      </c>
      <c r="T293" s="771">
        <f t="shared" si="6"/>
        <v>46195</v>
      </c>
      <c r="U293" s="771">
        <f t="shared" si="84"/>
        <v>46178</v>
      </c>
      <c r="V293" s="771"/>
      <c r="W293" s="771">
        <f t="shared" si="85"/>
        <v>46180</v>
      </c>
      <c r="X293" s="775" t="str">
        <f t="shared" si="9"/>
        <v/>
      </c>
      <c r="Y293" s="776"/>
      <c r="Z293" s="777" t="str">
        <f>vlookup(F293,'2) Tracker'!$A$3:$Q$504,16,false)</f>
        <v>ETA Singapore 28 May</v>
      </c>
      <c r="AA293" s="777" t="str">
        <f>vlookup(F293,'2) Tracker'!$A$3:$R$504,18,false)</f>
        <v>Vitol 11-12 Apr Enterprise</v>
      </c>
      <c r="AB293" s="777" t="str">
        <f>vlookup(F293,'2) Tracker'!$A$3:$Q$504,17,false)</f>
        <v/>
      </c>
      <c r="AC293" s="778"/>
      <c r="AD293" s="778">
        <f>VLOOKUP(F293,'2) Tracker'!$A$2:$BO$980,37,FALSE)</f>
        <v>46208</v>
      </c>
      <c r="AE293" s="778">
        <f>VLOOKUP(F293,'2) Tracker'!$A$2:$BO$980,40,FALSE)</f>
        <v>46209</v>
      </c>
      <c r="AF293" s="778" t="str">
        <f>VLOOKUP(F293,'2) Tracker'!$A$2:$BO$980,67,FALSE)</f>
        <v/>
      </c>
      <c r="AG293" s="778">
        <f>VLOOKUP(F293,'2) Tracker'!$A$2:$BO$980,34,FALSE)</f>
        <v>46185</v>
      </c>
      <c r="AH293" s="778" t="str">
        <f>VLOOKUP(F293,'2) Tracker'!$A$2:$BN$980,66,FALSE)</f>
        <v/>
      </c>
      <c r="AI293" s="778">
        <f>VLOOKUP(F293,'2) Tracker'!$A$2:$BO$980,56,FALSE)</f>
        <v>46178</v>
      </c>
      <c r="AJ293" s="778">
        <f>VLOOKUP(F293,'2) Tracker'!$A$2:$BO$980,52,FALSE)</f>
        <v>46180</v>
      </c>
      <c r="AK293" s="778">
        <f>VLOOKUP(F293,'2) Tracker'!$A$2:$AQ$980,43,FALSE)</f>
        <v>46195</v>
      </c>
      <c r="AL293" s="778">
        <f>VLOOKUP(F293,'2) Tracker'!$A$2:$BH$980,46,FALSE())</f>
        <v>46203</v>
      </c>
      <c r="AM293" s="778">
        <f>VLOOKUP(F293,'2) Tracker'!$A$2:$BO$980,65,FALSE())</f>
        <v>46190</v>
      </c>
      <c r="AN293" s="778">
        <f>VLOOKUP(F293,'2) Tracker'!$A$2:$BK$980,63,FALSE())</f>
        <v>46213</v>
      </c>
      <c r="AO293" s="778" t="str">
        <f>VLOOKUP(F293,'2) Tracker'!$A$2:$BF$980,58,FALSE())</f>
        <v/>
      </c>
      <c r="AP293" s="52"/>
      <c r="AQ293" s="52"/>
      <c r="AR293" s="52"/>
      <c r="AS293" s="52"/>
      <c r="AT293" s="52"/>
      <c r="AU293" s="52"/>
      <c r="AV293" s="52"/>
      <c r="AW293" s="52"/>
      <c r="AX293" s="52"/>
      <c r="AY293" s="52"/>
      <c r="AZ293" s="787"/>
      <c r="BA293" s="786" t="str">
        <f>vlookup(AZ293,'Iran, FS'!$A$1:$B$318,2, false)</f>
        <v>#N/A</v>
      </c>
      <c r="BB293" s="787" t="str">
        <f>vlookup(AZ293,'1) Kpler'!$E$2:$F$500,2,false)</f>
        <v>#N/A</v>
      </c>
      <c r="BC293" s="788"/>
      <c r="BD293" s="787"/>
      <c r="BE293" s="52"/>
      <c r="BF293" s="52"/>
      <c r="BG293" s="787"/>
      <c r="BH293" s="787"/>
      <c r="BI293" s="787"/>
      <c r="BJ293" s="787"/>
    </row>
    <row r="294">
      <c r="B294" s="765" t="str">
        <f>vlookup(F294,'2) Tracker'!$A$3:$O$410,5,false)</f>
        <v/>
      </c>
      <c r="C294" s="765" t="str">
        <f>vlookup(F294,'2) Tracker'!$A$3:$O$410,4,false)</f>
        <v/>
      </c>
      <c r="D294" s="734"/>
      <c r="E294" s="734" t="str">
        <f>vlookup(F294,'2) Tracker'!$A$3:$O$406,15,false)</f>
        <v/>
      </c>
      <c r="F294" s="766" t="s">
        <v>488</v>
      </c>
      <c r="G294" s="783">
        <f>VLOOKUP(F294,'2) Tracker'!$A$2:$BO$360,2,FALSE)</f>
        <v>41773</v>
      </c>
      <c r="H294" s="768">
        <f>VLOOKUP(F294,'2) Tracker'!$A$2:$BO$360,3,FALSE)</f>
        <v>84000</v>
      </c>
      <c r="I294" s="769" t="str">
        <f>VLOOKUP(F294,'2) Tracker'!$A$2:$BO$360,9,FALSE)</f>
        <v>Pertamina</v>
      </c>
      <c r="J294" s="770" t="str">
        <f>VLOOKUP(F294,'2) Tracker'!$A$2:$BO$360,12,FALSE)</f>
        <v>Indo</v>
      </c>
      <c r="K294" s="774">
        <f t="shared" si="207"/>
        <v>46213</v>
      </c>
      <c r="L294" s="774">
        <f t="shared" ref="L294:O294" si="342">AE294</f>
        <v>46211</v>
      </c>
      <c r="M294" s="771" t="str">
        <f t="shared" si="342"/>
        <v/>
      </c>
      <c r="N294" s="771">
        <f t="shared" si="342"/>
        <v>46185</v>
      </c>
      <c r="O294" s="772" t="str">
        <f t="shared" si="342"/>
        <v/>
      </c>
      <c r="P294" s="773" t="str">
        <f>iferror(if(vlookup(F294,'Voyage days'!$M$808:$N$819,2,false),"GOA",""),"")</f>
        <v/>
      </c>
      <c r="Q294" s="771">
        <f t="shared" si="81"/>
        <v>46187</v>
      </c>
      <c r="R294" s="774">
        <f t="shared" si="83"/>
        <v>46211</v>
      </c>
      <c r="S294" s="774">
        <f t="shared" si="5"/>
        <v>46203</v>
      </c>
      <c r="T294" s="774">
        <f t="shared" si="6"/>
        <v>46194</v>
      </c>
      <c r="U294" s="774">
        <f t="shared" si="84"/>
        <v>46177</v>
      </c>
      <c r="V294" s="771"/>
      <c r="W294" s="771">
        <f t="shared" si="85"/>
        <v>46178</v>
      </c>
      <c r="X294" s="775" t="str">
        <f t="shared" si="9"/>
        <v/>
      </c>
      <c r="Y294" s="776"/>
      <c r="Z294" s="777" t="str">
        <f>vlookup(F294,'2) Tracker'!$A$3:$Q$504,16,false)</f>
        <v>ETA Freeport 17 Apr</v>
      </c>
      <c r="AA294" s="777" t="str">
        <f>vlookup(F294,'2) Tracker'!$A$3:$R$504,18,false)</f>
        <v>Perta 18-19 Apr Freeport</v>
      </c>
      <c r="AB294" s="777" t="str">
        <f>vlookup(F294,'2) Tracker'!$A$3:$Q$504,17,false)</f>
        <v/>
      </c>
      <c r="AC294" s="778"/>
      <c r="AD294" s="778">
        <f>VLOOKUP(F294,'2) Tracker'!$A$2:$BO$980,37,FALSE)</f>
        <v>46213</v>
      </c>
      <c r="AE294" s="778">
        <f>VLOOKUP(F294,'2) Tracker'!$A$2:$BO$980,40,FALSE)</f>
        <v>46211</v>
      </c>
      <c r="AF294" s="778" t="str">
        <f>VLOOKUP(F294,'2) Tracker'!$A$2:$BO$980,67,FALSE)</f>
        <v/>
      </c>
      <c r="AG294" s="778">
        <f>VLOOKUP(F294,'2) Tracker'!$A$2:$BO$980,34,FALSE)</f>
        <v>46185</v>
      </c>
      <c r="AH294" s="778" t="str">
        <f>VLOOKUP(F294,'2) Tracker'!$A$2:$BN$980,66,FALSE)</f>
        <v/>
      </c>
      <c r="AI294" s="778">
        <f>VLOOKUP(F294,'2) Tracker'!$A$2:$BO$980,56,FALSE)</f>
        <v>46177</v>
      </c>
      <c r="AJ294" s="778">
        <f>VLOOKUP(F294,'2) Tracker'!$A$2:$BO$980,52,FALSE)</f>
        <v>46178</v>
      </c>
      <c r="AK294" s="778">
        <f>VLOOKUP(F294,'2) Tracker'!$A$2:$AQ$980,43,FALSE)</f>
        <v>46194</v>
      </c>
      <c r="AL294" s="778">
        <f>VLOOKUP(F294,'2) Tracker'!$A$2:$BH$980,46,FALSE())</f>
        <v>46203</v>
      </c>
      <c r="AM294" s="778">
        <f>VLOOKUP(F294,'2) Tracker'!$A$2:$BO$980,65,FALSE())</f>
        <v>46187</v>
      </c>
      <c r="AN294" s="778">
        <f>VLOOKUP(F294,'2) Tracker'!$A$2:$BK$980,63,FALSE())</f>
        <v>46211</v>
      </c>
      <c r="AO294" s="778" t="str">
        <f>VLOOKUP(F294,'2) Tracker'!$A$2:$BF$980,58,FALSE())</f>
        <v/>
      </c>
      <c r="AP294" s="818"/>
      <c r="AQ294" s="818"/>
      <c r="AR294" s="813"/>
      <c r="AS294" s="813"/>
      <c r="AT294" s="813"/>
      <c r="AU294" s="813"/>
      <c r="AV294" s="813"/>
      <c r="AW294" s="813"/>
      <c r="AX294" s="853" t="s">
        <v>1601</v>
      </c>
      <c r="AY294" s="854"/>
      <c r="AZ294" s="855" t="s">
        <v>1602</v>
      </c>
      <c r="BA294" s="770"/>
      <c r="BB294" s="789"/>
      <c r="BC294" s="789" t="str">
        <f>IFERROR(__xludf.DUMMYFUNCTION("FILTER('2) Tracker'!A7:A481, ISNA(MATCH(TRIM(LOWER(CLEAN('2) Tracker'!A7:A481))), TRIM(LOWER(CLEAN($F$4:$F$455))), 0)))"),"#N/A")</f>
        <v>#N/A</v>
      </c>
      <c r="BD294" s="856" t="str">
        <f>IFERROR(__xludf.DUMMYFUNCTION("UNIQUE(FILTER(F:F, COUNTIF(F:F, F:F) &gt; 1))"),"Rarely relet")</f>
        <v>Rarely relet</v>
      </c>
      <c r="BE294" s="813"/>
      <c r="BF294" s="813" t="s">
        <v>1080</v>
      </c>
      <c r="BG294" s="803" t="s">
        <v>1326</v>
      </c>
      <c r="BH294" s="788" t="s">
        <v>761</v>
      </c>
      <c r="BI294" s="787"/>
      <c r="BJ294" s="787"/>
    </row>
    <row r="295">
      <c r="B295" s="765" t="str">
        <f>vlookup(F295,'2) Tracker'!$A$3:$O$410,5,false)</f>
        <v/>
      </c>
      <c r="C295" s="765" t="str">
        <f>vlookup(F295,'2) Tracker'!$A$3:$O$410,4,false)</f>
        <v/>
      </c>
      <c r="D295" s="734"/>
      <c r="E295" s="734" t="str">
        <f>vlookup(F295,'2) Tracker'!$A$3:$O$406,15,false)</f>
        <v/>
      </c>
      <c r="F295" s="766" t="s">
        <v>575</v>
      </c>
      <c r="G295" s="783">
        <f>VLOOKUP(F295,'2) Tracker'!$A$2:$BO$360,2,FALSE)</f>
        <v>39539</v>
      </c>
      <c r="H295" s="768">
        <f>VLOOKUP(F295,'2) Tracker'!$A$2:$BO$360,3,FALSE)</f>
        <v>82500</v>
      </c>
      <c r="I295" s="769" t="str">
        <f>VLOOKUP(F295,'2) Tracker'!$A$2:$BO$360,9,FALSE)</f>
        <v>Pertamina</v>
      </c>
      <c r="J295" s="770" t="str">
        <f>VLOOKUP(F295,'2) Tracker'!$A$2:$BO$360,12,FALSE)</f>
        <v>Indo</v>
      </c>
      <c r="K295" s="771">
        <f t="shared" si="207"/>
        <v>46232</v>
      </c>
      <c r="L295" s="771">
        <f t="shared" ref="L295:O295" si="343">AE295</f>
        <v>46230</v>
      </c>
      <c r="M295" s="771" t="str">
        <f t="shared" si="343"/>
        <v/>
      </c>
      <c r="N295" s="771">
        <f t="shared" si="343"/>
        <v>46204</v>
      </c>
      <c r="O295" s="772" t="str">
        <f t="shared" si="343"/>
        <v/>
      </c>
      <c r="P295" s="773" t="str">
        <f>iferror(if(vlookup(F295,'Voyage days'!$M$808:$N$819,2,false),"GOA",""),"")</f>
        <v/>
      </c>
      <c r="Q295" s="771">
        <f t="shared" si="81"/>
        <v>46207</v>
      </c>
      <c r="R295" s="771">
        <f t="shared" si="83"/>
        <v>46230</v>
      </c>
      <c r="S295" s="774">
        <f t="shared" si="5"/>
        <v>46222</v>
      </c>
      <c r="T295" s="771">
        <f t="shared" si="6"/>
        <v>46213</v>
      </c>
      <c r="U295" s="771">
        <f t="shared" si="84"/>
        <v>46197</v>
      </c>
      <c r="V295" s="771"/>
      <c r="W295" s="771">
        <f t="shared" si="85"/>
        <v>46197</v>
      </c>
      <c r="X295" s="775" t="str">
        <f t="shared" si="9"/>
        <v/>
      </c>
      <c r="Y295" s="776"/>
      <c r="Z295" s="777" t="str">
        <f>vlookup(F295,'2) Tracker'!$A$3:$Q$504,16,false)</f>
        <v>ETA Freeport 10 May</v>
      </c>
      <c r="AA295" s="777" t="str">
        <f>vlookup(F295,'2) Tracker'!$A$3:$R$504,18,false)</f>
        <v>Perta 11-12 May Freeport</v>
      </c>
      <c r="AB295" s="777" t="str">
        <f>vlookup(F295,'2) Tracker'!$A$3:$Q$504,17,false)</f>
        <v/>
      </c>
      <c r="AC295" s="778"/>
      <c r="AD295" s="778">
        <f>VLOOKUP(F295,'2) Tracker'!$A$2:$BO$980,37,FALSE)</f>
        <v>46232</v>
      </c>
      <c r="AE295" s="778">
        <f>VLOOKUP(F295,'2) Tracker'!$A$2:$BO$980,40,FALSE)</f>
        <v>46230</v>
      </c>
      <c r="AF295" s="778" t="str">
        <f>VLOOKUP(F295,'2) Tracker'!$A$2:$BO$980,67,FALSE)</f>
        <v/>
      </c>
      <c r="AG295" s="778">
        <f>VLOOKUP(F295,'2) Tracker'!$A$2:$BO$980,34,FALSE)</f>
        <v>46204</v>
      </c>
      <c r="AH295" s="778" t="str">
        <f>VLOOKUP(F295,'2) Tracker'!$A$2:$BN$980,66,FALSE)</f>
        <v/>
      </c>
      <c r="AI295" s="778">
        <f>VLOOKUP(F295,'2) Tracker'!$A$2:$BO$980,56,FALSE)</f>
        <v>46197</v>
      </c>
      <c r="AJ295" s="778">
        <f>VLOOKUP(F295,'2) Tracker'!$A$2:$BO$980,52,FALSE)</f>
        <v>46197</v>
      </c>
      <c r="AK295" s="778">
        <f>VLOOKUP(F295,'2) Tracker'!$A$2:$AQ$980,43,FALSE)</f>
        <v>46213</v>
      </c>
      <c r="AL295" s="778">
        <f>VLOOKUP(F295,'2) Tracker'!$A$2:$BH$980,46,FALSE())</f>
        <v>46222</v>
      </c>
      <c r="AM295" s="778">
        <f>VLOOKUP(F295,'2) Tracker'!$A$2:$BO$980,65,FALSE())</f>
        <v>46207</v>
      </c>
      <c r="AN295" s="778">
        <f>VLOOKUP(F295,'2) Tracker'!$A$2:$BK$980,63,FALSE())</f>
        <v>46230</v>
      </c>
      <c r="AO295" s="778" t="str">
        <f>VLOOKUP(F295,'2) Tracker'!$A$2:$BF$980,58,FALSE())</f>
        <v/>
      </c>
      <c r="AP295" s="52"/>
      <c r="AQ295" s="52"/>
      <c r="AR295" s="52"/>
      <c r="AS295" s="52"/>
      <c r="AT295" s="52"/>
      <c r="AU295" s="52"/>
      <c r="AV295" s="52"/>
      <c r="AW295" s="52"/>
      <c r="AX295" s="52"/>
      <c r="AY295" s="52"/>
      <c r="AZ295" s="787"/>
      <c r="BA295" s="786" t="str">
        <f>vlookup(AZ295,'Iran, FS'!$A$1:$B$318,2, false)</f>
        <v>#N/A</v>
      </c>
      <c r="BB295" s="787" t="str">
        <f>vlookup(AZ295,'1) Kpler'!$E$2:$F$500,2,false)</f>
        <v>#N/A</v>
      </c>
      <c r="BC295" s="788"/>
      <c r="BD295" s="787" t="str">
        <f>IFERROR(__xludf.DUMMYFUNCTION("""COMPUTED_VALUE"""),"Panamax")</f>
        <v>Panamax</v>
      </c>
      <c r="BE295" s="52"/>
      <c r="BF295" s="52"/>
      <c r="BG295" s="787"/>
      <c r="BH295" s="787"/>
      <c r="BI295" s="787"/>
      <c r="BJ295" s="787"/>
    </row>
    <row r="296">
      <c r="B296" s="765" t="str">
        <f>vlookup(F296,'2) Tracker'!$A$3:$O$410,5,false)</f>
        <v/>
      </c>
      <c r="C296" s="765" t="str">
        <f>vlookup(F296,'2) Tracker'!$A$3:$O$410,4,false)</f>
        <v/>
      </c>
      <c r="D296" s="734"/>
      <c r="E296" s="734" t="str">
        <f>vlookup(F296,'2) Tracker'!$A$3:$O$406,15,false)</f>
        <v/>
      </c>
      <c r="F296" s="766" t="s">
        <v>487</v>
      </c>
      <c r="G296" s="783">
        <f>VLOOKUP(F296,'2) Tracker'!$A$2:$BO$360,2,FALSE)</f>
        <v>41518</v>
      </c>
      <c r="H296" s="768">
        <f>VLOOKUP(F296,'2) Tracker'!$A$2:$BO$360,3,FALSE)</f>
        <v>84000</v>
      </c>
      <c r="I296" s="769" t="str">
        <f>VLOOKUP(F296,'2) Tracker'!$A$2:$BO$360,9,FALSE)</f>
        <v>Pertamina</v>
      </c>
      <c r="J296" s="770" t="str">
        <f>VLOOKUP(F296,'2) Tracker'!$A$2:$BO$360,12,FALSE)</f>
        <v>Indo</v>
      </c>
      <c r="K296" s="774">
        <f t="shared" si="207"/>
        <v>46242</v>
      </c>
      <c r="L296" s="774">
        <f t="shared" ref="L296:O296" si="344">AE296</f>
        <v>46240</v>
      </c>
      <c r="M296" s="771" t="str">
        <f t="shared" si="344"/>
        <v/>
      </c>
      <c r="N296" s="771">
        <f t="shared" si="344"/>
        <v>46214</v>
      </c>
      <c r="O296" s="772" t="str">
        <f t="shared" si="344"/>
        <v/>
      </c>
      <c r="P296" s="773" t="str">
        <f>iferror(if(vlookup(F296,'Voyage days'!$M$808:$N$819,2,false),"GOA",""),"")</f>
        <v/>
      </c>
      <c r="Q296" s="771">
        <f t="shared" si="81"/>
        <v>46217</v>
      </c>
      <c r="R296" s="774">
        <f t="shared" si="83"/>
        <v>46240</v>
      </c>
      <c r="S296" s="774">
        <f t="shared" si="5"/>
        <v>46232</v>
      </c>
      <c r="T296" s="771">
        <f t="shared" si="6"/>
        <v>46223</v>
      </c>
      <c r="U296" s="774">
        <f t="shared" si="84"/>
        <v>46207</v>
      </c>
      <c r="V296" s="771"/>
      <c r="W296" s="771">
        <f t="shared" si="85"/>
        <v>46207</v>
      </c>
      <c r="X296" s="775" t="str">
        <f t="shared" si="9"/>
        <v/>
      </c>
      <c r="Y296" s="776"/>
      <c r="Z296" s="777" t="str">
        <f>vlookup(F296,'2) Tracker'!$A$3:$Q$504,16,false)</f>
        <v>ETA Freeport 20 May</v>
      </c>
      <c r="AA296" s="777" t="str">
        <f>vlookup(F296,'2) Tracker'!$A$3:$R$504,18,false)</f>
        <v>Perta 21-22 May Freeport</v>
      </c>
      <c r="AB296" s="777" t="str">
        <f>vlookup(F296,'2) Tracker'!$A$3:$Q$504,17,false)</f>
        <v/>
      </c>
      <c r="AC296" s="778"/>
      <c r="AD296" s="778">
        <f>VLOOKUP(F296,'2) Tracker'!$A$2:$BO$980,37,FALSE)</f>
        <v>46242</v>
      </c>
      <c r="AE296" s="778">
        <f>VLOOKUP(F296,'2) Tracker'!$A$2:$BO$980,40,FALSE)</f>
        <v>46240</v>
      </c>
      <c r="AF296" s="778" t="str">
        <f>VLOOKUP(F296,'2) Tracker'!$A$2:$BO$980,67,FALSE)</f>
        <v/>
      </c>
      <c r="AG296" s="778">
        <f>VLOOKUP(F296,'2) Tracker'!$A$2:$BO$980,34,FALSE)</f>
        <v>46214</v>
      </c>
      <c r="AH296" s="778" t="str">
        <f>VLOOKUP(F296,'2) Tracker'!$A$2:$BN$980,66,FALSE)</f>
        <v/>
      </c>
      <c r="AI296" s="778">
        <f>VLOOKUP(F296,'2) Tracker'!$A$2:$BO$980,56,FALSE)</f>
        <v>46207</v>
      </c>
      <c r="AJ296" s="778">
        <f>VLOOKUP(F296,'2) Tracker'!$A$2:$BO$980,52,FALSE)</f>
        <v>46207</v>
      </c>
      <c r="AK296" s="778">
        <f>VLOOKUP(F296,'2) Tracker'!$A$2:$AQ$980,43,FALSE)</f>
        <v>46223</v>
      </c>
      <c r="AL296" s="778">
        <f>VLOOKUP(F296,'2) Tracker'!$A$2:$BH$980,46,FALSE())</f>
        <v>46232</v>
      </c>
      <c r="AM296" s="778">
        <f>VLOOKUP(F296,'2) Tracker'!$A$2:$BO$980,65,FALSE())</f>
        <v>46217</v>
      </c>
      <c r="AN296" s="778">
        <f>VLOOKUP(F296,'2) Tracker'!$A$2:$BK$980,63,FALSE())</f>
        <v>46240</v>
      </c>
      <c r="AO296" s="778" t="str">
        <f>VLOOKUP(F296,'2) Tracker'!$A$2:$BF$980,58,FALSE())</f>
        <v/>
      </c>
      <c r="AP296" s="52"/>
      <c r="AQ296" s="52"/>
      <c r="AR296" s="52"/>
      <c r="AS296" s="52"/>
      <c r="AT296" s="52"/>
      <c r="AU296" s="52"/>
      <c r="AV296" s="52"/>
      <c r="AW296" s="52"/>
      <c r="AX296" s="52"/>
      <c r="AY296" s="52"/>
      <c r="AZ296" s="734"/>
      <c r="BA296" s="786" t="str">
        <f>vlookup(AZ296,'Iran, FS'!$A$1:$B$318,2, false)</f>
        <v>#N/A</v>
      </c>
      <c r="BB296" s="787" t="str">
        <f>vlookup(AZ296,'1) Kpler'!$E$2:$F$500,2,false)</f>
        <v>#N/A</v>
      </c>
      <c r="BC296" s="740"/>
      <c r="BD296" s="734"/>
      <c r="BE296" s="52"/>
      <c r="BF296" s="52"/>
      <c r="BG296" s="734"/>
      <c r="BH296" s="734"/>
      <c r="BI296" s="734"/>
      <c r="BJ296" s="734"/>
    </row>
    <row r="297">
      <c r="B297" s="765" t="str">
        <f>vlookup(F297,'2) Tracker'!$A$3:$O$410,5,false)</f>
        <v/>
      </c>
      <c r="C297" s="834"/>
      <c r="D297" s="734"/>
      <c r="E297" s="734" t="str">
        <f>vlookup(F297,'2) Tracker'!$A$3:$O$406,15,false)</f>
        <v/>
      </c>
      <c r="F297" s="766" t="s">
        <v>177</v>
      </c>
      <c r="G297" s="783">
        <f>VLOOKUP(F297,'2) Tracker'!$A$2:$BO$360,2,FALSE)</f>
        <v>41635</v>
      </c>
      <c r="H297" s="768">
        <f>VLOOKUP(F297,'2) Tracker'!$A$2:$BO$360,3,FALSE)</f>
        <v>84000</v>
      </c>
      <c r="I297" s="769" t="str">
        <f>VLOOKUP(F297,'2) Tracker'!$A$2:$BO$360,9,FALSE)</f>
        <v>Equinor</v>
      </c>
      <c r="J297" s="770" t="str">
        <f>VLOOKUP(F297,'2) Tracker'!$A$2:$BO$360,12,FALSE)</f>
        <v>Cape ballast</v>
      </c>
      <c r="K297" s="771" t="str">
        <f t="shared" si="207"/>
        <v/>
      </c>
      <c r="L297" s="771">
        <f t="shared" ref="L297:O297" si="345">AE297</f>
        <v>46124</v>
      </c>
      <c r="M297" s="771" t="str">
        <f t="shared" si="345"/>
        <v/>
      </c>
      <c r="N297" s="771" t="str">
        <f t="shared" si="345"/>
        <v/>
      </c>
      <c r="O297" s="772" t="str">
        <f t="shared" si="345"/>
        <v/>
      </c>
      <c r="P297" s="773" t="str">
        <f>iferror(if(vlookup(F297,'Voyage days'!$M$808:$N$819,2,false),"GOA",""),"")</f>
        <v/>
      </c>
      <c r="Q297" s="771">
        <f t="shared" si="81"/>
        <v>46103</v>
      </c>
      <c r="R297" s="771">
        <f t="shared" si="83"/>
        <v>46126</v>
      </c>
      <c r="S297" s="774">
        <f t="shared" si="5"/>
        <v>46119</v>
      </c>
      <c r="T297" s="771">
        <f t="shared" si="6"/>
        <v>46113</v>
      </c>
      <c r="U297" s="771">
        <f t="shared" si="84"/>
        <v>46119</v>
      </c>
      <c r="V297" s="771"/>
      <c r="W297" s="771" t="str">
        <f t="shared" si="85"/>
        <v/>
      </c>
      <c r="X297" s="775" t="str">
        <f t="shared" si="9"/>
        <v/>
      </c>
      <c r="Y297" s="776"/>
      <c r="Z297" s="777" t="str">
        <f>vlookup(F297,'2) Tracker'!$A$3:$Q$504,16,false)</f>
        <v>ETA USG 12 Apr</v>
      </c>
      <c r="AA297" s="777" t="str">
        <f>vlookup(F297,'2) Tracker'!$A$3:$R$504,18,false)</f>
        <v>Equinor 23-24 Dec Enterprise</v>
      </c>
      <c r="AB297" s="777" t="str">
        <f>vlookup(F297,'2) Tracker'!$A$3:$Q$504,17,false)</f>
        <v>for orders</v>
      </c>
      <c r="AC297" s="778"/>
      <c r="AD297" s="778" t="str">
        <f>VLOOKUP(F297,'2) Tracker'!$A$2:$BO$980,37,FALSE)</f>
        <v/>
      </c>
      <c r="AE297" s="778">
        <f>VLOOKUP(F297,'2) Tracker'!$A$2:$BO$980,40,FALSE)</f>
        <v>46124</v>
      </c>
      <c r="AF297" s="778" t="str">
        <f>VLOOKUP(F297,'2) Tracker'!$A$2:$BO$980,67,FALSE)</f>
        <v/>
      </c>
      <c r="AG297" s="778" t="str">
        <f>VLOOKUP(F297,'2) Tracker'!$A$2:$BO$980,34,FALSE)</f>
        <v/>
      </c>
      <c r="AH297" s="778" t="str">
        <f>VLOOKUP(F297,'2) Tracker'!$A$2:$BN$980,66,FALSE)</f>
        <v/>
      </c>
      <c r="AI297" s="778">
        <f>VLOOKUP(F297,'2) Tracker'!$A$2:$BO$980,56,FALSE)</f>
        <v>46119</v>
      </c>
      <c r="AJ297" s="778" t="str">
        <f>VLOOKUP(F297,'2) Tracker'!$A$2:$BO$980,52,FALSE)</f>
        <v/>
      </c>
      <c r="AK297" s="778">
        <f>VLOOKUP(F297,'2) Tracker'!$A$2:$AQ$980,43,FALSE)</f>
        <v>46113</v>
      </c>
      <c r="AL297" s="778">
        <f>VLOOKUP(F297,'2) Tracker'!$A$2:$BH$980,46,FALSE())</f>
        <v>46119</v>
      </c>
      <c r="AM297" s="778">
        <f>VLOOKUP(F297,'2) Tracker'!$A$2:$BO$980,65,FALSE())</f>
        <v>46103</v>
      </c>
      <c r="AN297" s="778">
        <f>VLOOKUP(F297,'2) Tracker'!$A$2:$BK$980,63,FALSE())</f>
        <v>46126</v>
      </c>
      <c r="AO297" s="778" t="str">
        <f>VLOOKUP(F297,'2) Tracker'!$A$2:$BF$980,58,FALSE())</f>
        <v/>
      </c>
      <c r="AP297" s="52"/>
      <c r="AQ297" s="52"/>
      <c r="AR297" s="813"/>
      <c r="AS297" s="813"/>
      <c r="AT297" s="813"/>
      <c r="AU297" s="813"/>
      <c r="AV297" s="857" t="s">
        <v>1603</v>
      </c>
      <c r="AW297" s="813"/>
      <c r="AX297" s="51" t="s">
        <v>18</v>
      </c>
      <c r="AY297" s="52">
        <f>COUNTA('2) Tracker'!A3:A510)</f>
        <v>341</v>
      </c>
      <c r="AZ297" s="787"/>
      <c r="BA297" s="788"/>
      <c r="BB297" s="787"/>
      <c r="BC297" s="787"/>
      <c r="BD297" s="787"/>
      <c r="BE297" s="813"/>
      <c r="BF297" s="813" t="s">
        <v>667</v>
      </c>
      <c r="BG297" s="803" t="s">
        <v>1604</v>
      </c>
      <c r="BH297" s="788" t="s">
        <v>818</v>
      </c>
      <c r="BI297" s="787"/>
      <c r="BJ297" s="787"/>
    </row>
    <row r="298">
      <c r="B298" s="765" t="str">
        <f>vlookup(F298,'2) Tracker'!$A$3:$O$410,5,false)</f>
        <v/>
      </c>
      <c r="C298" s="765" t="str">
        <f>vlookup(F298,'2) Tracker'!$A$3:$O$410,4,false)</f>
        <v/>
      </c>
      <c r="D298" s="732" t="s">
        <v>1515</v>
      </c>
      <c r="E298" s="734" t="str">
        <f>vlookup(F298,'2) Tracker'!$A$3:$O$406,15,false)</f>
        <v>R?</v>
      </c>
      <c r="F298" s="794" t="s">
        <v>50</v>
      </c>
      <c r="G298" s="783">
        <f>VLOOKUP(F298,'2) Tracker'!$A$2:$BO$360,2,FALSE)</f>
        <v>43644</v>
      </c>
      <c r="H298" s="768">
        <f>VLOOKUP(F298,'2) Tracker'!$A$2:$BO$360,3,FALSE)</f>
        <v>80550</v>
      </c>
      <c r="I298" s="770" t="str">
        <f>VLOOKUP(F298,'2) Tracker'!$A$2:$BO$360,9,FALSE)</f>
        <v>Vitol</v>
      </c>
      <c r="J298" s="770" t="str">
        <f>VLOOKUP(F298,'2) Tracker'!$A$2:$BO$360,12,FALSE)</f>
        <v>Cayman</v>
      </c>
      <c r="K298" s="771" t="str">
        <f t="shared" si="207"/>
        <v/>
      </c>
      <c r="L298" s="771">
        <f t="shared" ref="L298:O298" si="346">AE298</f>
        <v>46131</v>
      </c>
      <c r="M298" s="771" t="str">
        <f t="shared" si="346"/>
        <v/>
      </c>
      <c r="N298" s="771" t="str">
        <f t="shared" si="346"/>
        <v/>
      </c>
      <c r="O298" s="772" t="str">
        <f t="shared" si="346"/>
        <v/>
      </c>
      <c r="P298" s="773" t="str">
        <f>iferror(if(vlookup(F298,'Voyage days'!$M$808:$N$819,2,false),"GOA",""),"")</f>
        <v/>
      </c>
      <c r="Q298" s="771">
        <f t="shared" si="81"/>
        <v>46129</v>
      </c>
      <c r="R298" s="771">
        <f t="shared" si="83"/>
        <v>46147</v>
      </c>
      <c r="S298" s="774">
        <f t="shared" si="5"/>
        <v>46140</v>
      </c>
      <c r="T298" s="771" t="str">
        <f t="shared" si="6"/>
        <v/>
      </c>
      <c r="U298" s="771" t="str">
        <f t="shared" si="84"/>
        <v/>
      </c>
      <c r="V298" s="802"/>
      <c r="W298" s="802" t="str">
        <f t="shared" si="85"/>
        <v/>
      </c>
      <c r="X298" s="775" t="str">
        <f t="shared" si="9"/>
        <v/>
      </c>
      <c r="Y298" s="776"/>
      <c r="Z298" s="777" t="str">
        <f>vlookup(F298,'2) Tracker'!$A$3:$Q$504,16,false)</f>
        <v>ETA St Eustatius 16 Apr bunkers, ETA USG 24 Apr</v>
      </c>
      <c r="AA298" s="777" t="str">
        <f>vlookup(F298,'2) Tracker'!$A$3:$R$504,18,false)</f>
        <v>Vitol 06-07 Feb Enterprise</v>
      </c>
      <c r="AB298" s="777" t="str">
        <f>vlookup(F298,'2) Tracker'!$A$3:$Q$504,17,false)</f>
        <v/>
      </c>
      <c r="AC298" s="778"/>
      <c r="AD298" s="778" t="str">
        <f>VLOOKUP(F298,'2) Tracker'!$A$2:$BO$980,37,FALSE)</f>
        <v/>
      </c>
      <c r="AE298" s="778">
        <f>VLOOKUP(F298,'2) Tracker'!$A$2:$BO$980,40,FALSE)</f>
        <v>46131</v>
      </c>
      <c r="AF298" s="778" t="str">
        <f>VLOOKUP(F298,'2) Tracker'!$A$2:$BO$980,67,FALSE)</f>
        <v/>
      </c>
      <c r="AG298" s="778" t="str">
        <f>VLOOKUP(F298,'2) Tracker'!$A$2:$BO$980,34,FALSE)</f>
        <v/>
      </c>
      <c r="AH298" s="778" t="str">
        <f>VLOOKUP(F298,'2) Tracker'!$A$2:$BN$980,66,FALSE)</f>
        <v/>
      </c>
      <c r="AI298" s="778" t="str">
        <f>VLOOKUP(F298,'2) Tracker'!$A$2:$BO$980,56,FALSE)</f>
        <v/>
      </c>
      <c r="AJ298" s="778" t="str">
        <f>VLOOKUP(F298,'2) Tracker'!$A$2:$BO$980,52,FALSE)</f>
        <v/>
      </c>
      <c r="AK298" s="778" t="str">
        <f>VLOOKUP(F298,'2) Tracker'!$A$2:$AQ$980,43,FALSE)</f>
        <v/>
      </c>
      <c r="AL298" s="778">
        <f>VLOOKUP(F298,'2) Tracker'!$A$2:$BH$980,46,FALSE())</f>
        <v>46140</v>
      </c>
      <c r="AM298" s="778">
        <f>VLOOKUP(F298,'2) Tracker'!$A$2:$BO$980,65,FALSE())</f>
        <v>46129</v>
      </c>
      <c r="AN298" s="778">
        <f>VLOOKUP(F298,'2) Tracker'!$A$2:$BK$980,63,FALSE())</f>
        <v>46147</v>
      </c>
      <c r="AO298" s="778" t="str">
        <f>VLOOKUP(F298,'2) Tracker'!$A$2:$BF$980,58,FALSE())</f>
        <v/>
      </c>
      <c r="AP298" s="52"/>
      <c r="AQ298" s="52"/>
      <c r="AR298" s="52"/>
      <c r="AS298" s="52"/>
      <c r="AT298" s="52"/>
      <c r="AU298" s="52"/>
      <c r="AV298" s="858" t="s">
        <v>1605</v>
      </c>
      <c r="AW298" s="52"/>
      <c r="AX298" s="52"/>
      <c r="AY298" s="52"/>
      <c r="AZ298" s="787"/>
      <c r="BA298" s="786" t="str">
        <f>vlookup(AZ298,'Iran, FS'!$A$1:$B$318,2, false)</f>
        <v>#N/A</v>
      </c>
      <c r="BB298" s="787" t="str">
        <f>vlookup(AZ298,'1) Kpler'!$E$2:$F$500,2,false)</f>
        <v>#N/A</v>
      </c>
      <c r="BC298" s="859" t="s">
        <v>1606</v>
      </c>
      <c r="BD298" s="787"/>
      <c r="BE298" s="52"/>
      <c r="BF298" s="52"/>
      <c r="BG298" s="803" t="s">
        <v>1607</v>
      </c>
      <c r="BH298" s="788" t="s">
        <v>1174</v>
      </c>
      <c r="BI298" s="787"/>
      <c r="BJ298" s="787"/>
    </row>
    <row r="299">
      <c r="B299" s="765" t="str">
        <f>vlookup(F299,'2) Tracker'!$A$3:$O$410,5,false)</f>
        <v/>
      </c>
      <c r="C299" s="765" t="str">
        <f>vlookup(F299,'2) Tracker'!$A$3:$O$410,4,false)</f>
        <v/>
      </c>
      <c r="D299" s="734"/>
      <c r="E299" s="734" t="str">
        <f>vlookup(F299,'2) Tracker'!$A$3:$O$406,15,false)</f>
        <v>R?</v>
      </c>
      <c r="F299" s="788" t="s">
        <v>971</v>
      </c>
      <c r="G299" s="789">
        <f>VLOOKUP(F299,'2) Tracker'!$A$2:$BO$360,2,FALSE)</f>
        <v>2024</v>
      </c>
      <c r="H299" s="768">
        <f>VLOOKUP(F299,'2) Tracker'!$A$2:$BO$360,3,FALSE)</f>
        <v>87000</v>
      </c>
      <c r="I299" s="770" t="str">
        <f>VLOOKUP(F299,'2) Tracker'!$A$2:$BO$360,9,FALSE)</f>
        <v>Gyxis</v>
      </c>
      <c r="J299" s="770" t="str">
        <f>VLOOKUP(F299,'2) Tracker'!$A$2:$BO$360,12,FALSE)</f>
        <v>Cape ballast</v>
      </c>
      <c r="K299" s="771" t="str">
        <f t="shared" si="207"/>
        <v/>
      </c>
      <c r="L299" s="771">
        <f t="shared" ref="L299:O299" si="347">AE299</f>
        <v>46137</v>
      </c>
      <c r="M299" s="771" t="str">
        <f t="shared" si="347"/>
        <v/>
      </c>
      <c r="N299" s="771" t="str">
        <f t="shared" si="347"/>
        <v/>
      </c>
      <c r="O299" s="772" t="str">
        <f t="shared" si="347"/>
        <v/>
      </c>
      <c r="P299" s="773" t="str">
        <f>iferror(if(vlookup(F299,'Voyage days'!$M$808:$N$819,2,false),"GOA",""),"")</f>
        <v/>
      </c>
      <c r="Q299" s="771">
        <f t="shared" si="81"/>
        <v>46116</v>
      </c>
      <c r="R299" s="771">
        <f t="shared" si="83"/>
        <v>46139</v>
      </c>
      <c r="S299" s="774">
        <f t="shared" si="5"/>
        <v>46132</v>
      </c>
      <c r="T299" s="771">
        <f t="shared" si="6"/>
        <v>46126</v>
      </c>
      <c r="U299" s="771">
        <f t="shared" si="84"/>
        <v>46132</v>
      </c>
      <c r="V299" s="771"/>
      <c r="W299" s="771" t="str">
        <f t="shared" si="85"/>
        <v/>
      </c>
      <c r="X299" s="775" t="str">
        <f t="shared" si="9"/>
        <v/>
      </c>
      <c r="Y299" s="776"/>
      <c r="Z299" s="777" t="str">
        <f>vlookup(F299,'2) Tracker'!$A$3:$Q$504,16,false)</f>
        <v>ETA USG 25 Apr via Cape</v>
      </c>
      <c r="AA299" s="777" t="str">
        <f>vlookup(F299,'2) Tracker'!$A$3:$R$504,18,false)</f>
        <v>SK Gas 05 Feb Nederland</v>
      </c>
      <c r="AB299" s="777" t="str">
        <f>vlookup(F299,'2) Tracker'!$A$3:$Q$504,17,false)</f>
        <v/>
      </c>
      <c r="AC299" s="778"/>
      <c r="AD299" s="778" t="str">
        <f>VLOOKUP(F299,'2) Tracker'!$A$2:$BO$980,37,FALSE)</f>
        <v/>
      </c>
      <c r="AE299" s="778">
        <f>VLOOKUP(F299,'2) Tracker'!$A$2:$BO$980,40,FALSE)</f>
        <v>46137</v>
      </c>
      <c r="AF299" s="778" t="str">
        <f>VLOOKUP(F299,'2) Tracker'!$A$2:$BO$980,67,FALSE)</f>
        <v/>
      </c>
      <c r="AG299" s="778" t="str">
        <f>VLOOKUP(F299,'2) Tracker'!$A$2:$BO$980,34,FALSE)</f>
        <v/>
      </c>
      <c r="AH299" s="778" t="str">
        <f>VLOOKUP(F299,'2) Tracker'!$A$2:$BN$980,66,FALSE)</f>
        <v/>
      </c>
      <c r="AI299" s="778">
        <f>VLOOKUP(F299,'2) Tracker'!$A$2:$BO$980,56,FALSE)</f>
        <v>46132</v>
      </c>
      <c r="AJ299" s="778" t="str">
        <f>VLOOKUP(F299,'2) Tracker'!$A$2:$BO$980,52,FALSE)</f>
        <v/>
      </c>
      <c r="AK299" s="778">
        <f>VLOOKUP(F299,'2) Tracker'!$A$2:$AQ$980,43,FALSE)</f>
        <v>46126</v>
      </c>
      <c r="AL299" s="778">
        <f>VLOOKUP(F299,'2) Tracker'!$A$2:$BH$980,46,FALSE())</f>
        <v>46132</v>
      </c>
      <c r="AM299" s="778">
        <f>VLOOKUP(F299,'2) Tracker'!$A$2:$BO$980,65,FALSE())</f>
        <v>46116</v>
      </c>
      <c r="AN299" s="778">
        <f>VLOOKUP(F299,'2) Tracker'!$A$2:$BK$980,63,FALSE())</f>
        <v>46139</v>
      </c>
      <c r="AO299" s="778" t="str">
        <f>VLOOKUP(F299,'2) Tracker'!$A$2:$BF$980,58,FALSE())</f>
        <v/>
      </c>
      <c r="AP299" s="52"/>
      <c r="AQ299" s="52"/>
      <c r="AR299" s="52"/>
      <c r="AS299" s="52"/>
      <c r="AT299" s="52"/>
      <c r="AU299" s="52"/>
      <c r="AV299" s="52"/>
      <c r="AW299" s="52"/>
      <c r="AX299" s="52"/>
      <c r="AY299" s="52"/>
      <c r="AZ299" s="734"/>
      <c r="BA299" s="740"/>
      <c r="BB299" s="734"/>
      <c r="BC299" s="740"/>
      <c r="BD299" s="734"/>
      <c r="BE299" s="52"/>
      <c r="BF299" s="52"/>
      <c r="BG299" s="734"/>
      <c r="BH299" s="734"/>
      <c r="BI299" s="734"/>
      <c r="BJ299" s="734"/>
    </row>
    <row r="300">
      <c r="B300" s="765" t="str">
        <f>vlookup(F300,'2) Tracker'!$A$3:$O$410,5,false)</f>
        <v/>
      </c>
      <c r="C300" s="765" t="str">
        <f>vlookup(F300,'2) Tracker'!$A$3:$O$410,4,false)</f>
        <v/>
      </c>
      <c r="D300" s="734"/>
      <c r="E300" s="734" t="str">
        <f>vlookup(F300,'2) Tracker'!$A$3:$O$406,15,false)</f>
        <v/>
      </c>
      <c r="F300" s="822" t="s">
        <v>505</v>
      </c>
      <c r="G300" s="767">
        <f>VLOOKUP(F300,'2) Tracker'!$A$2:$BO$360,2,FALSE)</f>
        <v>2017</v>
      </c>
      <c r="H300" s="768">
        <f>VLOOKUP(F300,'2) Tracker'!$A$2:$BO$360,3,FALSE)</f>
        <v>82200</v>
      </c>
      <c r="I300" s="777" t="str">
        <f>VLOOKUP(F300,'2) Tracker'!$A$2:$BO$360,9,FALSE)</f>
        <v>Gyxis</v>
      </c>
      <c r="J300" s="770" t="str">
        <f>VLOOKUP(F300,'2) Tracker'!$A$2:$BO$360,12,FALSE)</f>
        <v>Port Louis ballast</v>
      </c>
      <c r="K300" s="771" t="str">
        <f t="shared" si="207"/>
        <v/>
      </c>
      <c r="L300" s="771">
        <f t="shared" ref="L300:O300" si="348">AE300</f>
        <v>46143</v>
      </c>
      <c r="M300" s="771" t="str">
        <f t="shared" si="348"/>
        <v/>
      </c>
      <c r="N300" s="771" t="str">
        <f t="shared" si="348"/>
        <v/>
      </c>
      <c r="O300" s="772" t="str">
        <f t="shared" si="348"/>
        <v/>
      </c>
      <c r="P300" s="773" t="str">
        <f>iferror(if(vlookup(F300,'Voyage days'!$M$808:$N$819,2,false),"GOA",""),"")</f>
        <v/>
      </c>
      <c r="Q300" s="771">
        <f t="shared" si="81"/>
        <v>46118</v>
      </c>
      <c r="R300" s="771">
        <f t="shared" si="83"/>
        <v>46144</v>
      </c>
      <c r="S300" s="774">
        <f t="shared" si="5"/>
        <v>46139</v>
      </c>
      <c r="T300" s="771">
        <f t="shared" si="6"/>
        <v>46130</v>
      </c>
      <c r="U300" s="771" t="str">
        <f t="shared" si="84"/>
        <v/>
      </c>
      <c r="V300" s="771"/>
      <c r="W300" s="771" t="str">
        <f t="shared" si="85"/>
        <v/>
      </c>
      <c r="X300" s="775" t="str">
        <f t="shared" si="9"/>
        <v/>
      </c>
      <c r="Y300" s="776"/>
      <c r="Z300" s="777" t="str">
        <f>vlookup(F300,'2) Tracker'!$A$3:$Q$504,16,false)</f>
        <v>ETA Nederland 01 May via Cape</v>
      </c>
      <c r="AA300" s="777" t="str">
        <f>vlookup(F300,'2) Tracker'!$A$3:$R$504,18,false)</f>
        <v>Gyxis 01-02 May Nederland</v>
      </c>
      <c r="AB300" s="777" t="str">
        <f>vlookup(F300,'2) Tracker'!$A$3:$Q$504,17,false)</f>
        <v/>
      </c>
      <c r="AC300" s="778"/>
      <c r="AD300" s="778" t="str">
        <f>VLOOKUP(F300,'2) Tracker'!$A$2:$BO$980,37,FALSE)</f>
        <v/>
      </c>
      <c r="AE300" s="778">
        <f>VLOOKUP(F300,'2) Tracker'!$A$2:$BO$980,40,FALSE)</f>
        <v>46143</v>
      </c>
      <c r="AF300" s="778" t="str">
        <f>VLOOKUP(F300,'2) Tracker'!$A$2:$BO$980,67,FALSE)</f>
        <v/>
      </c>
      <c r="AG300" s="778" t="str">
        <f>VLOOKUP(F300,'2) Tracker'!$A$2:$BO$980,34,FALSE)</f>
        <v/>
      </c>
      <c r="AH300" s="778" t="str">
        <f>VLOOKUP(F300,'2) Tracker'!$A$2:$BN$980,66,FALSE)</f>
        <v/>
      </c>
      <c r="AI300" s="778" t="str">
        <f>VLOOKUP(F300,'2) Tracker'!$A$2:$BO$980,56,FALSE)</f>
        <v/>
      </c>
      <c r="AJ300" s="778" t="str">
        <f>VLOOKUP(F300,'2) Tracker'!$A$2:$BO$980,52,FALSE)</f>
        <v/>
      </c>
      <c r="AK300" s="778">
        <f>VLOOKUP(F300,'2) Tracker'!$A$2:$AQ$980,43,FALSE)</f>
        <v>46130</v>
      </c>
      <c r="AL300" s="778">
        <f>VLOOKUP(F300,'2) Tracker'!$A$2:$BH$980,46,FALSE())</f>
        <v>46139</v>
      </c>
      <c r="AM300" s="778">
        <f>VLOOKUP(F300,'2) Tracker'!$A$2:$BO$980,65,FALSE())</f>
        <v>46118</v>
      </c>
      <c r="AN300" s="778">
        <f>VLOOKUP(F300,'2) Tracker'!$A$2:$BK$980,63,FALSE())</f>
        <v>46144</v>
      </c>
      <c r="AO300" s="778" t="str">
        <f>VLOOKUP(F300,'2) Tracker'!$A$2:$BF$980,58,FALSE())</f>
        <v/>
      </c>
      <c r="AP300" s="52"/>
      <c r="AQ300" s="52"/>
      <c r="AR300" s="52"/>
      <c r="AS300" s="52"/>
      <c r="AT300" s="52"/>
      <c r="AU300" s="52"/>
      <c r="AV300" s="52"/>
      <c r="AW300" s="52"/>
      <c r="AX300" s="52"/>
      <c r="AY300" s="52"/>
      <c r="AZ300" s="734"/>
      <c r="BA300" s="786" t="str">
        <f>vlookup(AZ300,'Iran, FS'!$A$1:$B$318,2, false)</f>
        <v>#N/A</v>
      </c>
      <c r="BB300" s="787" t="str">
        <f>vlookup(AZ300,'1) Kpler'!$E$2:$F$500,2,false)</f>
        <v>#N/A</v>
      </c>
      <c r="BC300" s="740"/>
      <c r="BD300" s="734"/>
      <c r="BE300" s="52"/>
      <c r="BF300" s="52"/>
      <c r="BG300" s="734"/>
      <c r="BH300" s="734"/>
      <c r="BI300" s="734"/>
      <c r="BJ300" s="734"/>
    </row>
    <row r="301">
      <c r="B301" s="765" t="str">
        <f>vlookup(F301,'2) Tracker'!$A$3:$O$410,5,false)</f>
        <v/>
      </c>
      <c r="C301" s="765" t="str">
        <f>vlookup(F301,'2) Tracker'!$A$3:$O$410,4,false)</f>
        <v/>
      </c>
      <c r="D301" s="734"/>
      <c r="E301" s="734" t="str">
        <f>vlookup(F301,'2) Tracker'!$A$3:$O$406,15,false)</f>
        <v/>
      </c>
      <c r="F301" s="822" t="s">
        <v>341</v>
      </c>
      <c r="G301" s="789">
        <f>VLOOKUP(F301,'2) Tracker'!$A$2:$BO$360,2,FALSE)</f>
        <v>2020</v>
      </c>
      <c r="H301" s="768">
        <f>VLOOKUP(F301,'2) Tracker'!$A$2:$BO$360,3,FALSE)</f>
        <v>84000</v>
      </c>
      <c r="I301" s="770" t="str">
        <f>VLOOKUP(F301,'2) Tracker'!$A$2:$BO$360,9,FALSE)</f>
        <v>Mercuria</v>
      </c>
      <c r="J301" s="770" t="str">
        <f>VLOOKUP(F301,'2) Tracker'!$A$2:$BO$360,12,FALSE)</f>
        <v>Cape ballast</v>
      </c>
      <c r="K301" s="771" t="str">
        <f t="shared" si="207"/>
        <v/>
      </c>
      <c r="L301" s="771">
        <f t="shared" ref="L301:O301" si="349">AE301</f>
        <v>46143</v>
      </c>
      <c r="M301" s="771" t="str">
        <f t="shared" si="349"/>
        <v/>
      </c>
      <c r="N301" s="771" t="str">
        <f t="shared" si="349"/>
        <v/>
      </c>
      <c r="O301" s="772" t="str">
        <f t="shared" si="349"/>
        <v/>
      </c>
      <c r="P301" s="773" t="str">
        <f>iferror(if(vlookup(F301,'Voyage days'!$M$808:$N$819,2,false),"GOA",""),"")</f>
        <v/>
      </c>
      <c r="Q301" s="771">
        <f t="shared" si="81"/>
        <v>46123</v>
      </c>
      <c r="R301" s="774">
        <f t="shared" si="83"/>
        <v>46145</v>
      </c>
      <c r="S301" s="774">
        <f t="shared" si="5"/>
        <v>46138</v>
      </c>
      <c r="T301" s="771">
        <f t="shared" si="6"/>
        <v>46132</v>
      </c>
      <c r="U301" s="774">
        <f t="shared" si="84"/>
        <v>46139</v>
      </c>
      <c r="V301" s="774"/>
      <c r="W301" s="774" t="str">
        <f t="shared" si="85"/>
        <v/>
      </c>
      <c r="X301" s="775" t="str">
        <f t="shared" si="9"/>
        <v/>
      </c>
      <c r="Y301" s="770"/>
      <c r="Z301" s="777" t="str">
        <f>vlookup(F301,'2) Tracker'!$A$3:$Q$504,16,false)</f>
        <v>ETA St Eustatius 25 Apr bunkers?, ETA USG 01 May</v>
      </c>
      <c r="AA301" s="777" t="str">
        <f>vlookup(F301,'2) Tracker'!$A$3:$R$504,18,false)</f>
        <v>Mercuria (Repsol FOB) 10-11 Feb USG</v>
      </c>
      <c r="AB301" s="777" t="str">
        <f>vlookup(F301,'2) Tracker'!$A$3:$Q$504,17,false)</f>
        <v/>
      </c>
      <c r="AC301" s="778"/>
      <c r="AD301" s="778" t="str">
        <f>VLOOKUP(F301,'2) Tracker'!$A$2:$BO$980,37,FALSE)</f>
        <v/>
      </c>
      <c r="AE301" s="778">
        <f>VLOOKUP(F301,'2) Tracker'!$A$2:$BO$980,40,FALSE)</f>
        <v>46143</v>
      </c>
      <c r="AF301" s="778" t="str">
        <f>VLOOKUP(F301,'2) Tracker'!$A$2:$BO$980,67,FALSE)</f>
        <v/>
      </c>
      <c r="AG301" s="778" t="str">
        <f>VLOOKUP(F301,'2) Tracker'!$A$2:$BO$980,34,FALSE)</f>
        <v/>
      </c>
      <c r="AH301" s="778" t="str">
        <f>VLOOKUP(F301,'2) Tracker'!$A$2:$BN$980,66,FALSE)</f>
        <v/>
      </c>
      <c r="AI301" s="778">
        <f>VLOOKUP(F301,'2) Tracker'!$A$2:$BO$980,56,FALSE)</f>
        <v>46139</v>
      </c>
      <c r="AJ301" s="778" t="str">
        <f>VLOOKUP(F301,'2) Tracker'!$A$2:$BO$980,52,FALSE)</f>
        <v/>
      </c>
      <c r="AK301" s="778">
        <f>VLOOKUP(F301,'2) Tracker'!$A$2:$AQ$980,43,FALSE)</f>
        <v>46132</v>
      </c>
      <c r="AL301" s="778">
        <f>VLOOKUP(F301,'2) Tracker'!$A$2:$BH$980,46,FALSE())</f>
        <v>46138</v>
      </c>
      <c r="AM301" s="778">
        <f>VLOOKUP(F301,'2) Tracker'!$A$2:$BO$980,65,FALSE())</f>
        <v>46123</v>
      </c>
      <c r="AN301" s="778">
        <f>VLOOKUP(F301,'2) Tracker'!$A$2:$BK$980,63,FALSE())</f>
        <v>46145</v>
      </c>
      <c r="AO301" s="778" t="str">
        <f>VLOOKUP(F301,'2) Tracker'!$A$2:$BF$980,58,FALSE())</f>
        <v/>
      </c>
      <c r="AP301" s="52"/>
      <c r="AQ301" s="52"/>
      <c r="AR301" s="52"/>
      <c r="AS301" s="52"/>
      <c r="AT301" s="52"/>
      <c r="AU301" s="52"/>
      <c r="AV301" s="52"/>
      <c r="AW301" s="52"/>
      <c r="AX301" s="52"/>
      <c r="AY301" s="52"/>
      <c r="AZ301" s="734"/>
      <c r="BA301" s="740"/>
      <c r="BB301" s="734"/>
      <c r="BC301" s="740"/>
      <c r="BD301" s="734"/>
      <c r="BE301" s="52"/>
      <c r="BF301" s="52"/>
      <c r="BG301" s="734"/>
      <c r="BH301" s="734"/>
      <c r="BI301" s="734"/>
      <c r="BJ301" s="734"/>
    </row>
    <row r="302">
      <c r="B302" s="765" t="str">
        <f>vlookup(F302,'2) Tracker'!$A$3:$O$410,5,false)</f>
        <v>C</v>
      </c>
      <c r="C302" s="765" t="str">
        <f>vlookup(F302,'2) Tracker'!$A$3:$O$410,4,false)</f>
        <v/>
      </c>
      <c r="D302" s="734"/>
      <c r="E302" s="734" t="str">
        <f>vlookup(F302,'2) Tracker'!$A$3:$O$406,15,false)</f>
        <v>R</v>
      </c>
      <c r="F302" s="822" t="s">
        <v>87</v>
      </c>
      <c r="G302" s="789">
        <f>VLOOKUP(F302,'2) Tracker'!$A$2:$BO$360,2,FALSE)</f>
        <v>2006</v>
      </c>
      <c r="H302" s="768">
        <f>VLOOKUP(F302,'2) Tracker'!$A$2:$BO$360,3,FALSE)</f>
        <v>82244</v>
      </c>
      <c r="I302" s="770" t="str">
        <f>VLOOKUP(F302,'2) Tracker'!$A$2:$BO$360,9,FALSE)</f>
        <v>AGT</v>
      </c>
      <c r="J302" s="770" t="str">
        <f>VLOOKUP(F302,'2) Tracker'!$A$2:$BO$360,12,FALSE)</f>
        <v>Port Louis ballast</v>
      </c>
      <c r="K302" s="771" t="str">
        <f t="shared" si="207"/>
        <v/>
      </c>
      <c r="L302" s="771">
        <f t="shared" ref="L302:O302" si="350">AE302</f>
        <v>46144</v>
      </c>
      <c r="M302" s="771" t="str">
        <f t="shared" si="350"/>
        <v/>
      </c>
      <c r="N302" s="771" t="str">
        <f t="shared" si="350"/>
        <v/>
      </c>
      <c r="O302" s="772" t="str">
        <f t="shared" si="350"/>
        <v/>
      </c>
      <c r="P302" s="773" t="str">
        <f>iferror(if(vlookup(F302,'Voyage days'!$M$808:$N$819,2,false),"GOA",""),"")</f>
        <v/>
      </c>
      <c r="Q302" s="771">
        <f t="shared" si="81"/>
        <v>46119</v>
      </c>
      <c r="R302" s="774">
        <f t="shared" si="83"/>
        <v>46145</v>
      </c>
      <c r="S302" s="774">
        <f t="shared" si="5"/>
        <v>46140</v>
      </c>
      <c r="T302" s="771">
        <f t="shared" si="6"/>
        <v>46131</v>
      </c>
      <c r="U302" s="774" t="str">
        <f t="shared" si="84"/>
        <v/>
      </c>
      <c r="V302" s="774"/>
      <c r="W302" s="774" t="str">
        <f t="shared" si="85"/>
        <v/>
      </c>
      <c r="X302" s="775" t="str">
        <f t="shared" si="9"/>
        <v/>
      </c>
      <c r="Y302" s="795" t="s">
        <v>1559</v>
      </c>
      <c r="Z302" s="777" t="str">
        <f>vlookup(F302,'2) Tracker'!$A$3:$Q$504,16,false)</f>
        <v>sailed 27 Mar, ETA USG 02 May via Cape</v>
      </c>
      <c r="AA302" s="777" t="str">
        <f>vlookup(F302,'2) Tracker'!$A$3:$R$504,18,false)</f>
        <v>AGT 25 Feb Ruwais</v>
      </c>
      <c r="AB302" s="777" t="str">
        <f>vlookup(F302,'2) Tracker'!$A$3:$Q$504,17,false)</f>
        <v/>
      </c>
      <c r="AC302" s="778"/>
      <c r="AD302" s="778" t="str">
        <f>VLOOKUP(F302,'2) Tracker'!$A$2:$BO$980,37,FALSE)</f>
        <v/>
      </c>
      <c r="AE302" s="778">
        <f>VLOOKUP(F302,'2) Tracker'!$A$2:$BO$980,40,FALSE)</f>
        <v>46144</v>
      </c>
      <c r="AF302" s="778" t="str">
        <f>VLOOKUP(F302,'2) Tracker'!$A$2:$BO$980,67,FALSE)</f>
        <v/>
      </c>
      <c r="AG302" s="778" t="str">
        <f>VLOOKUP(F302,'2) Tracker'!$A$2:$BO$980,34,FALSE)</f>
        <v/>
      </c>
      <c r="AH302" s="778" t="str">
        <f>VLOOKUP(F302,'2) Tracker'!$A$2:$BN$980,66,FALSE)</f>
        <v/>
      </c>
      <c r="AI302" s="778" t="str">
        <f>VLOOKUP(F302,'2) Tracker'!$A$2:$BO$980,56,FALSE)</f>
        <v/>
      </c>
      <c r="AJ302" s="778" t="str">
        <f>VLOOKUP(F302,'2) Tracker'!$A$2:$BO$980,52,FALSE)</f>
        <v/>
      </c>
      <c r="AK302" s="778">
        <f>VLOOKUP(F302,'2) Tracker'!$A$2:$AQ$980,43,FALSE)</f>
        <v>46131</v>
      </c>
      <c r="AL302" s="778">
        <f>VLOOKUP(F302,'2) Tracker'!$A$2:$BH$980,46,FALSE())</f>
        <v>46140</v>
      </c>
      <c r="AM302" s="778">
        <f>VLOOKUP(F302,'2) Tracker'!$A$2:$BO$980,65,FALSE())</f>
        <v>46119</v>
      </c>
      <c r="AN302" s="778">
        <f>VLOOKUP(F302,'2) Tracker'!$A$2:$BK$980,63,FALSE())</f>
        <v>46145</v>
      </c>
      <c r="AO302" s="778" t="str">
        <f>VLOOKUP(F302,'2) Tracker'!$A$2:$BF$980,58,FALSE())</f>
        <v/>
      </c>
      <c r="AP302" s="52"/>
      <c r="AQ302" s="52"/>
      <c r="AR302" s="52"/>
      <c r="AS302" s="52"/>
      <c r="AT302" s="52"/>
      <c r="AU302" s="52"/>
      <c r="AV302" s="52"/>
      <c r="AW302" s="52"/>
      <c r="AX302" s="52"/>
      <c r="AY302" s="52"/>
      <c r="AZ302" s="734"/>
      <c r="BA302" s="786" t="str">
        <f>vlookup(AZ302,'Iran, FS'!$A$1:$B$318,2, false)</f>
        <v>#N/A</v>
      </c>
      <c r="BB302" s="787" t="str">
        <f>vlookup(AZ302,'1) Kpler'!$E$2:$F$500,2,false)</f>
        <v>#N/A</v>
      </c>
      <c r="BC302" s="740"/>
      <c r="BD302" s="734"/>
      <c r="BE302" s="52"/>
      <c r="BF302" s="52"/>
      <c r="BG302" s="734"/>
      <c r="BH302" s="734"/>
      <c r="BI302" s="734"/>
      <c r="BJ302" s="734"/>
    </row>
    <row r="303">
      <c r="B303" s="765" t="str">
        <f>vlookup(F303,'2) Tracker'!$A$3:$O$410,5,false)</f>
        <v/>
      </c>
      <c r="C303" s="765" t="str">
        <f>vlookup(F303,'2) Tracker'!$A$3:$O$410,4,false)</f>
        <v/>
      </c>
      <c r="D303" s="734"/>
      <c r="E303" s="734" t="str">
        <f>vlookup(F303,'2) Tracker'!$A$3:$O$406,15,false)</f>
        <v/>
      </c>
      <c r="F303" s="822" t="s">
        <v>282</v>
      </c>
      <c r="G303" s="792">
        <f>VLOOKUP(F303,'2) Tracker'!$A$2:$BO$360,2,FALSE)</f>
        <v>37773</v>
      </c>
      <c r="H303" s="768">
        <f>VLOOKUP(F303,'2) Tracker'!$A$2:$BO$360,3,FALSE)</f>
        <v>78934</v>
      </c>
      <c r="I303" s="777" t="str">
        <f>VLOOKUP(F303,'2) Tracker'!$A$2:$BO$360,9,FALSE)</f>
        <v>Astomos</v>
      </c>
      <c r="J303" s="770" t="str">
        <f>VLOOKUP(F303,'2) Tracker'!$A$2:$BO$360,12,FALSE)</f>
        <v>Cape ballast</v>
      </c>
      <c r="K303" s="774" t="str">
        <f t="shared" si="207"/>
        <v/>
      </c>
      <c r="L303" s="774">
        <f t="shared" ref="L303:O303" si="351">AE303</f>
        <v>46146</v>
      </c>
      <c r="M303" s="771" t="str">
        <f t="shared" si="351"/>
        <v/>
      </c>
      <c r="N303" s="772" t="str">
        <f t="shared" si="351"/>
        <v/>
      </c>
      <c r="O303" s="772" t="str">
        <f t="shared" si="351"/>
        <v/>
      </c>
      <c r="P303" s="773" t="str">
        <f>iferror(if(vlookup(F303,'Voyage days'!$M$808:$N$819,2,false),"GOA",""),"")</f>
        <v/>
      </c>
      <c r="Q303" s="771">
        <f t="shared" si="81"/>
        <v>46126</v>
      </c>
      <c r="R303" s="774">
        <f t="shared" si="83"/>
        <v>46148</v>
      </c>
      <c r="S303" s="774">
        <f t="shared" si="5"/>
        <v>46141</v>
      </c>
      <c r="T303" s="771">
        <f t="shared" si="6"/>
        <v>46135</v>
      </c>
      <c r="U303" s="774">
        <f t="shared" si="84"/>
        <v>46142</v>
      </c>
      <c r="V303" s="745" t="s">
        <v>1523</v>
      </c>
      <c r="W303" s="771" t="str">
        <f t="shared" si="85"/>
        <v/>
      </c>
      <c r="X303" s="775" t="str">
        <f t="shared" si="9"/>
        <v/>
      </c>
      <c r="Y303" s="776" t="s">
        <v>1531</v>
      </c>
      <c r="Z303" s="777" t="str">
        <f>vlookup(F303,'2) Tracker'!$A$3:$Q$504,16,false)</f>
        <v>ETA USG 04 May via Cape</v>
      </c>
      <c r="AA303" s="777" t="str">
        <f>vlookup(F303,'2) Tracker'!$A$3:$R$504,18,false)</f>
        <v>Astomos 24-25 Jan Ras Laffan</v>
      </c>
      <c r="AB303" s="777" t="str">
        <f>vlookup(F303,'2) Tracker'!$A$3:$Q$504,17,false)</f>
        <v/>
      </c>
      <c r="AC303" s="778"/>
      <c r="AD303" s="778" t="str">
        <f>VLOOKUP(F303,'2) Tracker'!$A$2:$BO$980,37,FALSE)</f>
        <v/>
      </c>
      <c r="AE303" s="778">
        <f>VLOOKUP(F303,'2) Tracker'!$A$2:$BO$980,40,FALSE)</f>
        <v>46146</v>
      </c>
      <c r="AF303" s="778" t="str">
        <f>VLOOKUP(F303,'2) Tracker'!$A$2:$BO$980,67,FALSE)</f>
        <v/>
      </c>
      <c r="AG303" s="778" t="str">
        <f>VLOOKUP(F303,'2) Tracker'!$A$2:$BO$980,34,FALSE)</f>
        <v/>
      </c>
      <c r="AH303" s="778" t="str">
        <f>VLOOKUP(F303,'2) Tracker'!$A$2:$BN$980,66,FALSE)</f>
        <v/>
      </c>
      <c r="AI303" s="778">
        <f>VLOOKUP(F303,'2) Tracker'!$A$2:$BO$980,56,FALSE)</f>
        <v>46142</v>
      </c>
      <c r="AJ303" s="778" t="str">
        <f>VLOOKUP(F303,'2) Tracker'!$A$2:$BO$980,52,FALSE)</f>
        <v/>
      </c>
      <c r="AK303" s="778">
        <f>VLOOKUP(F303,'2) Tracker'!$A$2:$AQ$980,43,FALSE)</f>
        <v>46135</v>
      </c>
      <c r="AL303" s="778">
        <f>VLOOKUP(F303,'2) Tracker'!$A$2:$BH$980,46,FALSE())</f>
        <v>46141</v>
      </c>
      <c r="AM303" s="778">
        <f>VLOOKUP(F303,'2) Tracker'!$A$2:$BO$980,65,FALSE())</f>
        <v>46126</v>
      </c>
      <c r="AN303" s="778">
        <f>VLOOKUP(F303,'2) Tracker'!$A$2:$BK$980,63,FALSE())</f>
        <v>46148</v>
      </c>
      <c r="AO303" s="778" t="str">
        <f>VLOOKUP(F303,'2) Tracker'!$A$2:$BF$980,58,FALSE())</f>
        <v/>
      </c>
      <c r="AP303" s="813"/>
      <c r="AQ303" s="813"/>
      <c r="AR303" s="52"/>
      <c r="AS303" s="52"/>
      <c r="AT303" s="52"/>
      <c r="AU303" s="52"/>
      <c r="AV303" s="52"/>
      <c r="AW303" s="52"/>
      <c r="AX303" s="52"/>
      <c r="AY303" s="52"/>
      <c r="AZ303" s="734"/>
      <c r="BA303" s="786" t="str">
        <f>vlookup(AZ303,'Iran, FS'!$A$1:$B$318,2, false)</f>
        <v>#N/A</v>
      </c>
      <c r="BB303" s="787" t="str">
        <f>vlookup(AZ303,'1) Kpler'!$E$2:$F$500,2,false)</f>
        <v>#N/A</v>
      </c>
      <c r="BC303" s="740"/>
      <c r="BD303" s="734"/>
      <c r="BE303" s="52"/>
      <c r="BF303" s="52"/>
      <c r="BG303" s="734"/>
      <c r="BH303" s="734"/>
      <c r="BI303" s="734"/>
      <c r="BJ303" s="734"/>
    </row>
    <row r="304">
      <c r="B304" s="765" t="str">
        <f>vlookup(F304,'2) Tracker'!$A$3:$O$410,5,false)</f>
        <v/>
      </c>
      <c r="C304" s="765" t="str">
        <f>vlookup(F304,'2) Tracker'!$A$3:$O$410,4,false)</f>
        <v/>
      </c>
      <c r="D304" s="732" t="s">
        <v>1515</v>
      </c>
      <c r="E304" s="734" t="str">
        <f>vlookup(F304,'2) Tracker'!$A$3:$O$406,15,false)</f>
        <v/>
      </c>
      <c r="F304" s="794" t="s">
        <v>566</v>
      </c>
      <c r="G304" s="820">
        <v>2026.0</v>
      </c>
      <c r="H304" s="768">
        <f>VLOOKUP(F304,'2) Tracker'!$A$2:$BO$360,3,FALSE)</f>
        <v>88000</v>
      </c>
      <c r="I304" s="777" t="str">
        <f>VLOOKUP(F304,'2) Tracker'!$A$2:$BO$360,9,FALSE)</f>
        <v>Gunvor</v>
      </c>
      <c r="J304" s="770" t="str">
        <f>VLOOKUP(F304,'2) Tracker'!$A$2:$BO$360,12,FALSE)</f>
        <v>Port Louis ballast</v>
      </c>
      <c r="K304" s="771" t="str">
        <f t="shared" si="207"/>
        <v/>
      </c>
      <c r="L304" s="771">
        <f t="shared" ref="L304:O304" si="352">AE304</f>
        <v>46147</v>
      </c>
      <c r="M304" s="771" t="str">
        <f t="shared" si="352"/>
        <v/>
      </c>
      <c r="N304" s="771" t="str">
        <f t="shared" si="352"/>
        <v/>
      </c>
      <c r="O304" s="772" t="str">
        <f t="shared" si="352"/>
        <v/>
      </c>
      <c r="P304" s="773" t="str">
        <f>iferror(if(vlookup(F304,'Voyage days'!$M$808:$N$819,2,false),"GOA",""),"")</f>
        <v/>
      </c>
      <c r="Q304" s="771">
        <f t="shared" si="81"/>
        <v>46122</v>
      </c>
      <c r="R304" s="771">
        <f t="shared" si="83"/>
        <v>46148</v>
      </c>
      <c r="S304" s="774">
        <f t="shared" si="5"/>
        <v>46143</v>
      </c>
      <c r="T304" s="774">
        <f t="shared" si="6"/>
        <v>46134</v>
      </c>
      <c r="U304" s="771" t="str">
        <f t="shared" si="84"/>
        <v/>
      </c>
      <c r="V304" s="771"/>
      <c r="W304" s="771" t="str">
        <f t="shared" si="85"/>
        <v/>
      </c>
      <c r="X304" s="775" t="str">
        <f t="shared" si="9"/>
        <v/>
      </c>
      <c r="Y304" s="776"/>
      <c r="Z304" s="777" t="str">
        <f>vlookup(F304,'2) Tracker'!$A$3:$Q$504,16,false)</f>
        <v>Ex Port Louis 06 Apr, ETA USG 05 May</v>
      </c>
      <c r="AA304" s="777" t="str">
        <f>vlookup(F304,'2) Tracker'!$A$3:$R$504,18,false)</f>
        <v>Gunvor 10-11 May USG</v>
      </c>
      <c r="AB304" s="777" t="str">
        <f>vlookup(F304,'2) Tracker'!$A$3:$Q$504,17,false)</f>
        <v/>
      </c>
      <c r="AC304" s="778"/>
      <c r="AD304" s="778" t="str">
        <f>VLOOKUP(F304,'2) Tracker'!$A$2:$BO$980,37,FALSE)</f>
        <v/>
      </c>
      <c r="AE304" s="778">
        <f>VLOOKUP(F304,'2) Tracker'!$A$2:$BO$980,40,FALSE)</f>
        <v>46147</v>
      </c>
      <c r="AF304" s="778" t="str">
        <f>VLOOKUP(F304,'2) Tracker'!$A$2:$BO$980,67,FALSE)</f>
        <v/>
      </c>
      <c r="AG304" s="778" t="str">
        <f>VLOOKUP(F304,'2) Tracker'!$A$2:$BO$980,34,FALSE)</f>
        <v/>
      </c>
      <c r="AH304" s="778" t="str">
        <f>VLOOKUP(F304,'2) Tracker'!$A$2:$BN$980,66,FALSE)</f>
        <v/>
      </c>
      <c r="AI304" s="779" t="str">
        <f>VLOOKUP(F304,'2) Tracker'!$A$2:$BO$980,56,FALSE)</f>
        <v/>
      </c>
      <c r="AJ304" s="779" t="str">
        <f>VLOOKUP(F304,'2) Tracker'!$A$2:$BO$980,52,FALSE)</f>
        <v/>
      </c>
      <c r="AK304" s="779">
        <f>VLOOKUP(F304,'2) Tracker'!$A$2:$AQ$980,43,FALSE)</f>
        <v>46134</v>
      </c>
      <c r="AL304" s="780">
        <f>VLOOKUP(F304,'2) Tracker'!$A$2:$BH$980,46,FALSE())</f>
        <v>46143</v>
      </c>
      <c r="AM304" s="780">
        <f>VLOOKUP(F304,'2) Tracker'!$A$2:$BO$980,65,FALSE())</f>
        <v>46122</v>
      </c>
      <c r="AN304" s="780">
        <f>VLOOKUP(F304,'2) Tracker'!$A$2:$BK$980,63,FALSE())</f>
        <v>46148</v>
      </c>
      <c r="AO304" s="780" t="str">
        <f>VLOOKUP(F304,'2) Tracker'!$A$2:$BF$980,58,FALSE())</f>
        <v/>
      </c>
      <c r="AP304" s="52"/>
      <c r="AQ304" s="52"/>
      <c r="AR304" s="52"/>
      <c r="AS304" s="52"/>
      <c r="AT304" s="52"/>
      <c r="AU304" s="52"/>
      <c r="AV304" s="52"/>
      <c r="AW304" s="52"/>
      <c r="AX304" s="52"/>
      <c r="AY304" s="52"/>
      <c r="AZ304" s="734"/>
      <c r="BA304" s="786" t="str">
        <f>vlookup(AZ304,'Iran, FS'!$A$1:$B$318,2, false)</f>
        <v>#N/A</v>
      </c>
      <c r="BB304" s="787" t="str">
        <f>vlookup(AZ304,'1) Kpler'!$E$2:$F$500,2,false)</f>
        <v>#N/A</v>
      </c>
      <c r="BC304" s="740"/>
      <c r="BD304" s="734"/>
      <c r="BE304" s="52"/>
      <c r="BF304" s="52"/>
      <c r="BG304" s="734"/>
      <c r="BH304" s="734"/>
      <c r="BI304" s="734"/>
      <c r="BJ304" s="734"/>
    </row>
    <row r="305">
      <c r="B305" s="765" t="str">
        <f>vlookup(F305,'2) Tracker'!$A$3:$O$410,5,false)</f>
        <v/>
      </c>
      <c r="C305" s="765" t="str">
        <f>vlookup(F305,'2) Tracker'!$A$3:$O$410,4,false)</f>
        <v/>
      </c>
      <c r="D305" s="734"/>
      <c r="E305" s="734" t="str">
        <f>vlookup(F305,'2) Tracker'!$A$3:$O$406,15,false)</f>
        <v>R?</v>
      </c>
      <c r="F305" s="788" t="s">
        <v>366</v>
      </c>
      <c r="G305" s="789">
        <f>VLOOKUP(F305,'2) Tracker'!$A$2:$BO$360,2,FALSE)</f>
        <v>2024</v>
      </c>
      <c r="H305" s="768">
        <f>VLOOKUP(F305,'2) Tracker'!$A$2:$BO$360,3,FALSE)</f>
        <v>93000</v>
      </c>
      <c r="I305" s="777" t="str">
        <f>VLOOKUP(F305,'2) Tracker'!$A$2:$BO$360,9,FALSE)</f>
        <v>Petredec</v>
      </c>
      <c r="J305" s="770" t="str">
        <f>VLOOKUP(F305,'2) Tracker'!$A$2:$BO$360,12,FALSE)</f>
        <v>Richards Bay</v>
      </c>
      <c r="K305" s="774" t="str">
        <f t="shared" si="207"/>
        <v/>
      </c>
      <c r="L305" s="774">
        <f t="shared" ref="L305:O305" si="353">AE305</f>
        <v>46151</v>
      </c>
      <c r="M305" s="771" t="str">
        <f t="shared" si="353"/>
        <v/>
      </c>
      <c r="N305" s="771" t="str">
        <f t="shared" si="353"/>
        <v/>
      </c>
      <c r="O305" s="772" t="str">
        <f t="shared" si="353"/>
        <v/>
      </c>
      <c r="P305" s="773" t="str">
        <f>iferror(if(vlookup(F305,'Voyage days'!$M$808:$N$819,2,false),"GOA",""),"")</f>
        <v/>
      </c>
      <c r="Q305" s="771">
        <f t="shared" si="81"/>
        <v>46130</v>
      </c>
      <c r="R305" s="774">
        <f t="shared" si="83"/>
        <v>46153</v>
      </c>
      <c r="S305" s="774">
        <f t="shared" si="5"/>
        <v>46146</v>
      </c>
      <c r="T305" s="771">
        <f t="shared" si="6"/>
        <v>46138</v>
      </c>
      <c r="U305" s="774">
        <f t="shared" si="84"/>
        <v>46143</v>
      </c>
      <c r="V305" s="771"/>
      <c r="W305" s="771" t="str">
        <f t="shared" si="85"/>
        <v/>
      </c>
      <c r="X305" s="775" t="str">
        <f t="shared" si="9"/>
        <v/>
      </c>
      <c r="Y305" s="795"/>
      <c r="Z305" s="811"/>
      <c r="AA305" s="777" t="str">
        <f>vlookup(F305,'2) Tracker'!$A$3:$R$504,18,false)</f>
        <v>Petredec 22 Feb Targa</v>
      </c>
      <c r="AB305" s="777" t="str">
        <f>vlookup(F305,'2) Tracker'!$A$3:$Q$504,17,false)</f>
        <v/>
      </c>
      <c r="AC305" s="778"/>
      <c r="AD305" s="778" t="str">
        <f>VLOOKUP(F305,'2) Tracker'!$A$2:$BO$980,37,FALSE)</f>
        <v/>
      </c>
      <c r="AE305" s="778">
        <f>VLOOKUP(F305,'2) Tracker'!$A$2:$BO$980,40,FALSE)</f>
        <v>46151</v>
      </c>
      <c r="AF305" s="778" t="str">
        <f>VLOOKUP(F305,'2) Tracker'!$A$2:$BO$980,67,FALSE)</f>
        <v/>
      </c>
      <c r="AG305" s="778" t="str">
        <f>VLOOKUP(F305,'2) Tracker'!$A$2:$BO$980,34,FALSE)</f>
        <v/>
      </c>
      <c r="AH305" s="778" t="str">
        <f>VLOOKUP(F305,'2) Tracker'!$A$2:$BN$980,66,FALSE)</f>
        <v/>
      </c>
      <c r="AI305" s="778">
        <f>VLOOKUP(F305,'2) Tracker'!$A$2:$BO$980,56,FALSE)</f>
        <v>46143</v>
      </c>
      <c r="AJ305" s="778" t="str">
        <f>VLOOKUP(F305,'2) Tracker'!$A$2:$BO$980,52,FALSE)</f>
        <v/>
      </c>
      <c r="AK305" s="778">
        <f>VLOOKUP(F305,'2) Tracker'!$A$2:$AQ$980,43,FALSE)</f>
        <v>46138</v>
      </c>
      <c r="AL305" s="778">
        <f>VLOOKUP(F305,'2) Tracker'!$A$2:$BH$980,46,FALSE())</f>
        <v>46146</v>
      </c>
      <c r="AM305" s="778">
        <f>VLOOKUP(F305,'2) Tracker'!$A$2:$BO$980,65,FALSE())</f>
        <v>46130</v>
      </c>
      <c r="AN305" s="778">
        <f>VLOOKUP(F305,'2) Tracker'!$A$2:$BK$980,63,FALSE())</f>
        <v>46153</v>
      </c>
      <c r="AO305" s="778" t="str">
        <f>VLOOKUP(F305,'2) Tracker'!$A$2:$BF$980,58,FALSE())</f>
        <v/>
      </c>
      <c r="AP305" s="52"/>
      <c r="AQ305" s="52"/>
      <c r="AR305" s="52"/>
      <c r="AS305" s="52"/>
      <c r="AT305" s="52"/>
      <c r="AU305" s="52"/>
      <c r="AV305" s="52"/>
      <c r="AW305" s="52"/>
      <c r="AX305" s="52"/>
      <c r="AY305" s="52"/>
      <c r="AZ305" s="734"/>
      <c r="BA305" s="786" t="str">
        <f>vlookup(AZ305,'Iran, FS'!$A$1:$B$318,2, false)</f>
        <v>#N/A</v>
      </c>
      <c r="BB305" s="787" t="str">
        <f>vlookup(AZ305,'1) Kpler'!$E$2:$F$500,2,false)</f>
        <v>#N/A</v>
      </c>
      <c r="BC305" s="740"/>
      <c r="BD305" s="734"/>
      <c r="BE305" s="52"/>
      <c r="BF305" s="52"/>
      <c r="BG305" s="734"/>
      <c r="BH305" s="734"/>
      <c r="BI305" s="734"/>
      <c r="BJ305" s="734"/>
    </row>
    <row r="306">
      <c r="B306" s="765" t="str">
        <f>vlookup(F306,'2) Tracker'!$A$3:$O$410,5,false)</f>
        <v/>
      </c>
      <c r="C306" s="765" t="str">
        <f>vlookup(F306,'2) Tracker'!$A$3:$O$410,4,false)</f>
        <v/>
      </c>
      <c r="D306" s="734"/>
      <c r="E306" s="734" t="str">
        <f>vlookup(F306,'2) Tracker'!$A$3:$O$406,15,false)</f>
        <v/>
      </c>
      <c r="F306" s="788" t="s">
        <v>508</v>
      </c>
      <c r="G306" s="789">
        <f>VLOOKUP(F306,'2) Tracker'!$A$2:$BO$360,2,FALSE)</f>
        <v>2022</v>
      </c>
      <c r="H306" s="768">
        <f>VLOOKUP(F306,'2) Tracker'!$A$2:$BO$360,3,FALSE)</f>
        <v>86000</v>
      </c>
      <c r="I306" s="770" t="str">
        <f>VLOOKUP(F306,'2) Tracker'!$A$2:$BO$360,9,FALSE)</f>
        <v>Wanhua</v>
      </c>
      <c r="J306" s="770" t="str">
        <f>VLOOKUP(F306,'2) Tracker'!$A$2:$BO$360,12,FALSE)</f>
        <v>WCI</v>
      </c>
      <c r="K306" s="774" t="str">
        <f t="shared" si="207"/>
        <v/>
      </c>
      <c r="L306" s="774">
        <f t="shared" ref="L306:O306" si="354">AE306</f>
        <v>46153</v>
      </c>
      <c r="M306" s="771" t="str">
        <f t="shared" si="354"/>
        <v/>
      </c>
      <c r="N306" s="771">
        <f t="shared" si="354"/>
        <v>46126</v>
      </c>
      <c r="O306" s="772" t="str">
        <f t="shared" si="354"/>
        <v/>
      </c>
      <c r="P306" s="773" t="str">
        <f>iferror(if(vlookup(F306,'Voyage days'!$M$808:$N$819,2,false),"GOA",""),"")</f>
        <v>GOA</v>
      </c>
      <c r="Q306" s="772">
        <f t="shared" si="81"/>
        <v>46129</v>
      </c>
      <c r="R306" s="771">
        <f t="shared" si="83"/>
        <v>46156</v>
      </c>
      <c r="S306" s="774">
        <f t="shared" si="5"/>
        <v>46134</v>
      </c>
      <c r="T306" s="771">
        <f t="shared" si="6"/>
        <v>46140</v>
      </c>
      <c r="U306" s="771" t="str">
        <f t="shared" si="84"/>
        <v/>
      </c>
      <c r="V306" s="771"/>
      <c r="W306" s="771" t="str">
        <f t="shared" si="85"/>
        <v/>
      </c>
      <c r="X306" s="775" t="str">
        <f t="shared" si="9"/>
        <v/>
      </c>
      <c r="Y306" s="784"/>
      <c r="Z306" s="777" t="str">
        <f>vlookup(F306,'2) Tracker'!$A$3:$Q$504,16,false)</f>
        <v>drifting Arabian Sea 02 Apr, WCI as proxy</v>
      </c>
      <c r="AA306" s="777" t="str">
        <f>vlookup(F306,'2) Tracker'!$A$3:$R$504,18,false)</f>
        <v>Wanhua 07-08 Feb AG</v>
      </c>
      <c r="AB306" s="777" t="str">
        <f>vlookup(F306,'2) Tracker'!$A$3:$Q$504,17,false)</f>
        <v/>
      </c>
      <c r="AC306" s="778"/>
      <c r="AD306" s="778" t="str">
        <f>VLOOKUP(F306,'2) Tracker'!$A$2:$BO$980,37,FALSE)</f>
        <v/>
      </c>
      <c r="AE306" s="778">
        <f>VLOOKUP(F306,'2) Tracker'!$A$2:$BO$980,40,FALSE)</f>
        <v>46153</v>
      </c>
      <c r="AF306" s="778" t="str">
        <f>VLOOKUP(F306,'2) Tracker'!$A$2:$BO$980,67,FALSE)</f>
        <v/>
      </c>
      <c r="AG306" s="778">
        <f>VLOOKUP(F306,'2) Tracker'!$A$2:$BO$980,34,FALSE)</f>
        <v>46126</v>
      </c>
      <c r="AH306" s="778" t="str">
        <f>VLOOKUP(F306,'2) Tracker'!$A$2:$BN$980,66,FALSE)</f>
        <v/>
      </c>
      <c r="AI306" s="778" t="str">
        <f>VLOOKUP(F306,'2) Tracker'!$A$2:$BO$980,56,FALSE)</f>
        <v/>
      </c>
      <c r="AJ306" s="778" t="str">
        <f>VLOOKUP(F306,'2) Tracker'!$A$2:$BO$980,52,FALSE)</f>
        <v/>
      </c>
      <c r="AK306" s="778">
        <f>VLOOKUP(F306,'2) Tracker'!$A$2:$AQ$980,43,FALSE)</f>
        <v>46140</v>
      </c>
      <c r="AL306" s="778">
        <f>VLOOKUP(F306,'2) Tracker'!$A$2:$BH$980,46,FALSE())</f>
        <v>46134</v>
      </c>
      <c r="AM306" s="778">
        <f>VLOOKUP(F306,'2) Tracker'!$A$2:$BO$980,65,FALSE())</f>
        <v>46129</v>
      </c>
      <c r="AN306" s="778">
        <f>VLOOKUP(F306,'2) Tracker'!$A$2:$BK$980,63,FALSE())</f>
        <v>46156</v>
      </c>
      <c r="AO306" s="778" t="str">
        <f>VLOOKUP(F306,'2) Tracker'!$A$2:$BF$980,58,FALSE())</f>
        <v/>
      </c>
      <c r="AP306" s="52"/>
      <c r="AQ306" s="52"/>
      <c r="AR306" s="52"/>
      <c r="AS306" s="52"/>
      <c r="AT306" s="52"/>
      <c r="AU306" s="52"/>
      <c r="AV306" s="860" t="s">
        <v>1608</v>
      </c>
      <c r="AW306" s="52"/>
      <c r="AX306" s="52"/>
      <c r="AY306" s="52"/>
      <c r="AZ306" s="787"/>
      <c r="BA306" s="786" t="str">
        <f>vlookup(AZ306,'Iran, FS'!$A$1:$B$318,2, false)</f>
        <v>#N/A</v>
      </c>
      <c r="BB306" s="787" t="str">
        <f>vlookup(AZ306,'1) Kpler'!$E$2:$F$500,2,false)</f>
        <v>#N/A</v>
      </c>
      <c r="BC306" s="859" t="s">
        <v>1609</v>
      </c>
      <c r="BD306" s="787"/>
      <c r="BE306" s="52"/>
      <c r="BF306" s="52"/>
      <c r="BG306" s="803" t="s">
        <v>1610</v>
      </c>
      <c r="BH306" s="788" t="s">
        <v>1066</v>
      </c>
      <c r="BI306" s="787"/>
      <c r="BJ306" s="787"/>
    </row>
    <row r="307">
      <c r="B307" s="765" t="str">
        <f>vlookup(F307,'2) Tracker'!$A$3:$O$410,5,false)</f>
        <v/>
      </c>
      <c r="C307" s="765"/>
      <c r="D307" s="734"/>
      <c r="E307" s="734" t="str">
        <f>vlookup(F307,'2) Tracker'!$A$3:$O$406,15,false)</f>
        <v/>
      </c>
      <c r="F307" s="822" t="s">
        <v>496</v>
      </c>
      <c r="G307" s="789">
        <f>VLOOKUP(F307,'2) Tracker'!$A$2:$BO$360,2,FALSE)</f>
        <v>2020</v>
      </c>
      <c r="H307" s="768">
        <f>VLOOKUP(F307,'2) Tracker'!$A$2:$BO$360,3,FALSE)</f>
        <v>82416</v>
      </c>
      <c r="I307" s="777" t="str">
        <f>VLOOKUP(F307,'2) Tracker'!$A$2:$BO$360,9,FALSE)</f>
        <v>JGE</v>
      </c>
      <c r="J307" s="770" t="str">
        <f>VLOOKUP(F307,'2) Tracker'!$A$2:$BO$360,12,FALSE)</f>
        <v>Cape ballast</v>
      </c>
      <c r="K307" s="771" t="str">
        <f t="shared" si="207"/>
        <v/>
      </c>
      <c r="L307" s="771">
        <f t="shared" ref="L307:O307" si="355">AE307</f>
        <v>46153</v>
      </c>
      <c r="M307" s="771" t="str">
        <f t="shared" si="355"/>
        <v/>
      </c>
      <c r="N307" s="771" t="str">
        <f t="shared" si="355"/>
        <v/>
      </c>
      <c r="O307" s="772" t="str">
        <f t="shared" si="355"/>
        <v/>
      </c>
      <c r="P307" s="773" t="str">
        <f>iferror(if(vlookup(F307,'Voyage days'!$M$808:$N$819,2,false),"GOA",""),"")</f>
        <v/>
      </c>
      <c r="Q307" s="771">
        <f t="shared" si="81"/>
        <v>46133</v>
      </c>
      <c r="R307" s="771">
        <f t="shared" si="83"/>
        <v>46155</v>
      </c>
      <c r="S307" s="774">
        <f t="shared" si="5"/>
        <v>46148</v>
      </c>
      <c r="T307" s="771">
        <f t="shared" si="6"/>
        <v>46142</v>
      </c>
      <c r="U307" s="771">
        <f t="shared" si="84"/>
        <v>46149</v>
      </c>
      <c r="V307" s="745" t="s">
        <v>1523</v>
      </c>
      <c r="W307" s="771" t="str">
        <f t="shared" si="85"/>
        <v/>
      </c>
      <c r="X307" s="775" t="str">
        <f t="shared" si="9"/>
        <v/>
      </c>
      <c r="Y307" s="776"/>
      <c r="Z307" s="777" t="str">
        <f>vlookup(F307,'2) Tracker'!$A$3:$Q$504,16,false)</f>
        <v>ETA USG 11 May via Cape</v>
      </c>
      <c r="AA307" s="777" t="str">
        <f>vlookup(F307,'2) Tracker'!$A$3:$R$504,18,false)</f>
        <v>ATC 10-11 Feb Targa</v>
      </c>
      <c r="AB307" s="777" t="str">
        <f>vlookup(F307,'2) Tracker'!$A$3:$Q$504,17,false)</f>
        <v/>
      </c>
      <c r="AC307" s="778"/>
      <c r="AD307" s="778" t="str">
        <f>VLOOKUP(F307,'2) Tracker'!$A$2:$BO$980,37,FALSE)</f>
        <v/>
      </c>
      <c r="AE307" s="778">
        <f>VLOOKUP(F307,'2) Tracker'!$A$2:$BO$980,40,FALSE)</f>
        <v>46153</v>
      </c>
      <c r="AF307" s="778" t="str">
        <f>VLOOKUP(F307,'2) Tracker'!$A$2:$BO$980,67,FALSE)</f>
        <v/>
      </c>
      <c r="AG307" s="778" t="str">
        <f>VLOOKUP(F307,'2) Tracker'!$A$2:$BO$980,34,FALSE)</f>
        <v/>
      </c>
      <c r="AH307" s="778" t="str">
        <f>VLOOKUP(F307,'2) Tracker'!$A$2:$BN$980,66,FALSE)</f>
        <v/>
      </c>
      <c r="AI307" s="778">
        <f>VLOOKUP(F307,'2) Tracker'!$A$2:$BO$980,56,FALSE)</f>
        <v>46149</v>
      </c>
      <c r="AJ307" s="778" t="str">
        <f>VLOOKUP(F307,'2) Tracker'!$A$2:$BO$980,52,FALSE)</f>
        <v/>
      </c>
      <c r="AK307" s="778">
        <f>VLOOKUP(F307,'2) Tracker'!$A$2:$AQ$980,43,FALSE)</f>
        <v>46142</v>
      </c>
      <c r="AL307" s="778">
        <f>VLOOKUP(F307,'2) Tracker'!$A$2:$BH$980,46,FALSE())</f>
        <v>46148</v>
      </c>
      <c r="AM307" s="778">
        <f>VLOOKUP(F307,'2) Tracker'!$A$2:$BO$980,65,FALSE())</f>
        <v>46133</v>
      </c>
      <c r="AN307" s="778">
        <f>VLOOKUP(F307,'2) Tracker'!$A$2:$BK$980,63,FALSE())</f>
        <v>46155</v>
      </c>
      <c r="AO307" s="778" t="str">
        <f>VLOOKUP(F307,'2) Tracker'!$A$2:$BF$980,58,FALSE())</f>
        <v/>
      </c>
      <c r="AP307" s="52"/>
      <c r="AQ307" s="52"/>
      <c r="AR307" s="52"/>
      <c r="AS307" s="52"/>
      <c r="AT307" s="52"/>
      <c r="AU307" s="52"/>
      <c r="AV307" s="52"/>
      <c r="AW307" s="52"/>
      <c r="AX307" s="52"/>
      <c r="AY307" s="52"/>
      <c r="AZ307" s="734"/>
      <c r="BA307" s="786" t="str">
        <f>vlookup(AZ307,'Iran, FS'!$A$1:$B$318,2, false)</f>
        <v>#N/A</v>
      </c>
      <c r="BB307" s="787" t="str">
        <f>vlookup(AZ307,'1) Kpler'!$E$2:$F$500,2,false)</f>
        <v>#N/A</v>
      </c>
      <c r="BC307" s="740"/>
      <c r="BD307" s="734"/>
      <c r="BE307" s="52"/>
      <c r="BF307" s="52"/>
      <c r="BG307" s="734"/>
      <c r="BH307" s="734"/>
      <c r="BI307" s="734"/>
      <c r="BJ307" s="734"/>
    </row>
    <row r="308">
      <c r="B308" s="765" t="str">
        <f>vlookup(F308,'2) Tracker'!$A$3:$O$410,5,false)</f>
        <v/>
      </c>
      <c r="C308" s="765" t="str">
        <f>vlookup(F308,'2) Tracker'!$A$3:$O$410,4,false)</f>
        <v/>
      </c>
      <c r="D308" s="734"/>
      <c r="E308" s="734" t="str">
        <f>vlookup(F308,'2) Tracker'!$A$3:$O$406,15,false)</f>
        <v>O?</v>
      </c>
      <c r="F308" s="788" t="s">
        <v>264</v>
      </c>
      <c r="G308" s="789">
        <f>VLOOKUP(F308,'2) Tracker'!$A$2:$BO$360,2,FALSE)</f>
        <v>2019</v>
      </c>
      <c r="H308" s="768">
        <f>VLOOKUP(F308,'2) Tracker'!$A$2:$BO$360,3,FALSE)</f>
        <v>84000</v>
      </c>
      <c r="I308" s="770" t="str">
        <f>VLOOKUP(F308,'2) Tracker'!$A$2:$BO$360,9,FALSE)</f>
        <v>Neptune</v>
      </c>
      <c r="J308" s="770" t="str">
        <f>VLOOKUP(F308,'2) Tracker'!$A$2:$BO$360,12,FALSE)</f>
        <v>Galle</v>
      </c>
      <c r="K308" s="774" t="str">
        <f t="shared" si="207"/>
        <v/>
      </c>
      <c r="L308" s="774">
        <f t="shared" ref="L308:O308" si="356">AE308</f>
        <v>46155</v>
      </c>
      <c r="M308" s="771" t="str">
        <f t="shared" si="356"/>
        <v/>
      </c>
      <c r="N308" s="771">
        <f t="shared" si="356"/>
        <v>46129</v>
      </c>
      <c r="O308" s="772" t="str">
        <f t="shared" si="356"/>
        <v/>
      </c>
      <c r="P308" s="773" t="str">
        <f>iferror(if(vlookup(F308,'Voyage days'!$M$808:$N$819,2,false),"GOA",""),"")</f>
        <v>GOA</v>
      </c>
      <c r="Q308" s="772">
        <f t="shared" si="81"/>
        <v>46133</v>
      </c>
      <c r="R308" s="774">
        <f t="shared" si="83"/>
        <v>46167</v>
      </c>
      <c r="S308" s="774">
        <f t="shared" si="5"/>
        <v>46150</v>
      </c>
      <c r="T308" s="771">
        <f t="shared" si="6"/>
        <v>46142</v>
      </c>
      <c r="U308" s="774">
        <f t="shared" si="84"/>
        <v>46131</v>
      </c>
      <c r="V308" s="771"/>
      <c r="W308" s="771" t="str">
        <f t="shared" si="85"/>
        <v/>
      </c>
      <c r="X308" s="775" t="str">
        <f t="shared" si="9"/>
        <v/>
      </c>
      <c r="Y308" s="795"/>
      <c r="Z308" s="777" t="str">
        <f>vlookup(F308,'2) Tracker'!$A$3:$Q$504,16,false)</f>
        <v>ETA Galle 12 Apr</v>
      </c>
      <c r="AA308" s="777" t="str">
        <f>vlookup(F308,'2) Tracker'!$A$3:$R$504,18,false)</f>
        <v>ATC 01-02 Mar Yanbu</v>
      </c>
      <c r="AB308" s="777" t="str">
        <f>vlookup(F308,'2) Tracker'!$A$3:$Q$504,17,false)</f>
        <v/>
      </c>
      <c r="AC308" s="778"/>
      <c r="AD308" s="778" t="str">
        <f>VLOOKUP(F308,'2) Tracker'!$A$2:$BO$980,37,FALSE)</f>
        <v/>
      </c>
      <c r="AE308" s="778">
        <f>VLOOKUP(F308,'2) Tracker'!$A$2:$BO$980,40,FALSE)</f>
        <v>46155</v>
      </c>
      <c r="AF308" s="778" t="str">
        <f>VLOOKUP(F308,'2) Tracker'!$A$2:$BO$980,67,FALSE)</f>
        <v/>
      </c>
      <c r="AG308" s="778">
        <f>VLOOKUP(F308,'2) Tracker'!$A$2:$BO$980,34,FALSE)</f>
        <v>46129</v>
      </c>
      <c r="AH308" s="778" t="str">
        <f>VLOOKUP(F308,'2) Tracker'!$A$2:$BN$980,66,FALSE)</f>
        <v/>
      </c>
      <c r="AI308" s="778">
        <f>VLOOKUP(F308,'2) Tracker'!$A$2:$BO$980,56,FALSE)</f>
        <v>46131</v>
      </c>
      <c r="AJ308" s="778" t="str">
        <f>VLOOKUP(F308,'2) Tracker'!$A$2:$BO$980,52,FALSE)</f>
        <v/>
      </c>
      <c r="AK308" s="778">
        <f>VLOOKUP(F308,'2) Tracker'!$A$2:$AQ$980,43,FALSE)</f>
        <v>46142</v>
      </c>
      <c r="AL308" s="778">
        <f>VLOOKUP(F308,'2) Tracker'!$A$2:$BH$980,46,FALSE())</f>
        <v>46150</v>
      </c>
      <c r="AM308" s="778">
        <f>VLOOKUP(F308,'2) Tracker'!$A$2:$BO$980,65,FALSE())</f>
        <v>46133</v>
      </c>
      <c r="AN308" s="778">
        <f>VLOOKUP(F308,'2) Tracker'!$A$2:$BK$980,63,FALSE())</f>
        <v>46167</v>
      </c>
      <c r="AO308" s="778" t="str">
        <f>VLOOKUP(F308,'2) Tracker'!$A$2:$BF$980,58,FALSE())</f>
        <v/>
      </c>
      <c r="AP308" s="52"/>
      <c r="AQ308" s="52"/>
      <c r="AR308" s="52"/>
      <c r="AS308" s="52"/>
      <c r="AT308" s="52"/>
      <c r="AU308" s="52"/>
      <c r="AV308" s="52"/>
      <c r="AW308" s="52"/>
      <c r="AX308" s="52"/>
      <c r="AY308" s="52"/>
      <c r="AZ308" s="734"/>
      <c r="BA308" s="786" t="str">
        <f>vlookup(AZ308,'Iran, FS'!$A$1:$B$318,2, false)</f>
        <v>#N/A</v>
      </c>
      <c r="BB308" s="787" t="str">
        <f>vlookup(AZ308,'1) Kpler'!$E$2:$F$500,2,false)</f>
        <v>#N/A</v>
      </c>
      <c r="BC308" s="740"/>
      <c r="BD308" s="734"/>
      <c r="BE308" s="52"/>
      <c r="BF308" s="52"/>
      <c r="BG308" s="734"/>
      <c r="BH308" s="734"/>
      <c r="BI308" s="734"/>
      <c r="BJ308" s="734"/>
    </row>
    <row r="309">
      <c r="B309" s="765" t="str">
        <f>vlookup(F309,'2) Tracker'!$A$3:$O$410,5,false)</f>
        <v/>
      </c>
      <c r="C309" s="765" t="str">
        <f>vlookup(F309,'2) Tracker'!$A$3:$O$410,4,false)</f>
        <v>US</v>
      </c>
      <c r="D309" s="732" t="s">
        <v>1515</v>
      </c>
      <c r="E309" s="734" t="str">
        <f>vlookup(F309,'2) Tracker'!$A$3:$O$406,15,false)</f>
        <v/>
      </c>
      <c r="F309" s="797" t="s">
        <v>203</v>
      </c>
      <c r="G309" s="789">
        <f>VLOOKUP(F309,'2) Tracker'!$A$2:$BO$360,2,FALSE)</f>
        <v>2023</v>
      </c>
      <c r="H309" s="768">
        <f>VLOOKUP(F309,'2) Tracker'!$A$2:$BO$360,3,FALSE)</f>
        <v>86000</v>
      </c>
      <c r="I309" s="770" t="str">
        <f>VLOOKUP(F309,'2) Tracker'!$A$2:$BO$360,9,FALSE)</f>
        <v>Helios</v>
      </c>
      <c r="J309" s="770" t="str">
        <f>VLOOKUP(F309,'2) Tracker'!$A$2:$BO$360,12,FALSE)</f>
        <v>loads USG</v>
      </c>
      <c r="K309" s="771" t="str">
        <f t="shared" si="207"/>
        <v/>
      </c>
      <c r="L309" s="771">
        <f t="shared" ref="L309:O309" si="357">AE309</f>
        <v>46155</v>
      </c>
      <c r="M309" s="771" t="str">
        <f t="shared" si="357"/>
        <v/>
      </c>
      <c r="N309" s="771">
        <f t="shared" si="357"/>
        <v>46129</v>
      </c>
      <c r="O309" s="772" t="str">
        <f t="shared" si="357"/>
        <v/>
      </c>
      <c r="P309" s="773" t="str">
        <f>iferror(if(vlookup(F309,'Voyage days'!$M$808:$N$819,2,false),"GOA",""),"")</f>
        <v/>
      </c>
      <c r="Q309" s="771">
        <f t="shared" si="81"/>
        <v>46133</v>
      </c>
      <c r="R309" s="771">
        <f t="shared" si="83"/>
        <v>46167</v>
      </c>
      <c r="S309" s="774">
        <f t="shared" si="5"/>
        <v>46150</v>
      </c>
      <c r="T309" s="771">
        <f t="shared" si="6"/>
        <v>46142</v>
      </c>
      <c r="U309" s="771">
        <f t="shared" si="84"/>
        <v>46131</v>
      </c>
      <c r="V309" s="771"/>
      <c r="W309" s="771" t="str">
        <f t="shared" si="85"/>
        <v/>
      </c>
      <c r="X309" s="775" t="str">
        <f t="shared" si="9"/>
        <v/>
      </c>
      <c r="Y309" s="776"/>
      <c r="Z309" s="777" t="str">
        <f>vlookup(F308,'2) Tracker'!$A$3:$Q$504,16,false)</f>
        <v>ETA Galle 12 Apr</v>
      </c>
      <c r="AA309" s="777" t="str">
        <f>vlookup(F309,'2) Tracker'!$A$3:$R$504,18,false)</f>
        <v>E1 18-19 May USG</v>
      </c>
      <c r="AB309" s="777" t="str">
        <f>vlookup(F308,'2) Tracker'!$A$3:$Q$504,17,false)</f>
        <v/>
      </c>
      <c r="AC309" s="778"/>
      <c r="AD309" s="778" t="str">
        <f>VLOOKUP(F308,'2) Tracker'!$A$2:$BO$980,37,FALSE)</f>
        <v/>
      </c>
      <c r="AE309" s="778">
        <f>VLOOKUP(F308,'2) Tracker'!$A$2:$BO$980,40,FALSE)</f>
        <v>46155</v>
      </c>
      <c r="AF309" s="778" t="str">
        <f>VLOOKUP(F308,'2) Tracker'!$A$2:$BO$980,67,FALSE)</f>
        <v/>
      </c>
      <c r="AG309" s="778">
        <f>VLOOKUP(F308,'2) Tracker'!$A$2:$BO$980,34,FALSE)</f>
        <v>46129</v>
      </c>
      <c r="AH309" s="778" t="str">
        <f>VLOOKUP(F308,'2) Tracker'!$A$2:$BN$980,66,FALSE)</f>
        <v/>
      </c>
      <c r="AI309" s="778">
        <f>VLOOKUP(F308,'2) Tracker'!$A$2:$BO$980,56,FALSE)</f>
        <v>46131</v>
      </c>
      <c r="AJ309" s="778" t="str">
        <f>VLOOKUP(F308,'2) Tracker'!$A$2:$BO$980,52,FALSE)</f>
        <v/>
      </c>
      <c r="AK309" s="778">
        <f>VLOOKUP(F308,'2) Tracker'!$A$2:$AQ$980,43,FALSE)</f>
        <v>46142</v>
      </c>
      <c r="AL309" s="778">
        <f>VLOOKUP(F308,'2) Tracker'!$A$2:$BH$980,46,FALSE())</f>
        <v>46150</v>
      </c>
      <c r="AM309" s="778">
        <f>VLOOKUP(F308,'2) Tracker'!$A$2:$BO$980,65,FALSE())</f>
        <v>46133</v>
      </c>
      <c r="AN309" s="778">
        <f>VLOOKUP(F308,'2) Tracker'!$A$2:$BK$980,63,FALSE())</f>
        <v>46167</v>
      </c>
      <c r="AO309" s="778" t="str">
        <f>VLOOKUP(F308,'2) Tracker'!$A$2:$BF$980,58,FALSE())</f>
        <v/>
      </c>
      <c r="AP309" s="52"/>
      <c r="AQ309" s="52"/>
      <c r="AR309" s="52"/>
      <c r="AS309" s="52"/>
      <c r="AT309" s="52"/>
      <c r="AU309" s="52"/>
      <c r="AV309" s="52"/>
      <c r="AW309" s="52"/>
      <c r="AX309" s="52"/>
      <c r="AY309" s="52"/>
      <c r="AZ309" s="787"/>
      <c r="BA309" s="786" t="str">
        <f>vlookup(AZ309,'Iran, FS'!$A$1:$B$318,2, false)</f>
        <v>#N/A</v>
      </c>
      <c r="BB309" s="787" t="str">
        <f>vlookup(AZ309,'1) Kpler'!$E$2:$F$500,2,false)</f>
        <v>#N/A</v>
      </c>
      <c r="BC309" s="788"/>
      <c r="BD309" s="787"/>
      <c r="BE309" s="52"/>
      <c r="BF309" s="52"/>
      <c r="BG309" s="787"/>
      <c r="BH309" s="787"/>
      <c r="BI309" s="787"/>
      <c r="BJ309" s="787"/>
    </row>
    <row r="310">
      <c r="B310" s="765" t="str">
        <f>vlookup(F310,'2) Tracker'!$A$3:$O$410,5,false)</f>
        <v>C</v>
      </c>
      <c r="C310" s="765" t="str">
        <f>vlookup(F310,'2) Tracker'!$A$3:$O$410,4,false)</f>
        <v/>
      </c>
      <c r="D310" s="734"/>
      <c r="E310" s="734" t="str">
        <f>vlookup(F310,'2) Tracker'!$A$3:$O$406,15,false)</f>
        <v>O</v>
      </c>
      <c r="F310" s="788" t="s">
        <v>88</v>
      </c>
      <c r="G310" s="789">
        <f>VLOOKUP(F310,'2) Tracker'!$A$2:$BO$360,2,FALSE)</f>
        <v>2006</v>
      </c>
      <c r="H310" s="768">
        <f>VLOOKUP(F310,'2) Tracker'!$A$2:$BO$360,3,FALSE)</f>
        <v>82252</v>
      </c>
      <c r="I310" s="770" t="str">
        <f>VLOOKUP(F310,'2) Tracker'!$A$2:$BO$360,9,FALSE)</f>
        <v>BW</v>
      </c>
      <c r="J310" s="770" t="str">
        <f>VLOOKUP(F310,'2) Tracker'!$A$2:$BO$360,12,FALSE)</f>
        <v>Port Louis ballast</v>
      </c>
      <c r="K310" s="771" t="str">
        <f t="shared" si="207"/>
        <v/>
      </c>
      <c r="L310" s="774">
        <f t="shared" ref="L310:O310" si="358">AE310</f>
        <v>46159</v>
      </c>
      <c r="M310" s="771" t="str">
        <f t="shared" si="358"/>
        <v/>
      </c>
      <c r="N310" s="771" t="str">
        <f t="shared" si="358"/>
        <v/>
      </c>
      <c r="O310" s="772" t="str">
        <f t="shared" si="358"/>
        <v/>
      </c>
      <c r="P310" s="773" t="str">
        <f>iferror(if(vlookup(F310,'Voyage days'!$M$808:$N$819,2,false),"GOA",""),"")</f>
        <v/>
      </c>
      <c r="Q310" s="771">
        <f t="shared" si="81"/>
        <v>46134</v>
      </c>
      <c r="R310" s="771">
        <f t="shared" si="83"/>
        <v>46160</v>
      </c>
      <c r="S310" s="774">
        <f t="shared" si="5"/>
        <v>46155</v>
      </c>
      <c r="T310" s="774">
        <f t="shared" si="6"/>
        <v>46146</v>
      </c>
      <c r="U310" s="771" t="str">
        <f t="shared" si="84"/>
        <v/>
      </c>
      <c r="V310" s="745" t="s">
        <v>1523</v>
      </c>
      <c r="W310" s="771" t="str">
        <f t="shared" si="85"/>
        <v/>
      </c>
      <c r="X310" s="775" t="str">
        <f t="shared" si="9"/>
        <v/>
      </c>
      <c r="Y310" s="795"/>
      <c r="Z310" s="777" t="str">
        <f>vlookup(F310,'2) Tracker'!$A$3:$Q$504,16,false)</f>
        <v>ETA USG 17 May via Cape</v>
      </c>
      <c r="AA310" s="777" t="str">
        <f>vlookup(F310,'2) Tracker'!$A$3:$R$504,18,false)</f>
        <v>AGT 13-14 Feb Ruwais</v>
      </c>
      <c r="AB310" s="777" t="str">
        <f>vlookup(F310,'2) Tracker'!$A$3:$Q$504,17,false)</f>
        <v/>
      </c>
      <c r="AC310" s="778"/>
      <c r="AD310" s="778" t="str">
        <f>VLOOKUP(F310,'2) Tracker'!$A$2:$BO$980,37,FALSE)</f>
        <v/>
      </c>
      <c r="AE310" s="778">
        <f>VLOOKUP(F310,'2) Tracker'!$A$2:$BO$980,40,FALSE)</f>
        <v>46159</v>
      </c>
      <c r="AF310" s="778" t="str">
        <f>VLOOKUP(F310,'2) Tracker'!$A$2:$BO$980,67,FALSE)</f>
        <v/>
      </c>
      <c r="AG310" s="778" t="str">
        <f>VLOOKUP(F310,'2) Tracker'!$A$2:$BO$980,34,FALSE)</f>
        <v/>
      </c>
      <c r="AH310" s="778" t="str">
        <f>VLOOKUP(F310,'2) Tracker'!$A$2:$BN$980,66,FALSE)</f>
        <v/>
      </c>
      <c r="AI310" s="778" t="str">
        <f>VLOOKUP(F310,'2) Tracker'!$A$2:$BO$980,56,FALSE)</f>
        <v/>
      </c>
      <c r="AJ310" s="778" t="str">
        <f>VLOOKUP(F310,'2) Tracker'!$A$2:$BO$980,52,FALSE)</f>
        <v/>
      </c>
      <c r="AK310" s="778">
        <f>VLOOKUP(F310,'2) Tracker'!$A$2:$AQ$980,43,FALSE)</f>
        <v>46146</v>
      </c>
      <c r="AL310" s="778">
        <f>VLOOKUP(F310,'2) Tracker'!$A$2:$BH$980,46,FALSE())</f>
        <v>46155</v>
      </c>
      <c r="AM310" s="778">
        <f>VLOOKUP(F310,'2) Tracker'!$A$2:$BO$980,65,FALSE())</f>
        <v>46134</v>
      </c>
      <c r="AN310" s="778">
        <f>VLOOKUP(F310,'2) Tracker'!$A$2:$BK$980,63,FALSE())</f>
        <v>46160</v>
      </c>
      <c r="AO310" s="778" t="str">
        <f>VLOOKUP(F310,'2) Tracker'!$A$2:$BF$980,58,FALSE())</f>
        <v/>
      </c>
      <c r="AP310" s="52"/>
      <c r="AQ310" s="52"/>
      <c r="AR310" s="52"/>
      <c r="AS310" s="52"/>
      <c r="AT310" s="52"/>
      <c r="AU310" s="52"/>
      <c r="AV310" s="52"/>
      <c r="AW310" s="52"/>
      <c r="AX310" s="52"/>
      <c r="AY310" s="52"/>
      <c r="AZ310" s="787"/>
      <c r="BA310" s="786" t="str">
        <f>vlookup(AZ310,'Iran, FS'!$A$1:$B$318,2, false)</f>
        <v>#N/A</v>
      </c>
      <c r="BB310" s="787" t="str">
        <f>vlookup(AZ310,'1) Kpler'!$E$2:$F$500,2,false)</f>
        <v>#N/A</v>
      </c>
      <c r="BC310" s="788"/>
      <c r="BD310" s="787"/>
      <c r="BE310" s="52"/>
      <c r="BF310" s="52"/>
      <c r="BG310" s="787"/>
      <c r="BH310" s="787"/>
      <c r="BI310" s="787"/>
      <c r="BJ310" s="787"/>
    </row>
    <row r="311">
      <c r="B311" s="765" t="str">
        <f>vlookup(F311,'2) Tracker'!$A$3:$O$410,5,false)</f>
        <v/>
      </c>
      <c r="C311" s="861" t="s">
        <v>603</v>
      </c>
      <c r="D311" s="734"/>
      <c r="E311" s="734" t="str">
        <f>vlookup(F311,'2) Tracker'!$A$3:$O$406,15,false)</f>
        <v/>
      </c>
      <c r="F311" s="819" t="s">
        <v>96</v>
      </c>
      <c r="G311" s="844">
        <v>2003.0</v>
      </c>
      <c r="H311" s="768">
        <f>VLOOKUP(F311,'2) Tracker'!$A$2:$BO$360,3,FALSE)</f>
        <v>82557</v>
      </c>
      <c r="I311" s="770" t="str">
        <f>VLOOKUP(F311,'2) Tracker'!$A$2:$BO$360,9,FALSE)</f>
        <v>Wellbred</v>
      </c>
      <c r="J311" s="770" t="str">
        <f>VLOOKUP(F311,'2) Tracker'!$A$2:$BO$360,12,FALSE)</f>
        <v>WCI</v>
      </c>
      <c r="K311" s="771" t="str">
        <f t="shared" si="207"/>
        <v/>
      </c>
      <c r="L311" s="771">
        <f t="shared" ref="L311:O311" si="359">AE311</f>
        <v>46161</v>
      </c>
      <c r="M311" s="771" t="str">
        <f t="shared" si="359"/>
        <v/>
      </c>
      <c r="N311" s="771">
        <f t="shared" si="359"/>
        <v>46134</v>
      </c>
      <c r="O311" s="772" t="str">
        <f t="shared" si="359"/>
        <v/>
      </c>
      <c r="P311" s="773" t="str">
        <f>iferror(if(vlookup(F311,'Voyage days'!$M$808:$N$819,2,false),"GOA",""),"")</f>
        <v/>
      </c>
      <c r="Q311" s="771">
        <f t="shared" si="81"/>
        <v>46137</v>
      </c>
      <c r="R311" s="771">
        <f t="shared" si="83"/>
        <v>46164</v>
      </c>
      <c r="S311" s="774">
        <f t="shared" si="5"/>
        <v>46142</v>
      </c>
      <c r="T311" s="771">
        <f t="shared" si="6"/>
        <v>46148</v>
      </c>
      <c r="U311" s="771" t="str">
        <f t="shared" si="84"/>
        <v/>
      </c>
      <c r="V311" s="745" t="s">
        <v>1523</v>
      </c>
      <c r="W311" s="771" t="str">
        <f t="shared" si="85"/>
        <v/>
      </c>
      <c r="X311" s="775" t="str">
        <f t="shared" si="9"/>
        <v/>
      </c>
      <c r="Y311" s="839" t="s">
        <v>1611</v>
      </c>
      <c r="Z311" s="777" t="str">
        <f>vlookup(F311,'2) Tracker'!$A$3:$Q$504,16,false)</f>
        <v>drifting Arabian Sea 11 Mar</v>
      </c>
      <c r="AA311" s="777" t="str">
        <f>vlookup(F311,'2) Tracker'!$A$3:$R$504,18,false)</f>
        <v>Flaked by charterer to load Iraq</v>
      </c>
      <c r="AB311" s="777" t="str">
        <f>vlookup(F311,'2) Tracker'!$A$3:$Q$504,17,false)</f>
        <v/>
      </c>
      <c r="AC311" s="778"/>
      <c r="AD311" s="778" t="str">
        <f>VLOOKUP(F311,'2) Tracker'!$A$2:$BO$980,37,FALSE)</f>
        <v/>
      </c>
      <c r="AE311" s="778">
        <f>VLOOKUP(F311,'2) Tracker'!$A$2:$BO$980,40,FALSE)</f>
        <v>46161</v>
      </c>
      <c r="AF311" s="778" t="str">
        <f>VLOOKUP(F311,'2) Tracker'!$A$2:$BO$980,67,FALSE)</f>
        <v/>
      </c>
      <c r="AG311" s="778">
        <f>VLOOKUP(F311,'2) Tracker'!$A$2:$BO$980,34,FALSE)</f>
        <v>46134</v>
      </c>
      <c r="AH311" s="778" t="str">
        <f>VLOOKUP(F311,'2) Tracker'!$A$2:$BN$980,66,FALSE)</f>
        <v/>
      </c>
      <c r="AI311" s="778" t="str">
        <f>VLOOKUP(F311,'2) Tracker'!$A$2:$BO$980,56,FALSE)</f>
        <v/>
      </c>
      <c r="AJ311" s="778" t="str">
        <f>VLOOKUP(F311,'2) Tracker'!$A$2:$BO$980,52,FALSE)</f>
        <v/>
      </c>
      <c r="AK311" s="778">
        <f>VLOOKUP(F311,'2) Tracker'!$A$2:$AQ$980,43,FALSE)</f>
        <v>46148</v>
      </c>
      <c r="AL311" s="778">
        <f>VLOOKUP(F311,'2) Tracker'!$A$2:$BH$980,46,FALSE())</f>
        <v>46142</v>
      </c>
      <c r="AM311" s="778">
        <f>VLOOKUP(F311,'2) Tracker'!$A$2:$BO$980,65,FALSE())</f>
        <v>46137</v>
      </c>
      <c r="AN311" s="778">
        <f>VLOOKUP(F311,'2) Tracker'!$A$2:$BK$980,63,FALSE())</f>
        <v>46164</v>
      </c>
      <c r="AO311" s="778" t="str">
        <f>VLOOKUP(F311,'2) Tracker'!$A$2:$BF$980,58,FALSE())</f>
        <v/>
      </c>
      <c r="AP311" s="52"/>
      <c r="AQ311" s="52"/>
      <c r="AR311" s="52"/>
      <c r="AS311" s="52"/>
      <c r="AT311" s="52"/>
      <c r="AU311" s="52"/>
      <c r="AV311" s="52"/>
      <c r="AW311" s="52"/>
      <c r="AX311" s="52"/>
      <c r="AY311" s="52"/>
      <c r="AZ311" s="787"/>
      <c r="BA311" s="786" t="str">
        <f>vlookup(AZ311,'Iran, FS'!$A$1:$B$318,2, false)</f>
        <v>#N/A</v>
      </c>
      <c r="BB311" s="787" t="str">
        <f>vlookup(AZ311,'1) Kpler'!$E$2:$F$500,2,false)</f>
        <v>#N/A</v>
      </c>
      <c r="BC311" s="788"/>
      <c r="BD311" s="787"/>
      <c r="BE311" s="52"/>
      <c r="BF311" s="52"/>
      <c r="BG311" s="787"/>
      <c r="BH311" s="787"/>
      <c r="BI311" s="787"/>
      <c r="BJ311" s="787"/>
    </row>
    <row r="312">
      <c r="B312" s="765"/>
      <c r="C312" s="765"/>
      <c r="D312" s="734"/>
      <c r="E312" s="734"/>
      <c r="F312" s="798" t="s">
        <v>1349</v>
      </c>
      <c r="G312" s="789">
        <f>VLOOKUP(F312,'2) Tracker'!$A$2:$BO$360,2,FALSE)</f>
        <v>2007</v>
      </c>
      <c r="H312" s="768">
        <f>VLOOKUP(F312,'2) Tracker'!$A$2:$BO$360,3,FALSE)</f>
        <v>82000</v>
      </c>
      <c r="I312" s="777" t="str">
        <f>VLOOKUP(F312,'2) Tracker'!$A$2:$BO$360,9,FALSE)</f>
        <v>BW</v>
      </c>
      <c r="J312" s="770" t="str">
        <f>VLOOKUP(F312,'2) Tracker'!$A$2:$BO$360,12,FALSE)</f>
        <v>ECI</v>
      </c>
      <c r="K312" s="771" t="str">
        <f t="shared" si="207"/>
        <v/>
      </c>
      <c r="L312" s="771">
        <f t="shared" ref="L312:O312" si="360">AE312</f>
        <v>46163</v>
      </c>
      <c r="M312" s="771" t="str">
        <f t="shared" si="360"/>
        <v/>
      </c>
      <c r="N312" s="771">
        <f t="shared" si="360"/>
        <v>46136</v>
      </c>
      <c r="O312" s="772" t="str">
        <f t="shared" si="360"/>
        <v/>
      </c>
      <c r="P312" s="773" t="str">
        <f>iferror(if(vlookup(F312,'Voyage days'!$M$808:$N$819,2,false),"GOA",""),"")</f>
        <v/>
      </c>
      <c r="Q312" s="771">
        <f t="shared" si="81"/>
        <v>46140</v>
      </c>
      <c r="R312" s="771">
        <f t="shared" si="83"/>
        <v>46165</v>
      </c>
      <c r="S312" s="774">
        <f t="shared" si="5"/>
        <v>46155</v>
      </c>
      <c r="T312" s="771">
        <f t="shared" si="6"/>
        <v>46148</v>
      </c>
      <c r="U312" s="771">
        <f t="shared" si="84"/>
        <v>46133</v>
      </c>
      <c r="V312" s="771"/>
      <c r="W312" s="771" t="str">
        <f t="shared" si="85"/>
        <v/>
      </c>
      <c r="X312" s="775" t="str">
        <f t="shared" si="9"/>
        <v/>
      </c>
      <c r="Y312" s="795"/>
      <c r="Z312" s="777" t="str">
        <f>vlookup(F312,'2) Tracker'!$A$3:$Q$504,16,false)</f>
        <v>ETD Haldia 15 April</v>
      </c>
      <c r="AA312" s="777" t="str">
        <f>vlookup(F312,'2) Tracker'!$A$3:$R$504,18,false)</f>
        <v/>
      </c>
      <c r="AB312" s="777" t="str">
        <f>vlookup(F312,'2) Tracker'!$A$3:$Q$504,17,false)</f>
        <v/>
      </c>
      <c r="AC312" s="778"/>
      <c r="AD312" s="778" t="str">
        <f>VLOOKUP(F312,'2) Tracker'!$A$2:$BO$980,37,FALSE)</f>
        <v/>
      </c>
      <c r="AE312" s="778">
        <f>VLOOKUP(F312,'2) Tracker'!$A$2:$BO$980,40,FALSE)</f>
        <v>46163</v>
      </c>
      <c r="AF312" s="778" t="str">
        <f>VLOOKUP(F312,'2) Tracker'!$A$2:$BO$980,67,FALSE)</f>
        <v/>
      </c>
      <c r="AG312" s="778">
        <f>VLOOKUP(F312,'2) Tracker'!$A$2:$BO$980,34,FALSE)</f>
        <v>46136</v>
      </c>
      <c r="AH312" s="778" t="str">
        <f>VLOOKUP(F312,'2) Tracker'!$A$2:$BN$980,66,FALSE)</f>
        <v/>
      </c>
      <c r="AI312" s="778">
        <f>VLOOKUP(F312,'2) Tracker'!$A$2:$BO$980,56,FALSE)</f>
        <v>46133</v>
      </c>
      <c r="AJ312" s="778" t="str">
        <f>VLOOKUP(F312,'2) Tracker'!$A$2:$BO$980,52,FALSE)</f>
        <v/>
      </c>
      <c r="AK312" s="778">
        <f>VLOOKUP(F312,'2) Tracker'!$A$2:$AQ$980,43,FALSE)</f>
        <v>46148</v>
      </c>
      <c r="AL312" s="778">
        <f>VLOOKUP(F312,'2) Tracker'!$A$2:$BH$980,46,FALSE())</f>
        <v>46155</v>
      </c>
      <c r="AM312" s="778">
        <f>VLOOKUP(F312,'2) Tracker'!$A$2:$BO$980,65,FALSE())</f>
        <v>46140</v>
      </c>
      <c r="AN312" s="778">
        <f>VLOOKUP(F312,'2) Tracker'!$A$2:$BK$980,63,FALSE())</f>
        <v>46165</v>
      </c>
      <c r="AO312" s="778" t="str">
        <f>VLOOKUP(F312,'2) Tracker'!$A$2:$BF$980,58,FALSE())</f>
        <v/>
      </c>
      <c r="AP312" s="52"/>
      <c r="AQ312" s="52"/>
      <c r="AR312" s="52"/>
      <c r="AS312" s="52"/>
      <c r="AT312" s="52"/>
      <c r="AU312" s="52"/>
      <c r="AV312" s="52"/>
      <c r="AW312" s="52"/>
      <c r="AX312" s="52"/>
      <c r="AY312" s="52"/>
      <c r="AZ312" s="733"/>
      <c r="BA312" s="786" t="str">
        <f>vlookup(AZ312,'Iran, FS'!$A$1:$B$318,2, false)</f>
        <v>#N/A</v>
      </c>
      <c r="BB312" s="787" t="str">
        <f>vlookup(AZ312,'1) Kpler'!$E$2:$F$500,2,false)</f>
        <v>#N/A</v>
      </c>
      <c r="BC312" s="862"/>
      <c r="BD312" s="787"/>
      <c r="BE312" s="52"/>
      <c r="BF312" s="52"/>
      <c r="BG312" s="787"/>
      <c r="BH312" s="52"/>
      <c r="BI312" s="787"/>
      <c r="BJ312" s="787"/>
    </row>
    <row r="313">
      <c r="B313" s="765" t="str">
        <f>vlookup(F313,'2) Tracker'!$A$3:$O$410,5,false)</f>
        <v/>
      </c>
      <c r="C313" s="765" t="str">
        <f>vlookup(F313,'2) Tracker'!$A$3:$O$410,4,false)</f>
        <v/>
      </c>
      <c r="D313" s="734"/>
      <c r="E313" s="734" t="str">
        <f>vlookup(F313,'2) Tracker'!$A$3:$O$406,15,false)</f>
        <v/>
      </c>
      <c r="F313" s="766" t="s">
        <v>242</v>
      </c>
      <c r="G313" s="789">
        <f>VLOOKUP(F313,'2) Tracker'!$A$2:$BO$360,2,FALSE)</f>
        <v>2022</v>
      </c>
      <c r="H313" s="768">
        <f>VLOOKUP(F313,'2) Tracker'!$A$2:$BO$360,3,FALSE)</f>
        <v>90000</v>
      </c>
      <c r="I313" s="769" t="str">
        <f>VLOOKUP(F313,'2) Tracker'!$A$2:$BO$360,9,FALSE)</f>
        <v>Geogas</v>
      </c>
      <c r="J313" s="770" t="str">
        <f>VLOOKUP(F313,'2) Tracker'!$A$2:$BO$360,12,FALSE)</f>
        <v>Galle</v>
      </c>
      <c r="K313" s="771" t="str">
        <f t="shared" si="207"/>
        <v/>
      </c>
      <c r="L313" s="771">
        <f t="shared" ref="L313:O313" si="361">AE313</f>
        <v>46167</v>
      </c>
      <c r="M313" s="771" t="str">
        <f t="shared" si="361"/>
        <v/>
      </c>
      <c r="N313" s="771">
        <f t="shared" si="361"/>
        <v>46141</v>
      </c>
      <c r="O313" s="772" t="str">
        <f t="shared" si="361"/>
        <v/>
      </c>
      <c r="P313" s="773" t="str">
        <f>iferror(if(vlookup(F313,'Voyage days'!$M$808:$N$819,2,false),"GOA",""),"")</f>
        <v/>
      </c>
      <c r="Q313" s="771">
        <f t="shared" si="81"/>
        <v>46145</v>
      </c>
      <c r="R313" s="771">
        <f t="shared" si="83"/>
        <v>46179</v>
      </c>
      <c r="S313" s="774">
        <f t="shared" si="5"/>
        <v>46162</v>
      </c>
      <c r="T313" s="771">
        <f t="shared" si="6"/>
        <v>46154</v>
      </c>
      <c r="U313" s="771">
        <f t="shared" si="84"/>
        <v>46143</v>
      </c>
      <c r="V313" s="771"/>
      <c r="W313" s="771" t="str">
        <f t="shared" si="85"/>
        <v/>
      </c>
      <c r="X313" s="775" t="str">
        <f t="shared" si="9"/>
        <v/>
      </c>
      <c r="Y313" s="776"/>
      <c r="Z313" s="777" t="str">
        <f>vlookup(F313,'2) Tracker'!$A$3:$Q$504,16,false)</f>
        <v>ETA Male 21 Apr, for STS ops</v>
      </c>
      <c r="AA313" s="777" t="str">
        <f>vlookup(F313,'2) Tracker'!$A$3:$R$504,18,false)</f>
        <v>Geogas 16 Mar Enterprise</v>
      </c>
      <c r="AB313" s="777" t="str">
        <f>vlookup(F313,'2) Tracker'!$A$3:$Q$504,17,false)</f>
        <v/>
      </c>
      <c r="AC313" s="778"/>
      <c r="AD313" s="778" t="str">
        <f>VLOOKUP(F313,'2) Tracker'!$A$2:$BO$980,37,FALSE)</f>
        <v/>
      </c>
      <c r="AE313" s="778">
        <f>VLOOKUP(F313,'2) Tracker'!$A$2:$BO$980,40,FALSE)</f>
        <v>46167</v>
      </c>
      <c r="AF313" s="778" t="str">
        <f>VLOOKUP(F313,'2) Tracker'!$A$2:$BO$980,67,FALSE)</f>
        <v/>
      </c>
      <c r="AG313" s="778">
        <f>VLOOKUP(F313,'2) Tracker'!$A$2:$BO$980,34,FALSE)</f>
        <v>46141</v>
      </c>
      <c r="AH313" s="778" t="str">
        <f>VLOOKUP(F313,'2) Tracker'!$A$2:$BN$980,66,FALSE)</f>
        <v/>
      </c>
      <c r="AI313" s="778">
        <f>VLOOKUP(F313,'2) Tracker'!$A$2:$BO$980,56,FALSE)</f>
        <v>46143</v>
      </c>
      <c r="AJ313" s="778" t="str">
        <f>VLOOKUP(F313,'2) Tracker'!$A$2:$BO$980,52,FALSE)</f>
        <v/>
      </c>
      <c r="AK313" s="778">
        <f>VLOOKUP(F313,'2) Tracker'!$A$2:$AQ$980,43,FALSE)</f>
        <v>46154</v>
      </c>
      <c r="AL313" s="778">
        <f>VLOOKUP(F313,'2) Tracker'!$A$2:$BH$980,46,FALSE())</f>
        <v>46162</v>
      </c>
      <c r="AM313" s="778">
        <f>VLOOKUP(F313,'2) Tracker'!$A$2:$BO$980,65,FALSE())</f>
        <v>46145</v>
      </c>
      <c r="AN313" s="778">
        <f>VLOOKUP(F313,'2) Tracker'!$A$2:$BK$980,63,FALSE())</f>
        <v>46179</v>
      </c>
      <c r="AO313" s="778" t="str">
        <f>VLOOKUP(F313,'2) Tracker'!$A$2:$BF$980,58,FALSE())</f>
        <v/>
      </c>
      <c r="AP313" s="52"/>
      <c r="AQ313" s="52"/>
      <c r="AR313" s="52"/>
      <c r="AS313" s="52"/>
      <c r="AT313" s="52"/>
      <c r="AU313" s="52"/>
      <c r="AV313" s="52"/>
      <c r="AW313" s="52"/>
      <c r="AX313" s="52"/>
      <c r="AY313" s="52"/>
      <c r="AZ313" s="787"/>
      <c r="BA313" s="786" t="str">
        <f>vlookup(AZ313,'Iran, FS'!$A$1:$B$318,2, false)</f>
        <v>#N/A</v>
      </c>
      <c r="BB313" s="787" t="str">
        <f>vlookup(AZ313,'1) Kpler'!$E$2:$F$500,2,false)</f>
        <v>#N/A</v>
      </c>
      <c r="BC313" s="788"/>
      <c r="BD313" s="787"/>
      <c r="BE313" s="52"/>
      <c r="BF313" s="52"/>
      <c r="BG313" s="863" t="s">
        <v>1612</v>
      </c>
      <c r="BH313" s="52"/>
      <c r="BI313" s="787"/>
      <c r="BJ313" s="787"/>
    </row>
    <row r="314">
      <c r="B314" s="765" t="str">
        <f>vlookup(F314,'2) Tracker'!$A$3:$O$410,5,false)</f>
        <v>C</v>
      </c>
      <c r="C314" s="765" t="str">
        <f>vlookup(F314,'2) Tracker'!$A$3:$O$410,4,false)</f>
        <v/>
      </c>
      <c r="D314" s="734"/>
      <c r="E314" s="734" t="str">
        <f>vlookup(F314,'2) Tracker'!$A$3:$O$406,15,false)</f>
        <v/>
      </c>
      <c r="F314" s="812" t="s">
        <v>1215</v>
      </c>
      <c r="G314" s="789">
        <f>VLOOKUP(F314,'2) Tracker'!$A$2:$BO$360,2,FALSE)</f>
        <v>2022</v>
      </c>
      <c r="H314" s="768">
        <f>VLOOKUP(F314,'2) Tracker'!$A$2:$BO$360,3,FALSE)</f>
        <v>91000</v>
      </c>
      <c r="I314" s="769" t="str">
        <f>VLOOKUP(F314,'2) Tracker'!$A$2:$BO$360,9,FALSE)</f>
        <v>Total</v>
      </c>
      <c r="J314" s="770" t="str">
        <f>VLOOKUP(F314,'2) Tracker'!$A$2:$BO$360,12,FALSE)</f>
        <v>WCI</v>
      </c>
      <c r="K314" s="771" t="str">
        <f t="shared" si="207"/>
        <v/>
      </c>
      <c r="L314" s="771">
        <f t="shared" ref="L314:O314" si="362">AE314</f>
        <v>46169</v>
      </c>
      <c r="M314" s="771" t="str">
        <f t="shared" si="362"/>
        <v/>
      </c>
      <c r="N314" s="771">
        <f t="shared" si="362"/>
        <v>46142</v>
      </c>
      <c r="O314" s="772" t="str">
        <f t="shared" si="362"/>
        <v/>
      </c>
      <c r="P314" s="773" t="str">
        <f>iferror(if(vlookup(F314,'Voyage days'!$M$808:$N$819,2,false),"GOA",""),"")</f>
        <v/>
      </c>
      <c r="Q314" s="771">
        <f t="shared" si="81"/>
        <v>46145</v>
      </c>
      <c r="R314" s="771">
        <f t="shared" si="83"/>
        <v>46172</v>
      </c>
      <c r="S314" s="774">
        <f t="shared" si="5"/>
        <v>46150</v>
      </c>
      <c r="T314" s="771">
        <f t="shared" si="6"/>
        <v>46156</v>
      </c>
      <c r="U314" s="771" t="str">
        <f t="shared" si="84"/>
        <v/>
      </c>
      <c r="V314" s="771"/>
      <c r="W314" s="771" t="str">
        <f t="shared" si="85"/>
        <v/>
      </c>
      <c r="X314" s="775" t="str">
        <f t="shared" si="9"/>
        <v/>
      </c>
      <c r="Y314" s="770"/>
      <c r="Z314" s="777" t="str">
        <f>vlookup(F314,'2) Tracker'!$A$3:$Q$504,16,false)</f>
        <v>ETA Mangalore 21 Apr</v>
      </c>
      <c r="AA314" s="777" t="str">
        <f>vlookup(F314,'2) Tracker'!$A$3:$R$504,18,false)</f>
        <v>Total 14 Mar Freeport</v>
      </c>
      <c r="AB314" s="777" t="str">
        <f>vlookup(F314,'2) Tracker'!$A$3:$Q$504,17,false)</f>
        <v/>
      </c>
      <c r="AC314" s="778"/>
      <c r="AD314" s="778" t="str">
        <f>VLOOKUP(F314,'2) Tracker'!$A$2:$BO$980,37,FALSE)</f>
        <v/>
      </c>
      <c r="AE314" s="778">
        <f>VLOOKUP(F314,'2) Tracker'!$A$2:$BO$980,40,FALSE)</f>
        <v>46169</v>
      </c>
      <c r="AF314" s="778" t="str">
        <f>VLOOKUP(F314,'2) Tracker'!$A$2:$BO$980,67,FALSE)</f>
        <v/>
      </c>
      <c r="AG314" s="778">
        <f>VLOOKUP(F314,'2) Tracker'!$A$2:$BO$980,34,FALSE)</f>
        <v>46142</v>
      </c>
      <c r="AH314" s="778" t="str">
        <f>VLOOKUP(F314,'2) Tracker'!$A$2:$BN$980,66,FALSE)</f>
        <v/>
      </c>
      <c r="AI314" s="778" t="str">
        <f>VLOOKUP(F314,'2) Tracker'!$A$2:$BO$980,56,FALSE)</f>
        <v/>
      </c>
      <c r="AJ314" s="778" t="str">
        <f>VLOOKUP(F314,'2) Tracker'!$A$2:$BO$980,52,FALSE)</f>
        <v/>
      </c>
      <c r="AK314" s="778">
        <f>VLOOKUP(F314,'2) Tracker'!$A$2:$AQ$980,43,FALSE)</f>
        <v>46156</v>
      </c>
      <c r="AL314" s="778">
        <f>VLOOKUP(F314,'2) Tracker'!$A$2:$BH$980,46,FALSE())</f>
        <v>46150</v>
      </c>
      <c r="AM314" s="778">
        <f>VLOOKUP(F314,'2) Tracker'!$A$2:$BO$980,65,FALSE())</f>
        <v>46145</v>
      </c>
      <c r="AN314" s="778">
        <f>VLOOKUP(F314,'2) Tracker'!$A$2:$BK$980,63,FALSE())</f>
        <v>46172</v>
      </c>
      <c r="AO314" s="778" t="str">
        <f>VLOOKUP(F314,'2) Tracker'!$A$2:$BF$980,58,FALSE())</f>
        <v/>
      </c>
      <c r="AP314" s="52"/>
      <c r="AQ314" s="52"/>
      <c r="AR314" s="52"/>
      <c r="AS314" s="52"/>
      <c r="AT314" s="52"/>
      <c r="AU314" s="52"/>
      <c r="AV314" s="52"/>
      <c r="AW314" s="52"/>
      <c r="AX314" s="52"/>
      <c r="AY314" s="52"/>
      <c r="AZ314" s="787"/>
      <c r="BA314" s="786" t="str">
        <f>vlookup(AZ314,'Iran, FS'!$A$1:$B$318,2, false)</f>
        <v>#N/A</v>
      </c>
      <c r="BB314" s="787" t="str">
        <f>vlookup(AZ314,'1) Kpler'!$E$2:$F$500,2,false)</f>
        <v>#N/A</v>
      </c>
      <c r="BC314" s="788"/>
      <c r="BD314" s="787"/>
      <c r="BE314" s="52"/>
      <c r="BF314" s="52"/>
      <c r="BG314" s="787"/>
      <c r="BH314" s="787"/>
      <c r="BI314" s="787"/>
      <c r="BJ314" s="787"/>
    </row>
    <row r="315">
      <c r="B315" s="765" t="str">
        <f>vlookup(F315,'2) Tracker'!$A$3:$O$410,5,false)</f>
        <v/>
      </c>
      <c r="C315" s="765" t="str">
        <f>vlookup(F315,'2) Tracker'!$A$3:$O$410,4,false)</f>
        <v/>
      </c>
      <c r="D315" s="734"/>
      <c r="E315" s="734" t="str">
        <f>vlookup(F315,'2) Tracker'!$A$3:$O$406,15,false)</f>
        <v/>
      </c>
      <c r="F315" s="819" t="s">
        <v>416</v>
      </c>
      <c r="G315" s="789">
        <f>VLOOKUP(F315,'2) Tracker'!$A$2:$BO$360,2,FALSE)</f>
        <v>2016</v>
      </c>
      <c r="H315" s="768">
        <f>VLOOKUP(F315,'2) Tracker'!$A$2:$BO$360,3,FALSE)</f>
        <v>83000</v>
      </c>
      <c r="I315" s="777" t="str">
        <f>VLOOKUP(F315,'2) Tracker'!$A$2:$BO$360,9,FALSE)</f>
        <v>Trafigura</v>
      </c>
      <c r="J315" s="770" t="str">
        <f>VLOOKUP(F315,'2) Tracker'!$A$2:$BO$360,12,FALSE)</f>
        <v>WCI</v>
      </c>
      <c r="K315" s="771" t="str">
        <f t="shared" si="207"/>
        <v/>
      </c>
      <c r="L315" s="771">
        <f t="shared" ref="L315:O315" si="363">AE315</f>
        <v>46169</v>
      </c>
      <c r="M315" s="771" t="str">
        <f t="shared" si="363"/>
        <v/>
      </c>
      <c r="N315" s="771">
        <f t="shared" si="363"/>
        <v>46142</v>
      </c>
      <c r="O315" s="772" t="str">
        <f t="shared" si="363"/>
        <v/>
      </c>
      <c r="P315" s="773" t="str">
        <f>iferror(if(vlookup(F315,'Voyage days'!$M$808:$N$819,2,false),"GOA",""),"")</f>
        <v/>
      </c>
      <c r="Q315" s="771">
        <f t="shared" si="81"/>
        <v>46149</v>
      </c>
      <c r="R315" s="774">
        <f t="shared" si="83"/>
        <v>46172</v>
      </c>
      <c r="S315" s="774">
        <f t="shared" si="5"/>
        <v>46150</v>
      </c>
      <c r="T315" s="771">
        <f t="shared" si="6"/>
        <v>46156</v>
      </c>
      <c r="U315" s="774" t="str">
        <f t="shared" si="84"/>
        <v/>
      </c>
      <c r="V315" s="774"/>
      <c r="W315" s="774" t="str">
        <f t="shared" si="85"/>
        <v/>
      </c>
      <c r="X315" s="775" t="str">
        <f t="shared" si="9"/>
        <v/>
      </c>
      <c r="Y315" s="804" t="s">
        <v>1613</v>
      </c>
      <c r="Z315" s="777" t="str">
        <f>vlookup(F315,'2) Tracker'!$A$3:$Q$504,16,false)</f>
        <v>ETA Mangalore 20 Apr</v>
      </c>
      <c r="AA315" s="777" t="str">
        <f>vlookup(F315,'2) Tracker'!$A$3:$R$504,18,false)</f>
        <v>P66 07-08 Mar Enterprise</v>
      </c>
      <c r="AB315" s="777" t="str">
        <f>vlookup(F315,'2) Tracker'!$A$3:$Q$504,17,false)</f>
        <v/>
      </c>
      <c r="AC315" s="778"/>
      <c r="AD315" s="778" t="str">
        <f>VLOOKUP(F315,'2) Tracker'!$A$2:$BO$980,37,FALSE)</f>
        <v/>
      </c>
      <c r="AE315" s="778">
        <f>VLOOKUP(F315,'2) Tracker'!$A$2:$BO$980,40,FALSE)</f>
        <v>46169</v>
      </c>
      <c r="AF315" s="778" t="str">
        <f>VLOOKUP(F315,'2) Tracker'!$A$2:$BO$980,67,FALSE)</f>
        <v/>
      </c>
      <c r="AG315" s="778">
        <f>VLOOKUP(F315,'2) Tracker'!$A$2:$BO$980,34,FALSE)</f>
        <v>46142</v>
      </c>
      <c r="AH315" s="778" t="str">
        <f>VLOOKUP(F315,'2) Tracker'!$A$2:$BN$980,66,FALSE)</f>
        <v/>
      </c>
      <c r="AI315" s="778" t="str">
        <f>VLOOKUP(F315,'2) Tracker'!$A$2:$BO$980,56,FALSE)</f>
        <v/>
      </c>
      <c r="AJ315" s="778" t="str">
        <f>VLOOKUP(F315,'2) Tracker'!$A$2:$BO$980,52,FALSE)</f>
        <v/>
      </c>
      <c r="AK315" s="778">
        <f>VLOOKUP(F315,'2) Tracker'!$A$2:$AQ$980,43,FALSE)</f>
        <v>46156</v>
      </c>
      <c r="AL315" s="778">
        <f>VLOOKUP(F315,'2) Tracker'!$A$2:$BH$980,46,FALSE())</f>
        <v>46150</v>
      </c>
      <c r="AM315" s="778">
        <f>VLOOKUP(F315,'2) Tracker'!$A$2:$BO$980,65,FALSE())</f>
        <v>46149</v>
      </c>
      <c r="AN315" s="778">
        <f>VLOOKUP(F315,'2) Tracker'!$A$2:$BK$980,63,FALSE())</f>
        <v>46172</v>
      </c>
      <c r="AO315" s="778" t="str">
        <f>VLOOKUP(F315,'2) Tracker'!$A$2:$BF$980,58,FALSE())</f>
        <v/>
      </c>
      <c r="AP315" s="52"/>
      <c r="AQ315" s="52"/>
      <c r="AR315" s="52"/>
      <c r="AS315" s="52"/>
      <c r="AT315" s="52"/>
      <c r="AU315" s="52"/>
      <c r="AV315" s="52"/>
      <c r="AW315" s="52"/>
      <c r="AX315" s="52"/>
      <c r="AY315" s="52"/>
      <c r="AZ315" s="787"/>
      <c r="BA315" s="786" t="str">
        <f>vlookup(AZ315,'Iran, FS'!$A$1:$B$318,2, false)</f>
        <v>#N/A</v>
      </c>
      <c r="BB315" s="787" t="str">
        <f>vlookup(AZ315,'1) Kpler'!$E$2:$F$500,2,false)</f>
        <v>#N/A</v>
      </c>
      <c r="BC315" s="788"/>
      <c r="BD315" s="787"/>
      <c r="BE315" s="52"/>
      <c r="BF315" s="52"/>
      <c r="BG315" s="787"/>
      <c r="BH315" s="787"/>
      <c r="BI315" s="787"/>
      <c r="BJ315" s="787"/>
    </row>
    <row r="316">
      <c r="B316" s="765" t="str">
        <f>vlookup(F316,'2) Tracker'!$A$3:$O$410,5,false)</f>
        <v>C</v>
      </c>
      <c r="C316" s="765" t="str">
        <f>vlookup(F316,'2) Tracker'!$A$3:$O$410,4,false)</f>
        <v/>
      </c>
      <c r="D316" s="734"/>
      <c r="E316" s="734" t="str">
        <f>vlookup(F316,'2) Tracker'!$A$3:$O$406,15,false)</f>
        <v>O</v>
      </c>
      <c r="F316" s="798" t="s">
        <v>389</v>
      </c>
      <c r="G316" s="783">
        <f>VLOOKUP(F316,'2) Tracker'!$A$2:$BO$360,2,FALSE)</f>
        <v>2002</v>
      </c>
      <c r="H316" s="768">
        <f>VLOOKUP(F316,'2) Tracker'!$A$2:$BO$360,3,FALSE)</f>
        <v>79514</v>
      </c>
      <c r="I316" s="777" t="str">
        <f>VLOOKUP(F316,'2) Tracker'!$A$2:$BO$360,9,FALSE)</f>
        <v>Great Eastern (GESCO)</v>
      </c>
      <c r="J316" s="770" t="str">
        <f>VLOOKUP(F316,'2) Tracker'!$A$2:$BO$360,12,FALSE)</f>
        <v>WCI</v>
      </c>
      <c r="K316" s="774" t="str">
        <f t="shared" si="207"/>
        <v/>
      </c>
      <c r="L316" s="774">
        <f t="shared" ref="L316:O316" si="364">AE316</f>
        <v>46174</v>
      </c>
      <c r="M316" s="771" t="str">
        <f t="shared" si="364"/>
        <v/>
      </c>
      <c r="N316" s="771">
        <f t="shared" si="364"/>
        <v>46147</v>
      </c>
      <c r="O316" s="772" t="str">
        <f t="shared" si="364"/>
        <v/>
      </c>
      <c r="P316" s="773" t="str">
        <f>iferror(if(vlookup(F316,'Voyage days'!$M$808:$N$821,2,false),"GOA",""),"")</f>
        <v/>
      </c>
      <c r="Q316" s="772">
        <f t="shared" si="81"/>
        <v>46150</v>
      </c>
      <c r="R316" s="771">
        <f t="shared" si="83"/>
        <v>46177</v>
      </c>
      <c r="S316" s="774">
        <f t="shared" si="5"/>
        <v>46155</v>
      </c>
      <c r="T316" s="771">
        <f t="shared" si="6"/>
        <v>46161</v>
      </c>
      <c r="U316" s="771" t="str">
        <f t="shared" si="84"/>
        <v/>
      </c>
      <c r="V316" s="771"/>
      <c r="W316" s="771" t="str">
        <f t="shared" si="85"/>
        <v/>
      </c>
      <c r="X316" s="775" t="str">
        <f t="shared" si="9"/>
        <v/>
      </c>
      <c r="Y316" s="776"/>
      <c r="Z316" s="777" t="str">
        <f>vlookup(F316,'2) Tracker'!$A$3:$Q$504,16,false)</f>
        <v>ETD Mumbai 18 Apr / ETA 01-02 Jun USG</v>
      </c>
      <c r="AA316" s="777" t="str">
        <f>vlookup(F316,'2) Tracker'!$A$3:$R$504,18,false)</f>
        <v>IOC 27-28 Feb MAA</v>
      </c>
      <c r="AB316" s="777" t="str">
        <f>vlookup(F316,'2) Tracker'!$A$3:$Q$504,17,false)</f>
        <v/>
      </c>
      <c r="AC316" s="778"/>
      <c r="AD316" s="778" t="str">
        <f>VLOOKUP(F316,'2) Tracker'!$A$2:$BO$980,37,FALSE)</f>
        <v/>
      </c>
      <c r="AE316" s="778">
        <f>VLOOKUP(F316,'2) Tracker'!$A$2:$BO$980,40,FALSE)</f>
        <v>46174</v>
      </c>
      <c r="AF316" s="778" t="str">
        <f>VLOOKUP(F316,'2) Tracker'!$A$2:$BO$980,67,FALSE)</f>
        <v/>
      </c>
      <c r="AG316" s="778">
        <f>VLOOKUP(F316,'2) Tracker'!$A$2:$BO$980,34,FALSE)</f>
        <v>46147</v>
      </c>
      <c r="AH316" s="778" t="str">
        <f>VLOOKUP(F316,'2) Tracker'!$A$2:$BN$980,66,FALSE)</f>
        <v/>
      </c>
      <c r="AI316" s="778" t="str">
        <f>VLOOKUP(F316,'2) Tracker'!$A$2:$BO$980,56,FALSE)</f>
        <v/>
      </c>
      <c r="AJ316" s="778" t="str">
        <f>VLOOKUP(F316,'2) Tracker'!$A$2:$BO$980,52,FALSE)</f>
        <v/>
      </c>
      <c r="AK316" s="778">
        <f>VLOOKUP(F316,'2) Tracker'!$A$2:$AQ$980,43,FALSE)</f>
        <v>46161</v>
      </c>
      <c r="AL316" s="778">
        <f>VLOOKUP(F316,'2) Tracker'!$A$2:$BH$980,46,FALSE())</f>
        <v>46155</v>
      </c>
      <c r="AM316" s="778">
        <f>VLOOKUP(F316,'2) Tracker'!$A$2:$BO$980,65,FALSE())</f>
        <v>46150</v>
      </c>
      <c r="AN316" s="778">
        <f>VLOOKUP(F316,'2) Tracker'!$A$2:$BK$980,63,FALSE())</f>
        <v>46177</v>
      </c>
      <c r="AO316" s="778" t="str">
        <f>VLOOKUP(F316,'2) Tracker'!$A$2:$BF$980,58,FALSE())</f>
        <v/>
      </c>
      <c r="AP316" s="52"/>
      <c r="AQ316" s="52"/>
      <c r="AR316" s="52"/>
      <c r="AS316" s="52"/>
      <c r="AT316" s="52"/>
      <c r="AU316" s="52"/>
      <c r="AV316" s="52"/>
      <c r="AW316" s="52"/>
      <c r="AX316" s="52"/>
      <c r="AY316" s="52"/>
      <c r="AZ316" s="787"/>
      <c r="BA316" s="786" t="str">
        <f>vlookup(AZ316,'Iran, FS'!$A$1:$B$318,2, false)</f>
        <v>#N/A</v>
      </c>
      <c r="BB316" s="787" t="str">
        <f>vlookup(AZ316,'1) Kpler'!$E$2:$F$500,2,false)</f>
        <v>#N/A</v>
      </c>
      <c r="BC316" s="788"/>
      <c r="BD316" s="787"/>
      <c r="BE316" s="52"/>
      <c r="BF316" s="52"/>
      <c r="BG316" s="787"/>
      <c r="BH316" s="787"/>
      <c r="BI316" s="787"/>
      <c r="BJ316" s="787"/>
    </row>
    <row r="317">
      <c r="B317" s="765" t="str">
        <f>vlookup(F317,'2) Tracker'!$A$3:$O$410,5,false)</f>
        <v/>
      </c>
      <c r="C317" s="765" t="str">
        <f>vlookup(F317,'2) Tracker'!$A$3:$O$410,4,false)</f>
        <v/>
      </c>
      <c r="D317" s="734"/>
      <c r="E317" s="734" t="str">
        <f>vlookup(F317,'2) Tracker'!$A$3:$O$406,15,false)</f>
        <v/>
      </c>
      <c r="F317" s="788" t="s">
        <v>1365</v>
      </c>
      <c r="G317" s="783">
        <f>VLOOKUP(F317,'2) Tracker'!$A$2:$BO$360,2,FALSE)</f>
        <v>42667</v>
      </c>
      <c r="H317" s="768">
        <f>VLOOKUP(F317,'2) Tracker'!$A$2:$BO$360,3,FALSE)</f>
        <v>84171</v>
      </c>
      <c r="I317" s="770" t="str">
        <f>VLOOKUP(F317,'2) Tracker'!$A$2:$BO$360,9,FALSE)</f>
        <v>BW</v>
      </c>
      <c r="J317" s="770" t="str">
        <f>VLOOKUP(F317,'2) Tracker'!$A$2:$BO$360,12,FALSE)</f>
        <v>ECI</v>
      </c>
      <c r="K317" s="774" t="str">
        <f t="shared" si="207"/>
        <v/>
      </c>
      <c r="L317" s="774">
        <f t="shared" ref="L317:O317" si="365">AE317</f>
        <v>46177</v>
      </c>
      <c r="M317" s="771" t="str">
        <f t="shared" si="365"/>
        <v/>
      </c>
      <c r="N317" s="772">
        <f t="shared" si="365"/>
        <v>46150</v>
      </c>
      <c r="O317" s="772" t="str">
        <f t="shared" si="365"/>
        <v/>
      </c>
      <c r="P317" s="773" t="str">
        <f>iferror(if(vlookup(F317,'Voyage days'!$M$808:$N$819,2,false),"GOA",""),"")</f>
        <v/>
      </c>
      <c r="Q317" s="771">
        <f t="shared" si="81"/>
        <v>46154</v>
      </c>
      <c r="R317" s="774">
        <f t="shared" si="83"/>
        <v>46179</v>
      </c>
      <c r="S317" s="774">
        <f t="shared" si="5"/>
        <v>46169</v>
      </c>
      <c r="T317" s="771">
        <f t="shared" si="6"/>
        <v>46162</v>
      </c>
      <c r="U317" s="774">
        <f t="shared" si="84"/>
        <v>46147</v>
      </c>
      <c r="V317" s="771"/>
      <c r="W317" s="771" t="str">
        <f t="shared" si="85"/>
        <v/>
      </c>
      <c r="X317" s="775" t="str">
        <f t="shared" si="9"/>
        <v/>
      </c>
      <c r="Y317" s="784" t="s">
        <v>1544</v>
      </c>
      <c r="Z317" s="777" t="str">
        <f>vlookup(F317,'2) Tracker'!$A$3:$Q$504,16,false)</f>
        <v>ETA Visag 25 Apr</v>
      </c>
      <c r="AA317" s="777" t="str">
        <f>vlookup(F317,'2) Tracker'!$A$3:$R$504,18,false)</f>
        <v>BGN 21-22 Mar Freeport</v>
      </c>
      <c r="AB317" s="777" t="str">
        <f>vlookup(F317,'2) Tracker'!$A$3:$Q$504,17,false)</f>
        <v/>
      </c>
      <c r="AC317" s="778"/>
      <c r="AD317" s="778" t="str">
        <f>VLOOKUP(F317,'2) Tracker'!$A$2:$BO$980,37,FALSE)</f>
        <v/>
      </c>
      <c r="AE317" s="778">
        <f>VLOOKUP(F317,'2) Tracker'!$A$2:$BO$980,40,FALSE)</f>
        <v>46177</v>
      </c>
      <c r="AF317" s="778" t="str">
        <f>VLOOKUP(F317,'2) Tracker'!$A$2:$BO$980,67,FALSE)</f>
        <v/>
      </c>
      <c r="AG317" s="778">
        <f>VLOOKUP(F317,'2) Tracker'!$A$2:$BO$980,34,FALSE)</f>
        <v>46150</v>
      </c>
      <c r="AH317" s="778" t="str">
        <f>VLOOKUP(F317,'2) Tracker'!$A$2:$BN$980,66,FALSE)</f>
        <v/>
      </c>
      <c r="AI317" s="778">
        <f>VLOOKUP(F317,'2) Tracker'!$A$2:$BO$980,56,FALSE)</f>
        <v>46147</v>
      </c>
      <c r="AJ317" s="778" t="str">
        <f>VLOOKUP(F317,'2) Tracker'!$A$2:$BO$980,52,FALSE)</f>
        <v/>
      </c>
      <c r="AK317" s="778">
        <f>VLOOKUP(F317,'2) Tracker'!$A$2:$AQ$980,43,FALSE)</f>
        <v>46162</v>
      </c>
      <c r="AL317" s="778">
        <f>VLOOKUP(F317,'2) Tracker'!$A$2:$BH$980,46,FALSE())</f>
        <v>46169</v>
      </c>
      <c r="AM317" s="778">
        <f>VLOOKUP(F317,'2) Tracker'!$A$2:$BO$980,65,FALSE())</f>
        <v>46154</v>
      </c>
      <c r="AN317" s="778">
        <f>VLOOKUP(F317,'2) Tracker'!$A$2:$BK$980,63,FALSE())</f>
        <v>46179</v>
      </c>
      <c r="AO317" s="778" t="str">
        <f>VLOOKUP(F317,'2) Tracker'!$A$2:$BF$980,58,FALSE())</f>
        <v/>
      </c>
      <c r="AP317" s="52"/>
      <c r="AQ317" s="52"/>
      <c r="AR317" s="52"/>
      <c r="AS317" s="52"/>
      <c r="AT317" s="52"/>
      <c r="AU317" s="52"/>
      <c r="AV317" s="52"/>
      <c r="AW317" s="52"/>
      <c r="AX317" s="52"/>
      <c r="AY317" s="52"/>
      <c r="AZ317" s="787"/>
      <c r="BA317" s="786" t="str">
        <f>vlookup(AZ317,'Iran, FS'!$A$1:$B$318,2, false)</f>
        <v>#N/A</v>
      </c>
      <c r="BB317" s="787" t="str">
        <f>vlookup(AZ317,'1) Kpler'!$E$2:$F$500,2,false)</f>
        <v>#N/A</v>
      </c>
      <c r="BC317" s="788"/>
      <c r="BD317" s="787"/>
      <c r="BE317" s="52"/>
      <c r="BF317" s="52"/>
      <c r="BG317" s="787"/>
      <c r="BH317" s="787"/>
      <c r="BI317" s="787"/>
      <c r="BJ317" s="787"/>
    </row>
    <row r="318">
      <c r="B318" s="765" t="str">
        <f>vlookup(F318,'2) Tracker'!$A$3:$O$410,5,false)</f>
        <v>C</v>
      </c>
      <c r="C318" s="765" t="str">
        <f>vlookup(F318,'2) Tracker'!$A$3:$O$410,4,false)</f>
        <v/>
      </c>
      <c r="D318" s="734"/>
      <c r="E318" s="734" t="str">
        <f>vlookup(F318,'2) Tracker'!$A$3:$O$406,15,false)</f>
        <v>O</v>
      </c>
      <c r="F318" s="788" t="s">
        <v>316</v>
      </c>
      <c r="G318" s="789">
        <f>VLOOKUP(F318,'2) Tracker'!$A$2:$BO$360,2,FALSE)</f>
        <v>2018</v>
      </c>
      <c r="H318" s="768">
        <f>VLOOKUP(F318,'2) Tracker'!$A$2:$BO$360,3,FALSE)</f>
        <v>84000</v>
      </c>
      <c r="I318" s="777" t="str">
        <f>VLOOKUP(F318,'2) Tracker'!$A$2:$BO$360,9,FALSE)</f>
        <v>Sinogas</v>
      </c>
      <c r="J318" s="770" t="str">
        <f>VLOOKUP(F318,'2) Tracker'!$A$2:$BO$360,12,FALSE)</f>
        <v>ECI</v>
      </c>
      <c r="K318" s="774" t="str">
        <f t="shared" si="207"/>
        <v/>
      </c>
      <c r="L318" s="774">
        <f t="shared" ref="L318:O318" si="366">AE318</f>
        <v>46183</v>
      </c>
      <c r="M318" s="771" t="str">
        <f t="shared" si="366"/>
        <v/>
      </c>
      <c r="N318" s="771">
        <f t="shared" si="366"/>
        <v>46156</v>
      </c>
      <c r="O318" s="772" t="str">
        <f t="shared" si="366"/>
        <v/>
      </c>
      <c r="P318" s="800" t="str">
        <f>iferror(if(vlookup(F318,'Voyage days'!$M$808:$N$828,2,false),"GOA",""),"")</f>
        <v>GOA</v>
      </c>
      <c r="Q318" s="801">
        <f t="shared" si="81"/>
        <v>46161</v>
      </c>
      <c r="R318" s="771">
        <f t="shared" si="83"/>
        <v>46185</v>
      </c>
      <c r="S318" s="774">
        <f t="shared" si="5"/>
        <v>46175</v>
      </c>
      <c r="T318" s="771">
        <f t="shared" si="6"/>
        <v>46168</v>
      </c>
      <c r="U318" s="771">
        <f t="shared" si="84"/>
        <v>46154</v>
      </c>
      <c r="V318" s="771"/>
      <c r="W318" s="771" t="str">
        <f t="shared" si="85"/>
        <v/>
      </c>
      <c r="X318" s="775" t="str">
        <f t="shared" si="9"/>
        <v/>
      </c>
      <c r="Y318" s="852"/>
      <c r="Z318" s="777" t="str">
        <f>vlookup(F318,'2) Tracker'!$A$3:$Q$504,16,false)</f>
        <v>ETA Ennore Port 29 Apr, ETA USG 10-12 Jun via Cape</v>
      </c>
      <c r="AA318" s="777" t="str">
        <f>vlookup(F318,'2) Tracker'!$A$3:$R$504,18,false)</f>
        <v>Total 18-19 Mar Nederland</v>
      </c>
      <c r="AB318" s="777" t="str">
        <f>vlookup(F318,'2) Tracker'!$A$3:$Q$504,17,false)</f>
        <v/>
      </c>
      <c r="AC318" s="778"/>
      <c r="AD318" s="778" t="str">
        <f>VLOOKUP(F318,'2) Tracker'!$A$2:$BO$980,37,FALSE)</f>
        <v/>
      </c>
      <c r="AE318" s="778">
        <f>VLOOKUP(F318,'2) Tracker'!$A$2:$BO$980,40,FALSE)</f>
        <v>46183</v>
      </c>
      <c r="AF318" s="778" t="str">
        <f>VLOOKUP(F318,'2) Tracker'!$A$2:$BO$980,67,FALSE)</f>
        <v/>
      </c>
      <c r="AG318" s="778">
        <f>VLOOKUP(F318,'2) Tracker'!$A$2:$BO$980,34,FALSE)</f>
        <v>46156</v>
      </c>
      <c r="AH318" s="778" t="str">
        <f>VLOOKUP(F318,'2) Tracker'!$A$2:$BN$980,66,FALSE)</f>
        <v/>
      </c>
      <c r="AI318" s="778">
        <f>VLOOKUP(F318,'2) Tracker'!$A$2:$BO$980,56,FALSE)</f>
        <v>46154</v>
      </c>
      <c r="AJ318" s="778" t="str">
        <f>VLOOKUP(F318,'2) Tracker'!$A$2:$BO$980,52,FALSE)</f>
        <v/>
      </c>
      <c r="AK318" s="778">
        <f>VLOOKUP(F318,'2) Tracker'!$A$2:$AQ$980,43,FALSE)</f>
        <v>46168</v>
      </c>
      <c r="AL318" s="778">
        <f>VLOOKUP(F318,'2) Tracker'!$A$2:$BH$980,46,FALSE())</f>
        <v>46175</v>
      </c>
      <c r="AM318" s="778">
        <f>VLOOKUP(F318,'2) Tracker'!$A$2:$BO$980,65,FALSE())</f>
        <v>46161</v>
      </c>
      <c r="AN318" s="778">
        <f>VLOOKUP(F318,'2) Tracker'!$A$2:$BK$980,63,FALSE())</f>
        <v>46185</v>
      </c>
      <c r="AO318" s="778" t="str">
        <f>VLOOKUP(F318,'2) Tracker'!$A$2:$BF$980,58,FALSE())</f>
        <v/>
      </c>
      <c r="AP318" s="52"/>
      <c r="AQ318" s="52"/>
      <c r="AR318" s="52"/>
      <c r="AS318" s="52"/>
      <c r="AT318" s="52"/>
      <c r="AU318" s="52"/>
      <c r="AV318" s="52"/>
      <c r="AW318" s="52"/>
      <c r="AX318" s="52"/>
      <c r="AY318" s="52"/>
      <c r="AZ318" s="787"/>
      <c r="BA318" s="786" t="str">
        <f>vlookup(AZ318,'Iran, FS'!$A$1:$B$318,2, false)</f>
        <v>#N/A</v>
      </c>
      <c r="BB318" s="787" t="str">
        <f>vlookup(AZ318,'1) Kpler'!$E$2:$F$500,2,false)</f>
        <v>#N/A</v>
      </c>
      <c r="BC318" s="788"/>
      <c r="BD318" s="787"/>
      <c r="BE318" s="52"/>
      <c r="BF318" s="52"/>
      <c r="BG318" s="787"/>
      <c r="BH318" s="787"/>
      <c r="BI318" s="787"/>
      <c r="BJ318" s="787"/>
    </row>
    <row r="319">
      <c r="B319" s="765" t="str">
        <f>vlookup(F319,'2) Tracker'!$A$3:$O$410,5,false)</f>
        <v/>
      </c>
      <c r="C319" s="765" t="str">
        <f>vlookup(F319,'2) Tracker'!$A$3:$O$410,4,false)</f>
        <v/>
      </c>
      <c r="D319" s="734"/>
      <c r="E319" s="734" t="str">
        <f>vlookup(F319,'2) Tracker'!$A$3:$O$406,15,false)</f>
        <v/>
      </c>
      <c r="F319" s="788" t="s">
        <v>352</v>
      </c>
      <c r="G319" s="789">
        <f>VLOOKUP(F319,'2) Tracker'!$A$2:$BO$360,2,FALSE)</f>
        <v>2024</v>
      </c>
      <c r="H319" s="768">
        <f>VLOOKUP(F319,'2) Tracker'!$A$2:$BO$360,3,FALSE)</f>
        <v>93000</v>
      </c>
      <c r="I319" s="777" t="str">
        <f>VLOOKUP(F319,'2) Tracker'!$A$2:$BO$360,9,FALSE)</f>
        <v>Petredec</v>
      </c>
      <c r="J319" s="770" t="str">
        <f>VLOOKUP(F319,'2) Tracker'!$A$2:$BO$360,12,FALSE)</f>
        <v>WCI</v>
      </c>
      <c r="K319" s="771" t="str">
        <f t="shared" si="207"/>
        <v/>
      </c>
      <c r="L319" s="771">
        <f t="shared" ref="L319:O319" si="367">AE319</f>
        <v>46194</v>
      </c>
      <c r="M319" s="771" t="str">
        <f t="shared" si="367"/>
        <v/>
      </c>
      <c r="N319" s="771">
        <f t="shared" si="367"/>
        <v>46167</v>
      </c>
      <c r="O319" s="772" t="str">
        <f t="shared" si="367"/>
        <v/>
      </c>
      <c r="P319" s="773" t="str">
        <f>iferror(if(vlookup(F319,'Voyage days'!$M$808:$N$819,2,false),"GOA",""),"")</f>
        <v/>
      </c>
      <c r="Q319" s="771">
        <f t="shared" si="81"/>
        <v>46170</v>
      </c>
      <c r="R319" s="771">
        <f t="shared" si="83"/>
        <v>46197</v>
      </c>
      <c r="S319" s="774">
        <f t="shared" si="5"/>
        <v>46175</v>
      </c>
      <c r="T319" s="771">
        <f t="shared" si="6"/>
        <v>46181</v>
      </c>
      <c r="U319" s="771" t="str">
        <f t="shared" si="84"/>
        <v/>
      </c>
      <c r="V319" s="771"/>
      <c r="W319" s="771" t="str">
        <f t="shared" si="85"/>
        <v/>
      </c>
      <c r="X319" s="775" t="str">
        <f t="shared" si="9"/>
        <v/>
      </c>
      <c r="Y319" s="776"/>
      <c r="Z319" s="777" t="str">
        <f>vlookup(F319,'2) Tracker'!$A$3:$Q$504,16,false)</f>
        <v>ETA Mangalore 16 May</v>
      </c>
      <c r="AA319" s="777" t="str">
        <f>vlookup(F319,'2) Tracker'!$A$3:$R$504,18,false)</f>
        <v>Petredec 07-08 Apr USG</v>
      </c>
      <c r="AB319" s="777" t="str">
        <f>vlookup(F319,'2) Tracker'!$A$3:$Q$504,17,false)</f>
        <v/>
      </c>
      <c r="AC319" s="778"/>
      <c r="AD319" s="778" t="str">
        <f>VLOOKUP(F319,'2) Tracker'!$A$2:$BO$980,37,FALSE)</f>
        <v/>
      </c>
      <c r="AE319" s="778">
        <f>VLOOKUP(F319,'2) Tracker'!$A$2:$BO$980,40,FALSE)</f>
        <v>46194</v>
      </c>
      <c r="AF319" s="778" t="str">
        <f>VLOOKUP(F319,'2) Tracker'!$A$2:$BO$980,67,FALSE)</f>
        <v/>
      </c>
      <c r="AG319" s="778">
        <f>VLOOKUP(F319,'2) Tracker'!$A$2:$BO$980,34,FALSE)</f>
        <v>46167</v>
      </c>
      <c r="AH319" s="778" t="str">
        <f>VLOOKUP(F319,'2) Tracker'!$A$2:$BN$980,66,FALSE)</f>
        <v/>
      </c>
      <c r="AI319" s="778" t="str">
        <f>VLOOKUP(F319,'2) Tracker'!$A$2:$BO$980,56,FALSE)</f>
        <v/>
      </c>
      <c r="AJ319" s="778" t="str">
        <f>VLOOKUP(F319,'2) Tracker'!$A$2:$BO$980,52,FALSE)</f>
        <v/>
      </c>
      <c r="AK319" s="778">
        <f>VLOOKUP(F319,'2) Tracker'!$A$2:$AQ$980,43,FALSE)</f>
        <v>46181</v>
      </c>
      <c r="AL319" s="778">
        <f>VLOOKUP(F319,'2) Tracker'!$A$2:$BH$980,46,FALSE())</f>
        <v>46175</v>
      </c>
      <c r="AM319" s="778">
        <f>VLOOKUP(F319,'2) Tracker'!$A$2:$BO$980,65,FALSE())</f>
        <v>46170</v>
      </c>
      <c r="AN319" s="778">
        <f>VLOOKUP(F319,'2) Tracker'!$A$2:$BK$980,63,FALSE())</f>
        <v>46197</v>
      </c>
      <c r="AO319" s="778" t="str">
        <f>VLOOKUP(F319,'2) Tracker'!$A$2:$BF$980,58,FALSE())</f>
        <v/>
      </c>
      <c r="AP319" s="52"/>
      <c r="AQ319" s="52"/>
      <c r="AR319" s="52"/>
      <c r="AS319" s="52"/>
      <c r="AT319" s="52"/>
      <c r="AU319" s="52"/>
      <c r="AV319" s="52"/>
      <c r="AW319" s="52"/>
      <c r="AX319" s="52"/>
      <c r="AY319" s="52"/>
      <c r="AZ319" s="787"/>
      <c r="BA319" s="786" t="str">
        <f>vlookup(AZ319,'Iran, FS'!$A$1:$B$318,2, false)</f>
        <v>#N/A</v>
      </c>
      <c r="BB319" s="787" t="str">
        <f>vlookup(AZ319,'1) Kpler'!$E$2:$F$500,2,false)</f>
        <v>#N/A</v>
      </c>
      <c r="BC319" s="788"/>
      <c r="BD319" s="787"/>
      <c r="BE319" s="52"/>
      <c r="BF319" s="52"/>
      <c r="BG319" s="787"/>
      <c r="BH319" s="787"/>
      <c r="BI319" s="787"/>
      <c r="BJ319" s="787"/>
    </row>
    <row r="320">
      <c r="B320" s="765" t="str">
        <f>vlookup(F320,'2) Tracker'!$A$3:$O$410,5,false)</f>
        <v/>
      </c>
      <c r="C320" s="765" t="str">
        <f>vlookup(F320,'2) Tracker'!$A$3:$O$410,4,false)</f>
        <v/>
      </c>
      <c r="D320" s="734"/>
      <c r="E320" s="734" t="str">
        <f>vlookup(F320,'2) Tracker'!$A$3:$O$406,15,false)</f>
        <v/>
      </c>
      <c r="F320" s="788" t="s">
        <v>489</v>
      </c>
      <c r="G320" s="789">
        <f>VLOOKUP(F320,'2) Tracker'!$A$2:$BO$360,2,FALSE)</f>
        <v>2021</v>
      </c>
      <c r="H320" s="768">
        <f>VLOOKUP(F320,'2) Tracker'!$A$2:$BO$360,3,FALSE)</f>
        <v>90000</v>
      </c>
      <c r="I320" s="777" t="str">
        <f>VLOOKUP(F320,'2) Tracker'!$A$2:$BO$360,9,FALSE)</f>
        <v>Trafigura</v>
      </c>
      <c r="J320" s="770" t="str">
        <f>VLOOKUP(F320,'2) Tracker'!$A$2:$BO$360,12,FALSE)</f>
        <v>ECI</v>
      </c>
      <c r="K320" s="774" t="str">
        <f t="shared" si="207"/>
        <v/>
      </c>
      <c r="L320" s="774">
        <f t="shared" ref="L320:O320" si="368">AE320</f>
        <v>46196</v>
      </c>
      <c r="M320" s="771" t="str">
        <f t="shared" si="368"/>
        <v/>
      </c>
      <c r="N320" s="771">
        <f t="shared" si="368"/>
        <v>46169</v>
      </c>
      <c r="O320" s="772" t="str">
        <f t="shared" si="368"/>
        <v/>
      </c>
      <c r="P320" s="773" t="str">
        <f>iferror(if(vlookup(F320,'Voyage days'!$M$808:$N$819,2,false),"GOA",""),"")</f>
        <v/>
      </c>
      <c r="Q320" s="771">
        <f t="shared" si="81"/>
        <v>46173</v>
      </c>
      <c r="R320" s="771">
        <f t="shared" si="83"/>
        <v>46198</v>
      </c>
      <c r="S320" s="774">
        <f t="shared" si="5"/>
        <v>46188</v>
      </c>
      <c r="T320" s="774">
        <f t="shared" si="6"/>
        <v>46181</v>
      </c>
      <c r="U320" s="771">
        <f t="shared" si="84"/>
        <v>46166</v>
      </c>
      <c r="V320" s="771"/>
      <c r="W320" s="771" t="str">
        <f t="shared" si="85"/>
        <v/>
      </c>
      <c r="X320" s="775" t="str">
        <f t="shared" si="9"/>
        <v/>
      </c>
      <c r="Y320" s="776"/>
      <c r="Z320" s="777" t="str">
        <f>vlookup(F320,'2) Tracker'!$A$3:$Q$504,16,false)</f>
        <v>ETA Mangalore 05 May</v>
      </c>
      <c r="AA320" s="777" t="str">
        <f>vlookup(F320,'2) Tracker'!$A$3:$R$504,18,false)</f>
        <v>Trafigura 29 Mar Enterprise</v>
      </c>
      <c r="AB320" s="777" t="str">
        <f>vlookup(F320,'2) Tracker'!$A$3:$Q$504,17,false)</f>
        <v/>
      </c>
      <c r="AC320" s="778"/>
      <c r="AD320" s="778" t="str">
        <f>VLOOKUP(F320,'2) Tracker'!$A$2:$BO$980,37,FALSE)</f>
        <v/>
      </c>
      <c r="AE320" s="778">
        <f>VLOOKUP(F320,'2) Tracker'!$A$2:$BO$980,40,FALSE)</f>
        <v>46196</v>
      </c>
      <c r="AF320" s="778" t="str">
        <f>VLOOKUP(F320,'2) Tracker'!$A$2:$BO$980,67,FALSE)</f>
        <v/>
      </c>
      <c r="AG320" s="778">
        <f>VLOOKUP(F320,'2) Tracker'!$A$2:$BO$980,34,FALSE)</f>
        <v>46169</v>
      </c>
      <c r="AH320" s="778" t="str">
        <f>VLOOKUP(F320,'2) Tracker'!$A$2:$BN$980,66,FALSE)</f>
        <v/>
      </c>
      <c r="AI320" s="778">
        <f>VLOOKUP(F320,'2) Tracker'!$A$2:$BO$980,56,FALSE)</f>
        <v>46166</v>
      </c>
      <c r="AJ320" s="778" t="str">
        <f>VLOOKUP(F320,'2) Tracker'!$A$2:$BO$980,52,FALSE)</f>
        <v/>
      </c>
      <c r="AK320" s="778">
        <f>VLOOKUP(F320,'2) Tracker'!$A$2:$AQ$980,43,FALSE)</f>
        <v>46181</v>
      </c>
      <c r="AL320" s="778">
        <f>VLOOKUP(F320,'2) Tracker'!$A$2:$BH$980,46,FALSE())</f>
        <v>46188</v>
      </c>
      <c r="AM320" s="778">
        <f>VLOOKUP(F320,'2) Tracker'!$A$2:$BO$980,65,FALSE())</f>
        <v>46173</v>
      </c>
      <c r="AN320" s="778">
        <f>VLOOKUP(F320,'2) Tracker'!$A$2:$BK$980,63,FALSE())</f>
        <v>46198</v>
      </c>
      <c r="AO320" s="778" t="str">
        <f>VLOOKUP(F320,'2) Tracker'!$A$2:$BF$980,58,FALSE())</f>
        <v/>
      </c>
      <c r="AP320" s="52"/>
      <c r="AQ320" s="52"/>
      <c r="AR320" s="52"/>
      <c r="AS320" s="52"/>
      <c r="AT320" s="52"/>
      <c r="AU320" s="52"/>
      <c r="AV320" s="52"/>
      <c r="AW320" s="52"/>
      <c r="AX320" s="52"/>
      <c r="AY320" s="52"/>
      <c r="AZ320" s="787"/>
      <c r="BA320" s="786" t="str">
        <f>vlookup(AZ320,'Iran, FS'!$A$1:$B$318,2, false)</f>
        <v>#N/A</v>
      </c>
      <c r="BB320" s="787" t="str">
        <f>vlookup(AZ320,'1) Kpler'!$E$2:$F$500,2,false)</f>
        <v>#N/A</v>
      </c>
      <c r="BC320" s="788"/>
      <c r="BD320" s="787"/>
      <c r="BE320" s="52"/>
      <c r="BF320" s="52"/>
      <c r="BG320" s="787"/>
      <c r="BH320" s="787"/>
      <c r="BI320" s="787"/>
      <c r="BJ320" s="787"/>
    </row>
    <row r="321">
      <c r="B321" s="765" t="str">
        <f>vlookup(F321,'2) Tracker'!$A$3:$O$410,5,false)</f>
        <v/>
      </c>
      <c r="C321" s="765" t="str">
        <f>vlookup(F321,'2) Tracker'!$A$3:$O$410,4,false)</f>
        <v/>
      </c>
      <c r="D321" s="734"/>
      <c r="E321" s="734" t="str">
        <f>vlookup(F321,'2) Tracker'!$A$3:$O$406,15,false)</f>
        <v/>
      </c>
      <c r="F321" s="798" t="s">
        <v>206</v>
      </c>
      <c r="G321" s="799">
        <f>VLOOKUP(F321,'2) Tracker'!$A$2:$BO$360,2,FALSE)</f>
        <v>2025</v>
      </c>
      <c r="H321" s="768">
        <f>VLOOKUP(F321,'2) Tracker'!$A$2:$BO$360,3,FALSE)</f>
        <v>86700</v>
      </c>
      <c r="I321" s="770" t="str">
        <f>VLOOKUP(F321,'2) Tracker'!$A$2:$BO$360,9,FALSE)</f>
        <v>Trafigura</v>
      </c>
      <c r="J321" s="770" t="str">
        <f>VLOOKUP(F321,'2) Tracker'!$A$2:$BO$360,12,FALSE)</f>
        <v>ECI</v>
      </c>
      <c r="K321" s="774" t="str">
        <f t="shared" si="207"/>
        <v/>
      </c>
      <c r="L321" s="774">
        <f t="shared" ref="L321:O321" si="369">AE321</f>
        <v>46198</v>
      </c>
      <c r="M321" s="771" t="str">
        <f t="shared" si="369"/>
        <v/>
      </c>
      <c r="N321" s="771">
        <f t="shared" si="369"/>
        <v>46171</v>
      </c>
      <c r="O321" s="772" t="str">
        <f t="shared" si="369"/>
        <v/>
      </c>
      <c r="P321" s="773" t="str">
        <f>iferror(if(vlookup(F321,'Voyage days'!$M$808:$N$819,2,false),"GOA",""),"")</f>
        <v/>
      </c>
      <c r="Q321" s="771">
        <f t="shared" si="81"/>
        <v>46175</v>
      </c>
      <c r="R321" s="774">
        <f t="shared" si="83"/>
        <v>46200</v>
      </c>
      <c r="S321" s="774">
        <f t="shared" si="5"/>
        <v>46190</v>
      </c>
      <c r="T321" s="771">
        <f t="shared" si="6"/>
        <v>46183</v>
      </c>
      <c r="U321" s="774">
        <f t="shared" si="84"/>
        <v>46168</v>
      </c>
      <c r="V321" s="774"/>
      <c r="W321" s="774" t="str">
        <f t="shared" si="85"/>
        <v/>
      </c>
      <c r="X321" s="775" t="str">
        <f t="shared" si="9"/>
        <v/>
      </c>
      <c r="Y321" s="776"/>
      <c r="Z321" s="777" t="str">
        <f>vlookup(F321,'2) Tracker'!$A$3:$Q$504,16,false)</f>
        <v>ETA Ennore 15 May</v>
      </c>
      <c r="AA321" s="777" t="str">
        <f>vlookup(F321,'2) Tracker'!$A$3:$R$504,18,false)</f>
        <v>BWPS 06-07 Apr USG</v>
      </c>
      <c r="AB321" s="777" t="str">
        <f>vlookup(F321,'2) Tracker'!$A$3:$Q$504,17,false)</f>
        <v/>
      </c>
      <c r="AC321" s="778"/>
      <c r="AD321" s="778" t="str">
        <f>VLOOKUP(F321,'2) Tracker'!$A$2:$BO$980,37,FALSE)</f>
        <v/>
      </c>
      <c r="AE321" s="778">
        <f>VLOOKUP(F321,'2) Tracker'!$A$2:$BO$980,40,FALSE)</f>
        <v>46198</v>
      </c>
      <c r="AF321" s="778" t="str">
        <f>VLOOKUP(F321,'2) Tracker'!$A$2:$BO$980,67,FALSE)</f>
        <v/>
      </c>
      <c r="AG321" s="778">
        <f>VLOOKUP(F321,'2) Tracker'!$A$2:$BO$980,34,FALSE)</f>
        <v>46171</v>
      </c>
      <c r="AH321" s="778" t="str">
        <f>VLOOKUP(F321,'2) Tracker'!$A$2:$BN$980,66,FALSE)</f>
        <v/>
      </c>
      <c r="AI321" s="778">
        <f>VLOOKUP(F321,'2) Tracker'!$A$2:$BO$980,56,FALSE)</f>
        <v>46168</v>
      </c>
      <c r="AJ321" s="778" t="str">
        <f>VLOOKUP(F321,'2) Tracker'!$A$2:$BO$980,52,FALSE)</f>
        <v/>
      </c>
      <c r="AK321" s="778">
        <f>VLOOKUP(F321,'2) Tracker'!$A$2:$AQ$980,43,FALSE)</f>
        <v>46183</v>
      </c>
      <c r="AL321" s="778">
        <f>VLOOKUP(F321,'2) Tracker'!$A$2:$BH$980,46,FALSE())</f>
        <v>46190</v>
      </c>
      <c r="AM321" s="778">
        <f>VLOOKUP(F321,'2) Tracker'!$A$2:$BO$980,65,FALSE())</f>
        <v>46175</v>
      </c>
      <c r="AN321" s="778">
        <f>VLOOKUP(F321,'2) Tracker'!$A$2:$BK$980,63,FALSE())</f>
        <v>46200</v>
      </c>
      <c r="AO321" s="778" t="str">
        <f>VLOOKUP(F321,'2) Tracker'!$A$2:$BF$980,58,FALSE())</f>
        <v/>
      </c>
      <c r="AP321" s="52"/>
      <c r="AQ321" s="52"/>
      <c r="AR321" s="52"/>
      <c r="AS321" s="52"/>
      <c r="AT321" s="52"/>
      <c r="AU321" s="52"/>
      <c r="AV321" s="52"/>
      <c r="AW321" s="52"/>
      <c r="AX321" s="52"/>
      <c r="AY321" s="52"/>
      <c r="AZ321" s="734"/>
      <c r="BA321" s="786" t="str">
        <f>vlookup(AZ321,'Iran, FS'!$A$1:$B$318,2, false)</f>
        <v>#N/A</v>
      </c>
      <c r="BB321" s="787" t="str">
        <f>vlookup(AZ321,'1) Kpler'!$E$2:$F$500,2,false)</f>
        <v>#N/A</v>
      </c>
      <c r="BC321" s="740"/>
      <c r="BD321" s="734"/>
      <c r="BE321" s="52"/>
      <c r="BF321" s="52"/>
      <c r="BG321" s="734"/>
      <c r="BH321" s="734"/>
      <c r="BI321" s="734"/>
      <c r="BJ321" s="734"/>
    </row>
    <row r="322">
      <c r="B322" s="765" t="str">
        <f>vlookup(F322,'2) Tracker'!$A$3:$O$410,5,false)</f>
        <v/>
      </c>
      <c r="C322" s="765"/>
      <c r="D322" s="734"/>
      <c r="E322" s="734" t="str">
        <f>vlookup(F322,'2) Tracker'!$A$3:$O$406,15,false)</f>
        <v/>
      </c>
      <c r="F322" s="766" t="s">
        <v>514</v>
      </c>
      <c r="G322" s="789">
        <f>VLOOKUP(F322,'2) Tracker'!$A$2:$BO$360,2,FALSE)</f>
        <v>2020</v>
      </c>
      <c r="H322" s="768">
        <f>VLOOKUP(F322,'2) Tracker'!$A$2:$BO$360,3,FALSE)</f>
        <v>84000</v>
      </c>
      <c r="I322" s="769" t="str">
        <f>VLOOKUP(F322,'2) Tracker'!$A$2:$BO$360,9,FALSE)</f>
        <v>Chevron</v>
      </c>
      <c r="J322" s="770" t="str">
        <f>VLOOKUP(F322,'2) Tracker'!$A$2:$BO$360,12,FALSE)</f>
        <v>Cape laden</v>
      </c>
      <c r="K322" s="771" t="str">
        <f t="shared" si="207"/>
        <v/>
      </c>
      <c r="L322" s="774" t="str">
        <f t="shared" ref="L322:O322" si="370">AE322</f>
        <v/>
      </c>
      <c r="M322" s="771" t="str">
        <f t="shared" si="370"/>
        <v/>
      </c>
      <c r="N322" s="771">
        <f t="shared" si="370"/>
        <v>46149</v>
      </c>
      <c r="O322" s="772" t="str">
        <f t="shared" si="370"/>
        <v/>
      </c>
      <c r="P322" s="773" t="str">
        <f>iferror(if(vlookup(F322,'Voyage days'!$M$808:$N$819,2,false),"GOA",""),"")</f>
        <v/>
      </c>
      <c r="Q322" s="771">
        <f t="shared" si="81"/>
        <v>46120</v>
      </c>
      <c r="R322" s="774">
        <f t="shared" si="83"/>
        <v>46118</v>
      </c>
      <c r="S322" s="774" t="str">
        <f t="shared" si="5"/>
        <v/>
      </c>
      <c r="T322" s="771" t="str">
        <f t="shared" si="6"/>
        <v/>
      </c>
      <c r="U322" s="774">
        <f t="shared" si="84"/>
        <v>46143</v>
      </c>
      <c r="V322" s="771"/>
      <c r="W322" s="771">
        <f t="shared" si="85"/>
        <v>46138</v>
      </c>
      <c r="X322" s="775" t="str">
        <f t="shared" si="9"/>
        <v/>
      </c>
      <c r="Y322" s="776"/>
      <c r="Z322" s="777" t="str">
        <f>vlookup(F322,'2) Tracker'!$A$3:$Q$504,16,false)</f>
        <v>pending disport</v>
      </c>
      <c r="AA322" s="777" t="str">
        <f>vlookup(F322,'2) Tracker'!$A$3:$R$504,18,false)</f>
        <v>Chevron 13-14 Mar Enterprise</v>
      </c>
      <c r="AB322" s="777" t="str">
        <f>vlookup(F322,'2) Tracker'!$A$3:$Q$504,17,false)</f>
        <v/>
      </c>
      <c r="AC322" s="778"/>
      <c r="AD322" s="778" t="str">
        <f>VLOOKUP(F322,'2) Tracker'!$A$2:$BO$980,37,FALSE)</f>
        <v/>
      </c>
      <c r="AE322" s="778" t="str">
        <f>VLOOKUP(F322,'2) Tracker'!$A$2:$BO$980,40,FALSE)</f>
        <v/>
      </c>
      <c r="AF322" s="778" t="str">
        <f>VLOOKUP(F322,'2) Tracker'!$A$2:$BO$980,67,FALSE)</f>
        <v/>
      </c>
      <c r="AG322" s="778">
        <f>VLOOKUP(F322,'2) Tracker'!$A$2:$BO$980,34,FALSE)</f>
        <v>46149</v>
      </c>
      <c r="AH322" s="778" t="str">
        <f>VLOOKUP(F322,'2) Tracker'!$A$2:$BN$980,66,FALSE)</f>
        <v/>
      </c>
      <c r="AI322" s="778">
        <f>VLOOKUP(F322,'2) Tracker'!$A$2:$BO$980,56,FALSE)</f>
        <v>46143</v>
      </c>
      <c r="AJ322" s="778">
        <f>VLOOKUP(F322,'2) Tracker'!$A$2:$BO$980,52,FALSE)</f>
        <v>46138</v>
      </c>
      <c r="AK322" s="778" t="str">
        <f>VLOOKUP(F322,'2) Tracker'!$A$2:$AQ$980,43,FALSE)</f>
        <v/>
      </c>
      <c r="AL322" s="778" t="str">
        <f>VLOOKUP(F322,'2) Tracker'!$A$2:$BH$980,46,FALSE())</f>
        <v/>
      </c>
      <c r="AM322" s="778">
        <f>VLOOKUP(F322,'2) Tracker'!$A$2:$BO$980,65,FALSE())</f>
        <v>46120</v>
      </c>
      <c r="AN322" s="778">
        <f>VLOOKUP(F322,'2) Tracker'!$A$2:$BK$980,63,FALSE())</f>
        <v>46118</v>
      </c>
      <c r="AO322" s="778" t="str">
        <f>VLOOKUP(F322,'2) Tracker'!$A$2:$BF$980,58,FALSE())</f>
        <v/>
      </c>
      <c r="AP322" s="52"/>
      <c r="AQ322" s="52"/>
      <c r="AR322" s="52"/>
      <c r="AS322" s="52"/>
      <c r="AT322" s="52"/>
      <c r="AU322" s="52"/>
      <c r="AV322" s="52"/>
      <c r="AW322" s="52"/>
      <c r="AX322" s="52"/>
      <c r="AY322" s="52"/>
      <c r="AZ322" s="734"/>
      <c r="BA322" s="786" t="str">
        <f>vlookup(AZ322,'Iran, FS'!$A$1:$B$318,2, false)</f>
        <v>#N/A</v>
      </c>
      <c r="BB322" s="787" t="str">
        <f>vlookup(AZ322,'1) Kpler'!$E$2:$F$500,2,false)</f>
        <v>#N/A</v>
      </c>
      <c r="BC322" s="740"/>
      <c r="BD322" s="734"/>
      <c r="BE322" s="52"/>
      <c r="BF322" s="52"/>
      <c r="BG322" s="734"/>
      <c r="BH322" s="734"/>
      <c r="BI322" s="734"/>
      <c r="BJ322" s="734"/>
    </row>
    <row r="323">
      <c r="B323" s="765"/>
      <c r="C323" s="765" t="str">
        <f>vlookup(F323,'2) Tracker'!$A$3:$O$410,4,false)</f>
        <v/>
      </c>
      <c r="D323" s="734"/>
      <c r="E323" s="734" t="str">
        <f>vlookup(F323,'2) Tracker'!$A$3:$O$406,15,false)</f>
        <v/>
      </c>
      <c r="F323" s="788" t="s">
        <v>83</v>
      </c>
      <c r="G323" s="789">
        <f>VLOOKUP(F323,'2) Tracker'!$A$2:$BO$360,2,FALSE)</f>
        <v>2023</v>
      </c>
      <c r="H323" s="768">
        <f>VLOOKUP(F323,'2) Tracker'!$A$2:$BO$360,3,FALSE)</f>
        <v>86000</v>
      </c>
      <c r="I323" s="770" t="str">
        <f>VLOOKUP(F323,'2) Tracker'!$A$2:$BO$360,9,FALSE)</f>
        <v>Wanhua</v>
      </c>
      <c r="J323" s="770" t="str">
        <f>VLOOKUP(F323,'2) Tracker'!$A$2:$BO$360,12,FALSE)</f>
        <v>loads AG</v>
      </c>
      <c r="K323" s="771" t="str">
        <f t="shared" si="207"/>
        <v/>
      </c>
      <c r="L323" s="771" t="str">
        <f t="shared" ref="L323:O323" si="371">AE323</f>
        <v/>
      </c>
      <c r="M323" s="771" t="str">
        <f t="shared" si="371"/>
        <v/>
      </c>
      <c r="N323" s="772">
        <f t="shared" si="371"/>
        <v>46125</v>
      </c>
      <c r="O323" s="772">
        <f t="shared" si="371"/>
        <v>46150</v>
      </c>
      <c r="P323" s="773" t="str">
        <f>iferror(if(vlookup(F323,'Voyage days'!$M$808:$N$819,2,false),"GOA",""),"")</f>
        <v>GOA</v>
      </c>
      <c r="Q323" s="772">
        <f t="shared" si="81"/>
        <v>46129</v>
      </c>
      <c r="R323" s="771">
        <f t="shared" si="83"/>
        <v>46125</v>
      </c>
      <c r="S323" s="774" t="str">
        <f t="shared" si="5"/>
        <v/>
      </c>
      <c r="T323" s="774" t="str">
        <f t="shared" si="6"/>
        <v/>
      </c>
      <c r="U323" s="771" t="str">
        <f t="shared" si="84"/>
        <v/>
      </c>
      <c r="V323" s="771"/>
      <c r="W323" s="771">
        <f t="shared" si="85"/>
        <v>46144</v>
      </c>
      <c r="X323" s="775" t="str">
        <f t="shared" si="9"/>
        <v/>
      </c>
      <c r="Y323" s="776"/>
      <c r="Z323" s="777" t="str">
        <f>vlookup(F323,'2) Tracker'!$A$3:$Q$504,16,false)</f>
        <v>ATC 90 day TC, @ Ras Laffan anchorage 01 Apr</v>
      </c>
      <c r="AA323" s="777" t="str">
        <f>vlookup(F323,'2) Tracker'!$A$3:$R$504,18,false)</f>
        <v>ATC 20-21 Feb Ras Tanura</v>
      </c>
      <c r="AB323" s="777" t="str">
        <f>vlookup(F323,'2) Tracker'!$A$3:$Q$504,17,false)</f>
        <v/>
      </c>
      <c r="AC323" s="778"/>
      <c r="AD323" s="778" t="str">
        <f>VLOOKUP(F323,'2) Tracker'!$A$2:$BO$980,37,FALSE)</f>
        <v/>
      </c>
      <c r="AE323" s="778" t="str">
        <f>VLOOKUP(F323,'2) Tracker'!$A$2:$BO$980,40,FALSE)</f>
        <v/>
      </c>
      <c r="AF323" s="778" t="str">
        <f>VLOOKUP(F323,'2) Tracker'!$A$2:$BO$980,67,FALSE)</f>
        <v/>
      </c>
      <c r="AG323" s="778">
        <f>VLOOKUP(F323,'2) Tracker'!$A$2:$BO$980,34,FALSE)</f>
        <v>46125</v>
      </c>
      <c r="AH323" s="778">
        <f>VLOOKUP(F323,'2) Tracker'!$A$2:$BN$980,66,FALSE)</f>
        <v>46150</v>
      </c>
      <c r="AI323" s="779" t="str">
        <f>VLOOKUP(F323,'2) Tracker'!$A$2:$BO$980,56,FALSE)</f>
        <v/>
      </c>
      <c r="AJ323" s="778">
        <f>VLOOKUP(F323,'2) Tracker'!$A$2:$BO$980,52,FALSE)</f>
        <v>46144</v>
      </c>
      <c r="AK323" s="778" t="str">
        <f>VLOOKUP(F323,'2) Tracker'!$A$2:$AQ$980,43,FALSE)</f>
        <v/>
      </c>
      <c r="AL323" s="778" t="str">
        <f>VLOOKUP(F323,'2) Tracker'!$A$2:$BH$980,46,FALSE())</f>
        <v/>
      </c>
      <c r="AM323" s="778">
        <f>VLOOKUP(F323,'2) Tracker'!$A$2:$BO$980,65,FALSE())</f>
        <v>46129</v>
      </c>
      <c r="AN323" s="778">
        <f>VLOOKUP(F323,'2) Tracker'!$A$2:$BK$980,63,FALSE())</f>
        <v>46125</v>
      </c>
      <c r="AO323" s="778" t="str">
        <f>VLOOKUP(F323,'2) Tracker'!$A$2:$BF$980,58,FALSE())</f>
        <v/>
      </c>
      <c r="AP323" s="52"/>
      <c r="AQ323" s="52"/>
      <c r="AR323" s="52"/>
      <c r="AS323" s="52"/>
      <c r="AT323" s="52"/>
      <c r="AU323" s="52"/>
      <c r="AV323" s="52"/>
      <c r="AW323" s="52"/>
      <c r="AX323" s="52"/>
      <c r="AY323" s="52"/>
      <c r="AZ323" s="734"/>
      <c r="BA323" s="740"/>
      <c r="BB323" s="734"/>
      <c r="BC323" s="740"/>
      <c r="BD323" s="734"/>
      <c r="BE323" s="52"/>
      <c r="BF323" s="52"/>
      <c r="BG323" s="734"/>
      <c r="BH323" s="734"/>
      <c r="BI323" s="734"/>
      <c r="BJ323" s="734"/>
    </row>
    <row r="324">
      <c r="B324" s="765" t="str">
        <f>vlookup(F324,'2) Tracker'!$A$3:$O$410,5,false)</f>
        <v/>
      </c>
      <c r="C324" s="765" t="str">
        <f>vlookup(F324,'2) Tracker'!$A$3:$O$410,4,false)</f>
        <v/>
      </c>
      <c r="D324" s="734"/>
      <c r="E324" s="734" t="str">
        <f>vlookup(F324,'2) Tracker'!$A$3:$O$406,15,false)</f>
        <v/>
      </c>
      <c r="F324" s="788" t="s">
        <v>19</v>
      </c>
      <c r="G324" s="789">
        <f>VLOOKUP(F324,'2) Tracker'!$A$2:$BO$360,2,FALSE)</f>
        <v>2022</v>
      </c>
      <c r="H324" s="768">
        <f>VLOOKUP(F324,'2) Tracker'!$A$2:$BO$360,3,FALSE)</f>
        <v>86000</v>
      </c>
      <c r="I324" s="770" t="str">
        <f>VLOOKUP(F324,'2) Tracker'!$A$2:$BO$360,9,FALSE)</f>
        <v>Wanhua</v>
      </c>
      <c r="J324" s="770" t="str">
        <f>VLOOKUP(F324,'2) Tracker'!$A$2:$BO$360,12,FALSE)</f>
        <v>loads AG</v>
      </c>
      <c r="K324" s="771" t="str">
        <f t="shared" si="207"/>
        <v/>
      </c>
      <c r="L324" s="771" t="str">
        <f t="shared" ref="L324:O324" si="372">AE324</f>
        <v/>
      </c>
      <c r="M324" s="771" t="str">
        <f t="shared" si="372"/>
        <v/>
      </c>
      <c r="N324" s="771">
        <f t="shared" si="372"/>
        <v>46125</v>
      </c>
      <c r="O324" s="772">
        <f t="shared" si="372"/>
        <v>46150</v>
      </c>
      <c r="P324" s="773" t="str">
        <f>iferror(if(vlookup(F324,'Voyage days'!$M$808:$N$819,2,false),"GOA",""),"")</f>
        <v>GOA</v>
      </c>
      <c r="Q324" s="772">
        <f t="shared" si="81"/>
        <v>46130</v>
      </c>
      <c r="R324" s="771">
        <f t="shared" si="83"/>
        <v>46125</v>
      </c>
      <c r="S324" s="774" t="str">
        <f t="shared" si="5"/>
        <v/>
      </c>
      <c r="T324" s="771" t="str">
        <f t="shared" si="6"/>
        <v/>
      </c>
      <c r="U324" s="771" t="str">
        <f t="shared" si="84"/>
        <v/>
      </c>
      <c r="V324" s="771"/>
      <c r="W324" s="771">
        <f t="shared" si="85"/>
        <v>46144</v>
      </c>
      <c r="X324" s="775" t="str">
        <f t="shared" si="9"/>
        <v/>
      </c>
      <c r="Y324" s="784"/>
      <c r="Z324" s="777" t="str">
        <f>vlookup(F324,'2) Tracker'!$A$3:$Q$504,16,false)</f>
        <v>Discharge STS in Suez (ML) / Loading at Yanbu</v>
      </c>
      <c r="AA324" s="777" t="str">
        <f>vlookup(F324,'2) Tracker'!$A$3:$R$504,18,false)</f>
        <v>ATC 13 Apr Yanbu</v>
      </c>
      <c r="AB324" s="777" t="str">
        <f>vlookup(F324,'2) Tracker'!$A$3:$Q$504,17,false)</f>
        <v/>
      </c>
      <c r="AC324" s="778"/>
      <c r="AD324" s="778" t="str">
        <f>VLOOKUP(F324,'2) Tracker'!$A$2:$BO$980,37,FALSE)</f>
        <v/>
      </c>
      <c r="AE324" s="778" t="str">
        <f>VLOOKUP(F324,'2) Tracker'!$A$2:$BO$980,40,FALSE)</f>
        <v/>
      </c>
      <c r="AF324" s="778" t="str">
        <f>VLOOKUP(F324,'2) Tracker'!$A$2:$BO$980,67,FALSE)</f>
        <v/>
      </c>
      <c r="AG324" s="778">
        <f>VLOOKUP(F324,'2) Tracker'!$A$2:$BO$980,34,FALSE)</f>
        <v>46125</v>
      </c>
      <c r="AH324" s="778">
        <f>VLOOKUP(F324,'2) Tracker'!$A$2:$BN$980,66,FALSE)</f>
        <v>46150</v>
      </c>
      <c r="AI324" s="778" t="str">
        <f>VLOOKUP(F324,'2) Tracker'!$A$2:$BO$980,56,FALSE)</f>
        <v/>
      </c>
      <c r="AJ324" s="778">
        <f>VLOOKUP(F324,'2) Tracker'!$A$2:$BO$980,52,FALSE)</f>
        <v>46144</v>
      </c>
      <c r="AK324" s="778" t="str">
        <f>VLOOKUP(F324,'2) Tracker'!$A$2:$AQ$980,43,FALSE)</f>
        <v/>
      </c>
      <c r="AL324" s="778" t="str">
        <f>VLOOKUP(F324,'2) Tracker'!$A$2:$BH$980,46,FALSE())</f>
        <v/>
      </c>
      <c r="AM324" s="778">
        <f>VLOOKUP(F324,'2) Tracker'!$A$2:$BO$980,65,FALSE())</f>
        <v>46130</v>
      </c>
      <c r="AN324" s="778">
        <f>VLOOKUP(F324,'2) Tracker'!$A$2:$BK$980,63,FALSE())</f>
        <v>46125</v>
      </c>
      <c r="AO324" s="778" t="str">
        <f>VLOOKUP(F324,'2) Tracker'!$A$2:$BF$980,58,FALSE())</f>
        <v/>
      </c>
      <c r="AP324" s="52"/>
      <c r="AQ324" s="52"/>
      <c r="AR324" s="52"/>
      <c r="AS324" s="52"/>
      <c r="AT324" s="52"/>
      <c r="AU324" s="52"/>
      <c r="AV324" s="52"/>
      <c r="AW324" s="52"/>
      <c r="AX324" s="52"/>
      <c r="AY324" s="52"/>
      <c r="AZ324" s="787"/>
      <c r="BA324" s="786" t="str">
        <f>vlookup(AZ324,'Iran, FS'!$A$1:$B$318,2, false)</f>
        <v>#N/A</v>
      </c>
      <c r="BB324" s="787" t="str">
        <f>vlookup(AZ324,'1) Kpler'!$E$2:$F$500,2,false)</f>
        <v>#N/A</v>
      </c>
      <c r="BC324" s="788"/>
      <c r="BD324" s="787"/>
      <c r="BE324" s="52"/>
      <c r="BF324" s="52"/>
      <c r="BG324" s="787"/>
      <c r="BH324" s="787"/>
      <c r="BI324" s="787"/>
      <c r="BJ324" s="787"/>
    </row>
    <row r="325">
      <c r="B325" s="765" t="str">
        <f>vlookup(F325,'2) Tracker'!$A$3:$O$410,5,false)</f>
        <v/>
      </c>
      <c r="C325" s="765" t="str">
        <f>vlookup(F325,'2) Tracker'!$A$3:$O$410,4,false)</f>
        <v/>
      </c>
      <c r="D325" s="734"/>
      <c r="E325" s="734" t="str">
        <f>vlookup(F325,'2) Tracker'!$A$3:$O$406,15,false)</f>
        <v/>
      </c>
      <c r="F325" s="788" t="s">
        <v>1342</v>
      </c>
      <c r="G325" s="783">
        <f>VLOOKUP(F325,'2) Tracker'!$A$2:$BO$360,2,FALSE)</f>
        <v>42103</v>
      </c>
      <c r="H325" s="768">
        <f>VLOOKUP(F325,'2) Tracker'!$A$2:$BO$360,3,FALSE)</f>
        <v>83000</v>
      </c>
      <c r="I325" s="770" t="str">
        <f>VLOOKUP(F325,'2) Tracker'!$A$2:$BO$360,9,FALSE)</f>
        <v>BW</v>
      </c>
      <c r="J325" s="770" t="str">
        <f>VLOOKUP(F325,'2) Tracker'!$A$2:$BO$360,12,FALSE)</f>
        <v>Cape laden</v>
      </c>
      <c r="K325" s="771" t="str">
        <f t="shared" si="207"/>
        <v/>
      </c>
      <c r="L325" s="771" t="str">
        <f t="shared" ref="L325:O325" si="373">AE325</f>
        <v/>
      </c>
      <c r="M325" s="771" t="str">
        <f t="shared" si="373"/>
        <v/>
      </c>
      <c r="N325" s="771">
        <f t="shared" si="373"/>
        <v>46156</v>
      </c>
      <c r="O325" s="772" t="str">
        <f t="shared" si="373"/>
        <v/>
      </c>
      <c r="P325" s="773" t="str">
        <f>iferror(if(vlookup(F325,'Voyage days'!$M$808:$N$819,2,false),"GOA",""),"")</f>
        <v/>
      </c>
      <c r="Q325" s="771">
        <f t="shared" si="81"/>
        <v>46126</v>
      </c>
      <c r="R325" s="771">
        <f t="shared" si="83"/>
        <v>46125</v>
      </c>
      <c r="S325" s="774" t="str">
        <f t="shared" si="5"/>
        <v/>
      </c>
      <c r="T325" s="771" t="str">
        <f t="shared" si="6"/>
        <v/>
      </c>
      <c r="U325" s="771">
        <f t="shared" si="84"/>
        <v>46149</v>
      </c>
      <c r="V325" s="771"/>
      <c r="W325" s="771">
        <f t="shared" si="85"/>
        <v>46145</v>
      </c>
      <c r="X325" s="775" t="str">
        <f t="shared" si="9"/>
        <v/>
      </c>
      <c r="Y325" s="776"/>
      <c r="Z325" s="777" t="str">
        <f>vlookup(F325,'2) Tracker'!$A$3:$Q$504,16,false)</f>
        <v>@ Port Elizabeth 11 Apr</v>
      </c>
      <c r="AA325" s="777" t="str">
        <f>vlookup(F325,'2) Tracker'!$A$3:$R$504,18,false)</f>
        <v>BGN 14-15 Mar Nederland</v>
      </c>
      <c r="AB325" s="777" t="str">
        <f>vlookup(F325,'2) Tracker'!$A$3:$Q$504,17,false)</f>
        <v/>
      </c>
      <c r="AC325" s="778"/>
      <c r="AD325" s="778" t="str">
        <f>VLOOKUP(F325,'2) Tracker'!$A$2:$BO$980,37,FALSE)</f>
        <v/>
      </c>
      <c r="AE325" s="778" t="str">
        <f>VLOOKUP(F325,'2) Tracker'!$A$2:$BO$980,40,FALSE)</f>
        <v/>
      </c>
      <c r="AF325" s="778" t="str">
        <f>VLOOKUP(F325,'2) Tracker'!$A$2:$BO$980,67,FALSE)</f>
        <v/>
      </c>
      <c r="AG325" s="778">
        <f>VLOOKUP(F325,'2) Tracker'!$A$2:$BO$980,34,FALSE)</f>
        <v>46156</v>
      </c>
      <c r="AH325" s="778" t="str">
        <f>VLOOKUP(F325,'2) Tracker'!$A$2:$BN$980,66,FALSE)</f>
        <v/>
      </c>
      <c r="AI325" s="778">
        <f>VLOOKUP(F325,'2) Tracker'!$A$2:$BO$980,56,FALSE)</f>
        <v>46149</v>
      </c>
      <c r="AJ325" s="778">
        <f>VLOOKUP(F325,'2) Tracker'!$A$2:$BO$980,52,FALSE)</f>
        <v>46145</v>
      </c>
      <c r="AK325" s="778" t="str">
        <f>VLOOKUP(F325,'2) Tracker'!$A$2:$AQ$980,43,FALSE)</f>
        <v/>
      </c>
      <c r="AL325" s="778" t="str">
        <f>VLOOKUP(F325,'2) Tracker'!$A$2:$BH$980,46,FALSE())</f>
        <v/>
      </c>
      <c r="AM325" s="778">
        <f>VLOOKUP(F325,'2) Tracker'!$A$2:$BO$980,65,FALSE())</f>
        <v>46126</v>
      </c>
      <c r="AN325" s="778">
        <f>VLOOKUP(F325,'2) Tracker'!$A$2:$BK$980,63,FALSE())</f>
        <v>46125</v>
      </c>
      <c r="AO325" s="778" t="str">
        <f>VLOOKUP(F325,'2) Tracker'!$A$2:$BF$980,58,FALSE())</f>
        <v/>
      </c>
      <c r="AP325" s="52"/>
      <c r="AQ325" s="52"/>
      <c r="AR325" s="52"/>
      <c r="AS325" s="52"/>
      <c r="AT325" s="52"/>
      <c r="AU325" s="52"/>
      <c r="AV325" s="52"/>
      <c r="AW325" s="52"/>
      <c r="AX325" s="52"/>
      <c r="AY325" s="52"/>
      <c r="AZ325" s="734"/>
      <c r="BA325" s="786" t="str">
        <f>vlookup(AZ325,'Iran, FS'!$A$1:$B$318,2, false)</f>
        <v>#N/A</v>
      </c>
      <c r="BB325" s="787" t="str">
        <f>vlookup(AZ325,'1) Kpler'!$E$2:$F$500,2,false)</f>
        <v>#N/A</v>
      </c>
      <c r="BC325" s="740"/>
      <c r="BD325" s="734"/>
      <c r="BE325" s="52"/>
      <c r="BF325" s="52"/>
      <c r="BG325" s="734"/>
      <c r="BH325" s="734"/>
      <c r="BI325" s="734"/>
      <c r="BJ325" s="734"/>
    </row>
    <row r="326">
      <c r="B326" s="765" t="str">
        <f>vlookup(F326,'2) Tracker'!$A$3:$O$410,5,false)</f>
        <v/>
      </c>
      <c r="C326" s="765" t="str">
        <f>vlookup(F326,'2) Tracker'!$A$3:$O$410,4,false)</f>
        <v/>
      </c>
      <c r="D326" s="734"/>
      <c r="E326" s="734" t="str">
        <f>vlookup(F326,'2) Tracker'!$A$3:$O$406,15,false)</f>
        <v/>
      </c>
      <c r="F326" s="770" t="s">
        <v>434</v>
      </c>
      <c r="G326" s="783">
        <f>VLOOKUP(F326,'2) Tracker'!$A$2:$BO$360,2,FALSE)</f>
        <v>42197</v>
      </c>
      <c r="H326" s="768">
        <f>VLOOKUP(F326,'2) Tracker'!$A$2:$BO$360,3,FALSE)</f>
        <v>84000</v>
      </c>
      <c r="I326" s="770" t="str">
        <f>VLOOKUP(F326,'2) Tracker'!$A$2:$BO$360,9,FALSE)</f>
        <v>Naftomar&gt; ATL</v>
      </c>
      <c r="J326" s="770" t="str">
        <f>VLOOKUP(F326,'2) Tracker'!$A$2:$BO$360,12,FALSE)</f>
        <v>loads AG</v>
      </c>
      <c r="K326" s="774" t="str">
        <f t="shared" si="207"/>
        <v/>
      </c>
      <c r="L326" s="774" t="str">
        <f t="shared" ref="L326:O326" si="374">AE326</f>
        <v/>
      </c>
      <c r="M326" s="771" t="str">
        <f t="shared" si="374"/>
        <v/>
      </c>
      <c r="N326" s="771">
        <f t="shared" si="374"/>
        <v>46127</v>
      </c>
      <c r="O326" s="772">
        <f t="shared" si="374"/>
        <v>46152</v>
      </c>
      <c r="P326" s="773" t="str">
        <f>iferror(if(vlookup(F326,'Voyage days'!$M$808:$N$821,2,false),"GOA",""),"")</f>
        <v>GOA</v>
      </c>
      <c r="Q326" s="772">
        <f t="shared" si="81"/>
        <v>46131</v>
      </c>
      <c r="R326" s="774">
        <f t="shared" si="83"/>
        <v>46127</v>
      </c>
      <c r="S326" s="774" t="str">
        <f t="shared" si="5"/>
        <v/>
      </c>
      <c r="T326" s="771" t="str">
        <f t="shared" si="6"/>
        <v/>
      </c>
      <c r="U326" s="774" t="str">
        <f t="shared" si="84"/>
        <v/>
      </c>
      <c r="V326" s="802"/>
      <c r="W326" s="802">
        <f t="shared" si="85"/>
        <v>46146</v>
      </c>
      <c r="X326" s="775" t="str">
        <f t="shared" si="9"/>
        <v/>
      </c>
      <c r="Y326" s="776"/>
      <c r="Z326" s="777" t="str">
        <f>vlookup(F326,'2) Tracker'!$A$3:$Q$504,16,false)</f>
        <v>drifting off Yanbu 10 Apr, waiting to berth</v>
      </c>
      <c r="AA326" s="777" t="str">
        <f>vlookup(F326,'2) Tracker'!$A$3:$R$504,18,false)</f>
        <v>ATC 10 Apr Yanbu (short TC)</v>
      </c>
      <c r="AB326" s="777" t="str">
        <f>vlookup(F326,'2) Tracker'!$A$3:$Q$504,17,false)</f>
        <v/>
      </c>
      <c r="AC326" s="778"/>
      <c r="AD326" s="778" t="str">
        <f>VLOOKUP(F326,'2) Tracker'!$A$2:$BO$980,37,FALSE)</f>
        <v/>
      </c>
      <c r="AE326" s="778" t="str">
        <f>VLOOKUP(F326,'2) Tracker'!$A$2:$BO$980,40,FALSE)</f>
        <v/>
      </c>
      <c r="AF326" s="778" t="str">
        <f>VLOOKUP(F326,'2) Tracker'!$A$2:$BO$980,67,FALSE)</f>
        <v/>
      </c>
      <c r="AG326" s="778">
        <f>VLOOKUP(F326,'2) Tracker'!$A$2:$BO$980,34,FALSE)</f>
        <v>46127</v>
      </c>
      <c r="AH326" s="778">
        <f>VLOOKUP(F326,'2) Tracker'!$A$2:$BN$980,66,FALSE)</f>
        <v>46152</v>
      </c>
      <c r="AI326" s="778" t="str">
        <f>VLOOKUP(F326,'2) Tracker'!$A$2:$BO$980,56,FALSE)</f>
        <v/>
      </c>
      <c r="AJ326" s="778">
        <f>VLOOKUP(F326,'2) Tracker'!$A$2:$BO$980,52,FALSE)</f>
        <v>46146</v>
      </c>
      <c r="AK326" s="778" t="str">
        <f>VLOOKUP(F326,'2) Tracker'!$A$2:$AQ$980,43,FALSE)</f>
        <v/>
      </c>
      <c r="AL326" s="778" t="str">
        <f>VLOOKUP(F326,'2) Tracker'!$A$2:$BH$980,46,FALSE())</f>
        <v/>
      </c>
      <c r="AM326" s="778">
        <f>VLOOKUP(F326,'2) Tracker'!$A$2:$BO$980,65,FALSE())</f>
        <v>46131</v>
      </c>
      <c r="AN326" s="778">
        <f>VLOOKUP(F326,'2) Tracker'!$A$2:$BK$980,63,FALSE())</f>
        <v>46127</v>
      </c>
      <c r="AO326" s="778" t="str">
        <f>VLOOKUP(F326,'2) Tracker'!$A$2:$BF$980,58,FALSE())</f>
        <v/>
      </c>
      <c r="AP326" s="52"/>
      <c r="AQ326" s="52"/>
      <c r="AR326" s="52"/>
      <c r="AS326" s="52"/>
      <c r="AT326" s="52"/>
      <c r="AU326" s="52"/>
      <c r="AV326" s="52"/>
      <c r="AW326" s="52"/>
      <c r="AX326" s="52"/>
      <c r="AY326" s="52"/>
      <c r="AZ326" s="734"/>
      <c r="BA326" s="786" t="str">
        <f>vlookup(AZ326,'Iran, FS'!$A$1:$B$318,2, false)</f>
        <v>#N/A</v>
      </c>
      <c r="BB326" s="787" t="str">
        <f>vlookup(AZ326,'1) Kpler'!$E$2:$F$500,2,false)</f>
        <v>#N/A</v>
      </c>
      <c r="BC326" s="740"/>
      <c r="BD326" s="734"/>
      <c r="BE326" s="52"/>
      <c r="BF326" s="52"/>
      <c r="BG326" s="734"/>
      <c r="BH326" s="734"/>
      <c r="BI326" s="734"/>
      <c r="BJ326" s="734"/>
    </row>
    <row r="327" ht="15.75" customHeight="1">
      <c r="B327" s="765" t="str">
        <f>vlookup(F327,'2) Tracker'!$A$3:$O$410,5,false)</f>
        <v/>
      </c>
      <c r="C327" s="765" t="str">
        <f>vlookup(F327,'2) Tracker'!$A$3:$O$410,4,false)</f>
        <v/>
      </c>
      <c r="D327" s="734"/>
      <c r="E327" s="734" t="str">
        <f>vlookup(F327,'2) Tracker'!$A$3:$O$406,15,false)</f>
        <v/>
      </c>
      <c r="F327" s="766" t="s">
        <v>207</v>
      </c>
      <c r="G327" s="789">
        <f>VLOOKUP(F327,'2) Tracker'!$A$2:$BO$360,2,FALSE)</f>
        <v>2022</v>
      </c>
      <c r="H327" s="768">
        <f>VLOOKUP(F327,'2) Tracker'!$A$2:$BO$360,3,FALSE)</f>
        <v>84000</v>
      </c>
      <c r="I327" s="769" t="str">
        <f>VLOOKUP(F327,'2) Tracker'!$A$2:$BO$360,9,FALSE)</f>
        <v>BGN</v>
      </c>
      <c r="J327" s="770" t="str">
        <f>VLOOKUP(F327,'2) Tracker'!$A$2:$BO$360,12,FALSE)</f>
        <v>Cape laden</v>
      </c>
      <c r="K327" s="771" t="str">
        <f t="shared" si="207"/>
        <v/>
      </c>
      <c r="L327" s="771" t="str">
        <f t="shared" ref="L327:O327" si="375">AE327</f>
        <v/>
      </c>
      <c r="M327" s="771" t="str">
        <f t="shared" si="375"/>
        <v/>
      </c>
      <c r="N327" s="771">
        <f t="shared" si="375"/>
        <v>46189</v>
      </c>
      <c r="O327" s="772" t="str">
        <f t="shared" si="375"/>
        <v/>
      </c>
      <c r="P327" s="773" t="str">
        <f>iferror(if(vlookup(F327,'Voyage days'!$M$808:$N$819,2,false),"GOA",""),"")</f>
        <v/>
      </c>
      <c r="Q327" s="771">
        <f t="shared" si="81"/>
        <v>46159</v>
      </c>
      <c r="R327" s="771">
        <f t="shared" si="83"/>
        <v>46158</v>
      </c>
      <c r="S327" s="774" t="str">
        <f t="shared" si="5"/>
        <v/>
      </c>
      <c r="T327" s="771" t="str">
        <f t="shared" si="6"/>
        <v/>
      </c>
      <c r="U327" s="771">
        <f t="shared" si="84"/>
        <v>46182</v>
      </c>
      <c r="V327" s="771"/>
      <c r="W327" s="771">
        <f t="shared" si="85"/>
        <v>46178</v>
      </c>
      <c r="X327" s="775" t="str">
        <f t="shared" si="9"/>
        <v/>
      </c>
      <c r="Y327" s="776"/>
      <c r="Z327" s="777" t="str">
        <f>vlookup(F327,'2) Tracker'!$A$3:$Q$504,16,false)</f>
        <v>Pendung firm disport</v>
      </c>
      <c r="AA327" s="777" t="str">
        <f>vlookup(F327,'2) Tracker'!$A$3:$R$504,18,false)</f>
        <v>BGN 17-18 Mar Nederland</v>
      </c>
      <c r="AB327" s="777" t="str">
        <f>vlookup(F327,'2) Tracker'!$A$3:$Q$504,17,false)</f>
        <v/>
      </c>
      <c r="AC327" s="778"/>
      <c r="AD327" s="778" t="str">
        <f>VLOOKUP(F327,'2) Tracker'!$A$2:$BO$980,37,FALSE)</f>
        <v/>
      </c>
      <c r="AE327" s="778" t="str">
        <f>VLOOKUP(F327,'2) Tracker'!$A$2:$BO$980,40,FALSE)</f>
        <v/>
      </c>
      <c r="AF327" s="778" t="str">
        <f>VLOOKUP(F327,'2) Tracker'!$A$2:$BO$980,67,FALSE)</f>
        <v/>
      </c>
      <c r="AG327" s="778">
        <f>VLOOKUP(F327,'2) Tracker'!$A$2:$BO$980,34,FALSE)</f>
        <v>46189</v>
      </c>
      <c r="AH327" s="778" t="str">
        <f>VLOOKUP(F327,'2) Tracker'!$A$2:$BN$980,66,FALSE)</f>
        <v/>
      </c>
      <c r="AI327" s="778">
        <f>VLOOKUP(F327,'2) Tracker'!$A$2:$BO$980,56,FALSE)</f>
        <v>46182</v>
      </c>
      <c r="AJ327" s="778">
        <f>VLOOKUP(F327,'2) Tracker'!$A$2:$BO$980,52,FALSE)</f>
        <v>46178</v>
      </c>
      <c r="AK327" s="778" t="str">
        <f>VLOOKUP(F327,'2) Tracker'!$A$2:$AQ$980,43,FALSE)</f>
        <v/>
      </c>
      <c r="AL327" s="778" t="str">
        <f>VLOOKUP(F327,'2) Tracker'!$A$2:$BH$980,46,FALSE())</f>
        <v/>
      </c>
      <c r="AM327" s="778">
        <f>VLOOKUP(F327,'2) Tracker'!$A$2:$BO$980,65,FALSE())</f>
        <v>46159</v>
      </c>
      <c r="AN327" s="778">
        <f>VLOOKUP(F327,'2) Tracker'!$A$2:$BK$980,63,FALSE())</f>
        <v>46158</v>
      </c>
      <c r="AO327" s="778" t="str">
        <f>VLOOKUP(F327,'2) Tracker'!$A$2:$BF$980,58,FALSE())</f>
        <v/>
      </c>
      <c r="AP327" s="52"/>
      <c r="AQ327" s="52"/>
      <c r="AR327" s="52"/>
      <c r="AS327" s="52"/>
      <c r="AT327" s="52"/>
      <c r="AU327" s="52"/>
      <c r="AV327" s="52"/>
      <c r="AW327" s="52"/>
      <c r="AX327" s="52"/>
      <c r="AY327" s="52"/>
      <c r="AZ327" s="734"/>
      <c r="BA327" s="786" t="str">
        <f>vlookup(AZ327,'Iran, FS'!$A$1:$B$318,2, false)</f>
        <v>#N/A</v>
      </c>
      <c r="BB327" s="787" t="str">
        <f>vlookup(AZ327,'1) Kpler'!$E$2:$F$500,2,false)</f>
        <v>#N/A</v>
      </c>
      <c r="BC327" s="740"/>
      <c r="BD327" s="734"/>
      <c r="BE327" s="52"/>
      <c r="BF327" s="52"/>
      <c r="BG327" s="734"/>
      <c r="BH327" s="734"/>
      <c r="BI327" s="734"/>
      <c r="BJ327" s="734"/>
    </row>
    <row r="328">
      <c r="B328" s="765" t="str">
        <f>vlookup(F328,'2) Tracker'!$A$3:$O$410,5,false)</f>
        <v/>
      </c>
      <c r="C328" s="765" t="str">
        <f>vlookup(F328,'2) Tracker'!$A$3:$O$410,4,false)</f>
        <v/>
      </c>
      <c r="D328" s="734"/>
      <c r="E328" s="734" t="str">
        <f>vlookup(F328,'2) Tracker'!$A$3:$O$406,15,false)</f>
        <v/>
      </c>
      <c r="F328" s="798" t="s">
        <v>554</v>
      </c>
      <c r="G328" s="767">
        <f>VLOOKUP(F328,'2) Tracker'!$A$2:$BO$360,2,FALSE)</f>
        <v>2013</v>
      </c>
      <c r="H328" s="768">
        <f>VLOOKUP(F328,'2) Tracker'!$A$2:$BO$360,3,FALSE)</f>
        <v>82000</v>
      </c>
      <c r="I328" s="770" t="str">
        <f>VLOOKUP(F328,'2) Tracker'!$A$2:$BO$360,9,FALSE)</f>
        <v>BB Energy</v>
      </c>
      <c r="J328" s="770" t="str">
        <f>VLOOKUP(F328,'2) Tracker'!$A$2:$BO$360,12,FALSE)</f>
        <v>loads WAF</v>
      </c>
      <c r="K328" s="771" t="str">
        <f t="shared" si="207"/>
        <v/>
      </c>
      <c r="L328" s="771" t="str">
        <f t="shared" ref="L328:O328" si="376">AE328</f>
        <v/>
      </c>
      <c r="M328" s="771" t="str">
        <f t="shared" si="376"/>
        <v/>
      </c>
      <c r="N328" s="771" t="str">
        <f t="shared" si="376"/>
        <v/>
      </c>
      <c r="O328" s="772" t="str">
        <f t="shared" si="376"/>
        <v/>
      </c>
      <c r="P328" s="773" t="str">
        <f>iferror(if(vlookup(F328,'Voyage days'!$M$808:$N$819,2,false),"GOA",""),"")</f>
        <v/>
      </c>
      <c r="Q328" s="771" t="str">
        <f t="shared" si="81"/>
        <v/>
      </c>
      <c r="R328" s="771" t="str">
        <f t="shared" si="83"/>
        <v/>
      </c>
      <c r="S328" s="774" t="str">
        <f t="shared" si="5"/>
        <v/>
      </c>
      <c r="T328" s="771">
        <f t="shared" si="6"/>
        <v>46134</v>
      </c>
      <c r="U328" s="771" t="str">
        <f t="shared" si="84"/>
        <v/>
      </c>
      <c r="V328" s="802"/>
      <c r="W328" s="802" t="str">
        <f t="shared" si="85"/>
        <v/>
      </c>
      <c r="X328" s="775" t="str">
        <f t="shared" si="9"/>
        <v/>
      </c>
      <c r="Y328" s="864"/>
      <c r="Z328" s="777" t="str">
        <f>vlookup(F328,'2) Tracker'!$A$3:$Q$504,16,false)</f>
        <v>ETA Soyo 22 Apr, ex Singapore 31 Mar</v>
      </c>
      <c r="AA328" s="777" t="str">
        <f>vlookup(F328,'2) Tracker'!$A$3:$R$504,18,false)</f>
        <v>Total 21-25 Apr Soyo</v>
      </c>
      <c r="AB328" s="777" t="str">
        <f>vlookup(F328,'2) Tracker'!$A$3:$Q$504,17,false)</f>
        <v/>
      </c>
      <c r="AC328" s="778"/>
      <c r="AD328" s="778" t="str">
        <f>VLOOKUP(F328,'2) Tracker'!$A$2:$BO$980,37,FALSE)</f>
        <v/>
      </c>
      <c r="AE328" s="778" t="str">
        <f>VLOOKUP(F328,'2) Tracker'!$A$2:$BO$980,40,FALSE)</f>
        <v/>
      </c>
      <c r="AF328" s="778" t="str">
        <f>VLOOKUP(F328,'2) Tracker'!$A$2:$BO$980,67,FALSE)</f>
        <v/>
      </c>
      <c r="AG328" s="778" t="str">
        <f>VLOOKUP(F328,'2) Tracker'!$A$2:$BO$980,34,FALSE)</f>
        <v/>
      </c>
      <c r="AH328" s="778" t="str">
        <f>VLOOKUP(F328,'2) Tracker'!$A$2:$BN$980,66,FALSE)</f>
        <v/>
      </c>
      <c r="AI328" s="778" t="str">
        <f>VLOOKUP(F328,'2) Tracker'!$A$2:$BO$980,56,FALSE)</f>
        <v/>
      </c>
      <c r="AJ328" s="778" t="str">
        <f>VLOOKUP(F328,'2) Tracker'!$A$2:$BO$980,52,FALSE)</f>
        <v/>
      </c>
      <c r="AK328" s="778">
        <f>VLOOKUP(F328,'2) Tracker'!$A$2:$AQ$980,43,FALSE)</f>
        <v>46134</v>
      </c>
      <c r="AL328" s="778" t="str">
        <f>VLOOKUP(F328,'2) Tracker'!$A$2:$BH$980,46,FALSE())</f>
        <v/>
      </c>
      <c r="AM328" s="778" t="str">
        <f>VLOOKUP(F328,'2) Tracker'!$A$2:$BO$980,65,FALSE())</f>
        <v/>
      </c>
      <c r="AN328" s="778" t="str">
        <f>VLOOKUP(F328,'2) Tracker'!$A$2:$BK$980,63,FALSE())</f>
        <v/>
      </c>
      <c r="AO328" s="778" t="str">
        <f>VLOOKUP(F328,'2) Tracker'!$A$2:$BF$980,58,FALSE())</f>
        <v/>
      </c>
      <c r="AP328" s="52"/>
      <c r="AQ328" s="52"/>
      <c r="AR328" s="52"/>
      <c r="AS328" s="52"/>
      <c r="AT328" s="52"/>
      <c r="AU328" s="52"/>
      <c r="AV328" s="52"/>
      <c r="AW328" s="52"/>
      <c r="AX328" s="52"/>
      <c r="AY328" s="52"/>
      <c r="AZ328" s="787"/>
      <c r="BA328" s="786" t="str">
        <f>vlookup(AZ328,'Iran, FS'!$A$1:$B$318,2, false)</f>
        <v>#N/A</v>
      </c>
      <c r="BB328" s="787" t="str">
        <f>vlookup(AZ328,'1) Kpler'!$E$2:$F$500,2,false)</f>
        <v>#N/A</v>
      </c>
      <c r="BC328" s="788"/>
      <c r="BD328" s="787"/>
      <c r="BE328" s="52"/>
      <c r="BF328" s="52"/>
      <c r="BG328" s="787"/>
      <c r="BH328" s="787"/>
      <c r="BI328" s="787"/>
      <c r="BJ328" s="787"/>
    </row>
    <row r="329">
      <c r="B329" s="765" t="str">
        <f>vlookup(F329,'2) Tracker'!$A$3:$O$410,5,false)</f>
        <v/>
      </c>
      <c r="C329" s="765" t="str">
        <f>vlookup(F329,'2) Tracker'!$A$3:$O$410,4,false)</f>
        <v/>
      </c>
      <c r="D329" s="734"/>
      <c r="E329" s="734" t="str">
        <f>vlookup(F329,'2) Tracker'!$A$3:$O$406,15,false)</f>
        <v/>
      </c>
      <c r="F329" s="766" t="s">
        <v>484</v>
      </c>
      <c r="G329" s="789">
        <f>VLOOKUP(F329,'2) Tracker'!$A$2:$BO$360,2,FALSE)</f>
        <v>2022</v>
      </c>
      <c r="H329" s="768">
        <f>VLOOKUP(F329,'2) Tracker'!$A$2:$BO$360,3,FALSE)</f>
        <v>90000</v>
      </c>
      <c r="I329" s="769" t="str">
        <f>VLOOKUP(F329,'2) Tracker'!$A$2:$BO$360,9,FALSE)</f>
        <v>Sonangol</v>
      </c>
      <c r="J329" s="770" t="str">
        <f>VLOOKUP(F329,'2) Tracker'!$A$2:$BO$360,12,FALSE)</f>
        <v>WAF</v>
      </c>
      <c r="K329" s="771" t="str">
        <f t="shared" si="207"/>
        <v/>
      </c>
      <c r="L329" s="774" t="str">
        <f t="shared" ref="L329:O329" si="377">AE329</f>
        <v/>
      </c>
      <c r="M329" s="771" t="str">
        <f t="shared" si="377"/>
        <v/>
      </c>
      <c r="N329" s="771">
        <f t="shared" si="377"/>
        <v>46165</v>
      </c>
      <c r="O329" s="772" t="str">
        <f t="shared" si="377"/>
        <v/>
      </c>
      <c r="P329" s="773" t="str">
        <f>iferror(if(vlookup(F329,'Voyage days'!$M$808:$N$819,2,false),"GOA",""),"")</f>
        <v/>
      </c>
      <c r="Q329" s="771" t="str">
        <f t="shared" si="81"/>
        <v/>
      </c>
      <c r="R329" s="771" t="str">
        <f t="shared" si="83"/>
        <v/>
      </c>
      <c r="S329" s="774">
        <f t="shared" si="5"/>
        <v>46151</v>
      </c>
      <c r="T329" s="771">
        <f t="shared" si="6"/>
        <v>46141</v>
      </c>
      <c r="U329" s="771" t="str">
        <f t="shared" si="84"/>
        <v/>
      </c>
      <c r="V329" s="771"/>
      <c r="W329" s="771" t="str">
        <f t="shared" si="85"/>
        <v/>
      </c>
      <c r="X329" s="775" t="str">
        <f t="shared" si="9"/>
        <v/>
      </c>
      <c r="Y329" s="795" t="s">
        <v>1614</v>
      </c>
      <c r="Z329" s="777" t="str">
        <f>vlookup(F329,'2) Tracker'!$A$3:$Q$504,16,false)</f>
        <v>Floater ex WAF / Luanda</v>
      </c>
      <c r="AA329" s="777" t="str">
        <f>vlookup(F329,'2) Tracker'!$A$3:$R$504,18,false)</f>
        <v>Sonangol Soyo+Sanha 26 Mar</v>
      </c>
      <c r="AB329" s="777" t="str">
        <f>vlookup(F329,'2) Tracker'!$A$3:$Q$504,17,false)</f>
        <v/>
      </c>
      <c r="AC329" s="778"/>
      <c r="AD329" s="778" t="str">
        <f>VLOOKUP(F329,'2) Tracker'!$A$2:$BO$980,37,FALSE)</f>
        <v/>
      </c>
      <c r="AE329" s="778" t="str">
        <f>VLOOKUP(F329,'2) Tracker'!$A$2:$BO$980,40,FALSE)</f>
        <v/>
      </c>
      <c r="AF329" s="778" t="str">
        <f>VLOOKUP(F329,'2) Tracker'!$A$2:$BO$980,67,FALSE)</f>
        <v/>
      </c>
      <c r="AG329" s="778">
        <f>VLOOKUP(F329,'2) Tracker'!$A$2:$BO$980,34,FALSE)</f>
        <v>46165</v>
      </c>
      <c r="AH329" s="778" t="str">
        <f>VLOOKUP(F329,'2) Tracker'!$A$2:$BN$980,66,FALSE)</f>
        <v/>
      </c>
      <c r="AI329" s="778" t="str">
        <f>VLOOKUP(F329,'2) Tracker'!$A$2:$BO$980,56,FALSE)</f>
        <v/>
      </c>
      <c r="AJ329" s="778" t="str">
        <f>VLOOKUP(F329,'2) Tracker'!$A$2:$BO$980,52,FALSE)</f>
        <v/>
      </c>
      <c r="AK329" s="778">
        <f>VLOOKUP(F329,'2) Tracker'!$A$2:$AQ$980,43,FALSE)</f>
        <v>46141</v>
      </c>
      <c r="AL329" s="778">
        <f>VLOOKUP(F329,'2) Tracker'!$A$2:$BH$980,46,FALSE())</f>
        <v>46151</v>
      </c>
      <c r="AM329" s="778" t="str">
        <f>VLOOKUP(F329,'2) Tracker'!$A$2:$BO$980,65,FALSE())</f>
        <v/>
      </c>
      <c r="AN329" s="778" t="str">
        <f>VLOOKUP(F329,'2) Tracker'!$A$2:$BK$980,63,FALSE())</f>
        <v/>
      </c>
      <c r="AO329" s="778" t="str">
        <f>VLOOKUP(F329,'2) Tracker'!$A$2:$BF$980,58,FALSE())</f>
        <v/>
      </c>
      <c r="AP329" s="52"/>
      <c r="AQ329" s="52"/>
      <c r="AR329" s="52"/>
      <c r="AS329" s="52"/>
      <c r="AT329" s="52"/>
      <c r="AU329" s="52"/>
      <c r="AV329" s="52"/>
      <c r="AW329" s="52"/>
      <c r="AX329" s="52"/>
      <c r="AY329" s="52"/>
      <c r="AZ329" s="734"/>
      <c r="BA329" s="786" t="str">
        <f>vlookup(AZ329,'Iran, FS'!$A$1:$B$318,2, false)</f>
        <v>#N/A</v>
      </c>
      <c r="BB329" s="787" t="str">
        <f>vlookup(AZ329,'1) Kpler'!$E$2:$F$500,2,false)</f>
        <v>#N/A</v>
      </c>
      <c r="BC329" s="740"/>
      <c r="BD329" s="734"/>
      <c r="BE329" s="52"/>
      <c r="BF329" s="52"/>
      <c r="BG329" s="734"/>
      <c r="BH329" s="734"/>
      <c r="BI329" s="734"/>
      <c r="BJ329" s="734"/>
    </row>
    <row r="330">
      <c r="B330" s="765" t="str">
        <f>vlookup(F330,'2) Tracker'!$A$3:$O$410,5,false)</f>
        <v/>
      </c>
      <c r="C330" s="765" t="str">
        <f>vlookup(F330,'2) Tracker'!$A$3:$O$410,4,false)</f>
        <v/>
      </c>
      <c r="D330" s="734"/>
      <c r="E330" s="734" t="str">
        <f>vlookup(F330,'2) Tracker'!$A$3:$O$406,15,false)</f>
        <v>O?</v>
      </c>
      <c r="F330" s="798" t="s">
        <v>1615</v>
      </c>
      <c r="G330" s="767">
        <f>VLOOKUP(F330,'2) Tracker'!$A$2:$BO$360,2,FALSE)</f>
        <v>2007</v>
      </c>
      <c r="H330" s="768">
        <f>VLOOKUP(F330,'2) Tracker'!$A$2:$BO$360,3,FALSE)</f>
        <v>82000</v>
      </c>
      <c r="I330" s="777" t="str">
        <f>VLOOKUP(F330,'2) Tracker'!$A$2:$BO$360,9,FALSE)</f>
        <v>Neptune</v>
      </c>
      <c r="J330" s="770" t="str">
        <f>VLOOKUP(F330,'2) Tracker'!$A$2:$BO$360,12,FALSE)</f>
        <v>AG</v>
      </c>
      <c r="K330" s="771" t="str">
        <f t="shared" si="207"/>
        <v/>
      </c>
      <c r="L330" s="771" t="str">
        <f t="shared" ref="L330:O330" si="378">AE330</f>
        <v/>
      </c>
      <c r="M330" s="771" t="str">
        <f t="shared" si="378"/>
        <v/>
      </c>
      <c r="N330" s="771" t="str">
        <f t="shared" si="378"/>
        <v/>
      </c>
      <c r="O330" s="772" t="str">
        <f t="shared" si="378"/>
        <v/>
      </c>
      <c r="P330" s="773" t="str">
        <f>iferror(if(vlookup(F330,'Voyage days'!$M$808:$N$819,2,false),"GOA",""),"")</f>
        <v>GOA</v>
      </c>
      <c r="Q330" s="772" t="str">
        <f t="shared" si="81"/>
        <v/>
      </c>
      <c r="R330" s="771" t="str">
        <f t="shared" si="83"/>
        <v/>
      </c>
      <c r="S330" s="774">
        <f t="shared" si="5"/>
        <v>46145</v>
      </c>
      <c r="T330" s="771" t="str">
        <f t="shared" si="6"/>
        <v/>
      </c>
      <c r="U330" s="771" t="str">
        <f t="shared" si="84"/>
        <v/>
      </c>
      <c r="V330" s="771"/>
      <c r="W330" s="771" t="str">
        <f t="shared" si="85"/>
        <v/>
      </c>
      <c r="X330" s="775" t="str">
        <f t="shared" si="9"/>
        <v/>
      </c>
      <c r="Y330" s="784"/>
      <c r="Z330" s="777" t="str">
        <f>vlookup(F330,'2) Tracker'!$A$3:$Q$504,16,false)</f>
        <v>ETA Sohar 20 Apr</v>
      </c>
      <c r="AA330" s="777" t="str">
        <f>vlookup(F330,'2) Tracker'!$A$3:$R$504,18,false)</f>
        <v>KPC 21-22 Feb MAA</v>
      </c>
      <c r="AB330" s="777" t="str">
        <f>vlookup(F330,'2) Tracker'!$A$3:$Q$504,17,false)</f>
        <v/>
      </c>
      <c r="AC330" s="778"/>
      <c r="AD330" s="778" t="str">
        <f>VLOOKUP(F330,'2) Tracker'!$A$2:$BO$980,37,FALSE)</f>
        <v/>
      </c>
      <c r="AE330" s="778" t="str">
        <f>VLOOKUP(F330,'2) Tracker'!$A$2:$BO$980,40,FALSE)</f>
        <v/>
      </c>
      <c r="AF330" s="778" t="str">
        <f>VLOOKUP(F330,'2) Tracker'!$A$2:$BO$980,67,FALSE)</f>
        <v/>
      </c>
      <c r="AG330" s="778" t="str">
        <f>VLOOKUP(F330,'2) Tracker'!$A$2:$BO$980,34,FALSE)</f>
        <v/>
      </c>
      <c r="AH330" s="778" t="str">
        <f>VLOOKUP(F330,'2) Tracker'!$A$2:$BN$980,66,FALSE)</f>
        <v/>
      </c>
      <c r="AI330" s="778" t="str">
        <f>VLOOKUP(F330,'2) Tracker'!$A$2:$BO$980,56,FALSE)</f>
        <v/>
      </c>
      <c r="AJ330" s="778" t="str">
        <f>VLOOKUP(F330,'2) Tracker'!$A$2:$BO$980,52,FALSE)</f>
        <v/>
      </c>
      <c r="AK330" s="778" t="str">
        <f>VLOOKUP(F330,'2) Tracker'!$A$2:$AQ$980,43,FALSE)</f>
        <v/>
      </c>
      <c r="AL330" s="778">
        <f>VLOOKUP(F330,'2) Tracker'!$A$2:$BH$980,46,FALSE())</f>
        <v>46145</v>
      </c>
      <c r="AM330" s="778" t="str">
        <f>VLOOKUP(F330,'2) Tracker'!$A$2:$BO$980,65,FALSE())</f>
        <v/>
      </c>
      <c r="AN330" s="778" t="str">
        <f>VLOOKUP(F330,'2) Tracker'!$A$2:$BK$980,63,FALSE())</f>
        <v/>
      </c>
      <c r="AO330" s="778" t="str">
        <f>VLOOKUP(F330,'2) Tracker'!$A$2:$BF$980,58,FALSE())</f>
        <v/>
      </c>
      <c r="AP330" s="52"/>
      <c r="AQ330" s="52"/>
      <c r="AR330" s="52"/>
      <c r="AS330" s="52"/>
      <c r="AT330" s="52"/>
      <c r="AU330" s="52"/>
      <c r="AV330" s="52"/>
      <c r="AW330" s="52"/>
      <c r="AX330" s="52"/>
      <c r="AY330" s="52"/>
      <c r="AZ330" s="787"/>
      <c r="BA330" s="786" t="str">
        <f>vlookup(AZ330,'Iran, FS'!$A$1:$B$318,2, false)</f>
        <v>#N/A</v>
      </c>
      <c r="BB330" s="787" t="str">
        <f>vlookup(AZ330,'1) Kpler'!$E$2:$F$500,2,false)</f>
        <v>#N/A</v>
      </c>
      <c r="BC330" s="788"/>
      <c r="BD330" s="787"/>
      <c r="BE330" s="52"/>
      <c r="BF330" s="52"/>
      <c r="BG330" s="863" t="s">
        <v>1330</v>
      </c>
      <c r="BH330" s="788" t="s">
        <v>1212</v>
      </c>
      <c r="BI330" s="787"/>
      <c r="BJ330" s="787"/>
    </row>
    <row r="331">
      <c r="B331" s="765" t="str">
        <f>vlookup(F331,'2) Tracker'!$A$3:$O$410,5,false)</f>
        <v/>
      </c>
      <c r="C331" s="765" t="str">
        <f>vlookup(F331,'2) Tracker'!$A$3:$O$410,4,false)</f>
        <v/>
      </c>
      <c r="D331" s="734"/>
      <c r="E331" s="734" t="str">
        <f>vlookup(F331,'2) Tracker'!$A$3:$O$406,15,false)</f>
        <v>O?</v>
      </c>
      <c r="F331" s="798" t="s">
        <v>266</v>
      </c>
      <c r="G331" s="767" t="str">
        <f>VLOOKUP(F331,'2) Tracker'!$A$2:$BO$360,2,FALSE)</f>
        <v>2007</v>
      </c>
      <c r="H331" s="768">
        <f>VLOOKUP(F331,'2) Tracker'!$A$2:$BO$360,3,FALSE)</f>
        <v>82000</v>
      </c>
      <c r="I331" s="777" t="str">
        <f>VLOOKUP(F331,'2) Tracker'!$A$2:$BO$360,9,FALSE)</f>
        <v>Neptune</v>
      </c>
      <c r="J331" s="770" t="str">
        <f>VLOOKUP(F331,'2) Tracker'!$A$2:$BO$360,12,FALSE)</f>
        <v>AG</v>
      </c>
      <c r="K331" s="774" t="str">
        <f t="shared" si="207"/>
        <v/>
      </c>
      <c r="L331" s="774" t="str">
        <f t="shared" ref="L331:O331" si="379">AE331</f>
        <v/>
      </c>
      <c r="M331" s="771" t="str">
        <f t="shared" si="379"/>
        <v/>
      </c>
      <c r="N331" s="771" t="str">
        <f t="shared" si="379"/>
        <v/>
      </c>
      <c r="O331" s="772" t="str">
        <f t="shared" si="379"/>
        <v/>
      </c>
      <c r="P331" s="831" t="s">
        <v>1513</v>
      </c>
      <c r="Q331" s="772" t="str">
        <f t="shared" si="81"/>
        <v/>
      </c>
      <c r="R331" s="774" t="str">
        <f t="shared" si="83"/>
        <v/>
      </c>
      <c r="S331" s="774">
        <f t="shared" si="5"/>
        <v>46138</v>
      </c>
      <c r="T331" s="771" t="str">
        <f t="shared" si="6"/>
        <v/>
      </c>
      <c r="U331" s="774" t="str">
        <f t="shared" si="84"/>
        <v/>
      </c>
      <c r="V331" s="771"/>
      <c r="W331" s="771" t="str">
        <f t="shared" si="85"/>
        <v/>
      </c>
      <c r="X331" s="775" t="str">
        <f t="shared" si="9"/>
        <v/>
      </c>
      <c r="Y331" s="795" t="s">
        <v>1616</v>
      </c>
      <c r="Z331" s="777" t="str">
        <f>vlookup(F331,'2) Tracker'!$A$3:$Q$504,16,false)</f>
        <v>@ Sohar 11 Apr</v>
      </c>
      <c r="AA331" s="777" t="str">
        <f>vlookup(F331,'2) Tracker'!$A$3:$R$504,18,false)</f>
        <v>BGN 09-10 Feb Ras Laffan</v>
      </c>
      <c r="AB331" s="777" t="str">
        <f>vlookup(F331,'2) Tracker'!$A$3:$Q$504,17,false)</f>
        <v/>
      </c>
      <c r="AC331" s="778"/>
      <c r="AD331" s="778" t="str">
        <f>VLOOKUP(F331,'2) Tracker'!$A$2:$BO$980,37,FALSE)</f>
        <v/>
      </c>
      <c r="AE331" s="778" t="str">
        <f>VLOOKUP(F331,'2) Tracker'!$A$2:$BO$980,40,FALSE)</f>
        <v/>
      </c>
      <c r="AF331" s="778" t="str">
        <f>VLOOKUP(F331,'2) Tracker'!$A$2:$BO$980,67,FALSE)</f>
        <v/>
      </c>
      <c r="AG331" s="778" t="str">
        <f>VLOOKUP(F331,'2) Tracker'!$A$2:$BO$980,34,FALSE)</f>
        <v/>
      </c>
      <c r="AH331" s="778" t="str">
        <f>VLOOKUP(F331,'2) Tracker'!$A$2:$BN$980,66,FALSE)</f>
        <v/>
      </c>
      <c r="AI331" s="778" t="str">
        <f>VLOOKUP(F331,'2) Tracker'!$A$2:$BO$980,56,FALSE)</f>
        <v/>
      </c>
      <c r="AJ331" s="778" t="str">
        <f>VLOOKUP(F331,'2) Tracker'!$A$2:$BO$980,52,FALSE)</f>
        <v/>
      </c>
      <c r="AK331" s="778" t="str">
        <f>VLOOKUP(F331,'2) Tracker'!$A$2:$AQ$980,43,FALSE)</f>
        <v/>
      </c>
      <c r="AL331" s="778">
        <f>VLOOKUP(F331,'2) Tracker'!$A$2:$BH$980,46,FALSE())</f>
        <v>46138</v>
      </c>
      <c r="AM331" s="778" t="str">
        <f>VLOOKUP(F331,'2) Tracker'!$A$2:$BO$980,65,FALSE())</f>
        <v/>
      </c>
      <c r="AN331" s="778" t="str">
        <f>VLOOKUP(F331,'2) Tracker'!$A$2:$BK$980,63,FALSE())</f>
        <v/>
      </c>
      <c r="AO331" s="778" t="str">
        <f>VLOOKUP(F331,'2) Tracker'!$A$2:$BF$980,58,FALSE())</f>
        <v/>
      </c>
      <c r="AP331" s="52"/>
      <c r="AQ331" s="52"/>
      <c r="AR331" s="52"/>
      <c r="AS331" s="52"/>
      <c r="AT331" s="52"/>
      <c r="AU331" s="52"/>
      <c r="AV331" s="865" t="s">
        <v>1617</v>
      </c>
      <c r="AW331" s="52"/>
      <c r="AX331" s="21" t="str">
        <f>IFERROR(__xludf.DUMMYFUNCTION("filter('2) Tracker'!$A3:$A$411,not(countif($F$4:$F$407,'2) Tracker'!$A$3:$A$411)))"),"#REF!")</f>
        <v>#REF!</v>
      </c>
      <c r="AY331" s="21" t="str">
        <f>IFERROR(__xludf.DUMMYFUNCTION("filter($F$4:$F$408,not(countif('2) Tracker'!$A$3:$A$411,$F$4:$F$408)))"),"#REF!")</f>
        <v>#REF!</v>
      </c>
      <c r="AZ331" s="866" t="str">
        <f>IFERROR(__xludf.DUMMYFUNCTION("filter('1) Kpler'!$E$2:$E$600,not(countif('2) Tracker'!$A$3:$A$505,'1) Kpler'!$E$2:$E$600)))"),"#REF!")</f>
        <v>#REF!</v>
      </c>
      <c r="BA331" s="786" t="str">
        <f>vlookup(AZ331,'Iran, FS'!$A$1:$B$318,2, false)</f>
        <v>#REF!</v>
      </c>
      <c r="BB331" s="787" t="str">
        <f>vlookup(AZ331,'1) Kpler'!$E$2:$F$500,2,false)</f>
        <v>#REF!</v>
      </c>
      <c r="BC331" s="859" t="s">
        <v>1618</v>
      </c>
      <c r="BD331" s="787"/>
      <c r="BE331" s="52"/>
      <c r="BF331" s="52"/>
      <c r="BG331" s="803" t="s">
        <v>1619</v>
      </c>
      <c r="BH331" s="788" t="s">
        <v>942</v>
      </c>
      <c r="BI331" s="787"/>
      <c r="BJ331" s="787"/>
    </row>
    <row r="332">
      <c r="B332" s="765" t="str">
        <f>vlookup(F332,'2) Tracker'!$A$3:$O$410,5,false)</f>
        <v/>
      </c>
      <c r="C332" s="765" t="str">
        <f>vlookup(F332,'2) Tracker'!$A$3:$O$410,4,false)</f>
        <v/>
      </c>
      <c r="D332" s="734"/>
      <c r="E332" s="734" t="str">
        <f>vlookup(F332,'2) Tracker'!$A$3:$O$406,15,false)</f>
        <v/>
      </c>
      <c r="F332" s="770" t="s">
        <v>323</v>
      </c>
      <c r="G332" s="789">
        <f>VLOOKUP(F332,'2) Tracker'!$A$2:$BO$360,2,FALSE)</f>
        <v>2020</v>
      </c>
      <c r="H332" s="768">
        <f>VLOOKUP(F332,'2) Tracker'!$A$2:$BO$360,3,FALSE)</f>
        <v>84000</v>
      </c>
      <c r="I332" s="770" t="str">
        <f>VLOOKUP(F332,'2) Tracker'!$A$2:$BO$360,9,FALSE)</f>
        <v>Neptune</v>
      </c>
      <c r="J332" s="770" t="str">
        <f>VLOOKUP(F332,'2) Tracker'!$A$2:$BO$360,12,FALSE)</f>
        <v>AG</v>
      </c>
      <c r="K332" s="771" t="str">
        <f t="shared" si="207"/>
        <v/>
      </c>
      <c r="L332" s="771" t="str">
        <f t="shared" ref="L332:O332" si="380">AE332</f>
        <v/>
      </c>
      <c r="M332" s="771" t="str">
        <f t="shared" si="380"/>
        <v/>
      </c>
      <c r="N332" s="772" t="str">
        <f t="shared" si="380"/>
        <v/>
      </c>
      <c r="O332" s="772" t="str">
        <f t="shared" si="380"/>
        <v/>
      </c>
      <c r="P332" s="773" t="str">
        <f>iferror(if(vlookup(F332,'Voyage days'!$M$808:$N$819,2,false),"GOA",""),"")</f>
        <v>GOA</v>
      </c>
      <c r="Q332" s="772" t="str">
        <f t="shared" si="81"/>
        <v/>
      </c>
      <c r="R332" s="771" t="str">
        <f t="shared" si="83"/>
        <v/>
      </c>
      <c r="S332" s="774">
        <f t="shared" si="5"/>
        <v>46138</v>
      </c>
      <c r="T332" s="771" t="str">
        <f t="shared" si="6"/>
        <v/>
      </c>
      <c r="U332" s="771" t="str">
        <f t="shared" si="84"/>
        <v/>
      </c>
      <c r="V332" s="771"/>
      <c r="W332" s="771" t="str">
        <f t="shared" si="85"/>
        <v/>
      </c>
      <c r="X332" s="775" t="str">
        <f t="shared" si="9"/>
        <v/>
      </c>
      <c r="Y332" s="795" t="s">
        <v>1616</v>
      </c>
      <c r="Z332" s="777" t="str">
        <f>vlookup(F332,'2) Tracker'!$A$3:$Q$504,16,false)</f>
        <v>ON HOLD FOR KPC, @ Sohar 10 Apr</v>
      </c>
      <c r="AA332" s="777" t="str">
        <f>vlookup(F332,'2) Tracker'!$A$3:$R$504,18,false)</f>
        <v>E1 02-03 Feb MAA</v>
      </c>
      <c r="AB332" s="777" t="str">
        <f>vlookup(F332,'2) Tracker'!$A$3:$Q$504,17,false)</f>
        <v/>
      </c>
      <c r="AC332" s="778"/>
      <c r="AD332" s="778" t="str">
        <f>VLOOKUP(F332,'2) Tracker'!$A$2:$BO$980,37,FALSE)</f>
        <v/>
      </c>
      <c r="AE332" s="778" t="str">
        <f>VLOOKUP(F332,'2) Tracker'!$A$2:$BO$980,40,FALSE)</f>
        <v/>
      </c>
      <c r="AF332" s="778" t="str">
        <f>VLOOKUP(F332,'2) Tracker'!$A$2:$BO$980,67,FALSE)</f>
        <v/>
      </c>
      <c r="AG332" s="778" t="str">
        <f>VLOOKUP(F332,'2) Tracker'!$A$2:$BO$980,34,FALSE)</f>
        <v/>
      </c>
      <c r="AH332" s="778" t="str">
        <f>VLOOKUP(F332,'2) Tracker'!$A$2:$BN$980,66,FALSE)</f>
        <v/>
      </c>
      <c r="AI332" s="778" t="str">
        <f>VLOOKUP(F332,'2) Tracker'!$A$2:$BO$980,56,FALSE)</f>
        <v/>
      </c>
      <c r="AJ332" s="778" t="str">
        <f>VLOOKUP(F332,'2) Tracker'!$A$2:$BO$980,52,FALSE)</f>
        <v/>
      </c>
      <c r="AK332" s="778" t="str">
        <f>VLOOKUP(F332,'2) Tracker'!$A$2:$AQ$980,43,FALSE)</f>
        <v/>
      </c>
      <c r="AL332" s="778">
        <f>VLOOKUP(F332,'2) Tracker'!$A$2:$BH$980,46,FALSE())</f>
        <v>46138</v>
      </c>
      <c r="AM332" s="778" t="str">
        <f>VLOOKUP(F332,'2) Tracker'!$A$2:$BO$980,65,FALSE())</f>
        <v/>
      </c>
      <c r="AN332" s="778" t="str">
        <f>VLOOKUP(F332,'2) Tracker'!$A$2:$BK$980,63,FALSE())</f>
        <v/>
      </c>
      <c r="AO332" s="778" t="str">
        <f>VLOOKUP(F332,'2) Tracker'!$A$2:$BF$980,58,FALSE())</f>
        <v/>
      </c>
      <c r="AP332" s="52"/>
      <c r="AQ332" s="52"/>
      <c r="AR332" s="52"/>
      <c r="AS332" s="52"/>
      <c r="AT332" s="52"/>
      <c r="AU332" s="52"/>
      <c r="AV332" s="52"/>
      <c r="AW332" s="52"/>
      <c r="AX332" s="52"/>
      <c r="AY332" s="52"/>
      <c r="AZ332" s="787"/>
      <c r="BA332" s="786" t="str">
        <f>vlookup(AZ332,'Iran, FS'!$A$1:$B$318,2, false)</f>
        <v>#N/A</v>
      </c>
      <c r="BB332" s="787" t="str">
        <f>vlookup(AZ332,'1) Kpler'!$E$2:$F$500,2,false)</f>
        <v>#N/A</v>
      </c>
      <c r="BC332" s="788"/>
      <c r="BD332" s="787"/>
      <c r="BE332" s="52"/>
      <c r="BF332" s="52"/>
      <c r="BG332" s="863" t="s">
        <v>1330</v>
      </c>
      <c r="BH332" s="788" t="s">
        <v>1212</v>
      </c>
      <c r="BI332" s="787"/>
      <c r="BJ332" s="787"/>
    </row>
    <row r="333">
      <c r="B333" s="765" t="str">
        <f>vlookup(F333,'2) Tracker'!$A$3:$O$410,5,false)</f>
        <v/>
      </c>
      <c r="C333" s="765" t="str">
        <f>vlookup(F333,'2) Tracker'!$A$3:$O$410,4,false)</f>
        <v/>
      </c>
      <c r="D333" s="734"/>
      <c r="E333" s="734" t="str">
        <f>vlookup(F333,'2) Tracker'!$A$3:$O$406,15,false)</f>
        <v/>
      </c>
      <c r="F333" s="788" t="s">
        <v>536</v>
      </c>
      <c r="G333" s="783">
        <f>VLOOKUP(F333,'2) Tracker'!$A$2:$BO$360,2,FALSE)</f>
        <v>42436</v>
      </c>
      <c r="H333" s="768">
        <f>VLOOKUP(F333,'2) Tracker'!$A$2:$BO$360,3,FALSE)</f>
        <v>84000</v>
      </c>
      <c r="I333" s="777" t="str">
        <f>VLOOKUP(F333,'2) Tracker'!$A$2:$BO$360,9,FALSE)</f>
        <v>OE</v>
      </c>
      <c r="J333" s="770" t="str">
        <f>VLOOKUP(F333,'2) Tracker'!$A$2:$BO$360,12,FALSE)</f>
        <v>AG</v>
      </c>
      <c r="K333" s="771" t="str">
        <f t="shared" si="207"/>
        <v/>
      </c>
      <c r="L333" s="771" t="str">
        <f t="shared" ref="L333:O333" si="381">AE333</f>
        <v/>
      </c>
      <c r="M333" s="771" t="str">
        <f t="shared" si="381"/>
        <v/>
      </c>
      <c r="N333" s="771" t="str">
        <f t="shared" si="381"/>
        <v/>
      </c>
      <c r="O333" s="772" t="str">
        <f t="shared" si="381"/>
        <v/>
      </c>
      <c r="P333" s="773" t="str">
        <f>iferror(if(vlookup(F333,'Voyage days'!$M$808:$N$819,2,false),"GOA",""),"")</f>
        <v/>
      </c>
      <c r="Q333" s="771" t="str">
        <f t="shared" si="81"/>
        <v/>
      </c>
      <c r="R333" s="771" t="str">
        <f t="shared" si="83"/>
        <v/>
      </c>
      <c r="S333" s="774">
        <f t="shared" si="5"/>
        <v>46142</v>
      </c>
      <c r="T333" s="771" t="str">
        <f t="shared" si="6"/>
        <v/>
      </c>
      <c r="U333" s="771" t="str">
        <f t="shared" si="84"/>
        <v/>
      </c>
      <c r="V333" s="771"/>
      <c r="W333" s="771" t="str">
        <f t="shared" si="85"/>
        <v/>
      </c>
      <c r="X333" s="775" t="str">
        <f t="shared" si="9"/>
        <v/>
      </c>
      <c r="Y333" s="804" t="s">
        <v>1620</v>
      </c>
      <c r="Z333" s="777" t="str">
        <f>vlookup(F333,'2) Tracker'!$A$3:$Q$504,16,false)</f>
        <v>@ Doha anchorage (laden) 19 Mar</v>
      </c>
      <c r="AA333" s="777" t="str">
        <f>vlookup(F333,'2) Tracker'!$A$3:$R$504,18,false)</f>
        <v>OE 28-29 Feb Mesaieed</v>
      </c>
      <c r="AB333" s="777" t="str">
        <f>vlookup(F333,'2) Tracker'!$A$3:$Q$504,17,false)</f>
        <v/>
      </c>
      <c r="AC333" s="778"/>
      <c r="AD333" s="778" t="str">
        <f>VLOOKUP(F333,'2) Tracker'!$A$2:$BO$980,37,FALSE)</f>
        <v/>
      </c>
      <c r="AE333" s="778" t="str">
        <f>VLOOKUP(F333,'2) Tracker'!$A$2:$BO$980,40,FALSE)</f>
        <v/>
      </c>
      <c r="AF333" s="778" t="str">
        <f>VLOOKUP(F333,'2) Tracker'!$A$2:$BO$980,67,FALSE)</f>
        <v/>
      </c>
      <c r="AG333" s="778" t="str">
        <f>VLOOKUP(F333,'2) Tracker'!$A$2:$BO$980,34,FALSE)</f>
        <v/>
      </c>
      <c r="AH333" s="778" t="str">
        <f>VLOOKUP(F333,'2) Tracker'!$A$2:$BN$980,66,FALSE)</f>
        <v/>
      </c>
      <c r="AI333" s="778" t="str">
        <f>VLOOKUP(F333,'2) Tracker'!$A$2:$BO$980,56,FALSE)</f>
        <v/>
      </c>
      <c r="AJ333" s="778" t="str">
        <f>VLOOKUP(F333,'2) Tracker'!$A$2:$BO$980,52,FALSE)</f>
        <v/>
      </c>
      <c r="AK333" s="778" t="str">
        <f>VLOOKUP(F333,'2) Tracker'!$A$2:$AQ$980,43,FALSE)</f>
        <v/>
      </c>
      <c r="AL333" s="778">
        <f>VLOOKUP(F333,'2) Tracker'!$A$2:$BH$980,46,FALSE())</f>
        <v>46142</v>
      </c>
      <c r="AM333" s="778" t="str">
        <f>VLOOKUP(F333,'2) Tracker'!$A$2:$BO$980,65,FALSE())</f>
        <v/>
      </c>
      <c r="AN333" s="778" t="str">
        <f>VLOOKUP(F333,'2) Tracker'!$A$2:$BK$980,63,FALSE())</f>
        <v/>
      </c>
      <c r="AO333" s="778" t="str">
        <f>VLOOKUP(F333,'2) Tracker'!$A$2:$BF$980,58,FALSE())</f>
        <v/>
      </c>
      <c r="AP333" s="52"/>
      <c r="AQ333" s="52"/>
      <c r="AR333" s="52"/>
      <c r="AS333" s="52"/>
      <c r="AT333" s="52"/>
      <c r="AU333" s="52"/>
      <c r="AV333" s="865" t="s">
        <v>1617</v>
      </c>
      <c r="AW333" s="52"/>
      <c r="AX333" s="21" t="str">
        <f>IFERROR(__xludf.DUMMYFUNCTION("filter('2) Tracker'!$A6:$A$411,not(countif($F$4:$F$407,'2) Tracker'!$A$3:$A$411)))"),"#N/A")</f>
        <v>#N/A</v>
      </c>
      <c r="AY333" s="21" t="str">
        <f>IFERROR(__xludf.DUMMYFUNCTION("filter($F$4:$F$408,not(countif('2) Tracker'!$A$3:$A$411,$F$4:$F$408)))"),"#REF!")</f>
        <v>#REF!</v>
      </c>
      <c r="AZ333" s="866" t="str">
        <f>IFERROR(__xludf.DUMMYFUNCTION("filter('1) Kpler'!$E$2:$E$600,not(countif('2) Tracker'!$A$3:$A$505,'1) Kpler'!$E$2:$E$600)))"),"Apollo Ocean")</f>
        <v>Apollo Ocean</v>
      </c>
      <c r="BA333" s="823">
        <f>vlookup(AZ333,'Iran, FS'!$A$1:$B$318,2, false)</f>
        <v>40360</v>
      </c>
      <c r="BB333" s="867">
        <f>vlookup(AZ333,'1) Kpler'!$E$2:$F$500,2,false)</f>
        <v>78907</v>
      </c>
      <c r="BC333" s="859" t="s">
        <v>1618</v>
      </c>
      <c r="BD333" s="787"/>
      <c r="BE333" s="52"/>
      <c r="BF333" s="52"/>
      <c r="BG333" s="803" t="s">
        <v>1619</v>
      </c>
      <c r="BH333" s="788" t="s">
        <v>942</v>
      </c>
      <c r="BI333" s="787"/>
      <c r="BJ333" s="787"/>
    </row>
    <row r="334">
      <c r="B334" s="834"/>
      <c r="C334" s="765"/>
      <c r="D334" s="734"/>
      <c r="E334" s="734" t="str">
        <f>vlookup(F334,'2) Tracker'!$A$3:$O$406,15,false)</f>
        <v/>
      </c>
      <c r="F334" s="812" t="s">
        <v>350</v>
      </c>
      <c r="G334" s="783">
        <f>VLOOKUP(F334,'2) Tracker'!$A$2:$BO$360,2,FALSE)</f>
        <v>39479</v>
      </c>
      <c r="H334" s="768">
        <f>VLOOKUP(F334,'2) Tracker'!$A$2:$BO$360,3,FALSE)</f>
        <v>82383</v>
      </c>
      <c r="I334" s="769" t="str">
        <f>VLOOKUP(F334,'2) Tracker'!$A$2:$BO$360,9,FALSE)</f>
        <v>BGN &gt; ???</v>
      </c>
      <c r="J334" s="770" t="str">
        <f>VLOOKUP(F334,'2) Tracker'!$A$2:$BO$360,12,FALSE)</f>
        <v>AG</v>
      </c>
      <c r="K334" s="771" t="str">
        <f t="shared" si="207"/>
        <v/>
      </c>
      <c r="L334" s="774" t="str">
        <f t="shared" ref="L334:O334" si="382">AE334</f>
        <v/>
      </c>
      <c r="M334" s="771" t="str">
        <f t="shared" si="382"/>
        <v/>
      </c>
      <c r="N334" s="771" t="str">
        <f t="shared" si="382"/>
        <v/>
      </c>
      <c r="O334" s="772" t="str">
        <f t="shared" si="382"/>
        <v/>
      </c>
      <c r="P334" s="773" t="str">
        <f>iferror(if(vlookup(F334,'Voyage days'!$M$808:$N$819,2,false),"GOA",""),"")</f>
        <v/>
      </c>
      <c r="Q334" s="771" t="str">
        <f t="shared" si="81"/>
        <v/>
      </c>
      <c r="R334" s="771" t="str">
        <f t="shared" si="83"/>
        <v/>
      </c>
      <c r="S334" s="774">
        <f t="shared" si="5"/>
        <v>46142</v>
      </c>
      <c r="T334" s="771" t="str">
        <f t="shared" si="6"/>
        <v/>
      </c>
      <c r="U334" s="771" t="str">
        <f t="shared" si="84"/>
        <v/>
      </c>
      <c r="V334" s="771"/>
      <c r="W334" s="771" t="str">
        <f t="shared" si="85"/>
        <v/>
      </c>
      <c r="X334" s="775" t="str">
        <f t="shared" si="9"/>
        <v/>
      </c>
      <c r="Y334" s="776"/>
      <c r="Z334" s="777" t="str">
        <f>vlookup(F334,'2) Tracker'!$A$3:$Q$504,16,false)</f>
        <v>@ Dubai OPL since 16 Mar</v>
      </c>
      <c r="AA334" s="777" t="str">
        <f>vlookup(F334,'2) Tracker'!$A$3:$R$504,18,false)</f>
        <v/>
      </c>
      <c r="AB334" s="777" t="str">
        <f>vlookup(F334,'2) Tracker'!$A$3:$Q$504,17,false)</f>
        <v/>
      </c>
      <c r="AC334" s="778"/>
      <c r="AD334" s="778" t="str">
        <f>VLOOKUP(F334,'2) Tracker'!$A$2:$BO$980,37,FALSE)</f>
        <v/>
      </c>
      <c r="AE334" s="778" t="str">
        <f>VLOOKUP(F334,'2) Tracker'!$A$2:$BO$980,40,FALSE)</f>
        <v/>
      </c>
      <c r="AF334" s="778" t="str">
        <f>VLOOKUP(F334,'2) Tracker'!$A$2:$BO$980,67,FALSE)</f>
        <v/>
      </c>
      <c r="AG334" s="778" t="str">
        <f>VLOOKUP(F334,'2) Tracker'!$A$2:$BO$980,34,FALSE)</f>
        <v/>
      </c>
      <c r="AH334" s="778" t="str">
        <f>VLOOKUP(F334,'2) Tracker'!$A$2:$BN$980,66,FALSE)</f>
        <v/>
      </c>
      <c r="AI334" s="778" t="str">
        <f>VLOOKUP(F334,'2) Tracker'!$A$2:$BO$980,56,FALSE)</f>
        <v/>
      </c>
      <c r="AJ334" s="778" t="str">
        <f>VLOOKUP(F334,'2) Tracker'!$A$2:$BO$980,52,FALSE)</f>
        <v/>
      </c>
      <c r="AK334" s="778" t="str">
        <f>VLOOKUP(F334,'2) Tracker'!$A$2:$AQ$980,43,FALSE)</f>
        <v/>
      </c>
      <c r="AL334" s="778">
        <f>VLOOKUP(F334,'2) Tracker'!$A$2:$BH$980,46,FALSE())</f>
        <v>46142</v>
      </c>
      <c r="AM334" s="778" t="str">
        <f>VLOOKUP(F334,'2) Tracker'!$A$2:$BO$980,65,FALSE())</f>
        <v/>
      </c>
      <c r="AN334" s="778" t="str">
        <f>VLOOKUP(F334,'2) Tracker'!$A$2:$BK$980,63,FALSE())</f>
        <v/>
      </c>
      <c r="AO334" s="778" t="str">
        <f>VLOOKUP(F334,'2) Tracker'!$A$2:$BF$980,58,FALSE())</f>
        <v/>
      </c>
      <c r="AP334" s="52"/>
      <c r="AQ334" s="52"/>
      <c r="AR334" s="52"/>
      <c r="AS334" s="52"/>
      <c r="AT334" s="52"/>
      <c r="AU334" s="52"/>
      <c r="AV334" s="52"/>
      <c r="AW334" s="52"/>
      <c r="AX334" s="52"/>
      <c r="AY334" s="52"/>
      <c r="AZ334" s="787" t="str">
        <f>IFERROR(__xludf.DUMMYFUNCTION("""COMPUTED_VALUE"""),"Astra")</f>
        <v>Astra</v>
      </c>
      <c r="BA334" s="786" t="str">
        <f>vlookup(AZ334,'Iran, FS'!$A$1:$B$318,2, false)</f>
        <v>#N/A</v>
      </c>
      <c r="BB334" s="867">
        <f>vlookup(AZ334,'1) Kpler'!$E$2:$F$500,2,false)</f>
        <v>82000</v>
      </c>
      <c r="BC334" s="788"/>
      <c r="BD334" s="787"/>
      <c r="BE334" s="52"/>
      <c r="BF334" s="52"/>
      <c r="BG334" s="787"/>
      <c r="BH334" s="787"/>
      <c r="BI334" s="787"/>
      <c r="BJ334" s="787"/>
    </row>
    <row r="335">
      <c r="B335" s="765" t="str">
        <f>vlookup(F335,'2) Tracker'!$A$3:$O$410,5,false)</f>
        <v/>
      </c>
      <c r="C335" s="765" t="str">
        <f>vlookup(F335,'2) Tracker'!$A$3:$O$410,4,false)</f>
        <v/>
      </c>
      <c r="D335" s="734"/>
      <c r="E335" s="734" t="str">
        <f>vlookup(F335,'2) Tracker'!$A$3:$O$406,15,false)</f>
        <v/>
      </c>
      <c r="F335" s="788" t="s">
        <v>332</v>
      </c>
      <c r="G335" s="783">
        <f>VLOOKUP(F335,'2) Tracker'!$A$2:$BO$360,2,FALSE)</f>
        <v>43110</v>
      </c>
      <c r="H335" s="768">
        <f>VLOOKUP(F335,'2) Tracker'!$A$2:$BO$360,3,FALSE)</f>
        <v>83000</v>
      </c>
      <c r="I335" s="777" t="str">
        <f>VLOOKUP(F335,'2) Tracker'!$A$2:$BO$360,9,FALSE)</f>
        <v>Naftomar </v>
      </c>
      <c r="J335" s="770" t="str">
        <f>VLOOKUP(F335,'2) Tracker'!$A$2:$BO$360,12,FALSE)</f>
        <v>AG</v>
      </c>
      <c r="K335" s="774" t="str">
        <f t="shared" si="207"/>
        <v/>
      </c>
      <c r="L335" s="774" t="str">
        <f t="shared" ref="L335:O335" si="383">AE335</f>
        <v/>
      </c>
      <c r="M335" s="771" t="str">
        <f t="shared" si="383"/>
        <v/>
      </c>
      <c r="N335" s="771" t="str">
        <f t="shared" si="383"/>
        <v/>
      </c>
      <c r="O335" s="772" t="str">
        <f t="shared" si="383"/>
        <v/>
      </c>
      <c r="P335" s="773" t="str">
        <f>iferror(if(vlookup(F335,'Voyage days'!$M$808:$N$821,2,false),"GOA",""),"")</f>
        <v>GOA</v>
      </c>
      <c r="Q335" s="772" t="str">
        <f t="shared" si="81"/>
        <v/>
      </c>
      <c r="R335" s="771" t="str">
        <f t="shared" si="83"/>
        <v/>
      </c>
      <c r="S335" s="774">
        <f t="shared" si="5"/>
        <v>46142</v>
      </c>
      <c r="T335" s="771" t="str">
        <f t="shared" si="6"/>
        <v/>
      </c>
      <c r="U335" s="771" t="str">
        <f t="shared" si="84"/>
        <v/>
      </c>
      <c r="V335" s="771"/>
      <c r="W335" s="771" t="str">
        <f t="shared" si="85"/>
        <v/>
      </c>
      <c r="X335" s="775" t="str">
        <f t="shared" si="9"/>
        <v/>
      </c>
      <c r="Y335" s="776"/>
      <c r="Z335" s="777" t="str">
        <f>vlookup(F335,'2) Tracker'!$A$3:$Q$504,16,false)</f>
        <v>drifting off Sharjah 06 Mar (laden)</v>
      </c>
      <c r="AA335" s="777" t="str">
        <f>vlookup(F335,'2) Tracker'!$A$3:$R$504,18,false)</f>
        <v>Equinor 01-02 Mar MAA</v>
      </c>
      <c r="AB335" s="777" t="str">
        <f>vlookup(F335,'2) Tracker'!$A$3:$Q$504,17,false)</f>
        <v/>
      </c>
      <c r="AC335" s="778"/>
      <c r="AD335" s="778" t="str">
        <f>VLOOKUP(F335,'2) Tracker'!$A$2:$BO$980,37,FALSE)</f>
        <v/>
      </c>
      <c r="AE335" s="778" t="str">
        <f>VLOOKUP(F335,'2) Tracker'!$A$2:$BO$980,40,FALSE)</f>
        <v/>
      </c>
      <c r="AF335" s="778" t="str">
        <f>VLOOKUP(F335,'2) Tracker'!$A$2:$BO$980,67,FALSE)</f>
        <v/>
      </c>
      <c r="AG335" s="778" t="str">
        <f>VLOOKUP(F335,'2) Tracker'!$A$2:$BO$980,34,FALSE)</f>
        <v/>
      </c>
      <c r="AH335" s="778" t="str">
        <f>VLOOKUP(F335,'2) Tracker'!$A$2:$BN$980,66,FALSE)</f>
        <v/>
      </c>
      <c r="AI335" s="778" t="str">
        <f>VLOOKUP(F335,'2) Tracker'!$A$2:$BO$980,56,FALSE)</f>
        <v/>
      </c>
      <c r="AJ335" s="778" t="str">
        <f>VLOOKUP(F335,'2) Tracker'!$A$2:$BO$980,52,FALSE)</f>
        <v/>
      </c>
      <c r="AK335" s="778" t="str">
        <f>VLOOKUP(F335,'2) Tracker'!$A$2:$AQ$980,43,FALSE)</f>
        <v/>
      </c>
      <c r="AL335" s="778">
        <f>VLOOKUP(F335,'2) Tracker'!$A$2:$BH$980,46,FALSE())</f>
        <v>46142</v>
      </c>
      <c r="AM335" s="778" t="str">
        <f>VLOOKUP(F335,'2) Tracker'!$A$2:$BO$980,65,FALSE())</f>
        <v/>
      </c>
      <c r="AN335" s="778" t="str">
        <f>VLOOKUP(F335,'2) Tracker'!$A$2:$BK$980,63,FALSE())</f>
        <v/>
      </c>
      <c r="AO335" s="778" t="str">
        <f>VLOOKUP(F335,'2) Tracker'!$A$2:$BF$980,58,FALSE())</f>
        <v/>
      </c>
      <c r="AP335" s="52"/>
      <c r="AQ335" s="52"/>
      <c r="AR335" s="813"/>
      <c r="AS335" s="813"/>
      <c r="AT335" s="813"/>
      <c r="AU335" s="813"/>
      <c r="AV335" s="51" t="s">
        <v>1621</v>
      </c>
      <c r="AW335" s="813"/>
      <c r="AX335" s="815" t="s">
        <v>1622</v>
      </c>
      <c r="AY335" s="813" t="str">
        <f>AY331-AY334</f>
        <v>#REF!</v>
      </c>
      <c r="AZ335" s="816" t="str">
        <f>IFERROR(__xludf.DUMMYFUNCTION("""COMPUTED_VALUE"""),"Astram")</f>
        <v>Astram</v>
      </c>
      <c r="BA335" s="798"/>
      <c r="BB335" s="52"/>
      <c r="BC335" s="788"/>
      <c r="BD335" s="787"/>
      <c r="BE335" s="813"/>
      <c r="BF335" s="813" t="s">
        <v>1151</v>
      </c>
      <c r="BG335" s="803" t="s">
        <v>1313</v>
      </c>
      <c r="BH335" s="788" t="s">
        <v>893</v>
      </c>
      <c r="BI335" s="787"/>
      <c r="BJ335" s="787"/>
    </row>
    <row r="336">
      <c r="B336" s="734" t="str">
        <f>vlookup(F336,'2) Tracker'!$A$3:$O$410,5,false)</f>
        <v/>
      </c>
      <c r="C336" s="868" t="str">
        <f>vlookup(F336,'2) Tracker'!$A$3:$O$410,4,false)</f>
        <v/>
      </c>
      <c r="D336" s="734"/>
      <c r="E336" s="734" t="str">
        <f>vlookup(F336,'2) Tracker'!$A$3:$O$406,15,false)</f>
        <v/>
      </c>
      <c r="F336" s="788" t="s">
        <v>32</v>
      </c>
      <c r="G336" s="789">
        <f>VLOOKUP(F336,'2) Tracker'!$A$2:$BO$360,2,FALSE)</f>
        <v>2022</v>
      </c>
      <c r="H336" s="768">
        <f>VLOOKUP(F336,'2) Tracker'!$A$2:$BO$360,3,FALSE)</f>
        <v>86000</v>
      </c>
      <c r="I336" s="770" t="str">
        <f>VLOOKUP(F336,'2) Tracker'!$A$2:$BO$360,9,FALSE)</f>
        <v>Wanhua</v>
      </c>
      <c r="J336" s="770" t="str">
        <f>VLOOKUP(F336,'2) Tracker'!$A$2:$BO$360,12,FALSE)</f>
        <v>AG</v>
      </c>
      <c r="K336" s="771" t="str">
        <f t="shared" si="207"/>
        <v/>
      </c>
      <c r="L336" s="771" t="str">
        <f t="shared" ref="L336:O336" si="384">AE336</f>
        <v/>
      </c>
      <c r="M336" s="771" t="str">
        <f t="shared" si="384"/>
        <v/>
      </c>
      <c r="N336" s="772" t="str">
        <f t="shared" si="384"/>
        <v/>
      </c>
      <c r="O336" s="772" t="str">
        <f t="shared" si="384"/>
        <v/>
      </c>
      <c r="P336" s="773" t="str">
        <f>iferror(if(vlookup(F336,'Voyage days'!$M$808:$N$819,2,false),"GOA",""),"")</f>
        <v>GOA</v>
      </c>
      <c r="Q336" s="772" t="str">
        <f t="shared" si="81"/>
        <v/>
      </c>
      <c r="R336" s="771" t="str">
        <f t="shared" si="83"/>
        <v/>
      </c>
      <c r="S336" s="774">
        <f t="shared" si="5"/>
        <v>46138</v>
      </c>
      <c r="T336" s="771" t="str">
        <f t="shared" si="6"/>
        <v/>
      </c>
      <c r="U336" s="771" t="str">
        <f t="shared" si="84"/>
        <v/>
      </c>
      <c r="V336" s="771"/>
      <c r="W336" s="771" t="str">
        <f t="shared" si="85"/>
        <v/>
      </c>
      <c r="X336" s="775" t="str">
        <f t="shared" si="9"/>
        <v/>
      </c>
      <c r="Y336" s="776"/>
      <c r="Z336" s="777" t="str">
        <f>vlookup(F336,'2) Tracker'!$A$3:$Q$504,16,false)</f>
        <v>@ Dubai Anchorage 28 Feb laden</v>
      </c>
      <c r="AA336" s="777" t="str">
        <f>vlookup(F336,'2) Tracker'!$A$3:$R$504,18,false)</f>
        <v>Wanhua 18 Feb Yanbu</v>
      </c>
      <c r="AB336" s="777" t="str">
        <f>vlookup(F336,'2) Tracker'!$A$3:$Q$504,17,false)</f>
        <v/>
      </c>
      <c r="AC336" s="778"/>
      <c r="AD336" s="778" t="str">
        <f>VLOOKUP(F336,'2) Tracker'!$A$2:$BO$980,37,FALSE)</f>
        <v/>
      </c>
      <c r="AE336" s="778" t="str">
        <f>VLOOKUP(F336,'2) Tracker'!$A$2:$BO$980,40,FALSE)</f>
        <v/>
      </c>
      <c r="AF336" s="778" t="str">
        <f>VLOOKUP(F336,'2) Tracker'!$A$2:$BO$980,67,FALSE)</f>
        <v/>
      </c>
      <c r="AG336" s="778" t="str">
        <f>VLOOKUP(F336,'2) Tracker'!$A$2:$BO$980,34,FALSE)</f>
        <v/>
      </c>
      <c r="AH336" s="778" t="str">
        <f>VLOOKUP(F336,'2) Tracker'!$A$2:$BN$980,66,FALSE)</f>
        <v/>
      </c>
      <c r="AI336" s="778" t="str">
        <f>VLOOKUP(F336,'2) Tracker'!$A$2:$BO$980,56,FALSE)</f>
        <v/>
      </c>
      <c r="AJ336" s="778" t="str">
        <f>VLOOKUP(F336,'2) Tracker'!$A$2:$BO$980,52,FALSE)</f>
        <v/>
      </c>
      <c r="AK336" s="778" t="str">
        <f>VLOOKUP(F336,'2) Tracker'!$A$2:$AQ$980,43,FALSE)</f>
        <v/>
      </c>
      <c r="AL336" s="778">
        <f>VLOOKUP(F336,'2) Tracker'!$A$2:$BH$980,46,FALSE())</f>
        <v>46138</v>
      </c>
      <c r="AM336" s="778" t="str">
        <f>VLOOKUP(F336,'2) Tracker'!$A$2:$BO$980,65,FALSE())</f>
        <v/>
      </c>
      <c r="AN336" s="778" t="str">
        <f>VLOOKUP(F336,'2) Tracker'!$A$2:$BK$980,63,FALSE())</f>
        <v/>
      </c>
      <c r="AO336" s="778" t="str">
        <f>VLOOKUP(F336,'2) Tracker'!$A$2:$BF$980,58,FALSE())</f>
        <v/>
      </c>
      <c r="AP336" s="52"/>
      <c r="AQ336" s="52"/>
      <c r="AR336" s="52"/>
      <c r="AS336" s="52"/>
      <c r="AT336" s="52"/>
      <c r="AU336" s="52"/>
      <c r="AV336" s="52"/>
      <c r="AW336" s="52"/>
      <c r="AX336" s="52"/>
      <c r="AY336" s="52"/>
      <c r="AZ336" s="734" t="str">
        <f>IFERROR(__xludf.DUMMYFUNCTION("""COMPUTED_VALUE"""),"Aura")</f>
        <v>Aura</v>
      </c>
      <c r="BA336" s="740"/>
      <c r="BB336" s="734"/>
      <c r="BC336" s="740"/>
      <c r="BD336" s="734"/>
      <c r="BE336" s="52"/>
      <c r="BF336" s="52"/>
      <c r="BG336" s="734"/>
      <c r="BH336" s="734"/>
      <c r="BI336" s="734"/>
      <c r="BJ336" s="734"/>
    </row>
    <row r="337">
      <c r="B337" s="734" t="str">
        <f>vlookup(F337,'2) Tracker'!$A$3:$O$410,5,false)</f>
        <v/>
      </c>
      <c r="C337" s="869"/>
      <c r="D337" s="734"/>
      <c r="E337" s="734" t="str">
        <f>vlookup(F337,'2) Tracker'!$A$3:$O$406,15,false)</f>
        <v/>
      </c>
      <c r="F337" s="870" t="s">
        <v>262</v>
      </c>
      <c r="G337" s="789">
        <f>VLOOKUP(F337,'2) Tracker'!$A$2:$BO$360,2,FALSE)</f>
        <v>2020</v>
      </c>
      <c r="H337" s="768">
        <f>VLOOKUP(F337,'2) Tracker'!$A$2:$BO$360,3,FALSE)</f>
        <v>84000</v>
      </c>
      <c r="I337" s="770" t="str">
        <f>VLOOKUP(F337,'2) Tracker'!$A$2:$BO$360,9,FALSE)</f>
        <v>Neptune</v>
      </c>
      <c r="J337" s="770" t="str">
        <f>VLOOKUP(F337,'2) Tracker'!$A$2:$BO$360,12,FALSE)</f>
        <v>AG</v>
      </c>
      <c r="K337" s="771" t="str">
        <f t="shared" si="207"/>
        <v/>
      </c>
      <c r="L337" s="774" t="str">
        <f t="shared" ref="L337:O337" si="385">AE337</f>
        <v/>
      </c>
      <c r="M337" s="771" t="str">
        <f t="shared" si="385"/>
        <v/>
      </c>
      <c r="N337" s="771" t="str">
        <f t="shared" si="385"/>
        <v/>
      </c>
      <c r="O337" s="772" t="str">
        <f t="shared" si="385"/>
        <v/>
      </c>
      <c r="P337" s="773" t="str">
        <f>iferror(if(vlookup(F337,'Voyage days'!$M$808:$N$819,2,false),"GOA",""),"")</f>
        <v>GOA</v>
      </c>
      <c r="Q337" s="772" t="str">
        <f t="shared" si="81"/>
        <v/>
      </c>
      <c r="R337" s="771" t="str">
        <f t="shared" si="83"/>
        <v/>
      </c>
      <c r="S337" s="774">
        <f t="shared" si="5"/>
        <v>46142</v>
      </c>
      <c r="T337" s="771" t="str">
        <f t="shared" si="6"/>
        <v/>
      </c>
      <c r="U337" s="771" t="str">
        <f t="shared" si="84"/>
        <v/>
      </c>
      <c r="V337" s="745" t="s">
        <v>1523</v>
      </c>
      <c r="W337" s="771" t="str">
        <f t="shared" si="85"/>
        <v/>
      </c>
      <c r="X337" s="775" t="str">
        <f t="shared" si="9"/>
        <v/>
      </c>
      <c r="Y337" s="776"/>
      <c r="Z337" s="777" t="str">
        <f>vlookup(F337,'2) Tracker'!$A$3:$Q$504,16,false)</f>
        <v>@ Sohar Anchorage since 07 Mar</v>
      </c>
      <c r="AA337" s="777" t="str">
        <f>vlookup(F337,'2) Tracker'!$A$3:$R$504,18,false)</f>
        <v>COA 06-07 Mar AG</v>
      </c>
      <c r="AB337" s="777" t="str">
        <f>vlookup(F337,'2) Tracker'!$A$3:$Q$504,17,false)</f>
        <v/>
      </c>
      <c r="AC337" s="778"/>
      <c r="AD337" s="778" t="str">
        <f>VLOOKUP(F337,'2) Tracker'!$A$2:$BO$980,37,FALSE)</f>
        <v/>
      </c>
      <c r="AE337" s="778" t="str">
        <f>VLOOKUP(F337,'2) Tracker'!$A$2:$BO$980,40,FALSE)</f>
        <v/>
      </c>
      <c r="AF337" s="778" t="str">
        <f>VLOOKUP(F337,'2) Tracker'!$A$2:$BO$980,67,FALSE)</f>
        <v/>
      </c>
      <c r="AG337" s="778" t="str">
        <f>VLOOKUP(F337,'2) Tracker'!$A$2:$BO$980,34,FALSE)</f>
        <v/>
      </c>
      <c r="AH337" s="778" t="str">
        <f>VLOOKUP(F337,'2) Tracker'!$A$2:$BN$980,66,FALSE)</f>
        <v/>
      </c>
      <c r="AI337" s="778" t="str">
        <f>VLOOKUP(F337,'2) Tracker'!$A$2:$BO$980,56,FALSE)</f>
        <v/>
      </c>
      <c r="AJ337" s="778" t="str">
        <f>VLOOKUP(F337,'2) Tracker'!$A$2:$BO$980,52,FALSE)</f>
        <v/>
      </c>
      <c r="AK337" s="778" t="str">
        <f>VLOOKUP(F337,'2) Tracker'!$A$2:$AQ$980,43,FALSE)</f>
        <v/>
      </c>
      <c r="AL337" s="778">
        <f>VLOOKUP(F337,'2) Tracker'!$A$2:$BH$980,46,FALSE())</f>
        <v>46142</v>
      </c>
      <c r="AM337" s="778" t="str">
        <f>VLOOKUP(F337,'2) Tracker'!$A$2:$BO$980,65,FALSE())</f>
        <v/>
      </c>
      <c r="AN337" s="778" t="str">
        <f>VLOOKUP(F337,'2) Tracker'!$A$2:$BK$980,63,FALSE())</f>
        <v/>
      </c>
      <c r="AO337" s="778" t="str">
        <f>VLOOKUP(F337,'2) Tracker'!$A$2:$BF$980,58,FALSE())</f>
        <v/>
      </c>
      <c r="AP337" s="52"/>
      <c r="AQ337" s="52"/>
      <c r="AR337" s="52"/>
      <c r="AS337" s="52"/>
      <c r="AT337" s="52"/>
      <c r="AU337" s="52"/>
      <c r="AV337" s="52"/>
      <c r="AW337" s="52"/>
      <c r="AX337" s="52"/>
      <c r="AY337" s="52"/>
      <c r="AZ337" s="734" t="str">
        <f>IFERROR(__xludf.DUMMYFUNCTION("""COMPUTED_VALUE"""),"Aurora")</f>
        <v>Aurora</v>
      </c>
      <c r="BA337" s="740"/>
      <c r="BB337" s="734"/>
      <c r="BC337" s="740"/>
      <c r="BD337" s="734"/>
      <c r="BE337" s="52"/>
      <c r="BF337" s="52"/>
      <c r="BG337" s="734"/>
      <c r="BH337" s="734"/>
      <c r="BI337" s="734"/>
      <c r="BJ337" s="734"/>
    </row>
    <row r="338">
      <c r="B338" s="734" t="str">
        <f>vlookup(F338,'2) Tracker'!$A$3:$O$410,5,false)</f>
        <v/>
      </c>
      <c r="C338" s="868" t="str">
        <f>vlookup(F338,'2) Tracker'!$A$3:$O$410,4,false)</f>
        <v/>
      </c>
      <c r="D338" s="734"/>
      <c r="E338" s="734"/>
      <c r="F338" s="819" t="s">
        <v>363</v>
      </c>
      <c r="G338" s="732">
        <v>2025.0</v>
      </c>
      <c r="H338" s="826">
        <v>88000.0</v>
      </c>
      <c r="I338" s="777" t="str">
        <f>VLOOKUP(F338,'2) Tracker'!$A$2:$BO$360,9,FALSE)</f>
        <v>Chevron</v>
      </c>
      <c r="J338" s="770" t="str">
        <f>VLOOKUP(F338,'2) Tracker'!$A$2:$BO$360,12,FALSE)</f>
        <v>loads USG</v>
      </c>
      <c r="K338" s="771" t="str">
        <f t="shared" si="207"/>
        <v/>
      </c>
      <c r="L338" s="827"/>
      <c r="N338" s="771" t="str">
        <f t="shared" ref="N338:O338" si="386">AG338</f>
        <v/>
      </c>
      <c r="O338" s="772" t="str">
        <f t="shared" si="386"/>
        <v/>
      </c>
      <c r="P338" s="773" t="str">
        <f>iferror(if(vlookup(F338,'Voyage days'!$M$808:$N$819,2,false),"GOA",""),"")</f>
        <v/>
      </c>
      <c r="Q338" s="771" t="str">
        <f t="shared" si="81"/>
        <v/>
      </c>
      <c r="R338" s="774" t="str">
        <f t="shared" si="83"/>
        <v/>
      </c>
      <c r="S338" s="774" t="str">
        <f t="shared" si="5"/>
        <v/>
      </c>
      <c r="T338" s="771" t="str">
        <f t="shared" si="6"/>
        <v/>
      </c>
      <c r="U338" s="774" t="str">
        <f t="shared" si="84"/>
        <v/>
      </c>
      <c r="V338" s="802"/>
      <c r="W338" s="802" t="str">
        <f t="shared" si="85"/>
        <v/>
      </c>
      <c r="X338" s="775" t="str">
        <f t="shared" si="9"/>
        <v/>
      </c>
      <c r="Y338" s="776"/>
      <c r="Z338" s="777" t="str">
        <f>vlookup(F338,'2) Tracker'!$A$3:$Q$504,16,false)</f>
        <v>drifing USG 02 Apr</v>
      </c>
      <c r="AA338" s="777" t="str">
        <f>vlookup(F338,'2) Tracker'!$A$3:$R$504,18,false)</f>
        <v>Chevron 18-19 Apr USG?</v>
      </c>
      <c r="AB338" s="777" t="str">
        <f>vlookup(F338,'2) Tracker'!$A$3:$Q$504,17,false)</f>
        <v/>
      </c>
      <c r="AC338" s="778"/>
      <c r="AD338" s="778" t="str">
        <f>VLOOKUP(F338,'2) Tracker'!$A$2:$BO$980,37,FALSE)</f>
        <v/>
      </c>
      <c r="AE338" s="778" t="str">
        <f>VLOOKUP(F338,'2) Tracker'!$A$2:$BO$980,40,FALSE)</f>
        <v/>
      </c>
      <c r="AF338" s="778" t="str">
        <f>VLOOKUP(F338,'2) Tracker'!$A$2:$BO$980,67,FALSE)</f>
        <v/>
      </c>
      <c r="AG338" s="778" t="str">
        <f>VLOOKUP(F338,'2) Tracker'!$A$2:$BO$980,34,FALSE)</f>
        <v/>
      </c>
      <c r="AH338" s="778" t="str">
        <f>VLOOKUP(F338,'2) Tracker'!$A$2:$BN$980,66,FALSE)</f>
        <v/>
      </c>
      <c r="AI338" s="778" t="str">
        <f>VLOOKUP(F338,'2) Tracker'!$A$2:$BO$980,56,FALSE)</f>
        <v/>
      </c>
      <c r="AJ338" s="778" t="str">
        <f>VLOOKUP(F338,'2) Tracker'!$A$2:$BO$980,52,FALSE)</f>
        <v/>
      </c>
      <c r="AK338" s="778" t="str">
        <f>VLOOKUP(F338,'2) Tracker'!$A$2:$AQ$980,43,FALSE)</f>
        <v/>
      </c>
      <c r="AL338" s="778" t="str">
        <f>VLOOKUP(F338,'2) Tracker'!$A$2:$BH$980,46,FALSE())</f>
        <v/>
      </c>
      <c r="AM338" s="778" t="str">
        <f>VLOOKUP(F338,'2) Tracker'!$A$2:$BO$980,65,FALSE())</f>
        <v/>
      </c>
      <c r="AN338" s="778" t="str">
        <f>VLOOKUP(F338,'2) Tracker'!$A$2:$BK$980,63,FALSE())</f>
        <v/>
      </c>
      <c r="AO338" s="778" t="str">
        <f>VLOOKUP(F338,'2) Tracker'!$A$2:$BF$980,58,FALSE())</f>
        <v/>
      </c>
      <c r="AP338" s="52"/>
      <c r="AQ338" s="52"/>
      <c r="AR338" s="52"/>
      <c r="AS338" s="52"/>
      <c r="AT338" s="52"/>
      <c r="AU338" s="52"/>
      <c r="AV338" s="52"/>
      <c r="AW338" s="52"/>
      <c r="AX338" s="52"/>
      <c r="AY338" s="52"/>
      <c r="AZ338" s="787" t="str">
        <f>IFERROR(__xludf.DUMMYFUNCTION("""COMPUTED_VALUE"""),"Axon I")</f>
        <v>Axon I</v>
      </c>
      <c r="BA338" s="786" t="str">
        <f>vlookup(AZ338,'Iran, FS'!$A$1:$B$318,2, false)</f>
        <v>#N/A</v>
      </c>
      <c r="BB338" s="867">
        <f>vlookup(AZ338,'1) Kpler'!$E$2:$F$500,2,false)</f>
        <v>76905</v>
      </c>
      <c r="BC338" s="798" t="s">
        <v>1623</v>
      </c>
      <c r="BD338" s="787"/>
      <c r="BE338" s="52"/>
      <c r="BF338" s="52"/>
      <c r="BG338" s="803" t="s">
        <v>1624</v>
      </c>
      <c r="BH338" s="788" t="s">
        <v>1625</v>
      </c>
      <c r="BI338" s="787"/>
      <c r="BJ338" s="787"/>
    </row>
    <row r="339">
      <c r="B339" s="734" t="str">
        <f>vlookup(F339,'2) Tracker'!$A$3:$O$410,5,false)</f>
        <v/>
      </c>
      <c r="C339" s="868" t="str">
        <f>vlookup(F339,'2) Tracker'!$A$3:$O$410,4,false)</f>
        <v/>
      </c>
      <c r="D339" s="734"/>
      <c r="E339" s="734"/>
      <c r="F339" s="770" t="s">
        <v>467</v>
      </c>
      <c r="G339" s="732">
        <v>2007.0</v>
      </c>
      <c r="H339" s="732">
        <v>84597.0</v>
      </c>
      <c r="I339" s="777" t="str">
        <f>VLOOKUP(F339,'2) Tracker'!$A$2:$BO$360,9,FALSE)</f>
        <v>NV Trans</v>
      </c>
      <c r="J339" s="770" t="str">
        <f>VLOOKUP(F339,'2) Tracker'!$A$2:$BO$360,12,FALSE)</f>
        <v>AG</v>
      </c>
      <c r="K339" s="771" t="str">
        <f t="shared" si="207"/>
        <v/>
      </c>
      <c r="L339" s="827"/>
      <c r="N339" s="771" t="str">
        <f t="shared" ref="N339:O339" si="387">AG339</f>
        <v/>
      </c>
      <c r="O339" s="772" t="str">
        <f t="shared" si="387"/>
        <v/>
      </c>
      <c r="P339" s="773" t="str">
        <f>iferror(if(vlookup(F339,'Voyage days'!$M$808:$N$819,2,false),"GOA",""),"")</f>
        <v/>
      </c>
      <c r="Q339" s="771" t="str">
        <f t="shared" si="81"/>
        <v/>
      </c>
      <c r="R339" s="774" t="str">
        <f t="shared" si="83"/>
        <v/>
      </c>
      <c r="S339" s="774">
        <f t="shared" si="5"/>
        <v>46142</v>
      </c>
      <c r="T339" s="771" t="str">
        <f t="shared" si="6"/>
        <v/>
      </c>
      <c r="U339" s="774" t="str">
        <f t="shared" si="84"/>
        <v/>
      </c>
      <c r="V339" s="802"/>
      <c r="W339" s="802" t="str">
        <f t="shared" si="85"/>
        <v/>
      </c>
      <c r="X339" s="775" t="str">
        <f t="shared" si="9"/>
        <v/>
      </c>
      <c r="Y339" s="804" t="s">
        <v>1626</v>
      </c>
      <c r="Z339" s="777" t="str">
        <f>vlookup(F339,'2) Tracker'!$A$3:$Q$504,16,false)</f>
        <v>Drifting off Sohar 15 Mar</v>
      </c>
      <c r="AA339" s="777" t="str">
        <f>vlookup(F339,'2) Tracker'!$A$3:$R$504,18,false)</f>
        <v>ADMIC 04 Feb Ruwais</v>
      </c>
      <c r="AB339" s="777" t="str">
        <f>vlookup(F339,'2) Tracker'!$A$3:$Q$504,17,false)</f>
        <v/>
      </c>
      <c r="AC339" s="778"/>
      <c r="AD339" s="778" t="str">
        <f>VLOOKUP(F339,'2) Tracker'!$A$2:$BO$980,37,FALSE)</f>
        <v/>
      </c>
      <c r="AE339" s="778" t="str">
        <f>VLOOKUP(F339,'2) Tracker'!$A$2:$BO$980,40,FALSE)</f>
        <v/>
      </c>
      <c r="AF339" s="778" t="str">
        <f>VLOOKUP(F339,'2) Tracker'!$A$2:$BO$980,67,FALSE)</f>
        <v/>
      </c>
      <c r="AG339" s="778" t="str">
        <f>VLOOKUP(F339,'2) Tracker'!$A$2:$BO$980,34,FALSE)</f>
        <v/>
      </c>
      <c r="AH339" s="778" t="str">
        <f>VLOOKUP(F339,'2) Tracker'!$A$2:$BN$980,66,FALSE)</f>
        <v/>
      </c>
      <c r="AI339" s="778" t="str">
        <f>VLOOKUP(F339,'2) Tracker'!$A$2:$BO$980,56,FALSE)</f>
        <v/>
      </c>
      <c r="AJ339" s="778" t="str">
        <f>VLOOKUP(F339,'2) Tracker'!$A$2:$BO$980,52,FALSE)</f>
        <v/>
      </c>
      <c r="AK339" s="778" t="str">
        <f>VLOOKUP(F339,'2) Tracker'!$A$2:$AQ$980,43,FALSE)</f>
        <v/>
      </c>
      <c r="AL339" s="778">
        <f>VLOOKUP(F339,'2) Tracker'!$A$2:$BH$980,46,FALSE())</f>
        <v>46142</v>
      </c>
      <c r="AM339" s="778" t="str">
        <f>VLOOKUP(F339,'2) Tracker'!$A$2:$BO$980,65,FALSE())</f>
        <v/>
      </c>
      <c r="AN339" s="778" t="str">
        <f>VLOOKUP(F339,'2) Tracker'!$A$2:$BK$980,63,FALSE())</f>
        <v/>
      </c>
      <c r="AO339" s="778" t="str">
        <f>VLOOKUP(F339,'2) Tracker'!$A$2:$BF$980,58,FALSE())</f>
        <v/>
      </c>
      <c r="AP339" s="52"/>
      <c r="AQ339" s="52"/>
      <c r="AR339" s="52"/>
      <c r="AS339" s="52"/>
      <c r="AT339" s="52"/>
      <c r="AU339" s="52"/>
      <c r="AV339" s="729" t="s">
        <v>1504</v>
      </c>
      <c r="AW339" s="52"/>
      <c r="AX339" s="52"/>
      <c r="AY339" s="52"/>
      <c r="AZ339" s="787" t="str">
        <f>IFERROR(__xludf.DUMMYFUNCTION("""COMPUTED_VALUE"""),"Banian")</f>
        <v>Banian</v>
      </c>
      <c r="BA339" s="786" t="str">
        <f>vlookup(AZ339,'Iran, FS'!$A$1:$B$318,2, false)</f>
        <v>#N/A</v>
      </c>
      <c r="BB339" s="867">
        <f>vlookup(AZ339,'1) Kpler'!$E$2:$F$500,2,false)</f>
        <v>76928</v>
      </c>
      <c r="BC339" s="798" t="s">
        <v>1534</v>
      </c>
      <c r="BD339" s="787"/>
      <c r="BE339" s="52"/>
      <c r="BF339" s="52"/>
      <c r="BG339" s="787"/>
      <c r="BH339" s="787"/>
      <c r="BI339" s="787"/>
      <c r="BJ339" s="787"/>
    </row>
    <row r="340">
      <c r="B340" s="734" t="str">
        <f>vlookup(F340,'2) Tracker'!$A$3:$O$410,5,false)</f>
        <v>S</v>
      </c>
      <c r="C340" s="868" t="str">
        <f>vlookup(F340,'2) Tracker'!$A$3:$O$410,4,false)</f>
        <v>HPCL</v>
      </c>
      <c r="D340" s="734"/>
      <c r="E340" s="734"/>
      <c r="F340" s="798" t="s">
        <v>1361</v>
      </c>
      <c r="G340" s="783">
        <v>39448.0</v>
      </c>
      <c r="H340" s="768">
        <v>84601.0</v>
      </c>
      <c r="I340" s="777" t="str">
        <f>VLOOKUP(F340,'2) Tracker'!$A$2:$BO$360,9,FALSE)</f>
        <v>BW</v>
      </c>
      <c r="J340" s="770" t="str">
        <f>VLOOKUP(F340,'2) Tracker'!$A$2:$BO$360,12,FALSE)</f>
        <v>loads AG</v>
      </c>
      <c r="K340" s="771"/>
      <c r="L340" s="771"/>
      <c r="M340" s="771"/>
      <c r="N340" s="771">
        <f t="shared" ref="N340:O340" si="388">AG340</f>
        <v>46121</v>
      </c>
      <c r="O340" s="772">
        <f t="shared" si="388"/>
        <v>46146</v>
      </c>
      <c r="P340" s="773" t="str">
        <f>iferror(if(vlookup(F338,'Voyage days'!$M$808:$N$819,2,false),"GOA",""),"")</f>
        <v/>
      </c>
      <c r="Q340" s="771">
        <f t="shared" si="81"/>
        <v>46125</v>
      </c>
      <c r="R340" s="771">
        <f t="shared" si="83"/>
        <v>46121</v>
      </c>
      <c r="S340" s="774" t="str">
        <f t="shared" si="5"/>
        <v/>
      </c>
      <c r="T340" s="774" t="str">
        <f t="shared" si="6"/>
        <v/>
      </c>
      <c r="U340" s="771" t="str">
        <f t="shared" si="84"/>
        <v/>
      </c>
      <c r="V340" s="771"/>
      <c r="W340" s="771">
        <f t="shared" si="85"/>
        <v>46140</v>
      </c>
      <c r="X340" s="775" t="str">
        <f t="shared" si="9"/>
        <v/>
      </c>
      <c r="Y340" s="784" t="s">
        <v>1627</v>
      </c>
      <c r="Z340" s="777" t="str">
        <f>vlookup(F340,'2) Tracker'!$A$3:$Q$504,16,false)</f>
        <v>@ Ras Laffan anchorage 05 Apr</v>
      </c>
      <c r="AA340" s="777" t="str">
        <f>vlookup(F340,'2) Tracker'!$A$3:$R$504,18,false)</f>
        <v>QE short TC 01 Apr onwards</v>
      </c>
      <c r="AB340" s="777" t="str">
        <f>vlookup(F340,'2) Tracker'!$A$3:$Q$504,17,false)</f>
        <v/>
      </c>
      <c r="AC340" s="778"/>
      <c r="AD340" s="778" t="str">
        <f>VLOOKUP(F340,'2) Tracker'!$A$2:$BO$980,37,FALSE)</f>
        <v/>
      </c>
      <c r="AE340" s="778" t="str">
        <f>VLOOKUP(F340,'2) Tracker'!$A$2:$BO$980,40,FALSE)</f>
        <v/>
      </c>
      <c r="AF340" s="778" t="str">
        <f>VLOOKUP(F340,'2) Tracker'!$A$2:$BO$980,67,FALSE)</f>
        <v/>
      </c>
      <c r="AG340" s="778">
        <f>VLOOKUP(F340,'2) Tracker'!$A$2:$BO$980,34,FALSE)</f>
        <v>46121</v>
      </c>
      <c r="AH340" s="778">
        <f>VLOOKUP(F340,'2) Tracker'!$A$2:$BN$980,66,FALSE)</f>
        <v>46146</v>
      </c>
      <c r="AI340" s="778" t="str">
        <f>VLOOKUP(F340,'2) Tracker'!$A$2:$BO$980,56,FALSE)</f>
        <v/>
      </c>
      <c r="AJ340" s="778">
        <f>VLOOKUP(F340,'2) Tracker'!$A$2:$BO$980,52,FALSE)</f>
        <v>46140</v>
      </c>
      <c r="AK340" s="778" t="str">
        <f>VLOOKUP(F340,'2) Tracker'!$A$2:$AQ$980,43,FALSE)</f>
        <v/>
      </c>
      <c r="AL340" s="778" t="str">
        <f>VLOOKUP(F340,'2) Tracker'!$A$2:$BH$980,46,FALSE())</f>
        <v/>
      </c>
      <c r="AM340" s="778">
        <f>VLOOKUP(F340,'2) Tracker'!$A$2:$BO$980,65,FALSE())</f>
        <v>46125</v>
      </c>
      <c r="AN340" s="778">
        <f>VLOOKUP(F340,'2) Tracker'!$A$2:$BK$980,63,FALSE())</f>
        <v>46121</v>
      </c>
      <c r="AO340" s="778" t="str">
        <f>VLOOKUP(F340,'2) Tracker'!$A$2:$BF$980,58,FALSE())</f>
        <v/>
      </c>
      <c r="AP340" s="52"/>
      <c r="AQ340" s="52"/>
      <c r="AR340" s="52"/>
      <c r="AS340" s="52"/>
      <c r="AT340" s="52"/>
      <c r="AU340" s="52"/>
      <c r="AV340" s="51"/>
      <c r="AW340" s="52"/>
      <c r="AX340" s="52"/>
      <c r="AY340" s="52"/>
      <c r="AZ340" s="787" t="str">
        <f>IFERROR(__xludf.DUMMYFUNCTION("""COMPUTED_VALUE"""),"Bao Yu")</f>
        <v>Bao Yu</v>
      </c>
      <c r="BA340" s="786"/>
      <c r="BB340" s="787"/>
      <c r="BC340" s="798"/>
      <c r="BD340" s="787"/>
      <c r="BE340" s="52"/>
      <c r="BF340" s="52"/>
      <c r="BG340" s="787"/>
      <c r="BH340" s="787"/>
      <c r="BI340" s="787"/>
      <c r="BJ340" s="787"/>
    </row>
    <row r="341">
      <c r="B341" s="734"/>
      <c r="C341" s="868"/>
      <c r="D341" s="732" t="s">
        <v>1515</v>
      </c>
      <c r="E341" s="734"/>
      <c r="F341" s="740" t="s">
        <v>181</v>
      </c>
      <c r="G341" s="820">
        <v>2026.0</v>
      </c>
      <c r="H341" s="821">
        <v>80550.0</v>
      </c>
      <c r="I341" s="777" t="str">
        <f>VLOOKUP(F341,'2) Tracker'!$A$2:$BO$360,9,FALSE)</f>
        <v>Vitol</v>
      </c>
      <c r="J341" s="770" t="str">
        <f>VLOOKUP(F341,'2) Tracker'!$A$2:$BO$360,12,FALSE)</f>
        <v>Mohammedia</v>
      </c>
      <c r="K341" s="771"/>
      <c r="L341" s="771"/>
      <c r="M341" s="771"/>
      <c r="N341" s="771" t="str">
        <f t="shared" ref="N341:O341" si="389">AG341</f>
        <v/>
      </c>
      <c r="O341" s="772" t="str">
        <f t="shared" si="389"/>
        <v/>
      </c>
      <c r="P341" s="773" t="str">
        <f>iferror(if(vlookup(F334,'Voyage days'!$M$808:$N$819,2,false),"GOA",""),"")</f>
        <v/>
      </c>
      <c r="Q341" s="772">
        <f t="shared" si="81"/>
        <v>46140</v>
      </c>
      <c r="R341" s="771">
        <f t="shared" si="83"/>
        <v>46147</v>
      </c>
      <c r="S341" s="774">
        <f t="shared" si="5"/>
        <v>46140</v>
      </c>
      <c r="T341" s="774">
        <f t="shared" si="6"/>
        <v>46148</v>
      </c>
      <c r="U341" s="771" t="str">
        <f t="shared" si="84"/>
        <v/>
      </c>
      <c r="V341" s="771"/>
      <c r="W341" s="771" t="str">
        <f t="shared" si="85"/>
        <v/>
      </c>
      <c r="X341" s="775" t="str">
        <f t="shared" si="9"/>
        <v/>
      </c>
      <c r="Y341" s="776"/>
      <c r="Z341" s="777" t="str">
        <f>vlookup(F341,'2) Tracker'!$A$3:$Q$504,16,false)</f>
        <v>ETA Mohammedia 22 Apr</v>
      </c>
      <c r="AA341" s="777" t="str">
        <f>vlookup(F341,'2) Tracker'!$A$3:$R$504,18,false)</f>
        <v>Vitol 05 Apr Enterprise</v>
      </c>
      <c r="AB341" s="777" t="str">
        <f>vlookup(F341,'2) Tracker'!$A$3:$Q$504,17,false)</f>
        <v/>
      </c>
      <c r="AC341" s="778"/>
      <c r="AD341" s="778">
        <f>VLOOKUP(F341,'2) Tracker'!$A$2:$BO$980,37,FALSE)</f>
        <v>46152</v>
      </c>
      <c r="AE341" s="778">
        <f>VLOOKUP(F341,'2) Tracker'!$A$2:$BO$980,40,FALSE)</f>
        <v>46153</v>
      </c>
      <c r="AF341" s="778" t="str">
        <f>VLOOKUP(F341,'2) Tracker'!$A$2:$BO$980,67,FALSE)</f>
        <v/>
      </c>
      <c r="AG341" s="778" t="str">
        <f>VLOOKUP(F341,'2) Tracker'!$A$2:$BO$980,34,FALSE)</f>
        <v/>
      </c>
      <c r="AH341" s="778" t="str">
        <f>VLOOKUP(F341,'2) Tracker'!$A$2:$BN$980,66,FALSE)</f>
        <v/>
      </c>
      <c r="AI341" s="778" t="str">
        <f>VLOOKUP(F341,'2) Tracker'!$A$2:$BO$980,56,FALSE)</f>
        <v/>
      </c>
      <c r="AJ341" s="778" t="str">
        <f>VLOOKUP(F341,'2) Tracker'!$A$2:$BO$980,52,FALSE)</f>
        <v/>
      </c>
      <c r="AK341" s="778">
        <f>VLOOKUP(F341,'2) Tracker'!$A$2:$AQ$980,43,FALSE)</f>
        <v>46148</v>
      </c>
      <c r="AL341" s="778">
        <f>VLOOKUP(F341,'2) Tracker'!$A$2:$BH$980,46,FALSE())</f>
        <v>46140</v>
      </c>
      <c r="AM341" s="778">
        <f>VLOOKUP(F341,'2) Tracker'!$A$2:$BO$980,65,FALSE())</f>
        <v>46140</v>
      </c>
      <c r="AN341" s="778">
        <f>VLOOKUP(F341,'2) Tracker'!$A$2:$BK$980,63,FALSE())</f>
        <v>46147</v>
      </c>
      <c r="AO341" s="778" t="str">
        <f>VLOOKUP(F341,'2) Tracker'!$A$2:$BF$980,58,FALSE())</f>
        <v/>
      </c>
      <c r="AP341" s="52"/>
      <c r="AQ341" s="52"/>
      <c r="AR341" s="52"/>
      <c r="AS341" s="52"/>
      <c r="AT341" s="52"/>
      <c r="AU341" s="52"/>
      <c r="AV341" s="51"/>
      <c r="AW341" s="52"/>
      <c r="AX341" s="52"/>
      <c r="AY341" s="52"/>
      <c r="AZ341" s="787" t="str">
        <f>IFERROR(__xludf.DUMMYFUNCTION("""COMPUTED_VALUE"""),"Bw Birch")</f>
        <v>Bw Birch</v>
      </c>
      <c r="BA341" s="786"/>
      <c r="BB341" s="787"/>
      <c r="BC341" s="798"/>
      <c r="BD341" s="787"/>
      <c r="BE341" s="52"/>
      <c r="BF341" s="52"/>
      <c r="BG341" s="787"/>
      <c r="BH341" s="787"/>
      <c r="BI341" s="787"/>
      <c r="BJ341" s="787"/>
    </row>
    <row r="342">
      <c r="B342" s="734"/>
      <c r="C342" s="868"/>
      <c r="D342" s="734"/>
      <c r="E342" s="734"/>
      <c r="F342" s="740" t="s">
        <v>71</v>
      </c>
      <c r="G342" s="820">
        <v>2026.0</v>
      </c>
      <c r="H342" s="821">
        <v>86665.0</v>
      </c>
      <c r="I342" s="777" t="str">
        <f>VLOOKUP(F342,'2) Tracker'!$A$2:$BO$360,9,FALSE)</f>
        <v>AltaGas</v>
      </c>
      <c r="J342" s="770" t="str">
        <f>VLOOKUP(F342,'2) Tracker'!$A$2:$BO$360,12,FALSE)</f>
        <v/>
      </c>
      <c r="K342" s="771"/>
      <c r="L342" s="771"/>
      <c r="M342" s="771"/>
      <c r="N342" s="771" t="str">
        <f t="shared" ref="N342:O342" si="390">AG342</f>
        <v/>
      </c>
      <c r="O342" s="772" t="str">
        <f t="shared" si="390"/>
        <v/>
      </c>
      <c r="P342" s="773" t="str">
        <f>iferror(if(vlookup(F335,'Voyage days'!$M$808:$N$819,2,false),"GOA",""),"")</f>
        <v>GOA</v>
      </c>
      <c r="Q342" s="772" t="str">
        <f t="shared" si="81"/>
        <v/>
      </c>
      <c r="R342" s="771" t="str">
        <f t="shared" si="83"/>
        <v/>
      </c>
      <c r="S342" s="774" t="str">
        <f t="shared" si="5"/>
        <v/>
      </c>
      <c r="T342" s="774" t="str">
        <f t="shared" si="6"/>
        <v/>
      </c>
      <c r="U342" s="771" t="str">
        <f t="shared" si="84"/>
        <v/>
      </c>
      <c r="V342" s="771"/>
      <c r="W342" s="771" t="str">
        <f t="shared" si="85"/>
        <v/>
      </c>
      <c r="X342" s="775" t="str">
        <f t="shared" si="9"/>
        <v/>
      </c>
      <c r="Y342" s="776"/>
      <c r="Z342" s="777" t="str">
        <f>vlookup(F342,'2) Tracker'!$A$3:$Q$504,16,false)</f>
        <v>New Build @ Japan</v>
      </c>
      <c r="AA342" s="777" t="str">
        <f>vlookup(F342,'2) Tracker'!$A$3:$R$504,18,false)</f>
        <v/>
      </c>
      <c r="AB342" s="777" t="str">
        <f>vlookup(F342,'2) Tracker'!$A$3:$Q$504,17,false)</f>
        <v/>
      </c>
      <c r="AC342" s="778"/>
      <c r="AD342" s="778" t="str">
        <f>VLOOKUP(F342,'2) Tracker'!$A$2:$BO$980,37,FALSE)</f>
        <v/>
      </c>
      <c r="AE342" s="778" t="str">
        <f>VLOOKUP(F342,'2) Tracker'!$A$2:$BO$980,40,FALSE)</f>
        <v/>
      </c>
      <c r="AF342" s="778" t="str">
        <f>VLOOKUP(F342,'2) Tracker'!$A$2:$BO$980,67,FALSE)</f>
        <v/>
      </c>
      <c r="AG342" s="778" t="str">
        <f>VLOOKUP(F342,'2) Tracker'!$A$2:$BO$980,34,FALSE)</f>
        <v/>
      </c>
      <c r="AH342" s="778" t="str">
        <f>VLOOKUP(F342,'2) Tracker'!$A$2:$BN$980,66,FALSE)</f>
        <v/>
      </c>
      <c r="AI342" s="778" t="str">
        <f>VLOOKUP(F342,'2) Tracker'!$A$2:$BO$980,56,FALSE)</f>
        <v/>
      </c>
      <c r="AJ342" s="778" t="str">
        <f>VLOOKUP(F342,'2) Tracker'!$A$2:$BO$980,52,FALSE)</f>
        <v/>
      </c>
      <c r="AK342" s="778" t="str">
        <f>VLOOKUP(F342,'2) Tracker'!$A$2:$AQ$980,43,FALSE)</f>
        <v/>
      </c>
      <c r="AL342" s="778" t="str">
        <f>VLOOKUP(F342,'2) Tracker'!$A$2:$BH$980,46,FALSE())</f>
        <v/>
      </c>
      <c r="AM342" s="778" t="str">
        <f>VLOOKUP(F342,'2) Tracker'!$A$2:$BO$980,65,FALSE())</f>
        <v/>
      </c>
      <c r="AN342" s="778" t="str">
        <f>VLOOKUP(F342,'2) Tracker'!$A$2:$BK$980,63,FALSE())</f>
        <v/>
      </c>
      <c r="AO342" s="778" t="str">
        <f>VLOOKUP(F342,'2) Tracker'!$A$2:$BF$980,58,FALSE())</f>
        <v/>
      </c>
      <c r="AP342" s="52"/>
      <c r="AQ342" s="52"/>
      <c r="AR342" s="52"/>
      <c r="AS342" s="52"/>
      <c r="AT342" s="52"/>
      <c r="AU342" s="52"/>
      <c r="AV342" s="51"/>
      <c r="AW342" s="52"/>
      <c r="AX342" s="52"/>
      <c r="AY342" s="52"/>
      <c r="AZ342" s="787" t="str">
        <f>IFERROR(__xludf.DUMMYFUNCTION("""COMPUTED_VALUE"""),"Bw Chinook")</f>
        <v>Bw Chinook</v>
      </c>
      <c r="BA342" s="786"/>
      <c r="BB342" s="787"/>
      <c r="BC342" s="798"/>
      <c r="BD342" s="787"/>
      <c r="BE342" s="52"/>
      <c r="BF342" s="52"/>
      <c r="BG342" s="787"/>
      <c r="BH342" s="787"/>
      <c r="BI342" s="787"/>
      <c r="BJ342" s="787"/>
    </row>
    <row r="343">
      <c r="B343" s="734" t="str">
        <f>vlookup(#REF!,'2) Tracker'!$A$3:$O$410,5,false)</f>
        <v>#REF!</v>
      </c>
      <c r="C343" s="868" t="str">
        <f>vlookup(#REF!,'2) Tracker'!$A$3:$O$410,4,false)</f>
        <v>#REF!</v>
      </c>
      <c r="D343" s="734"/>
      <c r="E343" s="734"/>
      <c r="F343" s="788" t="s">
        <v>1034</v>
      </c>
      <c r="G343" s="789">
        <f>VLOOKUP(F343,'2) Tracker'!$A$2:$BO$360,2,FALSE)</f>
        <v>2026</v>
      </c>
      <c r="H343" s="768">
        <f>VLOOKUP(F343,'2) Tracker'!$A$2:$BO$360,3,FALSE)</f>
        <v>93000</v>
      </c>
      <c r="I343" s="777" t="str">
        <f>VLOOKUP(F343,'2) Tracker'!$A$2:$BO$360,9,FALSE)</f>
        <v>Naftomar&gt; </v>
      </c>
      <c r="J343" s="770" t="str">
        <f>VLOOKUP(F343,'2) Tracker'!$A$2:$BO$360,12,FALSE)</f>
        <v>Cape laden</v>
      </c>
      <c r="K343" s="771" t="str">
        <f t="shared" ref="K343:O343" si="391">AD343</f>
        <v/>
      </c>
      <c r="L343" s="771" t="str">
        <f t="shared" si="391"/>
        <v/>
      </c>
      <c r="M343" s="771" t="str">
        <f t="shared" si="391"/>
        <v/>
      </c>
      <c r="N343" s="771" t="str">
        <f t="shared" si="391"/>
        <v/>
      </c>
      <c r="O343" s="772" t="str">
        <f t="shared" si="391"/>
        <v/>
      </c>
      <c r="P343" s="773" t="str">
        <f>iferror(if(vlookup(F343,'Voyage days'!$M$808:$N$819,2,false),"GOA",""),"")</f>
        <v/>
      </c>
      <c r="Q343" s="771" t="str">
        <f t="shared" si="81"/>
        <v/>
      </c>
      <c r="R343" s="771" t="str">
        <f t="shared" si="83"/>
        <v/>
      </c>
      <c r="S343" s="774" t="str">
        <f t="shared" si="5"/>
        <v/>
      </c>
      <c r="T343" s="771" t="str">
        <f t="shared" si="6"/>
        <v/>
      </c>
      <c r="U343" s="771" t="str">
        <f t="shared" si="84"/>
        <v/>
      </c>
      <c r="V343" s="771"/>
      <c r="W343" s="771" t="str">
        <f t="shared" si="85"/>
        <v/>
      </c>
      <c r="X343" s="775" t="str">
        <f t="shared" si="9"/>
        <v/>
      </c>
      <c r="Y343" s="776"/>
      <c r="Z343" s="777" t="str">
        <f>vlookup(F343,'2) Tracker'!$A$3:$Q$504,16,false)</f>
        <v>ETA Cape Town 02 May, for orders</v>
      </c>
      <c r="AA343" s="777" t="str">
        <f>vlookup(F343,'2) Tracker'!$A$3:$R$504,18,false)</f>
        <v>? 07 Apr Enterprise</v>
      </c>
      <c r="AB343" s="777" t="str">
        <f>vlookup(F343,'2) Tracker'!$A$3:$Q$504,17,false)</f>
        <v/>
      </c>
      <c r="AC343" s="778"/>
      <c r="AD343" s="778" t="str">
        <f>VLOOKUP(F343,'2) Tracker'!$A$2:$BO$980,37,FALSE)</f>
        <v/>
      </c>
      <c r="AE343" s="778" t="str">
        <f>VLOOKUP(F343,'2) Tracker'!$A$2:$BO$980,40,FALSE)</f>
        <v/>
      </c>
      <c r="AF343" s="778" t="str">
        <f>VLOOKUP(F343,'2) Tracker'!$A$2:$BO$980,67,FALSE)</f>
        <v/>
      </c>
      <c r="AG343" s="778" t="str">
        <f>VLOOKUP(F343,'2) Tracker'!$A$2:$BO$980,34,FALSE)</f>
        <v/>
      </c>
      <c r="AH343" s="778" t="str">
        <f>VLOOKUP(F343,'2) Tracker'!$A$2:$BN$980,66,FALSE)</f>
        <v/>
      </c>
      <c r="AI343" s="778" t="str">
        <f>VLOOKUP(F343,'2) Tracker'!$A$2:$BO$980,56,FALSE)</f>
        <v/>
      </c>
      <c r="AJ343" s="778" t="str">
        <f>VLOOKUP(F343,'2) Tracker'!$A$2:$BO$980,52,FALSE)</f>
        <v/>
      </c>
      <c r="AK343" s="778" t="str">
        <f>VLOOKUP(F343,'2) Tracker'!$A$2:$AQ$980,43,FALSE)</f>
        <v/>
      </c>
      <c r="AL343" s="778" t="str">
        <f>VLOOKUP(F343,'2) Tracker'!$A$2:$BH$980,46,FALSE())</f>
        <v/>
      </c>
      <c r="AM343" s="778" t="str">
        <f>VLOOKUP(F343,'2) Tracker'!$A$2:$BO$980,65,FALSE())</f>
        <v/>
      </c>
      <c r="AN343" s="778" t="str">
        <f>VLOOKUP(F343,'2) Tracker'!$A$2:$BK$980,63,FALSE())</f>
        <v/>
      </c>
      <c r="AO343" s="778" t="str">
        <f>VLOOKUP(F343,'2) Tracker'!$A$2:$BF$980,58,FALSE())</f>
        <v/>
      </c>
      <c r="AP343" s="52"/>
      <c r="AQ343" s="52"/>
      <c r="AR343" s="52"/>
      <c r="AS343" s="52"/>
      <c r="AT343" s="52"/>
      <c r="AU343" s="52"/>
      <c r="AV343" s="51" t="s">
        <v>1628</v>
      </c>
      <c r="AW343" s="52"/>
      <c r="AX343" s="52"/>
      <c r="AY343" s="52"/>
      <c r="AZ343" s="787" t="str">
        <f>IFERROR(__xludf.DUMMYFUNCTION("""COMPUTED_VALUE"""),"Bw Oak")</f>
        <v>Bw Oak</v>
      </c>
      <c r="BA343" s="823">
        <f>vlookup(AZ343,'Iran, FS'!$A$1:$B$318,2, false)</f>
        <v>39448</v>
      </c>
      <c r="BB343" s="867">
        <f>vlookup(AZ343,'1) Kpler'!$E$2:$F$500,2,false)</f>
        <v>82291</v>
      </c>
      <c r="BC343" s="798" t="s">
        <v>1534</v>
      </c>
      <c r="BD343" s="787"/>
      <c r="BE343" s="52"/>
      <c r="BF343" s="52"/>
      <c r="BG343" s="787"/>
      <c r="BH343" s="787"/>
      <c r="BI343" s="787"/>
      <c r="BJ343" s="787"/>
    </row>
    <row r="344">
      <c r="B344" s="734"/>
      <c r="C344" s="868"/>
      <c r="D344" s="734"/>
      <c r="E344" s="734" t="str">
        <f>vlookup(F343,'2) Tracker'!$A$3:$O$406,15,false)</f>
        <v/>
      </c>
      <c r="F344" s="797" t="s">
        <v>365</v>
      </c>
      <c r="G344" s="783">
        <f>VLOOKUP(F344,'2) Tracker'!$A$2:$BO$360,2,FALSE)</f>
        <v>42291</v>
      </c>
      <c r="H344" s="768">
        <f>VLOOKUP(F344,'2) Tracker'!$A$2:$BO$360,3,FALSE)</f>
        <v>80000</v>
      </c>
      <c r="I344" s="769" t="str">
        <f>VLOOKUP(F344,'2) Tracker'!$A$2:$BO$360,9,FALSE)</f>
        <v>Chevron</v>
      </c>
      <c r="J344" s="770" t="str">
        <f>VLOOKUP(F344,'2) Tracker'!$A$2:$BO$360,12,FALSE)</f>
        <v>loads USG</v>
      </c>
      <c r="K344" s="771" t="str">
        <f t="shared" ref="K344:O344" si="392">AD344</f>
        <v/>
      </c>
      <c r="L344" s="771" t="str">
        <f t="shared" si="392"/>
        <v/>
      </c>
      <c r="M344" s="771" t="str">
        <f t="shared" si="392"/>
        <v/>
      </c>
      <c r="N344" s="772" t="str">
        <f t="shared" si="392"/>
        <v/>
      </c>
      <c r="O344" s="772" t="str">
        <f t="shared" si="392"/>
        <v/>
      </c>
      <c r="P344" s="773" t="str">
        <f>iferror(if(vlookup(F344,'Voyage days'!$M$808:$N$821,2,false),"GOA",""),"")</f>
        <v/>
      </c>
      <c r="Q344" s="771" t="str">
        <f t="shared" si="81"/>
        <v/>
      </c>
      <c r="R344" s="771" t="str">
        <f t="shared" si="83"/>
        <v/>
      </c>
      <c r="S344" s="774" t="str">
        <f t="shared" si="5"/>
        <v/>
      </c>
      <c r="T344" s="774" t="str">
        <f t="shared" si="6"/>
        <v/>
      </c>
      <c r="U344" s="771" t="str">
        <f t="shared" si="84"/>
        <v/>
      </c>
      <c r="V344" s="771"/>
      <c r="W344" s="771" t="str">
        <f t="shared" si="85"/>
        <v/>
      </c>
      <c r="X344" s="775" t="str">
        <f t="shared" si="9"/>
        <v/>
      </c>
      <c r="Y344" s="871"/>
      <c r="AP344" s="52"/>
      <c r="AQ344" s="52"/>
      <c r="AR344" s="52"/>
      <c r="AS344" s="52"/>
      <c r="AT344" s="52"/>
      <c r="AU344" s="52"/>
      <c r="AV344" s="52"/>
      <c r="AW344" s="52"/>
      <c r="AX344" s="52"/>
      <c r="AY344" s="52"/>
      <c r="AZ344" s="787" t="str">
        <f>IFERROR(__xludf.DUMMYFUNCTION("""COMPUTED_VALUE"""),"Bw Tyr")</f>
        <v>Bw Tyr</v>
      </c>
      <c r="BA344" s="786"/>
      <c r="BB344" s="787"/>
      <c r="BC344" s="788"/>
      <c r="BD344" s="787"/>
      <c r="BE344" s="52"/>
      <c r="BF344" s="52"/>
      <c r="BG344" s="787"/>
      <c r="BH344" s="787"/>
      <c r="BI344" s="787"/>
      <c r="BJ344" s="787"/>
    </row>
    <row r="345">
      <c r="B345" s="740"/>
      <c r="C345" s="868" t="str">
        <f>vlookup(F344,'2) Tracker'!$A$3:$O$410,4,false)</f>
        <v>US</v>
      </c>
      <c r="D345" s="732" t="s">
        <v>1515</v>
      </c>
      <c r="E345" s="734" t="str">
        <f>vlookup(F344,'2) Tracker'!$A$3:$O$406,15,false)</f>
        <v/>
      </c>
      <c r="F345" s="740"/>
      <c r="G345" s="734"/>
      <c r="H345" s="734"/>
      <c r="I345" s="777"/>
      <c r="J345" s="740"/>
      <c r="K345" s="734"/>
      <c r="L345" s="734"/>
      <c r="M345" s="734"/>
      <c r="N345" s="734"/>
      <c r="O345" s="734"/>
      <c r="P345" s="734"/>
      <c r="Q345" s="734"/>
      <c r="R345" s="734"/>
      <c r="S345" s="734"/>
      <c r="T345" s="734"/>
      <c r="U345" s="734"/>
      <c r="V345" s="734"/>
      <c r="W345" s="734"/>
      <c r="X345" s="735"/>
      <c r="Y345" s="811"/>
      <c r="Z345" s="811"/>
      <c r="AA345" s="734"/>
      <c r="AB345" s="811"/>
      <c r="AC345" s="740"/>
      <c r="AD345" s="734"/>
      <c r="AE345" s="734"/>
      <c r="AF345" s="734"/>
      <c r="AG345" s="734"/>
      <c r="AH345" s="734"/>
      <c r="AI345" s="734"/>
      <c r="AJ345" s="787"/>
      <c r="AK345" s="734"/>
      <c r="AL345" s="734"/>
      <c r="AM345" s="734"/>
      <c r="AN345" s="734"/>
      <c r="AO345" s="734"/>
      <c r="AP345" s="52"/>
      <c r="AQ345" s="52"/>
      <c r="AR345" s="52"/>
      <c r="AS345" s="52"/>
      <c r="AT345" s="52"/>
      <c r="AU345" s="52"/>
      <c r="AV345" s="52"/>
      <c r="AW345" s="52"/>
      <c r="AX345" s="52"/>
      <c r="AY345" s="52"/>
      <c r="AZ345" s="734" t="str">
        <f>IFERROR(__xludf.DUMMYFUNCTION("""COMPUTED_VALUE"""),"Celeste")</f>
        <v>Celeste</v>
      </c>
      <c r="BA345" s="740"/>
      <c r="BB345" s="734"/>
      <c r="BC345" s="740"/>
      <c r="BD345" s="734"/>
      <c r="BE345" s="52"/>
      <c r="BF345" s="52"/>
      <c r="BG345" s="734"/>
      <c r="BH345" s="734"/>
      <c r="BI345" s="734"/>
      <c r="BJ345" s="734"/>
    </row>
    <row r="346">
      <c r="B346" s="740"/>
      <c r="C346" s="869"/>
      <c r="D346" s="734"/>
      <c r="E346" s="734"/>
      <c r="F346" s="740"/>
      <c r="G346" s="734"/>
      <c r="H346" s="734"/>
      <c r="I346" s="777"/>
      <c r="J346" s="740"/>
      <c r="K346" s="734"/>
      <c r="L346" s="734"/>
      <c r="M346" s="734"/>
      <c r="N346" s="734"/>
      <c r="O346" s="734"/>
      <c r="P346" s="734"/>
      <c r="Q346" s="734"/>
      <c r="R346" s="734"/>
      <c r="S346" s="734"/>
      <c r="T346" s="734"/>
      <c r="U346" s="734"/>
      <c r="V346" s="734"/>
      <c r="W346" s="734"/>
      <c r="X346" s="735"/>
      <c r="Y346" s="811"/>
      <c r="Z346" s="811"/>
      <c r="AA346" s="734"/>
      <c r="AB346" s="811"/>
      <c r="AC346" s="740"/>
      <c r="AD346" s="734"/>
      <c r="AE346" s="734"/>
      <c r="AF346" s="734"/>
      <c r="AG346" s="734"/>
      <c r="AH346" s="734"/>
      <c r="AI346" s="734"/>
      <c r="AJ346" s="787"/>
      <c r="AK346" s="734"/>
      <c r="AL346" s="734"/>
      <c r="AM346" s="734"/>
      <c r="AN346" s="734"/>
      <c r="AO346" s="734"/>
      <c r="AP346" s="52"/>
      <c r="AQ346" s="52"/>
      <c r="AR346" s="52"/>
      <c r="AS346" s="52"/>
      <c r="AT346" s="52"/>
      <c r="AU346" s="52"/>
      <c r="AV346" s="52"/>
      <c r="AW346" s="52"/>
      <c r="AX346" s="52"/>
      <c r="AY346" s="52"/>
      <c r="AZ346" s="734" t="str">
        <f>IFERROR(__xludf.DUMMYFUNCTION("""COMPUTED_VALUE"""),"Clipper Galiot")</f>
        <v>Clipper Galiot</v>
      </c>
      <c r="BA346" s="740"/>
      <c r="BB346" s="734"/>
      <c r="BC346" s="740"/>
      <c r="BD346" s="734"/>
      <c r="BE346" s="52"/>
      <c r="BF346" s="52"/>
      <c r="BG346" s="734"/>
      <c r="BH346" s="734"/>
      <c r="BI346" s="734"/>
      <c r="BJ346" s="734"/>
    </row>
    <row r="347">
      <c r="B347" s="740"/>
      <c r="C347" s="869"/>
      <c r="D347" s="734"/>
      <c r="E347" s="734"/>
      <c r="F347" s="740"/>
      <c r="G347" s="734"/>
      <c r="H347" s="734"/>
      <c r="I347" s="777"/>
      <c r="J347" s="740"/>
      <c r="K347" s="734"/>
      <c r="L347" s="734"/>
      <c r="M347" s="734"/>
      <c r="N347" s="734"/>
      <c r="O347" s="734"/>
      <c r="P347" s="872"/>
      <c r="Q347" s="734"/>
      <c r="R347" s="734"/>
      <c r="S347" s="734"/>
      <c r="T347" s="734"/>
      <c r="U347" s="734"/>
      <c r="V347" s="734"/>
      <c r="W347" s="734"/>
      <c r="X347" s="735"/>
      <c r="Y347" s="811"/>
      <c r="Z347" s="811"/>
      <c r="AA347" s="734"/>
      <c r="AB347" s="811"/>
      <c r="AC347" s="740"/>
      <c r="AD347" s="734"/>
      <c r="AE347" s="734"/>
      <c r="AF347" s="734"/>
      <c r="AG347" s="734"/>
      <c r="AH347" s="734"/>
      <c r="AI347" s="734"/>
      <c r="AJ347" s="787"/>
      <c r="AK347" s="734"/>
      <c r="AL347" s="734"/>
      <c r="AM347" s="734"/>
      <c r="AN347" s="734"/>
      <c r="AO347" s="734"/>
      <c r="AP347" s="52"/>
      <c r="AQ347" s="52"/>
      <c r="AR347" s="52"/>
      <c r="AS347" s="52"/>
      <c r="AT347" s="52"/>
      <c r="AU347" s="52"/>
      <c r="AV347" s="52"/>
      <c r="AW347" s="52"/>
      <c r="AX347" s="52"/>
      <c r="AY347" s="52"/>
      <c r="AZ347" s="734" t="str">
        <f>IFERROR(__xludf.DUMMYFUNCTION("""COMPUTED_VALUE"""),"Clipper Galleon")</f>
        <v>Clipper Galleon</v>
      </c>
      <c r="BA347" s="740"/>
      <c r="BB347" s="734"/>
      <c r="BC347" s="740"/>
      <c r="BD347" s="734"/>
      <c r="BE347" s="52"/>
      <c r="BF347" s="52"/>
      <c r="BG347" s="734"/>
      <c r="BH347" s="734"/>
      <c r="BI347" s="734"/>
      <c r="BJ347" s="734"/>
    </row>
    <row r="348">
      <c r="B348" s="740"/>
      <c r="C348" s="869"/>
      <c r="D348" s="734"/>
      <c r="E348" s="734"/>
      <c r="F348" s="740"/>
      <c r="G348" s="734"/>
      <c r="H348" s="734"/>
      <c r="I348" s="777"/>
      <c r="J348" s="740"/>
      <c r="K348" s="734"/>
      <c r="L348" s="734"/>
      <c r="M348" s="734"/>
      <c r="N348" s="734"/>
      <c r="O348" s="734"/>
      <c r="P348" s="872"/>
      <c r="Q348" s="734"/>
      <c r="R348" s="734"/>
      <c r="S348" s="734"/>
      <c r="T348" s="734"/>
      <c r="U348" s="734"/>
      <c r="V348" s="734"/>
      <c r="W348" s="734"/>
      <c r="X348" s="735"/>
      <c r="Y348" s="811"/>
      <c r="Z348" s="811"/>
      <c r="AA348" s="734"/>
      <c r="AB348" s="811"/>
      <c r="AC348" s="740"/>
      <c r="AD348" s="734"/>
      <c r="AE348" s="734"/>
      <c r="AF348" s="734"/>
      <c r="AG348" s="734"/>
      <c r="AH348" s="734"/>
      <c r="AI348" s="734"/>
      <c r="AJ348" s="787"/>
      <c r="AK348" s="734"/>
      <c r="AL348" s="734"/>
      <c r="AM348" s="734"/>
      <c r="AN348" s="734"/>
      <c r="AO348" s="734"/>
      <c r="AP348" s="52"/>
      <c r="AQ348" s="52"/>
      <c r="AR348" s="52"/>
      <c r="AS348" s="52"/>
      <c r="AT348" s="52"/>
      <c r="AU348" s="52"/>
      <c r="AV348" s="52"/>
      <c r="AW348" s="52"/>
      <c r="AX348" s="52"/>
      <c r="AY348" s="52"/>
      <c r="AZ348" s="734" t="str">
        <f>IFERROR(__xludf.DUMMYFUNCTION("""COMPUTED_VALUE"""),"Clipper Gannet")</f>
        <v>Clipper Gannet</v>
      </c>
      <c r="BA348" s="740"/>
      <c r="BB348" s="734"/>
      <c r="BC348" s="740"/>
      <c r="BD348" s="734"/>
      <c r="BE348" s="52"/>
      <c r="BF348" s="52"/>
      <c r="BG348" s="734"/>
      <c r="BH348" s="734"/>
      <c r="BI348" s="734"/>
      <c r="BJ348" s="734"/>
    </row>
    <row r="349">
      <c r="B349" s="740"/>
      <c r="C349" s="869"/>
      <c r="D349" s="734"/>
      <c r="E349" s="734"/>
      <c r="F349" s="740"/>
      <c r="G349" s="734"/>
      <c r="H349" s="734"/>
      <c r="I349" s="777"/>
      <c r="J349" s="740"/>
      <c r="K349" s="734"/>
      <c r="L349" s="734"/>
      <c r="M349" s="734"/>
      <c r="N349" s="734"/>
      <c r="O349" s="734"/>
      <c r="P349" s="734"/>
      <c r="Q349" s="734"/>
      <c r="R349" s="734"/>
      <c r="S349" s="734"/>
      <c r="T349" s="734"/>
      <c r="U349" s="734"/>
      <c r="V349" s="734"/>
      <c r="W349" s="734"/>
      <c r="X349" s="735"/>
      <c r="Y349" s="811"/>
      <c r="Z349" s="811"/>
      <c r="AA349" s="734"/>
      <c r="AB349" s="811"/>
      <c r="AC349" s="740"/>
      <c r="AD349" s="734"/>
      <c r="AE349" s="734"/>
      <c r="AF349" s="734"/>
      <c r="AG349" s="734"/>
      <c r="AH349" s="734"/>
      <c r="AI349" s="734"/>
      <c r="AJ349" s="787"/>
      <c r="AK349" s="734"/>
      <c r="AL349" s="734"/>
      <c r="AM349" s="734"/>
      <c r="AN349" s="734"/>
      <c r="AO349" s="734"/>
      <c r="AP349" s="52"/>
      <c r="AQ349" s="52"/>
      <c r="AR349" s="52"/>
      <c r="AS349" s="52"/>
      <c r="AT349" s="52"/>
      <c r="AU349" s="52"/>
      <c r="AV349" s="52"/>
      <c r="AW349" s="52"/>
      <c r="AX349" s="52"/>
      <c r="AY349" s="52"/>
      <c r="AZ349" s="734" t="str">
        <f>IFERROR(__xludf.DUMMYFUNCTION("""COMPUTED_VALUE"""),"Clipper Genesis")</f>
        <v>Clipper Genesis</v>
      </c>
      <c r="BA349" s="740"/>
      <c r="BB349" s="734"/>
      <c r="BC349" s="740"/>
      <c r="BD349" s="734"/>
      <c r="BE349" s="52"/>
      <c r="BF349" s="52"/>
      <c r="BG349" s="734"/>
      <c r="BH349" s="734"/>
      <c r="BI349" s="734"/>
      <c r="BJ349" s="734"/>
    </row>
    <row r="350">
      <c r="B350" s="740"/>
      <c r="C350" s="869"/>
      <c r="D350" s="734"/>
      <c r="E350" s="734"/>
      <c r="F350" s="819"/>
      <c r="G350" s="734"/>
      <c r="H350" s="734"/>
      <c r="I350" s="777"/>
      <c r="J350" s="740"/>
      <c r="K350" s="734"/>
      <c r="L350" s="734"/>
      <c r="M350" s="734"/>
      <c r="N350" s="734"/>
      <c r="O350" s="734"/>
      <c r="P350" s="734"/>
      <c r="Q350" s="734"/>
      <c r="R350" s="734"/>
      <c r="S350" s="734"/>
      <c r="T350" s="734"/>
      <c r="U350" s="734"/>
      <c r="V350" s="734"/>
      <c r="W350" s="734"/>
      <c r="X350" s="735"/>
      <c r="Y350" s="811"/>
      <c r="Z350" s="811"/>
      <c r="AA350" s="734"/>
      <c r="AB350" s="811"/>
      <c r="AC350" s="740"/>
      <c r="AD350" s="734"/>
      <c r="AE350" s="734"/>
      <c r="AF350" s="734"/>
      <c r="AG350" s="734"/>
      <c r="AH350" s="734"/>
      <c r="AI350" s="734"/>
      <c r="AJ350" s="787"/>
      <c r="AK350" s="734"/>
      <c r="AL350" s="734"/>
      <c r="AM350" s="734"/>
      <c r="AN350" s="734"/>
      <c r="AO350" s="734"/>
      <c r="AP350" s="52"/>
      <c r="AQ350" s="52"/>
      <c r="AR350" s="52"/>
      <c r="AS350" s="52"/>
      <c r="AT350" s="52"/>
      <c r="AU350" s="52"/>
      <c r="AV350" s="52"/>
      <c r="AW350" s="52"/>
      <c r="AX350" s="52"/>
      <c r="AY350" s="52"/>
      <c r="AZ350" s="734" t="str">
        <f>IFERROR(__xludf.DUMMYFUNCTION("""COMPUTED_VALUE"""),"Clipper Geneva")</f>
        <v>Clipper Geneva</v>
      </c>
      <c r="BA350" s="740"/>
      <c r="BB350" s="734"/>
      <c r="BC350" s="740"/>
      <c r="BD350" s="734"/>
      <c r="BE350" s="52"/>
      <c r="BF350" s="52"/>
      <c r="BG350" s="734"/>
      <c r="BH350" s="734"/>
      <c r="BI350" s="734"/>
      <c r="BJ350" s="734"/>
    </row>
    <row r="351">
      <c r="B351" s="740"/>
      <c r="C351" s="869"/>
      <c r="D351" s="734"/>
      <c r="E351" s="734"/>
      <c r="F351" s="819"/>
      <c r="G351" s="734"/>
      <c r="H351" s="734"/>
      <c r="I351" s="777"/>
      <c r="J351" s="740"/>
      <c r="K351" s="734"/>
      <c r="L351" s="734"/>
      <c r="M351" s="734"/>
      <c r="N351" s="734"/>
      <c r="O351" s="734"/>
      <c r="P351" s="734"/>
      <c r="Q351" s="734"/>
      <c r="R351" s="734"/>
      <c r="S351" s="734"/>
      <c r="T351" s="734"/>
      <c r="U351" s="734"/>
      <c r="V351" s="734"/>
      <c r="W351" s="734"/>
      <c r="X351" s="735"/>
      <c r="Y351" s="811"/>
      <c r="Z351" s="811"/>
      <c r="AA351" s="734"/>
      <c r="AB351" s="811"/>
      <c r="AC351" s="740"/>
      <c r="AD351" s="734"/>
      <c r="AE351" s="734"/>
      <c r="AF351" s="734"/>
      <c r="AG351" s="734"/>
      <c r="AH351" s="734"/>
      <c r="AI351" s="734"/>
      <c r="AJ351" s="787"/>
      <c r="AK351" s="734"/>
      <c r="AL351" s="734"/>
      <c r="AM351" s="734"/>
      <c r="AN351" s="734"/>
      <c r="AO351" s="734"/>
      <c r="AP351" s="52"/>
      <c r="AQ351" s="52"/>
      <c r="AR351" s="52"/>
      <c r="AS351" s="52"/>
      <c r="AT351" s="52"/>
      <c r="AU351" s="52"/>
      <c r="AV351" s="52"/>
      <c r="AW351" s="52"/>
      <c r="AX351" s="52"/>
      <c r="AY351" s="52"/>
      <c r="AZ351" s="734" t="str">
        <f>IFERROR(__xludf.DUMMYFUNCTION("""COMPUTED_VALUE"""),"Clipper Grace")</f>
        <v>Clipper Grace</v>
      </c>
      <c r="BA351" s="740"/>
      <c r="BB351" s="734"/>
      <c r="BC351" s="740"/>
      <c r="BD351" s="734"/>
      <c r="BE351" s="52"/>
      <c r="BF351" s="52"/>
      <c r="BG351" s="734"/>
      <c r="BH351" s="734"/>
      <c r="BI351" s="734"/>
      <c r="BJ351" s="734"/>
    </row>
    <row r="352">
      <c r="B352" s="740"/>
      <c r="C352" s="869"/>
      <c r="D352" s="734"/>
      <c r="E352" s="734"/>
      <c r="F352" s="819"/>
      <c r="G352" s="734"/>
      <c r="H352" s="734"/>
      <c r="I352" s="777"/>
      <c r="J352" s="740"/>
      <c r="K352" s="734"/>
      <c r="L352" s="734"/>
      <c r="M352" s="734"/>
      <c r="N352" s="734"/>
      <c r="O352" s="734"/>
      <c r="P352" s="734"/>
      <c r="Q352" s="734"/>
      <c r="R352" s="734"/>
      <c r="S352" s="734"/>
      <c r="T352" s="734"/>
      <c r="U352" s="734"/>
      <c r="V352" s="734"/>
      <c r="W352" s="734"/>
      <c r="X352" s="735"/>
      <c r="Y352" s="811"/>
      <c r="Z352" s="811"/>
      <c r="AA352" s="734"/>
      <c r="AB352" s="811"/>
      <c r="AC352" s="740"/>
      <c r="AD352" s="734"/>
      <c r="AE352" s="734"/>
      <c r="AF352" s="734"/>
      <c r="AG352" s="734"/>
      <c r="AH352" s="734"/>
      <c r="AI352" s="734"/>
      <c r="AJ352" s="787"/>
      <c r="AK352" s="734"/>
      <c r="AL352" s="734"/>
      <c r="AM352" s="734"/>
      <c r="AN352" s="734"/>
      <c r="AO352" s="734"/>
      <c r="AP352" s="52"/>
      <c r="AQ352" s="52"/>
      <c r="AR352" s="52"/>
      <c r="AS352" s="52"/>
      <c r="AT352" s="52"/>
      <c r="AU352" s="52"/>
      <c r="AV352" s="52"/>
      <c r="AW352" s="52"/>
      <c r="AX352" s="52"/>
      <c r="AY352" s="52"/>
      <c r="AZ352" s="734" t="str">
        <f>IFERROR(__xludf.DUMMYFUNCTION("""COMPUTED_VALUE"""),"Clipper Guardian")</f>
        <v>Clipper Guardian</v>
      </c>
      <c r="BA352" s="740"/>
      <c r="BB352" s="734"/>
      <c r="BC352" s="740"/>
      <c r="BD352" s="734"/>
      <c r="BE352" s="52"/>
      <c r="BF352" s="52"/>
      <c r="BG352" s="734"/>
      <c r="BH352" s="734"/>
      <c r="BI352" s="734"/>
      <c r="BJ352" s="734"/>
    </row>
    <row r="353">
      <c r="B353" s="740"/>
      <c r="C353" s="869"/>
      <c r="D353" s="734"/>
      <c r="E353" s="734"/>
      <c r="F353" s="819"/>
      <c r="G353" s="734"/>
      <c r="H353" s="734"/>
      <c r="I353" s="777"/>
      <c r="J353" s="740"/>
      <c r="K353" s="734"/>
      <c r="L353" s="734"/>
      <c r="M353" s="734"/>
      <c r="N353" s="734"/>
      <c r="O353" s="734"/>
      <c r="P353" s="734"/>
      <c r="Q353" s="734"/>
      <c r="R353" s="734"/>
      <c r="S353" s="734"/>
      <c r="T353" s="734"/>
      <c r="U353" s="734"/>
      <c r="V353" s="734"/>
      <c r="W353" s="734"/>
      <c r="X353" s="735"/>
      <c r="Y353" s="811"/>
      <c r="Z353" s="811"/>
      <c r="AA353" s="734"/>
      <c r="AB353" s="811"/>
      <c r="AC353" s="740"/>
      <c r="AD353" s="734"/>
      <c r="AE353" s="734"/>
      <c r="AF353" s="734"/>
      <c r="AG353" s="734"/>
      <c r="AH353" s="734"/>
      <c r="AI353" s="734"/>
      <c r="AJ353" s="787"/>
      <c r="AK353" s="734"/>
      <c r="AL353" s="734"/>
      <c r="AM353" s="734"/>
      <c r="AN353" s="734"/>
      <c r="AO353" s="734"/>
      <c r="AP353" s="52"/>
      <c r="AQ353" s="52"/>
      <c r="AR353" s="52"/>
      <c r="AS353" s="52"/>
      <c r="AT353" s="52"/>
      <c r="AU353" s="52"/>
      <c r="AV353" s="52"/>
      <c r="AW353" s="52"/>
      <c r="AX353" s="52"/>
      <c r="AY353" s="52"/>
      <c r="AZ353" s="734" t="str">
        <f>IFERROR(__xludf.DUMMYFUNCTION("""COMPUTED_VALUE"""),"Da Li")</f>
        <v>Da Li</v>
      </c>
      <c r="BA353" s="740"/>
      <c r="BB353" s="734"/>
      <c r="BC353" s="740"/>
      <c r="BD353" s="734"/>
      <c r="BE353" s="52"/>
      <c r="BF353" s="52"/>
      <c r="BG353" s="734"/>
      <c r="BH353" s="734"/>
      <c r="BI353" s="734"/>
      <c r="BJ353" s="734"/>
    </row>
    <row r="354">
      <c r="B354" s="740"/>
      <c r="C354" s="869"/>
      <c r="D354" s="734"/>
      <c r="E354" s="734"/>
      <c r="F354" s="819"/>
      <c r="G354" s="734"/>
      <c r="H354" s="734"/>
      <c r="I354" s="777"/>
      <c r="J354" s="740"/>
      <c r="K354" s="873"/>
      <c r="L354" s="734"/>
      <c r="M354" s="734"/>
      <c r="N354" s="734"/>
      <c r="O354" s="734"/>
      <c r="P354" s="734"/>
      <c r="Q354" s="734"/>
      <c r="R354" s="734"/>
      <c r="S354" s="734"/>
      <c r="T354" s="734"/>
      <c r="U354" s="734"/>
      <c r="V354" s="734"/>
      <c r="W354" s="734"/>
      <c r="X354" s="735"/>
      <c r="Y354" s="811"/>
      <c r="Z354" s="811"/>
      <c r="AA354" s="734"/>
      <c r="AB354" s="811"/>
      <c r="AC354" s="740"/>
      <c r="AD354" s="734"/>
      <c r="AE354" s="734"/>
      <c r="AF354" s="734"/>
      <c r="AG354" s="734"/>
      <c r="AH354" s="734"/>
      <c r="AI354" s="734"/>
      <c r="AJ354" s="787"/>
      <c r="AK354" s="734"/>
      <c r="AL354" s="734"/>
      <c r="AM354" s="734"/>
      <c r="AN354" s="734"/>
      <c r="AO354" s="734"/>
      <c r="AP354" s="52"/>
      <c r="AQ354" s="52"/>
      <c r="AR354" s="52"/>
      <c r="AS354" s="52"/>
      <c r="AT354" s="52"/>
      <c r="AU354" s="52"/>
      <c r="AV354" s="52"/>
      <c r="AW354" s="52"/>
      <c r="AX354" s="52"/>
      <c r="AY354" s="52"/>
      <c r="AZ354" s="734" t="str">
        <f>IFERROR(__xludf.DUMMYFUNCTION("""COMPUTED_VALUE"""),"Danisa")</f>
        <v>Danisa</v>
      </c>
      <c r="BA354" s="740"/>
      <c r="BB354" s="734"/>
      <c r="BC354" s="740"/>
      <c r="BD354" s="734"/>
      <c r="BE354" s="52"/>
      <c r="BF354" s="52"/>
      <c r="BG354" s="734"/>
      <c r="BH354" s="734"/>
      <c r="BI354" s="734"/>
      <c r="BJ354" s="734"/>
    </row>
    <row r="355">
      <c r="B355" s="740"/>
      <c r="C355" s="869"/>
      <c r="D355" s="734"/>
      <c r="E355" s="734"/>
      <c r="F355" s="819"/>
      <c r="G355" s="734"/>
      <c r="H355" s="734"/>
      <c r="I355" s="777"/>
      <c r="J355" s="740"/>
      <c r="K355" s="734"/>
      <c r="L355" s="734"/>
      <c r="M355" s="734"/>
      <c r="N355" s="734"/>
      <c r="O355" s="734"/>
      <c r="P355" s="734"/>
      <c r="Q355" s="734"/>
      <c r="R355" s="734"/>
      <c r="S355" s="734"/>
      <c r="T355" s="734"/>
      <c r="U355" s="734"/>
      <c r="V355" s="734"/>
      <c r="W355" s="734"/>
      <c r="X355" s="735"/>
      <c r="Y355" s="811"/>
      <c r="Z355" s="811"/>
      <c r="AA355" s="734"/>
      <c r="AB355" s="811"/>
      <c r="AC355" s="740"/>
      <c r="AD355" s="734"/>
      <c r="AE355" s="734"/>
      <c r="AF355" s="734"/>
      <c r="AG355" s="734"/>
      <c r="AH355" s="734"/>
      <c r="AI355" s="734"/>
      <c r="AJ355" s="787"/>
      <c r="AK355" s="734"/>
      <c r="AL355" s="734"/>
      <c r="AM355" s="734"/>
      <c r="AN355" s="734"/>
      <c r="AO355" s="734"/>
      <c r="AP355" s="52"/>
      <c r="AQ355" s="52"/>
      <c r="AR355" s="52"/>
      <c r="AS355" s="52"/>
      <c r="AT355" s="52"/>
      <c r="AU355" s="52"/>
      <c r="AV355" s="52"/>
      <c r="AW355" s="52"/>
      <c r="AX355" s="52"/>
      <c r="AY355" s="52"/>
      <c r="AZ355" s="734" t="str">
        <f>IFERROR(__xludf.DUMMYFUNCTION("""COMPUTED_VALUE"""),"Danuta I")</f>
        <v>Danuta I</v>
      </c>
      <c r="BA355" s="740"/>
      <c r="BB355" s="734"/>
      <c r="BC355" s="740"/>
      <c r="BD355" s="734"/>
      <c r="BE355" s="52"/>
      <c r="BF355" s="52"/>
      <c r="BG355" s="734"/>
      <c r="BH355" s="734"/>
      <c r="BI355" s="734"/>
      <c r="BJ355" s="734"/>
    </row>
    <row r="356">
      <c r="B356" s="740"/>
      <c r="C356" s="869"/>
      <c r="D356" s="734"/>
      <c r="E356" s="734"/>
      <c r="F356" s="740"/>
      <c r="G356" s="734"/>
      <c r="H356" s="734"/>
      <c r="I356" s="777"/>
      <c r="J356" s="740"/>
      <c r="K356" s="734"/>
      <c r="L356" s="734"/>
      <c r="M356" s="734"/>
      <c r="N356" s="734"/>
      <c r="O356" s="734"/>
      <c r="P356" s="734"/>
      <c r="Q356" s="734"/>
      <c r="R356" s="734"/>
      <c r="S356" s="734"/>
      <c r="T356" s="734"/>
      <c r="U356" s="734"/>
      <c r="V356" s="734"/>
      <c r="W356" s="734"/>
      <c r="X356" s="735"/>
      <c r="Y356" s="811"/>
      <c r="Z356" s="811"/>
      <c r="AA356" s="734"/>
      <c r="AB356" s="811"/>
      <c r="AC356" s="740"/>
      <c r="AD356" s="734"/>
      <c r="AE356" s="734"/>
      <c r="AF356" s="734"/>
      <c r="AG356" s="734"/>
      <c r="AH356" s="734"/>
      <c r="AI356" s="734"/>
      <c r="AJ356" s="787"/>
      <c r="AK356" s="734"/>
      <c r="AL356" s="734"/>
      <c r="AM356" s="734"/>
      <c r="AN356" s="734"/>
      <c r="AO356" s="734"/>
      <c r="AP356" s="52"/>
      <c r="AQ356" s="52"/>
      <c r="AR356" s="52"/>
      <c r="AS356" s="52"/>
      <c r="AT356" s="52"/>
      <c r="AU356" s="52"/>
      <c r="AV356" s="52"/>
      <c r="AW356" s="52"/>
      <c r="AX356" s="52"/>
      <c r="AY356" s="52"/>
      <c r="AZ356" s="734" t="str">
        <f>IFERROR(__xludf.DUMMYFUNCTION("""COMPUTED_VALUE"""),"Double In")</f>
        <v>Double In</v>
      </c>
      <c r="BA356" s="740"/>
      <c r="BB356" s="734"/>
      <c r="BC356" s="740"/>
      <c r="BD356" s="734"/>
      <c r="BE356" s="52"/>
      <c r="BF356" s="52"/>
      <c r="BG356" s="734"/>
      <c r="BH356" s="734"/>
      <c r="BI356" s="734"/>
      <c r="BJ356" s="734"/>
    </row>
    <row r="357">
      <c r="B357" s="740"/>
      <c r="C357" s="869"/>
      <c r="D357" s="734"/>
      <c r="E357" s="734"/>
      <c r="F357" s="740"/>
      <c r="G357" s="734"/>
      <c r="H357" s="734"/>
      <c r="I357" s="777"/>
      <c r="J357" s="740"/>
      <c r="K357" s="734"/>
      <c r="L357" s="734"/>
      <c r="M357" s="734"/>
      <c r="N357" s="734"/>
      <c r="O357" s="734"/>
      <c r="P357" s="734"/>
      <c r="Q357" s="734"/>
      <c r="R357" s="734"/>
      <c r="S357" s="734"/>
      <c r="T357" s="734"/>
      <c r="U357" s="734"/>
      <c r="V357" s="734"/>
      <c r="W357" s="734"/>
      <c r="X357" s="735"/>
      <c r="Y357" s="811"/>
      <c r="Z357" s="811"/>
      <c r="AA357" s="734"/>
      <c r="AB357" s="811"/>
      <c r="AC357" s="740"/>
      <c r="AD357" s="734"/>
      <c r="AE357" s="734"/>
      <c r="AF357" s="734"/>
      <c r="AG357" s="734"/>
      <c r="AH357" s="734"/>
      <c r="AI357" s="734"/>
      <c r="AJ357" s="787"/>
      <c r="AK357" s="734"/>
      <c r="AL357" s="734"/>
      <c r="AM357" s="734"/>
      <c r="AN357" s="734"/>
      <c r="AO357" s="734"/>
      <c r="AP357" s="52"/>
      <c r="AQ357" s="52"/>
      <c r="AR357" s="52"/>
      <c r="AS357" s="52"/>
      <c r="AT357" s="52"/>
      <c r="AU357" s="52"/>
      <c r="AV357" s="52"/>
      <c r="AW357" s="52"/>
      <c r="AX357" s="52"/>
      <c r="AY357" s="52"/>
      <c r="AZ357" s="734" t="str">
        <f>IFERROR(__xludf.DUMMYFUNCTION("""COMPUTED_VALUE"""),"Elly")</f>
        <v>Elly</v>
      </c>
      <c r="BA357" s="740"/>
      <c r="BB357" s="734"/>
      <c r="BC357" s="740"/>
      <c r="BD357" s="734"/>
      <c r="BE357" s="52"/>
      <c r="BF357" s="52"/>
      <c r="BG357" s="734"/>
      <c r="BH357" s="734"/>
      <c r="BI357" s="734"/>
      <c r="BJ357" s="734"/>
    </row>
    <row r="358">
      <c r="B358" s="740"/>
      <c r="C358" s="869"/>
      <c r="D358" s="734"/>
      <c r="E358" s="734"/>
      <c r="F358" s="740"/>
      <c r="G358" s="734"/>
      <c r="H358" s="734"/>
      <c r="I358" s="777"/>
      <c r="J358" s="740"/>
      <c r="K358" s="734"/>
      <c r="L358" s="734"/>
      <c r="M358" s="734"/>
      <c r="N358" s="734"/>
      <c r="O358" s="734"/>
      <c r="P358" s="734"/>
      <c r="Q358" s="734"/>
      <c r="R358" s="734"/>
      <c r="S358" s="734"/>
      <c r="T358" s="734"/>
      <c r="U358" s="734"/>
      <c r="V358" s="734"/>
      <c r="W358" s="734"/>
      <c r="X358" s="735"/>
      <c r="Y358" s="811"/>
      <c r="Z358" s="811"/>
      <c r="AA358" s="734"/>
      <c r="AB358" s="811"/>
      <c r="AC358" s="740"/>
      <c r="AD358" s="734"/>
      <c r="AE358" s="734"/>
      <c r="AF358" s="734"/>
      <c r="AG358" s="734"/>
      <c r="AH358" s="734"/>
      <c r="AI358" s="734"/>
      <c r="AJ358" s="787"/>
      <c r="AK358" s="734"/>
      <c r="AL358" s="734"/>
      <c r="AM358" s="734"/>
      <c r="AN358" s="734"/>
      <c r="AO358" s="734"/>
      <c r="AP358" s="52"/>
      <c r="AQ358" s="52"/>
      <c r="AR358" s="52"/>
      <c r="AS358" s="52"/>
      <c r="AT358" s="52"/>
      <c r="AU358" s="52"/>
      <c r="AV358" s="52"/>
      <c r="AW358" s="52"/>
      <c r="AX358" s="52"/>
      <c r="AY358" s="52"/>
      <c r="AZ358" s="734" t="str">
        <f>IFERROR(__xludf.DUMMYFUNCTION("""COMPUTED_VALUE"""),"Energia Soleil")</f>
        <v>Energia Soleil</v>
      </c>
      <c r="BA358" s="740"/>
      <c r="BB358" s="734"/>
      <c r="BC358" s="740"/>
      <c r="BD358" s="734"/>
      <c r="BE358" s="52"/>
      <c r="BF358" s="52"/>
      <c r="BG358" s="734"/>
      <c r="BH358" s="734"/>
      <c r="BI358" s="734"/>
      <c r="BJ358" s="734"/>
    </row>
    <row r="359">
      <c r="B359" s="740"/>
      <c r="C359" s="869"/>
      <c r="D359" s="734"/>
      <c r="E359" s="734"/>
      <c r="F359" s="740"/>
      <c r="G359" s="734"/>
      <c r="H359" s="734"/>
      <c r="I359" s="777"/>
      <c r="J359" s="740"/>
      <c r="K359" s="734"/>
      <c r="L359" s="734"/>
      <c r="M359" s="734"/>
      <c r="N359" s="734"/>
      <c r="O359" s="734"/>
      <c r="P359" s="734"/>
      <c r="Q359" s="734"/>
      <c r="R359" s="734"/>
      <c r="S359" s="734"/>
      <c r="T359" s="734"/>
      <c r="U359" s="734"/>
      <c r="V359" s="734"/>
      <c r="W359" s="734"/>
      <c r="X359" s="735"/>
      <c r="Y359" s="811"/>
      <c r="Z359" s="811"/>
      <c r="AA359" s="734"/>
      <c r="AB359" s="811"/>
      <c r="AC359" s="740"/>
      <c r="AD359" s="734"/>
      <c r="AE359" s="734"/>
      <c r="AF359" s="734"/>
      <c r="AG359" s="734"/>
      <c r="AH359" s="734"/>
      <c r="AI359" s="734"/>
      <c r="AJ359" s="787"/>
      <c r="AK359" s="734"/>
      <c r="AL359" s="734"/>
      <c r="AM359" s="734"/>
      <c r="AN359" s="734"/>
      <c r="AO359" s="734"/>
      <c r="AP359" s="52"/>
      <c r="AQ359" s="52"/>
      <c r="AR359" s="52"/>
      <c r="AS359" s="52"/>
      <c r="AT359" s="52"/>
      <c r="AU359" s="52"/>
      <c r="AV359" s="52"/>
      <c r="AW359" s="52"/>
      <c r="AX359" s="52"/>
      <c r="AY359" s="52"/>
      <c r="AZ359" s="734" t="str">
        <f>IFERROR(__xludf.DUMMYFUNCTION("""COMPUTED_VALUE"""),"Exonave")</f>
        <v>Exonave</v>
      </c>
      <c r="BA359" s="740"/>
      <c r="BB359" s="734"/>
      <c r="BC359" s="740"/>
      <c r="BD359" s="734"/>
      <c r="BE359" s="52"/>
      <c r="BF359" s="52"/>
      <c r="BG359" s="734"/>
      <c r="BH359" s="734"/>
      <c r="BI359" s="734"/>
      <c r="BJ359" s="734"/>
    </row>
    <row r="360">
      <c r="B360" s="740"/>
      <c r="C360" s="869"/>
      <c r="D360" s="734"/>
      <c r="E360" s="734"/>
      <c r="F360" s="740"/>
      <c r="G360" s="734"/>
      <c r="H360" s="734"/>
      <c r="I360" s="777"/>
      <c r="J360" s="740"/>
      <c r="K360" s="734"/>
      <c r="L360" s="734"/>
      <c r="M360" s="734"/>
      <c r="N360" s="734"/>
      <c r="O360" s="734"/>
      <c r="P360" s="734"/>
      <c r="Q360" s="734"/>
      <c r="R360" s="734"/>
      <c r="S360" s="734"/>
      <c r="T360" s="734"/>
      <c r="U360" s="734"/>
      <c r="V360" s="734"/>
      <c r="W360" s="734"/>
      <c r="X360" s="735"/>
      <c r="Y360" s="811"/>
      <c r="Z360" s="811"/>
      <c r="AA360" s="734"/>
      <c r="AB360" s="811"/>
      <c r="AC360" s="740"/>
      <c r="AD360" s="734"/>
      <c r="AE360" s="734"/>
      <c r="AF360" s="734"/>
      <c r="AG360" s="734"/>
      <c r="AH360" s="734"/>
      <c r="AI360" s="734"/>
      <c r="AJ360" s="787"/>
      <c r="AK360" s="734"/>
      <c r="AL360" s="734"/>
      <c r="AM360" s="734"/>
      <c r="AN360" s="734"/>
      <c r="AO360" s="734"/>
      <c r="AP360" s="52"/>
      <c r="AQ360" s="52"/>
      <c r="AR360" s="52"/>
      <c r="AS360" s="52"/>
      <c r="AT360" s="52"/>
      <c r="AU360" s="52"/>
      <c r="AV360" s="52"/>
      <c r="AW360" s="52"/>
      <c r="AX360" s="52"/>
      <c r="AY360" s="52"/>
      <c r="AZ360" s="734" t="str">
        <f>IFERROR(__xludf.DUMMYFUNCTION("""COMPUTED_VALUE"""),"Fas Gas")</f>
        <v>Fas Gas</v>
      </c>
      <c r="BA360" s="740"/>
      <c r="BB360" s="734"/>
      <c r="BC360" s="740"/>
      <c r="BD360" s="734"/>
      <c r="BE360" s="52"/>
      <c r="BF360" s="52"/>
      <c r="BG360" s="734"/>
      <c r="BH360" s="734"/>
      <c r="BI360" s="734"/>
      <c r="BJ360" s="734"/>
    </row>
    <row r="361">
      <c r="B361" s="740"/>
      <c r="C361" s="869"/>
      <c r="D361" s="734"/>
      <c r="E361" s="734"/>
      <c r="F361" s="740"/>
      <c r="G361" s="734"/>
      <c r="H361" s="734"/>
      <c r="I361" s="777"/>
      <c r="J361" s="740"/>
      <c r="K361" s="734"/>
      <c r="L361" s="734"/>
      <c r="M361" s="734"/>
      <c r="N361" s="734"/>
      <c r="O361" s="734"/>
      <c r="P361" s="734"/>
      <c r="Q361" s="734"/>
      <c r="R361" s="734"/>
      <c r="S361" s="734"/>
      <c r="T361" s="734"/>
      <c r="U361" s="734"/>
      <c r="V361" s="734"/>
      <c r="W361" s="734"/>
      <c r="X361" s="735"/>
      <c r="Y361" s="811"/>
      <c r="Z361" s="811"/>
      <c r="AA361" s="734"/>
      <c r="AB361" s="811"/>
      <c r="AC361" s="740"/>
      <c r="AD361" s="734"/>
      <c r="AE361" s="734"/>
      <c r="AF361" s="734"/>
      <c r="AG361" s="734"/>
      <c r="AH361" s="734"/>
      <c r="AI361" s="734"/>
      <c r="AJ361" s="787"/>
      <c r="AK361" s="734"/>
      <c r="AL361" s="734"/>
      <c r="AM361" s="734"/>
      <c r="AN361" s="734"/>
      <c r="AO361" s="734"/>
      <c r="AP361" s="52"/>
      <c r="AQ361" s="52"/>
      <c r="AR361" s="52"/>
      <c r="AS361" s="52"/>
      <c r="AT361" s="52"/>
      <c r="AU361" s="52"/>
      <c r="AV361" s="52"/>
      <c r="AW361" s="52"/>
      <c r="AX361" s="52"/>
      <c r="AY361" s="52"/>
      <c r="AZ361" s="734" t="str">
        <f>IFERROR(__xludf.DUMMYFUNCTION("""COMPUTED_VALUE"""),"Fogas")</f>
        <v>Fogas</v>
      </c>
      <c r="BA361" s="740"/>
      <c r="BB361" s="734"/>
      <c r="BC361" s="740"/>
      <c r="BD361" s="734"/>
      <c r="BE361" s="52"/>
      <c r="BF361" s="52"/>
      <c r="BG361" s="734"/>
      <c r="BH361" s="734"/>
      <c r="BI361" s="734"/>
      <c r="BJ361" s="734"/>
    </row>
    <row r="362">
      <c r="B362" s="740"/>
      <c r="C362" s="869"/>
      <c r="D362" s="734"/>
      <c r="E362" s="734"/>
      <c r="F362" s="740"/>
      <c r="G362" s="734"/>
      <c r="H362" s="734"/>
      <c r="I362" s="777"/>
      <c r="J362" s="740"/>
      <c r="K362" s="734"/>
      <c r="L362" s="734"/>
      <c r="M362" s="734"/>
      <c r="N362" s="734"/>
      <c r="O362" s="734"/>
      <c r="P362" s="734"/>
      <c r="Q362" s="734"/>
      <c r="R362" s="734"/>
      <c r="S362" s="734"/>
      <c r="T362" s="734"/>
      <c r="U362" s="734"/>
      <c r="V362" s="734"/>
      <c r="W362" s="734"/>
      <c r="X362" s="735"/>
      <c r="Y362" s="811"/>
      <c r="Z362" s="811"/>
      <c r="AA362" s="734"/>
      <c r="AB362" s="811"/>
      <c r="AC362" s="740"/>
      <c r="AD362" s="734"/>
      <c r="AE362" s="734"/>
      <c r="AF362" s="734"/>
      <c r="AG362" s="734"/>
      <c r="AH362" s="734"/>
      <c r="AI362" s="734"/>
      <c r="AJ362" s="787"/>
      <c r="AK362" s="734"/>
      <c r="AL362" s="734"/>
      <c r="AM362" s="734"/>
      <c r="AN362" s="734"/>
      <c r="AO362" s="734"/>
      <c r="AP362" s="52"/>
      <c r="AQ362" s="52"/>
      <c r="AR362" s="52"/>
      <c r="AS362" s="52"/>
      <c r="AT362" s="52"/>
      <c r="AU362" s="52"/>
      <c r="AV362" s="52"/>
      <c r="AW362" s="52"/>
      <c r="AX362" s="52"/>
      <c r="AY362" s="52"/>
      <c r="AZ362" s="734" t="str">
        <f>IFERROR(__xludf.DUMMYFUNCTION("""COMPUTED_VALUE"""),"Fotis")</f>
        <v>Fotis</v>
      </c>
      <c r="BA362" s="740"/>
      <c r="BB362" s="734"/>
      <c r="BC362" s="740"/>
      <c r="BD362" s="734"/>
      <c r="BE362" s="52"/>
      <c r="BF362" s="52"/>
      <c r="BG362" s="734"/>
      <c r="BH362" s="734"/>
      <c r="BI362" s="734"/>
      <c r="BJ362" s="734"/>
    </row>
    <row r="363">
      <c r="B363" s="740"/>
      <c r="C363" s="869"/>
      <c r="D363" s="734"/>
      <c r="E363" s="734"/>
      <c r="F363" s="740"/>
      <c r="G363" s="734"/>
      <c r="H363" s="734"/>
      <c r="I363" s="777"/>
      <c r="J363" s="740"/>
      <c r="K363" s="734"/>
      <c r="L363" s="734"/>
      <c r="M363" s="734"/>
      <c r="N363" s="734"/>
      <c r="O363" s="734"/>
      <c r="P363" s="734"/>
      <c r="Q363" s="734"/>
      <c r="R363" s="734"/>
      <c r="S363" s="734"/>
      <c r="T363" s="734"/>
      <c r="U363" s="734"/>
      <c r="V363" s="734"/>
      <c r="W363" s="734"/>
      <c r="X363" s="735"/>
      <c r="Y363" s="811"/>
      <c r="Z363" s="811"/>
      <c r="AA363" s="734"/>
      <c r="AB363" s="811"/>
      <c r="AC363" s="740"/>
      <c r="AD363" s="734"/>
      <c r="AE363" s="734"/>
      <c r="AF363" s="734"/>
      <c r="AG363" s="734"/>
      <c r="AH363" s="734"/>
      <c r="AI363" s="734"/>
      <c r="AJ363" s="787"/>
      <c r="AK363" s="734"/>
      <c r="AL363" s="734"/>
      <c r="AM363" s="734"/>
      <c r="AN363" s="734"/>
      <c r="AO363" s="734"/>
      <c r="AP363" s="52"/>
      <c r="AQ363" s="52"/>
      <c r="AR363" s="52"/>
      <c r="AS363" s="52"/>
      <c r="AT363" s="52"/>
      <c r="AU363" s="52"/>
      <c r="AV363" s="52"/>
      <c r="AW363" s="52"/>
      <c r="AX363" s="52"/>
      <c r="AY363" s="52"/>
      <c r="AZ363" s="734" t="str">
        <f>IFERROR(__xludf.DUMMYFUNCTION("""COMPUTED_VALUE"""),"Future Japan")</f>
        <v>Future Japan</v>
      </c>
      <c r="BA363" s="740"/>
      <c r="BB363" s="734"/>
      <c r="BC363" s="740"/>
      <c r="BD363" s="734"/>
      <c r="BE363" s="52"/>
      <c r="BF363" s="52"/>
      <c r="BG363" s="734"/>
      <c r="BH363" s="734"/>
      <c r="BI363" s="734"/>
      <c r="BJ363" s="734"/>
    </row>
    <row r="364">
      <c r="B364" s="740"/>
      <c r="C364" s="869"/>
      <c r="D364" s="734"/>
      <c r="E364" s="734"/>
      <c r="F364" s="740"/>
      <c r="G364" s="734"/>
      <c r="H364" s="734"/>
      <c r="I364" s="777"/>
      <c r="J364" s="740"/>
      <c r="K364" s="734"/>
      <c r="L364" s="734"/>
      <c r="M364" s="734"/>
      <c r="N364" s="734"/>
      <c r="O364" s="734"/>
      <c r="P364" s="734"/>
      <c r="Q364" s="734"/>
      <c r="R364" s="734"/>
      <c r="S364" s="734"/>
      <c r="T364" s="734"/>
      <c r="U364" s="734"/>
      <c r="V364" s="734"/>
      <c r="W364" s="734"/>
      <c r="X364" s="735"/>
      <c r="Y364" s="811"/>
      <c r="Z364" s="811"/>
      <c r="AA364" s="734"/>
      <c r="AB364" s="811"/>
      <c r="AC364" s="740"/>
      <c r="AD364" s="734"/>
      <c r="AE364" s="734"/>
      <c r="AF364" s="734"/>
      <c r="AG364" s="734"/>
      <c r="AH364" s="734"/>
      <c r="AI364" s="734"/>
      <c r="AJ364" s="787"/>
      <c r="AK364" s="734"/>
      <c r="AL364" s="734"/>
      <c r="AM364" s="734"/>
      <c r="AN364" s="734"/>
      <c r="AO364" s="734"/>
      <c r="AP364" s="52"/>
      <c r="AQ364" s="52"/>
      <c r="AR364" s="52"/>
      <c r="AS364" s="52"/>
      <c r="AT364" s="52"/>
      <c r="AU364" s="52"/>
      <c r="AV364" s="52"/>
      <c r="AW364" s="52"/>
      <c r="AX364" s="52"/>
      <c r="AY364" s="52"/>
      <c r="AZ364" s="734" t="str">
        <f>IFERROR(__xludf.DUMMYFUNCTION("""COMPUTED_VALUE"""),"Gafus")</f>
        <v>Gafus</v>
      </c>
      <c r="BA364" s="740"/>
      <c r="BB364" s="734"/>
      <c r="BC364" s="740"/>
      <c r="BD364" s="734"/>
      <c r="BE364" s="52"/>
      <c r="BF364" s="52"/>
      <c r="BG364" s="734"/>
      <c r="BH364" s="734"/>
      <c r="BI364" s="734"/>
      <c r="BJ364" s="734"/>
    </row>
    <row r="365">
      <c r="B365" s="740"/>
      <c r="C365" s="869"/>
      <c r="D365" s="734"/>
      <c r="E365" s="734"/>
      <c r="F365" s="740"/>
      <c r="G365" s="734"/>
      <c r="H365" s="734"/>
      <c r="I365" s="777"/>
      <c r="J365" s="740"/>
      <c r="K365" s="734"/>
      <c r="L365" s="734"/>
      <c r="M365" s="734"/>
      <c r="N365" s="734"/>
      <c r="O365" s="734"/>
      <c r="P365" s="734"/>
      <c r="Q365" s="734"/>
      <c r="R365" s="734"/>
      <c r="S365" s="734"/>
      <c r="T365" s="734"/>
      <c r="U365" s="734"/>
      <c r="V365" s="734"/>
      <c r="W365" s="734"/>
      <c r="X365" s="735"/>
      <c r="Y365" s="811"/>
      <c r="Z365" s="811"/>
      <c r="AA365" s="734"/>
      <c r="AB365" s="811"/>
      <c r="AC365" s="740"/>
      <c r="AD365" s="734"/>
      <c r="AE365" s="734"/>
      <c r="AF365" s="734"/>
      <c r="AG365" s="734"/>
      <c r="AH365" s="734"/>
      <c r="AI365" s="734"/>
      <c r="AJ365" s="787"/>
      <c r="AK365" s="734"/>
      <c r="AL365" s="734"/>
      <c r="AM365" s="734"/>
      <c r="AN365" s="734"/>
      <c r="AO365" s="734"/>
      <c r="AP365" s="52"/>
      <c r="AQ365" s="52"/>
      <c r="AR365" s="52"/>
      <c r="AS365" s="52"/>
      <c r="AT365" s="52"/>
      <c r="AU365" s="52"/>
      <c r="AV365" s="52"/>
      <c r="AW365" s="52"/>
      <c r="AX365" s="52"/>
      <c r="AY365" s="52"/>
      <c r="AZ365" s="734" t="str">
        <f>IFERROR(__xludf.DUMMYFUNCTION("""COMPUTED_VALUE"""),"Galvin")</f>
        <v>Galvin</v>
      </c>
      <c r="BA365" s="740"/>
      <c r="BB365" s="734"/>
      <c r="BC365" s="740"/>
      <c r="BD365" s="734"/>
      <c r="BE365" s="52"/>
      <c r="BF365" s="52"/>
      <c r="BG365" s="734"/>
      <c r="BH365" s="734"/>
      <c r="BI365" s="734"/>
      <c r="BJ365" s="734"/>
    </row>
    <row r="366">
      <c r="B366" s="740"/>
      <c r="C366" s="869"/>
      <c r="D366" s="734"/>
      <c r="E366" s="734"/>
      <c r="F366" s="740"/>
      <c r="G366" s="734"/>
      <c r="H366" s="734"/>
      <c r="I366" s="777"/>
      <c r="J366" s="740"/>
      <c r="K366" s="734"/>
      <c r="L366" s="734"/>
      <c r="M366" s="734"/>
      <c r="N366" s="734"/>
      <c r="O366" s="734"/>
      <c r="P366" s="734"/>
      <c r="Q366" s="734"/>
      <c r="R366" s="734"/>
      <c r="S366" s="734"/>
      <c r="T366" s="734"/>
      <c r="U366" s="734"/>
      <c r="V366" s="734"/>
      <c r="W366" s="734"/>
      <c r="X366" s="735"/>
      <c r="Y366" s="811"/>
      <c r="Z366" s="811"/>
      <c r="AA366" s="734"/>
      <c r="AB366" s="811"/>
      <c r="AC366" s="740"/>
      <c r="AD366" s="734"/>
      <c r="AE366" s="734"/>
      <c r="AF366" s="734"/>
      <c r="AG366" s="734"/>
      <c r="AH366" s="734"/>
      <c r="AI366" s="734"/>
      <c r="AJ366" s="787"/>
      <c r="AK366" s="734"/>
      <c r="AL366" s="734"/>
      <c r="AM366" s="734"/>
      <c r="AN366" s="734"/>
      <c r="AO366" s="734"/>
      <c r="AP366" s="52"/>
      <c r="AQ366" s="52"/>
      <c r="AR366" s="52"/>
      <c r="AS366" s="52"/>
      <c r="AT366" s="52"/>
      <c r="AU366" s="52"/>
      <c r="AV366" s="52"/>
      <c r="AW366" s="52"/>
      <c r="AX366" s="52"/>
      <c r="AY366" s="52"/>
      <c r="AZ366" s="734" t="str">
        <f>IFERROR(__xludf.DUMMYFUNCTION("""COMPUTED_VALUE"""),"Gardian")</f>
        <v>Gardian</v>
      </c>
      <c r="BA366" s="740"/>
      <c r="BB366" s="734"/>
      <c r="BC366" s="740"/>
      <c r="BD366" s="734"/>
      <c r="BE366" s="52"/>
      <c r="BF366" s="52"/>
      <c r="BG366" s="734"/>
      <c r="BH366" s="734"/>
      <c r="BI366" s="734"/>
      <c r="BJ366" s="734"/>
    </row>
    <row r="367">
      <c r="B367" s="740"/>
      <c r="C367" s="869"/>
      <c r="D367" s="734"/>
      <c r="E367" s="734"/>
      <c r="F367" s="740"/>
      <c r="G367" s="734"/>
      <c r="H367" s="734"/>
      <c r="I367" s="777"/>
      <c r="J367" s="740"/>
      <c r="K367" s="734"/>
      <c r="L367" s="734"/>
      <c r="M367" s="734"/>
      <c r="N367" s="734"/>
      <c r="O367" s="734"/>
      <c r="P367" s="734"/>
      <c r="Q367" s="734"/>
      <c r="R367" s="734"/>
      <c r="S367" s="734"/>
      <c r="T367" s="734"/>
      <c r="U367" s="734"/>
      <c r="V367" s="734"/>
      <c r="W367" s="734"/>
      <c r="X367" s="735"/>
      <c r="Y367" s="811"/>
      <c r="Z367" s="811"/>
      <c r="AA367" s="734"/>
      <c r="AB367" s="811"/>
      <c r="AC367" s="740"/>
      <c r="AD367" s="734"/>
      <c r="AE367" s="734"/>
      <c r="AF367" s="734"/>
      <c r="AG367" s="734"/>
      <c r="AH367" s="734"/>
      <c r="AI367" s="734"/>
      <c r="AJ367" s="787"/>
      <c r="AK367" s="734"/>
      <c r="AL367" s="734"/>
      <c r="AM367" s="734"/>
      <c r="AN367" s="734"/>
      <c r="AO367" s="734"/>
      <c r="AP367" s="52"/>
      <c r="AQ367" s="52"/>
      <c r="AR367" s="52"/>
      <c r="AS367" s="52"/>
      <c r="AT367" s="52"/>
      <c r="AU367" s="52"/>
      <c r="AV367" s="52"/>
      <c r="AW367" s="52"/>
      <c r="AX367" s="52"/>
      <c r="AY367" s="52"/>
      <c r="AZ367" s="734" t="str">
        <f>IFERROR(__xludf.DUMMYFUNCTION("""COMPUTED_VALUE"""),"Gas Concept")</f>
        <v>Gas Concept</v>
      </c>
      <c r="BA367" s="740"/>
      <c r="BB367" s="734"/>
      <c r="BC367" s="740"/>
      <c r="BD367" s="734"/>
      <c r="BE367" s="52"/>
      <c r="BF367" s="52"/>
      <c r="BG367" s="734"/>
      <c r="BH367" s="734"/>
      <c r="BI367" s="734"/>
      <c r="BJ367" s="734"/>
    </row>
    <row r="368">
      <c r="B368" s="740"/>
      <c r="C368" s="869"/>
      <c r="D368" s="734"/>
      <c r="E368" s="734"/>
      <c r="F368" s="740"/>
      <c r="G368" s="734"/>
      <c r="H368" s="734"/>
      <c r="I368" s="777"/>
      <c r="J368" s="740"/>
      <c r="K368" s="734"/>
      <c r="L368" s="734"/>
      <c r="M368" s="734"/>
      <c r="N368" s="734"/>
      <c r="O368" s="734"/>
      <c r="P368" s="734"/>
      <c r="Q368" s="734"/>
      <c r="R368" s="734"/>
      <c r="S368" s="734"/>
      <c r="T368" s="734"/>
      <c r="U368" s="734"/>
      <c r="V368" s="734"/>
      <c r="W368" s="734"/>
      <c r="X368" s="735"/>
      <c r="Y368" s="811"/>
      <c r="Z368" s="811"/>
      <c r="AA368" s="734"/>
      <c r="AB368" s="811"/>
      <c r="AC368" s="740"/>
      <c r="AD368" s="734"/>
      <c r="AE368" s="734"/>
      <c r="AF368" s="734"/>
      <c r="AG368" s="734"/>
      <c r="AH368" s="734"/>
      <c r="AI368" s="734"/>
      <c r="AJ368" s="787"/>
      <c r="AK368" s="734"/>
      <c r="AL368" s="734"/>
      <c r="AM368" s="734"/>
      <c r="AN368" s="734"/>
      <c r="AO368" s="734"/>
      <c r="AP368" s="52"/>
      <c r="AQ368" s="52"/>
      <c r="AR368" s="52"/>
      <c r="AS368" s="52"/>
      <c r="AT368" s="52"/>
      <c r="AU368" s="52"/>
      <c r="AV368" s="52"/>
      <c r="AW368" s="52"/>
      <c r="AX368" s="52"/>
      <c r="AY368" s="52"/>
      <c r="AZ368" s="734" t="str">
        <f>IFERROR(__xludf.DUMMYFUNCTION("""COMPUTED_VALUE"""),"Gas Endurance")</f>
        <v>Gas Endurance</v>
      </c>
      <c r="BA368" s="740"/>
      <c r="BB368" s="734"/>
      <c r="BC368" s="740"/>
      <c r="BD368" s="734"/>
      <c r="BE368" s="52"/>
      <c r="BF368" s="52"/>
      <c r="BG368" s="734"/>
      <c r="BH368" s="734"/>
      <c r="BI368" s="734"/>
      <c r="BJ368" s="734"/>
    </row>
    <row r="369">
      <c r="B369" s="740"/>
      <c r="C369" s="869"/>
      <c r="D369" s="734"/>
      <c r="E369" s="734"/>
      <c r="F369" s="740"/>
      <c r="G369" s="734"/>
      <c r="H369" s="734"/>
      <c r="I369" s="777"/>
      <c r="J369" s="740"/>
      <c r="K369" s="734"/>
      <c r="L369" s="734"/>
      <c r="M369" s="734"/>
      <c r="N369" s="734"/>
      <c r="O369" s="734"/>
      <c r="P369" s="734"/>
      <c r="Q369" s="734"/>
      <c r="R369" s="734"/>
      <c r="S369" s="734"/>
      <c r="T369" s="734"/>
      <c r="U369" s="734"/>
      <c r="V369" s="734"/>
      <c r="W369" s="734"/>
      <c r="X369" s="735"/>
      <c r="Y369" s="811"/>
      <c r="Z369" s="811"/>
      <c r="AA369" s="734"/>
      <c r="AB369" s="811"/>
      <c r="AC369" s="740"/>
      <c r="AD369" s="734"/>
      <c r="AE369" s="734"/>
      <c r="AF369" s="734"/>
      <c r="AG369" s="734"/>
      <c r="AH369" s="734"/>
      <c r="AI369" s="734"/>
      <c r="AJ369" s="787"/>
      <c r="AK369" s="734"/>
      <c r="AL369" s="734"/>
      <c r="AM369" s="734"/>
      <c r="AN369" s="734"/>
      <c r="AO369" s="734"/>
      <c r="AP369" s="52"/>
      <c r="AQ369" s="52"/>
      <c r="AR369" s="52"/>
      <c r="AS369" s="52"/>
      <c r="AT369" s="52"/>
      <c r="AU369" s="52"/>
      <c r="AV369" s="52"/>
      <c r="AW369" s="52"/>
      <c r="AX369" s="52"/>
      <c r="AY369" s="52"/>
      <c r="AZ369" s="734" t="str">
        <f>IFERROR(__xludf.DUMMYFUNCTION("""COMPUTED_VALUE"""),"Gas Lagoon")</f>
        <v>Gas Lagoon</v>
      </c>
      <c r="BA369" s="740"/>
      <c r="BB369" s="734"/>
      <c r="BC369" s="740"/>
      <c r="BD369" s="734"/>
      <c r="BE369" s="52"/>
      <c r="BF369" s="52"/>
      <c r="BG369" s="734"/>
      <c r="BH369" s="734"/>
      <c r="BI369" s="734"/>
      <c r="BJ369" s="734"/>
    </row>
    <row r="370">
      <c r="B370" s="740"/>
      <c r="C370" s="869"/>
      <c r="D370" s="734"/>
      <c r="E370" s="734"/>
      <c r="F370" s="740"/>
      <c r="G370" s="734"/>
      <c r="H370" s="734"/>
      <c r="I370" s="777"/>
      <c r="J370" s="740"/>
      <c r="K370" s="734"/>
      <c r="L370" s="734"/>
      <c r="M370" s="734"/>
      <c r="N370" s="734"/>
      <c r="O370" s="734"/>
      <c r="P370" s="734"/>
      <c r="Q370" s="734"/>
      <c r="R370" s="734"/>
      <c r="S370" s="734"/>
      <c r="T370" s="734"/>
      <c r="U370" s="734"/>
      <c r="V370" s="734"/>
      <c r="W370" s="734"/>
      <c r="X370" s="735"/>
      <c r="Y370" s="811"/>
      <c r="Z370" s="811"/>
      <c r="AA370" s="734"/>
      <c r="AB370" s="811"/>
      <c r="AC370" s="740"/>
      <c r="AD370" s="734"/>
      <c r="AE370" s="734"/>
      <c r="AF370" s="734"/>
      <c r="AG370" s="734"/>
      <c r="AH370" s="734"/>
      <c r="AI370" s="734"/>
      <c r="AJ370" s="787"/>
      <c r="AK370" s="734"/>
      <c r="AL370" s="734"/>
      <c r="AM370" s="734"/>
      <c r="AN370" s="734"/>
      <c r="AO370" s="734"/>
      <c r="AP370" s="52"/>
      <c r="AQ370" s="52"/>
      <c r="AR370" s="52"/>
      <c r="AS370" s="52"/>
      <c r="AT370" s="52"/>
      <c r="AU370" s="52"/>
      <c r="AV370" s="52"/>
      <c r="AW370" s="52"/>
      <c r="AX370" s="52"/>
      <c r="AY370" s="52"/>
      <c r="AZ370" s="734" t="str">
        <f>IFERROR(__xludf.DUMMYFUNCTION("""COMPUTED_VALUE"""),"Gas Marakua")</f>
        <v>Gas Marakua</v>
      </c>
      <c r="BA370" s="740"/>
      <c r="BB370" s="734"/>
      <c r="BC370" s="740"/>
      <c r="BD370" s="734"/>
      <c r="BE370" s="52"/>
      <c r="BF370" s="52"/>
      <c r="BG370" s="734"/>
      <c r="BH370" s="734"/>
      <c r="BI370" s="734"/>
      <c r="BJ370" s="734"/>
    </row>
    <row r="371">
      <c r="B371" s="740"/>
      <c r="C371" s="869"/>
      <c r="D371" s="734"/>
      <c r="E371" s="734"/>
      <c r="F371" s="740"/>
      <c r="G371" s="734"/>
      <c r="H371" s="734"/>
      <c r="I371" s="777"/>
      <c r="J371" s="740"/>
      <c r="K371" s="734"/>
      <c r="L371" s="734"/>
      <c r="M371" s="734"/>
      <c r="N371" s="734"/>
      <c r="O371" s="734"/>
      <c r="P371" s="734"/>
      <c r="Q371" s="734"/>
      <c r="R371" s="734"/>
      <c r="S371" s="734"/>
      <c r="T371" s="734"/>
      <c r="U371" s="734"/>
      <c r="V371" s="734"/>
      <c r="W371" s="734"/>
      <c r="X371" s="735"/>
      <c r="Y371" s="811"/>
      <c r="Z371" s="811"/>
      <c r="AA371" s="734"/>
      <c r="AB371" s="811"/>
      <c r="AC371" s="740"/>
      <c r="AD371" s="734"/>
      <c r="AE371" s="734"/>
      <c r="AF371" s="734"/>
      <c r="AG371" s="734"/>
      <c r="AH371" s="734"/>
      <c r="AI371" s="734"/>
      <c r="AJ371" s="787"/>
      <c r="AK371" s="734"/>
      <c r="AL371" s="734"/>
      <c r="AM371" s="734"/>
      <c r="AN371" s="734"/>
      <c r="AO371" s="734"/>
      <c r="AP371" s="52"/>
      <c r="AQ371" s="52"/>
      <c r="AR371" s="52"/>
      <c r="AS371" s="52"/>
      <c r="AT371" s="52"/>
      <c r="AU371" s="52"/>
      <c r="AV371" s="52"/>
      <c r="AW371" s="52"/>
      <c r="AX371" s="52"/>
      <c r="AY371" s="52"/>
      <c r="AZ371" s="734" t="str">
        <f>IFERROR(__xludf.DUMMYFUNCTION("""COMPUTED_VALUE"""),"Gas Strength")</f>
        <v>Gas Strength</v>
      </c>
      <c r="BA371" s="740"/>
      <c r="BB371" s="734"/>
      <c r="BC371" s="740"/>
      <c r="BD371" s="734"/>
      <c r="BE371" s="52"/>
      <c r="BF371" s="52"/>
      <c r="BG371" s="734"/>
      <c r="BH371" s="734"/>
      <c r="BI371" s="734"/>
      <c r="BJ371" s="734"/>
    </row>
    <row r="372">
      <c r="B372" s="740"/>
      <c r="C372" s="869"/>
      <c r="D372" s="734"/>
      <c r="E372" s="734"/>
      <c r="F372" s="740"/>
      <c r="G372" s="734"/>
      <c r="H372" s="734"/>
      <c r="I372" s="777"/>
      <c r="J372" s="740"/>
      <c r="K372" s="734"/>
      <c r="L372" s="734"/>
      <c r="M372" s="734"/>
      <c r="N372" s="734"/>
      <c r="O372" s="734"/>
      <c r="P372" s="734"/>
      <c r="Q372" s="734"/>
      <c r="R372" s="734"/>
      <c r="S372" s="734"/>
      <c r="T372" s="734"/>
      <c r="U372" s="734"/>
      <c r="V372" s="734"/>
      <c r="W372" s="734"/>
      <c r="X372" s="735"/>
      <c r="Y372" s="811"/>
      <c r="Z372" s="811"/>
      <c r="AA372" s="734"/>
      <c r="AB372" s="811"/>
      <c r="AC372" s="740"/>
      <c r="AD372" s="734"/>
      <c r="AE372" s="734"/>
      <c r="AF372" s="734"/>
      <c r="AG372" s="734"/>
      <c r="AH372" s="734"/>
      <c r="AI372" s="734"/>
      <c r="AJ372" s="787"/>
      <c r="AK372" s="734"/>
      <c r="AL372" s="734"/>
      <c r="AM372" s="734"/>
      <c r="AN372" s="734"/>
      <c r="AO372" s="734"/>
      <c r="AP372" s="52"/>
      <c r="AQ372" s="52"/>
      <c r="AR372" s="52"/>
      <c r="AS372" s="52"/>
      <c r="AT372" s="52"/>
      <c r="AU372" s="52"/>
      <c r="AV372" s="52"/>
      <c r="AW372" s="52"/>
      <c r="AX372" s="52"/>
      <c r="AY372" s="52"/>
      <c r="AZ372" s="734" t="str">
        <f>IFERROR(__xludf.DUMMYFUNCTION("""COMPUTED_VALUE"""),"Gas Wanaka")</f>
        <v>Gas Wanaka</v>
      </c>
      <c r="BA372" s="740"/>
      <c r="BB372" s="734"/>
      <c r="BC372" s="740"/>
      <c r="BD372" s="734"/>
      <c r="BE372" s="52"/>
      <c r="BF372" s="52"/>
      <c r="BG372" s="734"/>
      <c r="BH372" s="734"/>
      <c r="BI372" s="734"/>
      <c r="BJ372" s="734"/>
    </row>
    <row r="373">
      <c r="B373" s="740"/>
      <c r="C373" s="869"/>
      <c r="D373" s="734"/>
      <c r="E373" s="734"/>
      <c r="F373" s="740"/>
      <c r="G373" s="734"/>
      <c r="H373" s="734"/>
      <c r="I373" s="777"/>
      <c r="J373" s="740"/>
      <c r="K373" s="734"/>
      <c r="L373" s="734"/>
      <c r="M373" s="734"/>
      <c r="N373" s="734"/>
      <c r="O373" s="734"/>
      <c r="P373" s="734"/>
      <c r="Q373" s="734"/>
      <c r="R373" s="734"/>
      <c r="S373" s="734"/>
      <c r="T373" s="734"/>
      <c r="U373" s="734"/>
      <c r="V373" s="734"/>
      <c r="W373" s="734"/>
      <c r="X373" s="735"/>
      <c r="Y373" s="811"/>
      <c r="Z373" s="811"/>
      <c r="AA373" s="734"/>
      <c r="AB373" s="811"/>
      <c r="AC373" s="740"/>
      <c r="AD373" s="734"/>
      <c r="AE373" s="734"/>
      <c r="AF373" s="734"/>
      <c r="AG373" s="734"/>
      <c r="AH373" s="734"/>
      <c r="AI373" s="734"/>
      <c r="AJ373" s="787"/>
      <c r="AK373" s="734"/>
      <c r="AL373" s="734"/>
      <c r="AM373" s="734"/>
      <c r="AN373" s="734"/>
      <c r="AO373" s="734"/>
      <c r="AP373" s="52"/>
      <c r="AQ373" s="52"/>
      <c r="AR373" s="52"/>
      <c r="AS373" s="52"/>
      <c r="AT373" s="52"/>
      <c r="AU373" s="52"/>
      <c r="AV373" s="52"/>
      <c r="AW373" s="52"/>
      <c r="AX373" s="52"/>
      <c r="AY373" s="52"/>
      <c r="AZ373" s="734" t="str">
        <f>IFERROR(__xludf.DUMMYFUNCTION("""COMPUTED_VALUE"""),"Gaz Gms")</f>
        <v>Gaz Gms</v>
      </c>
      <c r="BA373" s="740"/>
      <c r="BB373" s="734"/>
      <c r="BC373" s="740"/>
      <c r="BD373" s="734"/>
      <c r="BE373" s="52"/>
      <c r="BF373" s="52"/>
      <c r="BG373" s="734"/>
      <c r="BH373" s="734"/>
      <c r="BI373" s="734"/>
      <c r="BJ373" s="734"/>
    </row>
    <row r="374">
      <c r="B374" s="740"/>
      <c r="C374" s="869"/>
      <c r="D374" s="734"/>
      <c r="E374" s="734"/>
      <c r="F374" s="874" t="s">
        <v>1503</v>
      </c>
      <c r="G374" s="734"/>
      <c r="H374" s="734"/>
      <c r="I374" s="777"/>
      <c r="J374" s="740"/>
      <c r="K374" s="734"/>
      <c r="L374" s="734"/>
      <c r="M374" s="734"/>
      <c r="N374" s="734"/>
      <c r="O374" s="734"/>
      <c r="P374" s="734"/>
      <c r="Q374" s="734"/>
      <c r="R374" s="734"/>
      <c r="S374" s="734"/>
      <c r="T374" s="734"/>
      <c r="U374" s="734"/>
      <c r="V374" s="734"/>
      <c r="W374" s="734"/>
      <c r="X374" s="735"/>
      <c r="Y374" s="811"/>
      <c r="Z374" s="811"/>
      <c r="AA374" s="734"/>
      <c r="AB374" s="811"/>
      <c r="AC374" s="740"/>
      <c r="AD374" s="734"/>
      <c r="AE374" s="734"/>
      <c r="AF374" s="734"/>
      <c r="AG374" s="734"/>
      <c r="AH374" s="734"/>
      <c r="AI374" s="734"/>
      <c r="AJ374" s="787"/>
      <c r="AK374" s="734"/>
      <c r="AL374" s="734"/>
      <c r="AM374" s="734"/>
      <c r="AN374" s="734"/>
      <c r="AO374" s="734"/>
      <c r="AP374" s="52"/>
      <c r="AQ374" s="52"/>
      <c r="AR374" s="52"/>
      <c r="AS374" s="52"/>
      <c r="AT374" s="52"/>
      <c r="AU374" s="52"/>
      <c r="AV374" s="52"/>
      <c r="AW374" s="52"/>
      <c r="AX374" s="52"/>
      <c r="AY374" s="52"/>
      <c r="AZ374" s="734" t="str">
        <f>IFERROR(__xludf.DUMMYFUNCTION("""COMPUTED_VALUE"""),"Global Vivian")</f>
        <v>Global Vivian</v>
      </c>
      <c r="BA374" s="740"/>
      <c r="BB374" s="734"/>
      <c r="BC374" s="740"/>
      <c r="BD374" s="734"/>
      <c r="BE374" s="52"/>
      <c r="BF374" s="52"/>
      <c r="BG374" s="734"/>
      <c r="BH374" s="734"/>
      <c r="BI374" s="734"/>
      <c r="BJ374" s="734"/>
    </row>
    <row r="375">
      <c r="B375" s="740"/>
      <c r="C375" s="869"/>
      <c r="D375" s="734"/>
      <c r="E375" s="734"/>
      <c r="F375" s="875" t="s">
        <v>1504</v>
      </c>
      <c r="G375" s="734"/>
      <c r="H375" s="734"/>
      <c r="I375" s="777"/>
      <c r="J375" s="740"/>
      <c r="K375" s="734"/>
      <c r="L375" s="734"/>
      <c r="M375" s="734"/>
      <c r="N375" s="734"/>
      <c r="O375" s="734"/>
      <c r="P375" s="734"/>
      <c r="Q375" s="734"/>
      <c r="R375" s="734"/>
      <c r="S375" s="734"/>
      <c r="T375" s="734"/>
      <c r="U375" s="734"/>
      <c r="V375" s="734"/>
      <c r="W375" s="734"/>
      <c r="X375" s="735"/>
      <c r="Y375" s="811"/>
      <c r="Z375" s="811"/>
      <c r="AA375" s="734"/>
      <c r="AB375" s="811"/>
      <c r="AC375" s="740"/>
      <c r="AD375" s="734"/>
      <c r="AE375" s="734"/>
      <c r="AF375" s="734"/>
      <c r="AG375" s="734"/>
      <c r="AH375" s="734"/>
      <c r="AI375" s="734"/>
      <c r="AJ375" s="787"/>
      <c r="AK375" s="734"/>
      <c r="AL375" s="734"/>
      <c r="AM375" s="734"/>
      <c r="AN375" s="734"/>
      <c r="AO375" s="734"/>
      <c r="AP375" s="52"/>
      <c r="AQ375" s="52"/>
      <c r="AR375" s="52"/>
      <c r="AS375" s="52"/>
      <c r="AT375" s="52"/>
      <c r="AU375" s="52"/>
      <c r="AV375" s="52"/>
      <c r="AW375" s="52"/>
      <c r="AX375" s="52"/>
      <c r="AY375" s="52"/>
      <c r="AZ375" s="734" t="str">
        <f>IFERROR(__xludf.DUMMYFUNCTION("""COMPUTED_VALUE"""),"Gong De Tian")</f>
        <v>Gong De Tian</v>
      </c>
      <c r="BA375" s="740"/>
      <c r="BB375" s="734"/>
      <c r="BC375" s="740"/>
      <c r="BD375" s="734"/>
      <c r="BE375" s="52"/>
      <c r="BF375" s="52"/>
      <c r="BG375" s="734"/>
      <c r="BH375" s="734"/>
      <c r="BI375" s="734"/>
      <c r="BJ375" s="734"/>
    </row>
    <row r="376">
      <c r="B376" s="740"/>
      <c r="C376" s="869"/>
      <c r="D376" s="734"/>
      <c r="E376" s="734"/>
      <c r="F376" s="876" t="s">
        <v>1505</v>
      </c>
      <c r="K376" s="734"/>
      <c r="L376" s="734"/>
      <c r="M376" s="734"/>
      <c r="N376" s="734"/>
      <c r="O376" s="734"/>
      <c r="P376" s="734"/>
      <c r="Q376" s="734"/>
      <c r="R376" s="734"/>
      <c r="S376" s="734"/>
      <c r="T376" s="734"/>
      <c r="U376" s="734"/>
      <c r="V376" s="734"/>
      <c r="W376" s="734"/>
      <c r="X376" s="735"/>
      <c r="Y376" s="811"/>
      <c r="Z376" s="811"/>
      <c r="AA376" s="734"/>
      <c r="AB376" s="811"/>
      <c r="AC376" s="740"/>
      <c r="AD376" s="734"/>
      <c r="AE376" s="734"/>
      <c r="AF376" s="734"/>
      <c r="AG376" s="734"/>
      <c r="AH376" s="734"/>
      <c r="AI376" s="734"/>
      <c r="AJ376" s="787"/>
      <c r="AK376" s="734"/>
      <c r="AL376" s="734"/>
      <c r="AM376" s="734"/>
      <c r="AN376" s="734"/>
      <c r="AO376" s="734"/>
      <c r="AP376" s="52"/>
      <c r="AQ376" s="52"/>
      <c r="AR376" s="52"/>
      <c r="AS376" s="52"/>
      <c r="AT376" s="52"/>
      <c r="AU376" s="52"/>
      <c r="AV376" s="52"/>
      <c r="AW376" s="52"/>
      <c r="AX376" s="52"/>
      <c r="AY376" s="52"/>
      <c r="AZ376" s="734" t="str">
        <f>IFERROR(__xludf.DUMMYFUNCTION("""COMPUTED_VALUE"""),"Green Sachi")</f>
        <v>Green Sachi</v>
      </c>
      <c r="BA376" s="740"/>
      <c r="BB376" s="734"/>
      <c r="BC376" s="740"/>
      <c r="BD376" s="734"/>
      <c r="BE376" s="52"/>
      <c r="BF376" s="52"/>
      <c r="BG376" s="734"/>
      <c r="BH376" s="734"/>
      <c r="BI376" s="734"/>
      <c r="BJ376" s="734"/>
    </row>
    <row r="377">
      <c r="B377" s="740"/>
      <c r="C377" s="869"/>
      <c r="D377" s="734"/>
      <c r="E377" s="734"/>
      <c r="F377" s="877" t="s">
        <v>1629</v>
      </c>
      <c r="J377" s="744"/>
      <c r="K377" s="734"/>
      <c r="L377" s="734"/>
      <c r="M377" s="734"/>
      <c r="N377" s="734"/>
      <c r="O377" s="734"/>
      <c r="P377" s="734"/>
      <c r="Q377" s="734"/>
      <c r="R377" s="734"/>
      <c r="S377" s="734"/>
      <c r="T377" s="734"/>
      <c r="U377" s="734"/>
      <c r="V377" s="734"/>
      <c r="W377" s="734"/>
      <c r="X377" s="735"/>
      <c r="Y377" s="811"/>
      <c r="Z377" s="811"/>
      <c r="AA377" s="734"/>
      <c r="AB377" s="811"/>
      <c r="AC377" s="740"/>
      <c r="AD377" s="734"/>
      <c r="AE377" s="734"/>
      <c r="AF377" s="734"/>
      <c r="AG377" s="734"/>
      <c r="AH377" s="734"/>
      <c r="AI377" s="734"/>
      <c r="AJ377" s="787"/>
      <c r="AK377" s="734"/>
      <c r="AL377" s="734"/>
      <c r="AM377" s="734"/>
      <c r="AN377" s="734"/>
      <c r="AO377" s="734"/>
      <c r="AP377" s="52"/>
      <c r="AQ377" s="52"/>
      <c r="AR377" s="52"/>
      <c r="AS377" s="52"/>
      <c r="AT377" s="52"/>
      <c r="AU377" s="52"/>
      <c r="AV377" s="52"/>
      <c r="AW377" s="52"/>
      <c r="AX377" s="52"/>
      <c r="AY377" s="52"/>
      <c r="AZ377" s="734" t="str">
        <f>IFERROR(__xludf.DUMMYFUNCTION("""COMPUTED_VALUE"""),"Green Sanvi")</f>
        <v>Green Sanvi</v>
      </c>
      <c r="BA377" s="740"/>
      <c r="BB377" s="734"/>
      <c r="BC377" s="740"/>
      <c r="BD377" s="734"/>
      <c r="BE377" s="52"/>
      <c r="BF377" s="52"/>
      <c r="BG377" s="734"/>
      <c r="BH377" s="734"/>
      <c r="BI377" s="734"/>
      <c r="BJ377" s="734"/>
    </row>
    <row r="378">
      <c r="B378" s="740"/>
      <c r="C378" s="869"/>
      <c r="D378" s="734"/>
      <c r="E378" s="734"/>
      <c r="F378" s="878" t="s">
        <v>1510</v>
      </c>
      <c r="H378" s="734"/>
      <c r="I378" s="777"/>
      <c r="J378" s="740"/>
      <c r="K378" s="734"/>
      <c r="L378" s="734"/>
      <c r="M378" s="734"/>
      <c r="N378" s="734"/>
      <c r="O378" s="734"/>
      <c r="P378" s="734"/>
      <c r="Q378" s="734"/>
      <c r="R378" s="734"/>
      <c r="S378" s="734"/>
      <c r="T378" s="734"/>
      <c r="U378" s="734"/>
      <c r="V378" s="734"/>
      <c r="W378" s="734"/>
      <c r="X378" s="735"/>
      <c r="Y378" s="811"/>
      <c r="Z378" s="811"/>
      <c r="AA378" s="734"/>
      <c r="AB378" s="811"/>
      <c r="AC378" s="740"/>
      <c r="AD378" s="734"/>
      <c r="AE378" s="734"/>
      <c r="AF378" s="734"/>
      <c r="AG378" s="734"/>
      <c r="AH378" s="734"/>
      <c r="AI378" s="734"/>
      <c r="AJ378" s="787"/>
      <c r="AK378" s="734"/>
      <c r="AL378" s="734"/>
      <c r="AM378" s="734"/>
      <c r="AN378" s="734"/>
      <c r="AO378" s="734"/>
      <c r="AP378" s="52"/>
      <c r="AQ378" s="52"/>
      <c r="AR378" s="52"/>
      <c r="AS378" s="52"/>
      <c r="AT378" s="52"/>
      <c r="AU378" s="52"/>
      <c r="AV378" s="52"/>
      <c r="AW378" s="52"/>
      <c r="AX378" s="52"/>
      <c r="AY378" s="52"/>
      <c r="AZ378" s="734" t="str">
        <f>IFERROR(__xludf.DUMMYFUNCTION("""COMPUTED_VALUE"""),"Green Sarita")</f>
        <v>Green Sarita</v>
      </c>
      <c r="BA378" s="740"/>
      <c r="BB378" s="734"/>
      <c r="BC378" s="740"/>
      <c r="BD378" s="734"/>
      <c r="BE378" s="52"/>
      <c r="BF378" s="52"/>
      <c r="BG378" s="734"/>
      <c r="BH378" s="734"/>
      <c r="BI378" s="734"/>
      <c r="BJ378" s="734"/>
    </row>
    <row r="379">
      <c r="B379" s="740"/>
      <c r="C379" s="869"/>
      <c r="D379" s="734"/>
      <c r="E379" s="734"/>
      <c r="F379" s="743" t="s">
        <v>1511</v>
      </c>
      <c r="H379" s="734"/>
      <c r="I379" s="777"/>
      <c r="J379" s="740"/>
      <c r="K379" s="734"/>
      <c r="L379" s="734"/>
      <c r="M379" s="734"/>
      <c r="N379" s="734"/>
      <c r="O379" s="734"/>
      <c r="P379" s="734"/>
      <c r="Q379" s="734"/>
      <c r="R379" s="734"/>
      <c r="S379" s="734"/>
      <c r="T379" s="734"/>
      <c r="U379" s="734"/>
      <c r="V379" s="734"/>
      <c r="W379" s="734"/>
      <c r="X379" s="735"/>
      <c r="Y379" s="811"/>
      <c r="Z379" s="811"/>
      <c r="AA379" s="734"/>
      <c r="AB379" s="811"/>
      <c r="AC379" s="740"/>
      <c r="AD379" s="734"/>
      <c r="AE379" s="734"/>
      <c r="AF379" s="734"/>
      <c r="AG379" s="734"/>
      <c r="AH379" s="734"/>
      <c r="AI379" s="734"/>
      <c r="AJ379" s="787"/>
      <c r="AK379" s="734"/>
      <c r="AL379" s="734"/>
      <c r="AM379" s="734"/>
      <c r="AN379" s="734"/>
      <c r="AO379" s="734"/>
      <c r="AP379" s="52"/>
      <c r="AQ379" s="52"/>
      <c r="AR379" s="52"/>
      <c r="AS379" s="52"/>
      <c r="AT379" s="52"/>
      <c r="AU379" s="52"/>
      <c r="AV379" s="52"/>
      <c r="AW379" s="52"/>
      <c r="AX379" s="52"/>
      <c r="AY379" s="52"/>
      <c r="AZ379" s="734" t="str">
        <f>IFERROR(__xludf.DUMMYFUNCTION("""COMPUTED_VALUE"""),"Green Shakti")</f>
        <v>Green Shakti</v>
      </c>
      <c r="BA379" s="740"/>
      <c r="BB379" s="734"/>
      <c r="BC379" s="740"/>
      <c r="BD379" s="734"/>
      <c r="BE379" s="52"/>
      <c r="BF379" s="52"/>
      <c r="BG379" s="734"/>
      <c r="BH379" s="734"/>
      <c r="BI379" s="734"/>
      <c r="BJ379" s="734"/>
    </row>
    <row r="380">
      <c r="B380" s="740"/>
      <c r="C380" s="869"/>
      <c r="D380" s="734"/>
      <c r="E380" s="734"/>
      <c r="G380" s="734"/>
      <c r="H380" s="734"/>
      <c r="I380" s="777"/>
      <c r="J380" s="740"/>
      <c r="K380" s="734"/>
      <c r="L380" s="734"/>
      <c r="M380" s="734"/>
      <c r="N380" s="734"/>
      <c r="O380" s="734"/>
      <c r="P380" s="734"/>
      <c r="Q380" s="734"/>
      <c r="R380" s="734"/>
      <c r="S380" s="734"/>
      <c r="T380" s="734"/>
      <c r="U380" s="734"/>
      <c r="V380" s="734"/>
      <c r="W380" s="734"/>
      <c r="X380" s="735"/>
      <c r="Y380" s="811"/>
      <c r="Z380" s="811"/>
      <c r="AA380" s="734"/>
      <c r="AB380" s="811"/>
      <c r="AC380" s="740"/>
      <c r="AD380" s="734"/>
      <c r="AE380" s="734"/>
      <c r="AF380" s="734"/>
      <c r="AG380" s="734"/>
      <c r="AH380" s="734"/>
      <c r="AI380" s="734"/>
      <c r="AJ380" s="879"/>
      <c r="AK380" s="734"/>
      <c r="AL380" s="734"/>
      <c r="AM380" s="734"/>
      <c r="AN380" s="734"/>
      <c r="AO380" s="734"/>
      <c r="AP380" s="52"/>
      <c r="AQ380" s="52"/>
      <c r="AR380" s="52"/>
      <c r="AS380" s="52"/>
      <c r="AT380" s="52"/>
      <c r="AU380" s="52"/>
      <c r="AV380" s="52"/>
      <c r="AW380" s="52"/>
      <c r="AX380" s="52"/>
      <c r="AY380" s="52"/>
      <c r="AZ380" s="734" t="str">
        <f>IFERROR(__xludf.DUMMYFUNCTION("""COMPUTED_VALUE"""),"Hanwha Ocean")</f>
        <v>Hanwha Ocean</v>
      </c>
      <c r="BA380" s="740"/>
      <c r="BB380" s="734"/>
      <c r="BC380" s="740"/>
      <c r="BD380" s="734"/>
      <c r="BE380" s="52"/>
      <c r="BF380" s="52"/>
      <c r="BG380" s="734"/>
      <c r="BH380" s="734"/>
      <c r="BI380" s="734"/>
      <c r="BJ380" s="734"/>
    </row>
    <row r="381">
      <c r="B381" s="740"/>
      <c r="C381" s="869"/>
      <c r="D381" s="734"/>
      <c r="E381" s="734"/>
      <c r="F381" s="880" t="s">
        <v>1630</v>
      </c>
      <c r="G381" s="734"/>
      <c r="H381" s="734"/>
      <c r="I381" s="777"/>
      <c r="J381" s="740"/>
      <c r="K381" s="734"/>
      <c r="L381" s="734"/>
      <c r="M381" s="734"/>
      <c r="N381" s="734"/>
      <c r="O381" s="734"/>
      <c r="P381" s="734"/>
      <c r="Q381" s="734"/>
      <c r="R381" s="734"/>
      <c r="S381" s="734"/>
      <c r="T381" s="734"/>
      <c r="U381" s="734"/>
      <c r="V381" s="734"/>
      <c r="W381" s="734"/>
      <c r="X381" s="735"/>
      <c r="Y381" s="811"/>
      <c r="Z381" s="811"/>
      <c r="AA381" s="734"/>
      <c r="AB381" s="811"/>
      <c r="AC381" s="740"/>
      <c r="AD381" s="734"/>
      <c r="AE381" s="734"/>
      <c r="AF381" s="734"/>
      <c r="AG381" s="734"/>
      <c r="AH381" s="734"/>
      <c r="AI381" s="734"/>
      <c r="AJ381" s="879"/>
      <c r="AK381" s="734"/>
      <c r="AL381" s="734"/>
      <c r="AM381" s="734"/>
      <c r="AN381" s="734"/>
      <c r="AO381" s="734"/>
      <c r="AP381" s="52"/>
      <c r="AQ381" s="52"/>
      <c r="AR381" s="52"/>
      <c r="AS381" s="52"/>
      <c r="AT381" s="52"/>
      <c r="AU381" s="52"/>
      <c r="AV381" s="52"/>
      <c r="AW381" s="52"/>
      <c r="AX381" s="52"/>
      <c r="AY381" s="52"/>
      <c r="AZ381" s="734" t="str">
        <f>IFERROR(__xludf.DUMMYFUNCTION("""COMPUTED_VALUE"""),"Hanwha Ocean")</f>
        <v>Hanwha Ocean</v>
      </c>
      <c r="BA381" s="740"/>
      <c r="BB381" s="734"/>
      <c r="BC381" s="740"/>
      <c r="BD381" s="734"/>
      <c r="BE381" s="52"/>
      <c r="BF381" s="52"/>
      <c r="BG381" s="734"/>
      <c r="BH381" s="734"/>
      <c r="BI381" s="734"/>
      <c r="BJ381" s="734"/>
    </row>
    <row r="382">
      <c r="B382" s="740"/>
      <c r="C382" s="869"/>
      <c r="D382" s="734"/>
      <c r="E382" s="734"/>
      <c r="F382" s="880" t="s">
        <v>1631</v>
      </c>
      <c r="G382" s="734"/>
      <c r="H382" s="734"/>
      <c r="I382" s="777"/>
      <c r="J382" s="740"/>
      <c r="K382" s="734"/>
      <c r="L382" s="734"/>
      <c r="M382" s="734"/>
      <c r="N382" s="734"/>
      <c r="O382" s="734"/>
      <c r="P382" s="734"/>
      <c r="Q382" s="734"/>
      <c r="R382" s="734"/>
      <c r="S382" s="734"/>
      <c r="T382" s="734"/>
      <c r="U382" s="734"/>
      <c r="V382" s="734"/>
      <c r="W382" s="734"/>
      <c r="X382" s="735"/>
      <c r="Y382" s="811"/>
      <c r="Z382" s="811"/>
      <c r="AA382" s="734"/>
      <c r="AB382" s="811"/>
      <c r="AC382" s="740"/>
      <c r="AD382" s="734"/>
      <c r="AE382" s="734"/>
      <c r="AF382" s="734"/>
      <c r="AG382" s="734"/>
      <c r="AH382" s="734"/>
      <c r="AI382" s="734"/>
      <c r="AJ382" s="879"/>
      <c r="AK382" s="734"/>
      <c r="AL382" s="734"/>
      <c r="AM382" s="734"/>
      <c r="AN382" s="734"/>
      <c r="AO382" s="734"/>
      <c r="AP382" s="52"/>
      <c r="AQ382" s="52"/>
      <c r="AR382" s="52"/>
      <c r="AS382" s="52"/>
      <c r="AT382" s="52"/>
      <c r="AU382" s="52"/>
      <c r="AV382" s="52"/>
      <c r="AW382" s="52"/>
      <c r="AX382" s="52"/>
      <c r="AY382" s="52"/>
      <c r="AZ382" s="734" t="str">
        <f>IFERROR(__xludf.DUMMYFUNCTION("""COMPUTED_VALUE"""),"Hh Glory")</f>
        <v>Hh Glory</v>
      </c>
      <c r="BA382" s="740"/>
      <c r="BB382" s="734"/>
      <c r="BC382" s="740"/>
      <c r="BD382" s="734"/>
      <c r="BE382" s="52"/>
      <c r="BF382" s="52"/>
      <c r="BG382" s="734"/>
      <c r="BH382" s="734"/>
      <c r="BI382" s="734"/>
      <c r="BJ382" s="734"/>
    </row>
    <row r="383">
      <c r="B383" s="740"/>
      <c r="C383" s="869"/>
      <c r="D383" s="734"/>
      <c r="E383" s="734"/>
      <c r="F383" s="740"/>
      <c r="G383" s="734"/>
      <c r="H383" s="734"/>
      <c r="I383" s="777"/>
      <c r="J383" s="740"/>
      <c r="K383" s="734"/>
      <c r="L383" s="734"/>
      <c r="M383" s="734"/>
      <c r="N383" s="734"/>
      <c r="O383" s="734"/>
      <c r="P383" s="734"/>
      <c r="Q383" s="734"/>
      <c r="R383" s="734"/>
      <c r="S383" s="734"/>
      <c r="T383" s="734"/>
      <c r="U383" s="734"/>
      <c r="V383" s="734"/>
      <c r="W383" s="734"/>
      <c r="X383" s="735"/>
      <c r="Y383" s="811"/>
      <c r="Z383" s="811"/>
      <c r="AA383" s="734"/>
      <c r="AB383" s="811"/>
      <c r="AC383" s="740"/>
      <c r="AD383" s="734"/>
      <c r="AE383" s="734"/>
      <c r="AF383" s="734"/>
      <c r="AG383" s="734"/>
      <c r="AH383" s="734"/>
      <c r="AI383" s="734"/>
      <c r="AJ383" s="879"/>
      <c r="AK383" s="734"/>
      <c r="AL383" s="734"/>
      <c r="AM383" s="734"/>
      <c r="AN383" s="734"/>
      <c r="AO383" s="734"/>
      <c r="AP383" s="52"/>
      <c r="AQ383" s="52"/>
      <c r="AR383" s="52"/>
      <c r="AS383" s="52"/>
      <c r="AT383" s="52"/>
      <c r="AU383" s="52"/>
      <c r="AV383" s="52"/>
      <c r="AW383" s="52"/>
      <c r="AX383" s="52"/>
      <c r="AY383" s="52"/>
      <c r="AZ383" s="734" t="str">
        <f>IFERROR(__xludf.DUMMYFUNCTION("""COMPUTED_VALUE"""),"Hisui")</f>
        <v>Hisui</v>
      </c>
      <c r="BA383" s="740"/>
      <c r="BB383" s="734"/>
      <c r="BC383" s="740"/>
      <c r="BD383" s="734"/>
      <c r="BE383" s="52"/>
      <c r="BF383" s="52"/>
      <c r="BG383" s="734"/>
      <c r="BH383" s="734"/>
      <c r="BI383" s="734"/>
      <c r="BJ383" s="734"/>
    </row>
    <row r="384">
      <c r="B384" s="740"/>
      <c r="C384" s="869"/>
      <c r="D384" s="734"/>
      <c r="E384" s="734"/>
      <c r="F384" s="740"/>
      <c r="G384" s="734"/>
      <c r="H384" s="734"/>
      <c r="I384" s="777"/>
      <c r="J384" s="740"/>
      <c r="K384" s="734"/>
      <c r="L384" s="734"/>
      <c r="M384" s="734"/>
      <c r="N384" s="734"/>
      <c r="O384" s="734"/>
      <c r="P384" s="734"/>
      <c r="Q384" s="734"/>
      <c r="R384" s="734"/>
      <c r="S384" s="734"/>
      <c r="T384" s="734"/>
      <c r="U384" s="734"/>
      <c r="V384" s="734"/>
      <c r="W384" s="734"/>
      <c r="X384" s="735"/>
      <c r="Y384" s="811"/>
      <c r="Z384" s="811"/>
      <c r="AA384" s="734"/>
      <c r="AB384" s="811"/>
      <c r="AC384" s="740"/>
      <c r="AD384" s="734"/>
      <c r="AE384" s="734"/>
      <c r="AF384" s="734"/>
      <c r="AG384" s="734"/>
      <c r="AH384" s="734"/>
      <c r="AI384" s="734"/>
      <c r="AJ384" s="879"/>
      <c r="AK384" s="734"/>
      <c r="AL384" s="734"/>
      <c r="AM384" s="734"/>
      <c r="AN384" s="734"/>
      <c r="AO384" s="734"/>
      <c r="AP384" s="52"/>
      <c r="AQ384" s="52"/>
      <c r="AR384" s="52"/>
      <c r="AS384" s="52"/>
      <c r="AT384" s="52"/>
      <c r="AU384" s="52"/>
      <c r="AV384" s="52"/>
      <c r="AW384" s="52"/>
      <c r="AX384" s="52"/>
      <c r="AY384" s="52"/>
      <c r="AZ384" s="734" t="str">
        <f>IFERROR(__xludf.DUMMYFUNCTION("""COMPUTED_VALUE"""),"Hyundai Ulsan 3503")</f>
        <v>Hyundai Ulsan 3503</v>
      </c>
      <c r="BA384" s="740"/>
      <c r="BB384" s="734"/>
      <c r="BC384" s="740"/>
      <c r="BD384" s="734"/>
      <c r="BE384" s="52"/>
      <c r="BF384" s="52"/>
      <c r="BG384" s="734"/>
      <c r="BH384" s="734"/>
      <c r="BI384" s="734"/>
      <c r="BJ384" s="734"/>
    </row>
    <row r="385">
      <c r="B385" s="740"/>
      <c r="C385" s="869"/>
      <c r="D385" s="734"/>
      <c r="E385" s="734"/>
      <c r="F385" s="740"/>
      <c r="G385" s="734"/>
      <c r="H385" s="734"/>
      <c r="I385" s="777"/>
      <c r="J385" s="740"/>
      <c r="K385" s="734"/>
      <c r="L385" s="734"/>
      <c r="M385" s="734"/>
      <c r="N385" s="734"/>
      <c r="O385" s="734"/>
      <c r="P385" s="734"/>
      <c r="Q385" s="734"/>
      <c r="R385" s="734"/>
      <c r="S385" s="734"/>
      <c r="T385" s="734"/>
      <c r="U385" s="734"/>
      <c r="V385" s="734"/>
      <c r="W385" s="734"/>
      <c r="X385" s="735"/>
      <c r="Y385" s="811"/>
      <c r="Z385" s="811"/>
      <c r="AA385" s="734"/>
      <c r="AB385" s="811"/>
      <c r="AC385" s="740"/>
      <c r="AD385" s="734"/>
      <c r="AE385" s="734"/>
      <c r="AF385" s="734"/>
      <c r="AG385" s="734"/>
      <c r="AH385" s="734"/>
      <c r="AI385" s="734"/>
      <c r="AJ385" s="879"/>
      <c r="AK385" s="734"/>
      <c r="AL385" s="734"/>
      <c r="AM385" s="734"/>
      <c r="AN385" s="734"/>
      <c r="AO385" s="734"/>
      <c r="AP385" s="52"/>
      <c r="AQ385" s="52"/>
      <c r="AR385" s="52"/>
      <c r="AS385" s="52"/>
      <c r="AT385" s="52"/>
      <c r="AU385" s="52"/>
      <c r="AV385" s="52"/>
      <c r="AW385" s="52"/>
      <c r="AX385" s="52"/>
      <c r="AY385" s="52"/>
      <c r="AZ385" s="734" t="str">
        <f>IFERROR(__xludf.DUMMYFUNCTION("""COMPUTED_VALUE"""),"Hyundai Ulsan 3504")</f>
        <v>Hyundai Ulsan 3504</v>
      </c>
      <c r="BA385" s="740"/>
      <c r="BB385" s="734"/>
      <c r="BC385" s="740"/>
      <c r="BD385" s="734"/>
      <c r="BE385" s="52"/>
      <c r="BF385" s="52"/>
      <c r="BG385" s="734"/>
      <c r="BH385" s="734"/>
      <c r="BI385" s="734"/>
      <c r="BJ385" s="734"/>
    </row>
    <row r="386">
      <c r="B386" s="740"/>
      <c r="C386" s="869"/>
      <c r="D386" s="734"/>
      <c r="E386" s="734"/>
      <c r="F386" s="740"/>
      <c r="G386" s="734"/>
      <c r="H386" s="734"/>
      <c r="I386" s="777"/>
      <c r="J386" s="740"/>
      <c r="K386" s="734"/>
      <c r="L386" s="734"/>
      <c r="M386" s="734"/>
      <c r="N386" s="734"/>
      <c r="O386" s="734"/>
      <c r="P386" s="734"/>
      <c r="Q386" s="734"/>
      <c r="R386" s="734"/>
      <c r="S386" s="734"/>
      <c r="T386" s="734"/>
      <c r="U386" s="734"/>
      <c r="V386" s="734"/>
      <c r="W386" s="734"/>
      <c r="X386" s="735"/>
      <c r="Y386" s="811"/>
      <c r="Z386" s="811"/>
      <c r="AA386" s="734"/>
      <c r="AB386" s="811"/>
      <c r="AC386" s="740"/>
      <c r="AD386" s="734"/>
      <c r="AE386" s="734"/>
      <c r="AF386" s="734"/>
      <c r="AG386" s="734"/>
      <c r="AH386" s="734"/>
      <c r="AI386" s="734"/>
      <c r="AJ386" s="879"/>
      <c r="AK386" s="734"/>
      <c r="AL386" s="734"/>
      <c r="AM386" s="734"/>
      <c r="AN386" s="734"/>
      <c r="AO386" s="734"/>
      <c r="AP386" s="52"/>
      <c r="AQ386" s="52"/>
      <c r="AR386" s="52"/>
      <c r="AS386" s="52"/>
      <c r="AT386" s="52"/>
      <c r="AU386" s="52"/>
      <c r="AV386" s="52"/>
      <c r="AW386" s="52"/>
      <c r="AX386" s="52"/>
      <c r="AY386" s="52"/>
      <c r="AZ386" s="734" t="str">
        <f>IFERROR(__xludf.DUMMYFUNCTION("""COMPUTED_VALUE"""),"Hyundai Ulsan 3531")</f>
        <v>Hyundai Ulsan 3531</v>
      </c>
      <c r="BA386" s="740"/>
      <c r="BB386" s="734"/>
      <c r="BC386" s="740"/>
      <c r="BD386" s="734"/>
      <c r="BE386" s="52"/>
      <c r="BF386" s="52"/>
      <c r="BG386" s="734"/>
      <c r="BH386" s="734"/>
      <c r="BI386" s="734"/>
      <c r="BJ386" s="734"/>
    </row>
    <row r="387">
      <c r="B387" s="740"/>
      <c r="C387" s="869"/>
      <c r="D387" s="734"/>
      <c r="E387" s="734"/>
      <c r="F387" s="740"/>
      <c r="G387" s="734"/>
      <c r="H387" s="734"/>
      <c r="I387" s="777"/>
      <c r="J387" s="740"/>
      <c r="K387" s="734"/>
      <c r="L387" s="734"/>
      <c r="M387" s="734"/>
      <c r="N387" s="734"/>
      <c r="O387" s="734"/>
      <c r="P387" s="734"/>
      <c r="Q387" s="734"/>
      <c r="R387" s="734"/>
      <c r="S387" s="734"/>
      <c r="T387" s="734"/>
      <c r="U387" s="734"/>
      <c r="V387" s="734"/>
      <c r="W387" s="734"/>
      <c r="X387" s="735"/>
      <c r="Y387" s="811"/>
      <c r="Z387" s="811"/>
      <c r="AA387" s="734"/>
      <c r="AB387" s="811"/>
      <c r="AC387" s="740"/>
      <c r="AD387" s="734"/>
      <c r="AE387" s="734"/>
      <c r="AF387" s="734"/>
      <c r="AG387" s="734"/>
      <c r="AH387" s="734"/>
      <c r="AI387" s="734"/>
      <c r="AJ387" s="879"/>
      <c r="AK387" s="734"/>
      <c r="AL387" s="734"/>
      <c r="AM387" s="734"/>
      <c r="AN387" s="734"/>
      <c r="AO387" s="734"/>
      <c r="AP387" s="52"/>
      <c r="AQ387" s="52"/>
      <c r="AR387" s="52"/>
      <c r="AS387" s="52"/>
      <c r="AT387" s="52"/>
      <c r="AU387" s="52"/>
      <c r="AV387" s="52"/>
      <c r="AW387" s="52"/>
      <c r="AX387" s="52"/>
      <c r="AY387" s="52"/>
      <c r="AZ387" s="734" t="str">
        <f>IFERROR(__xludf.DUMMYFUNCTION("""COMPUTED_VALUE"""),"Hyundai Ulsan 3532")</f>
        <v>Hyundai Ulsan 3532</v>
      </c>
      <c r="BA387" s="740"/>
      <c r="BB387" s="734"/>
      <c r="BC387" s="740"/>
      <c r="BD387" s="734"/>
      <c r="BE387" s="52"/>
      <c r="BF387" s="52"/>
      <c r="BG387" s="734"/>
      <c r="BH387" s="734"/>
      <c r="BI387" s="734"/>
      <c r="BJ387" s="734"/>
    </row>
    <row r="388">
      <c r="B388" s="740"/>
      <c r="C388" s="869"/>
      <c r="D388" s="734"/>
      <c r="E388" s="734"/>
      <c r="F388" s="740"/>
      <c r="G388" s="734"/>
      <c r="H388" s="734"/>
      <c r="I388" s="777"/>
      <c r="J388" s="740"/>
      <c r="K388" s="734"/>
      <c r="L388" s="734"/>
      <c r="M388" s="734"/>
      <c r="N388" s="734"/>
      <c r="O388" s="734"/>
      <c r="P388" s="734"/>
      <c r="Q388" s="734"/>
      <c r="R388" s="734"/>
      <c r="S388" s="734"/>
      <c r="T388" s="734"/>
      <c r="U388" s="734"/>
      <c r="V388" s="734"/>
      <c r="W388" s="734"/>
      <c r="X388" s="735"/>
      <c r="Y388" s="811"/>
      <c r="Z388" s="811"/>
      <c r="AA388" s="734"/>
      <c r="AB388" s="811"/>
      <c r="AC388" s="740"/>
      <c r="AD388" s="734"/>
      <c r="AE388" s="734"/>
      <c r="AF388" s="734"/>
      <c r="AG388" s="734"/>
      <c r="AH388" s="734"/>
      <c r="AI388" s="734"/>
      <c r="AJ388" s="879"/>
      <c r="AK388" s="734"/>
      <c r="AL388" s="734"/>
      <c r="AM388" s="734"/>
      <c r="AN388" s="734"/>
      <c r="AO388" s="734"/>
      <c r="AP388" s="52"/>
      <c r="AQ388" s="52"/>
      <c r="AR388" s="52"/>
      <c r="AS388" s="52"/>
      <c r="AT388" s="52"/>
      <c r="AU388" s="52"/>
      <c r="AV388" s="52"/>
      <c r="AW388" s="52"/>
      <c r="AX388" s="52"/>
      <c r="AY388" s="52"/>
      <c r="AZ388" s="734" t="str">
        <f>IFERROR(__xludf.DUMMYFUNCTION("""COMPUTED_VALUE"""),"Hyundai Ulsan 3542")</f>
        <v>Hyundai Ulsan 3542</v>
      </c>
      <c r="BA388" s="740"/>
      <c r="BB388" s="734"/>
      <c r="BC388" s="740"/>
      <c r="BD388" s="734"/>
      <c r="BE388" s="52"/>
      <c r="BF388" s="52"/>
      <c r="BG388" s="734"/>
      <c r="BH388" s="734"/>
      <c r="BI388" s="734"/>
      <c r="BJ388" s="734"/>
    </row>
    <row r="389">
      <c r="B389" s="740"/>
      <c r="C389" s="869"/>
      <c r="D389" s="734"/>
      <c r="E389" s="734"/>
      <c r="F389" s="740"/>
      <c r="G389" s="734"/>
      <c r="H389" s="734"/>
      <c r="I389" s="777"/>
      <c r="J389" s="740"/>
      <c r="K389" s="734"/>
      <c r="L389" s="734"/>
      <c r="M389" s="734"/>
      <c r="N389" s="734"/>
      <c r="O389" s="734"/>
      <c r="P389" s="734"/>
      <c r="Q389" s="734"/>
      <c r="R389" s="734"/>
      <c r="S389" s="734"/>
      <c r="T389" s="734"/>
      <c r="U389" s="734"/>
      <c r="V389" s="734"/>
      <c r="W389" s="734"/>
      <c r="X389" s="735"/>
      <c r="Y389" s="811"/>
      <c r="Z389" s="811"/>
      <c r="AA389" s="734"/>
      <c r="AB389" s="811"/>
      <c r="AC389" s="740"/>
      <c r="AD389" s="734"/>
      <c r="AE389" s="734"/>
      <c r="AF389" s="734"/>
      <c r="AG389" s="734"/>
      <c r="AH389" s="734"/>
      <c r="AI389" s="734"/>
      <c r="AJ389" s="879"/>
      <c r="AK389" s="734"/>
      <c r="AL389" s="734"/>
      <c r="AM389" s="734"/>
      <c r="AN389" s="734"/>
      <c r="AO389" s="734"/>
      <c r="AP389" s="52"/>
      <c r="AQ389" s="52"/>
      <c r="AR389" s="52"/>
      <c r="AS389" s="52"/>
      <c r="AT389" s="52"/>
      <c r="AU389" s="52"/>
      <c r="AV389" s="52"/>
      <c r="AW389" s="52"/>
      <c r="AX389" s="52"/>
      <c r="AY389" s="52"/>
      <c r="AZ389" s="734" t="str">
        <f>IFERROR(__xludf.DUMMYFUNCTION("""COMPUTED_VALUE"""),"Jag Viraat")</f>
        <v>Jag Viraat</v>
      </c>
      <c r="BA389" s="740"/>
      <c r="BB389" s="734"/>
      <c r="BC389" s="740"/>
      <c r="BD389" s="734"/>
      <c r="BE389" s="52"/>
      <c r="BF389" s="52"/>
      <c r="BG389" s="734"/>
      <c r="BH389" s="734"/>
      <c r="BI389" s="734"/>
      <c r="BJ389" s="734"/>
    </row>
    <row r="390">
      <c r="B390" s="740"/>
      <c r="C390" s="869"/>
      <c r="D390" s="734"/>
      <c r="E390" s="734"/>
      <c r="F390" s="740"/>
      <c r="G390" s="734"/>
      <c r="H390" s="734"/>
      <c r="I390" s="777"/>
      <c r="J390" s="740"/>
      <c r="K390" s="734"/>
      <c r="L390" s="734"/>
      <c r="M390" s="734"/>
      <c r="N390" s="734"/>
      <c r="O390" s="734"/>
      <c r="P390" s="734"/>
      <c r="Q390" s="734"/>
      <c r="R390" s="734"/>
      <c r="S390" s="734"/>
      <c r="T390" s="734"/>
      <c r="U390" s="734"/>
      <c r="V390" s="734"/>
      <c r="W390" s="734"/>
      <c r="X390" s="735"/>
      <c r="Y390" s="811"/>
      <c r="Z390" s="811"/>
      <c r="AA390" s="734"/>
      <c r="AB390" s="811"/>
      <c r="AC390" s="740"/>
      <c r="AD390" s="734"/>
      <c r="AE390" s="734"/>
      <c r="AF390" s="734"/>
      <c r="AG390" s="734"/>
      <c r="AH390" s="734"/>
      <c r="AI390" s="734"/>
      <c r="AJ390" s="879"/>
      <c r="AK390" s="734"/>
      <c r="AL390" s="734"/>
      <c r="AM390" s="734"/>
      <c r="AN390" s="734"/>
      <c r="AO390" s="734"/>
      <c r="AP390" s="52"/>
      <c r="AQ390" s="52"/>
      <c r="AR390" s="52"/>
      <c r="AS390" s="52"/>
      <c r="AT390" s="52"/>
      <c r="AU390" s="52"/>
      <c r="AV390" s="52"/>
      <c r="AW390" s="52"/>
      <c r="AX390" s="52"/>
      <c r="AY390" s="52"/>
      <c r="AZ390" s="734" t="str">
        <f>IFERROR(__xludf.DUMMYFUNCTION("""COMPUTED_VALUE"""),"Jiangnan H2754")</f>
        <v>Jiangnan H2754</v>
      </c>
      <c r="BA390" s="740"/>
      <c r="BB390" s="734"/>
      <c r="BC390" s="740"/>
      <c r="BD390" s="734"/>
      <c r="BE390" s="52"/>
      <c r="BF390" s="52"/>
      <c r="BG390" s="734"/>
      <c r="BH390" s="734"/>
      <c r="BI390" s="734"/>
      <c r="BJ390" s="734"/>
    </row>
    <row r="391">
      <c r="B391" s="740"/>
      <c r="C391" s="869"/>
      <c r="D391" s="734"/>
      <c r="E391" s="734"/>
      <c r="F391" s="740"/>
      <c r="G391" s="734"/>
      <c r="H391" s="734"/>
      <c r="I391" s="777"/>
      <c r="J391" s="740"/>
      <c r="K391" s="734"/>
      <c r="L391" s="734"/>
      <c r="M391" s="734"/>
      <c r="N391" s="734"/>
      <c r="O391" s="734"/>
      <c r="P391" s="734"/>
      <c r="Q391" s="734"/>
      <c r="R391" s="734"/>
      <c r="S391" s="734"/>
      <c r="T391" s="734"/>
      <c r="U391" s="734"/>
      <c r="V391" s="734"/>
      <c r="W391" s="734"/>
      <c r="X391" s="735"/>
      <c r="Y391" s="811"/>
      <c r="Z391" s="811"/>
      <c r="AA391" s="734"/>
      <c r="AB391" s="811"/>
      <c r="AC391" s="740"/>
      <c r="AD391" s="734"/>
      <c r="AE391" s="734"/>
      <c r="AF391" s="734"/>
      <c r="AG391" s="734"/>
      <c r="AH391" s="734"/>
      <c r="AI391" s="734"/>
      <c r="AJ391" s="879"/>
      <c r="AK391" s="734"/>
      <c r="AL391" s="734"/>
      <c r="AM391" s="734"/>
      <c r="AN391" s="734"/>
      <c r="AO391" s="734"/>
      <c r="AP391" s="52"/>
      <c r="AQ391" s="52"/>
      <c r="AR391" s="52"/>
      <c r="AS391" s="52"/>
      <c r="AT391" s="52"/>
      <c r="AU391" s="52"/>
      <c r="AV391" s="52"/>
      <c r="AW391" s="52"/>
      <c r="AX391" s="52"/>
      <c r="AY391" s="52"/>
      <c r="AZ391" s="734" t="str">
        <f>IFERROR(__xludf.DUMMYFUNCTION("""COMPUTED_VALUE"""),"Jiangnan H2755")</f>
        <v>Jiangnan H2755</v>
      </c>
      <c r="BA391" s="740"/>
      <c r="BB391" s="734"/>
      <c r="BC391" s="740"/>
      <c r="BD391" s="734"/>
      <c r="BE391" s="52"/>
      <c r="BF391" s="52"/>
      <c r="BG391" s="734"/>
      <c r="BH391" s="734"/>
      <c r="BI391" s="734"/>
      <c r="BJ391" s="734"/>
    </row>
    <row r="392">
      <c r="B392" s="740"/>
      <c r="C392" s="869"/>
      <c r="D392" s="734"/>
      <c r="E392" s="734"/>
      <c r="F392" s="740"/>
      <c r="G392" s="734"/>
      <c r="H392" s="734"/>
      <c r="I392" s="777"/>
      <c r="J392" s="740"/>
      <c r="K392" s="734"/>
      <c r="L392" s="734"/>
      <c r="M392" s="734"/>
      <c r="N392" s="734"/>
      <c r="O392" s="734"/>
      <c r="P392" s="734"/>
      <c r="Q392" s="734"/>
      <c r="R392" s="734"/>
      <c r="S392" s="734"/>
      <c r="T392" s="734"/>
      <c r="U392" s="734"/>
      <c r="V392" s="734"/>
      <c r="W392" s="734"/>
      <c r="X392" s="735"/>
      <c r="Y392" s="811"/>
      <c r="Z392" s="811"/>
      <c r="AA392" s="734"/>
      <c r="AB392" s="811"/>
      <c r="AC392" s="740"/>
      <c r="AD392" s="734"/>
      <c r="AE392" s="734"/>
      <c r="AF392" s="734"/>
      <c r="AG392" s="734"/>
      <c r="AH392" s="734"/>
      <c r="AI392" s="734"/>
      <c r="AJ392" s="879"/>
      <c r="AK392" s="734"/>
      <c r="AL392" s="734"/>
      <c r="AM392" s="734"/>
      <c r="AN392" s="734"/>
      <c r="AO392" s="734"/>
      <c r="AP392" s="52"/>
      <c r="AQ392" s="52"/>
      <c r="AR392" s="52"/>
      <c r="AS392" s="52"/>
      <c r="AT392" s="52"/>
      <c r="AU392" s="52"/>
      <c r="AV392" s="52"/>
      <c r="AW392" s="52"/>
      <c r="AX392" s="52"/>
      <c r="AY392" s="52"/>
      <c r="AZ392" s="734" t="str">
        <f>IFERROR(__xludf.DUMMYFUNCTION("""COMPUTED_VALUE"""),"Jiangsu Yangzi Xinfu Yzj2024-1715")</f>
        <v>Jiangsu Yangzi Xinfu Yzj2024-1715</v>
      </c>
      <c r="BA392" s="740"/>
      <c r="BB392" s="734"/>
      <c r="BC392" s="740"/>
      <c r="BD392" s="734"/>
      <c r="BE392" s="52"/>
      <c r="BF392" s="52"/>
      <c r="BG392" s="734"/>
      <c r="BH392" s="734"/>
      <c r="BI392" s="734"/>
      <c r="BJ392" s="734"/>
    </row>
    <row r="393">
      <c r="B393" s="740"/>
      <c r="C393" s="869"/>
      <c r="D393" s="734"/>
      <c r="E393" s="734"/>
      <c r="F393" s="740"/>
      <c r="G393" s="734"/>
      <c r="H393" s="734"/>
      <c r="I393" s="777"/>
      <c r="J393" s="740"/>
      <c r="K393" s="734"/>
      <c r="L393" s="734"/>
      <c r="M393" s="734"/>
      <c r="N393" s="734"/>
      <c r="O393" s="734"/>
      <c r="P393" s="734"/>
      <c r="Q393" s="734"/>
      <c r="R393" s="734"/>
      <c r="S393" s="734"/>
      <c r="T393" s="734"/>
      <c r="U393" s="734"/>
      <c r="V393" s="734"/>
      <c r="W393" s="734"/>
      <c r="X393" s="735"/>
      <c r="Y393" s="811"/>
      <c r="Z393" s="811"/>
      <c r="AA393" s="734"/>
      <c r="AB393" s="811"/>
      <c r="AC393" s="740"/>
      <c r="AD393" s="734"/>
      <c r="AE393" s="734"/>
      <c r="AF393" s="734"/>
      <c r="AG393" s="734"/>
      <c r="AH393" s="734"/>
      <c r="AI393" s="734"/>
      <c r="AJ393" s="879"/>
      <c r="AK393" s="734"/>
      <c r="AL393" s="734"/>
      <c r="AM393" s="734"/>
      <c r="AN393" s="734"/>
      <c r="AO393" s="734"/>
      <c r="AP393" s="52"/>
      <c r="AQ393" s="52"/>
      <c r="AR393" s="52"/>
      <c r="AS393" s="52"/>
      <c r="AT393" s="52"/>
      <c r="AU393" s="52"/>
      <c r="AV393" s="52"/>
      <c r="AW393" s="52"/>
      <c r="AX393" s="52"/>
      <c r="AY393" s="52"/>
      <c r="AZ393" s="734" t="str">
        <f>IFERROR(__xludf.DUMMYFUNCTION("""COMPUTED_VALUE"""),"Kalastin")</f>
        <v>Kalastin</v>
      </c>
      <c r="BA393" s="740"/>
      <c r="BB393" s="734"/>
      <c r="BC393" s="740"/>
      <c r="BD393" s="734"/>
      <c r="BE393" s="52"/>
      <c r="BF393" s="52"/>
      <c r="BG393" s="734"/>
      <c r="BH393" s="734"/>
      <c r="BI393" s="734"/>
      <c r="BJ393" s="734"/>
    </row>
    <row r="394">
      <c r="B394" s="740"/>
      <c r="C394" s="869"/>
      <c r="D394" s="734"/>
      <c r="E394" s="734"/>
      <c r="F394" s="740"/>
      <c r="G394" s="734"/>
      <c r="H394" s="734"/>
      <c r="I394" s="777"/>
      <c r="J394" s="740"/>
      <c r="K394" s="734"/>
      <c r="L394" s="734"/>
      <c r="M394" s="734"/>
      <c r="N394" s="734"/>
      <c r="O394" s="734"/>
      <c r="P394" s="734"/>
      <c r="Q394" s="734"/>
      <c r="R394" s="734"/>
      <c r="S394" s="734"/>
      <c r="T394" s="734"/>
      <c r="U394" s="734"/>
      <c r="V394" s="734"/>
      <c r="W394" s="734"/>
      <c r="X394" s="735"/>
      <c r="Y394" s="811"/>
      <c r="Z394" s="811"/>
      <c r="AA394" s="734"/>
      <c r="AB394" s="811"/>
      <c r="AC394" s="740"/>
      <c r="AD394" s="734"/>
      <c r="AE394" s="734"/>
      <c r="AF394" s="734"/>
      <c r="AG394" s="734"/>
      <c r="AH394" s="734"/>
      <c r="AI394" s="734"/>
      <c r="AJ394" s="879"/>
      <c r="AK394" s="734"/>
      <c r="AL394" s="734"/>
      <c r="AM394" s="734"/>
      <c r="AN394" s="734"/>
      <c r="AO394" s="734"/>
      <c r="AP394" s="52"/>
      <c r="AQ394" s="52"/>
      <c r="AR394" s="52"/>
      <c r="AS394" s="52"/>
      <c r="AT394" s="52"/>
      <c r="AU394" s="52"/>
      <c r="AV394" s="52"/>
      <c r="AW394" s="52"/>
      <c r="AX394" s="52"/>
      <c r="AY394" s="52"/>
      <c r="AZ394" s="734" t="str">
        <f>IFERROR(__xludf.DUMMYFUNCTION("""COMPUTED_VALUE"""),"Kawasaki Sakaide 1769")</f>
        <v>Kawasaki Sakaide 1769</v>
      </c>
      <c r="BA394" s="740"/>
      <c r="BB394" s="734"/>
      <c r="BC394" s="740"/>
      <c r="BD394" s="734"/>
      <c r="BE394" s="52"/>
      <c r="BF394" s="52"/>
      <c r="BG394" s="734"/>
      <c r="BH394" s="734"/>
      <c r="BI394" s="734"/>
      <c r="BJ394" s="734"/>
    </row>
    <row r="395">
      <c r="B395" s="740"/>
      <c r="C395" s="869"/>
      <c r="D395" s="734"/>
      <c r="E395" s="734"/>
      <c r="F395" s="740"/>
      <c r="G395" s="734"/>
      <c r="H395" s="734"/>
      <c r="I395" s="777"/>
      <c r="J395" s="740"/>
      <c r="K395" s="734"/>
      <c r="L395" s="734"/>
      <c r="M395" s="734"/>
      <c r="N395" s="734"/>
      <c r="O395" s="734"/>
      <c r="P395" s="734"/>
      <c r="Q395" s="734"/>
      <c r="R395" s="734"/>
      <c r="S395" s="734"/>
      <c r="T395" s="734"/>
      <c r="U395" s="734"/>
      <c r="V395" s="734"/>
      <c r="W395" s="734"/>
      <c r="X395" s="735"/>
      <c r="Y395" s="811"/>
      <c r="Z395" s="811"/>
      <c r="AA395" s="734"/>
      <c r="AB395" s="811"/>
      <c r="AC395" s="740"/>
      <c r="AD395" s="734"/>
      <c r="AE395" s="734"/>
      <c r="AF395" s="734"/>
      <c r="AG395" s="734"/>
      <c r="AH395" s="734"/>
      <c r="AI395" s="734"/>
      <c r="AJ395" s="879"/>
      <c r="AK395" s="734"/>
      <c r="AL395" s="734"/>
      <c r="AM395" s="734"/>
      <c r="AN395" s="734"/>
      <c r="AO395" s="734"/>
      <c r="AP395" s="52"/>
      <c r="AQ395" s="52"/>
      <c r="AR395" s="52"/>
      <c r="AS395" s="52"/>
      <c r="AT395" s="52"/>
      <c r="AU395" s="52"/>
      <c r="AV395" s="52"/>
      <c r="AW395" s="52"/>
      <c r="AX395" s="52"/>
      <c r="AY395" s="52"/>
      <c r="AZ395" s="734" t="str">
        <f>IFERROR(__xludf.DUMMYFUNCTION("""COMPUTED_VALUE"""),"Kawasaki Sakaide 1770")</f>
        <v>Kawasaki Sakaide 1770</v>
      </c>
      <c r="BA395" s="740"/>
      <c r="BB395" s="734"/>
      <c r="BC395" s="740"/>
      <c r="BD395" s="734"/>
      <c r="BE395" s="52"/>
      <c r="BF395" s="52"/>
      <c r="BG395" s="734"/>
      <c r="BH395" s="734"/>
      <c r="BI395" s="734"/>
      <c r="BJ395" s="734"/>
    </row>
    <row r="396">
      <c r="B396" s="740"/>
      <c r="C396" s="869"/>
      <c r="D396" s="734"/>
      <c r="E396" s="734"/>
      <c r="F396" s="740"/>
      <c r="G396" s="734"/>
      <c r="H396" s="734"/>
      <c r="I396" s="777"/>
      <c r="J396" s="740"/>
      <c r="K396" s="734"/>
      <c r="L396" s="734"/>
      <c r="M396" s="734"/>
      <c r="N396" s="734"/>
      <c r="O396" s="734"/>
      <c r="P396" s="734"/>
      <c r="Q396" s="734"/>
      <c r="R396" s="734"/>
      <c r="S396" s="734"/>
      <c r="T396" s="734"/>
      <c r="U396" s="734"/>
      <c r="V396" s="734"/>
      <c r="W396" s="734"/>
      <c r="X396" s="735"/>
      <c r="Y396" s="811"/>
      <c r="Z396" s="811"/>
      <c r="AA396" s="734"/>
      <c r="AB396" s="811"/>
      <c r="AC396" s="740"/>
      <c r="AD396" s="734"/>
      <c r="AE396" s="734"/>
      <c r="AF396" s="734"/>
      <c r="AG396" s="734"/>
      <c r="AH396" s="734"/>
      <c r="AI396" s="734"/>
      <c r="AJ396" s="879"/>
      <c r="AK396" s="734"/>
      <c r="AL396" s="734"/>
      <c r="AM396" s="734"/>
      <c r="AN396" s="734"/>
      <c r="AO396" s="734"/>
      <c r="AP396" s="52"/>
      <c r="AQ396" s="52"/>
      <c r="AR396" s="52"/>
      <c r="AS396" s="52"/>
      <c r="AT396" s="52"/>
      <c r="AU396" s="52"/>
      <c r="AV396" s="52"/>
      <c r="AW396" s="52"/>
      <c r="AX396" s="52"/>
      <c r="AY396" s="52"/>
      <c r="AZ396" s="734" t="str">
        <f>IFERROR(__xludf.DUMMYFUNCTION("""COMPUTED_VALUE"""),"Lumina Polaris")</f>
        <v>Lumina Polaris</v>
      </c>
      <c r="BA396" s="740"/>
      <c r="BB396" s="734"/>
      <c r="BC396" s="740"/>
      <c r="BD396" s="734"/>
      <c r="BE396" s="52"/>
      <c r="BF396" s="52"/>
      <c r="BG396" s="734"/>
      <c r="BH396" s="734"/>
      <c r="BI396" s="734"/>
      <c r="BJ396" s="734"/>
    </row>
    <row r="397">
      <c r="B397" s="740"/>
      <c r="C397" s="869"/>
      <c r="D397" s="734"/>
      <c r="E397" s="734"/>
      <c r="F397" s="740"/>
      <c r="G397" s="734"/>
      <c r="H397" s="734"/>
      <c r="I397" s="777"/>
      <c r="J397" s="740"/>
      <c r="K397" s="734"/>
      <c r="L397" s="734"/>
      <c r="M397" s="734"/>
      <c r="N397" s="734"/>
      <c r="O397" s="734"/>
      <c r="P397" s="734"/>
      <c r="Q397" s="734"/>
      <c r="R397" s="734"/>
      <c r="S397" s="734"/>
      <c r="T397" s="734"/>
      <c r="U397" s="734"/>
      <c r="V397" s="734"/>
      <c r="W397" s="734"/>
      <c r="X397" s="735"/>
      <c r="Y397" s="811"/>
      <c r="Z397" s="811"/>
      <c r="AA397" s="734"/>
      <c r="AB397" s="811"/>
      <c r="AC397" s="740"/>
      <c r="AD397" s="734"/>
      <c r="AE397" s="734"/>
      <c r="AF397" s="734"/>
      <c r="AG397" s="734"/>
      <c r="AH397" s="734"/>
      <c r="AI397" s="734"/>
      <c r="AJ397" s="879"/>
      <c r="AK397" s="734"/>
      <c r="AL397" s="734"/>
      <c r="AM397" s="734"/>
      <c r="AN397" s="734"/>
      <c r="AO397" s="734"/>
      <c r="AP397" s="52"/>
      <c r="AQ397" s="52"/>
      <c r="AR397" s="52"/>
      <c r="AS397" s="52"/>
      <c r="AT397" s="52"/>
      <c r="AU397" s="52"/>
      <c r="AV397" s="52"/>
      <c r="AW397" s="52"/>
      <c r="AX397" s="52"/>
      <c r="AY397" s="52"/>
      <c r="AZ397" s="734" t="str">
        <f>IFERROR(__xludf.DUMMYFUNCTION("""COMPUTED_VALUE"""),"Manasarovar")</f>
        <v>Manasarovar</v>
      </c>
      <c r="BA397" s="740"/>
      <c r="BB397" s="734"/>
      <c r="BC397" s="740"/>
      <c r="BD397" s="734"/>
      <c r="BE397" s="52"/>
      <c r="BF397" s="52"/>
      <c r="BG397" s="734"/>
      <c r="BH397" s="734"/>
      <c r="BI397" s="734"/>
      <c r="BJ397" s="734"/>
    </row>
    <row r="398">
      <c r="B398" s="740"/>
      <c r="C398" s="869"/>
      <c r="D398" s="734"/>
      <c r="E398" s="734"/>
      <c r="F398" s="740"/>
      <c r="G398" s="734"/>
      <c r="H398" s="734"/>
      <c r="I398" s="777"/>
      <c r="J398" s="740"/>
      <c r="K398" s="734"/>
      <c r="L398" s="734"/>
      <c r="M398" s="734"/>
      <c r="N398" s="734"/>
      <c r="O398" s="734"/>
      <c r="P398" s="734"/>
      <c r="Q398" s="734"/>
      <c r="R398" s="734"/>
      <c r="S398" s="734"/>
      <c r="T398" s="734"/>
      <c r="U398" s="734"/>
      <c r="V398" s="734"/>
      <c r="W398" s="734"/>
      <c r="X398" s="735"/>
      <c r="Y398" s="811"/>
      <c r="Z398" s="811"/>
      <c r="AA398" s="734"/>
      <c r="AB398" s="811"/>
      <c r="AC398" s="740"/>
      <c r="AD398" s="734"/>
      <c r="AE398" s="734"/>
      <c r="AF398" s="734"/>
      <c r="AG398" s="734"/>
      <c r="AH398" s="734"/>
      <c r="AI398" s="734"/>
      <c r="AJ398" s="879"/>
      <c r="AK398" s="734"/>
      <c r="AL398" s="734"/>
      <c r="AM398" s="734"/>
      <c r="AN398" s="734"/>
      <c r="AO398" s="734"/>
      <c r="AP398" s="52"/>
      <c r="AQ398" s="52"/>
      <c r="AR398" s="52"/>
      <c r="AS398" s="52"/>
      <c r="AT398" s="52"/>
      <c r="AU398" s="52"/>
      <c r="AV398" s="52"/>
      <c r="AW398" s="52"/>
      <c r="AX398" s="52"/>
      <c r="AY398" s="52"/>
      <c r="AZ398" s="734" t="str">
        <f>IFERROR(__xludf.DUMMYFUNCTION("""COMPUTED_VALUE"""),"Marser")</f>
        <v>Marser</v>
      </c>
      <c r="BA398" s="740"/>
      <c r="BB398" s="734"/>
      <c r="BC398" s="740"/>
      <c r="BD398" s="734"/>
      <c r="BE398" s="52"/>
      <c r="BF398" s="52"/>
      <c r="BG398" s="734"/>
      <c r="BH398" s="734"/>
      <c r="BI398" s="734"/>
      <c r="BJ398" s="734"/>
    </row>
    <row r="399">
      <c r="B399" s="740"/>
      <c r="C399" s="869"/>
      <c r="D399" s="734"/>
      <c r="E399" s="734"/>
      <c r="F399" s="740"/>
      <c r="G399" s="734"/>
      <c r="H399" s="734"/>
      <c r="I399" s="777"/>
      <c r="J399" s="740"/>
      <c r="K399" s="734"/>
      <c r="L399" s="734"/>
      <c r="M399" s="734"/>
      <c r="N399" s="734"/>
      <c r="O399" s="734"/>
      <c r="P399" s="734"/>
      <c r="Q399" s="734"/>
      <c r="R399" s="734"/>
      <c r="S399" s="734"/>
      <c r="T399" s="734"/>
      <c r="U399" s="734"/>
      <c r="V399" s="734"/>
      <c r="W399" s="734"/>
      <c r="X399" s="735"/>
      <c r="Y399" s="811"/>
      <c r="Z399" s="811"/>
      <c r="AA399" s="734"/>
      <c r="AB399" s="811"/>
      <c r="AC399" s="740"/>
      <c r="AD399" s="734"/>
      <c r="AE399" s="734"/>
      <c r="AF399" s="734"/>
      <c r="AG399" s="734"/>
      <c r="AH399" s="734"/>
      <c r="AI399" s="734"/>
      <c r="AJ399" s="879"/>
      <c r="AK399" s="734"/>
      <c r="AL399" s="734"/>
      <c r="AM399" s="734"/>
      <c r="AN399" s="734"/>
      <c r="AO399" s="734"/>
      <c r="AP399" s="52"/>
      <c r="AQ399" s="52"/>
      <c r="AR399" s="52"/>
      <c r="AS399" s="52"/>
      <c r="AT399" s="52"/>
      <c r="AU399" s="52"/>
      <c r="AV399" s="52"/>
      <c r="AW399" s="52"/>
      <c r="AX399" s="52"/>
      <c r="AY399" s="52"/>
      <c r="AZ399" s="734" t="str">
        <f>IFERROR(__xludf.DUMMYFUNCTION("""COMPUTED_VALUE"""),"Meda")</f>
        <v>Meda</v>
      </c>
      <c r="BA399" s="740"/>
      <c r="BB399" s="734"/>
      <c r="BC399" s="740"/>
      <c r="BD399" s="734"/>
      <c r="BE399" s="52"/>
      <c r="BF399" s="52"/>
      <c r="BG399" s="734"/>
      <c r="BH399" s="734"/>
      <c r="BI399" s="734"/>
      <c r="BJ399" s="734"/>
    </row>
    <row r="400">
      <c r="B400" s="740"/>
      <c r="C400" s="869"/>
      <c r="D400" s="734"/>
      <c r="E400" s="734"/>
      <c r="F400" s="740"/>
      <c r="G400" s="734"/>
      <c r="H400" s="734"/>
      <c r="I400" s="777"/>
      <c r="J400" s="740"/>
      <c r="K400" s="734"/>
      <c r="L400" s="734"/>
      <c r="M400" s="734"/>
      <c r="N400" s="734"/>
      <c r="O400" s="734"/>
      <c r="P400" s="734"/>
      <c r="Q400" s="734"/>
      <c r="R400" s="734"/>
      <c r="S400" s="734"/>
      <c r="T400" s="734"/>
      <c r="U400" s="734"/>
      <c r="V400" s="734"/>
      <c r="W400" s="734"/>
      <c r="X400" s="735"/>
      <c r="Y400" s="811"/>
      <c r="Z400" s="811"/>
      <c r="AA400" s="734"/>
      <c r="AB400" s="811"/>
      <c r="AC400" s="740"/>
      <c r="AD400" s="734"/>
      <c r="AE400" s="734"/>
      <c r="AF400" s="734"/>
      <c r="AG400" s="734"/>
      <c r="AH400" s="734"/>
      <c r="AI400" s="734"/>
      <c r="AJ400" s="879"/>
      <c r="AK400" s="734"/>
      <c r="AL400" s="734"/>
      <c r="AM400" s="734"/>
      <c r="AN400" s="734"/>
      <c r="AO400" s="734"/>
      <c r="AP400" s="52"/>
      <c r="AQ400" s="52"/>
      <c r="AR400" s="52"/>
      <c r="AS400" s="52"/>
      <c r="AT400" s="52"/>
      <c r="AU400" s="52"/>
      <c r="AV400" s="52"/>
      <c r="AW400" s="52"/>
      <c r="AX400" s="52"/>
      <c r="AY400" s="52"/>
      <c r="AZ400" s="734" t="str">
        <f>IFERROR(__xludf.DUMMYFUNCTION("""COMPUTED_VALUE"""),"Mighty Navigator")</f>
        <v>Mighty Navigator</v>
      </c>
      <c r="BA400" s="740"/>
      <c r="BB400" s="734"/>
      <c r="BC400" s="740"/>
      <c r="BD400" s="734"/>
      <c r="BE400" s="52"/>
      <c r="BF400" s="52"/>
      <c r="BG400" s="734"/>
      <c r="BH400" s="734"/>
      <c r="BI400" s="734"/>
      <c r="BJ400" s="734"/>
    </row>
    <row r="401">
      <c r="B401" s="740"/>
      <c r="C401" s="869"/>
      <c r="D401" s="734"/>
      <c r="E401" s="734"/>
      <c r="F401" s="740"/>
      <c r="G401" s="734"/>
      <c r="H401" s="734"/>
      <c r="I401" s="777"/>
      <c r="J401" s="740"/>
      <c r="K401" s="734"/>
      <c r="L401" s="734"/>
      <c r="M401" s="734"/>
      <c r="N401" s="734"/>
      <c r="O401" s="734"/>
      <c r="P401" s="734"/>
      <c r="Q401" s="734"/>
      <c r="R401" s="734"/>
      <c r="S401" s="734"/>
      <c r="T401" s="734"/>
      <c r="U401" s="734"/>
      <c r="V401" s="734"/>
      <c r="W401" s="734"/>
      <c r="X401" s="735"/>
      <c r="Y401" s="811"/>
      <c r="Z401" s="811"/>
      <c r="AA401" s="734"/>
      <c r="AB401" s="811"/>
      <c r="AC401" s="740"/>
      <c r="AD401" s="734"/>
      <c r="AE401" s="734"/>
      <c r="AF401" s="734"/>
      <c r="AG401" s="734"/>
      <c r="AH401" s="734"/>
      <c r="AI401" s="734"/>
      <c r="AJ401" s="879"/>
      <c r="AK401" s="734"/>
      <c r="AL401" s="734"/>
      <c r="AM401" s="734"/>
      <c r="AN401" s="734"/>
      <c r="AO401" s="734"/>
      <c r="AP401" s="52"/>
      <c r="AQ401" s="52"/>
      <c r="AR401" s="52"/>
      <c r="AS401" s="52"/>
      <c r="AT401" s="52"/>
      <c r="AU401" s="52"/>
      <c r="AV401" s="52"/>
      <c r="AW401" s="52"/>
      <c r="AX401" s="52"/>
      <c r="AY401" s="52"/>
      <c r="AZ401" s="734" t="str">
        <f>IFERROR(__xludf.DUMMYFUNCTION("""COMPUTED_VALUE"""),"Mile")</f>
        <v>Mile</v>
      </c>
      <c r="BA401" s="740"/>
      <c r="BB401" s="734"/>
      <c r="BC401" s="740"/>
      <c r="BD401" s="734"/>
      <c r="BE401" s="52"/>
      <c r="BF401" s="52"/>
      <c r="BG401" s="734"/>
      <c r="BH401" s="734"/>
      <c r="BI401" s="734"/>
      <c r="BJ401" s="734"/>
    </row>
    <row r="402">
      <c r="B402" s="740"/>
      <c r="C402" s="869"/>
      <c r="D402" s="734"/>
      <c r="E402" s="734"/>
      <c r="F402" s="740"/>
      <c r="G402" s="734"/>
      <c r="H402" s="734"/>
      <c r="I402" s="777"/>
      <c r="J402" s="740"/>
      <c r="K402" s="734"/>
      <c r="L402" s="734"/>
      <c r="M402" s="734"/>
      <c r="N402" s="734"/>
      <c r="O402" s="734"/>
      <c r="P402" s="734"/>
      <c r="Q402" s="734"/>
      <c r="R402" s="734"/>
      <c r="S402" s="734"/>
      <c r="T402" s="734"/>
      <c r="U402" s="734"/>
      <c r="V402" s="734"/>
      <c r="W402" s="734"/>
      <c r="X402" s="735"/>
      <c r="Y402" s="811"/>
      <c r="Z402" s="811"/>
      <c r="AA402" s="734"/>
      <c r="AB402" s="811"/>
      <c r="AC402" s="740"/>
      <c r="AD402" s="734"/>
      <c r="AE402" s="734"/>
      <c r="AF402" s="734"/>
      <c r="AG402" s="734"/>
      <c r="AH402" s="734"/>
      <c r="AI402" s="734"/>
      <c r="AJ402" s="879"/>
      <c r="AK402" s="734"/>
      <c r="AL402" s="734"/>
      <c r="AM402" s="734"/>
      <c r="AN402" s="734"/>
      <c r="AO402" s="734"/>
      <c r="AP402" s="52"/>
      <c r="AQ402" s="52"/>
      <c r="AR402" s="52"/>
      <c r="AS402" s="52"/>
      <c r="AT402" s="52"/>
      <c r="AU402" s="52"/>
      <c r="AV402" s="52"/>
      <c r="AW402" s="52"/>
      <c r="AX402" s="52"/>
      <c r="AY402" s="52"/>
      <c r="AZ402" s="734" t="str">
        <f>IFERROR(__xludf.DUMMYFUNCTION("""COMPUTED_VALUE"""),"Ming Long")</f>
        <v>Ming Long</v>
      </c>
      <c r="BA402" s="740"/>
      <c r="BB402" s="734"/>
      <c r="BC402" s="740"/>
      <c r="BD402" s="734"/>
      <c r="BE402" s="52"/>
      <c r="BF402" s="52"/>
      <c r="BG402" s="734"/>
      <c r="BH402" s="734"/>
      <c r="BI402" s="734"/>
      <c r="BJ402" s="734"/>
    </row>
    <row r="403">
      <c r="B403" s="740"/>
      <c r="C403" s="869"/>
      <c r="D403" s="734"/>
      <c r="E403" s="734"/>
      <c r="F403" s="740"/>
      <c r="G403" s="734"/>
      <c r="H403" s="734"/>
      <c r="I403" s="777"/>
      <c r="J403" s="740"/>
      <c r="K403" s="734"/>
      <c r="L403" s="734"/>
      <c r="M403" s="734"/>
      <c r="N403" s="734"/>
      <c r="O403" s="734"/>
      <c r="P403" s="734"/>
      <c r="Q403" s="734"/>
      <c r="R403" s="734"/>
      <c r="S403" s="734"/>
      <c r="T403" s="734"/>
      <c r="U403" s="734"/>
      <c r="V403" s="734"/>
      <c r="W403" s="734"/>
      <c r="X403" s="735"/>
      <c r="Y403" s="811"/>
      <c r="Z403" s="811"/>
      <c r="AA403" s="734"/>
      <c r="AB403" s="811"/>
      <c r="AC403" s="740"/>
      <c r="AD403" s="734"/>
      <c r="AE403" s="734"/>
      <c r="AF403" s="734"/>
      <c r="AG403" s="734"/>
      <c r="AH403" s="734"/>
      <c r="AI403" s="734"/>
      <c r="AJ403" s="879"/>
      <c r="AK403" s="734"/>
      <c r="AL403" s="734"/>
      <c r="AM403" s="734"/>
      <c r="AN403" s="734"/>
      <c r="AO403" s="734"/>
      <c r="AP403" s="52"/>
      <c r="AQ403" s="52"/>
      <c r="AR403" s="52"/>
      <c r="AS403" s="52"/>
      <c r="AT403" s="52"/>
      <c r="AU403" s="52"/>
      <c r="AV403" s="52"/>
      <c r="AW403" s="52"/>
      <c r="AX403" s="52"/>
      <c r="AY403" s="52"/>
      <c r="AZ403" s="734" t="str">
        <f>IFERROR(__xludf.DUMMYFUNCTION("""COMPUTED_VALUE"""),"Miura")</f>
        <v>Miura</v>
      </c>
      <c r="BA403" s="740"/>
      <c r="BB403" s="734"/>
      <c r="BC403" s="740"/>
      <c r="BD403" s="734"/>
      <c r="BE403" s="52"/>
      <c r="BF403" s="52"/>
      <c r="BG403" s="734"/>
      <c r="BH403" s="734"/>
      <c r="BI403" s="734"/>
      <c r="BJ403" s="734"/>
    </row>
    <row r="404">
      <c r="B404" s="740"/>
      <c r="C404" s="869"/>
      <c r="D404" s="734"/>
      <c r="E404" s="734"/>
      <c r="F404" s="740"/>
      <c r="G404" s="734"/>
      <c r="H404" s="734"/>
      <c r="I404" s="777"/>
      <c r="J404" s="740"/>
      <c r="K404" s="734"/>
      <c r="L404" s="734"/>
      <c r="M404" s="734"/>
      <c r="N404" s="734"/>
      <c r="O404" s="734"/>
      <c r="P404" s="734"/>
      <c r="Q404" s="734"/>
      <c r="R404" s="734"/>
      <c r="S404" s="734"/>
      <c r="T404" s="734"/>
      <c r="U404" s="734"/>
      <c r="V404" s="734"/>
      <c r="W404" s="734"/>
      <c r="X404" s="735"/>
      <c r="Y404" s="811"/>
      <c r="Z404" s="811"/>
      <c r="AA404" s="734"/>
      <c r="AB404" s="811"/>
      <c r="AC404" s="740"/>
      <c r="AD404" s="734"/>
      <c r="AE404" s="734"/>
      <c r="AF404" s="734"/>
      <c r="AG404" s="734"/>
      <c r="AH404" s="734"/>
      <c r="AI404" s="734"/>
      <c r="AJ404" s="879"/>
      <c r="AK404" s="734"/>
      <c r="AL404" s="734"/>
      <c r="AM404" s="734"/>
      <c r="AN404" s="734"/>
      <c r="AO404" s="734"/>
      <c r="AP404" s="52"/>
      <c r="AQ404" s="52"/>
      <c r="AR404" s="52"/>
      <c r="AS404" s="52"/>
      <c r="AT404" s="52"/>
      <c r="AU404" s="52"/>
      <c r="AV404" s="52"/>
      <c r="AW404" s="52"/>
      <c r="AX404" s="52"/>
      <c r="AY404" s="52"/>
      <c r="AZ404" s="734" t="str">
        <f>IFERROR(__xludf.DUMMYFUNCTION("""COMPUTED_VALUE"""),"Myra Gas")</f>
        <v>Myra Gas</v>
      </c>
      <c r="BA404" s="740"/>
      <c r="BB404" s="734"/>
      <c r="BC404" s="740"/>
      <c r="BD404" s="734"/>
      <c r="BE404" s="52"/>
      <c r="BF404" s="52"/>
      <c r="BG404" s="734"/>
      <c r="BH404" s="734"/>
      <c r="BI404" s="734"/>
      <c r="BJ404" s="734"/>
    </row>
    <row r="405">
      <c r="B405" s="740"/>
      <c r="C405" s="869"/>
      <c r="D405" s="734"/>
      <c r="E405" s="734"/>
      <c r="F405" s="740"/>
      <c r="G405" s="734"/>
      <c r="H405" s="734"/>
      <c r="I405" s="777"/>
      <c r="J405" s="740"/>
      <c r="K405" s="734"/>
      <c r="L405" s="734"/>
      <c r="M405" s="734"/>
      <c r="N405" s="734"/>
      <c r="O405" s="734"/>
      <c r="P405" s="734"/>
      <c r="Q405" s="734"/>
      <c r="R405" s="734"/>
      <c r="S405" s="734"/>
      <c r="T405" s="734"/>
      <c r="U405" s="734"/>
      <c r="V405" s="734"/>
      <c r="W405" s="734"/>
      <c r="X405" s="735"/>
      <c r="Y405" s="811"/>
      <c r="Z405" s="811"/>
      <c r="AA405" s="734"/>
      <c r="AB405" s="811"/>
      <c r="AC405" s="740"/>
      <c r="AD405" s="734"/>
      <c r="AE405" s="734"/>
      <c r="AF405" s="734"/>
      <c r="AG405" s="734"/>
      <c r="AH405" s="734"/>
      <c r="AI405" s="734"/>
      <c r="AJ405" s="879"/>
      <c r="AK405" s="734"/>
      <c r="AL405" s="734"/>
      <c r="AM405" s="734"/>
      <c r="AN405" s="734"/>
      <c r="AO405" s="734"/>
      <c r="AP405" s="52"/>
      <c r="AQ405" s="52"/>
      <c r="AR405" s="52"/>
      <c r="AS405" s="52"/>
      <c r="AT405" s="52"/>
      <c r="AU405" s="52"/>
      <c r="AV405" s="52"/>
      <c r="AW405" s="52"/>
      <c r="AX405" s="52"/>
      <c r="AY405" s="52"/>
      <c r="AZ405" s="734" t="str">
        <f>IFERROR(__xludf.DUMMYFUNCTION("""COMPUTED_VALUE"""),"Nanda Devi")</f>
        <v>Nanda Devi</v>
      </c>
      <c r="BA405" s="740"/>
      <c r="BB405" s="734"/>
      <c r="BC405" s="740"/>
      <c r="BD405" s="734"/>
      <c r="BE405" s="52"/>
      <c r="BF405" s="52"/>
      <c r="BG405" s="734"/>
      <c r="BH405" s="734"/>
      <c r="BI405" s="734"/>
      <c r="BJ405" s="734"/>
    </row>
    <row r="406">
      <c r="B406" s="740"/>
      <c r="C406" s="869"/>
      <c r="D406" s="734"/>
      <c r="E406" s="734"/>
      <c r="F406" s="740"/>
      <c r="G406" s="734"/>
      <c r="H406" s="734"/>
      <c r="I406" s="777"/>
      <c r="J406" s="740"/>
      <c r="K406" s="734"/>
      <c r="L406" s="734"/>
      <c r="M406" s="734"/>
      <c r="N406" s="734"/>
      <c r="O406" s="734"/>
      <c r="P406" s="734"/>
      <c r="Q406" s="734"/>
      <c r="R406" s="734"/>
      <c r="S406" s="734"/>
      <c r="T406" s="734"/>
      <c r="U406" s="734"/>
      <c r="V406" s="734"/>
      <c r="W406" s="734"/>
      <c r="X406" s="735"/>
      <c r="Y406" s="811"/>
      <c r="Z406" s="811"/>
      <c r="AA406" s="734"/>
      <c r="AB406" s="811"/>
      <c r="AC406" s="740"/>
      <c r="AD406" s="734"/>
      <c r="AE406" s="734"/>
      <c r="AF406" s="734"/>
      <c r="AG406" s="734"/>
      <c r="AH406" s="734"/>
      <c r="AI406" s="734"/>
      <c r="AJ406" s="879"/>
      <c r="AK406" s="734"/>
      <c r="AL406" s="734"/>
      <c r="AM406" s="734"/>
      <c r="AN406" s="734"/>
      <c r="AO406" s="734"/>
      <c r="AP406" s="52"/>
      <c r="AQ406" s="52"/>
      <c r="AR406" s="52"/>
      <c r="AS406" s="52"/>
      <c r="AT406" s="52"/>
      <c r="AU406" s="52"/>
      <c r="AV406" s="52"/>
      <c r="AW406" s="52"/>
      <c r="AX406" s="52"/>
      <c r="AY406" s="52"/>
      <c r="AZ406" s="734" t="str">
        <f>IFERROR(__xludf.DUMMYFUNCTION("""COMPUTED_VALUE"""),"Navixon")</f>
        <v>Navixon</v>
      </c>
      <c r="BA406" s="740"/>
      <c r="BB406" s="734"/>
      <c r="BC406" s="740"/>
      <c r="BD406" s="734"/>
      <c r="BE406" s="52"/>
      <c r="BF406" s="52"/>
      <c r="BG406" s="734"/>
      <c r="BH406" s="734"/>
      <c r="BI406" s="734"/>
      <c r="BJ406" s="734"/>
    </row>
    <row r="407">
      <c r="B407" s="740"/>
      <c r="C407" s="869"/>
      <c r="D407" s="734"/>
      <c r="E407" s="734"/>
      <c r="F407" s="740"/>
      <c r="G407" s="734"/>
      <c r="H407" s="734"/>
      <c r="I407" s="777"/>
      <c r="J407" s="740"/>
      <c r="K407" s="734"/>
      <c r="L407" s="734"/>
      <c r="M407" s="734"/>
      <c r="N407" s="734"/>
      <c r="O407" s="734"/>
      <c r="P407" s="734"/>
      <c r="Q407" s="734"/>
      <c r="R407" s="734"/>
      <c r="S407" s="734"/>
      <c r="T407" s="734"/>
      <c r="U407" s="734"/>
      <c r="V407" s="734"/>
      <c r="W407" s="734"/>
      <c r="X407" s="735"/>
      <c r="Y407" s="811"/>
      <c r="Z407" s="811"/>
      <c r="AA407" s="734"/>
      <c r="AB407" s="811"/>
      <c r="AC407" s="740"/>
      <c r="AD407" s="734"/>
      <c r="AE407" s="734"/>
      <c r="AF407" s="734"/>
      <c r="AG407" s="734"/>
      <c r="AH407" s="734"/>
      <c r="AI407" s="734"/>
      <c r="AJ407" s="879"/>
      <c r="AK407" s="734"/>
      <c r="AL407" s="734"/>
      <c r="AM407" s="734"/>
      <c r="AN407" s="734"/>
      <c r="AO407" s="734"/>
      <c r="AP407" s="52"/>
      <c r="AQ407" s="52"/>
      <c r="AR407" s="52"/>
      <c r="AS407" s="52"/>
      <c r="AT407" s="52"/>
      <c r="AU407" s="52"/>
      <c r="AV407" s="52"/>
      <c r="AW407" s="52"/>
      <c r="AX407" s="52"/>
      <c r="AY407" s="52"/>
      <c r="AZ407" s="734" t="str">
        <f>IFERROR(__xludf.DUMMYFUNCTION("""COMPUTED_VALUE"""),"Nv Aquamarine")</f>
        <v>Nv Aquamarine</v>
      </c>
      <c r="BA407" s="740"/>
      <c r="BB407" s="734"/>
      <c r="BC407" s="740"/>
      <c r="BD407" s="734"/>
      <c r="BE407" s="52"/>
      <c r="BF407" s="52"/>
      <c r="BG407" s="734"/>
      <c r="BH407" s="734"/>
      <c r="BI407" s="734"/>
      <c r="BJ407" s="734"/>
    </row>
    <row r="408">
      <c r="B408" s="740"/>
      <c r="C408" s="869"/>
      <c r="D408" s="734"/>
      <c r="E408" s="734"/>
      <c r="F408" s="819"/>
      <c r="G408" s="734"/>
      <c r="H408" s="734"/>
      <c r="I408" s="777"/>
      <c r="J408" s="740"/>
      <c r="K408" s="734"/>
      <c r="L408" s="734"/>
      <c r="M408" s="734"/>
      <c r="N408" s="734"/>
      <c r="O408" s="734"/>
      <c r="P408" s="734"/>
      <c r="Q408" s="734"/>
      <c r="R408" s="734"/>
      <c r="S408" s="734"/>
      <c r="T408" s="734"/>
      <c r="U408" s="734"/>
      <c r="V408" s="734"/>
      <c r="W408" s="734"/>
      <c r="X408" s="735"/>
      <c r="Y408" s="811"/>
      <c r="Z408" s="811"/>
      <c r="AA408" s="734"/>
      <c r="AB408" s="811"/>
      <c r="AC408" s="740"/>
      <c r="AD408" s="734"/>
      <c r="AE408" s="734"/>
      <c r="AF408" s="734"/>
      <c r="AG408" s="734"/>
      <c r="AH408" s="734"/>
      <c r="AI408" s="734"/>
      <c r="AJ408" s="879"/>
      <c r="AK408" s="734"/>
      <c r="AL408" s="734"/>
      <c r="AM408" s="734"/>
      <c r="AN408" s="734"/>
      <c r="AO408" s="734"/>
      <c r="AP408" s="52"/>
      <c r="AQ408" s="52"/>
      <c r="AR408" s="52"/>
      <c r="AS408" s="52"/>
      <c r="AT408" s="52"/>
      <c r="AU408" s="52"/>
      <c r="AV408" s="52"/>
      <c r="AW408" s="52"/>
      <c r="AX408" s="52"/>
      <c r="AY408" s="52"/>
      <c r="AZ408" s="734" t="str">
        <f>IFERROR(__xludf.DUMMYFUNCTION("""COMPUTED_VALUE"""),"Ocean Radiance")</f>
        <v>Ocean Radiance</v>
      </c>
      <c r="BA408" s="740"/>
      <c r="BB408" s="734"/>
      <c r="BC408" s="740"/>
      <c r="BD408" s="734"/>
      <c r="BE408" s="52"/>
      <c r="BF408" s="52"/>
      <c r="BG408" s="734"/>
      <c r="BH408" s="734"/>
      <c r="BI408" s="734"/>
      <c r="BJ408" s="734"/>
    </row>
    <row r="409">
      <c r="B409" s="740"/>
      <c r="C409" s="869"/>
      <c r="D409" s="734"/>
      <c r="E409" s="734"/>
      <c r="F409" s="819"/>
      <c r="G409" s="734"/>
      <c r="H409" s="734"/>
      <c r="I409" s="777"/>
      <c r="J409" s="740"/>
      <c r="K409" s="734"/>
      <c r="L409" s="734"/>
      <c r="M409" s="734"/>
      <c r="N409" s="734"/>
      <c r="O409" s="734"/>
      <c r="P409" s="734"/>
      <c r="Q409" s="734"/>
      <c r="R409" s="734"/>
      <c r="S409" s="734"/>
      <c r="T409" s="734"/>
      <c r="U409" s="734"/>
      <c r="V409" s="734"/>
      <c r="W409" s="734"/>
      <c r="X409" s="735"/>
      <c r="Y409" s="811"/>
      <c r="Z409" s="811"/>
      <c r="AA409" s="734"/>
      <c r="AB409" s="811"/>
      <c r="AC409" s="740"/>
      <c r="AD409" s="734"/>
      <c r="AE409" s="734"/>
      <c r="AF409" s="734"/>
      <c r="AG409" s="734"/>
      <c r="AH409" s="734"/>
      <c r="AI409" s="734"/>
      <c r="AJ409" s="879"/>
      <c r="AK409" s="734"/>
      <c r="AL409" s="734"/>
      <c r="AM409" s="734"/>
      <c r="AN409" s="734"/>
      <c r="AO409" s="734"/>
      <c r="AP409" s="52"/>
      <c r="AQ409" s="52"/>
      <c r="AR409" s="52"/>
      <c r="AS409" s="52"/>
      <c r="AT409" s="52"/>
      <c r="AU409" s="52"/>
      <c r="AV409" s="52"/>
      <c r="AW409" s="52"/>
      <c r="AX409" s="52"/>
      <c r="AY409" s="52"/>
      <c r="AZ409" s="734" t="str">
        <f>IFERROR(__xludf.DUMMYFUNCTION("""COMPUTED_VALUE"""),"Orlando 1")</f>
        <v>Orlando 1</v>
      </c>
      <c r="BA409" s="740"/>
      <c r="BB409" s="734"/>
      <c r="BC409" s="740"/>
      <c r="BD409" s="734"/>
      <c r="BE409" s="52"/>
      <c r="BF409" s="52"/>
      <c r="BG409" s="734"/>
      <c r="BH409" s="734"/>
      <c r="BI409" s="734"/>
      <c r="BJ409" s="734"/>
    </row>
    <row r="410">
      <c r="B410" s="740"/>
      <c r="C410" s="869"/>
      <c r="D410" s="734"/>
      <c r="E410" s="734"/>
      <c r="F410" s="740"/>
      <c r="G410" s="734"/>
      <c r="H410" s="734"/>
      <c r="I410" s="777"/>
      <c r="J410" s="740"/>
      <c r="K410" s="734"/>
      <c r="L410" s="734"/>
      <c r="M410" s="734"/>
      <c r="N410" s="734"/>
      <c r="O410" s="734"/>
      <c r="P410" s="734"/>
      <c r="Q410" s="734"/>
      <c r="R410" s="734"/>
      <c r="S410" s="734"/>
      <c r="T410" s="734"/>
      <c r="U410" s="734"/>
      <c r="V410" s="734"/>
      <c r="W410" s="734"/>
      <c r="X410" s="735"/>
      <c r="Y410" s="811"/>
      <c r="Z410" s="811"/>
      <c r="AA410" s="734"/>
      <c r="AB410" s="811"/>
      <c r="AC410" s="740"/>
      <c r="AD410" s="734"/>
      <c r="AE410" s="734"/>
      <c r="AF410" s="734"/>
      <c r="AG410" s="734"/>
      <c r="AH410" s="734"/>
      <c r="AI410" s="734"/>
      <c r="AJ410" s="879"/>
      <c r="AK410" s="734"/>
      <c r="AL410" s="734"/>
      <c r="AM410" s="734"/>
      <c r="AN410" s="734"/>
      <c r="AO410" s="734"/>
      <c r="AP410" s="52"/>
      <c r="AQ410" s="52"/>
      <c r="AR410" s="52"/>
      <c r="AS410" s="52"/>
      <c r="AT410" s="52"/>
      <c r="AU410" s="52"/>
      <c r="AV410" s="52"/>
      <c r="AW410" s="52"/>
      <c r="AX410" s="52"/>
      <c r="AY410" s="52"/>
      <c r="AZ410" s="734" t="str">
        <f>IFERROR(__xludf.DUMMYFUNCTION("""COMPUTED_VALUE"""),"Pawan Putra")</f>
        <v>Pawan Putra</v>
      </c>
      <c r="BA410" s="740"/>
      <c r="BB410" s="734"/>
      <c r="BC410" s="740"/>
      <c r="BD410" s="734"/>
      <c r="BE410" s="52"/>
      <c r="BF410" s="52"/>
      <c r="BG410" s="734"/>
      <c r="BH410" s="734"/>
      <c r="BI410" s="734"/>
      <c r="BJ410" s="734"/>
    </row>
    <row r="411">
      <c r="B411" s="740"/>
      <c r="C411" s="869"/>
      <c r="D411" s="734"/>
      <c r="E411" s="734"/>
      <c r="F411" s="740"/>
      <c r="G411" s="734"/>
      <c r="H411" s="734"/>
      <c r="I411" s="836"/>
      <c r="J411" s="740"/>
      <c r="K411" s="734"/>
      <c r="L411" s="734"/>
      <c r="M411" s="734"/>
      <c r="N411" s="734"/>
      <c r="O411" s="734"/>
      <c r="P411" s="734"/>
      <c r="Q411" s="734"/>
      <c r="R411" s="734"/>
      <c r="S411" s="734"/>
      <c r="T411" s="734"/>
      <c r="U411" s="734"/>
      <c r="V411" s="734"/>
      <c r="W411" s="734"/>
      <c r="X411" s="735"/>
      <c r="Y411" s="881">
        <v>4.0</v>
      </c>
      <c r="Z411" s="811"/>
      <c r="AA411" s="734"/>
      <c r="AB411" s="811"/>
      <c r="AC411" s="740"/>
      <c r="AD411" s="734"/>
      <c r="AE411" s="734"/>
      <c r="AF411" s="734"/>
      <c r="AG411" s="734"/>
      <c r="AH411" s="734"/>
      <c r="AI411" s="734"/>
      <c r="AJ411" s="879"/>
      <c r="AK411" s="734"/>
      <c r="AL411" s="734"/>
      <c r="AM411" s="734"/>
      <c r="AN411" s="734"/>
      <c r="AO411" s="734"/>
      <c r="AP411" s="52"/>
      <c r="AQ411" s="52"/>
      <c r="AR411" s="52"/>
      <c r="AS411" s="52"/>
      <c r="AT411" s="52"/>
      <c r="AU411" s="52"/>
      <c r="AV411" s="52"/>
      <c r="AW411" s="52"/>
      <c r="AX411" s="52"/>
      <c r="AY411" s="52"/>
      <c r="AZ411" s="734" t="str">
        <f>IFERROR(__xludf.DUMMYFUNCTION("""COMPUTED_VALUE"""),"Pinar Gas")</f>
        <v>Pinar Gas</v>
      </c>
      <c r="BA411" s="740"/>
      <c r="BB411" s="734"/>
      <c r="BC411" s="740"/>
      <c r="BD411" s="734"/>
      <c r="BE411" s="52"/>
      <c r="BF411" s="52"/>
      <c r="BG411" s="734"/>
      <c r="BH411" s="734"/>
      <c r="BI411" s="734"/>
      <c r="BJ411" s="734"/>
    </row>
    <row r="412">
      <c r="B412" s="740"/>
      <c r="C412" s="869"/>
      <c r="D412" s="734"/>
      <c r="E412" s="734"/>
      <c r="F412" s="740"/>
      <c r="G412" s="734"/>
      <c r="H412" s="734"/>
      <c r="I412" s="777"/>
      <c r="J412" s="740"/>
      <c r="K412" s="734"/>
      <c r="L412" s="734"/>
      <c r="M412" s="734"/>
      <c r="N412" s="734"/>
      <c r="O412" s="734"/>
      <c r="P412" s="734"/>
      <c r="Q412" s="734"/>
      <c r="R412" s="734"/>
      <c r="S412" s="734"/>
      <c r="T412" s="734"/>
      <c r="U412" s="734"/>
      <c r="V412" s="734"/>
      <c r="W412" s="734"/>
      <c r="X412" s="735"/>
      <c r="Y412" s="811"/>
      <c r="Z412" s="811"/>
      <c r="AA412" s="734"/>
      <c r="AB412" s="811"/>
      <c r="AC412" s="740"/>
      <c r="AD412" s="734"/>
      <c r="AE412" s="734"/>
      <c r="AF412" s="734"/>
      <c r="AG412" s="734"/>
      <c r="AH412" s="734"/>
      <c r="AI412" s="734"/>
      <c r="AJ412" s="879"/>
      <c r="AK412" s="734"/>
      <c r="AL412" s="734"/>
      <c r="AM412" s="734"/>
      <c r="AN412" s="734"/>
      <c r="AO412" s="734"/>
      <c r="AP412" s="52"/>
      <c r="AQ412" s="52"/>
      <c r="AR412" s="52"/>
      <c r="AS412" s="52"/>
      <c r="AT412" s="52"/>
      <c r="AU412" s="52"/>
      <c r="AV412" s="52"/>
      <c r="AW412" s="52"/>
      <c r="AX412" s="52"/>
      <c r="AY412" s="52"/>
      <c r="AZ412" s="734" t="str">
        <f>IFERROR(__xludf.DUMMYFUNCTION("""COMPUTED_VALUE"""),"Pine Gas")</f>
        <v>Pine Gas</v>
      </c>
      <c r="BA412" s="740"/>
      <c r="BB412" s="734"/>
      <c r="BC412" s="740"/>
      <c r="BD412" s="734"/>
      <c r="BE412" s="52"/>
      <c r="BF412" s="52"/>
      <c r="BG412" s="734"/>
      <c r="BH412" s="734"/>
      <c r="BI412" s="734"/>
      <c r="BJ412" s="734"/>
    </row>
    <row r="413">
      <c r="B413" s="740"/>
      <c r="C413" s="869"/>
      <c r="D413" s="734"/>
      <c r="E413" s="734"/>
      <c r="F413" s="740"/>
      <c r="G413" s="734"/>
      <c r="H413" s="734"/>
      <c r="I413" s="777"/>
      <c r="J413" s="740"/>
      <c r="K413" s="734"/>
      <c r="L413" s="734"/>
      <c r="M413" s="734"/>
      <c r="N413" s="734"/>
      <c r="O413" s="734"/>
      <c r="P413" s="734"/>
      <c r="Q413" s="734"/>
      <c r="R413" s="734"/>
      <c r="S413" s="734"/>
      <c r="T413" s="734"/>
      <c r="U413" s="734"/>
      <c r="V413" s="734"/>
      <c r="W413" s="734"/>
      <c r="X413" s="735"/>
      <c r="Y413" s="811"/>
      <c r="Z413" s="811"/>
      <c r="AA413" s="734"/>
      <c r="AB413" s="811"/>
      <c r="AC413" s="740"/>
      <c r="AD413" s="734"/>
      <c r="AE413" s="734"/>
      <c r="AF413" s="734"/>
      <c r="AG413" s="734"/>
      <c r="AH413" s="734"/>
      <c r="AI413" s="734"/>
      <c r="AJ413" s="879"/>
      <c r="AK413" s="734"/>
      <c r="AL413" s="734"/>
      <c r="AM413" s="734"/>
      <c r="AN413" s="734"/>
      <c r="AO413" s="734"/>
      <c r="AP413" s="52"/>
      <c r="AQ413" s="52"/>
      <c r="AR413" s="52"/>
      <c r="AS413" s="52"/>
      <c r="AT413" s="52"/>
      <c r="AU413" s="52"/>
      <c r="AV413" s="52"/>
      <c r="AW413" s="52"/>
      <c r="AX413" s="52"/>
      <c r="AY413" s="52"/>
      <c r="AZ413" s="734" t="str">
        <f>IFERROR(__xludf.DUMMYFUNCTION("""COMPUTED_VALUE"""),"Pyra")</f>
        <v>Pyra</v>
      </c>
      <c r="BA413" s="740"/>
      <c r="BB413" s="734"/>
      <c r="BC413" s="740"/>
      <c r="BD413" s="734"/>
      <c r="BE413" s="52"/>
      <c r="BF413" s="52"/>
      <c r="BG413" s="734"/>
      <c r="BH413" s="734"/>
      <c r="BI413" s="734"/>
      <c r="BJ413" s="734"/>
    </row>
    <row r="414">
      <c r="B414" s="740"/>
      <c r="C414" s="869"/>
      <c r="D414" s="734"/>
      <c r="E414" s="734"/>
      <c r="F414" s="740"/>
      <c r="G414" s="734"/>
      <c r="H414" s="734"/>
      <c r="I414" s="777"/>
      <c r="J414" s="740"/>
      <c r="K414" s="734"/>
      <c r="L414" s="734"/>
      <c r="M414" s="734"/>
      <c r="N414" s="734"/>
      <c r="O414" s="734"/>
      <c r="P414" s="734"/>
      <c r="Q414" s="734"/>
      <c r="R414" s="734"/>
      <c r="S414" s="734"/>
      <c r="T414" s="734"/>
      <c r="U414" s="734"/>
      <c r="V414" s="734"/>
      <c r="W414" s="734"/>
      <c r="X414" s="735"/>
      <c r="Y414" s="811"/>
      <c r="Z414" s="811"/>
      <c r="AA414" s="734"/>
      <c r="AB414" s="811"/>
      <c r="AC414" s="740"/>
      <c r="AD414" s="734"/>
      <c r="AE414" s="734"/>
      <c r="AF414" s="734"/>
      <c r="AG414" s="734"/>
      <c r="AH414" s="734"/>
      <c r="AI414" s="734"/>
      <c r="AJ414" s="879"/>
      <c r="AK414" s="734"/>
      <c r="AL414" s="734"/>
      <c r="AM414" s="734"/>
      <c r="AN414" s="734"/>
      <c r="AO414" s="734"/>
      <c r="AP414" s="52"/>
      <c r="AQ414" s="52"/>
      <c r="AR414" s="52"/>
      <c r="AS414" s="52"/>
      <c r="AT414" s="52"/>
      <c r="AU414" s="52"/>
      <c r="AV414" s="52"/>
      <c r="AW414" s="52"/>
      <c r="AX414" s="52"/>
      <c r="AY414" s="52"/>
      <c r="AZ414" s="734" t="str">
        <f>IFERROR(__xludf.DUMMYFUNCTION("""COMPUTED_VALUE"""),"Quantum Star")</f>
        <v>Quantum Star</v>
      </c>
      <c r="BA414" s="740"/>
      <c r="BB414" s="734"/>
      <c r="BC414" s="740"/>
      <c r="BD414" s="734"/>
      <c r="BE414" s="52"/>
      <c r="BF414" s="52"/>
      <c r="BG414" s="734"/>
      <c r="BH414" s="734"/>
      <c r="BI414" s="734"/>
      <c r="BJ414" s="734"/>
    </row>
    <row r="415">
      <c r="B415" s="740"/>
      <c r="C415" s="869"/>
      <c r="D415" s="734"/>
      <c r="E415" s="734"/>
      <c r="F415" s="740"/>
      <c r="G415" s="734"/>
      <c r="H415" s="734"/>
      <c r="I415" s="777"/>
      <c r="J415" s="740"/>
      <c r="K415" s="734"/>
      <c r="L415" s="734"/>
      <c r="M415" s="734"/>
      <c r="N415" s="734"/>
      <c r="O415" s="734"/>
      <c r="P415" s="734"/>
      <c r="Q415" s="734"/>
      <c r="R415" s="734"/>
      <c r="S415" s="734"/>
      <c r="T415" s="734"/>
      <c r="U415" s="734"/>
      <c r="V415" s="734"/>
      <c r="W415" s="734"/>
      <c r="X415" s="735"/>
      <c r="Y415" s="811"/>
      <c r="Z415" s="811"/>
      <c r="AA415" s="734"/>
      <c r="AB415" s="811"/>
      <c r="AC415" s="740"/>
      <c r="AD415" s="734"/>
      <c r="AE415" s="734"/>
      <c r="AF415" s="734"/>
      <c r="AG415" s="734"/>
      <c r="AH415" s="734"/>
      <c r="AI415" s="734"/>
      <c r="AJ415" s="879"/>
      <c r="AK415" s="734"/>
      <c r="AL415" s="734"/>
      <c r="AM415" s="734"/>
      <c r="AN415" s="734"/>
      <c r="AO415" s="734"/>
      <c r="AP415" s="52"/>
      <c r="AQ415" s="52"/>
      <c r="AR415" s="52"/>
      <c r="AS415" s="52"/>
      <c r="AT415" s="52"/>
      <c r="AU415" s="52"/>
      <c r="AV415" s="52"/>
      <c r="AW415" s="52"/>
      <c r="AX415" s="52"/>
      <c r="AY415" s="52"/>
      <c r="AZ415" s="734" t="str">
        <f>IFERROR(__xludf.DUMMYFUNCTION("""COMPUTED_VALUE"""),"Raine")</f>
        <v>Raine</v>
      </c>
      <c r="BA415" s="740"/>
      <c r="BB415" s="734"/>
      <c r="BC415" s="740"/>
      <c r="BD415" s="734"/>
      <c r="BE415" s="52"/>
      <c r="BF415" s="52"/>
      <c r="BG415" s="734"/>
      <c r="BH415" s="734"/>
      <c r="BI415" s="734"/>
      <c r="BJ415" s="734"/>
    </row>
    <row r="416">
      <c r="B416" s="740"/>
      <c r="C416" s="869"/>
      <c r="D416" s="734"/>
      <c r="E416" s="734"/>
      <c r="F416" s="740"/>
      <c r="G416" s="734"/>
      <c r="H416" s="732"/>
      <c r="I416" s="777"/>
      <c r="J416" s="740"/>
      <c r="K416" s="734"/>
      <c r="L416" s="734"/>
      <c r="M416" s="734"/>
      <c r="N416" s="734"/>
      <c r="O416" s="734"/>
      <c r="P416" s="734"/>
      <c r="Q416" s="734"/>
      <c r="R416" s="734"/>
      <c r="S416" s="734"/>
      <c r="T416" s="734"/>
      <c r="U416" s="734"/>
      <c r="V416" s="734"/>
      <c r="W416" s="734"/>
      <c r="X416" s="735"/>
      <c r="Y416" s="811"/>
      <c r="Z416" s="811"/>
      <c r="AA416" s="734"/>
      <c r="AB416" s="811"/>
      <c r="AC416" s="740"/>
      <c r="AD416" s="734"/>
      <c r="AE416" s="734"/>
      <c r="AF416" s="734"/>
      <c r="AG416" s="734"/>
      <c r="AH416" s="734"/>
      <c r="AI416" s="734"/>
      <c r="AJ416" s="879"/>
      <c r="AK416" s="734"/>
      <c r="AL416" s="734"/>
      <c r="AM416" s="734"/>
      <c r="AN416" s="734"/>
      <c r="AO416" s="734"/>
      <c r="AP416" s="52"/>
      <c r="AQ416" s="52"/>
      <c r="AR416" s="52"/>
      <c r="AS416" s="52"/>
      <c r="AT416" s="52"/>
      <c r="AU416" s="52"/>
      <c r="AV416" s="52"/>
      <c r="AW416" s="52"/>
      <c r="AX416" s="52"/>
      <c r="AY416" s="52"/>
      <c r="AZ416" s="734" t="str">
        <f>IFERROR(__xludf.DUMMYFUNCTION("""COMPUTED_VALUE"""),"Reimei")</f>
        <v>Reimei</v>
      </c>
      <c r="BA416" s="740"/>
      <c r="BB416" s="734"/>
      <c r="BC416" s="740"/>
      <c r="BD416" s="734"/>
      <c r="BE416" s="52"/>
      <c r="BF416" s="52"/>
      <c r="BG416" s="734"/>
      <c r="BH416" s="734"/>
      <c r="BI416" s="734"/>
      <c r="BJ416" s="734"/>
    </row>
    <row r="417">
      <c r="B417" s="740"/>
      <c r="C417" s="869"/>
      <c r="D417" s="734"/>
      <c r="E417" s="734"/>
      <c r="F417" s="740"/>
      <c r="G417" s="734"/>
      <c r="H417" s="734"/>
      <c r="I417" s="777"/>
      <c r="J417" s="740"/>
      <c r="K417" s="734"/>
      <c r="L417" s="734"/>
      <c r="M417" s="734"/>
      <c r="N417" s="734"/>
      <c r="O417" s="734"/>
      <c r="P417" s="734"/>
      <c r="Q417" s="734"/>
      <c r="R417" s="734"/>
      <c r="S417" s="734"/>
      <c r="T417" s="734"/>
      <c r="U417" s="734"/>
      <c r="V417" s="734"/>
      <c r="W417" s="734"/>
      <c r="X417" s="735"/>
      <c r="Y417" s="811"/>
      <c r="Z417" s="811"/>
      <c r="AA417" s="734"/>
      <c r="AB417" s="811"/>
      <c r="AC417" s="740"/>
      <c r="AD417" s="734"/>
      <c r="AE417" s="734"/>
      <c r="AF417" s="734"/>
      <c r="AG417" s="734"/>
      <c r="AH417" s="734"/>
      <c r="AI417" s="734"/>
      <c r="AJ417" s="879"/>
      <c r="AK417" s="734"/>
      <c r="AL417" s="734"/>
      <c r="AM417" s="734"/>
      <c r="AN417" s="734"/>
      <c r="AO417" s="734"/>
      <c r="AP417" s="52"/>
      <c r="AQ417" s="52"/>
      <c r="AR417" s="52"/>
      <c r="AS417" s="52"/>
      <c r="AT417" s="52"/>
      <c r="AU417" s="52"/>
      <c r="AV417" s="52"/>
      <c r="AW417" s="52"/>
      <c r="AX417" s="52"/>
      <c r="AY417" s="52"/>
      <c r="AZ417" s="734" t="str">
        <f>IFERROR(__xludf.DUMMYFUNCTION("""COMPUTED_VALUE"""),"Rong Hao")</f>
        <v>Rong Hao</v>
      </c>
      <c r="BA417" s="740"/>
      <c r="BB417" s="734"/>
      <c r="BC417" s="740"/>
      <c r="BD417" s="734"/>
      <c r="BE417" s="52"/>
      <c r="BF417" s="52"/>
      <c r="BG417" s="734"/>
      <c r="BH417" s="734"/>
      <c r="BI417" s="734"/>
      <c r="BJ417" s="734"/>
    </row>
    <row r="418">
      <c r="B418" s="740"/>
      <c r="C418" s="869"/>
      <c r="D418" s="734"/>
      <c r="E418" s="734"/>
      <c r="F418" s="740"/>
      <c r="G418" s="734"/>
      <c r="H418" s="734"/>
      <c r="I418" s="777"/>
      <c r="J418" s="740"/>
      <c r="K418" s="734"/>
      <c r="L418" s="734"/>
      <c r="M418" s="734"/>
      <c r="N418" s="734"/>
      <c r="O418" s="734"/>
      <c r="P418" s="734"/>
      <c r="Q418" s="734"/>
      <c r="R418" s="734"/>
      <c r="S418" s="734"/>
      <c r="T418" s="734"/>
      <c r="U418" s="734"/>
      <c r="V418" s="734"/>
      <c r="W418" s="734"/>
      <c r="X418" s="735"/>
      <c r="Y418" s="811"/>
      <c r="Z418" s="811"/>
      <c r="AA418" s="734"/>
      <c r="AB418" s="811"/>
      <c r="AC418" s="740"/>
      <c r="AD418" s="734"/>
      <c r="AE418" s="734"/>
      <c r="AF418" s="734"/>
      <c r="AG418" s="734"/>
      <c r="AH418" s="734"/>
      <c r="AI418" s="734"/>
      <c r="AJ418" s="879"/>
      <c r="AK418" s="734"/>
      <c r="AL418" s="734"/>
      <c r="AM418" s="734"/>
      <c r="AN418" s="734"/>
      <c r="AO418" s="734"/>
      <c r="AP418" s="52"/>
      <c r="AQ418" s="52"/>
      <c r="AR418" s="52"/>
      <c r="AS418" s="52"/>
      <c r="AT418" s="52"/>
      <c r="AU418" s="52"/>
      <c r="AV418" s="52"/>
      <c r="AW418" s="52"/>
      <c r="AX418" s="52"/>
      <c r="AY418" s="52"/>
      <c r="AZ418" s="734" t="str">
        <f>IFERROR(__xludf.DUMMYFUNCTION("""COMPUTED_VALUE"""),"Sahyadri")</f>
        <v>Sahyadri</v>
      </c>
      <c r="BA418" s="740"/>
      <c r="BB418" s="734"/>
      <c r="BC418" s="740"/>
      <c r="BD418" s="734"/>
      <c r="BE418" s="52"/>
      <c r="BF418" s="52"/>
      <c r="BG418" s="734"/>
      <c r="BH418" s="734"/>
      <c r="BI418" s="734"/>
      <c r="BJ418" s="734"/>
    </row>
    <row r="419">
      <c r="B419" s="740"/>
      <c r="C419" s="869"/>
      <c r="D419" s="734"/>
      <c r="E419" s="734"/>
      <c r="F419" s="740"/>
      <c r="G419" s="734"/>
      <c r="H419" s="734"/>
      <c r="I419" s="777"/>
      <c r="J419" s="740"/>
      <c r="K419" s="734"/>
      <c r="L419" s="734"/>
      <c r="M419" s="734"/>
      <c r="N419" s="734"/>
      <c r="O419" s="734"/>
      <c r="P419" s="734"/>
      <c r="Q419" s="734"/>
      <c r="R419" s="734"/>
      <c r="S419" s="734"/>
      <c r="T419" s="734"/>
      <c r="U419" s="734"/>
      <c r="V419" s="734"/>
      <c r="W419" s="734"/>
      <c r="X419" s="735"/>
      <c r="Y419" s="811"/>
      <c r="Z419" s="811"/>
      <c r="AA419" s="734"/>
      <c r="AB419" s="811"/>
      <c r="AC419" s="740"/>
      <c r="AD419" s="734"/>
      <c r="AE419" s="734"/>
      <c r="AF419" s="734"/>
      <c r="AG419" s="734"/>
      <c r="AH419" s="734"/>
      <c r="AI419" s="734"/>
      <c r="AJ419" s="879"/>
      <c r="AK419" s="734"/>
      <c r="AL419" s="734"/>
      <c r="AM419" s="734"/>
      <c r="AN419" s="734"/>
      <c r="AO419" s="734"/>
      <c r="AP419" s="52"/>
      <c r="AQ419" s="52"/>
      <c r="AR419" s="52"/>
      <c r="AS419" s="52"/>
      <c r="AT419" s="52"/>
      <c r="AU419" s="52"/>
      <c r="AV419" s="52"/>
      <c r="AW419" s="52"/>
      <c r="AX419" s="52"/>
      <c r="AY419" s="52"/>
      <c r="AZ419" s="734" t="str">
        <f>IFERROR(__xludf.DUMMYFUNCTION("""COMPUTED_VALUE"""),"Salute")</f>
        <v>Salute</v>
      </c>
      <c r="BA419" s="740"/>
      <c r="BB419" s="734"/>
      <c r="BC419" s="740"/>
      <c r="BD419" s="734"/>
      <c r="BE419" s="52"/>
      <c r="BF419" s="52"/>
      <c r="BG419" s="734"/>
      <c r="BH419" s="734"/>
      <c r="BI419" s="734"/>
      <c r="BJ419" s="734"/>
    </row>
    <row r="420">
      <c r="B420" s="740"/>
      <c r="C420" s="869"/>
      <c r="D420" s="734"/>
      <c r="E420" s="734"/>
      <c r="F420" s="740"/>
      <c r="G420" s="734"/>
      <c r="H420" s="734"/>
      <c r="I420" s="777"/>
      <c r="J420" s="740"/>
      <c r="K420" s="734"/>
      <c r="L420" s="734"/>
      <c r="M420" s="734"/>
      <c r="N420" s="734"/>
      <c r="O420" s="734"/>
      <c r="P420" s="734"/>
      <c r="Q420" s="734"/>
      <c r="R420" s="734"/>
      <c r="S420" s="734"/>
      <c r="T420" s="734"/>
      <c r="U420" s="734"/>
      <c r="V420" s="734"/>
      <c r="W420" s="734"/>
      <c r="X420" s="735"/>
      <c r="Y420" s="811"/>
      <c r="Z420" s="811"/>
      <c r="AA420" s="734"/>
      <c r="AB420" s="811"/>
      <c r="AC420" s="740"/>
      <c r="AD420" s="734"/>
      <c r="AE420" s="734"/>
      <c r="AF420" s="734"/>
      <c r="AG420" s="734"/>
      <c r="AH420" s="734"/>
      <c r="AI420" s="734"/>
      <c r="AJ420" s="879"/>
      <c r="AK420" s="734"/>
      <c r="AL420" s="734"/>
      <c r="AM420" s="734"/>
      <c r="AN420" s="734"/>
      <c r="AO420" s="734"/>
      <c r="AP420" s="52"/>
      <c r="AQ420" s="52"/>
      <c r="AR420" s="52"/>
      <c r="AS420" s="52"/>
      <c r="AT420" s="52"/>
      <c r="AU420" s="52"/>
      <c r="AV420" s="52"/>
      <c r="AW420" s="52"/>
      <c r="AX420" s="52"/>
      <c r="AY420" s="52"/>
      <c r="AZ420" s="734" t="str">
        <f>IFERROR(__xludf.DUMMYFUNCTION("""COMPUTED_VALUE"""),"Sarv Shakti")</f>
        <v>Sarv Shakti</v>
      </c>
      <c r="BA420" s="740"/>
      <c r="BB420" s="734"/>
      <c r="BC420" s="740"/>
      <c r="BD420" s="734"/>
      <c r="BE420" s="52"/>
      <c r="BF420" s="52"/>
      <c r="BG420" s="734"/>
      <c r="BH420" s="734"/>
      <c r="BI420" s="734"/>
      <c r="BJ420" s="734"/>
    </row>
    <row r="421">
      <c r="B421" s="740"/>
      <c r="C421" s="869"/>
      <c r="D421" s="734"/>
      <c r="E421" s="734"/>
      <c r="F421" s="740"/>
      <c r="G421" s="734"/>
      <c r="H421" s="734"/>
      <c r="I421" s="777"/>
      <c r="J421" s="740"/>
      <c r="K421" s="734"/>
      <c r="L421" s="734"/>
      <c r="M421" s="734"/>
      <c r="N421" s="734"/>
      <c r="O421" s="734"/>
      <c r="P421" s="734"/>
      <c r="Q421" s="734"/>
      <c r="R421" s="734"/>
      <c r="S421" s="734"/>
      <c r="T421" s="734"/>
      <c r="U421" s="734"/>
      <c r="V421" s="734"/>
      <c r="W421" s="734"/>
      <c r="X421" s="735"/>
      <c r="Y421" s="811"/>
      <c r="Z421" s="811"/>
      <c r="AA421" s="734"/>
      <c r="AB421" s="811"/>
      <c r="AC421" s="740"/>
      <c r="AD421" s="734"/>
      <c r="AE421" s="734"/>
      <c r="AF421" s="734"/>
      <c r="AG421" s="734"/>
      <c r="AH421" s="734"/>
      <c r="AI421" s="734"/>
      <c r="AJ421" s="879"/>
      <c r="AK421" s="734"/>
      <c r="AL421" s="734"/>
      <c r="AM421" s="734"/>
      <c r="AN421" s="734"/>
      <c r="AO421" s="734"/>
      <c r="AP421" s="52"/>
      <c r="AQ421" s="52"/>
      <c r="AR421" s="52"/>
      <c r="AS421" s="52"/>
      <c r="AT421" s="52"/>
      <c r="AU421" s="52"/>
      <c r="AV421" s="52"/>
      <c r="AW421" s="52"/>
      <c r="AX421" s="52"/>
      <c r="AY421" s="52"/>
      <c r="AZ421" s="734" t="str">
        <f>IFERROR(__xludf.DUMMYFUNCTION("""COMPUTED_VALUE"""),"Sea Opera")</f>
        <v>Sea Opera</v>
      </c>
      <c r="BA421" s="740"/>
      <c r="BB421" s="734"/>
      <c r="BC421" s="740"/>
      <c r="BD421" s="734"/>
      <c r="BE421" s="52"/>
      <c r="BF421" s="52"/>
      <c r="BG421" s="734"/>
      <c r="BH421" s="734"/>
      <c r="BI421" s="734"/>
      <c r="BJ421" s="734"/>
    </row>
    <row r="422">
      <c r="B422" s="740"/>
      <c r="C422" s="869"/>
      <c r="D422" s="734"/>
      <c r="E422" s="734"/>
      <c r="F422" s="740"/>
      <c r="G422" s="734"/>
      <c r="H422" s="734"/>
      <c r="I422" s="777"/>
      <c r="J422" s="740"/>
      <c r="K422" s="734"/>
      <c r="L422" s="734"/>
      <c r="M422" s="734"/>
      <c r="N422" s="734"/>
      <c r="O422" s="734"/>
      <c r="P422" s="734"/>
      <c r="Q422" s="734"/>
      <c r="R422" s="734"/>
      <c r="S422" s="734"/>
      <c r="T422" s="734"/>
      <c r="U422" s="734"/>
      <c r="V422" s="734"/>
      <c r="W422" s="734"/>
      <c r="X422" s="735"/>
      <c r="Y422" s="811"/>
      <c r="Z422" s="811"/>
      <c r="AA422" s="734"/>
      <c r="AB422" s="811"/>
      <c r="AC422" s="740"/>
      <c r="AD422" s="734"/>
      <c r="AE422" s="734"/>
      <c r="AF422" s="734"/>
      <c r="AG422" s="734"/>
      <c r="AH422" s="734"/>
      <c r="AI422" s="734"/>
      <c r="AJ422" s="879"/>
      <c r="AK422" s="734"/>
      <c r="AL422" s="734"/>
      <c r="AM422" s="734"/>
      <c r="AN422" s="734"/>
      <c r="AO422" s="734"/>
      <c r="AP422" s="52"/>
      <c r="AQ422" s="52"/>
      <c r="AR422" s="52"/>
      <c r="AS422" s="52"/>
      <c r="AT422" s="52"/>
      <c r="AU422" s="52"/>
      <c r="AV422" s="52"/>
      <c r="AW422" s="52"/>
      <c r="AX422" s="52"/>
      <c r="AY422" s="52"/>
      <c r="AZ422" s="734" t="str">
        <f>IFERROR(__xludf.DUMMYFUNCTION("""COMPUTED_VALUE"""),"Seabus")</f>
        <v>Seabus</v>
      </c>
      <c r="BA422" s="740"/>
      <c r="BB422" s="734"/>
      <c r="BC422" s="740"/>
      <c r="BD422" s="734"/>
      <c r="BE422" s="52"/>
      <c r="BF422" s="52"/>
      <c r="BG422" s="734"/>
      <c r="BH422" s="734"/>
      <c r="BI422" s="734"/>
      <c r="BJ422" s="734"/>
    </row>
    <row r="423">
      <c r="B423" s="740"/>
      <c r="C423" s="869"/>
      <c r="D423" s="734"/>
      <c r="E423" s="734"/>
      <c r="F423" s="740"/>
      <c r="G423" s="734"/>
      <c r="H423" s="734"/>
      <c r="I423" s="777"/>
      <c r="J423" s="740"/>
      <c r="K423" s="734"/>
      <c r="L423" s="734"/>
      <c r="M423" s="734"/>
      <c r="N423" s="734"/>
      <c r="O423" s="734"/>
      <c r="P423" s="734"/>
      <c r="Q423" s="734"/>
      <c r="R423" s="734"/>
      <c r="S423" s="734"/>
      <c r="T423" s="734"/>
      <c r="U423" s="734"/>
      <c r="V423" s="734"/>
      <c r="W423" s="734"/>
      <c r="X423" s="735"/>
      <c r="Y423" s="811"/>
      <c r="Z423" s="811"/>
      <c r="AA423" s="734"/>
      <c r="AB423" s="811"/>
      <c r="AC423" s="740"/>
      <c r="AD423" s="734"/>
      <c r="AE423" s="734"/>
      <c r="AF423" s="734"/>
      <c r="AG423" s="734"/>
      <c r="AH423" s="734"/>
      <c r="AI423" s="734"/>
      <c r="AJ423" s="879"/>
      <c r="AK423" s="734"/>
      <c r="AL423" s="734"/>
      <c r="AM423" s="734"/>
      <c r="AN423" s="734"/>
      <c r="AO423" s="734"/>
      <c r="AP423" s="52"/>
      <c r="AQ423" s="52"/>
      <c r="AR423" s="52"/>
      <c r="AS423" s="52"/>
      <c r="AT423" s="52"/>
      <c r="AU423" s="52"/>
      <c r="AV423" s="52"/>
      <c r="AW423" s="52"/>
      <c r="AX423" s="52"/>
      <c r="AY423" s="52"/>
      <c r="AZ423" s="734" t="str">
        <f>IFERROR(__xludf.DUMMYFUNCTION("""COMPUTED_VALUE"""),"Shivalik")</f>
        <v>Shivalik</v>
      </c>
      <c r="BA423" s="740"/>
      <c r="BB423" s="734"/>
      <c r="BC423" s="740"/>
      <c r="BD423" s="734"/>
      <c r="BE423" s="52"/>
      <c r="BF423" s="52"/>
      <c r="BG423" s="734"/>
      <c r="BH423" s="734"/>
      <c r="BI423" s="734"/>
      <c r="BJ423" s="734"/>
    </row>
    <row r="424">
      <c r="B424" s="740"/>
      <c r="C424" s="869"/>
      <c r="D424" s="734"/>
      <c r="E424" s="734"/>
      <c r="F424" s="740"/>
      <c r="G424" s="734"/>
      <c r="H424" s="734"/>
      <c r="I424" s="777"/>
      <c r="J424" s="740"/>
      <c r="K424" s="734"/>
      <c r="L424" s="734"/>
      <c r="M424" s="734"/>
      <c r="N424" s="734"/>
      <c r="O424" s="734"/>
      <c r="P424" s="734"/>
      <c r="Q424" s="734"/>
      <c r="R424" s="734"/>
      <c r="S424" s="734"/>
      <c r="T424" s="734"/>
      <c r="U424" s="734"/>
      <c r="V424" s="734"/>
      <c r="W424" s="734"/>
      <c r="X424" s="735"/>
      <c r="Y424" s="811"/>
      <c r="Z424" s="811"/>
      <c r="AA424" s="734"/>
      <c r="AB424" s="811"/>
      <c r="AC424" s="740"/>
      <c r="AD424" s="734"/>
      <c r="AE424" s="734"/>
      <c r="AF424" s="734"/>
      <c r="AG424" s="734"/>
      <c r="AH424" s="734"/>
      <c r="AI424" s="734"/>
      <c r="AJ424" s="879"/>
      <c r="AK424" s="734"/>
      <c r="AL424" s="734"/>
      <c r="AM424" s="734"/>
      <c r="AN424" s="734"/>
      <c r="AO424" s="734"/>
      <c r="AP424" s="52"/>
      <c r="AQ424" s="52"/>
      <c r="AR424" s="52"/>
      <c r="AS424" s="52"/>
      <c r="AT424" s="52"/>
      <c r="AU424" s="52"/>
      <c r="AV424" s="52"/>
      <c r="AW424" s="52"/>
      <c r="AX424" s="52"/>
      <c r="AY424" s="52"/>
      <c r="AZ424" s="734" t="str">
        <f>IFERROR(__xludf.DUMMYFUNCTION("""COMPUTED_VALUE"""),"Sia")</f>
        <v>Sia</v>
      </c>
      <c r="BA424" s="740"/>
      <c r="BB424" s="734"/>
      <c r="BC424" s="740"/>
      <c r="BD424" s="734"/>
      <c r="BE424" s="52"/>
      <c r="BF424" s="52"/>
      <c r="BG424" s="734"/>
      <c r="BH424" s="734"/>
      <c r="BI424" s="734"/>
      <c r="BJ424" s="734"/>
    </row>
    <row r="425">
      <c r="B425" s="740"/>
      <c r="C425" s="869"/>
      <c r="D425" s="734"/>
      <c r="E425" s="734"/>
      <c r="F425" s="740"/>
      <c r="G425" s="734"/>
      <c r="H425" s="734"/>
      <c r="I425" s="777"/>
      <c r="J425" s="740"/>
      <c r="K425" s="734"/>
      <c r="L425" s="734"/>
      <c r="M425" s="734"/>
      <c r="N425" s="734"/>
      <c r="O425" s="734"/>
      <c r="P425" s="734"/>
      <c r="Q425" s="734"/>
      <c r="R425" s="734"/>
      <c r="S425" s="734"/>
      <c r="T425" s="734"/>
      <c r="U425" s="734"/>
      <c r="V425" s="734"/>
      <c r="W425" s="734"/>
      <c r="X425" s="735"/>
      <c r="Y425" s="811"/>
      <c r="Z425" s="811"/>
      <c r="AA425" s="734"/>
      <c r="AB425" s="811"/>
      <c r="AC425" s="740"/>
      <c r="AD425" s="734"/>
      <c r="AE425" s="734"/>
      <c r="AF425" s="734"/>
      <c r="AG425" s="734"/>
      <c r="AH425" s="734"/>
      <c r="AI425" s="734"/>
      <c r="AJ425" s="879"/>
      <c r="AK425" s="734"/>
      <c r="AL425" s="734"/>
      <c r="AM425" s="734"/>
      <c r="AN425" s="734"/>
      <c r="AO425" s="734"/>
      <c r="AP425" s="52"/>
      <c r="AQ425" s="52"/>
      <c r="AR425" s="52"/>
      <c r="AS425" s="52"/>
      <c r="AT425" s="52"/>
      <c r="AU425" s="52"/>
      <c r="AV425" s="52"/>
      <c r="AW425" s="52"/>
      <c r="AX425" s="52"/>
      <c r="AY425" s="52"/>
      <c r="AZ425" s="734" t="str">
        <f>IFERROR(__xludf.DUMMYFUNCTION("""COMPUTED_VALUE"""),"Siona")</f>
        <v>Siona</v>
      </c>
      <c r="BA425" s="740"/>
      <c r="BB425" s="734"/>
      <c r="BC425" s="740"/>
      <c r="BD425" s="734"/>
      <c r="BE425" s="52"/>
      <c r="BF425" s="52"/>
      <c r="BG425" s="734"/>
      <c r="BH425" s="734"/>
      <c r="BI425" s="734"/>
      <c r="BJ425" s="734"/>
    </row>
    <row r="426">
      <c r="B426" s="740"/>
      <c r="C426" s="869"/>
      <c r="D426" s="734"/>
      <c r="E426" s="734"/>
      <c r="F426" s="740"/>
      <c r="G426" s="734"/>
      <c r="H426" s="734"/>
      <c r="I426" s="777"/>
      <c r="J426" s="740"/>
      <c r="K426" s="734"/>
      <c r="L426" s="734"/>
      <c r="M426" s="734"/>
      <c r="N426" s="734"/>
      <c r="O426" s="734"/>
      <c r="P426" s="734"/>
      <c r="Q426" s="734"/>
      <c r="R426" s="734"/>
      <c r="S426" s="734"/>
      <c r="T426" s="734"/>
      <c r="U426" s="734"/>
      <c r="V426" s="734"/>
      <c r="W426" s="734"/>
      <c r="X426" s="735"/>
      <c r="Y426" s="811"/>
      <c r="Z426" s="811"/>
      <c r="AA426" s="734"/>
      <c r="AB426" s="811"/>
      <c r="AC426" s="740"/>
      <c r="AD426" s="734"/>
      <c r="AE426" s="734"/>
      <c r="AF426" s="734"/>
      <c r="AG426" s="734"/>
      <c r="AH426" s="734"/>
      <c r="AI426" s="734"/>
      <c r="AJ426" s="879"/>
      <c r="AK426" s="734"/>
      <c r="AL426" s="734"/>
      <c r="AM426" s="734"/>
      <c r="AN426" s="734"/>
      <c r="AO426" s="734"/>
      <c r="AP426" s="52"/>
      <c r="AQ426" s="52"/>
      <c r="AR426" s="52"/>
      <c r="AS426" s="52"/>
      <c r="AT426" s="52"/>
      <c r="AU426" s="52"/>
      <c r="AV426" s="52"/>
      <c r="AW426" s="52"/>
      <c r="AX426" s="52"/>
      <c r="AY426" s="52"/>
      <c r="AZ426" s="734" t="str">
        <f>IFERROR(__xludf.DUMMYFUNCTION("""COMPUTED_VALUE"""),"Sogl")</f>
        <v>Sogl</v>
      </c>
      <c r="BA426" s="740"/>
      <c r="BB426" s="734"/>
      <c r="BC426" s="740"/>
      <c r="BD426" s="734"/>
      <c r="BE426" s="52"/>
      <c r="BF426" s="52"/>
      <c r="BG426" s="734"/>
      <c r="BH426" s="734"/>
      <c r="BI426" s="734"/>
      <c r="BJ426" s="734"/>
    </row>
    <row r="427">
      <c r="B427" s="740"/>
      <c r="C427" s="869"/>
      <c r="D427" s="734"/>
      <c r="E427" s="734"/>
      <c r="F427" s="740"/>
      <c r="G427" s="734"/>
      <c r="H427" s="734"/>
      <c r="I427" s="777"/>
      <c r="J427" s="740"/>
      <c r="K427" s="734"/>
      <c r="L427" s="734"/>
      <c r="M427" s="734"/>
      <c r="N427" s="734"/>
      <c r="O427" s="734"/>
      <c r="P427" s="734"/>
      <c r="Q427" s="734"/>
      <c r="R427" s="734"/>
      <c r="S427" s="734"/>
      <c r="T427" s="734"/>
      <c r="U427" s="734"/>
      <c r="V427" s="734"/>
      <c r="W427" s="734"/>
      <c r="X427" s="735"/>
      <c r="Y427" s="811"/>
      <c r="Z427" s="811"/>
      <c r="AA427" s="734"/>
      <c r="AB427" s="811"/>
      <c r="AC427" s="740"/>
      <c r="AD427" s="734"/>
      <c r="AE427" s="734"/>
      <c r="AF427" s="734"/>
      <c r="AG427" s="734"/>
      <c r="AH427" s="734"/>
      <c r="AI427" s="734"/>
      <c r="AJ427" s="879"/>
      <c r="AK427" s="734"/>
      <c r="AL427" s="734"/>
      <c r="AM427" s="734"/>
      <c r="AN427" s="734"/>
      <c r="AO427" s="734"/>
      <c r="AP427" s="52"/>
      <c r="AQ427" s="52"/>
      <c r="AR427" s="52"/>
      <c r="AS427" s="52"/>
      <c r="AT427" s="52"/>
      <c r="AU427" s="52"/>
      <c r="AV427" s="52"/>
      <c r="AW427" s="52"/>
      <c r="AX427" s="52"/>
      <c r="AY427" s="52"/>
      <c r="AZ427" s="734" t="str">
        <f>IFERROR(__xludf.DUMMYFUNCTION("""COMPUTED_VALUE"""),"Tara Gas")</f>
        <v>Tara Gas</v>
      </c>
      <c r="BA427" s="740"/>
      <c r="BB427" s="734"/>
      <c r="BC427" s="740"/>
      <c r="BD427" s="734"/>
      <c r="BE427" s="52"/>
      <c r="BF427" s="52"/>
      <c r="BG427" s="734"/>
      <c r="BH427" s="734"/>
      <c r="BI427" s="734"/>
      <c r="BJ427" s="734"/>
    </row>
    <row r="428">
      <c r="B428" s="740"/>
      <c r="C428" s="869"/>
      <c r="D428" s="734"/>
      <c r="E428" s="734"/>
      <c r="F428" s="740"/>
      <c r="G428" s="734"/>
      <c r="H428" s="734"/>
      <c r="I428" s="777"/>
      <c r="J428" s="740"/>
      <c r="K428" s="734"/>
      <c r="L428" s="734"/>
      <c r="M428" s="734"/>
      <c r="N428" s="734"/>
      <c r="O428" s="734"/>
      <c r="P428" s="734"/>
      <c r="Q428" s="734"/>
      <c r="R428" s="734"/>
      <c r="S428" s="734"/>
      <c r="T428" s="734"/>
      <c r="U428" s="734"/>
      <c r="V428" s="734"/>
      <c r="W428" s="734"/>
      <c r="X428" s="735"/>
      <c r="Y428" s="811"/>
      <c r="Z428" s="811"/>
      <c r="AA428" s="734"/>
      <c r="AB428" s="811"/>
      <c r="AC428" s="740"/>
      <c r="AD428" s="734"/>
      <c r="AE428" s="734"/>
      <c r="AF428" s="734"/>
      <c r="AG428" s="734"/>
      <c r="AH428" s="734"/>
      <c r="AI428" s="734"/>
      <c r="AJ428" s="879"/>
      <c r="AK428" s="734"/>
      <c r="AL428" s="734"/>
      <c r="AM428" s="734"/>
      <c r="AN428" s="734"/>
      <c r="AO428" s="734"/>
      <c r="AP428" s="52"/>
      <c r="AQ428" s="52"/>
      <c r="AR428" s="52"/>
      <c r="AS428" s="52"/>
      <c r="AT428" s="52"/>
      <c r="AU428" s="52"/>
      <c r="AV428" s="52"/>
      <c r="AW428" s="52"/>
      <c r="AX428" s="52"/>
      <c r="AY428" s="52"/>
      <c r="AZ428" s="734" t="str">
        <f>IFERROR(__xludf.DUMMYFUNCTION("""COMPUTED_VALUE"""),"The Gas Amelia")</f>
        <v>The Gas Amelia</v>
      </c>
      <c r="BA428" s="740"/>
      <c r="BB428" s="734"/>
      <c r="BC428" s="740"/>
      <c r="BD428" s="734"/>
      <c r="BE428" s="52"/>
      <c r="BF428" s="52"/>
      <c r="BG428" s="734"/>
      <c r="BH428" s="734"/>
      <c r="BI428" s="734"/>
      <c r="BJ428" s="734"/>
    </row>
    <row r="429">
      <c r="B429" s="740"/>
      <c r="C429" s="869"/>
      <c r="D429" s="734"/>
      <c r="E429" s="734"/>
      <c r="F429" s="740"/>
      <c r="G429" s="734"/>
      <c r="H429" s="734"/>
      <c r="I429" s="777"/>
      <c r="J429" s="740"/>
      <c r="K429" s="734"/>
      <c r="L429" s="734"/>
      <c r="M429" s="734"/>
      <c r="N429" s="734"/>
      <c r="O429" s="734"/>
      <c r="P429" s="734"/>
      <c r="Q429" s="734"/>
      <c r="R429" s="734"/>
      <c r="S429" s="734"/>
      <c r="T429" s="734"/>
      <c r="U429" s="734"/>
      <c r="V429" s="734"/>
      <c r="W429" s="734"/>
      <c r="X429" s="735"/>
      <c r="Y429" s="811"/>
      <c r="Z429" s="811"/>
      <c r="AA429" s="734"/>
      <c r="AB429" s="811"/>
      <c r="AC429" s="740"/>
      <c r="AD429" s="734"/>
      <c r="AE429" s="734"/>
      <c r="AF429" s="734"/>
      <c r="AG429" s="734"/>
      <c r="AH429" s="734"/>
      <c r="AI429" s="734"/>
      <c r="AJ429" s="879"/>
      <c r="AK429" s="734"/>
      <c r="AL429" s="734"/>
      <c r="AM429" s="734"/>
      <c r="AN429" s="734"/>
      <c r="AO429" s="734"/>
      <c r="AP429" s="52"/>
      <c r="AQ429" s="52"/>
      <c r="AR429" s="52"/>
      <c r="AS429" s="52"/>
      <c r="AT429" s="52"/>
      <c r="AU429" s="52"/>
      <c r="AV429" s="52"/>
      <c r="AW429" s="52"/>
      <c r="AX429" s="52"/>
      <c r="AY429" s="52"/>
      <c r="AZ429" s="734" t="str">
        <f>IFERROR(__xludf.DUMMYFUNCTION("""COMPUTED_VALUE"""),"Tulip")</f>
        <v>Tulip</v>
      </c>
      <c r="BA429" s="740"/>
      <c r="BB429" s="734"/>
      <c r="BC429" s="740"/>
      <c r="BD429" s="734"/>
      <c r="BE429" s="52"/>
      <c r="BF429" s="52"/>
      <c r="BG429" s="734"/>
      <c r="BH429" s="734"/>
      <c r="BI429" s="734"/>
      <c r="BJ429" s="734"/>
    </row>
    <row r="430">
      <c r="B430" s="740"/>
      <c r="C430" s="869"/>
      <c r="D430" s="734"/>
      <c r="E430" s="734"/>
      <c r="F430" s="740"/>
      <c r="G430" s="734"/>
      <c r="H430" s="734"/>
      <c r="I430" s="777"/>
      <c r="J430" s="740"/>
      <c r="K430" s="734"/>
      <c r="L430" s="734"/>
      <c r="M430" s="734"/>
      <c r="N430" s="734"/>
      <c r="O430" s="734"/>
      <c r="P430" s="734"/>
      <c r="Q430" s="734"/>
      <c r="R430" s="734"/>
      <c r="S430" s="734"/>
      <c r="T430" s="734"/>
      <c r="U430" s="734"/>
      <c r="V430" s="734"/>
      <c r="W430" s="734"/>
      <c r="X430" s="735"/>
      <c r="Y430" s="811"/>
      <c r="Z430" s="811"/>
      <c r="AA430" s="734"/>
      <c r="AB430" s="811"/>
      <c r="AC430" s="740"/>
      <c r="AD430" s="734"/>
      <c r="AE430" s="734"/>
      <c r="AF430" s="734"/>
      <c r="AG430" s="734"/>
      <c r="AH430" s="734"/>
      <c r="AI430" s="734"/>
      <c r="AJ430" s="879"/>
      <c r="AK430" s="734"/>
      <c r="AL430" s="734"/>
      <c r="AM430" s="734"/>
      <c r="AN430" s="734"/>
      <c r="AO430" s="734"/>
      <c r="AP430" s="52"/>
      <c r="AQ430" s="52"/>
      <c r="AR430" s="52"/>
      <c r="AS430" s="52"/>
      <c r="AT430" s="52"/>
      <c r="AU430" s="52"/>
      <c r="AV430" s="52"/>
      <c r="AW430" s="52"/>
      <c r="AX430" s="52"/>
      <c r="AY430" s="52"/>
      <c r="AZ430" s="734" t="str">
        <f>IFERROR(__xludf.DUMMYFUNCTION("""COMPUTED_VALUE"""),"Valano")</f>
        <v>Valano</v>
      </c>
      <c r="BA430" s="740"/>
      <c r="BB430" s="734"/>
      <c r="BC430" s="740"/>
      <c r="BD430" s="734"/>
      <c r="BE430" s="52"/>
      <c r="BF430" s="52"/>
      <c r="BG430" s="734"/>
      <c r="BH430" s="734"/>
      <c r="BI430" s="734"/>
      <c r="BJ430" s="734"/>
    </row>
    <row r="431">
      <c r="B431" s="740"/>
      <c r="C431" s="869"/>
      <c r="D431" s="734"/>
      <c r="E431" s="734"/>
      <c r="F431" s="740"/>
      <c r="G431" s="734"/>
      <c r="H431" s="734"/>
      <c r="I431" s="777"/>
      <c r="J431" s="740"/>
      <c r="K431" s="734"/>
      <c r="L431" s="734"/>
      <c r="M431" s="734"/>
      <c r="N431" s="734"/>
      <c r="O431" s="734"/>
      <c r="P431" s="734"/>
      <c r="Q431" s="734"/>
      <c r="R431" s="734"/>
      <c r="S431" s="734"/>
      <c r="T431" s="734"/>
      <c r="U431" s="734"/>
      <c r="V431" s="734"/>
      <c r="W431" s="734"/>
      <c r="X431" s="735"/>
      <c r="Y431" s="811"/>
      <c r="Z431" s="811"/>
      <c r="AA431" s="734"/>
      <c r="AB431" s="811"/>
      <c r="AC431" s="740"/>
      <c r="AD431" s="734"/>
      <c r="AE431" s="734"/>
      <c r="AF431" s="734"/>
      <c r="AG431" s="734"/>
      <c r="AH431" s="734"/>
      <c r="AI431" s="734"/>
      <c r="AJ431" s="879"/>
      <c r="AK431" s="734"/>
      <c r="AL431" s="734"/>
      <c r="AM431" s="734"/>
      <c r="AN431" s="734"/>
      <c r="AO431" s="734"/>
      <c r="AP431" s="52"/>
      <c r="AQ431" s="52"/>
      <c r="AR431" s="52"/>
      <c r="AS431" s="52"/>
      <c r="AT431" s="52"/>
      <c r="AU431" s="52"/>
      <c r="AV431" s="52"/>
      <c r="AW431" s="52"/>
      <c r="AX431" s="52"/>
      <c r="AY431" s="52"/>
      <c r="AZ431" s="734" t="str">
        <f>IFERROR(__xludf.DUMMYFUNCTION("""COMPUTED_VALUE"""),"Viet Dragon 68")</f>
        <v>Viet Dragon 68</v>
      </c>
      <c r="BA431" s="740"/>
      <c r="BB431" s="734"/>
      <c r="BC431" s="740"/>
      <c r="BD431" s="734"/>
      <c r="BE431" s="52"/>
      <c r="BF431" s="52"/>
      <c r="BG431" s="734"/>
      <c r="BH431" s="734"/>
      <c r="BI431" s="734"/>
      <c r="BJ431" s="734"/>
    </row>
    <row r="432">
      <c r="B432" s="740"/>
      <c r="C432" s="869"/>
      <c r="D432" s="734"/>
      <c r="E432" s="734"/>
      <c r="F432" s="740"/>
      <c r="G432" s="734"/>
      <c r="H432" s="734"/>
      <c r="I432" s="777"/>
      <c r="J432" s="740"/>
      <c r="K432" s="734"/>
      <c r="L432" s="734"/>
      <c r="M432" s="734"/>
      <c r="N432" s="734"/>
      <c r="O432" s="734"/>
      <c r="P432" s="734"/>
      <c r="Q432" s="734"/>
      <c r="R432" s="734"/>
      <c r="S432" s="734"/>
      <c r="T432" s="734"/>
      <c r="U432" s="734"/>
      <c r="V432" s="734"/>
      <c r="W432" s="734"/>
      <c r="X432" s="735"/>
      <c r="Y432" s="811"/>
      <c r="Z432" s="811"/>
      <c r="AA432" s="734"/>
      <c r="AB432" s="811"/>
      <c r="AC432" s="740"/>
      <c r="AD432" s="734"/>
      <c r="AE432" s="734"/>
      <c r="AF432" s="734"/>
      <c r="AG432" s="734"/>
      <c r="AH432" s="734"/>
      <c r="AI432" s="734"/>
      <c r="AJ432" s="879"/>
      <c r="AK432" s="734"/>
      <c r="AL432" s="734"/>
      <c r="AM432" s="734"/>
      <c r="AN432" s="734"/>
      <c r="AO432" s="734"/>
      <c r="AP432" s="52"/>
      <c r="AQ432" s="52"/>
      <c r="AR432" s="52"/>
      <c r="AS432" s="52"/>
      <c r="AT432" s="52"/>
      <c r="AU432" s="52"/>
      <c r="AV432" s="52"/>
      <c r="AW432" s="52"/>
      <c r="AX432" s="52"/>
      <c r="AY432" s="52"/>
      <c r="AZ432" s="734" t="str">
        <f>IFERROR(__xludf.DUMMYFUNCTION("""COMPUTED_VALUE"""),"Xavia")</f>
        <v>Xavia</v>
      </c>
      <c r="BA432" s="740"/>
      <c r="BB432" s="734"/>
      <c r="BC432" s="740"/>
      <c r="BD432" s="734"/>
      <c r="BE432" s="52"/>
      <c r="BF432" s="52"/>
      <c r="BG432" s="734"/>
      <c r="BH432" s="734"/>
      <c r="BI432" s="734"/>
      <c r="BJ432" s="734"/>
    </row>
    <row r="433">
      <c r="B433" s="740"/>
      <c r="C433" s="869"/>
      <c r="D433" s="734"/>
      <c r="E433" s="734"/>
      <c r="F433" s="740"/>
      <c r="G433" s="734"/>
      <c r="H433" s="734"/>
      <c r="I433" s="777"/>
      <c r="J433" s="740"/>
      <c r="K433" s="734"/>
      <c r="L433" s="734"/>
      <c r="M433" s="734"/>
      <c r="N433" s="734"/>
      <c r="O433" s="734"/>
      <c r="P433" s="734"/>
      <c r="Q433" s="734"/>
      <c r="R433" s="734"/>
      <c r="S433" s="734"/>
      <c r="T433" s="734"/>
      <c r="U433" s="734"/>
      <c r="V433" s="734"/>
      <c r="W433" s="734"/>
      <c r="X433" s="735"/>
      <c r="Y433" s="811"/>
      <c r="Z433" s="811"/>
      <c r="AA433" s="734"/>
      <c r="AB433" s="811"/>
      <c r="AC433" s="740"/>
      <c r="AD433" s="734"/>
      <c r="AE433" s="734"/>
      <c r="AF433" s="734"/>
      <c r="AG433" s="734"/>
      <c r="AH433" s="734"/>
      <c r="AI433" s="734"/>
      <c r="AJ433" s="879"/>
      <c r="AK433" s="734"/>
      <c r="AL433" s="734"/>
      <c r="AM433" s="734"/>
      <c r="AN433" s="734"/>
      <c r="AO433" s="734"/>
      <c r="AP433" s="52"/>
      <c r="AQ433" s="52"/>
      <c r="AR433" s="52"/>
      <c r="AS433" s="52"/>
      <c r="AT433" s="52"/>
      <c r="AU433" s="52"/>
      <c r="AV433" s="52"/>
      <c r="AW433" s="52"/>
      <c r="AX433" s="52"/>
      <c r="AY433" s="52"/>
      <c r="AZ433" s="734" t="str">
        <f>IFERROR(__xludf.DUMMYFUNCTION("""COMPUTED_VALUE"""),"Xi Wang Mu")</f>
        <v>Xi Wang Mu</v>
      </c>
      <c r="BA433" s="740"/>
      <c r="BB433" s="734"/>
      <c r="BC433" s="740"/>
      <c r="BD433" s="734"/>
      <c r="BE433" s="52"/>
      <c r="BF433" s="52"/>
      <c r="BG433" s="734"/>
      <c r="BH433" s="734"/>
      <c r="BI433" s="734"/>
      <c r="BJ433" s="734"/>
    </row>
    <row r="434">
      <c r="B434" s="740"/>
      <c r="C434" s="869"/>
      <c r="D434" s="734"/>
      <c r="E434" s="734"/>
      <c r="F434" s="740"/>
      <c r="G434" s="734"/>
      <c r="H434" s="734"/>
      <c r="I434" s="777"/>
      <c r="J434" s="740"/>
      <c r="K434" s="734"/>
      <c r="L434" s="734"/>
      <c r="M434" s="734"/>
      <c r="N434" s="734"/>
      <c r="O434" s="734"/>
      <c r="P434" s="734"/>
      <c r="Q434" s="734"/>
      <c r="R434" s="734"/>
      <c r="S434" s="734"/>
      <c r="T434" s="734"/>
      <c r="U434" s="734"/>
      <c r="V434" s="734"/>
      <c r="W434" s="734"/>
      <c r="X434" s="735"/>
      <c r="Y434" s="811"/>
      <c r="Z434" s="811"/>
      <c r="AA434" s="734"/>
      <c r="AB434" s="811"/>
      <c r="AC434" s="740"/>
      <c r="AD434" s="734"/>
      <c r="AE434" s="734"/>
      <c r="AF434" s="734"/>
      <c r="AG434" s="734"/>
      <c r="AH434" s="734"/>
      <c r="AI434" s="734"/>
      <c r="AJ434" s="879"/>
      <c r="AK434" s="734"/>
      <c r="AL434" s="734"/>
      <c r="AM434" s="734"/>
      <c r="AN434" s="734"/>
      <c r="AO434" s="734"/>
      <c r="AP434" s="52"/>
      <c r="AQ434" s="52"/>
      <c r="AR434" s="52"/>
      <c r="AS434" s="52"/>
      <c r="AT434" s="52"/>
      <c r="AU434" s="52"/>
      <c r="AV434" s="52"/>
      <c r="AW434" s="52"/>
      <c r="AX434" s="52"/>
      <c r="AY434" s="52"/>
      <c r="AZ434" s="734" t="str">
        <f>IFERROR(__xludf.DUMMYFUNCTION("""COMPUTED_VALUE"""),"Ziran")</f>
        <v>Ziran</v>
      </c>
      <c r="BA434" s="740"/>
      <c r="BB434" s="734"/>
      <c r="BC434" s="740"/>
      <c r="BD434" s="734"/>
      <c r="BE434" s="52"/>
      <c r="BF434" s="52"/>
      <c r="BG434" s="734"/>
      <c r="BH434" s="734"/>
      <c r="BI434" s="734"/>
      <c r="BJ434" s="734"/>
    </row>
    <row r="435">
      <c r="B435" s="740"/>
      <c r="C435" s="869"/>
      <c r="D435" s="734"/>
      <c r="E435" s="734"/>
      <c r="F435" s="740"/>
      <c r="G435" s="734"/>
      <c r="H435" s="734"/>
      <c r="I435" s="777"/>
      <c r="J435" s="740"/>
      <c r="K435" s="734"/>
      <c r="L435" s="734"/>
      <c r="M435" s="734"/>
      <c r="N435" s="734"/>
      <c r="O435" s="734"/>
      <c r="P435" s="734"/>
      <c r="Q435" s="734"/>
      <c r="R435" s="734"/>
      <c r="S435" s="734"/>
      <c r="T435" s="734"/>
      <c r="U435" s="734"/>
      <c r="V435" s="734"/>
      <c r="W435" s="734"/>
      <c r="X435" s="735"/>
      <c r="Y435" s="811"/>
      <c r="Z435" s="811"/>
      <c r="AA435" s="734"/>
      <c r="AB435" s="811"/>
      <c r="AC435" s="740"/>
      <c r="AD435" s="734"/>
      <c r="AE435" s="734"/>
      <c r="AF435" s="734"/>
      <c r="AG435" s="734"/>
      <c r="AH435" s="734"/>
      <c r="AI435" s="734"/>
      <c r="AJ435" s="879"/>
      <c r="AK435" s="734"/>
      <c r="AL435" s="734"/>
      <c r="AM435" s="734"/>
      <c r="AN435" s="734"/>
      <c r="AO435" s="734"/>
      <c r="AP435" s="52"/>
      <c r="AQ435" s="52"/>
      <c r="AR435" s="52"/>
      <c r="AS435" s="52"/>
      <c r="AT435" s="52"/>
      <c r="AU435" s="52"/>
      <c r="AV435" s="52"/>
      <c r="AW435" s="52"/>
      <c r="AX435" s="52"/>
      <c r="AY435" s="52"/>
      <c r="AZ435" s="734" t="str">
        <f>IFERROR(__xludf.DUMMYFUNCTION("""COMPUTED_VALUE"""),"Zixuan")</f>
        <v>Zixuan</v>
      </c>
      <c r="BA435" s="740"/>
      <c r="BB435" s="734"/>
      <c r="BC435" s="740"/>
      <c r="BD435" s="734"/>
      <c r="BE435" s="52"/>
      <c r="BF435" s="52"/>
      <c r="BG435" s="734"/>
      <c r="BH435" s="734"/>
      <c r="BI435" s="734"/>
      <c r="BJ435" s="734"/>
    </row>
    <row r="436">
      <c r="B436" s="740"/>
      <c r="C436" s="869"/>
      <c r="D436" s="734"/>
      <c r="E436" s="734"/>
      <c r="F436" s="740"/>
      <c r="G436" s="734"/>
      <c r="H436" s="734"/>
      <c r="I436" s="777"/>
      <c r="J436" s="740"/>
      <c r="K436" s="734"/>
      <c r="L436" s="734"/>
      <c r="M436" s="734"/>
      <c r="N436" s="734"/>
      <c r="O436" s="734"/>
      <c r="P436" s="734"/>
      <c r="Q436" s="734"/>
      <c r="R436" s="734"/>
      <c r="S436" s="734"/>
      <c r="T436" s="734"/>
      <c r="U436" s="734"/>
      <c r="V436" s="734"/>
      <c r="W436" s="734"/>
      <c r="X436" s="735"/>
      <c r="Y436" s="811"/>
      <c r="Z436" s="811"/>
      <c r="AA436" s="734"/>
      <c r="AB436" s="811"/>
      <c r="AC436" s="740"/>
      <c r="AD436" s="734"/>
      <c r="AE436" s="734"/>
      <c r="AF436" s="734"/>
      <c r="AG436" s="734"/>
      <c r="AH436" s="734"/>
      <c r="AI436" s="734"/>
      <c r="AJ436" s="879"/>
      <c r="AK436" s="734"/>
      <c r="AL436" s="734"/>
      <c r="AM436" s="734"/>
      <c r="AN436" s="734"/>
      <c r="AO436" s="734"/>
      <c r="AP436" s="52"/>
      <c r="AQ436" s="52"/>
      <c r="AR436" s="52"/>
      <c r="AS436" s="52"/>
      <c r="AT436" s="52"/>
      <c r="AU436" s="52"/>
      <c r="AV436" s="52"/>
      <c r="AW436" s="52"/>
      <c r="AX436" s="52"/>
      <c r="AY436" s="52"/>
      <c r="AZ436" s="734" t="str">
        <f>IFERROR(__xludf.DUMMYFUNCTION("""COMPUTED_VALUE"""),"Sarv Shakti")</f>
        <v>Sarv Shakti</v>
      </c>
      <c r="BA436" s="740"/>
      <c r="BB436" s="734"/>
      <c r="BC436" s="740"/>
      <c r="BD436" s="734"/>
      <c r="BE436" s="52"/>
      <c r="BF436" s="52"/>
      <c r="BG436" s="734"/>
      <c r="BH436" s="734"/>
      <c r="BI436" s="734"/>
      <c r="BJ436" s="734"/>
    </row>
    <row r="437">
      <c r="B437" s="740"/>
      <c r="C437" s="869"/>
      <c r="D437" s="734"/>
      <c r="E437" s="734"/>
      <c r="F437" s="740"/>
      <c r="G437" s="734"/>
      <c r="H437" s="734"/>
      <c r="I437" s="777"/>
      <c r="J437" s="740"/>
      <c r="K437" s="734"/>
      <c r="L437" s="734"/>
      <c r="M437" s="734"/>
      <c r="N437" s="734"/>
      <c r="O437" s="734"/>
      <c r="P437" s="734"/>
      <c r="Q437" s="734"/>
      <c r="R437" s="734"/>
      <c r="S437" s="734"/>
      <c r="T437" s="734"/>
      <c r="U437" s="734"/>
      <c r="V437" s="734"/>
      <c r="W437" s="734"/>
      <c r="X437" s="735"/>
      <c r="Y437" s="811"/>
      <c r="Z437" s="811"/>
      <c r="AA437" s="734"/>
      <c r="AB437" s="811"/>
      <c r="AC437" s="740"/>
      <c r="AD437" s="734"/>
      <c r="AE437" s="734"/>
      <c r="AF437" s="734"/>
      <c r="AG437" s="734"/>
      <c r="AH437" s="734"/>
      <c r="AI437" s="734"/>
      <c r="AJ437" s="879"/>
      <c r="AK437" s="734"/>
      <c r="AL437" s="734"/>
      <c r="AM437" s="734"/>
      <c r="AN437" s="734"/>
      <c r="AO437" s="734"/>
      <c r="AP437" s="52"/>
      <c r="AQ437" s="52"/>
      <c r="AR437" s="52"/>
      <c r="AS437" s="52"/>
      <c r="AT437" s="52"/>
      <c r="AU437" s="52"/>
      <c r="AV437" s="52"/>
      <c r="AW437" s="52"/>
      <c r="AX437" s="52"/>
      <c r="AY437" s="52"/>
      <c r="AZ437" s="734" t="str">
        <f>IFERROR(__xludf.DUMMYFUNCTION("""COMPUTED_VALUE"""),"Sea Opera")</f>
        <v>Sea Opera</v>
      </c>
      <c r="BA437" s="740"/>
      <c r="BB437" s="734"/>
      <c r="BC437" s="740"/>
      <c r="BD437" s="734"/>
      <c r="BE437" s="52"/>
      <c r="BF437" s="52"/>
      <c r="BG437" s="734"/>
      <c r="BH437" s="734"/>
      <c r="BI437" s="734"/>
      <c r="BJ437" s="734"/>
    </row>
    <row r="438">
      <c r="B438" s="740"/>
      <c r="C438" s="869"/>
      <c r="D438" s="734"/>
      <c r="E438" s="734"/>
      <c r="F438" s="740"/>
      <c r="G438" s="734"/>
      <c r="H438" s="734"/>
      <c r="I438" s="777"/>
      <c r="J438" s="740"/>
      <c r="K438" s="734"/>
      <c r="L438" s="734"/>
      <c r="M438" s="734"/>
      <c r="N438" s="734"/>
      <c r="O438" s="734"/>
      <c r="P438" s="734"/>
      <c r="Q438" s="734"/>
      <c r="R438" s="734"/>
      <c r="S438" s="734"/>
      <c r="T438" s="734"/>
      <c r="U438" s="734"/>
      <c r="V438" s="734"/>
      <c r="W438" s="734"/>
      <c r="X438" s="735"/>
      <c r="Y438" s="811"/>
      <c r="Z438" s="811"/>
      <c r="AA438" s="734"/>
      <c r="AB438" s="811"/>
      <c r="AC438" s="740"/>
      <c r="AD438" s="734"/>
      <c r="AE438" s="734"/>
      <c r="AF438" s="734"/>
      <c r="AG438" s="734"/>
      <c r="AH438" s="734"/>
      <c r="AI438" s="734"/>
      <c r="AJ438" s="879"/>
      <c r="AK438" s="734"/>
      <c r="AL438" s="734"/>
      <c r="AM438" s="734"/>
      <c r="AN438" s="734"/>
      <c r="AO438" s="734"/>
      <c r="AP438" s="52"/>
      <c r="AQ438" s="52"/>
      <c r="AR438" s="52"/>
      <c r="AS438" s="52"/>
      <c r="AT438" s="52"/>
      <c r="AU438" s="52"/>
      <c r="AV438" s="52"/>
      <c r="AW438" s="52"/>
      <c r="AX438" s="52"/>
      <c r="AY438" s="52"/>
      <c r="AZ438" s="734" t="str">
        <f>IFERROR(__xludf.DUMMYFUNCTION("""COMPUTED_VALUE"""),"Seabus")</f>
        <v>Seabus</v>
      </c>
      <c r="BA438" s="740"/>
      <c r="BB438" s="734"/>
      <c r="BC438" s="740"/>
      <c r="BD438" s="734"/>
      <c r="BE438" s="52"/>
      <c r="BF438" s="52"/>
      <c r="BG438" s="734"/>
      <c r="BH438" s="734"/>
      <c r="BI438" s="734"/>
      <c r="BJ438" s="734"/>
    </row>
    <row r="439">
      <c r="B439" s="740"/>
      <c r="C439" s="869"/>
      <c r="D439" s="734"/>
      <c r="E439" s="734"/>
      <c r="F439" s="740"/>
      <c r="G439" s="734"/>
      <c r="H439" s="734"/>
      <c r="I439" s="777"/>
      <c r="J439" s="740"/>
      <c r="K439" s="734"/>
      <c r="L439" s="734"/>
      <c r="M439" s="734"/>
      <c r="N439" s="734"/>
      <c r="O439" s="734"/>
      <c r="P439" s="734"/>
      <c r="Q439" s="734"/>
      <c r="R439" s="734"/>
      <c r="S439" s="734"/>
      <c r="T439" s="734"/>
      <c r="U439" s="734"/>
      <c r="V439" s="734"/>
      <c r="W439" s="734"/>
      <c r="X439" s="735"/>
      <c r="Y439" s="811"/>
      <c r="Z439" s="811"/>
      <c r="AA439" s="734"/>
      <c r="AB439" s="811"/>
      <c r="AC439" s="740"/>
      <c r="AD439" s="734"/>
      <c r="AE439" s="734"/>
      <c r="AF439" s="734"/>
      <c r="AG439" s="734"/>
      <c r="AH439" s="734"/>
      <c r="AI439" s="734"/>
      <c r="AJ439" s="879"/>
      <c r="AK439" s="734"/>
      <c r="AL439" s="734"/>
      <c r="AM439" s="734"/>
      <c r="AN439" s="734"/>
      <c r="AO439" s="734"/>
      <c r="AP439" s="52"/>
      <c r="AQ439" s="52"/>
      <c r="AR439" s="52"/>
      <c r="AS439" s="52"/>
      <c r="AT439" s="52"/>
      <c r="AU439" s="52"/>
      <c r="AV439" s="52"/>
      <c r="AW439" s="52"/>
      <c r="AX439" s="52"/>
      <c r="AY439" s="52"/>
      <c r="AZ439" s="734" t="str">
        <f>IFERROR(__xludf.DUMMYFUNCTION("""COMPUTED_VALUE"""),"Sequoia Cove")</f>
        <v>Sequoia Cove</v>
      </c>
      <c r="BA439" s="740"/>
      <c r="BB439" s="734"/>
      <c r="BC439" s="740"/>
      <c r="BD439" s="734"/>
      <c r="BE439" s="52"/>
      <c r="BF439" s="52"/>
      <c r="BG439" s="734"/>
      <c r="BH439" s="734"/>
      <c r="BI439" s="734"/>
      <c r="BJ439" s="734"/>
    </row>
    <row r="440">
      <c r="B440" s="740"/>
      <c r="C440" s="869"/>
      <c r="D440" s="734"/>
      <c r="E440" s="734"/>
      <c r="F440" s="740"/>
      <c r="G440" s="734"/>
      <c r="H440" s="734"/>
      <c r="I440" s="777"/>
      <c r="J440" s="740"/>
      <c r="K440" s="734"/>
      <c r="L440" s="734"/>
      <c r="M440" s="734"/>
      <c r="N440" s="734"/>
      <c r="O440" s="734"/>
      <c r="P440" s="734"/>
      <c r="Q440" s="734"/>
      <c r="R440" s="734"/>
      <c r="S440" s="734"/>
      <c r="T440" s="734"/>
      <c r="U440" s="734"/>
      <c r="V440" s="734"/>
      <c r="W440" s="734"/>
      <c r="X440" s="735"/>
      <c r="Y440" s="811"/>
      <c r="Z440" s="811"/>
      <c r="AA440" s="734"/>
      <c r="AB440" s="811"/>
      <c r="AC440" s="740"/>
      <c r="AD440" s="734"/>
      <c r="AE440" s="734"/>
      <c r="AF440" s="734"/>
      <c r="AG440" s="734"/>
      <c r="AH440" s="734"/>
      <c r="AI440" s="734"/>
      <c r="AJ440" s="879"/>
      <c r="AK440" s="734"/>
      <c r="AL440" s="734"/>
      <c r="AM440" s="734"/>
      <c r="AN440" s="734"/>
      <c r="AO440" s="734"/>
      <c r="AP440" s="52"/>
      <c r="AQ440" s="52"/>
      <c r="AR440" s="52"/>
      <c r="AS440" s="52"/>
      <c r="AT440" s="52"/>
      <c r="AU440" s="52"/>
      <c r="AV440" s="52"/>
      <c r="AW440" s="52"/>
      <c r="AX440" s="52"/>
      <c r="AY440" s="52"/>
      <c r="AZ440" s="734" t="str">
        <f>IFERROR(__xludf.DUMMYFUNCTION("""COMPUTED_VALUE"""),"Shivalik")</f>
        <v>Shivalik</v>
      </c>
      <c r="BA440" s="740"/>
      <c r="BB440" s="734"/>
      <c r="BC440" s="740"/>
      <c r="BD440" s="734"/>
      <c r="BE440" s="52"/>
      <c r="BF440" s="52"/>
      <c r="BG440" s="734"/>
      <c r="BH440" s="734"/>
      <c r="BI440" s="734"/>
      <c r="BJ440" s="734"/>
    </row>
    <row r="441">
      <c r="B441" s="740"/>
      <c r="C441" s="869"/>
      <c r="D441" s="734"/>
      <c r="E441" s="734"/>
      <c r="F441" s="740"/>
      <c r="G441" s="734"/>
      <c r="H441" s="734"/>
      <c r="I441" s="777"/>
      <c r="J441" s="740"/>
      <c r="K441" s="734"/>
      <c r="L441" s="734"/>
      <c r="M441" s="734"/>
      <c r="N441" s="734"/>
      <c r="O441" s="734"/>
      <c r="P441" s="734"/>
      <c r="Q441" s="734"/>
      <c r="R441" s="734"/>
      <c r="S441" s="734"/>
      <c r="T441" s="734"/>
      <c r="U441" s="734"/>
      <c r="V441" s="734"/>
      <c r="W441" s="734"/>
      <c r="X441" s="735"/>
      <c r="Y441" s="811"/>
      <c r="Z441" s="811"/>
      <c r="AA441" s="734"/>
      <c r="AB441" s="811"/>
      <c r="AC441" s="740"/>
      <c r="AD441" s="734"/>
      <c r="AE441" s="734"/>
      <c r="AF441" s="734"/>
      <c r="AG441" s="734"/>
      <c r="AH441" s="734"/>
      <c r="AI441" s="734"/>
      <c r="AJ441" s="879"/>
      <c r="AK441" s="734"/>
      <c r="AL441" s="734"/>
      <c r="AM441" s="734"/>
      <c r="AN441" s="734"/>
      <c r="AO441" s="734"/>
      <c r="AP441" s="52"/>
      <c r="AQ441" s="52"/>
      <c r="AR441" s="52"/>
      <c r="AS441" s="52"/>
      <c r="AT441" s="52"/>
      <c r="AU441" s="52"/>
      <c r="AV441" s="52"/>
      <c r="AW441" s="52"/>
      <c r="AX441" s="52"/>
      <c r="AY441" s="52"/>
      <c r="AZ441" s="734" t="str">
        <f>IFERROR(__xludf.DUMMYFUNCTION("""COMPUTED_VALUE"""),"Sia")</f>
        <v>Sia</v>
      </c>
      <c r="BA441" s="740"/>
      <c r="BB441" s="734"/>
      <c r="BC441" s="740"/>
      <c r="BD441" s="734"/>
      <c r="BE441" s="52"/>
      <c r="BF441" s="52"/>
      <c r="BG441" s="734"/>
      <c r="BH441" s="734"/>
      <c r="BI441" s="734"/>
      <c r="BJ441" s="734"/>
    </row>
    <row r="442">
      <c r="B442" s="740"/>
      <c r="C442" s="869"/>
      <c r="D442" s="734"/>
      <c r="E442" s="734"/>
      <c r="F442" s="740"/>
      <c r="G442" s="734"/>
      <c r="H442" s="734"/>
      <c r="I442" s="777"/>
      <c r="J442" s="740"/>
      <c r="K442" s="734"/>
      <c r="L442" s="734"/>
      <c r="M442" s="734"/>
      <c r="N442" s="734"/>
      <c r="O442" s="734"/>
      <c r="P442" s="734"/>
      <c r="Q442" s="734"/>
      <c r="R442" s="734"/>
      <c r="S442" s="734"/>
      <c r="T442" s="734"/>
      <c r="U442" s="734"/>
      <c r="V442" s="734"/>
      <c r="W442" s="734"/>
      <c r="X442" s="735"/>
      <c r="Y442" s="811"/>
      <c r="Z442" s="811"/>
      <c r="AA442" s="734"/>
      <c r="AB442" s="811"/>
      <c r="AC442" s="740"/>
      <c r="AD442" s="734"/>
      <c r="AE442" s="734"/>
      <c r="AF442" s="734"/>
      <c r="AG442" s="734"/>
      <c r="AH442" s="734"/>
      <c r="AI442" s="734"/>
      <c r="AJ442" s="879"/>
      <c r="AK442" s="734"/>
      <c r="AL442" s="734"/>
      <c r="AM442" s="734"/>
      <c r="AN442" s="734"/>
      <c r="AO442" s="734"/>
      <c r="AP442" s="52"/>
      <c r="AQ442" s="52"/>
      <c r="AR442" s="52"/>
      <c r="AS442" s="52"/>
      <c r="AT442" s="52"/>
      <c r="AU442" s="52"/>
      <c r="AV442" s="52"/>
      <c r="AW442" s="52"/>
      <c r="AX442" s="52"/>
      <c r="AY442" s="52"/>
      <c r="AZ442" s="734" t="str">
        <f>IFERROR(__xludf.DUMMYFUNCTION("""COMPUTED_VALUE"""),"Siona")</f>
        <v>Siona</v>
      </c>
      <c r="BA442" s="740"/>
      <c r="BB442" s="734"/>
      <c r="BC442" s="740"/>
      <c r="BD442" s="734"/>
      <c r="BE442" s="52"/>
      <c r="BF442" s="52"/>
      <c r="BG442" s="734"/>
      <c r="BH442" s="734"/>
      <c r="BI442" s="734"/>
      <c r="BJ442" s="734"/>
    </row>
    <row r="443">
      <c r="B443" s="740"/>
      <c r="C443" s="869"/>
      <c r="D443" s="734"/>
      <c r="E443" s="734"/>
      <c r="F443" s="740"/>
      <c r="G443" s="734"/>
      <c r="H443" s="734"/>
      <c r="I443" s="777"/>
      <c r="J443" s="740"/>
      <c r="K443" s="734"/>
      <c r="L443" s="734"/>
      <c r="M443" s="734"/>
      <c r="N443" s="734"/>
      <c r="O443" s="734"/>
      <c r="P443" s="734"/>
      <c r="Q443" s="734"/>
      <c r="R443" s="734"/>
      <c r="S443" s="734"/>
      <c r="T443" s="734"/>
      <c r="U443" s="734"/>
      <c r="V443" s="734"/>
      <c r="W443" s="734"/>
      <c r="X443" s="735"/>
      <c r="Y443" s="811"/>
      <c r="Z443" s="811"/>
      <c r="AA443" s="734"/>
      <c r="AB443" s="811"/>
      <c r="AC443" s="740"/>
      <c r="AD443" s="734"/>
      <c r="AE443" s="734"/>
      <c r="AF443" s="734"/>
      <c r="AG443" s="734"/>
      <c r="AH443" s="734"/>
      <c r="AI443" s="734"/>
      <c r="AJ443" s="879"/>
      <c r="AK443" s="734"/>
      <c r="AL443" s="734"/>
      <c r="AM443" s="734"/>
      <c r="AN443" s="734"/>
      <c r="AO443" s="734"/>
      <c r="AP443" s="52"/>
      <c r="AQ443" s="52"/>
      <c r="AR443" s="52"/>
      <c r="AS443" s="52"/>
      <c r="AT443" s="52"/>
      <c r="AU443" s="52"/>
      <c r="AV443" s="52"/>
      <c r="AW443" s="52"/>
      <c r="AX443" s="52"/>
      <c r="AY443" s="52"/>
      <c r="AZ443" s="734" t="str">
        <f>IFERROR(__xludf.DUMMYFUNCTION("""COMPUTED_VALUE"""),"Sogl")</f>
        <v>Sogl</v>
      </c>
      <c r="BA443" s="740"/>
      <c r="BB443" s="734"/>
      <c r="BC443" s="740"/>
      <c r="BD443" s="734"/>
      <c r="BE443" s="52"/>
      <c r="BF443" s="52"/>
      <c r="BG443" s="734"/>
      <c r="BH443" s="734"/>
      <c r="BI443" s="734"/>
      <c r="BJ443" s="734"/>
    </row>
    <row r="444">
      <c r="B444" s="740"/>
      <c r="C444" s="869"/>
      <c r="D444" s="734"/>
      <c r="E444" s="734"/>
      <c r="F444" s="740"/>
      <c r="G444" s="734"/>
      <c r="H444" s="734"/>
      <c r="I444" s="777"/>
      <c r="J444" s="740"/>
      <c r="K444" s="734"/>
      <c r="L444" s="734"/>
      <c r="M444" s="734"/>
      <c r="N444" s="734"/>
      <c r="O444" s="734"/>
      <c r="P444" s="734"/>
      <c r="Q444" s="734"/>
      <c r="R444" s="734"/>
      <c r="S444" s="734"/>
      <c r="T444" s="734"/>
      <c r="U444" s="734"/>
      <c r="V444" s="734"/>
      <c r="W444" s="734"/>
      <c r="X444" s="735"/>
      <c r="Y444" s="811"/>
      <c r="Z444" s="811"/>
      <c r="AA444" s="734"/>
      <c r="AB444" s="811"/>
      <c r="AC444" s="740"/>
      <c r="AD444" s="734"/>
      <c r="AE444" s="734"/>
      <c r="AF444" s="734"/>
      <c r="AG444" s="734"/>
      <c r="AH444" s="734"/>
      <c r="AI444" s="734"/>
      <c r="AJ444" s="879"/>
      <c r="AK444" s="734"/>
      <c r="AL444" s="734"/>
      <c r="AM444" s="734"/>
      <c r="AN444" s="734"/>
      <c r="AO444" s="734"/>
      <c r="AP444" s="52"/>
      <c r="AQ444" s="52"/>
      <c r="AR444" s="52"/>
      <c r="AS444" s="52"/>
      <c r="AT444" s="52"/>
      <c r="AU444" s="52"/>
      <c r="AV444" s="52"/>
      <c r="AW444" s="52"/>
      <c r="AX444" s="52"/>
      <c r="AY444" s="52"/>
      <c r="AZ444" s="734" t="str">
        <f>IFERROR(__xludf.DUMMYFUNCTION("""COMPUTED_VALUE"""),"Tara Gas")</f>
        <v>Tara Gas</v>
      </c>
      <c r="BA444" s="740"/>
      <c r="BB444" s="734"/>
      <c r="BC444" s="740"/>
      <c r="BD444" s="734"/>
      <c r="BE444" s="52"/>
      <c r="BF444" s="52"/>
      <c r="BG444" s="734"/>
      <c r="BH444" s="734"/>
      <c r="BI444" s="734"/>
      <c r="BJ444" s="734"/>
    </row>
    <row r="445">
      <c r="B445" s="740"/>
      <c r="C445" s="869"/>
      <c r="D445" s="734"/>
      <c r="E445" s="734"/>
      <c r="F445" s="740"/>
      <c r="G445" s="734"/>
      <c r="H445" s="734"/>
      <c r="I445" s="777"/>
      <c r="J445" s="740"/>
      <c r="K445" s="734"/>
      <c r="L445" s="734"/>
      <c r="M445" s="734"/>
      <c r="N445" s="734"/>
      <c r="O445" s="734"/>
      <c r="P445" s="734"/>
      <c r="Q445" s="734"/>
      <c r="R445" s="734"/>
      <c r="S445" s="734"/>
      <c r="T445" s="734"/>
      <c r="U445" s="734"/>
      <c r="V445" s="734"/>
      <c r="W445" s="734"/>
      <c r="X445" s="735"/>
      <c r="Y445" s="811"/>
      <c r="Z445" s="811"/>
      <c r="AA445" s="734"/>
      <c r="AB445" s="811"/>
      <c r="AC445" s="740"/>
      <c r="AD445" s="734"/>
      <c r="AE445" s="734"/>
      <c r="AF445" s="734"/>
      <c r="AG445" s="734"/>
      <c r="AH445" s="734"/>
      <c r="AI445" s="734"/>
      <c r="AJ445" s="879"/>
      <c r="AK445" s="734"/>
      <c r="AL445" s="734"/>
      <c r="AM445" s="734"/>
      <c r="AN445" s="734"/>
      <c r="AO445" s="734"/>
      <c r="AP445" s="52"/>
      <c r="AQ445" s="52"/>
      <c r="AR445" s="52"/>
      <c r="AS445" s="52"/>
      <c r="AT445" s="52"/>
      <c r="AU445" s="52"/>
      <c r="AV445" s="52"/>
      <c r="AW445" s="52"/>
      <c r="AX445" s="52"/>
      <c r="AY445" s="52"/>
      <c r="AZ445" s="734" t="str">
        <f>IFERROR(__xludf.DUMMYFUNCTION("""COMPUTED_VALUE"""),"Terra Clove")</f>
        <v>Terra Clove</v>
      </c>
      <c r="BA445" s="740"/>
      <c r="BB445" s="734"/>
      <c r="BC445" s="740"/>
      <c r="BD445" s="734"/>
      <c r="BE445" s="52"/>
      <c r="BF445" s="52"/>
      <c r="BG445" s="734"/>
      <c r="BH445" s="734"/>
      <c r="BI445" s="734"/>
      <c r="BJ445" s="734"/>
    </row>
    <row r="446">
      <c r="B446" s="740"/>
      <c r="C446" s="869"/>
      <c r="D446" s="734"/>
      <c r="E446" s="734"/>
      <c r="F446" s="740"/>
      <c r="G446" s="734"/>
      <c r="H446" s="734"/>
      <c r="I446" s="777"/>
      <c r="J446" s="740"/>
      <c r="K446" s="734"/>
      <c r="L446" s="734"/>
      <c r="M446" s="734"/>
      <c r="N446" s="734"/>
      <c r="O446" s="734"/>
      <c r="P446" s="734"/>
      <c r="Q446" s="734"/>
      <c r="R446" s="734"/>
      <c r="S446" s="734"/>
      <c r="T446" s="734"/>
      <c r="U446" s="734"/>
      <c r="V446" s="734"/>
      <c r="W446" s="734"/>
      <c r="X446" s="735"/>
      <c r="Y446" s="811"/>
      <c r="Z446" s="811"/>
      <c r="AA446" s="734"/>
      <c r="AB446" s="811"/>
      <c r="AC446" s="740"/>
      <c r="AD446" s="734"/>
      <c r="AE446" s="734"/>
      <c r="AF446" s="734"/>
      <c r="AG446" s="734"/>
      <c r="AH446" s="734"/>
      <c r="AI446" s="734"/>
      <c r="AJ446" s="879"/>
      <c r="AK446" s="734"/>
      <c r="AL446" s="734"/>
      <c r="AM446" s="734"/>
      <c r="AN446" s="734"/>
      <c r="AO446" s="734"/>
      <c r="AP446" s="52"/>
      <c r="AQ446" s="52"/>
      <c r="AR446" s="52"/>
      <c r="AS446" s="52"/>
      <c r="AT446" s="52"/>
      <c r="AU446" s="52"/>
      <c r="AV446" s="52"/>
      <c r="AW446" s="52"/>
      <c r="AX446" s="52"/>
      <c r="AY446" s="52"/>
      <c r="AZ446" s="734" t="str">
        <f>IFERROR(__xludf.DUMMYFUNCTION("""COMPUTED_VALUE"""),"Terra Moss")</f>
        <v>Terra Moss</v>
      </c>
      <c r="BA446" s="740"/>
      <c r="BB446" s="734"/>
      <c r="BC446" s="740"/>
      <c r="BD446" s="734"/>
      <c r="BE446" s="52"/>
      <c r="BF446" s="52"/>
      <c r="BG446" s="734"/>
      <c r="BH446" s="734"/>
      <c r="BI446" s="734"/>
      <c r="BJ446" s="734"/>
    </row>
    <row r="447">
      <c r="B447" s="740"/>
      <c r="C447" s="869"/>
      <c r="D447" s="734"/>
      <c r="E447" s="734"/>
      <c r="F447" s="740"/>
      <c r="G447" s="734"/>
      <c r="H447" s="734"/>
      <c r="I447" s="777"/>
      <c r="J447" s="740"/>
      <c r="K447" s="734"/>
      <c r="L447" s="734"/>
      <c r="M447" s="734"/>
      <c r="N447" s="734"/>
      <c r="O447" s="734"/>
      <c r="P447" s="734"/>
      <c r="Q447" s="734"/>
      <c r="R447" s="734"/>
      <c r="S447" s="734"/>
      <c r="T447" s="734"/>
      <c r="U447" s="734"/>
      <c r="V447" s="734"/>
      <c r="W447" s="734"/>
      <c r="X447" s="735"/>
      <c r="Y447" s="811"/>
      <c r="Z447" s="811"/>
      <c r="AA447" s="734"/>
      <c r="AB447" s="811"/>
      <c r="AC447" s="740"/>
      <c r="AD447" s="734"/>
      <c r="AE447" s="734"/>
      <c r="AF447" s="734"/>
      <c r="AG447" s="734"/>
      <c r="AH447" s="734"/>
      <c r="AI447" s="734"/>
      <c r="AJ447" s="879"/>
      <c r="AK447" s="734"/>
      <c r="AL447" s="734"/>
      <c r="AM447" s="734"/>
      <c r="AN447" s="734"/>
      <c r="AO447" s="734"/>
      <c r="AP447" s="52"/>
      <c r="AQ447" s="52"/>
      <c r="AR447" s="52"/>
      <c r="AS447" s="52"/>
      <c r="AT447" s="52"/>
      <c r="AU447" s="52"/>
      <c r="AV447" s="52"/>
      <c r="AW447" s="52"/>
      <c r="AX447" s="52"/>
      <c r="AY447" s="52"/>
      <c r="AZ447" s="734" t="str">
        <f>IFERROR(__xludf.DUMMYFUNCTION("""COMPUTED_VALUE"""),"Terra Rose")</f>
        <v>Terra Rose</v>
      </c>
      <c r="BA447" s="740"/>
      <c r="BB447" s="734"/>
      <c r="BC447" s="740"/>
      <c r="BD447" s="734"/>
      <c r="BE447" s="52"/>
      <c r="BF447" s="52"/>
      <c r="BG447" s="734"/>
      <c r="BH447" s="734"/>
      <c r="BI447" s="734"/>
      <c r="BJ447" s="734"/>
    </row>
    <row r="448">
      <c r="B448" s="740"/>
      <c r="C448" s="869"/>
      <c r="D448" s="734"/>
      <c r="E448" s="734"/>
      <c r="F448" s="740"/>
      <c r="G448" s="734"/>
      <c r="H448" s="734"/>
      <c r="I448" s="777"/>
      <c r="J448" s="740"/>
      <c r="K448" s="734"/>
      <c r="L448" s="734"/>
      <c r="M448" s="734"/>
      <c r="N448" s="734"/>
      <c r="O448" s="734"/>
      <c r="P448" s="734"/>
      <c r="Q448" s="734"/>
      <c r="R448" s="734"/>
      <c r="S448" s="734"/>
      <c r="T448" s="734"/>
      <c r="U448" s="734"/>
      <c r="V448" s="734"/>
      <c r="W448" s="734"/>
      <c r="X448" s="735"/>
      <c r="Y448" s="811"/>
      <c r="Z448" s="811"/>
      <c r="AA448" s="734"/>
      <c r="AB448" s="811"/>
      <c r="AC448" s="740"/>
      <c r="AD448" s="734"/>
      <c r="AE448" s="734"/>
      <c r="AF448" s="734"/>
      <c r="AG448" s="734"/>
      <c r="AH448" s="734"/>
      <c r="AI448" s="734"/>
      <c r="AJ448" s="879"/>
      <c r="AK448" s="734"/>
      <c r="AL448" s="734"/>
      <c r="AM448" s="734"/>
      <c r="AN448" s="734"/>
      <c r="AO448" s="734"/>
      <c r="AP448" s="52"/>
      <c r="AQ448" s="52"/>
      <c r="AR448" s="52"/>
      <c r="AS448" s="52"/>
      <c r="AT448" s="52"/>
      <c r="AU448" s="52"/>
      <c r="AV448" s="52"/>
      <c r="AW448" s="52"/>
      <c r="AX448" s="52"/>
      <c r="AY448" s="52"/>
      <c r="AZ448" s="734" t="str">
        <f>IFERROR(__xludf.DUMMYFUNCTION("""COMPUTED_VALUE"""),"Terra Sycamore")</f>
        <v>Terra Sycamore</v>
      </c>
      <c r="BA448" s="740"/>
      <c r="BB448" s="734"/>
      <c r="BC448" s="740"/>
      <c r="BD448" s="734"/>
      <c r="BE448" s="52"/>
      <c r="BF448" s="52"/>
      <c r="BG448" s="734"/>
      <c r="BH448" s="734"/>
      <c r="BI448" s="734"/>
      <c r="BJ448" s="734"/>
    </row>
    <row r="449">
      <c r="B449" s="740"/>
      <c r="C449" s="869"/>
      <c r="D449" s="734"/>
      <c r="E449" s="734"/>
      <c r="F449" s="740"/>
      <c r="G449" s="734"/>
      <c r="H449" s="734"/>
      <c r="I449" s="777"/>
      <c r="J449" s="740"/>
      <c r="K449" s="734"/>
      <c r="L449" s="734"/>
      <c r="M449" s="734"/>
      <c r="N449" s="734"/>
      <c r="O449" s="734"/>
      <c r="P449" s="734"/>
      <c r="Q449" s="734"/>
      <c r="R449" s="734"/>
      <c r="S449" s="734"/>
      <c r="T449" s="734"/>
      <c r="U449" s="734"/>
      <c r="V449" s="734"/>
      <c r="W449" s="734"/>
      <c r="X449" s="735"/>
      <c r="Y449" s="811"/>
      <c r="Z449" s="811"/>
      <c r="AA449" s="734"/>
      <c r="AB449" s="811"/>
      <c r="AC449" s="740"/>
      <c r="AD449" s="734"/>
      <c r="AE449" s="734"/>
      <c r="AF449" s="734"/>
      <c r="AG449" s="734"/>
      <c r="AH449" s="734"/>
      <c r="AI449" s="734"/>
      <c r="AJ449" s="879"/>
      <c r="AK449" s="734"/>
      <c r="AL449" s="734"/>
      <c r="AM449" s="734"/>
      <c r="AN449" s="734"/>
      <c r="AO449" s="734"/>
      <c r="AP449" s="52"/>
      <c r="AQ449" s="52"/>
      <c r="AR449" s="52"/>
      <c r="AS449" s="52"/>
      <c r="AT449" s="52"/>
      <c r="AU449" s="52"/>
      <c r="AV449" s="52"/>
      <c r="AW449" s="52"/>
      <c r="AX449" s="52"/>
      <c r="AY449" s="52"/>
      <c r="AZ449" s="734" t="str">
        <f>IFERROR(__xludf.DUMMYFUNCTION("""COMPUTED_VALUE"""),"The Gas Amelia")</f>
        <v>The Gas Amelia</v>
      </c>
      <c r="BA449" s="740"/>
      <c r="BB449" s="734"/>
      <c r="BC449" s="740"/>
      <c r="BD449" s="734"/>
      <c r="BE449" s="52"/>
      <c r="BF449" s="52"/>
      <c r="BG449" s="734"/>
      <c r="BH449" s="734"/>
      <c r="BI449" s="734"/>
      <c r="BJ449" s="734"/>
    </row>
    <row r="450">
      <c r="B450" s="740"/>
      <c r="C450" s="869"/>
      <c r="D450" s="734"/>
      <c r="E450" s="734"/>
      <c r="F450" s="740"/>
      <c r="G450" s="734"/>
      <c r="H450" s="734"/>
      <c r="I450" s="777"/>
      <c r="J450" s="740"/>
      <c r="K450" s="734"/>
      <c r="L450" s="734"/>
      <c r="M450" s="734"/>
      <c r="N450" s="734"/>
      <c r="O450" s="734"/>
      <c r="P450" s="734"/>
      <c r="Q450" s="734"/>
      <c r="R450" s="734"/>
      <c r="S450" s="734"/>
      <c r="T450" s="734"/>
      <c r="U450" s="734"/>
      <c r="V450" s="734"/>
      <c r="W450" s="734"/>
      <c r="X450" s="735"/>
      <c r="Y450" s="811"/>
      <c r="Z450" s="811"/>
      <c r="AA450" s="734"/>
      <c r="AB450" s="811"/>
      <c r="AC450" s="740"/>
      <c r="AD450" s="734"/>
      <c r="AE450" s="734"/>
      <c r="AF450" s="734"/>
      <c r="AG450" s="734"/>
      <c r="AH450" s="734"/>
      <c r="AI450" s="734"/>
      <c r="AJ450" s="879"/>
      <c r="AK450" s="734"/>
      <c r="AL450" s="734"/>
      <c r="AM450" s="734"/>
      <c r="AN450" s="734"/>
      <c r="AO450" s="734"/>
      <c r="AP450" s="52"/>
      <c r="AQ450" s="52"/>
      <c r="AR450" s="52"/>
      <c r="AS450" s="52"/>
      <c r="AT450" s="52"/>
      <c r="AU450" s="52"/>
      <c r="AV450" s="52"/>
      <c r="AW450" s="52"/>
      <c r="AX450" s="52"/>
      <c r="AY450" s="52"/>
      <c r="AZ450" s="734" t="str">
        <f>IFERROR(__xludf.DUMMYFUNCTION("""COMPUTED_VALUE"""),"Tulip")</f>
        <v>Tulip</v>
      </c>
      <c r="BA450" s="740"/>
      <c r="BB450" s="734"/>
      <c r="BC450" s="740"/>
      <c r="BD450" s="734"/>
      <c r="BE450" s="52"/>
      <c r="BF450" s="52"/>
      <c r="BG450" s="734"/>
      <c r="BH450" s="734"/>
      <c r="BI450" s="734"/>
      <c r="BJ450" s="734"/>
    </row>
    <row r="451">
      <c r="B451" s="740"/>
      <c r="C451" s="869"/>
      <c r="D451" s="734"/>
      <c r="E451" s="734"/>
      <c r="F451" s="740"/>
      <c r="G451" s="734"/>
      <c r="H451" s="734"/>
      <c r="I451" s="777"/>
      <c r="J451" s="740"/>
      <c r="K451" s="734"/>
      <c r="L451" s="734"/>
      <c r="M451" s="734"/>
      <c r="N451" s="734"/>
      <c r="O451" s="734"/>
      <c r="P451" s="734"/>
      <c r="Q451" s="734"/>
      <c r="R451" s="734"/>
      <c r="S451" s="734"/>
      <c r="T451" s="734"/>
      <c r="U451" s="734"/>
      <c r="V451" s="734"/>
      <c r="W451" s="734"/>
      <c r="X451" s="735"/>
      <c r="Y451" s="811"/>
      <c r="Z451" s="811"/>
      <c r="AA451" s="734"/>
      <c r="AB451" s="811"/>
      <c r="AC451" s="740"/>
      <c r="AD451" s="734"/>
      <c r="AE451" s="734"/>
      <c r="AF451" s="734"/>
      <c r="AG451" s="734"/>
      <c r="AH451" s="734"/>
      <c r="AI451" s="734"/>
      <c r="AJ451" s="879"/>
      <c r="AK451" s="734"/>
      <c r="AL451" s="734"/>
      <c r="AM451" s="734"/>
      <c r="AN451" s="734"/>
      <c r="AO451" s="734"/>
      <c r="AP451" s="52"/>
      <c r="AQ451" s="52"/>
      <c r="AR451" s="52"/>
      <c r="AS451" s="52"/>
      <c r="AT451" s="52"/>
      <c r="AU451" s="52"/>
      <c r="AV451" s="52"/>
      <c r="AW451" s="52"/>
      <c r="AX451" s="52"/>
      <c r="AY451" s="52"/>
      <c r="AZ451" s="734" t="str">
        <f>IFERROR(__xludf.DUMMYFUNCTION("""COMPUTED_VALUE"""),"Valano")</f>
        <v>Valano</v>
      </c>
      <c r="BA451" s="740"/>
      <c r="BB451" s="734"/>
      <c r="BC451" s="740"/>
      <c r="BD451" s="734"/>
      <c r="BE451" s="52"/>
      <c r="BF451" s="52"/>
      <c r="BG451" s="734"/>
      <c r="BH451" s="734"/>
      <c r="BI451" s="734"/>
      <c r="BJ451" s="734"/>
    </row>
    <row r="452">
      <c r="B452" s="740"/>
      <c r="C452" s="869"/>
      <c r="D452" s="734"/>
      <c r="E452" s="734"/>
      <c r="F452" s="740"/>
      <c r="G452" s="734"/>
      <c r="H452" s="734"/>
      <c r="I452" s="777"/>
      <c r="J452" s="740"/>
      <c r="K452" s="734"/>
      <c r="L452" s="734"/>
      <c r="M452" s="734"/>
      <c r="N452" s="734"/>
      <c r="O452" s="734"/>
      <c r="P452" s="734"/>
      <c r="Q452" s="734"/>
      <c r="R452" s="734"/>
      <c r="S452" s="734"/>
      <c r="T452" s="734"/>
      <c r="U452" s="734"/>
      <c r="V452" s="734"/>
      <c r="W452" s="734"/>
      <c r="X452" s="735"/>
      <c r="Y452" s="811"/>
      <c r="Z452" s="811"/>
      <c r="AA452" s="734"/>
      <c r="AB452" s="811"/>
      <c r="AC452" s="740"/>
      <c r="AD452" s="734"/>
      <c r="AE452" s="734"/>
      <c r="AF452" s="734"/>
      <c r="AG452" s="734"/>
      <c r="AH452" s="734"/>
      <c r="AI452" s="734"/>
      <c r="AJ452" s="879"/>
      <c r="AK452" s="734"/>
      <c r="AL452" s="734"/>
      <c r="AM452" s="734"/>
      <c r="AN452" s="734"/>
      <c r="AO452" s="734"/>
      <c r="AP452" s="52"/>
      <c r="AQ452" s="52"/>
      <c r="AR452" s="52"/>
      <c r="AS452" s="52"/>
      <c r="AT452" s="52"/>
      <c r="AU452" s="52"/>
      <c r="AV452" s="52"/>
      <c r="AW452" s="52"/>
      <c r="AX452" s="52"/>
      <c r="AY452" s="52"/>
      <c r="AZ452" s="734" t="str">
        <f>IFERROR(__xludf.DUMMYFUNCTION("""COMPUTED_VALUE"""),"Viet Dragon 68")</f>
        <v>Viet Dragon 68</v>
      </c>
      <c r="BA452" s="740"/>
      <c r="BB452" s="734"/>
      <c r="BC452" s="740"/>
      <c r="BD452" s="734"/>
      <c r="BE452" s="52"/>
      <c r="BF452" s="52"/>
      <c r="BG452" s="734"/>
      <c r="BH452" s="734"/>
      <c r="BI452" s="734"/>
      <c r="BJ452" s="734"/>
    </row>
    <row r="453">
      <c r="B453" s="740"/>
      <c r="C453" s="869"/>
      <c r="D453" s="734"/>
      <c r="E453" s="734"/>
      <c r="F453" s="740"/>
      <c r="G453" s="734"/>
      <c r="H453" s="734"/>
      <c r="I453" s="777"/>
      <c r="J453" s="740"/>
      <c r="K453" s="734"/>
      <c r="L453" s="734"/>
      <c r="M453" s="734"/>
      <c r="N453" s="734"/>
      <c r="O453" s="734"/>
      <c r="P453" s="734"/>
      <c r="Q453" s="734"/>
      <c r="R453" s="734"/>
      <c r="S453" s="734"/>
      <c r="T453" s="734"/>
      <c r="U453" s="734"/>
      <c r="V453" s="734"/>
      <c r="W453" s="734"/>
      <c r="X453" s="735"/>
      <c r="Y453" s="811"/>
      <c r="Z453" s="811"/>
      <c r="AA453" s="734"/>
      <c r="AB453" s="811"/>
      <c r="AC453" s="740"/>
      <c r="AD453" s="734"/>
      <c r="AE453" s="734"/>
      <c r="AF453" s="734"/>
      <c r="AG453" s="734"/>
      <c r="AH453" s="734"/>
      <c r="AI453" s="734"/>
      <c r="AJ453" s="879"/>
      <c r="AK453" s="734"/>
      <c r="AL453" s="734"/>
      <c r="AM453" s="734"/>
      <c r="AN453" s="734"/>
      <c r="AO453" s="734"/>
      <c r="AP453" s="52"/>
      <c r="AQ453" s="52"/>
      <c r="AR453" s="52"/>
      <c r="AS453" s="52"/>
      <c r="AT453" s="52"/>
      <c r="AU453" s="52"/>
      <c r="AV453" s="52"/>
      <c r="AW453" s="52"/>
      <c r="AX453" s="52"/>
      <c r="AY453" s="52"/>
      <c r="AZ453" s="734" t="str">
        <f>IFERROR(__xludf.DUMMYFUNCTION("""COMPUTED_VALUE"""),"Xavia")</f>
        <v>Xavia</v>
      </c>
      <c r="BA453" s="740"/>
      <c r="BB453" s="734"/>
      <c r="BC453" s="740"/>
      <c r="BD453" s="734"/>
      <c r="BE453" s="52"/>
      <c r="BF453" s="52"/>
      <c r="BG453" s="734"/>
      <c r="BH453" s="734"/>
      <c r="BI453" s="734"/>
      <c r="BJ453" s="734"/>
    </row>
    <row r="454">
      <c r="B454" s="740"/>
      <c r="C454" s="869"/>
      <c r="D454" s="734"/>
      <c r="E454" s="734"/>
      <c r="F454" s="740"/>
      <c r="G454" s="734"/>
      <c r="H454" s="734"/>
      <c r="I454" s="777"/>
      <c r="J454" s="740"/>
      <c r="K454" s="734"/>
      <c r="L454" s="734"/>
      <c r="M454" s="734"/>
      <c r="N454" s="734"/>
      <c r="O454" s="734"/>
      <c r="P454" s="734"/>
      <c r="Q454" s="734"/>
      <c r="R454" s="734"/>
      <c r="S454" s="734"/>
      <c r="T454" s="734"/>
      <c r="U454" s="734"/>
      <c r="V454" s="734"/>
      <c r="W454" s="734"/>
      <c r="X454" s="735"/>
      <c r="Y454" s="811"/>
      <c r="Z454" s="811"/>
      <c r="AA454" s="734"/>
      <c r="AB454" s="811"/>
      <c r="AC454" s="740"/>
      <c r="AD454" s="734"/>
      <c r="AE454" s="734"/>
      <c r="AF454" s="734"/>
      <c r="AG454" s="734"/>
      <c r="AH454" s="734"/>
      <c r="AI454" s="734"/>
      <c r="AJ454" s="879"/>
      <c r="AK454" s="734"/>
      <c r="AL454" s="734"/>
      <c r="AM454" s="734"/>
      <c r="AN454" s="734"/>
      <c r="AO454" s="734"/>
      <c r="AP454" s="52"/>
      <c r="AQ454" s="52"/>
      <c r="AR454" s="52"/>
      <c r="AS454" s="52"/>
      <c r="AT454" s="52"/>
      <c r="AU454" s="52"/>
      <c r="AV454" s="52"/>
      <c r="AW454" s="52"/>
      <c r="AX454" s="52"/>
      <c r="AY454" s="52"/>
      <c r="AZ454" s="734" t="str">
        <f>IFERROR(__xludf.DUMMYFUNCTION("""COMPUTED_VALUE"""),"Xi Wang Mu")</f>
        <v>Xi Wang Mu</v>
      </c>
      <c r="BA454" s="740"/>
      <c r="BB454" s="734"/>
      <c r="BC454" s="740"/>
      <c r="BD454" s="734"/>
      <c r="BE454" s="52"/>
      <c r="BF454" s="52"/>
      <c r="BG454" s="734"/>
      <c r="BH454" s="734"/>
      <c r="BI454" s="734"/>
      <c r="BJ454" s="734"/>
    </row>
    <row r="455">
      <c r="B455" s="740"/>
      <c r="C455" s="869"/>
      <c r="D455" s="734"/>
      <c r="E455" s="734"/>
      <c r="F455" s="740"/>
      <c r="G455" s="734"/>
      <c r="H455" s="734"/>
      <c r="I455" s="777"/>
      <c r="J455" s="740"/>
      <c r="K455" s="734"/>
      <c r="L455" s="734"/>
      <c r="M455" s="734"/>
      <c r="N455" s="734"/>
      <c r="O455" s="734"/>
      <c r="P455" s="734"/>
      <c r="Q455" s="734"/>
      <c r="R455" s="734"/>
      <c r="S455" s="734"/>
      <c r="T455" s="734"/>
      <c r="U455" s="734"/>
      <c r="V455" s="734"/>
      <c r="W455" s="734"/>
      <c r="X455" s="735"/>
      <c r="Y455" s="811"/>
      <c r="Z455" s="811"/>
      <c r="AA455" s="734"/>
      <c r="AB455" s="811"/>
      <c r="AC455" s="740"/>
      <c r="AD455" s="734"/>
      <c r="AE455" s="734"/>
      <c r="AF455" s="734"/>
      <c r="AG455" s="734"/>
      <c r="AH455" s="734"/>
      <c r="AI455" s="734"/>
      <c r="AJ455" s="879"/>
      <c r="AK455" s="734"/>
      <c r="AL455" s="734"/>
      <c r="AM455" s="734"/>
      <c r="AN455" s="734"/>
      <c r="AO455" s="734"/>
      <c r="AP455" s="52"/>
      <c r="AQ455" s="52"/>
      <c r="AR455" s="52"/>
      <c r="AS455" s="52"/>
      <c r="AT455" s="52"/>
      <c r="AU455" s="52"/>
      <c r="AV455" s="52"/>
      <c r="AW455" s="52"/>
      <c r="AX455" s="52"/>
      <c r="AY455" s="52"/>
      <c r="AZ455" s="734" t="str">
        <f>IFERROR(__xludf.DUMMYFUNCTION("""COMPUTED_VALUE"""),"Ziran")</f>
        <v>Ziran</v>
      </c>
      <c r="BA455" s="740"/>
      <c r="BB455" s="734"/>
      <c r="BC455" s="740"/>
      <c r="BD455" s="734"/>
      <c r="BE455" s="52"/>
      <c r="BF455" s="52"/>
      <c r="BG455" s="734"/>
      <c r="BH455" s="734"/>
      <c r="BI455" s="734"/>
      <c r="BJ455" s="734"/>
    </row>
    <row r="456">
      <c r="B456" s="740"/>
      <c r="C456" s="869"/>
      <c r="D456" s="734"/>
      <c r="E456" s="734"/>
      <c r="F456" s="740"/>
      <c r="G456" s="734"/>
      <c r="H456" s="734"/>
      <c r="I456" s="777"/>
      <c r="J456" s="740"/>
      <c r="K456" s="734"/>
      <c r="L456" s="734"/>
      <c r="M456" s="734"/>
      <c r="N456" s="734"/>
      <c r="O456" s="734"/>
      <c r="P456" s="734"/>
      <c r="Q456" s="734"/>
      <c r="R456" s="734"/>
      <c r="S456" s="734"/>
      <c r="T456" s="734"/>
      <c r="U456" s="734"/>
      <c r="V456" s="734"/>
      <c r="W456" s="734"/>
      <c r="X456" s="735"/>
      <c r="Y456" s="811"/>
      <c r="Z456" s="811"/>
      <c r="AA456" s="734"/>
      <c r="AB456" s="811"/>
      <c r="AC456" s="740"/>
      <c r="AD456" s="734"/>
      <c r="AE456" s="734"/>
      <c r="AF456" s="734"/>
      <c r="AG456" s="734"/>
      <c r="AH456" s="734"/>
      <c r="AI456" s="734"/>
      <c r="AJ456" s="879"/>
      <c r="AK456" s="734"/>
      <c r="AL456" s="734"/>
      <c r="AM456" s="734"/>
      <c r="AN456" s="734"/>
      <c r="AO456" s="734"/>
      <c r="AP456" s="52"/>
      <c r="AQ456" s="52"/>
      <c r="AR456" s="52"/>
      <c r="AS456" s="52"/>
      <c r="AT456" s="52"/>
      <c r="AU456" s="52"/>
      <c r="AV456" s="52"/>
      <c r="AW456" s="52"/>
      <c r="AX456" s="52"/>
      <c r="AY456" s="52"/>
      <c r="AZ456" s="734" t="str">
        <f>IFERROR(__xludf.DUMMYFUNCTION("""COMPUTED_VALUE"""),"Zixuan")</f>
        <v>Zixuan</v>
      </c>
      <c r="BA456" s="740"/>
      <c r="BB456" s="734"/>
      <c r="BC456" s="740"/>
      <c r="BD456" s="734"/>
      <c r="BE456" s="52"/>
      <c r="BF456" s="52"/>
      <c r="BG456" s="734"/>
      <c r="BH456" s="734"/>
      <c r="BI456" s="734"/>
      <c r="BJ456" s="734"/>
    </row>
    <row r="457">
      <c r="B457" s="740"/>
      <c r="C457" s="869"/>
      <c r="D457" s="734"/>
      <c r="E457" s="734"/>
      <c r="F457" s="740"/>
      <c r="G457" s="734"/>
      <c r="H457" s="734"/>
      <c r="I457" s="777"/>
      <c r="J457" s="740"/>
      <c r="K457" s="734"/>
      <c r="L457" s="734"/>
      <c r="M457" s="734"/>
      <c r="N457" s="734"/>
      <c r="O457" s="734"/>
      <c r="P457" s="734"/>
      <c r="Q457" s="734"/>
      <c r="R457" s="734"/>
      <c r="S457" s="734"/>
      <c r="T457" s="734"/>
      <c r="U457" s="734"/>
      <c r="V457" s="734"/>
      <c r="W457" s="734"/>
      <c r="X457" s="735"/>
      <c r="Y457" s="811"/>
      <c r="Z457" s="811"/>
      <c r="AA457" s="734"/>
      <c r="AB457" s="811"/>
      <c r="AC457" s="740"/>
      <c r="AD457" s="734"/>
      <c r="AE457" s="734"/>
      <c r="AF457" s="734"/>
      <c r="AG457" s="734"/>
      <c r="AH457" s="734"/>
      <c r="AI457" s="734"/>
      <c r="AJ457" s="879"/>
      <c r="AK457" s="734"/>
      <c r="AL457" s="734"/>
      <c r="AM457" s="734"/>
      <c r="AN457" s="734"/>
      <c r="AO457" s="734"/>
      <c r="AP457" s="52"/>
      <c r="AQ457" s="52"/>
      <c r="AR457" s="52"/>
      <c r="AS457" s="52"/>
      <c r="AT457" s="52"/>
      <c r="AU457" s="52"/>
      <c r="AV457" s="52"/>
      <c r="AW457" s="52"/>
      <c r="AX457" s="52"/>
      <c r="AY457" s="52"/>
      <c r="AZ457" s="734"/>
      <c r="BA457" s="740"/>
      <c r="BB457" s="734"/>
      <c r="BC457" s="740"/>
      <c r="BD457" s="734"/>
      <c r="BE457" s="52"/>
      <c r="BF457" s="52"/>
      <c r="BG457" s="734"/>
      <c r="BH457" s="734"/>
      <c r="BI457" s="734"/>
      <c r="BJ457" s="734"/>
    </row>
    <row r="458">
      <c r="B458" s="740"/>
      <c r="C458" s="869"/>
      <c r="D458" s="734"/>
      <c r="E458" s="734"/>
      <c r="F458" s="740"/>
      <c r="G458" s="734"/>
      <c r="H458" s="734"/>
      <c r="I458" s="777"/>
      <c r="J458" s="740"/>
      <c r="K458" s="734"/>
      <c r="L458" s="734"/>
      <c r="M458" s="734"/>
      <c r="N458" s="734"/>
      <c r="O458" s="734"/>
      <c r="P458" s="734"/>
      <c r="Q458" s="734"/>
      <c r="R458" s="734"/>
      <c r="S458" s="734"/>
      <c r="T458" s="734"/>
      <c r="U458" s="734"/>
      <c r="V458" s="734"/>
      <c r="W458" s="734"/>
      <c r="X458" s="735"/>
      <c r="Y458" s="811"/>
      <c r="Z458" s="811"/>
      <c r="AA458" s="734"/>
      <c r="AB458" s="811"/>
      <c r="AC458" s="740"/>
      <c r="AD458" s="734"/>
      <c r="AE458" s="734"/>
      <c r="AF458" s="734"/>
      <c r="AG458" s="734"/>
      <c r="AH458" s="734"/>
      <c r="AI458" s="734"/>
      <c r="AJ458" s="879"/>
      <c r="AK458" s="734"/>
      <c r="AL458" s="734"/>
      <c r="AM458" s="734"/>
      <c r="AN458" s="734"/>
      <c r="AO458" s="734"/>
      <c r="AP458" s="52"/>
      <c r="AQ458" s="52"/>
      <c r="AR458" s="52"/>
      <c r="AS458" s="52"/>
      <c r="AT458" s="52"/>
      <c r="AU458" s="52"/>
      <c r="AV458" s="52"/>
      <c r="AW458" s="52"/>
      <c r="AX458" s="52"/>
      <c r="AY458" s="52"/>
      <c r="AZ458" s="734"/>
      <c r="BA458" s="740"/>
      <c r="BB458" s="734"/>
      <c r="BC458" s="740"/>
      <c r="BD458" s="734"/>
      <c r="BE458" s="52"/>
      <c r="BF458" s="52"/>
      <c r="BG458" s="734"/>
      <c r="BH458" s="734"/>
      <c r="BI458" s="734"/>
      <c r="BJ458" s="734"/>
    </row>
    <row r="459">
      <c r="B459" s="740"/>
      <c r="C459" s="869"/>
      <c r="D459" s="734"/>
      <c r="E459" s="734"/>
      <c r="F459" s="740"/>
      <c r="G459" s="734"/>
      <c r="H459" s="734"/>
      <c r="I459" s="777"/>
      <c r="J459" s="740"/>
      <c r="K459" s="734"/>
      <c r="L459" s="734"/>
      <c r="M459" s="734"/>
      <c r="N459" s="734"/>
      <c r="O459" s="734"/>
      <c r="P459" s="734"/>
      <c r="Q459" s="734"/>
      <c r="R459" s="734"/>
      <c r="S459" s="734"/>
      <c r="T459" s="734"/>
      <c r="U459" s="734"/>
      <c r="V459" s="734"/>
      <c r="W459" s="734"/>
      <c r="X459" s="735"/>
      <c r="Y459" s="811"/>
      <c r="Z459" s="811"/>
      <c r="AA459" s="734"/>
      <c r="AB459" s="811"/>
      <c r="AC459" s="740"/>
      <c r="AD459" s="734"/>
      <c r="AE459" s="734"/>
      <c r="AF459" s="734"/>
      <c r="AG459" s="734"/>
      <c r="AH459" s="734"/>
      <c r="AI459" s="734"/>
      <c r="AJ459" s="879"/>
      <c r="AK459" s="734"/>
      <c r="AL459" s="734"/>
      <c r="AM459" s="734"/>
      <c r="AN459" s="734"/>
      <c r="AO459" s="734"/>
      <c r="AP459" s="52"/>
      <c r="AQ459" s="52"/>
      <c r="AR459" s="52"/>
      <c r="AS459" s="52"/>
      <c r="AT459" s="52"/>
      <c r="AU459" s="52"/>
      <c r="AV459" s="52"/>
      <c r="AW459" s="52"/>
      <c r="AX459" s="52"/>
      <c r="AY459" s="52"/>
      <c r="AZ459" s="734"/>
      <c r="BA459" s="740"/>
      <c r="BB459" s="734"/>
      <c r="BC459" s="740"/>
      <c r="BD459" s="734"/>
      <c r="BE459" s="52"/>
      <c r="BF459" s="52"/>
      <c r="BG459" s="734"/>
      <c r="BH459" s="734"/>
      <c r="BI459" s="734"/>
      <c r="BJ459" s="734"/>
    </row>
    <row r="460">
      <c r="B460" s="740"/>
      <c r="C460" s="869"/>
      <c r="D460" s="734"/>
      <c r="E460" s="734"/>
      <c r="F460" s="740"/>
      <c r="G460" s="734"/>
      <c r="H460" s="734"/>
      <c r="I460" s="777"/>
      <c r="J460" s="740"/>
      <c r="K460" s="734"/>
      <c r="L460" s="734"/>
      <c r="M460" s="734"/>
      <c r="N460" s="734"/>
      <c r="O460" s="734"/>
      <c r="P460" s="734"/>
      <c r="Q460" s="734"/>
      <c r="R460" s="734"/>
      <c r="S460" s="734"/>
      <c r="T460" s="734"/>
      <c r="U460" s="734"/>
      <c r="V460" s="734"/>
      <c r="W460" s="734"/>
      <c r="X460" s="735"/>
      <c r="Y460" s="811"/>
      <c r="Z460" s="811"/>
      <c r="AA460" s="734"/>
      <c r="AB460" s="811"/>
      <c r="AC460" s="740"/>
      <c r="AD460" s="734"/>
      <c r="AE460" s="734"/>
      <c r="AF460" s="734"/>
      <c r="AG460" s="734"/>
      <c r="AH460" s="734"/>
      <c r="AI460" s="734"/>
      <c r="AJ460" s="879"/>
      <c r="AK460" s="734"/>
      <c r="AL460" s="734"/>
      <c r="AM460" s="734"/>
      <c r="AN460" s="734"/>
      <c r="AO460" s="734"/>
      <c r="AP460" s="52"/>
      <c r="AQ460" s="52"/>
      <c r="AR460" s="52"/>
      <c r="AS460" s="52"/>
      <c r="AT460" s="52"/>
      <c r="AU460" s="52"/>
      <c r="AV460" s="52"/>
      <c r="AW460" s="52"/>
      <c r="AX460" s="52"/>
      <c r="AY460" s="52"/>
      <c r="AZ460" s="734"/>
      <c r="BA460" s="740"/>
      <c r="BB460" s="734"/>
      <c r="BC460" s="740"/>
      <c r="BD460" s="734"/>
      <c r="BE460" s="52"/>
      <c r="BF460" s="52"/>
      <c r="BG460" s="734"/>
      <c r="BH460" s="734"/>
      <c r="BI460" s="734"/>
      <c r="BJ460" s="734"/>
    </row>
    <row r="461">
      <c r="B461" s="740"/>
      <c r="C461" s="869"/>
      <c r="D461" s="734"/>
      <c r="E461" s="734"/>
      <c r="F461" s="740"/>
      <c r="G461" s="734"/>
      <c r="H461" s="734"/>
      <c r="I461" s="777"/>
      <c r="J461" s="740"/>
      <c r="K461" s="734"/>
      <c r="L461" s="734"/>
      <c r="M461" s="734"/>
      <c r="N461" s="734"/>
      <c r="O461" s="734"/>
      <c r="P461" s="734"/>
      <c r="Q461" s="734"/>
      <c r="R461" s="734"/>
      <c r="S461" s="734"/>
      <c r="T461" s="734"/>
      <c r="U461" s="734"/>
      <c r="V461" s="734"/>
      <c r="W461" s="734"/>
      <c r="X461" s="735"/>
      <c r="Y461" s="811"/>
      <c r="Z461" s="811"/>
      <c r="AA461" s="734"/>
      <c r="AB461" s="811"/>
      <c r="AC461" s="740"/>
      <c r="AD461" s="734"/>
      <c r="AE461" s="734"/>
      <c r="AF461" s="734"/>
      <c r="AG461" s="734"/>
      <c r="AH461" s="734"/>
      <c r="AI461" s="734"/>
      <c r="AJ461" s="879"/>
      <c r="AK461" s="734"/>
      <c r="AL461" s="734"/>
      <c r="AM461" s="734"/>
      <c r="AN461" s="734"/>
      <c r="AO461" s="734"/>
      <c r="AP461" s="52"/>
      <c r="AQ461" s="52"/>
      <c r="AR461" s="52"/>
      <c r="AS461" s="52"/>
      <c r="AT461" s="52"/>
      <c r="AU461" s="52"/>
      <c r="AV461" s="52"/>
      <c r="AW461" s="52"/>
      <c r="AX461" s="52"/>
      <c r="AY461" s="52"/>
      <c r="AZ461" s="734"/>
      <c r="BA461" s="740"/>
      <c r="BB461" s="734"/>
      <c r="BC461" s="740"/>
      <c r="BD461" s="734"/>
      <c r="BE461" s="52"/>
      <c r="BF461" s="52"/>
      <c r="BG461" s="734"/>
      <c r="BH461" s="734"/>
      <c r="BI461" s="734"/>
      <c r="BJ461" s="734"/>
    </row>
    <row r="462">
      <c r="B462" s="740"/>
      <c r="C462" s="869"/>
      <c r="D462" s="734"/>
      <c r="E462" s="734"/>
      <c r="F462" s="740"/>
      <c r="G462" s="734"/>
      <c r="H462" s="734"/>
      <c r="I462" s="777"/>
      <c r="J462" s="740"/>
      <c r="K462" s="734"/>
      <c r="L462" s="734"/>
      <c r="M462" s="734"/>
      <c r="N462" s="734"/>
      <c r="O462" s="734"/>
      <c r="P462" s="734"/>
      <c r="Q462" s="734"/>
      <c r="R462" s="734"/>
      <c r="S462" s="734"/>
      <c r="T462" s="734"/>
      <c r="U462" s="734"/>
      <c r="V462" s="734"/>
      <c r="W462" s="734"/>
      <c r="X462" s="735"/>
      <c r="Y462" s="811"/>
      <c r="Z462" s="811"/>
      <c r="AA462" s="734"/>
      <c r="AB462" s="811"/>
      <c r="AC462" s="740"/>
      <c r="AD462" s="734"/>
      <c r="AE462" s="734"/>
      <c r="AF462" s="734"/>
      <c r="AG462" s="734"/>
      <c r="AH462" s="734"/>
      <c r="AI462" s="734"/>
      <c r="AJ462" s="879"/>
      <c r="AK462" s="734"/>
      <c r="AL462" s="734"/>
      <c r="AM462" s="734"/>
      <c r="AN462" s="734"/>
      <c r="AO462" s="734"/>
      <c r="AP462" s="52"/>
      <c r="AQ462" s="52"/>
      <c r="AR462" s="52"/>
      <c r="AS462" s="52"/>
      <c r="AT462" s="52"/>
      <c r="AU462" s="52"/>
      <c r="AV462" s="52"/>
      <c r="AW462" s="52"/>
      <c r="AX462" s="52"/>
      <c r="AY462" s="52"/>
      <c r="AZ462" s="734"/>
      <c r="BA462" s="740"/>
      <c r="BB462" s="734"/>
      <c r="BC462" s="740"/>
      <c r="BD462" s="734"/>
      <c r="BE462" s="52"/>
      <c r="BF462" s="52"/>
      <c r="BG462" s="734"/>
      <c r="BH462" s="734"/>
      <c r="BI462" s="734"/>
      <c r="BJ462" s="734"/>
    </row>
    <row r="463">
      <c r="B463" s="740"/>
      <c r="C463" s="869"/>
      <c r="D463" s="734"/>
      <c r="E463" s="734"/>
      <c r="F463" s="740"/>
      <c r="G463" s="734"/>
      <c r="H463" s="734"/>
      <c r="I463" s="777"/>
      <c r="J463" s="740"/>
      <c r="K463" s="734"/>
      <c r="L463" s="734"/>
      <c r="M463" s="734"/>
      <c r="N463" s="734"/>
      <c r="O463" s="734"/>
      <c r="P463" s="734"/>
      <c r="Q463" s="734"/>
      <c r="R463" s="734"/>
      <c r="S463" s="734"/>
      <c r="T463" s="734"/>
      <c r="U463" s="734"/>
      <c r="V463" s="734"/>
      <c r="W463" s="734"/>
      <c r="X463" s="735"/>
      <c r="Y463" s="811"/>
      <c r="Z463" s="811"/>
      <c r="AA463" s="734"/>
      <c r="AB463" s="811"/>
      <c r="AC463" s="740"/>
      <c r="AD463" s="734"/>
      <c r="AE463" s="734"/>
      <c r="AF463" s="734"/>
      <c r="AG463" s="734"/>
      <c r="AH463" s="734"/>
      <c r="AI463" s="734"/>
      <c r="AJ463" s="879"/>
      <c r="AK463" s="734"/>
      <c r="AL463" s="734"/>
      <c r="AM463" s="734"/>
      <c r="AN463" s="734"/>
      <c r="AO463" s="734"/>
      <c r="AP463" s="52"/>
      <c r="AQ463" s="52"/>
      <c r="AR463" s="52"/>
      <c r="AS463" s="52"/>
      <c r="AT463" s="52"/>
      <c r="AU463" s="52"/>
      <c r="AV463" s="52"/>
      <c r="AW463" s="52"/>
      <c r="AX463" s="52"/>
      <c r="AY463" s="52"/>
      <c r="AZ463" s="734"/>
      <c r="BA463" s="740"/>
      <c r="BB463" s="734"/>
      <c r="BC463" s="740"/>
      <c r="BD463" s="734"/>
      <c r="BE463" s="52"/>
      <c r="BF463" s="52"/>
      <c r="BG463" s="734"/>
      <c r="BH463" s="734"/>
      <c r="BI463" s="734"/>
      <c r="BJ463" s="734"/>
    </row>
    <row r="464">
      <c r="B464" s="740"/>
      <c r="C464" s="869"/>
      <c r="D464" s="734"/>
      <c r="E464" s="734"/>
      <c r="F464" s="740"/>
      <c r="G464" s="734"/>
      <c r="H464" s="734"/>
      <c r="I464" s="777"/>
      <c r="J464" s="740"/>
      <c r="K464" s="734"/>
      <c r="L464" s="734"/>
      <c r="M464" s="734"/>
      <c r="N464" s="734"/>
      <c r="O464" s="734"/>
      <c r="P464" s="734"/>
      <c r="Q464" s="734"/>
      <c r="R464" s="734"/>
      <c r="S464" s="734"/>
      <c r="T464" s="734"/>
      <c r="U464" s="734"/>
      <c r="V464" s="734"/>
      <c r="W464" s="734"/>
      <c r="X464" s="735"/>
      <c r="Y464" s="811"/>
      <c r="Z464" s="811"/>
      <c r="AA464" s="734"/>
      <c r="AB464" s="811"/>
      <c r="AC464" s="740"/>
      <c r="AD464" s="734"/>
      <c r="AE464" s="734"/>
      <c r="AF464" s="734"/>
      <c r="AG464" s="734"/>
      <c r="AH464" s="734"/>
      <c r="AI464" s="734"/>
      <c r="AJ464" s="879"/>
      <c r="AK464" s="734"/>
      <c r="AL464" s="734"/>
      <c r="AM464" s="734"/>
      <c r="AN464" s="734"/>
      <c r="AO464" s="734"/>
      <c r="AP464" s="52"/>
      <c r="AQ464" s="52"/>
      <c r="AR464" s="52"/>
      <c r="AS464" s="52"/>
      <c r="AT464" s="52"/>
      <c r="AU464" s="52"/>
      <c r="AV464" s="52"/>
      <c r="AW464" s="52"/>
      <c r="AX464" s="52"/>
      <c r="AY464" s="52"/>
      <c r="AZ464" s="734"/>
      <c r="BA464" s="740"/>
      <c r="BB464" s="734"/>
      <c r="BC464" s="740"/>
      <c r="BD464" s="734"/>
      <c r="BE464" s="52"/>
      <c r="BF464" s="52"/>
      <c r="BG464" s="734"/>
      <c r="BH464" s="734"/>
      <c r="BI464" s="734"/>
      <c r="BJ464" s="734"/>
    </row>
    <row r="465">
      <c r="B465" s="740"/>
      <c r="C465" s="869"/>
      <c r="D465" s="734"/>
      <c r="E465" s="734"/>
      <c r="F465" s="740"/>
      <c r="G465" s="734"/>
      <c r="H465" s="734"/>
      <c r="I465" s="777"/>
      <c r="J465" s="740"/>
      <c r="K465" s="734"/>
      <c r="L465" s="734"/>
      <c r="M465" s="734"/>
      <c r="N465" s="734"/>
      <c r="O465" s="734"/>
      <c r="P465" s="734"/>
      <c r="Q465" s="734"/>
      <c r="R465" s="734"/>
      <c r="S465" s="734"/>
      <c r="T465" s="734"/>
      <c r="U465" s="734"/>
      <c r="V465" s="734"/>
      <c r="W465" s="734"/>
      <c r="X465" s="735"/>
      <c r="Y465" s="811"/>
      <c r="Z465" s="811"/>
      <c r="AA465" s="734"/>
      <c r="AB465" s="811"/>
      <c r="AC465" s="740"/>
      <c r="AD465" s="734"/>
      <c r="AE465" s="734"/>
      <c r="AF465" s="734"/>
      <c r="AG465" s="734"/>
      <c r="AH465" s="734"/>
      <c r="AI465" s="734"/>
      <c r="AJ465" s="879"/>
      <c r="AK465" s="734"/>
      <c r="AL465" s="734"/>
      <c r="AM465" s="734"/>
      <c r="AN465" s="734"/>
      <c r="AO465" s="734"/>
      <c r="AP465" s="52"/>
      <c r="AQ465" s="52"/>
      <c r="AR465" s="52"/>
      <c r="AS465" s="52"/>
      <c r="AT465" s="52"/>
      <c r="AU465" s="52"/>
      <c r="AV465" s="52"/>
      <c r="AW465" s="52"/>
      <c r="AX465" s="52"/>
      <c r="AY465" s="52"/>
      <c r="AZ465" s="734"/>
      <c r="BA465" s="740"/>
      <c r="BB465" s="734"/>
      <c r="BC465" s="740"/>
      <c r="BD465" s="734"/>
      <c r="BE465" s="52"/>
      <c r="BF465" s="52"/>
      <c r="BG465" s="734"/>
      <c r="BH465" s="734"/>
      <c r="BI465" s="734"/>
      <c r="BJ465" s="734"/>
    </row>
    <row r="466">
      <c r="B466" s="740"/>
      <c r="C466" s="869"/>
      <c r="D466" s="734"/>
      <c r="E466" s="734"/>
      <c r="F466" s="740"/>
      <c r="G466" s="734"/>
      <c r="H466" s="734"/>
      <c r="I466" s="777"/>
      <c r="J466" s="740"/>
      <c r="K466" s="734"/>
      <c r="L466" s="734"/>
      <c r="M466" s="734"/>
      <c r="N466" s="734"/>
      <c r="O466" s="734"/>
      <c r="P466" s="734"/>
      <c r="Q466" s="734"/>
      <c r="R466" s="734"/>
      <c r="S466" s="734"/>
      <c r="T466" s="734"/>
      <c r="U466" s="734"/>
      <c r="V466" s="734"/>
      <c r="W466" s="734"/>
      <c r="X466" s="735"/>
      <c r="Y466" s="811"/>
      <c r="Z466" s="811"/>
      <c r="AA466" s="734"/>
      <c r="AB466" s="811"/>
      <c r="AC466" s="740"/>
      <c r="AD466" s="734"/>
      <c r="AE466" s="734"/>
      <c r="AF466" s="734"/>
      <c r="AG466" s="734"/>
      <c r="AH466" s="734"/>
      <c r="AI466" s="734"/>
      <c r="AJ466" s="879"/>
      <c r="AK466" s="734"/>
      <c r="AL466" s="734"/>
      <c r="AM466" s="734"/>
      <c r="AN466" s="734"/>
      <c r="AO466" s="734"/>
      <c r="AP466" s="52"/>
      <c r="AQ466" s="52"/>
      <c r="AR466" s="52"/>
      <c r="AS466" s="52"/>
      <c r="AT466" s="52"/>
      <c r="AU466" s="52"/>
      <c r="AV466" s="52"/>
      <c r="AW466" s="52"/>
      <c r="AX466" s="52"/>
      <c r="AY466" s="52"/>
      <c r="AZ466" s="734"/>
      <c r="BA466" s="740"/>
      <c r="BB466" s="734"/>
      <c r="BC466" s="740"/>
      <c r="BD466" s="734"/>
      <c r="BE466" s="52"/>
      <c r="BF466" s="52"/>
      <c r="BG466" s="734"/>
      <c r="BH466" s="734"/>
      <c r="BI466" s="734"/>
      <c r="BJ466" s="734"/>
    </row>
    <row r="467">
      <c r="B467" s="740"/>
      <c r="C467" s="869"/>
      <c r="D467" s="734"/>
      <c r="E467" s="734"/>
      <c r="F467" s="740"/>
      <c r="G467" s="734"/>
      <c r="H467" s="734"/>
      <c r="I467" s="777"/>
      <c r="J467" s="740"/>
      <c r="K467" s="734"/>
      <c r="L467" s="734"/>
      <c r="M467" s="734"/>
      <c r="N467" s="734"/>
      <c r="O467" s="734"/>
      <c r="P467" s="734"/>
      <c r="Q467" s="734"/>
      <c r="R467" s="734"/>
      <c r="S467" s="734"/>
      <c r="T467" s="734"/>
      <c r="U467" s="734"/>
      <c r="V467" s="734"/>
      <c r="W467" s="734"/>
      <c r="X467" s="735"/>
      <c r="Y467" s="811"/>
      <c r="Z467" s="811"/>
      <c r="AA467" s="734"/>
      <c r="AB467" s="811"/>
      <c r="AC467" s="740"/>
      <c r="AD467" s="734"/>
      <c r="AE467" s="734"/>
      <c r="AF467" s="734"/>
      <c r="AG467" s="734"/>
      <c r="AH467" s="734"/>
      <c r="AI467" s="734"/>
      <c r="AJ467" s="879"/>
      <c r="AK467" s="734"/>
      <c r="AL467" s="734"/>
      <c r="AM467" s="734"/>
      <c r="AN467" s="734"/>
      <c r="AO467" s="734"/>
      <c r="AP467" s="52"/>
      <c r="AQ467" s="52"/>
      <c r="AR467" s="52"/>
      <c r="AS467" s="52"/>
      <c r="AT467" s="52"/>
      <c r="AU467" s="52"/>
      <c r="AV467" s="52"/>
      <c r="AW467" s="52"/>
      <c r="AX467" s="52"/>
      <c r="AY467" s="52"/>
      <c r="AZ467" s="734"/>
      <c r="BA467" s="740"/>
      <c r="BB467" s="734"/>
      <c r="BC467" s="740"/>
      <c r="BD467" s="734"/>
      <c r="BE467" s="52"/>
      <c r="BF467" s="52"/>
      <c r="BG467" s="734"/>
      <c r="BH467" s="734"/>
      <c r="BI467" s="734"/>
      <c r="BJ467" s="734"/>
    </row>
    <row r="468">
      <c r="B468" s="740"/>
      <c r="C468" s="869"/>
      <c r="D468" s="734"/>
      <c r="E468" s="734"/>
      <c r="F468" s="740"/>
      <c r="G468" s="734"/>
      <c r="H468" s="734"/>
      <c r="I468" s="777"/>
      <c r="J468" s="740"/>
      <c r="K468" s="734"/>
      <c r="L468" s="734"/>
      <c r="M468" s="734"/>
      <c r="N468" s="734"/>
      <c r="O468" s="734"/>
      <c r="P468" s="734"/>
      <c r="Q468" s="734"/>
      <c r="R468" s="734"/>
      <c r="S468" s="734"/>
      <c r="T468" s="734"/>
      <c r="U468" s="734"/>
      <c r="V468" s="734"/>
      <c r="W468" s="734"/>
      <c r="X468" s="735"/>
      <c r="Y468" s="811"/>
      <c r="Z468" s="811"/>
      <c r="AA468" s="734"/>
      <c r="AB468" s="811"/>
      <c r="AC468" s="740"/>
      <c r="AD468" s="734"/>
      <c r="AE468" s="734"/>
      <c r="AF468" s="734"/>
      <c r="AG468" s="734"/>
      <c r="AH468" s="734"/>
      <c r="AI468" s="734"/>
      <c r="AJ468" s="879"/>
      <c r="AK468" s="734"/>
      <c r="AL468" s="734"/>
      <c r="AM468" s="734"/>
      <c r="AN468" s="734"/>
      <c r="AO468" s="734"/>
      <c r="AP468" s="52"/>
      <c r="AQ468" s="52"/>
      <c r="AR468" s="52"/>
      <c r="AS468" s="52"/>
      <c r="AT468" s="52"/>
      <c r="AU468" s="52"/>
      <c r="AV468" s="52"/>
      <c r="AW468" s="52"/>
      <c r="AX468" s="52"/>
      <c r="AY468" s="52"/>
      <c r="AZ468" s="734"/>
      <c r="BA468" s="740"/>
      <c r="BB468" s="734"/>
      <c r="BC468" s="740"/>
      <c r="BD468" s="734"/>
      <c r="BE468" s="52"/>
      <c r="BF468" s="52"/>
      <c r="BG468" s="734"/>
      <c r="BH468" s="734"/>
      <c r="BI468" s="734"/>
      <c r="BJ468" s="734"/>
    </row>
    <row r="469">
      <c r="B469" s="740"/>
      <c r="C469" s="869"/>
      <c r="D469" s="734"/>
      <c r="E469" s="734"/>
      <c r="F469" s="740"/>
      <c r="G469" s="734"/>
      <c r="H469" s="734"/>
      <c r="I469" s="777"/>
      <c r="J469" s="740"/>
      <c r="K469" s="734"/>
      <c r="L469" s="734"/>
      <c r="M469" s="734"/>
      <c r="N469" s="734"/>
      <c r="O469" s="734"/>
      <c r="P469" s="734"/>
      <c r="Q469" s="734"/>
      <c r="R469" s="734"/>
      <c r="S469" s="734"/>
      <c r="T469" s="734"/>
      <c r="U469" s="734"/>
      <c r="V469" s="734"/>
      <c r="W469" s="734"/>
      <c r="X469" s="735"/>
      <c r="Y469" s="811"/>
      <c r="Z469" s="811"/>
      <c r="AA469" s="734"/>
      <c r="AB469" s="811"/>
      <c r="AC469" s="740"/>
      <c r="AD469" s="734"/>
      <c r="AE469" s="734"/>
      <c r="AF469" s="734"/>
      <c r="AG469" s="734"/>
      <c r="AH469" s="734"/>
      <c r="AI469" s="734"/>
      <c r="AJ469" s="879"/>
      <c r="AK469" s="734"/>
      <c r="AL469" s="734"/>
      <c r="AM469" s="734"/>
      <c r="AN469" s="734"/>
      <c r="AO469" s="734"/>
      <c r="AP469" s="52"/>
      <c r="AQ469" s="52"/>
      <c r="AR469" s="52"/>
      <c r="AS469" s="52"/>
      <c r="AT469" s="52"/>
      <c r="AU469" s="52"/>
      <c r="AV469" s="52"/>
      <c r="AW469" s="52"/>
      <c r="AX469" s="52"/>
      <c r="AY469" s="52"/>
      <c r="AZ469" s="734"/>
      <c r="BA469" s="740"/>
      <c r="BB469" s="734"/>
      <c r="BC469" s="740"/>
      <c r="BD469" s="734"/>
      <c r="BE469" s="52"/>
      <c r="BF469" s="52"/>
      <c r="BG469" s="734"/>
      <c r="BH469" s="734"/>
      <c r="BI469" s="734"/>
      <c r="BJ469" s="734"/>
    </row>
    <row r="470">
      <c r="B470" s="740"/>
      <c r="C470" s="869"/>
      <c r="D470" s="734"/>
      <c r="E470" s="734"/>
      <c r="F470" s="740"/>
      <c r="G470" s="734"/>
      <c r="H470" s="734"/>
      <c r="I470" s="777"/>
      <c r="J470" s="740"/>
      <c r="K470" s="734"/>
      <c r="L470" s="734"/>
      <c r="M470" s="734"/>
      <c r="N470" s="734"/>
      <c r="O470" s="734"/>
      <c r="P470" s="734"/>
      <c r="Q470" s="734"/>
      <c r="R470" s="734"/>
      <c r="S470" s="734"/>
      <c r="T470" s="734"/>
      <c r="U470" s="734"/>
      <c r="V470" s="734"/>
      <c r="W470" s="734"/>
      <c r="X470" s="735"/>
      <c r="Y470" s="811"/>
      <c r="Z470" s="811"/>
      <c r="AA470" s="734"/>
      <c r="AB470" s="811"/>
      <c r="AC470" s="740"/>
      <c r="AD470" s="734"/>
      <c r="AE470" s="734"/>
      <c r="AF470" s="734"/>
      <c r="AG470" s="734"/>
      <c r="AH470" s="734"/>
      <c r="AI470" s="734"/>
      <c r="AJ470" s="879"/>
      <c r="AK470" s="734"/>
      <c r="AL470" s="734"/>
      <c r="AM470" s="734"/>
      <c r="AN470" s="734"/>
      <c r="AO470" s="734"/>
      <c r="AP470" s="52"/>
      <c r="AQ470" s="52"/>
      <c r="AR470" s="52"/>
      <c r="AS470" s="52"/>
      <c r="AT470" s="52"/>
      <c r="AU470" s="52"/>
      <c r="AV470" s="52"/>
      <c r="AW470" s="52"/>
      <c r="AX470" s="52"/>
      <c r="AY470" s="52"/>
      <c r="AZ470" s="734"/>
      <c r="BA470" s="740"/>
      <c r="BB470" s="734"/>
      <c r="BC470" s="740"/>
      <c r="BD470" s="734"/>
      <c r="BE470" s="52"/>
      <c r="BF470" s="52"/>
      <c r="BG470" s="734"/>
      <c r="BH470" s="734"/>
      <c r="BI470" s="734"/>
      <c r="BJ470" s="734"/>
    </row>
    <row r="471">
      <c r="B471" s="740"/>
      <c r="C471" s="869"/>
      <c r="D471" s="734"/>
      <c r="E471" s="734"/>
      <c r="F471" s="740"/>
      <c r="G471" s="734"/>
      <c r="H471" s="734"/>
      <c r="I471" s="777"/>
      <c r="J471" s="740"/>
      <c r="K471" s="734"/>
      <c r="L471" s="734"/>
      <c r="M471" s="734"/>
      <c r="N471" s="734"/>
      <c r="O471" s="734"/>
      <c r="P471" s="734"/>
      <c r="Q471" s="734"/>
      <c r="R471" s="734"/>
      <c r="S471" s="734"/>
      <c r="T471" s="734"/>
      <c r="U471" s="734"/>
      <c r="V471" s="734"/>
      <c r="W471" s="734"/>
      <c r="X471" s="735"/>
      <c r="Y471" s="811"/>
      <c r="Z471" s="811"/>
      <c r="AA471" s="734"/>
      <c r="AB471" s="811"/>
      <c r="AC471" s="740"/>
      <c r="AD471" s="734"/>
      <c r="AE471" s="734"/>
      <c r="AF471" s="734"/>
      <c r="AG471" s="734"/>
      <c r="AH471" s="734"/>
      <c r="AI471" s="734"/>
      <c r="AJ471" s="879"/>
      <c r="AK471" s="734"/>
      <c r="AL471" s="734"/>
      <c r="AM471" s="734"/>
      <c r="AN471" s="734"/>
      <c r="AO471" s="734"/>
      <c r="AP471" s="52"/>
      <c r="AQ471" s="52"/>
      <c r="AR471" s="52"/>
      <c r="AS471" s="52"/>
      <c r="AT471" s="52"/>
      <c r="AU471" s="52"/>
      <c r="AV471" s="52"/>
      <c r="AW471" s="52"/>
      <c r="AX471" s="52"/>
      <c r="AY471" s="52"/>
      <c r="AZ471" s="734"/>
      <c r="BA471" s="740"/>
      <c r="BB471" s="734"/>
      <c r="BC471" s="740"/>
      <c r="BD471" s="734"/>
      <c r="BE471" s="52"/>
      <c r="BF471" s="52"/>
      <c r="BG471" s="734"/>
      <c r="BH471" s="734"/>
      <c r="BI471" s="734"/>
      <c r="BJ471" s="734"/>
    </row>
    <row r="472">
      <c r="B472" s="740"/>
      <c r="C472" s="869"/>
      <c r="D472" s="734"/>
      <c r="E472" s="734"/>
      <c r="F472" s="740"/>
      <c r="G472" s="734"/>
      <c r="H472" s="734"/>
      <c r="I472" s="777"/>
      <c r="J472" s="740"/>
      <c r="K472" s="734"/>
      <c r="L472" s="734"/>
      <c r="M472" s="734"/>
      <c r="N472" s="734"/>
      <c r="O472" s="734"/>
      <c r="P472" s="734"/>
      <c r="Q472" s="734"/>
      <c r="R472" s="734"/>
      <c r="S472" s="734"/>
      <c r="T472" s="734"/>
      <c r="U472" s="734"/>
      <c r="V472" s="734"/>
      <c r="W472" s="734"/>
      <c r="X472" s="735"/>
      <c r="Y472" s="811"/>
      <c r="Z472" s="811"/>
      <c r="AA472" s="734"/>
      <c r="AB472" s="811"/>
      <c r="AC472" s="740"/>
      <c r="AD472" s="734"/>
      <c r="AE472" s="734"/>
      <c r="AF472" s="734"/>
      <c r="AG472" s="734"/>
      <c r="AH472" s="734"/>
      <c r="AI472" s="734"/>
      <c r="AJ472" s="879"/>
      <c r="AK472" s="734"/>
      <c r="AL472" s="734"/>
      <c r="AM472" s="734"/>
      <c r="AN472" s="734"/>
      <c r="AO472" s="734"/>
      <c r="AP472" s="52"/>
      <c r="AQ472" s="52"/>
      <c r="AR472" s="52"/>
      <c r="AS472" s="52"/>
      <c r="AT472" s="52"/>
      <c r="AU472" s="52"/>
      <c r="AV472" s="52"/>
      <c r="AW472" s="52"/>
      <c r="AX472" s="52"/>
      <c r="AY472" s="52"/>
      <c r="AZ472" s="734"/>
      <c r="BA472" s="740"/>
      <c r="BB472" s="734"/>
      <c r="BC472" s="740"/>
      <c r="BD472" s="734"/>
      <c r="BE472" s="52"/>
      <c r="BF472" s="52"/>
      <c r="BG472" s="734"/>
      <c r="BH472" s="734"/>
      <c r="BI472" s="734"/>
      <c r="BJ472" s="734"/>
    </row>
    <row r="473">
      <c r="B473" s="740"/>
      <c r="C473" s="869"/>
      <c r="D473" s="734"/>
      <c r="E473" s="734"/>
      <c r="F473" s="740"/>
      <c r="G473" s="734"/>
      <c r="H473" s="734"/>
      <c r="I473" s="777"/>
      <c r="J473" s="740"/>
      <c r="K473" s="734"/>
      <c r="L473" s="734"/>
      <c r="M473" s="734"/>
      <c r="N473" s="734"/>
      <c r="O473" s="734"/>
      <c r="P473" s="734"/>
      <c r="Q473" s="734"/>
      <c r="R473" s="734"/>
      <c r="S473" s="734"/>
      <c r="T473" s="734"/>
      <c r="U473" s="734"/>
      <c r="V473" s="734"/>
      <c r="W473" s="734"/>
      <c r="X473" s="735"/>
      <c r="Y473" s="811"/>
      <c r="Z473" s="811"/>
      <c r="AA473" s="734"/>
      <c r="AB473" s="811"/>
      <c r="AC473" s="740"/>
      <c r="AD473" s="734"/>
      <c r="AE473" s="734"/>
      <c r="AF473" s="734"/>
      <c r="AG473" s="734"/>
      <c r="AH473" s="734"/>
      <c r="AI473" s="734"/>
      <c r="AJ473" s="879"/>
      <c r="AK473" s="734"/>
      <c r="AL473" s="734"/>
      <c r="AM473" s="734"/>
      <c r="AN473" s="734"/>
      <c r="AO473" s="734"/>
      <c r="AP473" s="52"/>
      <c r="AQ473" s="52"/>
      <c r="AR473" s="52"/>
      <c r="AS473" s="52"/>
      <c r="AT473" s="52"/>
      <c r="AU473" s="52"/>
      <c r="AV473" s="52"/>
      <c r="AW473" s="52"/>
      <c r="AX473" s="52"/>
      <c r="AY473" s="52"/>
      <c r="AZ473" s="734"/>
      <c r="BA473" s="740"/>
      <c r="BB473" s="734"/>
      <c r="BC473" s="740"/>
      <c r="BD473" s="734"/>
      <c r="BE473" s="52"/>
      <c r="BF473" s="52"/>
      <c r="BG473" s="734"/>
      <c r="BH473" s="734"/>
      <c r="BI473" s="734"/>
      <c r="BJ473" s="734"/>
    </row>
    <row r="474">
      <c r="B474" s="740"/>
      <c r="C474" s="869"/>
      <c r="D474" s="734"/>
      <c r="E474" s="734"/>
      <c r="F474" s="740"/>
      <c r="G474" s="734"/>
      <c r="H474" s="734"/>
      <c r="I474" s="777"/>
      <c r="J474" s="740"/>
      <c r="K474" s="734"/>
      <c r="L474" s="734"/>
      <c r="M474" s="734"/>
      <c r="N474" s="734"/>
      <c r="O474" s="734"/>
      <c r="P474" s="734"/>
      <c r="Q474" s="734"/>
      <c r="R474" s="734"/>
      <c r="S474" s="734"/>
      <c r="T474" s="734"/>
      <c r="U474" s="734"/>
      <c r="V474" s="734"/>
      <c r="W474" s="734"/>
      <c r="X474" s="735"/>
      <c r="Y474" s="811"/>
      <c r="Z474" s="811"/>
      <c r="AA474" s="734"/>
      <c r="AB474" s="811"/>
      <c r="AC474" s="740"/>
      <c r="AD474" s="734"/>
      <c r="AE474" s="734"/>
      <c r="AF474" s="734"/>
      <c r="AG474" s="734"/>
      <c r="AH474" s="734"/>
      <c r="AI474" s="734"/>
      <c r="AJ474" s="879"/>
      <c r="AK474" s="734"/>
      <c r="AL474" s="734"/>
      <c r="AM474" s="734"/>
      <c r="AN474" s="734"/>
      <c r="AO474" s="734"/>
      <c r="AP474" s="52"/>
      <c r="AQ474" s="52"/>
      <c r="AR474" s="52"/>
      <c r="AS474" s="52"/>
      <c r="AT474" s="52"/>
      <c r="AU474" s="52"/>
      <c r="AV474" s="52"/>
      <c r="AW474" s="52"/>
      <c r="AX474" s="52"/>
      <c r="AY474" s="52"/>
      <c r="AZ474" s="734"/>
      <c r="BA474" s="740"/>
      <c r="BB474" s="734"/>
      <c r="BC474" s="740"/>
      <c r="BD474" s="734"/>
      <c r="BE474" s="52"/>
      <c r="BF474" s="52"/>
      <c r="BG474" s="734"/>
      <c r="BH474" s="734"/>
      <c r="BI474" s="734"/>
      <c r="BJ474" s="734"/>
    </row>
    <row r="475">
      <c r="B475" s="740"/>
      <c r="C475" s="869"/>
      <c r="D475" s="734"/>
      <c r="E475" s="734"/>
      <c r="F475" s="740"/>
      <c r="G475" s="734"/>
      <c r="H475" s="734"/>
      <c r="I475" s="777"/>
      <c r="J475" s="740"/>
      <c r="K475" s="734"/>
      <c r="L475" s="734"/>
      <c r="M475" s="734"/>
      <c r="N475" s="734"/>
      <c r="O475" s="734"/>
      <c r="P475" s="734"/>
      <c r="Q475" s="734"/>
      <c r="R475" s="734"/>
      <c r="S475" s="734"/>
      <c r="T475" s="734"/>
      <c r="U475" s="734"/>
      <c r="V475" s="734"/>
      <c r="W475" s="734"/>
      <c r="X475" s="735"/>
      <c r="Y475" s="811"/>
      <c r="Z475" s="811"/>
      <c r="AA475" s="734"/>
      <c r="AB475" s="811"/>
      <c r="AC475" s="740"/>
      <c r="AD475" s="734"/>
      <c r="AE475" s="734"/>
      <c r="AF475" s="734"/>
      <c r="AG475" s="734"/>
      <c r="AH475" s="734"/>
      <c r="AI475" s="734"/>
      <c r="AJ475" s="879"/>
      <c r="AK475" s="734"/>
      <c r="AL475" s="734"/>
      <c r="AM475" s="734"/>
      <c r="AN475" s="734"/>
      <c r="AO475" s="734"/>
      <c r="AP475" s="52"/>
      <c r="AQ475" s="52"/>
      <c r="AR475" s="52"/>
      <c r="AS475" s="52"/>
      <c r="AT475" s="52"/>
      <c r="AU475" s="52"/>
      <c r="AV475" s="52"/>
      <c r="AW475" s="52"/>
      <c r="AX475" s="52"/>
      <c r="AY475" s="52"/>
      <c r="AZ475" s="734"/>
      <c r="BA475" s="740"/>
      <c r="BB475" s="734"/>
      <c r="BC475" s="740"/>
      <c r="BD475" s="734"/>
      <c r="BE475" s="52"/>
      <c r="BF475" s="52"/>
      <c r="BG475" s="734"/>
      <c r="BH475" s="734"/>
      <c r="BI475" s="734"/>
      <c r="BJ475" s="734"/>
    </row>
    <row r="476">
      <c r="B476" s="740"/>
      <c r="C476" s="869"/>
      <c r="D476" s="734"/>
      <c r="E476" s="734"/>
      <c r="F476" s="740"/>
      <c r="G476" s="734"/>
      <c r="H476" s="734"/>
      <c r="I476" s="777"/>
      <c r="J476" s="740"/>
      <c r="K476" s="734"/>
      <c r="L476" s="734"/>
      <c r="M476" s="734"/>
      <c r="N476" s="734"/>
      <c r="O476" s="734"/>
      <c r="P476" s="734"/>
      <c r="Q476" s="734"/>
      <c r="R476" s="734"/>
      <c r="S476" s="734"/>
      <c r="T476" s="734"/>
      <c r="U476" s="734"/>
      <c r="V476" s="734"/>
      <c r="W476" s="734"/>
      <c r="X476" s="735"/>
      <c r="Y476" s="811"/>
      <c r="Z476" s="811"/>
      <c r="AA476" s="734"/>
      <c r="AB476" s="811"/>
      <c r="AC476" s="740"/>
      <c r="AD476" s="734"/>
      <c r="AE476" s="734"/>
      <c r="AF476" s="734"/>
      <c r="AG476" s="734"/>
      <c r="AH476" s="734"/>
      <c r="AI476" s="734"/>
      <c r="AJ476" s="879"/>
      <c r="AK476" s="734"/>
      <c r="AL476" s="734"/>
      <c r="AM476" s="734"/>
      <c r="AN476" s="734"/>
      <c r="AO476" s="734"/>
      <c r="AP476" s="52"/>
      <c r="AQ476" s="52"/>
      <c r="AR476" s="52"/>
      <c r="AS476" s="52"/>
      <c r="AT476" s="52"/>
      <c r="AU476" s="52"/>
      <c r="AV476" s="52"/>
      <c r="AW476" s="52"/>
      <c r="AX476" s="52"/>
      <c r="AY476" s="52"/>
      <c r="AZ476" s="734"/>
      <c r="BA476" s="740"/>
      <c r="BB476" s="734"/>
      <c r="BC476" s="740"/>
      <c r="BD476" s="734"/>
      <c r="BE476" s="52"/>
      <c r="BF476" s="52"/>
      <c r="BG476" s="734"/>
      <c r="BH476" s="734"/>
      <c r="BI476" s="734"/>
      <c r="BJ476" s="734"/>
    </row>
    <row r="477">
      <c r="B477" s="740"/>
      <c r="C477" s="869"/>
      <c r="D477" s="734"/>
      <c r="E477" s="734"/>
      <c r="F477" s="740"/>
      <c r="G477" s="734"/>
      <c r="H477" s="734"/>
      <c r="I477" s="777"/>
      <c r="J477" s="740"/>
      <c r="K477" s="734"/>
      <c r="L477" s="734"/>
      <c r="M477" s="734"/>
      <c r="N477" s="734"/>
      <c r="O477" s="734"/>
      <c r="P477" s="734"/>
      <c r="Q477" s="734"/>
      <c r="R477" s="734"/>
      <c r="S477" s="734"/>
      <c r="T477" s="734"/>
      <c r="U477" s="734"/>
      <c r="V477" s="734"/>
      <c r="W477" s="734"/>
      <c r="X477" s="735"/>
      <c r="Y477" s="811"/>
      <c r="Z477" s="811"/>
      <c r="AA477" s="734"/>
      <c r="AB477" s="811"/>
      <c r="AC477" s="740"/>
      <c r="AD477" s="734"/>
      <c r="AE477" s="734"/>
      <c r="AF477" s="734"/>
      <c r="AG477" s="734"/>
      <c r="AH477" s="734"/>
      <c r="AI477" s="734"/>
      <c r="AJ477" s="879"/>
      <c r="AK477" s="734"/>
      <c r="AL477" s="734"/>
      <c r="AM477" s="734"/>
      <c r="AN477" s="734"/>
      <c r="AO477" s="734"/>
      <c r="AP477" s="52"/>
      <c r="AQ477" s="52"/>
      <c r="AR477" s="52"/>
      <c r="AS477" s="52"/>
      <c r="AT477" s="52"/>
      <c r="AU477" s="52"/>
      <c r="AV477" s="52"/>
      <c r="AW477" s="52"/>
      <c r="AX477" s="52"/>
      <c r="AY477" s="52"/>
      <c r="AZ477" s="734"/>
      <c r="BA477" s="740"/>
      <c r="BB477" s="734"/>
      <c r="BC477" s="740"/>
      <c r="BD477" s="734"/>
      <c r="BE477" s="52"/>
      <c r="BF477" s="52"/>
      <c r="BG477" s="734"/>
      <c r="BH477" s="734"/>
      <c r="BI477" s="734"/>
      <c r="BJ477" s="734"/>
    </row>
    <row r="478">
      <c r="B478" s="740"/>
      <c r="C478" s="869"/>
      <c r="D478" s="734"/>
      <c r="E478" s="734"/>
      <c r="F478" s="740"/>
      <c r="G478" s="734"/>
      <c r="H478" s="734"/>
      <c r="I478" s="777"/>
      <c r="J478" s="740"/>
      <c r="K478" s="734"/>
      <c r="L478" s="734"/>
      <c r="M478" s="734"/>
      <c r="N478" s="734"/>
      <c r="O478" s="734"/>
      <c r="P478" s="734"/>
      <c r="Q478" s="734"/>
      <c r="R478" s="734"/>
      <c r="S478" s="734"/>
      <c r="T478" s="734"/>
      <c r="U478" s="734"/>
      <c r="V478" s="734"/>
      <c r="W478" s="734"/>
      <c r="X478" s="735"/>
      <c r="Y478" s="811"/>
      <c r="Z478" s="811"/>
      <c r="AA478" s="734"/>
      <c r="AB478" s="811"/>
      <c r="AC478" s="740"/>
      <c r="AD478" s="734"/>
      <c r="AE478" s="734"/>
      <c r="AF478" s="734"/>
      <c r="AG478" s="734"/>
      <c r="AH478" s="734"/>
      <c r="AI478" s="734"/>
      <c r="AJ478" s="879"/>
      <c r="AK478" s="734"/>
      <c r="AL478" s="734"/>
      <c r="AM478" s="734"/>
      <c r="AN478" s="734"/>
      <c r="AO478" s="734"/>
      <c r="AP478" s="52"/>
      <c r="AQ478" s="52"/>
      <c r="AR478" s="52"/>
      <c r="AS478" s="52"/>
      <c r="AT478" s="52"/>
      <c r="AU478" s="52"/>
      <c r="AV478" s="52"/>
      <c r="AW478" s="52"/>
      <c r="AX478" s="52"/>
      <c r="AY478" s="52"/>
      <c r="AZ478" s="734"/>
      <c r="BA478" s="740"/>
      <c r="BB478" s="734"/>
      <c r="BC478" s="740"/>
      <c r="BD478" s="734"/>
      <c r="BE478" s="52"/>
      <c r="BF478" s="52"/>
      <c r="BG478" s="734"/>
      <c r="BH478" s="734"/>
      <c r="BI478" s="734"/>
      <c r="BJ478" s="734"/>
    </row>
    <row r="479">
      <c r="B479" s="740"/>
      <c r="C479" s="869"/>
      <c r="D479" s="734"/>
      <c r="E479" s="734"/>
      <c r="F479" s="740"/>
      <c r="G479" s="734"/>
      <c r="H479" s="734"/>
      <c r="I479" s="777"/>
      <c r="J479" s="740"/>
      <c r="K479" s="734"/>
      <c r="L479" s="734"/>
      <c r="M479" s="734"/>
      <c r="N479" s="734"/>
      <c r="O479" s="734"/>
      <c r="P479" s="734"/>
      <c r="Q479" s="734"/>
      <c r="R479" s="734"/>
      <c r="S479" s="734"/>
      <c r="T479" s="734"/>
      <c r="U479" s="734"/>
      <c r="V479" s="734"/>
      <c r="W479" s="734"/>
      <c r="X479" s="735"/>
      <c r="Y479" s="811"/>
      <c r="Z479" s="811"/>
      <c r="AA479" s="734"/>
      <c r="AB479" s="811"/>
      <c r="AC479" s="740"/>
      <c r="AD479" s="734"/>
      <c r="AE479" s="734"/>
      <c r="AF479" s="734"/>
      <c r="AG479" s="734"/>
      <c r="AH479" s="734"/>
      <c r="AI479" s="734"/>
      <c r="AJ479" s="879"/>
      <c r="AK479" s="734"/>
      <c r="AL479" s="734"/>
      <c r="AM479" s="734"/>
      <c r="AN479" s="734"/>
      <c r="AO479" s="734"/>
      <c r="AP479" s="52"/>
      <c r="AQ479" s="52"/>
      <c r="AR479" s="52"/>
      <c r="AS479" s="52"/>
      <c r="AT479" s="52"/>
      <c r="AU479" s="52"/>
      <c r="AV479" s="52"/>
      <c r="AW479" s="52"/>
      <c r="AX479" s="52"/>
      <c r="AY479" s="52"/>
      <c r="AZ479" s="734"/>
      <c r="BA479" s="740"/>
      <c r="BB479" s="734"/>
      <c r="BC479" s="740"/>
      <c r="BD479" s="734"/>
      <c r="BE479" s="52"/>
      <c r="BF479" s="52"/>
      <c r="BG479" s="734"/>
      <c r="BH479" s="734"/>
      <c r="BI479" s="734"/>
      <c r="BJ479" s="734"/>
    </row>
    <row r="480">
      <c r="B480" s="740"/>
      <c r="C480" s="869"/>
      <c r="D480" s="734"/>
      <c r="E480" s="734"/>
      <c r="F480" s="740"/>
      <c r="G480" s="734"/>
      <c r="H480" s="734"/>
      <c r="I480" s="777"/>
      <c r="J480" s="740"/>
      <c r="K480" s="734"/>
      <c r="L480" s="734"/>
      <c r="M480" s="734"/>
      <c r="N480" s="734"/>
      <c r="O480" s="734"/>
      <c r="P480" s="734"/>
      <c r="Q480" s="734"/>
      <c r="R480" s="734"/>
      <c r="S480" s="734"/>
      <c r="T480" s="734"/>
      <c r="U480" s="734"/>
      <c r="V480" s="734"/>
      <c r="W480" s="734"/>
      <c r="X480" s="735"/>
      <c r="Y480" s="811"/>
      <c r="Z480" s="811"/>
      <c r="AA480" s="734"/>
      <c r="AB480" s="811"/>
      <c r="AC480" s="740"/>
      <c r="AD480" s="734"/>
      <c r="AE480" s="734"/>
      <c r="AF480" s="734"/>
      <c r="AG480" s="734"/>
      <c r="AH480" s="734"/>
      <c r="AI480" s="734"/>
      <c r="AJ480" s="879"/>
      <c r="AK480" s="734"/>
      <c r="AL480" s="734"/>
      <c r="AM480" s="734"/>
      <c r="AN480" s="734"/>
      <c r="AO480" s="734"/>
      <c r="AP480" s="52"/>
      <c r="AQ480" s="52"/>
      <c r="AR480" s="52"/>
      <c r="AS480" s="52"/>
      <c r="AT480" s="52"/>
      <c r="AU480" s="52"/>
      <c r="AV480" s="52"/>
      <c r="AW480" s="52"/>
      <c r="AX480" s="52"/>
      <c r="AY480" s="52"/>
      <c r="AZ480" s="734"/>
      <c r="BA480" s="740"/>
      <c r="BB480" s="734"/>
      <c r="BC480" s="740"/>
      <c r="BD480" s="734"/>
      <c r="BE480" s="52"/>
      <c r="BF480" s="52"/>
      <c r="BG480" s="734"/>
      <c r="BH480" s="734"/>
      <c r="BI480" s="734"/>
      <c r="BJ480" s="734"/>
    </row>
    <row r="481">
      <c r="B481" s="740"/>
      <c r="C481" s="869"/>
      <c r="D481" s="734"/>
      <c r="E481" s="734"/>
      <c r="F481" s="740"/>
      <c r="G481" s="734"/>
      <c r="H481" s="734"/>
      <c r="I481" s="777"/>
      <c r="J481" s="740"/>
      <c r="K481" s="734"/>
      <c r="L481" s="734"/>
      <c r="M481" s="734"/>
      <c r="N481" s="734"/>
      <c r="O481" s="734"/>
      <c r="P481" s="734"/>
      <c r="Q481" s="734"/>
      <c r="R481" s="734"/>
      <c r="S481" s="734"/>
      <c r="T481" s="734"/>
      <c r="U481" s="734"/>
      <c r="V481" s="734"/>
      <c r="W481" s="734"/>
      <c r="X481" s="735"/>
      <c r="Y481" s="811"/>
      <c r="Z481" s="811"/>
      <c r="AA481" s="734"/>
      <c r="AB481" s="811"/>
      <c r="AC481" s="740"/>
      <c r="AD481" s="734"/>
      <c r="AE481" s="734"/>
      <c r="AF481" s="734"/>
      <c r="AG481" s="734"/>
      <c r="AH481" s="734"/>
      <c r="AI481" s="734"/>
      <c r="AJ481" s="879"/>
      <c r="AK481" s="734"/>
      <c r="AL481" s="734"/>
      <c r="AM481" s="734"/>
      <c r="AN481" s="734"/>
      <c r="AO481" s="734"/>
      <c r="AP481" s="52"/>
      <c r="AQ481" s="52"/>
      <c r="AR481" s="52"/>
      <c r="AS481" s="52"/>
      <c r="AT481" s="52"/>
      <c r="AU481" s="52"/>
      <c r="AV481" s="52"/>
      <c r="AW481" s="52"/>
      <c r="AX481" s="52"/>
      <c r="AY481" s="52"/>
      <c r="AZ481" s="734"/>
      <c r="BA481" s="740"/>
      <c r="BB481" s="734"/>
      <c r="BC481" s="740"/>
      <c r="BD481" s="734"/>
      <c r="BE481" s="52"/>
      <c r="BF481" s="52"/>
      <c r="BG481" s="734"/>
      <c r="BH481" s="734"/>
      <c r="BI481" s="734"/>
      <c r="BJ481" s="734"/>
    </row>
    <row r="482">
      <c r="B482" s="740"/>
      <c r="C482" s="869"/>
      <c r="D482" s="734"/>
      <c r="E482" s="734"/>
      <c r="F482" s="740"/>
      <c r="G482" s="734"/>
      <c r="H482" s="734"/>
      <c r="I482" s="777"/>
      <c r="J482" s="740"/>
      <c r="K482" s="734"/>
      <c r="L482" s="734"/>
      <c r="M482" s="734"/>
      <c r="N482" s="734"/>
      <c r="O482" s="734"/>
      <c r="P482" s="734"/>
      <c r="Q482" s="734"/>
      <c r="R482" s="734"/>
      <c r="S482" s="734"/>
      <c r="T482" s="734"/>
      <c r="U482" s="734"/>
      <c r="V482" s="734"/>
      <c r="W482" s="734"/>
      <c r="X482" s="735"/>
      <c r="Y482" s="811"/>
      <c r="Z482" s="811"/>
      <c r="AA482" s="734"/>
      <c r="AB482" s="811"/>
      <c r="AC482" s="740"/>
      <c r="AD482" s="734"/>
      <c r="AE482" s="734"/>
      <c r="AF482" s="734"/>
      <c r="AG482" s="734"/>
      <c r="AH482" s="734"/>
      <c r="AI482" s="734"/>
      <c r="AJ482" s="879"/>
      <c r="AK482" s="734"/>
      <c r="AL482" s="734"/>
      <c r="AM482" s="734"/>
      <c r="AN482" s="734"/>
      <c r="AO482" s="734"/>
      <c r="AP482" s="52"/>
      <c r="AQ482" s="52"/>
      <c r="AR482" s="52"/>
      <c r="AS482" s="52"/>
      <c r="AT482" s="52"/>
      <c r="AU482" s="52"/>
      <c r="AV482" s="52"/>
      <c r="AW482" s="52"/>
      <c r="AX482" s="52"/>
      <c r="AY482" s="52"/>
      <c r="AZ482" s="734"/>
      <c r="BA482" s="740"/>
      <c r="BB482" s="734"/>
      <c r="BC482" s="740"/>
      <c r="BD482" s="734"/>
      <c r="BE482" s="52"/>
      <c r="BF482" s="52"/>
      <c r="BG482" s="734"/>
      <c r="BH482" s="734"/>
      <c r="BI482" s="734"/>
      <c r="BJ482" s="734"/>
    </row>
    <row r="483">
      <c r="B483" s="740"/>
      <c r="C483" s="869"/>
      <c r="D483" s="734"/>
      <c r="E483" s="734"/>
      <c r="F483" s="740"/>
      <c r="G483" s="734"/>
      <c r="H483" s="734"/>
      <c r="I483" s="777"/>
      <c r="J483" s="740"/>
      <c r="K483" s="734"/>
      <c r="L483" s="734"/>
      <c r="M483" s="734"/>
      <c r="N483" s="734"/>
      <c r="O483" s="734"/>
      <c r="P483" s="734"/>
      <c r="Q483" s="734"/>
      <c r="R483" s="734"/>
      <c r="S483" s="734"/>
      <c r="T483" s="734"/>
      <c r="U483" s="734"/>
      <c r="V483" s="734"/>
      <c r="W483" s="734"/>
      <c r="X483" s="735"/>
      <c r="Y483" s="811"/>
      <c r="Z483" s="811"/>
      <c r="AA483" s="734"/>
      <c r="AB483" s="811"/>
      <c r="AC483" s="740"/>
      <c r="AD483" s="734"/>
      <c r="AE483" s="734"/>
      <c r="AF483" s="734"/>
      <c r="AG483" s="734"/>
      <c r="AH483" s="734"/>
      <c r="AI483" s="734"/>
      <c r="AJ483" s="879"/>
      <c r="AK483" s="734"/>
      <c r="AL483" s="734"/>
      <c r="AM483" s="734"/>
      <c r="AN483" s="734"/>
      <c r="AO483" s="734"/>
      <c r="AP483" s="52"/>
      <c r="AQ483" s="52"/>
      <c r="AR483" s="52"/>
      <c r="AS483" s="52"/>
      <c r="AT483" s="52"/>
      <c r="AU483" s="52"/>
      <c r="AV483" s="52"/>
      <c r="AW483" s="52"/>
      <c r="AX483" s="52"/>
      <c r="AY483" s="52"/>
      <c r="AZ483" s="734"/>
      <c r="BA483" s="740"/>
      <c r="BB483" s="734"/>
      <c r="BC483" s="740"/>
      <c r="BD483" s="734"/>
      <c r="BE483" s="52"/>
      <c r="BF483" s="52"/>
      <c r="BG483" s="734"/>
      <c r="BH483" s="734"/>
      <c r="BI483" s="734"/>
      <c r="BJ483" s="734"/>
    </row>
    <row r="484">
      <c r="B484" s="740"/>
      <c r="C484" s="869"/>
      <c r="D484" s="734"/>
      <c r="E484" s="734"/>
      <c r="F484" s="740"/>
      <c r="G484" s="734"/>
      <c r="H484" s="734"/>
      <c r="I484" s="777"/>
      <c r="J484" s="740"/>
      <c r="K484" s="734"/>
      <c r="L484" s="734"/>
      <c r="M484" s="734"/>
      <c r="N484" s="734"/>
      <c r="O484" s="734"/>
      <c r="P484" s="734"/>
      <c r="Q484" s="734"/>
      <c r="R484" s="734"/>
      <c r="S484" s="734"/>
      <c r="T484" s="734"/>
      <c r="U484" s="734"/>
      <c r="V484" s="734"/>
      <c r="W484" s="734"/>
      <c r="X484" s="735"/>
      <c r="Y484" s="811"/>
      <c r="Z484" s="811"/>
      <c r="AA484" s="734"/>
      <c r="AB484" s="811"/>
      <c r="AC484" s="740"/>
      <c r="AD484" s="734"/>
      <c r="AE484" s="734"/>
      <c r="AF484" s="734"/>
      <c r="AG484" s="734"/>
      <c r="AH484" s="734"/>
      <c r="AI484" s="734"/>
      <c r="AJ484" s="879"/>
      <c r="AK484" s="734"/>
      <c r="AL484" s="734"/>
      <c r="AM484" s="734"/>
      <c r="AN484" s="734"/>
      <c r="AO484" s="734"/>
      <c r="AP484" s="52"/>
      <c r="AQ484" s="52"/>
      <c r="AR484" s="52"/>
      <c r="AS484" s="52"/>
      <c r="AT484" s="52"/>
      <c r="AU484" s="52"/>
      <c r="AV484" s="52"/>
      <c r="AW484" s="52"/>
      <c r="AX484" s="52"/>
      <c r="AY484" s="52"/>
      <c r="AZ484" s="734"/>
      <c r="BA484" s="740"/>
      <c r="BB484" s="734"/>
      <c r="BC484" s="740"/>
      <c r="BD484" s="734"/>
      <c r="BE484" s="52"/>
      <c r="BF484" s="52"/>
      <c r="BG484" s="734"/>
      <c r="BH484" s="734"/>
      <c r="BI484" s="734"/>
      <c r="BJ484" s="734"/>
    </row>
    <row r="485">
      <c r="B485" s="740"/>
      <c r="C485" s="869"/>
      <c r="D485" s="734"/>
      <c r="E485" s="734"/>
      <c r="F485" s="740"/>
      <c r="G485" s="734"/>
      <c r="H485" s="734"/>
      <c r="I485" s="777"/>
      <c r="J485" s="740"/>
      <c r="K485" s="734"/>
      <c r="L485" s="734"/>
      <c r="M485" s="734"/>
      <c r="N485" s="734"/>
      <c r="O485" s="734"/>
      <c r="P485" s="734"/>
      <c r="Q485" s="734"/>
      <c r="R485" s="734"/>
      <c r="S485" s="734"/>
      <c r="T485" s="734"/>
      <c r="U485" s="734"/>
      <c r="V485" s="734"/>
      <c r="W485" s="734"/>
      <c r="X485" s="735"/>
      <c r="Y485" s="811"/>
      <c r="Z485" s="811"/>
      <c r="AA485" s="734"/>
      <c r="AB485" s="811"/>
      <c r="AC485" s="740"/>
      <c r="AD485" s="734"/>
      <c r="AE485" s="734"/>
      <c r="AF485" s="734"/>
      <c r="AG485" s="734"/>
      <c r="AH485" s="734"/>
      <c r="AI485" s="734"/>
      <c r="AJ485" s="879"/>
      <c r="AK485" s="734"/>
      <c r="AL485" s="734"/>
      <c r="AM485" s="734"/>
      <c r="AN485" s="734"/>
      <c r="AO485" s="734"/>
      <c r="AP485" s="52"/>
      <c r="AQ485" s="52"/>
      <c r="AR485" s="52"/>
      <c r="AS485" s="52"/>
      <c r="AT485" s="52"/>
      <c r="AU485" s="52"/>
      <c r="AV485" s="52"/>
      <c r="AW485" s="52"/>
      <c r="AX485" s="52"/>
      <c r="AY485" s="52"/>
      <c r="AZ485" s="734"/>
      <c r="BA485" s="740"/>
      <c r="BB485" s="734"/>
      <c r="BC485" s="740"/>
      <c r="BD485" s="734"/>
      <c r="BE485" s="52"/>
      <c r="BF485" s="52"/>
      <c r="BG485" s="734"/>
      <c r="BH485" s="734"/>
      <c r="BI485" s="734"/>
      <c r="BJ485" s="734"/>
    </row>
    <row r="486">
      <c r="B486" s="740"/>
      <c r="C486" s="869"/>
      <c r="D486" s="734"/>
      <c r="E486" s="734"/>
      <c r="F486" s="740"/>
      <c r="G486" s="734"/>
      <c r="H486" s="734"/>
      <c r="I486" s="777"/>
      <c r="J486" s="740"/>
      <c r="K486" s="734"/>
      <c r="L486" s="734"/>
      <c r="M486" s="734"/>
      <c r="N486" s="734"/>
      <c r="O486" s="734"/>
      <c r="P486" s="734"/>
      <c r="Q486" s="734"/>
      <c r="R486" s="734"/>
      <c r="S486" s="734"/>
      <c r="T486" s="734"/>
      <c r="U486" s="734"/>
      <c r="V486" s="734"/>
      <c r="W486" s="734"/>
      <c r="X486" s="735"/>
      <c r="Y486" s="811"/>
      <c r="Z486" s="811"/>
      <c r="AA486" s="734"/>
      <c r="AB486" s="811"/>
      <c r="AC486" s="740"/>
      <c r="AD486" s="734"/>
      <c r="AE486" s="734"/>
      <c r="AF486" s="734"/>
      <c r="AG486" s="734"/>
      <c r="AH486" s="734"/>
      <c r="AI486" s="734"/>
      <c r="AJ486" s="879"/>
      <c r="AK486" s="734"/>
      <c r="AL486" s="734"/>
      <c r="AM486" s="734"/>
      <c r="AN486" s="734"/>
      <c r="AO486" s="734"/>
      <c r="AP486" s="52"/>
      <c r="AQ486" s="52"/>
      <c r="AR486" s="52"/>
      <c r="AS486" s="52"/>
      <c r="AT486" s="52"/>
      <c r="AU486" s="52"/>
      <c r="AV486" s="52"/>
      <c r="AW486" s="52"/>
      <c r="AX486" s="52"/>
      <c r="AY486" s="52"/>
      <c r="AZ486" s="734"/>
      <c r="BA486" s="740"/>
      <c r="BB486" s="734"/>
      <c r="BC486" s="740"/>
      <c r="BD486" s="734"/>
      <c r="BE486" s="52"/>
      <c r="BF486" s="52"/>
      <c r="BG486" s="734"/>
      <c r="BH486" s="734"/>
      <c r="BI486" s="734"/>
      <c r="BJ486" s="734"/>
    </row>
    <row r="487">
      <c r="B487" s="740"/>
      <c r="C487" s="869"/>
      <c r="D487" s="734"/>
      <c r="E487" s="734"/>
      <c r="F487" s="740"/>
      <c r="G487" s="734"/>
      <c r="H487" s="734"/>
      <c r="I487" s="777"/>
      <c r="J487" s="740"/>
      <c r="K487" s="734"/>
      <c r="L487" s="734"/>
      <c r="M487" s="734"/>
      <c r="N487" s="734"/>
      <c r="O487" s="734"/>
      <c r="P487" s="734"/>
      <c r="Q487" s="734"/>
      <c r="R487" s="734"/>
      <c r="S487" s="734"/>
      <c r="T487" s="734"/>
      <c r="U487" s="734"/>
      <c r="V487" s="734"/>
      <c r="W487" s="734"/>
      <c r="X487" s="735"/>
      <c r="Y487" s="811"/>
      <c r="Z487" s="811"/>
      <c r="AA487" s="734"/>
      <c r="AB487" s="811"/>
      <c r="AC487" s="740"/>
      <c r="AD487" s="734"/>
      <c r="AE487" s="734"/>
      <c r="AF487" s="734"/>
      <c r="AG487" s="734"/>
      <c r="AH487" s="734"/>
      <c r="AI487" s="734"/>
      <c r="AJ487" s="879"/>
      <c r="AK487" s="734"/>
      <c r="AL487" s="734"/>
      <c r="AM487" s="734"/>
      <c r="AN487" s="734"/>
      <c r="AO487" s="734"/>
      <c r="AP487" s="52"/>
      <c r="AQ487" s="52"/>
      <c r="AR487" s="52"/>
      <c r="AS487" s="52"/>
      <c r="AT487" s="52"/>
      <c r="AU487" s="52"/>
      <c r="AV487" s="52"/>
      <c r="AW487" s="52"/>
      <c r="AX487" s="52"/>
      <c r="AY487" s="52"/>
      <c r="AZ487" s="734"/>
      <c r="BA487" s="740"/>
      <c r="BB487" s="734"/>
      <c r="BC487" s="740"/>
      <c r="BD487" s="734"/>
      <c r="BE487" s="52"/>
      <c r="BF487" s="52"/>
      <c r="BG487" s="734"/>
      <c r="BH487" s="734"/>
      <c r="BI487" s="734"/>
      <c r="BJ487" s="734"/>
    </row>
    <row r="488">
      <c r="B488" s="740"/>
      <c r="C488" s="869"/>
      <c r="D488" s="734"/>
      <c r="E488" s="734"/>
      <c r="F488" s="740"/>
      <c r="G488" s="734"/>
      <c r="H488" s="734"/>
      <c r="I488" s="777"/>
      <c r="J488" s="740"/>
      <c r="K488" s="734"/>
      <c r="L488" s="734"/>
      <c r="M488" s="734"/>
      <c r="N488" s="734"/>
      <c r="O488" s="734"/>
      <c r="P488" s="734"/>
      <c r="Q488" s="734"/>
      <c r="R488" s="734"/>
      <c r="S488" s="734"/>
      <c r="T488" s="734"/>
      <c r="U488" s="734"/>
      <c r="V488" s="734"/>
      <c r="W488" s="734"/>
      <c r="X488" s="735"/>
      <c r="Y488" s="811"/>
      <c r="Z488" s="811"/>
      <c r="AA488" s="734"/>
      <c r="AB488" s="811"/>
      <c r="AC488" s="740"/>
      <c r="AD488" s="734"/>
      <c r="AE488" s="734"/>
      <c r="AF488" s="734"/>
      <c r="AG488" s="734"/>
      <c r="AH488" s="734"/>
      <c r="AI488" s="734"/>
      <c r="AJ488" s="879"/>
      <c r="AK488" s="734"/>
      <c r="AL488" s="734"/>
      <c r="AM488" s="734"/>
      <c r="AN488" s="734"/>
      <c r="AO488" s="734"/>
      <c r="AP488" s="52"/>
      <c r="AQ488" s="52"/>
      <c r="AR488" s="52"/>
      <c r="AS488" s="52"/>
      <c r="AT488" s="52"/>
      <c r="AU488" s="52"/>
      <c r="AV488" s="52"/>
      <c r="AW488" s="52"/>
      <c r="AX488" s="52"/>
      <c r="AY488" s="52"/>
      <c r="AZ488" s="734"/>
      <c r="BA488" s="740"/>
      <c r="BB488" s="734"/>
      <c r="BC488" s="740"/>
      <c r="BD488" s="734"/>
      <c r="BE488" s="52"/>
      <c r="BF488" s="52"/>
      <c r="BG488" s="734"/>
      <c r="BH488" s="734"/>
      <c r="BI488" s="734"/>
      <c r="BJ488" s="734"/>
    </row>
    <row r="489">
      <c r="B489" s="740"/>
      <c r="C489" s="869"/>
      <c r="D489" s="734"/>
      <c r="E489" s="734"/>
      <c r="F489" s="740"/>
      <c r="G489" s="734"/>
      <c r="H489" s="734"/>
      <c r="I489" s="777"/>
      <c r="J489" s="740"/>
      <c r="K489" s="734"/>
      <c r="L489" s="734"/>
      <c r="M489" s="734"/>
      <c r="N489" s="734"/>
      <c r="O489" s="734"/>
      <c r="P489" s="734"/>
      <c r="Q489" s="734"/>
      <c r="R489" s="734"/>
      <c r="S489" s="734"/>
      <c r="T489" s="734"/>
      <c r="U489" s="734"/>
      <c r="V489" s="734"/>
      <c r="W489" s="734"/>
      <c r="X489" s="735"/>
      <c r="Y489" s="811"/>
      <c r="Z489" s="811"/>
      <c r="AA489" s="734"/>
      <c r="AB489" s="811"/>
      <c r="AC489" s="740"/>
      <c r="AD489" s="734"/>
      <c r="AE489" s="734"/>
      <c r="AF489" s="734"/>
      <c r="AG489" s="734"/>
      <c r="AH489" s="734"/>
      <c r="AI489" s="734"/>
      <c r="AJ489" s="879"/>
      <c r="AK489" s="734"/>
      <c r="AL489" s="734"/>
      <c r="AM489" s="734"/>
      <c r="AN489" s="734"/>
      <c r="AO489" s="734"/>
      <c r="AP489" s="52"/>
      <c r="AQ489" s="52"/>
      <c r="AR489" s="52"/>
      <c r="AS489" s="52"/>
      <c r="AT489" s="52"/>
      <c r="AU489" s="52"/>
      <c r="AV489" s="52"/>
      <c r="AW489" s="52"/>
      <c r="AX489" s="52"/>
      <c r="AY489" s="52"/>
      <c r="AZ489" s="734"/>
      <c r="BA489" s="740"/>
      <c r="BB489" s="734"/>
      <c r="BC489" s="740"/>
      <c r="BD489" s="734"/>
      <c r="BE489" s="52"/>
      <c r="BF489" s="52"/>
      <c r="BG489" s="734"/>
      <c r="BH489" s="734"/>
      <c r="BI489" s="734"/>
      <c r="BJ489" s="734"/>
    </row>
    <row r="490">
      <c r="B490" s="740"/>
      <c r="C490" s="869"/>
      <c r="D490" s="734"/>
      <c r="E490" s="734"/>
      <c r="F490" s="740"/>
      <c r="G490" s="734"/>
      <c r="H490" s="734"/>
      <c r="I490" s="777"/>
      <c r="J490" s="740"/>
      <c r="K490" s="734"/>
      <c r="L490" s="734"/>
      <c r="M490" s="734"/>
      <c r="N490" s="734"/>
      <c r="O490" s="734"/>
      <c r="P490" s="734"/>
      <c r="Q490" s="734"/>
      <c r="R490" s="734"/>
      <c r="S490" s="734"/>
      <c r="T490" s="734"/>
      <c r="U490" s="734"/>
      <c r="V490" s="734"/>
      <c r="W490" s="734"/>
      <c r="X490" s="735"/>
      <c r="Y490" s="811"/>
      <c r="Z490" s="811"/>
      <c r="AA490" s="734"/>
      <c r="AB490" s="811"/>
      <c r="AC490" s="740"/>
      <c r="AD490" s="734"/>
      <c r="AE490" s="734"/>
      <c r="AF490" s="734"/>
      <c r="AG490" s="734"/>
      <c r="AH490" s="734"/>
      <c r="AI490" s="734"/>
      <c r="AJ490" s="879"/>
      <c r="AK490" s="734"/>
      <c r="AL490" s="734"/>
      <c r="AM490" s="734"/>
      <c r="AN490" s="734"/>
      <c r="AO490" s="734"/>
      <c r="AP490" s="52"/>
      <c r="AQ490" s="52"/>
      <c r="AR490" s="52"/>
      <c r="AS490" s="52"/>
      <c r="AT490" s="52"/>
      <c r="AU490" s="52"/>
      <c r="AV490" s="52"/>
      <c r="AW490" s="52"/>
      <c r="AX490" s="52"/>
      <c r="AY490" s="52"/>
      <c r="AZ490" s="734"/>
      <c r="BA490" s="740"/>
      <c r="BB490" s="734"/>
      <c r="BC490" s="740"/>
      <c r="BD490" s="734"/>
      <c r="BE490" s="52"/>
      <c r="BF490" s="52"/>
      <c r="BG490" s="734"/>
      <c r="BH490" s="734"/>
      <c r="BI490" s="734"/>
      <c r="BJ490" s="734"/>
    </row>
    <row r="491">
      <c r="B491" s="740"/>
      <c r="C491" s="869"/>
      <c r="D491" s="734"/>
      <c r="E491" s="734"/>
      <c r="F491" s="740"/>
      <c r="G491" s="734"/>
      <c r="H491" s="734"/>
      <c r="I491" s="777"/>
      <c r="J491" s="740"/>
      <c r="K491" s="734"/>
      <c r="L491" s="734"/>
      <c r="M491" s="734"/>
      <c r="N491" s="734"/>
      <c r="O491" s="734"/>
      <c r="P491" s="734"/>
      <c r="Q491" s="734"/>
      <c r="R491" s="734"/>
      <c r="S491" s="734"/>
      <c r="T491" s="734"/>
      <c r="U491" s="734"/>
      <c r="V491" s="734"/>
      <c r="W491" s="734"/>
      <c r="X491" s="735"/>
      <c r="Y491" s="811"/>
      <c r="Z491" s="811"/>
      <c r="AA491" s="734"/>
      <c r="AB491" s="811"/>
      <c r="AC491" s="740"/>
      <c r="AD491" s="734"/>
      <c r="AE491" s="734"/>
      <c r="AF491" s="734"/>
      <c r="AG491" s="734"/>
      <c r="AH491" s="734"/>
      <c r="AI491" s="734"/>
      <c r="AJ491" s="879"/>
      <c r="AK491" s="734"/>
      <c r="AL491" s="734"/>
      <c r="AM491" s="734"/>
      <c r="AN491" s="734"/>
      <c r="AO491" s="734"/>
      <c r="AP491" s="52"/>
      <c r="AQ491" s="52"/>
      <c r="AR491" s="52"/>
      <c r="AS491" s="52"/>
      <c r="AT491" s="52"/>
      <c r="AU491" s="52"/>
      <c r="AV491" s="52"/>
      <c r="AW491" s="52"/>
      <c r="AX491" s="52"/>
      <c r="AY491" s="52"/>
      <c r="AZ491" s="734"/>
      <c r="BA491" s="740"/>
      <c r="BB491" s="734"/>
      <c r="BC491" s="740"/>
      <c r="BD491" s="734"/>
      <c r="BE491" s="52"/>
      <c r="BF491" s="52"/>
      <c r="BG491" s="734"/>
      <c r="BH491" s="734"/>
      <c r="BI491" s="734"/>
      <c r="BJ491" s="734"/>
    </row>
    <row r="492">
      <c r="B492" s="740"/>
      <c r="C492" s="869"/>
      <c r="D492" s="734"/>
      <c r="E492" s="734"/>
      <c r="F492" s="740"/>
      <c r="G492" s="734"/>
      <c r="H492" s="734"/>
      <c r="I492" s="777"/>
      <c r="J492" s="740"/>
      <c r="K492" s="734"/>
      <c r="L492" s="734"/>
      <c r="M492" s="734"/>
      <c r="N492" s="734"/>
      <c r="O492" s="734"/>
      <c r="P492" s="734"/>
      <c r="Q492" s="734"/>
      <c r="R492" s="734"/>
      <c r="S492" s="734"/>
      <c r="T492" s="734"/>
      <c r="U492" s="734"/>
      <c r="V492" s="734"/>
      <c r="W492" s="734"/>
      <c r="X492" s="735"/>
      <c r="Y492" s="811"/>
      <c r="Z492" s="811"/>
      <c r="AA492" s="734"/>
      <c r="AB492" s="811"/>
      <c r="AC492" s="740"/>
      <c r="AD492" s="734"/>
      <c r="AE492" s="734"/>
      <c r="AF492" s="734"/>
      <c r="AG492" s="734"/>
      <c r="AH492" s="734"/>
      <c r="AI492" s="734"/>
      <c r="AJ492" s="879"/>
      <c r="AK492" s="734"/>
      <c r="AL492" s="734"/>
      <c r="AM492" s="734"/>
      <c r="AN492" s="734"/>
      <c r="AO492" s="734"/>
      <c r="AP492" s="52"/>
      <c r="AQ492" s="52"/>
      <c r="AR492" s="52"/>
      <c r="AS492" s="52"/>
      <c r="AT492" s="52"/>
      <c r="AU492" s="52"/>
      <c r="AV492" s="52"/>
      <c r="AW492" s="52"/>
      <c r="AX492" s="52"/>
      <c r="AY492" s="52"/>
      <c r="AZ492" s="734"/>
      <c r="BA492" s="740"/>
      <c r="BB492" s="734"/>
      <c r="BC492" s="740"/>
      <c r="BD492" s="734"/>
      <c r="BE492" s="52"/>
      <c r="BF492" s="52"/>
      <c r="BG492" s="734"/>
      <c r="BH492" s="734"/>
      <c r="BI492" s="734"/>
      <c r="BJ492" s="734"/>
    </row>
    <row r="493">
      <c r="B493" s="740"/>
      <c r="C493" s="869"/>
      <c r="D493" s="734"/>
      <c r="E493" s="734"/>
      <c r="F493" s="740"/>
      <c r="G493" s="734"/>
      <c r="H493" s="734"/>
      <c r="I493" s="777"/>
      <c r="J493" s="740"/>
      <c r="K493" s="734"/>
      <c r="L493" s="734"/>
      <c r="M493" s="734"/>
      <c r="N493" s="734"/>
      <c r="O493" s="734"/>
      <c r="P493" s="734"/>
      <c r="Q493" s="734"/>
      <c r="R493" s="734"/>
      <c r="S493" s="734"/>
      <c r="T493" s="734"/>
      <c r="U493" s="734"/>
      <c r="V493" s="734"/>
      <c r="W493" s="734"/>
      <c r="X493" s="735"/>
      <c r="Y493" s="811"/>
      <c r="Z493" s="811"/>
      <c r="AA493" s="734"/>
      <c r="AB493" s="811"/>
      <c r="AC493" s="740"/>
      <c r="AD493" s="734"/>
      <c r="AE493" s="734"/>
      <c r="AF493" s="734"/>
      <c r="AG493" s="734"/>
      <c r="AH493" s="734"/>
      <c r="AI493" s="734"/>
      <c r="AJ493" s="879"/>
      <c r="AK493" s="734"/>
      <c r="AL493" s="734"/>
      <c r="AM493" s="734"/>
      <c r="AN493" s="734"/>
      <c r="AO493" s="734"/>
      <c r="AP493" s="52"/>
      <c r="AQ493" s="52"/>
      <c r="AR493" s="52"/>
      <c r="AS493" s="52"/>
      <c r="AT493" s="52"/>
      <c r="AU493" s="52"/>
      <c r="AV493" s="52"/>
      <c r="AW493" s="52"/>
      <c r="AX493" s="52"/>
      <c r="AY493" s="52"/>
      <c r="AZ493" s="734"/>
      <c r="BA493" s="740"/>
      <c r="BB493" s="734"/>
      <c r="BC493" s="740"/>
      <c r="BD493" s="734"/>
      <c r="BE493" s="52"/>
      <c r="BF493" s="52"/>
      <c r="BG493" s="734"/>
      <c r="BH493" s="734"/>
      <c r="BI493" s="734"/>
      <c r="BJ493" s="734"/>
    </row>
    <row r="494">
      <c r="B494" s="740"/>
      <c r="C494" s="869"/>
      <c r="D494" s="734"/>
      <c r="E494" s="734"/>
      <c r="F494" s="740"/>
      <c r="G494" s="734"/>
      <c r="H494" s="734"/>
      <c r="I494" s="777"/>
      <c r="J494" s="740"/>
      <c r="K494" s="734"/>
      <c r="L494" s="734"/>
      <c r="M494" s="734"/>
      <c r="N494" s="734"/>
      <c r="O494" s="734"/>
      <c r="P494" s="734"/>
      <c r="Q494" s="734"/>
      <c r="R494" s="734"/>
      <c r="S494" s="734"/>
      <c r="T494" s="734"/>
      <c r="U494" s="734"/>
      <c r="V494" s="734"/>
      <c r="W494" s="734"/>
      <c r="X494" s="735"/>
      <c r="Y494" s="811"/>
      <c r="Z494" s="811"/>
      <c r="AA494" s="734"/>
      <c r="AB494" s="811"/>
      <c r="AC494" s="740"/>
      <c r="AD494" s="734"/>
      <c r="AE494" s="734"/>
      <c r="AF494" s="734"/>
      <c r="AG494" s="734"/>
      <c r="AH494" s="734"/>
      <c r="AI494" s="734"/>
      <c r="AJ494" s="879"/>
      <c r="AK494" s="734"/>
      <c r="AL494" s="734"/>
      <c r="AM494" s="734"/>
      <c r="AN494" s="734"/>
      <c r="AO494" s="734"/>
      <c r="AP494" s="52"/>
      <c r="AQ494" s="52"/>
      <c r="AR494" s="52"/>
      <c r="AS494" s="52"/>
      <c r="AT494" s="52"/>
      <c r="AU494" s="52"/>
      <c r="AV494" s="52"/>
      <c r="AW494" s="52"/>
      <c r="AX494" s="52"/>
      <c r="AY494" s="52"/>
      <c r="AZ494" s="734"/>
      <c r="BA494" s="740"/>
      <c r="BB494" s="734"/>
      <c r="BC494" s="740"/>
      <c r="BD494" s="734"/>
      <c r="BE494" s="52"/>
      <c r="BF494" s="52"/>
      <c r="BG494" s="734"/>
      <c r="BH494" s="734"/>
      <c r="BI494" s="734"/>
      <c r="BJ494" s="734"/>
    </row>
    <row r="495">
      <c r="B495" s="740"/>
      <c r="C495" s="869"/>
      <c r="D495" s="734"/>
      <c r="E495" s="734"/>
      <c r="F495" s="740"/>
      <c r="G495" s="734"/>
      <c r="H495" s="734"/>
      <c r="I495" s="777"/>
      <c r="J495" s="740"/>
      <c r="K495" s="734"/>
      <c r="L495" s="734"/>
      <c r="M495" s="734"/>
      <c r="N495" s="734"/>
      <c r="O495" s="734"/>
      <c r="P495" s="734"/>
      <c r="Q495" s="734"/>
      <c r="R495" s="734"/>
      <c r="S495" s="734"/>
      <c r="T495" s="734"/>
      <c r="U495" s="734"/>
      <c r="V495" s="734"/>
      <c r="W495" s="734"/>
      <c r="X495" s="735"/>
      <c r="Y495" s="811"/>
      <c r="Z495" s="811"/>
      <c r="AA495" s="734"/>
      <c r="AB495" s="811"/>
      <c r="AC495" s="740"/>
      <c r="AD495" s="734"/>
      <c r="AE495" s="734"/>
      <c r="AF495" s="734"/>
      <c r="AG495" s="734"/>
      <c r="AH495" s="734"/>
      <c r="AI495" s="734"/>
      <c r="AJ495" s="879"/>
      <c r="AK495" s="734"/>
      <c r="AL495" s="734"/>
      <c r="AM495" s="734"/>
      <c r="AN495" s="734"/>
      <c r="AO495" s="734"/>
      <c r="AP495" s="52"/>
      <c r="AQ495" s="52"/>
      <c r="AR495" s="52"/>
      <c r="AS495" s="52"/>
      <c r="AT495" s="52"/>
      <c r="AU495" s="52"/>
      <c r="AV495" s="52"/>
      <c r="AW495" s="52"/>
      <c r="AX495" s="52"/>
      <c r="AY495" s="52"/>
      <c r="AZ495" s="734"/>
      <c r="BA495" s="740"/>
      <c r="BB495" s="734"/>
      <c r="BC495" s="740"/>
      <c r="BD495" s="734"/>
      <c r="BE495" s="52"/>
      <c r="BF495" s="52"/>
      <c r="BG495" s="734"/>
      <c r="BH495" s="734"/>
      <c r="BI495" s="734"/>
      <c r="BJ495" s="734"/>
    </row>
    <row r="496">
      <c r="B496" s="740"/>
      <c r="C496" s="869"/>
      <c r="D496" s="734"/>
      <c r="E496" s="734"/>
      <c r="F496" s="740"/>
      <c r="G496" s="734"/>
      <c r="H496" s="734"/>
      <c r="I496" s="777"/>
      <c r="J496" s="740"/>
      <c r="K496" s="734"/>
      <c r="L496" s="734"/>
      <c r="M496" s="734"/>
      <c r="N496" s="734"/>
      <c r="O496" s="734"/>
      <c r="P496" s="734"/>
      <c r="Q496" s="734"/>
      <c r="R496" s="734"/>
      <c r="S496" s="734"/>
      <c r="T496" s="734"/>
      <c r="U496" s="734"/>
      <c r="V496" s="734"/>
      <c r="W496" s="734"/>
      <c r="X496" s="735"/>
      <c r="Y496" s="811"/>
      <c r="Z496" s="811"/>
      <c r="AA496" s="734"/>
      <c r="AB496" s="811"/>
      <c r="AC496" s="740"/>
      <c r="AD496" s="734"/>
      <c r="AE496" s="734"/>
      <c r="AF496" s="734"/>
      <c r="AG496" s="734"/>
      <c r="AH496" s="734"/>
      <c r="AI496" s="734"/>
      <c r="AJ496" s="879"/>
      <c r="AK496" s="734"/>
      <c r="AL496" s="734"/>
      <c r="AM496" s="734"/>
      <c r="AN496" s="734"/>
      <c r="AO496" s="734"/>
      <c r="AP496" s="52"/>
      <c r="AQ496" s="52"/>
      <c r="AR496" s="52"/>
      <c r="AS496" s="52"/>
      <c r="AT496" s="52"/>
      <c r="AU496" s="52"/>
      <c r="AV496" s="52"/>
      <c r="AW496" s="52"/>
      <c r="AX496" s="52"/>
      <c r="AY496" s="52"/>
      <c r="AZ496" s="734"/>
      <c r="BA496" s="740"/>
      <c r="BB496" s="734"/>
      <c r="BC496" s="740"/>
      <c r="BD496" s="734"/>
      <c r="BE496" s="52"/>
      <c r="BF496" s="52"/>
      <c r="BG496" s="734"/>
      <c r="BH496" s="734"/>
      <c r="BI496" s="734"/>
      <c r="BJ496" s="734"/>
    </row>
    <row r="497">
      <c r="B497" s="740"/>
      <c r="C497" s="869"/>
      <c r="D497" s="734"/>
      <c r="E497" s="734"/>
      <c r="F497" s="740"/>
      <c r="G497" s="734"/>
      <c r="H497" s="734"/>
      <c r="I497" s="777"/>
      <c r="J497" s="740"/>
      <c r="K497" s="734"/>
      <c r="L497" s="734"/>
      <c r="M497" s="734"/>
      <c r="N497" s="734"/>
      <c r="O497" s="734"/>
      <c r="P497" s="734"/>
      <c r="Q497" s="734"/>
      <c r="R497" s="734"/>
      <c r="S497" s="734"/>
      <c r="T497" s="734"/>
      <c r="U497" s="734"/>
      <c r="V497" s="734"/>
      <c r="W497" s="734"/>
      <c r="X497" s="735"/>
      <c r="Y497" s="811"/>
      <c r="Z497" s="811"/>
      <c r="AA497" s="734"/>
      <c r="AB497" s="811"/>
      <c r="AC497" s="740"/>
      <c r="AD497" s="734"/>
      <c r="AE497" s="734"/>
      <c r="AF497" s="734"/>
      <c r="AG497" s="734"/>
      <c r="AH497" s="734"/>
      <c r="AI497" s="734"/>
      <c r="AJ497" s="879"/>
      <c r="AK497" s="734"/>
      <c r="AL497" s="734"/>
      <c r="AM497" s="734"/>
      <c r="AN497" s="734"/>
      <c r="AO497" s="734"/>
      <c r="AP497" s="52"/>
      <c r="AQ497" s="52"/>
      <c r="AR497" s="52"/>
      <c r="AS497" s="52"/>
      <c r="AT497" s="52"/>
      <c r="AU497" s="52"/>
      <c r="AV497" s="52"/>
      <c r="AW497" s="52"/>
      <c r="AX497" s="52"/>
      <c r="AY497" s="52"/>
      <c r="AZ497" s="734"/>
      <c r="BA497" s="740"/>
      <c r="BB497" s="734"/>
      <c r="BC497" s="740"/>
      <c r="BD497" s="734"/>
      <c r="BE497" s="52"/>
      <c r="BF497" s="52"/>
      <c r="BG497" s="734"/>
      <c r="BH497" s="734"/>
      <c r="BI497" s="734"/>
      <c r="BJ497" s="734"/>
    </row>
    <row r="498">
      <c r="B498" s="740"/>
      <c r="C498" s="869"/>
      <c r="D498" s="734"/>
      <c r="E498" s="734"/>
      <c r="F498" s="740"/>
      <c r="G498" s="734"/>
      <c r="H498" s="734"/>
      <c r="I498" s="777"/>
      <c r="J498" s="740"/>
      <c r="K498" s="734"/>
      <c r="L498" s="734"/>
      <c r="M498" s="734"/>
      <c r="N498" s="734"/>
      <c r="O498" s="734"/>
      <c r="P498" s="734"/>
      <c r="Q498" s="734"/>
      <c r="R498" s="734"/>
      <c r="S498" s="734"/>
      <c r="T498" s="734"/>
      <c r="U498" s="734"/>
      <c r="V498" s="734"/>
      <c r="W498" s="734"/>
      <c r="X498" s="735"/>
      <c r="Y498" s="811"/>
      <c r="Z498" s="811"/>
      <c r="AA498" s="734"/>
      <c r="AB498" s="811"/>
      <c r="AC498" s="740"/>
      <c r="AD498" s="734"/>
      <c r="AE498" s="734"/>
      <c r="AF498" s="734"/>
      <c r="AG498" s="734"/>
      <c r="AH498" s="734"/>
      <c r="AI498" s="734"/>
      <c r="AJ498" s="879"/>
      <c r="AK498" s="734"/>
      <c r="AL498" s="734"/>
      <c r="AM498" s="734"/>
      <c r="AN498" s="734"/>
      <c r="AO498" s="734"/>
      <c r="AP498" s="52"/>
      <c r="AQ498" s="52"/>
      <c r="AR498" s="52"/>
      <c r="AS498" s="52"/>
      <c r="AT498" s="52"/>
      <c r="AU498" s="52"/>
      <c r="AV498" s="52"/>
      <c r="AW498" s="52"/>
      <c r="AX498" s="52"/>
      <c r="AY498" s="52"/>
      <c r="AZ498" s="734"/>
      <c r="BA498" s="740"/>
      <c r="BB498" s="734"/>
      <c r="BC498" s="740"/>
      <c r="BD498" s="734"/>
      <c r="BE498" s="52"/>
      <c r="BF498" s="52"/>
      <c r="BG498" s="734"/>
      <c r="BH498" s="734"/>
      <c r="BI498" s="734"/>
      <c r="BJ498" s="734"/>
    </row>
    <row r="499">
      <c r="B499" s="740"/>
      <c r="C499" s="869"/>
      <c r="D499" s="734"/>
      <c r="E499" s="734"/>
      <c r="F499" s="740"/>
      <c r="G499" s="734"/>
      <c r="H499" s="734"/>
      <c r="I499" s="777"/>
      <c r="J499" s="740"/>
      <c r="K499" s="734"/>
      <c r="L499" s="734"/>
      <c r="M499" s="734"/>
      <c r="N499" s="734"/>
      <c r="O499" s="734"/>
      <c r="P499" s="734"/>
      <c r="Q499" s="734"/>
      <c r="R499" s="734"/>
      <c r="S499" s="734"/>
      <c r="T499" s="734"/>
      <c r="U499" s="734"/>
      <c r="V499" s="734"/>
      <c r="W499" s="734"/>
      <c r="X499" s="735"/>
      <c r="Y499" s="811"/>
      <c r="Z499" s="811"/>
      <c r="AA499" s="734"/>
      <c r="AB499" s="811"/>
      <c r="AC499" s="740"/>
      <c r="AD499" s="734"/>
      <c r="AE499" s="734"/>
      <c r="AF499" s="734"/>
      <c r="AG499" s="734"/>
      <c r="AH499" s="734"/>
      <c r="AI499" s="734"/>
      <c r="AJ499" s="879"/>
      <c r="AK499" s="734"/>
      <c r="AL499" s="734"/>
      <c r="AM499" s="734"/>
      <c r="AN499" s="734"/>
      <c r="AO499" s="734"/>
      <c r="AP499" s="52"/>
      <c r="AQ499" s="52"/>
      <c r="AR499" s="52"/>
      <c r="AS499" s="52"/>
      <c r="AT499" s="52"/>
      <c r="AU499" s="52"/>
      <c r="AV499" s="52"/>
      <c r="AW499" s="52"/>
      <c r="AX499" s="52"/>
      <c r="AY499" s="52"/>
      <c r="AZ499" s="734"/>
      <c r="BA499" s="740"/>
      <c r="BB499" s="734"/>
      <c r="BC499" s="740"/>
      <c r="BD499" s="734"/>
      <c r="BE499" s="52"/>
      <c r="BF499" s="52"/>
      <c r="BG499" s="734"/>
      <c r="BH499" s="734"/>
      <c r="BI499" s="734"/>
      <c r="BJ499" s="734"/>
    </row>
    <row r="500">
      <c r="B500" s="740"/>
      <c r="C500" s="869"/>
      <c r="D500" s="734"/>
      <c r="E500" s="734"/>
      <c r="F500" s="740"/>
      <c r="G500" s="734"/>
      <c r="H500" s="734"/>
      <c r="I500" s="777"/>
      <c r="J500" s="740"/>
      <c r="K500" s="734"/>
      <c r="L500" s="734"/>
      <c r="M500" s="734"/>
      <c r="N500" s="734"/>
      <c r="O500" s="734"/>
      <c r="P500" s="734"/>
      <c r="Q500" s="734"/>
      <c r="R500" s="734"/>
      <c r="S500" s="734"/>
      <c r="T500" s="734"/>
      <c r="U500" s="734"/>
      <c r="V500" s="734"/>
      <c r="W500" s="734"/>
      <c r="X500" s="735"/>
      <c r="Y500" s="811"/>
      <c r="Z500" s="811"/>
      <c r="AA500" s="734"/>
      <c r="AB500" s="811"/>
      <c r="AC500" s="740"/>
      <c r="AD500" s="734"/>
      <c r="AE500" s="734"/>
      <c r="AF500" s="734"/>
      <c r="AG500" s="734"/>
      <c r="AH500" s="734"/>
      <c r="AI500" s="734"/>
      <c r="AJ500" s="879"/>
      <c r="AK500" s="734"/>
      <c r="AL500" s="734"/>
      <c r="AM500" s="734"/>
      <c r="AN500" s="734"/>
      <c r="AO500" s="734"/>
      <c r="AP500" s="52"/>
      <c r="AQ500" s="52"/>
      <c r="AR500" s="52"/>
      <c r="AS500" s="52"/>
      <c r="AT500" s="52"/>
      <c r="AU500" s="52"/>
      <c r="AV500" s="52"/>
      <c r="AW500" s="52"/>
      <c r="AX500" s="52"/>
      <c r="AY500" s="52"/>
      <c r="AZ500" s="734"/>
      <c r="BA500" s="740"/>
      <c r="BB500" s="734"/>
      <c r="BC500" s="740"/>
      <c r="BD500" s="734"/>
      <c r="BE500" s="52"/>
      <c r="BF500" s="52"/>
      <c r="BG500" s="734"/>
      <c r="BH500" s="734"/>
      <c r="BI500" s="734"/>
      <c r="BJ500" s="734"/>
    </row>
    <row r="501">
      <c r="B501" s="740"/>
      <c r="C501" s="869"/>
      <c r="D501" s="734"/>
      <c r="E501" s="734"/>
      <c r="F501" s="740"/>
      <c r="G501" s="734"/>
      <c r="H501" s="734"/>
      <c r="I501" s="777"/>
      <c r="J501" s="740"/>
      <c r="K501" s="734"/>
      <c r="L501" s="734"/>
      <c r="M501" s="734"/>
      <c r="N501" s="734"/>
      <c r="O501" s="734"/>
      <c r="P501" s="734"/>
      <c r="Q501" s="734"/>
      <c r="R501" s="734"/>
      <c r="S501" s="734"/>
      <c r="T501" s="734"/>
      <c r="U501" s="734"/>
      <c r="V501" s="734"/>
      <c r="W501" s="734"/>
      <c r="X501" s="735"/>
      <c r="Y501" s="811"/>
      <c r="Z501" s="811"/>
      <c r="AA501" s="734"/>
      <c r="AB501" s="811"/>
      <c r="AC501" s="740"/>
      <c r="AD501" s="734"/>
      <c r="AE501" s="734"/>
      <c r="AF501" s="734"/>
      <c r="AG501" s="734"/>
      <c r="AH501" s="734"/>
      <c r="AI501" s="734"/>
      <c r="AJ501" s="879"/>
      <c r="AK501" s="734"/>
      <c r="AL501" s="734"/>
      <c r="AM501" s="734"/>
      <c r="AN501" s="734"/>
      <c r="AO501" s="734"/>
      <c r="AP501" s="52"/>
      <c r="AQ501" s="52"/>
      <c r="AR501" s="52"/>
      <c r="AS501" s="52"/>
      <c r="AT501" s="52"/>
      <c r="AU501" s="52"/>
      <c r="AV501" s="52"/>
      <c r="AW501" s="52"/>
      <c r="AX501" s="52"/>
      <c r="AY501" s="52"/>
      <c r="AZ501" s="734"/>
      <c r="BA501" s="740"/>
      <c r="BB501" s="734"/>
      <c r="BC501" s="740"/>
      <c r="BD501" s="734"/>
      <c r="BE501" s="52"/>
      <c r="BF501" s="52"/>
      <c r="BG501" s="734"/>
      <c r="BH501" s="734"/>
      <c r="BI501" s="734"/>
      <c r="BJ501" s="734"/>
    </row>
    <row r="502">
      <c r="B502" s="740"/>
      <c r="C502" s="869"/>
      <c r="D502" s="734"/>
      <c r="E502" s="734"/>
      <c r="F502" s="740"/>
      <c r="G502" s="734"/>
      <c r="H502" s="734"/>
      <c r="I502" s="777"/>
      <c r="J502" s="740"/>
      <c r="K502" s="734"/>
      <c r="L502" s="734"/>
      <c r="M502" s="734"/>
      <c r="N502" s="734"/>
      <c r="O502" s="734"/>
      <c r="P502" s="734"/>
      <c r="Q502" s="734"/>
      <c r="R502" s="734"/>
      <c r="S502" s="734"/>
      <c r="T502" s="734"/>
      <c r="U502" s="734"/>
      <c r="V502" s="734"/>
      <c r="W502" s="734"/>
      <c r="X502" s="735"/>
      <c r="Y502" s="811"/>
      <c r="Z502" s="811"/>
      <c r="AA502" s="734"/>
      <c r="AB502" s="811"/>
      <c r="AC502" s="740"/>
      <c r="AD502" s="734"/>
      <c r="AE502" s="734"/>
      <c r="AF502" s="734"/>
      <c r="AG502" s="734"/>
      <c r="AH502" s="734"/>
      <c r="AI502" s="734"/>
      <c r="AJ502" s="879"/>
      <c r="AK502" s="734"/>
      <c r="AL502" s="734"/>
      <c r="AM502" s="734"/>
      <c r="AN502" s="734"/>
      <c r="AO502" s="734"/>
      <c r="AP502" s="52"/>
      <c r="AQ502" s="52"/>
      <c r="AR502" s="52"/>
      <c r="AS502" s="52"/>
      <c r="AT502" s="52"/>
      <c r="AU502" s="52"/>
      <c r="AV502" s="52"/>
      <c r="AW502" s="52"/>
      <c r="AX502" s="52"/>
      <c r="AY502" s="52"/>
      <c r="AZ502" s="734"/>
      <c r="BA502" s="740"/>
      <c r="BB502" s="734"/>
      <c r="BC502" s="740"/>
      <c r="BD502" s="734"/>
      <c r="BE502" s="52"/>
      <c r="BF502" s="52"/>
      <c r="BG502" s="734"/>
      <c r="BH502" s="734"/>
      <c r="BI502" s="734"/>
      <c r="BJ502" s="734"/>
    </row>
    <row r="503">
      <c r="B503" s="740"/>
      <c r="C503" s="869"/>
      <c r="D503" s="734"/>
      <c r="E503" s="734"/>
      <c r="F503" s="740"/>
      <c r="G503" s="734"/>
      <c r="H503" s="734"/>
      <c r="I503" s="777"/>
      <c r="J503" s="740"/>
      <c r="K503" s="734"/>
      <c r="L503" s="734"/>
      <c r="M503" s="734"/>
      <c r="N503" s="734"/>
      <c r="O503" s="734"/>
      <c r="P503" s="734"/>
      <c r="Q503" s="734"/>
      <c r="R503" s="734"/>
      <c r="S503" s="734"/>
      <c r="T503" s="734"/>
      <c r="U503" s="734"/>
      <c r="V503" s="734"/>
      <c r="W503" s="734"/>
      <c r="X503" s="735"/>
      <c r="Y503" s="811"/>
      <c r="Z503" s="811"/>
      <c r="AA503" s="734"/>
      <c r="AB503" s="811"/>
      <c r="AC503" s="740"/>
      <c r="AD503" s="734"/>
      <c r="AE503" s="734"/>
      <c r="AF503" s="734"/>
      <c r="AG503" s="734"/>
      <c r="AH503" s="734"/>
      <c r="AI503" s="734"/>
      <c r="AJ503" s="879"/>
      <c r="AK503" s="734"/>
      <c r="AL503" s="734"/>
      <c r="AM503" s="734"/>
      <c r="AN503" s="734"/>
      <c r="AO503" s="734"/>
      <c r="AP503" s="52"/>
      <c r="AQ503" s="52"/>
      <c r="AR503" s="52"/>
      <c r="AS503" s="52"/>
      <c r="AT503" s="52"/>
      <c r="AU503" s="52"/>
      <c r="AV503" s="52"/>
      <c r="AW503" s="52"/>
      <c r="AX503" s="52"/>
      <c r="AY503" s="52"/>
      <c r="AZ503" s="734"/>
      <c r="BA503" s="740"/>
      <c r="BB503" s="734"/>
      <c r="BC503" s="740"/>
      <c r="BD503" s="734"/>
      <c r="BE503" s="52"/>
      <c r="BF503" s="52"/>
      <c r="BG503" s="734"/>
      <c r="BH503" s="734"/>
      <c r="BI503" s="734"/>
      <c r="BJ503" s="734"/>
    </row>
    <row r="504">
      <c r="B504" s="740"/>
      <c r="C504" s="869"/>
      <c r="D504" s="734"/>
      <c r="E504" s="734"/>
      <c r="F504" s="740"/>
      <c r="G504" s="734"/>
      <c r="H504" s="734"/>
      <c r="I504" s="777"/>
      <c r="J504" s="740"/>
      <c r="K504" s="734"/>
      <c r="L504" s="734"/>
      <c r="M504" s="734"/>
      <c r="N504" s="734"/>
      <c r="O504" s="734"/>
      <c r="P504" s="734"/>
      <c r="Q504" s="734"/>
      <c r="R504" s="734"/>
      <c r="S504" s="734"/>
      <c r="T504" s="734"/>
      <c r="U504" s="734"/>
      <c r="V504" s="734"/>
      <c r="W504" s="734"/>
      <c r="X504" s="735"/>
      <c r="Y504" s="811"/>
      <c r="Z504" s="811"/>
      <c r="AA504" s="734"/>
      <c r="AB504" s="811"/>
      <c r="AC504" s="740"/>
      <c r="AD504" s="734"/>
      <c r="AE504" s="734"/>
      <c r="AF504" s="734"/>
      <c r="AG504" s="734"/>
      <c r="AH504" s="734"/>
      <c r="AI504" s="734"/>
      <c r="AJ504" s="879"/>
      <c r="AK504" s="734"/>
      <c r="AL504" s="734"/>
      <c r="AM504" s="734"/>
      <c r="AN504" s="734"/>
      <c r="AO504" s="734"/>
      <c r="AP504" s="52"/>
      <c r="AQ504" s="52"/>
      <c r="AR504" s="52"/>
      <c r="AS504" s="52"/>
      <c r="AT504" s="52"/>
      <c r="AU504" s="52"/>
      <c r="AV504" s="52"/>
      <c r="AW504" s="52"/>
      <c r="AX504" s="52"/>
      <c r="AY504" s="52"/>
      <c r="AZ504" s="734"/>
      <c r="BA504" s="740"/>
      <c r="BB504" s="734"/>
      <c r="BC504" s="740"/>
      <c r="BD504" s="734"/>
      <c r="BE504" s="52"/>
      <c r="BF504" s="52"/>
      <c r="BG504" s="734"/>
      <c r="BH504" s="734"/>
      <c r="BI504" s="734"/>
      <c r="BJ504" s="734"/>
    </row>
    <row r="505">
      <c r="B505" s="740"/>
      <c r="C505" s="869"/>
      <c r="D505" s="734"/>
      <c r="E505" s="734"/>
      <c r="F505" s="740"/>
      <c r="G505" s="734"/>
      <c r="H505" s="734"/>
      <c r="I505" s="777"/>
      <c r="J505" s="740"/>
      <c r="K505" s="734"/>
      <c r="L505" s="734"/>
      <c r="M505" s="734"/>
      <c r="N505" s="734"/>
      <c r="O505" s="734"/>
      <c r="P505" s="734"/>
      <c r="Q505" s="734"/>
      <c r="R505" s="734"/>
      <c r="S505" s="734"/>
      <c r="T505" s="734"/>
      <c r="U505" s="734"/>
      <c r="V505" s="734"/>
      <c r="W505" s="734"/>
      <c r="X505" s="735"/>
      <c r="Y505" s="811"/>
      <c r="Z505" s="811"/>
      <c r="AA505" s="734"/>
      <c r="AB505" s="811"/>
      <c r="AC505" s="740"/>
      <c r="AD505" s="734"/>
      <c r="AE505" s="734"/>
      <c r="AF505" s="734"/>
      <c r="AG505" s="734"/>
      <c r="AH505" s="734"/>
      <c r="AI505" s="734"/>
      <c r="AJ505" s="879"/>
      <c r="AK505" s="734"/>
      <c r="AL505" s="734"/>
      <c r="AM505" s="734"/>
      <c r="AN505" s="734"/>
      <c r="AO505" s="734"/>
      <c r="AP505" s="52"/>
      <c r="AQ505" s="52"/>
      <c r="AR505" s="52"/>
      <c r="AS505" s="52"/>
      <c r="AT505" s="52"/>
      <c r="AU505" s="52"/>
      <c r="AV505" s="52"/>
      <c r="AW505" s="52"/>
      <c r="AX505" s="52"/>
      <c r="AY505" s="52"/>
      <c r="AZ505" s="734"/>
      <c r="BA505" s="740"/>
      <c r="BB505" s="734"/>
      <c r="BC505" s="740"/>
      <c r="BD505" s="734"/>
      <c r="BE505" s="52"/>
      <c r="BF505" s="52"/>
      <c r="BG505" s="734"/>
      <c r="BH505" s="734"/>
      <c r="BI505" s="734"/>
      <c r="BJ505" s="734"/>
    </row>
    <row r="506">
      <c r="B506" s="740"/>
      <c r="C506" s="869"/>
      <c r="D506" s="734"/>
      <c r="E506" s="734"/>
      <c r="F506" s="740"/>
      <c r="G506" s="734"/>
      <c r="H506" s="734"/>
      <c r="I506" s="777"/>
      <c r="J506" s="740"/>
      <c r="K506" s="734"/>
      <c r="L506" s="734"/>
      <c r="M506" s="734"/>
      <c r="N506" s="734"/>
      <c r="O506" s="734"/>
      <c r="P506" s="734"/>
      <c r="Q506" s="734"/>
      <c r="R506" s="734"/>
      <c r="S506" s="734"/>
      <c r="T506" s="734"/>
      <c r="U506" s="734"/>
      <c r="V506" s="734"/>
      <c r="W506" s="734"/>
      <c r="X506" s="735"/>
      <c r="Y506" s="811"/>
      <c r="Z506" s="811"/>
      <c r="AA506" s="734"/>
      <c r="AB506" s="811"/>
      <c r="AC506" s="740"/>
      <c r="AD506" s="734"/>
      <c r="AE506" s="734"/>
      <c r="AF506" s="734"/>
      <c r="AG506" s="734"/>
      <c r="AH506" s="734"/>
      <c r="AI506" s="734"/>
      <c r="AJ506" s="879"/>
      <c r="AK506" s="734"/>
      <c r="AL506" s="734"/>
      <c r="AM506" s="734"/>
      <c r="AN506" s="734"/>
      <c r="AO506" s="734"/>
      <c r="AP506" s="52"/>
      <c r="AQ506" s="52"/>
      <c r="AR506" s="52"/>
      <c r="AS506" s="52"/>
      <c r="AT506" s="52"/>
      <c r="AU506" s="52"/>
      <c r="AV506" s="52"/>
      <c r="AW506" s="52"/>
      <c r="AX506" s="52"/>
      <c r="AY506" s="52"/>
      <c r="AZ506" s="734"/>
      <c r="BA506" s="740"/>
      <c r="BB506" s="734"/>
      <c r="BC506" s="740"/>
      <c r="BD506" s="734"/>
      <c r="BE506" s="52"/>
      <c r="BF506" s="52"/>
      <c r="BG506" s="734"/>
      <c r="BH506" s="734"/>
      <c r="BI506" s="734"/>
      <c r="BJ506" s="734"/>
    </row>
    <row r="507">
      <c r="B507" s="740"/>
      <c r="C507" s="869"/>
      <c r="D507" s="734"/>
      <c r="E507" s="734"/>
      <c r="F507" s="740"/>
      <c r="G507" s="734"/>
      <c r="H507" s="734"/>
      <c r="I507" s="777"/>
      <c r="J507" s="740"/>
      <c r="K507" s="734"/>
      <c r="L507" s="734"/>
      <c r="M507" s="734"/>
      <c r="N507" s="734"/>
      <c r="O507" s="734"/>
      <c r="P507" s="734"/>
      <c r="Q507" s="734"/>
      <c r="R507" s="734"/>
      <c r="S507" s="734"/>
      <c r="T507" s="734"/>
      <c r="U507" s="734"/>
      <c r="V507" s="734"/>
      <c r="W507" s="734"/>
      <c r="X507" s="735"/>
      <c r="Y507" s="811"/>
      <c r="Z507" s="811"/>
      <c r="AA507" s="734"/>
      <c r="AB507" s="811"/>
      <c r="AC507" s="740"/>
      <c r="AD507" s="734"/>
      <c r="AE507" s="734"/>
      <c r="AF507" s="734"/>
      <c r="AG507" s="734"/>
      <c r="AH507" s="734"/>
      <c r="AI507" s="734"/>
      <c r="AJ507" s="879"/>
      <c r="AK507" s="734"/>
      <c r="AL507" s="734"/>
      <c r="AM507" s="734"/>
      <c r="AN507" s="734"/>
      <c r="AO507" s="734"/>
      <c r="AP507" s="52"/>
      <c r="AQ507" s="52"/>
      <c r="AR507" s="52"/>
      <c r="AS507" s="52"/>
      <c r="AT507" s="52"/>
      <c r="AU507" s="52"/>
      <c r="AV507" s="52"/>
      <c r="AW507" s="52"/>
      <c r="AX507" s="52"/>
      <c r="AY507" s="52"/>
      <c r="AZ507" s="734"/>
      <c r="BA507" s="740"/>
      <c r="BB507" s="734"/>
      <c r="BC507" s="740"/>
      <c r="BD507" s="734"/>
      <c r="BE507" s="52"/>
      <c r="BF507" s="52"/>
      <c r="BG507" s="734"/>
      <c r="BH507" s="734"/>
      <c r="BI507" s="734"/>
      <c r="BJ507" s="734"/>
    </row>
    <row r="508">
      <c r="B508" s="740"/>
      <c r="C508" s="869"/>
      <c r="D508" s="734"/>
      <c r="E508" s="734"/>
      <c r="F508" s="740"/>
      <c r="G508" s="734"/>
      <c r="H508" s="734"/>
      <c r="I508" s="777"/>
      <c r="J508" s="740"/>
      <c r="K508" s="734"/>
      <c r="L508" s="734"/>
      <c r="M508" s="734"/>
      <c r="N508" s="734"/>
      <c r="O508" s="734"/>
      <c r="P508" s="734"/>
      <c r="Q508" s="734"/>
      <c r="R508" s="734"/>
      <c r="S508" s="734"/>
      <c r="T508" s="734"/>
      <c r="U508" s="734"/>
      <c r="V508" s="734"/>
      <c r="W508" s="734"/>
      <c r="X508" s="735"/>
      <c r="Y508" s="811"/>
      <c r="Z508" s="811"/>
      <c r="AA508" s="734"/>
      <c r="AB508" s="811"/>
      <c r="AC508" s="740"/>
      <c r="AD508" s="734"/>
      <c r="AE508" s="734"/>
      <c r="AF508" s="734"/>
      <c r="AG508" s="734"/>
      <c r="AH508" s="734"/>
      <c r="AI508" s="734"/>
      <c r="AJ508" s="879"/>
      <c r="AK508" s="734"/>
      <c r="AL508" s="734"/>
      <c r="AM508" s="734"/>
      <c r="AN508" s="734"/>
      <c r="AO508" s="734"/>
      <c r="AP508" s="52"/>
      <c r="AQ508" s="52"/>
      <c r="AR508" s="52"/>
      <c r="AS508" s="52"/>
      <c r="AT508" s="52"/>
      <c r="AU508" s="52"/>
      <c r="AV508" s="52"/>
      <c r="AW508" s="52"/>
      <c r="AX508" s="52"/>
      <c r="AY508" s="52"/>
      <c r="AZ508" s="734"/>
      <c r="BA508" s="740"/>
      <c r="BB508" s="734"/>
      <c r="BC508" s="740"/>
      <c r="BD508" s="734"/>
      <c r="BE508" s="52"/>
      <c r="BF508" s="52"/>
      <c r="BG508" s="734"/>
      <c r="BH508" s="734"/>
      <c r="BI508" s="734"/>
      <c r="BJ508" s="734"/>
    </row>
    <row r="509">
      <c r="B509" s="740"/>
      <c r="C509" s="869"/>
      <c r="D509" s="734"/>
      <c r="E509" s="734"/>
      <c r="F509" s="740"/>
      <c r="G509" s="734"/>
      <c r="H509" s="734"/>
      <c r="I509" s="777"/>
      <c r="J509" s="740"/>
      <c r="K509" s="734"/>
      <c r="L509" s="734"/>
      <c r="M509" s="734"/>
      <c r="N509" s="734"/>
      <c r="O509" s="734"/>
      <c r="P509" s="734"/>
      <c r="Q509" s="734"/>
      <c r="R509" s="734"/>
      <c r="S509" s="734"/>
      <c r="T509" s="734"/>
      <c r="U509" s="734"/>
      <c r="V509" s="734"/>
      <c r="W509" s="734"/>
      <c r="X509" s="735"/>
      <c r="Y509" s="811"/>
      <c r="Z509" s="811"/>
      <c r="AA509" s="734"/>
      <c r="AB509" s="811"/>
      <c r="AC509" s="740"/>
      <c r="AD509" s="734"/>
      <c r="AE509" s="734"/>
      <c r="AF509" s="734"/>
      <c r="AG509" s="734"/>
      <c r="AH509" s="734"/>
      <c r="AI509" s="734"/>
      <c r="AJ509" s="879"/>
      <c r="AK509" s="734"/>
      <c r="AL509" s="734"/>
      <c r="AM509" s="734"/>
      <c r="AN509" s="734"/>
      <c r="AO509" s="734"/>
      <c r="AP509" s="52"/>
      <c r="AQ509" s="52"/>
      <c r="AR509" s="52"/>
      <c r="AS509" s="52"/>
      <c r="AT509" s="52"/>
      <c r="AU509" s="52"/>
      <c r="AV509" s="52"/>
      <c r="AW509" s="52"/>
      <c r="AX509" s="52"/>
      <c r="AY509" s="52"/>
      <c r="AZ509" s="734"/>
      <c r="BA509" s="740"/>
      <c r="BB509" s="734"/>
      <c r="BC509" s="740"/>
      <c r="BD509" s="734"/>
      <c r="BE509" s="52"/>
      <c r="BF509" s="52"/>
      <c r="BG509" s="734"/>
      <c r="BH509" s="734"/>
      <c r="BI509" s="734"/>
      <c r="BJ509" s="734"/>
    </row>
    <row r="510">
      <c r="B510" s="740"/>
      <c r="C510" s="869"/>
      <c r="D510" s="734"/>
      <c r="E510" s="734"/>
      <c r="F510" s="740"/>
      <c r="G510" s="734"/>
      <c r="H510" s="734"/>
      <c r="I510" s="777"/>
      <c r="J510" s="740"/>
      <c r="K510" s="734"/>
      <c r="L510" s="734"/>
      <c r="M510" s="734"/>
      <c r="N510" s="734"/>
      <c r="O510" s="734"/>
      <c r="P510" s="734"/>
      <c r="Q510" s="734"/>
      <c r="R510" s="734"/>
      <c r="S510" s="734"/>
      <c r="T510" s="734"/>
      <c r="U510" s="734"/>
      <c r="V510" s="734"/>
      <c r="W510" s="734"/>
      <c r="X510" s="735"/>
      <c r="Y510" s="811"/>
      <c r="Z510" s="811"/>
      <c r="AA510" s="734"/>
      <c r="AB510" s="811"/>
      <c r="AC510" s="740"/>
      <c r="AD510" s="734"/>
      <c r="AE510" s="734"/>
      <c r="AF510" s="734"/>
      <c r="AG510" s="734"/>
      <c r="AH510" s="734"/>
      <c r="AI510" s="734"/>
      <c r="AJ510" s="879"/>
      <c r="AK510" s="734"/>
      <c r="AL510" s="734"/>
      <c r="AM510" s="734"/>
      <c r="AN510" s="734"/>
      <c r="AO510" s="734"/>
      <c r="AP510" s="52"/>
      <c r="AQ510" s="52"/>
      <c r="AR510" s="52"/>
      <c r="AS510" s="52"/>
      <c r="AT510" s="52"/>
      <c r="AU510" s="52"/>
      <c r="AV510" s="52"/>
      <c r="AW510" s="52"/>
      <c r="AX510" s="52"/>
      <c r="AY510" s="52"/>
      <c r="AZ510" s="734"/>
      <c r="BA510" s="740"/>
      <c r="BB510" s="734"/>
      <c r="BC510" s="740"/>
      <c r="BD510" s="734"/>
      <c r="BE510" s="52"/>
      <c r="BF510" s="52"/>
      <c r="BG510" s="734"/>
      <c r="BH510" s="734"/>
      <c r="BI510" s="734"/>
      <c r="BJ510" s="734"/>
    </row>
    <row r="511">
      <c r="B511" s="740"/>
      <c r="C511" s="869"/>
      <c r="D511" s="734"/>
      <c r="E511" s="734"/>
      <c r="F511" s="740"/>
      <c r="G511" s="734"/>
      <c r="H511" s="734"/>
      <c r="I511" s="777"/>
      <c r="J511" s="740"/>
      <c r="K511" s="734"/>
      <c r="L511" s="734"/>
      <c r="M511" s="734"/>
      <c r="N511" s="734"/>
      <c r="O511" s="734"/>
      <c r="P511" s="734"/>
      <c r="Q511" s="734"/>
      <c r="R511" s="734"/>
      <c r="S511" s="734"/>
      <c r="T511" s="734"/>
      <c r="U511" s="734"/>
      <c r="V511" s="734"/>
      <c r="W511" s="734"/>
      <c r="X511" s="735"/>
      <c r="Y511" s="811"/>
      <c r="Z511" s="811"/>
      <c r="AA511" s="734"/>
      <c r="AB511" s="811"/>
      <c r="AC511" s="740"/>
      <c r="AD511" s="734"/>
      <c r="AE511" s="734"/>
      <c r="AF511" s="734"/>
      <c r="AG511" s="734"/>
      <c r="AH511" s="734"/>
      <c r="AI511" s="734"/>
      <c r="AJ511" s="879"/>
      <c r="AK511" s="734"/>
      <c r="AL511" s="734"/>
      <c r="AM511" s="734"/>
      <c r="AN511" s="734"/>
      <c r="AO511" s="734"/>
      <c r="AP511" s="52"/>
      <c r="AQ511" s="52"/>
      <c r="AR511" s="52"/>
      <c r="AS511" s="52"/>
      <c r="AT511" s="52"/>
      <c r="AU511" s="52"/>
      <c r="AV511" s="52"/>
      <c r="AW511" s="52"/>
      <c r="AX511" s="52"/>
      <c r="AY511" s="52"/>
      <c r="AZ511" s="734"/>
      <c r="BA511" s="740"/>
      <c r="BB511" s="734"/>
      <c r="BC511" s="740"/>
      <c r="BD511" s="734"/>
      <c r="BE511" s="52"/>
      <c r="BF511" s="52"/>
      <c r="BG511" s="734"/>
      <c r="BH511" s="734"/>
      <c r="BI511" s="734"/>
      <c r="BJ511" s="734"/>
    </row>
    <row r="512">
      <c r="B512" s="740"/>
      <c r="C512" s="869"/>
      <c r="D512" s="734"/>
      <c r="E512" s="734"/>
      <c r="F512" s="740"/>
      <c r="G512" s="734"/>
      <c r="H512" s="734"/>
      <c r="I512" s="777"/>
      <c r="J512" s="740"/>
      <c r="K512" s="734"/>
      <c r="L512" s="734"/>
      <c r="M512" s="734"/>
      <c r="N512" s="734"/>
      <c r="O512" s="734"/>
      <c r="P512" s="734"/>
      <c r="Q512" s="734"/>
      <c r="R512" s="734"/>
      <c r="S512" s="734"/>
      <c r="T512" s="734"/>
      <c r="U512" s="734"/>
      <c r="V512" s="734"/>
      <c r="W512" s="734"/>
      <c r="X512" s="735"/>
      <c r="Y512" s="811"/>
      <c r="Z512" s="811"/>
      <c r="AA512" s="734"/>
      <c r="AB512" s="811"/>
      <c r="AC512" s="740"/>
      <c r="AD512" s="734"/>
      <c r="AE512" s="734"/>
      <c r="AF512" s="734"/>
      <c r="AG512" s="734"/>
      <c r="AH512" s="734"/>
      <c r="AI512" s="734"/>
      <c r="AJ512" s="879"/>
      <c r="AK512" s="734"/>
      <c r="AL512" s="734"/>
      <c r="AM512" s="734"/>
      <c r="AN512" s="734"/>
      <c r="AO512" s="734"/>
      <c r="AP512" s="52"/>
      <c r="AQ512" s="52"/>
      <c r="AR512" s="52"/>
      <c r="AS512" s="52"/>
      <c r="AT512" s="52"/>
      <c r="AU512" s="52"/>
      <c r="AV512" s="52"/>
      <c r="AW512" s="52"/>
      <c r="AX512" s="52"/>
      <c r="AY512" s="52"/>
      <c r="AZ512" s="734"/>
      <c r="BA512" s="740"/>
      <c r="BB512" s="734"/>
      <c r="BC512" s="740"/>
      <c r="BD512" s="734"/>
      <c r="BE512" s="52"/>
      <c r="BF512" s="52"/>
      <c r="BG512" s="734"/>
      <c r="BH512" s="734"/>
      <c r="BI512" s="734"/>
      <c r="BJ512" s="734"/>
    </row>
    <row r="513">
      <c r="B513" s="740"/>
      <c r="C513" s="869"/>
      <c r="D513" s="734"/>
      <c r="E513" s="734"/>
      <c r="F513" s="740"/>
      <c r="G513" s="734"/>
      <c r="H513" s="734"/>
      <c r="I513" s="777"/>
      <c r="J513" s="740"/>
      <c r="K513" s="734"/>
      <c r="L513" s="734"/>
      <c r="M513" s="734"/>
      <c r="N513" s="734"/>
      <c r="O513" s="734"/>
      <c r="P513" s="734"/>
      <c r="Q513" s="734"/>
      <c r="R513" s="734"/>
      <c r="S513" s="734"/>
      <c r="T513" s="734"/>
      <c r="U513" s="734"/>
      <c r="V513" s="734"/>
      <c r="W513" s="734"/>
      <c r="X513" s="735"/>
      <c r="Y513" s="811"/>
      <c r="Z513" s="811"/>
      <c r="AA513" s="734"/>
      <c r="AB513" s="811"/>
      <c r="AC513" s="740"/>
      <c r="AD513" s="734"/>
      <c r="AE513" s="734"/>
      <c r="AF513" s="734"/>
      <c r="AG513" s="734"/>
      <c r="AH513" s="734"/>
      <c r="AI513" s="734"/>
      <c r="AJ513" s="879"/>
      <c r="AK513" s="734"/>
      <c r="AL513" s="734"/>
      <c r="AM513" s="734"/>
      <c r="AN513" s="734"/>
      <c r="AO513" s="734"/>
      <c r="AP513" s="52"/>
      <c r="AQ513" s="52"/>
      <c r="AR513" s="52"/>
      <c r="AS513" s="52"/>
      <c r="AT513" s="52"/>
      <c r="AU513" s="52"/>
      <c r="AV513" s="52"/>
      <c r="AW513" s="52"/>
      <c r="AX513" s="52"/>
      <c r="AY513" s="52"/>
      <c r="AZ513" s="734"/>
      <c r="BA513" s="740"/>
      <c r="BB513" s="734"/>
      <c r="BC513" s="740"/>
      <c r="BD513" s="734"/>
      <c r="BE513" s="52"/>
      <c r="BF513" s="52"/>
      <c r="BG513" s="734"/>
      <c r="BH513" s="734"/>
      <c r="BI513" s="734"/>
      <c r="BJ513" s="734"/>
    </row>
    <row r="514">
      <c r="B514" s="740"/>
      <c r="C514" s="869"/>
      <c r="D514" s="734"/>
      <c r="E514" s="734"/>
      <c r="F514" s="740"/>
      <c r="G514" s="734"/>
      <c r="H514" s="734"/>
      <c r="I514" s="777"/>
      <c r="J514" s="740"/>
      <c r="K514" s="734"/>
      <c r="L514" s="734"/>
      <c r="M514" s="734"/>
      <c r="N514" s="734"/>
      <c r="O514" s="734"/>
      <c r="P514" s="734"/>
      <c r="Q514" s="734"/>
      <c r="R514" s="734"/>
      <c r="S514" s="734"/>
      <c r="T514" s="734"/>
      <c r="U514" s="734"/>
      <c r="V514" s="734"/>
      <c r="W514" s="734"/>
      <c r="X514" s="735"/>
      <c r="Y514" s="811"/>
      <c r="Z514" s="811"/>
      <c r="AA514" s="734"/>
      <c r="AB514" s="811"/>
      <c r="AC514" s="740"/>
      <c r="AD514" s="734"/>
      <c r="AE514" s="734"/>
      <c r="AF514" s="734"/>
      <c r="AG514" s="734"/>
      <c r="AH514" s="734"/>
      <c r="AI514" s="734"/>
      <c r="AJ514" s="879"/>
      <c r="AK514" s="734"/>
      <c r="AL514" s="734"/>
      <c r="AM514" s="734"/>
      <c r="AN514" s="734"/>
      <c r="AO514" s="734"/>
      <c r="AP514" s="52"/>
      <c r="AQ514" s="52"/>
      <c r="AR514" s="52"/>
      <c r="AS514" s="52"/>
      <c r="AT514" s="52"/>
      <c r="AU514" s="52"/>
      <c r="AV514" s="52"/>
      <c r="AW514" s="52"/>
      <c r="AX514" s="52"/>
      <c r="AY514" s="52"/>
      <c r="AZ514" s="734"/>
      <c r="BA514" s="740"/>
      <c r="BB514" s="734"/>
      <c r="BC514" s="740"/>
      <c r="BD514" s="734"/>
      <c r="BE514" s="52"/>
      <c r="BF514" s="52"/>
      <c r="BG514" s="734"/>
      <c r="BH514" s="734"/>
      <c r="BI514" s="734"/>
      <c r="BJ514" s="734"/>
    </row>
    <row r="515">
      <c r="B515" s="740"/>
      <c r="C515" s="869"/>
      <c r="D515" s="734"/>
      <c r="E515" s="734"/>
      <c r="F515" s="740"/>
      <c r="G515" s="734"/>
      <c r="H515" s="734"/>
      <c r="I515" s="777"/>
      <c r="J515" s="740"/>
      <c r="K515" s="734"/>
      <c r="L515" s="734"/>
      <c r="M515" s="734"/>
      <c r="N515" s="734"/>
      <c r="O515" s="734"/>
      <c r="P515" s="734"/>
      <c r="Q515" s="734"/>
      <c r="R515" s="734"/>
      <c r="S515" s="734"/>
      <c r="T515" s="734"/>
      <c r="U515" s="734"/>
      <c r="V515" s="734"/>
      <c r="W515" s="734"/>
      <c r="X515" s="735"/>
      <c r="Y515" s="811"/>
      <c r="Z515" s="811"/>
      <c r="AA515" s="734"/>
      <c r="AB515" s="811"/>
      <c r="AC515" s="740"/>
      <c r="AD515" s="734"/>
      <c r="AE515" s="734"/>
      <c r="AF515" s="734"/>
      <c r="AG515" s="734"/>
      <c r="AH515" s="734"/>
      <c r="AI515" s="734"/>
      <c r="AJ515" s="879"/>
      <c r="AK515" s="734"/>
      <c r="AL515" s="734"/>
      <c r="AM515" s="734"/>
      <c r="AN515" s="734"/>
      <c r="AO515" s="734"/>
      <c r="AP515" s="52"/>
      <c r="AQ515" s="52"/>
      <c r="AR515" s="52"/>
      <c r="AS515" s="52"/>
      <c r="AT515" s="52"/>
      <c r="AU515" s="52"/>
      <c r="AV515" s="52"/>
      <c r="AW515" s="52"/>
      <c r="AX515" s="52"/>
      <c r="AY515" s="52"/>
      <c r="AZ515" s="734"/>
      <c r="BA515" s="740"/>
      <c r="BB515" s="734"/>
      <c r="BC515" s="740"/>
      <c r="BD515" s="734"/>
      <c r="BE515" s="52"/>
      <c r="BF515" s="52"/>
      <c r="BG515" s="734"/>
      <c r="BH515" s="734"/>
      <c r="BI515" s="734"/>
      <c r="BJ515" s="734"/>
    </row>
    <row r="516">
      <c r="B516" s="740"/>
      <c r="C516" s="869"/>
      <c r="D516" s="734"/>
      <c r="E516" s="734"/>
      <c r="F516" s="740"/>
      <c r="G516" s="734"/>
      <c r="H516" s="734"/>
      <c r="I516" s="777"/>
      <c r="J516" s="740"/>
      <c r="K516" s="734"/>
      <c r="L516" s="734"/>
      <c r="M516" s="734"/>
      <c r="N516" s="734"/>
      <c r="O516" s="734"/>
      <c r="P516" s="734"/>
      <c r="Q516" s="734"/>
      <c r="R516" s="734"/>
      <c r="S516" s="734"/>
      <c r="T516" s="734"/>
      <c r="U516" s="734"/>
      <c r="V516" s="734"/>
      <c r="W516" s="734"/>
      <c r="X516" s="735"/>
      <c r="Y516" s="811"/>
      <c r="Z516" s="811"/>
      <c r="AA516" s="734"/>
      <c r="AB516" s="811"/>
      <c r="AC516" s="740"/>
      <c r="AD516" s="734"/>
      <c r="AE516" s="734"/>
      <c r="AF516" s="734"/>
      <c r="AG516" s="734"/>
      <c r="AH516" s="734"/>
      <c r="AI516" s="734"/>
      <c r="AJ516" s="879"/>
      <c r="AK516" s="734"/>
      <c r="AL516" s="734"/>
      <c r="AM516" s="734"/>
      <c r="AN516" s="734"/>
      <c r="AO516" s="734"/>
      <c r="AP516" s="52"/>
      <c r="AQ516" s="52"/>
      <c r="AR516" s="52"/>
      <c r="AS516" s="52"/>
      <c r="AT516" s="52"/>
      <c r="AU516" s="52"/>
      <c r="AV516" s="52"/>
      <c r="AW516" s="52"/>
      <c r="AX516" s="52"/>
      <c r="AY516" s="52"/>
      <c r="AZ516" s="734"/>
      <c r="BA516" s="740"/>
      <c r="BB516" s="734"/>
      <c r="BC516" s="740"/>
      <c r="BD516" s="734"/>
      <c r="BE516" s="52"/>
      <c r="BF516" s="52"/>
      <c r="BG516" s="734"/>
      <c r="BH516" s="734"/>
      <c r="BI516" s="734"/>
      <c r="BJ516" s="734"/>
    </row>
    <row r="517">
      <c r="B517" s="740"/>
      <c r="C517" s="869"/>
      <c r="D517" s="734"/>
      <c r="E517" s="734"/>
      <c r="F517" s="740"/>
      <c r="G517" s="734"/>
      <c r="H517" s="734"/>
      <c r="I517" s="777"/>
      <c r="J517" s="740"/>
      <c r="K517" s="734"/>
      <c r="L517" s="734"/>
      <c r="M517" s="734"/>
      <c r="N517" s="734"/>
      <c r="O517" s="734"/>
      <c r="P517" s="734"/>
      <c r="Q517" s="734"/>
      <c r="R517" s="734"/>
      <c r="S517" s="734"/>
      <c r="T517" s="734"/>
      <c r="U517" s="734"/>
      <c r="V517" s="734"/>
      <c r="W517" s="734"/>
      <c r="X517" s="735"/>
      <c r="Y517" s="811"/>
      <c r="Z517" s="811"/>
      <c r="AA517" s="734"/>
      <c r="AB517" s="811"/>
      <c r="AC517" s="740"/>
      <c r="AD517" s="734"/>
      <c r="AE517" s="734"/>
      <c r="AF517" s="734"/>
      <c r="AG517" s="734"/>
      <c r="AH517" s="734"/>
      <c r="AI517" s="734"/>
      <c r="AJ517" s="879"/>
      <c r="AK517" s="734"/>
      <c r="AL517" s="734"/>
      <c r="AM517" s="734"/>
      <c r="AN517" s="734"/>
      <c r="AO517" s="734"/>
      <c r="AP517" s="52"/>
      <c r="AQ517" s="52"/>
      <c r="AR517" s="52"/>
      <c r="AS517" s="52"/>
      <c r="AT517" s="52"/>
      <c r="AU517" s="52"/>
      <c r="AV517" s="52"/>
      <c r="AW517" s="52"/>
      <c r="AX517" s="52"/>
      <c r="AY517" s="52"/>
      <c r="AZ517" s="734"/>
      <c r="BA517" s="740"/>
      <c r="BB517" s="734"/>
      <c r="BC517" s="740"/>
      <c r="BD517" s="734"/>
      <c r="BE517" s="52"/>
      <c r="BF517" s="52"/>
      <c r="BG517" s="734"/>
      <c r="BH517" s="734"/>
      <c r="BI517" s="734"/>
      <c r="BJ517" s="734"/>
    </row>
    <row r="518">
      <c r="B518" s="740"/>
      <c r="C518" s="869"/>
      <c r="D518" s="734"/>
      <c r="E518" s="734"/>
      <c r="F518" s="740"/>
      <c r="G518" s="734"/>
      <c r="H518" s="734"/>
      <c r="I518" s="777"/>
      <c r="J518" s="740"/>
      <c r="K518" s="734"/>
      <c r="L518" s="734"/>
      <c r="M518" s="734"/>
      <c r="N518" s="734"/>
      <c r="O518" s="734"/>
      <c r="P518" s="734"/>
      <c r="Q518" s="734"/>
      <c r="R518" s="734"/>
      <c r="S518" s="734"/>
      <c r="T518" s="734"/>
      <c r="U518" s="734"/>
      <c r="V518" s="734"/>
      <c r="W518" s="734"/>
      <c r="X518" s="735"/>
      <c r="Y518" s="811"/>
      <c r="Z518" s="811"/>
      <c r="AA518" s="734"/>
      <c r="AB518" s="811"/>
      <c r="AC518" s="740"/>
      <c r="AD518" s="734"/>
      <c r="AE518" s="734"/>
      <c r="AF518" s="734"/>
      <c r="AG518" s="734"/>
      <c r="AH518" s="734"/>
      <c r="AI518" s="734"/>
      <c r="AJ518" s="879"/>
      <c r="AK518" s="734"/>
      <c r="AL518" s="734"/>
      <c r="AM518" s="734"/>
      <c r="AN518" s="734"/>
      <c r="AO518" s="734"/>
      <c r="AP518" s="52"/>
      <c r="AQ518" s="52"/>
      <c r="AR518" s="52"/>
      <c r="AS518" s="52"/>
      <c r="AT518" s="52"/>
      <c r="AU518" s="52"/>
      <c r="AV518" s="52"/>
      <c r="AW518" s="52"/>
      <c r="AX518" s="52"/>
      <c r="AY518" s="52"/>
      <c r="AZ518" s="734"/>
      <c r="BA518" s="740"/>
      <c r="BB518" s="734"/>
      <c r="BC518" s="740"/>
      <c r="BD518" s="734"/>
      <c r="BE518" s="52"/>
      <c r="BF518" s="52"/>
      <c r="BG518" s="734"/>
      <c r="BH518" s="734"/>
      <c r="BI518" s="734"/>
      <c r="BJ518" s="734"/>
    </row>
    <row r="519">
      <c r="B519" s="740"/>
      <c r="C519" s="869"/>
      <c r="D519" s="734"/>
      <c r="E519" s="734"/>
      <c r="F519" s="740"/>
      <c r="G519" s="734"/>
      <c r="H519" s="734"/>
      <c r="I519" s="777"/>
      <c r="J519" s="740"/>
      <c r="K519" s="734"/>
      <c r="L519" s="734"/>
      <c r="M519" s="734"/>
      <c r="N519" s="734"/>
      <c r="O519" s="734"/>
      <c r="P519" s="734"/>
      <c r="Q519" s="734"/>
      <c r="R519" s="734"/>
      <c r="S519" s="734"/>
      <c r="T519" s="734"/>
      <c r="U519" s="734"/>
      <c r="V519" s="734"/>
      <c r="W519" s="734"/>
      <c r="X519" s="735"/>
      <c r="Y519" s="811"/>
      <c r="Z519" s="811"/>
      <c r="AA519" s="734"/>
      <c r="AB519" s="811"/>
      <c r="AC519" s="740"/>
      <c r="AD519" s="734"/>
      <c r="AE519" s="734"/>
      <c r="AF519" s="734"/>
      <c r="AG519" s="734"/>
      <c r="AH519" s="734"/>
      <c r="AI519" s="734"/>
      <c r="AJ519" s="879"/>
      <c r="AK519" s="734"/>
      <c r="AL519" s="734"/>
      <c r="AM519" s="734"/>
      <c r="AN519" s="734"/>
      <c r="AO519" s="734"/>
      <c r="AP519" s="52"/>
      <c r="AQ519" s="52"/>
      <c r="AR519" s="52"/>
      <c r="AS519" s="52"/>
      <c r="AT519" s="52"/>
      <c r="AU519" s="52"/>
      <c r="AV519" s="52"/>
      <c r="AW519" s="52"/>
      <c r="AX519" s="52"/>
      <c r="AY519" s="52"/>
      <c r="AZ519" s="734"/>
      <c r="BA519" s="740"/>
      <c r="BB519" s="734"/>
      <c r="BC519" s="740"/>
      <c r="BD519" s="734"/>
      <c r="BE519" s="52"/>
      <c r="BF519" s="52"/>
      <c r="BG519" s="734"/>
      <c r="BH519" s="734"/>
      <c r="BI519" s="734"/>
      <c r="BJ519" s="734"/>
    </row>
    <row r="520">
      <c r="B520" s="740"/>
      <c r="C520" s="869"/>
      <c r="D520" s="734"/>
      <c r="E520" s="734"/>
      <c r="F520" s="740"/>
      <c r="G520" s="734"/>
      <c r="H520" s="734"/>
      <c r="I520" s="777"/>
      <c r="J520" s="740"/>
      <c r="K520" s="734"/>
      <c r="L520" s="734"/>
      <c r="M520" s="734"/>
      <c r="N520" s="734"/>
      <c r="O520" s="734"/>
      <c r="P520" s="734"/>
      <c r="Q520" s="734"/>
      <c r="R520" s="734"/>
      <c r="S520" s="734"/>
      <c r="T520" s="734"/>
      <c r="U520" s="734"/>
      <c r="V520" s="734"/>
      <c r="W520" s="734"/>
      <c r="X520" s="735"/>
      <c r="Y520" s="811"/>
      <c r="Z520" s="811"/>
      <c r="AA520" s="734"/>
      <c r="AB520" s="811"/>
      <c r="AC520" s="740"/>
      <c r="AD520" s="734"/>
      <c r="AE520" s="734"/>
      <c r="AF520" s="734"/>
      <c r="AG520" s="734"/>
      <c r="AH520" s="734"/>
      <c r="AI520" s="734"/>
      <c r="AJ520" s="879"/>
      <c r="AK520" s="734"/>
      <c r="AL520" s="734"/>
      <c r="AM520" s="734"/>
      <c r="AN520" s="734"/>
      <c r="AO520" s="734"/>
      <c r="AP520" s="52"/>
      <c r="AQ520" s="52"/>
      <c r="AR520" s="52"/>
      <c r="AS520" s="52"/>
      <c r="AT520" s="52"/>
      <c r="AU520" s="52"/>
      <c r="AV520" s="52"/>
      <c r="AW520" s="52"/>
      <c r="AX520" s="52"/>
      <c r="AY520" s="52"/>
      <c r="AZ520" s="734"/>
      <c r="BA520" s="740"/>
      <c r="BB520" s="734"/>
      <c r="BC520" s="740"/>
      <c r="BD520" s="734"/>
      <c r="BE520" s="52"/>
      <c r="BF520" s="52"/>
      <c r="BG520" s="734"/>
      <c r="BH520" s="734"/>
      <c r="BI520" s="734"/>
      <c r="BJ520" s="734"/>
    </row>
    <row r="521">
      <c r="B521" s="740"/>
      <c r="C521" s="869"/>
      <c r="D521" s="734"/>
      <c r="E521" s="734"/>
      <c r="F521" s="740"/>
      <c r="G521" s="734"/>
      <c r="H521" s="734"/>
      <c r="I521" s="777"/>
      <c r="J521" s="740"/>
      <c r="K521" s="734"/>
      <c r="L521" s="734"/>
      <c r="M521" s="734"/>
      <c r="N521" s="734"/>
      <c r="O521" s="734"/>
      <c r="P521" s="734"/>
      <c r="Q521" s="734"/>
      <c r="R521" s="734"/>
      <c r="S521" s="734"/>
      <c r="T521" s="734"/>
      <c r="U521" s="734"/>
      <c r="V521" s="734"/>
      <c r="W521" s="734"/>
      <c r="X521" s="735"/>
      <c r="Y521" s="811"/>
      <c r="Z521" s="811"/>
      <c r="AA521" s="734"/>
      <c r="AB521" s="811"/>
      <c r="AC521" s="740"/>
      <c r="AD521" s="734"/>
      <c r="AE521" s="734"/>
      <c r="AF521" s="734"/>
      <c r="AG521" s="734"/>
      <c r="AH521" s="734"/>
      <c r="AI521" s="734"/>
      <c r="AJ521" s="879"/>
      <c r="AK521" s="734"/>
      <c r="AL521" s="734"/>
      <c r="AM521" s="734"/>
      <c r="AN521" s="734"/>
      <c r="AO521" s="734"/>
      <c r="AP521" s="52"/>
      <c r="AQ521" s="52"/>
      <c r="AR521" s="52"/>
      <c r="AS521" s="52"/>
      <c r="AT521" s="52"/>
      <c r="AU521" s="52"/>
      <c r="AV521" s="52"/>
      <c r="AW521" s="52"/>
      <c r="AX521" s="52"/>
      <c r="AY521" s="52"/>
      <c r="AZ521" s="734"/>
      <c r="BA521" s="740"/>
      <c r="BB521" s="734"/>
      <c r="BC521" s="740"/>
      <c r="BD521" s="734"/>
      <c r="BE521" s="52"/>
      <c r="BF521" s="52"/>
      <c r="BG521" s="734"/>
      <c r="BH521" s="734"/>
      <c r="BI521" s="734"/>
      <c r="BJ521" s="734"/>
    </row>
    <row r="522">
      <c r="B522" s="740"/>
      <c r="C522" s="869"/>
      <c r="D522" s="734"/>
      <c r="E522" s="734"/>
      <c r="F522" s="740"/>
      <c r="G522" s="734"/>
      <c r="H522" s="734"/>
      <c r="I522" s="777"/>
      <c r="J522" s="740"/>
      <c r="K522" s="734"/>
      <c r="L522" s="734"/>
      <c r="M522" s="734"/>
      <c r="N522" s="734"/>
      <c r="O522" s="734"/>
      <c r="P522" s="734"/>
      <c r="Q522" s="734"/>
      <c r="R522" s="734"/>
      <c r="S522" s="734"/>
      <c r="T522" s="734"/>
      <c r="U522" s="734"/>
      <c r="V522" s="734"/>
      <c r="W522" s="734"/>
      <c r="X522" s="735"/>
      <c r="Y522" s="811"/>
      <c r="Z522" s="811"/>
      <c r="AA522" s="734"/>
      <c r="AB522" s="811"/>
      <c r="AC522" s="740"/>
      <c r="AD522" s="734"/>
      <c r="AE522" s="734"/>
      <c r="AF522" s="734"/>
      <c r="AG522" s="734"/>
      <c r="AH522" s="734"/>
      <c r="AI522" s="734"/>
      <c r="AJ522" s="879"/>
      <c r="AK522" s="734"/>
      <c r="AL522" s="734"/>
      <c r="AM522" s="734"/>
      <c r="AN522" s="734"/>
      <c r="AO522" s="734"/>
      <c r="AP522" s="52"/>
      <c r="AQ522" s="52"/>
      <c r="AR522" s="52"/>
      <c r="AS522" s="52"/>
      <c r="AT522" s="52"/>
      <c r="AU522" s="52"/>
      <c r="AV522" s="52"/>
      <c r="AW522" s="52"/>
      <c r="AX522" s="52"/>
      <c r="AY522" s="52"/>
      <c r="AZ522" s="734"/>
      <c r="BA522" s="740"/>
      <c r="BB522" s="734"/>
      <c r="BC522" s="740"/>
      <c r="BD522" s="734"/>
      <c r="BE522" s="52"/>
      <c r="BF522" s="52"/>
      <c r="BG522" s="734"/>
      <c r="BH522" s="734"/>
      <c r="BI522" s="734"/>
      <c r="BJ522" s="734"/>
    </row>
    <row r="523">
      <c r="B523" s="740"/>
      <c r="C523" s="869"/>
      <c r="D523" s="734"/>
      <c r="E523" s="734"/>
      <c r="F523" s="740"/>
      <c r="G523" s="734"/>
      <c r="H523" s="734"/>
      <c r="I523" s="777"/>
      <c r="J523" s="740"/>
      <c r="K523" s="734"/>
      <c r="L523" s="734"/>
      <c r="M523" s="734"/>
      <c r="N523" s="734"/>
      <c r="O523" s="734"/>
      <c r="P523" s="734"/>
      <c r="Q523" s="734"/>
      <c r="R523" s="734"/>
      <c r="S523" s="734"/>
      <c r="T523" s="734"/>
      <c r="U523" s="734"/>
      <c r="V523" s="734"/>
      <c r="W523" s="734"/>
      <c r="X523" s="735"/>
      <c r="Y523" s="811"/>
      <c r="Z523" s="811"/>
      <c r="AA523" s="734"/>
      <c r="AB523" s="811"/>
      <c r="AC523" s="740"/>
      <c r="AD523" s="734"/>
      <c r="AE523" s="734"/>
      <c r="AF523" s="734"/>
      <c r="AG523" s="734"/>
      <c r="AH523" s="734"/>
      <c r="AI523" s="734"/>
      <c r="AJ523" s="879"/>
      <c r="AK523" s="734"/>
      <c r="AL523" s="734"/>
      <c r="AM523" s="734"/>
      <c r="AN523" s="734"/>
      <c r="AO523" s="734"/>
      <c r="AP523" s="52"/>
      <c r="AQ523" s="52"/>
      <c r="AR523" s="52"/>
      <c r="AS523" s="52"/>
      <c r="AT523" s="52"/>
      <c r="AU523" s="52"/>
      <c r="AV523" s="52"/>
      <c r="AW523" s="52"/>
      <c r="AX523" s="52"/>
      <c r="AY523" s="52"/>
      <c r="AZ523" s="734"/>
      <c r="BA523" s="740"/>
      <c r="BB523" s="734"/>
      <c r="BC523" s="740"/>
      <c r="BD523" s="734"/>
      <c r="BE523" s="52"/>
      <c r="BF523" s="52"/>
      <c r="BG523" s="734"/>
      <c r="BH523" s="734"/>
      <c r="BI523" s="734"/>
      <c r="BJ523" s="734"/>
    </row>
    <row r="524">
      <c r="B524" s="740"/>
      <c r="C524" s="869"/>
      <c r="D524" s="734"/>
      <c r="E524" s="734"/>
      <c r="F524" s="740"/>
      <c r="G524" s="734"/>
      <c r="H524" s="734"/>
      <c r="I524" s="777"/>
      <c r="J524" s="740"/>
      <c r="K524" s="734"/>
      <c r="L524" s="734"/>
      <c r="M524" s="734"/>
      <c r="N524" s="734"/>
      <c r="O524" s="734"/>
      <c r="P524" s="734"/>
      <c r="Q524" s="734"/>
      <c r="R524" s="734"/>
      <c r="S524" s="734"/>
      <c r="T524" s="734"/>
      <c r="U524" s="734"/>
      <c r="V524" s="734"/>
      <c r="W524" s="734"/>
      <c r="X524" s="735"/>
      <c r="Y524" s="811"/>
      <c r="Z524" s="811"/>
      <c r="AA524" s="734"/>
      <c r="AB524" s="811"/>
      <c r="AC524" s="740"/>
      <c r="AD524" s="734"/>
      <c r="AE524" s="734"/>
      <c r="AF524" s="734"/>
      <c r="AG524" s="734"/>
      <c r="AH524" s="734"/>
      <c r="AI524" s="734"/>
      <c r="AJ524" s="879"/>
      <c r="AK524" s="734"/>
      <c r="AL524" s="734"/>
      <c r="AM524" s="734"/>
      <c r="AN524" s="734"/>
      <c r="AO524" s="734"/>
      <c r="AP524" s="52"/>
      <c r="AQ524" s="52"/>
      <c r="AR524" s="52"/>
      <c r="AS524" s="52"/>
      <c r="AT524" s="52"/>
      <c r="AU524" s="52"/>
      <c r="AV524" s="52"/>
      <c r="AW524" s="52"/>
      <c r="AX524" s="52"/>
      <c r="AY524" s="52"/>
      <c r="AZ524" s="734"/>
      <c r="BA524" s="740"/>
      <c r="BB524" s="734"/>
      <c r="BC524" s="740"/>
      <c r="BD524" s="734"/>
      <c r="BE524" s="52"/>
      <c r="BF524" s="52"/>
      <c r="BG524" s="734"/>
      <c r="BH524" s="734"/>
      <c r="BI524" s="734"/>
      <c r="BJ524" s="734"/>
    </row>
    <row r="525">
      <c r="B525" s="740"/>
      <c r="C525" s="869"/>
      <c r="D525" s="734"/>
      <c r="E525" s="734"/>
      <c r="F525" s="740"/>
      <c r="G525" s="734"/>
      <c r="H525" s="734"/>
      <c r="I525" s="777"/>
      <c r="J525" s="740"/>
      <c r="K525" s="734"/>
      <c r="L525" s="734"/>
      <c r="M525" s="734"/>
      <c r="N525" s="734"/>
      <c r="O525" s="734"/>
      <c r="P525" s="734"/>
      <c r="Q525" s="734"/>
      <c r="R525" s="734"/>
      <c r="S525" s="734"/>
      <c r="T525" s="734"/>
      <c r="U525" s="734"/>
      <c r="V525" s="734"/>
      <c r="W525" s="734"/>
      <c r="X525" s="735"/>
      <c r="Y525" s="811"/>
      <c r="Z525" s="811"/>
      <c r="AA525" s="734"/>
      <c r="AB525" s="811"/>
      <c r="AC525" s="740"/>
      <c r="AD525" s="734"/>
      <c r="AE525" s="734"/>
      <c r="AF525" s="734"/>
      <c r="AG525" s="734"/>
      <c r="AH525" s="734"/>
      <c r="AI525" s="734"/>
      <c r="AJ525" s="879"/>
      <c r="AK525" s="734"/>
      <c r="AL525" s="734"/>
      <c r="AM525" s="734"/>
      <c r="AN525" s="734"/>
      <c r="AO525" s="734"/>
      <c r="AP525" s="52"/>
      <c r="AQ525" s="52"/>
      <c r="AR525" s="52"/>
      <c r="AS525" s="52"/>
      <c r="AT525" s="52"/>
      <c r="AU525" s="52"/>
      <c r="AV525" s="52"/>
      <c r="AW525" s="52"/>
      <c r="AX525" s="52"/>
      <c r="AY525" s="52"/>
      <c r="AZ525" s="734"/>
      <c r="BA525" s="740"/>
      <c r="BB525" s="734"/>
      <c r="BC525" s="740"/>
      <c r="BD525" s="734"/>
      <c r="BE525" s="52"/>
      <c r="BF525" s="52"/>
      <c r="BG525" s="734"/>
      <c r="BH525" s="734"/>
      <c r="BI525" s="734"/>
      <c r="BJ525" s="734"/>
    </row>
    <row r="526">
      <c r="B526" s="740"/>
      <c r="C526" s="869"/>
      <c r="D526" s="734"/>
      <c r="E526" s="734"/>
      <c r="F526" s="740"/>
      <c r="G526" s="734"/>
      <c r="H526" s="734"/>
      <c r="I526" s="777"/>
      <c r="J526" s="740"/>
      <c r="K526" s="734"/>
      <c r="L526" s="734"/>
      <c r="M526" s="734"/>
      <c r="N526" s="734"/>
      <c r="O526" s="734"/>
      <c r="P526" s="734"/>
      <c r="Q526" s="734"/>
      <c r="R526" s="734"/>
      <c r="S526" s="734"/>
      <c r="T526" s="734"/>
      <c r="U526" s="734"/>
      <c r="V526" s="734"/>
      <c r="W526" s="734"/>
      <c r="X526" s="735"/>
      <c r="Y526" s="811"/>
      <c r="Z526" s="811"/>
      <c r="AA526" s="734"/>
      <c r="AB526" s="811"/>
      <c r="AC526" s="740"/>
      <c r="AD526" s="734"/>
      <c r="AE526" s="734"/>
      <c r="AF526" s="734"/>
      <c r="AG526" s="734"/>
      <c r="AH526" s="734"/>
      <c r="AI526" s="734"/>
      <c r="AJ526" s="879"/>
      <c r="AK526" s="734"/>
      <c r="AL526" s="734"/>
      <c r="AM526" s="734"/>
      <c r="AN526" s="734"/>
      <c r="AO526" s="734"/>
      <c r="AP526" s="52"/>
      <c r="AQ526" s="52"/>
      <c r="AR526" s="52"/>
      <c r="AS526" s="52"/>
      <c r="AT526" s="52"/>
      <c r="AU526" s="52"/>
      <c r="AV526" s="52"/>
      <c r="AW526" s="52"/>
      <c r="AX526" s="52"/>
      <c r="AY526" s="52"/>
      <c r="AZ526" s="734"/>
      <c r="BA526" s="740"/>
      <c r="BB526" s="734"/>
      <c r="BC526" s="740"/>
      <c r="BD526" s="734"/>
      <c r="BE526" s="52"/>
      <c r="BF526" s="52"/>
      <c r="BG526" s="734"/>
      <c r="BH526" s="734"/>
      <c r="BI526" s="734"/>
      <c r="BJ526" s="734"/>
    </row>
    <row r="527">
      <c r="B527" s="740"/>
      <c r="C527" s="869"/>
      <c r="D527" s="734"/>
      <c r="E527" s="734"/>
      <c r="F527" s="740"/>
      <c r="G527" s="734"/>
      <c r="H527" s="734"/>
      <c r="I527" s="777"/>
      <c r="J527" s="740"/>
      <c r="K527" s="734"/>
      <c r="L527" s="734"/>
      <c r="M527" s="734"/>
      <c r="N527" s="734"/>
      <c r="O527" s="734"/>
      <c r="P527" s="734"/>
      <c r="Q527" s="734"/>
      <c r="R527" s="734"/>
      <c r="S527" s="734"/>
      <c r="T527" s="734"/>
      <c r="U527" s="734"/>
      <c r="V527" s="734"/>
      <c r="W527" s="734"/>
      <c r="X527" s="735"/>
      <c r="Y527" s="811"/>
      <c r="Z527" s="811"/>
      <c r="AA527" s="734"/>
      <c r="AB527" s="811"/>
      <c r="AC527" s="740"/>
      <c r="AD527" s="734"/>
      <c r="AE527" s="734"/>
      <c r="AF527" s="734"/>
      <c r="AG527" s="734"/>
      <c r="AH527" s="734"/>
      <c r="AI527" s="734"/>
      <c r="AJ527" s="879"/>
      <c r="AK527" s="734"/>
      <c r="AL527" s="734"/>
      <c r="AM527" s="734"/>
      <c r="AN527" s="734"/>
      <c r="AO527" s="734"/>
      <c r="AP527" s="52"/>
      <c r="AQ527" s="52"/>
      <c r="AR527" s="52"/>
      <c r="AS527" s="52"/>
      <c r="AT527" s="52"/>
      <c r="AU527" s="52"/>
      <c r="AV527" s="52"/>
      <c r="AW527" s="52"/>
      <c r="AX527" s="52"/>
      <c r="AY527" s="52"/>
      <c r="AZ527" s="734"/>
      <c r="BA527" s="740"/>
      <c r="BB527" s="734"/>
      <c r="BC527" s="740"/>
      <c r="BD527" s="734"/>
      <c r="BE527" s="52"/>
      <c r="BF527" s="52"/>
      <c r="BG527" s="734"/>
      <c r="BH527" s="734"/>
      <c r="BI527" s="734"/>
      <c r="BJ527" s="734"/>
    </row>
    <row r="528">
      <c r="B528" s="740"/>
      <c r="C528" s="869"/>
      <c r="D528" s="734"/>
      <c r="E528" s="734"/>
      <c r="F528" s="740"/>
      <c r="G528" s="734"/>
      <c r="H528" s="734"/>
      <c r="I528" s="777"/>
      <c r="J528" s="740"/>
      <c r="K528" s="734"/>
      <c r="L528" s="734"/>
      <c r="M528" s="734"/>
      <c r="N528" s="734"/>
      <c r="O528" s="734"/>
      <c r="P528" s="734"/>
      <c r="Q528" s="734"/>
      <c r="R528" s="734"/>
      <c r="S528" s="734"/>
      <c r="T528" s="734"/>
      <c r="U528" s="734"/>
      <c r="V528" s="734"/>
      <c r="W528" s="734"/>
      <c r="X528" s="735"/>
      <c r="Y528" s="811"/>
      <c r="Z528" s="811"/>
      <c r="AA528" s="734"/>
      <c r="AB528" s="811"/>
      <c r="AC528" s="740"/>
      <c r="AD528" s="734"/>
      <c r="AE528" s="734"/>
      <c r="AF528" s="734"/>
      <c r="AG528" s="734"/>
      <c r="AH528" s="734"/>
      <c r="AI528" s="734"/>
      <c r="AJ528" s="879"/>
      <c r="AK528" s="734"/>
      <c r="AL528" s="734"/>
      <c r="AM528" s="734"/>
      <c r="AN528" s="734"/>
      <c r="AO528" s="734"/>
      <c r="AP528" s="52"/>
      <c r="AQ528" s="52"/>
      <c r="AR528" s="52"/>
      <c r="AS528" s="52"/>
      <c r="AT528" s="52"/>
      <c r="AU528" s="52"/>
      <c r="AV528" s="52"/>
      <c r="AW528" s="52"/>
      <c r="AX528" s="52"/>
      <c r="AY528" s="52"/>
      <c r="AZ528" s="734"/>
      <c r="BA528" s="740"/>
      <c r="BB528" s="734"/>
      <c r="BC528" s="740"/>
      <c r="BD528" s="734"/>
      <c r="BE528" s="52"/>
      <c r="BF528" s="52"/>
      <c r="BG528" s="734"/>
      <c r="BH528" s="734"/>
      <c r="BI528" s="734"/>
      <c r="BJ528" s="734"/>
    </row>
    <row r="529">
      <c r="B529" s="740"/>
      <c r="C529" s="869"/>
      <c r="D529" s="734"/>
      <c r="E529" s="734"/>
      <c r="F529" s="740"/>
      <c r="G529" s="734"/>
      <c r="H529" s="734"/>
      <c r="I529" s="777"/>
      <c r="J529" s="740"/>
      <c r="K529" s="734"/>
      <c r="L529" s="734"/>
      <c r="M529" s="734"/>
      <c r="N529" s="734"/>
      <c r="O529" s="734"/>
      <c r="P529" s="734"/>
      <c r="Q529" s="734"/>
      <c r="R529" s="734"/>
      <c r="S529" s="734"/>
      <c r="T529" s="734"/>
      <c r="U529" s="734"/>
      <c r="V529" s="734"/>
      <c r="W529" s="734"/>
      <c r="X529" s="735"/>
      <c r="Y529" s="811"/>
      <c r="Z529" s="811"/>
      <c r="AA529" s="734"/>
      <c r="AB529" s="811"/>
      <c r="AC529" s="740"/>
      <c r="AD529" s="734"/>
      <c r="AE529" s="734"/>
      <c r="AF529" s="734"/>
      <c r="AG529" s="734"/>
      <c r="AH529" s="734"/>
      <c r="AI529" s="734"/>
      <c r="AJ529" s="879"/>
      <c r="AK529" s="734"/>
      <c r="AL529" s="734"/>
      <c r="AM529" s="734"/>
      <c r="AN529" s="734"/>
      <c r="AO529" s="734"/>
      <c r="AP529" s="52"/>
      <c r="AQ529" s="52"/>
      <c r="AR529" s="52"/>
      <c r="AS529" s="52"/>
      <c r="AT529" s="52"/>
      <c r="AU529" s="52"/>
      <c r="AV529" s="52"/>
      <c r="AW529" s="52"/>
      <c r="AX529" s="52"/>
      <c r="AY529" s="52"/>
      <c r="AZ529" s="734"/>
      <c r="BA529" s="740"/>
      <c r="BB529" s="734"/>
      <c r="BC529" s="740"/>
      <c r="BD529" s="734"/>
      <c r="BE529" s="52"/>
      <c r="BF529" s="52"/>
      <c r="BG529" s="734"/>
      <c r="BH529" s="734"/>
      <c r="BI529" s="734"/>
      <c r="BJ529" s="734"/>
    </row>
    <row r="530">
      <c r="B530" s="740"/>
      <c r="C530" s="869"/>
      <c r="D530" s="734"/>
      <c r="E530" s="734"/>
      <c r="F530" s="740"/>
      <c r="G530" s="734"/>
      <c r="H530" s="734"/>
      <c r="I530" s="777"/>
      <c r="J530" s="740"/>
      <c r="K530" s="734"/>
      <c r="L530" s="734"/>
      <c r="M530" s="734"/>
      <c r="N530" s="734"/>
      <c r="O530" s="734"/>
      <c r="P530" s="734"/>
      <c r="Q530" s="734"/>
      <c r="R530" s="734"/>
      <c r="S530" s="734"/>
      <c r="T530" s="734"/>
      <c r="U530" s="734"/>
      <c r="V530" s="734"/>
      <c r="W530" s="734"/>
      <c r="X530" s="735"/>
      <c r="Y530" s="811"/>
      <c r="Z530" s="811"/>
      <c r="AA530" s="734"/>
      <c r="AB530" s="811"/>
      <c r="AC530" s="740"/>
      <c r="AD530" s="734"/>
      <c r="AE530" s="734"/>
      <c r="AF530" s="734"/>
      <c r="AG530" s="734"/>
      <c r="AH530" s="734"/>
      <c r="AI530" s="734"/>
      <c r="AJ530" s="879"/>
      <c r="AK530" s="734"/>
      <c r="AL530" s="734"/>
      <c r="AM530" s="734"/>
      <c r="AN530" s="734"/>
      <c r="AO530" s="734"/>
      <c r="AP530" s="52"/>
      <c r="AQ530" s="52"/>
      <c r="AR530" s="52"/>
      <c r="AS530" s="52"/>
      <c r="AT530" s="52"/>
      <c r="AU530" s="52"/>
      <c r="AV530" s="52"/>
      <c r="AW530" s="52"/>
      <c r="AX530" s="52"/>
      <c r="AY530" s="52"/>
      <c r="AZ530" s="734"/>
      <c r="BA530" s="740"/>
      <c r="BB530" s="734"/>
      <c r="BC530" s="740"/>
      <c r="BD530" s="734"/>
      <c r="BE530" s="52"/>
      <c r="BF530" s="52"/>
      <c r="BG530" s="734"/>
      <c r="BH530" s="734"/>
      <c r="BI530" s="734"/>
      <c r="BJ530" s="734"/>
    </row>
    <row r="531">
      <c r="B531" s="740"/>
      <c r="C531" s="869"/>
      <c r="D531" s="734"/>
      <c r="E531" s="734"/>
      <c r="F531" s="740"/>
      <c r="G531" s="734"/>
      <c r="H531" s="734"/>
      <c r="I531" s="777"/>
      <c r="J531" s="740"/>
      <c r="K531" s="734"/>
      <c r="L531" s="734"/>
      <c r="M531" s="734"/>
      <c r="N531" s="734"/>
      <c r="O531" s="734"/>
      <c r="P531" s="734"/>
      <c r="Q531" s="734"/>
      <c r="R531" s="734"/>
      <c r="S531" s="734"/>
      <c r="T531" s="734"/>
      <c r="U531" s="734"/>
      <c r="V531" s="734"/>
      <c r="W531" s="734"/>
      <c r="X531" s="735"/>
      <c r="Y531" s="811"/>
      <c r="Z531" s="811"/>
      <c r="AA531" s="734"/>
      <c r="AB531" s="811"/>
      <c r="AC531" s="740"/>
      <c r="AD531" s="734"/>
      <c r="AE531" s="734"/>
      <c r="AF531" s="734"/>
      <c r="AG531" s="734"/>
      <c r="AH531" s="734"/>
      <c r="AI531" s="734"/>
      <c r="AJ531" s="879"/>
      <c r="AK531" s="734"/>
      <c r="AL531" s="734"/>
      <c r="AM531" s="734"/>
      <c r="AN531" s="734"/>
      <c r="AO531" s="734"/>
      <c r="AP531" s="52"/>
      <c r="AQ531" s="52"/>
      <c r="AR531" s="52"/>
      <c r="AS531" s="52"/>
      <c r="AT531" s="52"/>
      <c r="AU531" s="52"/>
      <c r="AV531" s="52"/>
      <c r="AW531" s="52"/>
      <c r="AX531" s="52"/>
      <c r="AY531" s="52"/>
      <c r="AZ531" s="734"/>
      <c r="BA531" s="740"/>
      <c r="BB531" s="734"/>
      <c r="BC531" s="740"/>
      <c r="BD531" s="734"/>
      <c r="BE531" s="52"/>
      <c r="BF531" s="52"/>
      <c r="BG531" s="734"/>
      <c r="BH531" s="734"/>
      <c r="BI531" s="734"/>
      <c r="BJ531" s="734"/>
    </row>
    <row r="532">
      <c r="B532" s="740"/>
      <c r="C532" s="869"/>
      <c r="D532" s="734"/>
      <c r="E532" s="734"/>
      <c r="F532" s="740"/>
      <c r="G532" s="734"/>
      <c r="H532" s="734"/>
      <c r="I532" s="777"/>
      <c r="J532" s="740"/>
      <c r="K532" s="734"/>
      <c r="L532" s="734"/>
      <c r="M532" s="734"/>
      <c r="N532" s="734"/>
      <c r="O532" s="734"/>
      <c r="P532" s="734"/>
      <c r="Q532" s="734"/>
      <c r="R532" s="734"/>
      <c r="S532" s="734"/>
      <c r="T532" s="734"/>
      <c r="U532" s="734"/>
      <c r="V532" s="734"/>
      <c r="W532" s="734"/>
      <c r="X532" s="735"/>
      <c r="Y532" s="811"/>
      <c r="Z532" s="811"/>
      <c r="AA532" s="734"/>
      <c r="AB532" s="811"/>
      <c r="AC532" s="740"/>
      <c r="AD532" s="734"/>
      <c r="AE532" s="734"/>
      <c r="AF532" s="734"/>
      <c r="AG532" s="734"/>
      <c r="AH532" s="734"/>
      <c r="AI532" s="734"/>
      <c r="AJ532" s="879"/>
      <c r="AK532" s="734"/>
      <c r="AL532" s="734"/>
      <c r="AM532" s="734"/>
      <c r="AN532" s="734"/>
      <c r="AO532" s="734"/>
      <c r="AP532" s="52"/>
      <c r="AQ532" s="52"/>
      <c r="AR532" s="52"/>
      <c r="AS532" s="52"/>
      <c r="AT532" s="52"/>
      <c r="AU532" s="52"/>
      <c r="AV532" s="52"/>
      <c r="AW532" s="52"/>
      <c r="AX532" s="52"/>
      <c r="AY532" s="52"/>
      <c r="AZ532" s="734"/>
      <c r="BA532" s="740"/>
      <c r="BB532" s="734"/>
      <c r="BC532" s="740"/>
      <c r="BD532" s="734"/>
      <c r="BE532" s="52"/>
      <c r="BF532" s="52"/>
      <c r="BG532" s="734"/>
      <c r="BH532" s="734"/>
      <c r="BI532" s="734"/>
      <c r="BJ532" s="734"/>
    </row>
    <row r="533">
      <c r="B533" s="740"/>
      <c r="C533" s="869"/>
      <c r="D533" s="734"/>
      <c r="E533" s="734"/>
      <c r="F533" s="740"/>
      <c r="G533" s="734"/>
      <c r="H533" s="734"/>
      <c r="I533" s="777"/>
      <c r="J533" s="740"/>
      <c r="K533" s="734"/>
      <c r="L533" s="734"/>
      <c r="M533" s="734"/>
      <c r="N533" s="734"/>
      <c r="O533" s="734"/>
      <c r="P533" s="734"/>
      <c r="Q533" s="734"/>
      <c r="R533" s="734"/>
      <c r="S533" s="734"/>
      <c r="T533" s="734"/>
      <c r="U533" s="734"/>
      <c r="V533" s="734"/>
      <c r="W533" s="734"/>
      <c r="X533" s="735"/>
      <c r="Y533" s="811"/>
      <c r="Z533" s="811"/>
      <c r="AA533" s="734"/>
      <c r="AB533" s="811"/>
      <c r="AC533" s="740"/>
      <c r="AD533" s="734"/>
      <c r="AE533" s="734"/>
      <c r="AF533" s="734"/>
      <c r="AG533" s="734"/>
      <c r="AH533" s="734"/>
      <c r="AI533" s="734"/>
      <c r="AJ533" s="879"/>
      <c r="AK533" s="734"/>
      <c r="AL533" s="734"/>
      <c r="AM533" s="734"/>
      <c r="AN533" s="734"/>
      <c r="AO533" s="734"/>
      <c r="AP533" s="52"/>
      <c r="AQ533" s="52"/>
      <c r="AR533" s="52"/>
      <c r="AS533" s="52"/>
      <c r="AT533" s="52"/>
      <c r="AU533" s="52"/>
      <c r="AV533" s="52"/>
      <c r="AW533" s="52"/>
      <c r="AX533" s="52"/>
      <c r="AY533" s="52"/>
      <c r="AZ533" s="734"/>
      <c r="BA533" s="740"/>
      <c r="BB533" s="734"/>
      <c r="BC533" s="740"/>
      <c r="BD533" s="734"/>
      <c r="BE533" s="52"/>
      <c r="BF533" s="52"/>
      <c r="BG533" s="734"/>
      <c r="BH533" s="734"/>
      <c r="BI533" s="734"/>
      <c r="BJ533" s="734"/>
    </row>
    <row r="534">
      <c r="B534" s="740"/>
      <c r="C534" s="869"/>
      <c r="D534" s="734"/>
      <c r="E534" s="734"/>
      <c r="F534" s="740"/>
      <c r="G534" s="734"/>
      <c r="H534" s="734"/>
      <c r="I534" s="777"/>
      <c r="J534" s="740"/>
      <c r="K534" s="734"/>
      <c r="L534" s="734"/>
      <c r="M534" s="734"/>
      <c r="N534" s="734"/>
      <c r="O534" s="734"/>
      <c r="P534" s="734"/>
      <c r="Q534" s="734"/>
      <c r="R534" s="734"/>
      <c r="S534" s="734"/>
      <c r="T534" s="734"/>
      <c r="U534" s="734"/>
      <c r="V534" s="734"/>
      <c r="W534" s="734"/>
      <c r="X534" s="735"/>
      <c r="Y534" s="811"/>
      <c r="Z534" s="811"/>
      <c r="AA534" s="734"/>
      <c r="AB534" s="811"/>
      <c r="AC534" s="740"/>
      <c r="AD534" s="734"/>
      <c r="AE534" s="734"/>
      <c r="AF534" s="734"/>
      <c r="AG534" s="734"/>
      <c r="AH534" s="734"/>
      <c r="AI534" s="734"/>
      <c r="AJ534" s="879"/>
      <c r="AK534" s="734"/>
      <c r="AL534" s="734"/>
      <c r="AM534" s="734"/>
      <c r="AN534" s="734"/>
      <c r="AO534" s="734"/>
      <c r="AP534" s="52"/>
      <c r="AQ534" s="52"/>
      <c r="AR534" s="52"/>
      <c r="AS534" s="52"/>
      <c r="AT534" s="52"/>
      <c r="AU534" s="52"/>
      <c r="AV534" s="52"/>
      <c r="AW534" s="52"/>
      <c r="AX534" s="52"/>
      <c r="AY534" s="52"/>
      <c r="AZ534" s="734"/>
      <c r="BA534" s="740"/>
      <c r="BB534" s="734"/>
      <c r="BC534" s="740"/>
      <c r="BD534" s="734"/>
      <c r="BE534" s="52"/>
      <c r="BF534" s="52"/>
      <c r="BG534" s="734"/>
      <c r="BH534" s="734"/>
      <c r="BI534" s="734"/>
      <c r="BJ534" s="734"/>
    </row>
    <row r="535">
      <c r="B535" s="740"/>
      <c r="C535" s="869"/>
      <c r="D535" s="734"/>
      <c r="E535" s="734"/>
      <c r="F535" s="740"/>
      <c r="G535" s="734"/>
      <c r="H535" s="734"/>
      <c r="I535" s="777"/>
      <c r="J535" s="740"/>
      <c r="K535" s="734"/>
      <c r="L535" s="734"/>
      <c r="M535" s="734"/>
      <c r="N535" s="734"/>
      <c r="O535" s="734"/>
      <c r="P535" s="734"/>
      <c r="Q535" s="734"/>
      <c r="R535" s="734"/>
      <c r="S535" s="734"/>
      <c r="T535" s="734"/>
      <c r="U535" s="734"/>
      <c r="V535" s="734"/>
      <c r="W535" s="734"/>
      <c r="X535" s="735"/>
      <c r="Y535" s="811"/>
      <c r="Z535" s="811"/>
      <c r="AA535" s="734"/>
      <c r="AB535" s="811"/>
      <c r="AC535" s="740"/>
      <c r="AD535" s="734"/>
      <c r="AE535" s="734"/>
      <c r="AF535" s="734"/>
      <c r="AG535" s="734"/>
      <c r="AH535" s="734"/>
      <c r="AI535" s="734"/>
      <c r="AJ535" s="879"/>
      <c r="AK535" s="734"/>
      <c r="AL535" s="734"/>
      <c r="AM535" s="734"/>
      <c r="AN535" s="734"/>
      <c r="AO535" s="734"/>
      <c r="AP535" s="52"/>
      <c r="AQ535" s="52"/>
      <c r="AR535" s="52"/>
      <c r="AS535" s="52"/>
      <c r="AT535" s="52"/>
      <c r="AU535" s="52"/>
      <c r="AV535" s="52"/>
      <c r="AW535" s="52"/>
      <c r="AX535" s="52"/>
      <c r="AY535" s="52"/>
      <c r="AZ535" s="734"/>
      <c r="BA535" s="740"/>
      <c r="BB535" s="734"/>
      <c r="BC535" s="740"/>
      <c r="BD535" s="734"/>
      <c r="BE535" s="52"/>
      <c r="BF535" s="52"/>
      <c r="BG535" s="734"/>
      <c r="BH535" s="734"/>
      <c r="BI535" s="734"/>
      <c r="BJ535" s="734"/>
    </row>
    <row r="536">
      <c r="B536" s="740"/>
      <c r="C536" s="869"/>
      <c r="D536" s="734"/>
      <c r="E536" s="734"/>
      <c r="F536" s="740"/>
      <c r="G536" s="734"/>
      <c r="H536" s="734"/>
      <c r="I536" s="777"/>
      <c r="J536" s="740"/>
      <c r="K536" s="734"/>
      <c r="L536" s="734"/>
      <c r="M536" s="734"/>
      <c r="N536" s="734"/>
      <c r="O536" s="734"/>
      <c r="P536" s="734"/>
      <c r="Q536" s="734"/>
      <c r="R536" s="734"/>
      <c r="S536" s="734"/>
      <c r="T536" s="734"/>
      <c r="U536" s="734"/>
      <c r="V536" s="734"/>
      <c r="W536" s="734"/>
      <c r="X536" s="735"/>
      <c r="Y536" s="811"/>
      <c r="Z536" s="811"/>
      <c r="AA536" s="734"/>
      <c r="AB536" s="811"/>
      <c r="AC536" s="740"/>
      <c r="AD536" s="734"/>
      <c r="AE536" s="734"/>
      <c r="AF536" s="734"/>
      <c r="AG536" s="734"/>
      <c r="AH536" s="734"/>
      <c r="AI536" s="734"/>
      <c r="AJ536" s="879"/>
      <c r="AK536" s="734"/>
      <c r="AL536" s="734"/>
      <c r="AM536" s="734"/>
      <c r="AN536" s="734"/>
      <c r="AO536" s="734"/>
      <c r="AP536" s="52"/>
      <c r="AQ536" s="52"/>
      <c r="AR536" s="52"/>
      <c r="AS536" s="52"/>
      <c r="AT536" s="52"/>
      <c r="AU536" s="52"/>
      <c r="AV536" s="52"/>
      <c r="AW536" s="52"/>
      <c r="AX536" s="52"/>
      <c r="AY536" s="52"/>
      <c r="AZ536" s="734"/>
      <c r="BA536" s="740"/>
      <c r="BB536" s="734"/>
      <c r="BC536" s="740"/>
      <c r="BD536" s="734"/>
      <c r="BE536" s="52"/>
      <c r="BF536" s="52"/>
      <c r="BG536" s="734"/>
      <c r="BH536" s="734"/>
      <c r="BI536" s="734"/>
      <c r="BJ536" s="734"/>
    </row>
    <row r="537">
      <c r="B537" s="740"/>
      <c r="C537" s="869"/>
      <c r="D537" s="734"/>
      <c r="E537" s="734"/>
      <c r="F537" s="740"/>
      <c r="G537" s="734"/>
      <c r="H537" s="734"/>
      <c r="I537" s="777"/>
      <c r="J537" s="740"/>
      <c r="K537" s="734"/>
      <c r="L537" s="734"/>
      <c r="M537" s="734"/>
      <c r="N537" s="734"/>
      <c r="O537" s="734"/>
      <c r="P537" s="734"/>
      <c r="Q537" s="734"/>
      <c r="R537" s="734"/>
      <c r="S537" s="734"/>
      <c r="T537" s="734"/>
      <c r="U537" s="734"/>
      <c r="V537" s="734"/>
      <c r="W537" s="734"/>
      <c r="X537" s="735"/>
      <c r="Y537" s="811"/>
      <c r="Z537" s="811"/>
      <c r="AA537" s="734"/>
      <c r="AB537" s="811"/>
      <c r="AC537" s="740"/>
      <c r="AD537" s="734"/>
      <c r="AE537" s="734"/>
      <c r="AF537" s="734"/>
      <c r="AG537" s="734"/>
      <c r="AH537" s="734"/>
      <c r="AI537" s="734"/>
      <c r="AJ537" s="879"/>
      <c r="AK537" s="734"/>
      <c r="AL537" s="734"/>
      <c r="AM537" s="734"/>
      <c r="AN537" s="734"/>
      <c r="AO537" s="734"/>
      <c r="AP537" s="52"/>
      <c r="AQ537" s="52"/>
      <c r="AR537" s="52"/>
      <c r="AS537" s="52"/>
      <c r="AT537" s="52"/>
      <c r="AU537" s="52"/>
      <c r="AV537" s="52"/>
      <c r="AW537" s="52"/>
      <c r="AX537" s="52"/>
      <c r="AY537" s="52"/>
      <c r="AZ537" s="734"/>
      <c r="BA537" s="740"/>
      <c r="BB537" s="734"/>
      <c r="BC537" s="740"/>
      <c r="BD537" s="734"/>
      <c r="BE537" s="52"/>
      <c r="BF537" s="52"/>
      <c r="BG537" s="734"/>
      <c r="BH537" s="734"/>
      <c r="BI537" s="734"/>
      <c r="BJ537" s="734"/>
    </row>
    <row r="538">
      <c r="B538" s="740"/>
      <c r="C538" s="869"/>
      <c r="D538" s="734"/>
      <c r="E538" s="734"/>
      <c r="F538" s="740"/>
      <c r="G538" s="734"/>
      <c r="H538" s="734"/>
      <c r="I538" s="777"/>
      <c r="J538" s="740"/>
      <c r="K538" s="734"/>
      <c r="L538" s="734"/>
      <c r="M538" s="734"/>
      <c r="N538" s="734"/>
      <c r="O538" s="734"/>
      <c r="P538" s="734"/>
      <c r="Q538" s="734"/>
      <c r="R538" s="734"/>
      <c r="S538" s="734"/>
      <c r="T538" s="734"/>
      <c r="U538" s="734"/>
      <c r="V538" s="734"/>
      <c r="W538" s="734"/>
      <c r="X538" s="735"/>
      <c r="Y538" s="811"/>
      <c r="Z538" s="811"/>
      <c r="AA538" s="734"/>
      <c r="AB538" s="811"/>
      <c r="AC538" s="740"/>
      <c r="AD538" s="734"/>
      <c r="AE538" s="734"/>
      <c r="AF538" s="734"/>
      <c r="AG538" s="734"/>
      <c r="AH538" s="734"/>
      <c r="AI538" s="734"/>
      <c r="AJ538" s="879"/>
      <c r="AK538" s="734"/>
      <c r="AL538" s="734"/>
      <c r="AM538" s="734"/>
      <c r="AN538" s="734"/>
      <c r="AO538" s="734"/>
      <c r="AP538" s="52"/>
      <c r="AQ538" s="52"/>
      <c r="AR538" s="52"/>
      <c r="AS538" s="52"/>
      <c r="AT538" s="52"/>
      <c r="AU538" s="52"/>
      <c r="AV538" s="52"/>
      <c r="AW538" s="52"/>
      <c r="AX538" s="52"/>
      <c r="AY538" s="52"/>
      <c r="AZ538" s="734"/>
      <c r="BA538" s="740"/>
      <c r="BB538" s="734"/>
      <c r="BC538" s="740"/>
      <c r="BD538" s="734"/>
      <c r="BE538" s="52"/>
      <c r="BF538" s="52"/>
      <c r="BG538" s="734"/>
      <c r="BH538" s="734"/>
      <c r="BI538" s="734"/>
      <c r="BJ538" s="734"/>
    </row>
    <row r="539">
      <c r="B539" s="740"/>
      <c r="C539" s="869"/>
      <c r="D539" s="734"/>
      <c r="E539" s="734"/>
      <c r="F539" s="740"/>
      <c r="G539" s="734"/>
      <c r="H539" s="734"/>
      <c r="I539" s="777"/>
      <c r="J539" s="740"/>
      <c r="K539" s="734"/>
      <c r="L539" s="734"/>
      <c r="M539" s="734"/>
      <c r="N539" s="734"/>
      <c r="O539" s="734"/>
      <c r="P539" s="734"/>
      <c r="Q539" s="734"/>
      <c r="R539" s="734"/>
      <c r="S539" s="734"/>
      <c r="T539" s="734"/>
      <c r="U539" s="734"/>
      <c r="V539" s="734"/>
      <c r="W539" s="734"/>
      <c r="X539" s="735"/>
      <c r="Y539" s="811"/>
      <c r="Z539" s="811"/>
      <c r="AA539" s="734"/>
      <c r="AB539" s="811"/>
      <c r="AC539" s="740"/>
      <c r="AD539" s="734"/>
      <c r="AE539" s="734"/>
      <c r="AF539" s="734"/>
      <c r="AG539" s="734"/>
      <c r="AH539" s="734"/>
      <c r="AI539" s="734"/>
      <c r="AJ539" s="879"/>
      <c r="AK539" s="734"/>
      <c r="AL539" s="734"/>
      <c r="AM539" s="734"/>
      <c r="AN539" s="734"/>
      <c r="AO539" s="734"/>
      <c r="AP539" s="52"/>
      <c r="AQ539" s="52"/>
      <c r="AR539" s="52"/>
      <c r="AS539" s="52"/>
      <c r="AT539" s="52"/>
      <c r="AU539" s="52"/>
      <c r="AV539" s="52"/>
      <c r="AW539" s="52"/>
      <c r="AX539" s="52"/>
      <c r="AY539" s="52"/>
      <c r="AZ539" s="734"/>
      <c r="BA539" s="740"/>
      <c r="BB539" s="734"/>
      <c r="BC539" s="740"/>
      <c r="BD539" s="734"/>
      <c r="BE539" s="52"/>
      <c r="BF539" s="52"/>
      <c r="BG539" s="734"/>
      <c r="BH539" s="734"/>
      <c r="BI539" s="734"/>
      <c r="BJ539" s="734"/>
    </row>
    <row r="540">
      <c r="B540" s="740"/>
      <c r="C540" s="869"/>
      <c r="D540" s="734"/>
      <c r="E540" s="734"/>
      <c r="F540" s="740"/>
      <c r="G540" s="734"/>
      <c r="H540" s="734"/>
      <c r="I540" s="777"/>
      <c r="J540" s="740"/>
      <c r="K540" s="734"/>
      <c r="L540" s="734"/>
      <c r="M540" s="734"/>
      <c r="N540" s="734"/>
      <c r="O540" s="734"/>
      <c r="P540" s="734"/>
      <c r="Q540" s="734"/>
      <c r="R540" s="734"/>
      <c r="S540" s="734"/>
      <c r="T540" s="734"/>
      <c r="U540" s="734"/>
      <c r="V540" s="734"/>
      <c r="W540" s="734"/>
      <c r="X540" s="735"/>
      <c r="Y540" s="811"/>
      <c r="Z540" s="811"/>
      <c r="AA540" s="734"/>
      <c r="AB540" s="811"/>
      <c r="AC540" s="740"/>
      <c r="AD540" s="734"/>
      <c r="AE540" s="734"/>
      <c r="AF540" s="734"/>
      <c r="AG540" s="734"/>
      <c r="AH540" s="734"/>
      <c r="AI540" s="734"/>
      <c r="AJ540" s="879"/>
      <c r="AK540" s="734"/>
      <c r="AL540" s="734"/>
      <c r="AM540" s="734"/>
      <c r="AN540" s="734"/>
      <c r="AO540" s="734"/>
      <c r="AP540" s="52"/>
      <c r="AQ540" s="52"/>
      <c r="AR540" s="52"/>
      <c r="AS540" s="52"/>
      <c r="AT540" s="52"/>
      <c r="AU540" s="52"/>
      <c r="AV540" s="52"/>
      <c r="AW540" s="52"/>
      <c r="AX540" s="52"/>
      <c r="AY540" s="52"/>
      <c r="AZ540" s="734"/>
      <c r="BA540" s="740"/>
      <c r="BB540" s="734"/>
      <c r="BC540" s="740"/>
      <c r="BD540" s="734"/>
      <c r="BE540" s="52"/>
      <c r="BF540" s="52"/>
      <c r="BG540" s="734"/>
      <c r="BH540" s="734"/>
      <c r="BI540" s="734"/>
      <c r="BJ540" s="734"/>
    </row>
    <row r="541">
      <c r="B541" s="740"/>
      <c r="C541" s="869"/>
      <c r="D541" s="734"/>
      <c r="E541" s="734"/>
      <c r="F541" s="740"/>
      <c r="G541" s="734"/>
      <c r="H541" s="734"/>
      <c r="I541" s="777"/>
      <c r="J541" s="740"/>
      <c r="K541" s="734"/>
      <c r="L541" s="734"/>
      <c r="M541" s="734"/>
      <c r="N541" s="734"/>
      <c r="O541" s="734"/>
      <c r="P541" s="734"/>
      <c r="Q541" s="734"/>
      <c r="R541" s="734"/>
      <c r="S541" s="734"/>
      <c r="T541" s="734"/>
      <c r="U541" s="734"/>
      <c r="V541" s="734"/>
      <c r="W541" s="734"/>
      <c r="X541" s="735"/>
      <c r="Y541" s="811"/>
      <c r="Z541" s="811"/>
      <c r="AA541" s="734"/>
      <c r="AB541" s="811"/>
      <c r="AC541" s="740"/>
      <c r="AD541" s="734"/>
      <c r="AE541" s="734"/>
      <c r="AF541" s="734"/>
      <c r="AG541" s="734"/>
      <c r="AH541" s="734"/>
      <c r="AI541" s="734"/>
      <c r="AJ541" s="879"/>
      <c r="AK541" s="734"/>
      <c r="AL541" s="734"/>
      <c r="AM541" s="734"/>
      <c r="AN541" s="734"/>
      <c r="AO541" s="734"/>
      <c r="AP541" s="52"/>
      <c r="AQ541" s="52"/>
      <c r="AR541" s="52"/>
      <c r="AS541" s="52"/>
      <c r="AT541" s="52"/>
      <c r="AU541" s="52"/>
      <c r="AV541" s="52"/>
      <c r="AW541" s="52"/>
      <c r="AX541" s="52"/>
      <c r="AY541" s="52"/>
      <c r="AZ541" s="734"/>
      <c r="BA541" s="740"/>
      <c r="BB541" s="734"/>
      <c r="BC541" s="740"/>
      <c r="BD541" s="734"/>
      <c r="BE541" s="52"/>
      <c r="BF541" s="52"/>
      <c r="BG541" s="734"/>
      <c r="BH541" s="734"/>
      <c r="BI541" s="734"/>
      <c r="BJ541" s="734"/>
    </row>
    <row r="542">
      <c r="B542" s="740"/>
      <c r="C542" s="869"/>
      <c r="D542" s="734"/>
      <c r="E542" s="734"/>
      <c r="F542" s="740"/>
      <c r="G542" s="734"/>
      <c r="H542" s="734"/>
      <c r="I542" s="777"/>
      <c r="J542" s="740"/>
      <c r="K542" s="734"/>
      <c r="L542" s="734"/>
      <c r="M542" s="734"/>
      <c r="N542" s="734"/>
      <c r="O542" s="734"/>
      <c r="P542" s="734"/>
      <c r="Q542" s="734"/>
      <c r="R542" s="734"/>
      <c r="S542" s="734"/>
      <c r="T542" s="734"/>
      <c r="U542" s="734"/>
      <c r="V542" s="734"/>
      <c r="W542" s="734"/>
      <c r="X542" s="735"/>
      <c r="Y542" s="811"/>
      <c r="Z542" s="811"/>
      <c r="AA542" s="734"/>
      <c r="AB542" s="811"/>
      <c r="AC542" s="740"/>
      <c r="AD542" s="734"/>
      <c r="AE542" s="734"/>
      <c r="AF542" s="734"/>
      <c r="AG542" s="734"/>
      <c r="AH542" s="734"/>
      <c r="AI542" s="734"/>
      <c r="AJ542" s="879"/>
      <c r="AK542" s="734"/>
      <c r="AL542" s="734"/>
      <c r="AM542" s="734"/>
      <c r="AN542" s="734"/>
      <c r="AO542" s="734"/>
      <c r="AP542" s="52"/>
      <c r="AQ542" s="52"/>
      <c r="AR542" s="52"/>
      <c r="AS542" s="52"/>
      <c r="AT542" s="52"/>
      <c r="AU542" s="52"/>
      <c r="AV542" s="52"/>
      <c r="AW542" s="52"/>
      <c r="AX542" s="52"/>
      <c r="AY542" s="52"/>
      <c r="AZ542" s="734"/>
      <c r="BA542" s="740"/>
      <c r="BB542" s="734"/>
      <c r="BC542" s="740"/>
      <c r="BD542" s="734"/>
      <c r="BE542" s="52"/>
      <c r="BF542" s="52"/>
      <c r="BG542" s="734"/>
      <c r="BH542" s="734"/>
      <c r="BI542" s="734"/>
      <c r="BJ542" s="734"/>
    </row>
    <row r="543">
      <c r="B543" s="740"/>
      <c r="C543" s="869"/>
      <c r="D543" s="734"/>
      <c r="E543" s="734"/>
      <c r="F543" s="740"/>
      <c r="G543" s="734"/>
      <c r="H543" s="734"/>
      <c r="I543" s="777"/>
      <c r="J543" s="740"/>
      <c r="K543" s="734"/>
      <c r="L543" s="734"/>
      <c r="M543" s="734"/>
      <c r="N543" s="734"/>
      <c r="O543" s="734"/>
      <c r="P543" s="734"/>
      <c r="Q543" s="734"/>
      <c r="R543" s="734"/>
      <c r="S543" s="734"/>
      <c r="T543" s="734"/>
      <c r="U543" s="734"/>
      <c r="V543" s="734"/>
      <c r="W543" s="734"/>
      <c r="X543" s="735"/>
      <c r="Y543" s="811"/>
      <c r="Z543" s="811"/>
      <c r="AA543" s="734"/>
      <c r="AB543" s="811"/>
      <c r="AC543" s="740"/>
      <c r="AD543" s="734"/>
      <c r="AE543" s="734"/>
      <c r="AF543" s="734"/>
      <c r="AG543" s="734"/>
      <c r="AH543" s="734"/>
      <c r="AI543" s="734"/>
      <c r="AJ543" s="879"/>
      <c r="AK543" s="734"/>
      <c r="AL543" s="734"/>
      <c r="AM543" s="734"/>
      <c r="AN543" s="734"/>
      <c r="AO543" s="734"/>
      <c r="AP543" s="52"/>
      <c r="AQ543" s="52"/>
      <c r="AR543" s="52"/>
      <c r="AS543" s="52"/>
      <c r="AT543" s="52"/>
      <c r="AU543" s="52"/>
      <c r="AV543" s="52"/>
      <c r="AW543" s="52"/>
      <c r="AX543" s="52"/>
      <c r="AY543" s="52"/>
      <c r="AZ543" s="734"/>
      <c r="BA543" s="740"/>
      <c r="BB543" s="734"/>
      <c r="BC543" s="740"/>
      <c r="BD543" s="734"/>
      <c r="BE543" s="52"/>
      <c r="BF543" s="52"/>
      <c r="BG543" s="734"/>
      <c r="BH543" s="734"/>
      <c r="BI543" s="734"/>
      <c r="BJ543" s="734"/>
    </row>
    <row r="544">
      <c r="B544" s="740"/>
      <c r="C544" s="869"/>
      <c r="D544" s="734"/>
      <c r="E544" s="734"/>
      <c r="F544" s="740"/>
      <c r="G544" s="734"/>
      <c r="H544" s="734"/>
      <c r="I544" s="777"/>
      <c r="J544" s="740"/>
      <c r="K544" s="734"/>
      <c r="L544" s="734"/>
      <c r="M544" s="734"/>
      <c r="N544" s="734"/>
      <c r="O544" s="734"/>
      <c r="P544" s="734"/>
      <c r="Q544" s="734"/>
      <c r="R544" s="734"/>
      <c r="S544" s="734"/>
      <c r="T544" s="734"/>
      <c r="U544" s="734"/>
      <c r="V544" s="734"/>
      <c r="W544" s="734"/>
      <c r="X544" s="735"/>
      <c r="Y544" s="811"/>
      <c r="Z544" s="811"/>
      <c r="AA544" s="734"/>
      <c r="AB544" s="811"/>
      <c r="AC544" s="740"/>
      <c r="AD544" s="734"/>
      <c r="AE544" s="734"/>
      <c r="AF544" s="734"/>
      <c r="AG544" s="734"/>
      <c r="AH544" s="734"/>
      <c r="AI544" s="734"/>
      <c r="AJ544" s="879"/>
      <c r="AK544" s="734"/>
      <c r="AL544" s="734"/>
      <c r="AM544" s="734"/>
      <c r="AN544" s="734"/>
      <c r="AO544" s="734"/>
      <c r="AP544" s="52"/>
      <c r="AQ544" s="52"/>
      <c r="AR544" s="52"/>
      <c r="AS544" s="52"/>
      <c r="AT544" s="52"/>
      <c r="AU544" s="52"/>
      <c r="AV544" s="52"/>
      <c r="AW544" s="52"/>
      <c r="AX544" s="52"/>
      <c r="AY544" s="52"/>
      <c r="AZ544" s="734"/>
      <c r="BA544" s="740"/>
      <c r="BB544" s="734"/>
      <c r="BC544" s="740"/>
      <c r="BD544" s="734"/>
      <c r="BE544" s="52"/>
      <c r="BF544" s="52"/>
      <c r="BG544" s="734"/>
      <c r="BH544" s="734"/>
      <c r="BI544" s="734"/>
      <c r="BJ544" s="734"/>
    </row>
    <row r="545">
      <c r="B545" s="740"/>
      <c r="C545" s="869"/>
      <c r="D545" s="734"/>
      <c r="E545" s="734"/>
      <c r="F545" s="740"/>
      <c r="G545" s="734"/>
      <c r="H545" s="734"/>
      <c r="I545" s="777"/>
      <c r="J545" s="740"/>
      <c r="K545" s="734"/>
      <c r="L545" s="734"/>
      <c r="M545" s="734"/>
      <c r="N545" s="734"/>
      <c r="O545" s="734"/>
      <c r="P545" s="734"/>
      <c r="Q545" s="734"/>
      <c r="R545" s="734"/>
      <c r="S545" s="734"/>
      <c r="T545" s="734"/>
      <c r="U545" s="734"/>
      <c r="V545" s="734"/>
      <c r="W545" s="734"/>
      <c r="X545" s="735"/>
      <c r="Y545" s="811"/>
      <c r="Z545" s="811"/>
      <c r="AA545" s="734"/>
      <c r="AB545" s="811"/>
      <c r="AC545" s="740"/>
      <c r="AD545" s="734"/>
      <c r="AE545" s="734"/>
      <c r="AF545" s="734"/>
      <c r="AG545" s="734"/>
      <c r="AH545" s="734"/>
      <c r="AI545" s="734"/>
      <c r="AJ545" s="879"/>
      <c r="AK545" s="734"/>
      <c r="AL545" s="734"/>
      <c r="AM545" s="734"/>
      <c r="AN545" s="734"/>
      <c r="AO545" s="734"/>
      <c r="AP545" s="52"/>
      <c r="AQ545" s="52"/>
      <c r="AR545" s="52"/>
      <c r="AS545" s="52"/>
      <c r="AT545" s="52"/>
      <c r="AU545" s="52"/>
      <c r="AV545" s="52"/>
      <c r="AW545" s="52"/>
      <c r="AX545" s="52"/>
      <c r="AY545" s="52"/>
      <c r="AZ545" s="734"/>
      <c r="BA545" s="740"/>
      <c r="BB545" s="734"/>
      <c r="BC545" s="740"/>
      <c r="BD545" s="734"/>
      <c r="BE545" s="52"/>
      <c r="BF545" s="52"/>
      <c r="BG545" s="734"/>
      <c r="BH545" s="734"/>
      <c r="BI545" s="734"/>
      <c r="BJ545" s="734"/>
    </row>
    <row r="546">
      <c r="B546" s="740"/>
      <c r="C546" s="869"/>
      <c r="D546" s="734"/>
      <c r="E546" s="734"/>
      <c r="F546" s="740"/>
      <c r="G546" s="734"/>
      <c r="H546" s="734"/>
      <c r="I546" s="777"/>
      <c r="J546" s="740"/>
      <c r="K546" s="734"/>
      <c r="L546" s="734"/>
      <c r="M546" s="734"/>
      <c r="N546" s="734"/>
      <c r="O546" s="734"/>
      <c r="P546" s="734"/>
      <c r="Q546" s="734"/>
      <c r="R546" s="734"/>
      <c r="S546" s="734"/>
      <c r="T546" s="734"/>
      <c r="U546" s="734"/>
      <c r="V546" s="734"/>
      <c r="W546" s="734"/>
      <c r="X546" s="735"/>
      <c r="Y546" s="811"/>
      <c r="Z546" s="811"/>
      <c r="AA546" s="734"/>
      <c r="AB546" s="811"/>
      <c r="AC546" s="740"/>
      <c r="AD546" s="734"/>
      <c r="AE546" s="734"/>
      <c r="AF546" s="734"/>
      <c r="AG546" s="734"/>
      <c r="AH546" s="734"/>
      <c r="AI546" s="734"/>
      <c r="AJ546" s="879"/>
      <c r="AK546" s="734"/>
      <c r="AL546" s="734"/>
      <c r="AM546" s="734"/>
      <c r="AN546" s="734"/>
      <c r="AO546" s="734"/>
      <c r="AP546" s="52"/>
      <c r="AQ546" s="52"/>
      <c r="AR546" s="52"/>
      <c r="AS546" s="52"/>
      <c r="AT546" s="52"/>
      <c r="AU546" s="52"/>
      <c r="AV546" s="52"/>
      <c r="AW546" s="52"/>
      <c r="AX546" s="52"/>
      <c r="AY546" s="52"/>
      <c r="AZ546" s="734"/>
      <c r="BA546" s="740"/>
      <c r="BB546" s="734"/>
      <c r="BC546" s="740"/>
      <c r="BD546" s="734"/>
      <c r="BE546" s="52"/>
      <c r="BF546" s="52"/>
      <c r="BG546" s="734"/>
      <c r="BH546" s="734"/>
      <c r="BI546" s="734"/>
      <c r="BJ546" s="734"/>
    </row>
    <row r="547">
      <c r="B547" s="740"/>
      <c r="C547" s="869"/>
      <c r="D547" s="734"/>
      <c r="E547" s="734"/>
      <c r="F547" s="740"/>
      <c r="G547" s="734"/>
      <c r="H547" s="734"/>
      <c r="I547" s="777"/>
      <c r="J547" s="740"/>
      <c r="K547" s="734"/>
      <c r="L547" s="734"/>
      <c r="M547" s="734"/>
      <c r="N547" s="734"/>
      <c r="O547" s="734"/>
      <c r="P547" s="734"/>
      <c r="Q547" s="734"/>
      <c r="R547" s="734"/>
      <c r="S547" s="734"/>
      <c r="T547" s="734"/>
      <c r="U547" s="734"/>
      <c r="V547" s="734"/>
      <c r="W547" s="734"/>
      <c r="X547" s="735"/>
      <c r="Y547" s="811"/>
      <c r="Z547" s="811"/>
      <c r="AA547" s="734"/>
      <c r="AB547" s="811"/>
      <c r="AC547" s="740"/>
      <c r="AD547" s="734"/>
      <c r="AE547" s="734"/>
      <c r="AF547" s="734"/>
      <c r="AG547" s="734"/>
      <c r="AH547" s="734"/>
      <c r="AI547" s="734"/>
      <c r="AJ547" s="879"/>
      <c r="AK547" s="734"/>
      <c r="AL547" s="734"/>
      <c r="AM547" s="734"/>
      <c r="AN547" s="734"/>
      <c r="AO547" s="734"/>
      <c r="AP547" s="52"/>
      <c r="AQ547" s="52"/>
      <c r="AR547" s="52"/>
      <c r="AS547" s="52"/>
      <c r="AT547" s="52"/>
      <c r="AU547" s="52"/>
      <c r="AV547" s="52"/>
      <c r="AW547" s="52"/>
      <c r="AX547" s="52"/>
      <c r="AY547" s="52"/>
      <c r="AZ547" s="734"/>
      <c r="BA547" s="740"/>
      <c r="BB547" s="734"/>
      <c r="BC547" s="740"/>
      <c r="BD547" s="734"/>
      <c r="BE547" s="52"/>
      <c r="BF547" s="52"/>
      <c r="BG547" s="734"/>
      <c r="BH547" s="734"/>
      <c r="BI547" s="734"/>
      <c r="BJ547" s="734"/>
    </row>
    <row r="548">
      <c r="B548" s="740"/>
      <c r="C548" s="869"/>
      <c r="D548" s="734"/>
      <c r="E548" s="734"/>
      <c r="F548" s="740"/>
      <c r="G548" s="734"/>
      <c r="H548" s="734"/>
      <c r="I548" s="777"/>
      <c r="J548" s="740"/>
      <c r="K548" s="734"/>
      <c r="L548" s="734"/>
      <c r="M548" s="734"/>
      <c r="N548" s="734"/>
      <c r="O548" s="734"/>
      <c r="P548" s="734"/>
      <c r="Q548" s="734"/>
      <c r="R548" s="734"/>
      <c r="S548" s="734"/>
      <c r="T548" s="734"/>
      <c r="U548" s="734"/>
      <c r="V548" s="734"/>
      <c r="W548" s="734"/>
      <c r="X548" s="735"/>
      <c r="Y548" s="811"/>
      <c r="Z548" s="811"/>
      <c r="AA548" s="734"/>
      <c r="AB548" s="811"/>
      <c r="AC548" s="740"/>
      <c r="AD548" s="734"/>
      <c r="AE548" s="734"/>
      <c r="AF548" s="734"/>
      <c r="AG548" s="734"/>
      <c r="AH548" s="734"/>
      <c r="AI548" s="734"/>
      <c r="AJ548" s="879"/>
      <c r="AK548" s="734"/>
      <c r="AL548" s="734"/>
      <c r="AM548" s="734"/>
      <c r="AN548" s="734"/>
      <c r="AO548" s="734"/>
      <c r="AP548" s="52"/>
      <c r="AQ548" s="52"/>
      <c r="AR548" s="52"/>
      <c r="AS548" s="52"/>
      <c r="AT548" s="52"/>
      <c r="AU548" s="52"/>
      <c r="AV548" s="52"/>
      <c r="AW548" s="52"/>
      <c r="AX548" s="52"/>
      <c r="AY548" s="52"/>
      <c r="AZ548" s="734"/>
      <c r="BA548" s="740"/>
      <c r="BB548" s="734"/>
      <c r="BC548" s="740"/>
      <c r="BD548" s="734"/>
      <c r="BE548" s="52"/>
      <c r="BF548" s="52"/>
      <c r="BG548" s="734"/>
      <c r="BH548" s="734"/>
      <c r="BI548" s="734"/>
      <c r="BJ548" s="734"/>
    </row>
    <row r="549">
      <c r="B549" s="740"/>
      <c r="C549" s="869"/>
      <c r="D549" s="734"/>
      <c r="E549" s="734"/>
      <c r="F549" s="740"/>
      <c r="G549" s="734"/>
      <c r="H549" s="734"/>
      <c r="I549" s="777"/>
      <c r="J549" s="740"/>
      <c r="K549" s="734"/>
      <c r="L549" s="734"/>
      <c r="M549" s="734"/>
      <c r="N549" s="734"/>
      <c r="O549" s="734"/>
      <c r="P549" s="734"/>
      <c r="Q549" s="734"/>
      <c r="R549" s="734"/>
      <c r="S549" s="734"/>
      <c r="T549" s="734"/>
      <c r="U549" s="734"/>
      <c r="V549" s="734"/>
      <c r="W549" s="734"/>
      <c r="X549" s="735"/>
      <c r="Y549" s="811"/>
      <c r="Z549" s="811"/>
      <c r="AA549" s="734"/>
      <c r="AB549" s="811"/>
      <c r="AC549" s="740"/>
      <c r="AD549" s="734"/>
      <c r="AE549" s="734"/>
      <c r="AF549" s="734"/>
      <c r="AG549" s="734"/>
      <c r="AH549" s="734"/>
      <c r="AI549" s="734"/>
      <c r="AJ549" s="879"/>
      <c r="AK549" s="734"/>
      <c r="AL549" s="734"/>
      <c r="AM549" s="734"/>
      <c r="AN549" s="734"/>
      <c r="AO549" s="734"/>
      <c r="AP549" s="52"/>
      <c r="AQ549" s="52"/>
      <c r="AR549" s="52"/>
      <c r="AS549" s="52"/>
      <c r="AT549" s="52"/>
      <c r="AU549" s="52"/>
      <c r="AV549" s="52"/>
      <c r="AW549" s="52"/>
      <c r="AX549" s="52"/>
      <c r="AY549" s="52"/>
      <c r="AZ549" s="734"/>
      <c r="BA549" s="740"/>
      <c r="BB549" s="734"/>
      <c r="BC549" s="740"/>
      <c r="BD549" s="734"/>
      <c r="BE549" s="52"/>
      <c r="BF549" s="52"/>
      <c r="BG549" s="734"/>
      <c r="BH549" s="734"/>
      <c r="BI549" s="734"/>
      <c r="BJ549" s="734"/>
    </row>
    <row r="550">
      <c r="B550" s="740"/>
      <c r="C550" s="869"/>
      <c r="D550" s="734"/>
      <c r="E550" s="734"/>
      <c r="F550" s="740"/>
      <c r="G550" s="734"/>
      <c r="H550" s="734"/>
      <c r="I550" s="777"/>
      <c r="J550" s="740"/>
      <c r="K550" s="734"/>
      <c r="L550" s="734"/>
      <c r="M550" s="734"/>
      <c r="N550" s="734"/>
      <c r="O550" s="734"/>
      <c r="P550" s="734"/>
      <c r="Q550" s="734"/>
      <c r="R550" s="734"/>
      <c r="S550" s="734"/>
      <c r="T550" s="734"/>
      <c r="U550" s="734"/>
      <c r="V550" s="734"/>
      <c r="W550" s="734"/>
      <c r="X550" s="735"/>
      <c r="Y550" s="811"/>
      <c r="Z550" s="811"/>
      <c r="AA550" s="734"/>
      <c r="AB550" s="811"/>
      <c r="AC550" s="740"/>
      <c r="AD550" s="734"/>
      <c r="AE550" s="734"/>
      <c r="AF550" s="734"/>
      <c r="AG550" s="734"/>
      <c r="AH550" s="734"/>
      <c r="AI550" s="734"/>
      <c r="AJ550" s="879"/>
      <c r="AK550" s="734"/>
      <c r="AL550" s="734"/>
      <c r="AM550" s="734"/>
      <c r="AN550" s="734"/>
      <c r="AO550" s="734"/>
      <c r="AP550" s="52"/>
      <c r="AQ550" s="52"/>
      <c r="AR550" s="52"/>
      <c r="AS550" s="52"/>
      <c r="AT550" s="52"/>
      <c r="AU550" s="52"/>
      <c r="AV550" s="52"/>
      <c r="AW550" s="52"/>
      <c r="AX550" s="52"/>
      <c r="AY550" s="52"/>
      <c r="AZ550" s="734"/>
      <c r="BA550" s="740"/>
      <c r="BB550" s="734"/>
      <c r="BC550" s="740"/>
      <c r="BD550" s="734"/>
      <c r="BE550" s="52"/>
      <c r="BF550" s="52"/>
      <c r="BG550" s="734"/>
      <c r="BH550" s="734"/>
      <c r="BI550" s="734"/>
      <c r="BJ550" s="734"/>
    </row>
    <row r="551">
      <c r="B551" s="740"/>
      <c r="C551" s="869"/>
      <c r="D551" s="734"/>
      <c r="E551" s="734"/>
      <c r="F551" s="740"/>
      <c r="G551" s="734"/>
      <c r="H551" s="734"/>
      <c r="I551" s="777"/>
      <c r="J551" s="740"/>
      <c r="K551" s="734"/>
      <c r="L551" s="734"/>
      <c r="M551" s="734"/>
      <c r="N551" s="734"/>
      <c r="O551" s="734"/>
      <c r="P551" s="734"/>
      <c r="Q551" s="734"/>
      <c r="R551" s="734"/>
      <c r="S551" s="734"/>
      <c r="T551" s="734"/>
      <c r="U551" s="734"/>
      <c r="V551" s="734"/>
      <c r="W551" s="734"/>
      <c r="X551" s="735"/>
      <c r="Y551" s="811"/>
      <c r="Z551" s="811"/>
      <c r="AA551" s="734"/>
      <c r="AB551" s="811"/>
      <c r="AC551" s="740"/>
      <c r="AD551" s="734"/>
      <c r="AE551" s="734"/>
      <c r="AF551" s="734"/>
      <c r="AG551" s="734"/>
      <c r="AH551" s="734"/>
      <c r="AI551" s="734"/>
      <c r="AJ551" s="879"/>
      <c r="AK551" s="734"/>
      <c r="AL551" s="734"/>
      <c r="AM551" s="734"/>
      <c r="AN551" s="734"/>
      <c r="AO551" s="734"/>
      <c r="AP551" s="52"/>
      <c r="AQ551" s="52"/>
      <c r="AR551" s="52"/>
      <c r="AS551" s="52"/>
      <c r="AT551" s="52"/>
      <c r="AU551" s="52"/>
      <c r="AV551" s="52"/>
      <c r="AW551" s="52"/>
      <c r="AX551" s="52"/>
      <c r="AY551" s="52"/>
      <c r="AZ551" s="734"/>
      <c r="BA551" s="740"/>
      <c r="BB551" s="734"/>
      <c r="BC551" s="740"/>
      <c r="BD551" s="734"/>
      <c r="BE551" s="52"/>
      <c r="BF551" s="52"/>
      <c r="BG551" s="734"/>
      <c r="BH551" s="734"/>
      <c r="BI551" s="734"/>
      <c r="BJ551" s="734"/>
    </row>
    <row r="552">
      <c r="B552" s="740"/>
      <c r="C552" s="869"/>
      <c r="D552" s="734"/>
      <c r="E552" s="734"/>
      <c r="F552" s="740"/>
      <c r="G552" s="734"/>
      <c r="H552" s="734"/>
      <c r="I552" s="777"/>
      <c r="J552" s="740"/>
      <c r="K552" s="734"/>
      <c r="L552" s="734"/>
      <c r="M552" s="734"/>
      <c r="N552" s="734"/>
      <c r="O552" s="734"/>
      <c r="P552" s="734"/>
      <c r="Q552" s="734"/>
      <c r="R552" s="734"/>
      <c r="S552" s="734"/>
      <c r="T552" s="734"/>
      <c r="U552" s="734"/>
      <c r="V552" s="734"/>
      <c r="W552" s="734"/>
      <c r="X552" s="735"/>
      <c r="Y552" s="811"/>
      <c r="Z552" s="811"/>
      <c r="AA552" s="734"/>
      <c r="AB552" s="811"/>
      <c r="AC552" s="740"/>
      <c r="AD552" s="734"/>
      <c r="AE552" s="734"/>
      <c r="AF552" s="734"/>
      <c r="AG552" s="734"/>
      <c r="AH552" s="734"/>
      <c r="AI552" s="734"/>
      <c r="AJ552" s="879"/>
      <c r="AK552" s="734"/>
      <c r="AL552" s="734"/>
      <c r="AM552" s="734"/>
      <c r="AN552" s="734"/>
      <c r="AO552" s="734"/>
      <c r="AP552" s="52"/>
      <c r="AQ552" s="52"/>
      <c r="AR552" s="52"/>
      <c r="AS552" s="52"/>
      <c r="AT552" s="52"/>
      <c r="AU552" s="52"/>
      <c r="AV552" s="52"/>
      <c r="AW552" s="52"/>
      <c r="AX552" s="52"/>
      <c r="AY552" s="52"/>
      <c r="AZ552" s="734"/>
      <c r="BA552" s="740"/>
      <c r="BB552" s="734"/>
      <c r="BC552" s="740"/>
      <c r="BD552" s="734"/>
      <c r="BE552" s="52"/>
      <c r="BF552" s="52"/>
      <c r="BG552" s="734"/>
      <c r="BH552" s="734"/>
      <c r="BI552" s="734"/>
      <c r="BJ552" s="734"/>
    </row>
    <row r="553">
      <c r="B553" s="740"/>
      <c r="C553" s="869"/>
      <c r="D553" s="734"/>
      <c r="E553" s="734"/>
      <c r="F553" s="740"/>
      <c r="G553" s="734"/>
      <c r="H553" s="734"/>
      <c r="I553" s="777"/>
      <c r="J553" s="740"/>
      <c r="K553" s="734"/>
      <c r="L553" s="734"/>
      <c r="M553" s="734"/>
      <c r="N553" s="734"/>
      <c r="O553" s="734"/>
      <c r="P553" s="734"/>
      <c r="Q553" s="734"/>
      <c r="R553" s="734"/>
      <c r="S553" s="734"/>
      <c r="T553" s="734"/>
      <c r="U553" s="734"/>
      <c r="V553" s="734"/>
      <c r="W553" s="734"/>
      <c r="X553" s="735"/>
      <c r="Y553" s="811"/>
      <c r="Z553" s="811"/>
      <c r="AA553" s="734"/>
      <c r="AB553" s="811"/>
      <c r="AC553" s="740"/>
      <c r="AD553" s="734"/>
      <c r="AE553" s="734"/>
      <c r="AF553" s="734"/>
      <c r="AG553" s="734"/>
      <c r="AH553" s="734"/>
      <c r="AI553" s="734"/>
      <c r="AJ553" s="879"/>
      <c r="AK553" s="734"/>
      <c r="AL553" s="734"/>
      <c r="AM553" s="734"/>
      <c r="AN553" s="734"/>
      <c r="AO553" s="734"/>
      <c r="AP553" s="52"/>
      <c r="AQ553" s="52"/>
      <c r="AR553" s="52"/>
      <c r="AS553" s="52"/>
      <c r="AT553" s="52"/>
      <c r="AU553" s="52"/>
      <c r="AV553" s="52"/>
      <c r="AW553" s="52"/>
      <c r="AX553" s="52"/>
      <c r="AY553" s="52"/>
      <c r="AZ553" s="734"/>
      <c r="BA553" s="740"/>
      <c r="BB553" s="734"/>
      <c r="BC553" s="740"/>
      <c r="BD553" s="734"/>
      <c r="BE553" s="52"/>
      <c r="BF553" s="52"/>
      <c r="BG553" s="734"/>
      <c r="BH553" s="734"/>
      <c r="BI553" s="734"/>
      <c r="BJ553" s="734"/>
    </row>
    <row r="554">
      <c r="B554" s="740"/>
      <c r="C554" s="869"/>
      <c r="D554" s="734"/>
      <c r="E554" s="734"/>
      <c r="F554" s="740"/>
      <c r="G554" s="734"/>
      <c r="H554" s="734"/>
      <c r="I554" s="777"/>
      <c r="J554" s="740"/>
      <c r="K554" s="734"/>
      <c r="L554" s="734"/>
      <c r="M554" s="734"/>
      <c r="N554" s="734"/>
      <c r="O554" s="734"/>
      <c r="P554" s="734"/>
      <c r="Q554" s="734"/>
      <c r="R554" s="734"/>
      <c r="S554" s="734"/>
      <c r="T554" s="734"/>
      <c r="U554" s="734"/>
      <c r="V554" s="734"/>
      <c r="W554" s="734"/>
      <c r="X554" s="735"/>
      <c r="Y554" s="811"/>
      <c r="Z554" s="811"/>
      <c r="AA554" s="734"/>
      <c r="AB554" s="811"/>
      <c r="AC554" s="740"/>
      <c r="AD554" s="734"/>
      <c r="AE554" s="734"/>
      <c r="AF554" s="734"/>
      <c r="AG554" s="734"/>
      <c r="AH554" s="734"/>
      <c r="AI554" s="734"/>
      <c r="AJ554" s="879"/>
      <c r="AK554" s="734"/>
      <c r="AL554" s="734"/>
      <c r="AM554" s="734"/>
      <c r="AN554" s="734"/>
      <c r="AO554" s="734"/>
      <c r="AP554" s="52"/>
      <c r="AQ554" s="52"/>
      <c r="AR554" s="52"/>
      <c r="AS554" s="52"/>
      <c r="AT554" s="52"/>
      <c r="AU554" s="52"/>
      <c r="AV554" s="52"/>
      <c r="AW554" s="52"/>
      <c r="AX554" s="52"/>
      <c r="AY554" s="52"/>
      <c r="AZ554" s="734"/>
      <c r="BA554" s="740"/>
      <c r="BB554" s="734"/>
      <c r="BC554" s="740"/>
      <c r="BD554" s="734"/>
      <c r="BE554" s="52"/>
      <c r="BF554" s="52"/>
      <c r="BG554" s="734"/>
      <c r="BH554" s="734"/>
      <c r="BI554" s="734"/>
      <c r="BJ554" s="734"/>
    </row>
    <row r="555">
      <c r="B555" s="740"/>
      <c r="C555" s="869"/>
      <c r="D555" s="734"/>
      <c r="E555" s="734"/>
      <c r="F555" s="740"/>
      <c r="G555" s="734"/>
      <c r="H555" s="734"/>
      <c r="I555" s="777"/>
      <c r="J555" s="740"/>
      <c r="K555" s="734"/>
      <c r="L555" s="734"/>
      <c r="M555" s="734"/>
      <c r="N555" s="734"/>
      <c r="O555" s="734"/>
      <c r="P555" s="734"/>
      <c r="Q555" s="734"/>
      <c r="R555" s="734"/>
      <c r="S555" s="734"/>
      <c r="T555" s="734"/>
      <c r="U555" s="734"/>
      <c r="V555" s="734"/>
      <c r="W555" s="734"/>
      <c r="X555" s="735"/>
      <c r="Y555" s="811"/>
      <c r="Z555" s="811"/>
      <c r="AA555" s="734"/>
      <c r="AB555" s="811"/>
      <c r="AC555" s="740"/>
      <c r="AD555" s="734"/>
      <c r="AE555" s="734"/>
      <c r="AF555" s="734"/>
      <c r="AG555" s="734"/>
      <c r="AH555" s="734"/>
      <c r="AI555" s="734"/>
      <c r="AJ555" s="879"/>
      <c r="AK555" s="734"/>
      <c r="AL555" s="734"/>
      <c r="AM555" s="734"/>
      <c r="AN555" s="734"/>
      <c r="AO555" s="734"/>
      <c r="AP555" s="52"/>
      <c r="AQ555" s="52"/>
      <c r="AR555" s="52"/>
      <c r="AS555" s="52"/>
      <c r="AT555" s="52"/>
      <c r="AU555" s="52"/>
      <c r="AV555" s="52"/>
      <c r="AW555" s="52"/>
      <c r="AX555" s="52"/>
      <c r="AY555" s="52"/>
      <c r="AZ555" s="734"/>
      <c r="BA555" s="740"/>
      <c r="BB555" s="734"/>
      <c r="BC555" s="740"/>
      <c r="BD555" s="734"/>
      <c r="BE555" s="52"/>
      <c r="BF555" s="52"/>
      <c r="BG555" s="734"/>
      <c r="BH555" s="734"/>
      <c r="BI555" s="734"/>
      <c r="BJ555" s="734"/>
    </row>
    <row r="556">
      <c r="B556" s="740"/>
      <c r="C556" s="869"/>
      <c r="D556" s="734"/>
      <c r="E556" s="734"/>
      <c r="F556" s="740"/>
      <c r="G556" s="734"/>
      <c r="H556" s="734"/>
      <c r="I556" s="777"/>
      <c r="J556" s="740"/>
      <c r="K556" s="734"/>
      <c r="L556" s="734"/>
      <c r="M556" s="734"/>
      <c r="N556" s="734"/>
      <c r="O556" s="734"/>
      <c r="P556" s="734"/>
      <c r="Q556" s="734"/>
      <c r="R556" s="734"/>
      <c r="S556" s="734"/>
      <c r="T556" s="734"/>
      <c r="U556" s="734"/>
      <c r="V556" s="734"/>
      <c r="W556" s="734"/>
      <c r="X556" s="735"/>
      <c r="Y556" s="811"/>
      <c r="Z556" s="811"/>
      <c r="AA556" s="734"/>
      <c r="AB556" s="811"/>
      <c r="AC556" s="740"/>
      <c r="AD556" s="734"/>
      <c r="AE556" s="734"/>
      <c r="AF556" s="734"/>
      <c r="AG556" s="734"/>
      <c r="AH556" s="734"/>
      <c r="AI556" s="734"/>
      <c r="AJ556" s="879"/>
      <c r="AK556" s="734"/>
      <c r="AL556" s="734"/>
      <c r="AM556" s="734"/>
      <c r="AN556" s="734"/>
      <c r="AO556" s="734"/>
      <c r="AP556" s="52"/>
      <c r="AQ556" s="52"/>
      <c r="AR556" s="52"/>
      <c r="AS556" s="52"/>
      <c r="AT556" s="52"/>
      <c r="AU556" s="52"/>
      <c r="AV556" s="52"/>
      <c r="AW556" s="52"/>
      <c r="AX556" s="52"/>
      <c r="AY556" s="52"/>
      <c r="AZ556" s="734"/>
      <c r="BA556" s="740"/>
      <c r="BB556" s="734"/>
      <c r="BC556" s="740"/>
      <c r="BD556" s="734"/>
      <c r="BE556" s="52"/>
      <c r="BF556" s="52"/>
      <c r="BG556" s="734"/>
      <c r="BH556" s="734"/>
      <c r="BI556" s="734"/>
      <c r="BJ556" s="734"/>
    </row>
    <row r="557">
      <c r="B557" s="740"/>
      <c r="C557" s="869"/>
      <c r="D557" s="734"/>
      <c r="E557" s="734"/>
      <c r="F557" s="740"/>
      <c r="G557" s="734"/>
      <c r="H557" s="734"/>
      <c r="I557" s="777"/>
      <c r="J557" s="740"/>
      <c r="K557" s="734"/>
      <c r="L557" s="734"/>
      <c r="M557" s="734"/>
      <c r="N557" s="734"/>
      <c r="O557" s="734"/>
      <c r="P557" s="734"/>
      <c r="Q557" s="734"/>
      <c r="R557" s="734"/>
      <c r="S557" s="734"/>
      <c r="T557" s="734"/>
      <c r="U557" s="734"/>
      <c r="V557" s="734"/>
      <c r="W557" s="734"/>
      <c r="X557" s="735"/>
      <c r="Y557" s="811"/>
      <c r="Z557" s="811"/>
      <c r="AA557" s="734"/>
      <c r="AB557" s="811"/>
      <c r="AC557" s="740"/>
      <c r="AD557" s="734"/>
      <c r="AE557" s="734"/>
      <c r="AF557" s="734"/>
      <c r="AG557" s="734"/>
      <c r="AH557" s="734"/>
      <c r="AI557" s="734"/>
      <c r="AJ557" s="879"/>
      <c r="AK557" s="734"/>
      <c r="AL557" s="734"/>
      <c r="AM557" s="734"/>
      <c r="AN557" s="734"/>
      <c r="AO557" s="734"/>
      <c r="AP557" s="52"/>
      <c r="AQ557" s="52"/>
      <c r="AR557" s="52"/>
      <c r="AS557" s="52"/>
      <c r="AT557" s="52"/>
      <c r="AU557" s="52"/>
      <c r="AV557" s="52"/>
      <c r="AW557" s="52"/>
      <c r="AX557" s="52"/>
      <c r="AY557" s="52"/>
      <c r="AZ557" s="734"/>
      <c r="BA557" s="740"/>
      <c r="BB557" s="734"/>
      <c r="BC557" s="740"/>
      <c r="BD557" s="734"/>
      <c r="BE557" s="52"/>
      <c r="BF557" s="52"/>
      <c r="BG557" s="734"/>
      <c r="BH557" s="734"/>
      <c r="BI557" s="734"/>
      <c r="BJ557" s="734"/>
    </row>
    <row r="558">
      <c r="B558" s="740"/>
      <c r="C558" s="869"/>
      <c r="D558" s="734"/>
      <c r="E558" s="734"/>
      <c r="F558" s="740"/>
      <c r="G558" s="734"/>
      <c r="H558" s="734"/>
      <c r="I558" s="777"/>
      <c r="J558" s="740"/>
      <c r="K558" s="734"/>
      <c r="L558" s="734"/>
      <c r="M558" s="734"/>
      <c r="N558" s="734"/>
      <c r="O558" s="734"/>
      <c r="P558" s="734"/>
      <c r="Q558" s="734"/>
      <c r="R558" s="734"/>
      <c r="S558" s="734"/>
      <c r="T558" s="734"/>
      <c r="U558" s="734"/>
      <c r="V558" s="734"/>
      <c r="W558" s="734"/>
      <c r="X558" s="735"/>
      <c r="Y558" s="811"/>
      <c r="Z558" s="811"/>
      <c r="AA558" s="734"/>
      <c r="AB558" s="811"/>
      <c r="AC558" s="740"/>
      <c r="AD558" s="734"/>
      <c r="AE558" s="734"/>
      <c r="AF558" s="734"/>
      <c r="AG558" s="734"/>
      <c r="AH558" s="734"/>
      <c r="AI558" s="734"/>
      <c r="AJ558" s="879"/>
      <c r="AK558" s="734"/>
      <c r="AL558" s="734"/>
      <c r="AM558" s="734"/>
      <c r="AN558" s="734"/>
      <c r="AO558" s="734"/>
      <c r="AP558" s="52"/>
      <c r="AQ558" s="52"/>
      <c r="AR558" s="52"/>
      <c r="AS558" s="52"/>
      <c r="AT558" s="52"/>
      <c r="AU558" s="52"/>
      <c r="AV558" s="52"/>
      <c r="AW558" s="52"/>
      <c r="AX558" s="52"/>
      <c r="AY558" s="52"/>
      <c r="AZ558" s="734"/>
      <c r="BA558" s="740"/>
      <c r="BB558" s="734"/>
      <c r="BC558" s="740"/>
      <c r="BD558" s="734"/>
      <c r="BE558" s="52"/>
      <c r="BF558" s="52"/>
      <c r="BG558" s="734"/>
      <c r="BH558" s="734"/>
      <c r="BI558" s="734"/>
      <c r="BJ558" s="734"/>
    </row>
    <row r="559">
      <c r="B559" s="740"/>
      <c r="C559" s="869"/>
      <c r="D559" s="734"/>
      <c r="E559" s="734"/>
      <c r="F559" s="740"/>
      <c r="G559" s="734"/>
      <c r="H559" s="734"/>
      <c r="I559" s="777"/>
      <c r="J559" s="740"/>
      <c r="K559" s="734"/>
      <c r="L559" s="734"/>
      <c r="M559" s="734"/>
      <c r="N559" s="734"/>
      <c r="O559" s="734"/>
      <c r="P559" s="734"/>
      <c r="Q559" s="734"/>
      <c r="R559" s="734"/>
      <c r="S559" s="734"/>
      <c r="T559" s="734"/>
      <c r="U559" s="734"/>
      <c r="V559" s="734"/>
      <c r="W559" s="734"/>
      <c r="X559" s="735"/>
      <c r="Y559" s="811"/>
      <c r="Z559" s="811"/>
      <c r="AA559" s="734"/>
      <c r="AB559" s="811"/>
      <c r="AC559" s="740"/>
      <c r="AD559" s="734"/>
      <c r="AE559" s="734"/>
      <c r="AF559" s="734"/>
      <c r="AG559" s="734"/>
      <c r="AH559" s="734"/>
      <c r="AI559" s="734"/>
      <c r="AJ559" s="879"/>
      <c r="AK559" s="734"/>
      <c r="AL559" s="734"/>
      <c r="AM559" s="734"/>
      <c r="AN559" s="734"/>
      <c r="AO559" s="734"/>
      <c r="AP559" s="52"/>
      <c r="AQ559" s="52"/>
      <c r="AR559" s="52"/>
      <c r="AS559" s="52"/>
      <c r="AT559" s="52"/>
      <c r="AU559" s="52"/>
      <c r="AV559" s="52"/>
      <c r="AW559" s="52"/>
      <c r="AX559" s="52"/>
      <c r="AY559" s="52"/>
      <c r="AZ559" s="734"/>
      <c r="BA559" s="740"/>
      <c r="BB559" s="734"/>
      <c r="BC559" s="740"/>
      <c r="BD559" s="734"/>
      <c r="BE559" s="52"/>
      <c r="BF559" s="52"/>
      <c r="BG559" s="734"/>
      <c r="BH559" s="734"/>
      <c r="BI559" s="734"/>
      <c r="BJ559" s="734"/>
    </row>
    <row r="560">
      <c r="B560" s="740"/>
      <c r="C560" s="869"/>
      <c r="D560" s="734"/>
      <c r="E560" s="734"/>
      <c r="F560" s="740"/>
      <c r="G560" s="734"/>
      <c r="H560" s="734"/>
      <c r="I560" s="777"/>
      <c r="J560" s="740"/>
      <c r="K560" s="734"/>
      <c r="L560" s="734"/>
      <c r="M560" s="734"/>
      <c r="N560" s="734"/>
      <c r="O560" s="734"/>
      <c r="P560" s="734"/>
      <c r="Q560" s="734"/>
      <c r="R560" s="734"/>
      <c r="S560" s="734"/>
      <c r="T560" s="734"/>
      <c r="U560" s="734"/>
      <c r="V560" s="734"/>
      <c r="W560" s="734"/>
      <c r="X560" s="735"/>
      <c r="Y560" s="811"/>
      <c r="Z560" s="811"/>
      <c r="AA560" s="734"/>
      <c r="AB560" s="811"/>
      <c r="AC560" s="740"/>
      <c r="AD560" s="734"/>
      <c r="AE560" s="734"/>
      <c r="AF560" s="734"/>
      <c r="AG560" s="734"/>
      <c r="AH560" s="734"/>
      <c r="AI560" s="734"/>
      <c r="AJ560" s="879"/>
      <c r="AK560" s="734"/>
      <c r="AL560" s="734"/>
      <c r="AM560" s="734"/>
      <c r="AN560" s="734"/>
      <c r="AO560" s="734"/>
      <c r="AP560" s="52"/>
      <c r="AQ560" s="52"/>
      <c r="AR560" s="52"/>
      <c r="AS560" s="52"/>
      <c r="AT560" s="52"/>
      <c r="AU560" s="52"/>
      <c r="AV560" s="52"/>
      <c r="AW560" s="52"/>
      <c r="AX560" s="52"/>
      <c r="AY560" s="52"/>
      <c r="AZ560" s="734"/>
      <c r="BA560" s="740"/>
      <c r="BB560" s="734"/>
      <c r="BC560" s="740"/>
      <c r="BD560" s="734"/>
      <c r="BE560" s="52"/>
      <c r="BF560" s="52"/>
      <c r="BG560" s="734"/>
      <c r="BH560" s="734"/>
      <c r="BI560" s="734"/>
      <c r="BJ560" s="734"/>
    </row>
    <row r="561">
      <c r="B561" s="740"/>
      <c r="C561" s="869"/>
      <c r="D561" s="734"/>
      <c r="E561" s="734"/>
      <c r="F561" s="740"/>
      <c r="G561" s="734"/>
      <c r="H561" s="734"/>
      <c r="I561" s="777"/>
      <c r="J561" s="740"/>
      <c r="K561" s="734"/>
      <c r="L561" s="734"/>
      <c r="M561" s="734"/>
      <c r="N561" s="734"/>
      <c r="O561" s="734"/>
      <c r="P561" s="734"/>
      <c r="Q561" s="734"/>
      <c r="R561" s="734"/>
      <c r="S561" s="734"/>
      <c r="T561" s="734"/>
      <c r="U561" s="734"/>
      <c r="V561" s="734"/>
      <c r="W561" s="734"/>
      <c r="X561" s="735"/>
      <c r="Y561" s="811"/>
      <c r="Z561" s="811"/>
      <c r="AA561" s="734"/>
      <c r="AB561" s="811"/>
      <c r="AC561" s="740"/>
      <c r="AD561" s="734"/>
      <c r="AE561" s="734"/>
      <c r="AF561" s="734"/>
      <c r="AG561" s="734"/>
      <c r="AH561" s="734"/>
      <c r="AI561" s="734"/>
      <c r="AJ561" s="879"/>
      <c r="AK561" s="734"/>
      <c r="AL561" s="734"/>
      <c r="AM561" s="734"/>
      <c r="AN561" s="734"/>
      <c r="AO561" s="734"/>
      <c r="AP561" s="52"/>
      <c r="AQ561" s="52"/>
      <c r="AR561" s="52"/>
      <c r="AS561" s="52"/>
      <c r="AT561" s="52"/>
      <c r="AU561" s="52"/>
      <c r="AV561" s="52"/>
      <c r="AW561" s="52"/>
      <c r="AX561" s="52"/>
      <c r="AY561" s="52"/>
      <c r="AZ561" s="734"/>
      <c r="BA561" s="740"/>
      <c r="BB561" s="734"/>
      <c r="BC561" s="740"/>
      <c r="BD561" s="734"/>
      <c r="BE561" s="52"/>
      <c r="BF561" s="52"/>
      <c r="BG561" s="734"/>
      <c r="BH561" s="734"/>
      <c r="BI561" s="734"/>
      <c r="BJ561" s="734"/>
    </row>
    <row r="562">
      <c r="B562" s="740"/>
      <c r="C562" s="869"/>
      <c r="D562" s="734"/>
      <c r="E562" s="734"/>
      <c r="F562" s="740"/>
      <c r="G562" s="734"/>
      <c r="H562" s="734"/>
      <c r="I562" s="777"/>
      <c r="J562" s="740"/>
      <c r="K562" s="734"/>
      <c r="L562" s="734"/>
      <c r="M562" s="734"/>
      <c r="N562" s="734"/>
      <c r="O562" s="734"/>
      <c r="P562" s="734"/>
      <c r="Q562" s="734"/>
      <c r="R562" s="734"/>
      <c r="S562" s="734"/>
      <c r="T562" s="734"/>
      <c r="U562" s="734"/>
      <c r="V562" s="734"/>
      <c r="W562" s="734"/>
      <c r="X562" s="735"/>
      <c r="Y562" s="811"/>
      <c r="Z562" s="811"/>
      <c r="AA562" s="734"/>
      <c r="AB562" s="811"/>
      <c r="AC562" s="740"/>
      <c r="AD562" s="734"/>
      <c r="AE562" s="734"/>
      <c r="AF562" s="734"/>
      <c r="AG562" s="734"/>
      <c r="AH562" s="734"/>
      <c r="AI562" s="734"/>
      <c r="AJ562" s="879"/>
      <c r="AK562" s="734"/>
      <c r="AL562" s="734"/>
      <c r="AM562" s="734"/>
      <c r="AN562" s="734"/>
      <c r="AO562" s="734"/>
      <c r="AP562" s="52"/>
      <c r="AQ562" s="52"/>
      <c r="AR562" s="52"/>
      <c r="AS562" s="52"/>
      <c r="AT562" s="52"/>
      <c r="AU562" s="52"/>
      <c r="AV562" s="52"/>
      <c r="AW562" s="52"/>
      <c r="AX562" s="52"/>
      <c r="AY562" s="52"/>
      <c r="AZ562" s="734"/>
      <c r="BA562" s="740"/>
      <c r="BB562" s="734"/>
      <c r="BC562" s="740"/>
      <c r="BD562" s="734"/>
      <c r="BE562" s="52"/>
      <c r="BF562" s="52"/>
      <c r="BG562" s="734"/>
      <c r="BH562" s="734"/>
      <c r="BI562" s="734"/>
      <c r="BJ562" s="734"/>
    </row>
    <row r="563">
      <c r="B563" s="740"/>
      <c r="C563" s="869"/>
      <c r="D563" s="734"/>
      <c r="E563" s="734"/>
      <c r="F563" s="740"/>
      <c r="G563" s="734"/>
      <c r="H563" s="734"/>
      <c r="I563" s="777"/>
      <c r="J563" s="740"/>
      <c r="K563" s="734"/>
      <c r="L563" s="734"/>
      <c r="M563" s="734"/>
      <c r="N563" s="734"/>
      <c r="O563" s="734"/>
      <c r="P563" s="734"/>
      <c r="Q563" s="734"/>
      <c r="R563" s="734"/>
      <c r="S563" s="734"/>
      <c r="T563" s="734"/>
      <c r="U563" s="734"/>
      <c r="V563" s="734"/>
      <c r="W563" s="734"/>
      <c r="X563" s="735"/>
      <c r="Y563" s="811"/>
      <c r="Z563" s="811"/>
      <c r="AA563" s="734"/>
      <c r="AB563" s="811"/>
      <c r="AC563" s="740"/>
      <c r="AD563" s="734"/>
      <c r="AE563" s="734"/>
      <c r="AF563" s="734"/>
      <c r="AG563" s="734"/>
      <c r="AH563" s="734"/>
      <c r="AI563" s="734"/>
      <c r="AJ563" s="879"/>
      <c r="AK563" s="734"/>
      <c r="AL563" s="734"/>
      <c r="AM563" s="734"/>
      <c r="AN563" s="734"/>
      <c r="AO563" s="734"/>
      <c r="AP563" s="52"/>
      <c r="AQ563" s="52"/>
      <c r="AR563" s="52"/>
      <c r="AS563" s="52"/>
      <c r="AT563" s="52"/>
      <c r="AU563" s="52"/>
      <c r="AV563" s="52"/>
      <c r="AW563" s="52"/>
      <c r="AX563" s="52"/>
      <c r="AY563" s="52"/>
      <c r="AZ563" s="734"/>
      <c r="BA563" s="740"/>
      <c r="BB563" s="734"/>
      <c r="BC563" s="740"/>
      <c r="BD563" s="734"/>
      <c r="BE563" s="52"/>
      <c r="BF563" s="52"/>
      <c r="BG563" s="734"/>
      <c r="BH563" s="734"/>
      <c r="BI563" s="734"/>
      <c r="BJ563" s="734"/>
    </row>
    <row r="564">
      <c r="B564" s="740"/>
      <c r="C564" s="869"/>
      <c r="D564" s="734"/>
      <c r="E564" s="734"/>
      <c r="F564" s="740"/>
      <c r="G564" s="734"/>
      <c r="H564" s="734"/>
      <c r="I564" s="777"/>
      <c r="J564" s="740"/>
      <c r="K564" s="734"/>
      <c r="L564" s="734"/>
      <c r="M564" s="734"/>
      <c r="N564" s="734"/>
      <c r="O564" s="734"/>
      <c r="P564" s="734"/>
      <c r="Q564" s="734"/>
      <c r="R564" s="734"/>
      <c r="S564" s="734"/>
      <c r="T564" s="734"/>
      <c r="U564" s="734"/>
      <c r="V564" s="734"/>
      <c r="W564" s="734"/>
      <c r="X564" s="735"/>
      <c r="Y564" s="811"/>
      <c r="Z564" s="811"/>
      <c r="AA564" s="734"/>
      <c r="AB564" s="811"/>
      <c r="AC564" s="740"/>
      <c r="AD564" s="734"/>
      <c r="AE564" s="734"/>
      <c r="AF564" s="734"/>
      <c r="AG564" s="734"/>
      <c r="AH564" s="734"/>
      <c r="AI564" s="734"/>
      <c r="AJ564" s="879"/>
      <c r="AK564" s="734"/>
      <c r="AL564" s="734"/>
      <c r="AM564" s="734"/>
      <c r="AN564" s="734"/>
      <c r="AO564" s="734"/>
      <c r="AP564" s="52"/>
      <c r="AQ564" s="52"/>
      <c r="AR564" s="52"/>
      <c r="AS564" s="52"/>
      <c r="AT564" s="52"/>
      <c r="AU564" s="52"/>
      <c r="AV564" s="52"/>
      <c r="AW564" s="52"/>
      <c r="AX564" s="52"/>
      <c r="AY564" s="52"/>
      <c r="AZ564" s="734"/>
      <c r="BA564" s="740"/>
      <c r="BB564" s="734"/>
      <c r="BC564" s="740"/>
      <c r="BD564" s="734"/>
      <c r="BE564" s="52"/>
      <c r="BF564" s="52"/>
      <c r="BG564" s="734"/>
      <c r="BH564" s="734"/>
      <c r="BI564" s="734"/>
      <c r="BJ564" s="734"/>
    </row>
    <row r="565">
      <c r="B565" s="740"/>
      <c r="C565" s="869"/>
      <c r="D565" s="734"/>
      <c r="E565" s="734"/>
      <c r="F565" s="740"/>
      <c r="G565" s="734"/>
      <c r="H565" s="734"/>
      <c r="I565" s="777"/>
      <c r="J565" s="740"/>
      <c r="K565" s="734"/>
      <c r="L565" s="734"/>
      <c r="M565" s="734"/>
      <c r="N565" s="734"/>
      <c r="O565" s="734"/>
      <c r="P565" s="734"/>
      <c r="Q565" s="734"/>
      <c r="R565" s="734"/>
      <c r="S565" s="734"/>
      <c r="T565" s="734"/>
      <c r="U565" s="734"/>
      <c r="V565" s="734"/>
      <c r="W565" s="734"/>
      <c r="X565" s="735"/>
      <c r="Y565" s="811"/>
      <c r="Z565" s="811"/>
      <c r="AA565" s="734"/>
      <c r="AB565" s="811"/>
      <c r="AC565" s="740"/>
      <c r="AD565" s="734"/>
      <c r="AE565" s="734"/>
      <c r="AF565" s="734"/>
      <c r="AG565" s="734"/>
      <c r="AH565" s="734"/>
      <c r="AI565" s="734"/>
      <c r="AJ565" s="879"/>
      <c r="AK565" s="734"/>
      <c r="AL565" s="734"/>
      <c r="AM565" s="734"/>
      <c r="AN565" s="734"/>
      <c r="AO565" s="734"/>
      <c r="AP565" s="52"/>
      <c r="AQ565" s="52"/>
      <c r="AR565" s="52"/>
      <c r="AS565" s="52"/>
      <c r="AT565" s="52"/>
      <c r="AU565" s="52"/>
      <c r="AV565" s="52"/>
      <c r="AW565" s="52"/>
      <c r="AX565" s="52"/>
      <c r="AY565" s="52"/>
      <c r="AZ565" s="734"/>
      <c r="BA565" s="740"/>
      <c r="BB565" s="734"/>
      <c r="BC565" s="740"/>
      <c r="BD565" s="734"/>
      <c r="BE565" s="52"/>
      <c r="BF565" s="52"/>
      <c r="BG565" s="734"/>
      <c r="BH565" s="734"/>
      <c r="BI565" s="734"/>
      <c r="BJ565" s="734"/>
    </row>
    <row r="566">
      <c r="B566" s="740"/>
      <c r="C566" s="869"/>
      <c r="D566" s="734"/>
      <c r="E566" s="734"/>
      <c r="F566" s="740"/>
      <c r="G566" s="734"/>
      <c r="H566" s="734"/>
      <c r="I566" s="777"/>
      <c r="J566" s="740"/>
      <c r="K566" s="734"/>
      <c r="L566" s="734"/>
      <c r="M566" s="734"/>
      <c r="N566" s="734"/>
      <c r="O566" s="734"/>
      <c r="P566" s="734"/>
      <c r="Q566" s="734"/>
      <c r="R566" s="734"/>
      <c r="S566" s="734"/>
      <c r="T566" s="734"/>
      <c r="U566" s="734"/>
      <c r="V566" s="734"/>
      <c r="W566" s="734"/>
      <c r="X566" s="735"/>
      <c r="Y566" s="811"/>
      <c r="Z566" s="811"/>
      <c r="AA566" s="734"/>
      <c r="AB566" s="811"/>
      <c r="AC566" s="740"/>
      <c r="AD566" s="734"/>
      <c r="AE566" s="734"/>
      <c r="AF566" s="734"/>
      <c r="AG566" s="734"/>
      <c r="AH566" s="734"/>
      <c r="AI566" s="734"/>
      <c r="AJ566" s="879"/>
      <c r="AK566" s="734"/>
      <c r="AL566" s="734"/>
      <c r="AM566" s="734"/>
      <c r="AN566" s="734"/>
      <c r="AO566" s="734"/>
      <c r="AP566" s="52"/>
      <c r="AQ566" s="52"/>
      <c r="AR566" s="52"/>
      <c r="AS566" s="52"/>
      <c r="AT566" s="52"/>
      <c r="AU566" s="52"/>
      <c r="AV566" s="52"/>
      <c r="AW566" s="52"/>
      <c r="AX566" s="52"/>
      <c r="AY566" s="52"/>
      <c r="AZ566" s="734"/>
      <c r="BA566" s="740"/>
      <c r="BB566" s="734"/>
      <c r="BC566" s="740"/>
      <c r="BD566" s="734"/>
      <c r="BE566" s="52"/>
      <c r="BF566" s="52"/>
      <c r="BG566" s="734"/>
      <c r="BH566" s="734"/>
      <c r="BI566" s="734"/>
      <c r="BJ566" s="734"/>
    </row>
    <row r="567">
      <c r="B567" s="740"/>
      <c r="C567" s="869"/>
      <c r="D567" s="734"/>
      <c r="E567" s="734"/>
      <c r="F567" s="740"/>
      <c r="G567" s="734"/>
      <c r="H567" s="734"/>
      <c r="I567" s="777"/>
      <c r="J567" s="740"/>
      <c r="K567" s="734"/>
      <c r="L567" s="734"/>
      <c r="M567" s="734"/>
      <c r="N567" s="734"/>
      <c r="O567" s="734"/>
      <c r="P567" s="734"/>
      <c r="Q567" s="734"/>
      <c r="R567" s="734"/>
      <c r="S567" s="734"/>
      <c r="T567" s="734"/>
      <c r="U567" s="734"/>
      <c r="V567" s="734"/>
      <c r="W567" s="734"/>
      <c r="X567" s="735"/>
      <c r="Y567" s="811"/>
      <c r="Z567" s="811"/>
      <c r="AA567" s="734"/>
      <c r="AB567" s="811"/>
      <c r="AC567" s="740"/>
      <c r="AD567" s="734"/>
      <c r="AE567" s="734"/>
      <c r="AF567" s="734"/>
      <c r="AG567" s="734"/>
      <c r="AH567" s="734"/>
      <c r="AI567" s="734"/>
      <c r="AJ567" s="879"/>
      <c r="AK567" s="734"/>
      <c r="AL567" s="734"/>
      <c r="AM567" s="734"/>
      <c r="AN567" s="734"/>
      <c r="AO567" s="734"/>
      <c r="AP567" s="52"/>
      <c r="AQ567" s="52"/>
      <c r="AR567" s="52"/>
      <c r="AS567" s="52"/>
      <c r="AT567" s="52"/>
      <c r="AU567" s="52"/>
      <c r="AV567" s="52"/>
      <c r="AW567" s="52"/>
      <c r="AX567" s="52"/>
      <c r="AY567" s="52"/>
      <c r="AZ567" s="734"/>
      <c r="BA567" s="740"/>
      <c r="BB567" s="734"/>
      <c r="BC567" s="740"/>
      <c r="BD567" s="734"/>
      <c r="BE567" s="52"/>
      <c r="BF567" s="52"/>
      <c r="BG567" s="734"/>
      <c r="BH567" s="734"/>
      <c r="BI567" s="734"/>
      <c r="BJ567" s="734"/>
    </row>
    <row r="568">
      <c r="B568" s="740"/>
      <c r="C568" s="869"/>
      <c r="D568" s="734"/>
      <c r="E568" s="734"/>
      <c r="F568" s="740"/>
      <c r="G568" s="734"/>
      <c r="H568" s="734"/>
      <c r="I568" s="777"/>
      <c r="J568" s="740"/>
      <c r="K568" s="734"/>
      <c r="L568" s="734"/>
      <c r="M568" s="734"/>
      <c r="N568" s="734"/>
      <c r="O568" s="734"/>
      <c r="P568" s="734"/>
      <c r="Q568" s="734"/>
      <c r="R568" s="734"/>
      <c r="S568" s="734"/>
      <c r="T568" s="734"/>
      <c r="U568" s="734"/>
      <c r="V568" s="734"/>
      <c r="W568" s="734"/>
      <c r="X568" s="735"/>
      <c r="Y568" s="811"/>
      <c r="Z568" s="811"/>
      <c r="AA568" s="734"/>
      <c r="AB568" s="811"/>
      <c r="AC568" s="740"/>
      <c r="AD568" s="734"/>
      <c r="AE568" s="734"/>
      <c r="AF568" s="734"/>
      <c r="AG568" s="734"/>
      <c r="AH568" s="734"/>
      <c r="AI568" s="734"/>
      <c r="AJ568" s="879"/>
      <c r="AK568" s="734"/>
      <c r="AL568" s="734"/>
      <c r="AM568" s="734"/>
      <c r="AN568" s="734"/>
      <c r="AO568" s="734"/>
      <c r="AP568" s="52"/>
      <c r="AQ568" s="52"/>
      <c r="AR568" s="52"/>
      <c r="AS568" s="52"/>
      <c r="AT568" s="52"/>
      <c r="AU568" s="52"/>
      <c r="AV568" s="52"/>
      <c r="AW568" s="52"/>
      <c r="AX568" s="52"/>
      <c r="AY568" s="52"/>
      <c r="AZ568" s="734"/>
      <c r="BA568" s="740"/>
      <c r="BB568" s="734"/>
      <c r="BC568" s="740"/>
      <c r="BD568" s="734"/>
      <c r="BE568" s="52"/>
      <c r="BF568" s="52"/>
      <c r="BG568" s="734"/>
      <c r="BH568" s="734"/>
      <c r="BI568" s="734"/>
      <c r="BJ568" s="734"/>
    </row>
    <row r="569">
      <c r="B569" s="740"/>
      <c r="C569" s="869"/>
      <c r="D569" s="734"/>
      <c r="E569" s="734"/>
      <c r="F569" s="740"/>
      <c r="G569" s="734"/>
      <c r="H569" s="734"/>
      <c r="I569" s="777"/>
      <c r="J569" s="740"/>
      <c r="K569" s="734"/>
      <c r="L569" s="734"/>
      <c r="M569" s="734"/>
      <c r="N569" s="734"/>
      <c r="O569" s="734"/>
      <c r="P569" s="734"/>
      <c r="Q569" s="734"/>
      <c r="R569" s="734"/>
      <c r="S569" s="734"/>
      <c r="T569" s="734"/>
      <c r="U569" s="734"/>
      <c r="V569" s="734"/>
      <c r="W569" s="734"/>
      <c r="X569" s="735"/>
      <c r="Y569" s="811"/>
      <c r="Z569" s="811"/>
      <c r="AA569" s="734"/>
      <c r="AB569" s="811"/>
      <c r="AC569" s="740"/>
      <c r="AD569" s="734"/>
      <c r="AE569" s="734"/>
      <c r="AF569" s="734"/>
      <c r="AG569" s="734"/>
      <c r="AH569" s="734"/>
      <c r="AI569" s="734"/>
      <c r="AJ569" s="879"/>
      <c r="AK569" s="734"/>
      <c r="AL569" s="734"/>
      <c r="AM569" s="734"/>
      <c r="AN569" s="734"/>
      <c r="AO569" s="734"/>
      <c r="AP569" s="52"/>
      <c r="AQ569" s="52"/>
      <c r="AR569" s="52"/>
      <c r="AS569" s="52"/>
      <c r="AT569" s="52"/>
      <c r="AU569" s="52"/>
      <c r="AV569" s="52"/>
      <c r="AW569" s="52"/>
      <c r="AX569" s="52"/>
      <c r="AY569" s="52"/>
      <c r="AZ569" s="734"/>
      <c r="BA569" s="740"/>
      <c r="BB569" s="734"/>
      <c r="BC569" s="740"/>
      <c r="BD569" s="734"/>
      <c r="BE569" s="52"/>
      <c r="BF569" s="52"/>
      <c r="BG569" s="734"/>
      <c r="BH569" s="734"/>
      <c r="BI569" s="734"/>
      <c r="BJ569" s="734"/>
    </row>
    <row r="570">
      <c r="B570" s="740"/>
      <c r="C570" s="869"/>
      <c r="D570" s="734"/>
      <c r="E570" s="734"/>
      <c r="F570" s="740"/>
      <c r="G570" s="734"/>
      <c r="H570" s="734"/>
      <c r="I570" s="777"/>
      <c r="J570" s="740"/>
      <c r="K570" s="734"/>
      <c r="L570" s="734"/>
      <c r="M570" s="734"/>
      <c r="N570" s="734"/>
      <c r="O570" s="734"/>
      <c r="P570" s="734"/>
      <c r="Q570" s="734"/>
      <c r="R570" s="734"/>
      <c r="S570" s="734"/>
      <c r="T570" s="734"/>
      <c r="U570" s="734"/>
      <c r="V570" s="734"/>
      <c r="W570" s="734"/>
      <c r="X570" s="735"/>
      <c r="Y570" s="811"/>
      <c r="Z570" s="811"/>
      <c r="AA570" s="734"/>
      <c r="AB570" s="811"/>
      <c r="AC570" s="740"/>
      <c r="AD570" s="734"/>
      <c r="AE570" s="734"/>
      <c r="AF570" s="734"/>
      <c r="AG570" s="734"/>
      <c r="AH570" s="734"/>
      <c r="AI570" s="734"/>
      <c r="AJ570" s="879"/>
      <c r="AK570" s="734"/>
      <c r="AL570" s="734"/>
      <c r="AM570" s="734"/>
      <c r="AN570" s="734"/>
      <c r="AO570" s="734"/>
      <c r="AP570" s="52"/>
      <c r="AQ570" s="52"/>
      <c r="AR570" s="52"/>
      <c r="AS570" s="52"/>
      <c r="AT570" s="52"/>
      <c r="AU570" s="52"/>
      <c r="AV570" s="52"/>
      <c r="AW570" s="52"/>
      <c r="AX570" s="52"/>
      <c r="AY570" s="52"/>
      <c r="AZ570" s="734"/>
      <c r="BA570" s="740"/>
      <c r="BB570" s="734"/>
      <c r="BC570" s="740"/>
      <c r="BD570" s="734"/>
      <c r="BE570" s="52"/>
      <c r="BF570" s="52"/>
      <c r="BG570" s="734"/>
      <c r="BH570" s="734"/>
      <c r="BI570" s="734"/>
      <c r="BJ570" s="734"/>
    </row>
    <row r="571">
      <c r="B571" s="740"/>
      <c r="C571" s="869"/>
      <c r="D571" s="734"/>
      <c r="E571" s="734"/>
      <c r="F571" s="740"/>
      <c r="G571" s="734"/>
      <c r="H571" s="734"/>
      <c r="I571" s="777"/>
      <c r="J571" s="740"/>
      <c r="K571" s="734"/>
      <c r="L571" s="734"/>
      <c r="M571" s="734"/>
      <c r="N571" s="734"/>
      <c r="O571" s="734"/>
      <c r="P571" s="734"/>
      <c r="Q571" s="734"/>
      <c r="R571" s="734"/>
      <c r="S571" s="734"/>
      <c r="T571" s="734"/>
      <c r="U571" s="734"/>
      <c r="V571" s="734"/>
      <c r="W571" s="734"/>
      <c r="X571" s="735"/>
      <c r="Y571" s="811"/>
      <c r="Z571" s="811"/>
      <c r="AA571" s="734"/>
      <c r="AB571" s="811"/>
      <c r="AC571" s="740"/>
      <c r="AD571" s="734"/>
      <c r="AE571" s="734"/>
      <c r="AF571" s="734"/>
      <c r="AG571" s="734"/>
      <c r="AH571" s="734"/>
      <c r="AI571" s="734"/>
      <c r="AJ571" s="879"/>
      <c r="AK571" s="734"/>
      <c r="AL571" s="734"/>
      <c r="AM571" s="734"/>
      <c r="AN571" s="734"/>
      <c r="AO571" s="734"/>
      <c r="AP571" s="52"/>
      <c r="AQ571" s="52"/>
      <c r="AR571" s="52"/>
      <c r="AS571" s="52"/>
      <c r="AT571" s="52"/>
      <c r="AU571" s="52"/>
      <c r="AV571" s="52"/>
      <c r="AW571" s="52"/>
      <c r="AX571" s="52"/>
      <c r="AY571" s="52"/>
      <c r="AZ571" s="734"/>
      <c r="BA571" s="740"/>
      <c r="BB571" s="734"/>
      <c r="BC571" s="740"/>
      <c r="BD571" s="734"/>
      <c r="BE571" s="52"/>
      <c r="BF571" s="52"/>
      <c r="BG571" s="734"/>
      <c r="BH571" s="734"/>
      <c r="BI571" s="734"/>
      <c r="BJ571" s="734"/>
    </row>
    <row r="572">
      <c r="B572" s="740"/>
      <c r="C572" s="869"/>
      <c r="D572" s="734"/>
      <c r="E572" s="734"/>
      <c r="F572" s="740"/>
      <c r="G572" s="734"/>
      <c r="H572" s="734"/>
      <c r="I572" s="777"/>
      <c r="J572" s="740"/>
      <c r="K572" s="734"/>
      <c r="L572" s="734"/>
      <c r="M572" s="734"/>
      <c r="N572" s="734"/>
      <c r="O572" s="734"/>
      <c r="P572" s="734"/>
      <c r="Q572" s="734"/>
      <c r="R572" s="734"/>
      <c r="S572" s="734"/>
      <c r="T572" s="734"/>
      <c r="U572" s="734"/>
      <c r="V572" s="734"/>
      <c r="W572" s="734"/>
      <c r="X572" s="735"/>
      <c r="Y572" s="811"/>
      <c r="Z572" s="811"/>
      <c r="AA572" s="734"/>
      <c r="AB572" s="811"/>
      <c r="AC572" s="740"/>
      <c r="AD572" s="734"/>
      <c r="AE572" s="734"/>
      <c r="AF572" s="734"/>
      <c r="AG572" s="734"/>
      <c r="AH572" s="734"/>
      <c r="AI572" s="734"/>
      <c r="AJ572" s="879"/>
      <c r="AK572" s="734"/>
      <c r="AL572" s="734"/>
      <c r="AM572" s="734"/>
      <c r="AN572" s="734"/>
      <c r="AO572" s="734"/>
      <c r="AP572" s="52"/>
      <c r="AQ572" s="52"/>
      <c r="AR572" s="52"/>
      <c r="AS572" s="52"/>
      <c r="AT572" s="52"/>
      <c r="AU572" s="52"/>
      <c r="AV572" s="52"/>
      <c r="AW572" s="52"/>
      <c r="AX572" s="52"/>
      <c r="AY572" s="52"/>
      <c r="AZ572" s="734"/>
      <c r="BA572" s="740"/>
      <c r="BB572" s="734"/>
      <c r="BC572" s="740"/>
      <c r="BD572" s="734"/>
      <c r="BE572" s="52"/>
      <c r="BF572" s="52"/>
      <c r="BG572" s="734"/>
      <c r="BH572" s="734"/>
      <c r="BI572" s="734"/>
      <c r="BJ572" s="734"/>
    </row>
    <row r="573">
      <c r="B573" s="740"/>
      <c r="C573" s="869"/>
      <c r="D573" s="734"/>
      <c r="E573" s="734"/>
      <c r="F573" s="740"/>
      <c r="G573" s="734"/>
      <c r="H573" s="734"/>
      <c r="I573" s="777"/>
      <c r="J573" s="740"/>
      <c r="K573" s="734"/>
      <c r="L573" s="734"/>
      <c r="M573" s="734"/>
      <c r="N573" s="734"/>
      <c r="O573" s="734"/>
      <c r="P573" s="734"/>
      <c r="Q573" s="734"/>
      <c r="R573" s="734"/>
      <c r="S573" s="734"/>
      <c r="T573" s="734"/>
      <c r="U573" s="734"/>
      <c r="V573" s="734"/>
      <c r="W573" s="734"/>
      <c r="X573" s="735"/>
      <c r="Y573" s="811"/>
      <c r="Z573" s="811"/>
      <c r="AA573" s="734"/>
      <c r="AB573" s="811"/>
      <c r="AC573" s="740"/>
      <c r="AD573" s="734"/>
      <c r="AE573" s="734"/>
      <c r="AF573" s="734"/>
      <c r="AG573" s="734"/>
      <c r="AH573" s="734"/>
      <c r="AI573" s="734"/>
      <c r="AJ573" s="879"/>
      <c r="AK573" s="734"/>
      <c r="AL573" s="734"/>
      <c r="AM573" s="734"/>
      <c r="AN573" s="734"/>
      <c r="AO573" s="734"/>
      <c r="AP573" s="52"/>
      <c r="AQ573" s="52"/>
      <c r="AR573" s="52"/>
      <c r="AS573" s="52"/>
      <c r="AT573" s="52"/>
      <c r="AU573" s="52"/>
      <c r="AV573" s="52"/>
      <c r="AW573" s="52"/>
      <c r="AX573" s="52"/>
      <c r="AY573" s="52"/>
      <c r="AZ573" s="734"/>
      <c r="BA573" s="740"/>
      <c r="BB573" s="734"/>
      <c r="BC573" s="740"/>
      <c r="BD573" s="734"/>
      <c r="BE573" s="52"/>
      <c r="BF573" s="52"/>
      <c r="BG573" s="734"/>
      <c r="BH573" s="734"/>
      <c r="BI573" s="734"/>
      <c r="BJ573" s="734"/>
    </row>
    <row r="574">
      <c r="B574" s="740"/>
      <c r="C574" s="869"/>
      <c r="D574" s="734"/>
      <c r="E574" s="734"/>
      <c r="F574" s="740"/>
      <c r="G574" s="734"/>
      <c r="H574" s="734"/>
      <c r="I574" s="777"/>
      <c r="J574" s="740"/>
      <c r="K574" s="734"/>
      <c r="L574" s="734"/>
      <c r="M574" s="734"/>
      <c r="N574" s="734"/>
      <c r="O574" s="734"/>
      <c r="P574" s="734"/>
      <c r="Q574" s="734"/>
      <c r="R574" s="734"/>
      <c r="S574" s="734"/>
      <c r="T574" s="734"/>
      <c r="U574" s="734"/>
      <c r="V574" s="734"/>
      <c r="W574" s="734"/>
      <c r="X574" s="735"/>
      <c r="Y574" s="811"/>
      <c r="Z574" s="811"/>
      <c r="AA574" s="734"/>
      <c r="AB574" s="811"/>
      <c r="AC574" s="740"/>
      <c r="AD574" s="734"/>
      <c r="AE574" s="734"/>
      <c r="AF574" s="734"/>
      <c r="AG574" s="734"/>
      <c r="AH574" s="734"/>
      <c r="AI574" s="734"/>
      <c r="AJ574" s="879"/>
      <c r="AK574" s="734"/>
      <c r="AL574" s="734"/>
      <c r="AM574" s="734"/>
      <c r="AN574" s="734"/>
      <c r="AO574" s="734"/>
      <c r="AP574" s="52"/>
      <c r="AQ574" s="52"/>
      <c r="AR574" s="52"/>
      <c r="AS574" s="52"/>
      <c r="AT574" s="52"/>
      <c r="AU574" s="52"/>
      <c r="AV574" s="52"/>
      <c r="AW574" s="52"/>
      <c r="AX574" s="52"/>
      <c r="AY574" s="52"/>
      <c r="AZ574" s="734"/>
      <c r="BA574" s="740"/>
      <c r="BB574" s="734"/>
      <c r="BC574" s="740"/>
      <c r="BD574" s="734"/>
      <c r="BE574" s="52"/>
      <c r="BF574" s="52"/>
      <c r="BG574" s="734"/>
      <c r="BH574" s="734"/>
      <c r="BI574" s="734"/>
      <c r="BJ574" s="734"/>
    </row>
    <row r="575">
      <c r="B575" s="740"/>
      <c r="C575" s="869"/>
      <c r="D575" s="734"/>
      <c r="E575" s="734"/>
      <c r="F575" s="740"/>
      <c r="G575" s="734"/>
      <c r="H575" s="734"/>
      <c r="I575" s="777"/>
      <c r="J575" s="740"/>
      <c r="K575" s="734"/>
      <c r="L575" s="734"/>
      <c r="M575" s="734"/>
      <c r="N575" s="734"/>
      <c r="O575" s="734"/>
      <c r="P575" s="734"/>
      <c r="Q575" s="734"/>
      <c r="R575" s="734"/>
      <c r="S575" s="734"/>
      <c r="T575" s="734"/>
      <c r="U575" s="734"/>
      <c r="V575" s="734"/>
      <c r="W575" s="734"/>
      <c r="X575" s="735"/>
      <c r="Y575" s="811"/>
      <c r="Z575" s="811"/>
      <c r="AA575" s="734"/>
      <c r="AB575" s="811"/>
      <c r="AC575" s="740"/>
      <c r="AD575" s="734"/>
      <c r="AE575" s="734"/>
      <c r="AF575" s="734"/>
      <c r="AG575" s="734"/>
      <c r="AH575" s="734"/>
      <c r="AI575" s="734"/>
      <c r="AJ575" s="879"/>
      <c r="AK575" s="734"/>
      <c r="AL575" s="734"/>
      <c r="AM575" s="734"/>
      <c r="AN575" s="734"/>
      <c r="AO575" s="734"/>
      <c r="AP575" s="52"/>
      <c r="AQ575" s="52"/>
      <c r="AR575" s="52"/>
      <c r="AS575" s="52"/>
      <c r="AT575" s="52"/>
      <c r="AU575" s="52"/>
      <c r="AV575" s="52"/>
      <c r="AW575" s="52"/>
      <c r="AX575" s="52"/>
      <c r="AY575" s="52"/>
      <c r="AZ575" s="734"/>
      <c r="BA575" s="740"/>
      <c r="BB575" s="734"/>
      <c r="BC575" s="740"/>
      <c r="BD575" s="734"/>
      <c r="BE575" s="52"/>
      <c r="BF575" s="52"/>
      <c r="BG575" s="734"/>
      <c r="BH575" s="734"/>
      <c r="BI575" s="734"/>
      <c r="BJ575" s="734"/>
    </row>
    <row r="576">
      <c r="B576" s="740"/>
      <c r="C576" s="869"/>
      <c r="D576" s="734"/>
      <c r="E576" s="734"/>
      <c r="F576" s="740"/>
      <c r="G576" s="734"/>
      <c r="H576" s="734"/>
      <c r="I576" s="777"/>
      <c r="J576" s="740"/>
      <c r="K576" s="734"/>
      <c r="L576" s="734"/>
      <c r="M576" s="734"/>
      <c r="N576" s="734"/>
      <c r="O576" s="734"/>
      <c r="P576" s="734"/>
      <c r="Q576" s="734"/>
      <c r="R576" s="734"/>
      <c r="S576" s="734"/>
      <c r="T576" s="734"/>
      <c r="U576" s="734"/>
      <c r="V576" s="734"/>
      <c r="W576" s="734"/>
      <c r="X576" s="735"/>
      <c r="Y576" s="811"/>
      <c r="Z576" s="811"/>
      <c r="AA576" s="734"/>
      <c r="AB576" s="811"/>
      <c r="AC576" s="740"/>
      <c r="AD576" s="734"/>
      <c r="AE576" s="734"/>
      <c r="AF576" s="734"/>
      <c r="AG576" s="734"/>
      <c r="AH576" s="734"/>
      <c r="AI576" s="734"/>
      <c r="AJ576" s="879"/>
      <c r="AK576" s="734"/>
      <c r="AL576" s="734"/>
      <c r="AM576" s="734"/>
      <c r="AN576" s="734"/>
      <c r="AO576" s="734"/>
      <c r="AP576" s="52"/>
      <c r="AQ576" s="52"/>
      <c r="AR576" s="52"/>
      <c r="AS576" s="52"/>
      <c r="AT576" s="52"/>
      <c r="AU576" s="52"/>
      <c r="AV576" s="52"/>
      <c r="AW576" s="52"/>
      <c r="AX576" s="52"/>
      <c r="AY576" s="52"/>
      <c r="AZ576" s="734"/>
      <c r="BA576" s="740"/>
      <c r="BB576" s="734"/>
      <c r="BC576" s="740"/>
      <c r="BD576" s="734"/>
      <c r="BE576" s="52"/>
      <c r="BF576" s="52"/>
      <c r="BG576" s="734"/>
      <c r="BH576" s="734"/>
      <c r="BI576" s="734"/>
      <c r="BJ576" s="734"/>
    </row>
    <row r="577">
      <c r="B577" s="740"/>
      <c r="C577" s="869"/>
      <c r="D577" s="734"/>
      <c r="E577" s="734"/>
      <c r="F577" s="740"/>
      <c r="G577" s="734"/>
      <c r="H577" s="734"/>
      <c r="I577" s="777"/>
      <c r="J577" s="740"/>
      <c r="K577" s="734"/>
      <c r="L577" s="734"/>
      <c r="M577" s="734"/>
      <c r="N577" s="734"/>
      <c r="O577" s="734"/>
      <c r="P577" s="734"/>
      <c r="Q577" s="734"/>
      <c r="R577" s="734"/>
      <c r="S577" s="734"/>
      <c r="T577" s="734"/>
      <c r="U577" s="734"/>
      <c r="V577" s="734"/>
      <c r="W577" s="734"/>
      <c r="X577" s="735"/>
      <c r="Y577" s="811"/>
      <c r="Z577" s="811"/>
      <c r="AA577" s="734"/>
      <c r="AB577" s="811"/>
      <c r="AC577" s="740"/>
      <c r="AD577" s="734"/>
      <c r="AE577" s="734"/>
      <c r="AF577" s="734"/>
      <c r="AG577" s="734"/>
      <c r="AH577" s="734"/>
      <c r="AI577" s="734"/>
      <c r="AJ577" s="879"/>
      <c r="AK577" s="734"/>
      <c r="AL577" s="734"/>
      <c r="AM577" s="734"/>
      <c r="AN577" s="734"/>
      <c r="AO577" s="734"/>
      <c r="AP577" s="52"/>
      <c r="AQ577" s="52"/>
      <c r="AR577" s="52"/>
      <c r="AS577" s="52"/>
      <c r="AT577" s="52"/>
      <c r="AU577" s="52"/>
      <c r="AV577" s="52"/>
      <c r="AW577" s="52"/>
      <c r="AX577" s="52"/>
      <c r="AY577" s="52"/>
      <c r="AZ577" s="734"/>
      <c r="BA577" s="740"/>
      <c r="BB577" s="734"/>
      <c r="BC577" s="740"/>
      <c r="BD577" s="734"/>
      <c r="BE577" s="52"/>
      <c r="BF577" s="52"/>
      <c r="BG577" s="734"/>
      <c r="BH577" s="734"/>
      <c r="BI577" s="734"/>
      <c r="BJ577" s="734"/>
    </row>
    <row r="578">
      <c r="B578" s="740"/>
      <c r="C578" s="869"/>
      <c r="D578" s="734"/>
      <c r="E578" s="734"/>
      <c r="F578" s="740"/>
      <c r="G578" s="734"/>
      <c r="H578" s="734"/>
      <c r="I578" s="777"/>
      <c r="J578" s="740"/>
      <c r="K578" s="734"/>
      <c r="L578" s="734"/>
      <c r="M578" s="734"/>
      <c r="N578" s="734"/>
      <c r="O578" s="734"/>
      <c r="P578" s="734"/>
      <c r="Q578" s="734"/>
      <c r="R578" s="734"/>
      <c r="S578" s="734"/>
      <c r="T578" s="734"/>
      <c r="U578" s="734"/>
      <c r="V578" s="734"/>
      <c r="W578" s="734"/>
      <c r="X578" s="735"/>
      <c r="Y578" s="811"/>
      <c r="Z578" s="811"/>
      <c r="AA578" s="734"/>
      <c r="AB578" s="811"/>
      <c r="AC578" s="740"/>
      <c r="AD578" s="734"/>
      <c r="AE578" s="734"/>
      <c r="AF578" s="734"/>
      <c r="AG578" s="734"/>
      <c r="AH578" s="734"/>
      <c r="AI578" s="734"/>
      <c r="AJ578" s="879"/>
      <c r="AK578" s="734"/>
      <c r="AL578" s="734"/>
      <c r="AM578" s="734"/>
      <c r="AN578" s="734"/>
      <c r="AO578" s="734"/>
      <c r="AP578" s="52"/>
      <c r="AQ578" s="52"/>
      <c r="AR578" s="52"/>
      <c r="AS578" s="52"/>
      <c r="AT578" s="52"/>
      <c r="AU578" s="52"/>
      <c r="AV578" s="52"/>
      <c r="AW578" s="52"/>
      <c r="AX578" s="52"/>
      <c r="AY578" s="52"/>
      <c r="AZ578" s="734"/>
      <c r="BA578" s="740"/>
      <c r="BB578" s="734"/>
      <c r="BC578" s="740"/>
      <c r="BD578" s="734"/>
      <c r="BE578" s="52"/>
      <c r="BF578" s="52"/>
      <c r="BG578" s="734"/>
      <c r="BH578" s="734"/>
      <c r="BI578" s="734"/>
      <c r="BJ578" s="734"/>
    </row>
    <row r="579">
      <c r="B579" s="740"/>
      <c r="C579" s="869"/>
      <c r="D579" s="734"/>
      <c r="E579" s="734"/>
      <c r="F579" s="740"/>
      <c r="G579" s="734"/>
      <c r="H579" s="734"/>
      <c r="I579" s="777"/>
      <c r="J579" s="740"/>
      <c r="K579" s="734"/>
      <c r="L579" s="734"/>
      <c r="M579" s="734"/>
      <c r="N579" s="734"/>
      <c r="O579" s="734"/>
      <c r="P579" s="734"/>
      <c r="Q579" s="734"/>
      <c r="R579" s="734"/>
      <c r="S579" s="734"/>
      <c r="T579" s="734"/>
      <c r="U579" s="734"/>
      <c r="V579" s="734"/>
      <c r="W579" s="734"/>
      <c r="X579" s="735"/>
      <c r="Y579" s="811"/>
      <c r="Z579" s="811"/>
      <c r="AA579" s="734"/>
      <c r="AB579" s="811"/>
      <c r="AC579" s="740"/>
      <c r="AD579" s="734"/>
      <c r="AE579" s="734"/>
      <c r="AF579" s="734"/>
      <c r="AG579" s="734"/>
      <c r="AH579" s="734"/>
      <c r="AI579" s="734"/>
      <c r="AJ579" s="879"/>
      <c r="AK579" s="734"/>
      <c r="AL579" s="734"/>
      <c r="AM579" s="734"/>
      <c r="AN579" s="734"/>
      <c r="AO579" s="734"/>
      <c r="AP579" s="52"/>
      <c r="AQ579" s="52"/>
      <c r="AR579" s="52"/>
      <c r="AS579" s="52"/>
      <c r="AT579" s="52"/>
      <c r="AU579" s="52"/>
      <c r="AV579" s="52"/>
      <c r="AW579" s="52"/>
      <c r="AX579" s="52"/>
      <c r="AY579" s="52"/>
      <c r="AZ579" s="734"/>
      <c r="BA579" s="740"/>
      <c r="BB579" s="734"/>
      <c r="BC579" s="740"/>
      <c r="BD579" s="734"/>
      <c r="BE579" s="52"/>
      <c r="BF579" s="52"/>
      <c r="BG579" s="734"/>
      <c r="BH579" s="734"/>
      <c r="BI579" s="734"/>
      <c r="BJ579" s="734"/>
    </row>
    <row r="580">
      <c r="B580" s="740"/>
      <c r="C580" s="869"/>
      <c r="D580" s="734"/>
      <c r="E580" s="734"/>
      <c r="F580" s="740"/>
      <c r="G580" s="734"/>
      <c r="H580" s="734"/>
      <c r="I580" s="777"/>
      <c r="J580" s="740"/>
      <c r="K580" s="734"/>
      <c r="L580" s="734"/>
      <c r="M580" s="734"/>
      <c r="N580" s="734"/>
      <c r="O580" s="734"/>
      <c r="P580" s="734"/>
      <c r="Q580" s="734"/>
      <c r="R580" s="734"/>
      <c r="S580" s="734"/>
      <c r="T580" s="734"/>
      <c r="U580" s="734"/>
      <c r="V580" s="734"/>
      <c r="W580" s="734"/>
      <c r="X580" s="735"/>
      <c r="Y580" s="811"/>
      <c r="Z580" s="811"/>
      <c r="AA580" s="734"/>
      <c r="AB580" s="811"/>
      <c r="AC580" s="740"/>
      <c r="AD580" s="734"/>
      <c r="AE580" s="734"/>
      <c r="AF580" s="734"/>
      <c r="AG580" s="734"/>
      <c r="AH580" s="734"/>
      <c r="AI580" s="734"/>
      <c r="AJ580" s="879"/>
      <c r="AK580" s="734"/>
      <c r="AL580" s="734"/>
      <c r="AM580" s="734"/>
      <c r="AN580" s="734"/>
      <c r="AO580" s="734"/>
      <c r="AP580" s="52"/>
      <c r="AQ580" s="52"/>
      <c r="AR580" s="52"/>
      <c r="AS580" s="52"/>
      <c r="AT580" s="52"/>
      <c r="AU580" s="52"/>
      <c r="AV580" s="52"/>
      <c r="AW580" s="52"/>
      <c r="AX580" s="52"/>
      <c r="AY580" s="52"/>
      <c r="AZ580" s="734"/>
      <c r="BA580" s="740"/>
      <c r="BB580" s="734"/>
      <c r="BC580" s="740"/>
      <c r="BD580" s="734"/>
      <c r="BE580" s="52"/>
      <c r="BF580" s="52"/>
      <c r="BG580" s="734"/>
      <c r="BH580" s="734"/>
      <c r="BI580" s="734"/>
      <c r="BJ580" s="734"/>
    </row>
    <row r="581">
      <c r="B581" s="740"/>
      <c r="C581" s="869"/>
      <c r="D581" s="734"/>
      <c r="E581" s="734"/>
      <c r="F581" s="740"/>
      <c r="G581" s="734"/>
      <c r="H581" s="734"/>
      <c r="I581" s="777"/>
      <c r="J581" s="740"/>
      <c r="K581" s="734"/>
      <c r="L581" s="734"/>
      <c r="M581" s="734"/>
      <c r="N581" s="734"/>
      <c r="O581" s="734"/>
      <c r="P581" s="734"/>
      <c r="Q581" s="734"/>
      <c r="R581" s="734"/>
      <c r="S581" s="734"/>
      <c r="T581" s="734"/>
      <c r="U581" s="734"/>
      <c r="V581" s="734"/>
      <c r="W581" s="734"/>
      <c r="X581" s="735"/>
      <c r="Y581" s="811"/>
      <c r="Z581" s="811"/>
      <c r="AA581" s="734"/>
      <c r="AB581" s="811"/>
      <c r="AC581" s="740"/>
      <c r="AD581" s="734"/>
      <c r="AE581" s="734"/>
      <c r="AF581" s="734"/>
      <c r="AG581" s="734"/>
      <c r="AH581" s="734"/>
      <c r="AI581" s="734"/>
      <c r="AJ581" s="879"/>
      <c r="AK581" s="734"/>
      <c r="AL581" s="734"/>
      <c r="AM581" s="734"/>
      <c r="AN581" s="734"/>
      <c r="AO581" s="734"/>
      <c r="AP581" s="52"/>
      <c r="AQ581" s="52"/>
      <c r="AR581" s="52"/>
      <c r="AS581" s="52"/>
      <c r="AT581" s="52"/>
      <c r="AU581" s="52"/>
      <c r="AV581" s="52"/>
      <c r="AW581" s="52"/>
      <c r="AX581" s="52"/>
      <c r="AY581" s="52"/>
      <c r="AZ581" s="734"/>
      <c r="BA581" s="740"/>
      <c r="BB581" s="734"/>
      <c r="BC581" s="740"/>
      <c r="BD581" s="734"/>
      <c r="BE581" s="52"/>
      <c r="BF581" s="52"/>
      <c r="BG581" s="734"/>
      <c r="BH581" s="734"/>
      <c r="BI581" s="734"/>
      <c r="BJ581" s="734"/>
    </row>
    <row r="582">
      <c r="B582" s="740"/>
      <c r="C582" s="869"/>
      <c r="D582" s="734"/>
      <c r="E582" s="734"/>
      <c r="F582" s="740"/>
      <c r="G582" s="734"/>
      <c r="H582" s="734"/>
      <c r="I582" s="777"/>
      <c r="J582" s="740"/>
      <c r="K582" s="734"/>
      <c r="L582" s="734"/>
      <c r="M582" s="734"/>
      <c r="N582" s="734"/>
      <c r="O582" s="734"/>
      <c r="P582" s="734"/>
      <c r="Q582" s="734"/>
      <c r="R582" s="734"/>
      <c r="S582" s="734"/>
      <c r="T582" s="734"/>
      <c r="U582" s="734"/>
      <c r="V582" s="734"/>
      <c r="W582" s="734"/>
      <c r="X582" s="735"/>
      <c r="Y582" s="811"/>
      <c r="Z582" s="811"/>
      <c r="AA582" s="734"/>
      <c r="AB582" s="811"/>
      <c r="AC582" s="740"/>
      <c r="AD582" s="734"/>
      <c r="AE582" s="734"/>
      <c r="AF582" s="734"/>
      <c r="AG582" s="734"/>
      <c r="AH582" s="734"/>
      <c r="AI582" s="734"/>
      <c r="AJ582" s="879"/>
      <c r="AK582" s="734"/>
      <c r="AL582" s="734"/>
      <c r="AM582" s="734"/>
      <c r="AN582" s="734"/>
      <c r="AO582" s="734"/>
      <c r="AP582" s="52"/>
      <c r="AQ582" s="52"/>
      <c r="AR582" s="52"/>
      <c r="AS582" s="52"/>
      <c r="AT582" s="52"/>
      <c r="AU582" s="52"/>
      <c r="AV582" s="52"/>
      <c r="AW582" s="52"/>
      <c r="AX582" s="52"/>
      <c r="AY582" s="52"/>
      <c r="AZ582" s="734"/>
      <c r="BA582" s="740"/>
      <c r="BB582" s="734"/>
      <c r="BC582" s="740"/>
      <c r="BD582" s="734"/>
      <c r="BE582" s="52"/>
      <c r="BF582" s="52"/>
      <c r="BG582" s="734"/>
      <c r="BH582" s="734"/>
      <c r="BI582" s="734"/>
      <c r="BJ582" s="734"/>
    </row>
    <row r="583">
      <c r="B583" s="740"/>
      <c r="C583" s="869"/>
      <c r="D583" s="734"/>
      <c r="E583" s="734"/>
      <c r="F583" s="740"/>
      <c r="G583" s="734"/>
      <c r="H583" s="734"/>
      <c r="I583" s="777"/>
      <c r="J583" s="740"/>
      <c r="K583" s="734"/>
      <c r="L583" s="734"/>
      <c r="M583" s="734"/>
      <c r="N583" s="734"/>
      <c r="O583" s="734"/>
      <c r="P583" s="734"/>
      <c r="Q583" s="734"/>
      <c r="R583" s="734"/>
      <c r="S583" s="734"/>
      <c r="T583" s="734"/>
      <c r="U583" s="734"/>
      <c r="V583" s="734"/>
      <c r="W583" s="734"/>
      <c r="X583" s="735"/>
      <c r="Y583" s="811"/>
      <c r="Z583" s="811"/>
      <c r="AA583" s="734"/>
      <c r="AB583" s="811"/>
      <c r="AC583" s="740"/>
      <c r="AD583" s="734"/>
      <c r="AE583" s="734"/>
      <c r="AF583" s="734"/>
      <c r="AG583" s="734"/>
      <c r="AH583" s="734"/>
      <c r="AI583" s="734"/>
      <c r="AJ583" s="879"/>
      <c r="AK583" s="734"/>
      <c r="AL583" s="734"/>
      <c r="AM583" s="734"/>
      <c r="AN583" s="734"/>
      <c r="AO583" s="734"/>
      <c r="AP583" s="52"/>
      <c r="AQ583" s="52"/>
      <c r="AR583" s="52"/>
      <c r="AS583" s="52"/>
      <c r="AT583" s="52"/>
      <c r="AU583" s="52"/>
      <c r="AV583" s="52"/>
      <c r="AW583" s="52"/>
      <c r="AX583" s="52"/>
      <c r="AY583" s="52"/>
      <c r="AZ583" s="734"/>
      <c r="BA583" s="740"/>
      <c r="BB583" s="734"/>
      <c r="BC583" s="740"/>
      <c r="BD583" s="734"/>
      <c r="BE583" s="52"/>
      <c r="BF583" s="52"/>
      <c r="BG583" s="734"/>
      <c r="BH583" s="734"/>
      <c r="BI583" s="734"/>
      <c r="BJ583" s="734"/>
    </row>
    <row r="584">
      <c r="B584" s="740"/>
      <c r="C584" s="869"/>
      <c r="D584" s="734"/>
      <c r="E584" s="734"/>
      <c r="F584" s="740"/>
      <c r="G584" s="734"/>
      <c r="H584" s="734"/>
      <c r="I584" s="777"/>
      <c r="J584" s="740"/>
      <c r="K584" s="734"/>
      <c r="L584" s="734"/>
      <c r="M584" s="734"/>
      <c r="N584" s="734"/>
      <c r="O584" s="734"/>
      <c r="P584" s="734"/>
      <c r="Q584" s="734"/>
      <c r="R584" s="734"/>
      <c r="S584" s="734"/>
      <c r="T584" s="734"/>
      <c r="U584" s="734"/>
      <c r="V584" s="734"/>
      <c r="W584" s="734"/>
      <c r="X584" s="735"/>
      <c r="Y584" s="811"/>
      <c r="Z584" s="811"/>
      <c r="AA584" s="734"/>
      <c r="AB584" s="811"/>
      <c r="AC584" s="740"/>
      <c r="AD584" s="734"/>
      <c r="AE584" s="734"/>
      <c r="AF584" s="734"/>
      <c r="AG584" s="734"/>
      <c r="AH584" s="734"/>
      <c r="AI584" s="734"/>
      <c r="AJ584" s="879"/>
      <c r="AK584" s="734"/>
      <c r="AL584" s="734"/>
      <c r="AM584" s="734"/>
      <c r="AN584" s="734"/>
      <c r="AO584" s="734"/>
      <c r="AP584" s="52"/>
      <c r="AQ584" s="52"/>
      <c r="AR584" s="52"/>
      <c r="AS584" s="52"/>
      <c r="AT584" s="52"/>
      <c r="AU584" s="52"/>
      <c r="AV584" s="52"/>
      <c r="AW584" s="52"/>
      <c r="AX584" s="52"/>
      <c r="AY584" s="52"/>
      <c r="AZ584" s="734"/>
      <c r="BA584" s="740"/>
      <c r="BB584" s="734"/>
      <c r="BC584" s="740"/>
      <c r="BD584" s="734"/>
      <c r="BE584" s="52"/>
      <c r="BF584" s="52"/>
      <c r="BG584" s="734"/>
      <c r="BH584" s="734"/>
      <c r="BI584" s="734"/>
      <c r="BJ584" s="734"/>
    </row>
    <row r="585">
      <c r="B585" s="740"/>
      <c r="C585" s="869"/>
      <c r="D585" s="734"/>
      <c r="E585" s="734"/>
      <c r="F585" s="740"/>
      <c r="G585" s="734"/>
      <c r="H585" s="734"/>
      <c r="I585" s="777"/>
      <c r="J585" s="740"/>
      <c r="K585" s="734"/>
      <c r="L585" s="734"/>
      <c r="M585" s="734"/>
      <c r="N585" s="734"/>
      <c r="O585" s="734"/>
      <c r="P585" s="734"/>
      <c r="Q585" s="734"/>
      <c r="R585" s="734"/>
      <c r="S585" s="734"/>
      <c r="T585" s="734"/>
      <c r="U585" s="734"/>
      <c r="V585" s="734"/>
      <c r="W585" s="734"/>
      <c r="X585" s="735"/>
      <c r="Y585" s="811"/>
      <c r="Z585" s="811"/>
      <c r="AA585" s="734"/>
      <c r="AB585" s="811"/>
      <c r="AC585" s="740"/>
      <c r="AD585" s="734"/>
      <c r="AE585" s="734"/>
      <c r="AF585" s="734"/>
      <c r="AG585" s="734"/>
      <c r="AH585" s="734"/>
      <c r="AI585" s="734"/>
      <c r="AJ585" s="879"/>
      <c r="AK585" s="734"/>
      <c r="AL585" s="734"/>
      <c r="AM585" s="734"/>
      <c r="AN585" s="734"/>
      <c r="AO585" s="734"/>
      <c r="AP585" s="52"/>
      <c r="AQ585" s="52"/>
      <c r="AR585" s="52"/>
      <c r="AS585" s="52"/>
      <c r="AT585" s="52"/>
      <c r="AU585" s="52"/>
      <c r="AV585" s="52"/>
      <c r="AW585" s="52"/>
      <c r="AX585" s="52"/>
      <c r="AY585" s="52"/>
      <c r="AZ585" s="734"/>
      <c r="BA585" s="740"/>
      <c r="BB585" s="734"/>
      <c r="BC585" s="740"/>
      <c r="BD585" s="734"/>
      <c r="BE585" s="52"/>
      <c r="BF585" s="52"/>
      <c r="BG585" s="734"/>
      <c r="BH585" s="734"/>
      <c r="BI585" s="734"/>
      <c r="BJ585" s="734"/>
    </row>
    <row r="586">
      <c r="B586" s="740"/>
      <c r="C586" s="869"/>
      <c r="D586" s="734"/>
      <c r="E586" s="734"/>
      <c r="F586" s="740"/>
      <c r="G586" s="734"/>
      <c r="H586" s="734"/>
      <c r="I586" s="777"/>
      <c r="J586" s="740"/>
      <c r="K586" s="734"/>
      <c r="L586" s="734"/>
      <c r="M586" s="734"/>
      <c r="N586" s="734"/>
      <c r="O586" s="734"/>
      <c r="P586" s="734"/>
      <c r="Q586" s="734"/>
      <c r="R586" s="734"/>
      <c r="S586" s="734"/>
      <c r="T586" s="734"/>
      <c r="U586" s="734"/>
      <c r="V586" s="734"/>
      <c r="W586" s="734"/>
      <c r="X586" s="735"/>
      <c r="Y586" s="811"/>
      <c r="Z586" s="811"/>
      <c r="AA586" s="734"/>
      <c r="AB586" s="811"/>
      <c r="AC586" s="740"/>
      <c r="AD586" s="734"/>
      <c r="AE586" s="734"/>
      <c r="AF586" s="734"/>
      <c r="AG586" s="734"/>
      <c r="AH586" s="734"/>
      <c r="AI586" s="734"/>
      <c r="AJ586" s="879"/>
      <c r="AK586" s="734"/>
      <c r="AL586" s="734"/>
      <c r="AM586" s="734"/>
      <c r="AN586" s="734"/>
      <c r="AO586" s="734"/>
      <c r="AP586" s="52"/>
      <c r="AQ586" s="52"/>
      <c r="AR586" s="52"/>
      <c r="AS586" s="52"/>
      <c r="AT586" s="52"/>
      <c r="AU586" s="52"/>
      <c r="AV586" s="52"/>
      <c r="AW586" s="52"/>
      <c r="AX586" s="52"/>
      <c r="AY586" s="52"/>
      <c r="AZ586" s="734"/>
      <c r="BA586" s="740"/>
      <c r="BB586" s="734"/>
      <c r="BC586" s="740"/>
      <c r="BD586" s="734"/>
      <c r="BE586" s="52"/>
      <c r="BF586" s="52"/>
      <c r="BG586" s="734"/>
      <c r="BH586" s="734"/>
      <c r="BI586" s="734"/>
      <c r="BJ586" s="734"/>
    </row>
    <row r="587">
      <c r="B587" s="740"/>
      <c r="C587" s="869"/>
      <c r="D587" s="734"/>
      <c r="E587" s="734"/>
      <c r="F587" s="740"/>
      <c r="G587" s="734"/>
      <c r="H587" s="734"/>
      <c r="I587" s="777"/>
      <c r="J587" s="740"/>
      <c r="K587" s="734"/>
      <c r="L587" s="734"/>
      <c r="M587" s="734"/>
      <c r="N587" s="734"/>
      <c r="O587" s="734"/>
      <c r="P587" s="734"/>
      <c r="Q587" s="734"/>
      <c r="R587" s="734"/>
      <c r="S587" s="734"/>
      <c r="T587" s="734"/>
      <c r="U587" s="734"/>
      <c r="V587" s="734"/>
      <c r="W587" s="734"/>
      <c r="X587" s="735"/>
      <c r="Y587" s="811"/>
      <c r="Z587" s="811"/>
      <c r="AA587" s="734"/>
      <c r="AB587" s="811"/>
      <c r="AC587" s="740"/>
      <c r="AD587" s="734"/>
      <c r="AE587" s="734"/>
      <c r="AF587" s="734"/>
      <c r="AG587" s="734"/>
      <c r="AH587" s="734"/>
      <c r="AI587" s="734"/>
      <c r="AJ587" s="879"/>
      <c r="AK587" s="734"/>
      <c r="AL587" s="734"/>
      <c r="AM587" s="734"/>
      <c r="AN587" s="734"/>
      <c r="AO587" s="734"/>
      <c r="AP587" s="52"/>
      <c r="AQ587" s="52"/>
      <c r="AR587" s="52"/>
      <c r="AS587" s="52"/>
      <c r="AT587" s="52"/>
      <c r="AU587" s="52"/>
      <c r="AV587" s="52"/>
      <c r="AW587" s="52"/>
      <c r="AX587" s="52"/>
      <c r="AY587" s="52"/>
      <c r="AZ587" s="734"/>
      <c r="BA587" s="740"/>
      <c r="BB587" s="734"/>
      <c r="BC587" s="740"/>
      <c r="BD587" s="734"/>
      <c r="BE587" s="52"/>
      <c r="BF587" s="52"/>
      <c r="BG587" s="734"/>
      <c r="BH587" s="734"/>
      <c r="BI587" s="734"/>
      <c r="BJ587" s="734"/>
    </row>
    <row r="588">
      <c r="B588" s="740"/>
      <c r="C588" s="869"/>
      <c r="D588" s="734"/>
      <c r="E588" s="734"/>
      <c r="F588" s="740"/>
      <c r="G588" s="734"/>
      <c r="H588" s="734"/>
      <c r="I588" s="777"/>
      <c r="J588" s="740"/>
      <c r="K588" s="734"/>
      <c r="L588" s="734"/>
      <c r="M588" s="734"/>
      <c r="N588" s="734"/>
      <c r="O588" s="734"/>
      <c r="P588" s="734"/>
      <c r="Q588" s="734"/>
      <c r="R588" s="734"/>
      <c r="S588" s="734"/>
      <c r="T588" s="734"/>
      <c r="U588" s="734"/>
      <c r="V588" s="734"/>
      <c r="W588" s="734"/>
      <c r="X588" s="735"/>
      <c r="Y588" s="811"/>
      <c r="Z588" s="811"/>
      <c r="AA588" s="734"/>
      <c r="AB588" s="811"/>
      <c r="AC588" s="740"/>
      <c r="AD588" s="734"/>
      <c r="AE588" s="734"/>
      <c r="AF588" s="734"/>
      <c r="AG588" s="734"/>
      <c r="AH588" s="734"/>
      <c r="AI588" s="734"/>
      <c r="AJ588" s="879"/>
      <c r="AK588" s="734"/>
      <c r="AL588" s="734"/>
      <c r="AM588" s="734"/>
      <c r="AN588" s="734"/>
      <c r="AO588" s="734"/>
      <c r="AP588" s="52"/>
      <c r="AQ588" s="52"/>
      <c r="AR588" s="52"/>
      <c r="AS588" s="52"/>
      <c r="AT588" s="52"/>
      <c r="AU588" s="52"/>
      <c r="AV588" s="52"/>
      <c r="AW588" s="52"/>
      <c r="AX588" s="52"/>
      <c r="AY588" s="52"/>
      <c r="AZ588" s="734"/>
      <c r="BA588" s="740"/>
      <c r="BB588" s="734"/>
      <c r="BC588" s="740"/>
      <c r="BD588" s="734"/>
      <c r="BE588" s="52"/>
      <c r="BF588" s="52"/>
      <c r="BG588" s="734"/>
      <c r="BH588" s="734"/>
      <c r="BI588" s="734"/>
      <c r="BJ588" s="734"/>
    </row>
    <row r="589">
      <c r="B589" s="740"/>
      <c r="C589" s="869"/>
      <c r="D589" s="734"/>
      <c r="E589" s="734"/>
      <c r="F589" s="740"/>
      <c r="G589" s="734"/>
      <c r="H589" s="734"/>
      <c r="I589" s="777"/>
      <c r="J589" s="740"/>
      <c r="K589" s="734"/>
      <c r="L589" s="734"/>
      <c r="M589" s="734"/>
      <c r="N589" s="734"/>
      <c r="O589" s="734"/>
      <c r="P589" s="734"/>
      <c r="Q589" s="734"/>
      <c r="R589" s="734"/>
      <c r="S589" s="734"/>
      <c r="T589" s="734"/>
      <c r="U589" s="734"/>
      <c r="V589" s="734"/>
      <c r="W589" s="734"/>
      <c r="X589" s="735"/>
      <c r="Y589" s="811"/>
      <c r="Z589" s="811"/>
      <c r="AA589" s="734"/>
      <c r="AB589" s="811"/>
      <c r="AC589" s="740"/>
      <c r="AD589" s="734"/>
      <c r="AE589" s="734"/>
      <c r="AF589" s="734"/>
      <c r="AG589" s="734"/>
      <c r="AH589" s="734"/>
      <c r="AI589" s="734"/>
      <c r="AJ589" s="879"/>
      <c r="AK589" s="734"/>
      <c r="AL589" s="734"/>
      <c r="AM589" s="734"/>
      <c r="AN589" s="734"/>
      <c r="AO589" s="734"/>
      <c r="AP589" s="52"/>
      <c r="AQ589" s="52"/>
      <c r="AR589" s="52"/>
      <c r="AS589" s="52"/>
      <c r="AT589" s="52"/>
      <c r="AU589" s="52"/>
      <c r="AV589" s="52"/>
      <c r="AW589" s="52"/>
      <c r="AX589" s="52"/>
      <c r="AY589" s="52"/>
      <c r="AZ589" s="734"/>
      <c r="BA589" s="740"/>
      <c r="BB589" s="734"/>
      <c r="BC589" s="740"/>
      <c r="BD589" s="734"/>
      <c r="BE589" s="52"/>
      <c r="BF589" s="52"/>
      <c r="BG589" s="734"/>
      <c r="BH589" s="734"/>
      <c r="BI589" s="734"/>
      <c r="BJ589" s="734"/>
    </row>
    <row r="590">
      <c r="B590" s="740"/>
      <c r="C590" s="869"/>
      <c r="D590" s="734"/>
      <c r="E590" s="734"/>
      <c r="F590" s="740"/>
      <c r="G590" s="734"/>
      <c r="H590" s="734"/>
      <c r="I590" s="777"/>
      <c r="J590" s="740"/>
      <c r="K590" s="734"/>
      <c r="L590" s="734"/>
      <c r="M590" s="734"/>
      <c r="N590" s="734"/>
      <c r="O590" s="734"/>
      <c r="P590" s="734"/>
      <c r="Q590" s="734"/>
      <c r="R590" s="734"/>
      <c r="S590" s="734"/>
      <c r="T590" s="734"/>
      <c r="U590" s="734"/>
      <c r="V590" s="734"/>
      <c r="W590" s="734"/>
      <c r="X590" s="735"/>
      <c r="Y590" s="811"/>
      <c r="Z590" s="811"/>
      <c r="AA590" s="734"/>
      <c r="AB590" s="811"/>
      <c r="AC590" s="740"/>
      <c r="AD590" s="734"/>
      <c r="AE590" s="734"/>
      <c r="AF590" s="734"/>
      <c r="AG590" s="734"/>
      <c r="AH590" s="734"/>
      <c r="AI590" s="734"/>
      <c r="AJ590" s="879"/>
      <c r="AK590" s="734"/>
      <c r="AL590" s="734"/>
      <c r="AM590" s="734"/>
      <c r="AN590" s="734"/>
      <c r="AO590" s="734"/>
      <c r="AP590" s="52"/>
      <c r="AQ590" s="52"/>
      <c r="AR590" s="52"/>
      <c r="AS590" s="52"/>
      <c r="AT590" s="52"/>
      <c r="AU590" s="52"/>
      <c r="AV590" s="52"/>
      <c r="AW590" s="52"/>
      <c r="AX590" s="52"/>
      <c r="AY590" s="52"/>
      <c r="AZ590" s="734"/>
      <c r="BA590" s="740"/>
      <c r="BB590" s="734"/>
      <c r="BC590" s="740"/>
      <c r="BD590" s="734"/>
      <c r="BE590" s="52"/>
      <c r="BF590" s="52"/>
      <c r="BG590" s="734"/>
      <c r="BH590" s="734"/>
      <c r="BI590" s="734"/>
      <c r="BJ590" s="734"/>
    </row>
    <row r="591">
      <c r="B591" s="740"/>
      <c r="C591" s="869"/>
      <c r="D591" s="734"/>
      <c r="E591" s="734"/>
      <c r="F591" s="740"/>
      <c r="G591" s="734"/>
      <c r="H591" s="734"/>
      <c r="I591" s="777"/>
      <c r="J591" s="740"/>
      <c r="K591" s="734"/>
      <c r="L591" s="734"/>
      <c r="M591" s="734"/>
      <c r="N591" s="734"/>
      <c r="O591" s="734"/>
      <c r="P591" s="734"/>
      <c r="Q591" s="734"/>
      <c r="R591" s="734"/>
      <c r="S591" s="734"/>
      <c r="T591" s="734"/>
      <c r="U591" s="734"/>
      <c r="V591" s="734"/>
      <c r="W591" s="734"/>
      <c r="X591" s="735"/>
      <c r="Y591" s="811"/>
      <c r="Z591" s="811"/>
      <c r="AA591" s="734"/>
      <c r="AB591" s="811"/>
      <c r="AC591" s="740"/>
      <c r="AD591" s="734"/>
      <c r="AE591" s="734"/>
      <c r="AF591" s="734"/>
      <c r="AG591" s="734"/>
      <c r="AH591" s="734"/>
      <c r="AI591" s="734"/>
      <c r="AJ591" s="879"/>
      <c r="AK591" s="734"/>
      <c r="AL591" s="734"/>
      <c r="AM591" s="734"/>
      <c r="AN591" s="734"/>
      <c r="AO591" s="734"/>
      <c r="AP591" s="52"/>
      <c r="AQ591" s="52"/>
      <c r="AR591" s="52"/>
      <c r="AS591" s="52"/>
      <c r="AT591" s="52"/>
      <c r="AU591" s="52"/>
      <c r="AV591" s="52"/>
      <c r="AW591" s="52"/>
      <c r="AX591" s="52"/>
      <c r="AY591" s="52"/>
      <c r="AZ591" s="734"/>
      <c r="BA591" s="740"/>
      <c r="BB591" s="734"/>
      <c r="BC591" s="740"/>
      <c r="BD591" s="734"/>
      <c r="BE591" s="52"/>
      <c r="BF591" s="52"/>
      <c r="BG591" s="734"/>
      <c r="BH591" s="734"/>
      <c r="BI591" s="734"/>
      <c r="BJ591" s="734"/>
    </row>
    <row r="592">
      <c r="B592" s="740"/>
      <c r="C592" s="869"/>
      <c r="D592" s="734"/>
      <c r="E592" s="734"/>
      <c r="F592" s="740"/>
      <c r="G592" s="734"/>
      <c r="H592" s="734"/>
      <c r="I592" s="777"/>
      <c r="J592" s="740"/>
      <c r="K592" s="734"/>
      <c r="L592" s="734"/>
      <c r="M592" s="734"/>
      <c r="N592" s="734"/>
      <c r="O592" s="734"/>
      <c r="P592" s="734"/>
      <c r="Q592" s="734"/>
      <c r="R592" s="734"/>
      <c r="S592" s="734"/>
      <c r="T592" s="734"/>
      <c r="U592" s="734"/>
      <c r="V592" s="734"/>
      <c r="W592" s="734"/>
      <c r="X592" s="735"/>
      <c r="Y592" s="811"/>
      <c r="Z592" s="811"/>
      <c r="AA592" s="734"/>
      <c r="AB592" s="811"/>
      <c r="AC592" s="740"/>
      <c r="AD592" s="734"/>
      <c r="AE592" s="734"/>
      <c r="AF592" s="734"/>
      <c r="AG592" s="734"/>
      <c r="AH592" s="734"/>
      <c r="AI592" s="734"/>
      <c r="AJ592" s="879"/>
      <c r="AK592" s="734"/>
      <c r="AL592" s="734"/>
      <c r="AM592" s="734"/>
      <c r="AN592" s="734"/>
      <c r="AO592" s="734"/>
      <c r="AP592" s="52"/>
      <c r="AQ592" s="52"/>
      <c r="AR592" s="52"/>
      <c r="AS592" s="52"/>
      <c r="AT592" s="52"/>
      <c r="AU592" s="52"/>
      <c r="AV592" s="52"/>
      <c r="AW592" s="52"/>
      <c r="AX592" s="52"/>
      <c r="AY592" s="52"/>
      <c r="AZ592" s="734"/>
      <c r="BA592" s="740"/>
      <c r="BB592" s="734"/>
      <c r="BC592" s="740"/>
      <c r="BD592" s="734"/>
      <c r="BE592" s="52"/>
      <c r="BF592" s="52"/>
      <c r="BG592" s="734"/>
      <c r="BH592" s="734"/>
      <c r="BI592" s="734"/>
      <c r="BJ592" s="734"/>
    </row>
    <row r="593">
      <c r="B593" s="740"/>
      <c r="C593" s="869"/>
      <c r="D593" s="734"/>
      <c r="E593" s="734"/>
      <c r="F593" s="740"/>
      <c r="G593" s="734"/>
      <c r="H593" s="734"/>
      <c r="I593" s="777"/>
      <c r="J593" s="740"/>
      <c r="K593" s="734"/>
      <c r="L593" s="734"/>
      <c r="M593" s="734"/>
      <c r="N593" s="734"/>
      <c r="O593" s="734"/>
      <c r="P593" s="734"/>
      <c r="Q593" s="734"/>
      <c r="R593" s="734"/>
      <c r="S593" s="734"/>
      <c r="T593" s="734"/>
      <c r="U593" s="734"/>
      <c r="V593" s="734"/>
      <c r="W593" s="734"/>
      <c r="X593" s="735"/>
      <c r="Y593" s="811"/>
      <c r="Z593" s="811"/>
      <c r="AA593" s="734"/>
      <c r="AB593" s="811"/>
      <c r="AC593" s="740"/>
      <c r="AD593" s="734"/>
      <c r="AE593" s="734"/>
      <c r="AF593" s="734"/>
      <c r="AG593" s="734"/>
      <c r="AH593" s="734"/>
      <c r="AI593" s="734"/>
      <c r="AJ593" s="879"/>
      <c r="AK593" s="734"/>
      <c r="AL593" s="734"/>
      <c r="AM593" s="734"/>
      <c r="AN593" s="734"/>
      <c r="AO593" s="734"/>
      <c r="AP593" s="52"/>
      <c r="AQ593" s="52"/>
      <c r="AR593" s="52"/>
      <c r="AS593" s="52"/>
      <c r="AT593" s="52"/>
      <c r="AU593" s="52"/>
      <c r="AV593" s="52"/>
      <c r="AW593" s="52"/>
      <c r="AX593" s="52"/>
      <c r="AY593" s="52"/>
      <c r="AZ593" s="734"/>
      <c r="BA593" s="740"/>
      <c r="BB593" s="734"/>
      <c r="BC593" s="740"/>
      <c r="BD593" s="734"/>
      <c r="BE593" s="52"/>
      <c r="BF593" s="52"/>
      <c r="BG593" s="734"/>
      <c r="BH593" s="734"/>
      <c r="BI593" s="734"/>
      <c r="BJ593" s="734"/>
    </row>
    <row r="594">
      <c r="B594" s="740"/>
      <c r="C594" s="869"/>
      <c r="D594" s="734"/>
      <c r="E594" s="734"/>
      <c r="F594" s="740"/>
      <c r="G594" s="734"/>
      <c r="H594" s="734"/>
      <c r="I594" s="777"/>
      <c r="J594" s="740"/>
      <c r="K594" s="734"/>
      <c r="L594" s="734"/>
      <c r="M594" s="734"/>
      <c r="N594" s="734"/>
      <c r="O594" s="734"/>
      <c r="P594" s="734"/>
      <c r="Q594" s="734"/>
      <c r="R594" s="734"/>
      <c r="S594" s="734"/>
      <c r="T594" s="734"/>
      <c r="U594" s="734"/>
      <c r="V594" s="734"/>
      <c r="W594" s="734"/>
      <c r="X594" s="735"/>
      <c r="Y594" s="811"/>
      <c r="Z594" s="811"/>
      <c r="AA594" s="734"/>
      <c r="AB594" s="811"/>
      <c r="AC594" s="740"/>
      <c r="AD594" s="734"/>
      <c r="AE594" s="734"/>
      <c r="AF594" s="734"/>
      <c r="AG594" s="734"/>
      <c r="AH594" s="734"/>
      <c r="AI594" s="734"/>
      <c r="AJ594" s="879"/>
      <c r="AK594" s="734"/>
      <c r="AL594" s="734"/>
      <c r="AM594" s="734"/>
      <c r="AN594" s="734"/>
      <c r="AO594" s="734"/>
      <c r="AP594" s="52"/>
      <c r="AQ594" s="52"/>
      <c r="AR594" s="52"/>
      <c r="AS594" s="52"/>
      <c r="AT594" s="52"/>
      <c r="AU594" s="52"/>
      <c r="AV594" s="52"/>
      <c r="AW594" s="52"/>
      <c r="AX594" s="52"/>
      <c r="AY594" s="52"/>
      <c r="AZ594" s="734"/>
      <c r="BA594" s="740"/>
      <c r="BB594" s="734"/>
      <c r="BC594" s="740"/>
      <c r="BD594" s="734"/>
      <c r="BE594" s="52"/>
      <c r="BF594" s="52"/>
      <c r="BG594" s="734"/>
      <c r="BH594" s="734"/>
      <c r="BI594" s="734"/>
      <c r="BJ594" s="734"/>
    </row>
    <row r="595">
      <c r="B595" s="740"/>
      <c r="C595" s="869"/>
      <c r="D595" s="734"/>
      <c r="E595" s="734"/>
      <c r="F595" s="740"/>
      <c r="G595" s="734"/>
      <c r="H595" s="734"/>
      <c r="I595" s="777"/>
      <c r="J595" s="740"/>
      <c r="K595" s="734"/>
      <c r="L595" s="734"/>
      <c r="M595" s="734"/>
      <c r="N595" s="734"/>
      <c r="O595" s="734"/>
      <c r="P595" s="734"/>
      <c r="Q595" s="734"/>
      <c r="R595" s="734"/>
      <c r="S595" s="734"/>
      <c r="T595" s="734"/>
      <c r="U595" s="734"/>
      <c r="V595" s="734"/>
      <c r="W595" s="734"/>
      <c r="X595" s="735"/>
      <c r="Y595" s="811"/>
      <c r="Z595" s="811"/>
      <c r="AA595" s="734"/>
      <c r="AB595" s="811"/>
      <c r="AC595" s="740"/>
      <c r="AD595" s="734"/>
      <c r="AE595" s="734"/>
      <c r="AF595" s="734"/>
      <c r="AG595" s="734"/>
      <c r="AH595" s="734"/>
      <c r="AI595" s="734"/>
      <c r="AJ595" s="879"/>
      <c r="AK595" s="734"/>
      <c r="AL595" s="734"/>
      <c r="AM595" s="734"/>
      <c r="AN595" s="734"/>
      <c r="AO595" s="734"/>
      <c r="AP595" s="52"/>
      <c r="AQ595" s="52"/>
      <c r="AR595" s="52"/>
      <c r="AS595" s="52"/>
      <c r="AT595" s="52"/>
      <c r="AU595" s="52"/>
      <c r="AV595" s="52"/>
      <c r="AW595" s="52"/>
      <c r="AX595" s="52"/>
      <c r="AY595" s="52"/>
      <c r="AZ595" s="734"/>
      <c r="BA595" s="740"/>
      <c r="BB595" s="734"/>
      <c r="BC595" s="740"/>
      <c r="BD595" s="734"/>
      <c r="BE595" s="52"/>
      <c r="BF595" s="52"/>
      <c r="BG595" s="734"/>
      <c r="BH595" s="734"/>
      <c r="BI595" s="734"/>
      <c r="BJ595" s="734"/>
    </row>
    <row r="596">
      <c r="B596" s="740"/>
      <c r="C596" s="869"/>
      <c r="D596" s="734"/>
      <c r="E596" s="734"/>
      <c r="F596" s="740"/>
      <c r="G596" s="734"/>
      <c r="H596" s="734"/>
      <c r="I596" s="777"/>
      <c r="J596" s="740"/>
      <c r="K596" s="734"/>
      <c r="L596" s="734"/>
      <c r="M596" s="734"/>
      <c r="N596" s="734"/>
      <c r="O596" s="734"/>
      <c r="P596" s="734"/>
      <c r="Q596" s="734"/>
      <c r="R596" s="734"/>
      <c r="S596" s="734"/>
      <c r="T596" s="734"/>
      <c r="U596" s="734"/>
      <c r="V596" s="734"/>
      <c r="W596" s="734"/>
      <c r="X596" s="735"/>
      <c r="Y596" s="811"/>
      <c r="Z596" s="811"/>
      <c r="AA596" s="734"/>
      <c r="AB596" s="811"/>
      <c r="AC596" s="740"/>
      <c r="AD596" s="734"/>
      <c r="AE596" s="734"/>
      <c r="AF596" s="734"/>
      <c r="AG596" s="734"/>
      <c r="AH596" s="734"/>
      <c r="AI596" s="734"/>
      <c r="AJ596" s="879"/>
      <c r="AK596" s="734"/>
      <c r="AL596" s="734"/>
      <c r="AM596" s="734"/>
      <c r="AN596" s="734"/>
      <c r="AO596" s="734"/>
      <c r="AP596" s="52"/>
      <c r="AQ596" s="52"/>
      <c r="AR596" s="52"/>
      <c r="AS596" s="52"/>
      <c r="AT596" s="52"/>
      <c r="AU596" s="52"/>
      <c r="AV596" s="52"/>
      <c r="AW596" s="52"/>
      <c r="AX596" s="52"/>
      <c r="AY596" s="52"/>
      <c r="AZ596" s="734"/>
      <c r="BA596" s="740"/>
      <c r="BB596" s="734"/>
      <c r="BC596" s="740"/>
      <c r="BD596" s="734"/>
      <c r="BE596" s="52"/>
      <c r="BF596" s="52"/>
      <c r="BG596" s="734"/>
      <c r="BH596" s="734"/>
      <c r="BI596" s="734"/>
      <c r="BJ596" s="734"/>
    </row>
    <row r="597">
      <c r="B597" s="740"/>
      <c r="C597" s="869"/>
      <c r="D597" s="734"/>
      <c r="E597" s="734"/>
      <c r="F597" s="740"/>
      <c r="G597" s="734"/>
      <c r="H597" s="734"/>
      <c r="I597" s="777"/>
      <c r="J597" s="740"/>
      <c r="K597" s="734"/>
      <c r="L597" s="734"/>
      <c r="M597" s="734"/>
      <c r="N597" s="734"/>
      <c r="O597" s="734"/>
      <c r="P597" s="734"/>
      <c r="Q597" s="734"/>
      <c r="R597" s="734"/>
      <c r="S597" s="734"/>
      <c r="T597" s="734"/>
      <c r="U597" s="734"/>
      <c r="V597" s="734"/>
      <c r="W597" s="734"/>
      <c r="X597" s="735"/>
      <c r="Y597" s="811"/>
      <c r="Z597" s="811"/>
      <c r="AA597" s="734"/>
      <c r="AB597" s="811"/>
      <c r="AC597" s="740"/>
      <c r="AD597" s="734"/>
      <c r="AE597" s="734"/>
      <c r="AF597" s="734"/>
      <c r="AG597" s="734"/>
      <c r="AH597" s="734"/>
      <c r="AI597" s="734"/>
      <c r="AJ597" s="879"/>
      <c r="AK597" s="734"/>
      <c r="AL597" s="734"/>
      <c r="AM597" s="734"/>
      <c r="AN597" s="734"/>
      <c r="AO597" s="734"/>
      <c r="AP597" s="52"/>
      <c r="AQ597" s="52"/>
      <c r="AR597" s="52"/>
      <c r="AS597" s="52"/>
      <c r="AT597" s="52"/>
      <c r="AU597" s="52"/>
      <c r="AV597" s="52"/>
      <c r="AW597" s="52"/>
      <c r="AX597" s="52"/>
      <c r="AY597" s="52"/>
      <c r="AZ597" s="734"/>
      <c r="BA597" s="740"/>
      <c r="BB597" s="734"/>
      <c r="BC597" s="740"/>
      <c r="BD597" s="734"/>
      <c r="BE597" s="52"/>
      <c r="BF597" s="52"/>
      <c r="BG597" s="734"/>
      <c r="BH597" s="734"/>
      <c r="BI597" s="734"/>
      <c r="BJ597" s="734"/>
    </row>
    <row r="598">
      <c r="B598" s="740"/>
      <c r="C598" s="869"/>
      <c r="D598" s="734"/>
      <c r="E598" s="734"/>
      <c r="F598" s="740"/>
      <c r="G598" s="734"/>
      <c r="H598" s="734"/>
      <c r="I598" s="777"/>
      <c r="J598" s="740"/>
      <c r="K598" s="734"/>
      <c r="L598" s="734"/>
      <c r="M598" s="734"/>
      <c r="N598" s="734"/>
      <c r="O598" s="734"/>
      <c r="P598" s="734"/>
      <c r="Q598" s="734"/>
      <c r="R598" s="734"/>
      <c r="S598" s="734"/>
      <c r="T598" s="734"/>
      <c r="U598" s="734"/>
      <c r="V598" s="734"/>
      <c r="W598" s="734"/>
      <c r="X598" s="735"/>
      <c r="Y598" s="811"/>
      <c r="Z598" s="811"/>
      <c r="AA598" s="734"/>
      <c r="AB598" s="811"/>
      <c r="AC598" s="740"/>
      <c r="AD598" s="734"/>
      <c r="AE598" s="734"/>
      <c r="AF598" s="734"/>
      <c r="AG598" s="734"/>
      <c r="AH598" s="734"/>
      <c r="AI598" s="734"/>
      <c r="AJ598" s="879"/>
      <c r="AK598" s="734"/>
      <c r="AL598" s="734"/>
      <c r="AM598" s="734"/>
      <c r="AN598" s="734"/>
      <c r="AO598" s="734"/>
      <c r="AP598" s="52"/>
      <c r="AQ598" s="52"/>
      <c r="AR598" s="52"/>
      <c r="AS598" s="52"/>
      <c r="AT598" s="52"/>
      <c r="AU598" s="52"/>
      <c r="AV598" s="52"/>
      <c r="AW598" s="52"/>
      <c r="AX598" s="52"/>
      <c r="AY598" s="52"/>
      <c r="AZ598" s="734"/>
      <c r="BA598" s="740"/>
      <c r="BB598" s="734"/>
      <c r="BC598" s="740"/>
      <c r="BD598" s="734"/>
      <c r="BE598" s="52"/>
      <c r="BF598" s="52"/>
      <c r="BG598" s="734"/>
      <c r="BH598" s="734"/>
      <c r="BI598" s="734"/>
      <c r="BJ598" s="734"/>
    </row>
    <row r="599">
      <c r="B599" s="740"/>
      <c r="C599" s="869"/>
      <c r="D599" s="734"/>
      <c r="E599" s="734"/>
      <c r="F599" s="740"/>
      <c r="G599" s="734"/>
      <c r="H599" s="734"/>
      <c r="I599" s="777"/>
      <c r="J599" s="740"/>
      <c r="K599" s="734"/>
      <c r="L599" s="734"/>
      <c r="M599" s="734"/>
      <c r="N599" s="734"/>
      <c r="O599" s="734"/>
      <c r="P599" s="734"/>
      <c r="Q599" s="734"/>
      <c r="R599" s="734"/>
      <c r="S599" s="734"/>
      <c r="T599" s="734"/>
      <c r="U599" s="734"/>
      <c r="V599" s="734"/>
      <c r="W599" s="734"/>
      <c r="X599" s="735"/>
      <c r="Y599" s="811"/>
      <c r="Z599" s="811"/>
      <c r="AA599" s="734"/>
      <c r="AB599" s="811"/>
      <c r="AC599" s="740"/>
      <c r="AD599" s="734"/>
      <c r="AE599" s="734"/>
      <c r="AF599" s="734"/>
      <c r="AG599" s="734"/>
      <c r="AH599" s="734"/>
      <c r="AI599" s="734"/>
      <c r="AJ599" s="879"/>
      <c r="AK599" s="734"/>
      <c r="AL599" s="734"/>
      <c r="AM599" s="734"/>
      <c r="AN599" s="734"/>
      <c r="AO599" s="734"/>
      <c r="AP599" s="52"/>
      <c r="AQ599" s="52"/>
      <c r="AR599" s="52"/>
      <c r="AS599" s="52"/>
      <c r="AT599" s="52"/>
      <c r="AU599" s="52"/>
      <c r="AV599" s="52"/>
      <c r="AW599" s="52"/>
      <c r="AX599" s="52"/>
      <c r="AY599" s="52"/>
      <c r="AZ599" s="734"/>
      <c r="BA599" s="740"/>
      <c r="BB599" s="734"/>
      <c r="BC599" s="740"/>
      <c r="BD599" s="734"/>
      <c r="BE599" s="52"/>
      <c r="BF599" s="52"/>
      <c r="BG599" s="734"/>
      <c r="BH599" s="734"/>
      <c r="BI599" s="734"/>
      <c r="BJ599" s="734"/>
    </row>
    <row r="600">
      <c r="B600" s="740"/>
      <c r="C600" s="869"/>
      <c r="D600" s="734"/>
      <c r="E600" s="734"/>
      <c r="F600" s="740"/>
      <c r="G600" s="734"/>
      <c r="H600" s="734"/>
      <c r="I600" s="777"/>
      <c r="J600" s="740"/>
      <c r="K600" s="734"/>
      <c r="L600" s="734"/>
      <c r="M600" s="734"/>
      <c r="N600" s="734"/>
      <c r="O600" s="734"/>
      <c r="P600" s="734"/>
      <c r="Q600" s="734"/>
      <c r="R600" s="734"/>
      <c r="S600" s="734"/>
      <c r="T600" s="734"/>
      <c r="U600" s="734"/>
      <c r="V600" s="734"/>
      <c r="W600" s="734"/>
      <c r="X600" s="735"/>
      <c r="Y600" s="811"/>
      <c r="Z600" s="811"/>
      <c r="AA600" s="734"/>
      <c r="AB600" s="811"/>
      <c r="AC600" s="740"/>
      <c r="AD600" s="734"/>
      <c r="AE600" s="734"/>
      <c r="AF600" s="734"/>
      <c r="AG600" s="734"/>
      <c r="AH600" s="734"/>
      <c r="AI600" s="734"/>
      <c r="AJ600" s="879"/>
      <c r="AK600" s="734"/>
      <c r="AL600" s="734"/>
      <c r="AM600" s="734"/>
      <c r="AN600" s="734"/>
      <c r="AO600" s="734"/>
      <c r="AP600" s="52"/>
      <c r="AQ600" s="52"/>
      <c r="AR600" s="52"/>
      <c r="AS600" s="52"/>
      <c r="AT600" s="52"/>
      <c r="AU600" s="52"/>
      <c r="AV600" s="52"/>
      <c r="AW600" s="52"/>
      <c r="AX600" s="52"/>
      <c r="AY600" s="52"/>
      <c r="AZ600" s="734"/>
      <c r="BA600" s="740"/>
      <c r="BB600" s="734"/>
      <c r="BC600" s="740"/>
      <c r="BD600" s="734"/>
      <c r="BE600" s="52"/>
      <c r="BF600" s="52"/>
      <c r="BG600" s="734"/>
      <c r="BH600" s="734"/>
      <c r="BI600" s="734"/>
      <c r="BJ600" s="734"/>
    </row>
    <row r="601">
      <c r="B601" s="740"/>
      <c r="C601" s="869"/>
      <c r="D601" s="734"/>
      <c r="E601" s="734"/>
      <c r="F601" s="740"/>
      <c r="G601" s="734"/>
      <c r="H601" s="734"/>
      <c r="I601" s="777"/>
      <c r="J601" s="740"/>
      <c r="K601" s="734"/>
      <c r="L601" s="734"/>
      <c r="M601" s="734"/>
      <c r="N601" s="734"/>
      <c r="O601" s="734"/>
      <c r="P601" s="734"/>
      <c r="Q601" s="734"/>
      <c r="R601" s="734"/>
      <c r="S601" s="734"/>
      <c r="T601" s="734"/>
      <c r="U601" s="734"/>
      <c r="V601" s="734"/>
      <c r="W601" s="734"/>
      <c r="X601" s="735"/>
      <c r="Y601" s="811"/>
      <c r="Z601" s="811"/>
      <c r="AA601" s="734"/>
      <c r="AB601" s="811"/>
      <c r="AC601" s="740"/>
      <c r="AD601" s="734"/>
      <c r="AE601" s="734"/>
      <c r="AF601" s="734"/>
      <c r="AG601" s="734"/>
      <c r="AH601" s="734"/>
      <c r="AI601" s="734"/>
      <c r="AJ601" s="879"/>
      <c r="AK601" s="734"/>
      <c r="AL601" s="734"/>
      <c r="AM601" s="734"/>
      <c r="AN601" s="734"/>
      <c r="AO601" s="734"/>
      <c r="AP601" s="52"/>
      <c r="AQ601" s="52"/>
      <c r="AR601" s="52"/>
      <c r="AS601" s="52"/>
      <c r="AT601" s="52"/>
      <c r="AU601" s="52"/>
      <c r="AV601" s="52"/>
      <c r="AW601" s="52"/>
      <c r="AX601" s="52"/>
      <c r="AY601" s="52"/>
      <c r="AZ601" s="734"/>
      <c r="BA601" s="740"/>
      <c r="BB601" s="734"/>
      <c r="BC601" s="740"/>
      <c r="BD601" s="734"/>
      <c r="BE601" s="52"/>
      <c r="BF601" s="52"/>
      <c r="BG601" s="734"/>
      <c r="BH601" s="734"/>
      <c r="BI601" s="734"/>
      <c r="BJ601" s="734"/>
    </row>
    <row r="602">
      <c r="B602" s="740"/>
      <c r="C602" s="869"/>
      <c r="D602" s="734"/>
      <c r="E602" s="734"/>
      <c r="F602" s="740"/>
      <c r="G602" s="734"/>
      <c r="H602" s="734"/>
      <c r="I602" s="777"/>
      <c r="J602" s="740"/>
      <c r="K602" s="734"/>
      <c r="L602" s="734"/>
      <c r="M602" s="734"/>
      <c r="N602" s="734"/>
      <c r="O602" s="734"/>
      <c r="P602" s="734"/>
      <c r="Q602" s="734"/>
      <c r="R602" s="734"/>
      <c r="S602" s="734"/>
      <c r="T602" s="734"/>
      <c r="U602" s="734"/>
      <c r="V602" s="734"/>
      <c r="W602" s="734"/>
      <c r="X602" s="735"/>
      <c r="Y602" s="811"/>
      <c r="Z602" s="811"/>
      <c r="AA602" s="734"/>
      <c r="AB602" s="811"/>
      <c r="AC602" s="740"/>
      <c r="AD602" s="734"/>
      <c r="AE602" s="734"/>
      <c r="AF602" s="734"/>
      <c r="AG602" s="734"/>
      <c r="AH602" s="734"/>
      <c r="AI602" s="734"/>
      <c r="AJ602" s="879"/>
      <c r="AK602" s="734"/>
      <c r="AL602" s="734"/>
      <c r="AM602" s="734"/>
      <c r="AN602" s="734"/>
      <c r="AO602" s="734"/>
      <c r="AP602" s="52"/>
      <c r="AQ602" s="52"/>
      <c r="AR602" s="52"/>
      <c r="AS602" s="52"/>
      <c r="AT602" s="52"/>
      <c r="AU602" s="52"/>
      <c r="AV602" s="52"/>
      <c r="AW602" s="52"/>
      <c r="AX602" s="52"/>
      <c r="AY602" s="52"/>
      <c r="AZ602" s="734"/>
      <c r="BA602" s="740"/>
      <c r="BB602" s="734"/>
      <c r="BC602" s="740"/>
      <c r="BD602" s="734"/>
      <c r="BE602" s="52"/>
      <c r="BF602" s="52"/>
      <c r="BG602" s="734"/>
      <c r="BH602" s="734"/>
      <c r="BI602" s="734"/>
      <c r="BJ602" s="734"/>
    </row>
    <row r="603">
      <c r="B603" s="740"/>
      <c r="C603" s="869"/>
      <c r="D603" s="734"/>
      <c r="E603" s="734"/>
      <c r="F603" s="740"/>
      <c r="G603" s="734"/>
      <c r="H603" s="734"/>
      <c r="I603" s="777"/>
      <c r="J603" s="740"/>
      <c r="K603" s="734"/>
      <c r="L603" s="734"/>
      <c r="M603" s="734"/>
      <c r="N603" s="734"/>
      <c r="O603" s="734"/>
      <c r="P603" s="734"/>
      <c r="Q603" s="734"/>
      <c r="R603" s="734"/>
      <c r="S603" s="734"/>
      <c r="T603" s="734"/>
      <c r="U603" s="734"/>
      <c r="V603" s="734"/>
      <c r="W603" s="734"/>
      <c r="X603" s="735"/>
      <c r="Y603" s="811"/>
      <c r="Z603" s="811"/>
      <c r="AA603" s="734"/>
      <c r="AB603" s="811"/>
      <c r="AC603" s="740"/>
      <c r="AD603" s="734"/>
      <c r="AE603" s="734"/>
      <c r="AF603" s="734"/>
      <c r="AG603" s="734"/>
      <c r="AH603" s="734"/>
      <c r="AI603" s="734"/>
      <c r="AJ603" s="879"/>
      <c r="AK603" s="734"/>
      <c r="AL603" s="734"/>
      <c r="AM603" s="734"/>
      <c r="AN603" s="734"/>
      <c r="AO603" s="734"/>
      <c r="AP603" s="52"/>
      <c r="AQ603" s="52"/>
      <c r="AR603" s="52"/>
      <c r="AS603" s="52"/>
      <c r="AT603" s="52"/>
      <c r="AU603" s="52"/>
      <c r="AV603" s="52"/>
      <c r="AW603" s="52"/>
      <c r="AX603" s="52"/>
      <c r="AY603" s="52"/>
      <c r="AZ603" s="734"/>
      <c r="BA603" s="740"/>
      <c r="BB603" s="734"/>
      <c r="BC603" s="740"/>
      <c r="BD603" s="734"/>
      <c r="BE603" s="52"/>
      <c r="BF603" s="52"/>
      <c r="BG603" s="734"/>
      <c r="BH603" s="734"/>
      <c r="BI603" s="734"/>
      <c r="BJ603" s="734"/>
    </row>
    <row r="604">
      <c r="B604" s="740"/>
      <c r="C604" s="869"/>
      <c r="D604" s="734"/>
      <c r="E604" s="734"/>
      <c r="F604" s="740"/>
      <c r="G604" s="734"/>
      <c r="H604" s="734"/>
      <c r="I604" s="777"/>
      <c r="J604" s="740"/>
      <c r="K604" s="734"/>
      <c r="L604" s="734"/>
      <c r="M604" s="734"/>
      <c r="N604" s="734"/>
      <c r="O604" s="734"/>
      <c r="P604" s="734"/>
      <c r="Q604" s="734"/>
      <c r="R604" s="734"/>
      <c r="S604" s="734"/>
      <c r="T604" s="734"/>
      <c r="U604" s="734"/>
      <c r="V604" s="734"/>
      <c r="W604" s="734"/>
      <c r="X604" s="735"/>
      <c r="Y604" s="811"/>
      <c r="Z604" s="811"/>
      <c r="AA604" s="734"/>
      <c r="AB604" s="811"/>
      <c r="AC604" s="740"/>
      <c r="AD604" s="734"/>
      <c r="AE604" s="734"/>
      <c r="AF604" s="734"/>
      <c r="AG604" s="734"/>
      <c r="AH604" s="734"/>
      <c r="AI604" s="734"/>
      <c r="AJ604" s="879"/>
      <c r="AK604" s="734"/>
      <c r="AL604" s="734"/>
      <c r="AM604" s="734"/>
      <c r="AN604" s="734"/>
      <c r="AO604" s="734"/>
      <c r="AP604" s="52"/>
      <c r="AQ604" s="52"/>
      <c r="AR604" s="52"/>
      <c r="AS604" s="52"/>
      <c r="AT604" s="52"/>
      <c r="AU604" s="52"/>
      <c r="AV604" s="52"/>
      <c r="AW604" s="52"/>
      <c r="AX604" s="52"/>
      <c r="AY604" s="52"/>
      <c r="AZ604" s="734"/>
      <c r="BA604" s="740"/>
      <c r="BB604" s="734"/>
      <c r="BC604" s="740"/>
      <c r="BD604" s="734"/>
      <c r="BE604" s="52"/>
      <c r="BF604" s="52"/>
      <c r="BG604" s="734"/>
      <c r="BH604" s="734"/>
      <c r="BI604" s="734"/>
      <c r="BJ604" s="734"/>
    </row>
    <row r="605">
      <c r="B605" s="740"/>
      <c r="C605" s="869"/>
      <c r="D605" s="734"/>
      <c r="E605" s="734"/>
      <c r="F605" s="740"/>
      <c r="G605" s="734"/>
      <c r="H605" s="734"/>
      <c r="I605" s="777"/>
      <c r="J605" s="740"/>
      <c r="K605" s="734"/>
      <c r="L605" s="734"/>
      <c r="M605" s="734"/>
      <c r="N605" s="734"/>
      <c r="O605" s="734"/>
      <c r="P605" s="734"/>
      <c r="Q605" s="734"/>
      <c r="R605" s="734"/>
      <c r="S605" s="734"/>
      <c r="T605" s="734"/>
      <c r="U605" s="734"/>
      <c r="V605" s="734"/>
      <c r="W605" s="734"/>
      <c r="X605" s="735"/>
      <c r="Y605" s="811"/>
      <c r="Z605" s="811"/>
      <c r="AA605" s="734"/>
      <c r="AB605" s="811"/>
      <c r="AC605" s="740"/>
      <c r="AD605" s="734"/>
      <c r="AE605" s="734"/>
      <c r="AF605" s="734"/>
      <c r="AG605" s="734"/>
      <c r="AH605" s="734"/>
      <c r="AI605" s="734"/>
      <c r="AJ605" s="879"/>
      <c r="AK605" s="734"/>
      <c r="AL605" s="734"/>
      <c r="AM605" s="734"/>
      <c r="AN605" s="734"/>
      <c r="AO605" s="734"/>
      <c r="AP605" s="52"/>
      <c r="AQ605" s="52"/>
      <c r="AR605" s="52"/>
      <c r="AS605" s="52"/>
      <c r="AT605" s="52"/>
      <c r="AU605" s="52"/>
      <c r="AV605" s="52"/>
      <c r="AW605" s="52"/>
      <c r="AX605" s="52"/>
      <c r="AY605" s="52"/>
      <c r="AZ605" s="734"/>
      <c r="BA605" s="740"/>
      <c r="BB605" s="734"/>
      <c r="BC605" s="740"/>
      <c r="BD605" s="734"/>
      <c r="BE605" s="52"/>
      <c r="BF605" s="52"/>
      <c r="BG605" s="734"/>
      <c r="BH605" s="734"/>
      <c r="BI605" s="734"/>
      <c r="BJ605" s="734"/>
    </row>
    <row r="606">
      <c r="B606" s="740"/>
      <c r="C606" s="869"/>
      <c r="D606" s="734"/>
      <c r="E606" s="734"/>
      <c r="F606" s="740"/>
      <c r="G606" s="734"/>
      <c r="H606" s="734"/>
      <c r="I606" s="777"/>
      <c r="J606" s="740"/>
      <c r="K606" s="734"/>
      <c r="L606" s="734"/>
      <c r="M606" s="734"/>
      <c r="N606" s="734"/>
      <c r="O606" s="734"/>
      <c r="P606" s="734"/>
      <c r="Q606" s="734"/>
      <c r="R606" s="734"/>
      <c r="S606" s="734"/>
      <c r="T606" s="734"/>
      <c r="U606" s="734"/>
      <c r="V606" s="734"/>
      <c r="W606" s="734"/>
      <c r="X606" s="735"/>
      <c r="Y606" s="811"/>
      <c r="Z606" s="811"/>
      <c r="AA606" s="734"/>
      <c r="AB606" s="811"/>
      <c r="AC606" s="740"/>
      <c r="AD606" s="734"/>
      <c r="AE606" s="734"/>
      <c r="AF606" s="734"/>
      <c r="AG606" s="734"/>
      <c r="AH606" s="734"/>
      <c r="AI606" s="734"/>
      <c r="AJ606" s="879"/>
      <c r="AK606" s="734"/>
      <c r="AL606" s="734"/>
      <c r="AM606" s="734"/>
      <c r="AN606" s="734"/>
      <c r="AO606" s="734"/>
      <c r="AP606" s="52"/>
      <c r="AQ606" s="52"/>
      <c r="AR606" s="52"/>
      <c r="AS606" s="52"/>
      <c r="AT606" s="52"/>
      <c r="AU606" s="52"/>
      <c r="AV606" s="52"/>
      <c r="AW606" s="52"/>
      <c r="AX606" s="52"/>
      <c r="AY606" s="52"/>
      <c r="AZ606" s="734"/>
      <c r="BA606" s="740"/>
      <c r="BB606" s="734"/>
      <c r="BC606" s="740"/>
      <c r="BD606" s="734"/>
      <c r="BE606" s="52"/>
      <c r="BF606" s="52"/>
      <c r="BG606" s="734"/>
      <c r="BH606" s="734"/>
      <c r="BI606" s="734"/>
      <c r="BJ606" s="734"/>
    </row>
    <row r="607">
      <c r="B607" s="740"/>
      <c r="C607" s="869"/>
      <c r="D607" s="734"/>
      <c r="E607" s="734"/>
      <c r="F607" s="740"/>
      <c r="G607" s="734"/>
      <c r="H607" s="734"/>
      <c r="I607" s="777"/>
      <c r="J607" s="740"/>
      <c r="K607" s="734"/>
      <c r="L607" s="734"/>
      <c r="M607" s="734"/>
      <c r="N607" s="734"/>
      <c r="O607" s="734"/>
      <c r="P607" s="734"/>
      <c r="Q607" s="734"/>
      <c r="R607" s="734"/>
      <c r="S607" s="734"/>
      <c r="T607" s="734"/>
      <c r="U607" s="734"/>
      <c r="V607" s="734"/>
      <c r="W607" s="734"/>
      <c r="X607" s="735"/>
      <c r="Y607" s="811"/>
      <c r="Z607" s="811"/>
      <c r="AA607" s="734"/>
      <c r="AB607" s="811"/>
      <c r="AC607" s="740"/>
      <c r="AD607" s="734"/>
      <c r="AE607" s="734"/>
      <c r="AF607" s="734"/>
      <c r="AG607" s="734"/>
      <c r="AH607" s="734"/>
      <c r="AI607" s="734"/>
      <c r="AJ607" s="879"/>
      <c r="AK607" s="734"/>
      <c r="AL607" s="734"/>
      <c r="AM607" s="734"/>
      <c r="AN607" s="734"/>
      <c r="AO607" s="734"/>
      <c r="AP607" s="52"/>
      <c r="AQ607" s="52"/>
      <c r="AR607" s="52"/>
      <c r="AS607" s="52"/>
      <c r="AT607" s="52"/>
      <c r="AU607" s="52"/>
      <c r="AV607" s="52"/>
      <c r="AW607" s="52"/>
      <c r="AX607" s="52"/>
      <c r="AY607" s="52"/>
      <c r="AZ607" s="734"/>
      <c r="BA607" s="740"/>
      <c r="BB607" s="734"/>
      <c r="BC607" s="740"/>
      <c r="BD607" s="734"/>
      <c r="BE607" s="52"/>
      <c r="BF607" s="52"/>
      <c r="BG607" s="734"/>
      <c r="BH607" s="734"/>
      <c r="BI607" s="734"/>
      <c r="BJ607" s="734"/>
    </row>
    <row r="608">
      <c r="B608" s="740"/>
      <c r="C608" s="869"/>
      <c r="D608" s="734"/>
      <c r="E608" s="734"/>
      <c r="F608" s="740"/>
      <c r="G608" s="734"/>
      <c r="H608" s="734"/>
      <c r="I608" s="777"/>
      <c r="J608" s="740"/>
      <c r="K608" s="734"/>
      <c r="L608" s="734"/>
      <c r="M608" s="734"/>
      <c r="N608" s="734"/>
      <c r="O608" s="734"/>
      <c r="P608" s="734"/>
      <c r="Q608" s="734"/>
      <c r="R608" s="734"/>
      <c r="S608" s="734"/>
      <c r="T608" s="734"/>
      <c r="U608" s="734"/>
      <c r="V608" s="734"/>
      <c r="W608" s="734"/>
      <c r="X608" s="735"/>
      <c r="Y608" s="811"/>
      <c r="Z608" s="811"/>
      <c r="AA608" s="734"/>
      <c r="AB608" s="811"/>
      <c r="AC608" s="740"/>
      <c r="AD608" s="734"/>
      <c r="AE608" s="734"/>
      <c r="AF608" s="734"/>
      <c r="AG608" s="734"/>
      <c r="AH608" s="734"/>
      <c r="AI608" s="734"/>
      <c r="AJ608" s="879"/>
      <c r="AK608" s="734"/>
      <c r="AL608" s="734"/>
      <c r="AM608" s="734"/>
      <c r="AN608" s="734"/>
      <c r="AO608" s="734"/>
      <c r="AP608" s="52"/>
      <c r="AQ608" s="52"/>
      <c r="AR608" s="52"/>
      <c r="AS608" s="52"/>
      <c r="AT608" s="52"/>
      <c r="AU608" s="52"/>
      <c r="AV608" s="52"/>
      <c r="AW608" s="52"/>
      <c r="AX608" s="52"/>
      <c r="AY608" s="52"/>
      <c r="AZ608" s="734"/>
      <c r="BA608" s="740"/>
      <c r="BB608" s="734"/>
      <c r="BC608" s="740"/>
      <c r="BD608" s="734"/>
      <c r="BE608" s="52"/>
      <c r="BF608" s="52"/>
      <c r="BG608" s="734"/>
      <c r="BH608" s="734"/>
      <c r="BI608" s="734"/>
      <c r="BJ608" s="734"/>
    </row>
    <row r="609">
      <c r="B609" s="740"/>
      <c r="C609" s="869"/>
      <c r="D609" s="734"/>
      <c r="E609" s="734"/>
      <c r="F609" s="740"/>
      <c r="G609" s="734"/>
      <c r="H609" s="734"/>
      <c r="I609" s="777"/>
      <c r="J609" s="740"/>
      <c r="K609" s="734"/>
      <c r="L609" s="734"/>
      <c r="M609" s="734"/>
      <c r="N609" s="734"/>
      <c r="O609" s="734"/>
      <c r="P609" s="734"/>
      <c r="Q609" s="734"/>
      <c r="R609" s="734"/>
      <c r="S609" s="734"/>
      <c r="T609" s="734"/>
      <c r="U609" s="734"/>
      <c r="V609" s="734"/>
      <c r="W609" s="734"/>
      <c r="X609" s="735"/>
      <c r="Y609" s="811"/>
      <c r="Z609" s="811"/>
      <c r="AA609" s="734"/>
      <c r="AB609" s="811"/>
      <c r="AC609" s="740"/>
      <c r="AD609" s="734"/>
      <c r="AE609" s="734"/>
      <c r="AF609" s="734"/>
      <c r="AG609" s="734"/>
      <c r="AH609" s="734"/>
      <c r="AI609" s="734"/>
      <c r="AJ609" s="879"/>
      <c r="AK609" s="734"/>
      <c r="AL609" s="734"/>
      <c r="AM609" s="734"/>
      <c r="AN609" s="734"/>
      <c r="AO609" s="734"/>
      <c r="AP609" s="52"/>
      <c r="AQ609" s="52"/>
      <c r="AR609" s="52"/>
      <c r="AS609" s="52"/>
      <c r="AT609" s="52"/>
      <c r="AU609" s="52"/>
      <c r="AV609" s="52"/>
      <c r="AW609" s="52"/>
      <c r="AX609" s="52"/>
      <c r="AY609" s="52"/>
      <c r="AZ609" s="734"/>
      <c r="BA609" s="740"/>
      <c r="BB609" s="734"/>
      <c r="BC609" s="740"/>
      <c r="BD609" s="734"/>
      <c r="BE609" s="52"/>
      <c r="BF609" s="52"/>
      <c r="BG609" s="734"/>
      <c r="BH609" s="734"/>
      <c r="BI609" s="734"/>
      <c r="BJ609" s="734"/>
    </row>
    <row r="610">
      <c r="B610" s="740"/>
      <c r="C610" s="869"/>
      <c r="D610" s="734"/>
      <c r="E610" s="734"/>
      <c r="F610" s="740"/>
      <c r="G610" s="734"/>
      <c r="H610" s="734"/>
      <c r="I610" s="777"/>
      <c r="J610" s="740"/>
      <c r="K610" s="734"/>
      <c r="L610" s="734"/>
      <c r="M610" s="734"/>
      <c r="N610" s="734"/>
      <c r="O610" s="734"/>
      <c r="P610" s="734"/>
      <c r="Q610" s="734"/>
      <c r="R610" s="734"/>
      <c r="S610" s="734"/>
      <c r="T610" s="734"/>
      <c r="U610" s="734"/>
      <c r="V610" s="734"/>
      <c r="W610" s="734"/>
      <c r="X610" s="735"/>
      <c r="Y610" s="811"/>
      <c r="Z610" s="811"/>
      <c r="AA610" s="734"/>
      <c r="AB610" s="811"/>
      <c r="AC610" s="740"/>
      <c r="AD610" s="734"/>
      <c r="AE610" s="734"/>
      <c r="AF610" s="734"/>
      <c r="AG610" s="734"/>
      <c r="AH610" s="734"/>
      <c r="AI610" s="734"/>
      <c r="AJ610" s="879"/>
      <c r="AK610" s="734"/>
      <c r="AL610" s="734"/>
      <c r="AM610" s="734"/>
      <c r="AN610" s="734"/>
      <c r="AO610" s="734"/>
      <c r="AP610" s="52"/>
      <c r="AQ610" s="52"/>
      <c r="AR610" s="52"/>
      <c r="AS610" s="52"/>
      <c r="AT610" s="52"/>
      <c r="AU610" s="52"/>
      <c r="AV610" s="52"/>
      <c r="AW610" s="52"/>
      <c r="AX610" s="52"/>
      <c r="AY610" s="52"/>
      <c r="AZ610" s="734"/>
      <c r="BA610" s="740"/>
      <c r="BB610" s="734"/>
      <c r="BC610" s="740"/>
      <c r="BD610" s="734"/>
      <c r="BE610" s="52"/>
      <c r="BF610" s="52"/>
      <c r="BG610" s="734"/>
      <c r="BH610" s="734"/>
      <c r="BI610" s="734"/>
      <c r="BJ610" s="734"/>
    </row>
    <row r="611">
      <c r="B611" s="740"/>
      <c r="C611" s="869"/>
      <c r="D611" s="734"/>
      <c r="E611" s="734"/>
      <c r="F611" s="740"/>
      <c r="G611" s="734"/>
      <c r="H611" s="734"/>
      <c r="I611" s="777"/>
      <c r="J611" s="740"/>
      <c r="K611" s="734"/>
      <c r="L611" s="734"/>
      <c r="M611" s="734"/>
      <c r="N611" s="734"/>
      <c r="O611" s="734"/>
      <c r="P611" s="734"/>
      <c r="Q611" s="734"/>
      <c r="R611" s="734"/>
      <c r="S611" s="734"/>
      <c r="T611" s="734"/>
      <c r="U611" s="734"/>
      <c r="V611" s="734"/>
      <c r="W611" s="734"/>
      <c r="X611" s="735"/>
      <c r="Y611" s="811"/>
      <c r="Z611" s="811"/>
      <c r="AA611" s="734"/>
      <c r="AB611" s="811"/>
      <c r="AC611" s="740"/>
      <c r="AD611" s="734"/>
      <c r="AE611" s="734"/>
      <c r="AF611" s="734"/>
      <c r="AG611" s="734"/>
      <c r="AH611" s="734"/>
      <c r="AI611" s="734"/>
      <c r="AJ611" s="879"/>
      <c r="AK611" s="734"/>
      <c r="AL611" s="734"/>
      <c r="AM611" s="734"/>
      <c r="AN611" s="734"/>
      <c r="AO611" s="734"/>
      <c r="AP611" s="52"/>
      <c r="AQ611" s="52"/>
      <c r="AR611" s="52"/>
      <c r="AS611" s="52"/>
      <c r="AT611" s="52"/>
      <c r="AU611" s="52"/>
      <c r="AV611" s="52"/>
      <c r="AW611" s="52"/>
      <c r="AX611" s="52"/>
      <c r="AY611" s="52"/>
      <c r="AZ611" s="734"/>
      <c r="BA611" s="740"/>
      <c r="BB611" s="734"/>
      <c r="BC611" s="740"/>
      <c r="BD611" s="734"/>
      <c r="BE611" s="52"/>
      <c r="BF611" s="52"/>
      <c r="BG611" s="734"/>
      <c r="BH611" s="734"/>
      <c r="BI611" s="734"/>
      <c r="BJ611" s="734"/>
    </row>
    <row r="612">
      <c r="B612" s="740"/>
      <c r="C612" s="869"/>
      <c r="D612" s="734"/>
      <c r="E612" s="734"/>
      <c r="F612" s="740"/>
      <c r="G612" s="734"/>
      <c r="H612" s="734"/>
      <c r="I612" s="777"/>
      <c r="J612" s="740"/>
      <c r="K612" s="734"/>
      <c r="L612" s="734"/>
      <c r="M612" s="734"/>
      <c r="N612" s="734"/>
      <c r="O612" s="734"/>
      <c r="P612" s="734"/>
      <c r="Q612" s="734"/>
      <c r="R612" s="734"/>
      <c r="S612" s="734"/>
      <c r="T612" s="734"/>
      <c r="U612" s="734"/>
      <c r="V612" s="734"/>
      <c r="W612" s="734"/>
      <c r="X612" s="735"/>
      <c r="Y612" s="811"/>
      <c r="Z612" s="811"/>
      <c r="AA612" s="734"/>
      <c r="AB612" s="811"/>
      <c r="AC612" s="740"/>
      <c r="AD612" s="734"/>
      <c r="AE612" s="734"/>
      <c r="AF612" s="734"/>
      <c r="AG612" s="734"/>
      <c r="AH612" s="734"/>
      <c r="AI612" s="734"/>
      <c r="AJ612" s="879"/>
      <c r="AK612" s="734"/>
      <c r="AL612" s="734"/>
      <c r="AM612" s="734"/>
      <c r="AN612" s="734"/>
      <c r="AO612" s="734"/>
      <c r="AP612" s="52"/>
      <c r="AQ612" s="52"/>
      <c r="AR612" s="52"/>
      <c r="AS612" s="52"/>
      <c r="AT612" s="52"/>
      <c r="AU612" s="52"/>
      <c r="AV612" s="52"/>
      <c r="AW612" s="52"/>
      <c r="AX612" s="52"/>
      <c r="AY612" s="52"/>
      <c r="AZ612" s="734"/>
      <c r="BA612" s="740"/>
      <c r="BB612" s="734"/>
      <c r="BC612" s="740"/>
      <c r="BD612" s="734"/>
      <c r="BE612" s="52"/>
      <c r="BF612" s="52"/>
      <c r="BG612" s="734"/>
      <c r="BH612" s="734"/>
      <c r="BI612" s="734"/>
      <c r="BJ612" s="734"/>
    </row>
    <row r="613">
      <c r="B613" s="740"/>
      <c r="C613" s="869"/>
      <c r="D613" s="734"/>
      <c r="E613" s="734"/>
      <c r="F613" s="740"/>
      <c r="G613" s="734"/>
      <c r="H613" s="734"/>
      <c r="I613" s="777"/>
      <c r="J613" s="740"/>
      <c r="K613" s="734"/>
      <c r="L613" s="734"/>
      <c r="M613" s="734"/>
      <c r="N613" s="734"/>
      <c r="O613" s="734"/>
      <c r="P613" s="734"/>
      <c r="Q613" s="734"/>
      <c r="R613" s="734"/>
      <c r="S613" s="734"/>
      <c r="T613" s="734"/>
      <c r="U613" s="734"/>
      <c r="V613" s="734"/>
      <c r="W613" s="734"/>
      <c r="X613" s="735"/>
      <c r="Y613" s="811"/>
      <c r="Z613" s="811"/>
      <c r="AA613" s="734"/>
      <c r="AB613" s="811"/>
      <c r="AC613" s="740"/>
      <c r="AD613" s="734"/>
      <c r="AE613" s="734"/>
      <c r="AF613" s="734"/>
      <c r="AG613" s="734"/>
      <c r="AH613" s="734"/>
      <c r="AI613" s="734"/>
      <c r="AJ613" s="879"/>
      <c r="AK613" s="734"/>
      <c r="AL613" s="734"/>
      <c r="AM613" s="734"/>
      <c r="AN613" s="734"/>
      <c r="AO613" s="734"/>
      <c r="AP613" s="52"/>
      <c r="AQ613" s="52"/>
      <c r="AR613" s="52"/>
      <c r="AS613" s="52"/>
      <c r="AT613" s="52"/>
      <c r="AU613" s="52"/>
      <c r="AV613" s="52"/>
      <c r="AW613" s="52"/>
      <c r="AX613" s="52"/>
      <c r="AY613" s="52"/>
      <c r="AZ613" s="734"/>
      <c r="BA613" s="740"/>
      <c r="BB613" s="734"/>
      <c r="BC613" s="740"/>
      <c r="BD613" s="734"/>
      <c r="BE613" s="52"/>
      <c r="BF613" s="52"/>
      <c r="BG613" s="734"/>
      <c r="BH613" s="734"/>
      <c r="BI613" s="734"/>
      <c r="BJ613" s="734"/>
    </row>
    <row r="614">
      <c r="B614" s="740"/>
      <c r="C614" s="869"/>
      <c r="D614" s="734"/>
      <c r="E614" s="734"/>
      <c r="F614" s="740"/>
      <c r="G614" s="734"/>
      <c r="H614" s="734"/>
      <c r="I614" s="777"/>
      <c r="J614" s="740"/>
      <c r="K614" s="734"/>
      <c r="L614" s="734"/>
      <c r="M614" s="734"/>
      <c r="N614" s="734"/>
      <c r="O614" s="734"/>
      <c r="P614" s="734"/>
      <c r="Q614" s="734"/>
      <c r="R614" s="734"/>
      <c r="S614" s="734"/>
      <c r="T614" s="734"/>
      <c r="U614" s="734"/>
      <c r="V614" s="734"/>
      <c r="W614" s="734"/>
      <c r="X614" s="735"/>
      <c r="Y614" s="811"/>
      <c r="Z614" s="811"/>
      <c r="AA614" s="734"/>
      <c r="AB614" s="811"/>
      <c r="AC614" s="740"/>
      <c r="AD614" s="734"/>
      <c r="AE614" s="734"/>
      <c r="AF614" s="734"/>
      <c r="AG614" s="734"/>
      <c r="AH614" s="734"/>
      <c r="AI614" s="734"/>
      <c r="AJ614" s="879"/>
      <c r="AK614" s="734"/>
      <c r="AL614" s="734"/>
      <c r="AM614" s="734"/>
      <c r="AN614" s="734"/>
      <c r="AO614" s="734"/>
      <c r="AP614" s="52"/>
      <c r="AQ614" s="52"/>
      <c r="AR614" s="52"/>
      <c r="AS614" s="52"/>
      <c r="AT614" s="52"/>
      <c r="AU614" s="52"/>
      <c r="AV614" s="52"/>
      <c r="AW614" s="52"/>
      <c r="AX614" s="52"/>
      <c r="AY614" s="52"/>
      <c r="AZ614" s="734"/>
      <c r="BA614" s="740"/>
      <c r="BB614" s="734"/>
      <c r="BC614" s="740"/>
      <c r="BD614" s="734"/>
      <c r="BE614" s="52"/>
      <c r="BF614" s="52"/>
      <c r="BG614" s="734"/>
      <c r="BH614" s="734"/>
      <c r="BI614" s="734"/>
      <c r="BJ614" s="734"/>
    </row>
    <row r="615">
      <c r="B615" s="740"/>
      <c r="C615" s="869"/>
      <c r="D615" s="734"/>
      <c r="E615" s="734"/>
      <c r="F615" s="740"/>
      <c r="G615" s="734"/>
      <c r="H615" s="734"/>
      <c r="I615" s="777"/>
      <c r="J615" s="740"/>
      <c r="K615" s="734"/>
      <c r="L615" s="734"/>
      <c r="M615" s="734"/>
      <c r="N615" s="734"/>
      <c r="O615" s="734"/>
      <c r="P615" s="734"/>
      <c r="Q615" s="734"/>
      <c r="R615" s="734"/>
      <c r="S615" s="734"/>
      <c r="T615" s="734"/>
      <c r="U615" s="734"/>
      <c r="V615" s="734"/>
      <c r="W615" s="734"/>
      <c r="X615" s="735"/>
      <c r="Y615" s="811"/>
      <c r="Z615" s="811"/>
      <c r="AA615" s="734"/>
      <c r="AB615" s="811"/>
      <c r="AC615" s="740"/>
      <c r="AD615" s="734"/>
      <c r="AE615" s="734"/>
      <c r="AF615" s="734"/>
      <c r="AG615" s="734"/>
      <c r="AH615" s="734"/>
      <c r="AI615" s="734"/>
      <c r="AJ615" s="879"/>
      <c r="AK615" s="734"/>
      <c r="AL615" s="734"/>
      <c r="AM615" s="734"/>
      <c r="AN615" s="734"/>
      <c r="AO615" s="734"/>
      <c r="AP615" s="52"/>
      <c r="AQ615" s="52"/>
      <c r="AR615" s="52"/>
      <c r="AS615" s="52"/>
      <c r="AT615" s="52"/>
      <c r="AU615" s="52"/>
      <c r="AV615" s="52"/>
      <c r="AW615" s="52"/>
      <c r="AX615" s="52"/>
      <c r="AY615" s="52"/>
      <c r="AZ615" s="734"/>
      <c r="BA615" s="740"/>
      <c r="BB615" s="734"/>
      <c r="BC615" s="740"/>
      <c r="BD615" s="734"/>
      <c r="BE615" s="52"/>
      <c r="BF615" s="52"/>
      <c r="BG615" s="734"/>
      <c r="BH615" s="734"/>
      <c r="BI615" s="734"/>
      <c r="BJ615" s="734"/>
    </row>
    <row r="616">
      <c r="B616" s="740"/>
      <c r="C616" s="869"/>
      <c r="D616" s="734"/>
      <c r="E616" s="734"/>
      <c r="F616" s="740"/>
      <c r="G616" s="734"/>
      <c r="H616" s="734"/>
      <c r="I616" s="777"/>
      <c r="J616" s="740"/>
      <c r="K616" s="734"/>
      <c r="L616" s="734"/>
      <c r="M616" s="734"/>
      <c r="N616" s="734"/>
      <c r="O616" s="734"/>
      <c r="P616" s="734"/>
      <c r="Q616" s="734"/>
      <c r="R616" s="734"/>
      <c r="S616" s="734"/>
      <c r="T616" s="734"/>
      <c r="U616" s="734"/>
      <c r="V616" s="734"/>
      <c r="W616" s="734"/>
      <c r="X616" s="735"/>
      <c r="Y616" s="811"/>
      <c r="Z616" s="811"/>
      <c r="AA616" s="734"/>
      <c r="AB616" s="811"/>
      <c r="AC616" s="740"/>
      <c r="AD616" s="734"/>
      <c r="AE616" s="734"/>
      <c r="AF616" s="734"/>
      <c r="AG616" s="734"/>
      <c r="AH616" s="734"/>
      <c r="AI616" s="734"/>
      <c r="AJ616" s="879"/>
      <c r="AK616" s="734"/>
      <c r="AL616" s="734"/>
      <c r="AM616" s="734"/>
      <c r="AN616" s="734"/>
      <c r="AO616" s="734"/>
      <c r="AP616" s="52"/>
      <c r="AQ616" s="52"/>
      <c r="AR616" s="52"/>
      <c r="AS616" s="52"/>
      <c r="AT616" s="52"/>
      <c r="AU616" s="52"/>
      <c r="AV616" s="52"/>
      <c r="AW616" s="52"/>
      <c r="AX616" s="52"/>
      <c r="AY616" s="52"/>
      <c r="AZ616" s="734"/>
      <c r="BA616" s="740"/>
      <c r="BB616" s="734"/>
      <c r="BC616" s="740"/>
      <c r="BD616" s="734"/>
      <c r="BE616" s="52"/>
      <c r="BF616" s="52"/>
      <c r="BG616" s="734"/>
      <c r="BH616" s="734"/>
      <c r="BI616" s="734"/>
      <c r="BJ616" s="734"/>
    </row>
    <row r="617">
      <c r="B617" s="740"/>
      <c r="C617" s="869"/>
      <c r="D617" s="734"/>
      <c r="E617" s="734"/>
      <c r="F617" s="740"/>
      <c r="G617" s="734"/>
      <c r="H617" s="734"/>
      <c r="I617" s="777"/>
      <c r="J617" s="740"/>
      <c r="K617" s="734"/>
      <c r="L617" s="734"/>
      <c r="M617" s="734"/>
      <c r="N617" s="734"/>
      <c r="O617" s="734"/>
      <c r="P617" s="734"/>
      <c r="Q617" s="734"/>
      <c r="R617" s="734"/>
      <c r="S617" s="734"/>
      <c r="T617" s="734"/>
      <c r="U617" s="734"/>
      <c r="V617" s="734"/>
      <c r="W617" s="734"/>
      <c r="X617" s="735"/>
      <c r="Y617" s="811"/>
      <c r="Z617" s="811"/>
      <c r="AA617" s="734"/>
      <c r="AB617" s="811"/>
      <c r="AC617" s="740"/>
      <c r="AD617" s="734"/>
      <c r="AE617" s="734"/>
      <c r="AF617" s="734"/>
      <c r="AG617" s="734"/>
      <c r="AH617" s="734"/>
      <c r="AI617" s="734"/>
      <c r="AJ617" s="879"/>
      <c r="AK617" s="734"/>
      <c r="AL617" s="734"/>
      <c r="AM617" s="734"/>
      <c r="AN617" s="734"/>
      <c r="AO617" s="734"/>
      <c r="AP617" s="52"/>
      <c r="AQ617" s="52"/>
      <c r="AR617" s="52"/>
      <c r="AS617" s="52"/>
      <c r="AT617" s="52"/>
      <c r="AU617" s="52"/>
      <c r="AV617" s="52"/>
      <c r="AW617" s="52"/>
      <c r="AX617" s="52"/>
      <c r="AY617" s="52"/>
      <c r="AZ617" s="734"/>
      <c r="BA617" s="740"/>
      <c r="BB617" s="734"/>
      <c r="BC617" s="740"/>
      <c r="BD617" s="734"/>
      <c r="BE617" s="52"/>
      <c r="BF617" s="52"/>
      <c r="BG617" s="734"/>
      <c r="BH617" s="734"/>
      <c r="BI617" s="734"/>
      <c r="BJ617" s="734"/>
    </row>
    <row r="618">
      <c r="B618" s="740"/>
      <c r="C618" s="869"/>
      <c r="D618" s="734"/>
      <c r="E618" s="734"/>
      <c r="F618" s="740"/>
      <c r="G618" s="734"/>
      <c r="H618" s="734"/>
      <c r="I618" s="777"/>
      <c r="J618" s="740"/>
      <c r="K618" s="734"/>
      <c r="L618" s="734"/>
      <c r="M618" s="734"/>
      <c r="N618" s="734"/>
      <c r="O618" s="734"/>
      <c r="P618" s="734"/>
      <c r="Q618" s="734"/>
      <c r="R618" s="734"/>
      <c r="S618" s="734"/>
      <c r="T618" s="734"/>
      <c r="U618" s="734"/>
      <c r="V618" s="734"/>
      <c r="W618" s="734"/>
      <c r="X618" s="735"/>
      <c r="Y618" s="811"/>
      <c r="Z618" s="811"/>
      <c r="AA618" s="734"/>
      <c r="AB618" s="811"/>
      <c r="AC618" s="740"/>
      <c r="AD618" s="734"/>
      <c r="AE618" s="734"/>
      <c r="AF618" s="734"/>
      <c r="AG618" s="734"/>
      <c r="AH618" s="734"/>
      <c r="AI618" s="734"/>
      <c r="AJ618" s="879"/>
      <c r="AK618" s="734"/>
      <c r="AL618" s="734"/>
      <c r="AM618" s="734"/>
      <c r="AN618" s="734"/>
      <c r="AO618" s="734"/>
      <c r="AP618" s="52"/>
      <c r="AQ618" s="52"/>
      <c r="AR618" s="52"/>
      <c r="AS618" s="52"/>
      <c r="AT618" s="52"/>
      <c r="AU618" s="52"/>
      <c r="AV618" s="52"/>
      <c r="AW618" s="52"/>
      <c r="AX618" s="52"/>
      <c r="AY618" s="52"/>
      <c r="AZ618" s="734"/>
      <c r="BA618" s="740"/>
      <c r="BB618" s="734"/>
      <c r="BC618" s="740"/>
      <c r="BD618" s="734"/>
      <c r="BE618" s="52"/>
      <c r="BF618" s="52"/>
      <c r="BG618" s="734"/>
      <c r="BH618" s="734"/>
      <c r="BI618" s="734"/>
      <c r="BJ618" s="734"/>
    </row>
    <row r="619">
      <c r="B619" s="740"/>
      <c r="C619" s="869"/>
      <c r="D619" s="734"/>
      <c r="E619" s="734"/>
      <c r="F619" s="740"/>
      <c r="G619" s="734"/>
      <c r="H619" s="734"/>
      <c r="I619" s="777"/>
      <c r="J619" s="740"/>
      <c r="K619" s="734"/>
      <c r="L619" s="734"/>
      <c r="M619" s="734"/>
      <c r="N619" s="734"/>
      <c r="O619" s="734"/>
      <c r="P619" s="734"/>
      <c r="Q619" s="734"/>
      <c r="R619" s="734"/>
      <c r="S619" s="734"/>
      <c r="T619" s="734"/>
      <c r="U619" s="734"/>
      <c r="V619" s="734"/>
      <c r="W619" s="734"/>
      <c r="X619" s="735"/>
      <c r="Y619" s="811"/>
      <c r="Z619" s="811"/>
      <c r="AA619" s="734"/>
      <c r="AB619" s="811"/>
      <c r="AC619" s="740"/>
      <c r="AD619" s="734"/>
      <c r="AE619" s="734"/>
      <c r="AF619" s="734"/>
      <c r="AG619" s="734"/>
      <c r="AH619" s="734"/>
      <c r="AI619" s="734"/>
      <c r="AJ619" s="879"/>
      <c r="AK619" s="734"/>
      <c r="AL619" s="734"/>
      <c r="AM619" s="734"/>
      <c r="AN619" s="734"/>
      <c r="AO619" s="734"/>
      <c r="AP619" s="52"/>
      <c r="AQ619" s="52"/>
      <c r="AR619" s="52"/>
      <c r="AS619" s="52"/>
      <c r="AT619" s="52"/>
      <c r="AU619" s="52"/>
      <c r="AV619" s="52"/>
      <c r="AW619" s="52"/>
      <c r="AX619" s="52"/>
      <c r="AY619" s="52"/>
      <c r="AZ619" s="734"/>
      <c r="BA619" s="740"/>
      <c r="BB619" s="734"/>
      <c r="BC619" s="740"/>
      <c r="BD619" s="734"/>
      <c r="BE619" s="52"/>
      <c r="BF619" s="52"/>
      <c r="BG619" s="734"/>
      <c r="BH619" s="734"/>
      <c r="BI619" s="734"/>
      <c r="BJ619" s="734"/>
    </row>
    <row r="620">
      <c r="B620" s="740"/>
      <c r="C620" s="869"/>
      <c r="D620" s="734"/>
      <c r="E620" s="734"/>
      <c r="F620" s="740"/>
      <c r="G620" s="734"/>
      <c r="H620" s="734"/>
      <c r="I620" s="777"/>
      <c r="J620" s="740"/>
      <c r="K620" s="734"/>
      <c r="L620" s="734"/>
      <c r="M620" s="734"/>
      <c r="N620" s="734"/>
      <c r="O620" s="734"/>
      <c r="P620" s="734"/>
      <c r="Q620" s="734"/>
      <c r="R620" s="734"/>
      <c r="S620" s="734"/>
      <c r="T620" s="734"/>
      <c r="U620" s="734"/>
      <c r="V620" s="734"/>
      <c r="W620" s="734"/>
      <c r="X620" s="735"/>
      <c r="Y620" s="811"/>
      <c r="Z620" s="811"/>
      <c r="AA620" s="734"/>
      <c r="AB620" s="811"/>
      <c r="AC620" s="740"/>
      <c r="AD620" s="734"/>
      <c r="AE620" s="734"/>
      <c r="AF620" s="734"/>
      <c r="AG620" s="734"/>
      <c r="AH620" s="734"/>
      <c r="AI620" s="734"/>
      <c r="AJ620" s="879"/>
      <c r="AK620" s="734"/>
      <c r="AL620" s="734"/>
      <c r="AM620" s="734"/>
      <c r="AN620" s="734"/>
      <c r="AO620" s="734"/>
      <c r="AP620" s="52"/>
      <c r="AQ620" s="52"/>
      <c r="AR620" s="52"/>
      <c r="AS620" s="52"/>
      <c r="AT620" s="52"/>
      <c r="AU620" s="52"/>
      <c r="AV620" s="52"/>
      <c r="AW620" s="52"/>
      <c r="AX620" s="52"/>
      <c r="AY620" s="52"/>
      <c r="AZ620" s="734"/>
      <c r="BA620" s="740"/>
      <c r="BB620" s="734"/>
      <c r="BC620" s="740"/>
      <c r="BD620" s="734"/>
      <c r="BE620" s="52"/>
      <c r="BF620" s="52"/>
      <c r="BG620" s="734"/>
      <c r="BH620" s="734"/>
      <c r="BI620" s="734"/>
      <c r="BJ620" s="734"/>
    </row>
    <row r="621">
      <c r="B621" s="740"/>
      <c r="C621" s="869"/>
      <c r="D621" s="734"/>
      <c r="E621" s="734"/>
      <c r="F621" s="740"/>
      <c r="G621" s="734"/>
      <c r="H621" s="734"/>
      <c r="I621" s="777"/>
      <c r="J621" s="740"/>
      <c r="K621" s="734"/>
      <c r="L621" s="734"/>
      <c r="M621" s="734"/>
      <c r="N621" s="734"/>
      <c r="O621" s="734"/>
      <c r="P621" s="734"/>
      <c r="Q621" s="734"/>
      <c r="R621" s="734"/>
      <c r="S621" s="734"/>
      <c r="T621" s="734"/>
      <c r="U621" s="734"/>
      <c r="V621" s="734"/>
      <c r="W621" s="734"/>
      <c r="X621" s="735"/>
      <c r="Y621" s="811"/>
      <c r="Z621" s="811"/>
      <c r="AA621" s="734"/>
      <c r="AB621" s="811"/>
      <c r="AC621" s="740"/>
      <c r="AD621" s="734"/>
      <c r="AE621" s="734"/>
      <c r="AF621" s="734"/>
      <c r="AG621" s="734"/>
      <c r="AH621" s="734"/>
      <c r="AI621" s="734"/>
      <c r="AJ621" s="879"/>
      <c r="AK621" s="734"/>
      <c r="AL621" s="734"/>
      <c r="AM621" s="734"/>
      <c r="AN621" s="734"/>
      <c r="AO621" s="734"/>
      <c r="AP621" s="52"/>
      <c r="AQ621" s="52"/>
      <c r="AR621" s="52"/>
      <c r="AS621" s="52"/>
      <c r="AT621" s="52"/>
      <c r="AU621" s="52"/>
      <c r="AV621" s="52"/>
      <c r="AW621" s="52"/>
      <c r="AX621" s="52"/>
      <c r="AY621" s="52"/>
      <c r="AZ621" s="734"/>
      <c r="BA621" s="740"/>
      <c r="BB621" s="734"/>
      <c r="BC621" s="740"/>
      <c r="BD621" s="734"/>
      <c r="BE621" s="52"/>
      <c r="BF621" s="52"/>
      <c r="BG621" s="734"/>
      <c r="BH621" s="734"/>
      <c r="BI621" s="734"/>
      <c r="BJ621" s="734"/>
    </row>
    <row r="622">
      <c r="B622" s="740"/>
      <c r="C622" s="869"/>
      <c r="D622" s="734"/>
      <c r="E622" s="734"/>
      <c r="F622" s="740"/>
      <c r="G622" s="734"/>
      <c r="H622" s="734"/>
      <c r="I622" s="777"/>
      <c r="J622" s="740"/>
      <c r="K622" s="734"/>
      <c r="L622" s="734"/>
      <c r="M622" s="734"/>
      <c r="N622" s="734"/>
      <c r="O622" s="734"/>
      <c r="P622" s="734"/>
      <c r="Q622" s="734"/>
      <c r="R622" s="734"/>
      <c r="S622" s="734"/>
      <c r="T622" s="734"/>
      <c r="U622" s="734"/>
      <c r="V622" s="734"/>
      <c r="W622" s="734"/>
      <c r="X622" s="735"/>
      <c r="Y622" s="811"/>
      <c r="Z622" s="811"/>
      <c r="AA622" s="734"/>
      <c r="AB622" s="811"/>
      <c r="AC622" s="740"/>
      <c r="AD622" s="734"/>
      <c r="AE622" s="734"/>
      <c r="AF622" s="734"/>
      <c r="AG622" s="734"/>
      <c r="AH622" s="734"/>
      <c r="AI622" s="734"/>
      <c r="AJ622" s="879"/>
      <c r="AK622" s="734"/>
      <c r="AL622" s="734"/>
      <c r="AM622" s="734"/>
      <c r="AN622" s="734"/>
      <c r="AO622" s="734"/>
      <c r="AP622" s="52"/>
      <c r="AQ622" s="52"/>
      <c r="AR622" s="52"/>
      <c r="AS622" s="52"/>
      <c r="AT622" s="52"/>
      <c r="AU622" s="52"/>
      <c r="AV622" s="52"/>
      <c r="AW622" s="52"/>
      <c r="AX622" s="52"/>
      <c r="AY622" s="52"/>
      <c r="AZ622" s="734"/>
      <c r="BA622" s="740"/>
      <c r="BB622" s="734"/>
      <c r="BC622" s="740"/>
      <c r="BD622" s="734"/>
      <c r="BE622" s="52"/>
      <c r="BF622" s="52"/>
      <c r="BG622" s="734"/>
      <c r="BH622" s="734"/>
      <c r="BI622" s="734"/>
      <c r="BJ622" s="734"/>
    </row>
    <row r="623">
      <c r="B623" s="740"/>
      <c r="C623" s="869"/>
      <c r="D623" s="734"/>
      <c r="E623" s="734"/>
      <c r="F623" s="740"/>
      <c r="G623" s="734"/>
      <c r="H623" s="734"/>
      <c r="I623" s="777"/>
      <c r="J623" s="740"/>
      <c r="K623" s="734"/>
      <c r="L623" s="734"/>
      <c r="M623" s="734"/>
      <c r="N623" s="734"/>
      <c r="O623" s="734"/>
      <c r="P623" s="734"/>
      <c r="Q623" s="734"/>
      <c r="R623" s="734"/>
      <c r="S623" s="734"/>
      <c r="T623" s="734"/>
      <c r="U623" s="734"/>
      <c r="V623" s="734"/>
      <c r="W623" s="734"/>
      <c r="X623" s="735"/>
      <c r="Y623" s="811"/>
      <c r="Z623" s="811"/>
      <c r="AA623" s="734"/>
      <c r="AB623" s="811"/>
      <c r="AC623" s="740"/>
      <c r="AD623" s="734"/>
      <c r="AE623" s="734"/>
      <c r="AF623" s="734"/>
      <c r="AG623" s="734"/>
      <c r="AH623" s="734"/>
      <c r="AI623" s="734"/>
      <c r="AJ623" s="879"/>
      <c r="AK623" s="734"/>
      <c r="AL623" s="734"/>
      <c r="AM623" s="734"/>
      <c r="AN623" s="734"/>
      <c r="AO623" s="734"/>
      <c r="AP623" s="52"/>
      <c r="AQ623" s="52"/>
      <c r="AR623" s="52"/>
      <c r="AS623" s="52"/>
      <c r="AT623" s="52"/>
      <c r="AU623" s="52"/>
      <c r="AV623" s="52"/>
      <c r="AW623" s="52"/>
      <c r="AX623" s="52"/>
      <c r="AY623" s="52"/>
      <c r="AZ623" s="734"/>
      <c r="BA623" s="740"/>
      <c r="BB623" s="734"/>
      <c r="BC623" s="740"/>
      <c r="BD623" s="734"/>
      <c r="BE623" s="52"/>
      <c r="BF623" s="52"/>
      <c r="BG623" s="734"/>
      <c r="BH623" s="734"/>
      <c r="BI623" s="734"/>
      <c r="BJ623" s="734"/>
    </row>
    <row r="624">
      <c r="B624" s="740"/>
      <c r="C624" s="869"/>
      <c r="D624" s="734"/>
      <c r="E624" s="734"/>
      <c r="F624" s="740"/>
      <c r="G624" s="734"/>
      <c r="H624" s="734"/>
      <c r="I624" s="777"/>
      <c r="J624" s="740"/>
      <c r="K624" s="734"/>
      <c r="L624" s="734"/>
      <c r="M624" s="734"/>
      <c r="N624" s="734"/>
      <c r="O624" s="734"/>
      <c r="P624" s="734"/>
      <c r="Q624" s="734"/>
      <c r="R624" s="734"/>
      <c r="S624" s="734"/>
      <c r="T624" s="734"/>
      <c r="U624" s="734"/>
      <c r="V624" s="734"/>
      <c r="W624" s="734"/>
      <c r="X624" s="735"/>
      <c r="Y624" s="811"/>
      <c r="Z624" s="811"/>
      <c r="AA624" s="734"/>
      <c r="AB624" s="811"/>
      <c r="AC624" s="740"/>
      <c r="AD624" s="734"/>
      <c r="AE624" s="734"/>
      <c r="AF624" s="734"/>
      <c r="AG624" s="734"/>
      <c r="AH624" s="734"/>
      <c r="AI624" s="734"/>
      <c r="AJ624" s="879"/>
      <c r="AK624" s="734"/>
      <c r="AL624" s="734"/>
      <c r="AM624" s="734"/>
      <c r="AN624" s="734"/>
      <c r="AO624" s="734"/>
      <c r="AP624" s="52"/>
      <c r="AQ624" s="52"/>
      <c r="AR624" s="52"/>
      <c r="AS624" s="52"/>
      <c r="AT624" s="52"/>
      <c r="AU624" s="52"/>
      <c r="AV624" s="52"/>
      <c r="AW624" s="52"/>
      <c r="AX624" s="52"/>
      <c r="AY624" s="52"/>
      <c r="AZ624" s="734"/>
      <c r="BA624" s="740"/>
      <c r="BB624" s="734"/>
      <c r="BC624" s="740"/>
      <c r="BD624" s="734"/>
      <c r="BE624" s="52"/>
      <c r="BF624" s="52"/>
      <c r="BG624" s="734"/>
      <c r="BH624" s="734"/>
      <c r="BI624" s="734"/>
      <c r="BJ624" s="734"/>
    </row>
    <row r="625">
      <c r="B625" s="740"/>
      <c r="C625" s="869"/>
      <c r="D625" s="734"/>
      <c r="E625" s="734"/>
      <c r="F625" s="740"/>
      <c r="G625" s="734"/>
      <c r="H625" s="734"/>
      <c r="I625" s="777"/>
      <c r="J625" s="740"/>
      <c r="K625" s="734"/>
      <c r="L625" s="734"/>
      <c r="M625" s="734"/>
      <c r="N625" s="734"/>
      <c r="O625" s="734"/>
      <c r="P625" s="734"/>
      <c r="Q625" s="734"/>
      <c r="R625" s="734"/>
      <c r="S625" s="734"/>
      <c r="T625" s="734"/>
      <c r="U625" s="734"/>
      <c r="V625" s="734"/>
      <c r="W625" s="734"/>
      <c r="X625" s="735"/>
      <c r="Y625" s="811"/>
      <c r="Z625" s="811"/>
      <c r="AA625" s="734"/>
      <c r="AB625" s="811"/>
      <c r="AC625" s="740"/>
      <c r="AD625" s="734"/>
      <c r="AE625" s="734"/>
      <c r="AF625" s="734"/>
      <c r="AG625" s="734"/>
      <c r="AH625" s="734"/>
      <c r="AI625" s="734"/>
      <c r="AJ625" s="879"/>
      <c r="AK625" s="734"/>
      <c r="AL625" s="734"/>
      <c r="AM625" s="734"/>
      <c r="AN625" s="734"/>
      <c r="AO625" s="734"/>
      <c r="AP625" s="52"/>
      <c r="AQ625" s="52"/>
      <c r="AR625" s="52"/>
      <c r="AS625" s="52"/>
      <c r="AT625" s="52"/>
      <c r="AU625" s="52"/>
      <c r="AV625" s="52"/>
      <c r="AW625" s="52"/>
      <c r="AX625" s="52"/>
      <c r="AY625" s="52"/>
      <c r="AZ625" s="734"/>
      <c r="BA625" s="740"/>
      <c r="BB625" s="734"/>
      <c r="BC625" s="740"/>
      <c r="BD625" s="734"/>
      <c r="BE625" s="52"/>
      <c r="BF625" s="52"/>
      <c r="BG625" s="734"/>
      <c r="BH625" s="734"/>
      <c r="BI625" s="734"/>
      <c r="BJ625" s="734"/>
    </row>
    <row r="626">
      <c r="B626" s="740"/>
      <c r="C626" s="869"/>
      <c r="D626" s="734"/>
      <c r="E626" s="734"/>
      <c r="F626" s="740"/>
      <c r="G626" s="734"/>
      <c r="H626" s="734"/>
      <c r="I626" s="777"/>
      <c r="J626" s="740"/>
      <c r="K626" s="734"/>
      <c r="L626" s="734"/>
      <c r="M626" s="734"/>
      <c r="N626" s="734"/>
      <c r="O626" s="734"/>
      <c r="P626" s="734"/>
      <c r="Q626" s="734"/>
      <c r="R626" s="734"/>
      <c r="S626" s="734"/>
      <c r="T626" s="734"/>
      <c r="U626" s="734"/>
      <c r="V626" s="734"/>
      <c r="W626" s="734"/>
      <c r="X626" s="735"/>
      <c r="Y626" s="811"/>
      <c r="Z626" s="811"/>
      <c r="AA626" s="734"/>
      <c r="AB626" s="811"/>
      <c r="AC626" s="740"/>
      <c r="AD626" s="734"/>
      <c r="AE626" s="734"/>
      <c r="AF626" s="734"/>
      <c r="AG626" s="734"/>
      <c r="AH626" s="734"/>
      <c r="AI626" s="734"/>
      <c r="AJ626" s="879"/>
      <c r="AK626" s="734"/>
      <c r="AL626" s="734"/>
      <c r="AM626" s="734"/>
      <c r="AN626" s="734"/>
      <c r="AO626" s="734"/>
      <c r="AP626" s="52"/>
      <c r="AQ626" s="52"/>
      <c r="AR626" s="52"/>
      <c r="AS626" s="52"/>
      <c r="AT626" s="52"/>
      <c r="AU626" s="52"/>
      <c r="AV626" s="52"/>
      <c r="AW626" s="52"/>
      <c r="AX626" s="52"/>
      <c r="AY626" s="52"/>
      <c r="AZ626" s="734"/>
      <c r="BA626" s="740"/>
      <c r="BB626" s="734"/>
      <c r="BC626" s="740"/>
      <c r="BD626" s="734"/>
      <c r="BE626" s="52"/>
      <c r="BF626" s="52"/>
      <c r="BG626" s="734"/>
      <c r="BH626" s="734"/>
      <c r="BI626" s="734"/>
      <c r="BJ626" s="734"/>
    </row>
    <row r="627">
      <c r="B627" s="740"/>
      <c r="C627" s="869"/>
      <c r="D627" s="734"/>
      <c r="E627" s="734"/>
      <c r="F627" s="740"/>
      <c r="G627" s="734"/>
      <c r="H627" s="734"/>
      <c r="I627" s="777"/>
      <c r="J627" s="740"/>
      <c r="K627" s="734"/>
      <c r="L627" s="734"/>
      <c r="M627" s="734"/>
      <c r="N627" s="734"/>
      <c r="O627" s="734"/>
      <c r="P627" s="734"/>
      <c r="Q627" s="734"/>
      <c r="R627" s="734"/>
      <c r="S627" s="734"/>
      <c r="T627" s="734"/>
      <c r="U627" s="734"/>
      <c r="V627" s="734"/>
      <c r="W627" s="734"/>
      <c r="X627" s="735"/>
      <c r="Y627" s="811"/>
      <c r="Z627" s="811"/>
      <c r="AA627" s="734"/>
      <c r="AB627" s="811"/>
      <c r="AC627" s="740"/>
      <c r="AD627" s="734"/>
      <c r="AE627" s="734"/>
      <c r="AF627" s="734"/>
      <c r="AG627" s="734"/>
      <c r="AH627" s="734"/>
      <c r="AI627" s="734"/>
      <c r="AJ627" s="879"/>
      <c r="AK627" s="734"/>
      <c r="AL627" s="734"/>
      <c r="AM627" s="734"/>
      <c r="AN627" s="734"/>
      <c r="AO627" s="734"/>
      <c r="AP627" s="52"/>
      <c r="AQ627" s="52"/>
      <c r="AR627" s="52"/>
      <c r="AS627" s="52"/>
      <c r="AT627" s="52"/>
      <c r="AU627" s="52"/>
      <c r="AV627" s="52"/>
      <c r="AW627" s="52"/>
      <c r="AX627" s="52"/>
      <c r="AY627" s="52"/>
      <c r="AZ627" s="734"/>
      <c r="BA627" s="740"/>
      <c r="BB627" s="734"/>
      <c r="BC627" s="740"/>
      <c r="BD627" s="734"/>
      <c r="BE627" s="52"/>
      <c r="BF627" s="52"/>
      <c r="BG627" s="734"/>
      <c r="BH627" s="734"/>
      <c r="BI627" s="734"/>
      <c r="BJ627" s="734"/>
    </row>
    <row r="628">
      <c r="B628" s="740"/>
      <c r="C628" s="869"/>
      <c r="D628" s="734"/>
      <c r="E628" s="734"/>
      <c r="F628" s="740"/>
      <c r="G628" s="734"/>
      <c r="H628" s="734"/>
      <c r="I628" s="777"/>
      <c r="J628" s="740"/>
      <c r="K628" s="734"/>
      <c r="L628" s="734"/>
      <c r="M628" s="734"/>
      <c r="N628" s="734"/>
      <c r="O628" s="734"/>
      <c r="P628" s="734"/>
      <c r="Q628" s="734"/>
      <c r="R628" s="734"/>
      <c r="S628" s="734"/>
      <c r="T628" s="734"/>
      <c r="U628" s="734"/>
      <c r="V628" s="734"/>
      <c r="W628" s="734"/>
      <c r="X628" s="735"/>
      <c r="Y628" s="811"/>
      <c r="Z628" s="811"/>
      <c r="AA628" s="734"/>
      <c r="AB628" s="811"/>
      <c r="AC628" s="740"/>
      <c r="AD628" s="734"/>
      <c r="AE628" s="734"/>
      <c r="AF628" s="734"/>
      <c r="AG628" s="734"/>
      <c r="AH628" s="734"/>
      <c r="AI628" s="734"/>
      <c r="AJ628" s="879"/>
      <c r="AK628" s="734"/>
      <c r="AL628" s="734"/>
      <c r="AM628" s="734"/>
      <c r="AN628" s="734"/>
      <c r="AO628" s="734"/>
      <c r="AP628" s="52"/>
      <c r="AQ628" s="52"/>
      <c r="AR628" s="52"/>
      <c r="AS628" s="52"/>
      <c r="AT628" s="52"/>
      <c r="AU628" s="52"/>
      <c r="AV628" s="52"/>
      <c r="AW628" s="52"/>
      <c r="AX628" s="52"/>
      <c r="AY628" s="52"/>
      <c r="AZ628" s="734"/>
      <c r="BA628" s="740"/>
      <c r="BB628" s="734"/>
      <c r="BC628" s="740"/>
      <c r="BD628" s="734"/>
      <c r="BE628" s="52"/>
      <c r="BF628" s="52"/>
      <c r="BG628" s="734"/>
      <c r="BH628" s="734"/>
      <c r="BI628" s="734"/>
      <c r="BJ628" s="734"/>
    </row>
    <row r="629">
      <c r="B629" s="740"/>
      <c r="C629" s="869"/>
      <c r="D629" s="734"/>
      <c r="E629" s="734"/>
      <c r="F629" s="740"/>
      <c r="G629" s="734"/>
      <c r="H629" s="734"/>
      <c r="I629" s="777"/>
      <c r="J629" s="740"/>
      <c r="K629" s="734"/>
      <c r="L629" s="734"/>
      <c r="M629" s="734"/>
      <c r="N629" s="734"/>
      <c r="O629" s="734"/>
      <c r="P629" s="734"/>
      <c r="Q629" s="734"/>
      <c r="R629" s="734"/>
      <c r="S629" s="734"/>
      <c r="T629" s="734"/>
      <c r="U629" s="734"/>
      <c r="V629" s="734"/>
      <c r="W629" s="734"/>
      <c r="X629" s="735"/>
      <c r="Y629" s="811"/>
      <c r="Z629" s="811"/>
      <c r="AA629" s="734"/>
      <c r="AB629" s="811"/>
      <c r="AC629" s="740"/>
      <c r="AD629" s="734"/>
      <c r="AE629" s="734"/>
      <c r="AF629" s="734"/>
      <c r="AG629" s="734"/>
      <c r="AH629" s="734"/>
      <c r="AI629" s="734"/>
      <c r="AJ629" s="879"/>
      <c r="AK629" s="734"/>
      <c r="AL629" s="734"/>
      <c r="AM629" s="734"/>
      <c r="AN629" s="734"/>
      <c r="AO629" s="734"/>
      <c r="AP629" s="52"/>
      <c r="AQ629" s="52"/>
      <c r="AR629" s="52"/>
      <c r="AS629" s="52"/>
      <c r="AT629" s="52"/>
      <c r="AU629" s="52"/>
      <c r="AV629" s="52"/>
      <c r="AW629" s="52"/>
      <c r="AX629" s="52"/>
      <c r="AY629" s="52"/>
      <c r="AZ629" s="734"/>
      <c r="BA629" s="740"/>
      <c r="BB629" s="734"/>
      <c r="BC629" s="740"/>
      <c r="BD629" s="734"/>
      <c r="BE629" s="52"/>
      <c r="BF629" s="52"/>
      <c r="BG629" s="734"/>
      <c r="BH629" s="734"/>
      <c r="BI629" s="734"/>
      <c r="BJ629" s="734"/>
    </row>
    <row r="630">
      <c r="B630" s="740"/>
      <c r="C630" s="869"/>
      <c r="D630" s="734"/>
      <c r="E630" s="734"/>
      <c r="F630" s="740"/>
      <c r="G630" s="734"/>
      <c r="H630" s="734"/>
      <c r="I630" s="777"/>
      <c r="J630" s="740"/>
      <c r="K630" s="734"/>
      <c r="L630" s="734"/>
      <c r="M630" s="734"/>
      <c r="N630" s="734"/>
      <c r="O630" s="734"/>
      <c r="P630" s="734"/>
      <c r="Q630" s="734"/>
      <c r="R630" s="734"/>
      <c r="S630" s="734"/>
      <c r="T630" s="734"/>
      <c r="U630" s="734"/>
      <c r="V630" s="734"/>
      <c r="W630" s="734"/>
      <c r="X630" s="735"/>
      <c r="Y630" s="811"/>
      <c r="Z630" s="811"/>
      <c r="AA630" s="734"/>
      <c r="AB630" s="811"/>
      <c r="AC630" s="740"/>
      <c r="AD630" s="734"/>
      <c r="AE630" s="734"/>
      <c r="AF630" s="734"/>
      <c r="AG630" s="734"/>
      <c r="AH630" s="734"/>
      <c r="AI630" s="734"/>
      <c r="AJ630" s="879"/>
      <c r="AK630" s="734"/>
      <c r="AL630" s="734"/>
      <c r="AM630" s="734"/>
      <c r="AN630" s="734"/>
      <c r="AO630" s="734"/>
      <c r="AP630" s="52"/>
      <c r="AQ630" s="52"/>
      <c r="AR630" s="52"/>
      <c r="AS630" s="52"/>
      <c r="AT630" s="52"/>
      <c r="AU630" s="52"/>
      <c r="AV630" s="52"/>
      <c r="AW630" s="52"/>
      <c r="AX630" s="52"/>
      <c r="AY630" s="52"/>
      <c r="AZ630" s="734"/>
      <c r="BA630" s="740"/>
      <c r="BB630" s="734"/>
      <c r="BC630" s="740"/>
      <c r="BD630" s="734"/>
      <c r="BE630" s="52"/>
      <c r="BF630" s="52"/>
      <c r="BG630" s="734"/>
      <c r="BH630" s="734"/>
      <c r="BI630" s="734"/>
      <c r="BJ630" s="734"/>
    </row>
    <row r="631">
      <c r="B631" s="740"/>
      <c r="C631" s="869"/>
      <c r="D631" s="734"/>
      <c r="E631" s="734"/>
      <c r="F631" s="740"/>
      <c r="G631" s="734"/>
      <c r="H631" s="734"/>
      <c r="I631" s="777"/>
      <c r="J631" s="740"/>
      <c r="K631" s="734"/>
      <c r="L631" s="734"/>
      <c r="M631" s="734"/>
      <c r="N631" s="734"/>
      <c r="O631" s="734"/>
      <c r="P631" s="734"/>
      <c r="Q631" s="734"/>
      <c r="R631" s="734"/>
      <c r="S631" s="734"/>
      <c r="T631" s="734"/>
      <c r="U631" s="734"/>
      <c r="V631" s="734"/>
      <c r="W631" s="734"/>
      <c r="X631" s="735"/>
      <c r="Y631" s="811"/>
      <c r="Z631" s="811"/>
      <c r="AA631" s="734"/>
      <c r="AB631" s="811"/>
      <c r="AC631" s="740"/>
      <c r="AD631" s="734"/>
      <c r="AE631" s="734"/>
      <c r="AF631" s="734"/>
      <c r="AG631" s="734"/>
      <c r="AH631" s="734"/>
      <c r="AI631" s="734"/>
      <c r="AJ631" s="879"/>
      <c r="AK631" s="734"/>
      <c r="AL631" s="734"/>
      <c r="AM631" s="734"/>
      <c r="AN631" s="734"/>
      <c r="AO631" s="734"/>
      <c r="AP631" s="52"/>
      <c r="AQ631" s="52"/>
      <c r="AR631" s="52"/>
      <c r="AS631" s="52"/>
      <c r="AT631" s="52"/>
      <c r="AU631" s="52"/>
      <c r="AV631" s="52"/>
      <c r="AW631" s="52"/>
      <c r="AX631" s="52"/>
      <c r="AY631" s="52"/>
      <c r="AZ631" s="734"/>
      <c r="BA631" s="740"/>
      <c r="BB631" s="734"/>
      <c r="BC631" s="740"/>
      <c r="BD631" s="734"/>
      <c r="BE631" s="52"/>
      <c r="BF631" s="52"/>
      <c r="BG631" s="734"/>
      <c r="BH631" s="734"/>
      <c r="BI631" s="734"/>
      <c r="BJ631" s="734"/>
    </row>
    <row r="632">
      <c r="B632" s="740"/>
      <c r="C632" s="869"/>
      <c r="D632" s="734"/>
      <c r="E632" s="734"/>
      <c r="F632" s="740"/>
      <c r="G632" s="734"/>
      <c r="H632" s="734"/>
      <c r="I632" s="777"/>
      <c r="J632" s="740"/>
      <c r="K632" s="734"/>
      <c r="L632" s="734"/>
      <c r="M632" s="734"/>
      <c r="N632" s="734"/>
      <c r="O632" s="734"/>
      <c r="P632" s="734"/>
      <c r="Q632" s="734"/>
      <c r="R632" s="734"/>
      <c r="S632" s="734"/>
      <c r="T632" s="734"/>
      <c r="U632" s="734"/>
      <c r="V632" s="734"/>
      <c r="W632" s="734"/>
      <c r="X632" s="735"/>
      <c r="Y632" s="811"/>
      <c r="Z632" s="811"/>
      <c r="AA632" s="734"/>
      <c r="AB632" s="811"/>
      <c r="AC632" s="740"/>
      <c r="AD632" s="734"/>
      <c r="AE632" s="734"/>
      <c r="AF632" s="734"/>
      <c r="AG632" s="734"/>
      <c r="AH632" s="734"/>
      <c r="AI632" s="734"/>
      <c r="AJ632" s="879"/>
      <c r="AK632" s="734"/>
      <c r="AL632" s="734"/>
      <c r="AM632" s="734"/>
      <c r="AN632" s="734"/>
      <c r="AO632" s="734"/>
      <c r="AP632" s="52"/>
      <c r="AQ632" s="52"/>
      <c r="AR632" s="52"/>
      <c r="AS632" s="52"/>
      <c r="AT632" s="52"/>
      <c r="AU632" s="52"/>
      <c r="AV632" s="52"/>
      <c r="AW632" s="52"/>
      <c r="AX632" s="52"/>
      <c r="AY632" s="52"/>
      <c r="AZ632" s="734"/>
      <c r="BA632" s="740"/>
      <c r="BB632" s="734"/>
      <c r="BC632" s="740"/>
      <c r="BD632" s="734"/>
      <c r="BE632" s="52"/>
      <c r="BF632" s="52"/>
      <c r="BG632" s="734"/>
      <c r="BH632" s="734"/>
      <c r="BI632" s="734"/>
      <c r="BJ632" s="734"/>
    </row>
    <row r="633">
      <c r="B633" s="740"/>
      <c r="C633" s="869"/>
      <c r="D633" s="734"/>
      <c r="E633" s="734"/>
      <c r="F633" s="740"/>
      <c r="G633" s="734"/>
      <c r="H633" s="734"/>
      <c r="I633" s="777"/>
      <c r="J633" s="740"/>
      <c r="K633" s="734"/>
      <c r="L633" s="734"/>
      <c r="M633" s="734"/>
      <c r="N633" s="734"/>
      <c r="O633" s="734"/>
      <c r="P633" s="734"/>
      <c r="Q633" s="734"/>
      <c r="R633" s="734"/>
      <c r="S633" s="734"/>
      <c r="T633" s="734"/>
      <c r="U633" s="734"/>
      <c r="V633" s="734"/>
      <c r="W633" s="734"/>
      <c r="X633" s="735"/>
      <c r="Y633" s="811"/>
      <c r="Z633" s="811"/>
      <c r="AA633" s="734"/>
      <c r="AB633" s="811"/>
      <c r="AC633" s="740"/>
      <c r="AD633" s="734"/>
      <c r="AE633" s="734"/>
      <c r="AF633" s="734"/>
      <c r="AG633" s="734"/>
      <c r="AH633" s="734"/>
      <c r="AI633" s="734"/>
      <c r="AJ633" s="879"/>
      <c r="AK633" s="734"/>
      <c r="AL633" s="734"/>
      <c r="AM633" s="734"/>
      <c r="AN633" s="734"/>
      <c r="AO633" s="734"/>
      <c r="AP633" s="52"/>
      <c r="AQ633" s="52"/>
      <c r="AR633" s="52"/>
      <c r="AS633" s="52"/>
      <c r="AT633" s="52"/>
      <c r="AU633" s="52"/>
      <c r="AV633" s="52"/>
      <c r="AW633" s="52"/>
      <c r="AX633" s="52"/>
      <c r="AY633" s="52"/>
      <c r="AZ633" s="734"/>
      <c r="BA633" s="740"/>
      <c r="BB633" s="734"/>
      <c r="BC633" s="740"/>
      <c r="BD633" s="734"/>
      <c r="BE633" s="52"/>
      <c r="BF633" s="52"/>
      <c r="BG633" s="734"/>
      <c r="BH633" s="734"/>
      <c r="BI633" s="734"/>
      <c r="BJ633" s="734"/>
    </row>
    <row r="634">
      <c r="B634" s="740"/>
      <c r="C634" s="869"/>
      <c r="D634" s="734"/>
      <c r="E634" s="734"/>
      <c r="F634" s="740"/>
      <c r="G634" s="734"/>
      <c r="H634" s="734"/>
      <c r="I634" s="777"/>
      <c r="J634" s="740"/>
      <c r="K634" s="734"/>
      <c r="L634" s="734"/>
      <c r="M634" s="734"/>
      <c r="N634" s="734"/>
      <c r="O634" s="734"/>
      <c r="P634" s="734"/>
      <c r="Q634" s="734"/>
      <c r="R634" s="734"/>
      <c r="S634" s="734"/>
      <c r="T634" s="734"/>
      <c r="U634" s="734"/>
      <c r="V634" s="734"/>
      <c r="W634" s="734"/>
      <c r="X634" s="735"/>
      <c r="Y634" s="811"/>
      <c r="Z634" s="811"/>
      <c r="AA634" s="734"/>
      <c r="AB634" s="811"/>
      <c r="AC634" s="740"/>
      <c r="AD634" s="734"/>
      <c r="AE634" s="734"/>
      <c r="AF634" s="734"/>
      <c r="AG634" s="734"/>
      <c r="AH634" s="734"/>
      <c r="AI634" s="734"/>
      <c r="AJ634" s="879"/>
      <c r="AK634" s="734"/>
      <c r="AL634" s="734"/>
      <c r="AM634" s="734"/>
      <c r="AN634" s="734"/>
      <c r="AO634" s="734"/>
      <c r="AP634" s="52"/>
      <c r="AQ634" s="52"/>
      <c r="AR634" s="52"/>
      <c r="AS634" s="52"/>
      <c r="AT634" s="52"/>
      <c r="AU634" s="52"/>
      <c r="AV634" s="52"/>
      <c r="AW634" s="52"/>
      <c r="AX634" s="52"/>
      <c r="AY634" s="52"/>
      <c r="AZ634" s="734"/>
      <c r="BA634" s="740"/>
      <c r="BB634" s="734"/>
      <c r="BC634" s="740"/>
      <c r="BD634" s="734"/>
      <c r="BE634" s="52"/>
      <c r="BF634" s="52"/>
      <c r="BG634" s="734"/>
      <c r="BH634" s="734"/>
      <c r="BI634" s="734"/>
      <c r="BJ634" s="734"/>
    </row>
    <row r="635">
      <c r="B635" s="740"/>
      <c r="C635" s="869"/>
      <c r="D635" s="734"/>
      <c r="E635" s="734"/>
      <c r="F635" s="740"/>
      <c r="G635" s="734"/>
      <c r="H635" s="734"/>
      <c r="I635" s="777"/>
      <c r="J635" s="740"/>
      <c r="K635" s="734"/>
      <c r="L635" s="734"/>
      <c r="M635" s="734"/>
      <c r="N635" s="734"/>
      <c r="O635" s="734"/>
      <c r="P635" s="734"/>
      <c r="Q635" s="734"/>
      <c r="R635" s="734"/>
      <c r="S635" s="734"/>
      <c r="T635" s="734"/>
      <c r="U635" s="734"/>
      <c r="V635" s="734"/>
      <c r="W635" s="734"/>
      <c r="X635" s="735"/>
      <c r="Y635" s="811"/>
      <c r="Z635" s="811"/>
      <c r="AA635" s="734"/>
      <c r="AB635" s="811"/>
      <c r="AC635" s="740"/>
      <c r="AD635" s="734"/>
      <c r="AE635" s="734"/>
      <c r="AF635" s="734"/>
      <c r="AG635" s="734"/>
      <c r="AH635" s="734"/>
      <c r="AI635" s="734"/>
      <c r="AJ635" s="879"/>
      <c r="AK635" s="734"/>
      <c r="AL635" s="734"/>
      <c r="AM635" s="734"/>
      <c r="AN635" s="734"/>
      <c r="AO635" s="734"/>
      <c r="AP635" s="52"/>
      <c r="AQ635" s="52"/>
      <c r="AR635" s="52"/>
      <c r="AS635" s="52"/>
      <c r="AT635" s="52"/>
      <c r="AU635" s="52"/>
      <c r="AV635" s="52"/>
      <c r="AW635" s="52"/>
      <c r="AX635" s="52"/>
      <c r="AY635" s="52"/>
      <c r="AZ635" s="734"/>
      <c r="BA635" s="740"/>
      <c r="BB635" s="734"/>
      <c r="BC635" s="740"/>
      <c r="BD635" s="734"/>
      <c r="BE635" s="52"/>
      <c r="BF635" s="52"/>
      <c r="BG635" s="734"/>
      <c r="BH635" s="734"/>
      <c r="BI635" s="734"/>
      <c r="BJ635" s="734"/>
    </row>
    <row r="636">
      <c r="B636" s="740"/>
      <c r="C636" s="869"/>
      <c r="D636" s="734"/>
      <c r="E636" s="734"/>
      <c r="F636" s="740"/>
      <c r="G636" s="734"/>
      <c r="H636" s="734"/>
      <c r="I636" s="777"/>
      <c r="J636" s="740"/>
      <c r="K636" s="734"/>
      <c r="L636" s="734"/>
      <c r="M636" s="734"/>
      <c r="N636" s="734"/>
      <c r="O636" s="734"/>
      <c r="P636" s="734"/>
      <c r="Q636" s="734"/>
      <c r="R636" s="734"/>
      <c r="S636" s="734"/>
      <c r="T636" s="734"/>
      <c r="U636" s="734"/>
      <c r="V636" s="734"/>
      <c r="W636" s="734"/>
      <c r="X636" s="735"/>
      <c r="Y636" s="811"/>
      <c r="Z636" s="811"/>
      <c r="AA636" s="734"/>
      <c r="AB636" s="811"/>
      <c r="AC636" s="740"/>
      <c r="AD636" s="734"/>
      <c r="AE636" s="734"/>
      <c r="AF636" s="734"/>
      <c r="AG636" s="734"/>
      <c r="AH636" s="734"/>
      <c r="AI636" s="734"/>
      <c r="AJ636" s="879"/>
      <c r="AK636" s="734"/>
      <c r="AL636" s="734"/>
      <c r="AM636" s="734"/>
      <c r="AN636" s="734"/>
      <c r="AO636" s="734"/>
      <c r="AP636" s="52"/>
      <c r="AQ636" s="52"/>
      <c r="AR636" s="52"/>
      <c r="AS636" s="52"/>
      <c r="AT636" s="52"/>
      <c r="AU636" s="52"/>
      <c r="AV636" s="52"/>
      <c r="AW636" s="52"/>
      <c r="AX636" s="52"/>
      <c r="AY636" s="52"/>
      <c r="AZ636" s="734"/>
      <c r="BA636" s="740"/>
      <c r="BB636" s="734"/>
      <c r="BC636" s="740"/>
      <c r="BD636" s="734"/>
      <c r="BE636" s="52"/>
      <c r="BF636" s="52"/>
      <c r="BG636" s="734"/>
      <c r="BH636" s="734"/>
      <c r="BI636" s="734"/>
      <c r="BJ636" s="734"/>
    </row>
    <row r="637">
      <c r="B637" s="740"/>
      <c r="C637" s="869"/>
      <c r="D637" s="734"/>
      <c r="E637" s="734"/>
      <c r="F637" s="740"/>
      <c r="G637" s="734"/>
      <c r="H637" s="734"/>
      <c r="I637" s="777"/>
      <c r="J637" s="740"/>
      <c r="K637" s="734"/>
      <c r="L637" s="734"/>
      <c r="M637" s="734"/>
      <c r="N637" s="734"/>
      <c r="O637" s="734"/>
      <c r="P637" s="734"/>
      <c r="Q637" s="734"/>
      <c r="R637" s="734"/>
      <c r="S637" s="734"/>
      <c r="T637" s="734"/>
      <c r="U637" s="734"/>
      <c r="V637" s="734"/>
      <c r="W637" s="734"/>
      <c r="X637" s="735"/>
      <c r="Y637" s="811"/>
      <c r="Z637" s="811"/>
      <c r="AA637" s="734"/>
      <c r="AB637" s="811"/>
      <c r="AC637" s="740"/>
      <c r="AD637" s="734"/>
      <c r="AE637" s="734"/>
      <c r="AF637" s="734"/>
      <c r="AG637" s="734"/>
      <c r="AH637" s="734"/>
      <c r="AI637" s="734"/>
      <c r="AJ637" s="879"/>
      <c r="AK637" s="734"/>
      <c r="AL637" s="734"/>
      <c r="AM637" s="734"/>
      <c r="AN637" s="734"/>
      <c r="AO637" s="734"/>
      <c r="AP637" s="52"/>
      <c r="AQ637" s="52"/>
      <c r="AR637" s="52"/>
      <c r="AS637" s="52"/>
      <c r="AT637" s="52"/>
      <c r="AU637" s="52"/>
      <c r="AV637" s="52"/>
      <c r="AW637" s="52"/>
      <c r="AX637" s="52"/>
      <c r="AY637" s="52"/>
      <c r="AZ637" s="734"/>
      <c r="BA637" s="740"/>
      <c r="BB637" s="734"/>
      <c r="BC637" s="740"/>
      <c r="BD637" s="734"/>
      <c r="BE637" s="52"/>
      <c r="BF637" s="52"/>
      <c r="BG637" s="734"/>
      <c r="BH637" s="734"/>
      <c r="BI637" s="734"/>
      <c r="BJ637" s="734"/>
    </row>
    <row r="638">
      <c r="B638" s="740"/>
      <c r="C638" s="869"/>
      <c r="D638" s="734"/>
      <c r="E638" s="734"/>
      <c r="F638" s="740"/>
      <c r="G638" s="734"/>
      <c r="H638" s="734"/>
      <c r="I638" s="777"/>
      <c r="J638" s="740"/>
      <c r="K638" s="734"/>
      <c r="L638" s="734"/>
      <c r="M638" s="734"/>
      <c r="N638" s="734"/>
      <c r="O638" s="734"/>
      <c r="P638" s="734"/>
      <c r="Q638" s="734"/>
      <c r="R638" s="734"/>
      <c r="S638" s="734"/>
      <c r="T638" s="734"/>
      <c r="U638" s="734"/>
      <c r="V638" s="734"/>
      <c r="W638" s="734"/>
      <c r="X638" s="735"/>
      <c r="Y638" s="811"/>
      <c r="Z638" s="811"/>
      <c r="AA638" s="734"/>
      <c r="AB638" s="811"/>
      <c r="AC638" s="740"/>
      <c r="AD638" s="734"/>
      <c r="AE638" s="734"/>
      <c r="AF638" s="734"/>
      <c r="AG638" s="734"/>
      <c r="AH638" s="734"/>
      <c r="AI638" s="734"/>
      <c r="AJ638" s="879"/>
      <c r="AK638" s="734"/>
      <c r="AL638" s="734"/>
      <c r="AM638" s="734"/>
      <c r="AN638" s="734"/>
      <c r="AO638" s="734"/>
      <c r="AP638" s="52"/>
      <c r="AQ638" s="52"/>
      <c r="AR638" s="52"/>
      <c r="AS638" s="52"/>
      <c r="AT638" s="52"/>
      <c r="AU638" s="52"/>
      <c r="AV638" s="52"/>
      <c r="AW638" s="52"/>
      <c r="AX638" s="52"/>
      <c r="AY638" s="52"/>
      <c r="AZ638" s="734"/>
      <c r="BA638" s="740"/>
      <c r="BB638" s="734"/>
      <c r="BC638" s="740"/>
      <c r="BD638" s="734"/>
      <c r="BE638" s="52"/>
      <c r="BF638" s="52"/>
      <c r="BG638" s="734"/>
      <c r="BH638" s="734"/>
      <c r="BI638" s="734"/>
      <c r="BJ638" s="734"/>
    </row>
    <row r="639">
      <c r="B639" s="740"/>
      <c r="C639" s="869"/>
      <c r="D639" s="734"/>
      <c r="E639" s="734"/>
      <c r="F639" s="740"/>
      <c r="G639" s="734"/>
      <c r="H639" s="734"/>
      <c r="I639" s="777"/>
      <c r="J639" s="740"/>
      <c r="K639" s="734"/>
      <c r="L639" s="734"/>
      <c r="M639" s="734"/>
      <c r="N639" s="734"/>
      <c r="O639" s="734"/>
      <c r="P639" s="734"/>
      <c r="Q639" s="734"/>
      <c r="R639" s="734"/>
      <c r="S639" s="734"/>
      <c r="T639" s="734"/>
      <c r="U639" s="734"/>
      <c r="V639" s="734"/>
      <c r="W639" s="734"/>
      <c r="X639" s="735"/>
      <c r="Y639" s="811"/>
      <c r="Z639" s="811"/>
      <c r="AA639" s="734"/>
      <c r="AB639" s="811"/>
      <c r="AC639" s="740"/>
      <c r="AD639" s="734"/>
      <c r="AE639" s="734"/>
      <c r="AF639" s="734"/>
      <c r="AG639" s="734"/>
      <c r="AH639" s="734"/>
      <c r="AI639" s="734"/>
      <c r="AJ639" s="879"/>
      <c r="AK639" s="734"/>
      <c r="AL639" s="734"/>
      <c r="AM639" s="734"/>
      <c r="AN639" s="734"/>
      <c r="AO639" s="734"/>
      <c r="AP639" s="52"/>
      <c r="AQ639" s="52"/>
      <c r="AR639" s="52"/>
      <c r="AS639" s="52"/>
      <c r="AT639" s="52"/>
      <c r="AU639" s="52"/>
      <c r="AV639" s="52"/>
      <c r="AW639" s="52"/>
      <c r="AX639" s="52"/>
      <c r="AY639" s="52"/>
      <c r="AZ639" s="734"/>
      <c r="BA639" s="740"/>
      <c r="BB639" s="734"/>
      <c r="BC639" s="740"/>
      <c r="BD639" s="734"/>
      <c r="BE639" s="52"/>
      <c r="BF639" s="52"/>
      <c r="BG639" s="734"/>
      <c r="BH639" s="734"/>
      <c r="BI639" s="734"/>
      <c r="BJ639" s="734"/>
    </row>
    <row r="640">
      <c r="B640" s="740"/>
      <c r="C640" s="869"/>
      <c r="D640" s="734"/>
      <c r="E640" s="734"/>
      <c r="F640" s="740"/>
      <c r="G640" s="734"/>
      <c r="H640" s="734"/>
      <c r="I640" s="777"/>
      <c r="J640" s="740"/>
      <c r="K640" s="734"/>
      <c r="L640" s="734"/>
      <c r="M640" s="734"/>
      <c r="N640" s="734"/>
      <c r="O640" s="734"/>
      <c r="P640" s="734"/>
      <c r="Q640" s="734"/>
      <c r="R640" s="734"/>
      <c r="S640" s="734"/>
      <c r="T640" s="734"/>
      <c r="U640" s="734"/>
      <c r="V640" s="734"/>
      <c r="W640" s="734"/>
      <c r="X640" s="735"/>
      <c r="Y640" s="811"/>
      <c r="Z640" s="811"/>
      <c r="AA640" s="734"/>
      <c r="AB640" s="811"/>
      <c r="AC640" s="740"/>
      <c r="AD640" s="734"/>
      <c r="AE640" s="734"/>
      <c r="AF640" s="734"/>
      <c r="AG640" s="734"/>
      <c r="AH640" s="734"/>
      <c r="AI640" s="734"/>
      <c r="AJ640" s="879"/>
      <c r="AK640" s="734"/>
      <c r="AL640" s="734"/>
      <c r="AM640" s="734"/>
      <c r="AN640" s="734"/>
      <c r="AO640" s="734"/>
      <c r="AP640" s="52"/>
      <c r="AQ640" s="52"/>
      <c r="AR640" s="52"/>
      <c r="AS640" s="52"/>
      <c r="AT640" s="52"/>
      <c r="AU640" s="52"/>
      <c r="AV640" s="52"/>
      <c r="AW640" s="52"/>
      <c r="AX640" s="52"/>
      <c r="AY640" s="52"/>
      <c r="AZ640" s="734"/>
      <c r="BA640" s="740"/>
      <c r="BB640" s="734"/>
      <c r="BC640" s="740"/>
      <c r="BD640" s="734"/>
      <c r="BE640" s="52"/>
      <c r="BF640" s="52"/>
      <c r="BG640" s="734"/>
      <c r="BH640" s="734"/>
      <c r="BI640" s="734"/>
      <c r="BJ640" s="734"/>
    </row>
    <row r="641">
      <c r="B641" s="740"/>
      <c r="C641" s="869"/>
      <c r="D641" s="734"/>
      <c r="E641" s="734"/>
      <c r="F641" s="740"/>
      <c r="G641" s="734"/>
      <c r="H641" s="734"/>
      <c r="I641" s="777"/>
      <c r="J641" s="740"/>
      <c r="K641" s="734"/>
      <c r="L641" s="734"/>
      <c r="M641" s="734"/>
      <c r="N641" s="734"/>
      <c r="O641" s="734"/>
      <c r="P641" s="734"/>
      <c r="Q641" s="734"/>
      <c r="R641" s="734"/>
      <c r="S641" s="734"/>
      <c r="T641" s="734"/>
      <c r="U641" s="734"/>
      <c r="V641" s="734"/>
      <c r="W641" s="734"/>
      <c r="X641" s="735"/>
      <c r="Y641" s="811"/>
      <c r="Z641" s="811"/>
      <c r="AA641" s="734"/>
      <c r="AB641" s="811"/>
      <c r="AC641" s="740"/>
      <c r="AD641" s="734"/>
      <c r="AE641" s="734"/>
      <c r="AF641" s="734"/>
      <c r="AG641" s="734"/>
      <c r="AH641" s="734"/>
      <c r="AI641" s="734"/>
      <c r="AJ641" s="879"/>
      <c r="AK641" s="734"/>
      <c r="AL641" s="734"/>
      <c r="AM641" s="734"/>
      <c r="AN641" s="734"/>
      <c r="AO641" s="734"/>
      <c r="AP641" s="52"/>
      <c r="AQ641" s="52"/>
      <c r="AR641" s="52"/>
      <c r="AS641" s="52"/>
      <c r="AT641" s="52"/>
      <c r="AU641" s="52"/>
      <c r="AV641" s="52"/>
      <c r="AW641" s="52"/>
      <c r="AX641" s="52"/>
      <c r="AY641" s="52"/>
      <c r="AZ641" s="734"/>
      <c r="BA641" s="740"/>
      <c r="BB641" s="734"/>
      <c r="BC641" s="740"/>
      <c r="BD641" s="734"/>
      <c r="BE641" s="52"/>
      <c r="BF641" s="52"/>
      <c r="BG641" s="734"/>
      <c r="BH641" s="734"/>
      <c r="BI641" s="734"/>
      <c r="BJ641" s="734"/>
    </row>
    <row r="642">
      <c r="B642" s="740"/>
      <c r="C642" s="869"/>
      <c r="D642" s="734"/>
      <c r="E642" s="734"/>
      <c r="F642" s="740"/>
      <c r="G642" s="734"/>
      <c r="H642" s="734"/>
      <c r="I642" s="777"/>
      <c r="J642" s="740"/>
      <c r="K642" s="734"/>
      <c r="L642" s="734"/>
      <c r="M642" s="734"/>
      <c r="N642" s="734"/>
      <c r="O642" s="734"/>
      <c r="P642" s="734"/>
      <c r="Q642" s="734"/>
      <c r="R642" s="734"/>
      <c r="S642" s="734"/>
      <c r="T642" s="734"/>
      <c r="U642" s="734"/>
      <c r="V642" s="734"/>
      <c r="W642" s="734"/>
      <c r="X642" s="735"/>
      <c r="Y642" s="811"/>
      <c r="Z642" s="811"/>
      <c r="AA642" s="734"/>
      <c r="AB642" s="811"/>
      <c r="AC642" s="740"/>
      <c r="AD642" s="734"/>
      <c r="AE642" s="734"/>
      <c r="AF642" s="734"/>
      <c r="AG642" s="734"/>
      <c r="AH642" s="734"/>
      <c r="AI642" s="734"/>
      <c r="AJ642" s="879"/>
      <c r="AK642" s="734"/>
      <c r="AL642" s="734"/>
      <c r="AM642" s="734"/>
      <c r="AN642" s="734"/>
      <c r="AO642" s="734"/>
      <c r="AP642" s="52"/>
      <c r="AQ642" s="52"/>
      <c r="AR642" s="52"/>
      <c r="AS642" s="52"/>
      <c r="AT642" s="52"/>
      <c r="AU642" s="52"/>
      <c r="AV642" s="52"/>
      <c r="AW642" s="52"/>
      <c r="AX642" s="52"/>
      <c r="AY642" s="52"/>
      <c r="AZ642" s="734"/>
      <c r="BA642" s="740"/>
      <c r="BB642" s="734"/>
      <c r="BC642" s="740"/>
      <c r="BD642" s="734"/>
      <c r="BE642" s="52"/>
      <c r="BF642" s="52"/>
      <c r="BG642" s="734"/>
      <c r="BH642" s="734"/>
      <c r="BI642" s="734"/>
      <c r="BJ642" s="734"/>
    </row>
    <row r="643">
      <c r="B643" s="740"/>
      <c r="C643" s="869"/>
      <c r="D643" s="734"/>
      <c r="E643" s="734"/>
      <c r="F643" s="740"/>
      <c r="G643" s="734"/>
      <c r="H643" s="734"/>
      <c r="I643" s="777"/>
      <c r="J643" s="740"/>
      <c r="K643" s="734"/>
      <c r="L643" s="734"/>
      <c r="M643" s="734"/>
      <c r="N643" s="734"/>
      <c r="O643" s="734"/>
      <c r="P643" s="734"/>
      <c r="Q643" s="734"/>
      <c r="R643" s="734"/>
      <c r="S643" s="734"/>
      <c r="T643" s="734"/>
      <c r="U643" s="734"/>
      <c r="V643" s="734"/>
      <c r="W643" s="734"/>
      <c r="X643" s="735"/>
      <c r="Y643" s="811"/>
      <c r="Z643" s="811"/>
      <c r="AA643" s="734"/>
      <c r="AB643" s="811"/>
      <c r="AC643" s="740"/>
      <c r="AD643" s="734"/>
      <c r="AE643" s="734"/>
      <c r="AF643" s="734"/>
      <c r="AG643" s="734"/>
      <c r="AH643" s="734"/>
      <c r="AI643" s="734"/>
      <c r="AJ643" s="879"/>
      <c r="AK643" s="734"/>
      <c r="AL643" s="734"/>
      <c r="AM643" s="734"/>
      <c r="AN643" s="734"/>
      <c r="AO643" s="734"/>
      <c r="AP643" s="52"/>
      <c r="AQ643" s="52"/>
      <c r="AR643" s="52"/>
      <c r="AS643" s="52"/>
      <c r="AT643" s="52"/>
      <c r="AU643" s="52"/>
      <c r="AV643" s="52"/>
      <c r="AW643" s="52"/>
      <c r="AX643" s="52"/>
      <c r="AY643" s="52"/>
      <c r="AZ643" s="734"/>
      <c r="BA643" s="740"/>
      <c r="BB643" s="734"/>
      <c r="BC643" s="740"/>
      <c r="BD643" s="734"/>
      <c r="BE643" s="52"/>
      <c r="BF643" s="52"/>
      <c r="BG643" s="734"/>
      <c r="BH643" s="734"/>
      <c r="BI643" s="734"/>
      <c r="BJ643" s="734"/>
    </row>
    <row r="644">
      <c r="B644" s="740"/>
      <c r="C644" s="869"/>
      <c r="D644" s="734"/>
      <c r="E644" s="734"/>
      <c r="F644" s="740"/>
      <c r="G644" s="734"/>
      <c r="H644" s="734"/>
      <c r="I644" s="777"/>
      <c r="J644" s="740"/>
      <c r="K644" s="734"/>
      <c r="L644" s="734"/>
      <c r="M644" s="734"/>
      <c r="N644" s="734"/>
      <c r="O644" s="734"/>
      <c r="P644" s="734"/>
      <c r="Q644" s="734"/>
      <c r="R644" s="734"/>
      <c r="S644" s="734"/>
      <c r="T644" s="734"/>
      <c r="U644" s="734"/>
      <c r="V644" s="734"/>
      <c r="W644" s="734"/>
      <c r="X644" s="735"/>
      <c r="Y644" s="811"/>
      <c r="Z644" s="811"/>
      <c r="AA644" s="734"/>
      <c r="AB644" s="811"/>
      <c r="AC644" s="740"/>
      <c r="AD644" s="734"/>
      <c r="AE644" s="734"/>
      <c r="AF644" s="734"/>
      <c r="AG644" s="734"/>
      <c r="AH644" s="734"/>
      <c r="AI644" s="734"/>
      <c r="AJ644" s="879"/>
      <c r="AK644" s="734"/>
      <c r="AL644" s="734"/>
      <c r="AM644" s="734"/>
      <c r="AN644" s="734"/>
      <c r="AO644" s="734"/>
      <c r="AP644" s="52"/>
      <c r="AQ644" s="52"/>
      <c r="AR644" s="52"/>
      <c r="AS644" s="52"/>
      <c r="AT644" s="52"/>
      <c r="AU644" s="52"/>
      <c r="AV644" s="52"/>
      <c r="AW644" s="52"/>
      <c r="AX644" s="52"/>
      <c r="AY644" s="52"/>
      <c r="AZ644" s="734"/>
      <c r="BA644" s="740"/>
      <c r="BB644" s="734"/>
      <c r="BC644" s="740"/>
      <c r="BD644" s="734"/>
      <c r="BE644" s="52"/>
      <c r="BF644" s="52"/>
      <c r="BG644" s="734"/>
      <c r="BH644" s="734"/>
      <c r="BI644" s="734"/>
      <c r="BJ644" s="734"/>
    </row>
    <row r="645">
      <c r="B645" s="740"/>
      <c r="C645" s="869"/>
      <c r="D645" s="734"/>
      <c r="E645" s="734"/>
      <c r="F645" s="740"/>
      <c r="G645" s="734"/>
      <c r="H645" s="734"/>
      <c r="I645" s="777"/>
      <c r="J645" s="740"/>
      <c r="K645" s="734"/>
      <c r="L645" s="734"/>
      <c r="M645" s="734"/>
      <c r="N645" s="734"/>
      <c r="O645" s="734"/>
      <c r="P645" s="734"/>
      <c r="Q645" s="734"/>
      <c r="R645" s="734"/>
      <c r="S645" s="734"/>
      <c r="T645" s="734"/>
      <c r="U645" s="734"/>
      <c r="V645" s="734"/>
      <c r="W645" s="734"/>
      <c r="X645" s="735"/>
      <c r="Y645" s="811"/>
      <c r="Z645" s="811"/>
      <c r="AA645" s="734"/>
      <c r="AB645" s="811"/>
      <c r="AC645" s="740"/>
      <c r="AD645" s="734"/>
      <c r="AE645" s="734"/>
      <c r="AF645" s="734"/>
      <c r="AG645" s="734"/>
      <c r="AH645" s="734"/>
      <c r="AI645" s="734"/>
      <c r="AJ645" s="879"/>
      <c r="AK645" s="734"/>
      <c r="AL645" s="734"/>
      <c r="AM645" s="734"/>
      <c r="AN645" s="734"/>
      <c r="AO645" s="734"/>
      <c r="AP645" s="52"/>
      <c r="AQ645" s="52"/>
      <c r="AR645" s="52"/>
      <c r="AS645" s="52"/>
      <c r="AT645" s="52"/>
      <c r="AU645" s="52"/>
      <c r="AV645" s="52"/>
      <c r="AW645" s="52"/>
      <c r="AX645" s="52"/>
      <c r="AY645" s="52"/>
      <c r="AZ645" s="734"/>
      <c r="BA645" s="740"/>
      <c r="BB645" s="734"/>
      <c r="BC645" s="740"/>
      <c r="BD645" s="734"/>
      <c r="BE645" s="52"/>
      <c r="BF645" s="52"/>
      <c r="BG645" s="734"/>
      <c r="BH645" s="734"/>
      <c r="BI645" s="734"/>
      <c r="BJ645" s="734"/>
    </row>
    <row r="646">
      <c r="B646" s="740"/>
      <c r="C646" s="869"/>
      <c r="D646" s="734"/>
      <c r="E646" s="734"/>
      <c r="F646" s="740"/>
      <c r="G646" s="734"/>
      <c r="H646" s="734"/>
      <c r="I646" s="777"/>
      <c r="J646" s="740"/>
      <c r="K646" s="734"/>
      <c r="L646" s="734"/>
      <c r="M646" s="734"/>
      <c r="N646" s="734"/>
      <c r="O646" s="734"/>
      <c r="P646" s="734"/>
      <c r="Q646" s="734"/>
      <c r="R646" s="734"/>
      <c r="S646" s="734"/>
      <c r="T646" s="734"/>
      <c r="U646" s="734"/>
      <c r="V646" s="734"/>
      <c r="W646" s="734"/>
      <c r="X646" s="735"/>
      <c r="Y646" s="811"/>
      <c r="Z646" s="811"/>
      <c r="AA646" s="734"/>
      <c r="AB646" s="811"/>
      <c r="AC646" s="740"/>
      <c r="AD646" s="734"/>
      <c r="AE646" s="734"/>
      <c r="AF646" s="734"/>
      <c r="AG646" s="734"/>
      <c r="AH646" s="734"/>
      <c r="AI646" s="734"/>
      <c r="AJ646" s="879"/>
      <c r="AK646" s="734"/>
      <c r="AL646" s="734"/>
      <c r="AM646" s="734"/>
      <c r="AN646" s="734"/>
      <c r="AO646" s="734"/>
      <c r="AP646" s="52"/>
      <c r="AQ646" s="52"/>
      <c r="AR646" s="52"/>
      <c r="AS646" s="52"/>
      <c r="AT646" s="52"/>
      <c r="AU646" s="52"/>
      <c r="AV646" s="52"/>
      <c r="AW646" s="52"/>
      <c r="AX646" s="52"/>
      <c r="AY646" s="52"/>
      <c r="AZ646" s="734"/>
      <c r="BA646" s="740"/>
      <c r="BB646" s="734"/>
      <c r="BC646" s="740"/>
      <c r="BD646" s="734"/>
      <c r="BE646" s="52"/>
      <c r="BF646" s="52"/>
      <c r="BG646" s="734"/>
      <c r="BH646" s="734"/>
      <c r="BI646" s="734"/>
      <c r="BJ646" s="734"/>
    </row>
    <row r="647">
      <c r="B647" s="740"/>
      <c r="C647" s="869"/>
      <c r="D647" s="734"/>
      <c r="E647" s="734"/>
      <c r="F647" s="740"/>
      <c r="G647" s="734"/>
      <c r="H647" s="734"/>
      <c r="I647" s="777"/>
      <c r="J647" s="740"/>
      <c r="K647" s="734"/>
      <c r="L647" s="734"/>
      <c r="M647" s="734"/>
      <c r="N647" s="734"/>
      <c r="O647" s="734"/>
      <c r="P647" s="734"/>
      <c r="Q647" s="734"/>
      <c r="R647" s="734"/>
      <c r="S647" s="734"/>
      <c r="T647" s="734"/>
      <c r="U647" s="734"/>
      <c r="V647" s="734"/>
      <c r="W647" s="734"/>
      <c r="X647" s="735"/>
      <c r="Y647" s="811"/>
      <c r="Z647" s="811"/>
      <c r="AA647" s="734"/>
      <c r="AB647" s="811"/>
      <c r="AC647" s="740"/>
      <c r="AD647" s="734"/>
      <c r="AE647" s="734"/>
      <c r="AF647" s="734"/>
      <c r="AG647" s="734"/>
      <c r="AH647" s="734"/>
      <c r="AI647" s="734"/>
      <c r="AJ647" s="879"/>
      <c r="AK647" s="734"/>
      <c r="AL647" s="734"/>
      <c r="AM647" s="734"/>
      <c r="AN647" s="734"/>
      <c r="AO647" s="734"/>
      <c r="AP647" s="52"/>
      <c r="AQ647" s="52"/>
      <c r="AR647" s="52"/>
      <c r="AS647" s="52"/>
      <c r="AT647" s="52"/>
      <c r="AU647" s="52"/>
      <c r="AV647" s="52"/>
      <c r="AW647" s="52"/>
      <c r="AX647" s="52"/>
      <c r="AY647" s="52"/>
      <c r="AZ647" s="734"/>
      <c r="BA647" s="740"/>
      <c r="BB647" s="734"/>
      <c r="BC647" s="740"/>
      <c r="BD647" s="734"/>
      <c r="BE647" s="52"/>
      <c r="BF647" s="52"/>
      <c r="BG647" s="734"/>
      <c r="BH647" s="734"/>
      <c r="BI647" s="734"/>
      <c r="BJ647" s="734"/>
    </row>
    <row r="648">
      <c r="B648" s="740"/>
      <c r="C648" s="869"/>
      <c r="D648" s="734"/>
      <c r="E648" s="734"/>
      <c r="F648" s="740"/>
      <c r="G648" s="734"/>
      <c r="H648" s="734"/>
      <c r="I648" s="777"/>
      <c r="J648" s="740"/>
      <c r="K648" s="734"/>
      <c r="L648" s="734"/>
      <c r="M648" s="734"/>
      <c r="N648" s="734"/>
      <c r="O648" s="734"/>
      <c r="P648" s="734"/>
      <c r="Q648" s="734"/>
      <c r="R648" s="734"/>
      <c r="S648" s="734"/>
      <c r="T648" s="734"/>
      <c r="U648" s="734"/>
      <c r="V648" s="734"/>
      <c r="W648" s="734"/>
      <c r="X648" s="735"/>
      <c r="Y648" s="811"/>
      <c r="Z648" s="811"/>
      <c r="AA648" s="734"/>
      <c r="AB648" s="811"/>
      <c r="AC648" s="740"/>
      <c r="AD648" s="734"/>
      <c r="AE648" s="734"/>
      <c r="AF648" s="734"/>
      <c r="AG648" s="734"/>
      <c r="AH648" s="734"/>
      <c r="AI648" s="734"/>
      <c r="AJ648" s="879"/>
      <c r="AK648" s="734"/>
      <c r="AL648" s="734"/>
      <c r="AM648" s="734"/>
      <c r="AN648" s="734"/>
      <c r="AO648" s="734"/>
      <c r="AP648" s="52"/>
      <c r="AQ648" s="52"/>
      <c r="AR648" s="52"/>
      <c r="AS648" s="52"/>
      <c r="AT648" s="52"/>
      <c r="AU648" s="52"/>
      <c r="AV648" s="52"/>
      <c r="AW648" s="52"/>
      <c r="AX648" s="52"/>
      <c r="AY648" s="52"/>
      <c r="AZ648" s="734"/>
      <c r="BA648" s="740"/>
      <c r="BB648" s="734"/>
      <c r="BC648" s="740"/>
      <c r="BD648" s="734"/>
      <c r="BE648" s="52"/>
      <c r="BF648" s="52"/>
      <c r="BG648" s="734"/>
      <c r="BH648" s="734"/>
      <c r="BI648" s="734"/>
      <c r="BJ648" s="734"/>
    </row>
    <row r="649">
      <c r="B649" s="740"/>
      <c r="C649" s="869"/>
      <c r="D649" s="734"/>
      <c r="E649" s="734"/>
      <c r="F649" s="740"/>
      <c r="G649" s="734"/>
      <c r="H649" s="734"/>
      <c r="I649" s="777"/>
      <c r="J649" s="740"/>
      <c r="K649" s="734"/>
      <c r="L649" s="734"/>
      <c r="M649" s="734"/>
      <c r="N649" s="734"/>
      <c r="O649" s="734"/>
      <c r="P649" s="734"/>
      <c r="Q649" s="734"/>
      <c r="R649" s="734"/>
      <c r="S649" s="734"/>
      <c r="T649" s="734"/>
      <c r="U649" s="734"/>
      <c r="V649" s="734"/>
      <c r="W649" s="734"/>
      <c r="X649" s="735"/>
      <c r="Y649" s="811"/>
      <c r="Z649" s="811"/>
      <c r="AA649" s="734"/>
      <c r="AB649" s="811"/>
      <c r="AC649" s="740"/>
      <c r="AD649" s="734"/>
      <c r="AE649" s="734"/>
      <c r="AF649" s="734"/>
      <c r="AG649" s="734"/>
      <c r="AH649" s="734"/>
      <c r="AI649" s="734"/>
      <c r="AJ649" s="879"/>
      <c r="AK649" s="734"/>
      <c r="AL649" s="734"/>
      <c r="AM649" s="734"/>
      <c r="AN649" s="734"/>
      <c r="AO649" s="734"/>
      <c r="AP649" s="52"/>
      <c r="AQ649" s="52"/>
      <c r="AR649" s="52"/>
      <c r="AS649" s="52"/>
      <c r="AT649" s="52"/>
      <c r="AU649" s="52"/>
      <c r="AV649" s="52"/>
      <c r="AW649" s="52"/>
      <c r="AX649" s="52"/>
      <c r="AY649" s="52"/>
      <c r="AZ649" s="734"/>
      <c r="BA649" s="740"/>
      <c r="BB649" s="734"/>
      <c r="BC649" s="740"/>
      <c r="BD649" s="734"/>
      <c r="BE649" s="52"/>
      <c r="BF649" s="52"/>
      <c r="BG649" s="734"/>
      <c r="BH649" s="734"/>
      <c r="BI649" s="734"/>
      <c r="BJ649" s="734"/>
    </row>
    <row r="650">
      <c r="B650" s="740"/>
      <c r="C650" s="869"/>
      <c r="D650" s="734"/>
      <c r="E650" s="734"/>
      <c r="F650" s="740"/>
      <c r="G650" s="734"/>
      <c r="H650" s="734"/>
      <c r="I650" s="777"/>
      <c r="J650" s="740"/>
      <c r="K650" s="734"/>
      <c r="L650" s="734"/>
      <c r="M650" s="734"/>
      <c r="N650" s="734"/>
      <c r="O650" s="734"/>
      <c r="P650" s="734"/>
      <c r="Q650" s="734"/>
      <c r="R650" s="734"/>
      <c r="S650" s="734"/>
      <c r="T650" s="734"/>
      <c r="U650" s="734"/>
      <c r="V650" s="734"/>
      <c r="W650" s="734"/>
      <c r="X650" s="735"/>
      <c r="Y650" s="811"/>
      <c r="Z650" s="811"/>
      <c r="AA650" s="734"/>
      <c r="AB650" s="811"/>
      <c r="AC650" s="740"/>
      <c r="AD650" s="734"/>
      <c r="AE650" s="734"/>
      <c r="AF650" s="734"/>
      <c r="AG650" s="734"/>
      <c r="AH650" s="734"/>
      <c r="AI650" s="734"/>
      <c r="AJ650" s="879"/>
      <c r="AK650" s="734"/>
      <c r="AL650" s="734"/>
      <c r="AM650" s="734"/>
      <c r="AN650" s="734"/>
      <c r="AO650" s="734"/>
      <c r="AP650" s="52"/>
      <c r="AQ650" s="52"/>
      <c r="AR650" s="52"/>
      <c r="AS650" s="52"/>
      <c r="AT650" s="52"/>
      <c r="AU650" s="52"/>
      <c r="AV650" s="52"/>
      <c r="AW650" s="52"/>
      <c r="AX650" s="52"/>
      <c r="AY650" s="52"/>
      <c r="AZ650" s="734"/>
      <c r="BA650" s="740"/>
      <c r="BB650" s="734"/>
      <c r="BC650" s="740"/>
      <c r="BD650" s="734"/>
      <c r="BE650" s="52"/>
      <c r="BF650" s="52"/>
      <c r="BG650" s="734"/>
      <c r="BH650" s="734"/>
      <c r="BI650" s="734"/>
      <c r="BJ650" s="734"/>
    </row>
    <row r="651">
      <c r="B651" s="740"/>
      <c r="C651" s="869"/>
      <c r="D651" s="734"/>
      <c r="E651" s="734"/>
      <c r="F651" s="740"/>
      <c r="G651" s="734"/>
      <c r="H651" s="734"/>
      <c r="I651" s="777"/>
      <c r="J651" s="740"/>
      <c r="K651" s="734"/>
      <c r="L651" s="734"/>
      <c r="M651" s="734"/>
      <c r="N651" s="734"/>
      <c r="O651" s="734"/>
      <c r="P651" s="734"/>
      <c r="Q651" s="734"/>
      <c r="R651" s="734"/>
      <c r="S651" s="734"/>
      <c r="T651" s="734"/>
      <c r="U651" s="734"/>
      <c r="V651" s="734"/>
      <c r="W651" s="734"/>
      <c r="X651" s="735"/>
      <c r="Y651" s="811"/>
      <c r="Z651" s="811"/>
      <c r="AA651" s="734"/>
      <c r="AB651" s="811"/>
      <c r="AC651" s="740"/>
      <c r="AD651" s="734"/>
      <c r="AE651" s="734"/>
      <c r="AF651" s="734"/>
      <c r="AG651" s="734"/>
      <c r="AH651" s="734"/>
      <c r="AI651" s="734"/>
      <c r="AJ651" s="879"/>
      <c r="AK651" s="734"/>
      <c r="AL651" s="734"/>
      <c r="AM651" s="734"/>
      <c r="AN651" s="734"/>
      <c r="AO651" s="734"/>
      <c r="AP651" s="52"/>
      <c r="AQ651" s="52"/>
      <c r="AR651" s="52"/>
      <c r="AS651" s="52"/>
      <c r="AT651" s="52"/>
      <c r="AU651" s="52"/>
      <c r="AV651" s="52"/>
      <c r="AW651" s="52"/>
      <c r="AX651" s="52"/>
      <c r="AY651" s="52"/>
      <c r="AZ651" s="734"/>
      <c r="BA651" s="740"/>
      <c r="BB651" s="734"/>
      <c r="BC651" s="740"/>
      <c r="BD651" s="734"/>
      <c r="BE651" s="52"/>
      <c r="BF651" s="52"/>
      <c r="BG651" s="734"/>
      <c r="BH651" s="734"/>
      <c r="BI651" s="734"/>
      <c r="BJ651" s="734"/>
    </row>
    <row r="652">
      <c r="B652" s="740"/>
      <c r="C652" s="869"/>
      <c r="D652" s="734"/>
      <c r="E652" s="734"/>
      <c r="F652" s="740"/>
      <c r="G652" s="734"/>
      <c r="H652" s="734"/>
      <c r="I652" s="777"/>
      <c r="J652" s="740"/>
      <c r="K652" s="734"/>
      <c r="L652" s="734"/>
      <c r="M652" s="734"/>
      <c r="N652" s="734"/>
      <c r="O652" s="734"/>
      <c r="P652" s="734"/>
      <c r="Q652" s="734"/>
      <c r="R652" s="734"/>
      <c r="S652" s="734"/>
      <c r="T652" s="734"/>
      <c r="U652" s="734"/>
      <c r="V652" s="734"/>
      <c r="W652" s="734"/>
      <c r="X652" s="735"/>
      <c r="Y652" s="811"/>
      <c r="Z652" s="811"/>
      <c r="AA652" s="734"/>
      <c r="AB652" s="811"/>
      <c r="AC652" s="740"/>
      <c r="AD652" s="734"/>
      <c r="AE652" s="734"/>
      <c r="AF652" s="734"/>
      <c r="AG652" s="734"/>
      <c r="AH652" s="734"/>
      <c r="AI652" s="734"/>
      <c r="AJ652" s="879"/>
      <c r="AK652" s="734"/>
      <c r="AL652" s="734"/>
      <c r="AM652" s="734"/>
      <c r="AN652" s="734"/>
      <c r="AO652" s="734"/>
      <c r="AP652" s="52"/>
      <c r="AQ652" s="52"/>
      <c r="AR652" s="52"/>
      <c r="AS652" s="52"/>
      <c r="AT652" s="52"/>
      <c r="AU652" s="52"/>
      <c r="AV652" s="52"/>
      <c r="AW652" s="52"/>
      <c r="AX652" s="52"/>
      <c r="AY652" s="52"/>
      <c r="AZ652" s="734"/>
      <c r="BA652" s="740"/>
      <c r="BB652" s="734"/>
      <c r="BC652" s="740"/>
      <c r="BD652" s="734"/>
      <c r="BE652" s="52"/>
      <c r="BF652" s="52"/>
      <c r="BG652" s="734"/>
      <c r="BH652" s="734"/>
      <c r="BI652" s="734"/>
      <c r="BJ652" s="734"/>
    </row>
    <row r="653">
      <c r="B653" s="740"/>
      <c r="C653" s="869"/>
      <c r="D653" s="734"/>
      <c r="E653" s="734"/>
      <c r="F653" s="740"/>
      <c r="G653" s="734"/>
      <c r="H653" s="734"/>
      <c r="I653" s="777"/>
      <c r="J653" s="740"/>
      <c r="K653" s="734"/>
      <c r="L653" s="734"/>
      <c r="M653" s="734"/>
      <c r="N653" s="734"/>
      <c r="O653" s="734"/>
      <c r="P653" s="734"/>
      <c r="Q653" s="734"/>
      <c r="R653" s="734"/>
      <c r="S653" s="734"/>
      <c r="T653" s="734"/>
      <c r="U653" s="734"/>
      <c r="V653" s="734"/>
      <c r="W653" s="734"/>
      <c r="X653" s="735"/>
      <c r="Y653" s="811"/>
      <c r="Z653" s="811"/>
      <c r="AA653" s="734"/>
      <c r="AB653" s="811"/>
      <c r="AC653" s="740"/>
      <c r="AD653" s="734"/>
      <c r="AE653" s="734"/>
      <c r="AF653" s="734"/>
      <c r="AG653" s="734"/>
      <c r="AH653" s="734"/>
      <c r="AI653" s="734"/>
      <c r="AJ653" s="879"/>
      <c r="AK653" s="734"/>
      <c r="AL653" s="734"/>
      <c r="AM653" s="734"/>
      <c r="AN653" s="734"/>
      <c r="AO653" s="734"/>
      <c r="AP653" s="52"/>
      <c r="AQ653" s="52"/>
      <c r="AR653" s="52"/>
      <c r="AS653" s="52"/>
      <c r="AT653" s="52"/>
      <c r="AU653" s="52"/>
      <c r="AV653" s="52"/>
      <c r="AW653" s="52"/>
      <c r="AX653" s="52"/>
      <c r="AY653" s="52"/>
      <c r="AZ653" s="734"/>
      <c r="BA653" s="740"/>
      <c r="BB653" s="734"/>
      <c r="BC653" s="740"/>
      <c r="BD653" s="734"/>
      <c r="BE653" s="52"/>
      <c r="BF653" s="52"/>
      <c r="BG653" s="734"/>
      <c r="BH653" s="734"/>
      <c r="BI653" s="734"/>
      <c r="BJ653" s="734"/>
    </row>
    <row r="654">
      <c r="B654" s="740"/>
      <c r="C654" s="869"/>
      <c r="D654" s="734"/>
      <c r="E654" s="734"/>
      <c r="F654" s="740"/>
      <c r="G654" s="734"/>
      <c r="H654" s="734"/>
      <c r="I654" s="777"/>
      <c r="J654" s="740"/>
      <c r="K654" s="734"/>
      <c r="L654" s="734"/>
      <c r="M654" s="734"/>
      <c r="N654" s="734"/>
      <c r="O654" s="734"/>
      <c r="P654" s="734"/>
      <c r="Q654" s="734"/>
      <c r="R654" s="734"/>
      <c r="S654" s="734"/>
      <c r="T654" s="734"/>
      <c r="U654" s="734"/>
      <c r="V654" s="734"/>
      <c r="W654" s="734"/>
      <c r="X654" s="735"/>
      <c r="Y654" s="811"/>
      <c r="Z654" s="811"/>
      <c r="AA654" s="734"/>
      <c r="AB654" s="811"/>
      <c r="AC654" s="740"/>
      <c r="AD654" s="734"/>
      <c r="AE654" s="734"/>
      <c r="AF654" s="734"/>
      <c r="AG654" s="734"/>
      <c r="AH654" s="734"/>
      <c r="AI654" s="734"/>
      <c r="AJ654" s="879"/>
      <c r="AK654" s="734"/>
      <c r="AL654" s="734"/>
      <c r="AM654" s="734"/>
      <c r="AN654" s="734"/>
      <c r="AO654" s="734"/>
      <c r="AP654" s="52"/>
      <c r="AQ654" s="52"/>
      <c r="AR654" s="52"/>
      <c r="AS654" s="52"/>
      <c r="AT654" s="52"/>
      <c r="AU654" s="52"/>
      <c r="AV654" s="52"/>
      <c r="AW654" s="52"/>
      <c r="AX654" s="52"/>
      <c r="AY654" s="52"/>
      <c r="AZ654" s="734"/>
      <c r="BA654" s="740"/>
      <c r="BB654" s="734"/>
      <c r="BC654" s="740"/>
      <c r="BD654" s="734"/>
      <c r="BE654" s="52"/>
      <c r="BF654" s="52"/>
      <c r="BG654" s="734"/>
      <c r="BH654" s="734"/>
      <c r="BI654" s="734"/>
      <c r="BJ654" s="734"/>
    </row>
    <row r="655">
      <c r="B655" s="740"/>
      <c r="C655" s="869"/>
      <c r="D655" s="734"/>
      <c r="E655" s="734"/>
      <c r="F655" s="740"/>
      <c r="G655" s="734"/>
      <c r="H655" s="734"/>
      <c r="I655" s="777"/>
      <c r="J655" s="740"/>
      <c r="K655" s="734"/>
      <c r="L655" s="734"/>
      <c r="M655" s="734"/>
      <c r="N655" s="734"/>
      <c r="O655" s="734"/>
      <c r="P655" s="734"/>
      <c r="Q655" s="734"/>
      <c r="R655" s="734"/>
      <c r="S655" s="734"/>
      <c r="T655" s="734"/>
      <c r="U655" s="734"/>
      <c r="V655" s="734"/>
      <c r="W655" s="734"/>
      <c r="X655" s="735"/>
      <c r="Y655" s="811"/>
      <c r="Z655" s="811"/>
      <c r="AA655" s="734"/>
      <c r="AB655" s="811"/>
      <c r="AC655" s="740"/>
      <c r="AD655" s="734"/>
      <c r="AE655" s="734"/>
      <c r="AF655" s="734"/>
      <c r="AG655" s="734"/>
      <c r="AH655" s="734"/>
      <c r="AI655" s="734"/>
      <c r="AJ655" s="879"/>
      <c r="AK655" s="734"/>
      <c r="AL655" s="734"/>
      <c r="AM655" s="734"/>
      <c r="AN655" s="734"/>
      <c r="AO655" s="734"/>
      <c r="AP655" s="52"/>
      <c r="AQ655" s="52"/>
      <c r="AR655" s="52"/>
      <c r="AS655" s="52"/>
      <c r="AT655" s="52"/>
      <c r="AU655" s="52"/>
      <c r="AV655" s="52"/>
      <c r="AW655" s="52"/>
      <c r="AX655" s="52"/>
      <c r="AY655" s="52"/>
      <c r="AZ655" s="734"/>
      <c r="BA655" s="740"/>
      <c r="BB655" s="734"/>
      <c r="BC655" s="740"/>
      <c r="BD655" s="734"/>
      <c r="BE655" s="52"/>
      <c r="BF655" s="52"/>
      <c r="BG655" s="734"/>
      <c r="BH655" s="734"/>
      <c r="BI655" s="734"/>
      <c r="BJ655" s="734"/>
    </row>
    <row r="656">
      <c r="B656" s="740"/>
      <c r="C656" s="869"/>
      <c r="D656" s="734"/>
      <c r="E656" s="734"/>
      <c r="F656" s="740"/>
      <c r="G656" s="734"/>
      <c r="H656" s="734"/>
      <c r="I656" s="777"/>
      <c r="J656" s="740"/>
      <c r="K656" s="734"/>
      <c r="L656" s="734"/>
      <c r="M656" s="734"/>
      <c r="N656" s="734"/>
      <c r="O656" s="734"/>
      <c r="P656" s="734"/>
      <c r="Q656" s="734"/>
      <c r="R656" s="734"/>
      <c r="S656" s="734"/>
      <c r="T656" s="734"/>
      <c r="U656" s="734"/>
      <c r="V656" s="734"/>
      <c r="W656" s="734"/>
      <c r="X656" s="735"/>
      <c r="Y656" s="811"/>
      <c r="Z656" s="811"/>
      <c r="AA656" s="734"/>
      <c r="AB656" s="811"/>
      <c r="AC656" s="740"/>
      <c r="AD656" s="734"/>
      <c r="AE656" s="734"/>
      <c r="AF656" s="734"/>
      <c r="AG656" s="734"/>
      <c r="AH656" s="734"/>
      <c r="AI656" s="734"/>
      <c r="AJ656" s="879"/>
      <c r="AK656" s="734"/>
      <c r="AL656" s="734"/>
      <c r="AM656" s="734"/>
      <c r="AN656" s="734"/>
      <c r="AO656" s="734"/>
      <c r="AP656" s="52"/>
      <c r="AQ656" s="52"/>
      <c r="AR656" s="52"/>
      <c r="AS656" s="52"/>
      <c r="AT656" s="52"/>
      <c r="AU656" s="52"/>
      <c r="AV656" s="52"/>
      <c r="AW656" s="52"/>
      <c r="AX656" s="52"/>
      <c r="AY656" s="52"/>
      <c r="AZ656" s="734"/>
      <c r="BA656" s="740"/>
      <c r="BB656" s="734"/>
      <c r="BC656" s="740"/>
      <c r="BD656" s="734"/>
      <c r="BE656" s="52"/>
      <c r="BF656" s="52"/>
      <c r="BG656" s="734"/>
      <c r="BH656" s="734"/>
      <c r="BI656" s="734"/>
      <c r="BJ656" s="734"/>
    </row>
    <row r="657">
      <c r="B657" s="740"/>
      <c r="C657" s="869"/>
      <c r="D657" s="734"/>
      <c r="E657" s="734"/>
      <c r="F657" s="740"/>
      <c r="G657" s="734"/>
      <c r="H657" s="734"/>
      <c r="I657" s="777"/>
      <c r="J657" s="740"/>
      <c r="K657" s="734"/>
      <c r="L657" s="734"/>
      <c r="M657" s="734"/>
      <c r="N657" s="734"/>
      <c r="O657" s="734"/>
      <c r="P657" s="734"/>
      <c r="Q657" s="734"/>
      <c r="R657" s="734"/>
      <c r="S657" s="734"/>
      <c r="T657" s="734"/>
      <c r="U657" s="734"/>
      <c r="V657" s="734"/>
      <c r="W657" s="734"/>
      <c r="X657" s="735"/>
      <c r="Y657" s="811"/>
      <c r="Z657" s="811"/>
      <c r="AA657" s="734"/>
      <c r="AB657" s="811"/>
      <c r="AC657" s="740"/>
      <c r="AD657" s="734"/>
      <c r="AE657" s="734"/>
      <c r="AF657" s="734"/>
      <c r="AG657" s="734"/>
      <c r="AH657" s="734"/>
      <c r="AI657" s="734"/>
      <c r="AJ657" s="879"/>
      <c r="AK657" s="734"/>
      <c r="AL657" s="734"/>
      <c r="AM657" s="734"/>
      <c r="AN657" s="734"/>
      <c r="AO657" s="734"/>
      <c r="AP657" s="52"/>
      <c r="AQ657" s="52"/>
      <c r="AR657" s="52"/>
      <c r="AS657" s="52"/>
      <c r="AT657" s="52"/>
      <c r="AU657" s="52"/>
      <c r="AV657" s="52"/>
      <c r="AW657" s="52"/>
      <c r="AX657" s="52"/>
      <c r="AY657" s="52"/>
      <c r="AZ657" s="734"/>
      <c r="BA657" s="740"/>
      <c r="BB657" s="734"/>
      <c r="BC657" s="740"/>
      <c r="BD657" s="734"/>
      <c r="BE657" s="52"/>
      <c r="BF657" s="52"/>
      <c r="BG657" s="734"/>
      <c r="BH657" s="734"/>
      <c r="BI657" s="734"/>
      <c r="BJ657" s="734"/>
    </row>
    <row r="658">
      <c r="B658" s="740"/>
      <c r="C658" s="869"/>
      <c r="D658" s="734"/>
      <c r="E658" s="734"/>
      <c r="F658" s="740"/>
      <c r="G658" s="734"/>
      <c r="H658" s="734"/>
      <c r="I658" s="777"/>
      <c r="J658" s="740"/>
      <c r="K658" s="734"/>
      <c r="L658" s="734"/>
      <c r="M658" s="734"/>
      <c r="N658" s="734"/>
      <c r="O658" s="734"/>
      <c r="P658" s="734"/>
      <c r="Q658" s="734"/>
      <c r="R658" s="734"/>
      <c r="S658" s="734"/>
      <c r="T658" s="734"/>
      <c r="U658" s="734"/>
      <c r="V658" s="734"/>
      <c r="W658" s="734"/>
      <c r="X658" s="735"/>
      <c r="Y658" s="811"/>
      <c r="Z658" s="811"/>
      <c r="AA658" s="734"/>
      <c r="AB658" s="811"/>
      <c r="AC658" s="740"/>
      <c r="AD658" s="734"/>
      <c r="AE658" s="734"/>
      <c r="AF658" s="734"/>
      <c r="AG658" s="734"/>
      <c r="AH658" s="734"/>
      <c r="AI658" s="734"/>
      <c r="AJ658" s="879"/>
      <c r="AK658" s="734"/>
      <c r="AL658" s="734"/>
      <c r="AM658" s="734"/>
      <c r="AN658" s="734"/>
      <c r="AO658" s="734"/>
      <c r="AP658" s="52"/>
      <c r="AQ658" s="52"/>
      <c r="AR658" s="52"/>
      <c r="AS658" s="52"/>
      <c r="AT658" s="52"/>
      <c r="AU658" s="52"/>
      <c r="AV658" s="52"/>
      <c r="AW658" s="52"/>
      <c r="AX658" s="52"/>
      <c r="AY658" s="52"/>
      <c r="AZ658" s="734"/>
      <c r="BA658" s="740"/>
      <c r="BB658" s="734"/>
      <c r="BC658" s="740"/>
      <c r="BD658" s="734"/>
      <c r="BE658" s="52"/>
      <c r="BF658" s="52"/>
      <c r="BG658" s="734"/>
      <c r="BH658" s="734"/>
      <c r="BI658" s="734"/>
      <c r="BJ658" s="734"/>
    </row>
    <row r="659">
      <c r="B659" s="740"/>
      <c r="C659" s="869"/>
      <c r="D659" s="734"/>
      <c r="E659" s="734"/>
      <c r="F659" s="740"/>
      <c r="G659" s="734"/>
      <c r="H659" s="734"/>
      <c r="I659" s="777"/>
      <c r="J659" s="740"/>
      <c r="K659" s="734"/>
      <c r="L659" s="734"/>
      <c r="M659" s="734"/>
      <c r="N659" s="734"/>
      <c r="O659" s="734"/>
      <c r="P659" s="734"/>
      <c r="Q659" s="734"/>
      <c r="R659" s="734"/>
      <c r="S659" s="734"/>
      <c r="T659" s="734"/>
      <c r="U659" s="734"/>
      <c r="V659" s="734"/>
      <c r="W659" s="734"/>
      <c r="X659" s="735"/>
      <c r="Y659" s="811"/>
      <c r="Z659" s="811"/>
      <c r="AA659" s="734"/>
      <c r="AB659" s="811"/>
      <c r="AC659" s="740"/>
      <c r="AD659" s="734"/>
      <c r="AE659" s="734"/>
      <c r="AF659" s="734"/>
      <c r="AG659" s="734"/>
      <c r="AH659" s="734"/>
      <c r="AI659" s="734"/>
      <c r="AJ659" s="879"/>
      <c r="AK659" s="734"/>
      <c r="AL659" s="734"/>
      <c r="AM659" s="734"/>
      <c r="AN659" s="734"/>
      <c r="AO659" s="734"/>
      <c r="AP659" s="52"/>
      <c r="AQ659" s="52"/>
      <c r="AR659" s="52"/>
      <c r="AS659" s="52"/>
      <c r="AT659" s="52"/>
      <c r="AU659" s="52"/>
      <c r="AV659" s="52"/>
      <c r="AW659" s="52"/>
      <c r="AX659" s="52"/>
      <c r="AY659" s="52"/>
      <c r="AZ659" s="734"/>
      <c r="BA659" s="740"/>
      <c r="BB659" s="734"/>
      <c r="BC659" s="740"/>
      <c r="BD659" s="734"/>
      <c r="BE659" s="52"/>
      <c r="BF659" s="52"/>
      <c r="BG659" s="734"/>
      <c r="BH659" s="734"/>
      <c r="BI659" s="734"/>
      <c r="BJ659" s="734"/>
    </row>
    <row r="660">
      <c r="B660" s="740"/>
      <c r="C660" s="869"/>
      <c r="D660" s="734"/>
      <c r="E660" s="734"/>
      <c r="F660" s="740"/>
      <c r="G660" s="734"/>
      <c r="H660" s="734"/>
      <c r="I660" s="777"/>
      <c r="J660" s="740"/>
      <c r="K660" s="734"/>
      <c r="L660" s="734"/>
      <c r="M660" s="734"/>
      <c r="N660" s="734"/>
      <c r="O660" s="734"/>
      <c r="P660" s="734"/>
      <c r="Q660" s="734"/>
      <c r="R660" s="734"/>
      <c r="S660" s="734"/>
      <c r="T660" s="734"/>
      <c r="U660" s="734"/>
      <c r="V660" s="734"/>
      <c r="W660" s="734"/>
      <c r="X660" s="735"/>
      <c r="Y660" s="811"/>
      <c r="Z660" s="811"/>
      <c r="AA660" s="734"/>
      <c r="AB660" s="811"/>
      <c r="AC660" s="740"/>
      <c r="AD660" s="734"/>
      <c r="AE660" s="734"/>
      <c r="AF660" s="734"/>
      <c r="AG660" s="734"/>
      <c r="AH660" s="734"/>
      <c r="AI660" s="734"/>
      <c r="AJ660" s="879"/>
      <c r="AK660" s="734"/>
      <c r="AL660" s="734"/>
      <c r="AM660" s="734"/>
      <c r="AN660" s="734"/>
      <c r="AO660" s="734"/>
      <c r="AP660" s="52"/>
      <c r="AQ660" s="52"/>
      <c r="AR660" s="52"/>
      <c r="AS660" s="52"/>
      <c r="AT660" s="52"/>
      <c r="AU660" s="52"/>
      <c r="AV660" s="52"/>
      <c r="AW660" s="52"/>
      <c r="AX660" s="52"/>
      <c r="AY660" s="52"/>
      <c r="AZ660" s="734"/>
      <c r="BA660" s="740"/>
      <c r="BB660" s="734"/>
      <c r="BC660" s="740"/>
      <c r="BD660" s="734"/>
      <c r="BE660" s="52"/>
      <c r="BF660" s="52"/>
      <c r="BG660" s="734"/>
      <c r="BH660" s="734"/>
      <c r="BI660" s="734"/>
      <c r="BJ660" s="734"/>
    </row>
    <row r="661">
      <c r="B661" s="740"/>
      <c r="C661" s="869"/>
      <c r="D661" s="734"/>
      <c r="E661" s="734"/>
      <c r="F661" s="740"/>
      <c r="G661" s="734"/>
      <c r="H661" s="734"/>
      <c r="I661" s="777"/>
      <c r="J661" s="740"/>
      <c r="K661" s="734"/>
      <c r="L661" s="734"/>
      <c r="M661" s="734"/>
      <c r="N661" s="734"/>
      <c r="O661" s="734"/>
      <c r="P661" s="734"/>
      <c r="Q661" s="734"/>
      <c r="R661" s="734"/>
      <c r="S661" s="734"/>
      <c r="T661" s="734"/>
      <c r="U661" s="734"/>
      <c r="V661" s="734"/>
      <c r="W661" s="734"/>
      <c r="X661" s="735"/>
      <c r="Y661" s="811"/>
      <c r="Z661" s="811"/>
      <c r="AA661" s="734"/>
      <c r="AB661" s="811"/>
      <c r="AC661" s="740"/>
      <c r="AD661" s="734"/>
      <c r="AE661" s="734"/>
      <c r="AF661" s="734"/>
      <c r="AG661" s="734"/>
      <c r="AH661" s="734"/>
      <c r="AI661" s="734"/>
      <c r="AJ661" s="879"/>
      <c r="AK661" s="734"/>
      <c r="AL661" s="734"/>
      <c r="AM661" s="734"/>
      <c r="AN661" s="734"/>
      <c r="AO661" s="734"/>
      <c r="AP661" s="52"/>
      <c r="AQ661" s="52"/>
      <c r="AR661" s="52"/>
      <c r="AS661" s="52"/>
      <c r="AT661" s="52"/>
      <c r="AU661" s="52"/>
      <c r="AV661" s="52"/>
      <c r="AW661" s="52"/>
      <c r="AX661" s="52"/>
      <c r="AY661" s="52"/>
      <c r="AZ661" s="734"/>
      <c r="BA661" s="740"/>
      <c r="BB661" s="734"/>
      <c r="BC661" s="740"/>
      <c r="BD661" s="734"/>
      <c r="BE661" s="52"/>
      <c r="BF661" s="52"/>
      <c r="BG661" s="734"/>
      <c r="BH661" s="734"/>
      <c r="BI661" s="734"/>
      <c r="BJ661" s="734"/>
    </row>
    <row r="662">
      <c r="B662" s="740"/>
      <c r="C662" s="869"/>
      <c r="D662" s="734"/>
      <c r="E662" s="734"/>
      <c r="F662" s="740"/>
      <c r="G662" s="734"/>
      <c r="H662" s="734"/>
      <c r="I662" s="777"/>
      <c r="J662" s="740"/>
      <c r="K662" s="734"/>
      <c r="L662" s="734"/>
      <c r="M662" s="734"/>
      <c r="N662" s="734"/>
      <c r="O662" s="734"/>
      <c r="P662" s="734"/>
      <c r="Q662" s="734"/>
      <c r="R662" s="734"/>
      <c r="S662" s="734"/>
      <c r="T662" s="734"/>
      <c r="U662" s="734"/>
      <c r="V662" s="734"/>
      <c r="W662" s="734"/>
      <c r="X662" s="735"/>
      <c r="Y662" s="811"/>
      <c r="Z662" s="811"/>
      <c r="AA662" s="734"/>
      <c r="AB662" s="811"/>
      <c r="AC662" s="740"/>
      <c r="AD662" s="734"/>
      <c r="AE662" s="734"/>
      <c r="AF662" s="734"/>
      <c r="AG662" s="734"/>
      <c r="AH662" s="734"/>
      <c r="AI662" s="734"/>
      <c r="AJ662" s="879"/>
      <c r="AK662" s="734"/>
      <c r="AL662" s="734"/>
      <c r="AM662" s="734"/>
      <c r="AN662" s="734"/>
      <c r="AO662" s="734"/>
      <c r="AP662" s="52"/>
      <c r="AQ662" s="52"/>
      <c r="AR662" s="52"/>
      <c r="AS662" s="52"/>
      <c r="AT662" s="52"/>
      <c r="AU662" s="52"/>
      <c r="AV662" s="52"/>
      <c r="AW662" s="52"/>
      <c r="AX662" s="52"/>
      <c r="AY662" s="52"/>
      <c r="AZ662" s="734"/>
      <c r="BA662" s="740"/>
      <c r="BB662" s="734"/>
      <c r="BC662" s="740"/>
      <c r="BD662" s="734"/>
      <c r="BE662" s="52"/>
      <c r="BF662" s="52"/>
      <c r="BG662" s="734"/>
      <c r="BH662" s="734"/>
      <c r="BI662" s="734"/>
      <c r="BJ662" s="734"/>
    </row>
    <row r="663">
      <c r="B663" s="740"/>
      <c r="C663" s="869"/>
      <c r="D663" s="734"/>
      <c r="E663" s="734"/>
      <c r="F663" s="740"/>
      <c r="G663" s="734"/>
      <c r="H663" s="734"/>
      <c r="I663" s="777"/>
      <c r="J663" s="740"/>
      <c r="K663" s="734"/>
      <c r="L663" s="734"/>
      <c r="M663" s="734"/>
      <c r="N663" s="734"/>
      <c r="O663" s="734"/>
      <c r="P663" s="734"/>
      <c r="Q663" s="734"/>
      <c r="R663" s="734"/>
      <c r="S663" s="734"/>
      <c r="T663" s="734"/>
      <c r="U663" s="734"/>
      <c r="V663" s="734"/>
      <c r="W663" s="734"/>
      <c r="X663" s="735"/>
      <c r="Y663" s="811"/>
      <c r="Z663" s="811"/>
      <c r="AA663" s="734"/>
      <c r="AB663" s="811"/>
      <c r="AC663" s="740"/>
      <c r="AD663" s="734"/>
      <c r="AE663" s="734"/>
      <c r="AF663" s="734"/>
      <c r="AG663" s="734"/>
      <c r="AH663" s="734"/>
      <c r="AI663" s="734"/>
      <c r="AJ663" s="879"/>
      <c r="AK663" s="734"/>
      <c r="AL663" s="734"/>
      <c r="AM663" s="734"/>
      <c r="AN663" s="734"/>
      <c r="AO663" s="734"/>
      <c r="AP663" s="52"/>
      <c r="AQ663" s="52"/>
      <c r="AR663" s="52"/>
      <c r="AS663" s="52"/>
      <c r="AT663" s="52"/>
      <c r="AU663" s="52"/>
      <c r="AV663" s="52"/>
      <c r="AW663" s="52"/>
      <c r="AX663" s="52"/>
      <c r="AY663" s="52"/>
      <c r="AZ663" s="734"/>
      <c r="BA663" s="740"/>
      <c r="BB663" s="734"/>
      <c r="BC663" s="740"/>
      <c r="BD663" s="734"/>
      <c r="BE663" s="52"/>
      <c r="BF663" s="52"/>
      <c r="BG663" s="734"/>
      <c r="BH663" s="734"/>
      <c r="BI663" s="734"/>
      <c r="BJ663" s="734"/>
    </row>
    <row r="664">
      <c r="B664" s="740"/>
      <c r="C664" s="869"/>
      <c r="D664" s="734"/>
      <c r="E664" s="734"/>
      <c r="F664" s="740"/>
      <c r="G664" s="734"/>
      <c r="H664" s="734"/>
      <c r="I664" s="777"/>
      <c r="J664" s="740"/>
      <c r="K664" s="734"/>
      <c r="L664" s="734"/>
      <c r="M664" s="734"/>
      <c r="N664" s="734"/>
      <c r="O664" s="734"/>
      <c r="P664" s="734"/>
      <c r="Q664" s="734"/>
      <c r="R664" s="734"/>
      <c r="S664" s="734"/>
      <c r="T664" s="734"/>
      <c r="U664" s="734"/>
      <c r="V664" s="734"/>
      <c r="W664" s="734"/>
      <c r="X664" s="735"/>
      <c r="Y664" s="811"/>
      <c r="Z664" s="811"/>
      <c r="AA664" s="734"/>
      <c r="AB664" s="811"/>
      <c r="AC664" s="740"/>
      <c r="AD664" s="734"/>
      <c r="AE664" s="734"/>
      <c r="AF664" s="734"/>
      <c r="AG664" s="734"/>
      <c r="AH664" s="734"/>
      <c r="AI664" s="734"/>
      <c r="AJ664" s="879"/>
      <c r="AK664" s="734"/>
      <c r="AL664" s="734"/>
      <c r="AM664" s="734"/>
      <c r="AN664" s="734"/>
      <c r="AO664" s="734"/>
      <c r="AP664" s="52"/>
      <c r="AQ664" s="52"/>
      <c r="AR664" s="52"/>
      <c r="AS664" s="52"/>
      <c r="AT664" s="52"/>
      <c r="AU664" s="52"/>
      <c r="AV664" s="52"/>
      <c r="AW664" s="52"/>
      <c r="AX664" s="52"/>
      <c r="AY664" s="52"/>
      <c r="AZ664" s="734"/>
      <c r="BA664" s="740"/>
      <c r="BB664" s="734"/>
      <c r="BC664" s="740"/>
      <c r="BD664" s="734"/>
      <c r="BE664" s="52"/>
      <c r="BF664" s="52"/>
      <c r="BG664" s="734"/>
      <c r="BH664" s="734"/>
      <c r="BI664" s="734"/>
      <c r="BJ664" s="734"/>
    </row>
    <row r="665">
      <c r="B665" s="740"/>
      <c r="C665" s="869"/>
      <c r="D665" s="734"/>
      <c r="E665" s="734"/>
      <c r="F665" s="740"/>
      <c r="G665" s="734"/>
      <c r="H665" s="734"/>
      <c r="I665" s="777"/>
      <c r="J665" s="740"/>
      <c r="K665" s="734"/>
      <c r="L665" s="734"/>
      <c r="M665" s="734"/>
      <c r="N665" s="734"/>
      <c r="O665" s="734"/>
      <c r="P665" s="734"/>
      <c r="Q665" s="734"/>
      <c r="R665" s="734"/>
      <c r="S665" s="734"/>
      <c r="T665" s="734"/>
      <c r="U665" s="734"/>
      <c r="V665" s="734"/>
      <c r="W665" s="734"/>
      <c r="X665" s="735"/>
      <c r="Y665" s="811"/>
      <c r="Z665" s="811"/>
      <c r="AA665" s="734"/>
      <c r="AB665" s="811"/>
      <c r="AC665" s="740"/>
      <c r="AD665" s="734"/>
      <c r="AE665" s="734"/>
      <c r="AF665" s="734"/>
      <c r="AG665" s="734"/>
      <c r="AH665" s="734"/>
      <c r="AI665" s="734"/>
      <c r="AJ665" s="879"/>
      <c r="AK665" s="734"/>
      <c r="AL665" s="734"/>
      <c r="AM665" s="734"/>
      <c r="AN665" s="734"/>
      <c r="AO665" s="734"/>
      <c r="AP665" s="52"/>
      <c r="AQ665" s="52"/>
      <c r="AR665" s="52"/>
      <c r="AS665" s="52"/>
      <c r="AT665" s="52"/>
      <c r="AU665" s="52"/>
      <c r="AV665" s="52"/>
      <c r="AW665" s="52"/>
      <c r="AX665" s="52"/>
      <c r="AY665" s="52"/>
      <c r="AZ665" s="734"/>
      <c r="BA665" s="740"/>
      <c r="BB665" s="734"/>
      <c r="BC665" s="740"/>
      <c r="BD665" s="734"/>
      <c r="BE665" s="52"/>
      <c r="BF665" s="52"/>
      <c r="BG665" s="734"/>
      <c r="BH665" s="734"/>
      <c r="BI665" s="734"/>
      <c r="BJ665" s="734"/>
    </row>
    <row r="666">
      <c r="B666" s="740"/>
      <c r="C666" s="869"/>
      <c r="D666" s="734"/>
      <c r="E666" s="734"/>
      <c r="F666" s="740"/>
      <c r="G666" s="734"/>
      <c r="H666" s="734"/>
      <c r="I666" s="777"/>
      <c r="J666" s="740"/>
      <c r="K666" s="734"/>
      <c r="L666" s="734"/>
      <c r="M666" s="734"/>
      <c r="N666" s="734"/>
      <c r="O666" s="734"/>
      <c r="P666" s="734"/>
      <c r="Q666" s="734"/>
      <c r="R666" s="734"/>
      <c r="S666" s="734"/>
      <c r="T666" s="734"/>
      <c r="U666" s="734"/>
      <c r="V666" s="734"/>
      <c r="W666" s="734"/>
      <c r="X666" s="735"/>
      <c r="Y666" s="811"/>
      <c r="Z666" s="811"/>
      <c r="AA666" s="734"/>
      <c r="AB666" s="811"/>
      <c r="AC666" s="740"/>
      <c r="AD666" s="734"/>
      <c r="AE666" s="734"/>
      <c r="AF666" s="734"/>
      <c r="AG666" s="734"/>
      <c r="AH666" s="734"/>
      <c r="AI666" s="734"/>
      <c r="AJ666" s="879"/>
      <c r="AK666" s="734"/>
      <c r="AL666" s="734"/>
      <c r="AM666" s="734"/>
      <c r="AN666" s="734"/>
      <c r="AO666" s="734"/>
      <c r="AP666" s="52"/>
      <c r="AQ666" s="52"/>
      <c r="AR666" s="52"/>
      <c r="AS666" s="52"/>
      <c r="AT666" s="52"/>
      <c r="AU666" s="52"/>
      <c r="AV666" s="52"/>
      <c r="AW666" s="52"/>
      <c r="AX666" s="52"/>
      <c r="AY666" s="52"/>
      <c r="AZ666" s="734"/>
      <c r="BA666" s="740"/>
      <c r="BB666" s="734"/>
      <c r="BC666" s="740"/>
      <c r="BD666" s="734"/>
      <c r="BE666" s="52"/>
      <c r="BF666" s="52"/>
      <c r="BG666" s="734"/>
      <c r="BH666" s="734"/>
      <c r="BI666" s="734"/>
      <c r="BJ666" s="734"/>
    </row>
    <row r="667">
      <c r="B667" s="740"/>
      <c r="C667" s="869"/>
      <c r="D667" s="734"/>
      <c r="E667" s="734"/>
      <c r="F667" s="740"/>
      <c r="G667" s="734"/>
      <c r="H667" s="734"/>
      <c r="I667" s="777"/>
      <c r="J667" s="740"/>
      <c r="K667" s="734"/>
      <c r="L667" s="734"/>
      <c r="M667" s="734"/>
      <c r="N667" s="734"/>
      <c r="O667" s="734"/>
      <c r="P667" s="734"/>
      <c r="Q667" s="734"/>
      <c r="R667" s="734"/>
      <c r="S667" s="734"/>
      <c r="T667" s="734"/>
      <c r="U667" s="734"/>
      <c r="V667" s="734"/>
      <c r="W667" s="734"/>
      <c r="X667" s="735"/>
      <c r="Y667" s="811"/>
      <c r="Z667" s="811"/>
      <c r="AA667" s="734"/>
      <c r="AB667" s="811"/>
      <c r="AC667" s="740"/>
      <c r="AD667" s="734"/>
      <c r="AE667" s="734"/>
      <c r="AF667" s="734"/>
      <c r="AG667" s="734"/>
      <c r="AH667" s="734"/>
      <c r="AI667" s="734"/>
      <c r="AJ667" s="879"/>
      <c r="AK667" s="734"/>
      <c r="AL667" s="734"/>
      <c r="AM667" s="734"/>
      <c r="AN667" s="734"/>
      <c r="AO667" s="734"/>
      <c r="AP667" s="52"/>
      <c r="AQ667" s="52"/>
      <c r="AR667" s="52"/>
      <c r="AS667" s="52"/>
      <c r="AT667" s="52"/>
      <c r="AU667" s="52"/>
      <c r="AV667" s="52"/>
      <c r="AW667" s="52"/>
      <c r="AX667" s="52"/>
      <c r="AY667" s="52"/>
      <c r="AZ667" s="734"/>
      <c r="BA667" s="740"/>
      <c r="BB667" s="734"/>
      <c r="BC667" s="740"/>
      <c r="BD667" s="734"/>
      <c r="BE667" s="52"/>
      <c r="BF667" s="52"/>
      <c r="BG667" s="734"/>
      <c r="BH667" s="734"/>
      <c r="BI667" s="734"/>
      <c r="BJ667" s="734"/>
    </row>
    <row r="668">
      <c r="B668" s="740"/>
      <c r="C668" s="869"/>
      <c r="D668" s="734"/>
      <c r="E668" s="734"/>
      <c r="F668" s="740"/>
      <c r="G668" s="734"/>
      <c r="H668" s="734"/>
      <c r="I668" s="777"/>
      <c r="J668" s="740"/>
      <c r="K668" s="734"/>
      <c r="L668" s="734"/>
      <c r="M668" s="734"/>
      <c r="N668" s="734"/>
      <c r="O668" s="734"/>
      <c r="P668" s="734"/>
      <c r="Q668" s="734"/>
      <c r="R668" s="734"/>
      <c r="S668" s="734"/>
      <c r="T668" s="734"/>
      <c r="U668" s="734"/>
      <c r="V668" s="734"/>
      <c r="W668" s="734"/>
      <c r="X668" s="735"/>
      <c r="Y668" s="811"/>
      <c r="Z668" s="811"/>
      <c r="AA668" s="734"/>
      <c r="AB668" s="811"/>
      <c r="AC668" s="740"/>
      <c r="AD668" s="734"/>
      <c r="AE668" s="734"/>
      <c r="AF668" s="734"/>
      <c r="AG668" s="734"/>
      <c r="AH668" s="734"/>
      <c r="AI668" s="734"/>
      <c r="AJ668" s="879"/>
      <c r="AK668" s="734"/>
      <c r="AL668" s="734"/>
      <c r="AM668" s="734"/>
      <c r="AN668" s="734"/>
      <c r="AO668" s="734"/>
      <c r="AP668" s="52"/>
      <c r="AQ668" s="52"/>
      <c r="AR668" s="52"/>
      <c r="AS668" s="52"/>
      <c r="AT668" s="52"/>
      <c r="AU668" s="52"/>
      <c r="AV668" s="52"/>
      <c r="AW668" s="52"/>
      <c r="AX668" s="52"/>
      <c r="AY668" s="52"/>
      <c r="AZ668" s="734"/>
      <c r="BA668" s="740"/>
      <c r="BB668" s="734"/>
      <c r="BC668" s="740"/>
      <c r="BD668" s="734"/>
      <c r="BE668" s="52"/>
      <c r="BF668" s="52"/>
      <c r="BG668" s="734"/>
      <c r="BH668" s="734"/>
      <c r="BI668" s="734"/>
      <c r="BJ668" s="734"/>
    </row>
    <row r="669">
      <c r="B669" s="740"/>
      <c r="C669" s="869"/>
      <c r="D669" s="734"/>
      <c r="E669" s="734"/>
      <c r="F669" s="740"/>
      <c r="G669" s="734"/>
      <c r="H669" s="734"/>
      <c r="I669" s="777"/>
      <c r="J669" s="740"/>
      <c r="K669" s="734"/>
      <c r="L669" s="734"/>
      <c r="M669" s="734"/>
      <c r="N669" s="734"/>
      <c r="O669" s="734"/>
      <c r="P669" s="734"/>
      <c r="Q669" s="734"/>
      <c r="R669" s="734"/>
      <c r="S669" s="734"/>
      <c r="T669" s="734"/>
      <c r="U669" s="734"/>
      <c r="V669" s="734"/>
      <c r="W669" s="734"/>
      <c r="X669" s="735"/>
      <c r="Y669" s="811"/>
      <c r="Z669" s="811"/>
      <c r="AA669" s="734"/>
      <c r="AB669" s="811"/>
      <c r="AC669" s="740"/>
      <c r="AD669" s="734"/>
      <c r="AE669" s="734"/>
      <c r="AF669" s="734"/>
      <c r="AG669" s="734"/>
      <c r="AH669" s="734"/>
      <c r="AI669" s="734"/>
      <c r="AJ669" s="879"/>
      <c r="AK669" s="734"/>
      <c r="AL669" s="734"/>
      <c r="AM669" s="734"/>
      <c r="AN669" s="734"/>
      <c r="AO669" s="734"/>
      <c r="AP669" s="52"/>
      <c r="AQ669" s="52"/>
      <c r="AR669" s="52"/>
      <c r="AS669" s="52"/>
      <c r="AT669" s="52"/>
      <c r="AU669" s="52"/>
      <c r="AV669" s="52"/>
      <c r="AW669" s="52"/>
      <c r="AX669" s="52"/>
      <c r="AY669" s="52"/>
      <c r="AZ669" s="734"/>
      <c r="BA669" s="740"/>
      <c r="BB669" s="734"/>
      <c r="BC669" s="740"/>
      <c r="BD669" s="734"/>
      <c r="BE669" s="52"/>
      <c r="BF669" s="52"/>
      <c r="BG669" s="734"/>
      <c r="BH669" s="734"/>
      <c r="BI669" s="734"/>
      <c r="BJ669" s="734"/>
    </row>
    <row r="670">
      <c r="B670" s="740"/>
      <c r="C670" s="869"/>
      <c r="D670" s="734"/>
      <c r="E670" s="734"/>
      <c r="F670" s="740"/>
      <c r="G670" s="734"/>
      <c r="H670" s="734"/>
      <c r="I670" s="777"/>
      <c r="J670" s="740"/>
      <c r="K670" s="734"/>
      <c r="L670" s="734"/>
      <c r="M670" s="734"/>
      <c r="N670" s="734"/>
      <c r="O670" s="734"/>
      <c r="P670" s="734"/>
      <c r="Q670" s="734"/>
      <c r="R670" s="734"/>
      <c r="S670" s="734"/>
      <c r="T670" s="734"/>
      <c r="U670" s="734"/>
      <c r="V670" s="734"/>
      <c r="W670" s="734"/>
      <c r="X670" s="735"/>
      <c r="Y670" s="811"/>
      <c r="Z670" s="811"/>
      <c r="AA670" s="734"/>
      <c r="AB670" s="811"/>
      <c r="AC670" s="740"/>
      <c r="AD670" s="734"/>
      <c r="AE670" s="734"/>
      <c r="AF670" s="734"/>
      <c r="AG670" s="734"/>
      <c r="AH670" s="734"/>
      <c r="AI670" s="734"/>
      <c r="AJ670" s="879"/>
      <c r="AK670" s="734"/>
      <c r="AL670" s="734"/>
      <c r="AM670" s="734"/>
      <c r="AN670" s="734"/>
      <c r="AO670" s="734"/>
      <c r="AP670" s="52"/>
      <c r="AQ670" s="52"/>
      <c r="AR670" s="52"/>
      <c r="AS670" s="52"/>
      <c r="AT670" s="52"/>
      <c r="AU670" s="52"/>
      <c r="AV670" s="52"/>
      <c r="AW670" s="52"/>
      <c r="AX670" s="52"/>
      <c r="AY670" s="52"/>
      <c r="AZ670" s="734"/>
      <c r="BA670" s="740"/>
      <c r="BB670" s="734"/>
      <c r="BC670" s="740"/>
      <c r="BD670" s="734"/>
      <c r="BE670" s="52"/>
      <c r="BF670" s="52"/>
      <c r="BG670" s="734"/>
      <c r="BH670" s="734"/>
      <c r="BI670" s="734"/>
      <c r="BJ670" s="734"/>
    </row>
    <row r="671">
      <c r="B671" s="740"/>
      <c r="C671" s="869"/>
      <c r="D671" s="734"/>
      <c r="E671" s="734"/>
      <c r="F671" s="740"/>
      <c r="G671" s="734"/>
      <c r="H671" s="734"/>
      <c r="I671" s="777"/>
      <c r="J671" s="740"/>
      <c r="K671" s="734"/>
      <c r="L671" s="734"/>
      <c r="M671" s="734"/>
      <c r="N671" s="734"/>
      <c r="O671" s="734"/>
      <c r="P671" s="734"/>
      <c r="Q671" s="734"/>
      <c r="R671" s="734"/>
      <c r="S671" s="734"/>
      <c r="T671" s="734"/>
      <c r="U671" s="734"/>
      <c r="V671" s="734"/>
      <c r="W671" s="734"/>
      <c r="X671" s="735"/>
      <c r="Y671" s="811"/>
      <c r="Z671" s="811"/>
      <c r="AA671" s="734"/>
      <c r="AB671" s="811"/>
      <c r="AC671" s="740"/>
      <c r="AD671" s="734"/>
      <c r="AE671" s="734"/>
      <c r="AF671" s="734"/>
      <c r="AG671" s="734"/>
      <c r="AH671" s="734"/>
      <c r="AI671" s="734"/>
      <c r="AJ671" s="879"/>
      <c r="AK671" s="734"/>
      <c r="AL671" s="734"/>
      <c r="AM671" s="734"/>
      <c r="AN671" s="734"/>
      <c r="AO671" s="734"/>
      <c r="AP671" s="52"/>
      <c r="AQ671" s="52"/>
      <c r="AR671" s="52"/>
      <c r="AS671" s="52"/>
      <c r="AT671" s="52"/>
      <c r="AU671" s="52"/>
      <c r="AV671" s="52"/>
      <c r="AW671" s="52"/>
      <c r="AX671" s="52"/>
      <c r="AY671" s="52"/>
      <c r="AZ671" s="734"/>
      <c r="BA671" s="740"/>
      <c r="BB671" s="734"/>
      <c r="BC671" s="740"/>
      <c r="BD671" s="734"/>
      <c r="BE671" s="52"/>
      <c r="BF671" s="52"/>
      <c r="BG671" s="734"/>
      <c r="BH671" s="734"/>
      <c r="BI671" s="734"/>
      <c r="BJ671" s="734"/>
    </row>
    <row r="672">
      <c r="B672" s="740"/>
      <c r="C672" s="869"/>
      <c r="D672" s="734"/>
      <c r="E672" s="734"/>
      <c r="F672" s="740"/>
      <c r="G672" s="734"/>
      <c r="H672" s="734"/>
      <c r="I672" s="777"/>
      <c r="J672" s="740"/>
      <c r="K672" s="734"/>
      <c r="L672" s="734"/>
      <c r="M672" s="734"/>
      <c r="N672" s="734"/>
      <c r="O672" s="734"/>
      <c r="P672" s="734"/>
      <c r="Q672" s="734"/>
      <c r="R672" s="734"/>
      <c r="S672" s="734"/>
      <c r="T672" s="734"/>
      <c r="U672" s="734"/>
      <c r="V672" s="734"/>
      <c r="W672" s="734"/>
      <c r="X672" s="735"/>
      <c r="Y672" s="811"/>
      <c r="Z672" s="811"/>
      <c r="AA672" s="734"/>
      <c r="AB672" s="811"/>
      <c r="AC672" s="740"/>
      <c r="AD672" s="734"/>
      <c r="AE672" s="734"/>
      <c r="AF672" s="734"/>
      <c r="AG672" s="734"/>
      <c r="AH672" s="734"/>
      <c r="AI672" s="734"/>
      <c r="AJ672" s="879"/>
      <c r="AK672" s="734"/>
      <c r="AL672" s="734"/>
      <c r="AM672" s="734"/>
      <c r="AN672" s="734"/>
      <c r="AO672" s="734"/>
      <c r="AP672" s="52"/>
      <c r="AQ672" s="52"/>
      <c r="AR672" s="52"/>
      <c r="AS672" s="52"/>
      <c r="AT672" s="52"/>
      <c r="AU672" s="52"/>
      <c r="AV672" s="52"/>
      <c r="AW672" s="52"/>
      <c r="AX672" s="52"/>
      <c r="AY672" s="52"/>
      <c r="AZ672" s="734"/>
      <c r="BA672" s="740"/>
      <c r="BB672" s="734"/>
      <c r="BC672" s="740"/>
      <c r="BD672" s="734"/>
      <c r="BE672" s="52"/>
      <c r="BF672" s="52"/>
      <c r="BG672" s="734"/>
      <c r="BH672" s="734"/>
      <c r="BI672" s="734"/>
      <c r="BJ672" s="734"/>
    </row>
    <row r="673">
      <c r="B673" s="740"/>
      <c r="C673" s="869"/>
      <c r="D673" s="734"/>
      <c r="E673" s="734"/>
      <c r="F673" s="740"/>
      <c r="G673" s="734"/>
      <c r="H673" s="734"/>
      <c r="I673" s="777"/>
      <c r="J673" s="740"/>
      <c r="K673" s="734"/>
      <c r="L673" s="734"/>
      <c r="M673" s="734"/>
      <c r="N673" s="734"/>
      <c r="O673" s="734"/>
      <c r="P673" s="734"/>
      <c r="Q673" s="734"/>
      <c r="R673" s="734"/>
      <c r="S673" s="734"/>
      <c r="T673" s="734"/>
      <c r="U673" s="734"/>
      <c r="V673" s="734"/>
      <c r="W673" s="734"/>
      <c r="X673" s="735"/>
      <c r="Y673" s="811"/>
      <c r="Z673" s="811"/>
      <c r="AA673" s="734"/>
      <c r="AB673" s="811"/>
      <c r="AC673" s="740"/>
      <c r="AD673" s="734"/>
      <c r="AE673" s="734"/>
      <c r="AF673" s="734"/>
      <c r="AG673" s="734"/>
      <c r="AH673" s="734"/>
      <c r="AI673" s="734"/>
      <c r="AJ673" s="879"/>
      <c r="AK673" s="734"/>
      <c r="AL673" s="734"/>
      <c r="AM673" s="734"/>
      <c r="AN673" s="734"/>
      <c r="AO673" s="734"/>
      <c r="AP673" s="52"/>
      <c r="AQ673" s="52"/>
      <c r="AR673" s="52"/>
      <c r="AS673" s="52"/>
      <c r="AT673" s="52"/>
      <c r="AU673" s="52"/>
      <c r="AV673" s="52"/>
      <c r="AW673" s="52"/>
      <c r="AX673" s="52"/>
      <c r="AY673" s="52"/>
      <c r="AZ673" s="734"/>
      <c r="BA673" s="740"/>
      <c r="BB673" s="734"/>
      <c r="BC673" s="740"/>
      <c r="BD673" s="734"/>
      <c r="BE673" s="52"/>
      <c r="BF673" s="52"/>
      <c r="BG673" s="734"/>
      <c r="BH673" s="734"/>
      <c r="BI673" s="734"/>
      <c r="BJ673" s="734"/>
    </row>
    <row r="674">
      <c r="B674" s="740"/>
      <c r="C674" s="869"/>
      <c r="D674" s="734"/>
      <c r="E674" s="734"/>
      <c r="F674" s="740"/>
      <c r="G674" s="734"/>
      <c r="H674" s="734"/>
      <c r="I674" s="777"/>
      <c r="J674" s="740"/>
      <c r="K674" s="734"/>
      <c r="L674" s="734"/>
      <c r="M674" s="734"/>
      <c r="N674" s="734"/>
      <c r="O674" s="734"/>
      <c r="P674" s="734"/>
      <c r="Q674" s="734"/>
      <c r="R674" s="734"/>
      <c r="S674" s="734"/>
      <c r="T674" s="734"/>
      <c r="U674" s="734"/>
      <c r="V674" s="734"/>
      <c r="W674" s="734"/>
      <c r="X674" s="735"/>
      <c r="Y674" s="811"/>
      <c r="Z674" s="811"/>
      <c r="AA674" s="734"/>
      <c r="AB674" s="811"/>
      <c r="AC674" s="740"/>
      <c r="AD674" s="734"/>
      <c r="AE674" s="734"/>
      <c r="AF674" s="734"/>
      <c r="AG674" s="734"/>
      <c r="AH674" s="734"/>
      <c r="AI674" s="734"/>
      <c r="AJ674" s="879"/>
      <c r="AK674" s="734"/>
      <c r="AL674" s="734"/>
      <c r="AM674" s="734"/>
      <c r="AN674" s="734"/>
      <c r="AO674" s="734"/>
      <c r="AP674" s="52"/>
      <c r="AQ674" s="52"/>
      <c r="AR674" s="52"/>
      <c r="AS674" s="52"/>
      <c r="AT674" s="52"/>
      <c r="AU674" s="52"/>
      <c r="AV674" s="52"/>
      <c r="AW674" s="52"/>
      <c r="AX674" s="52"/>
      <c r="AY674" s="52"/>
      <c r="AZ674" s="734"/>
      <c r="BA674" s="740"/>
      <c r="BB674" s="734"/>
      <c r="BC674" s="740"/>
      <c r="BD674" s="734"/>
      <c r="BE674" s="52"/>
      <c r="BF674" s="52"/>
      <c r="BG674" s="734"/>
      <c r="BH674" s="734"/>
      <c r="BI674" s="734"/>
      <c r="BJ674" s="734"/>
    </row>
    <row r="675">
      <c r="B675" s="740"/>
      <c r="C675" s="869"/>
      <c r="D675" s="734"/>
      <c r="E675" s="734"/>
      <c r="F675" s="740"/>
      <c r="G675" s="734"/>
      <c r="H675" s="734"/>
      <c r="I675" s="777"/>
      <c r="J675" s="740"/>
      <c r="K675" s="734"/>
      <c r="L675" s="734"/>
      <c r="M675" s="734"/>
      <c r="N675" s="734"/>
      <c r="O675" s="734"/>
      <c r="P675" s="734"/>
      <c r="Q675" s="734"/>
      <c r="R675" s="734"/>
      <c r="S675" s="734"/>
      <c r="T675" s="734"/>
      <c r="U675" s="734"/>
      <c r="V675" s="734"/>
      <c r="W675" s="734"/>
      <c r="X675" s="735"/>
      <c r="Y675" s="811"/>
      <c r="Z675" s="811"/>
      <c r="AA675" s="734"/>
      <c r="AB675" s="811"/>
      <c r="AC675" s="740"/>
      <c r="AD675" s="734"/>
      <c r="AE675" s="734"/>
      <c r="AF675" s="734"/>
      <c r="AG675" s="734"/>
      <c r="AH675" s="734"/>
      <c r="AI675" s="734"/>
      <c r="AJ675" s="879"/>
      <c r="AK675" s="734"/>
      <c r="AL675" s="734"/>
      <c r="AM675" s="734"/>
      <c r="AN675" s="734"/>
      <c r="AO675" s="734"/>
      <c r="AP675" s="52"/>
      <c r="AQ675" s="52"/>
      <c r="AR675" s="52"/>
      <c r="AS675" s="52"/>
      <c r="AT675" s="52"/>
      <c r="AU675" s="52"/>
      <c r="AV675" s="52"/>
      <c r="AW675" s="52"/>
      <c r="AX675" s="52"/>
      <c r="AY675" s="52"/>
      <c r="AZ675" s="734"/>
      <c r="BA675" s="740"/>
      <c r="BB675" s="734"/>
      <c r="BC675" s="740"/>
      <c r="BD675" s="734"/>
      <c r="BE675" s="52"/>
      <c r="BF675" s="52"/>
      <c r="BG675" s="734"/>
      <c r="BH675" s="734"/>
      <c r="BI675" s="734"/>
      <c r="BJ675" s="734"/>
    </row>
    <row r="676">
      <c r="B676" s="740"/>
      <c r="C676" s="869"/>
      <c r="D676" s="734"/>
      <c r="E676" s="734"/>
      <c r="F676" s="740"/>
      <c r="G676" s="734"/>
      <c r="H676" s="734"/>
      <c r="I676" s="777"/>
      <c r="J676" s="740"/>
      <c r="K676" s="734"/>
      <c r="L676" s="734"/>
      <c r="M676" s="734"/>
      <c r="N676" s="734"/>
      <c r="O676" s="734"/>
      <c r="P676" s="734"/>
      <c r="Q676" s="734"/>
      <c r="R676" s="734"/>
      <c r="S676" s="734"/>
      <c r="T676" s="734"/>
      <c r="U676" s="734"/>
      <c r="V676" s="734"/>
      <c r="W676" s="734"/>
      <c r="X676" s="735"/>
      <c r="Y676" s="811"/>
      <c r="Z676" s="811"/>
      <c r="AA676" s="734"/>
      <c r="AB676" s="811"/>
      <c r="AC676" s="740"/>
      <c r="AD676" s="734"/>
      <c r="AE676" s="734"/>
      <c r="AF676" s="734"/>
      <c r="AG676" s="734"/>
      <c r="AH676" s="734"/>
      <c r="AI676" s="734"/>
      <c r="AJ676" s="879"/>
      <c r="AK676" s="734"/>
      <c r="AL676" s="734"/>
      <c r="AM676" s="734"/>
      <c r="AN676" s="734"/>
      <c r="AO676" s="734"/>
      <c r="AP676" s="52"/>
      <c r="AQ676" s="52"/>
      <c r="AR676" s="52"/>
      <c r="AS676" s="52"/>
      <c r="AT676" s="52"/>
      <c r="AU676" s="52"/>
      <c r="AV676" s="52"/>
      <c r="AW676" s="52"/>
      <c r="AX676" s="52"/>
      <c r="AY676" s="52"/>
      <c r="AZ676" s="734"/>
      <c r="BA676" s="740"/>
      <c r="BB676" s="734"/>
      <c r="BC676" s="740"/>
      <c r="BD676" s="734"/>
      <c r="BE676" s="52"/>
      <c r="BF676" s="52"/>
      <c r="BG676" s="734"/>
      <c r="BH676" s="734"/>
      <c r="BI676" s="734"/>
      <c r="BJ676" s="734"/>
    </row>
    <row r="677">
      <c r="B677" s="740"/>
      <c r="C677" s="869"/>
      <c r="D677" s="734"/>
      <c r="E677" s="734"/>
      <c r="F677" s="740"/>
      <c r="G677" s="734"/>
      <c r="H677" s="734"/>
      <c r="I677" s="777"/>
      <c r="J677" s="740"/>
      <c r="K677" s="734"/>
      <c r="L677" s="734"/>
      <c r="M677" s="734"/>
      <c r="N677" s="734"/>
      <c r="O677" s="734"/>
      <c r="P677" s="734"/>
      <c r="Q677" s="734"/>
      <c r="R677" s="734"/>
      <c r="S677" s="734"/>
      <c r="T677" s="734"/>
      <c r="U677" s="734"/>
      <c r="V677" s="734"/>
      <c r="W677" s="734"/>
      <c r="X677" s="735"/>
      <c r="Y677" s="811"/>
      <c r="Z677" s="811"/>
      <c r="AA677" s="734"/>
      <c r="AB677" s="811"/>
      <c r="AC677" s="740"/>
      <c r="AD677" s="734"/>
      <c r="AE677" s="734"/>
      <c r="AF677" s="734"/>
      <c r="AG677" s="734"/>
      <c r="AH677" s="734"/>
      <c r="AI677" s="734"/>
      <c r="AJ677" s="879"/>
      <c r="AK677" s="734"/>
      <c r="AL677" s="734"/>
      <c r="AM677" s="734"/>
      <c r="AN677" s="734"/>
      <c r="AO677" s="734"/>
      <c r="AP677" s="52"/>
      <c r="AQ677" s="52"/>
      <c r="AR677" s="52"/>
      <c r="AS677" s="52"/>
      <c r="AT677" s="52"/>
      <c r="AU677" s="52"/>
      <c r="AV677" s="52"/>
      <c r="AW677" s="52"/>
      <c r="AX677" s="52"/>
      <c r="AY677" s="52"/>
      <c r="AZ677" s="734"/>
      <c r="BA677" s="740"/>
      <c r="BB677" s="734"/>
      <c r="BC677" s="740"/>
      <c r="BD677" s="734"/>
      <c r="BE677" s="52"/>
      <c r="BF677" s="52"/>
      <c r="BG677" s="734"/>
      <c r="BH677" s="734"/>
      <c r="BI677" s="734"/>
      <c r="BJ677" s="734"/>
    </row>
    <row r="678">
      <c r="B678" s="740"/>
      <c r="C678" s="869"/>
      <c r="D678" s="734"/>
      <c r="E678" s="734"/>
      <c r="F678" s="740"/>
      <c r="G678" s="734"/>
      <c r="H678" s="734"/>
      <c r="I678" s="777"/>
      <c r="J678" s="740"/>
      <c r="K678" s="734"/>
      <c r="L678" s="734"/>
      <c r="M678" s="734"/>
      <c r="N678" s="734"/>
      <c r="O678" s="734"/>
      <c r="P678" s="734"/>
      <c r="Q678" s="734"/>
      <c r="R678" s="734"/>
      <c r="S678" s="734"/>
      <c r="T678" s="734"/>
      <c r="U678" s="734"/>
      <c r="V678" s="734"/>
      <c r="W678" s="734"/>
      <c r="X678" s="735"/>
      <c r="Y678" s="811"/>
      <c r="Z678" s="811"/>
      <c r="AA678" s="734"/>
      <c r="AB678" s="811"/>
      <c r="AC678" s="740"/>
      <c r="AD678" s="734"/>
      <c r="AE678" s="734"/>
      <c r="AF678" s="734"/>
      <c r="AG678" s="734"/>
      <c r="AH678" s="734"/>
      <c r="AI678" s="734"/>
      <c r="AJ678" s="879"/>
      <c r="AK678" s="734"/>
      <c r="AL678" s="734"/>
      <c r="AM678" s="734"/>
      <c r="AN678" s="734"/>
      <c r="AO678" s="734"/>
      <c r="AP678" s="52"/>
      <c r="AQ678" s="52"/>
      <c r="AR678" s="52"/>
      <c r="AS678" s="52"/>
      <c r="AT678" s="52"/>
      <c r="AU678" s="52"/>
      <c r="AV678" s="52"/>
      <c r="AW678" s="52"/>
      <c r="AX678" s="52"/>
      <c r="AY678" s="52"/>
      <c r="AZ678" s="734"/>
      <c r="BA678" s="740"/>
      <c r="BB678" s="734"/>
      <c r="BC678" s="740"/>
      <c r="BD678" s="734"/>
      <c r="BE678" s="52"/>
      <c r="BF678" s="52"/>
      <c r="BG678" s="734"/>
      <c r="BH678" s="734"/>
      <c r="BI678" s="734"/>
      <c r="BJ678" s="734"/>
    </row>
    <row r="679">
      <c r="B679" s="740"/>
      <c r="C679" s="869"/>
      <c r="D679" s="734"/>
      <c r="E679" s="734"/>
      <c r="F679" s="740"/>
      <c r="G679" s="734"/>
      <c r="H679" s="734"/>
      <c r="I679" s="777"/>
      <c r="J679" s="740"/>
      <c r="K679" s="734"/>
      <c r="L679" s="734"/>
      <c r="M679" s="734"/>
      <c r="N679" s="734"/>
      <c r="O679" s="734"/>
      <c r="P679" s="734"/>
      <c r="Q679" s="734"/>
      <c r="R679" s="734"/>
      <c r="S679" s="734"/>
      <c r="T679" s="734"/>
      <c r="U679" s="734"/>
      <c r="V679" s="734"/>
      <c r="W679" s="734"/>
      <c r="X679" s="735"/>
      <c r="Y679" s="811"/>
      <c r="Z679" s="811"/>
      <c r="AA679" s="734"/>
      <c r="AB679" s="811"/>
      <c r="AC679" s="740"/>
      <c r="AD679" s="734"/>
      <c r="AE679" s="734"/>
      <c r="AF679" s="734"/>
      <c r="AG679" s="734"/>
      <c r="AH679" s="734"/>
      <c r="AI679" s="734"/>
      <c r="AJ679" s="879"/>
      <c r="AK679" s="734"/>
      <c r="AL679" s="734"/>
      <c r="AM679" s="734"/>
      <c r="AN679" s="734"/>
      <c r="AO679" s="734"/>
      <c r="AP679" s="52"/>
      <c r="AQ679" s="52"/>
      <c r="AR679" s="52"/>
      <c r="AS679" s="52"/>
      <c r="AT679" s="52"/>
      <c r="AU679" s="52"/>
      <c r="AV679" s="52"/>
      <c r="AW679" s="52"/>
      <c r="AX679" s="52"/>
      <c r="AY679" s="52"/>
      <c r="AZ679" s="734"/>
      <c r="BA679" s="740"/>
      <c r="BB679" s="734"/>
      <c r="BC679" s="740"/>
      <c r="BD679" s="734"/>
      <c r="BE679" s="52"/>
      <c r="BF679" s="52"/>
      <c r="BG679" s="734"/>
      <c r="BH679" s="734"/>
      <c r="BI679" s="734"/>
      <c r="BJ679" s="734"/>
    </row>
    <row r="680">
      <c r="B680" s="740"/>
      <c r="C680" s="869"/>
      <c r="D680" s="734"/>
      <c r="E680" s="734"/>
      <c r="F680" s="740"/>
      <c r="G680" s="734"/>
      <c r="H680" s="734"/>
      <c r="I680" s="777"/>
      <c r="J680" s="740"/>
      <c r="K680" s="734"/>
      <c r="L680" s="734"/>
      <c r="M680" s="734"/>
      <c r="N680" s="734"/>
      <c r="O680" s="734"/>
      <c r="P680" s="734"/>
      <c r="Q680" s="734"/>
      <c r="R680" s="734"/>
      <c r="S680" s="734"/>
      <c r="T680" s="734"/>
      <c r="U680" s="734"/>
      <c r="V680" s="734"/>
      <c r="W680" s="734"/>
      <c r="X680" s="735"/>
      <c r="Y680" s="811"/>
      <c r="Z680" s="811"/>
      <c r="AA680" s="734"/>
      <c r="AB680" s="811"/>
      <c r="AC680" s="740"/>
      <c r="AD680" s="734"/>
      <c r="AE680" s="734"/>
      <c r="AF680" s="734"/>
      <c r="AG680" s="734"/>
      <c r="AH680" s="734"/>
      <c r="AI680" s="734"/>
      <c r="AJ680" s="879"/>
      <c r="AK680" s="734"/>
      <c r="AL680" s="734"/>
      <c r="AM680" s="734"/>
      <c r="AN680" s="734"/>
      <c r="AO680" s="734"/>
      <c r="AP680" s="52"/>
      <c r="AQ680" s="52"/>
      <c r="AR680" s="52"/>
      <c r="AS680" s="52"/>
      <c r="AT680" s="52"/>
      <c r="AU680" s="52"/>
      <c r="AV680" s="52"/>
      <c r="AW680" s="52"/>
      <c r="AX680" s="52"/>
      <c r="AY680" s="52"/>
      <c r="AZ680" s="734"/>
      <c r="BA680" s="740"/>
      <c r="BB680" s="734"/>
      <c r="BC680" s="740"/>
      <c r="BD680" s="734"/>
      <c r="BE680" s="52"/>
      <c r="BF680" s="52"/>
      <c r="BG680" s="734"/>
      <c r="BH680" s="734"/>
      <c r="BI680" s="734"/>
      <c r="BJ680" s="734"/>
    </row>
    <row r="681">
      <c r="B681" s="740"/>
      <c r="C681" s="869"/>
      <c r="D681" s="734"/>
      <c r="E681" s="734"/>
      <c r="F681" s="740"/>
      <c r="G681" s="734"/>
      <c r="H681" s="734"/>
      <c r="I681" s="777"/>
      <c r="J681" s="740"/>
      <c r="K681" s="734"/>
      <c r="L681" s="734"/>
      <c r="M681" s="734"/>
      <c r="N681" s="734"/>
      <c r="O681" s="734"/>
      <c r="P681" s="734"/>
      <c r="Q681" s="734"/>
      <c r="R681" s="734"/>
      <c r="S681" s="734"/>
      <c r="T681" s="734"/>
      <c r="U681" s="734"/>
      <c r="V681" s="734"/>
      <c r="W681" s="734"/>
      <c r="X681" s="735"/>
      <c r="Y681" s="811"/>
      <c r="Z681" s="811"/>
      <c r="AA681" s="734"/>
      <c r="AB681" s="811"/>
      <c r="AC681" s="740"/>
      <c r="AD681" s="734"/>
      <c r="AE681" s="734"/>
      <c r="AF681" s="734"/>
      <c r="AG681" s="734"/>
      <c r="AH681" s="734"/>
      <c r="AI681" s="734"/>
      <c r="AJ681" s="879"/>
      <c r="AK681" s="734"/>
      <c r="AL681" s="734"/>
      <c r="AM681" s="734"/>
      <c r="AN681" s="734"/>
      <c r="AO681" s="734"/>
      <c r="AP681" s="52"/>
      <c r="AQ681" s="52"/>
      <c r="AR681" s="52"/>
      <c r="AS681" s="52"/>
      <c r="AT681" s="52"/>
      <c r="AU681" s="52"/>
      <c r="AV681" s="52"/>
      <c r="AW681" s="52"/>
      <c r="AX681" s="52"/>
      <c r="AY681" s="52"/>
      <c r="AZ681" s="734"/>
      <c r="BA681" s="740"/>
      <c r="BB681" s="734"/>
      <c r="BC681" s="740"/>
      <c r="BD681" s="734"/>
      <c r="BE681" s="52"/>
      <c r="BF681" s="52"/>
      <c r="BG681" s="734"/>
      <c r="BH681" s="734"/>
      <c r="BI681" s="734"/>
      <c r="BJ681" s="734"/>
    </row>
    <row r="682">
      <c r="B682" s="740"/>
      <c r="C682" s="869"/>
      <c r="D682" s="734"/>
      <c r="E682" s="734"/>
      <c r="F682" s="740"/>
      <c r="G682" s="734"/>
      <c r="H682" s="734"/>
      <c r="I682" s="777"/>
      <c r="J682" s="740"/>
      <c r="K682" s="734"/>
      <c r="L682" s="734"/>
      <c r="M682" s="734"/>
      <c r="N682" s="734"/>
      <c r="O682" s="734"/>
      <c r="P682" s="734"/>
      <c r="Q682" s="734"/>
      <c r="R682" s="734"/>
      <c r="S682" s="734"/>
      <c r="T682" s="734"/>
      <c r="U682" s="734"/>
      <c r="V682" s="734"/>
      <c r="W682" s="734"/>
      <c r="X682" s="735"/>
      <c r="Y682" s="811"/>
      <c r="Z682" s="811"/>
      <c r="AA682" s="734"/>
      <c r="AB682" s="811"/>
      <c r="AC682" s="740"/>
      <c r="AD682" s="734"/>
      <c r="AE682" s="734"/>
      <c r="AF682" s="734"/>
      <c r="AG682" s="734"/>
      <c r="AH682" s="734"/>
      <c r="AI682" s="734"/>
      <c r="AJ682" s="879"/>
      <c r="AK682" s="734"/>
      <c r="AL682" s="734"/>
      <c r="AM682" s="734"/>
      <c r="AN682" s="734"/>
      <c r="AO682" s="734"/>
      <c r="AP682" s="52"/>
      <c r="AQ682" s="52"/>
      <c r="AR682" s="52"/>
      <c r="AS682" s="52"/>
      <c r="AT682" s="52"/>
      <c r="AU682" s="52"/>
      <c r="AV682" s="52"/>
      <c r="AW682" s="52"/>
      <c r="AX682" s="52"/>
      <c r="AY682" s="52"/>
      <c r="AZ682" s="734"/>
      <c r="BA682" s="740"/>
      <c r="BB682" s="734"/>
      <c r="BC682" s="740"/>
      <c r="BD682" s="734"/>
      <c r="BE682" s="52"/>
      <c r="BF682" s="52"/>
      <c r="BG682" s="734"/>
      <c r="BH682" s="734"/>
      <c r="BI682" s="734"/>
      <c r="BJ682" s="734"/>
    </row>
    <row r="683">
      <c r="B683" s="740"/>
      <c r="C683" s="869"/>
      <c r="D683" s="734"/>
      <c r="E683" s="734"/>
      <c r="F683" s="740"/>
      <c r="G683" s="734"/>
      <c r="H683" s="734"/>
      <c r="I683" s="777"/>
      <c r="J683" s="740"/>
      <c r="K683" s="734"/>
      <c r="L683" s="734"/>
      <c r="M683" s="734"/>
      <c r="N683" s="734"/>
      <c r="O683" s="734"/>
      <c r="P683" s="734"/>
      <c r="Q683" s="734"/>
      <c r="R683" s="734"/>
      <c r="S683" s="734"/>
      <c r="T683" s="734"/>
      <c r="U683" s="734"/>
      <c r="V683" s="734"/>
      <c r="W683" s="734"/>
      <c r="X683" s="735"/>
      <c r="Y683" s="811"/>
      <c r="Z683" s="811"/>
      <c r="AA683" s="734"/>
      <c r="AB683" s="811"/>
      <c r="AC683" s="740"/>
      <c r="AD683" s="734"/>
      <c r="AE683" s="734"/>
      <c r="AF683" s="734"/>
      <c r="AG683" s="734"/>
      <c r="AH683" s="734"/>
      <c r="AI683" s="734"/>
      <c r="AJ683" s="879"/>
      <c r="AK683" s="734"/>
      <c r="AL683" s="734"/>
      <c r="AM683" s="734"/>
      <c r="AN683" s="734"/>
      <c r="AO683" s="734"/>
      <c r="AP683" s="52"/>
      <c r="AQ683" s="52"/>
      <c r="AR683" s="52"/>
      <c r="AS683" s="52"/>
      <c r="AT683" s="52"/>
      <c r="AU683" s="52"/>
      <c r="AV683" s="52"/>
      <c r="AW683" s="52"/>
      <c r="AX683" s="52"/>
      <c r="AY683" s="52"/>
      <c r="AZ683" s="734"/>
      <c r="BA683" s="740"/>
      <c r="BB683" s="734"/>
      <c r="BC683" s="740"/>
      <c r="BD683" s="734"/>
      <c r="BE683" s="52"/>
      <c r="BF683" s="52"/>
      <c r="BG683" s="734"/>
      <c r="BH683" s="734"/>
      <c r="BI683" s="734"/>
      <c r="BJ683" s="734"/>
    </row>
    <row r="684">
      <c r="B684" s="740"/>
      <c r="C684" s="869"/>
      <c r="D684" s="734"/>
      <c r="E684" s="734"/>
      <c r="F684" s="740"/>
      <c r="G684" s="734"/>
      <c r="H684" s="734"/>
      <c r="I684" s="777"/>
      <c r="J684" s="740"/>
      <c r="K684" s="734"/>
      <c r="L684" s="734"/>
      <c r="M684" s="734"/>
      <c r="N684" s="734"/>
      <c r="O684" s="734"/>
      <c r="P684" s="734"/>
      <c r="Q684" s="734"/>
      <c r="R684" s="734"/>
      <c r="S684" s="734"/>
      <c r="T684" s="734"/>
      <c r="U684" s="734"/>
      <c r="V684" s="734"/>
      <c r="W684" s="734"/>
      <c r="X684" s="735"/>
      <c r="Y684" s="811"/>
      <c r="Z684" s="811"/>
      <c r="AA684" s="734"/>
      <c r="AB684" s="811"/>
      <c r="AC684" s="740"/>
      <c r="AD684" s="734"/>
      <c r="AE684" s="734"/>
      <c r="AF684" s="734"/>
      <c r="AG684" s="734"/>
      <c r="AH684" s="734"/>
      <c r="AI684" s="734"/>
      <c r="AJ684" s="879"/>
      <c r="AK684" s="734"/>
      <c r="AL684" s="734"/>
      <c r="AM684" s="734"/>
      <c r="AN684" s="734"/>
      <c r="AO684" s="734"/>
      <c r="AP684" s="52"/>
      <c r="AQ684" s="52"/>
      <c r="AR684" s="52"/>
      <c r="AS684" s="52"/>
      <c r="AT684" s="52"/>
      <c r="AU684" s="52"/>
      <c r="AV684" s="52"/>
      <c r="AW684" s="52"/>
      <c r="AX684" s="52"/>
      <c r="AY684" s="52"/>
      <c r="AZ684" s="734"/>
      <c r="BA684" s="740"/>
      <c r="BB684" s="734"/>
      <c r="BC684" s="740"/>
      <c r="BD684" s="734"/>
      <c r="BE684" s="52"/>
      <c r="BF684" s="52"/>
      <c r="BG684" s="734"/>
      <c r="BH684" s="734"/>
      <c r="BI684" s="734"/>
      <c r="BJ684" s="734"/>
    </row>
    <row r="685">
      <c r="B685" s="740"/>
      <c r="C685" s="869"/>
      <c r="D685" s="734"/>
      <c r="E685" s="734"/>
      <c r="F685" s="740"/>
      <c r="G685" s="734"/>
      <c r="H685" s="734"/>
      <c r="I685" s="777"/>
      <c r="J685" s="740"/>
      <c r="K685" s="734"/>
      <c r="L685" s="734"/>
      <c r="M685" s="734"/>
      <c r="N685" s="734"/>
      <c r="O685" s="734"/>
      <c r="P685" s="734"/>
      <c r="Q685" s="734"/>
      <c r="R685" s="734"/>
      <c r="S685" s="734"/>
      <c r="T685" s="734"/>
      <c r="U685" s="734"/>
      <c r="V685" s="734"/>
      <c r="W685" s="734"/>
      <c r="X685" s="735"/>
      <c r="Y685" s="811"/>
      <c r="Z685" s="811"/>
      <c r="AA685" s="734"/>
      <c r="AB685" s="811"/>
      <c r="AC685" s="740"/>
      <c r="AD685" s="734"/>
      <c r="AE685" s="734"/>
      <c r="AF685" s="734"/>
      <c r="AG685" s="734"/>
      <c r="AH685" s="734"/>
      <c r="AI685" s="734"/>
      <c r="AJ685" s="879"/>
      <c r="AK685" s="734"/>
      <c r="AL685" s="734"/>
      <c r="AM685" s="734"/>
      <c r="AN685" s="734"/>
      <c r="AO685" s="734"/>
      <c r="AP685" s="52"/>
      <c r="AQ685" s="52"/>
      <c r="AR685" s="52"/>
      <c r="AS685" s="52"/>
      <c r="AT685" s="52"/>
      <c r="AU685" s="52"/>
      <c r="AV685" s="52"/>
      <c r="AW685" s="52"/>
      <c r="AX685" s="52"/>
      <c r="AY685" s="52"/>
      <c r="AZ685" s="734"/>
      <c r="BA685" s="740"/>
      <c r="BB685" s="734"/>
      <c r="BC685" s="740"/>
      <c r="BD685" s="734"/>
      <c r="BE685" s="52"/>
      <c r="BF685" s="52"/>
      <c r="BG685" s="734"/>
      <c r="BH685" s="734"/>
      <c r="BI685" s="734"/>
      <c r="BJ685" s="734"/>
    </row>
    <row r="686">
      <c r="B686" s="740"/>
      <c r="C686" s="869"/>
      <c r="D686" s="734"/>
      <c r="E686" s="734"/>
      <c r="F686" s="740"/>
      <c r="G686" s="734"/>
      <c r="H686" s="734"/>
      <c r="I686" s="777"/>
      <c r="J686" s="740"/>
      <c r="K686" s="734"/>
      <c r="L686" s="734"/>
      <c r="M686" s="734"/>
      <c r="N686" s="734"/>
      <c r="O686" s="734"/>
      <c r="P686" s="734"/>
      <c r="Q686" s="734"/>
      <c r="R686" s="734"/>
      <c r="S686" s="734"/>
      <c r="T686" s="734"/>
      <c r="U686" s="734"/>
      <c r="V686" s="734"/>
      <c r="W686" s="734"/>
      <c r="X686" s="735"/>
      <c r="Y686" s="811"/>
      <c r="Z686" s="811"/>
      <c r="AA686" s="734"/>
      <c r="AB686" s="811"/>
      <c r="AC686" s="740"/>
      <c r="AD686" s="734"/>
      <c r="AE686" s="734"/>
      <c r="AF686" s="734"/>
      <c r="AG686" s="734"/>
      <c r="AH686" s="734"/>
      <c r="AI686" s="734"/>
      <c r="AJ686" s="879"/>
      <c r="AK686" s="734"/>
      <c r="AL686" s="734"/>
      <c r="AM686" s="734"/>
      <c r="AN686" s="734"/>
      <c r="AO686" s="734"/>
      <c r="AP686" s="52"/>
      <c r="AQ686" s="52"/>
      <c r="AR686" s="52"/>
      <c r="AS686" s="52"/>
      <c r="AT686" s="52"/>
      <c r="AU686" s="52"/>
      <c r="AV686" s="52"/>
      <c r="AW686" s="52"/>
      <c r="AX686" s="52"/>
      <c r="AY686" s="52"/>
      <c r="AZ686" s="734"/>
      <c r="BA686" s="740"/>
      <c r="BB686" s="734"/>
      <c r="BC686" s="740"/>
      <c r="BD686" s="734"/>
      <c r="BE686" s="52"/>
      <c r="BF686" s="52"/>
      <c r="BG686" s="734"/>
      <c r="BH686" s="734"/>
      <c r="BI686" s="734"/>
      <c r="BJ686" s="734"/>
    </row>
    <row r="687">
      <c r="B687" s="740"/>
      <c r="C687" s="869"/>
      <c r="D687" s="734"/>
      <c r="E687" s="734"/>
      <c r="F687" s="740"/>
      <c r="G687" s="734"/>
      <c r="H687" s="734"/>
      <c r="I687" s="777"/>
      <c r="J687" s="740"/>
      <c r="K687" s="734"/>
      <c r="L687" s="734"/>
      <c r="M687" s="734"/>
      <c r="N687" s="734"/>
      <c r="O687" s="734"/>
      <c r="P687" s="734"/>
      <c r="Q687" s="734"/>
      <c r="R687" s="734"/>
      <c r="S687" s="734"/>
      <c r="T687" s="734"/>
      <c r="U687" s="734"/>
      <c r="V687" s="734"/>
      <c r="W687" s="734"/>
      <c r="X687" s="735"/>
      <c r="Y687" s="811"/>
      <c r="Z687" s="811"/>
      <c r="AA687" s="734"/>
      <c r="AB687" s="811"/>
      <c r="AC687" s="740"/>
      <c r="AD687" s="734"/>
      <c r="AE687" s="734"/>
      <c r="AF687" s="734"/>
      <c r="AG687" s="734"/>
      <c r="AH687" s="734"/>
      <c r="AI687" s="734"/>
      <c r="AJ687" s="879"/>
      <c r="AK687" s="734"/>
      <c r="AL687" s="734"/>
      <c r="AM687" s="734"/>
      <c r="AN687" s="734"/>
      <c r="AO687" s="734"/>
      <c r="AP687" s="52"/>
      <c r="AQ687" s="52"/>
      <c r="AR687" s="52"/>
      <c r="AS687" s="52"/>
      <c r="AT687" s="52"/>
      <c r="AU687" s="52"/>
      <c r="AV687" s="52"/>
      <c r="AW687" s="52"/>
      <c r="AX687" s="52"/>
      <c r="AY687" s="52"/>
      <c r="AZ687" s="734"/>
      <c r="BA687" s="740"/>
      <c r="BB687" s="734"/>
      <c r="BC687" s="740"/>
      <c r="BD687" s="734"/>
      <c r="BE687" s="52"/>
      <c r="BF687" s="52"/>
      <c r="BG687" s="734"/>
      <c r="BH687" s="734"/>
      <c r="BI687" s="734"/>
      <c r="BJ687" s="734"/>
    </row>
    <row r="688">
      <c r="B688" s="740"/>
      <c r="C688" s="869"/>
      <c r="D688" s="734"/>
      <c r="E688" s="734"/>
      <c r="F688" s="740"/>
      <c r="G688" s="734"/>
      <c r="H688" s="734"/>
      <c r="I688" s="777"/>
      <c r="J688" s="740"/>
      <c r="K688" s="734"/>
      <c r="L688" s="734"/>
      <c r="M688" s="734"/>
      <c r="N688" s="734"/>
      <c r="O688" s="734"/>
      <c r="P688" s="734"/>
      <c r="Q688" s="734"/>
      <c r="R688" s="734"/>
      <c r="S688" s="734"/>
      <c r="T688" s="734"/>
      <c r="U688" s="734"/>
      <c r="V688" s="734"/>
      <c r="W688" s="734"/>
      <c r="X688" s="735"/>
      <c r="Y688" s="811"/>
      <c r="Z688" s="811"/>
      <c r="AA688" s="734"/>
      <c r="AB688" s="811"/>
      <c r="AC688" s="740"/>
      <c r="AD688" s="734"/>
      <c r="AE688" s="734"/>
      <c r="AF688" s="734"/>
      <c r="AG688" s="734"/>
      <c r="AH688" s="734"/>
      <c r="AI688" s="734"/>
      <c r="AJ688" s="879"/>
      <c r="AK688" s="734"/>
      <c r="AL688" s="734"/>
      <c r="AM688" s="734"/>
      <c r="AN688" s="734"/>
      <c r="AO688" s="734"/>
      <c r="AP688" s="52"/>
      <c r="AQ688" s="52"/>
      <c r="AR688" s="52"/>
      <c r="AS688" s="52"/>
      <c r="AT688" s="52"/>
      <c r="AU688" s="52"/>
      <c r="AV688" s="52"/>
      <c r="AW688" s="52"/>
      <c r="AX688" s="52"/>
      <c r="AY688" s="52"/>
      <c r="AZ688" s="734"/>
      <c r="BA688" s="740"/>
      <c r="BB688" s="734"/>
      <c r="BC688" s="740"/>
      <c r="BD688" s="734"/>
      <c r="BE688" s="52"/>
      <c r="BF688" s="52"/>
      <c r="BG688" s="734"/>
      <c r="BH688" s="734"/>
      <c r="BI688" s="734"/>
      <c r="BJ688" s="734"/>
    </row>
    <row r="689">
      <c r="B689" s="740"/>
      <c r="C689" s="869"/>
      <c r="D689" s="734"/>
      <c r="E689" s="734"/>
      <c r="F689" s="740"/>
      <c r="G689" s="734"/>
      <c r="H689" s="734"/>
      <c r="I689" s="777"/>
      <c r="J689" s="740"/>
      <c r="K689" s="734"/>
      <c r="L689" s="734"/>
      <c r="M689" s="734"/>
      <c r="N689" s="734"/>
      <c r="O689" s="734"/>
      <c r="P689" s="734"/>
      <c r="Q689" s="734"/>
      <c r="R689" s="734"/>
      <c r="S689" s="734"/>
      <c r="T689" s="734"/>
      <c r="U689" s="734"/>
      <c r="V689" s="734"/>
      <c r="W689" s="734"/>
      <c r="X689" s="735"/>
      <c r="Y689" s="811"/>
      <c r="Z689" s="811"/>
      <c r="AA689" s="734"/>
      <c r="AB689" s="811"/>
      <c r="AC689" s="740"/>
      <c r="AD689" s="734"/>
      <c r="AE689" s="734"/>
      <c r="AF689" s="734"/>
      <c r="AG689" s="734"/>
      <c r="AH689" s="734"/>
      <c r="AI689" s="734"/>
      <c r="AJ689" s="879"/>
      <c r="AK689" s="734"/>
      <c r="AL689" s="734"/>
      <c r="AM689" s="734"/>
      <c r="AN689" s="734"/>
      <c r="AO689" s="734"/>
      <c r="AP689" s="52"/>
      <c r="AQ689" s="52"/>
      <c r="AR689" s="52"/>
      <c r="AS689" s="52"/>
      <c r="AT689" s="52"/>
      <c r="AU689" s="52"/>
      <c r="AV689" s="52"/>
      <c r="AW689" s="52"/>
      <c r="AX689" s="52"/>
      <c r="AY689" s="52"/>
      <c r="AZ689" s="734"/>
      <c r="BA689" s="740"/>
      <c r="BB689" s="734"/>
      <c r="BC689" s="740"/>
      <c r="BD689" s="734"/>
      <c r="BE689" s="52"/>
      <c r="BF689" s="52"/>
      <c r="BG689" s="734"/>
      <c r="BH689" s="734"/>
      <c r="BI689" s="734"/>
      <c r="BJ689" s="734"/>
    </row>
    <row r="690">
      <c r="B690" s="740"/>
      <c r="C690" s="869"/>
      <c r="D690" s="734"/>
      <c r="E690" s="734"/>
      <c r="F690" s="740"/>
      <c r="G690" s="734"/>
      <c r="H690" s="734"/>
      <c r="I690" s="777"/>
      <c r="J690" s="740"/>
      <c r="K690" s="734"/>
      <c r="L690" s="734"/>
      <c r="M690" s="734"/>
      <c r="N690" s="734"/>
      <c r="O690" s="734"/>
      <c r="P690" s="734"/>
      <c r="Q690" s="734"/>
      <c r="R690" s="734"/>
      <c r="S690" s="734"/>
      <c r="T690" s="734"/>
      <c r="U690" s="734"/>
      <c r="V690" s="734"/>
      <c r="W690" s="734"/>
      <c r="X690" s="735"/>
      <c r="Y690" s="811"/>
      <c r="Z690" s="811"/>
      <c r="AA690" s="734"/>
      <c r="AB690" s="811"/>
      <c r="AC690" s="740"/>
      <c r="AD690" s="734"/>
      <c r="AE690" s="734"/>
      <c r="AF690" s="734"/>
      <c r="AG690" s="734"/>
      <c r="AH690" s="734"/>
      <c r="AI690" s="734"/>
      <c r="AJ690" s="879"/>
      <c r="AK690" s="734"/>
      <c r="AL690" s="734"/>
      <c r="AM690" s="734"/>
      <c r="AN690" s="734"/>
      <c r="AO690" s="734"/>
      <c r="AP690" s="52"/>
      <c r="AQ690" s="52"/>
      <c r="AR690" s="52"/>
      <c r="AS690" s="52"/>
      <c r="AT690" s="52"/>
      <c r="AU690" s="52"/>
      <c r="AV690" s="52"/>
      <c r="AW690" s="52"/>
      <c r="AX690" s="52"/>
      <c r="AY690" s="52"/>
      <c r="AZ690" s="734"/>
      <c r="BA690" s="740"/>
      <c r="BB690" s="734"/>
      <c r="BC690" s="740"/>
      <c r="BD690" s="734"/>
      <c r="BE690" s="52"/>
      <c r="BF690" s="52"/>
      <c r="BG690" s="734"/>
      <c r="BH690" s="734"/>
      <c r="BI690" s="734"/>
      <c r="BJ690" s="734"/>
    </row>
    <row r="691">
      <c r="B691" s="740"/>
      <c r="C691" s="869"/>
      <c r="D691" s="734"/>
      <c r="E691" s="734"/>
      <c r="F691" s="740"/>
      <c r="G691" s="734"/>
      <c r="H691" s="734"/>
      <c r="I691" s="777"/>
      <c r="J691" s="740"/>
      <c r="K691" s="734"/>
      <c r="L691" s="734"/>
      <c r="M691" s="734"/>
      <c r="N691" s="734"/>
      <c r="O691" s="734"/>
      <c r="P691" s="734"/>
      <c r="Q691" s="734"/>
      <c r="R691" s="734"/>
      <c r="S691" s="734"/>
      <c r="T691" s="734"/>
      <c r="U691" s="734"/>
      <c r="V691" s="734"/>
      <c r="W691" s="734"/>
      <c r="X691" s="735"/>
      <c r="Y691" s="811"/>
      <c r="Z691" s="811"/>
      <c r="AA691" s="734"/>
      <c r="AB691" s="811"/>
      <c r="AC691" s="740"/>
      <c r="AD691" s="734"/>
      <c r="AE691" s="734"/>
      <c r="AF691" s="734"/>
      <c r="AG691" s="734"/>
      <c r="AH691" s="734"/>
      <c r="AI691" s="734"/>
      <c r="AJ691" s="879"/>
      <c r="AK691" s="734"/>
      <c r="AL691" s="734"/>
      <c r="AM691" s="734"/>
      <c r="AN691" s="734"/>
      <c r="AO691" s="734"/>
      <c r="AP691" s="52"/>
      <c r="AQ691" s="52"/>
      <c r="AR691" s="52"/>
      <c r="AS691" s="52"/>
      <c r="AT691" s="52"/>
      <c r="AU691" s="52"/>
      <c r="AV691" s="52"/>
      <c r="AW691" s="52"/>
      <c r="AX691" s="52"/>
      <c r="AY691" s="52"/>
      <c r="AZ691" s="734"/>
      <c r="BA691" s="740"/>
      <c r="BB691" s="734"/>
      <c r="BC691" s="740"/>
      <c r="BD691" s="734"/>
      <c r="BE691" s="52"/>
      <c r="BF691" s="52"/>
      <c r="BG691" s="734"/>
      <c r="BH691" s="734"/>
      <c r="BI691" s="734"/>
      <c r="BJ691" s="734"/>
    </row>
    <row r="692">
      <c r="B692" s="740"/>
      <c r="C692" s="869"/>
      <c r="D692" s="734"/>
      <c r="E692" s="734"/>
      <c r="F692" s="740"/>
      <c r="G692" s="734"/>
      <c r="H692" s="734"/>
      <c r="I692" s="777"/>
      <c r="J692" s="740"/>
      <c r="K692" s="734"/>
      <c r="L692" s="734"/>
      <c r="M692" s="734"/>
      <c r="N692" s="734"/>
      <c r="O692" s="734"/>
      <c r="P692" s="734"/>
      <c r="Q692" s="734"/>
      <c r="R692" s="734"/>
      <c r="S692" s="734"/>
      <c r="T692" s="734"/>
      <c r="U692" s="734"/>
      <c r="V692" s="734"/>
      <c r="W692" s="734"/>
      <c r="X692" s="735"/>
      <c r="Y692" s="811"/>
      <c r="Z692" s="811"/>
      <c r="AA692" s="734"/>
      <c r="AB692" s="811"/>
      <c r="AC692" s="740"/>
      <c r="AD692" s="734"/>
      <c r="AE692" s="734"/>
      <c r="AF692" s="734"/>
      <c r="AG692" s="734"/>
      <c r="AH692" s="734"/>
      <c r="AI692" s="734"/>
      <c r="AJ692" s="879"/>
      <c r="AK692" s="734"/>
      <c r="AL692" s="734"/>
      <c r="AM692" s="734"/>
      <c r="AN692" s="734"/>
      <c r="AO692" s="734"/>
      <c r="AP692" s="52"/>
      <c r="AQ692" s="52"/>
      <c r="AR692" s="52"/>
      <c r="AS692" s="52"/>
      <c r="AT692" s="52"/>
      <c r="AU692" s="52"/>
      <c r="AV692" s="52"/>
      <c r="AW692" s="52"/>
      <c r="AX692" s="52"/>
      <c r="AY692" s="52"/>
      <c r="AZ692" s="734"/>
      <c r="BA692" s="740"/>
      <c r="BB692" s="734"/>
      <c r="BC692" s="740"/>
      <c r="BD692" s="734"/>
      <c r="BE692" s="52"/>
      <c r="BF692" s="52"/>
      <c r="BG692" s="734"/>
      <c r="BH692" s="734"/>
      <c r="BI692" s="734"/>
      <c r="BJ692" s="734"/>
    </row>
    <row r="693">
      <c r="B693" s="740"/>
      <c r="C693" s="869"/>
      <c r="D693" s="734"/>
      <c r="E693" s="734"/>
      <c r="F693" s="740"/>
      <c r="G693" s="734"/>
      <c r="H693" s="734"/>
      <c r="I693" s="777"/>
      <c r="J693" s="740"/>
      <c r="K693" s="734"/>
      <c r="L693" s="734"/>
      <c r="M693" s="734"/>
      <c r="N693" s="734"/>
      <c r="O693" s="734"/>
      <c r="P693" s="734"/>
      <c r="Q693" s="734"/>
      <c r="R693" s="734"/>
      <c r="S693" s="734"/>
      <c r="T693" s="734"/>
      <c r="U693" s="734"/>
      <c r="V693" s="734"/>
      <c r="W693" s="734"/>
      <c r="X693" s="735"/>
      <c r="Y693" s="811"/>
      <c r="Z693" s="811"/>
      <c r="AA693" s="734"/>
      <c r="AB693" s="811"/>
      <c r="AC693" s="740"/>
      <c r="AD693" s="734"/>
      <c r="AE693" s="734"/>
      <c r="AF693" s="734"/>
      <c r="AG693" s="734"/>
      <c r="AH693" s="734"/>
      <c r="AI693" s="734"/>
      <c r="AJ693" s="879"/>
      <c r="AK693" s="734"/>
      <c r="AL693" s="734"/>
      <c r="AM693" s="734"/>
      <c r="AN693" s="734"/>
      <c r="AO693" s="734"/>
      <c r="AP693" s="52"/>
      <c r="AQ693" s="52"/>
      <c r="AR693" s="52"/>
      <c r="AS693" s="52"/>
      <c r="AT693" s="52"/>
      <c r="AU693" s="52"/>
      <c r="AV693" s="52"/>
      <c r="AW693" s="52"/>
      <c r="AX693" s="52"/>
      <c r="AY693" s="52"/>
      <c r="AZ693" s="734"/>
      <c r="BA693" s="740"/>
      <c r="BB693" s="734"/>
      <c r="BC693" s="740"/>
      <c r="BD693" s="734"/>
      <c r="BE693" s="52"/>
      <c r="BF693" s="52"/>
      <c r="BG693" s="734"/>
      <c r="BH693" s="734"/>
      <c r="BI693" s="734"/>
      <c r="BJ693" s="734"/>
    </row>
    <row r="694">
      <c r="B694" s="740"/>
      <c r="C694" s="869"/>
      <c r="D694" s="734"/>
      <c r="E694" s="734"/>
      <c r="F694" s="740"/>
      <c r="G694" s="734"/>
      <c r="H694" s="734"/>
      <c r="I694" s="777"/>
      <c r="J694" s="740"/>
      <c r="K694" s="734"/>
      <c r="L694" s="734"/>
      <c r="M694" s="734"/>
      <c r="N694" s="734"/>
      <c r="O694" s="734"/>
      <c r="P694" s="734"/>
      <c r="Q694" s="734"/>
      <c r="R694" s="734"/>
      <c r="S694" s="734"/>
      <c r="T694" s="734"/>
      <c r="U694" s="734"/>
      <c r="V694" s="734"/>
      <c r="W694" s="734"/>
      <c r="X694" s="735"/>
      <c r="Y694" s="811"/>
      <c r="Z694" s="811"/>
      <c r="AA694" s="734"/>
      <c r="AB694" s="811"/>
      <c r="AC694" s="740"/>
      <c r="AD694" s="734"/>
      <c r="AE694" s="734"/>
      <c r="AF694" s="734"/>
      <c r="AG694" s="734"/>
      <c r="AH694" s="734"/>
      <c r="AI694" s="734"/>
      <c r="AJ694" s="879"/>
      <c r="AK694" s="734"/>
      <c r="AL694" s="734"/>
      <c r="AM694" s="734"/>
      <c r="AN694" s="734"/>
      <c r="AO694" s="734"/>
      <c r="AP694" s="52"/>
      <c r="AQ694" s="52"/>
      <c r="AR694" s="52"/>
      <c r="AS694" s="52"/>
      <c r="AT694" s="52"/>
      <c r="AU694" s="52"/>
      <c r="AV694" s="52"/>
      <c r="AW694" s="52"/>
      <c r="AX694" s="52"/>
      <c r="AY694" s="52"/>
      <c r="AZ694" s="734"/>
      <c r="BA694" s="740"/>
      <c r="BB694" s="734"/>
      <c r="BC694" s="740"/>
      <c r="BD694" s="734"/>
      <c r="BE694" s="52"/>
      <c r="BF694" s="52"/>
      <c r="BG694" s="734"/>
      <c r="BH694" s="734"/>
      <c r="BI694" s="734"/>
      <c r="BJ694" s="734"/>
    </row>
    <row r="695">
      <c r="B695" s="740"/>
      <c r="C695" s="869"/>
      <c r="D695" s="734"/>
      <c r="E695" s="734"/>
      <c r="F695" s="740"/>
      <c r="G695" s="734"/>
      <c r="H695" s="734"/>
      <c r="I695" s="777"/>
      <c r="J695" s="740"/>
      <c r="K695" s="734"/>
      <c r="L695" s="734"/>
      <c r="M695" s="734"/>
      <c r="N695" s="734"/>
      <c r="O695" s="734"/>
      <c r="P695" s="734"/>
      <c r="Q695" s="734"/>
      <c r="R695" s="734"/>
      <c r="S695" s="734"/>
      <c r="T695" s="734"/>
      <c r="U695" s="734"/>
      <c r="V695" s="734"/>
      <c r="W695" s="734"/>
      <c r="X695" s="735"/>
      <c r="Y695" s="811"/>
      <c r="Z695" s="811"/>
      <c r="AA695" s="734"/>
      <c r="AB695" s="811"/>
      <c r="AC695" s="740"/>
      <c r="AD695" s="734"/>
      <c r="AE695" s="734"/>
      <c r="AF695" s="734"/>
      <c r="AG695" s="734"/>
      <c r="AH695" s="734"/>
      <c r="AI695" s="734"/>
      <c r="AJ695" s="879"/>
      <c r="AK695" s="734"/>
      <c r="AL695" s="734"/>
      <c r="AM695" s="734"/>
      <c r="AN695" s="734"/>
      <c r="AO695" s="734"/>
      <c r="AP695" s="52"/>
      <c r="AQ695" s="52"/>
      <c r="AR695" s="52"/>
      <c r="AS695" s="52"/>
      <c r="AT695" s="52"/>
      <c r="AU695" s="52"/>
      <c r="AV695" s="52"/>
      <c r="AW695" s="52"/>
      <c r="AX695" s="52"/>
      <c r="AY695" s="52"/>
      <c r="AZ695" s="734"/>
      <c r="BA695" s="740"/>
      <c r="BB695" s="734"/>
      <c r="BC695" s="740"/>
      <c r="BD695" s="734"/>
      <c r="BE695" s="52"/>
      <c r="BF695" s="52"/>
      <c r="BG695" s="734"/>
      <c r="BH695" s="734"/>
      <c r="BI695" s="734"/>
      <c r="BJ695" s="734"/>
    </row>
    <row r="696">
      <c r="B696" s="740"/>
      <c r="C696" s="869"/>
      <c r="D696" s="734"/>
      <c r="E696" s="734"/>
      <c r="F696" s="740"/>
      <c r="G696" s="734"/>
      <c r="H696" s="734"/>
      <c r="I696" s="777"/>
      <c r="J696" s="740"/>
      <c r="K696" s="734"/>
      <c r="L696" s="734"/>
      <c r="M696" s="734"/>
      <c r="N696" s="734"/>
      <c r="O696" s="734"/>
      <c r="P696" s="734"/>
      <c r="Q696" s="734"/>
      <c r="R696" s="734"/>
      <c r="S696" s="734"/>
      <c r="T696" s="734"/>
      <c r="U696" s="734"/>
      <c r="V696" s="734"/>
      <c r="W696" s="734"/>
      <c r="X696" s="735"/>
      <c r="Y696" s="811"/>
      <c r="Z696" s="811"/>
      <c r="AA696" s="734"/>
      <c r="AB696" s="811"/>
      <c r="AC696" s="740"/>
      <c r="AD696" s="734"/>
      <c r="AE696" s="734"/>
      <c r="AF696" s="734"/>
      <c r="AG696" s="734"/>
      <c r="AH696" s="734"/>
      <c r="AI696" s="734"/>
      <c r="AJ696" s="879"/>
      <c r="AK696" s="734"/>
      <c r="AL696" s="734"/>
      <c r="AM696" s="734"/>
      <c r="AN696" s="734"/>
      <c r="AO696" s="734"/>
      <c r="AP696" s="52"/>
      <c r="AQ696" s="52"/>
      <c r="AR696" s="52"/>
      <c r="AS696" s="52"/>
      <c r="AT696" s="52"/>
      <c r="AU696" s="52"/>
      <c r="AV696" s="52"/>
      <c r="AW696" s="52"/>
      <c r="AX696" s="52"/>
      <c r="AY696" s="52"/>
      <c r="AZ696" s="734"/>
      <c r="BA696" s="740"/>
      <c r="BB696" s="734"/>
      <c r="BC696" s="740"/>
      <c r="BD696" s="734"/>
      <c r="BE696" s="52"/>
      <c r="BF696" s="52"/>
      <c r="BG696" s="734"/>
      <c r="BH696" s="734"/>
      <c r="BI696" s="734"/>
      <c r="BJ696" s="734"/>
    </row>
    <row r="697">
      <c r="B697" s="740"/>
      <c r="C697" s="869"/>
      <c r="D697" s="734"/>
      <c r="E697" s="734"/>
      <c r="F697" s="740"/>
      <c r="G697" s="734"/>
      <c r="H697" s="734"/>
      <c r="I697" s="777"/>
      <c r="J697" s="740"/>
      <c r="K697" s="734"/>
      <c r="L697" s="734"/>
      <c r="M697" s="734"/>
      <c r="N697" s="734"/>
      <c r="O697" s="734"/>
      <c r="P697" s="734"/>
      <c r="Q697" s="734"/>
      <c r="R697" s="734"/>
      <c r="S697" s="734"/>
      <c r="T697" s="734"/>
      <c r="U697" s="734"/>
      <c r="V697" s="734"/>
      <c r="W697" s="734"/>
      <c r="X697" s="735"/>
      <c r="Y697" s="811"/>
      <c r="Z697" s="811"/>
      <c r="AA697" s="734"/>
      <c r="AB697" s="811"/>
      <c r="AC697" s="740"/>
      <c r="AD697" s="734"/>
      <c r="AE697" s="734"/>
      <c r="AF697" s="734"/>
      <c r="AG697" s="734"/>
      <c r="AH697" s="734"/>
      <c r="AI697" s="734"/>
      <c r="AJ697" s="879"/>
      <c r="AK697" s="734"/>
      <c r="AL697" s="734"/>
      <c r="AM697" s="734"/>
      <c r="AN697" s="734"/>
      <c r="AO697" s="734"/>
      <c r="AP697" s="52"/>
      <c r="AQ697" s="52"/>
      <c r="AR697" s="52"/>
      <c r="AS697" s="52"/>
      <c r="AT697" s="52"/>
      <c r="AU697" s="52"/>
      <c r="AV697" s="52"/>
      <c r="AW697" s="52"/>
      <c r="AX697" s="52"/>
      <c r="AY697" s="52"/>
      <c r="AZ697" s="734"/>
      <c r="BA697" s="740"/>
      <c r="BB697" s="734"/>
      <c r="BC697" s="740"/>
      <c r="BD697" s="734"/>
      <c r="BE697" s="52"/>
      <c r="BF697" s="52"/>
      <c r="BG697" s="734"/>
      <c r="BH697" s="734"/>
      <c r="BI697" s="734"/>
      <c r="BJ697" s="734"/>
    </row>
    <row r="698">
      <c r="B698" s="740"/>
      <c r="C698" s="869"/>
      <c r="D698" s="734"/>
      <c r="E698" s="734"/>
      <c r="F698" s="740"/>
      <c r="G698" s="734"/>
      <c r="H698" s="734"/>
      <c r="I698" s="777"/>
      <c r="J698" s="740"/>
      <c r="K698" s="734"/>
      <c r="L698" s="734"/>
      <c r="M698" s="734"/>
      <c r="N698" s="734"/>
      <c r="O698" s="734"/>
      <c r="P698" s="734"/>
      <c r="Q698" s="734"/>
      <c r="R698" s="734"/>
      <c r="S698" s="734"/>
      <c r="T698" s="734"/>
      <c r="U698" s="734"/>
      <c r="V698" s="734"/>
      <c r="W698" s="734"/>
      <c r="X698" s="735"/>
      <c r="Y698" s="811"/>
      <c r="Z698" s="811"/>
      <c r="AA698" s="734"/>
      <c r="AB698" s="811"/>
      <c r="AC698" s="740"/>
      <c r="AD698" s="734"/>
      <c r="AE698" s="734"/>
      <c r="AF698" s="734"/>
      <c r="AG698" s="734"/>
      <c r="AH698" s="734"/>
      <c r="AI698" s="734"/>
      <c r="AJ698" s="879"/>
      <c r="AK698" s="734"/>
      <c r="AL698" s="734"/>
      <c r="AM698" s="734"/>
      <c r="AN698" s="734"/>
      <c r="AO698" s="734"/>
      <c r="AP698" s="52"/>
      <c r="AQ698" s="52"/>
      <c r="AR698" s="52"/>
      <c r="AS698" s="52"/>
      <c r="AT698" s="52"/>
      <c r="AU698" s="52"/>
      <c r="AV698" s="52"/>
      <c r="AW698" s="52"/>
      <c r="AX698" s="52"/>
      <c r="AY698" s="52"/>
      <c r="AZ698" s="734"/>
      <c r="BA698" s="740"/>
      <c r="BB698" s="734"/>
      <c r="BC698" s="740"/>
      <c r="BD698" s="734"/>
      <c r="BE698" s="52"/>
      <c r="BF698" s="52"/>
      <c r="BG698" s="734"/>
      <c r="BH698" s="734"/>
      <c r="BI698" s="734"/>
      <c r="BJ698" s="734"/>
    </row>
    <row r="699">
      <c r="B699" s="740"/>
      <c r="C699" s="869"/>
      <c r="D699" s="734"/>
      <c r="E699" s="734"/>
      <c r="F699" s="740"/>
      <c r="G699" s="734"/>
      <c r="H699" s="734"/>
      <c r="I699" s="777"/>
      <c r="J699" s="740"/>
      <c r="K699" s="734"/>
      <c r="L699" s="734"/>
      <c r="M699" s="734"/>
      <c r="N699" s="734"/>
      <c r="O699" s="734"/>
      <c r="P699" s="734"/>
      <c r="Q699" s="734"/>
      <c r="R699" s="734"/>
      <c r="S699" s="734"/>
      <c r="T699" s="734"/>
      <c r="U699" s="734"/>
      <c r="V699" s="734"/>
      <c r="W699" s="734"/>
      <c r="X699" s="735"/>
      <c r="Y699" s="811"/>
      <c r="Z699" s="811"/>
      <c r="AA699" s="734"/>
      <c r="AB699" s="811"/>
      <c r="AC699" s="740"/>
      <c r="AD699" s="734"/>
      <c r="AE699" s="734"/>
      <c r="AF699" s="734"/>
      <c r="AG699" s="734"/>
      <c r="AH699" s="734"/>
      <c r="AI699" s="734"/>
      <c r="AJ699" s="879"/>
      <c r="AK699" s="734"/>
      <c r="AL699" s="734"/>
      <c r="AM699" s="734"/>
      <c r="AN699" s="734"/>
      <c r="AO699" s="734"/>
      <c r="AP699" s="52"/>
      <c r="AQ699" s="52"/>
      <c r="AR699" s="52"/>
      <c r="AS699" s="52"/>
      <c r="AT699" s="52"/>
      <c r="AU699" s="52"/>
      <c r="AV699" s="52"/>
      <c r="AW699" s="52"/>
      <c r="AX699" s="52"/>
      <c r="AY699" s="52"/>
      <c r="AZ699" s="734"/>
      <c r="BA699" s="740"/>
      <c r="BB699" s="734"/>
      <c r="BC699" s="740"/>
      <c r="BD699" s="734"/>
      <c r="BE699" s="52"/>
      <c r="BF699" s="52"/>
      <c r="BG699" s="734"/>
      <c r="BH699" s="734"/>
      <c r="BI699" s="734"/>
      <c r="BJ699" s="734"/>
    </row>
    <row r="700">
      <c r="B700" s="740"/>
      <c r="C700" s="869"/>
      <c r="D700" s="734"/>
      <c r="E700" s="734"/>
      <c r="F700" s="740"/>
      <c r="G700" s="734"/>
      <c r="H700" s="734"/>
      <c r="I700" s="777"/>
      <c r="J700" s="740"/>
      <c r="K700" s="734"/>
      <c r="L700" s="734"/>
      <c r="M700" s="734"/>
      <c r="N700" s="734"/>
      <c r="O700" s="734"/>
      <c r="P700" s="734"/>
      <c r="Q700" s="734"/>
      <c r="R700" s="734"/>
      <c r="S700" s="734"/>
      <c r="T700" s="734"/>
      <c r="U700" s="734"/>
      <c r="V700" s="734"/>
      <c r="W700" s="734"/>
      <c r="X700" s="735"/>
      <c r="Y700" s="811"/>
      <c r="Z700" s="811"/>
      <c r="AA700" s="734"/>
      <c r="AB700" s="811"/>
      <c r="AC700" s="740"/>
      <c r="AD700" s="734"/>
      <c r="AE700" s="734"/>
      <c r="AF700" s="734"/>
      <c r="AG700" s="734"/>
      <c r="AH700" s="734"/>
      <c r="AI700" s="734"/>
      <c r="AJ700" s="879"/>
      <c r="AK700" s="734"/>
      <c r="AL700" s="734"/>
      <c r="AM700" s="734"/>
      <c r="AN700" s="734"/>
      <c r="AO700" s="734"/>
      <c r="AP700" s="52"/>
      <c r="AQ700" s="52"/>
      <c r="AR700" s="52"/>
      <c r="AS700" s="52"/>
      <c r="AT700" s="52"/>
      <c r="AU700" s="52"/>
      <c r="AV700" s="52"/>
      <c r="AW700" s="52"/>
      <c r="AX700" s="52"/>
      <c r="AY700" s="52"/>
      <c r="AZ700" s="734"/>
      <c r="BA700" s="740"/>
      <c r="BB700" s="734"/>
      <c r="BC700" s="740"/>
      <c r="BD700" s="734"/>
      <c r="BE700" s="52"/>
      <c r="BF700" s="52"/>
      <c r="BG700" s="734"/>
      <c r="BH700" s="734"/>
      <c r="BI700" s="734"/>
      <c r="BJ700" s="734"/>
    </row>
    <row r="701">
      <c r="B701" s="740"/>
      <c r="C701" s="869"/>
      <c r="D701" s="734"/>
      <c r="E701" s="734"/>
      <c r="F701" s="740"/>
      <c r="G701" s="734"/>
      <c r="H701" s="734"/>
      <c r="I701" s="777"/>
      <c r="J701" s="740"/>
      <c r="K701" s="734"/>
      <c r="L701" s="734"/>
      <c r="M701" s="734"/>
      <c r="N701" s="734"/>
      <c r="O701" s="734"/>
      <c r="P701" s="734"/>
      <c r="Q701" s="734"/>
      <c r="R701" s="734"/>
      <c r="S701" s="734"/>
      <c r="T701" s="734"/>
      <c r="U701" s="734"/>
      <c r="V701" s="734"/>
      <c r="W701" s="734"/>
      <c r="X701" s="735"/>
      <c r="Y701" s="811"/>
      <c r="Z701" s="811"/>
      <c r="AA701" s="734"/>
      <c r="AB701" s="811"/>
      <c r="AC701" s="740"/>
      <c r="AD701" s="734"/>
      <c r="AE701" s="734"/>
      <c r="AF701" s="734"/>
      <c r="AG701" s="734"/>
      <c r="AH701" s="734"/>
      <c r="AI701" s="734"/>
      <c r="AJ701" s="879"/>
      <c r="AK701" s="734"/>
      <c r="AL701" s="734"/>
      <c r="AM701" s="734"/>
      <c r="AN701" s="734"/>
      <c r="AO701" s="734"/>
      <c r="AP701" s="52"/>
      <c r="AQ701" s="52"/>
      <c r="AR701" s="52"/>
      <c r="AS701" s="52"/>
      <c r="AT701" s="52"/>
      <c r="AU701" s="52"/>
      <c r="AV701" s="52"/>
      <c r="AW701" s="52"/>
      <c r="AX701" s="52"/>
      <c r="AY701" s="52"/>
      <c r="AZ701" s="734"/>
      <c r="BA701" s="740"/>
      <c r="BB701" s="734"/>
      <c r="BC701" s="740"/>
      <c r="BD701" s="734"/>
      <c r="BE701" s="52"/>
      <c r="BF701" s="52"/>
      <c r="BG701" s="734"/>
      <c r="BH701" s="734"/>
      <c r="BI701" s="734"/>
      <c r="BJ701" s="734"/>
    </row>
    <row r="702">
      <c r="B702" s="740"/>
      <c r="C702" s="869"/>
      <c r="D702" s="734"/>
      <c r="E702" s="734"/>
      <c r="F702" s="740"/>
      <c r="G702" s="734"/>
      <c r="H702" s="734"/>
      <c r="I702" s="777"/>
      <c r="J702" s="740"/>
      <c r="K702" s="734"/>
      <c r="L702" s="734"/>
      <c r="M702" s="734"/>
      <c r="N702" s="734"/>
      <c r="O702" s="734"/>
      <c r="P702" s="734"/>
      <c r="Q702" s="734"/>
      <c r="R702" s="734"/>
      <c r="S702" s="734"/>
      <c r="T702" s="734"/>
      <c r="U702" s="734"/>
      <c r="V702" s="734"/>
      <c r="W702" s="734"/>
      <c r="X702" s="735"/>
      <c r="Y702" s="811"/>
      <c r="Z702" s="811"/>
      <c r="AA702" s="734"/>
      <c r="AB702" s="811"/>
      <c r="AC702" s="740"/>
      <c r="AD702" s="734"/>
      <c r="AE702" s="734"/>
      <c r="AF702" s="734"/>
      <c r="AG702" s="734"/>
      <c r="AH702" s="734"/>
      <c r="AI702" s="734"/>
      <c r="AJ702" s="879"/>
      <c r="AK702" s="734"/>
      <c r="AL702" s="734"/>
      <c r="AM702" s="734"/>
      <c r="AN702" s="734"/>
      <c r="AO702" s="734"/>
      <c r="AP702" s="52"/>
      <c r="AQ702" s="52"/>
      <c r="AR702" s="52"/>
      <c r="AS702" s="52"/>
      <c r="AT702" s="52"/>
      <c r="AU702" s="52"/>
      <c r="AV702" s="52"/>
      <c r="AW702" s="52"/>
      <c r="AX702" s="52"/>
      <c r="AY702" s="52"/>
      <c r="AZ702" s="734"/>
      <c r="BA702" s="740"/>
      <c r="BB702" s="734"/>
      <c r="BC702" s="740"/>
      <c r="BD702" s="734"/>
      <c r="BE702" s="52"/>
      <c r="BF702" s="52"/>
      <c r="BG702" s="734"/>
      <c r="BH702" s="734"/>
      <c r="BI702" s="734"/>
      <c r="BJ702" s="734"/>
    </row>
    <row r="703">
      <c r="B703" s="740"/>
      <c r="C703" s="869"/>
      <c r="D703" s="734"/>
      <c r="E703" s="734"/>
      <c r="F703" s="740"/>
      <c r="G703" s="734"/>
      <c r="H703" s="734"/>
      <c r="I703" s="777"/>
      <c r="J703" s="740"/>
      <c r="K703" s="734"/>
      <c r="L703" s="734"/>
      <c r="M703" s="734"/>
      <c r="N703" s="734"/>
      <c r="O703" s="734"/>
      <c r="P703" s="734"/>
      <c r="Q703" s="734"/>
      <c r="R703" s="734"/>
      <c r="S703" s="734"/>
      <c r="T703" s="734"/>
      <c r="U703" s="734"/>
      <c r="V703" s="734"/>
      <c r="W703" s="734"/>
      <c r="X703" s="735"/>
      <c r="Y703" s="811"/>
      <c r="Z703" s="811"/>
      <c r="AA703" s="734"/>
      <c r="AB703" s="811"/>
      <c r="AC703" s="740"/>
      <c r="AD703" s="734"/>
      <c r="AE703" s="734"/>
      <c r="AF703" s="734"/>
      <c r="AG703" s="734"/>
      <c r="AH703" s="734"/>
      <c r="AI703" s="734"/>
      <c r="AJ703" s="879"/>
      <c r="AK703" s="734"/>
      <c r="AL703" s="734"/>
      <c r="AM703" s="734"/>
      <c r="AN703" s="734"/>
      <c r="AO703" s="734"/>
      <c r="AP703" s="52"/>
      <c r="AQ703" s="52"/>
      <c r="AR703" s="52"/>
      <c r="AS703" s="52"/>
      <c r="AT703" s="52"/>
      <c r="AU703" s="52"/>
      <c r="AV703" s="52"/>
      <c r="AW703" s="52"/>
      <c r="AX703" s="52"/>
      <c r="AY703" s="52"/>
      <c r="AZ703" s="734"/>
      <c r="BA703" s="740"/>
      <c r="BB703" s="734"/>
      <c r="BC703" s="740"/>
      <c r="BD703" s="734"/>
      <c r="BE703" s="52"/>
      <c r="BF703" s="52"/>
      <c r="BG703" s="734"/>
      <c r="BH703" s="734"/>
      <c r="BI703" s="734"/>
      <c r="BJ703" s="734"/>
    </row>
    <row r="704">
      <c r="B704" s="740"/>
      <c r="C704" s="869"/>
      <c r="D704" s="734"/>
      <c r="E704" s="734"/>
      <c r="F704" s="740"/>
      <c r="G704" s="734"/>
      <c r="H704" s="734"/>
      <c r="I704" s="777"/>
      <c r="J704" s="740"/>
      <c r="K704" s="734"/>
      <c r="L704" s="734"/>
      <c r="M704" s="734"/>
      <c r="N704" s="734"/>
      <c r="O704" s="734"/>
      <c r="P704" s="734"/>
      <c r="Q704" s="734"/>
      <c r="R704" s="734"/>
      <c r="S704" s="734"/>
      <c r="T704" s="734"/>
      <c r="U704" s="734"/>
      <c r="V704" s="734"/>
      <c r="W704" s="734"/>
      <c r="X704" s="735"/>
      <c r="Y704" s="811"/>
      <c r="Z704" s="811"/>
      <c r="AA704" s="734"/>
      <c r="AB704" s="811"/>
      <c r="AC704" s="740"/>
      <c r="AD704" s="734"/>
      <c r="AE704" s="734"/>
      <c r="AF704" s="734"/>
      <c r="AG704" s="734"/>
      <c r="AH704" s="734"/>
      <c r="AI704" s="734"/>
      <c r="AJ704" s="879"/>
      <c r="AK704" s="734"/>
      <c r="AL704" s="734"/>
      <c r="AM704" s="734"/>
      <c r="AN704" s="734"/>
      <c r="AO704" s="734"/>
      <c r="AP704" s="52"/>
      <c r="AQ704" s="52"/>
      <c r="AR704" s="52"/>
      <c r="AS704" s="52"/>
      <c r="AT704" s="52"/>
      <c r="AU704" s="52"/>
      <c r="AV704" s="52"/>
      <c r="AW704" s="52"/>
      <c r="AX704" s="52"/>
      <c r="AY704" s="52"/>
      <c r="AZ704" s="734"/>
      <c r="BA704" s="740"/>
      <c r="BB704" s="734"/>
      <c r="BC704" s="740"/>
      <c r="BD704" s="734"/>
      <c r="BE704" s="52"/>
      <c r="BF704" s="52"/>
      <c r="BG704" s="734"/>
      <c r="BH704" s="734"/>
      <c r="BI704" s="734"/>
      <c r="BJ704" s="734"/>
    </row>
    <row r="705">
      <c r="B705" s="740"/>
      <c r="C705" s="869"/>
      <c r="D705" s="734"/>
      <c r="E705" s="734"/>
      <c r="F705" s="740"/>
      <c r="G705" s="734"/>
      <c r="H705" s="734"/>
      <c r="I705" s="777"/>
      <c r="J705" s="740"/>
      <c r="K705" s="734"/>
      <c r="L705" s="734"/>
      <c r="M705" s="734"/>
      <c r="N705" s="734"/>
      <c r="O705" s="734"/>
      <c r="P705" s="734"/>
      <c r="Q705" s="734"/>
      <c r="R705" s="734"/>
      <c r="S705" s="734"/>
      <c r="T705" s="734"/>
      <c r="U705" s="734"/>
      <c r="V705" s="734"/>
      <c r="W705" s="734"/>
      <c r="X705" s="735"/>
      <c r="Y705" s="811"/>
      <c r="Z705" s="811"/>
      <c r="AA705" s="734"/>
      <c r="AB705" s="811"/>
      <c r="AC705" s="740"/>
      <c r="AD705" s="734"/>
      <c r="AE705" s="734"/>
      <c r="AF705" s="734"/>
      <c r="AG705" s="734"/>
      <c r="AH705" s="734"/>
      <c r="AI705" s="734"/>
      <c r="AJ705" s="879"/>
      <c r="AK705" s="734"/>
      <c r="AL705" s="734"/>
      <c r="AM705" s="734"/>
      <c r="AN705" s="734"/>
      <c r="AO705" s="734"/>
      <c r="AP705" s="52"/>
      <c r="AQ705" s="52"/>
      <c r="AR705" s="52"/>
      <c r="AS705" s="52"/>
      <c r="AT705" s="52"/>
      <c r="AU705" s="52"/>
      <c r="AV705" s="52"/>
      <c r="AW705" s="52"/>
      <c r="AX705" s="52"/>
      <c r="AY705" s="52"/>
      <c r="AZ705" s="734"/>
      <c r="BA705" s="740"/>
      <c r="BB705" s="734"/>
      <c r="BC705" s="740"/>
      <c r="BD705" s="734"/>
      <c r="BE705" s="52"/>
      <c r="BF705" s="52"/>
      <c r="BG705" s="734"/>
      <c r="BH705" s="734"/>
      <c r="BI705" s="734"/>
      <c r="BJ705" s="734"/>
    </row>
    <row r="706">
      <c r="B706" s="740"/>
      <c r="C706" s="869"/>
      <c r="D706" s="734"/>
      <c r="E706" s="734"/>
      <c r="F706" s="740"/>
      <c r="G706" s="734"/>
      <c r="H706" s="734"/>
      <c r="I706" s="777"/>
      <c r="J706" s="740"/>
      <c r="K706" s="734"/>
      <c r="L706" s="734"/>
      <c r="M706" s="734"/>
      <c r="N706" s="734"/>
      <c r="O706" s="734"/>
      <c r="P706" s="734"/>
      <c r="Q706" s="734"/>
      <c r="R706" s="734"/>
      <c r="S706" s="734"/>
      <c r="T706" s="734"/>
      <c r="U706" s="734"/>
      <c r="V706" s="734"/>
      <c r="W706" s="734"/>
      <c r="X706" s="735"/>
      <c r="Y706" s="811"/>
      <c r="Z706" s="811"/>
      <c r="AA706" s="734"/>
      <c r="AB706" s="811"/>
      <c r="AC706" s="740"/>
      <c r="AD706" s="734"/>
      <c r="AE706" s="734"/>
      <c r="AF706" s="734"/>
      <c r="AG706" s="734"/>
      <c r="AH706" s="734"/>
      <c r="AI706" s="734"/>
      <c r="AJ706" s="879"/>
      <c r="AK706" s="734"/>
      <c r="AL706" s="734"/>
      <c r="AM706" s="734"/>
      <c r="AN706" s="734"/>
      <c r="AO706" s="734"/>
      <c r="AP706" s="52"/>
      <c r="AQ706" s="52"/>
      <c r="AR706" s="52"/>
      <c r="AS706" s="52"/>
      <c r="AT706" s="52"/>
      <c r="AU706" s="52"/>
      <c r="AV706" s="52"/>
      <c r="AW706" s="52"/>
      <c r="AX706" s="52"/>
      <c r="AY706" s="52"/>
      <c r="AZ706" s="734"/>
      <c r="BA706" s="740"/>
      <c r="BB706" s="734"/>
      <c r="BC706" s="740"/>
      <c r="BD706" s="734"/>
      <c r="BE706" s="52"/>
      <c r="BF706" s="52"/>
      <c r="BG706" s="734"/>
      <c r="BH706" s="734"/>
      <c r="BI706" s="734"/>
      <c r="BJ706" s="734"/>
    </row>
    <row r="707">
      <c r="B707" s="740"/>
      <c r="C707" s="869"/>
      <c r="D707" s="734"/>
      <c r="E707" s="734"/>
      <c r="F707" s="740"/>
      <c r="G707" s="734"/>
      <c r="H707" s="734"/>
      <c r="I707" s="777"/>
      <c r="J707" s="740"/>
      <c r="K707" s="734"/>
      <c r="L707" s="734"/>
      <c r="M707" s="734"/>
      <c r="N707" s="734"/>
      <c r="O707" s="734"/>
      <c r="P707" s="734"/>
      <c r="Q707" s="734"/>
      <c r="R707" s="734"/>
      <c r="S707" s="734"/>
      <c r="T707" s="734"/>
      <c r="U707" s="734"/>
      <c r="V707" s="734"/>
      <c r="W707" s="734"/>
      <c r="X707" s="735"/>
      <c r="Y707" s="811"/>
      <c r="Z707" s="811"/>
      <c r="AA707" s="734"/>
      <c r="AB707" s="811"/>
      <c r="AC707" s="740"/>
      <c r="AD707" s="734"/>
      <c r="AE707" s="734"/>
      <c r="AF707" s="734"/>
      <c r="AG707" s="734"/>
      <c r="AH707" s="734"/>
      <c r="AI707" s="734"/>
      <c r="AJ707" s="879"/>
      <c r="AK707" s="734"/>
      <c r="AL707" s="734"/>
      <c r="AM707" s="734"/>
      <c r="AN707" s="734"/>
      <c r="AO707" s="734"/>
      <c r="AP707" s="52"/>
      <c r="AQ707" s="52"/>
      <c r="AR707" s="52"/>
      <c r="AS707" s="52"/>
      <c r="AT707" s="52"/>
      <c r="AU707" s="52"/>
      <c r="AV707" s="52"/>
      <c r="AW707" s="52"/>
      <c r="AX707" s="52"/>
      <c r="AY707" s="52"/>
      <c r="AZ707" s="734"/>
      <c r="BA707" s="740"/>
      <c r="BB707" s="734"/>
      <c r="BC707" s="740"/>
      <c r="BD707" s="734"/>
      <c r="BE707" s="52"/>
      <c r="BF707" s="52"/>
      <c r="BG707" s="734"/>
      <c r="BH707" s="734"/>
      <c r="BI707" s="734"/>
      <c r="BJ707" s="734"/>
    </row>
    <row r="708">
      <c r="B708" s="740"/>
      <c r="C708" s="869"/>
      <c r="D708" s="734"/>
      <c r="E708" s="734"/>
      <c r="F708" s="740"/>
      <c r="G708" s="734"/>
      <c r="H708" s="734"/>
      <c r="I708" s="777"/>
      <c r="J708" s="740"/>
      <c r="K708" s="734"/>
      <c r="L708" s="734"/>
      <c r="M708" s="734"/>
      <c r="N708" s="734"/>
      <c r="O708" s="734"/>
      <c r="P708" s="734"/>
      <c r="Q708" s="734"/>
      <c r="R708" s="734"/>
      <c r="S708" s="734"/>
      <c r="T708" s="734"/>
      <c r="U708" s="734"/>
      <c r="V708" s="734"/>
      <c r="W708" s="734"/>
      <c r="X708" s="735"/>
      <c r="Y708" s="811"/>
      <c r="Z708" s="811"/>
      <c r="AA708" s="734"/>
      <c r="AB708" s="811"/>
      <c r="AC708" s="740"/>
      <c r="AD708" s="734"/>
      <c r="AE708" s="734"/>
      <c r="AF708" s="734"/>
      <c r="AG708" s="734"/>
      <c r="AH708" s="734"/>
      <c r="AI708" s="734"/>
      <c r="AJ708" s="879"/>
      <c r="AK708" s="734"/>
      <c r="AL708" s="734"/>
      <c r="AM708" s="734"/>
      <c r="AN708" s="734"/>
      <c r="AO708" s="734"/>
      <c r="AP708" s="52"/>
      <c r="AQ708" s="52"/>
      <c r="AR708" s="52"/>
      <c r="AS708" s="52"/>
      <c r="AT708" s="52"/>
      <c r="AU708" s="52"/>
      <c r="AV708" s="52"/>
      <c r="AW708" s="52"/>
      <c r="AX708" s="52"/>
      <c r="AY708" s="52"/>
      <c r="AZ708" s="734"/>
      <c r="BA708" s="740"/>
      <c r="BB708" s="734"/>
      <c r="BC708" s="740"/>
      <c r="BD708" s="734"/>
      <c r="BE708" s="52"/>
      <c r="BF708" s="52"/>
      <c r="BG708" s="734"/>
      <c r="BH708" s="734"/>
      <c r="BI708" s="734"/>
      <c r="BJ708" s="734"/>
    </row>
    <row r="709">
      <c r="B709" s="740"/>
      <c r="C709" s="869"/>
      <c r="D709" s="734"/>
      <c r="E709" s="734"/>
      <c r="L709" s="827"/>
      <c r="AJ709" s="827"/>
      <c r="AK709" s="827"/>
      <c r="AL709" s="827"/>
      <c r="AP709" s="52"/>
      <c r="AQ709" s="52"/>
      <c r="AR709" s="52"/>
      <c r="AS709" s="52"/>
      <c r="AT709" s="52"/>
      <c r="AU709" s="52"/>
      <c r="AV709" s="52"/>
      <c r="AW709" s="52"/>
      <c r="AX709" s="52"/>
      <c r="AY709" s="52"/>
      <c r="AZ709" s="734"/>
      <c r="BA709" s="740"/>
      <c r="BB709" s="734"/>
      <c r="BC709" s="740"/>
      <c r="BD709" s="734"/>
      <c r="BE709" s="52"/>
      <c r="BF709" s="52"/>
      <c r="BG709" s="734"/>
      <c r="BH709" s="734"/>
      <c r="BI709" s="734"/>
      <c r="BJ709" s="734"/>
    </row>
  </sheetData>
  <autoFilter ref="$A$3:$AO$345">
    <sortState ref="A3:AO345">
      <sortCondition ref="K3:K345"/>
      <sortCondition ref="L3:L345"/>
      <sortCondition ref="W3:W345"/>
      <sortCondition ref="T3:T345"/>
      <sortCondition ref="AJ3:AJ345"/>
      <sortCondition ref="Q3:Q345"/>
      <sortCondition ref="J3:J345"/>
      <sortCondition ref="N3:N345"/>
      <sortCondition ref="P3:P345"/>
    </sortState>
  </autoFilter>
  <customSheetViews>
    <customSheetView guid="{3EFBF544-F75E-4295-A282-D81F667FBF23}" filter="1" showAutoFilter="1">
      <autoFilter ref="$C$3:$AL$192">
        <sortState ref="C3:AL192">
          <sortCondition ref="AJ3:AJ192"/>
        </sortState>
      </autoFilter>
    </customSheetView>
    <customSheetView guid="{37987122-0908-4F5F-9880-AF64A2EE00B4}" filter="1" showAutoFilter="1">
      <autoFilter ref="$F$3:$AN$192">
        <sortState ref="F3:AN192">
          <sortCondition ref="AJ3:AJ192"/>
        </sortState>
      </autoFilter>
    </customSheetView>
  </customSheetViews>
  <mergeCells count="2">
    <mergeCell ref="G1:H1"/>
    <mergeCell ref="G2:H2"/>
  </mergeCells>
  <conditionalFormatting sqref="D316:F316">
    <cfRule type="expression" dxfId="11" priority="1">
      <formula>ISNA(MATCH(TRIM(LOWER(CLEAN(#REF!))), $AK$2:$AK$445, 0))</formula>
    </cfRule>
  </conditionalFormatting>
  <conditionalFormatting sqref="G2 AV23 F379">
    <cfRule type="cellIs" dxfId="11" priority="2" operator="lessThan">
      <formula>1998</formula>
    </cfRule>
  </conditionalFormatting>
  <conditionalFormatting sqref="C1:E1 AB1 AU1">
    <cfRule type="notContainsBlanks" dxfId="5" priority="3">
      <formula>LEN(TRIM(C1))&gt;0</formula>
    </cfRule>
  </conditionalFormatting>
  <conditionalFormatting sqref="BG17">
    <cfRule type="notContainsBlanks" dxfId="5" priority="4">
      <formula>LEN(TRIM(BG17))&gt;0</formula>
    </cfRule>
  </conditionalFormatting>
  <conditionalFormatting sqref="C1:C2 F1:F2 B2 I4:I376 AV11 AV26:AV27 F321 F374:F379 I378:I709 F381:F383">
    <cfRule type="cellIs" dxfId="12" priority="5" operator="equal">
      <formula>"BW"</formula>
    </cfRule>
  </conditionalFormatting>
  <conditionalFormatting sqref="I4:I376 F376:F377 I378:I469 F381:F383">
    <cfRule type="cellIs" dxfId="12" priority="6" operator="equal">
      <formula>"Helios"</formula>
    </cfRule>
  </conditionalFormatting>
  <conditionalFormatting sqref="I4:I376 F376:F377 I378:I469 F381:F383">
    <cfRule type="cellIs" dxfId="12" priority="7" operator="equal">
      <formula>"Neptune"</formula>
    </cfRule>
  </conditionalFormatting>
  <conditionalFormatting sqref="I4:I376 F376:F377 I378:I469 F381:F383">
    <cfRule type="cellIs" dxfId="12" priority="8" operator="equal">
      <formula>"Sinogas"</formula>
    </cfRule>
  </conditionalFormatting>
  <conditionalFormatting sqref="C1:C2 F1:F2 B2 I4:I376 AV11 AV26:AV27 F321 F374:F379 I378:I709 F381:F383">
    <cfRule type="cellIs" dxfId="12" priority="9" operator="equal">
      <formula>"Raffles"</formula>
    </cfRule>
  </conditionalFormatting>
  <conditionalFormatting sqref="B1 J2 J4:J709 L327:M345 O327:U345 V327:V337 W327:X345 F377:F378">
    <cfRule type="cellIs" dxfId="13" priority="10" operator="equal">
      <formula>"loads USG"</formula>
    </cfRule>
  </conditionalFormatting>
  <conditionalFormatting sqref="B1 J2 J4:J709 L327:M345 O327:U345 V327:V337 W327:X345 F377:F378">
    <cfRule type="cellIs" dxfId="14" priority="11" operator="equal">
      <formula>"loads WAF"</formula>
    </cfRule>
  </conditionalFormatting>
  <conditionalFormatting sqref="B1 J2 J4:J709 L327:M345 O327:U345 V327:V337 W327:X345 F377:F378">
    <cfRule type="cellIs" dxfId="13" priority="12" operator="equal">
      <formula>"loads Bethioua"</formula>
    </cfRule>
  </conditionalFormatting>
  <conditionalFormatting sqref="B1 J2 J4:J709 L327:M345 O327:U345 V327:V337 W327:X345 F377:F378">
    <cfRule type="cellIs" dxfId="13" priority="13" operator="equal">
      <formula>"loads AG"</formula>
    </cfRule>
  </conditionalFormatting>
  <conditionalFormatting sqref="B1 J2 J4:J709 L327:M345 O327:U345 V327:V337 W327:X345 F377:F378">
    <cfRule type="cellIs" dxfId="13" priority="14" operator="equal">
      <formula>"loads MH"</formula>
    </cfRule>
  </conditionalFormatting>
  <conditionalFormatting sqref="B4:C508">
    <cfRule type="cellIs" dxfId="10" priority="15" operator="equal">
      <formula>"C"</formula>
    </cfRule>
  </conditionalFormatting>
  <conditionalFormatting sqref="C4:C709">
    <cfRule type="cellIs" dxfId="9" priority="16" operator="equal">
      <formula>"US"</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33.86"/>
    <col customWidth="1" min="2" max="2" width="22.71"/>
    <col customWidth="1" min="3" max="5" width="8.71"/>
    <col customWidth="1" min="6" max="6" width="32.29"/>
    <col customWidth="1" min="7" max="7" width="65.29"/>
    <col customWidth="1" min="8" max="8" width="8.86"/>
    <col customWidth="1" min="9" max="11" width="8.71"/>
    <col customWidth="1" min="12" max="12" width="14.14"/>
    <col customWidth="1" min="13" max="13" width="22.43"/>
    <col customWidth="1" min="14" max="14" width="8.71"/>
    <col customWidth="1" min="15" max="15" width="13.71"/>
    <col customWidth="1" min="16" max="16" width="21.14"/>
    <col customWidth="1" min="17" max="17" width="8.86"/>
    <col customWidth="1" min="18" max="18" width="8.71"/>
    <col customWidth="1" min="19" max="19" width="14.29"/>
    <col customWidth="1" min="20" max="21" width="8.71"/>
    <col customWidth="1" min="22" max="22" width="11.29"/>
    <col customWidth="1" min="23" max="25" width="8.71"/>
    <col customWidth="1" min="26" max="26" width="13.86"/>
  </cols>
  <sheetData>
    <row r="1">
      <c r="A1" s="882"/>
      <c r="B1" s="883"/>
      <c r="C1" s="884"/>
      <c r="D1" s="3"/>
      <c r="E1" s="885"/>
      <c r="F1" s="3"/>
      <c r="G1" s="3"/>
      <c r="H1" s="886"/>
      <c r="I1" s="3"/>
      <c r="J1" s="885"/>
      <c r="K1" s="885"/>
      <c r="L1" s="10"/>
      <c r="M1" s="885"/>
      <c r="N1" s="887"/>
      <c r="O1" s="50"/>
      <c r="P1" s="885"/>
      <c r="Q1" s="885"/>
      <c r="R1" s="10"/>
      <c r="S1" s="3"/>
      <c r="T1" s="885"/>
      <c r="U1" s="885"/>
      <c r="V1" s="3"/>
      <c r="W1" s="885"/>
      <c r="X1" s="885"/>
      <c r="Y1" s="885"/>
      <c r="Z1" s="885"/>
    </row>
    <row r="2">
      <c r="A2" s="882" t="s">
        <v>1632</v>
      </c>
      <c r="B2" s="883"/>
      <c r="C2" s="884"/>
      <c r="D2" s="3"/>
      <c r="E2" s="885"/>
      <c r="F2" s="3"/>
      <c r="G2" s="3"/>
      <c r="H2" s="886"/>
      <c r="I2" s="3"/>
      <c r="J2" s="885"/>
      <c r="K2" s="885"/>
      <c r="L2" s="10" t="s">
        <v>1633</v>
      </c>
      <c r="M2" s="885"/>
      <c r="N2" s="887"/>
      <c r="O2" s="50"/>
      <c r="P2" s="885"/>
      <c r="Q2" s="885"/>
      <c r="R2" s="10" t="s">
        <v>1634</v>
      </c>
      <c r="S2" s="3"/>
      <c r="T2" s="885"/>
      <c r="U2" s="885"/>
      <c r="V2" s="3"/>
      <c r="W2" s="885"/>
      <c r="X2" s="885"/>
      <c r="Y2" s="885"/>
      <c r="Z2" s="885"/>
    </row>
    <row r="3">
      <c r="A3" s="3"/>
      <c r="B3" s="3"/>
      <c r="C3" s="884"/>
      <c r="D3" s="3"/>
      <c r="E3" s="885"/>
      <c r="F3" s="3" t="s">
        <v>1635</v>
      </c>
      <c r="G3" s="3"/>
      <c r="H3" s="886"/>
      <c r="I3" s="3"/>
      <c r="J3" s="885"/>
      <c r="K3" s="885"/>
      <c r="L3" s="884" t="s">
        <v>1636</v>
      </c>
      <c r="M3" s="883" t="s">
        <v>1637</v>
      </c>
      <c r="N3" s="887"/>
      <c r="O3" s="50"/>
      <c r="P3" s="885"/>
      <c r="Q3" s="885"/>
      <c r="R3" s="3"/>
      <c r="S3" s="884"/>
      <c r="T3" s="885"/>
      <c r="U3" s="885"/>
      <c r="V3" s="3"/>
      <c r="W3" s="885"/>
      <c r="X3" s="885"/>
      <c r="Y3" s="885"/>
      <c r="Z3" s="885"/>
    </row>
    <row r="4">
      <c r="A4" s="888" t="s">
        <v>1638</v>
      </c>
      <c r="B4" s="884"/>
      <c r="C4" s="884"/>
      <c r="D4" s="3"/>
      <c r="E4" s="885"/>
      <c r="F4" s="3" t="s">
        <v>1639</v>
      </c>
      <c r="G4" s="3"/>
      <c r="H4" s="886"/>
      <c r="I4" s="3"/>
      <c r="J4" s="889"/>
      <c r="K4" s="885"/>
      <c r="L4" s="3" t="s">
        <v>108</v>
      </c>
      <c r="M4" s="883" t="s">
        <v>1637</v>
      </c>
      <c r="N4" s="887"/>
      <c r="O4" s="885"/>
      <c r="P4" s="10"/>
      <c r="Q4" s="885"/>
      <c r="R4" s="3"/>
      <c r="S4" s="884"/>
      <c r="T4" s="885"/>
      <c r="U4" s="885"/>
      <c r="V4" s="3"/>
      <c r="W4" s="885"/>
      <c r="X4" s="885"/>
      <c r="Y4" s="885"/>
      <c r="Z4" s="10"/>
    </row>
    <row r="5">
      <c r="A5" s="3"/>
      <c r="B5" s="884"/>
      <c r="C5" s="884"/>
      <c r="D5" s="3"/>
      <c r="E5" s="885"/>
      <c r="F5" s="3" t="s">
        <v>1640</v>
      </c>
      <c r="G5" s="3"/>
      <c r="H5" s="886"/>
      <c r="I5" s="3"/>
      <c r="J5" s="890"/>
      <c r="K5" s="885"/>
      <c r="L5" s="3" t="s">
        <v>1641</v>
      </c>
      <c r="M5" s="885"/>
      <c r="N5" s="887"/>
      <c r="O5" s="885"/>
      <c r="P5" s="885"/>
      <c r="Q5" s="885"/>
      <c r="R5" s="3"/>
      <c r="S5" s="884"/>
      <c r="T5" s="885"/>
      <c r="U5" s="885"/>
      <c r="V5" s="3"/>
      <c r="W5" s="885"/>
      <c r="X5" s="885"/>
      <c r="Y5" s="885"/>
      <c r="Z5" s="885"/>
    </row>
    <row r="6">
      <c r="A6" s="3" t="s">
        <v>1642</v>
      </c>
      <c r="B6" s="884" t="s">
        <v>1265</v>
      </c>
      <c r="C6" s="884"/>
      <c r="D6" s="3"/>
      <c r="E6" s="885"/>
      <c r="F6" s="3" t="s">
        <v>758</v>
      </c>
      <c r="G6" s="3"/>
      <c r="H6" s="886"/>
      <c r="I6" s="3"/>
      <c r="J6" s="885"/>
      <c r="K6" s="885"/>
      <c r="L6" s="3" t="s">
        <v>1643</v>
      </c>
      <c r="M6" s="885"/>
      <c r="N6" s="887"/>
      <c r="O6" s="885"/>
      <c r="P6" s="885"/>
      <c r="Q6" s="885"/>
      <c r="R6" s="3"/>
      <c r="S6" s="884"/>
      <c r="T6" s="885"/>
      <c r="U6" s="885"/>
      <c r="V6" s="3"/>
      <c r="W6" s="885"/>
      <c r="X6" s="885"/>
      <c r="Y6" s="885"/>
      <c r="Z6" s="885"/>
    </row>
    <row r="7">
      <c r="A7" s="3" t="s">
        <v>1644</v>
      </c>
      <c r="B7" s="884" t="s">
        <v>1265</v>
      </c>
      <c r="C7" s="884"/>
      <c r="D7" s="3"/>
      <c r="E7" s="885"/>
      <c r="F7" s="3" t="s">
        <v>1645</v>
      </c>
      <c r="G7" s="3"/>
      <c r="H7" s="886"/>
      <c r="I7" s="3"/>
      <c r="J7" s="885"/>
      <c r="K7" s="885"/>
      <c r="L7" s="884" t="s">
        <v>1646</v>
      </c>
      <c r="M7" s="883" t="s">
        <v>1647</v>
      </c>
      <c r="N7" s="887"/>
      <c r="O7" s="885"/>
      <c r="P7" s="885"/>
      <c r="Q7" s="885"/>
      <c r="R7" s="3"/>
      <c r="S7" s="884"/>
      <c r="T7" s="885"/>
      <c r="U7" s="885"/>
      <c r="V7" s="3"/>
      <c r="W7" s="885"/>
      <c r="X7" s="885"/>
      <c r="Y7" s="885"/>
      <c r="Z7" s="885"/>
    </row>
    <row r="8">
      <c r="A8" s="3" t="s">
        <v>1648</v>
      </c>
      <c r="B8" s="884" t="s">
        <v>1265</v>
      </c>
      <c r="C8" s="884"/>
      <c r="D8" s="3"/>
      <c r="E8" s="885"/>
      <c r="F8" s="3" t="s">
        <v>823</v>
      </c>
      <c r="G8" s="3"/>
      <c r="H8" s="886"/>
      <c r="I8" s="3"/>
      <c r="J8" s="885"/>
      <c r="K8" s="885"/>
      <c r="L8" s="884" t="s">
        <v>1649</v>
      </c>
      <c r="M8" s="883" t="s">
        <v>1647</v>
      </c>
      <c r="N8" s="887"/>
      <c r="O8" s="885"/>
      <c r="P8" s="885"/>
      <c r="Q8" s="885"/>
      <c r="R8" s="3"/>
      <c r="S8" s="884"/>
      <c r="T8" s="885"/>
      <c r="U8" s="885"/>
      <c r="V8" s="3"/>
      <c r="W8" s="885"/>
      <c r="X8" s="885"/>
      <c r="Y8" s="885"/>
      <c r="Z8" s="885"/>
    </row>
    <row r="9">
      <c r="A9" s="3" t="s">
        <v>1650</v>
      </c>
      <c r="B9" s="884" t="s">
        <v>1265</v>
      </c>
      <c r="C9" s="884"/>
      <c r="D9" s="3"/>
      <c r="E9" s="885"/>
      <c r="F9" s="3" t="s">
        <v>1651</v>
      </c>
      <c r="G9" s="3"/>
      <c r="H9" s="886"/>
      <c r="I9" s="3"/>
      <c r="J9" s="885"/>
      <c r="K9" s="885"/>
      <c r="M9" s="885"/>
      <c r="N9" s="887"/>
      <c r="O9" s="885"/>
      <c r="P9" s="885"/>
      <c r="Q9" s="885"/>
      <c r="R9" s="3"/>
      <c r="S9" s="884"/>
      <c r="T9" s="885"/>
      <c r="U9" s="885"/>
      <c r="V9" s="10" t="s">
        <v>1652</v>
      </c>
      <c r="W9" s="885"/>
      <c r="X9" s="885"/>
      <c r="Y9" s="885"/>
      <c r="Z9" s="885"/>
    </row>
    <row r="10">
      <c r="A10" s="3" t="s">
        <v>52</v>
      </c>
      <c r="B10" s="884" t="s">
        <v>1265</v>
      </c>
      <c r="C10" s="884"/>
      <c r="D10" s="3"/>
      <c r="E10" s="885"/>
      <c r="F10" s="3" t="s">
        <v>1653</v>
      </c>
      <c r="G10" s="3"/>
      <c r="H10" s="886"/>
      <c r="I10" s="3"/>
      <c r="J10" s="885"/>
      <c r="K10" s="885"/>
      <c r="N10" s="887"/>
      <c r="O10" s="885"/>
      <c r="P10" s="885"/>
      <c r="Q10" s="885"/>
      <c r="R10" s="3"/>
      <c r="S10" s="3"/>
      <c r="T10" s="885"/>
      <c r="U10" s="885"/>
      <c r="V10" s="3" t="s">
        <v>709</v>
      </c>
      <c r="W10" s="885"/>
      <c r="X10" s="885"/>
      <c r="Y10" s="885"/>
      <c r="Z10" s="885"/>
    </row>
    <row r="11">
      <c r="A11" s="3" t="s">
        <v>38</v>
      </c>
      <c r="B11" s="884" t="s">
        <v>1265</v>
      </c>
      <c r="C11" s="884"/>
      <c r="D11" s="3"/>
      <c r="E11" s="885"/>
      <c r="F11" s="3" t="s">
        <v>1654</v>
      </c>
      <c r="G11" s="3"/>
      <c r="H11" s="886"/>
      <c r="I11" s="3"/>
      <c r="J11" s="885"/>
      <c r="K11" s="885"/>
      <c r="L11" s="885"/>
      <c r="M11" s="885"/>
      <c r="N11" s="887"/>
      <c r="O11" s="885"/>
      <c r="P11" s="885"/>
      <c r="Q11" s="885"/>
      <c r="R11" s="3"/>
      <c r="S11" s="3"/>
      <c r="T11" s="885"/>
      <c r="U11" s="885"/>
      <c r="V11" s="3" t="s">
        <v>1314</v>
      </c>
      <c r="W11" s="885"/>
      <c r="X11" s="885"/>
      <c r="Y11" s="885"/>
      <c r="Z11" s="885"/>
    </row>
    <row r="12">
      <c r="A12" s="3" t="s">
        <v>1655</v>
      </c>
      <c r="B12" s="884" t="s">
        <v>1265</v>
      </c>
      <c r="C12" s="884"/>
      <c r="D12" s="3"/>
      <c r="E12" s="885"/>
      <c r="F12" s="884"/>
      <c r="G12" s="3"/>
      <c r="H12" s="886"/>
      <c r="I12" s="3"/>
      <c r="J12" s="885"/>
      <c r="K12" s="885"/>
      <c r="L12" s="885"/>
      <c r="M12" s="885"/>
      <c r="N12" s="887"/>
      <c r="O12" s="885"/>
      <c r="P12" s="885"/>
      <c r="Q12" s="885"/>
      <c r="R12" s="3"/>
      <c r="S12" s="3"/>
      <c r="T12" s="885"/>
      <c r="U12" s="885"/>
      <c r="V12" s="884" t="s">
        <v>699</v>
      </c>
      <c r="W12" s="885"/>
      <c r="X12" s="885"/>
      <c r="Y12" s="885"/>
      <c r="Z12" s="885"/>
    </row>
    <row r="13">
      <c r="A13" s="884" t="s">
        <v>1656</v>
      </c>
      <c r="B13" s="884" t="s">
        <v>1657</v>
      </c>
      <c r="C13" s="884"/>
      <c r="D13" s="3"/>
      <c r="E13" s="885"/>
      <c r="F13" s="885"/>
      <c r="G13" s="885"/>
      <c r="H13" s="886"/>
      <c r="I13" s="3"/>
      <c r="J13" s="885"/>
      <c r="K13" s="885"/>
      <c r="L13" s="891" t="s">
        <v>1658</v>
      </c>
      <c r="M13" s="10"/>
      <c r="N13" s="892"/>
      <c r="O13" s="3"/>
      <c r="P13" s="885"/>
      <c r="Q13" s="885"/>
      <c r="R13" s="3"/>
      <c r="S13" s="3"/>
      <c r="T13" s="885"/>
      <c r="U13" s="885"/>
      <c r="V13" s="3" t="s">
        <v>689</v>
      </c>
      <c r="W13" s="885"/>
      <c r="X13" s="885"/>
      <c r="Y13" s="885"/>
      <c r="Z13" s="885"/>
    </row>
    <row r="14">
      <c r="A14" s="884" t="s">
        <v>1659</v>
      </c>
      <c r="B14" s="3" t="s">
        <v>1660</v>
      </c>
      <c r="C14" s="884"/>
      <c r="D14" s="3"/>
      <c r="E14" s="885"/>
      <c r="F14" s="3"/>
      <c r="H14" s="886"/>
      <c r="I14" s="3"/>
      <c r="J14" s="885"/>
      <c r="K14" s="885"/>
      <c r="L14" s="3"/>
      <c r="M14" s="10"/>
      <c r="N14" s="892"/>
      <c r="O14" s="3"/>
      <c r="P14" s="885"/>
      <c r="Q14" s="885"/>
      <c r="R14" s="3"/>
      <c r="S14" s="3"/>
      <c r="T14" s="885"/>
      <c r="U14" s="885"/>
      <c r="V14" s="10" t="s">
        <v>101</v>
      </c>
      <c r="W14" s="885"/>
      <c r="X14" s="885"/>
      <c r="Y14" s="885"/>
      <c r="Z14" s="885"/>
    </row>
    <row r="15">
      <c r="A15" s="3" t="s">
        <v>127</v>
      </c>
      <c r="B15" s="884" t="s">
        <v>1265</v>
      </c>
      <c r="C15" s="884"/>
      <c r="D15" s="3"/>
      <c r="E15" s="893" t="s">
        <v>1661</v>
      </c>
      <c r="H15" s="894"/>
      <c r="J15" s="885"/>
      <c r="K15" s="885"/>
      <c r="L15" s="895" t="s">
        <v>1662</v>
      </c>
      <c r="M15" s="10"/>
      <c r="N15" s="892"/>
      <c r="O15" s="895" t="s">
        <v>1663</v>
      </c>
      <c r="P15" s="885"/>
      <c r="Q15" s="885"/>
      <c r="R15" s="3"/>
      <c r="S15" s="3"/>
      <c r="T15" s="885"/>
      <c r="U15" s="885"/>
      <c r="V15" s="3"/>
      <c r="W15" s="885"/>
      <c r="X15" s="885"/>
      <c r="Y15" s="885"/>
      <c r="Z15" s="885"/>
    </row>
    <row r="16">
      <c r="A16" s="3" t="s">
        <v>551</v>
      </c>
      <c r="B16" s="884" t="s">
        <v>1265</v>
      </c>
      <c r="C16" s="884"/>
      <c r="D16" s="3"/>
      <c r="E16" s="885"/>
      <c r="F16" s="896"/>
      <c r="H16" s="897"/>
      <c r="J16" s="885"/>
      <c r="K16" s="885"/>
      <c r="L16" s="895" t="s">
        <v>1664</v>
      </c>
      <c r="M16" s="10"/>
      <c r="N16" s="892"/>
      <c r="O16" s="895" t="s">
        <v>1665</v>
      </c>
      <c r="P16" s="885"/>
      <c r="Q16" s="885"/>
      <c r="R16" s="3"/>
      <c r="S16" s="3"/>
      <c r="T16" s="885"/>
      <c r="U16" s="885"/>
      <c r="V16" s="3"/>
      <c r="W16" s="885"/>
      <c r="X16" s="885"/>
      <c r="Y16" s="885"/>
      <c r="Z16" s="885"/>
    </row>
    <row r="17">
      <c r="A17" s="3" t="s">
        <v>680</v>
      </c>
      <c r="B17" s="884" t="s">
        <v>1265</v>
      </c>
      <c r="C17" s="884"/>
      <c r="D17" s="3"/>
      <c r="E17" s="885"/>
      <c r="F17" s="898" t="s">
        <v>1666</v>
      </c>
      <c r="H17" s="897"/>
      <c r="I17" s="725" t="s">
        <v>1667</v>
      </c>
      <c r="J17" s="885"/>
      <c r="K17" s="885"/>
      <c r="L17" s="895" t="s">
        <v>1668</v>
      </c>
      <c r="M17" s="10"/>
      <c r="N17" s="892"/>
      <c r="O17" s="895" t="s">
        <v>1669</v>
      </c>
      <c r="P17" s="885"/>
      <c r="Q17" s="885"/>
      <c r="R17" s="3"/>
      <c r="S17" s="3"/>
      <c r="T17" s="885"/>
      <c r="U17" s="885"/>
      <c r="V17" s="3"/>
      <c r="W17" s="885"/>
      <c r="X17" s="885"/>
      <c r="Y17" s="885"/>
      <c r="Z17" s="885"/>
    </row>
    <row r="18">
      <c r="A18" s="3" t="s">
        <v>1670</v>
      </c>
      <c r="B18" s="884" t="s">
        <v>1265</v>
      </c>
      <c r="C18" s="884"/>
      <c r="D18" s="3"/>
      <c r="E18" s="885"/>
      <c r="F18" s="899" t="s">
        <v>1671</v>
      </c>
      <c r="H18" s="897">
        <v>26.0</v>
      </c>
      <c r="J18" s="885"/>
      <c r="K18" s="885"/>
      <c r="L18" s="895" t="s">
        <v>1672</v>
      </c>
      <c r="M18" s="10"/>
      <c r="N18" s="892"/>
      <c r="O18" s="3"/>
      <c r="P18" s="885"/>
      <c r="Q18" s="885"/>
      <c r="R18" s="3"/>
      <c r="S18" s="3"/>
      <c r="T18" s="885"/>
      <c r="U18" s="885"/>
      <c r="V18" s="3"/>
      <c r="W18" s="885"/>
      <c r="X18" s="885"/>
      <c r="Y18" s="885"/>
      <c r="Z18" s="885"/>
    </row>
    <row r="19">
      <c r="A19" s="895" t="s">
        <v>1673</v>
      </c>
      <c r="B19" s="883" t="s">
        <v>1265</v>
      </c>
      <c r="C19" s="884"/>
      <c r="D19" s="3"/>
      <c r="F19" s="725" t="s">
        <v>1674</v>
      </c>
      <c r="H19" s="897">
        <v>24.0</v>
      </c>
      <c r="J19" s="885"/>
      <c r="K19" s="885"/>
      <c r="L19" s="885"/>
      <c r="M19" s="885"/>
      <c r="N19" s="887"/>
      <c r="O19" s="885"/>
      <c r="P19" s="885"/>
      <c r="Q19" s="885"/>
      <c r="R19" s="3"/>
      <c r="S19" s="3"/>
      <c r="T19" s="885"/>
      <c r="U19" s="885"/>
      <c r="V19" s="3"/>
      <c r="W19" s="885"/>
      <c r="X19" s="885"/>
      <c r="Y19" s="885"/>
      <c r="Z19" s="885"/>
    </row>
    <row r="20">
      <c r="A20" s="3" t="s">
        <v>1675</v>
      </c>
      <c r="B20" s="883" t="s">
        <v>1265</v>
      </c>
      <c r="C20" s="884"/>
      <c r="D20" s="3"/>
      <c r="E20" s="885"/>
      <c r="F20" s="898" t="s">
        <v>1676</v>
      </c>
      <c r="H20" s="897">
        <v>13.0</v>
      </c>
      <c r="J20" s="885"/>
      <c r="K20" s="885"/>
      <c r="L20" s="885"/>
      <c r="M20" s="885"/>
      <c r="N20" s="887"/>
      <c r="O20" s="885"/>
      <c r="P20" s="885"/>
      <c r="Q20" s="885"/>
      <c r="R20" s="3"/>
      <c r="S20" s="3"/>
      <c r="T20" s="885"/>
      <c r="U20" s="885"/>
      <c r="V20" s="3"/>
      <c r="W20" s="885"/>
      <c r="X20" s="885"/>
      <c r="Y20" s="885"/>
      <c r="Z20" s="885"/>
    </row>
    <row r="21">
      <c r="B21" s="884"/>
      <c r="C21" s="884"/>
      <c r="D21" s="3"/>
      <c r="E21" s="885"/>
      <c r="F21" s="898"/>
      <c r="H21" s="897"/>
      <c r="I21" s="3"/>
      <c r="J21" s="885"/>
      <c r="K21" s="885"/>
      <c r="L21" s="885"/>
      <c r="M21" s="885"/>
      <c r="N21" s="887"/>
      <c r="O21" s="885"/>
      <c r="P21" s="885"/>
      <c r="Q21" s="885"/>
      <c r="R21" s="3"/>
      <c r="S21" s="3"/>
      <c r="T21" s="885"/>
      <c r="U21" s="885"/>
      <c r="V21" s="3"/>
      <c r="W21" s="885"/>
      <c r="X21" s="885"/>
      <c r="Y21" s="885"/>
      <c r="Z21" s="885"/>
    </row>
    <row r="22">
      <c r="B22" s="884"/>
      <c r="C22" s="884"/>
      <c r="D22" s="3"/>
      <c r="E22" s="885"/>
      <c r="F22" s="899" t="s">
        <v>1677</v>
      </c>
      <c r="G22" s="10"/>
      <c r="H22" s="900">
        <v>12.0</v>
      </c>
      <c r="I22" s="3"/>
      <c r="J22" s="885"/>
      <c r="K22" s="885"/>
      <c r="L22" s="885"/>
      <c r="M22" s="885"/>
      <c r="N22" s="887"/>
      <c r="O22" s="885"/>
      <c r="P22" s="885"/>
      <c r="Q22" s="885"/>
      <c r="R22" s="3"/>
      <c r="S22" s="3"/>
      <c r="T22" s="885"/>
      <c r="U22" s="885"/>
      <c r="V22" s="3"/>
      <c r="W22" s="885"/>
      <c r="X22" s="885"/>
      <c r="Y22" s="885"/>
      <c r="Z22" s="885"/>
    </row>
    <row r="23">
      <c r="A23" s="901" t="s">
        <v>1678</v>
      </c>
      <c r="B23" s="883" t="s">
        <v>668</v>
      </c>
      <c r="C23" s="884"/>
      <c r="D23" s="3"/>
      <c r="E23" s="885"/>
      <c r="F23" s="899" t="s">
        <v>1679</v>
      </c>
      <c r="G23" s="10"/>
      <c r="H23" s="900">
        <v>27.833</v>
      </c>
      <c r="I23" s="3"/>
      <c r="J23" s="885"/>
      <c r="K23" s="885"/>
      <c r="L23" s="885"/>
      <c r="M23" s="885"/>
      <c r="N23" s="887"/>
      <c r="O23" s="885"/>
      <c r="P23" s="885"/>
      <c r="Q23" s="885"/>
      <c r="R23" s="3"/>
      <c r="S23" s="3"/>
      <c r="T23" s="885"/>
      <c r="U23" s="885"/>
      <c r="V23" s="3"/>
      <c r="W23" s="885"/>
      <c r="X23" s="885"/>
      <c r="Y23" s="885"/>
      <c r="Z23" s="885"/>
    </row>
    <row r="24">
      <c r="A24" s="3"/>
      <c r="B24" s="884"/>
      <c r="C24" s="884"/>
      <c r="D24" s="3"/>
      <c r="E24" s="885"/>
      <c r="F24" s="902" t="s">
        <v>1680</v>
      </c>
      <c r="G24" s="10"/>
      <c r="H24" s="900">
        <v>10.0</v>
      </c>
      <c r="I24" s="895" t="s">
        <v>1681</v>
      </c>
      <c r="J24" s="885"/>
      <c r="K24" s="885"/>
      <c r="L24" s="885"/>
      <c r="M24" s="885"/>
      <c r="N24" s="887"/>
      <c r="O24" s="885"/>
      <c r="P24" s="885"/>
      <c r="Q24" s="885"/>
      <c r="R24" s="3"/>
      <c r="S24" s="3"/>
      <c r="T24" s="885"/>
      <c r="U24" s="885"/>
      <c r="V24" s="3"/>
      <c r="W24" s="885"/>
      <c r="X24" s="885"/>
      <c r="Y24" s="885"/>
      <c r="Z24" s="885"/>
    </row>
    <row r="25" ht="15.75" customHeight="1">
      <c r="A25" s="3"/>
      <c r="B25" s="884"/>
      <c r="C25" s="884"/>
      <c r="D25" s="3"/>
      <c r="E25" s="885"/>
      <c r="F25" s="725" t="s">
        <v>1682</v>
      </c>
      <c r="G25" s="10"/>
      <c r="H25" s="900">
        <v>28.0</v>
      </c>
      <c r="I25" s="3"/>
      <c r="J25" s="885"/>
      <c r="K25" s="885"/>
      <c r="L25" s="885"/>
      <c r="M25" s="885"/>
      <c r="N25" s="887"/>
      <c r="O25" s="885"/>
      <c r="P25" s="885"/>
      <c r="Q25" s="885"/>
      <c r="R25" s="3"/>
      <c r="S25" s="3"/>
      <c r="T25" s="885"/>
      <c r="U25" s="885"/>
      <c r="V25" s="3"/>
      <c r="W25" s="885"/>
      <c r="X25" s="885"/>
      <c r="Y25" s="885"/>
      <c r="Z25" s="885"/>
    </row>
    <row r="26" ht="15.75" customHeight="1">
      <c r="A26" s="3"/>
      <c r="B26" s="884"/>
      <c r="C26" s="884"/>
      <c r="D26" s="3"/>
      <c r="E26" s="885"/>
      <c r="F26" s="898" t="s">
        <v>1683</v>
      </c>
      <c r="G26" s="10"/>
      <c r="H26" s="900">
        <v>21.0</v>
      </c>
      <c r="K26" s="885"/>
      <c r="L26" s="885"/>
      <c r="M26" s="885"/>
      <c r="N26" s="887"/>
      <c r="O26" s="885"/>
      <c r="P26" s="885"/>
      <c r="Q26" s="885"/>
      <c r="R26" s="3"/>
      <c r="S26" s="3"/>
      <c r="T26" s="885"/>
      <c r="U26" s="885"/>
      <c r="V26" s="3"/>
      <c r="W26" s="885"/>
      <c r="X26" s="885"/>
      <c r="Y26" s="885"/>
      <c r="Z26" s="885"/>
    </row>
    <row r="27" ht="15.75" customHeight="1">
      <c r="A27" s="3"/>
      <c r="B27" s="884"/>
      <c r="C27" s="884"/>
      <c r="D27" s="3"/>
      <c r="K27" s="885"/>
      <c r="L27" s="885"/>
      <c r="M27" s="885"/>
      <c r="N27" s="887"/>
      <c r="O27" s="885"/>
      <c r="P27" s="885"/>
      <c r="Q27" s="885"/>
      <c r="R27" s="3"/>
      <c r="S27" s="3"/>
      <c r="T27" s="885"/>
      <c r="U27" s="885"/>
      <c r="V27" s="3"/>
      <c r="W27" s="885"/>
      <c r="X27" s="885"/>
      <c r="Y27" s="885"/>
      <c r="Z27" s="885"/>
    </row>
    <row r="28" ht="15.75" customHeight="1">
      <c r="A28" s="3"/>
      <c r="B28" s="884"/>
      <c r="C28" s="884"/>
      <c r="D28" s="3"/>
      <c r="E28" s="883"/>
      <c r="F28" s="3"/>
      <c r="G28" s="903"/>
      <c r="H28" s="886"/>
      <c r="I28" s="3"/>
      <c r="J28" s="885"/>
      <c r="K28" s="885"/>
      <c r="L28" s="885"/>
      <c r="M28" s="885"/>
      <c r="N28" s="887"/>
      <c r="O28" s="885"/>
      <c r="P28" s="885"/>
      <c r="Q28" s="885"/>
      <c r="R28" s="3"/>
      <c r="S28" s="3"/>
      <c r="T28" s="885"/>
      <c r="U28" s="885"/>
      <c r="V28" s="3"/>
      <c r="W28" s="885"/>
      <c r="X28" s="885"/>
      <c r="Y28" s="885"/>
      <c r="Z28" s="885"/>
    </row>
    <row r="29" ht="15.75" customHeight="1">
      <c r="A29" s="3"/>
      <c r="B29" s="884"/>
      <c r="C29" s="884"/>
      <c r="D29" s="3"/>
      <c r="E29" s="885"/>
      <c r="F29" s="3"/>
      <c r="G29" s="904"/>
      <c r="H29" s="905"/>
      <c r="I29" s="906"/>
      <c r="J29" s="904"/>
      <c r="K29" s="907"/>
      <c r="L29" s="885"/>
      <c r="M29" s="885"/>
      <c r="N29" s="887"/>
      <c r="O29" s="885"/>
      <c r="P29" s="885"/>
      <c r="Q29" s="885"/>
      <c r="R29" s="3"/>
      <c r="S29" s="3"/>
      <c r="T29" s="885"/>
      <c r="U29" s="885"/>
      <c r="V29" s="3"/>
      <c r="W29" s="885"/>
      <c r="X29" s="885"/>
      <c r="Y29" s="885"/>
      <c r="Z29" s="885"/>
    </row>
    <row r="30" ht="15.75" customHeight="1">
      <c r="A30" s="3"/>
      <c r="B30" s="884"/>
      <c r="C30" s="884"/>
      <c r="D30" s="3"/>
      <c r="E30" s="885"/>
      <c r="F30" s="3"/>
      <c r="G30" s="10"/>
      <c r="H30" s="886"/>
      <c r="I30" s="3"/>
      <c r="J30" s="885"/>
      <c r="K30" s="885"/>
      <c r="L30" s="885"/>
      <c r="M30" s="885"/>
      <c r="N30" s="887"/>
      <c r="O30" s="885"/>
      <c r="P30" s="885"/>
      <c r="Q30" s="885"/>
      <c r="R30" s="3"/>
      <c r="S30" s="3"/>
      <c r="T30" s="885"/>
      <c r="U30" s="885"/>
      <c r="V30" s="3"/>
      <c r="W30" s="885"/>
      <c r="X30" s="885"/>
      <c r="Y30" s="885"/>
      <c r="Z30" s="885"/>
    </row>
    <row r="31" ht="15.75" customHeight="1">
      <c r="A31" s="3"/>
      <c r="B31" s="884"/>
      <c r="C31" s="884"/>
      <c r="D31" s="3"/>
      <c r="E31" s="885"/>
      <c r="F31" s="3"/>
      <c r="H31" s="886"/>
      <c r="K31" s="885"/>
      <c r="L31" s="908" t="s">
        <v>1684</v>
      </c>
      <c r="M31" s="909"/>
      <c r="N31" s="887"/>
      <c r="O31" s="883" t="s">
        <v>1685</v>
      </c>
      <c r="P31" s="883" t="s">
        <v>1686</v>
      </c>
      <c r="Q31" s="885"/>
      <c r="R31" s="3"/>
      <c r="S31" s="3"/>
      <c r="T31" s="885"/>
      <c r="U31" s="885"/>
      <c r="V31" s="3" t="s">
        <v>1687</v>
      </c>
      <c r="W31" s="885"/>
      <c r="X31" s="885"/>
      <c r="Y31" s="885"/>
      <c r="Z31" s="885"/>
    </row>
    <row r="32" ht="15.75" customHeight="1">
      <c r="A32" s="3"/>
      <c r="B32" s="884"/>
      <c r="C32" s="884"/>
      <c r="D32" s="3"/>
      <c r="E32" s="885"/>
      <c r="H32" s="886"/>
      <c r="K32" s="885"/>
      <c r="L32" s="910" t="s">
        <v>140</v>
      </c>
      <c r="M32" s="911">
        <v>10.0</v>
      </c>
      <c r="N32" s="887"/>
      <c r="O32" s="885"/>
      <c r="P32" s="885"/>
      <c r="Q32" s="885"/>
      <c r="R32" s="3"/>
      <c r="S32" s="3"/>
      <c r="T32" s="885"/>
      <c r="U32" s="885"/>
      <c r="V32" s="3"/>
      <c r="W32" s="885"/>
      <c r="X32" s="885"/>
      <c r="Y32" s="885"/>
      <c r="Z32" s="885"/>
    </row>
    <row r="33" ht="15.75" customHeight="1">
      <c r="A33" s="3"/>
      <c r="B33" s="884"/>
      <c r="C33" s="884"/>
      <c r="D33" s="3"/>
      <c r="E33" s="885"/>
      <c r="H33" s="886"/>
      <c r="K33" s="885"/>
      <c r="L33" s="910" t="s">
        <v>765</v>
      </c>
      <c r="M33" s="911">
        <v>16.0</v>
      </c>
      <c r="N33" s="887"/>
      <c r="O33" s="885"/>
      <c r="P33" s="885"/>
      <c r="Q33" s="885"/>
      <c r="R33" s="3"/>
      <c r="S33" s="3"/>
      <c r="T33" s="885"/>
      <c r="U33" s="885"/>
      <c r="V33" s="3"/>
      <c r="W33" s="885"/>
      <c r="X33" s="885"/>
      <c r="Y33" s="885"/>
      <c r="Z33" s="885"/>
    </row>
    <row r="34" ht="15.75" customHeight="1">
      <c r="A34" s="3"/>
      <c r="B34" s="884"/>
      <c r="C34" s="884"/>
      <c r="D34" s="3"/>
      <c r="E34" s="885"/>
      <c r="H34" s="886"/>
      <c r="K34" s="885"/>
      <c r="L34" s="910" t="s">
        <v>1688</v>
      </c>
      <c r="M34" s="911">
        <v>21.0</v>
      </c>
      <c r="N34" s="887"/>
      <c r="O34" s="885"/>
      <c r="P34" s="885"/>
      <c r="Q34" s="885"/>
      <c r="R34" s="3"/>
      <c r="S34" s="3"/>
      <c r="T34" s="885"/>
      <c r="U34" s="885"/>
      <c r="V34" s="3"/>
      <c r="W34" s="885"/>
      <c r="X34" s="885"/>
      <c r="Y34" s="885"/>
      <c r="Z34" s="885"/>
    </row>
    <row r="35" ht="15.75" customHeight="1">
      <c r="A35" s="3"/>
      <c r="B35" s="884"/>
      <c r="C35" s="884"/>
      <c r="D35" s="3"/>
      <c r="E35" s="885"/>
      <c r="H35" s="886"/>
      <c r="K35" s="885"/>
      <c r="L35" s="912" t="s">
        <v>1689</v>
      </c>
      <c r="M35" s="913">
        <f>M33+M34</f>
        <v>37</v>
      </c>
      <c r="N35" s="887"/>
      <c r="O35" s="885"/>
      <c r="P35" s="885"/>
      <c r="Q35" s="885"/>
      <c r="R35" s="3"/>
      <c r="S35" s="3"/>
      <c r="T35" s="885"/>
      <c r="U35" s="885"/>
      <c r="V35" s="3"/>
      <c r="W35" s="885"/>
      <c r="X35" s="885"/>
      <c r="Y35" s="885"/>
      <c r="Z35" s="885"/>
    </row>
    <row r="36" ht="15.75" customHeight="1">
      <c r="A36" s="3"/>
      <c r="B36" s="884"/>
      <c r="C36" s="884"/>
      <c r="D36" s="3"/>
      <c r="E36" s="885"/>
      <c r="F36" s="3"/>
      <c r="G36" s="10"/>
      <c r="H36" s="886"/>
      <c r="I36" s="3"/>
      <c r="J36" s="885"/>
      <c r="K36" s="885"/>
      <c r="L36" s="885"/>
      <c r="M36" s="885"/>
      <c r="N36" s="887"/>
      <c r="O36" s="885"/>
      <c r="P36" s="885"/>
      <c r="Q36" s="885"/>
      <c r="R36" s="3"/>
      <c r="S36" s="3"/>
      <c r="T36" s="885"/>
      <c r="U36" s="885"/>
      <c r="V36" s="3"/>
      <c r="W36" s="885"/>
      <c r="X36" s="885"/>
      <c r="Y36" s="885"/>
      <c r="Z36" s="885"/>
    </row>
    <row r="37" ht="15.75" customHeight="1">
      <c r="A37" s="3"/>
      <c r="B37" s="884"/>
      <c r="C37" s="884"/>
      <c r="D37" s="3"/>
      <c r="E37" s="885"/>
      <c r="F37" s="3"/>
      <c r="G37" s="903" t="s">
        <v>1690</v>
      </c>
      <c r="H37" s="886"/>
      <c r="I37" s="3"/>
      <c r="J37" s="885"/>
      <c r="K37" s="885"/>
      <c r="L37" s="885"/>
      <c r="M37" s="895" t="s">
        <v>1691</v>
      </c>
      <c r="N37" s="903" t="s">
        <v>1690</v>
      </c>
      <c r="O37" s="886"/>
      <c r="P37" s="885"/>
      <c r="Q37" s="885"/>
      <c r="R37" s="3"/>
      <c r="S37" s="3"/>
      <c r="T37" s="885"/>
      <c r="U37" s="885"/>
      <c r="V37" s="3"/>
      <c r="W37" s="885"/>
      <c r="X37" s="885"/>
      <c r="Y37" s="885"/>
      <c r="Z37" s="885"/>
    </row>
    <row r="38" ht="15.75" customHeight="1">
      <c r="A38" s="3"/>
      <c r="B38" s="884"/>
      <c r="C38" s="884"/>
      <c r="D38" s="3"/>
      <c r="E38" s="885"/>
      <c r="F38" s="3" t="s">
        <v>1031</v>
      </c>
      <c r="G38" s="3"/>
      <c r="H38" s="900">
        <v>0.0</v>
      </c>
      <c r="I38" s="885"/>
      <c r="K38" s="885"/>
      <c r="L38" s="883" t="s">
        <v>1692</v>
      </c>
      <c r="M38" s="914" t="s">
        <v>1031</v>
      </c>
      <c r="N38" s="3"/>
      <c r="O38" s="900">
        <v>25.0</v>
      </c>
      <c r="P38" s="885"/>
      <c r="Q38" s="885"/>
      <c r="R38" s="3"/>
      <c r="S38" s="3"/>
      <c r="T38" s="885"/>
      <c r="U38" s="885"/>
      <c r="V38" s="3"/>
      <c r="W38" s="885"/>
      <c r="X38" s="885"/>
      <c r="Y38" s="885"/>
      <c r="Z38" s="885"/>
    </row>
    <row r="39" ht="15.75" customHeight="1">
      <c r="A39" s="3"/>
      <c r="B39" s="884"/>
      <c r="C39" s="884"/>
      <c r="D39" s="3"/>
      <c r="E39" s="885"/>
      <c r="F39" s="3" t="s">
        <v>1693</v>
      </c>
      <c r="G39" s="3"/>
      <c r="H39" s="886">
        <v>0.0</v>
      </c>
      <c r="I39" s="885"/>
      <c r="J39" s="885"/>
      <c r="K39" s="885"/>
      <c r="L39" s="885"/>
      <c r="M39" s="3"/>
      <c r="N39" s="3"/>
      <c r="O39" s="886"/>
      <c r="P39" s="885"/>
      <c r="Q39" s="885"/>
      <c r="R39" s="3"/>
      <c r="S39" s="3"/>
      <c r="T39" s="885"/>
      <c r="U39" s="885"/>
      <c r="V39" s="3"/>
      <c r="W39" s="885"/>
      <c r="X39" s="885"/>
      <c r="Y39" s="885"/>
      <c r="Z39" s="885"/>
    </row>
    <row r="40" ht="15.75" customHeight="1">
      <c r="A40" s="3"/>
      <c r="B40" s="884"/>
      <c r="C40" s="884"/>
      <c r="D40" s="3"/>
      <c r="E40" s="885"/>
      <c r="F40" s="3" t="s">
        <v>1085</v>
      </c>
      <c r="G40" s="3" t="s">
        <v>1694</v>
      </c>
      <c r="H40" s="886">
        <v>5.0</v>
      </c>
      <c r="I40" s="885"/>
      <c r="J40" s="885"/>
      <c r="K40" s="885"/>
      <c r="L40" s="885"/>
      <c r="M40" s="3"/>
      <c r="N40" s="3"/>
      <c r="O40" s="886"/>
      <c r="P40" s="885"/>
      <c r="Q40" s="885"/>
      <c r="R40" s="3"/>
      <c r="S40" s="3"/>
      <c r="T40" s="885"/>
      <c r="U40" s="885"/>
      <c r="V40" s="3"/>
      <c r="W40" s="885"/>
      <c r="X40" s="885"/>
      <c r="Y40" s="885"/>
      <c r="Z40" s="885"/>
    </row>
    <row r="41" ht="15.75" customHeight="1">
      <c r="A41" s="3"/>
      <c r="B41" s="884"/>
      <c r="C41" s="884"/>
      <c r="D41" s="3"/>
      <c r="E41" s="885"/>
      <c r="F41" s="3" t="s">
        <v>211</v>
      </c>
      <c r="G41" s="3"/>
      <c r="H41" s="900">
        <v>5.0</v>
      </c>
      <c r="I41" s="885"/>
      <c r="J41" s="885"/>
      <c r="K41" s="885"/>
      <c r="L41" s="885"/>
      <c r="M41" s="3"/>
      <c r="N41" s="3"/>
      <c r="O41" s="900"/>
      <c r="P41" s="885"/>
      <c r="Q41" s="885"/>
      <c r="R41" s="3"/>
      <c r="S41" s="3"/>
      <c r="T41" s="885"/>
      <c r="U41" s="885"/>
      <c r="V41" s="3" t="s">
        <v>1695</v>
      </c>
      <c r="W41" s="885"/>
      <c r="X41" s="885"/>
      <c r="Y41" s="885"/>
      <c r="Z41" s="885"/>
    </row>
    <row r="42" ht="18.0" customHeight="1">
      <c r="A42" s="3"/>
      <c r="B42" s="884"/>
      <c r="C42" s="884"/>
      <c r="D42" s="3"/>
      <c r="E42" s="885"/>
      <c r="F42" s="3" t="s">
        <v>1231</v>
      </c>
      <c r="G42" s="3" t="s">
        <v>1696</v>
      </c>
      <c r="H42" s="886">
        <v>9.0</v>
      </c>
      <c r="I42" s="885"/>
      <c r="J42" s="885"/>
      <c r="K42" s="885"/>
      <c r="L42" s="885"/>
      <c r="M42" s="3"/>
      <c r="N42" s="3"/>
      <c r="O42" s="886"/>
      <c r="P42" s="885"/>
      <c r="Q42" s="885"/>
      <c r="R42" s="885"/>
      <c r="S42" s="885"/>
      <c r="T42" s="885"/>
      <c r="U42" s="10"/>
      <c r="V42" s="10" t="s">
        <v>1697</v>
      </c>
      <c r="W42" s="3"/>
      <c r="X42" s="50"/>
      <c r="Y42" s="885"/>
      <c r="Z42" s="885"/>
    </row>
    <row r="43" ht="15.75" customHeight="1">
      <c r="A43" s="3"/>
      <c r="B43" s="884"/>
      <c r="C43" s="884"/>
      <c r="D43" s="3"/>
      <c r="E43" s="885"/>
      <c r="F43" s="895" t="s">
        <v>1698</v>
      </c>
      <c r="G43" s="883" t="s">
        <v>1699</v>
      </c>
      <c r="H43" s="900">
        <v>9.29</v>
      </c>
      <c r="I43" s="885"/>
      <c r="J43" s="885"/>
      <c r="K43" s="885"/>
      <c r="L43" s="885"/>
      <c r="M43" s="895"/>
      <c r="N43" s="883"/>
      <c r="O43" s="900"/>
      <c r="P43" s="885"/>
      <c r="Q43" s="885"/>
      <c r="R43" s="885"/>
      <c r="S43" s="885"/>
      <c r="T43" s="885"/>
      <c r="U43" s="885"/>
      <c r="V43" s="3" t="s">
        <v>689</v>
      </c>
      <c r="W43" s="885"/>
      <c r="X43" s="885"/>
      <c r="Y43" s="885"/>
      <c r="Z43" s="885"/>
    </row>
    <row r="44" ht="15.75" customHeight="1">
      <c r="A44" s="3"/>
      <c r="B44" s="884"/>
      <c r="C44" s="884"/>
      <c r="D44" s="3"/>
      <c r="E44" s="885"/>
      <c r="F44" s="3" t="s">
        <v>745</v>
      </c>
      <c r="G44" s="3"/>
      <c r="H44" s="886">
        <v>9.0</v>
      </c>
      <c r="I44" s="885"/>
      <c r="J44" s="885"/>
      <c r="K44" s="885"/>
      <c r="L44" s="885"/>
      <c r="M44" s="3"/>
      <c r="N44" s="3"/>
      <c r="O44" s="886"/>
      <c r="P44" s="885"/>
      <c r="Q44" s="885"/>
      <c r="R44" s="885"/>
      <c r="S44" s="885"/>
      <c r="T44" s="885"/>
      <c r="U44" s="885"/>
      <c r="V44" s="3"/>
      <c r="W44" s="885"/>
      <c r="X44" s="50"/>
      <c r="Y44" s="885"/>
      <c r="Z44" s="885"/>
    </row>
    <row r="45" ht="15.75" customHeight="1">
      <c r="A45" s="3"/>
      <c r="B45" s="884"/>
      <c r="C45" s="884"/>
      <c r="D45" s="3"/>
      <c r="E45" s="885"/>
      <c r="F45" s="3" t="s">
        <v>1700</v>
      </c>
      <c r="G45" s="3"/>
      <c r="H45" s="886">
        <v>20.0</v>
      </c>
      <c r="I45" s="885"/>
      <c r="J45" s="885"/>
      <c r="K45" s="885"/>
      <c r="L45" s="885"/>
      <c r="M45" s="3"/>
      <c r="N45" s="3"/>
      <c r="O45" s="886"/>
      <c r="P45" s="885"/>
      <c r="Q45" s="885"/>
      <c r="R45" s="885"/>
      <c r="S45" s="885"/>
      <c r="T45" s="885"/>
      <c r="U45" s="885"/>
      <c r="V45" s="3"/>
      <c r="W45" s="885"/>
      <c r="X45" s="50"/>
      <c r="Y45" s="885"/>
      <c r="Z45" s="885"/>
    </row>
    <row r="46" ht="15.75" customHeight="1">
      <c r="A46" s="3"/>
      <c r="B46" s="884"/>
      <c r="C46" s="884"/>
      <c r="D46" s="3"/>
      <c r="E46" s="885"/>
      <c r="F46" s="3" t="s">
        <v>951</v>
      </c>
      <c r="G46" s="3"/>
      <c r="H46" s="886">
        <v>9.0</v>
      </c>
      <c r="I46" s="3" t="s">
        <v>1701</v>
      </c>
      <c r="J46" s="885"/>
      <c r="K46" s="885"/>
      <c r="L46" s="885"/>
      <c r="M46" s="3"/>
      <c r="N46" s="3"/>
      <c r="O46" s="886"/>
      <c r="P46" s="885"/>
      <c r="Q46" s="885"/>
      <c r="R46" s="885"/>
      <c r="S46" s="885"/>
      <c r="T46" s="885"/>
      <c r="U46" s="885"/>
      <c r="V46" s="3" t="s">
        <v>666</v>
      </c>
      <c r="W46" s="885"/>
      <c r="X46" s="50"/>
      <c r="Y46" s="885"/>
      <c r="Z46" s="885"/>
    </row>
    <row r="47" ht="15.75" customHeight="1">
      <c r="A47" s="3"/>
      <c r="B47" s="884"/>
      <c r="C47" s="884"/>
      <c r="D47" s="3"/>
      <c r="E47" s="885"/>
      <c r="F47" s="895" t="s">
        <v>1702</v>
      </c>
      <c r="G47" s="3"/>
      <c r="H47" s="900">
        <v>28.833</v>
      </c>
      <c r="I47" s="885"/>
      <c r="J47" s="885"/>
      <c r="K47" s="885"/>
      <c r="L47" s="885"/>
      <c r="M47" s="895"/>
      <c r="N47" s="3"/>
      <c r="O47" s="900"/>
      <c r="P47" s="50"/>
      <c r="Q47" s="885"/>
      <c r="R47" s="885"/>
      <c r="S47" s="885"/>
      <c r="T47" s="885"/>
      <c r="U47" s="885"/>
      <c r="V47" s="885"/>
      <c r="W47" s="885"/>
      <c r="X47" s="50"/>
      <c r="Y47" s="885"/>
      <c r="Z47" s="885"/>
    </row>
    <row r="48" ht="15.75" customHeight="1">
      <c r="A48" s="3"/>
      <c r="B48" s="884"/>
      <c r="C48" s="884"/>
      <c r="D48" s="3"/>
      <c r="E48" s="885"/>
      <c r="F48" s="915" t="s">
        <v>698</v>
      </c>
      <c r="G48" s="3"/>
      <c r="H48" s="886">
        <v>10.0</v>
      </c>
      <c r="I48" s="885"/>
      <c r="J48" s="885"/>
      <c r="K48" s="885"/>
      <c r="L48" s="885"/>
      <c r="M48" s="895"/>
      <c r="N48" s="3"/>
      <c r="O48" s="886"/>
      <c r="P48" s="885"/>
      <c r="Q48" s="885"/>
      <c r="R48" s="885"/>
      <c r="S48" s="885"/>
      <c r="T48" s="885"/>
      <c r="U48" s="885"/>
      <c r="V48" s="885"/>
      <c r="W48" s="885"/>
      <c r="X48" s="50"/>
      <c r="Y48" s="885"/>
      <c r="Z48" s="885"/>
    </row>
    <row r="49" ht="15.75" customHeight="1">
      <c r="A49" s="3"/>
      <c r="B49" s="884"/>
      <c r="C49" s="884"/>
      <c r="D49" s="3"/>
      <c r="E49" s="885"/>
      <c r="F49" s="46" t="s">
        <v>860</v>
      </c>
      <c r="H49" s="897">
        <v>15.0</v>
      </c>
      <c r="I49" s="885"/>
      <c r="J49" s="885"/>
      <c r="K49" s="885"/>
      <c r="L49" s="885"/>
      <c r="O49" s="897"/>
      <c r="P49" s="885"/>
      <c r="Q49" s="885"/>
      <c r="R49" s="885"/>
      <c r="S49" s="885"/>
      <c r="T49" s="885"/>
      <c r="U49" s="885"/>
      <c r="V49" s="885"/>
      <c r="W49" s="885"/>
      <c r="X49" s="50"/>
      <c r="Y49" s="885"/>
      <c r="Z49" s="885"/>
    </row>
    <row r="50" ht="15.75" customHeight="1">
      <c r="A50" s="3"/>
      <c r="B50" s="884"/>
      <c r="C50" s="884"/>
      <c r="D50" s="3"/>
      <c r="E50" s="885"/>
      <c r="F50" s="46" t="s">
        <v>770</v>
      </c>
      <c r="G50" s="725" t="s">
        <v>1703</v>
      </c>
      <c r="H50" s="725">
        <v>31.0</v>
      </c>
      <c r="J50" s="885"/>
      <c r="K50" s="885"/>
      <c r="L50" s="885"/>
      <c r="M50" s="3"/>
      <c r="N50" s="3"/>
      <c r="O50" s="886"/>
      <c r="P50" s="885"/>
      <c r="Q50" s="885"/>
      <c r="R50" s="885"/>
      <c r="S50" s="885"/>
      <c r="T50" s="885"/>
      <c r="U50" s="885"/>
      <c r="V50" s="885"/>
      <c r="W50" s="885"/>
      <c r="X50" s="50"/>
      <c r="Y50" s="885"/>
      <c r="Z50" s="885"/>
    </row>
    <row r="51" ht="15.75" customHeight="1">
      <c r="A51" s="3"/>
      <c r="B51" s="884"/>
      <c r="C51" s="884"/>
      <c r="D51" s="3"/>
      <c r="E51" s="885"/>
      <c r="F51" s="46" t="s">
        <v>812</v>
      </c>
      <c r="G51" s="725" t="s">
        <v>1704</v>
      </c>
      <c r="H51" s="725">
        <v>26.0</v>
      </c>
      <c r="I51" s="885"/>
      <c r="J51" s="885"/>
      <c r="K51" s="885"/>
      <c r="L51" s="885"/>
      <c r="M51" s="3"/>
      <c r="N51" s="3"/>
      <c r="O51" s="886"/>
      <c r="P51" s="885"/>
      <c r="Q51" s="885"/>
      <c r="R51" s="885"/>
      <c r="S51" s="885"/>
      <c r="T51" s="885"/>
      <c r="U51" s="885"/>
      <c r="V51" s="885"/>
      <c r="W51" s="885"/>
      <c r="X51" s="50"/>
      <c r="Y51" s="885"/>
      <c r="Z51" s="885"/>
    </row>
    <row r="52" ht="15.75" customHeight="1">
      <c r="A52" s="3"/>
      <c r="B52" s="884"/>
      <c r="C52" s="884"/>
      <c r="D52" s="3"/>
      <c r="E52" s="885"/>
      <c r="F52" s="915" t="s">
        <v>784</v>
      </c>
      <c r="G52" s="3"/>
      <c r="H52" s="886">
        <v>10.0</v>
      </c>
      <c r="I52" s="885"/>
      <c r="J52" s="885"/>
      <c r="K52" s="885"/>
      <c r="L52" s="885"/>
      <c r="M52" s="3"/>
      <c r="N52" s="3"/>
      <c r="O52" s="886"/>
      <c r="P52" s="885"/>
      <c r="Q52" s="885"/>
      <c r="R52" s="885"/>
      <c r="S52" s="885"/>
      <c r="T52" s="885"/>
      <c r="U52" s="885"/>
      <c r="V52" s="885"/>
      <c r="W52" s="885"/>
      <c r="X52" s="50"/>
      <c r="Y52" s="885"/>
      <c r="Z52" s="885"/>
    </row>
    <row r="53" ht="15.75" customHeight="1">
      <c r="A53" s="3"/>
      <c r="B53" s="884"/>
      <c r="C53" s="884"/>
      <c r="D53" s="3"/>
      <c r="E53" s="885"/>
      <c r="F53" s="46" t="s">
        <v>1147</v>
      </c>
      <c r="H53" s="725">
        <v>15.0</v>
      </c>
      <c r="I53" s="885"/>
      <c r="J53" s="885"/>
      <c r="K53" s="885"/>
      <c r="L53" s="885"/>
      <c r="M53" s="3"/>
      <c r="N53" s="3"/>
      <c r="O53" s="886"/>
      <c r="P53" s="885"/>
      <c r="Q53" s="885"/>
      <c r="R53" s="885"/>
      <c r="S53" s="885"/>
      <c r="T53" s="885"/>
      <c r="U53" s="885"/>
      <c r="V53" s="885"/>
      <c r="W53" s="885"/>
      <c r="X53" s="885"/>
      <c r="Y53" s="885"/>
      <c r="Z53" s="885"/>
    </row>
    <row r="54" ht="15.75" customHeight="1">
      <c r="A54" s="3"/>
      <c r="B54" s="884"/>
      <c r="C54" s="884"/>
      <c r="D54" s="3"/>
      <c r="E54" s="885"/>
      <c r="F54" s="3" t="s">
        <v>755</v>
      </c>
      <c r="G54" s="3" t="s">
        <v>1705</v>
      </c>
      <c r="H54" s="886">
        <v>11.0</v>
      </c>
      <c r="I54" s="885"/>
      <c r="J54" s="885"/>
      <c r="K54" s="885"/>
      <c r="L54" s="885"/>
      <c r="M54" s="3"/>
      <c r="N54" s="3"/>
      <c r="O54" s="886"/>
      <c r="P54" s="885"/>
      <c r="Q54" s="885"/>
      <c r="R54" s="885"/>
      <c r="S54" s="885"/>
      <c r="T54" s="885"/>
      <c r="U54" s="885"/>
      <c r="V54" s="885"/>
      <c r="W54" s="885"/>
      <c r="X54" s="885"/>
      <c r="Y54" s="885"/>
      <c r="Z54" s="885"/>
    </row>
    <row r="55" ht="15.75" customHeight="1">
      <c r="A55" s="3"/>
      <c r="B55" s="884"/>
      <c r="C55" s="884"/>
      <c r="D55" s="3"/>
      <c r="E55" s="885"/>
      <c r="F55" s="3" t="s">
        <v>1369</v>
      </c>
      <c r="G55" s="3" t="s">
        <v>1706</v>
      </c>
      <c r="H55" s="886">
        <v>13.0</v>
      </c>
      <c r="I55" s="885"/>
      <c r="J55" s="885"/>
      <c r="K55" s="885"/>
      <c r="L55" s="885"/>
      <c r="M55" s="3"/>
      <c r="N55" s="3"/>
      <c r="O55" s="886"/>
      <c r="P55" s="885"/>
      <c r="Q55" s="885"/>
      <c r="R55" s="885"/>
      <c r="S55" s="885"/>
      <c r="T55" s="885"/>
      <c r="U55" s="885"/>
      <c r="V55" s="885"/>
      <c r="W55" s="885"/>
      <c r="X55" s="885"/>
      <c r="Y55" s="885"/>
      <c r="Z55" s="885"/>
    </row>
    <row r="56" ht="15.75" customHeight="1">
      <c r="A56" s="3"/>
      <c r="B56" s="884"/>
      <c r="C56" s="884"/>
      <c r="D56" s="3"/>
      <c r="E56" s="885"/>
      <c r="F56" s="3" t="s">
        <v>809</v>
      </c>
      <c r="G56" s="3" t="s">
        <v>1707</v>
      </c>
      <c r="H56" s="886">
        <v>13.0</v>
      </c>
      <c r="I56" s="885"/>
      <c r="J56" s="885"/>
      <c r="K56" s="885"/>
      <c r="L56" s="885"/>
      <c r="M56" s="3"/>
      <c r="N56" s="3"/>
      <c r="O56" s="886"/>
      <c r="P56" s="885"/>
      <c r="Q56" s="885"/>
      <c r="R56" s="885"/>
      <c r="S56" s="885"/>
      <c r="T56" s="885"/>
      <c r="U56" s="885"/>
      <c r="V56" s="885"/>
      <c r="W56" s="885"/>
      <c r="X56" s="885"/>
      <c r="Y56" s="885"/>
      <c r="Z56" s="885"/>
    </row>
    <row r="57" ht="15.75" customHeight="1">
      <c r="A57" s="3"/>
      <c r="B57" s="884"/>
      <c r="C57" s="884"/>
      <c r="D57" s="3"/>
      <c r="E57" s="885"/>
      <c r="F57" s="3" t="s">
        <v>1327</v>
      </c>
      <c r="G57" s="3" t="s">
        <v>1708</v>
      </c>
      <c r="H57" s="886">
        <v>15.0</v>
      </c>
      <c r="I57" s="885"/>
      <c r="J57" s="885"/>
      <c r="K57" s="885"/>
      <c r="L57" s="885"/>
      <c r="M57" s="3"/>
      <c r="N57" s="3"/>
      <c r="O57" s="886"/>
      <c r="P57" s="885"/>
      <c r="Q57" s="885"/>
      <c r="R57" s="885"/>
      <c r="S57" s="885"/>
      <c r="T57" s="885"/>
      <c r="U57" s="885"/>
      <c r="V57" s="885"/>
      <c r="W57" s="885"/>
      <c r="X57" s="885"/>
      <c r="Y57" s="885"/>
      <c r="Z57" s="885"/>
    </row>
    <row r="58" ht="15.75" customHeight="1">
      <c r="A58" s="3"/>
      <c r="B58" s="884"/>
      <c r="C58" s="884"/>
      <c r="D58" s="3"/>
      <c r="E58" s="885"/>
      <c r="F58" s="3" t="s">
        <v>957</v>
      </c>
      <c r="G58" s="3" t="s">
        <v>1709</v>
      </c>
      <c r="H58" s="886">
        <v>16.0</v>
      </c>
      <c r="I58" s="885"/>
      <c r="J58" s="885"/>
      <c r="K58" s="885"/>
      <c r="L58" s="885"/>
      <c r="M58" s="3"/>
      <c r="N58" s="3"/>
      <c r="O58" s="886"/>
      <c r="P58" s="885"/>
      <c r="Q58" s="885"/>
      <c r="R58" s="885"/>
      <c r="S58" s="885"/>
      <c r="T58" s="885"/>
      <c r="U58" s="885"/>
      <c r="V58" s="885"/>
      <c r="W58" s="885"/>
      <c r="X58" s="885"/>
      <c r="Y58" s="885"/>
      <c r="Z58" s="885"/>
    </row>
    <row r="59" ht="15.75" customHeight="1">
      <c r="A59" s="3"/>
      <c r="B59" s="884"/>
      <c r="C59" s="884"/>
      <c r="D59" s="3"/>
      <c r="E59" s="885"/>
      <c r="F59" s="3" t="s">
        <v>1710</v>
      </c>
      <c r="G59" s="3" t="s">
        <v>1711</v>
      </c>
      <c r="H59" s="886">
        <v>17.0</v>
      </c>
      <c r="I59" s="885"/>
      <c r="J59" s="885"/>
      <c r="K59" s="885"/>
      <c r="L59" s="885"/>
      <c r="M59" s="3"/>
      <c r="N59" s="3"/>
      <c r="O59" s="886"/>
      <c r="P59" s="885"/>
      <c r="Q59" s="885"/>
      <c r="R59" s="885"/>
      <c r="S59" s="885"/>
      <c r="T59" s="885"/>
      <c r="U59" s="885"/>
      <c r="V59" s="885"/>
      <c r="W59" s="885"/>
      <c r="X59" s="885"/>
      <c r="Y59" s="885"/>
      <c r="Z59" s="885"/>
    </row>
    <row r="60" ht="15.75" customHeight="1">
      <c r="A60" s="3"/>
      <c r="B60" s="884"/>
      <c r="C60" s="884"/>
      <c r="D60" s="3"/>
      <c r="E60" s="885"/>
      <c r="F60" s="3" t="s">
        <v>663</v>
      </c>
      <c r="G60" s="3" t="s">
        <v>1710</v>
      </c>
      <c r="H60" s="886">
        <v>17.0</v>
      </c>
      <c r="I60" s="885"/>
      <c r="J60" s="885"/>
      <c r="K60" s="885"/>
      <c r="L60" s="885"/>
      <c r="M60" s="3"/>
      <c r="N60" s="3"/>
      <c r="O60" s="886"/>
      <c r="P60" s="885"/>
      <c r="Q60" s="885"/>
      <c r="R60" s="885"/>
      <c r="S60" s="885"/>
      <c r="T60" s="885"/>
      <c r="U60" s="885"/>
      <c r="V60" s="885"/>
      <c r="W60" s="885"/>
      <c r="X60" s="885"/>
      <c r="Y60" s="885"/>
      <c r="Z60" s="885"/>
    </row>
    <row r="61" ht="15.75" customHeight="1">
      <c r="A61" s="3"/>
      <c r="B61" s="884"/>
      <c r="C61" s="884"/>
      <c r="D61" s="3"/>
      <c r="E61" s="885"/>
      <c r="F61" s="3" t="s">
        <v>188</v>
      </c>
      <c r="G61" s="3" t="s">
        <v>1710</v>
      </c>
      <c r="H61" s="886">
        <v>17.0</v>
      </c>
      <c r="I61" s="885"/>
      <c r="J61" s="885"/>
      <c r="K61" s="885"/>
      <c r="L61" s="885"/>
      <c r="M61" s="3"/>
      <c r="N61" s="3"/>
      <c r="O61" s="886"/>
      <c r="P61" s="885"/>
      <c r="Q61" s="885"/>
      <c r="R61" s="885"/>
      <c r="S61" s="885"/>
      <c r="T61" s="885"/>
      <c r="U61" s="885"/>
      <c r="V61" s="885"/>
      <c r="W61" s="885"/>
      <c r="X61" s="885"/>
      <c r="Y61" s="885"/>
      <c r="Z61" s="885"/>
    </row>
    <row r="62" ht="15.75" customHeight="1">
      <c r="A62" s="3"/>
      <c r="B62" s="884"/>
      <c r="C62" s="884"/>
      <c r="D62" s="3"/>
      <c r="E62" s="885"/>
      <c r="F62" s="3" t="s">
        <v>703</v>
      </c>
      <c r="G62" s="3" t="s">
        <v>1712</v>
      </c>
      <c r="H62" s="886">
        <v>15.0</v>
      </c>
      <c r="I62" s="885"/>
      <c r="J62" s="885"/>
      <c r="K62" s="885"/>
      <c r="L62" s="885"/>
      <c r="M62" s="3"/>
      <c r="N62" s="3"/>
      <c r="O62" s="886"/>
      <c r="P62" s="885"/>
      <c r="Q62" s="885"/>
      <c r="R62" s="885"/>
      <c r="S62" s="885"/>
      <c r="T62" s="885"/>
      <c r="U62" s="885"/>
      <c r="V62" s="885"/>
      <c r="W62" s="885"/>
      <c r="X62" s="885"/>
      <c r="Y62" s="885"/>
      <c r="Z62" s="885"/>
    </row>
    <row r="63" ht="15.75" customHeight="1">
      <c r="A63" s="3"/>
      <c r="B63" s="884"/>
      <c r="C63" s="884"/>
      <c r="D63" s="3"/>
      <c r="E63" s="885"/>
      <c r="F63" s="3" t="s">
        <v>720</v>
      </c>
      <c r="G63" s="3" t="s">
        <v>251</v>
      </c>
      <c r="H63" s="886">
        <v>18.0</v>
      </c>
      <c r="I63" s="885"/>
      <c r="J63" s="885"/>
      <c r="K63" s="885"/>
      <c r="L63" s="885"/>
      <c r="M63" s="3"/>
      <c r="N63" s="3"/>
      <c r="O63" s="886"/>
      <c r="P63" s="885"/>
      <c r="Q63" s="885"/>
      <c r="R63" s="885"/>
      <c r="S63" s="885"/>
      <c r="T63" s="885"/>
      <c r="U63" s="885"/>
      <c r="V63" s="885"/>
      <c r="W63" s="885"/>
      <c r="X63" s="885"/>
      <c r="Y63" s="885"/>
      <c r="Z63" s="885"/>
    </row>
    <row r="64" ht="15.75" customHeight="1">
      <c r="A64" s="3"/>
      <c r="B64" s="884"/>
      <c r="C64" s="884"/>
      <c r="D64" s="3"/>
      <c r="E64" s="885"/>
      <c r="F64" s="3" t="s">
        <v>656</v>
      </c>
      <c r="G64" s="3" t="s">
        <v>190</v>
      </c>
      <c r="H64" s="886">
        <v>18.0</v>
      </c>
      <c r="I64" s="885"/>
      <c r="J64" s="885"/>
      <c r="K64" s="885"/>
      <c r="L64" s="885"/>
      <c r="M64" s="3"/>
      <c r="N64" s="3"/>
      <c r="O64" s="886"/>
      <c r="P64" s="50"/>
      <c r="Q64" s="885"/>
      <c r="R64" s="885"/>
      <c r="S64" s="885"/>
      <c r="T64" s="885"/>
      <c r="U64" s="885"/>
      <c r="V64" s="885"/>
      <c r="W64" s="885"/>
      <c r="X64" s="885"/>
      <c r="Y64" s="885"/>
      <c r="Z64" s="885"/>
    </row>
    <row r="65" ht="15.75" customHeight="1">
      <c r="A65" s="3"/>
      <c r="B65" s="884"/>
      <c r="C65" s="884"/>
      <c r="D65" s="3"/>
      <c r="E65" s="885"/>
      <c r="F65" s="3" t="s">
        <v>668</v>
      </c>
      <c r="G65" s="895" t="s">
        <v>190</v>
      </c>
      <c r="H65" s="886">
        <v>18.0</v>
      </c>
      <c r="I65" s="885"/>
      <c r="J65" s="885"/>
      <c r="K65" s="885"/>
      <c r="L65" s="885"/>
      <c r="M65" s="3"/>
      <c r="N65" s="3"/>
      <c r="O65" s="886"/>
      <c r="P65" s="50"/>
      <c r="Q65" s="885"/>
      <c r="R65" s="885"/>
      <c r="S65" s="885"/>
      <c r="T65" s="885"/>
      <c r="U65" s="885"/>
      <c r="V65" s="885"/>
      <c r="W65" s="885"/>
      <c r="X65" s="885"/>
      <c r="Y65" s="885"/>
      <c r="Z65" s="885"/>
    </row>
    <row r="66" ht="15.75" customHeight="1">
      <c r="A66" s="3"/>
      <c r="B66" s="884"/>
      <c r="C66" s="884"/>
      <c r="D66" s="3"/>
      <c r="E66" s="885"/>
      <c r="F66" s="3" t="s">
        <v>963</v>
      </c>
      <c r="G66" s="3" t="s">
        <v>1713</v>
      </c>
      <c r="H66" s="886">
        <v>18.0</v>
      </c>
      <c r="I66" s="885"/>
      <c r="J66" s="885"/>
      <c r="K66" s="885"/>
      <c r="L66" s="885"/>
      <c r="M66" s="3"/>
      <c r="N66" s="3"/>
      <c r="O66" s="886"/>
      <c r="P66" s="50"/>
      <c r="Q66" s="885"/>
      <c r="R66" s="885"/>
      <c r="S66" s="885"/>
      <c r="T66" s="885"/>
      <c r="U66" s="885"/>
      <c r="V66" s="885"/>
      <c r="W66" s="885"/>
      <c r="X66" s="885"/>
      <c r="Y66" s="885"/>
      <c r="Z66" s="885"/>
    </row>
    <row r="67" ht="15.75" customHeight="1">
      <c r="A67" s="3"/>
      <c r="B67" s="884"/>
      <c r="C67" s="884"/>
      <c r="D67" s="3"/>
      <c r="E67" s="885"/>
      <c r="F67" s="3" t="s">
        <v>1714</v>
      </c>
      <c r="G67" s="3" t="s">
        <v>1715</v>
      </c>
      <c r="H67" s="886">
        <v>21.0</v>
      </c>
      <c r="I67" s="885"/>
      <c r="J67" s="885"/>
      <c r="K67" s="885"/>
      <c r="L67" s="885"/>
      <c r="M67" s="3"/>
      <c r="N67" s="895"/>
      <c r="O67" s="886"/>
      <c r="P67" s="50"/>
      <c r="Q67" s="885"/>
      <c r="R67" s="885"/>
      <c r="S67" s="885"/>
      <c r="T67" s="885"/>
      <c r="U67" s="885"/>
      <c r="V67" s="885"/>
      <c r="W67" s="885"/>
      <c r="X67" s="885"/>
      <c r="Y67" s="885"/>
      <c r="Z67" s="885"/>
    </row>
    <row r="68" ht="15.75" customHeight="1">
      <c r="A68" s="3"/>
      <c r="B68" s="884"/>
      <c r="C68" s="884"/>
      <c r="D68" s="3"/>
      <c r="E68" s="885"/>
      <c r="F68" s="3" t="s">
        <v>728</v>
      </c>
      <c r="G68" s="3" t="s">
        <v>1716</v>
      </c>
      <c r="H68" s="886">
        <v>10.0</v>
      </c>
      <c r="I68" s="885"/>
      <c r="J68" s="885"/>
      <c r="K68" s="885"/>
      <c r="L68" s="885"/>
      <c r="M68" s="895"/>
      <c r="N68" s="3"/>
      <c r="O68" s="900"/>
      <c r="P68" s="50"/>
      <c r="Q68" s="885"/>
      <c r="R68" s="885"/>
      <c r="S68" s="885"/>
      <c r="T68" s="885"/>
      <c r="U68" s="885"/>
      <c r="V68" s="885"/>
      <c r="W68" s="885"/>
      <c r="X68" s="885"/>
      <c r="Y68" s="885"/>
      <c r="Z68" s="885"/>
    </row>
    <row r="69" ht="15.75" customHeight="1">
      <c r="A69" s="3"/>
      <c r="B69" s="884"/>
      <c r="C69" s="884"/>
      <c r="D69" s="3"/>
      <c r="E69" s="885"/>
      <c r="F69" s="3" t="s">
        <v>1171</v>
      </c>
      <c r="G69" s="895" t="s">
        <v>1521</v>
      </c>
      <c r="H69" s="900">
        <v>24.0</v>
      </c>
      <c r="P69" s="50"/>
      <c r="Q69" s="885"/>
      <c r="R69" s="885"/>
      <c r="S69" s="885"/>
      <c r="T69" s="885"/>
      <c r="U69" s="885"/>
      <c r="V69" s="885"/>
      <c r="W69" s="885"/>
      <c r="X69" s="885"/>
      <c r="Y69" s="885"/>
      <c r="Z69" s="50"/>
    </row>
    <row r="70" ht="15.75" customHeight="1">
      <c r="A70" s="3"/>
      <c r="B70" s="884"/>
      <c r="C70" s="884"/>
      <c r="D70" s="3"/>
      <c r="E70" s="885"/>
      <c r="F70" s="725" t="s">
        <v>285</v>
      </c>
      <c r="G70" s="725" t="s">
        <v>285</v>
      </c>
      <c r="H70" s="725">
        <v>2.583</v>
      </c>
      <c r="P70" s="885"/>
      <c r="Q70" s="885"/>
      <c r="R70" s="885"/>
      <c r="S70" s="885"/>
      <c r="T70" s="885"/>
      <c r="U70" s="885"/>
      <c r="V70" s="885"/>
      <c r="W70" s="885"/>
      <c r="X70" s="885"/>
      <c r="Y70" s="885"/>
      <c r="Z70" s="50"/>
    </row>
    <row r="71" ht="15.75" customHeight="1">
      <c r="A71" s="3"/>
      <c r="B71" s="884"/>
      <c r="C71" s="884"/>
      <c r="D71" s="3"/>
      <c r="E71" s="885"/>
      <c r="P71" s="885"/>
      <c r="Q71" s="885"/>
      <c r="R71" s="885"/>
      <c r="S71" s="885"/>
      <c r="T71" s="885"/>
      <c r="U71" s="885"/>
      <c r="V71" s="885"/>
      <c r="W71" s="885"/>
      <c r="X71" s="885"/>
      <c r="Y71" s="885"/>
      <c r="Z71" s="916"/>
    </row>
    <row r="72" ht="15.75" customHeight="1">
      <c r="A72" s="3"/>
      <c r="B72" s="884"/>
      <c r="C72" s="884"/>
      <c r="D72" s="3"/>
      <c r="E72" s="885"/>
      <c r="P72" s="885"/>
      <c r="Q72" s="885"/>
      <c r="R72" s="885"/>
      <c r="S72" s="885"/>
      <c r="T72" s="885"/>
      <c r="U72" s="885"/>
      <c r="V72" s="885"/>
      <c r="W72" s="885"/>
      <c r="X72" s="885"/>
      <c r="Y72" s="885"/>
      <c r="Z72" s="50"/>
    </row>
    <row r="73" ht="15.75" customHeight="1">
      <c r="A73" s="3"/>
      <c r="B73" s="884"/>
      <c r="C73" s="884"/>
      <c r="D73" s="3"/>
      <c r="E73" s="885"/>
      <c r="I73" s="885"/>
      <c r="J73" s="885"/>
      <c r="K73" s="885"/>
      <c r="L73" s="885"/>
      <c r="M73" s="885"/>
      <c r="N73" s="887"/>
      <c r="O73" s="885"/>
      <c r="P73" s="885"/>
      <c r="Q73" s="885"/>
      <c r="R73" s="885"/>
      <c r="S73" s="885"/>
      <c r="T73" s="885"/>
      <c r="U73" s="885"/>
      <c r="V73" s="885"/>
      <c r="W73" s="885"/>
      <c r="X73" s="885"/>
      <c r="Y73" s="885"/>
      <c r="Z73" s="50"/>
    </row>
    <row r="74" ht="15.75" customHeight="1">
      <c r="A74" s="3"/>
      <c r="B74" s="884"/>
      <c r="C74" s="884"/>
      <c r="D74" s="3"/>
      <c r="E74" s="885"/>
      <c r="I74" s="885"/>
      <c r="J74" s="885"/>
      <c r="K74" s="885"/>
      <c r="L74" s="885"/>
      <c r="M74" s="885"/>
      <c r="N74" s="887"/>
      <c r="O74" s="885"/>
      <c r="P74" s="885"/>
      <c r="Q74" s="885"/>
      <c r="R74" s="885"/>
      <c r="S74" s="885"/>
      <c r="T74" s="885"/>
      <c r="U74" s="885"/>
      <c r="V74" s="885"/>
      <c r="W74" s="885"/>
      <c r="X74" s="885"/>
      <c r="Y74" s="885"/>
      <c r="Z74" s="885"/>
    </row>
    <row r="75" ht="15.75" customHeight="1">
      <c r="A75" s="3"/>
      <c r="B75" s="884"/>
      <c r="C75" s="884"/>
      <c r="D75" s="3"/>
      <c r="E75" s="885"/>
      <c r="I75" s="885"/>
      <c r="J75" s="885"/>
      <c r="K75" s="885"/>
      <c r="L75" s="885"/>
      <c r="M75" s="885"/>
      <c r="N75" s="887"/>
      <c r="O75" s="885"/>
      <c r="P75" s="885"/>
      <c r="Q75" s="885"/>
      <c r="R75" s="885"/>
      <c r="S75" s="885"/>
      <c r="T75" s="885"/>
      <c r="U75" s="885"/>
      <c r="V75" s="885"/>
      <c r="W75" s="885"/>
      <c r="X75" s="885"/>
      <c r="Y75" s="885"/>
      <c r="Z75" s="885"/>
    </row>
    <row r="76" ht="15.75" customHeight="1">
      <c r="A76" s="3"/>
      <c r="B76" s="884"/>
      <c r="C76" s="884"/>
      <c r="D76" s="3"/>
      <c r="E76" s="885"/>
      <c r="I76" s="885"/>
      <c r="J76" s="885"/>
      <c r="K76" s="885"/>
      <c r="L76" s="885"/>
      <c r="M76" s="885"/>
      <c r="N76" s="887"/>
      <c r="O76" s="885"/>
      <c r="P76" s="885"/>
      <c r="Q76" s="885"/>
      <c r="R76" s="885"/>
      <c r="S76" s="885"/>
      <c r="T76" s="885"/>
      <c r="U76" s="885"/>
      <c r="V76" s="885"/>
      <c r="W76" s="885"/>
      <c r="X76" s="885"/>
      <c r="Y76" s="885"/>
      <c r="Z76" s="885"/>
    </row>
    <row r="77" ht="15.75" customHeight="1">
      <c r="A77" s="3"/>
      <c r="B77" s="884"/>
      <c r="C77" s="884"/>
      <c r="D77" s="3"/>
      <c r="E77" s="885"/>
      <c r="I77" s="885"/>
      <c r="J77" s="885"/>
      <c r="K77" s="885"/>
      <c r="L77" s="885"/>
      <c r="M77" s="885"/>
      <c r="N77" s="892"/>
      <c r="O77" s="885"/>
      <c r="P77" s="885"/>
      <c r="Q77" s="885"/>
      <c r="R77" s="885"/>
      <c r="S77" s="885"/>
      <c r="T77" s="885"/>
      <c r="U77" s="885"/>
      <c r="V77" s="885"/>
      <c r="W77" s="885"/>
      <c r="X77" s="885"/>
      <c r="Y77" s="885"/>
      <c r="Z77" s="885"/>
    </row>
    <row r="78" ht="15.75" customHeight="1">
      <c r="A78" s="3"/>
      <c r="B78" s="884"/>
      <c r="C78" s="884"/>
      <c r="D78" s="3"/>
      <c r="E78" s="885"/>
      <c r="I78" s="885"/>
      <c r="J78" s="885"/>
      <c r="K78" s="885"/>
      <c r="L78" s="885"/>
      <c r="M78" s="885"/>
      <c r="N78" s="887"/>
      <c r="O78" s="885"/>
      <c r="P78" s="885"/>
      <c r="Q78" s="885"/>
      <c r="R78" s="885"/>
      <c r="S78" s="885"/>
      <c r="T78" s="885"/>
      <c r="U78" s="885"/>
      <c r="V78" s="885"/>
      <c r="W78" s="885"/>
      <c r="X78" s="885"/>
      <c r="Y78" s="885"/>
      <c r="Z78" s="885"/>
    </row>
    <row r="79" ht="15.75" customHeight="1">
      <c r="A79" s="3"/>
      <c r="B79" s="884"/>
      <c r="C79" s="884"/>
      <c r="D79" s="3"/>
      <c r="E79" s="3"/>
      <c r="I79" s="885"/>
      <c r="J79" s="885"/>
      <c r="K79" s="885"/>
      <c r="L79" s="885"/>
      <c r="M79" s="885"/>
      <c r="N79" s="887"/>
      <c r="O79" s="885"/>
      <c r="P79" s="885"/>
      <c r="Q79" s="885"/>
      <c r="R79" s="885"/>
      <c r="S79" s="885"/>
      <c r="T79" s="885"/>
      <c r="U79" s="885"/>
      <c r="V79" s="885"/>
      <c r="W79" s="885"/>
      <c r="X79" s="885"/>
      <c r="Y79" s="885"/>
      <c r="Z79" s="885"/>
    </row>
    <row r="80" ht="15.75" customHeight="1">
      <c r="A80" s="3"/>
      <c r="B80" s="884"/>
      <c r="C80" s="884"/>
      <c r="D80" s="3"/>
      <c r="E80" s="885"/>
      <c r="I80" s="885"/>
      <c r="J80" s="885"/>
      <c r="K80" s="885"/>
      <c r="L80" s="885"/>
      <c r="M80" s="885"/>
      <c r="N80" s="887"/>
      <c r="O80" s="885"/>
      <c r="P80" s="885"/>
      <c r="Q80" s="885"/>
      <c r="R80" s="885"/>
      <c r="S80" s="885"/>
      <c r="T80" s="885"/>
      <c r="U80" s="885"/>
      <c r="V80" s="885"/>
      <c r="W80" s="885"/>
      <c r="X80" s="885"/>
      <c r="Y80" s="885"/>
      <c r="Z80" s="885"/>
    </row>
    <row r="81" ht="15.75" customHeight="1">
      <c r="A81" s="3"/>
      <c r="B81" s="884"/>
      <c r="C81" s="884"/>
      <c r="D81" s="3"/>
      <c r="E81" s="885"/>
      <c r="I81" s="885"/>
      <c r="J81" s="885"/>
      <c r="K81" s="885"/>
      <c r="L81" s="885"/>
      <c r="M81" s="885"/>
      <c r="N81" s="887"/>
      <c r="O81" s="885"/>
      <c r="P81" s="885"/>
      <c r="Q81" s="885"/>
      <c r="R81" s="885"/>
      <c r="S81" s="885"/>
      <c r="T81" s="885"/>
      <c r="U81" s="885"/>
      <c r="V81" s="885"/>
      <c r="W81" s="885"/>
      <c r="X81" s="885"/>
      <c r="Y81" s="885"/>
      <c r="Z81" s="885"/>
    </row>
    <row r="82" ht="15.75" customHeight="1">
      <c r="C82" s="884"/>
      <c r="D82" s="3"/>
      <c r="E82" s="885"/>
      <c r="I82" s="885"/>
      <c r="J82" s="885"/>
      <c r="K82" s="885"/>
      <c r="L82" s="885"/>
      <c r="M82" s="885"/>
      <c r="N82" s="887"/>
      <c r="O82" s="885"/>
      <c r="P82" s="885"/>
      <c r="Q82" s="885"/>
      <c r="R82" s="885"/>
      <c r="S82" s="885"/>
      <c r="T82" s="885"/>
      <c r="U82" s="885"/>
      <c r="V82" s="885"/>
      <c r="W82" s="885"/>
      <c r="X82" s="885"/>
      <c r="Y82" s="885"/>
      <c r="Z82" s="885"/>
    </row>
    <row r="83" ht="15.75" customHeight="1">
      <c r="C83" s="884"/>
      <c r="D83" s="3"/>
      <c r="E83" s="885"/>
      <c r="I83" s="885"/>
      <c r="J83" s="885"/>
      <c r="K83" s="885"/>
      <c r="L83" s="885"/>
      <c r="M83" s="885"/>
      <c r="N83" s="887"/>
      <c r="O83" s="885"/>
      <c r="P83" s="885"/>
      <c r="Q83" s="50"/>
      <c r="R83" s="885"/>
      <c r="S83" s="885"/>
      <c r="T83" s="885"/>
      <c r="U83" s="885"/>
      <c r="V83" s="885"/>
      <c r="W83" s="885"/>
      <c r="X83" s="885"/>
      <c r="Y83" s="885"/>
      <c r="Z83" s="885"/>
    </row>
    <row r="84" ht="15.75" customHeight="1">
      <c r="A84" s="3"/>
      <c r="B84" s="884"/>
      <c r="C84" s="884"/>
      <c r="D84" s="3"/>
      <c r="E84" s="885"/>
      <c r="I84" s="885"/>
      <c r="J84" s="885"/>
      <c r="K84" s="885"/>
      <c r="L84" s="885"/>
      <c r="M84" s="885"/>
      <c r="N84" s="887"/>
      <c r="O84" s="885"/>
      <c r="P84" s="885"/>
      <c r="Q84" s="50"/>
      <c r="R84" s="885"/>
      <c r="S84" s="885"/>
      <c r="T84" s="885"/>
      <c r="U84" s="885"/>
      <c r="V84" s="885"/>
      <c r="W84" s="885"/>
      <c r="X84" s="885"/>
      <c r="Y84" s="885"/>
      <c r="Z84" s="885"/>
    </row>
    <row r="85" ht="15.75" customHeight="1">
      <c r="A85" s="3"/>
      <c r="B85" s="884"/>
      <c r="C85" s="884"/>
      <c r="D85" s="3"/>
      <c r="E85" s="885"/>
      <c r="F85" s="3"/>
      <c r="G85" s="3"/>
      <c r="H85" s="886"/>
      <c r="I85" s="885"/>
      <c r="J85" s="885"/>
      <c r="K85" s="885"/>
      <c r="L85" s="885"/>
      <c r="M85" s="885"/>
      <c r="N85" s="887"/>
      <c r="O85" s="885"/>
      <c r="P85" s="885"/>
      <c r="Q85" s="50"/>
      <c r="R85" s="885"/>
      <c r="S85" s="885"/>
      <c r="T85" s="885"/>
      <c r="U85" s="885"/>
      <c r="V85" s="885"/>
      <c r="W85" s="885"/>
      <c r="X85" s="885"/>
      <c r="Y85" s="885"/>
      <c r="Z85" s="885"/>
    </row>
    <row r="86" ht="15.75" customHeight="1">
      <c r="A86" s="3"/>
      <c r="B86" s="884"/>
      <c r="C86" s="884"/>
      <c r="D86" s="3"/>
      <c r="E86" s="885"/>
      <c r="F86" s="3"/>
      <c r="G86" s="3"/>
      <c r="H86" s="886"/>
      <c r="I86" s="885"/>
      <c r="J86" s="885"/>
      <c r="K86" s="885"/>
      <c r="L86" s="885"/>
      <c r="M86" s="885"/>
      <c r="N86" s="887"/>
      <c r="O86" s="885"/>
      <c r="P86" s="885"/>
      <c r="Q86" s="50"/>
      <c r="R86" s="885"/>
      <c r="S86" s="885"/>
      <c r="T86" s="885"/>
      <c r="U86" s="885"/>
      <c r="V86" s="885"/>
      <c r="W86" s="885"/>
      <c r="X86" s="885"/>
      <c r="Y86" s="885"/>
      <c r="Z86" s="885"/>
    </row>
    <row r="87" ht="15.75" customHeight="1">
      <c r="A87" s="3"/>
      <c r="B87" s="884"/>
      <c r="C87" s="884"/>
      <c r="D87" s="3"/>
      <c r="E87" s="885"/>
      <c r="F87" s="3"/>
      <c r="G87" s="3"/>
      <c r="H87" s="886"/>
      <c r="I87" s="885"/>
      <c r="J87" s="885"/>
      <c r="K87" s="885"/>
      <c r="L87" s="885"/>
      <c r="M87" s="885"/>
      <c r="N87" s="887"/>
      <c r="O87" s="885"/>
      <c r="P87" s="885"/>
      <c r="Q87" s="50"/>
      <c r="R87" s="885"/>
      <c r="S87" s="885"/>
      <c r="T87" s="885"/>
      <c r="U87" s="885"/>
      <c r="V87" s="885"/>
      <c r="W87" s="885"/>
      <c r="X87" s="885"/>
      <c r="Y87" s="885"/>
      <c r="Z87" s="885"/>
    </row>
    <row r="88" ht="15.75" customHeight="1">
      <c r="A88" s="3"/>
      <c r="B88" s="884"/>
      <c r="C88" s="884"/>
      <c r="D88" s="3"/>
      <c r="E88" s="885"/>
      <c r="F88" s="3"/>
      <c r="G88" s="3"/>
      <c r="H88" s="886"/>
      <c r="I88" s="885"/>
      <c r="J88" s="885"/>
      <c r="K88" s="885"/>
      <c r="L88" s="885"/>
      <c r="M88" s="885"/>
      <c r="N88" s="887"/>
      <c r="O88" s="885"/>
      <c r="P88" s="885"/>
      <c r="Q88" s="50"/>
      <c r="R88" s="885"/>
      <c r="S88" s="885"/>
      <c r="T88" s="885"/>
      <c r="U88" s="885"/>
      <c r="V88" s="885"/>
      <c r="W88" s="885"/>
      <c r="X88" s="885"/>
      <c r="Y88" s="885"/>
      <c r="Z88" s="885"/>
    </row>
    <row r="89" ht="15.75" customHeight="1">
      <c r="A89" s="3"/>
      <c r="B89" s="884"/>
      <c r="C89" s="884"/>
      <c r="D89" s="3"/>
      <c r="E89" s="885"/>
      <c r="F89" s="3"/>
      <c r="G89" s="3"/>
      <c r="H89" s="886"/>
      <c r="I89" s="885"/>
      <c r="J89" s="885"/>
      <c r="K89" s="885"/>
      <c r="L89" s="885"/>
      <c r="M89" s="885"/>
      <c r="N89" s="887"/>
      <c r="O89" s="885"/>
      <c r="P89" s="885"/>
      <c r="Q89" s="50"/>
      <c r="R89" s="885"/>
      <c r="S89" s="885"/>
      <c r="T89" s="885"/>
      <c r="U89" s="885"/>
      <c r="V89" s="885"/>
      <c r="W89" s="885"/>
      <c r="X89" s="885"/>
      <c r="Y89" s="885"/>
      <c r="Z89" s="885"/>
    </row>
    <row r="90" ht="15.75" customHeight="1">
      <c r="C90" s="884"/>
      <c r="D90" s="3"/>
      <c r="E90" s="3"/>
      <c r="F90" s="3"/>
      <c r="G90" s="3"/>
      <c r="H90" s="886"/>
      <c r="I90" s="3"/>
      <c r="J90" s="885"/>
      <c r="K90" s="885"/>
      <c r="L90" s="885"/>
      <c r="M90" s="885"/>
      <c r="N90" s="887"/>
      <c r="O90" s="885"/>
      <c r="P90" s="885"/>
      <c r="Q90" s="50"/>
      <c r="R90" s="885"/>
      <c r="S90" s="885"/>
      <c r="T90" s="885"/>
      <c r="U90" s="885"/>
      <c r="V90" s="885"/>
      <c r="W90" s="885"/>
      <c r="X90" s="885"/>
      <c r="Y90" s="885"/>
      <c r="Z90" s="885"/>
    </row>
    <row r="91" ht="15.75" customHeight="1">
      <c r="A91" s="3"/>
      <c r="B91" s="884"/>
      <c r="C91" s="884"/>
      <c r="D91" s="3"/>
      <c r="E91" s="3"/>
      <c r="F91" s="3"/>
      <c r="G91" s="3"/>
      <c r="H91" s="886"/>
      <c r="I91" s="3"/>
      <c r="J91" s="885"/>
      <c r="K91" s="885"/>
      <c r="L91" s="885"/>
      <c r="M91" s="885"/>
      <c r="N91" s="887"/>
      <c r="O91" s="885"/>
      <c r="P91" s="885"/>
      <c r="Q91" s="50"/>
      <c r="R91" s="885"/>
      <c r="S91" s="885"/>
      <c r="T91" s="885"/>
      <c r="U91" s="885"/>
      <c r="V91" s="885"/>
      <c r="W91" s="885"/>
      <c r="X91" s="885"/>
      <c r="Y91" s="885"/>
      <c r="Z91" s="885"/>
    </row>
    <row r="92" ht="15.75" customHeight="1">
      <c r="A92" s="3"/>
      <c r="B92" s="884"/>
      <c r="C92" s="884"/>
      <c r="D92" s="3"/>
      <c r="E92" s="3"/>
      <c r="F92" s="885"/>
      <c r="G92" s="885"/>
      <c r="H92" s="900" t="s">
        <v>1717</v>
      </c>
      <c r="I92" s="3"/>
      <c r="J92" s="885"/>
      <c r="K92" s="885"/>
      <c r="L92" s="885"/>
      <c r="M92" s="885"/>
      <c r="N92" s="917" t="s">
        <v>1718</v>
      </c>
      <c r="O92" s="885"/>
      <c r="P92" s="885"/>
      <c r="Q92" s="50"/>
      <c r="R92" s="885"/>
      <c r="S92" s="885"/>
      <c r="T92" s="885"/>
      <c r="U92" s="885"/>
      <c r="V92" s="885"/>
      <c r="W92" s="885"/>
      <c r="X92" s="885"/>
      <c r="Y92" s="885"/>
      <c r="Z92" s="885"/>
    </row>
    <row r="93" ht="15.75" customHeight="1">
      <c r="C93" s="884"/>
      <c r="D93" s="3"/>
      <c r="E93" s="3"/>
      <c r="F93" s="3"/>
      <c r="G93" s="10" t="s">
        <v>1666</v>
      </c>
      <c r="H93" s="886"/>
      <c r="I93" s="3"/>
      <c r="J93" s="885"/>
      <c r="K93" s="885"/>
      <c r="L93" s="885"/>
      <c r="N93" s="887"/>
      <c r="O93" s="885"/>
      <c r="P93" s="885"/>
      <c r="Q93" s="50"/>
      <c r="R93" s="885"/>
      <c r="S93" s="885"/>
      <c r="T93" s="885"/>
      <c r="U93" s="885"/>
      <c r="V93" s="885"/>
      <c r="W93" s="885"/>
      <c r="X93" s="885"/>
      <c r="Y93" s="885"/>
      <c r="Z93" s="885"/>
    </row>
    <row r="94" ht="15.75" customHeight="1">
      <c r="C94" s="884"/>
      <c r="D94" s="3"/>
      <c r="E94" s="885"/>
      <c r="F94" s="3" t="s">
        <v>1719</v>
      </c>
      <c r="G94" s="3"/>
      <c r="H94" s="886">
        <v>0.0</v>
      </c>
      <c r="I94" s="885"/>
      <c r="J94" s="885"/>
      <c r="K94" s="885"/>
      <c r="L94" s="885"/>
      <c r="M94" s="885"/>
      <c r="N94" s="892">
        <v>0.0</v>
      </c>
      <c r="O94" s="885"/>
      <c r="P94" s="885"/>
      <c r="Q94" s="50"/>
      <c r="R94" s="885"/>
      <c r="S94" s="885"/>
      <c r="T94" s="885"/>
      <c r="U94" s="885"/>
      <c r="V94" s="885"/>
      <c r="W94" s="885"/>
      <c r="X94" s="885"/>
      <c r="Y94" s="885"/>
      <c r="Z94" s="885"/>
    </row>
    <row r="95" ht="15.75" customHeight="1">
      <c r="C95" s="884"/>
      <c r="D95" s="3"/>
      <c r="E95" s="885"/>
      <c r="F95" s="3" t="s">
        <v>680</v>
      </c>
      <c r="G95" s="3"/>
      <c r="H95" s="900">
        <v>0.0</v>
      </c>
      <c r="I95" s="885"/>
      <c r="J95" s="883" t="s">
        <v>1720</v>
      </c>
      <c r="K95" s="885"/>
      <c r="L95" s="885"/>
      <c r="M95" s="885"/>
      <c r="N95" s="918">
        <v>30.0</v>
      </c>
      <c r="O95" s="885"/>
      <c r="P95" s="885"/>
      <c r="Q95" s="50"/>
      <c r="R95" s="885"/>
      <c r="S95" s="885"/>
      <c r="T95" s="885"/>
      <c r="U95" s="885"/>
      <c r="V95" s="885"/>
      <c r="W95" s="885"/>
      <c r="X95" s="885"/>
      <c r="Y95" s="885"/>
      <c r="Z95" s="885"/>
    </row>
    <row r="96" ht="15.75" customHeight="1">
      <c r="C96" s="884"/>
      <c r="D96" s="3"/>
      <c r="E96" s="885"/>
      <c r="F96" s="895" t="s">
        <v>823</v>
      </c>
      <c r="G96" s="3"/>
      <c r="H96" s="900">
        <v>0.0</v>
      </c>
      <c r="I96" s="885"/>
      <c r="J96" s="885"/>
      <c r="K96" s="885"/>
      <c r="L96" s="885"/>
      <c r="M96" s="885"/>
      <c r="N96" s="918">
        <v>0.0</v>
      </c>
      <c r="O96" s="885"/>
      <c r="P96" s="885"/>
      <c r="Q96" s="50"/>
      <c r="R96" s="885"/>
      <c r="S96" s="885"/>
      <c r="T96" s="885"/>
      <c r="U96" s="885"/>
      <c r="V96" s="885"/>
      <c r="W96" s="885"/>
      <c r="X96" s="885"/>
      <c r="Y96" s="885"/>
      <c r="Z96" s="885"/>
    </row>
    <row r="97" ht="15.75" customHeight="1">
      <c r="C97" s="884"/>
      <c r="D97" s="3"/>
      <c r="E97" s="885"/>
      <c r="F97" s="895" t="s">
        <v>1265</v>
      </c>
      <c r="G97" s="3"/>
      <c r="H97" s="900">
        <v>0.0</v>
      </c>
      <c r="I97" s="885"/>
      <c r="J97" s="885"/>
      <c r="K97" s="885"/>
      <c r="L97" s="885"/>
      <c r="M97" s="885"/>
      <c r="N97" s="918">
        <v>5.0</v>
      </c>
      <c r="O97" s="885"/>
      <c r="P97" s="885"/>
      <c r="Q97" s="50"/>
      <c r="R97" s="885"/>
      <c r="S97" s="885"/>
      <c r="T97" s="885"/>
      <c r="U97" s="885"/>
      <c r="V97" s="885"/>
      <c r="W97" s="885"/>
      <c r="X97" s="885"/>
      <c r="Y97" s="885"/>
      <c r="Z97" s="885"/>
    </row>
    <row r="98" ht="15.75" customHeight="1">
      <c r="A98" s="3"/>
      <c r="B98" s="884"/>
      <c r="C98" s="884"/>
      <c r="D98" s="3"/>
      <c r="E98" s="885"/>
      <c r="M98" s="885"/>
      <c r="N98" s="892">
        <v>25.0</v>
      </c>
      <c r="O98" s="885"/>
      <c r="P98" s="895" t="s">
        <v>770</v>
      </c>
      <c r="Q98" s="3" t="s">
        <v>89</v>
      </c>
      <c r="R98" s="900">
        <v>26.0</v>
      </c>
      <c r="T98" s="725" t="s">
        <v>1721</v>
      </c>
      <c r="U98" s="885"/>
      <c r="V98" s="885"/>
      <c r="W98" s="885"/>
      <c r="X98" s="885"/>
      <c r="Y98" s="885"/>
      <c r="Z98" s="885"/>
    </row>
    <row r="99" ht="15.75" customHeight="1">
      <c r="A99" s="3"/>
      <c r="B99" s="884"/>
      <c r="C99" s="884"/>
      <c r="D99" s="3"/>
      <c r="E99" s="885"/>
      <c r="F99" s="725" t="s">
        <v>677</v>
      </c>
      <c r="H99" s="886">
        <f>N97+'3) Sorter'!K2</f>
        <v>11</v>
      </c>
      <c r="M99" s="885"/>
      <c r="N99" s="892">
        <v>27.0</v>
      </c>
      <c r="O99" s="885"/>
      <c r="P99" s="725" t="s">
        <v>671</v>
      </c>
      <c r="Q99" s="725" t="s">
        <v>89</v>
      </c>
      <c r="R99" s="725">
        <v>21.0</v>
      </c>
      <c r="U99" s="885"/>
      <c r="V99" s="885"/>
      <c r="W99" s="885"/>
      <c r="X99" s="885"/>
      <c r="Y99" s="885"/>
      <c r="Z99" s="885"/>
    </row>
    <row r="100" ht="15.75" customHeight="1">
      <c r="A100" s="3"/>
      <c r="B100" s="884"/>
      <c r="C100" s="884"/>
      <c r="D100" s="3"/>
      <c r="E100" s="885"/>
      <c r="F100" s="3" t="s">
        <v>656</v>
      </c>
      <c r="G100" s="3"/>
      <c r="H100" s="886">
        <f>N98+'3) Sorter'!K2</f>
        <v>31</v>
      </c>
      <c r="I100" s="885"/>
      <c r="J100" s="885"/>
      <c r="K100" s="885"/>
      <c r="L100" s="885"/>
      <c r="M100" s="885"/>
      <c r="N100" s="892">
        <v>26.0</v>
      </c>
      <c r="O100" s="885"/>
      <c r="P100" s="885"/>
      <c r="Q100" s="50"/>
      <c r="R100" s="885"/>
      <c r="S100" s="885"/>
      <c r="T100" s="885"/>
      <c r="U100" s="885"/>
      <c r="V100" s="885"/>
      <c r="W100" s="885"/>
      <c r="X100" s="885"/>
      <c r="Y100" s="885"/>
      <c r="Z100" s="885"/>
    </row>
    <row r="101" ht="15.75" customHeight="1">
      <c r="A101" s="3"/>
      <c r="B101" s="884"/>
      <c r="C101" s="884"/>
      <c r="D101" s="3"/>
      <c r="E101" s="885"/>
      <c r="F101" s="3" t="s">
        <v>963</v>
      </c>
      <c r="G101" s="3" t="s">
        <v>1722</v>
      </c>
      <c r="H101" s="886">
        <f>(N99+'3) Sorter'!K2)</f>
        <v>33</v>
      </c>
      <c r="I101" s="885"/>
      <c r="J101" s="885"/>
      <c r="K101" s="885"/>
      <c r="L101" s="885"/>
      <c r="M101" s="885"/>
      <c r="N101" s="892">
        <v>27.0</v>
      </c>
      <c r="O101" s="885"/>
      <c r="P101" s="885"/>
      <c r="Q101" s="50"/>
      <c r="R101" s="885"/>
      <c r="S101" s="885"/>
      <c r="T101" s="885"/>
      <c r="U101" s="885"/>
      <c r="V101" s="885"/>
      <c r="W101" s="885"/>
      <c r="X101" s="885"/>
      <c r="Y101" s="885"/>
      <c r="Z101" s="885"/>
    </row>
    <row r="102" ht="15.75" customHeight="1">
      <c r="C102" s="884"/>
      <c r="D102" s="3"/>
      <c r="E102" s="885"/>
      <c r="F102" s="3" t="s">
        <v>668</v>
      </c>
      <c r="G102" s="3" t="s">
        <v>190</v>
      </c>
      <c r="H102" s="886">
        <f>(N100+'3) Sorter'!K2)</f>
        <v>32</v>
      </c>
      <c r="I102" s="885"/>
      <c r="J102" s="885"/>
      <c r="K102" s="885"/>
      <c r="L102" s="885"/>
      <c r="M102" s="885"/>
      <c r="N102" s="892">
        <v>27.0</v>
      </c>
      <c r="O102" s="885"/>
      <c r="P102" s="885"/>
      <c r="Q102" s="50"/>
      <c r="R102" s="885"/>
      <c r="S102" s="885"/>
      <c r="T102" s="885"/>
      <c r="U102" s="885"/>
      <c r="V102" s="885"/>
      <c r="W102" s="885"/>
      <c r="X102" s="885"/>
      <c r="Y102" s="885"/>
      <c r="Z102" s="885"/>
    </row>
    <row r="103" ht="15.75" customHeight="1">
      <c r="A103" s="3" t="s">
        <v>1723</v>
      </c>
      <c r="B103" s="884" t="s">
        <v>1265</v>
      </c>
      <c r="C103" s="884"/>
      <c r="D103" s="3"/>
      <c r="E103" s="885"/>
      <c r="F103" s="3" t="s">
        <v>1710</v>
      </c>
      <c r="G103" s="3"/>
      <c r="H103" s="886">
        <f>(N101+'3) Sorter'!K2)</f>
        <v>33</v>
      </c>
      <c r="I103" s="885"/>
      <c r="J103" s="885"/>
      <c r="K103" s="885"/>
      <c r="L103" s="885"/>
      <c r="M103" s="885"/>
      <c r="N103" s="892">
        <v>27.0</v>
      </c>
      <c r="O103" s="885"/>
      <c r="P103" s="885"/>
      <c r="Q103" s="50"/>
      <c r="R103" s="885"/>
      <c r="S103" s="885"/>
      <c r="T103" s="885"/>
      <c r="U103" s="885"/>
      <c r="V103" s="885"/>
      <c r="W103" s="885"/>
      <c r="X103" s="885"/>
      <c r="Y103" s="885"/>
      <c r="Z103" s="885"/>
    </row>
    <row r="104" ht="15.75" customHeight="1">
      <c r="A104" s="3" t="s">
        <v>1724</v>
      </c>
      <c r="B104" s="884" t="s">
        <v>1265</v>
      </c>
      <c r="C104" s="884"/>
      <c r="D104" s="3"/>
      <c r="E104" s="885"/>
      <c r="F104" s="3" t="s">
        <v>663</v>
      </c>
      <c r="G104" s="3" t="s">
        <v>1710</v>
      </c>
      <c r="H104" s="886">
        <f>(N102+'3) Sorter'!K2)</f>
        <v>33</v>
      </c>
      <c r="I104" s="885"/>
      <c r="J104" s="885"/>
      <c r="K104" s="885"/>
      <c r="L104" s="885"/>
      <c r="M104" s="885"/>
      <c r="N104" s="892">
        <v>4.0</v>
      </c>
      <c r="O104" s="885"/>
      <c r="P104" s="885"/>
      <c r="Q104" s="50"/>
      <c r="R104" s="885"/>
      <c r="S104" s="885"/>
      <c r="T104" s="885"/>
      <c r="U104" s="885"/>
      <c r="V104" s="885"/>
      <c r="W104" s="885"/>
      <c r="X104" s="885"/>
      <c r="Y104" s="885"/>
      <c r="Z104" s="885"/>
    </row>
    <row r="105" ht="15.75" customHeight="1">
      <c r="A105" s="3" t="s">
        <v>1725</v>
      </c>
      <c r="B105" s="884" t="s">
        <v>1265</v>
      </c>
      <c r="C105" s="884"/>
      <c r="D105" s="3"/>
      <c r="E105" s="885"/>
      <c r="F105" s="3" t="s">
        <v>188</v>
      </c>
      <c r="G105" s="3"/>
      <c r="H105" s="886">
        <f>(N103+'3) Sorter'!K2)</f>
        <v>33</v>
      </c>
      <c r="I105" s="885"/>
      <c r="J105" s="885"/>
      <c r="K105" s="885"/>
      <c r="L105" s="885"/>
      <c r="M105" s="885"/>
      <c r="N105" s="918">
        <v>16.75</v>
      </c>
      <c r="O105" s="885"/>
      <c r="P105" s="885"/>
      <c r="Q105" s="885"/>
      <c r="R105" s="885"/>
      <c r="S105" s="885"/>
      <c r="T105" s="885"/>
      <c r="U105" s="885"/>
      <c r="V105" s="885"/>
      <c r="W105" s="885"/>
      <c r="X105" s="885"/>
      <c r="Y105" s="885"/>
      <c r="Z105" s="885"/>
    </row>
    <row r="106" ht="15.75" customHeight="1">
      <c r="A106" s="3" t="s">
        <v>1726</v>
      </c>
      <c r="B106" s="884" t="s">
        <v>1265</v>
      </c>
      <c r="C106" s="884"/>
      <c r="D106" s="3"/>
      <c r="E106" s="885"/>
      <c r="F106" s="3" t="s">
        <v>1727</v>
      </c>
      <c r="G106" s="3"/>
      <c r="H106" s="900">
        <v>4.0</v>
      </c>
      <c r="I106" s="885"/>
      <c r="J106" s="885"/>
      <c r="K106" s="885"/>
      <c r="L106" s="885"/>
      <c r="M106" s="885"/>
      <c r="N106" s="918">
        <v>28.0</v>
      </c>
      <c r="O106" s="885"/>
      <c r="P106" s="885"/>
      <c r="Q106" s="885"/>
      <c r="R106" s="885"/>
      <c r="S106" s="885"/>
      <c r="T106" s="885"/>
      <c r="U106" s="885"/>
      <c r="V106" s="885"/>
      <c r="W106" s="885"/>
      <c r="X106" s="885"/>
      <c r="Y106" s="885"/>
      <c r="Z106" s="885"/>
    </row>
    <row r="107" ht="15.0" customHeight="1">
      <c r="A107" s="3" t="s">
        <v>1728</v>
      </c>
      <c r="B107" s="884" t="s">
        <v>1265</v>
      </c>
      <c r="C107" s="884"/>
      <c r="D107" s="3"/>
      <c r="E107" s="885"/>
      <c r="F107" s="895"/>
      <c r="G107" s="3"/>
      <c r="H107" s="900"/>
      <c r="I107" s="885"/>
      <c r="J107" s="885">
        <f>18/24</f>
        <v>0.75</v>
      </c>
      <c r="K107" s="885"/>
      <c r="L107" s="885"/>
      <c r="M107" s="885"/>
      <c r="N107" s="918">
        <v>30.0</v>
      </c>
      <c r="O107" s="885"/>
      <c r="P107" s="885"/>
      <c r="Q107" s="885"/>
      <c r="R107" s="885"/>
      <c r="S107" s="885"/>
      <c r="T107" s="885"/>
      <c r="U107" s="885"/>
      <c r="V107" s="885"/>
      <c r="W107" s="885"/>
      <c r="X107" s="885"/>
      <c r="Y107" s="885"/>
      <c r="Z107" s="885"/>
    </row>
    <row r="108" ht="15.0" customHeight="1">
      <c r="A108" s="3" t="s">
        <v>1729</v>
      </c>
      <c r="B108" s="884" t="s">
        <v>1265</v>
      </c>
      <c r="C108" s="884"/>
      <c r="D108" s="3"/>
      <c r="E108" s="885"/>
      <c r="F108" s="3" t="s">
        <v>720</v>
      </c>
      <c r="G108" s="3" t="s">
        <v>251</v>
      </c>
      <c r="H108" s="900">
        <f>(N106+'3) Sorter'!K2)</f>
        <v>34</v>
      </c>
      <c r="I108" s="885"/>
      <c r="J108" s="885"/>
      <c r="K108" s="885"/>
      <c r="L108" s="885"/>
      <c r="M108" s="885"/>
      <c r="N108" s="918">
        <v>31.0</v>
      </c>
      <c r="O108" s="885"/>
      <c r="P108" s="885"/>
      <c r="Q108" s="885"/>
      <c r="R108" s="885"/>
      <c r="S108" s="885"/>
      <c r="T108" s="885"/>
      <c r="U108" s="885"/>
      <c r="V108" s="885"/>
      <c r="W108" s="885"/>
      <c r="X108" s="885"/>
      <c r="Y108" s="885"/>
      <c r="Z108" s="885"/>
    </row>
    <row r="109" ht="15.0" customHeight="1">
      <c r="A109" s="3" t="s">
        <v>1730</v>
      </c>
      <c r="B109" s="884" t="s">
        <v>1265</v>
      </c>
      <c r="C109" s="884"/>
      <c r="D109" s="3"/>
      <c r="E109" s="885"/>
      <c r="F109" s="3" t="s">
        <v>957</v>
      </c>
      <c r="G109" s="3" t="s">
        <v>1731</v>
      </c>
      <c r="H109" s="900">
        <f>(N107+'3) Sorter'!K2)</f>
        <v>36</v>
      </c>
      <c r="I109" s="885"/>
      <c r="J109" s="885"/>
      <c r="K109" s="885"/>
      <c r="L109" s="885"/>
      <c r="M109" s="885"/>
      <c r="N109" s="892">
        <v>18.0</v>
      </c>
      <c r="O109" s="885"/>
      <c r="P109" s="885"/>
      <c r="Q109" s="885"/>
      <c r="R109" s="885"/>
      <c r="S109" s="885"/>
      <c r="T109" s="885"/>
      <c r="U109" s="885"/>
      <c r="V109" s="885"/>
      <c r="W109" s="885"/>
      <c r="X109" s="885"/>
      <c r="Y109" s="885"/>
      <c r="Z109" s="885"/>
    </row>
    <row r="110" ht="15.0" customHeight="1">
      <c r="A110" s="3" t="s">
        <v>1732</v>
      </c>
      <c r="B110" s="884" t="s">
        <v>1265</v>
      </c>
      <c r="C110" s="884"/>
      <c r="D110" s="3"/>
      <c r="E110" s="885"/>
      <c r="F110" s="3" t="s">
        <v>703</v>
      </c>
      <c r="G110" s="3" t="s">
        <v>1712</v>
      </c>
      <c r="H110" s="900">
        <f>(N108+'3) Sorter'!K2)</f>
        <v>37</v>
      </c>
      <c r="I110" s="885"/>
      <c r="J110" s="885"/>
      <c r="K110" s="885"/>
      <c r="L110" s="885"/>
      <c r="M110" s="885"/>
      <c r="N110" s="918">
        <v>31.0</v>
      </c>
      <c r="O110" s="885"/>
      <c r="P110" s="885"/>
      <c r="Q110" s="885"/>
      <c r="R110" s="885"/>
      <c r="S110" s="885"/>
      <c r="T110" s="885"/>
      <c r="U110" s="885"/>
      <c r="V110" s="885"/>
      <c r="W110" s="885"/>
      <c r="X110" s="885"/>
      <c r="Y110" s="885"/>
      <c r="Z110" s="885"/>
    </row>
    <row r="111" ht="15.0" customHeight="1">
      <c r="A111" s="3" t="s">
        <v>1733</v>
      </c>
      <c r="B111" s="884" t="s">
        <v>1265</v>
      </c>
      <c r="C111" s="884"/>
      <c r="D111" s="3"/>
      <c r="E111" s="885"/>
      <c r="F111" s="3" t="s">
        <v>745</v>
      </c>
      <c r="G111" s="3" t="s">
        <v>1734</v>
      </c>
      <c r="H111" s="900">
        <v>18.0</v>
      </c>
      <c r="I111" s="885"/>
      <c r="J111" s="885"/>
      <c r="K111" s="885"/>
      <c r="L111" s="885"/>
      <c r="M111" s="885"/>
      <c r="N111" s="918">
        <v>28.0</v>
      </c>
      <c r="O111" s="885"/>
      <c r="P111" s="885"/>
      <c r="Q111" s="885"/>
      <c r="R111" s="885"/>
      <c r="S111" s="885"/>
      <c r="T111" s="885"/>
      <c r="U111" s="885"/>
      <c r="V111" s="885"/>
      <c r="W111" s="885"/>
      <c r="X111" s="885"/>
      <c r="Y111" s="885"/>
      <c r="Z111" s="885"/>
    </row>
    <row r="112" ht="15.0" customHeight="1">
      <c r="A112" s="3" t="s">
        <v>1735</v>
      </c>
      <c r="B112" s="884" t="s">
        <v>1265</v>
      </c>
      <c r="C112" s="884"/>
      <c r="D112" s="3"/>
      <c r="E112" s="885"/>
      <c r="F112" s="3" t="s">
        <v>1327</v>
      </c>
      <c r="G112" s="3"/>
      <c r="H112" s="900">
        <f>(N110+'3) Sorter'!K2)</f>
        <v>37</v>
      </c>
      <c r="I112" s="885"/>
      <c r="J112" s="885"/>
      <c r="K112" s="885"/>
      <c r="L112" s="885"/>
      <c r="M112" s="885"/>
      <c r="N112" s="892">
        <v>33.0</v>
      </c>
      <c r="O112" s="885"/>
      <c r="P112" s="885"/>
      <c r="Q112" s="885"/>
      <c r="R112" s="885"/>
      <c r="S112" s="885"/>
      <c r="T112" s="885"/>
      <c r="U112" s="885"/>
      <c r="V112" s="885"/>
      <c r="W112" s="885"/>
      <c r="X112" s="885"/>
      <c r="Y112" s="885"/>
      <c r="Z112" s="885"/>
    </row>
    <row r="113" ht="15.0" customHeight="1">
      <c r="A113" s="3" t="s">
        <v>1736</v>
      </c>
      <c r="B113" s="884" t="s">
        <v>1265</v>
      </c>
      <c r="C113" s="884"/>
      <c r="D113" s="3"/>
      <c r="E113" s="885"/>
      <c r="F113" s="3" t="s">
        <v>668</v>
      </c>
      <c r="G113" s="3"/>
      <c r="H113" s="900">
        <f>(N111+'3) Sorter'!K2)</f>
        <v>34</v>
      </c>
      <c r="I113" s="885"/>
      <c r="J113" s="885"/>
      <c r="K113" s="885"/>
      <c r="L113" s="885"/>
      <c r="M113" s="885"/>
      <c r="N113" s="892">
        <v>31.0</v>
      </c>
      <c r="O113" s="885"/>
      <c r="P113" s="885"/>
      <c r="Q113" s="885"/>
      <c r="R113" s="885"/>
      <c r="S113" s="885"/>
      <c r="T113" s="885"/>
      <c r="U113" s="885"/>
      <c r="V113" s="885"/>
      <c r="W113" s="885"/>
      <c r="X113" s="885"/>
      <c r="Y113" s="885"/>
      <c r="Z113" s="885"/>
    </row>
    <row r="114" ht="15.0" customHeight="1">
      <c r="A114" s="3" t="s">
        <v>1737</v>
      </c>
      <c r="B114" s="884" t="s">
        <v>1265</v>
      </c>
      <c r="C114" s="884"/>
      <c r="D114" s="3"/>
      <c r="E114" s="885"/>
      <c r="F114" s="3" t="s">
        <v>755</v>
      </c>
      <c r="G114" s="3" t="s">
        <v>1705</v>
      </c>
      <c r="H114" s="886">
        <f>(N112+'3) Sorter'!K2)</f>
        <v>39</v>
      </c>
      <c r="I114" s="885"/>
      <c r="J114" s="885"/>
      <c r="K114" s="885"/>
      <c r="L114" s="885"/>
      <c r="M114" s="885"/>
      <c r="N114" s="892">
        <v>25.0</v>
      </c>
      <c r="O114" s="885"/>
      <c r="P114" s="885"/>
      <c r="Q114" s="885"/>
      <c r="R114" s="885"/>
      <c r="S114" s="885"/>
      <c r="T114" s="885"/>
      <c r="U114" s="885"/>
      <c r="V114" s="885"/>
      <c r="W114" s="885"/>
      <c r="X114" s="885"/>
      <c r="Y114" s="885"/>
      <c r="Z114" s="885"/>
    </row>
    <row r="115" ht="15.0" customHeight="1">
      <c r="A115" s="884" t="s">
        <v>1738</v>
      </c>
      <c r="B115" s="884" t="s">
        <v>1265</v>
      </c>
      <c r="C115" s="885"/>
      <c r="D115" s="3"/>
      <c r="E115" s="885"/>
      <c r="F115" s="3" t="s">
        <v>809</v>
      </c>
      <c r="G115" s="3" t="s">
        <v>1739</v>
      </c>
      <c r="H115" s="886">
        <f>(N113+'3) Sorter'!K2)</f>
        <v>37</v>
      </c>
      <c r="I115" s="885"/>
      <c r="J115" s="885"/>
      <c r="K115" s="885"/>
      <c r="L115" s="885"/>
      <c r="M115" s="885"/>
      <c r="N115" s="892">
        <v>14.0</v>
      </c>
      <c r="O115" s="885"/>
      <c r="P115" s="885"/>
      <c r="Q115" s="885"/>
      <c r="R115" s="885"/>
      <c r="S115" s="885"/>
      <c r="T115" s="885"/>
      <c r="U115" s="885"/>
      <c r="V115" s="885"/>
      <c r="W115" s="885"/>
      <c r="X115" s="885"/>
      <c r="Y115" s="885"/>
      <c r="Z115" s="885"/>
    </row>
    <row r="116" ht="15.0" customHeight="1">
      <c r="A116" s="3" t="s">
        <v>1740</v>
      </c>
      <c r="B116" s="884" t="s">
        <v>1265</v>
      </c>
      <c r="C116" s="884"/>
      <c r="D116" s="3"/>
      <c r="E116" s="885"/>
      <c r="F116" s="3" t="s">
        <v>1714</v>
      </c>
      <c r="G116" s="3" t="s">
        <v>1700</v>
      </c>
      <c r="H116" s="886">
        <f>(N114+'3) Sorter'!K2)</f>
        <v>31</v>
      </c>
      <c r="I116" s="885"/>
      <c r="J116" s="885"/>
      <c r="K116" s="885"/>
      <c r="L116" s="885"/>
      <c r="M116" s="885"/>
      <c r="N116" s="892"/>
      <c r="O116" s="885"/>
      <c r="P116" s="885"/>
      <c r="Q116" s="885"/>
      <c r="R116" s="885"/>
      <c r="S116" s="885"/>
      <c r="T116" s="885"/>
      <c r="U116" s="885"/>
      <c r="V116" s="885"/>
      <c r="W116" s="885"/>
      <c r="X116" s="885"/>
      <c r="Y116" s="885"/>
      <c r="Z116" s="885"/>
    </row>
    <row r="117" ht="15.0" customHeight="1">
      <c r="A117" s="3" t="s">
        <v>1741</v>
      </c>
      <c r="B117" s="884" t="s">
        <v>1265</v>
      </c>
      <c r="C117" s="884"/>
      <c r="D117" s="3"/>
      <c r="E117" s="885"/>
      <c r="F117" s="3" t="s">
        <v>728</v>
      </c>
      <c r="G117" s="3" t="s">
        <v>358</v>
      </c>
      <c r="H117" s="886">
        <v>14.0</v>
      </c>
      <c r="I117" s="885"/>
      <c r="J117" s="885"/>
      <c r="K117" s="885"/>
      <c r="L117" s="885"/>
      <c r="M117" s="885"/>
      <c r="N117" s="892">
        <v>42.0</v>
      </c>
      <c r="O117" s="885"/>
      <c r="P117" s="885"/>
      <c r="Q117" s="885"/>
      <c r="R117" s="885"/>
      <c r="S117" s="885"/>
      <c r="T117" s="885"/>
      <c r="U117" s="885"/>
      <c r="V117" s="885"/>
      <c r="W117" s="885"/>
      <c r="X117" s="885"/>
      <c r="Y117" s="885"/>
      <c r="Z117" s="885"/>
    </row>
    <row r="118" ht="15.0" customHeight="1">
      <c r="A118" s="3" t="s">
        <v>1742</v>
      </c>
      <c r="B118" s="884" t="s">
        <v>1265</v>
      </c>
      <c r="C118" s="884"/>
      <c r="D118" s="3"/>
      <c r="E118" s="885"/>
      <c r="F118" s="3"/>
      <c r="G118" s="3"/>
      <c r="H118" s="886"/>
      <c r="I118" s="885"/>
      <c r="J118" s="885"/>
      <c r="K118" s="885"/>
      <c r="L118" s="885"/>
      <c r="M118" s="885"/>
      <c r="N118" s="892">
        <v>12.0</v>
      </c>
      <c r="O118" s="885"/>
      <c r="P118" s="885"/>
      <c r="Q118" s="885"/>
      <c r="R118" s="885"/>
      <c r="S118" s="885"/>
      <c r="T118" s="885"/>
      <c r="U118" s="885"/>
      <c r="V118" s="885"/>
      <c r="W118" s="885"/>
      <c r="X118" s="885"/>
      <c r="Y118" s="885"/>
      <c r="Z118" s="885"/>
    </row>
    <row r="119" ht="15.0" customHeight="1">
      <c r="A119" s="3" t="s">
        <v>1743</v>
      </c>
      <c r="B119" s="884" t="s">
        <v>1265</v>
      </c>
      <c r="C119" s="884"/>
      <c r="D119" s="3"/>
      <c r="E119" s="885"/>
      <c r="F119" s="3" t="s">
        <v>951</v>
      </c>
      <c r="G119" s="3" t="s">
        <v>132</v>
      </c>
      <c r="H119" s="886">
        <f>(N117+'3) Sorter'!K2)</f>
        <v>48</v>
      </c>
      <c r="I119" s="885"/>
      <c r="J119" s="885"/>
      <c r="K119" s="885"/>
      <c r="L119" s="885"/>
      <c r="M119" s="885"/>
      <c r="N119" s="918"/>
      <c r="O119" s="885"/>
      <c r="P119" s="885"/>
      <c r="Q119" s="885"/>
      <c r="R119" s="885"/>
      <c r="S119" s="885"/>
      <c r="T119" s="885"/>
      <c r="U119" s="885"/>
      <c r="V119" s="885"/>
      <c r="W119" s="885"/>
      <c r="X119" s="885"/>
      <c r="Y119" s="885"/>
      <c r="Z119" s="885"/>
    </row>
    <row r="120" ht="15.0" customHeight="1">
      <c r="A120" s="3" t="s">
        <v>1744</v>
      </c>
      <c r="B120" s="884" t="s">
        <v>1265</v>
      </c>
      <c r="C120" s="884"/>
      <c r="D120" s="3"/>
      <c r="E120" s="885"/>
      <c r="F120" s="3" t="s">
        <v>1745</v>
      </c>
      <c r="G120" s="3" t="s">
        <v>1746</v>
      </c>
      <c r="H120" s="886">
        <f>(N118+'3) Sorter'!K2)</f>
        <v>18</v>
      </c>
      <c r="I120" s="885"/>
      <c r="J120" s="885"/>
      <c r="K120" s="885"/>
      <c r="L120" s="885"/>
      <c r="M120" s="885"/>
      <c r="N120" s="892">
        <v>2.0</v>
      </c>
      <c r="O120" s="885"/>
      <c r="P120" s="885"/>
      <c r="Q120" s="885"/>
      <c r="R120" s="885"/>
      <c r="S120" s="885"/>
      <c r="T120" s="885"/>
      <c r="U120" s="885"/>
      <c r="V120" s="885"/>
      <c r="W120" s="885"/>
      <c r="X120" s="885"/>
      <c r="Y120" s="885"/>
      <c r="Z120" s="885"/>
    </row>
    <row r="121" ht="15.0" customHeight="1">
      <c r="A121" s="3" t="s">
        <v>1747</v>
      </c>
      <c r="B121" s="884" t="s">
        <v>1265</v>
      </c>
      <c r="C121" s="884"/>
      <c r="D121" s="3"/>
      <c r="E121" s="885"/>
      <c r="F121" s="884" t="s">
        <v>1198</v>
      </c>
      <c r="G121" s="3" t="s">
        <v>1748</v>
      </c>
      <c r="H121" s="886">
        <v>2.0</v>
      </c>
      <c r="I121" s="885"/>
      <c r="J121" s="885"/>
      <c r="K121" s="885"/>
      <c r="L121" s="885"/>
      <c r="M121" s="885"/>
      <c r="N121" s="918">
        <v>5.0</v>
      </c>
      <c r="O121" s="885"/>
      <c r="P121" s="885"/>
      <c r="Q121" s="885"/>
      <c r="R121" s="885"/>
      <c r="S121" s="885"/>
      <c r="T121" s="885"/>
      <c r="U121" s="885"/>
      <c r="V121" s="885"/>
      <c r="W121" s="885"/>
      <c r="X121" s="885"/>
      <c r="Y121" s="885"/>
      <c r="Z121" s="885"/>
    </row>
    <row r="122" ht="15.0" customHeight="1">
      <c r="A122" s="3" t="s">
        <v>1749</v>
      </c>
      <c r="B122" s="884" t="s">
        <v>1265</v>
      </c>
      <c r="C122" s="884"/>
      <c r="D122" s="3"/>
      <c r="E122" s="885"/>
      <c r="F122" s="725" t="s">
        <v>1147</v>
      </c>
      <c r="H122" s="725">
        <v>38.0</v>
      </c>
      <c r="I122" s="885"/>
      <c r="J122" s="885"/>
      <c r="K122" s="885"/>
      <c r="L122" s="885"/>
      <c r="M122" s="885"/>
      <c r="N122" s="887"/>
      <c r="O122" s="885"/>
      <c r="P122" s="885"/>
      <c r="Q122" s="885"/>
      <c r="R122" s="885"/>
      <c r="S122" s="885"/>
      <c r="T122" s="885"/>
      <c r="U122" s="885"/>
      <c r="V122" s="885"/>
      <c r="W122" s="885"/>
      <c r="X122" s="885"/>
      <c r="Y122" s="885"/>
      <c r="Z122" s="885"/>
    </row>
    <row r="123" ht="15.0" customHeight="1">
      <c r="A123" s="3" t="s">
        <v>1750</v>
      </c>
      <c r="B123" s="884" t="s">
        <v>1265</v>
      </c>
      <c r="C123" s="884"/>
      <c r="D123" s="3"/>
      <c r="E123" s="885"/>
      <c r="F123" s="895" t="s">
        <v>784</v>
      </c>
      <c r="G123" s="3"/>
      <c r="H123" s="886">
        <v>33.0</v>
      </c>
      <c r="I123" s="885"/>
      <c r="J123" s="885"/>
      <c r="K123" s="885"/>
      <c r="L123" s="885"/>
      <c r="M123" s="885"/>
      <c r="N123" s="887"/>
      <c r="O123" s="885"/>
      <c r="P123" s="885"/>
      <c r="Q123" s="885"/>
      <c r="R123" s="885"/>
      <c r="S123" s="885"/>
      <c r="T123" s="885"/>
      <c r="U123" s="885"/>
      <c r="V123" s="885"/>
      <c r="W123" s="885"/>
      <c r="X123" s="885"/>
      <c r="Y123" s="885"/>
      <c r="Z123" s="885"/>
    </row>
    <row r="124" ht="15.0" customHeight="1">
      <c r="A124" s="3" t="s">
        <v>1751</v>
      </c>
      <c r="B124" s="884" t="s">
        <v>1265</v>
      </c>
      <c r="C124" s="884"/>
      <c r="D124" s="3"/>
      <c r="E124" s="885"/>
      <c r="F124" s="915" t="s">
        <v>698</v>
      </c>
      <c r="G124" s="3"/>
      <c r="H124" s="886">
        <v>33.0</v>
      </c>
      <c r="I124" s="885"/>
      <c r="J124" s="885"/>
      <c r="K124" s="885"/>
      <c r="L124" s="885"/>
      <c r="M124" s="885"/>
      <c r="N124" s="887"/>
      <c r="O124" s="885"/>
      <c r="P124" s="885"/>
      <c r="Q124" s="885"/>
      <c r="R124" s="885"/>
      <c r="S124" s="885"/>
      <c r="T124" s="885"/>
      <c r="U124" s="885"/>
      <c r="V124" s="885"/>
      <c r="W124" s="885"/>
      <c r="X124" s="885"/>
      <c r="Y124" s="885"/>
      <c r="Z124" s="885"/>
    </row>
    <row r="125" ht="15.0" customHeight="1">
      <c r="A125" s="895" t="s">
        <v>1752</v>
      </c>
      <c r="B125" s="884" t="s">
        <v>1265</v>
      </c>
      <c r="C125" s="884"/>
      <c r="D125" s="3"/>
      <c r="E125" s="885"/>
      <c r="F125" s="915" t="s">
        <v>860</v>
      </c>
      <c r="G125" s="3"/>
      <c r="H125" s="900">
        <v>38.0</v>
      </c>
      <c r="I125" s="883" t="s">
        <v>1753</v>
      </c>
      <c r="J125" s="885"/>
      <c r="K125" s="885"/>
      <c r="L125" s="885"/>
      <c r="M125" s="885"/>
      <c r="N125" s="887"/>
      <c r="O125" s="885"/>
      <c r="P125" s="885"/>
      <c r="Q125" s="885"/>
      <c r="R125" s="885"/>
      <c r="S125" s="885"/>
      <c r="T125" s="885"/>
      <c r="U125" s="885"/>
      <c r="V125" s="885"/>
      <c r="W125" s="885"/>
      <c r="X125" s="885"/>
      <c r="Y125" s="885"/>
      <c r="Z125" s="885"/>
    </row>
    <row r="126" ht="15.0" customHeight="1">
      <c r="A126" s="919" t="s">
        <v>674</v>
      </c>
      <c r="B126" s="883" t="s">
        <v>1265</v>
      </c>
      <c r="C126" s="884"/>
      <c r="D126" s="3"/>
      <c r="E126" s="885"/>
      <c r="F126" s="915" t="s">
        <v>812</v>
      </c>
      <c r="H126" s="725">
        <v>46.0</v>
      </c>
      <c r="I126" s="885"/>
      <c r="J126" s="885"/>
      <c r="K126" s="885"/>
      <c r="L126" s="885"/>
      <c r="M126" s="885"/>
      <c r="N126" s="887"/>
      <c r="O126" s="885"/>
      <c r="P126" s="885"/>
      <c r="Q126" s="885"/>
      <c r="R126" s="885"/>
      <c r="S126" s="885"/>
      <c r="T126" s="885"/>
      <c r="U126" s="885"/>
      <c r="V126" s="885"/>
      <c r="W126" s="885"/>
      <c r="X126" s="885"/>
      <c r="Y126" s="885"/>
      <c r="Z126" s="885"/>
    </row>
    <row r="127" ht="15.0" customHeight="1">
      <c r="A127" s="3"/>
      <c r="B127" s="884"/>
      <c r="C127" s="884"/>
      <c r="D127" s="3"/>
      <c r="E127" s="885"/>
      <c r="F127" s="3" t="s">
        <v>1369</v>
      </c>
      <c r="G127" s="3" t="s">
        <v>1706</v>
      </c>
      <c r="H127" s="886">
        <v>34.0</v>
      </c>
      <c r="I127" s="885"/>
      <c r="J127" s="885"/>
      <c r="K127" s="885"/>
      <c r="L127" s="885"/>
      <c r="M127" s="885"/>
      <c r="N127" s="887"/>
      <c r="O127" s="885"/>
      <c r="P127" s="885"/>
      <c r="Q127" s="885"/>
      <c r="R127" s="885"/>
      <c r="S127" s="885"/>
      <c r="T127" s="885"/>
      <c r="U127" s="885"/>
      <c r="V127" s="885"/>
      <c r="W127" s="885"/>
      <c r="X127" s="885"/>
      <c r="Y127" s="885"/>
      <c r="Z127" s="885"/>
    </row>
    <row r="128" ht="15.0" customHeight="1">
      <c r="A128" s="3"/>
      <c r="B128" s="884"/>
      <c r="C128" s="884"/>
      <c r="D128" s="3"/>
      <c r="E128" s="885"/>
      <c r="F128" s="3" t="s">
        <v>773</v>
      </c>
      <c r="G128" s="3" t="s">
        <v>1754</v>
      </c>
      <c r="H128" s="886">
        <v>14.0</v>
      </c>
      <c r="I128" s="885"/>
      <c r="J128" s="885"/>
      <c r="K128" s="885"/>
      <c r="L128" s="885"/>
      <c r="M128" s="885"/>
      <c r="N128" s="887"/>
      <c r="O128" s="885"/>
      <c r="P128" s="885"/>
      <c r="Q128" s="885"/>
      <c r="R128" s="885"/>
      <c r="S128" s="885"/>
      <c r="T128" s="885"/>
      <c r="U128" s="885"/>
      <c r="V128" s="885"/>
      <c r="W128" s="885"/>
      <c r="X128" s="885"/>
      <c r="Y128" s="885"/>
      <c r="Z128" s="885"/>
    </row>
    <row r="129" ht="15.0" customHeight="1">
      <c r="A129" s="3"/>
      <c r="B129" s="884"/>
      <c r="C129" s="884"/>
      <c r="D129" s="3"/>
      <c r="E129" s="885"/>
      <c r="F129" s="3" t="s">
        <v>561</v>
      </c>
      <c r="G129" s="3"/>
      <c r="H129" s="886">
        <v>13.0</v>
      </c>
      <c r="I129" s="885"/>
      <c r="J129" s="885"/>
      <c r="K129" s="885"/>
      <c r="L129" s="885"/>
      <c r="M129" s="885"/>
      <c r="N129" s="887"/>
      <c r="O129" s="885"/>
      <c r="P129" s="885"/>
      <c r="Q129" s="885"/>
      <c r="R129" s="885"/>
      <c r="S129" s="885"/>
      <c r="T129" s="885"/>
      <c r="U129" s="885"/>
      <c r="V129" s="885"/>
      <c r="W129" s="885"/>
      <c r="X129" s="885"/>
      <c r="Y129" s="885"/>
      <c r="Z129" s="885"/>
    </row>
    <row r="130" ht="15.0" customHeight="1">
      <c r="A130" s="3"/>
      <c r="B130" s="884"/>
      <c r="C130" s="884"/>
      <c r="D130" s="3"/>
      <c r="E130" s="885"/>
      <c r="F130" s="895" t="s">
        <v>1755</v>
      </c>
      <c r="G130" s="3" t="s">
        <v>1756</v>
      </c>
      <c r="H130" s="886">
        <v>6.0</v>
      </c>
      <c r="I130" s="885"/>
      <c r="J130" s="885"/>
      <c r="K130" s="885"/>
      <c r="L130" s="885"/>
      <c r="M130" s="885"/>
      <c r="N130" s="887"/>
      <c r="O130" s="885"/>
      <c r="P130" s="885"/>
      <c r="Q130" s="885"/>
      <c r="R130" s="885"/>
      <c r="S130" s="885"/>
      <c r="T130" s="885"/>
      <c r="U130" s="885"/>
      <c r="V130" s="885"/>
      <c r="W130" s="885"/>
      <c r="X130" s="885"/>
      <c r="Y130" s="885"/>
      <c r="Z130" s="885"/>
    </row>
    <row r="131" ht="15.0" customHeight="1">
      <c r="A131" s="3"/>
      <c r="B131" s="884"/>
      <c r="C131" s="884"/>
      <c r="D131" s="3"/>
      <c r="E131" s="885"/>
      <c r="F131" s="3" t="s">
        <v>1267</v>
      </c>
      <c r="G131" s="3" t="s">
        <v>1757</v>
      </c>
      <c r="H131" s="886">
        <v>13.0</v>
      </c>
      <c r="I131" s="885"/>
      <c r="J131" s="885"/>
      <c r="K131" s="885"/>
      <c r="L131" s="885"/>
      <c r="M131" s="885"/>
      <c r="N131" s="887"/>
      <c r="O131" s="885"/>
      <c r="P131" s="885"/>
      <c r="Q131" s="885"/>
      <c r="R131" s="885"/>
      <c r="S131" s="885"/>
      <c r="T131" s="885"/>
      <c r="U131" s="885"/>
      <c r="V131" s="885"/>
      <c r="W131" s="885"/>
      <c r="X131" s="885"/>
      <c r="Y131" s="885"/>
      <c r="Z131" s="885"/>
    </row>
    <row r="132" ht="15.0" customHeight="1">
      <c r="A132" s="3"/>
      <c r="B132" s="884"/>
      <c r="C132" s="884"/>
      <c r="D132" s="3"/>
      <c r="E132" s="885"/>
      <c r="F132" s="3" t="s">
        <v>1716</v>
      </c>
      <c r="G132" s="3"/>
      <c r="H132" s="886">
        <v>19.0</v>
      </c>
      <c r="I132" s="885"/>
      <c r="J132" s="885"/>
      <c r="K132" s="885"/>
      <c r="L132" s="885"/>
      <c r="M132" s="885"/>
      <c r="N132" s="887"/>
      <c r="O132" s="885"/>
      <c r="P132" s="885"/>
      <c r="Q132" s="885"/>
      <c r="R132" s="885"/>
      <c r="S132" s="885"/>
      <c r="T132" s="885"/>
      <c r="U132" s="885"/>
      <c r="V132" s="885"/>
      <c r="W132" s="885"/>
      <c r="X132" s="885"/>
      <c r="Y132" s="885"/>
      <c r="Z132" s="885"/>
    </row>
    <row r="133" ht="15.0" customHeight="1">
      <c r="A133" s="3"/>
      <c r="B133" s="884"/>
      <c r="C133" s="884"/>
      <c r="D133" s="3"/>
      <c r="E133" s="885"/>
      <c r="F133" s="3" t="s">
        <v>1746</v>
      </c>
      <c r="G133" s="3" t="s">
        <v>1758</v>
      </c>
      <c r="H133" s="886">
        <v>12.0</v>
      </c>
      <c r="I133" s="885"/>
      <c r="J133" s="885"/>
      <c r="K133" s="885"/>
      <c r="L133" s="885"/>
      <c r="M133" s="885"/>
      <c r="N133" s="887"/>
      <c r="O133" s="885"/>
      <c r="P133" s="885"/>
      <c r="Q133" s="885"/>
      <c r="R133" s="885"/>
      <c r="S133" s="885"/>
      <c r="T133" s="885"/>
      <c r="U133" s="885"/>
      <c r="V133" s="885"/>
      <c r="W133" s="885"/>
      <c r="X133" s="885"/>
      <c r="Y133" s="885"/>
      <c r="Z133" s="885"/>
    </row>
    <row r="134" ht="15.0" customHeight="1">
      <c r="A134" s="3"/>
      <c r="B134" s="884"/>
      <c r="C134" s="884"/>
      <c r="D134" s="3"/>
      <c r="E134" s="885"/>
      <c r="F134" s="3" t="s">
        <v>1205</v>
      </c>
      <c r="G134" s="3"/>
      <c r="H134" s="886">
        <v>12.0</v>
      </c>
      <c r="I134" s="3"/>
      <c r="J134" s="885"/>
      <c r="K134" s="885"/>
      <c r="L134" s="885"/>
      <c r="M134" s="885"/>
      <c r="N134" s="887"/>
      <c r="O134" s="885"/>
      <c r="P134" s="885"/>
      <c r="Q134" s="885"/>
      <c r="R134" s="885"/>
      <c r="S134" s="885"/>
      <c r="T134" s="885"/>
      <c r="U134" s="885"/>
      <c r="V134" s="885"/>
      <c r="W134" s="885"/>
      <c r="X134" s="885"/>
      <c r="Y134" s="885"/>
      <c r="Z134" s="885"/>
    </row>
    <row r="135" ht="15.0" customHeight="1">
      <c r="A135" s="3"/>
      <c r="B135" s="884"/>
      <c r="C135" s="884"/>
      <c r="D135" s="3"/>
      <c r="E135" s="885"/>
      <c r="F135" s="3" t="s">
        <v>1700</v>
      </c>
      <c r="G135" s="3" t="s">
        <v>1700</v>
      </c>
      <c r="H135" s="886">
        <v>25.0</v>
      </c>
      <c r="I135" s="3"/>
      <c r="J135" s="885"/>
      <c r="K135" s="885"/>
      <c r="L135" s="885"/>
      <c r="M135" s="885"/>
      <c r="N135" s="887"/>
      <c r="O135" s="885"/>
      <c r="P135" s="885"/>
      <c r="Q135" s="885"/>
      <c r="R135" s="885"/>
      <c r="S135" s="885"/>
      <c r="T135" s="885"/>
      <c r="U135" s="885"/>
      <c r="V135" s="885"/>
      <c r="W135" s="885"/>
      <c r="X135" s="885"/>
      <c r="Y135" s="885"/>
      <c r="Z135" s="885"/>
    </row>
    <row r="136" ht="15.0" customHeight="1">
      <c r="A136" s="3"/>
      <c r="B136" s="884"/>
      <c r="C136" s="884"/>
      <c r="D136" s="3"/>
      <c r="E136" s="885"/>
      <c r="F136" s="3" t="s">
        <v>1759</v>
      </c>
      <c r="G136" s="3"/>
      <c r="H136" s="886">
        <v>14.0</v>
      </c>
      <c r="I136" s="3"/>
      <c r="J136" s="885"/>
      <c r="K136" s="885"/>
      <c r="L136" s="885"/>
      <c r="M136" s="885"/>
      <c r="N136" s="887"/>
      <c r="O136" s="885"/>
      <c r="P136" s="885"/>
      <c r="Q136" s="885"/>
      <c r="R136" s="885"/>
      <c r="S136" s="885"/>
      <c r="T136" s="885"/>
      <c r="U136" s="885"/>
      <c r="V136" s="885"/>
      <c r="W136" s="885"/>
      <c r="X136" s="885"/>
      <c r="Y136" s="885"/>
      <c r="Z136" s="885"/>
    </row>
    <row r="137" ht="15.0" customHeight="1">
      <c r="A137" s="3"/>
      <c r="B137" s="884"/>
      <c r="C137" s="884"/>
      <c r="D137" s="3"/>
      <c r="E137" s="885"/>
      <c r="F137" s="3" t="s">
        <v>1760</v>
      </c>
      <c r="G137" s="3"/>
      <c r="H137" s="886">
        <v>15.0</v>
      </c>
      <c r="I137" s="3"/>
      <c r="J137" s="885"/>
      <c r="K137" s="885"/>
      <c r="L137" s="885"/>
      <c r="M137" s="885"/>
      <c r="N137" s="887"/>
      <c r="O137" s="885"/>
      <c r="P137" s="885"/>
      <c r="Q137" s="885"/>
      <c r="R137" s="885"/>
      <c r="S137" s="885"/>
      <c r="T137" s="885"/>
      <c r="U137" s="885"/>
      <c r="V137" s="885"/>
      <c r="W137" s="885"/>
      <c r="X137" s="885"/>
      <c r="Y137" s="885"/>
      <c r="Z137" s="885"/>
    </row>
    <row r="138" ht="15.0" customHeight="1">
      <c r="A138" s="3"/>
      <c r="B138" s="884"/>
      <c r="C138" s="884"/>
      <c r="D138" s="3"/>
      <c r="E138" s="885"/>
      <c r="F138" s="3" t="s">
        <v>1270</v>
      </c>
      <c r="G138" s="3" t="s">
        <v>1761</v>
      </c>
      <c r="H138" s="886">
        <v>16.0</v>
      </c>
      <c r="I138" s="3"/>
      <c r="J138" s="885"/>
      <c r="K138" s="885"/>
      <c r="L138" s="885"/>
      <c r="M138" s="885"/>
      <c r="N138" s="887"/>
      <c r="O138" s="885"/>
      <c r="P138" s="885"/>
      <c r="Q138" s="885"/>
      <c r="R138" s="885"/>
      <c r="S138" s="885"/>
      <c r="T138" s="885"/>
      <c r="U138" s="885"/>
      <c r="V138" s="885"/>
      <c r="W138" s="885"/>
      <c r="X138" s="885"/>
      <c r="Y138" s="885"/>
      <c r="Z138" s="885"/>
    </row>
    <row r="139" ht="15.0" customHeight="1">
      <c r="A139" s="3"/>
      <c r="B139" s="884"/>
      <c r="C139" s="884"/>
      <c r="D139" s="3"/>
      <c r="E139" s="885"/>
      <c r="F139" s="3" t="s">
        <v>943</v>
      </c>
      <c r="G139" s="3" t="s">
        <v>1762</v>
      </c>
      <c r="H139" s="886">
        <v>5.0</v>
      </c>
      <c r="I139" s="3"/>
      <c r="J139" s="885"/>
      <c r="K139" s="885"/>
      <c r="L139" s="885"/>
      <c r="M139" s="885"/>
      <c r="N139" s="887"/>
      <c r="O139" s="885"/>
      <c r="P139" s="885"/>
      <c r="Q139" s="885"/>
      <c r="R139" s="885"/>
      <c r="S139" s="885"/>
      <c r="T139" s="885"/>
      <c r="U139" s="885"/>
      <c r="V139" s="885"/>
      <c r="W139" s="885"/>
      <c r="X139" s="885"/>
      <c r="Y139" s="885"/>
      <c r="Z139" s="885"/>
    </row>
    <row r="140" ht="15.0" customHeight="1">
      <c r="A140" s="3"/>
      <c r="B140" s="884"/>
      <c r="C140" s="884"/>
      <c r="D140" s="3"/>
      <c r="E140" s="885"/>
      <c r="F140" s="725" t="s">
        <v>1763</v>
      </c>
      <c r="G140" s="725" t="s">
        <v>1763</v>
      </c>
      <c r="H140" s="725">
        <v>12.5</v>
      </c>
      <c r="I140" s="3"/>
      <c r="J140" s="885"/>
      <c r="K140" s="885"/>
      <c r="L140" s="885"/>
      <c r="M140" s="885"/>
      <c r="N140" s="887"/>
      <c r="O140" s="885"/>
      <c r="P140" s="885"/>
      <c r="Q140" s="885"/>
      <c r="R140" s="885"/>
      <c r="S140" s="885"/>
      <c r="T140" s="885"/>
      <c r="U140" s="885"/>
      <c r="V140" s="885"/>
      <c r="W140" s="885"/>
      <c r="X140" s="885"/>
      <c r="Y140" s="885"/>
      <c r="Z140" s="885"/>
    </row>
    <row r="141" ht="15.0" customHeight="1">
      <c r="A141" s="3"/>
      <c r="B141" s="884"/>
      <c r="C141" s="884"/>
      <c r="D141" s="3"/>
      <c r="E141" s="885"/>
      <c r="F141" s="3" t="s">
        <v>1764</v>
      </c>
      <c r="G141" s="3" t="s">
        <v>1765</v>
      </c>
      <c r="H141" s="886">
        <v>7.0</v>
      </c>
      <c r="I141" s="3"/>
      <c r="J141" s="885"/>
      <c r="K141" s="885"/>
      <c r="L141" s="885"/>
      <c r="M141" s="885"/>
      <c r="N141" s="887"/>
      <c r="O141" s="885"/>
      <c r="P141" s="885"/>
      <c r="Q141" s="885"/>
      <c r="R141" s="885"/>
      <c r="S141" s="885"/>
      <c r="T141" s="885"/>
      <c r="U141" s="885"/>
      <c r="V141" s="885"/>
      <c r="W141" s="885"/>
      <c r="X141" s="885"/>
      <c r="Y141" s="885"/>
      <c r="Z141" s="885"/>
    </row>
    <row r="142" ht="15.0" customHeight="1">
      <c r="A142" s="3"/>
      <c r="B142" s="884"/>
      <c r="C142" s="884"/>
      <c r="D142" s="3"/>
      <c r="E142" s="885"/>
      <c r="F142" s="3" t="s">
        <v>1198</v>
      </c>
      <c r="G142" s="3"/>
      <c r="H142" s="886">
        <v>2.0</v>
      </c>
      <c r="I142" s="3"/>
      <c r="J142" s="885"/>
      <c r="K142" s="885"/>
      <c r="L142" s="885"/>
      <c r="M142" s="885"/>
      <c r="N142" s="892"/>
      <c r="O142" s="885"/>
      <c r="P142" s="885"/>
      <c r="Q142" s="885"/>
      <c r="R142" s="885"/>
      <c r="S142" s="885"/>
      <c r="T142" s="885"/>
      <c r="U142" s="885"/>
      <c r="V142" s="885"/>
      <c r="W142" s="885"/>
      <c r="X142" s="885"/>
      <c r="Y142" s="885"/>
      <c r="Z142" s="885"/>
    </row>
    <row r="143" ht="15.0" customHeight="1">
      <c r="A143" s="3"/>
      <c r="B143" s="884"/>
      <c r="C143" s="884"/>
      <c r="D143" s="3"/>
      <c r="E143" s="885"/>
      <c r="F143" s="3" t="s">
        <v>1766</v>
      </c>
      <c r="G143" s="3"/>
      <c r="H143" s="886">
        <v>17.0</v>
      </c>
      <c r="I143" s="3"/>
      <c r="J143" s="885"/>
      <c r="K143" s="885"/>
      <c r="L143" s="885"/>
      <c r="M143" s="885"/>
      <c r="N143" s="892"/>
      <c r="O143" s="885"/>
      <c r="P143" s="885"/>
      <c r="Q143" s="885"/>
      <c r="R143" s="885"/>
      <c r="S143" s="885"/>
      <c r="T143" s="885"/>
      <c r="U143" s="885"/>
      <c r="V143" s="885"/>
      <c r="W143" s="885"/>
      <c r="X143" s="885"/>
      <c r="Y143" s="885"/>
      <c r="Z143" s="885"/>
    </row>
    <row r="144" ht="15.0" customHeight="1">
      <c r="A144" s="3"/>
      <c r="B144" s="884"/>
      <c r="C144" s="884"/>
      <c r="D144" s="3"/>
      <c r="E144" s="885"/>
      <c r="F144" s="3" t="s">
        <v>1745</v>
      </c>
      <c r="G144" s="3"/>
      <c r="H144" s="886">
        <v>12.0</v>
      </c>
      <c r="J144" s="885"/>
      <c r="K144" s="885"/>
      <c r="L144" s="885"/>
      <c r="M144" s="885"/>
      <c r="N144" s="918"/>
      <c r="O144" s="885"/>
      <c r="P144" s="885"/>
      <c r="Q144" s="885"/>
      <c r="R144" s="885"/>
      <c r="S144" s="885"/>
      <c r="T144" s="885"/>
      <c r="U144" s="885"/>
      <c r="V144" s="885"/>
      <c r="W144" s="885"/>
      <c r="X144" s="885"/>
      <c r="Y144" s="885"/>
      <c r="Z144" s="885"/>
    </row>
    <row r="145" ht="15.0" customHeight="1">
      <c r="A145" s="3"/>
      <c r="B145" s="884"/>
      <c r="C145" s="884"/>
      <c r="D145" s="3"/>
      <c r="E145" s="885"/>
      <c r="F145" s="725" t="s">
        <v>674</v>
      </c>
      <c r="H145" s="725">
        <v>17.0</v>
      </c>
      <c r="J145" s="885"/>
      <c r="K145" s="885"/>
      <c r="L145" s="885"/>
      <c r="M145" s="885"/>
      <c r="N145" s="892"/>
      <c r="O145" s="885"/>
      <c r="P145" s="885"/>
      <c r="Q145" s="885"/>
      <c r="R145" s="885"/>
      <c r="S145" s="885"/>
      <c r="T145" s="885"/>
      <c r="U145" s="885"/>
      <c r="V145" s="885"/>
      <c r="W145" s="885"/>
      <c r="X145" s="885"/>
      <c r="Y145" s="885"/>
      <c r="Z145" s="885"/>
    </row>
    <row r="146" ht="15.0" customHeight="1">
      <c r="A146" s="3"/>
      <c r="B146" s="884"/>
      <c r="C146" s="884"/>
      <c r="D146" s="3"/>
      <c r="E146" s="885"/>
      <c r="F146" s="725" t="s">
        <v>1767</v>
      </c>
      <c r="H146" s="725">
        <v>14.5</v>
      </c>
      <c r="J146" s="885"/>
      <c r="K146" s="885"/>
      <c r="L146" s="885"/>
      <c r="M146" s="885"/>
      <c r="N146" s="892"/>
      <c r="O146" s="885"/>
      <c r="P146" s="885"/>
      <c r="Q146" s="885"/>
      <c r="R146" s="885"/>
      <c r="S146" s="885"/>
      <c r="T146" s="885"/>
      <c r="U146" s="885"/>
      <c r="V146" s="885"/>
      <c r="W146" s="885"/>
      <c r="X146" s="885"/>
      <c r="Y146" s="885"/>
      <c r="Z146" s="885"/>
    </row>
    <row r="147" ht="15.0" customHeight="1">
      <c r="A147" s="3"/>
      <c r="B147" s="884"/>
      <c r="C147" s="884"/>
      <c r="D147" s="3"/>
      <c r="E147" s="885"/>
      <c r="J147" s="885"/>
      <c r="K147" s="885"/>
      <c r="L147" s="885"/>
      <c r="M147" s="885"/>
      <c r="N147" s="892"/>
      <c r="O147" s="885"/>
      <c r="P147" s="885"/>
      <c r="Q147" s="885"/>
      <c r="R147" s="885"/>
      <c r="S147" s="885"/>
      <c r="T147" s="885"/>
      <c r="U147" s="885"/>
      <c r="V147" s="885"/>
      <c r="W147" s="885"/>
      <c r="X147" s="885"/>
      <c r="Y147" s="885"/>
      <c r="Z147" s="885"/>
    </row>
    <row r="148" ht="15.0" customHeight="1">
      <c r="A148" s="3"/>
      <c r="B148" s="884"/>
      <c r="C148" s="884"/>
      <c r="D148" s="3"/>
      <c r="E148" s="885"/>
      <c r="J148" s="885"/>
      <c r="K148" s="885"/>
      <c r="L148" s="885"/>
      <c r="M148" s="885"/>
      <c r="N148" s="892"/>
      <c r="O148" s="885"/>
      <c r="P148" s="885"/>
      <c r="Q148" s="885"/>
      <c r="R148" s="885"/>
      <c r="S148" s="885"/>
      <c r="T148" s="885"/>
      <c r="U148" s="885"/>
      <c r="V148" s="885"/>
      <c r="W148" s="885"/>
      <c r="X148" s="885"/>
      <c r="Y148" s="885"/>
      <c r="Z148" s="885"/>
    </row>
    <row r="149" ht="15.0" customHeight="1">
      <c r="A149" s="3"/>
      <c r="B149" s="884"/>
      <c r="C149" s="884"/>
      <c r="D149" s="3"/>
      <c r="E149" s="885"/>
      <c r="J149" s="885"/>
      <c r="K149" s="885"/>
      <c r="L149" s="885"/>
      <c r="M149" s="885"/>
      <c r="N149" s="892"/>
      <c r="O149" s="885"/>
      <c r="P149" s="885"/>
      <c r="Q149" s="885"/>
      <c r="R149" s="885"/>
      <c r="S149" s="885"/>
      <c r="T149" s="885"/>
      <c r="U149" s="885"/>
      <c r="V149" s="885"/>
      <c r="W149" s="885"/>
      <c r="X149" s="885"/>
      <c r="Y149" s="885"/>
      <c r="Z149" s="885"/>
    </row>
    <row r="150" ht="15.0" customHeight="1">
      <c r="A150" s="3"/>
      <c r="B150" s="884"/>
      <c r="C150" s="884"/>
      <c r="D150" s="3"/>
      <c r="E150" s="885"/>
      <c r="J150" s="885"/>
      <c r="K150" s="885"/>
      <c r="L150" s="885"/>
      <c r="M150" s="885"/>
      <c r="N150" s="892"/>
      <c r="O150" s="885"/>
      <c r="P150" s="885"/>
      <c r="Q150" s="50"/>
      <c r="R150" s="885"/>
      <c r="S150" s="885"/>
      <c r="T150" s="885"/>
      <c r="U150" s="885"/>
      <c r="V150" s="885"/>
      <c r="W150" s="885"/>
      <c r="X150" s="885"/>
      <c r="Y150" s="885"/>
      <c r="Z150" s="885"/>
    </row>
    <row r="151" ht="15.0" customHeight="1">
      <c r="A151" s="3"/>
      <c r="B151" s="884"/>
      <c r="C151" s="884"/>
      <c r="D151" s="3"/>
      <c r="E151" s="885"/>
      <c r="J151" s="885"/>
      <c r="K151" s="885"/>
      <c r="L151" s="885"/>
      <c r="M151" s="885"/>
      <c r="N151" s="892"/>
      <c r="O151" s="885"/>
      <c r="P151" s="885"/>
      <c r="Q151" s="50"/>
      <c r="R151" s="885"/>
      <c r="S151" s="885"/>
      <c r="T151" s="885"/>
      <c r="U151" s="885"/>
      <c r="V151" s="885"/>
      <c r="W151" s="885"/>
      <c r="X151" s="885"/>
      <c r="Y151" s="885"/>
      <c r="Z151" s="885"/>
    </row>
    <row r="152" ht="15.75" customHeight="1">
      <c r="A152" s="3" t="s">
        <v>1768</v>
      </c>
      <c r="B152" s="884" t="s">
        <v>1265</v>
      </c>
      <c r="C152" s="884"/>
      <c r="D152" s="3"/>
      <c r="E152" s="885"/>
      <c r="J152" s="885"/>
      <c r="K152" s="885"/>
      <c r="L152" s="885"/>
      <c r="M152" s="885"/>
      <c r="N152" s="892"/>
      <c r="O152" s="885"/>
      <c r="P152" s="885"/>
      <c r="Q152" s="50"/>
      <c r="R152" s="885"/>
      <c r="S152" s="885"/>
      <c r="T152" s="885"/>
      <c r="U152" s="885"/>
      <c r="V152" s="885"/>
      <c r="W152" s="885"/>
      <c r="X152" s="885"/>
      <c r="Y152" s="885"/>
      <c r="Z152" s="885"/>
    </row>
    <row r="153" ht="15.75" customHeight="1">
      <c r="A153" s="3" t="s">
        <v>1769</v>
      </c>
      <c r="B153" s="884" t="s">
        <v>1265</v>
      </c>
      <c r="C153" s="3"/>
      <c r="D153" s="3"/>
      <c r="E153" s="885"/>
      <c r="J153" s="3"/>
      <c r="K153" s="885"/>
      <c r="L153" s="885"/>
      <c r="M153" s="885"/>
      <c r="N153" s="892"/>
      <c r="O153" s="885"/>
      <c r="P153" s="885"/>
      <c r="Q153" s="50"/>
      <c r="R153" s="885"/>
      <c r="S153" s="885"/>
      <c r="T153" s="885"/>
      <c r="U153" s="885"/>
      <c r="V153" s="885"/>
      <c r="W153" s="885"/>
      <c r="X153" s="885"/>
      <c r="Y153" s="885"/>
      <c r="Z153" s="885"/>
    </row>
    <row r="154" ht="15.75" customHeight="1">
      <c r="A154" s="3" t="s">
        <v>1770</v>
      </c>
      <c r="B154" s="884" t="s">
        <v>1265</v>
      </c>
      <c r="C154" s="884"/>
      <c r="D154" s="3"/>
      <c r="E154" s="885"/>
      <c r="J154" s="3"/>
      <c r="K154" s="3"/>
      <c r="L154" s="885"/>
      <c r="M154" s="885"/>
      <c r="N154" s="892"/>
      <c r="O154" s="885"/>
      <c r="P154" s="885"/>
      <c r="Q154" s="50"/>
      <c r="R154" s="885"/>
      <c r="S154" s="885"/>
      <c r="T154" s="885"/>
      <c r="U154" s="885"/>
      <c r="V154" s="885"/>
      <c r="W154" s="885"/>
      <c r="X154" s="885"/>
      <c r="Y154" s="885"/>
      <c r="Z154" s="885"/>
    </row>
    <row r="155" ht="15.75" customHeight="1">
      <c r="A155" s="3" t="s">
        <v>1771</v>
      </c>
      <c r="B155" s="884" t="s">
        <v>1265</v>
      </c>
      <c r="C155" s="884"/>
      <c r="D155" s="3"/>
      <c r="E155" s="884"/>
      <c r="J155" s="3"/>
      <c r="K155" s="3"/>
      <c r="L155" s="885"/>
      <c r="M155" s="885"/>
      <c r="N155" s="892"/>
      <c r="O155" s="885"/>
      <c r="P155" s="885"/>
      <c r="Q155" s="50"/>
      <c r="R155" s="885"/>
      <c r="S155" s="885"/>
      <c r="T155" s="885"/>
      <c r="U155" s="885"/>
      <c r="V155" s="885"/>
      <c r="W155" s="885"/>
      <c r="X155" s="885"/>
      <c r="Y155" s="885"/>
      <c r="Z155" s="885"/>
    </row>
    <row r="156" ht="15.75" customHeight="1">
      <c r="A156" s="3" t="s">
        <v>1657</v>
      </c>
      <c r="B156" s="884" t="s">
        <v>1265</v>
      </c>
      <c r="C156" s="884"/>
      <c r="D156" s="3"/>
      <c r="E156" s="885"/>
      <c r="J156" s="3"/>
      <c r="K156" s="3"/>
      <c r="L156" s="885"/>
      <c r="M156" s="885"/>
      <c r="N156" s="892"/>
      <c r="O156" s="885"/>
      <c r="P156" s="885"/>
      <c r="Q156" s="885"/>
      <c r="R156" s="885"/>
      <c r="S156" s="885"/>
      <c r="T156" s="885"/>
      <c r="U156" s="885"/>
      <c r="V156" s="885"/>
      <c r="W156" s="885"/>
      <c r="X156" s="885"/>
      <c r="Y156" s="885"/>
      <c r="Z156" s="885"/>
    </row>
    <row r="157" ht="15.75" customHeight="1">
      <c r="A157" s="3" t="s">
        <v>1772</v>
      </c>
      <c r="B157" s="884" t="s">
        <v>1265</v>
      </c>
      <c r="C157" s="884"/>
      <c r="D157" s="3"/>
      <c r="E157" s="885"/>
      <c r="J157" s="3"/>
      <c r="K157" s="3"/>
      <c r="L157" s="885"/>
      <c r="M157" s="885"/>
      <c r="N157" s="892"/>
      <c r="O157" s="885"/>
      <c r="P157" s="885"/>
      <c r="Q157" s="885"/>
      <c r="R157" s="885"/>
      <c r="S157" s="885"/>
      <c r="T157" s="885"/>
      <c r="U157" s="885"/>
      <c r="V157" s="885"/>
      <c r="W157" s="885"/>
      <c r="X157" s="885"/>
      <c r="Y157" s="885"/>
      <c r="Z157" s="885"/>
    </row>
    <row r="158" ht="15.75" customHeight="1">
      <c r="A158" s="3" t="s">
        <v>1773</v>
      </c>
      <c r="B158" s="884" t="s">
        <v>1265</v>
      </c>
      <c r="C158" s="884"/>
      <c r="D158" s="3"/>
      <c r="E158" s="885"/>
      <c r="J158" s="3"/>
      <c r="K158" s="3"/>
      <c r="L158" s="885"/>
      <c r="M158" s="885"/>
      <c r="N158" s="892"/>
      <c r="O158" s="885"/>
      <c r="P158" s="885"/>
      <c r="Q158" s="885"/>
      <c r="R158" s="885"/>
      <c r="S158" s="885"/>
      <c r="T158" s="885"/>
      <c r="U158" s="885"/>
      <c r="V158" s="885"/>
      <c r="W158" s="885"/>
      <c r="X158" s="885"/>
      <c r="Y158" s="885"/>
      <c r="Z158" s="885"/>
    </row>
    <row r="159" ht="15.75" customHeight="1">
      <c r="A159" s="3" t="s">
        <v>1774</v>
      </c>
      <c r="B159" s="884" t="s">
        <v>1265</v>
      </c>
      <c r="C159" s="884"/>
      <c r="D159" s="3"/>
      <c r="E159" s="885"/>
      <c r="J159" s="3"/>
      <c r="K159" s="3"/>
      <c r="L159" s="885"/>
      <c r="M159" s="885"/>
      <c r="N159" s="892"/>
      <c r="O159" s="885"/>
      <c r="P159" s="885"/>
      <c r="Q159" s="885"/>
      <c r="R159" s="885"/>
      <c r="S159" s="885"/>
      <c r="T159" s="885"/>
      <c r="U159" s="885"/>
      <c r="V159" s="885"/>
      <c r="W159" s="885"/>
      <c r="X159" s="885"/>
      <c r="Y159" s="885"/>
      <c r="Z159" s="885"/>
    </row>
    <row r="160" ht="15.75" customHeight="1">
      <c r="A160" s="3" t="s">
        <v>1775</v>
      </c>
      <c r="B160" s="884" t="s">
        <v>1265</v>
      </c>
      <c r="C160" s="884"/>
      <c r="D160" s="3"/>
      <c r="E160" s="885"/>
      <c r="J160" s="3"/>
      <c r="K160" s="3"/>
      <c r="L160" s="885"/>
      <c r="M160" s="885"/>
      <c r="N160" s="892"/>
      <c r="O160" s="885"/>
      <c r="P160" s="885"/>
      <c r="Q160" s="885"/>
      <c r="R160" s="885"/>
      <c r="S160" s="885"/>
      <c r="T160" s="885"/>
      <c r="U160" s="885"/>
      <c r="V160" s="885"/>
      <c r="W160" s="885"/>
      <c r="X160" s="885"/>
      <c r="Y160" s="885"/>
      <c r="Z160" s="885"/>
    </row>
    <row r="161" ht="15.75" customHeight="1">
      <c r="A161" s="3" t="s">
        <v>1776</v>
      </c>
      <c r="B161" s="884" t="s">
        <v>1265</v>
      </c>
      <c r="C161" s="884"/>
      <c r="D161" s="3"/>
      <c r="E161" s="885"/>
      <c r="J161" s="3"/>
      <c r="K161" s="3"/>
      <c r="L161" s="885"/>
      <c r="M161" s="885"/>
      <c r="N161" s="892"/>
      <c r="O161" s="885"/>
      <c r="P161" s="885"/>
      <c r="Q161" s="885"/>
      <c r="R161" s="885"/>
      <c r="S161" s="885"/>
      <c r="T161" s="885"/>
      <c r="U161" s="885"/>
      <c r="V161" s="885"/>
      <c r="W161" s="885"/>
      <c r="X161" s="885"/>
      <c r="Y161" s="885"/>
      <c r="Z161" s="885"/>
    </row>
    <row r="162" ht="15.75" customHeight="1">
      <c r="A162" s="884" t="s">
        <v>1777</v>
      </c>
      <c r="B162" s="884" t="s">
        <v>1265</v>
      </c>
      <c r="C162" s="884"/>
      <c r="D162" s="3"/>
      <c r="E162" s="885"/>
      <c r="J162" s="3"/>
      <c r="K162" s="3"/>
      <c r="L162" s="885"/>
      <c r="M162" s="885"/>
      <c r="N162" s="892"/>
      <c r="O162" s="885"/>
      <c r="P162" s="885"/>
      <c r="Q162" s="885"/>
      <c r="R162" s="885"/>
      <c r="S162" s="885"/>
      <c r="T162" s="885"/>
      <c r="U162" s="885"/>
      <c r="V162" s="885"/>
      <c r="W162" s="885"/>
      <c r="X162" s="885"/>
      <c r="Y162" s="885"/>
      <c r="Z162" s="885"/>
    </row>
    <row r="163" ht="15.75" customHeight="1">
      <c r="A163" s="884" t="s">
        <v>1778</v>
      </c>
      <c r="B163" s="884" t="s">
        <v>1265</v>
      </c>
      <c r="C163" s="884"/>
      <c r="D163" s="3"/>
      <c r="E163" s="885"/>
      <c r="I163" s="3"/>
      <c r="J163" s="3"/>
      <c r="K163" s="3"/>
      <c r="L163" s="885"/>
      <c r="M163" s="885"/>
      <c r="N163" s="892"/>
      <c r="O163" s="885"/>
      <c r="P163" s="885"/>
      <c r="Q163" s="885"/>
      <c r="R163" s="885"/>
      <c r="S163" s="885"/>
      <c r="T163" s="885"/>
      <c r="U163" s="885"/>
      <c r="V163" s="885"/>
      <c r="W163" s="885"/>
      <c r="X163" s="885"/>
      <c r="Y163" s="885"/>
      <c r="Z163" s="885"/>
    </row>
    <row r="164" ht="15.75" customHeight="1">
      <c r="A164" s="884" t="s">
        <v>1779</v>
      </c>
      <c r="B164" s="884" t="s">
        <v>1265</v>
      </c>
      <c r="C164" s="884"/>
      <c r="D164" s="3"/>
      <c r="E164" s="885"/>
      <c r="I164" s="3"/>
      <c r="J164" s="3"/>
      <c r="K164" s="3"/>
      <c r="L164" s="885"/>
      <c r="M164" s="885"/>
      <c r="N164" s="892"/>
      <c r="O164" s="885"/>
      <c r="P164" s="885"/>
      <c r="Q164" s="885"/>
      <c r="R164" s="885"/>
      <c r="S164" s="885"/>
      <c r="T164" s="885"/>
      <c r="U164" s="885"/>
      <c r="V164" s="885"/>
      <c r="W164" s="885"/>
      <c r="X164" s="885"/>
      <c r="Y164" s="885"/>
      <c r="Z164" s="885"/>
    </row>
    <row r="165" ht="15.75" customHeight="1">
      <c r="A165" s="884" t="s">
        <v>1780</v>
      </c>
      <c r="B165" s="884" t="s">
        <v>1265</v>
      </c>
      <c r="C165" s="884"/>
      <c r="D165" s="3"/>
      <c r="E165" s="885"/>
      <c r="I165" s="3"/>
      <c r="J165" s="3"/>
      <c r="K165" s="3"/>
      <c r="L165" s="885"/>
      <c r="M165" s="885"/>
      <c r="N165" s="892"/>
      <c r="O165" s="885"/>
      <c r="P165" s="885"/>
      <c r="Q165" s="885"/>
      <c r="R165" s="885"/>
      <c r="S165" s="885"/>
      <c r="T165" s="885"/>
      <c r="U165" s="885"/>
      <c r="V165" s="885"/>
      <c r="W165" s="885"/>
      <c r="X165" s="885"/>
      <c r="Y165" s="885"/>
      <c r="Z165" s="885"/>
    </row>
    <row r="166" ht="15.75" customHeight="1">
      <c r="A166" s="884" t="s">
        <v>1781</v>
      </c>
      <c r="B166" s="884" t="s">
        <v>1265</v>
      </c>
      <c r="C166" s="884"/>
      <c r="D166" s="3"/>
      <c r="E166" s="885"/>
      <c r="I166" s="3"/>
      <c r="J166" s="3"/>
      <c r="K166" s="3"/>
      <c r="L166" s="885"/>
      <c r="M166" s="885"/>
      <c r="N166" s="892"/>
      <c r="O166" s="885"/>
      <c r="P166" s="885"/>
      <c r="Q166" s="885"/>
      <c r="R166" s="885"/>
      <c r="S166" s="885"/>
      <c r="T166" s="885"/>
      <c r="U166" s="885"/>
      <c r="V166" s="885"/>
      <c r="W166" s="885"/>
      <c r="X166" s="885"/>
      <c r="Y166" s="885"/>
      <c r="Z166" s="885"/>
    </row>
    <row r="167" ht="15.75" customHeight="1">
      <c r="A167" s="884" t="s">
        <v>1782</v>
      </c>
      <c r="B167" s="884" t="s">
        <v>1265</v>
      </c>
      <c r="C167" s="884"/>
      <c r="D167" s="3"/>
      <c r="E167" s="885"/>
      <c r="I167" s="3"/>
      <c r="J167" s="3"/>
      <c r="K167" s="3"/>
      <c r="L167" s="885"/>
      <c r="M167" s="885"/>
      <c r="N167" s="892"/>
      <c r="O167" s="885"/>
      <c r="P167" s="885"/>
      <c r="Q167" s="885"/>
      <c r="R167" s="885"/>
      <c r="S167" s="885"/>
      <c r="T167" s="885"/>
      <c r="U167" s="885"/>
      <c r="V167" s="885"/>
      <c r="W167" s="885"/>
      <c r="X167" s="885"/>
      <c r="Y167" s="885"/>
      <c r="Z167" s="885"/>
    </row>
    <row r="168" ht="15.75" customHeight="1">
      <c r="A168" s="884" t="s">
        <v>1783</v>
      </c>
      <c r="B168" s="884" t="s">
        <v>1265</v>
      </c>
      <c r="C168" s="884"/>
      <c r="D168" s="3"/>
      <c r="E168" s="885"/>
      <c r="I168" s="3"/>
      <c r="J168" s="3"/>
      <c r="K168" s="3"/>
      <c r="L168" s="885"/>
      <c r="M168" s="885"/>
      <c r="N168" s="892"/>
      <c r="O168" s="885"/>
      <c r="P168" s="885"/>
      <c r="Q168" s="885"/>
      <c r="R168" s="885"/>
      <c r="S168" s="885"/>
      <c r="T168" s="885"/>
      <c r="U168" s="885"/>
      <c r="V168" s="885"/>
      <c r="W168" s="885"/>
      <c r="X168" s="885"/>
      <c r="Y168" s="885"/>
      <c r="Z168" s="885"/>
    </row>
    <row r="169" ht="15.75" customHeight="1">
      <c r="A169" s="884" t="s">
        <v>1784</v>
      </c>
      <c r="B169" s="884" t="s">
        <v>1265</v>
      </c>
      <c r="C169" s="884"/>
      <c r="D169" s="3"/>
      <c r="E169" s="885"/>
      <c r="I169" s="3"/>
      <c r="J169" s="3"/>
      <c r="K169" s="3"/>
      <c r="L169" s="885"/>
      <c r="M169" s="884"/>
      <c r="N169" s="892"/>
      <c r="O169" s="885"/>
      <c r="P169" s="885"/>
      <c r="Q169" s="50"/>
      <c r="R169" s="885"/>
      <c r="S169" s="885"/>
      <c r="T169" s="885"/>
      <c r="U169" s="885"/>
      <c r="V169" s="885"/>
      <c r="W169" s="885"/>
      <c r="X169" s="885"/>
      <c r="Y169" s="885"/>
      <c r="Z169" s="885"/>
    </row>
    <row r="170" ht="15.0" customHeight="1">
      <c r="A170" s="884" t="s">
        <v>1785</v>
      </c>
      <c r="B170" s="884" t="s">
        <v>1265</v>
      </c>
      <c r="C170" s="884"/>
      <c r="D170" s="3"/>
      <c r="E170" s="885"/>
      <c r="I170" s="3"/>
      <c r="J170" s="3"/>
      <c r="K170" s="3"/>
      <c r="L170" s="885"/>
      <c r="M170" s="885"/>
      <c r="N170" s="892"/>
      <c r="O170" s="885"/>
      <c r="P170" s="885"/>
      <c r="Q170" s="50"/>
      <c r="R170" s="885"/>
      <c r="S170" s="885"/>
      <c r="T170" s="885"/>
      <c r="U170" s="885"/>
      <c r="V170" s="885"/>
      <c r="W170" s="885"/>
      <c r="X170" s="885"/>
      <c r="Y170" s="885"/>
      <c r="Z170" s="885"/>
    </row>
    <row r="171" ht="15.0" customHeight="1">
      <c r="A171" s="884" t="s">
        <v>1786</v>
      </c>
      <c r="B171" s="884" t="s">
        <v>1265</v>
      </c>
      <c r="C171" s="884"/>
      <c r="D171" s="3"/>
      <c r="E171" s="885"/>
      <c r="I171" s="3"/>
      <c r="J171" s="3"/>
      <c r="K171" s="3"/>
      <c r="L171" s="885"/>
      <c r="M171" s="885"/>
      <c r="N171" s="892"/>
      <c r="O171" s="885"/>
      <c r="P171" s="885"/>
      <c r="Q171" s="50"/>
      <c r="R171" s="885"/>
      <c r="S171" s="885"/>
      <c r="T171" s="885"/>
      <c r="U171" s="885"/>
      <c r="V171" s="885"/>
      <c r="W171" s="885"/>
      <c r="X171" s="885"/>
      <c r="Y171" s="885"/>
      <c r="Z171" s="885"/>
    </row>
    <row r="172" ht="15.0" customHeight="1">
      <c r="A172" s="884" t="s">
        <v>1787</v>
      </c>
      <c r="B172" s="884" t="s">
        <v>1265</v>
      </c>
      <c r="C172" s="884"/>
      <c r="D172" s="3"/>
      <c r="E172" s="885"/>
      <c r="I172" s="3"/>
      <c r="J172" s="3"/>
      <c r="K172" s="3"/>
      <c r="L172" s="885"/>
      <c r="M172" s="885"/>
      <c r="N172" s="892"/>
      <c r="O172" s="885"/>
      <c r="P172" s="885"/>
      <c r="Q172" s="50"/>
      <c r="R172" s="885"/>
      <c r="S172" s="885"/>
      <c r="T172" s="885"/>
      <c r="U172" s="885"/>
      <c r="V172" s="885"/>
      <c r="W172" s="885"/>
      <c r="X172" s="885"/>
      <c r="Y172" s="885"/>
      <c r="Z172" s="885"/>
    </row>
    <row r="173" ht="15.75" customHeight="1">
      <c r="A173" s="884" t="s">
        <v>1788</v>
      </c>
      <c r="B173" s="884" t="s">
        <v>1265</v>
      </c>
      <c r="C173" s="884"/>
      <c r="D173" s="3"/>
      <c r="E173" s="885"/>
      <c r="I173" s="3"/>
      <c r="J173" s="3"/>
      <c r="K173" s="3"/>
      <c r="L173" s="885"/>
      <c r="M173" s="885"/>
      <c r="N173" s="892"/>
      <c r="O173" s="885"/>
      <c r="P173" s="885"/>
      <c r="Q173" s="50"/>
      <c r="R173" s="885"/>
      <c r="S173" s="885"/>
      <c r="T173" s="885"/>
      <c r="U173" s="885"/>
      <c r="V173" s="885"/>
      <c r="W173" s="885"/>
      <c r="X173" s="885"/>
      <c r="Y173" s="885"/>
      <c r="Z173" s="885"/>
    </row>
    <row r="174" ht="15.75" customHeight="1">
      <c r="A174" s="884" t="s">
        <v>1789</v>
      </c>
      <c r="B174" s="884" t="s">
        <v>1265</v>
      </c>
      <c r="C174" s="884"/>
      <c r="D174" s="3"/>
      <c r="E174" s="885"/>
      <c r="I174" s="3"/>
      <c r="J174" s="3"/>
      <c r="K174" s="3"/>
      <c r="L174" s="885"/>
      <c r="M174" s="885"/>
      <c r="N174" s="892"/>
      <c r="O174" s="885"/>
      <c r="P174" s="885"/>
      <c r="Q174" s="50"/>
      <c r="R174" s="885"/>
      <c r="S174" s="885"/>
      <c r="T174" s="885"/>
      <c r="U174" s="885"/>
      <c r="V174" s="885"/>
      <c r="W174" s="885"/>
      <c r="X174" s="885"/>
      <c r="Y174" s="885"/>
      <c r="Z174" s="885"/>
    </row>
    <row r="175" ht="15.75" customHeight="1">
      <c r="A175" s="884" t="s">
        <v>1265</v>
      </c>
      <c r="B175" s="3" t="s">
        <v>1265</v>
      </c>
      <c r="C175" s="884"/>
      <c r="D175" s="3"/>
      <c r="E175" s="885"/>
      <c r="I175" s="3"/>
      <c r="J175" s="3"/>
      <c r="K175" s="3"/>
      <c r="L175" s="885"/>
      <c r="M175" s="885"/>
      <c r="N175" s="892"/>
      <c r="O175" s="885"/>
      <c r="P175" s="885"/>
      <c r="Q175" s="50"/>
      <c r="R175" s="885"/>
      <c r="S175" s="885"/>
      <c r="T175" s="885"/>
      <c r="U175" s="885"/>
      <c r="V175" s="885"/>
      <c r="W175" s="885"/>
      <c r="X175" s="885"/>
      <c r="Y175" s="885"/>
      <c r="Z175" s="885"/>
    </row>
    <row r="176" ht="15.75" customHeight="1">
      <c r="A176" s="3" t="s">
        <v>1790</v>
      </c>
      <c r="B176" s="3" t="s">
        <v>1265</v>
      </c>
      <c r="C176" s="884"/>
      <c r="D176" s="3"/>
      <c r="E176" s="885"/>
      <c r="I176" s="885"/>
      <c r="J176" s="885"/>
      <c r="K176" s="3"/>
      <c r="L176" s="885"/>
      <c r="M176" s="885"/>
      <c r="N176" s="892"/>
      <c r="O176" s="885"/>
      <c r="P176" s="885"/>
      <c r="Q176" s="50"/>
      <c r="R176" s="885"/>
      <c r="S176" s="885"/>
      <c r="T176" s="885"/>
      <c r="U176" s="885"/>
      <c r="V176" s="885"/>
      <c r="W176" s="885"/>
      <c r="X176" s="885"/>
      <c r="Y176" s="885"/>
      <c r="Z176" s="885"/>
    </row>
    <row r="177" ht="15.75" customHeight="1">
      <c r="A177" s="3" t="s">
        <v>1791</v>
      </c>
      <c r="B177" s="3" t="s">
        <v>1265</v>
      </c>
      <c r="C177" s="884"/>
      <c r="D177" s="3"/>
      <c r="E177" s="885"/>
      <c r="I177" s="3"/>
      <c r="J177" s="3"/>
      <c r="K177" s="3"/>
      <c r="L177" s="885"/>
      <c r="M177" s="885"/>
      <c r="N177" s="892"/>
      <c r="O177" s="885"/>
      <c r="P177" s="885"/>
      <c r="Q177" s="50"/>
      <c r="R177" s="885"/>
      <c r="S177" s="885"/>
      <c r="T177" s="885"/>
      <c r="U177" s="885"/>
      <c r="V177" s="885"/>
      <c r="W177" s="885"/>
      <c r="X177" s="885"/>
      <c r="Y177" s="885"/>
      <c r="Z177" s="885"/>
    </row>
    <row r="178" ht="15.75" customHeight="1">
      <c r="A178" s="3" t="s">
        <v>1792</v>
      </c>
      <c r="B178" s="3" t="s">
        <v>1265</v>
      </c>
      <c r="C178" s="884"/>
      <c r="D178" s="3"/>
      <c r="E178" s="885"/>
      <c r="F178" s="3"/>
      <c r="G178" s="3"/>
      <c r="H178" s="886"/>
      <c r="I178" s="3"/>
      <c r="J178" s="3"/>
      <c r="K178" s="3"/>
      <c r="L178" s="885"/>
      <c r="M178" s="885"/>
      <c r="N178" s="887"/>
      <c r="O178" s="885"/>
      <c r="P178" s="885"/>
      <c r="Q178" s="885"/>
      <c r="R178" s="885"/>
      <c r="S178" s="885"/>
      <c r="T178" s="885"/>
      <c r="U178" s="885"/>
      <c r="V178" s="885"/>
      <c r="W178" s="885"/>
      <c r="X178" s="885"/>
      <c r="Y178" s="885"/>
      <c r="Z178" s="885"/>
    </row>
    <row r="179" ht="15.75" customHeight="1">
      <c r="A179" s="3" t="s">
        <v>1793</v>
      </c>
      <c r="B179" s="3" t="s">
        <v>1265</v>
      </c>
      <c r="C179" s="884"/>
      <c r="D179" s="3"/>
      <c r="E179" s="885"/>
      <c r="F179" s="3"/>
      <c r="G179" s="3"/>
      <c r="H179" s="886"/>
      <c r="I179" s="3"/>
      <c r="J179" s="3"/>
      <c r="K179" s="3"/>
      <c r="L179" s="885"/>
      <c r="M179" s="885"/>
      <c r="N179" s="887"/>
      <c r="O179" s="885"/>
      <c r="P179" s="885"/>
      <c r="Q179" s="50"/>
      <c r="R179" s="885"/>
      <c r="S179" s="885"/>
      <c r="T179" s="885"/>
      <c r="U179" s="885"/>
      <c r="V179" s="885"/>
      <c r="W179" s="885"/>
      <c r="X179" s="885"/>
      <c r="Y179" s="885"/>
      <c r="Z179" s="885"/>
    </row>
    <row r="180" ht="15.75" customHeight="1">
      <c r="A180" s="884" t="s">
        <v>1794</v>
      </c>
      <c r="B180" s="3" t="s">
        <v>1265</v>
      </c>
      <c r="C180" s="884"/>
      <c r="D180" s="3"/>
      <c r="E180" s="885"/>
      <c r="F180" s="3"/>
      <c r="G180" s="3"/>
      <c r="H180" s="886"/>
      <c r="I180" s="3"/>
      <c r="J180" s="3"/>
      <c r="K180" s="3"/>
      <c r="L180" s="885"/>
      <c r="M180" s="885"/>
      <c r="N180" s="887"/>
      <c r="O180" s="885"/>
      <c r="P180" s="885"/>
      <c r="Q180" s="50"/>
      <c r="R180" s="885"/>
      <c r="S180" s="885"/>
      <c r="T180" s="885"/>
      <c r="U180" s="885"/>
      <c r="V180" s="885"/>
      <c r="W180" s="885"/>
      <c r="X180" s="885"/>
      <c r="Y180" s="885"/>
      <c r="Z180" s="885"/>
    </row>
    <row r="181" ht="15.75" customHeight="1">
      <c r="A181" s="884" t="s">
        <v>1795</v>
      </c>
      <c r="B181" s="3" t="s">
        <v>1265</v>
      </c>
      <c r="C181" s="884"/>
      <c r="D181" s="3"/>
      <c r="E181" s="885"/>
      <c r="F181" s="3"/>
      <c r="G181" s="3"/>
      <c r="H181" s="886"/>
      <c r="I181" s="3"/>
      <c r="J181" s="3"/>
      <c r="K181" s="3"/>
      <c r="L181" s="885"/>
      <c r="M181" s="885"/>
      <c r="N181" s="887"/>
      <c r="O181" s="885"/>
      <c r="P181" s="885"/>
      <c r="Q181" s="50"/>
      <c r="R181" s="885"/>
      <c r="S181" s="885"/>
      <c r="T181" s="885"/>
      <c r="U181" s="885"/>
      <c r="V181" s="885"/>
      <c r="W181" s="885"/>
      <c r="X181" s="885"/>
      <c r="Y181" s="885"/>
      <c r="Z181" s="885"/>
    </row>
    <row r="182" ht="15.0" customHeight="1">
      <c r="A182" s="884" t="s">
        <v>1796</v>
      </c>
      <c r="B182" s="3" t="s">
        <v>1265</v>
      </c>
      <c r="C182" s="884"/>
      <c r="D182" s="3"/>
      <c r="E182" s="885"/>
      <c r="F182" s="3"/>
      <c r="G182" s="3"/>
      <c r="H182" s="886"/>
      <c r="I182" s="3"/>
      <c r="J182" s="3"/>
      <c r="K182" s="3"/>
      <c r="L182" s="885"/>
      <c r="M182" s="885"/>
      <c r="N182" s="887"/>
      <c r="O182" s="885"/>
      <c r="P182" s="885"/>
      <c r="Q182" s="50"/>
      <c r="R182" s="885"/>
      <c r="S182" s="885"/>
      <c r="T182" s="885"/>
      <c r="U182" s="885"/>
      <c r="V182" s="885"/>
      <c r="W182" s="885"/>
      <c r="X182" s="885"/>
      <c r="Y182" s="885"/>
      <c r="Z182" s="885"/>
    </row>
    <row r="183" ht="15.0" customHeight="1">
      <c r="A183" s="884" t="s">
        <v>1797</v>
      </c>
      <c r="B183" s="3" t="s">
        <v>1265</v>
      </c>
      <c r="C183" s="884"/>
      <c r="D183" s="3"/>
      <c r="E183" s="885"/>
      <c r="F183" s="3"/>
      <c r="G183" s="3"/>
      <c r="H183" s="886"/>
      <c r="I183" s="3"/>
      <c r="J183" s="3"/>
      <c r="K183" s="3"/>
      <c r="L183" s="885"/>
      <c r="M183" s="885"/>
      <c r="N183" s="887"/>
      <c r="O183" s="885"/>
      <c r="P183" s="885"/>
      <c r="Q183" s="50"/>
      <c r="R183" s="885"/>
      <c r="S183" s="885"/>
      <c r="T183" s="885"/>
      <c r="U183" s="885"/>
      <c r="V183" s="885"/>
      <c r="W183" s="885"/>
      <c r="X183" s="885"/>
      <c r="Y183" s="885"/>
      <c r="Z183" s="885"/>
    </row>
    <row r="184" ht="15.0" customHeight="1">
      <c r="A184" s="884" t="s">
        <v>1798</v>
      </c>
      <c r="B184" s="3" t="s">
        <v>1265</v>
      </c>
      <c r="C184" s="884"/>
      <c r="D184" s="3"/>
      <c r="E184" s="885"/>
      <c r="F184" s="3"/>
      <c r="G184" s="3"/>
      <c r="H184" s="886"/>
      <c r="I184" s="3"/>
      <c r="J184" s="3"/>
      <c r="K184" s="3"/>
      <c r="L184" s="885"/>
      <c r="M184" s="885"/>
      <c r="N184" s="887"/>
      <c r="O184" s="885"/>
      <c r="P184" s="885"/>
      <c r="Q184" s="50"/>
      <c r="R184" s="885"/>
      <c r="S184" s="885"/>
      <c r="T184" s="885"/>
      <c r="U184" s="885"/>
      <c r="V184" s="885"/>
      <c r="W184" s="885"/>
      <c r="X184" s="885"/>
      <c r="Y184" s="885"/>
      <c r="Z184" s="885"/>
    </row>
    <row r="185" ht="15.0" customHeight="1">
      <c r="A185" s="884" t="s">
        <v>1799</v>
      </c>
      <c r="B185" s="3" t="s">
        <v>1265</v>
      </c>
      <c r="C185" s="884"/>
      <c r="D185" s="3"/>
      <c r="E185" s="885"/>
      <c r="F185" s="3"/>
      <c r="G185" s="3"/>
      <c r="H185" s="886"/>
      <c r="I185" s="3"/>
      <c r="J185" s="3"/>
      <c r="K185" s="3"/>
      <c r="L185" s="885"/>
      <c r="M185" s="885"/>
      <c r="N185" s="887"/>
      <c r="O185" s="885"/>
      <c r="P185" s="885"/>
      <c r="Q185" s="50"/>
      <c r="R185" s="885"/>
      <c r="S185" s="885"/>
      <c r="T185" s="885"/>
      <c r="U185" s="885"/>
      <c r="V185" s="885"/>
      <c r="W185" s="885"/>
      <c r="X185" s="885"/>
      <c r="Y185" s="885"/>
      <c r="Z185" s="885"/>
    </row>
    <row r="186" ht="15.0" customHeight="1">
      <c r="A186" s="884" t="s">
        <v>321</v>
      </c>
      <c r="B186" s="3" t="s">
        <v>1265</v>
      </c>
      <c r="C186" s="884"/>
      <c r="D186" s="3"/>
      <c r="E186" s="885"/>
      <c r="F186" s="3"/>
      <c r="G186" s="3"/>
      <c r="H186" s="886"/>
      <c r="I186" s="3"/>
      <c r="J186" s="3"/>
      <c r="K186" s="3"/>
      <c r="L186" s="885"/>
      <c r="M186" s="885"/>
      <c r="N186" s="887"/>
      <c r="O186" s="885"/>
      <c r="P186" s="885"/>
      <c r="Q186" s="50"/>
      <c r="R186" s="885"/>
      <c r="S186" s="885"/>
      <c r="T186" s="885"/>
      <c r="U186" s="885"/>
      <c r="V186" s="885"/>
      <c r="W186" s="885"/>
      <c r="X186" s="885"/>
      <c r="Y186" s="885"/>
      <c r="Z186" s="885"/>
    </row>
    <row r="187" ht="15.75" customHeight="1">
      <c r="A187" s="884" t="s">
        <v>1800</v>
      </c>
      <c r="B187" s="3" t="s">
        <v>1265</v>
      </c>
      <c r="C187" s="884"/>
      <c r="D187" s="3"/>
      <c r="E187" s="885"/>
      <c r="F187" s="3"/>
      <c r="G187" s="3"/>
      <c r="H187" s="886"/>
      <c r="I187" s="3"/>
      <c r="J187" s="3"/>
      <c r="K187" s="885"/>
      <c r="L187" s="885"/>
      <c r="M187" s="885"/>
      <c r="N187" s="887"/>
      <c r="O187" s="885"/>
      <c r="P187" s="885"/>
      <c r="Q187" s="50"/>
      <c r="R187" s="885"/>
      <c r="S187" s="885"/>
      <c r="T187" s="885"/>
      <c r="U187" s="885"/>
      <c r="V187" s="885"/>
      <c r="W187" s="885"/>
      <c r="X187" s="885"/>
      <c r="Y187" s="885"/>
      <c r="Z187" s="885"/>
    </row>
    <row r="188" ht="15.75" customHeight="1">
      <c r="A188" s="884" t="s">
        <v>1801</v>
      </c>
      <c r="B188" s="3" t="s">
        <v>1265</v>
      </c>
      <c r="C188" s="884"/>
      <c r="D188" s="3"/>
      <c r="E188" s="885"/>
      <c r="F188" s="3"/>
      <c r="G188" s="3"/>
      <c r="H188" s="886"/>
      <c r="I188" s="3"/>
      <c r="J188" s="3"/>
      <c r="K188" s="885"/>
      <c r="L188" s="885"/>
      <c r="M188" s="885"/>
      <c r="N188" s="887"/>
      <c r="O188" s="885"/>
      <c r="P188" s="885"/>
      <c r="Q188" s="50"/>
      <c r="R188" s="885"/>
      <c r="S188" s="885"/>
      <c r="T188" s="885"/>
      <c r="U188" s="885"/>
      <c r="V188" s="885"/>
      <c r="W188" s="885"/>
      <c r="X188" s="885"/>
      <c r="Y188" s="885"/>
      <c r="Z188" s="885"/>
    </row>
    <row r="189" ht="15.75" customHeight="1">
      <c r="A189" s="884" t="s">
        <v>1802</v>
      </c>
      <c r="B189" s="3" t="s">
        <v>1265</v>
      </c>
      <c r="C189" s="884"/>
      <c r="D189" s="3"/>
      <c r="E189" s="885"/>
      <c r="F189" s="3"/>
      <c r="G189" s="3"/>
      <c r="H189" s="886"/>
      <c r="I189" s="3"/>
      <c r="J189" s="3"/>
      <c r="K189" s="885"/>
      <c r="L189" s="885"/>
      <c r="M189" s="885"/>
      <c r="N189" s="887"/>
      <c r="O189" s="885"/>
      <c r="P189" s="885"/>
      <c r="Q189" s="50"/>
      <c r="R189" s="885"/>
      <c r="S189" s="885"/>
      <c r="T189" s="885"/>
      <c r="U189" s="885"/>
      <c r="V189" s="885"/>
      <c r="W189" s="885"/>
      <c r="X189" s="885"/>
      <c r="Y189" s="885"/>
      <c r="Z189" s="885"/>
    </row>
    <row r="190" ht="15.75" customHeight="1">
      <c r="A190" s="884" t="s">
        <v>1803</v>
      </c>
      <c r="B190" s="3" t="s">
        <v>1265</v>
      </c>
      <c r="C190" s="884"/>
      <c r="D190" s="3"/>
      <c r="E190" s="885"/>
      <c r="F190" s="3"/>
      <c r="G190" s="3"/>
      <c r="H190" s="886"/>
      <c r="I190" s="3"/>
      <c r="J190" s="3"/>
      <c r="K190" s="885"/>
      <c r="L190" s="885"/>
      <c r="M190" s="885"/>
      <c r="N190" s="887"/>
      <c r="O190" s="885"/>
      <c r="P190" s="885"/>
      <c r="Q190" s="50"/>
      <c r="R190" s="885"/>
      <c r="S190" s="885"/>
      <c r="T190" s="885"/>
      <c r="U190" s="885"/>
      <c r="V190" s="885"/>
      <c r="W190" s="885"/>
      <c r="X190" s="885"/>
      <c r="Y190" s="885"/>
      <c r="Z190" s="885"/>
    </row>
    <row r="191" ht="15.75" customHeight="1">
      <c r="A191" s="884" t="s">
        <v>1804</v>
      </c>
      <c r="B191" s="3" t="s">
        <v>1265</v>
      </c>
      <c r="C191" s="884"/>
      <c r="D191" s="3"/>
      <c r="E191" s="885"/>
      <c r="F191" s="3"/>
      <c r="G191" s="3"/>
      <c r="H191" s="886"/>
      <c r="I191" s="3"/>
      <c r="J191" s="3"/>
      <c r="K191" s="885"/>
      <c r="L191" s="885"/>
      <c r="M191" s="885"/>
      <c r="N191" s="887"/>
      <c r="O191" s="885"/>
      <c r="P191" s="885"/>
      <c r="Q191" s="50"/>
      <c r="R191" s="885"/>
      <c r="S191" s="885"/>
      <c r="T191" s="885"/>
      <c r="U191" s="885"/>
      <c r="V191" s="885"/>
      <c r="W191" s="885"/>
      <c r="X191" s="885"/>
      <c r="Y191" s="885"/>
      <c r="Z191" s="885"/>
    </row>
    <row r="192" ht="15.75" customHeight="1">
      <c r="A192" s="884" t="s">
        <v>1805</v>
      </c>
      <c r="B192" s="3" t="s">
        <v>1265</v>
      </c>
      <c r="C192" s="884"/>
      <c r="D192" s="3"/>
      <c r="E192" s="885"/>
      <c r="F192" s="3"/>
      <c r="G192" s="3"/>
      <c r="H192" s="886"/>
      <c r="I192" s="3"/>
      <c r="J192" s="3"/>
      <c r="K192" s="885"/>
      <c r="L192" s="885"/>
      <c r="M192" s="885"/>
      <c r="N192" s="887"/>
      <c r="O192" s="885"/>
      <c r="P192" s="885"/>
      <c r="Q192" s="50"/>
      <c r="R192" s="885"/>
      <c r="S192" s="885"/>
      <c r="T192" s="885"/>
      <c r="U192" s="885"/>
      <c r="V192" s="885"/>
      <c r="W192" s="885"/>
      <c r="X192" s="885"/>
      <c r="Y192" s="885"/>
      <c r="Z192" s="885"/>
    </row>
    <row r="193" ht="15.75" customHeight="1">
      <c r="A193" s="884" t="s">
        <v>1806</v>
      </c>
      <c r="B193" s="3" t="s">
        <v>1265</v>
      </c>
      <c r="C193" s="884"/>
      <c r="D193" s="3"/>
      <c r="E193" s="885"/>
      <c r="F193" s="3"/>
      <c r="G193" s="3"/>
      <c r="H193" s="886"/>
      <c r="I193" s="3"/>
      <c r="J193" s="3"/>
      <c r="K193" s="885"/>
      <c r="L193" s="885"/>
      <c r="M193" s="885"/>
      <c r="N193" s="887"/>
      <c r="O193" s="885"/>
      <c r="P193" s="885"/>
      <c r="Q193" s="50"/>
      <c r="R193" s="885"/>
      <c r="S193" s="885"/>
      <c r="T193" s="885"/>
      <c r="U193" s="885"/>
      <c r="V193" s="885"/>
      <c r="W193" s="885"/>
      <c r="X193" s="885"/>
      <c r="Y193" s="885"/>
      <c r="Z193" s="885"/>
    </row>
    <row r="194" ht="15.75" customHeight="1">
      <c r="A194" s="884" t="s">
        <v>1807</v>
      </c>
      <c r="B194" s="3" t="s">
        <v>1265</v>
      </c>
      <c r="C194" s="884"/>
      <c r="D194" s="3"/>
      <c r="E194" s="885"/>
      <c r="F194" s="3"/>
      <c r="G194" s="3"/>
      <c r="H194" s="886"/>
      <c r="I194" s="3"/>
      <c r="J194" s="3"/>
      <c r="K194" s="885"/>
      <c r="L194" s="885"/>
      <c r="M194" s="885"/>
      <c r="N194" s="887"/>
      <c r="O194" s="885"/>
      <c r="P194" s="885"/>
      <c r="Q194" s="50"/>
      <c r="R194" s="885"/>
      <c r="S194" s="885"/>
      <c r="T194" s="885"/>
      <c r="U194" s="885"/>
      <c r="V194" s="885"/>
      <c r="W194" s="885"/>
      <c r="X194" s="885"/>
      <c r="Y194" s="885"/>
      <c r="Z194" s="885"/>
    </row>
    <row r="195" ht="15.75" customHeight="1">
      <c r="A195" s="884" t="s">
        <v>1808</v>
      </c>
      <c r="B195" s="3" t="s">
        <v>1265</v>
      </c>
      <c r="C195" s="884"/>
      <c r="D195" s="3"/>
      <c r="E195" s="885"/>
      <c r="F195" s="3"/>
      <c r="G195" s="3"/>
      <c r="H195" s="886"/>
      <c r="I195" s="3"/>
      <c r="J195" s="3"/>
      <c r="K195" s="885"/>
      <c r="L195" s="885"/>
      <c r="M195" s="885"/>
      <c r="N195" s="887"/>
      <c r="O195" s="885"/>
      <c r="P195" s="885"/>
      <c r="Q195" s="50"/>
      <c r="R195" s="885"/>
      <c r="S195" s="885"/>
      <c r="T195" s="885"/>
      <c r="U195" s="885"/>
      <c r="V195" s="885"/>
      <c r="W195" s="885"/>
      <c r="X195" s="885"/>
      <c r="Y195" s="885"/>
      <c r="Z195" s="885"/>
    </row>
    <row r="196" ht="15.75" customHeight="1">
      <c r="A196" s="884" t="s">
        <v>1809</v>
      </c>
      <c r="B196" s="3" t="s">
        <v>1265</v>
      </c>
      <c r="C196" s="884"/>
      <c r="D196" s="3"/>
      <c r="E196" s="885"/>
      <c r="F196" s="3"/>
      <c r="G196" s="3"/>
      <c r="H196" s="886"/>
      <c r="I196" s="3"/>
      <c r="J196" s="3"/>
      <c r="K196" s="885"/>
      <c r="L196" s="885"/>
      <c r="M196" s="885"/>
      <c r="N196" s="887"/>
      <c r="O196" s="885"/>
      <c r="P196" s="885"/>
      <c r="Q196" s="50"/>
      <c r="R196" s="885"/>
      <c r="S196" s="885"/>
      <c r="T196" s="885"/>
      <c r="U196" s="885"/>
      <c r="V196" s="885"/>
      <c r="W196" s="885"/>
      <c r="X196" s="885"/>
      <c r="Y196" s="885"/>
      <c r="Z196" s="885"/>
    </row>
    <row r="197" ht="15.75" customHeight="1">
      <c r="A197" s="884" t="s">
        <v>1810</v>
      </c>
      <c r="B197" s="3" t="s">
        <v>1265</v>
      </c>
      <c r="C197" s="884"/>
      <c r="D197" s="3"/>
      <c r="E197" s="885"/>
      <c r="F197" s="885"/>
      <c r="G197" s="885"/>
      <c r="H197" s="886"/>
      <c r="I197" s="3"/>
      <c r="J197" s="3"/>
      <c r="K197" s="885"/>
      <c r="L197" s="885"/>
      <c r="M197" s="885"/>
      <c r="N197" s="887"/>
      <c r="O197" s="885"/>
      <c r="P197" s="885"/>
      <c r="Q197" s="50"/>
      <c r="R197" s="885"/>
      <c r="S197" s="885"/>
      <c r="T197" s="885"/>
      <c r="U197" s="885"/>
      <c r="V197" s="885"/>
      <c r="W197" s="885"/>
      <c r="X197" s="885"/>
      <c r="Y197" s="885"/>
      <c r="Z197" s="885"/>
    </row>
    <row r="198" ht="15.75" customHeight="1">
      <c r="A198" s="884" t="s">
        <v>1811</v>
      </c>
      <c r="B198" s="3" t="s">
        <v>1265</v>
      </c>
      <c r="C198" s="884"/>
      <c r="D198" s="3"/>
      <c r="E198" s="885"/>
      <c r="F198" s="885"/>
      <c r="G198" s="885"/>
      <c r="H198" s="886"/>
      <c r="I198" s="3"/>
      <c r="J198" s="3"/>
      <c r="K198" s="885"/>
      <c r="L198" s="885"/>
      <c r="M198" s="885"/>
      <c r="N198" s="887"/>
      <c r="O198" s="885"/>
      <c r="P198" s="885"/>
      <c r="Q198" s="50"/>
      <c r="R198" s="885"/>
      <c r="S198" s="885"/>
      <c r="T198" s="885"/>
      <c r="U198" s="885"/>
      <c r="V198" s="885"/>
      <c r="W198" s="885"/>
      <c r="X198" s="885"/>
      <c r="Y198" s="885"/>
      <c r="Z198" s="885"/>
    </row>
    <row r="199" ht="15.75" customHeight="1">
      <c r="A199" s="884" t="s">
        <v>1812</v>
      </c>
      <c r="B199" s="3" t="s">
        <v>1265</v>
      </c>
      <c r="C199" s="884"/>
      <c r="D199" s="3"/>
      <c r="E199" s="885"/>
      <c r="F199" s="885"/>
      <c r="G199" s="885"/>
      <c r="H199" s="886"/>
      <c r="I199" s="3"/>
      <c r="J199" s="3"/>
      <c r="K199" s="885"/>
      <c r="L199" s="885"/>
      <c r="M199" s="885"/>
      <c r="N199" s="887"/>
      <c r="O199" s="885"/>
      <c r="P199" s="885"/>
      <c r="Q199" s="50"/>
      <c r="R199" s="885"/>
      <c r="S199" s="885"/>
      <c r="T199" s="885"/>
      <c r="U199" s="885"/>
      <c r="V199" s="885"/>
      <c r="W199" s="885"/>
      <c r="X199" s="885"/>
      <c r="Y199" s="885"/>
      <c r="Z199" s="885"/>
    </row>
    <row r="200" ht="15.75" customHeight="1">
      <c r="A200" s="884" t="s">
        <v>1813</v>
      </c>
      <c r="B200" s="3" t="s">
        <v>1265</v>
      </c>
      <c r="C200" s="884"/>
      <c r="D200" s="3"/>
      <c r="E200" s="885"/>
      <c r="F200" s="885"/>
      <c r="G200" s="885"/>
      <c r="H200" s="886"/>
      <c r="I200" s="3"/>
      <c r="J200" s="3"/>
      <c r="K200" s="885"/>
      <c r="L200" s="885"/>
      <c r="N200" s="887"/>
      <c r="O200" s="885"/>
      <c r="P200" s="885"/>
      <c r="Q200" s="50"/>
      <c r="R200" s="885"/>
      <c r="S200" s="885"/>
      <c r="T200" s="885"/>
      <c r="U200" s="885"/>
      <c r="V200" s="885"/>
      <c r="W200" s="885"/>
      <c r="X200" s="885"/>
      <c r="Y200" s="885"/>
      <c r="Z200" s="885"/>
    </row>
    <row r="201" ht="15.75" customHeight="1">
      <c r="A201" s="884" t="s">
        <v>1814</v>
      </c>
      <c r="B201" s="3" t="s">
        <v>1265</v>
      </c>
      <c r="C201" s="884"/>
      <c r="D201" s="3"/>
      <c r="E201" s="885"/>
      <c r="F201" s="3"/>
      <c r="G201" s="10" t="s">
        <v>1671</v>
      </c>
      <c r="H201" s="886"/>
      <c r="I201" s="3"/>
      <c r="J201" s="3"/>
      <c r="K201" s="885"/>
      <c r="L201" s="884"/>
      <c r="N201" s="887"/>
      <c r="O201" s="885"/>
      <c r="P201" s="885"/>
      <c r="Q201" s="50"/>
      <c r="R201" s="885"/>
      <c r="S201" s="885"/>
      <c r="T201" s="885"/>
      <c r="U201" s="885"/>
      <c r="V201" s="885"/>
      <c r="W201" s="885"/>
      <c r="X201" s="885"/>
      <c r="Y201" s="885"/>
      <c r="Z201" s="885"/>
    </row>
    <row r="202" ht="15.75" customHeight="1">
      <c r="A202" s="884" t="s">
        <v>1815</v>
      </c>
      <c r="B202" s="3" t="s">
        <v>1265</v>
      </c>
      <c r="C202" s="884"/>
      <c r="D202" s="3"/>
      <c r="E202" s="885"/>
      <c r="F202" s="3"/>
      <c r="G202" s="3"/>
      <c r="H202" s="886"/>
      <c r="I202" s="3"/>
      <c r="J202" s="885"/>
      <c r="K202" s="885"/>
      <c r="L202" s="895" t="s">
        <v>1816</v>
      </c>
      <c r="M202" s="3"/>
      <c r="N202" s="892"/>
      <c r="O202" s="885"/>
      <c r="P202" s="885"/>
      <c r="Q202" s="50"/>
      <c r="R202" s="885"/>
      <c r="S202" s="885"/>
      <c r="T202" s="885"/>
      <c r="U202" s="885"/>
      <c r="V202" s="885"/>
      <c r="W202" s="885"/>
      <c r="X202" s="885"/>
      <c r="Y202" s="885"/>
      <c r="Z202" s="885"/>
    </row>
    <row r="203" ht="15.75" customHeight="1">
      <c r="A203" s="884" t="s">
        <v>1817</v>
      </c>
      <c r="B203" s="3" t="s">
        <v>1265</v>
      </c>
      <c r="C203" s="884"/>
      <c r="D203" s="3"/>
      <c r="E203" s="885"/>
      <c r="F203" s="3" t="s">
        <v>680</v>
      </c>
      <c r="G203" s="3"/>
      <c r="H203" s="886">
        <v>0.0</v>
      </c>
      <c r="I203" s="3"/>
      <c r="J203" s="885"/>
      <c r="K203" s="885"/>
      <c r="L203" s="3" t="s">
        <v>680</v>
      </c>
      <c r="M203" s="3"/>
      <c r="N203" s="918">
        <v>32.0</v>
      </c>
      <c r="O203" s="885"/>
      <c r="P203" s="885"/>
      <c r="Q203" s="50"/>
      <c r="R203" s="885"/>
      <c r="S203" s="885"/>
      <c r="T203" s="885"/>
      <c r="U203" s="885"/>
      <c r="V203" s="885"/>
      <c r="W203" s="885"/>
      <c r="X203" s="885"/>
      <c r="Y203" s="885"/>
      <c r="Z203" s="885"/>
    </row>
    <row r="204" ht="15.75" customHeight="1">
      <c r="A204" s="3" t="s">
        <v>1818</v>
      </c>
      <c r="B204" s="3" t="s">
        <v>1265</v>
      </c>
      <c r="C204" s="884"/>
      <c r="D204" s="3"/>
      <c r="E204" s="885"/>
      <c r="F204" s="895" t="s">
        <v>1693</v>
      </c>
      <c r="G204" s="3"/>
      <c r="H204" s="900">
        <v>25.0</v>
      </c>
      <c r="O204" s="885"/>
      <c r="P204" s="885"/>
      <c r="Q204" s="50"/>
      <c r="R204" s="885"/>
      <c r="S204" s="885"/>
      <c r="T204" s="885"/>
      <c r="U204" s="885"/>
      <c r="V204" s="885"/>
      <c r="W204" s="885"/>
      <c r="X204" s="885"/>
      <c r="Y204" s="885"/>
      <c r="Z204" s="885"/>
    </row>
    <row r="205" ht="15.75" customHeight="1">
      <c r="A205" s="3" t="s">
        <v>1819</v>
      </c>
      <c r="B205" s="3" t="s">
        <v>1265</v>
      </c>
      <c r="C205" s="884"/>
      <c r="D205" s="3"/>
      <c r="E205" s="885"/>
      <c r="F205" s="3" t="s">
        <v>1719</v>
      </c>
      <c r="G205" s="3"/>
      <c r="H205" s="886">
        <v>0.0</v>
      </c>
      <c r="I205" s="885"/>
      <c r="J205" s="885"/>
      <c r="K205" s="885"/>
      <c r="L205" s="3"/>
      <c r="M205" s="3"/>
      <c r="N205" s="892"/>
      <c r="O205" s="885"/>
      <c r="P205" s="885"/>
      <c r="Q205" s="50"/>
      <c r="R205" s="885"/>
      <c r="S205" s="885"/>
      <c r="T205" s="885"/>
      <c r="U205" s="885"/>
      <c r="V205" s="885"/>
      <c r="W205" s="885"/>
      <c r="X205" s="885"/>
      <c r="Y205" s="885"/>
      <c r="Z205" s="885"/>
    </row>
    <row r="206" ht="15.75" customHeight="1">
      <c r="A206" s="3" t="s">
        <v>1265</v>
      </c>
      <c r="B206" s="3" t="s">
        <v>1265</v>
      </c>
      <c r="C206" s="884"/>
      <c r="D206" s="3"/>
      <c r="E206" s="885"/>
      <c r="F206" s="915" t="s">
        <v>698</v>
      </c>
      <c r="G206" s="3"/>
      <c r="H206" s="886">
        <v>34.0</v>
      </c>
      <c r="I206" s="3"/>
      <c r="K206" s="885"/>
      <c r="L206" s="3"/>
      <c r="M206" s="3"/>
      <c r="N206" s="892"/>
      <c r="O206" s="885"/>
      <c r="P206" s="885"/>
      <c r="Q206" s="50"/>
      <c r="R206" s="885"/>
      <c r="S206" s="885"/>
      <c r="T206" s="885"/>
      <c r="U206" s="885"/>
      <c r="V206" s="885"/>
      <c r="W206" s="885"/>
      <c r="X206" s="885"/>
      <c r="Y206" s="885"/>
      <c r="Z206" s="885"/>
    </row>
    <row r="207" ht="15.75" customHeight="1">
      <c r="A207" s="884" t="s">
        <v>1820</v>
      </c>
      <c r="B207" s="3" t="s">
        <v>1265</v>
      </c>
      <c r="C207" s="884"/>
      <c r="D207" s="3"/>
      <c r="E207" s="885"/>
      <c r="F207" s="915" t="s">
        <v>860</v>
      </c>
      <c r="G207" s="3"/>
      <c r="H207" s="900">
        <v>39.0</v>
      </c>
      <c r="I207" s="885"/>
      <c r="K207" s="885"/>
      <c r="L207" s="3"/>
      <c r="M207" s="3"/>
      <c r="N207" s="892"/>
      <c r="O207" s="885"/>
      <c r="P207" s="885"/>
      <c r="Q207" s="50"/>
      <c r="R207" s="885"/>
      <c r="S207" s="885"/>
      <c r="T207" s="885"/>
      <c r="U207" s="885"/>
      <c r="V207" s="885"/>
      <c r="W207" s="885"/>
      <c r="X207" s="885"/>
      <c r="Y207" s="885"/>
      <c r="Z207" s="885"/>
    </row>
    <row r="208" ht="15.75" customHeight="1">
      <c r="A208" s="884" t="s">
        <v>1821</v>
      </c>
      <c r="B208" s="3" t="s">
        <v>1265</v>
      </c>
      <c r="C208" s="884"/>
      <c r="D208" s="3"/>
      <c r="E208" s="885"/>
      <c r="F208" s="915" t="s">
        <v>708</v>
      </c>
      <c r="G208" s="895" t="s">
        <v>140</v>
      </c>
      <c r="H208" s="900">
        <v>26.0</v>
      </c>
      <c r="I208" s="883" t="s">
        <v>1822</v>
      </c>
      <c r="K208" s="885"/>
      <c r="L208" s="3"/>
      <c r="M208" s="3"/>
      <c r="N208" s="892"/>
      <c r="O208" s="885"/>
      <c r="P208" s="885"/>
      <c r="Q208" s="50"/>
      <c r="R208" s="885"/>
      <c r="S208" s="885"/>
      <c r="T208" s="885"/>
      <c r="U208" s="885"/>
      <c r="V208" s="885"/>
      <c r="W208" s="885"/>
      <c r="X208" s="885"/>
      <c r="Y208" s="885"/>
      <c r="Z208" s="885"/>
    </row>
    <row r="209" ht="15.75" customHeight="1">
      <c r="A209" s="884" t="s">
        <v>1823</v>
      </c>
      <c r="B209" s="3" t="s">
        <v>1265</v>
      </c>
      <c r="C209" s="884"/>
      <c r="D209" s="3"/>
      <c r="E209" s="885"/>
      <c r="F209" s="46" t="s">
        <v>812</v>
      </c>
      <c r="G209" s="725" t="s">
        <v>140</v>
      </c>
      <c r="H209" s="725">
        <v>54.0</v>
      </c>
      <c r="J209" s="885"/>
      <c r="K209" s="885"/>
      <c r="L209" s="3"/>
      <c r="M209" s="3"/>
      <c r="N209" s="892"/>
      <c r="O209" s="885"/>
      <c r="P209" s="885"/>
      <c r="Q209" s="50"/>
      <c r="R209" s="885"/>
      <c r="S209" s="885"/>
      <c r="T209" s="885"/>
      <c r="U209" s="885"/>
      <c r="V209" s="885"/>
      <c r="W209" s="885"/>
      <c r="X209" s="885"/>
      <c r="Y209" s="885"/>
      <c r="Z209" s="885"/>
    </row>
    <row r="210" ht="15.75" customHeight="1">
      <c r="A210" s="884" t="s">
        <v>1824</v>
      </c>
      <c r="B210" s="3" t="s">
        <v>1265</v>
      </c>
      <c r="C210" s="884"/>
      <c r="D210" s="3"/>
      <c r="E210" s="885"/>
      <c r="F210" s="915" t="s">
        <v>671</v>
      </c>
      <c r="G210" s="895" t="s">
        <v>1825</v>
      </c>
      <c r="H210" s="900">
        <v>21.0</v>
      </c>
      <c r="I210" s="883" t="s">
        <v>1822</v>
      </c>
      <c r="J210" s="885"/>
      <c r="K210" s="885"/>
      <c r="L210" s="3"/>
      <c r="M210" s="3"/>
      <c r="N210" s="892"/>
      <c r="O210" s="885"/>
      <c r="P210" s="885"/>
      <c r="Q210" s="50"/>
      <c r="R210" s="885"/>
      <c r="S210" s="885"/>
      <c r="T210" s="885"/>
      <c r="U210" s="885"/>
      <c r="V210" s="885"/>
      <c r="W210" s="885"/>
      <c r="X210" s="885"/>
      <c r="Y210" s="885"/>
      <c r="Z210" s="885"/>
    </row>
    <row r="211" ht="15.75" customHeight="1">
      <c r="A211" s="884" t="s">
        <v>1826</v>
      </c>
      <c r="B211" s="3" t="s">
        <v>1265</v>
      </c>
      <c r="C211" s="884"/>
      <c r="D211" s="3"/>
      <c r="E211" s="885"/>
      <c r="F211" s="915" t="s">
        <v>784</v>
      </c>
      <c r="G211" s="3"/>
      <c r="H211" s="900">
        <v>34.0</v>
      </c>
      <c r="J211" s="885"/>
      <c r="K211" s="885"/>
      <c r="L211" s="3"/>
      <c r="M211" s="3"/>
      <c r="N211" s="892"/>
      <c r="O211" s="885"/>
      <c r="P211" s="885"/>
      <c r="Q211" s="50"/>
      <c r="R211" s="885"/>
      <c r="S211" s="885"/>
      <c r="T211" s="885"/>
      <c r="U211" s="885"/>
      <c r="V211" s="885"/>
      <c r="W211" s="885"/>
      <c r="X211" s="885"/>
      <c r="Y211" s="885"/>
      <c r="Z211" s="885"/>
    </row>
    <row r="212" ht="15.75" customHeight="1">
      <c r="A212" s="884" t="s">
        <v>1827</v>
      </c>
      <c r="B212" s="3" t="s">
        <v>1265</v>
      </c>
      <c r="C212" s="884"/>
      <c r="D212" s="3"/>
      <c r="E212" s="885"/>
      <c r="F212" s="46" t="s">
        <v>1147</v>
      </c>
      <c r="H212" s="725">
        <v>39.0</v>
      </c>
      <c r="J212" s="885"/>
      <c r="K212" s="885"/>
      <c r="L212" s="3"/>
      <c r="M212" s="3"/>
      <c r="N212" s="892"/>
      <c r="O212" s="885"/>
      <c r="P212" s="885"/>
      <c r="Q212" s="50"/>
      <c r="R212" s="885"/>
      <c r="S212" s="885"/>
      <c r="T212" s="885"/>
      <c r="U212" s="885"/>
      <c r="V212" s="885"/>
      <c r="W212" s="885"/>
      <c r="X212" s="885"/>
      <c r="Y212" s="885"/>
      <c r="Z212" s="885"/>
    </row>
    <row r="213" ht="15.75" customHeight="1">
      <c r="A213" s="3" t="s">
        <v>1828</v>
      </c>
      <c r="B213" s="3" t="s">
        <v>1265</v>
      </c>
      <c r="C213" s="884"/>
      <c r="D213" s="3"/>
      <c r="E213" s="885"/>
      <c r="F213" s="3" t="s">
        <v>1829</v>
      </c>
      <c r="G213" s="3" t="s">
        <v>1830</v>
      </c>
      <c r="H213" s="886">
        <v>3.0</v>
      </c>
      <c r="I213" s="885"/>
      <c r="J213" s="885"/>
      <c r="K213" s="885"/>
      <c r="L213" s="895"/>
      <c r="M213" s="3"/>
      <c r="N213" s="892"/>
      <c r="O213" s="885"/>
      <c r="P213" s="885"/>
      <c r="Q213" s="50"/>
      <c r="R213" s="885"/>
      <c r="S213" s="885"/>
      <c r="T213" s="885"/>
      <c r="U213" s="885"/>
      <c r="V213" s="885"/>
      <c r="W213" s="885"/>
      <c r="X213" s="885"/>
      <c r="Y213" s="885"/>
      <c r="Z213" s="885"/>
    </row>
    <row r="214" ht="15.75" customHeight="1">
      <c r="A214" s="3" t="s">
        <v>1831</v>
      </c>
      <c r="B214" s="3" t="s">
        <v>1265</v>
      </c>
      <c r="C214" s="884"/>
      <c r="D214" s="3"/>
      <c r="E214" s="885"/>
      <c r="F214" s="3" t="s">
        <v>1198</v>
      </c>
      <c r="G214" s="3" t="s">
        <v>1832</v>
      </c>
      <c r="H214" s="886">
        <v>4.0</v>
      </c>
      <c r="I214" s="885"/>
      <c r="J214" s="885"/>
      <c r="K214" s="885"/>
      <c r="L214" s="3"/>
      <c r="M214" s="3"/>
      <c r="N214" s="892"/>
      <c r="O214" s="885"/>
      <c r="P214" s="885"/>
      <c r="Q214" s="50"/>
      <c r="R214" s="885"/>
      <c r="S214" s="885"/>
      <c r="T214" s="885"/>
      <c r="U214" s="885"/>
      <c r="V214" s="885"/>
      <c r="W214" s="885"/>
      <c r="X214" s="885"/>
      <c r="Y214" s="885"/>
      <c r="Z214" s="885"/>
    </row>
    <row r="215" ht="15.75" customHeight="1">
      <c r="A215" s="884" t="s">
        <v>1833</v>
      </c>
      <c r="B215" s="3" t="s">
        <v>1265</v>
      </c>
      <c r="C215" s="884"/>
      <c r="D215" s="3"/>
      <c r="E215" s="885"/>
      <c r="F215" s="3" t="s">
        <v>1275</v>
      </c>
      <c r="G215" s="3" t="s">
        <v>1834</v>
      </c>
      <c r="H215" s="886">
        <v>3.0</v>
      </c>
      <c r="I215" s="885"/>
      <c r="J215" s="885"/>
      <c r="K215" s="885"/>
      <c r="L215" s="3"/>
      <c r="M215" s="3"/>
      <c r="N215" s="892"/>
      <c r="O215" s="885"/>
      <c r="P215" s="885"/>
      <c r="Q215" s="50"/>
      <c r="R215" s="885"/>
      <c r="S215" s="885"/>
      <c r="T215" s="885"/>
      <c r="U215" s="885"/>
      <c r="V215" s="885"/>
      <c r="W215" s="885"/>
      <c r="X215" s="885"/>
      <c r="Y215" s="885"/>
      <c r="Z215" s="885"/>
    </row>
    <row r="216" ht="15.75" customHeight="1">
      <c r="A216" s="884" t="s">
        <v>1835</v>
      </c>
      <c r="B216" s="3" t="s">
        <v>1265</v>
      </c>
      <c r="C216" s="884"/>
      <c r="D216" s="3"/>
      <c r="E216" s="885"/>
      <c r="F216" s="3" t="s">
        <v>1727</v>
      </c>
      <c r="G216" s="3"/>
      <c r="H216" s="886">
        <v>4.0</v>
      </c>
      <c r="I216" s="885"/>
      <c r="J216" s="885"/>
      <c r="K216" s="885"/>
      <c r="L216" s="3"/>
      <c r="M216" s="3"/>
      <c r="N216" s="892"/>
      <c r="O216" s="885"/>
      <c r="P216" s="885"/>
      <c r="Q216" s="50"/>
      <c r="R216" s="885"/>
      <c r="S216" s="885"/>
      <c r="T216" s="885"/>
      <c r="U216" s="885"/>
      <c r="V216" s="885"/>
      <c r="W216" s="885"/>
      <c r="X216" s="885"/>
      <c r="Y216" s="885"/>
      <c r="Z216" s="885"/>
    </row>
    <row r="217" ht="15.75" customHeight="1">
      <c r="A217" s="884" t="s">
        <v>1836</v>
      </c>
      <c r="B217" s="3" t="s">
        <v>1265</v>
      </c>
      <c r="C217" s="884"/>
      <c r="D217" s="3"/>
      <c r="E217" s="885"/>
      <c r="F217" s="3" t="s">
        <v>720</v>
      </c>
      <c r="G217" s="3" t="s">
        <v>145</v>
      </c>
      <c r="H217" s="886">
        <v>41.0</v>
      </c>
      <c r="I217" s="885"/>
      <c r="J217" s="885"/>
      <c r="K217" s="885"/>
      <c r="L217" s="3"/>
      <c r="M217" s="3"/>
      <c r="N217" s="892"/>
      <c r="O217" s="885"/>
      <c r="P217" s="885"/>
      <c r="Q217" s="50"/>
      <c r="R217" s="885"/>
      <c r="S217" s="885"/>
      <c r="T217" s="885"/>
      <c r="U217" s="885"/>
      <c r="V217" s="885"/>
      <c r="W217" s="885"/>
      <c r="X217" s="885"/>
      <c r="Y217" s="885"/>
      <c r="Z217" s="885"/>
    </row>
    <row r="218" ht="15.75" customHeight="1">
      <c r="A218" s="884" t="s">
        <v>1837</v>
      </c>
      <c r="B218" s="3" t="s">
        <v>1265</v>
      </c>
      <c r="C218" s="884"/>
      <c r="D218" s="3"/>
      <c r="E218" s="885"/>
      <c r="F218" s="895" t="s">
        <v>1755</v>
      </c>
      <c r="G218" s="3" t="s">
        <v>1756</v>
      </c>
      <c r="H218" s="886">
        <v>6.0</v>
      </c>
      <c r="I218" s="885"/>
      <c r="J218" s="885"/>
      <c r="K218" s="885"/>
      <c r="L218" s="3"/>
      <c r="M218" s="3"/>
      <c r="N218" s="892"/>
      <c r="O218" s="885"/>
      <c r="P218" s="885"/>
      <c r="Q218" s="50"/>
      <c r="R218" s="885"/>
      <c r="S218" s="885"/>
      <c r="T218" s="885"/>
      <c r="U218" s="885"/>
      <c r="V218" s="885"/>
      <c r="W218" s="885"/>
      <c r="X218" s="885"/>
      <c r="Y218" s="885"/>
      <c r="Z218" s="885"/>
    </row>
    <row r="219" ht="15.75" customHeight="1">
      <c r="A219" s="884" t="s">
        <v>1838</v>
      </c>
      <c r="B219" s="3" t="s">
        <v>1265</v>
      </c>
      <c r="C219" s="884"/>
      <c r="D219" s="3"/>
      <c r="E219" s="885"/>
      <c r="F219" s="3" t="s">
        <v>745</v>
      </c>
      <c r="G219" s="3"/>
      <c r="H219" s="886">
        <v>21.0</v>
      </c>
      <c r="I219" s="885"/>
      <c r="J219" s="885"/>
      <c r="K219" s="885"/>
      <c r="L219" s="3"/>
      <c r="M219" s="3"/>
      <c r="N219" s="892"/>
      <c r="O219" s="885"/>
      <c r="P219" s="885"/>
      <c r="Q219" s="50"/>
      <c r="R219" s="885"/>
      <c r="S219" s="885"/>
      <c r="T219" s="885"/>
      <c r="U219" s="885"/>
      <c r="V219" s="885"/>
      <c r="W219" s="885"/>
      <c r="X219" s="885"/>
      <c r="Y219" s="885"/>
      <c r="Z219" s="885"/>
    </row>
    <row r="220" ht="15.75" customHeight="1">
      <c r="A220" s="884" t="s">
        <v>1839</v>
      </c>
      <c r="B220" s="3" t="s">
        <v>1265</v>
      </c>
      <c r="C220" s="884"/>
      <c r="D220" s="3"/>
      <c r="E220" s="885"/>
      <c r="F220" s="3" t="s">
        <v>951</v>
      </c>
      <c r="G220" s="3"/>
      <c r="H220" s="886">
        <v>27.0</v>
      </c>
      <c r="I220" s="885"/>
      <c r="J220" s="885"/>
      <c r="K220" s="885"/>
      <c r="L220" s="3"/>
      <c r="M220" s="3"/>
      <c r="N220" s="892"/>
      <c r="O220" s="884"/>
      <c r="P220" s="885"/>
      <c r="Q220" s="50"/>
      <c r="R220" s="885"/>
      <c r="S220" s="885"/>
      <c r="T220" s="885"/>
      <c r="U220" s="885"/>
      <c r="V220" s="885"/>
      <c r="W220" s="885"/>
      <c r="X220" s="885"/>
      <c r="Y220" s="885"/>
      <c r="Z220" s="885"/>
    </row>
    <row r="221" ht="15.75" customHeight="1">
      <c r="A221" s="884" t="s">
        <v>1840</v>
      </c>
      <c r="B221" s="3" t="s">
        <v>1265</v>
      </c>
      <c r="C221" s="884"/>
      <c r="D221" s="3"/>
      <c r="E221" s="885"/>
      <c r="F221" s="3" t="s">
        <v>668</v>
      </c>
      <c r="G221" s="3" t="s">
        <v>190</v>
      </c>
      <c r="H221" s="886">
        <v>42.0</v>
      </c>
      <c r="I221" s="885"/>
      <c r="J221" s="885"/>
      <c r="K221" s="885"/>
      <c r="L221" s="3"/>
      <c r="M221" s="3"/>
      <c r="N221" s="892"/>
      <c r="O221" s="885"/>
      <c r="P221" s="885"/>
      <c r="Q221" s="50"/>
      <c r="R221" s="885"/>
      <c r="S221" s="885"/>
      <c r="T221" s="885"/>
      <c r="U221" s="885"/>
      <c r="V221" s="885"/>
      <c r="W221" s="885"/>
      <c r="X221" s="885"/>
      <c r="Y221" s="885"/>
      <c r="Z221" s="885"/>
    </row>
    <row r="222" ht="15.75" customHeight="1">
      <c r="A222" s="884" t="s">
        <v>1841</v>
      </c>
      <c r="B222" s="3" t="s">
        <v>1265</v>
      </c>
      <c r="C222" s="884"/>
      <c r="D222" s="3"/>
      <c r="E222" s="885"/>
      <c r="F222" s="3" t="s">
        <v>963</v>
      </c>
      <c r="G222" s="3" t="s">
        <v>1842</v>
      </c>
      <c r="H222" s="886">
        <v>42.0</v>
      </c>
      <c r="I222" s="885"/>
      <c r="J222" s="885"/>
      <c r="K222" s="885"/>
      <c r="L222" s="3"/>
      <c r="M222" s="3"/>
      <c r="N222" s="892"/>
      <c r="O222" s="885"/>
      <c r="P222" s="885"/>
      <c r="Q222" s="50"/>
      <c r="R222" s="885"/>
      <c r="S222" s="885"/>
      <c r="T222" s="885"/>
      <c r="U222" s="885"/>
      <c r="V222" s="885"/>
      <c r="W222" s="885"/>
      <c r="X222" s="885"/>
      <c r="Y222" s="885"/>
      <c r="Z222" s="885"/>
    </row>
    <row r="223" ht="15.75" customHeight="1">
      <c r="A223" s="884" t="s">
        <v>1843</v>
      </c>
      <c r="B223" s="3" t="s">
        <v>1265</v>
      </c>
      <c r="C223" s="884"/>
      <c r="D223" s="3"/>
      <c r="E223" s="885"/>
      <c r="F223" s="3" t="s">
        <v>211</v>
      </c>
      <c r="G223" s="3"/>
      <c r="H223" s="886">
        <v>31.0</v>
      </c>
      <c r="I223" s="885"/>
      <c r="J223" s="885"/>
      <c r="K223" s="885"/>
      <c r="L223" s="3"/>
      <c r="M223" s="3"/>
      <c r="N223" s="892"/>
      <c r="O223" s="885"/>
      <c r="P223" s="885"/>
      <c r="Q223" s="50"/>
      <c r="R223" s="885"/>
      <c r="S223" s="885"/>
      <c r="T223" s="885"/>
      <c r="U223" s="885"/>
      <c r="V223" s="885"/>
      <c r="W223" s="885"/>
      <c r="X223" s="885"/>
      <c r="Y223" s="885"/>
      <c r="Z223" s="885"/>
    </row>
    <row r="224" ht="15.75" customHeight="1">
      <c r="A224" s="884" t="s">
        <v>1844</v>
      </c>
      <c r="B224" s="3" t="s">
        <v>1265</v>
      </c>
      <c r="C224" s="884"/>
      <c r="D224" s="3"/>
      <c r="E224" s="885"/>
      <c r="F224" s="3" t="s">
        <v>656</v>
      </c>
      <c r="G224" s="3"/>
      <c r="H224" s="886">
        <v>38.0</v>
      </c>
      <c r="I224" s="885"/>
      <c r="J224" s="885"/>
      <c r="K224" s="885"/>
      <c r="L224" s="3"/>
      <c r="M224" s="3"/>
      <c r="N224" s="892"/>
      <c r="O224" s="885"/>
      <c r="P224" s="885"/>
      <c r="Q224" s="50"/>
      <c r="R224" s="885"/>
      <c r="S224" s="885"/>
      <c r="T224" s="885"/>
      <c r="U224" s="885"/>
      <c r="V224" s="885"/>
      <c r="W224" s="885"/>
      <c r="X224" s="885"/>
      <c r="Y224" s="885"/>
      <c r="Z224" s="885"/>
    </row>
    <row r="225" ht="15.75" customHeight="1">
      <c r="A225" s="3" t="s">
        <v>1845</v>
      </c>
      <c r="B225" s="3" t="s">
        <v>1265</v>
      </c>
      <c r="C225" s="884"/>
      <c r="D225" s="3"/>
      <c r="E225" s="885"/>
      <c r="F225" s="3" t="s">
        <v>1198</v>
      </c>
      <c r="G225" s="3" t="s">
        <v>1748</v>
      </c>
      <c r="H225" s="886">
        <v>2.0</v>
      </c>
      <c r="I225" s="885"/>
      <c r="J225" s="885"/>
      <c r="K225" s="885"/>
      <c r="L225" s="3"/>
      <c r="M225" s="3"/>
      <c r="N225" s="892"/>
      <c r="O225" s="885"/>
      <c r="P225" s="885"/>
      <c r="Q225" s="50"/>
      <c r="R225" s="885"/>
      <c r="S225" s="885"/>
      <c r="T225" s="885"/>
      <c r="U225" s="885"/>
      <c r="V225" s="885"/>
      <c r="W225" s="885"/>
      <c r="X225" s="885"/>
      <c r="Y225" s="885"/>
      <c r="Z225" s="885"/>
    </row>
    <row r="226" ht="15.75" customHeight="1">
      <c r="A226" s="3" t="s">
        <v>1846</v>
      </c>
      <c r="B226" s="3" t="s">
        <v>1265</v>
      </c>
      <c r="C226" s="884"/>
      <c r="D226" s="3"/>
      <c r="E226" s="885"/>
      <c r="F226" s="895" t="s">
        <v>374</v>
      </c>
      <c r="G226" s="3"/>
      <c r="H226" s="900">
        <v>22.0</v>
      </c>
      <c r="I226" s="885"/>
      <c r="J226" s="885"/>
      <c r="K226" s="885"/>
      <c r="L226" s="3"/>
      <c r="M226" s="3"/>
      <c r="N226" s="892"/>
      <c r="O226" s="885"/>
      <c r="P226" s="885"/>
      <c r="Q226" s="50"/>
      <c r="R226" s="885"/>
      <c r="S226" s="885"/>
      <c r="T226" s="885"/>
      <c r="U226" s="885"/>
      <c r="V226" s="885"/>
      <c r="W226" s="885"/>
      <c r="X226" s="885"/>
      <c r="Y226" s="885"/>
      <c r="Z226" s="885"/>
    </row>
    <row r="227" ht="15.75" customHeight="1">
      <c r="A227" s="3" t="s">
        <v>1847</v>
      </c>
      <c r="B227" s="3" t="s">
        <v>1265</v>
      </c>
      <c r="C227" s="884"/>
      <c r="D227" s="3"/>
      <c r="E227" s="885"/>
      <c r="F227" s="3" t="s">
        <v>1746</v>
      </c>
      <c r="G227" s="3" t="s">
        <v>1758</v>
      </c>
      <c r="H227" s="886">
        <v>12.0</v>
      </c>
      <c r="I227" s="885"/>
      <c r="J227" s="885"/>
      <c r="K227" s="885"/>
      <c r="L227" s="3"/>
      <c r="M227" s="3"/>
      <c r="N227" s="892"/>
      <c r="O227" s="885"/>
      <c r="P227" s="885"/>
      <c r="Q227" s="50"/>
      <c r="R227" s="885"/>
      <c r="S227" s="885"/>
      <c r="T227" s="885"/>
      <c r="U227" s="885"/>
      <c r="V227" s="885"/>
      <c r="W227" s="885"/>
      <c r="X227" s="885"/>
      <c r="Y227" s="885"/>
      <c r="Z227" s="885"/>
    </row>
    <row r="228" ht="15.75" customHeight="1">
      <c r="A228" s="3" t="s">
        <v>1848</v>
      </c>
      <c r="B228" s="3" t="s">
        <v>1265</v>
      </c>
      <c r="C228" s="884"/>
      <c r="D228" s="3"/>
      <c r="E228" s="885"/>
      <c r="F228" s="3" t="s">
        <v>1205</v>
      </c>
      <c r="G228" s="3"/>
      <c r="H228" s="886">
        <v>12.0</v>
      </c>
      <c r="I228" s="885"/>
      <c r="J228" s="885"/>
      <c r="K228" s="885"/>
      <c r="L228" s="3"/>
      <c r="M228" s="3"/>
      <c r="N228" s="892"/>
      <c r="O228" s="885"/>
      <c r="P228" s="885"/>
      <c r="Q228" s="50"/>
      <c r="R228" s="885"/>
      <c r="S228" s="885"/>
      <c r="T228" s="885"/>
      <c r="U228" s="885"/>
      <c r="V228" s="885"/>
      <c r="W228" s="885"/>
      <c r="X228" s="885"/>
      <c r="Y228" s="885"/>
      <c r="Z228" s="885"/>
    </row>
    <row r="229" ht="15.75" customHeight="1">
      <c r="A229" s="3" t="s">
        <v>134</v>
      </c>
      <c r="B229" s="3" t="s">
        <v>1265</v>
      </c>
      <c r="C229" s="884"/>
      <c r="D229" s="3"/>
      <c r="E229" s="885"/>
      <c r="F229" s="3" t="s">
        <v>1760</v>
      </c>
      <c r="G229" s="3"/>
      <c r="H229" s="886">
        <v>15.0</v>
      </c>
      <c r="I229" s="885"/>
      <c r="J229" s="885"/>
      <c r="K229" s="885"/>
      <c r="L229" s="3"/>
      <c r="M229" s="3"/>
      <c r="N229" s="892"/>
      <c r="O229" s="885"/>
      <c r="P229" s="885"/>
      <c r="Q229" s="50"/>
      <c r="R229" s="885"/>
      <c r="S229" s="885"/>
      <c r="T229" s="885"/>
      <c r="U229" s="885"/>
      <c r="V229" s="885"/>
      <c r="W229" s="885"/>
      <c r="X229" s="885"/>
      <c r="Y229" s="885"/>
      <c r="Z229" s="885"/>
    </row>
    <row r="230" ht="15.75" customHeight="1">
      <c r="A230" s="884" t="s">
        <v>1849</v>
      </c>
      <c r="B230" s="3" t="s">
        <v>1265</v>
      </c>
      <c r="C230" s="884"/>
      <c r="D230" s="3"/>
      <c r="E230" s="885"/>
      <c r="F230" s="3" t="s">
        <v>1267</v>
      </c>
      <c r="G230" s="3" t="s">
        <v>1757</v>
      </c>
      <c r="H230" s="886">
        <v>14.0</v>
      </c>
      <c r="I230" s="885"/>
      <c r="J230" s="885"/>
      <c r="K230" s="885"/>
      <c r="L230" s="3"/>
      <c r="M230" s="3"/>
      <c r="N230" s="892"/>
      <c r="O230" s="885"/>
      <c r="P230" s="885"/>
      <c r="Q230" s="50"/>
      <c r="R230" s="885"/>
      <c r="S230" s="885"/>
      <c r="T230" s="885"/>
      <c r="U230" s="885"/>
      <c r="V230" s="885"/>
      <c r="W230" s="885"/>
      <c r="X230" s="885"/>
      <c r="Y230" s="885"/>
      <c r="Z230" s="885"/>
    </row>
    <row r="231" ht="15.75" customHeight="1">
      <c r="A231" s="884" t="s">
        <v>1850</v>
      </c>
      <c r="B231" s="3" t="s">
        <v>1265</v>
      </c>
      <c r="C231" s="884"/>
      <c r="D231" s="3"/>
      <c r="E231" s="885"/>
      <c r="F231" s="3" t="s">
        <v>561</v>
      </c>
      <c r="G231" s="3"/>
      <c r="H231" s="886">
        <v>14.0</v>
      </c>
      <c r="I231" s="885"/>
      <c r="J231" s="885"/>
      <c r="K231" s="885"/>
      <c r="L231" s="3"/>
      <c r="M231" s="3"/>
      <c r="N231" s="892"/>
      <c r="O231" s="885"/>
      <c r="P231" s="885"/>
      <c r="Q231" s="50"/>
      <c r="R231" s="885"/>
      <c r="S231" s="885"/>
      <c r="T231" s="885"/>
      <c r="U231" s="885"/>
      <c r="V231" s="885"/>
      <c r="W231" s="885"/>
      <c r="X231" s="885"/>
      <c r="Y231" s="885"/>
      <c r="Z231" s="885"/>
    </row>
    <row r="232" ht="15.75" customHeight="1">
      <c r="A232" s="884" t="s">
        <v>1851</v>
      </c>
      <c r="B232" s="3" t="s">
        <v>1265</v>
      </c>
      <c r="C232" s="884"/>
      <c r="D232" s="3"/>
      <c r="E232" s="885"/>
      <c r="F232" s="895" t="s">
        <v>1698</v>
      </c>
      <c r="G232" s="3"/>
      <c r="H232" s="900">
        <v>31.2</v>
      </c>
      <c r="I232" s="885"/>
      <c r="J232" s="885"/>
      <c r="K232" s="885"/>
      <c r="L232" s="3"/>
      <c r="M232" s="3"/>
      <c r="N232" s="892"/>
      <c r="O232" s="885"/>
      <c r="P232" s="885"/>
      <c r="Q232" s="50"/>
      <c r="R232" s="885"/>
      <c r="S232" s="885"/>
      <c r="T232" s="885"/>
      <c r="U232" s="885"/>
      <c r="V232" s="885"/>
      <c r="W232" s="885"/>
      <c r="X232" s="885"/>
      <c r="Y232" s="885"/>
      <c r="Z232" s="885"/>
    </row>
    <row r="233" ht="15.75" customHeight="1">
      <c r="A233" s="884" t="s">
        <v>1852</v>
      </c>
      <c r="B233" s="3" t="s">
        <v>1265</v>
      </c>
      <c r="C233" s="885"/>
      <c r="D233" s="3"/>
      <c r="E233" s="885"/>
      <c r="F233" s="895" t="s">
        <v>1702</v>
      </c>
      <c r="G233" s="3"/>
      <c r="H233" s="900">
        <v>55.0</v>
      </c>
      <c r="I233" s="883" t="s">
        <v>1853</v>
      </c>
      <c r="J233" s="885"/>
      <c r="K233" s="885"/>
      <c r="L233" s="3"/>
      <c r="M233" s="3"/>
      <c r="N233" s="892"/>
      <c r="O233" s="885"/>
      <c r="P233" s="885"/>
      <c r="Q233" s="50"/>
      <c r="R233" s="885"/>
      <c r="S233" s="885"/>
      <c r="T233" s="885"/>
      <c r="U233" s="885"/>
      <c r="V233" s="885"/>
      <c r="W233" s="885"/>
      <c r="X233" s="885"/>
      <c r="Y233" s="885"/>
      <c r="Z233" s="885"/>
    </row>
    <row r="234" ht="15.75" customHeight="1">
      <c r="A234" s="884" t="s">
        <v>1854</v>
      </c>
      <c r="B234" s="3" t="s">
        <v>1265</v>
      </c>
      <c r="C234" s="884"/>
      <c r="D234" s="3"/>
      <c r="E234" s="885"/>
      <c r="F234" s="3" t="s">
        <v>1855</v>
      </c>
      <c r="G234" s="3"/>
      <c r="H234" s="886">
        <v>15.0</v>
      </c>
      <c r="I234" s="885"/>
      <c r="J234" s="885"/>
      <c r="K234" s="885"/>
      <c r="L234" s="3"/>
      <c r="M234" s="3"/>
      <c r="N234" s="892"/>
      <c r="O234" s="885"/>
      <c r="P234" s="885"/>
      <c r="Q234" s="50"/>
      <c r="R234" s="885"/>
      <c r="S234" s="885"/>
      <c r="T234" s="885"/>
      <c r="U234" s="885"/>
      <c r="V234" s="885"/>
      <c r="W234" s="885"/>
      <c r="X234" s="885"/>
      <c r="Y234" s="885"/>
      <c r="Z234" s="885"/>
    </row>
    <row r="235" ht="15.75" customHeight="1">
      <c r="A235" s="884" t="s">
        <v>1856</v>
      </c>
      <c r="B235" s="3" t="s">
        <v>1265</v>
      </c>
      <c r="C235" s="884"/>
      <c r="D235" s="3"/>
      <c r="E235" s="885"/>
      <c r="F235" s="3" t="s">
        <v>1716</v>
      </c>
      <c r="G235" s="3"/>
      <c r="H235" s="886">
        <v>20.0</v>
      </c>
      <c r="I235" s="885"/>
      <c r="J235" s="885"/>
      <c r="K235" s="885"/>
      <c r="L235" s="3"/>
      <c r="M235" s="3"/>
      <c r="N235" s="892"/>
      <c r="O235" s="885"/>
      <c r="P235" s="885"/>
      <c r="Q235" s="50"/>
      <c r="R235" s="885"/>
      <c r="S235" s="885"/>
      <c r="T235" s="885"/>
      <c r="U235" s="885"/>
      <c r="V235" s="885"/>
      <c r="W235" s="885"/>
      <c r="X235" s="885"/>
      <c r="Y235" s="885"/>
      <c r="Z235" s="885"/>
    </row>
    <row r="236" ht="15.75" customHeight="1">
      <c r="A236" s="884" t="s">
        <v>1857</v>
      </c>
      <c r="B236" s="3" t="s">
        <v>1265</v>
      </c>
      <c r="C236" s="884"/>
      <c r="D236" s="3"/>
      <c r="E236" s="885"/>
      <c r="F236" s="3" t="s">
        <v>773</v>
      </c>
      <c r="G236" s="3" t="s">
        <v>1754</v>
      </c>
      <c r="H236" s="886">
        <v>15.0</v>
      </c>
      <c r="I236" s="885"/>
      <c r="J236" s="885"/>
      <c r="K236" s="885"/>
      <c r="L236" s="3"/>
      <c r="M236" s="3"/>
      <c r="N236" s="892"/>
      <c r="O236" s="885"/>
      <c r="P236" s="885"/>
      <c r="Q236" s="50"/>
      <c r="R236" s="885"/>
      <c r="S236" s="885"/>
      <c r="T236" s="885"/>
      <c r="U236" s="885"/>
      <c r="V236" s="885"/>
      <c r="W236" s="885"/>
      <c r="X236" s="885"/>
      <c r="Y236" s="885"/>
      <c r="Z236" s="885"/>
    </row>
    <row r="237" ht="15.75" customHeight="1">
      <c r="A237" s="884" t="s">
        <v>1858</v>
      </c>
      <c r="B237" s="3" t="s">
        <v>1265</v>
      </c>
      <c r="C237" s="884"/>
      <c r="D237" s="3"/>
      <c r="E237" s="885"/>
      <c r="F237" s="3" t="s">
        <v>1859</v>
      </c>
      <c r="G237" s="3" t="s">
        <v>1860</v>
      </c>
      <c r="H237" s="886">
        <v>15.0</v>
      </c>
      <c r="I237" s="885"/>
      <c r="J237" s="885"/>
      <c r="K237" s="883"/>
      <c r="L237" s="3"/>
      <c r="M237" s="3"/>
      <c r="N237" s="892"/>
      <c r="O237" s="885"/>
      <c r="P237" s="885"/>
      <c r="Q237" s="50"/>
      <c r="R237" s="885"/>
      <c r="S237" s="885"/>
      <c r="T237" s="885"/>
      <c r="U237" s="885"/>
      <c r="V237" s="885"/>
      <c r="W237" s="885"/>
      <c r="X237" s="885"/>
      <c r="Y237" s="885"/>
      <c r="Z237" s="885"/>
    </row>
    <row r="238" ht="15.75" customHeight="1">
      <c r="A238" s="884" t="s">
        <v>1861</v>
      </c>
      <c r="B238" s="3" t="s">
        <v>1265</v>
      </c>
      <c r="C238" s="884"/>
      <c r="D238" s="3"/>
      <c r="E238" s="885"/>
      <c r="F238" s="3" t="s">
        <v>302</v>
      </c>
      <c r="G238" s="3" t="s">
        <v>302</v>
      </c>
      <c r="H238" s="886">
        <v>15.0</v>
      </c>
      <c r="I238" s="885"/>
      <c r="J238" s="885"/>
      <c r="K238" s="885"/>
      <c r="L238" s="3"/>
      <c r="M238" s="3"/>
      <c r="N238" s="892"/>
      <c r="O238" s="885"/>
      <c r="P238" s="885"/>
      <c r="Q238" s="50"/>
      <c r="R238" s="885"/>
      <c r="S238" s="885"/>
      <c r="T238" s="885"/>
      <c r="U238" s="885"/>
      <c r="V238" s="885"/>
      <c r="W238" s="885"/>
      <c r="X238" s="885"/>
      <c r="Y238" s="885"/>
      <c r="Z238" s="885"/>
    </row>
    <row r="239" ht="15.75" customHeight="1">
      <c r="A239" s="884" t="s">
        <v>1862</v>
      </c>
      <c r="B239" s="3" t="s">
        <v>1265</v>
      </c>
      <c r="C239" s="884"/>
      <c r="D239" s="3"/>
      <c r="E239" s="885"/>
      <c r="F239" s="3" t="s">
        <v>1270</v>
      </c>
      <c r="G239" s="3" t="s">
        <v>1761</v>
      </c>
      <c r="H239" s="886">
        <v>17.0</v>
      </c>
      <c r="I239" s="885"/>
      <c r="J239" s="885"/>
      <c r="K239" s="885"/>
      <c r="L239" s="3"/>
      <c r="M239" s="3"/>
      <c r="N239" s="892"/>
      <c r="O239" s="885"/>
      <c r="P239" s="885"/>
      <c r="Q239" s="50"/>
      <c r="R239" s="885"/>
      <c r="S239" s="885"/>
      <c r="T239" s="885"/>
      <c r="U239" s="885"/>
      <c r="V239" s="885"/>
      <c r="W239" s="885"/>
      <c r="X239" s="885"/>
      <c r="Y239" s="885"/>
      <c r="Z239" s="885"/>
    </row>
    <row r="240" ht="15.75" customHeight="1">
      <c r="A240" s="884" t="s">
        <v>1863</v>
      </c>
      <c r="B240" s="884" t="s">
        <v>1265</v>
      </c>
      <c r="C240" s="884"/>
      <c r="D240" s="3"/>
      <c r="E240" s="885"/>
      <c r="F240" s="3" t="s">
        <v>728</v>
      </c>
      <c r="G240" s="3" t="s">
        <v>1716</v>
      </c>
      <c r="H240" s="886">
        <v>20.0</v>
      </c>
      <c r="I240" s="885"/>
      <c r="J240" s="885"/>
      <c r="K240" s="885"/>
      <c r="L240" s="3"/>
      <c r="M240" s="3"/>
      <c r="N240" s="892"/>
      <c r="O240" s="885"/>
      <c r="P240" s="885"/>
      <c r="Q240" s="50"/>
      <c r="R240" s="885"/>
      <c r="S240" s="885"/>
      <c r="T240" s="885"/>
      <c r="U240" s="885"/>
      <c r="V240" s="885"/>
      <c r="W240" s="885"/>
      <c r="X240" s="885"/>
      <c r="Y240" s="885"/>
      <c r="Z240" s="885"/>
    </row>
    <row r="241" ht="15.75" customHeight="1">
      <c r="A241" s="884" t="s">
        <v>1864</v>
      </c>
      <c r="B241" s="884" t="s">
        <v>1265</v>
      </c>
      <c r="C241" s="884"/>
      <c r="D241" s="3"/>
      <c r="E241" s="885"/>
      <c r="F241" s="3" t="s">
        <v>943</v>
      </c>
      <c r="G241" s="3" t="s">
        <v>1762</v>
      </c>
      <c r="H241" s="886">
        <v>5.0</v>
      </c>
      <c r="I241" s="885"/>
      <c r="J241" s="885"/>
      <c r="K241" s="885"/>
      <c r="L241" s="3"/>
      <c r="M241" s="3"/>
      <c r="N241" s="892"/>
      <c r="O241" s="885"/>
      <c r="P241" s="885"/>
      <c r="Q241" s="50"/>
      <c r="R241" s="885"/>
      <c r="S241" s="885"/>
      <c r="T241" s="885"/>
      <c r="U241" s="885"/>
      <c r="V241" s="885"/>
      <c r="W241" s="885"/>
      <c r="X241" s="885"/>
      <c r="Y241" s="885"/>
      <c r="Z241" s="885"/>
    </row>
    <row r="242" ht="15.75" customHeight="1">
      <c r="A242" s="884" t="s">
        <v>1865</v>
      </c>
      <c r="B242" s="884" t="s">
        <v>1265</v>
      </c>
      <c r="C242" s="884"/>
      <c r="D242" s="3"/>
      <c r="E242" s="885"/>
      <c r="F242" s="3" t="s">
        <v>1710</v>
      </c>
      <c r="G242" s="3"/>
      <c r="H242" s="886">
        <v>44.0</v>
      </c>
      <c r="I242" s="885"/>
      <c r="J242" s="885"/>
      <c r="K242" s="885"/>
      <c r="L242" s="3"/>
      <c r="M242" s="3"/>
      <c r="N242" s="892"/>
      <c r="O242" s="885"/>
      <c r="P242" s="885"/>
      <c r="Q242" s="50"/>
      <c r="R242" s="885"/>
      <c r="S242" s="885"/>
      <c r="T242" s="885"/>
      <c r="U242" s="885"/>
      <c r="V242" s="885"/>
      <c r="W242" s="885"/>
      <c r="X242" s="885"/>
      <c r="Y242" s="885"/>
      <c r="Z242" s="885"/>
    </row>
    <row r="243" ht="15.75" customHeight="1">
      <c r="A243" s="884" t="s">
        <v>1866</v>
      </c>
      <c r="B243" s="884" t="s">
        <v>1265</v>
      </c>
      <c r="C243" s="884"/>
      <c r="D243" s="3"/>
      <c r="E243" s="885"/>
      <c r="F243" s="3" t="s">
        <v>663</v>
      </c>
      <c r="G243" s="3" t="s">
        <v>1710</v>
      </c>
      <c r="H243" s="886">
        <v>44.0</v>
      </c>
      <c r="I243" s="885"/>
      <c r="J243" s="885"/>
      <c r="K243" s="885"/>
      <c r="L243" s="3"/>
      <c r="M243" s="3"/>
      <c r="N243" s="892"/>
      <c r="O243" s="885"/>
      <c r="P243" s="885"/>
      <c r="Q243" s="50"/>
      <c r="R243" s="885"/>
      <c r="S243" s="885"/>
      <c r="T243" s="885"/>
      <c r="U243" s="885"/>
      <c r="V243" s="885"/>
      <c r="W243" s="885"/>
      <c r="X243" s="885"/>
      <c r="Y243" s="885"/>
      <c r="Z243" s="885"/>
    </row>
    <row r="244" ht="15.75" customHeight="1">
      <c r="A244" s="884" t="s">
        <v>43</v>
      </c>
      <c r="B244" s="884" t="s">
        <v>1265</v>
      </c>
      <c r="C244" s="884"/>
      <c r="D244" s="3"/>
      <c r="E244" s="885"/>
      <c r="F244" s="3" t="s">
        <v>1700</v>
      </c>
      <c r="G244" s="3" t="s">
        <v>1700</v>
      </c>
      <c r="H244" s="886">
        <v>38.0</v>
      </c>
      <c r="I244" s="885"/>
      <c r="J244" s="885"/>
      <c r="K244" s="885"/>
      <c r="L244" s="3"/>
      <c r="M244" s="3"/>
      <c r="N244" s="892"/>
      <c r="O244" s="885"/>
      <c r="P244" s="885"/>
      <c r="Q244" s="50"/>
      <c r="R244" s="885"/>
      <c r="S244" s="885"/>
      <c r="T244" s="885"/>
      <c r="U244" s="885"/>
      <c r="V244" s="885"/>
      <c r="W244" s="885"/>
      <c r="X244" s="885"/>
      <c r="Y244" s="885"/>
      <c r="Z244" s="885"/>
    </row>
    <row r="245" ht="15.75" customHeight="1">
      <c r="A245" s="3" t="s">
        <v>1867</v>
      </c>
      <c r="B245" s="884" t="s">
        <v>1265</v>
      </c>
      <c r="C245" s="884"/>
      <c r="D245" s="3"/>
      <c r="E245" s="885"/>
      <c r="F245" s="3" t="s">
        <v>188</v>
      </c>
      <c r="G245" s="3" t="s">
        <v>1710</v>
      </c>
      <c r="H245" s="886">
        <v>44.0</v>
      </c>
      <c r="I245" s="885"/>
      <c r="J245" s="885"/>
      <c r="K245" s="885"/>
      <c r="L245" s="3"/>
      <c r="M245" s="3"/>
      <c r="N245" s="892"/>
      <c r="O245" s="885"/>
      <c r="P245" s="885"/>
      <c r="Q245" s="50"/>
      <c r="R245" s="885"/>
      <c r="S245" s="885"/>
      <c r="T245" s="885"/>
      <c r="U245" s="885"/>
      <c r="V245" s="885"/>
      <c r="W245" s="885"/>
      <c r="X245" s="885"/>
      <c r="Y245" s="885"/>
      <c r="Z245" s="885"/>
    </row>
    <row r="246" ht="15.75" customHeight="1">
      <c r="A246" s="884" t="s">
        <v>1868</v>
      </c>
      <c r="B246" s="884" t="s">
        <v>1265</v>
      </c>
      <c r="C246" s="884"/>
      <c r="D246" s="3"/>
      <c r="E246" s="885"/>
      <c r="F246" s="3" t="s">
        <v>703</v>
      </c>
      <c r="G246" s="3" t="s">
        <v>1712</v>
      </c>
      <c r="H246" s="886">
        <v>42.0</v>
      </c>
      <c r="I246" s="885"/>
      <c r="J246" s="885"/>
      <c r="K246" s="885"/>
      <c r="L246" s="3"/>
      <c r="M246" s="3"/>
      <c r="N246" s="892"/>
      <c r="O246" s="885"/>
      <c r="P246" s="885"/>
      <c r="Q246" s="50"/>
      <c r="R246" s="885"/>
      <c r="S246" s="885"/>
      <c r="T246" s="885"/>
      <c r="U246" s="885"/>
      <c r="V246" s="885"/>
      <c r="W246" s="885"/>
      <c r="X246" s="885"/>
      <c r="Y246" s="885"/>
      <c r="Z246" s="885"/>
    </row>
    <row r="247" ht="15.75" customHeight="1">
      <c r="A247" s="884" t="s">
        <v>1869</v>
      </c>
      <c r="B247" s="3" t="s">
        <v>1265</v>
      </c>
      <c r="C247" s="884"/>
      <c r="D247" s="3"/>
      <c r="E247" s="885"/>
      <c r="F247" s="3" t="s">
        <v>755</v>
      </c>
      <c r="G247" s="3" t="s">
        <v>1870</v>
      </c>
      <c r="H247" s="886">
        <v>37.0</v>
      </c>
      <c r="I247" s="885"/>
      <c r="J247" s="885"/>
      <c r="K247" s="885"/>
      <c r="L247" s="3"/>
      <c r="M247" s="3"/>
      <c r="N247" s="892"/>
      <c r="O247" s="885"/>
      <c r="P247" s="885"/>
      <c r="Q247" s="884"/>
      <c r="R247" s="885"/>
      <c r="S247" s="885"/>
      <c r="T247" s="885"/>
      <c r="U247" s="885"/>
      <c r="V247" s="885"/>
      <c r="W247" s="885"/>
      <c r="X247" s="885"/>
      <c r="Y247" s="885"/>
      <c r="Z247" s="885"/>
    </row>
    <row r="248" ht="15.75" customHeight="1">
      <c r="A248" s="3" t="s">
        <v>1871</v>
      </c>
      <c r="B248" s="3" t="s">
        <v>1265</v>
      </c>
      <c r="C248" s="884"/>
      <c r="D248" s="3"/>
      <c r="E248" s="885"/>
      <c r="F248" s="3" t="s">
        <v>957</v>
      </c>
      <c r="G248" s="3" t="s">
        <v>445</v>
      </c>
      <c r="H248" s="886">
        <v>44.0</v>
      </c>
      <c r="I248" s="885"/>
      <c r="J248" s="885"/>
      <c r="K248" s="885"/>
      <c r="L248" s="3"/>
      <c r="M248" s="3"/>
      <c r="N248" s="892"/>
      <c r="O248" s="885"/>
      <c r="P248" s="885"/>
      <c r="Q248" s="3"/>
      <c r="R248" s="3"/>
      <c r="S248" s="50"/>
      <c r="T248" s="885"/>
      <c r="U248" s="885"/>
      <c r="V248" s="885"/>
      <c r="W248" s="885"/>
      <c r="X248" s="885"/>
      <c r="Y248" s="885"/>
      <c r="Z248" s="885"/>
    </row>
    <row r="249" ht="15.75" customHeight="1">
      <c r="A249" s="884" t="s">
        <v>1872</v>
      </c>
      <c r="B249" s="884" t="s">
        <v>1265</v>
      </c>
      <c r="C249" s="884"/>
      <c r="D249" s="3"/>
      <c r="E249" s="885"/>
      <c r="F249" s="3" t="s">
        <v>1369</v>
      </c>
      <c r="G249" s="3" t="s">
        <v>1706</v>
      </c>
      <c r="H249" s="886">
        <v>40.0</v>
      </c>
      <c r="I249" s="885"/>
      <c r="J249" s="885"/>
      <c r="K249" s="885"/>
      <c r="L249" s="3"/>
      <c r="M249" s="3"/>
      <c r="N249" s="892"/>
      <c r="O249" s="885"/>
      <c r="P249" s="885"/>
      <c r="Q249" s="3"/>
      <c r="R249" s="3"/>
      <c r="S249" s="50"/>
      <c r="T249" s="885"/>
      <c r="U249" s="885"/>
      <c r="V249" s="885"/>
      <c r="W249" s="885"/>
      <c r="X249" s="885"/>
      <c r="Y249" s="885"/>
      <c r="Z249" s="885"/>
    </row>
    <row r="250" ht="15.0" customHeight="1">
      <c r="A250" s="884" t="s">
        <v>1873</v>
      </c>
      <c r="B250" s="884" t="s">
        <v>1265</v>
      </c>
      <c r="C250" s="884"/>
      <c r="D250" s="3"/>
      <c r="E250" s="885"/>
      <c r="F250" s="3" t="s">
        <v>809</v>
      </c>
      <c r="G250" s="3" t="s">
        <v>1874</v>
      </c>
      <c r="H250" s="900">
        <v>39.0</v>
      </c>
      <c r="I250" s="885"/>
      <c r="J250" s="885"/>
      <c r="K250" s="885"/>
      <c r="L250" s="3"/>
      <c r="M250" s="3"/>
      <c r="N250" s="892"/>
      <c r="O250" s="885"/>
      <c r="P250" s="885"/>
      <c r="Q250" s="3"/>
      <c r="R250" s="3"/>
      <c r="S250" s="50"/>
      <c r="T250" s="885"/>
      <c r="U250" s="885"/>
      <c r="V250" s="885"/>
      <c r="W250" s="885"/>
      <c r="X250" s="885"/>
      <c r="Y250" s="885"/>
      <c r="Z250" s="885"/>
    </row>
    <row r="251" ht="15.0" customHeight="1">
      <c r="A251" s="20" t="s">
        <v>1875</v>
      </c>
      <c r="B251" s="884" t="s">
        <v>1265</v>
      </c>
      <c r="C251" s="884"/>
      <c r="D251" s="3"/>
      <c r="E251" s="885"/>
      <c r="F251" s="725" t="s">
        <v>285</v>
      </c>
      <c r="G251" s="725" t="s">
        <v>285</v>
      </c>
      <c r="H251" s="725">
        <v>32.625</v>
      </c>
      <c r="I251" s="885"/>
      <c r="J251" s="885"/>
      <c r="K251" s="885"/>
      <c r="L251" s="3"/>
      <c r="M251" s="3"/>
      <c r="N251" s="892"/>
      <c r="O251" s="885"/>
      <c r="P251" s="885"/>
      <c r="Q251" s="3"/>
      <c r="R251" s="3"/>
      <c r="S251" s="50"/>
      <c r="T251" s="885"/>
      <c r="U251" s="885"/>
      <c r="V251" s="885"/>
      <c r="W251" s="885"/>
      <c r="X251" s="885"/>
      <c r="Y251" s="885"/>
      <c r="Z251" s="885"/>
    </row>
    <row r="252" ht="15.0" customHeight="1">
      <c r="A252" s="884" t="s">
        <v>1876</v>
      </c>
      <c r="B252" s="884" t="s">
        <v>1265</v>
      </c>
      <c r="C252" s="884"/>
      <c r="D252" s="3"/>
      <c r="E252" s="885"/>
      <c r="F252" s="3" t="s">
        <v>1327</v>
      </c>
      <c r="G252" s="3" t="s">
        <v>1708</v>
      </c>
      <c r="H252" s="886">
        <v>38.0</v>
      </c>
      <c r="I252" s="885"/>
      <c r="J252" s="885"/>
      <c r="K252" s="885"/>
      <c r="L252" s="3"/>
      <c r="M252" s="3"/>
      <c r="N252" s="892"/>
      <c r="O252" s="885"/>
      <c r="P252" s="885"/>
      <c r="Q252" s="3"/>
      <c r="R252" s="3"/>
      <c r="S252" s="50"/>
      <c r="T252" s="885"/>
      <c r="U252" s="885"/>
      <c r="V252" s="885"/>
      <c r="W252" s="885"/>
      <c r="X252" s="885"/>
      <c r="Y252" s="885"/>
      <c r="Z252" s="885"/>
    </row>
    <row r="253" ht="15.0" customHeight="1">
      <c r="A253" s="3" t="s">
        <v>1877</v>
      </c>
      <c r="B253" s="884" t="s">
        <v>1265</v>
      </c>
      <c r="C253" s="884"/>
      <c r="D253" s="3"/>
      <c r="E253" s="885"/>
      <c r="F253" s="3" t="s">
        <v>1714</v>
      </c>
      <c r="G253" s="3" t="s">
        <v>1715</v>
      </c>
      <c r="H253" s="886">
        <v>38.0</v>
      </c>
      <c r="I253" s="885"/>
      <c r="J253" s="885"/>
      <c r="K253" s="885"/>
      <c r="L253" s="3"/>
      <c r="M253" s="3"/>
      <c r="N253" s="892"/>
      <c r="O253" s="885"/>
      <c r="P253" s="885"/>
      <c r="Q253" s="3"/>
      <c r="R253" s="3"/>
      <c r="S253" s="50"/>
      <c r="T253" s="885"/>
      <c r="U253" s="885"/>
      <c r="V253" s="885"/>
      <c r="W253" s="885"/>
      <c r="X253" s="885"/>
      <c r="Y253" s="885"/>
      <c r="Z253" s="885"/>
    </row>
    <row r="254" ht="15.0" customHeight="1">
      <c r="A254" s="3" t="s">
        <v>1878</v>
      </c>
      <c r="B254" s="884" t="s">
        <v>1265</v>
      </c>
      <c r="C254" s="884"/>
      <c r="D254" s="3"/>
      <c r="E254" s="885"/>
      <c r="F254" s="3" t="s">
        <v>1231</v>
      </c>
      <c r="G254" s="3" t="s">
        <v>1879</v>
      </c>
      <c r="H254" s="900">
        <v>36.0</v>
      </c>
      <c r="I254" s="895" t="s">
        <v>1822</v>
      </c>
      <c r="J254" s="885"/>
      <c r="K254" s="885"/>
      <c r="L254" s="3"/>
      <c r="M254" s="3"/>
      <c r="N254" s="892"/>
      <c r="O254" s="885"/>
      <c r="P254" s="885"/>
      <c r="Q254" s="3"/>
      <c r="R254" s="3"/>
      <c r="S254" s="50"/>
      <c r="T254" s="885"/>
      <c r="U254" s="885"/>
      <c r="V254" s="885"/>
      <c r="W254" s="885"/>
      <c r="X254" s="885"/>
      <c r="Y254" s="885"/>
      <c r="Z254" s="885"/>
    </row>
    <row r="255" ht="15.0" customHeight="1">
      <c r="A255" s="3" t="s">
        <v>1880</v>
      </c>
      <c r="B255" s="884" t="s">
        <v>1265</v>
      </c>
      <c r="C255" s="884"/>
      <c r="D255" s="3"/>
      <c r="E255" s="885"/>
      <c r="F255" s="3" t="s">
        <v>1085</v>
      </c>
      <c r="G255" s="3" t="s">
        <v>1694</v>
      </c>
      <c r="H255" s="886">
        <v>32.0</v>
      </c>
      <c r="I255" s="3"/>
      <c r="J255" s="885"/>
      <c r="K255" s="885"/>
      <c r="L255" s="3"/>
      <c r="M255" s="3"/>
      <c r="N255" s="892"/>
      <c r="O255" s="885"/>
      <c r="P255" s="885"/>
      <c r="Q255" s="3"/>
      <c r="R255" s="3"/>
      <c r="S255" s="50"/>
      <c r="T255" s="885"/>
      <c r="U255" s="885"/>
      <c r="V255" s="885"/>
      <c r="W255" s="885"/>
      <c r="X255" s="885"/>
      <c r="Y255" s="885"/>
      <c r="Z255" s="885"/>
    </row>
    <row r="256" ht="15.0" customHeight="1">
      <c r="A256" s="3" t="s">
        <v>1881</v>
      </c>
      <c r="B256" s="884" t="s">
        <v>1265</v>
      </c>
      <c r="C256" s="884"/>
      <c r="D256" s="3"/>
      <c r="E256" s="885"/>
      <c r="F256" s="3" t="s">
        <v>211</v>
      </c>
      <c r="G256" s="3" t="s">
        <v>1882</v>
      </c>
      <c r="H256" s="886">
        <v>31.0</v>
      </c>
      <c r="I256" s="3"/>
      <c r="J256" s="885"/>
      <c r="K256" s="885"/>
      <c r="L256" s="3"/>
      <c r="M256" s="3"/>
      <c r="N256" s="892"/>
      <c r="O256" s="885"/>
      <c r="P256" s="885"/>
      <c r="Q256" s="3"/>
      <c r="R256" s="3"/>
      <c r="S256" s="50"/>
      <c r="T256" s="885"/>
      <c r="U256" s="885"/>
      <c r="V256" s="885"/>
      <c r="W256" s="885"/>
      <c r="X256" s="885"/>
      <c r="Y256" s="885"/>
      <c r="Z256" s="885"/>
    </row>
    <row r="257" ht="15.0" customHeight="1">
      <c r="A257" s="3" t="s">
        <v>1883</v>
      </c>
      <c r="B257" s="884" t="s">
        <v>1265</v>
      </c>
      <c r="C257" s="884"/>
      <c r="D257" s="3"/>
      <c r="E257" s="885"/>
      <c r="J257" s="885"/>
      <c r="K257" s="885"/>
      <c r="L257" s="3"/>
      <c r="M257" s="3"/>
      <c r="N257" s="892"/>
      <c r="O257" s="885"/>
      <c r="P257" s="885"/>
      <c r="Q257" s="3"/>
      <c r="R257" s="3"/>
      <c r="S257" s="50"/>
      <c r="T257" s="885"/>
      <c r="U257" s="885"/>
      <c r="V257" s="885"/>
      <c r="W257" s="885"/>
      <c r="X257" s="885"/>
      <c r="Y257" s="885"/>
      <c r="Z257" s="885"/>
    </row>
    <row r="258" ht="15.0" customHeight="1">
      <c r="A258" s="3" t="s">
        <v>1884</v>
      </c>
      <c r="B258" s="884" t="s">
        <v>1265</v>
      </c>
      <c r="C258" s="884"/>
      <c r="D258" s="3"/>
      <c r="E258" s="885"/>
      <c r="J258" s="885"/>
      <c r="K258" s="885"/>
      <c r="L258" s="3"/>
      <c r="M258" s="3"/>
      <c r="N258" s="892"/>
      <c r="O258" s="885"/>
      <c r="P258" s="885"/>
      <c r="Q258" s="3"/>
      <c r="R258" s="3"/>
      <c r="S258" s="50"/>
      <c r="T258" s="885"/>
      <c r="U258" s="885"/>
      <c r="V258" s="885"/>
      <c r="W258" s="885"/>
      <c r="X258" s="885"/>
      <c r="Y258" s="885"/>
      <c r="Z258" s="885"/>
    </row>
    <row r="259" ht="15.0" customHeight="1">
      <c r="A259" s="3" t="s">
        <v>1885</v>
      </c>
      <c r="B259" s="884" t="s">
        <v>1265</v>
      </c>
      <c r="C259" s="884"/>
      <c r="D259" s="3"/>
      <c r="E259" s="885"/>
      <c r="J259" s="885"/>
      <c r="K259" s="885"/>
      <c r="L259" s="3"/>
      <c r="M259" s="3"/>
      <c r="N259" s="892"/>
      <c r="O259" s="885"/>
      <c r="P259" s="885"/>
      <c r="Q259" s="3"/>
      <c r="R259" s="3"/>
      <c r="S259" s="50"/>
      <c r="T259" s="885"/>
      <c r="U259" s="885"/>
      <c r="V259" s="885"/>
      <c r="W259" s="885"/>
      <c r="X259" s="885"/>
      <c r="Y259" s="885"/>
      <c r="Z259" s="885"/>
    </row>
    <row r="260" ht="15.0" customHeight="1">
      <c r="A260" s="3" t="s">
        <v>1886</v>
      </c>
      <c r="B260" s="884" t="s">
        <v>1265</v>
      </c>
      <c r="C260" s="884"/>
      <c r="D260" s="3"/>
      <c r="E260" s="885"/>
      <c r="J260" s="885"/>
      <c r="K260" s="885"/>
      <c r="L260" s="3"/>
      <c r="M260" s="3"/>
      <c r="N260" s="892"/>
      <c r="O260" s="885"/>
      <c r="P260" s="885"/>
      <c r="Q260" s="3"/>
      <c r="R260" s="3"/>
      <c r="S260" s="50"/>
      <c r="T260" s="885"/>
      <c r="U260" s="885"/>
      <c r="V260" s="885"/>
      <c r="W260" s="885"/>
      <c r="X260" s="885"/>
      <c r="Y260" s="885"/>
      <c r="Z260" s="885"/>
    </row>
    <row r="261" ht="15.0" customHeight="1">
      <c r="A261" s="3" t="s">
        <v>1887</v>
      </c>
      <c r="B261" s="884" t="s">
        <v>1265</v>
      </c>
      <c r="C261" s="884"/>
      <c r="D261" s="3"/>
      <c r="E261" s="885"/>
      <c r="J261" s="885"/>
      <c r="K261" s="885"/>
      <c r="L261" s="3"/>
      <c r="M261" s="3"/>
      <c r="N261" s="892"/>
      <c r="O261" s="885"/>
      <c r="P261" s="885"/>
      <c r="Q261" s="3"/>
      <c r="R261" s="3"/>
      <c r="S261" s="50"/>
      <c r="T261" s="885"/>
      <c r="U261" s="885"/>
      <c r="V261" s="885"/>
      <c r="W261" s="885"/>
      <c r="X261" s="885"/>
      <c r="Y261" s="885"/>
      <c r="Z261" s="885"/>
    </row>
    <row r="262" ht="15.0" customHeight="1">
      <c r="A262" s="3" t="s">
        <v>1888</v>
      </c>
      <c r="B262" s="884" t="s">
        <v>1265</v>
      </c>
      <c r="C262" s="884"/>
      <c r="D262" s="3"/>
      <c r="E262" s="885"/>
      <c r="J262" s="885"/>
      <c r="K262" s="885"/>
      <c r="L262" s="3"/>
      <c r="M262" s="3"/>
      <c r="N262" s="892"/>
      <c r="O262" s="885"/>
      <c r="P262" s="885"/>
      <c r="Q262" s="3"/>
      <c r="R262" s="3"/>
      <c r="S262" s="50"/>
      <c r="T262" s="885"/>
      <c r="U262" s="885"/>
      <c r="V262" s="885"/>
      <c r="W262" s="885"/>
      <c r="X262" s="885"/>
      <c r="Y262" s="885"/>
      <c r="Z262" s="885"/>
    </row>
    <row r="263" ht="15.0" customHeight="1">
      <c r="A263" s="3" t="s">
        <v>1889</v>
      </c>
      <c r="B263" s="884" t="s">
        <v>1265</v>
      </c>
      <c r="C263" s="884"/>
      <c r="D263" s="3"/>
      <c r="E263" s="885"/>
      <c r="J263" s="885"/>
      <c r="K263" s="885"/>
      <c r="L263" s="3"/>
      <c r="M263" s="3"/>
      <c r="N263" s="892"/>
      <c r="O263" s="885"/>
      <c r="P263" s="885"/>
      <c r="Q263" s="3"/>
      <c r="R263" s="3"/>
      <c r="S263" s="50"/>
      <c r="T263" s="885"/>
      <c r="U263" s="885"/>
      <c r="V263" s="885"/>
      <c r="W263" s="885"/>
      <c r="X263" s="885"/>
      <c r="Y263" s="885"/>
      <c r="Z263" s="885"/>
    </row>
    <row r="264" ht="15.0" customHeight="1">
      <c r="A264" s="3" t="s">
        <v>1890</v>
      </c>
      <c r="B264" s="884" t="s">
        <v>1265</v>
      </c>
      <c r="C264" s="884"/>
      <c r="D264" s="3"/>
      <c r="E264" s="885"/>
      <c r="J264" s="885"/>
      <c r="K264" s="885"/>
      <c r="L264" s="3"/>
      <c r="M264" s="3"/>
      <c r="N264" s="892"/>
      <c r="O264" s="885"/>
      <c r="P264" s="885"/>
      <c r="Q264" s="3"/>
      <c r="R264" s="3"/>
      <c r="S264" s="50"/>
      <c r="T264" s="885"/>
      <c r="U264" s="885"/>
      <c r="V264" s="885"/>
      <c r="W264" s="885"/>
      <c r="X264" s="885"/>
      <c r="Y264" s="885"/>
      <c r="Z264" s="885"/>
    </row>
    <row r="265" ht="15.0" customHeight="1">
      <c r="A265" s="3" t="s">
        <v>1891</v>
      </c>
      <c r="B265" s="884" t="s">
        <v>1265</v>
      </c>
      <c r="C265" s="884"/>
      <c r="D265" s="3"/>
      <c r="E265" s="885"/>
      <c r="J265" s="885"/>
      <c r="K265" s="885"/>
      <c r="L265" s="3"/>
      <c r="M265" s="3"/>
      <c r="N265" s="892"/>
      <c r="O265" s="885"/>
      <c r="P265" s="885"/>
      <c r="Q265" s="3"/>
      <c r="R265" s="3"/>
      <c r="S265" s="50"/>
      <c r="T265" s="885"/>
      <c r="U265" s="885"/>
      <c r="V265" s="885"/>
      <c r="W265" s="885"/>
      <c r="X265" s="885"/>
      <c r="Y265" s="885"/>
      <c r="Z265" s="885"/>
    </row>
    <row r="266" ht="15.0" customHeight="1">
      <c r="A266" s="3" t="s">
        <v>1892</v>
      </c>
      <c r="B266" s="884" t="s">
        <v>1265</v>
      </c>
      <c r="C266" s="884"/>
      <c r="D266" s="3"/>
      <c r="E266" s="885"/>
      <c r="J266" s="885"/>
      <c r="K266" s="885"/>
      <c r="L266" s="3"/>
      <c r="M266" s="3"/>
      <c r="N266" s="892"/>
      <c r="O266" s="885"/>
      <c r="P266" s="885"/>
      <c r="Q266" s="3"/>
      <c r="R266" s="3"/>
      <c r="S266" s="50"/>
      <c r="T266" s="885"/>
      <c r="U266" s="885"/>
      <c r="V266" s="885"/>
      <c r="W266" s="885"/>
      <c r="X266" s="885"/>
      <c r="Y266" s="885"/>
      <c r="Z266" s="885"/>
    </row>
    <row r="267" ht="15.0" customHeight="1">
      <c r="A267" s="3" t="s">
        <v>1893</v>
      </c>
      <c r="B267" s="884" t="s">
        <v>1265</v>
      </c>
      <c r="C267" s="884"/>
      <c r="D267" s="3"/>
      <c r="E267" s="885"/>
      <c r="J267" s="885"/>
      <c r="K267" s="885"/>
      <c r="L267" s="3"/>
      <c r="M267" s="3"/>
      <c r="N267" s="892"/>
      <c r="O267" s="885"/>
      <c r="P267" s="885"/>
      <c r="Q267" s="3"/>
      <c r="R267" s="3"/>
      <c r="S267" s="50"/>
      <c r="T267" s="885"/>
      <c r="U267" s="885"/>
      <c r="V267" s="885"/>
      <c r="W267" s="885"/>
      <c r="X267" s="885"/>
      <c r="Y267" s="885"/>
      <c r="Z267" s="885"/>
    </row>
    <row r="268" ht="15.0" customHeight="1">
      <c r="A268" s="3" t="s">
        <v>1894</v>
      </c>
      <c r="B268" s="884" t="s">
        <v>1265</v>
      </c>
      <c r="C268" s="884"/>
      <c r="D268" s="3"/>
      <c r="E268" s="885"/>
      <c r="J268" s="885"/>
      <c r="K268" s="885"/>
      <c r="L268" s="3"/>
      <c r="M268" s="3"/>
      <c r="N268" s="892"/>
      <c r="O268" s="885"/>
      <c r="P268" s="885"/>
      <c r="Q268" s="3"/>
      <c r="R268" s="3"/>
      <c r="S268" s="50"/>
      <c r="T268" s="885"/>
      <c r="U268" s="885"/>
      <c r="V268" s="885"/>
      <c r="W268" s="885"/>
      <c r="X268" s="885"/>
      <c r="Y268" s="885"/>
      <c r="Z268" s="885"/>
    </row>
    <row r="269" ht="15.0" customHeight="1">
      <c r="A269" s="3" t="s">
        <v>1895</v>
      </c>
      <c r="B269" s="884" t="s">
        <v>1265</v>
      </c>
      <c r="C269" s="884"/>
      <c r="D269" s="3"/>
      <c r="E269" s="885"/>
      <c r="J269" s="885"/>
      <c r="K269" s="885"/>
      <c r="L269" s="3"/>
      <c r="M269" s="3"/>
      <c r="N269" s="892"/>
      <c r="O269" s="885"/>
      <c r="P269" s="885"/>
      <c r="Q269" s="3"/>
      <c r="R269" s="3"/>
      <c r="S269" s="50"/>
      <c r="T269" s="885"/>
      <c r="U269" s="885"/>
      <c r="V269" s="885"/>
      <c r="W269" s="885"/>
      <c r="X269" s="885"/>
      <c r="Y269" s="885"/>
      <c r="Z269" s="885"/>
    </row>
    <row r="270" ht="15.0" customHeight="1">
      <c r="A270" s="3" t="s">
        <v>1896</v>
      </c>
      <c r="B270" s="884" t="s">
        <v>1265</v>
      </c>
      <c r="C270" s="884"/>
      <c r="D270" s="3"/>
      <c r="E270" s="885"/>
      <c r="J270" s="885"/>
      <c r="K270" s="885"/>
      <c r="L270" s="3"/>
      <c r="M270" s="3"/>
      <c r="N270" s="892"/>
      <c r="O270" s="885"/>
      <c r="P270" s="885"/>
      <c r="Q270" s="3"/>
      <c r="R270" s="3"/>
      <c r="S270" s="50"/>
      <c r="T270" s="885"/>
      <c r="U270" s="885"/>
      <c r="V270" s="885"/>
      <c r="W270" s="885"/>
      <c r="X270" s="885"/>
      <c r="Y270" s="885"/>
      <c r="Z270" s="885"/>
    </row>
    <row r="271" ht="15.0" customHeight="1">
      <c r="A271" s="3" t="s">
        <v>1897</v>
      </c>
      <c r="B271" s="884" t="s">
        <v>1265</v>
      </c>
      <c r="C271" s="884"/>
      <c r="D271" s="3"/>
      <c r="E271" s="885"/>
      <c r="J271" s="885"/>
      <c r="K271" s="885"/>
      <c r="L271" s="3"/>
      <c r="M271" s="3"/>
      <c r="N271" s="892"/>
      <c r="O271" s="885"/>
      <c r="P271" s="885"/>
      <c r="Q271" s="3"/>
      <c r="R271" s="3"/>
      <c r="S271" s="50"/>
      <c r="T271" s="885"/>
      <c r="U271" s="885"/>
      <c r="V271" s="885"/>
      <c r="W271" s="885"/>
      <c r="X271" s="885"/>
      <c r="Y271" s="885"/>
      <c r="Z271" s="885"/>
    </row>
    <row r="272" ht="15.0" customHeight="1">
      <c r="A272" s="3" t="s">
        <v>1898</v>
      </c>
      <c r="B272" s="884" t="s">
        <v>1265</v>
      </c>
      <c r="C272" s="884"/>
      <c r="D272" s="3"/>
      <c r="E272" s="885"/>
      <c r="J272" s="3"/>
      <c r="K272" s="3"/>
      <c r="L272" s="3"/>
      <c r="M272" s="3"/>
      <c r="N272" s="892"/>
      <c r="O272" s="885"/>
      <c r="P272" s="885"/>
      <c r="Q272" s="3"/>
      <c r="R272" s="3"/>
      <c r="S272" s="50"/>
      <c r="T272" s="885"/>
      <c r="U272" s="885"/>
      <c r="V272" s="885"/>
      <c r="W272" s="885"/>
      <c r="X272" s="885"/>
      <c r="Y272" s="885"/>
      <c r="Z272" s="885"/>
    </row>
    <row r="273" ht="15.0" customHeight="1">
      <c r="A273" s="3" t="s">
        <v>1899</v>
      </c>
      <c r="B273" s="884" t="s">
        <v>1265</v>
      </c>
      <c r="C273" s="884"/>
      <c r="D273" s="3"/>
      <c r="E273" s="885"/>
      <c r="J273" s="3"/>
      <c r="K273" s="3"/>
      <c r="L273" s="3"/>
      <c r="M273" s="3"/>
      <c r="N273" s="892"/>
      <c r="O273" s="885"/>
      <c r="P273" s="885"/>
      <c r="Q273" s="3"/>
      <c r="R273" s="3"/>
      <c r="S273" s="50"/>
      <c r="T273" s="885"/>
      <c r="U273" s="885"/>
      <c r="V273" s="885"/>
      <c r="W273" s="885"/>
      <c r="X273" s="885"/>
      <c r="Y273" s="885"/>
      <c r="Z273" s="885"/>
    </row>
    <row r="274" ht="15.0" customHeight="1">
      <c r="A274" s="3" t="s">
        <v>1900</v>
      </c>
      <c r="B274" s="884" t="s">
        <v>1265</v>
      </c>
      <c r="C274" s="884"/>
      <c r="D274" s="3"/>
      <c r="E274" s="885"/>
      <c r="J274" s="3"/>
      <c r="K274" s="3"/>
      <c r="L274" s="3"/>
      <c r="M274" s="3"/>
      <c r="N274" s="892"/>
      <c r="O274" s="885"/>
      <c r="P274" s="885"/>
      <c r="Q274" s="3"/>
      <c r="R274" s="3"/>
      <c r="S274" s="50"/>
      <c r="T274" s="885"/>
      <c r="U274" s="885"/>
      <c r="V274" s="885"/>
      <c r="W274" s="885"/>
      <c r="X274" s="885"/>
      <c r="Y274" s="885"/>
      <c r="Z274" s="885"/>
    </row>
    <row r="275" ht="15.0" customHeight="1">
      <c r="A275" s="3" t="s">
        <v>1901</v>
      </c>
      <c r="B275" s="884" t="s">
        <v>1265</v>
      </c>
      <c r="C275" s="884"/>
      <c r="D275" s="3"/>
      <c r="E275" s="885"/>
      <c r="J275" s="3"/>
      <c r="K275" s="3"/>
      <c r="L275" s="3"/>
      <c r="M275" s="3"/>
      <c r="N275" s="892"/>
      <c r="O275" s="885"/>
      <c r="P275" s="885"/>
      <c r="Q275" s="3"/>
      <c r="R275" s="3"/>
      <c r="S275" s="50"/>
      <c r="T275" s="885"/>
      <c r="U275" s="885"/>
      <c r="V275" s="885"/>
      <c r="W275" s="885"/>
      <c r="X275" s="885"/>
      <c r="Y275" s="885"/>
      <c r="Z275" s="885"/>
    </row>
    <row r="276" ht="15.0" customHeight="1">
      <c r="A276" s="3" t="s">
        <v>1902</v>
      </c>
      <c r="B276" s="884" t="s">
        <v>1265</v>
      </c>
      <c r="C276" s="884"/>
      <c r="D276" s="3"/>
      <c r="E276" s="885"/>
      <c r="F276" s="3"/>
      <c r="G276" s="3"/>
      <c r="H276" s="886"/>
      <c r="I276" s="3"/>
      <c r="J276" s="3"/>
      <c r="K276" s="3"/>
      <c r="L276" s="885"/>
      <c r="M276" s="885"/>
      <c r="N276" s="887"/>
      <c r="O276" s="885"/>
      <c r="P276" s="885"/>
      <c r="Q276" s="885"/>
      <c r="R276" s="885"/>
      <c r="S276" s="885"/>
      <c r="T276" s="885"/>
      <c r="U276" s="885"/>
      <c r="V276" s="885"/>
      <c r="W276" s="885"/>
      <c r="X276" s="885"/>
      <c r="Y276" s="885"/>
      <c r="Z276" s="885"/>
    </row>
    <row r="277" ht="15.0" customHeight="1">
      <c r="A277" s="884" t="s">
        <v>1903</v>
      </c>
      <c r="B277" s="884" t="s">
        <v>1265</v>
      </c>
      <c r="C277" s="884"/>
      <c r="D277" s="3"/>
      <c r="E277" s="885"/>
      <c r="F277" s="3"/>
      <c r="G277" s="3"/>
      <c r="H277" s="886"/>
      <c r="I277" s="3"/>
      <c r="J277" s="3"/>
      <c r="K277" s="3"/>
      <c r="L277" s="885"/>
      <c r="M277" s="885"/>
      <c r="N277" s="887"/>
      <c r="O277" s="885"/>
      <c r="P277" s="885"/>
      <c r="Q277" s="885"/>
      <c r="R277" s="885"/>
      <c r="S277" s="885"/>
      <c r="T277" s="885"/>
      <c r="U277" s="885"/>
      <c r="V277" s="885"/>
      <c r="W277" s="885"/>
      <c r="X277" s="885"/>
      <c r="Y277" s="885"/>
      <c r="Z277" s="885"/>
    </row>
    <row r="278" ht="15.0" customHeight="1">
      <c r="C278" s="884"/>
      <c r="D278" s="3"/>
      <c r="E278" s="885"/>
      <c r="F278" s="3"/>
      <c r="G278" s="3"/>
      <c r="H278" s="886"/>
      <c r="I278" s="3"/>
      <c r="J278" s="3"/>
      <c r="K278" s="3"/>
      <c r="L278" s="885"/>
      <c r="M278" s="885"/>
      <c r="N278" s="887"/>
      <c r="O278" s="885"/>
      <c r="P278" s="885"/>
      <c r="Q278" s="885"/>
      <c r="R278" s="885"/>
      <c r="S278" s="885"/>
      <c r="T278" s="885"/>
      <c r="U278" s="885"/>
      <c r="V278" s="885"/>
      <c r="W278" s="885"/>
      <c r="X278" s="885"/>
      <c r="Y278" s="885"/>
      <c r="Z278" s="885"/>
    </row>
    <row r="279" ht="15.0" customHeight="1">
      <c r="C279" s="884"/>
      <c r="D279" s="3"/>
      <c r="E279" s="885"/>
      <c r="F279" s="3"/>
      <c r="G279" s="10"/>
      <c r="H279" s="886"/>
      <c r="I279" s="885"/>
      <c r="J279" s="3"/>
      <c r="K279" s="3"/>
      <c r="L279" s="885"/>
      <c r="M279" s="885"/>
      <c r="N279" s="887"/>
      <c r="O279" s="885"/>
      <c r="P279" s="885"/>
      <c r="Q279" s="885"/>
      <c r="R279" s="885"/>
      <c r="S279" s="885"/>
      <c r="T279" s="885"/>
      <c r="U279" s="885"/>
      <c r="V279" s="885"/>
      <c r="W279" s="885"/>
      <c r="X279" s="885"/>
      <c r="Y279" s="885"/>
      <c r="Z279" s="885"/>
    </row>
    <row r="280" ht="15.0" customHeight="1">
      <c r="A280" s="884"/>
      <c r="B280" s="3"/>
      <c r="C280" s="884"/>
      <c r="D280" s="3"/>
      <c r="E280" s="885"/>
      <c r="F280" s="3"/>
      <c r="G280" s="10"/>
      <c r="H280" s="886"/>
      <c r="I280" s="885"/>
      <c r="J280" s="3"/>
      <c r="K280" s="3"/>
      <c r="L280" s="885"/>
      <c r="M280" s="885"/>
      <c r="N280" s="887"/>
      <c r="O280" s="885"/>
      <c r="P280" s="885"/>
      <c r="Q280" s="885"/>
      <c r="R280" s="885"/>
      <c r="S280" s="885"/>
      <c r="T280" s="885"/>
      <c r="U280" s="885"/>
      <c r="V280" s="885"/>
      <c r="W280" s="885"/>
      <c r="X280" s="885"/>
      <c r="Y280" s="885"/>
      <c r="Z280" s="885"/>
    </row>
    <row r="281" ht="15.0" customHeight="1">
      <c r="A281" s="884"/>
      <c r="B281" s="3"/>
      <c r="C281" s="3"/>
      <c r="D281" s="3"/>
      <c r="E281" s="885"/>
      <c r="F281" s="3"/>
      <c r="G281" s="10"/>
      <c r="H281" s="886"/>
      <c r="I281" s="885"/>
      <c r="J281" s="3"/>
      <c r="K281" s="3"/>
      <c r="L281" s="885"/>
      <c r="M281" s="885"/>
      <c r="N281" s="887"/>
      <c r="O281" s="885"/>
      <c r="P281" s="885"/>
      <c r="Q281" s="885"/>
      <c r="R281" s="885"/>
      <c r="S281" s="885"/>
      <c r="T281" s="885"/>
      <c r="U281" s="885"/>
      <c r="V281" s="885"/>
      <c r="W281" s="885"/>
      <c r="X281" s="885"/>
      <c r="Y281" s="885"/>
      <c r="Z281" s="885"/>
    </row>
    <row r="282" ht="15.0" customHeight="1">
      <c r="A282" s="884"/>
      <c r="B282" s="3"/>
      <c r="C282" s="3"/>
      <c r="D282" s="3"/>
      <c r="E282" s="885"/>
      <c r="F282" s="3"/>
      <c r="G282" s="10"/>
      <c r="H282" s="886"/>
      <c r="I282" s="885"/>
      <c r="J282" s="3"/>
      <c r="K282" s="3"/>
      <c r="L282" s="885"/>
      <c r="M282" s="885"/>
      <c r="N282" s="887"/>
      <c r="O282" s="885"/>
      <c r="P282" s="885"/>
      <c r="Q282" s="885"/>
      <c r="R282" s="885"/>
      <c r="S282" s="885"/>
      <c r="T282" s="885"/>
      <c r="U282" s="885"/>
      <c r="V282" s="885"/>
      <c r="W282" s="885"/>
      <c r="X282" s="885"/>
      <c r="Y282" s="885"/>
      <c r="Z282" s="885"/>
    </row>
    <row r="283" ht="15.0" customHeight="1">
      <c r="A283" s="884"/>
      <c r="B283" s="3"/>
      <c r="C283" s="3"/>
      <c r="D283" s="3"/>
      <c r="E283" s="885"/>
      <c r="F283" s="3"/>
      <c r="G283" s="10"/>
      <c r="H283" s="886"/>
      <c r="I283" s="885"/>
      <c r="J283" s="3"/>
      <c r="K283" s="3"/>
      <c r="L283" s="885"/>
      <c r="M283" s="885"/>
      <c r="N283" s="887"/>
      <c r="O283" s="885"/>
      <c r="P283" s="885"/>
      <c r="Q283" s="885"/>
      <c r="R283" s="885"/>
      <c r="S283" s="885"/>
      <c r="T283" s="885"/>
      <c r="U283" s="885"/>
      <c r="V283" s="885"/>
      <c r="W283" s="885"/>
      <c r="X283" s="885"/>
      <c r="Y283" s="885"/>
      <c r="Z283" s="885"/>
    </row>
    <row r="284" ht="15.0" customHeight="1">
      <c r="A284" s="884"/>
      <c r="B284" s="3"/>
      <c r="C284" s="3"/>
      <c r="D284" s="3"/>
      <c r="E284" s="885"/>
      <c r="F284" s="3"/>
      <c r="G284" s="10"/>
      <c r="H284" s="886"/>
      <c r="I284" s="885"/>
      <c r="J284" s="3"/>
      <c r="K284" s="3"/>
      <c r="L284" s="885"/>
      <c r="M284" s="885"/>
      <c r="N284" s="887"/>
      <c r="O284" s="885"/>
      <c r="P284" s="885"/>
      <c r="Q284" s="885"/>
      <c r="R284" s="885"/>
      <c r="S284" s="885"/>
      <c r="T284" s="885"/>
      <c r="U284" s="885"/>
      <c r="V284" s="885"/>
      <c r="W284" s="885"/>
      <c r="X284" s="885"/>
      <c r="Y284" s="885"/>
      <c r="Z284" s="885"/>
    </row>
    <row r="285" ht="15.0" customHeight="1">
      <c r="A285" s="884"/>
      <c r="B285" s="3"/>
      <c r="C285" s="3"/>
      <c r="D285" s="3"/>
      <c r="E285" s="885"/>
      <c r="F285" s="3"/>
      <c r="G285" s="10"/>
      <c r="H285" s="886"/>
      <c r="I285" s="885"/>
      <c r="J285" s="3"/>
      <c r="K285" s="3"/>
      <c r="L285" s="885"/>
      <c r="M285" s="885"/>
      <c r="N285" s="887"/>
      <c r="O285" s="885"/>
      <c r="P285" s="885"/>
      <c r="Q285" s="885"/>
      <c r="R285" s="885"/>
      <c r="S285" s="885"/>
      <c r="T285" s="885"/>
      <c r="U285" s="885"/>
      <c r="V285" s="885"/>
      <c r="W285" s="885"/>
      <c r="X285" s="885"/>
      <c r="Y285" s="885"/>
      <c r="Z285" s="885"/>
    </row>
    <row r="286" ht="15.0" customHeight="1">
      <c r="A286" s="884"/>
      <c r="B286" s="3"/>
      <c r="C286" s="3"/>
      <c r="D286" s="3"/>
      <c r="E286" s="885"/>
      <c r="F286" s="3"/>
      <c r="G286" s="10"/>
      <c r="H286" s="886"/>
      <c r="I286" s="885"/>
      <c r="J286" s="3"/>
      <c r="K286" s="3"/>
      <c r="L286" s="885"/>
      <c r="M286" s="885"/>
      <c r="N286" s="887"/>
      <c r="O286" s="885"/>
      <c r="P286" s="885"/>
      <c r="Q286" s="885"/>
      <c r="R286" s="885"/>
      <c r="S286" s="885"/>
      <c r="T286" s="885"/>
      <c r="U286" s="885"/>
      <c r="V286" s="885"/>
      <c r="W286" s="885"/>
      <c r="X286" s="885"/>
      <c r="Y286" s="885"/>
      <c r="Z286" s="885"/>
    </row>
    <row r="287" ht="15.0" customHeight="1">
      <c r="A287" s="884"/>
      <c r="B287" s="3"/>
      <c r="C287" s="3"/>
      <c r="D287" s="3"/>
      <c r="E287" s="885"/>
      <c r="F287" s="3"/>
      <c r="G287" s="10"/>
      <c r="H287" s="886"/>
      <c r="I287" s="885"/>
      <c r="J287" s="3"/>
      <c r="K287" s="3"/>
      <c r="L287" s="885"/>
      <c r="M287" s="885"/>
      <c r="N287" s="887"/>
      <c r="O287" s="885"/>
      <c r="P287" s="885"/>
      <c r="Q287" s="885"/>
      <c r="R287" s="885"/>
      <c r="S287" s="885"/>
      <c r="T287" s="885"/>
      <c r="U287" s="885"/>
      <c r="V287" s="885"/>
      <c r="W287" s="885"/>
      <c r="X287" s="885"/>
      <c r="Y287" s="885"/>
      <c r="Z287" s="885"/>
    </row>
    <row r="288" ht="15.0" customHeight="1">
      <c r="A288" s="884"/>
      <c r="B288" s="3"/>
      <c r="C288" s="3"/>
      <c r="D288" s="3"/>
      <c r="E288" s="885"/>
      <c r="F288" s="3"/>
      <c r="G288" s="10"/>
      <c r="H288" s="886"/>
      <c r="I288" s="885"/>
      <c r="J288" s="3"/>
      <c r="K288" s="3"/>
      <c r="L288" s="885"/>
      <c r="M288" s="885"/>
      <c r="N288" s="887"/>
      <c r="O288" s="885"/>
      <c r="P288" s="885"/>
      <c r="Q288" s="885"/>
      <c r="R288" s="885"/>
      <c r="S288" s="885"/>
      <c r="T288" s="885"/>
      <c r="U288" s="885"/>
      <c r="V288" s="885"/>
      <c r="W288" s="885"/>
      <c r="X288" s="885"/>
      <c r="Y288" s="885"/>
      <c r="Z288" s="885"/>
    </row>
    <row r="289" ht="15.0" customHeight="1">
      <c r="A289" s="884"/>
      <c r="B289" s="3"/>
      <c r="C289" s="3"/>
      <c r="D289" s="3"/>
      <c r="E289" s="885"/>
      <c r="F289" s="3"/>
      <c r="G289" s="10"/>
      <c r="H289" s="886"/>
      <c r="I289" s="885"/>
      <c r="J289" s="3"/>
      <c r="K289" s="3"/>
      <c r="L289" s="885"/>
      <c r="M289" s="885"/>
      <c r="N289" s="887"/>
      <c r="O289" s="885"/>
      <c r="P289" s="885"/>
      <c r="Q289" s="885"/>
      <c r="R289" s="885"/>
      <c r="S289" s="885"/>
      <c r="T289" s="885"/>
      <c r="U289" s="885"/>
      <c r="V289" s="885"/>
      <c r="W289" s="885"/>
      <c r="X289" s="885"/>
      <c r="Y289" s="885"/>
      <c r="Z289" s="885"/>
    </row>
    <row r="290" ht="15.0" customHeight="1">
      <c r="A290" s="884"/>
      <c r="B290" s="3"/>
      <c r="C290" s="3"/>
      <c r="D290" s="3"/>
      <c r="E290" s="885"/>
      <c r="F290" s="3"/>
      <c r="G290" s="10"/>
      <c r="H290" s="886"/>
      <c r="I290" s="885"/>
      <c r="J290" s="3"/>
      <c r="K290" s="3"/>
      <c r="L290" s="885"/>
      <c r="M290" s="885"/>
      <c r="N290" s="887"/>
      <c r="O290" s="885"/>
      <c r="P290" s="885"/>
      <c r="Q290" s="885"/>
      <c r="R290" s="885"/>
      <c r="S290" s="885"/>
      <c r="T290" s="885"/>
      <c r="U290" s="885"/>
      <c r="V290" s="885"/>
      <c r="W290" s="885"/>
      <c r="X290" s="885"/>
      <c r="Y290" s="885"/>
      <c r="Z290" s="885"/>
    </row>
    <row r="291" ht="15.0" customHeight="1">
      <c r="A291" s="884"/>
      <c r="B291" s="3"/>
      <c r="C291" s="3"/>
      <c r="D291" s="3"/>
      <c r="E291" s="885"/>
      <c r="F291" s="3"/>
      <c r="G291" s="10"/>
      <c r="H291" s="886"/>
      <c r="I291" s="885"/>
      <c r="J291" s="3"/>
      <c r="K291" s="3"/>
      <c r="L291" s="885"/>
      <c r="N291" s="887"/>
      <c r="O291" s="885"/>
      <c r="P291" s="885"/>
      <c r="Q291" s="885"/>
      <c r="R291" s="885"/>
      <c r="S291" s="885"/>
      <c r="T291" s="885"/>
      <c r="U291" s="885"/>
      <c r="V291" s="885"/>
      <c r="W291" s="885"/>
      <c r="X291" s="885"/>
      <c r="Y291" s="885"/>
      <c r="Z291" s="885"/>
    </row>
    <row r="292" ht="15.0" customHeight="1">
      <c r="A292" s="884"/>
      <c r="B292" s="3"/>
      <c r="C292" s="3"/>
      <c r="D292" s="3"/>
      <c r="E292" s="885"/>
      <c r="F292" s="3"/>
      <c r="G292" s="10"/>
      <c r="H292" s="886"/>
      <c r="I292" s="885"/>
      <c r="J292" s="3"/>
      <c r="K292" s="3"/>
      <c r="L292" s="885"/>
      <c r="N292" s="887"/>
      <c r="O292" s="885"/>
      <c r="P292" s="885"/>
      <c r="Q292" s="885"/>
      <c r="R292" s="885"/>
      <c r="S292" s="885"/>
      <c r="T292" s="885"/>
      <c r="U292" s="885"/>
      <c r="V292" s="885"/>
      <c r="W292" s="885"/>
      <c r="X292" s="885"/>
      <c r="Y292" s="885"/>
      <c r="Z292" s="885"/>
    </row>
    <row r="293" ht="15.0" customHeight="1">
      <c r="A293" s="884"/>
      <c r="B293" s="3"/>
      <c r="C293" s="3"/>
      <c r="D293" s="3"/>
      <c r="E293" s="885"/>
      <c r="F293" s="3"/>
      <c r="G293" s="10" t="s">
        <v>1676</v>
      </c>
      <c r="H293" s="920" t="s">
        <v>1904</v>
      </c>
      <c r="I293" s="885"/>
      <c r="J293" s="3"/>
      <c r="K293" s="3"/>
      <c r="L293" s="885"/>
      <c r="N293" s="887"/>
      <c r="O293" s="885"/>
      <c r="P293" s="885"/>
      <c r="Q293" s="885"/>
      <c r="R293" s="885"/>
      <c r="S293" s="885"/>
      <c r="T293" s="885"/>
      <c r="U293" s="885"/>
      <c r="V293" s="885"/>
      <c r="W293" s="885"/>
      <c r="X293" s="885"/>
      <c r="Y293" s="885"/>
      <c r="Z293" s="885"/>
    </row>
    <row r="294" ht="15.0" customHeight="1">
      <c r="A294" s="884"/>
      <c r="B294" s="3"/>
      <c r="C294" s="3"/>
      <c r="D294" s="3"/>
      <c r="E294" s="3"/>
      <c r="F294" s="3" t="s">
        <v>1171</v>
      </c>
      <c r="G294" s="3"/>
      <c r="H294" s="886">
        <v>0.0</v>
      </c>
      <c r="I294" s="3"/>
      <c r="J294" s="3"/>
      <c r="K294" s="3"/>
      <c r="L294" s="885"/>
      <c r="M294" s="885"/>
      <c r="N294" s="887"/>
      <c r="O294" s="885"/>
      <c r="P294" s="885"/>
      <c r="Q294" s="885"/>
      <c r="R294" s="885"/>
      <c r="S294" s="885"/>
      <c r="T294" s="885"/>
      <c r="U294" s="885"/>
      <c r="V294" s="885"/>
      <c r="W294" s="885"/>
      <c r="X294" s="885"/>
      <c r="Y294" s="885"/>
      <c r="Z294" s="885"/>
    </row>
    <row r="295" ht="15.0" customHeight="1">
      <c r="A295" s="884"/>
      <c r="B295" s="3"/>
      <c r="C295" s="3"/>
      <c r="D295" s="3"/>
      <c r="E295" s="3"/>
      <c r="F295" s="3" t="s">
        <v>211</v>
      </c>
      <c r="G295" s="3"/>
      <c r="H295" s="886">
        <v>18.0</v>
      </c>
      <c r="I295" s="3"/>
      <c r="J295" s="3"/>
      <c r="K295" s="3"/>
      <c r="L295" s="885"/>
      <c r="M295" s="885"/>
      <c r="N295" s="887"/>
      <c r="O295" s="885"/>
      <c r="P295" s="885"/>
      <c r="Q295" s="885"/>
      <c r="R295" s="885"/>
      <c r="S295" s="885"/>
      <c r="T295" s="885"/>
      <c r="U295" s="885"/>
      <c r="V295" s="885"/>
      <c r="W295" s="885"/>
      <c r="X295" s="885"/>
      <c r="Y295" s="885"/>
      <c r="Z295" s="885"/>
    </row>
    <row r="296" ht="15.0" customHeight="1">
      <c r="A296" s="884"/>
      <c r="B296" s="3"/>
      <c r="C296" s="3"/>
      <c r="D296" s="3"/>
      <c r="E296" s="3"/>
      <c r="F296" s="3" t="s">
        <v>758</v>
      </c>
      <c r="G296" s="3"/>
      <c r="H296" s="886">
        <v>0.0</v>
      </c>
      <c r="I296" s="3"/>
      <c r="J296" s="3"/>
      <c r="K296" s="3"/>
      <c r="L296" s="885"/>
      <c r="M296" s="885"/>
      <c r="N296" s="887"/>
      <c r="O296" s="885"/>
      <c r="P296" s="885"/>
      <c r="Q296" s="50"/>
      <c r="R296" s="885"/>
      <c r="S296" s="885"/>
      <c r="T296" s="885"/>
      <c r="U296" s="885"/>
      <c r="V296" s="885"/>
      <c r="W296" s="885"/>
      <c r="X296" s="885"/>
      <c r="Y296" s="885"/>
      <c r="Z296" s="885"/>
    </row>
    <row r="297" ht="15.0" customHeight="1">
      <c r="A297" s="884"/>
      <c r="B297" s="3"/>
      <c r="C297" s="3"/>
      <c r="D297" s="3"/>
      <c r="E297" s="3"/>
      <c r="F297" s="3" t="s">
        <v>1700</v>
      </c>
      <c r="G297" s="3"/>
      <c r="H297" s="886">
        <v>24.0</v>
      </c>
      <c r="I297" s="3"/>
      <c r="J297" s="3"/>
      <c r="K297" s="3"/>
      <c r="L297" s="885"/>
      <c r="M297" s="885"/>
      <c r="N297" s="887"/>
      <c r="O297" s="885"/>
      <c r="P297" s="885"/>
      <c r="Q297" s="50"/>
      <c r="R297" s="885"/>
      <c r="S297" s="885"/>
      <c r="T297" s="885"/>
      <c r="U297" s="885"/>
      <c r="V297" s="885"/>
      <c r="W297" s="885"/>
      <c r="X297" s="885"/>
      <c r="Y297" s="885"/>
      <c r="Z297" s="885"/>
    </row>
    <row r="298" ht="15.0" customHeight="1">
      <c r="A298" s="884"/>
      <c r="B298" s="3"/>
      <c r="C298" s="3"/>
      <c r="D298" s="3"/>
      <c r="E298" s="3"/>
      <c r="F298" s="3" t="s">
        <v>963</v>
      </c>
      <c r="G298" s="3"/>
      <c r="H298" s="886">
        <v>29.0</v>
      </c>
      <c r="I298" s="3"/>
      <c r="J298" s="3"/>
      <c r="K298" s="3"/>
      <c r="L298" s="885"/>
      <c r="M298" s="885"/>
      <c r="N298" s="887"/>
      <c r="O298" s="885"/>
      <c r="P298" s="885"/>
      <c r="Q298" s="50"/>
      <c r="R298" s="885"/>
      <c r="S298" s="885"/>
      <c r="T298" s="885"/>
      <c r="U298" s="885"/>
      <c r="V298" s="885"/>
      <c r="W298" s="885"/>
      <c r="X298" s="885"/>
      <c r="Y298" s="885"/>
      <c r="Z298" s="885"/>
    </row>
    <row r="299" ht="15.0" customHeight="1">
      <c r="A299" s="884"/>
      <c r="B299" s="3"/>
      <c r="C299" s="3"/>
      <c r="D299" s="3"/>
      <c r="E299" s="3"/>
      <c r="F299" s="3" t="s">
        <v>1198</v>
      </c>
      <c r="G299" s="3" t="s">
        <v>1748</v>
      </c>
      <c r="H299" s="886">
        <v>18.0</v>
      </c>
      <c r="I299" s="3"/>
      <c r="J299" s="3"/>
      <c r="K299" s="3"/>
      <c r="L299" s="885"/>
      <c r="M299" s="885"/>
      <c r="N299" s="887"/>
      <c r="O299" s="885"/>
      <c r="P299" s="885"/>
      <c r="Q299" s="50"/>
      <c r="R299" s="885"/>
      <c r="S299" s="885"/>
      <c r="T299" s="885"/>
      <c r="U299" s="885"/>
      <c r="V299" s="885"/>
      <c r="W299" s="885"/>
      <c r="X299" s="885"/>
      <c r="Y299" s="885"/>
      <c r="Z299" s="885"/>
    </row>
    <row r="300" ht="15.0" customHeight="1">
      <c r="A300" s="884"/>
      <c r="B300" s="3"/>
      <c r="C300" s="3"/>
      <c r="D300" s="3"/>
      <c r="E300" s="3"/>
      <c r="F300" s="3"/>
      <c r="G300" s="3"/>
      <c r="H300" s="886"/>
      <c r="I300" s="3"/>
      <c r="J300" s="3"/>
      <c r="K300" s="3"/>
      <c r="L300" s="885"/>
      <c r="M300" s="885"/>
      <c r="N300" s="887"/>
      <c r="O300" s="885"/>
      <c r="P300" s="885"/>
      <c r="Q300" s="50"/>
      <c r="R300" s="885"/>
      <c r="S300" s="885"/>
      <c r="T300" s="885"/>
      <c r="U300" s="885"/>
      <c r="V300" s="885"/>
      <c r="W300" s="885"/>
      <c r="X300" s="885"/>
      <c r="Y300" s="885"/>
      <c r="Z300" s="885"/>
    </row>
    <row r="301" ht="15.0" customHeight="1">
      <c r="A301" s="884"/>
      <c r="B301" s="3"/>
      <c r="C301" s="3"/>
      <c r="D301" s="3"/>
      <c r="E301" s="3"/>
      <c r="F301" s="895" t="s">
        <v>1693</v>
      </c>
      <c r="G301" s="3"/>
      <c r="H301" s="900">
        <v>12.0</v>
      </c>
      <c r="I301" s="3"/>
      <c r="J301" s="3"/>
      <c r="K301" s="3"/>
      <c r="L301" s="885"/>
      <c r="M301" s="885"/>
      <c r="N301" s="887"/>
      <c r="O301" s="885"/>
      <c r="P301" s="885"/>
      <c r="Q301" s="50"/>
      <c r="R301" s="885"/>
      <c r="S301" s="885"/>
      <c r="T301" s="885"/>
      <c r="U301" s="885"/>
      <c r="V301" s="885"/>
      <c r="W301" s="885"/>
      <c r="X301" s="885"/>
      <c r="Y301" s="885"/>
      <c r="Z301" s="885"/>
    </row>
    <row r="302" ht="15.0" customHeight="1">
      <c r="A302" s="884"/>
      <c r="B302" s="3"/>
      <c r="C302" s="3"/>
      <c r="D302" s="3"/>
      <c r="E302" s="3"/>
      <c r="F302" s="3" t="s">
        <v>1267</v>
      </c>
      <c r="G302" s="3" t="s">
        <v>1905</v>
      </c>
      <c r="H302" s="886">
        <v>9.0</v>
      </c>
      <c r="I302" s="3"/>
      <c r="J302" s="3"/>
      <c r="K302" s="3"/>
      <c r="L302" s="885"/>
      <c r="M302" s="885"/>
      <c r="N302" s="887"/>
      <c r="O302" s="885"/>
      <c r="P302" s="885"/>
      <c r="Q302" s="50"/>
      <c r="R302" s="885"/>
      <c r="S302" s="885"/>
      <c r="T302" s="885"/>
      <c r="U302" s="885"/>
      <c r="V302" s="885"/>
      <c r="W302" s="885"/>
      <c r="X302" s="885"/>
      <c r="Y302" s="885"/>
      <c r="Z302" s="885"/>
    </row>
    <row r="303" ht="15.0" customHeight="1">
      <c r="A303" s="884"/>
      <c r="B303" s="3"/>
      <c r="C303" s="3"/>
      <c r="D303" s="3"/>
      <c r="E303" s="3"/>
      <c r="F303" s="3" t="s">
        <v>561</v>
      </c>
      <c r="G303" s="3"/>
      <c r="H303" s="886">
        <v>10.0</v>
      </c>
      <c r="I303" s="3"/>
      <c r="J303" s="3"/>
      <c r="K303" s="3"/>
      <c r="L303" s="885"/>
      <c r="M303" s="885"/>
      <c r="N303" s="887"/>
      <c r="O303" s="885"/>
      <c r="P303" s="885"/>
      <c r="Q303" s="50"/>
      <c r="R303" s="885"/>
      <c r="S303" s="885"/>
      <c r="T303" s="885"/>
      <c r="U303" s="885"/>
      <c r="V303" s="885"/>
      <c r="W303" s="885"/>
      <c r="X303" s="885"/>
      <c r="Y303" s="885"/>
      <c r="Z303" s="885"/>
    </row>
    <row r="304" ht="15.0" customHeight="1">
      <c r="A304" s="884"/>
      <c r="B304" s="3"/>
      <c r="C304" s="3"/>
      <c r="D304" s="3"/>
      <c r="E304" s="3"/>
      <c r="F304" s="3" t="s">
        <v>728</v>
      </c>
      <c r="G304" s="3" t="s">
        <v>1906</v>
      </c>
      <c r="H304" s="886">
        <v>15.0</v>
      </c>
      <c r="I304" s="3"/>
      <c r="J304" s="3"/>
      <c r="K304" s="3"/>
      <c r="L304" s="885"/>
      <c r="M304" s="885"/>
      <c r="N304" s="887"/>
      <c r="O304" s="885"/>
      <c r="P304" s="885"/>
      <c r="Q304" s="50"/>
      <c r="R304" s="885"/>
      <c r="S304" s="885"/>
      <c r="T304" s="885"/>
      <c r="U304" s="885"/>
      <c r="V304" s="885"/>
      <c r="W304" s="885"/>
      <c r="X304" s="885"/>
      <c r="Y304" s="885"/>
      <c r="Z304" s="885"/>
    </row>
    <row r="305" ht="15.0" customHeight="1">
      <c r="A305" s="884"/>
      <c r="B305" s="3"/>
      <c r="C305" s="3"/>
      <c r="D305" s="3"/>
      <c r="E305" s="3"/>
      <c r="F305" s="895" t="s">
        <v>698</v>
      </c>
      <c r="G305" s="3"/>
      <c r="H305" s="886">
        <v>20.0</v>
      </c>
      <c r="I305" s="3"/>
      <c r="J305" s="885"/>
      <c r="K305" s="885"/>
      <c r="L305" s="885"/>
      <c r="M305" s="3"/>
      <c r="N305" s="887"/>
      <c r="O305" s="885"/>
      <c r="P305" s="885"/>
      <c r="Q305" s="50"/>
      <c r="R305" s="885"/>
      <c r="S305" s="885"/>
      <c r="T305" s="885"/>
      <c r="U305" s="885"/>
      <c r="V305" s="885"/>
      <c r="W305" s="885"/>
      <c r="X305" s="885"/>
      <c r="Y305" s="885"/>
      <c r="Z305" s="885"/>
    </row>
    <row r="306" ht="15.75" customHeight="1">
      <c r="A306" s="884"/>
      <c r="B306" s="3"/>
      <c r="C306" s="3"/>
      <c r="D306" s="3"/>
      <c r="E306" s="3"/>
      <c r="F306" s="725" t="s">
        <v>860</v>
      </c>
      <c r="H306" s="897">
        <v>25.0</v>
      </c>
      <c r="I306" s="885"/>
      <c r="J306" s="885"/>
      <c r="K306" s="885"/>
      <c r="L306" s="885"/>
      <c r="M306" s="885"/>
      <c r="N306" s="887"/>
      <c r="O306" s="885"/>
      <c r="P306" s="885"/>
      <c r="Q306" s="50"/>
      <c r="R306" s="885"/>
      <c r="S306" s="885"/>
      <c r="T306" s="885"/>
      <c r="U306" s="885"/>
      <c r="V306" s="885"/>
      <c r="W306" s="885"/>
      <c r="X306" s="885"/>
      <c r="Y306" s="885"/>
      <c r="Z306" s="885"/>
    </row>
    <row r="307" ht="15.75" customHeight="1">
      <c r="A307" s="884"/>
      <c r="B307" s="3"/>
      <c r="C307" s="3"/>
      <c r="D307" s="3"/>
      <c r="E307" s="885"/>
      <c r="F307" s="921" t="s">
        <v>708</v>
      </c>
      <c r="G307" s="725" t="s">
        <v>140</v>
      </c>
      <c r="H307" s="897">
        <v>13.0</v>
      </c>
      <c r="J307" s="885"/>
      <c r="K307" s="885"/>
      <c r="L307" s="885"/>
      <c r="M307" s="885"/>
      <c r="N307" s="887"/>
      <c r="O307" s="885"/>
      <c r="P307" s="885"/>
      <c r="Q307" s="50"/>
      <c r="R307" s="885"/>
      <c r="S307" s="885"/>
      <c r="T307" s="885"/>
      <c r="U307" s="885"/>
      <c r="V307" s="885"/>
      <c r="W307" s="885"/>
      <c r="X307" s="885"/>
      <c r="Y307" s="885"/>
      <c r="Z307" s="885"/>
    </row>
    <row r="308" ht="15.75" customHeight="1">
      <c r="A308" s="884"/>
      <c r="B308" s="3"/>
      <c r="C308" s="3"/>
      <c r="D308" s="3"/>
      <c r="E308" s="885"/>
      <c r="F308" s="725" t="s">
        <v>812</v>
      </c>
      <c r="G308" s="725" t="s">
        <v>140</v>
      </c>
      <c r="H308" s="725">
        <v>37.0</v>
      </c>
      <c r="I308" s="885">
        <f>10+5+2+20</f>
        <v>37</v>
      </c>
      <c r="J308" s="885"/>
      <c r="K308" s="885"/>
      <c r="L308" s="885"/>
      <c r="M308" s="885"/>
      <c r="N308" s="887"/>
      <c r="O308" s="885"/>
      <c r="P308" s="885"/>
      <c r="Q308" s="885"/>
      <c r="R308" s="885"/>
      <c r="S308" s="885"/>
      <c r="T308" s="885"/>
      <c r="U308" s="885"/>
      <c r="V308" s="885"/>
      <c r="W308" s="885"/>
      <c r="X308" s="885"/>
      <c r="Y308" s="885"/>
      <c r="Z308" s="885"/>
    </row>
    <row r="309" ht="15.0" customHeight="1">
      <c r="A309" s="884"/>
      <c r="B309" s="3"/>
      <c r="C309" s="3"/>
      <c r="D309" s="3"/>
      <c r="E309" s="885"/>
      <c r="F309" s="915" t="s">
        <v>784</v>
      </c>
      <c r="G309" s="3"/>
      <c r="H309" s="886">
        <v>20.0</v>
      </c>
      <c r="I309" s="885"/>
      <c r="J309" s="885"/>
      <c r="K309" s="885"/>
      <c r="L309" s="885"/>
      <c r="M309" s="885"/>
      <c r="N309" s="887"/>
      <c r="O309" s="885"/>
      <c r="P309" s="885"/>
      <c r="Q309" s="885"/>
      <c r="R309" s="885"/>
      <c r="S309" s="885"/>
      <c r="T309" s="885"/>
      <c r="U309" s="885"/>
      <c r="V309" s="885"/>
      <c r="W309" s="885"/>
      <c r="X309" s="885"/>
      <c r="Y309" s="885"/>
      <c r="Z309" s="885"/>
    </row>
    <row r="310" ht="15.0" customHeight="1">
      <c r="A310" s="884"/>
      <c r="B310" s="3"/>
      <c r="C310" s="3"/>
      <c r="D310" s="3"/>
      <c r="E310" s="885"/>
      <c r="F310" s="46" t="s">
        <v>1147</v>
      </c>
      <c r="H310" s="725">
        <v>25.0</v>
      </c>
      <c r="I310" s="885"/>
      <c r="J310" s="885"/>
      <c r="K310" s="885"/>
      <c r="L310" s="885"/>
      <c r="M310" s="885"/>
      <c r="N310" s="887"/>
      <c r="O310" s="885"/>
      <c r="P310" s="885"/>
      <c r="Q310" s="885"/>
      <c r="R310" s="885"/>
      <c r="S310" s="885"/>
      <c r="T310" s="885"/>
      <c r="U310" s="885"/>
      <c r="V310" s="885"/>
      <c r="W310" s="885"/>
      <c r="X310" s="885"/>
      <c r="Y310" s="885"/>
      <c r="Z310" s="885"/>
    </row>
    <row r="311" ht="15.0" customHeight="1">
      <c r="A311" s="884"/>
      <c r="B311" s="3"/>
      <c r="C311" s="3"/>
      <c r="D311" s="3"/>
      <c r="E311" s="885"/>
      <c r="F311" s="3" t="s">
        <v>755</v>
      </c>
      <c r="G311" s="3" t="s">
        <v>1907</v>
      </c>
      <c r="H311" s="886">
        <v>20.0</v>
      </c>
      <c r="I311" s="885"/>
      <c r="J311" s="885"/>
      <c r="K311" s="885"/>
      <c r="L311" s="885"/>
      <c r="M311" s="885"/>
      <c r="N311" s="887"/>
      <c r="O311" s="885"/>
      <c r="P311" s="885"/>
      <c r="Q311" s="885"/>
      <c r="R311" s="885"/>
      <c r="S311" s="885"/>
      <c r="T311" s="885"/>
      <c r="U311" s="885"/>
      <c r="V311" s="885"/>
      <c r="W311" s="885"/>
      <c r="X311" s="885"/>
      <c r="Y311" s="885"/>
      <c r="Z311" s="885"/>
    </row>
    <row r="312" ht="15.0" customHeight="1">
      <c r="A312" s="884"/>
      <c r="B312" s="3"/>
      <c r="C312" s="3"/>
      <c r="D312" s="3"/>
      <c r="E312" s="885"/>
      <c r="F312" s="3" t="s">
        <v>1369</v>
      </c>
      <c r="G312" s="3" t="s">
        <v>1908</v>
      </c>
      <c r="H312" s="886">
        <v>22.0</v>
      </c>
      <c r="I312" s="885"/>
      <c r="J312" s="885"/>
      <c r="K312" s="885"/>
      <c r="L312" s="885"/>
      <c r="M312" s="885"/>
      <c r="N312" s="887"/>
      <c r="O312" s="885"/>
      <c r="P312" s="885"/>
      <c r="Q312" s="885"/>
      <c r="R312" s="885"/>
      <c r="S312" s="885"/>
      <c r="T312" s="885"/>
      <c r="U312" s="885"/>
      <c r="V312" s="885"/>
      <c r="W312" s="885"/>
      <c r="X312" s="885"/>
      <c r="Y312" s="885"/>
      <c r="Z312" s="885"/>
    </row>
    <row r="313" ht="15.0" customHeight="1">
      <c r="A313" s="884"/>
      <c r="B313" s="3"/>
      <c r="C313" s="3"/>
      <c r="D313" s="3"/>
      <c r="E313" s="885"/>
      <c r="F313" s="895" t="s">
        <v>671</v>
      </c>
      <c r="G313" s="3"/>
      <c r="H313" s="886">
        <v>10.0</v>
      </c>
      <c r="I313" s="885"/>
      <c r="J313" s="885"/>
      <c r="K313" s="885"/>
      <c r="L313" s="885"/>
      <c r="M313" s="885"/>
      <c r="N313" s="887"/>
      <c r="O313" s="885"/>
      <c r="P313" s="885"/>
      <c r="Q313" s="885"/>
      <c r="R313" s="885"/>
      <c r="S313" s="885"/>
      <c r="T313" s="885"/>
      <c r="U313" s="885"/>
      <c r="V313" s="885"/>
      <c r="W313" s="885"/>
      <c r="X313" s="885"/>
      <c r="Y313" s="885"/>
      <c r="Z313" s="885"/>
    </row>
    <row r="314" ht="15.0" customHeight="1">
      <c r="A314" s="884"/>
      <c r="B314" s="3"/>
      <c r="C314" s="3"/>
      <c r="D314" s="3"/>
      <c r="E314" s="885"/>
      <c r="F314" s="3" t="s">
        <v>951</v>
      </c>
      <c r="G314" s="3"/>
      <c r="H314" s="886">
        <v>14.0</v>
      </c>
      <c r="I314" s="885"/>
      <c r="J314" s="885"/>
      <c r="K314" s="885"/>
      <c r="L314" s="885"/>
      <c r="M314" s="885"/>
      <c r="N314" s="887"/>
      <c r="O314" s="885"/>
      <c r="P314" s="885"/>
      <c r="Q314" s="885"/>
      <c r="R314" s="885"/>
      <c r="S314" s="885"/>
      <c r="T314" s="885"/>
      <c r="U314" s="885"/>
      <c r="V314" s="885"/>
      <c r="W314" s="885"/>
      <c r="X314" s="885"/>
      <c r="Y314" s="885"/>
      <c r="Z314" s="885"/>
    </row>
    <row r="315" ht="15.75" customHeight="1">
      <c r="A315" s="884"/>
      <c r="B315" s="3"/>
      <c r="C315" s="3"/>
      <c r="D315" s="3"/>
      <c r="E315" s="885"/>
      <c r="F315" s="3" t="s">
        <v>1693</v>
      </c>
      <c r="G315" s="3"/>
      <c r="H315" s="886">
        <v>21.0</v>
      </c>
      <c r="I315" s="885"/>
      <c r="J315" s="885"/>
      <c r="K315" s="885"/>
      <c r="L315" s="885"/>
      <c r="M315" s="885"/>
      <c r="N315" s="887"/>
      <c r="O315" s="885"/>
      <c r="P315" s="885"/>
      <c r="Q315" s="885"/>
      <c r="R315" s="885"/>
      <c r="S315" s="885"/>
      <c r="T315" s="885"/>
      <c r="U315" s="885"/>
      <c r="V315" s="885"/>
      <c r="W315" s="885"/>
      <c r="X315" s="885"/>
      <c r="Y315" s="885"/>
      <c r="Z315" s="885"/>
    </row>
    <row r="316" ht="15.0" customHeight="1">
      <c r="A316" s="884"/>
      <c r="B316" s="3"/>
      <c r="C316" s="3"/>
      <c r="D316" s="3"/>
      <c r="E316" s="885"/>
      <c r="F316" s="3" t="s">
        <v>809</v>
      </c>
      <c r="G316" s="3" t="s">
        <v>1707</v>
      </c>
      <c r="H316" s="886">
        <v>24.0</v>
      </c>
      <c r="I316" s="3"/>
      <c r="J316" s="885"/>
      <c r="K316" s="885"/>
      <c r="L316" s="885"/>
      <c r="M316" s="885"/>
      <c r="N316" s="887"/>
      <c r="O316" s="885"/>
      <c r="P316" s="885"/>
      <c r="Q316" s="885"/>
      <c r="R316" s="885"/>
      <c r="S316" s="885"/>
      <c r="T316" s="885"/>
      <c r="U316" s="885"/>
      <c r="V316" s="885"/>
      <c r="W316" s="885"/>
      <c r="X316" s="885"/>
      <c r="Y316" s="885"/>
      <c r="Z316" s="885"/>
    </row>
    <row r="317" ht="15.0" customHeight="1">
      <c r="A317" s="884"/>
      <c r="B317" s="3"/>
      <c r="C317" s="3"/>
      <c r="D317" s="3"/>
      <c r="E317" s="885"/>
      <c r="F317" s="3" t="s">
        <v>1327</v>
      </c>
      <c r="G317" s="3" t="s">
        <v>1708</v>
      </c>
      <c r="H317" s="886">
        <v>26.0</v>
      </c>
      <c r="I317" s="3"/>
      <c r="J317" s="885"/>
      <c r="K317" s="885"/>
      <c r="L317" s="885"/>
      <c r="M317" s="885"/>
      <c r="N317" s="887"/>
      <c r="O317" s="885"/>
      <c r="P317" s="885"/>
      <c r="Q317" s="885"/>
      <c r="R317" s="885"/>
      <c r="S317" s="885"/>
      <c r="T317" s="885"/>
      <c r="U317" s="885"/>
      <c r="V317" s="885"/>
      <c r="W317" s="885"/>
      <c r="X317" s="885"/>
      <c r="Y317" s="885"/>
      <c r="Z317" s="885"/>
    </row>
    <row r="318" ht="15.0" customHeight="1">
      <c r="A318" s="884"/>
      <c r="B318" s="3"/>
      <c r="C318" s="3"/>
      <c r="D318" s="3"/>
      <c r="E318" s="885"/>
      <c r="F318" s="3" t="s">
        <v>703</v>
      </c>
      <c r="G318" s="3" t="s">
        <v>1712</v>
      </c>
      <c r="H318" s="886">
        <v>26.0</v>
      </c>
      <c r="I318" s="3"/>
      <c r="J318" s="885"/>
      <c r="K318" s="885"/>
      <c r="L318" s="885"/>
      <c r="M318" s="885"/>
      <c r="N318" s="887"/>
      <c r="O318" s="885"/>
      <c r="P318" s="885"/>
      <c r="Q318" s="885"/>
      <c r="R318" s="885"/>
      <c r="S318" s="885"/>
      <c r="T318" s="885"/>
      <c r="U318" s="885"/>
      <c r="V318" s="885"/>
      <c r="W318" s="885"/>
      <c r="X318" s="885"/>
      <c r="Y318" s="885"/>
      <c r="Z318" s="885"/>
    </row>
    <row r="319" ht="15.0" customHeight="1">
      <c r="A319" s="884"/>
      <c r="B319" s="3"/>
      <c r="C319" s="3"/>
      <c r="D319" s="3"/>
      <c r="E319" s="885"/>
      <c r="F319" s="3" t="s">
        <v>957</v>
      </c>
      <c r="G319" s="3" t="s">
        <v>445</v>
      </c>
      <c r="H319" s="886">
        <v>28.0</v>
      </c>
      <c r="I319" s="3"/>
      <c r="J319" s="885"/>
      <c r="K319" s="885"/>
      <c r="L319" s="885"/>
      <c r="M319" s="885"/>
      <c r="N319" s="887"/>
      <c r="O319" s="885"/>
      <c r="P319" s="885"/>
      <c r="Q319" s="885"/>
      <c r="R319" s="885"/>
      <c r="S319" s="885"/>
      <c r="T319" s="885"/>
      <c r="U319" s="885"/>
      <c r="V319" s="885"/>
      <c r="W319" s="885"/>
      <c r="X319" s="885"/>
      <c r="Y319" s="885"/>
      <c r="Z319" s="885"/>
    </row>
    <row r="320" ht="15.0" customHeight="1">
      <c r="A320" s="884"/>
      <c r="B320" s="3"/>
      <c r="C320" s="3"/>
      <c r="D320" s="3"/>
      <c r="E320" s="885"/>
      <c r="F320" s="3" t="s">
        <v>1710</v>
      </c>
      <c r="G320" s="3" t="s">
        <v>1711</v>
      </c>
      <c r="H320" s="886">
        <v>28.0</v>
      </c>
      <c r="I320" s="3"/>
      <c r="J320" s="885"/>
      <c r="K320" s="885"/>
      <c r="L320" s="885"/>
      <c r="M320" s="885"/>
      <c r="N320" s="887"/>
      <c r="O320" s="885"/>
      <c r="P320" s="885"/>
      <c r="Q320" s="885"/>
      <c r="R320" s="885"/>
      <c r="S320" s="885"/>
      <c r="T320" s="885"/>
      <c r="U320" s="885"/>
      <c r="V320" s="885"/>
      <c r="W320" s="885"/>
      <c r="X320" s="885"/>
      <c r="Y320" s="885"/>
      <c r="Z320" s="885"/>
    </row>
    <row r="321" ht="15.0" customHeight="1">
      <c r="A321" s="884"/>
      <c r="B321" s="3"/>
      <c r="C321" s="3"/>
      <c r="D321" s="3"/>
      <c r="E321" s="885"/>
      <c r="F321" s="3" t="s">
        <v>663</v>
      </c>
      <c r="G321" s="3"/>
      <c r="H321" s="886">
        <v>28.0</v>
      </c>
      <c r="I321" s="3"/>
      <c r="J321" s="885"/>
      <c r="K321" s="885"/>
      <c r="L321" s="885"/>
      <c r="M321" s="885"/>
      <c r="N321" s="887"/>
      <c r="O321" s="885"/>
      <c r="P321" s="885"/>
      <c r="Q321" s="885"/>
      <c r="R321" s="885"/>
      <c r="S321" s="885"/>
      <c r="T321" s="885"/>
      <c r="U321" s="885"/>
      <c r="V321" s="885"/>
      <c r="W321" s="885"/>
      <c r="X321" s="885"/>
      <c r="Y321" s="885"/>
      <c r="Z321" s="885"/>
    </row>
    <row r="322" ht="15.0" customHeight="1">
      <c r="A322" s="884"/>
      <c r="B322" s="3"/>
      <c r="C322" s="3"/>
      <c r="D322" s="3"/>
      <c r="E322" s="885"/>
      <c r="F322" s="3" t="s">
        <v>963</v>
      </c>
      <c r="G322" s="3" t="s">
        <v>1909</v>
      </c>
      <c r="H322" s="886">
        <v>29.0</v>
      </c>
      <c r="I322" s="3"/>
      <c r="J322" s="885"/>
      <c r="K322" s="885"/>
      <c r="L322" s="885"/>
      <c r="M322" s="885"/>
      <c r="N322" s="887"/>
      <c r="O322" s="885"/>
      <c r="P322" s="885"/>
      <c r="Q322" s="885"/>
      <c r="R322" s="885"/>
      <c r="S322" s="885"/>
      <c r="T322" s="885"/>
      <c r="U322" s="885"/>
      <c r="V322" s="885"/>
      <c r="W322" s="885"/>
      <c r="X322" s="885"/>
      <c r="Y322" s="885"/>
      <c r="Z322" s="885"/>
    </row>
    <row r="323" ht="15.0" customHeight="1">
      <c r="A323" s="884"/>
      <c r="B323" s="3"/>
      <c r="C323" s="3"/>
      <c r="D323" s="3"/>
      <c r="E323" s="885"/>
      <c r="I323" s="3"/>
      <c r="J323" s="885"/>
      <c r="K323" s="885"/>
      <c r="L323" s="885"/>
      <c r="M323" s="885"/>
      <c r="N323" s="887"/>
      <c r="O323" s="885"/>
      <c r="P323" s="885"/>
      <c r="Q323" s="885"/>
      <c r="R323" s="885"/>
      <c r="S323" s="885"/>
      <c r="T323" s="885"/>
      <c r="U323" s="885"/>
      <c r="V323" s="885"/>
      <c r="W323" s="885"/>
      <c r="X323" s="885"/>
      <c r="Y323" s="885"/>
      <c r="Z323" s="885"/>
    </row>
    <row r="324" ht="15.0" customHeight="1">
      <c r="A324" s="884"/>
      <c r="B324" s="3"/>
      <c r="C324" s="3"/>
      <c r="D324" s="3"/>
      <c r="E324" s="885"/>
      <c r="F324" s="895" t="s">
        <v>374</v>
      </c>
      <c r="G324" s="3"/>
      <c r="H324" s="900">
        <v>9.0</v>
      </c>
      <c r="I324" s="3"/>
      <c r="J324" s="885"/>
      <c r="K324" s="885"/>
      <c r="L324" s="885"/>
      <c r="M324" s="885"/>
      <c r="N324" s="887"/>
      <c r="O324" s="885"/>
      <c r="P324" s="885"/>
      <c r="Q324" s="885"/>
      <c r="R324" s="885"/>
      <c r="S324" s="885"/>
      <c r="T324" s="885"/>
      <c r="U324" s="885"/>
      <c r="V324" s="885"/>
      <c r="W324" s="885"/>
      <c r="X324" s="885"/>
      <c r="Y324" s="885"/>
      <c r="Z324" s="885"/>
    </row>
    <row r="325" ht="15.0" customHeight="1">
      <c r="A325" s="884"/>
      <c r="B325" s="3"/>
      <c r="C325" s="3"/>
      <c r="D325" s="3"/>
      <c r="E325" s="885"/>
      <c r="F325" s="895" t="s">
        <v>1698</v>
      </c>
      <c r="G325" s="3"/>
      <c r="H325" s="900">
        <v>21.42</v>
      </c>
      <c r="I325" s="3"/>
      <c r="J325" s="885"/>
      <c r="K325" s="885"/>
      <c r="L325" s="885"/>
      <c r="M325" s="885"/>
      <c r="N325" s="887"/>
      <c r="O325" s="885"/>
      <c r="P325" s="885"/>
      <c r="Q325" s="885"/>
      <c r="R325" s="885"/>
      <c r="S325" s="885"/>
      <c r="T325" s="885"/>
      <c r="U325" s="885"/>
      <c r="V325" s="885"/>
      <c r="W325" s="885"/>
      <c r="X325" s="885"/>
      <c r="Y325" s="885"/>
      <c r="Z325" s="885"/>
    </row>
    <row r="326" ht="15.0" customHeight="1">
      <c r="A326" s="884"/>
      <c r="B326" s="3"/>
      <c r="C326" s="3"/>
      <c r="D326" s="3"/>
      <c r="E326" s="885"/>
      <c r="F326" s="895" t="s">
        <v>1702</v>
      </c>
      <c r="G326" s="3"/>
      <c r="H326" s="900">
        <v>26.958</v>
      </c>
      <c r="I326" s="3"/>
      <c r="J326" s="885"/>
      <c r="K326" s="885"/>
      <c r="L326" s="885"/>
      <c r="M326" s="885"/>
      <c r="N326" s="887"/>
      <c r="O326" s="885"/>
      <c r="P326" s="885"/>
      <c r="Q326" s="885"/>
      <c r="R326" s="885"/>
      <c r="S326" s="885"/>
      <c r="T326" s="885"/>
      <c r="U326" s="885"/>
      <c r="V326" s="885"/>
      <c r="W326" s="885"/>
      <c r="X326" s="885"/>
      <c r="Y326" s="885"/>
      <c r="Z326" s="885"/>
    </row>
    <row r="327" ht="15.0" customHeight="1">
      <c r="A327" s="884"/>
      <c r="B327" s="3"/>
      <c r="C327" s="3"/>
      <c r="D327" s="3"/>
      <c r="E327" s="885"/>
      <c r="F327" s="725" t="s">
        <v>285</v>
      </c>
      <c r="G327" s="725" t="s">
        <v>285</v>
      </c>
      <c r="H327" s="725">
        <v>18.417</v>
      </c>
      <c r="I327" s="3"/>
      <c r="J327" s="885"/>
      <c r="K327" s="885"/>
      <c r="L327" s="885"/>
      <c r="M327" s="885"/>
      <c r="N327" s="887"/>
      <c r="O327" s="885"/>
      <c r="P327" s="885"/>
      <c r="Q327" s="885"/>
      <c r="R327" s="885"/>
      <c r="S327" s="885"/>
      <c r="T327" s="885"/>
      <c r="U327" s="885"/>
      <c r="V327" s="885"/>
      <c r="W327" s="885"/>
      <c r="X327" s="885"/>
      <c r="Y327" s="885"/>
      <c r="Z327" s="885"/>
    </row>
    <row r="328" ht="15.0" customHeight="1">
      <c r="A328" s="884"/>
      <c r="B328" s="3"/>
      <c r="C328" s="3"/>
      <c r="D328" s="3"/>
      <c r="E328" s="885"/>
      <c r="F328" s="3"/>
      <c r="G328" s="3"/>
      <c r="H328" s="886"/>
      <c r="I328" s="3"/>
      <c r="J328" s="885"/>
      <c r="K328" s="885"/>
      <c r="L328" s="885"/>
      <c r="M328" s="885"/>
      <c r="N328" s="887"/>
      <c r="O328" s="885"/>
      <c r="P328" s="885"/>
      <c r="Q328" s="885"/>
      <c r="R328" s="885"/>
      <c r="S328" s="885"/>
      <c r="T328" s="885"/>
      <c r="U328" s="885"/>
      <c r="V328" s="885"/>
      <c r="W328" s="885"/>
      <c r="X328" s="885"/>
      <c r="Y328" s="885"/>
      <c r="Z328" s="885"/>
    </row>
    <row r="329" ht="15.0" customHeight="1">
      <c r="A329" s="884"/>
      <c r="B329" s="3"/>
      <c r="C329" s="3"/>
      <c r="D329" s="3"/>
      <c r="E329" s="885"/>
      <c r="F329" s="3"/>
      <c r="G329" s="3"/>
      <c r="H329" s="886"/>
      <c r="I329" s="3"/>
      <c r="J329" s="885"/>
      <c r="K329" s="885"/>
      <c r="L329" s="885"/>
      <c r="M329" s="885"/>
      <c r="N329" s="887"/>
      <c r="O329" s="885"/>
      <c r="P329" s="885"/>
      <c r="Q329" s="885"/>
      <c r="R329" s="885"/>
      <c r="S329" s="885"/>
      <c r="T329" s="885"/>
      <c r="U329" s="885"/>
      <c r="V329" s="885"/>
      <c r="W329" s="885"/>
      <c r="X329" s="885"/>
      <c r="Y329" s="885"/>
      <c r="Z329" s="885"/>
    </row>
    <row r="330" ht="15.0" customHeight="1">
      <c r="A330" s="884"/>
      <c r="B330" s="3"/>
      <c r="C330" s="3"/>
      <c r="D330" s="3"/>
      <c r="E330" s="885"/>
      <c r="F330" s="3"/>
      <c r="G330" s="3"/>
      <c r="H330" s="886"/>
      <c r="I330" s="3"/>
      <c r="J330" s="885"/>
      <c r="K330" s="885"/>
      <c r="L330" s="885"/>
      <c r="M330" s="885"/>
      <c r="N330" s="887"/>
      <c r="O330" s="885"/>
      <c r="P330" s="885"/>
      <c r="Q330" s="885"/>
      <c r="R330" s="885"/>
      <c r="S330" s="885"/>
      <c r="T330" s="885"/>
      <c r="U330" s="885"/>
      <c r="V330" s="885"/>
      <c r="W330" s="885"/>
      <c r="X330" s="885"/>
      <c r="Y330" s="885"/>
      <c r="Z330" s="885"/>
    </row>
    <row r="331" ht="15.0" customHeight="1">
      <c r="A331" s="884"/>
      <c r="B331" s="3"/>
      <c r="C331" s="3"/>
      <c r="D331" s="3"/>
      <c r="E331" s="885"/>
      <c r="F331" s="3"/>
      <c r="G331" s="3"/>
      <c r="H331" s="886"/>
      <c r="I331" s="3"/>
      <c r="J331" s="885"/>
      <c r="K331" s="885"/>
      <c r="L331" s="885"/>
      <c r="M331" s="885"/>
      <c r="N331" s="887"/>
      <c r="O331" s="885"/>
      <c r="P331" s="885"/>
      <c r="Q331" s="885"/>
      <c r="R331" s="885"/>
      <c r="S331" s="885"/>
      <c r="T331" s="885"/>
      <c r="U331" s="885"/>
      <c r="V331" s="885"/>
      <c r="W331" s="885"/>
      <c r="X331" s="885"/>
      <c r="Y331" s="885"/>
      <c r="Z331" s="885"/>
    </row>
    <row r="332" ht="15.0" customHeight="1">
      <c r="A332" s="884"/>
      <c r="B332" s="3"/>
      <c r="C332" s="3"/>
      <c r="D332" s="3"/>
      <c r="E332" s="885"/>
      <c r="F332" s="3"/>
      <c r="G332" s="3"/>
      <c r="H332" s="886"/>
      <c r="I332" s="3"/>
      <c r="J332" s="885"/>
      <c r="K332" s="885"/>
      <c r="L332" s="885"/>
      <c r="M332" s="885"/>
      <c r="N332" s="887"/>
      <c r="O332" s="885"/>
      <c r="P332" s="885"/>
      <c r="Q332" s="885"/>
      <c r="R332" s="885"/>
      <c r="S332" s="885"/>
      <c r="T332" s="885"/>
      <c r="U332" s="885"/>
      <c r="V332" s="885"/>
      <c r="W332" s="885"/>
      <c r="X332" s="885"/>
      <c r="Y332" s="885"/>
      <c r="Z332" s="885"/>
    </row>
    <row r="333" ht="15.0" customHeight="1">
      <c r="A333" s="884"/>
      <c r="B333" s="3"/>
      <c r="C333" s="3"/>
      <c r="D333" s="3"/>
      <c r="E333" s="885"/>
      <c r="F333" s="3" t="s">
        <v>188</v>
      </c>
      <c r="G333" s="3"/>
      <c r="H333" s="886">
        <v>28.0</v>
      </c>
      <c r="I333" s="3"/>
      <c r="J333" s="885"/>
      <c r="K333" s="885"/>
      <c r="L333" s="885"/>
      <c r="M333" s="885"/>
      <c r="N333" s="887"/>
      <c r="O333" s="885"/>
      <c r="P333" s="885"/>
      <c r="Q333" s="885"/>
      <c r="R333" s="885"/>
      <c r="S333" s="885"/>
      <c r="T333" s="885"/>
      <c r="U333" s="885"/>
      <c r="V333" s="885"/>
      <c r="W333" s="885"/>
      <c r="X333" s="885"/>
      <c r="Y333" s="885"/>
      <c r="Z333" s="885"/>
    </row>
    <row r="334" ht="15.0" customHeight="1">
      <c r="A334" s="3"/>
      <c r="B334" s="3"/>
      <c r="C334" s="3"/>
      <c r="D334" s="3"/>
      <c r="E334" s="885"/>
      <c r="F334" s="3" t="s">
        <v>720</v>
      </c>
      <c r="G334" s="3" t="s">
        <v>251</v>
      </c>
      <c r="H334" s="886">
        <v>29.0</v>
      </c>
      <c r="I334" s="3"/>
      <c r="J334" s="885"/>
      <c r="K334" s="885"/>
      <c r="L334" s="885"/>
      <c r="M334" s="885"/>
      <c r="N334" s="887"/>
      <c r="O334" s="885"/>
      <c r="P334" s="885"/>
      <c r="Q334" s="885"/>
      <c r="R334" s="885"/>
      <c r="S334" s="885"/>
      <c r="T334" s="885"/>
      <c r="U334" s="885"/>
      <c r="V334" s="885"/>
      <c r="W334" s="885"/>
      <c r="X334" s="885"/>
      <c r="Y334" s="885"/>
      <c r="Z334" s="885"/>
    </row>
    <row r="335" ht="15.0" customHeight="1">
      <c r="A335" s="3"/>
      <c r="B335" s="3"/>
      <c r="C335" s="3"/>
      <c r="D335" s="3"/>
      <c r="E335" s="885"/>
      <c r="F335" s="3" t="s">
        <v>656</v>
      </c>
      <c r="G335" s="3" t="s">
        <v>190</v>
      </c>
      <c r="H335" s="886">
        <v>30.0</v>
      </c>
      <c r="I335" s="3"/>
      <c r="J335" s="885"/>
      <c r="K335" s="885"/>
      <c r="L335" s="885"/>
      <c r="M335" s="885"/>
      <c r="N335" s="887"/>
      <c r="O335" s="885"/>
      <c r="P335" s="885"/>
      <c r="Q335" s="885"/>
      <c r="R335" s="885"/>
      <c r="S335" s="885"/>
      <c r="T335" s="885"/>
      <c r="U335" s="885"/>
      <c r="V335" s="885"/>
      <c r="W335" s="885"/>
      <c r="X335" s="885"/>
      <c r="Y335" s="885"/>
      <c r="Z335" s="885"/>
    </row>
    <row r="336" ht="15.0" customHeight="1">
      <c r="A336" s="3"/>
      <c r="B336" s="3"/>
      <c r="C336" s="3"/>
      <c r="D336" s="3"/>
      <c r="E336" s="885"/>
      <c r="F336" s="3" t="s">
        <v>668</v>
      </c>
      <c r="G336" s="3" t="s">
        <v>190</v>
      </c>
      <c r="H336" s="886">
        <v>30.0</v>
      </c>
      <c r="I336" s="885"/>
      <c r="J336" s="885"/>
      <c r="K336" s="885"/>
      <c r="L336" s="884" t="s">
        <v>1910</v>
      </c>
      <c r="M336" s="885"/>
      <c r="N336" s="887"/>
      <c r="O336" s="885"/>
      <c r="P336" s="885"/>
      <c r="Q336" s="885"/>
      <c r="R336" s="885"/>
      <c r="S336" s="885"/>
      <c r="T336" s="885"/>
      <c r="U336" s="885"/>
      <c r="V336" s="885"/>
      <c r="W336" s="885"/>
      <c r="X336" s="885"/>
      <c r="Y336" s="885"/>
      <c r="Z336" s="885"/>
    </row>
    <row r="337" ht="15.0" customHeight="1">
      <c r="A337" s="3"/>
      <c r="B337" s="3"/>
      <c r="C337" s="3"/>
      <c r="D337" s="3"/>
      <c r="E337" s="885"/>
      <c r="F337" s="3"/>
      <c r="G337" s="3"/>
      <c r="H337" s="886"/>
      <c r="I337" s="885"/>
      <c r="J337" s="885"/>
      <c r="K337" s="885"/>
      <c r="L337" s="885"/>
      <c r="M337" s="885"/>
      <c r="N337" s="887"/>
      <c r="O337" s="885"/>
      <c r="P337" s="885"/>
      <c r="Q337" s="885"/>
      <c r="R337" s="885"/>
      <c r="S337" s="885"/>
      <c r="T337" s="885"/>
      <c r="U337" s="885"/>
      <c r="V337" s="885"/>
      <c r="W337" s="885"/>
      <c r="X337" s="885"/>
      <c r="Y337" s="885"/>
      <c r="Z337" s="885"/>
    </row>
    <row r="338" ht="15.0" customHeight="1">
      <c r="A338" s="3"/>
      <c r="B338" s="3"/>
      <c r="C338" s="3"/>
      <c r="D338" s="3"/>
      <c r="E338" s="885"/>
      <c r="F338" s="3"/>
      <c r="G338" s="3"/>
      <c r="H338" s="886"/>
      <c r="I338" s="885"/>
      <c r="J338" s="885"/>
      <c r="K338" s="885"/>
      <c r="L338" s="885"/>
      <c r="M338" s="885"/>
      <c r="N338" s="887"/>
      <c r="O338" s="885"/>
      <c r="P338" s="885"/>
      <c r="Q338" s="885"/>
      <c r="R338" s="885"/>
      <c r="S338" s="885"/>
      <c r="T338" s="885"/>
      <c r="U338" s="885"/>
      <c r="V338" s="885"/>
      <c r="W338" s="885"/>
      <c r="X338" s="885"/>
      <c r="Y338" s="885"/>
      <c r="Z338" s="885"/>
    </row>
    <row r="339" ht="15.0" customHeight="1">
      <c r="A339" s="3"/>
      <c r="B339" s="3"/>
      <c r="C339" s="3"/>
      <c r="D339" s="3"/>
      <c r="E339" s="885"/>
      <c r="F339" s="3"/>
      <c r="G339" s="3"/>
      <c r="H339" s="886"/>
      <c r="I339" s="885"/>
      <c r="J339" s="885"/>
      <c r="K339" s="885"/>
      <c r="L339" s="885"/>
      <c r="M339" s="885"/>
      <c r="N339" s="887"/>
      <c r="O339" s="885"/>
      <c r="P339" s="885"/>
      <c r="Q339" s="885"/>
      <c r="R339" s="885"/>
      <c r="S339" s="885"/>
      <c r="T339" s="885"/>
      <c r="U339" s="885"/>
      <c r="V339" s="885"/>
      <c r="W339" s="885"/>
      <c r="X339" s="885"/>
      <c r="Y339" s="885"/>
      <c r="Z339" s="885"/>
    </row>
    <row r="340" ht="15.0" customHeight="1">
      <c r="A340" s="3"/>
      <c r="B340" s="3"/>
      <c r="C340" s="3"/>
      <c r="D340" s="3"/>
      <c r="E340" s="885"/>
      <c r="F340" s="3"/>
      <c r="G340" s="3"/>
      <c r="H340" s="886"/>
      <c r="I340" s="885"/>
      <c r="J340" s="885"/>
      <c r="K340" s="885"/>
      <c r="L340" s="885"/>
      <c r="M340" s="885"/>
      <c r="N340" s="887"/>
      <c r="O340" s="885"/>
      <c r="P340" s="885"/>
      <c r="Q340" s="885"/>
      <c r="R340" s="885"/>
      <c r="S340" s="885"/>
      <c r="T340" s="885"/>
      <c r="U340" s="885"/>
      <c r="V340" s="885"/>
      <c r="W340" s="885"/>
      <c r="X340" s="885"/>
      <c r="Y340" s="885"/>
      <c r="Z340" s="885"/>
    </row>
    <row r="341" ht="15.0" customHeight="1">
      <c r="A341" s="3"/>
      <c r="B341" s="3"/>
      <c r="C341" s="3"/>
      <c r="D341" s="3"/>
      <c r="E341" s="885"/>
      <c r="F341" s="3"/>
      <c r="G341" s="3"/>
      <c r="H341" s="886"/>
      <c r="I341" s="885"/>
      <c r="J341" s="885"/>
      <c r="K341" s="885"/>
      <c r="L341" s="885"/>
      <c r="M341" s="885"/>
      <c r="N341" s="887"/>
      <c r="O341" s="885"/>
      <c r="P341" s="885"/>
      <c r="Q341" s="885"/>
      <c r="R341" s="885"/>
      <c r="S341" s="885"/>
      <c r="T341" s="885"/>
      <c r="U341" s="885"/>
      <c r="V341" s="885"/>
      <c r="W341" s="885"/>
      <c r="X341" s="885"/>
      <c r="Y341" s="885"/>
      <c r="Z341" s="885"/>
    </row>
    <row r="342" ht="15.0" customHeight="1">
      <c r="A342" s="3"/>
      <c r="B342" s="3"/>
      <c r="C342" s="3"/>
      <c r="D342" s="3"/>
      <c r="E342" s="885"/>
      <c r="F342" s="3"/>
      <c r="G342" s="3"/>
      <c r="H342" s="886"/>
      <c r="I342" s="885"/>
      <c r="J342" s="885"/>
      <c r="K342" s="885"/>
      <c r="L342" s="885"/>
      <c r="M342" s="885"/>
      <c r="N342" s="887"/>
      <c r="O342" s="885"/>
      <c r="P342" s="885"/>
      <c r="Q342" s="885"/>
      <c r="R342" s="885"/>
      <c r="S342" s="885"/>
      <c r="T342" s="885"/>
      <c r="U342" s="885"/>
      <c r="V342" s="885"/>
      <c r="W342" s="885"/>
      <c r="X342" s="885"/>
      <c r="Y342" s="885"/>
      <c r="Z342" s="885"/>
    </row>
    <row r="343" ht="15.0" customHeight="1">
      <c r="A343" s="3"/>
      <c r="B343" s="3"/>
      <c r="C343" s="3"/>
      <c r="D343" s="3"/>
      <c r="E343" s="885"/>
      <c r="F343" s="3"/>
      <c r="G343" s="3"/>
      <c r="H343" s="886"/>
      <c r="I343" s="885"/>
      <c r="J343" s="885"/>
      <c r="K343" s="885"/>
      <c r="L343" s="885"/>
      <c r="M343" s="885"/>
      <c r="N343" s="887"/>
      <c r="O343" s="885"/>
      <c r="P343" s="885"/>
      <c r="Q343" s="885"/>
      <c r="R343" s="885"/>
      <c r="S343" s="885"/>
      <c r="T343" s="885"/>
      <c r="U343" s="885"/>
      <c r="V343" s="885"/>
      <c r="W343" s="885"/>
      <c r="X343" s="885"/>
      <c r="Y343" s="885"/>
      <c r="Z343" s="885"/>
    </row>
    <row r="344" ht="15.0" customHeight="1">
      <c r="A344" s="3"/>
      <c r="B344" s="3"/>
      <c r="C344" s="3"/>
      <c r="D344" s="3"/>
      <c r="E344" s="885"/>
      <c r="F344" s="3" t="s">
        <v>963</v>
      </c>
      <c r="G344" s="3" t="s">
        <v>1713</v>
      </c>
      <c r="H344" s="886">
        <v>29.0</v>
      </c>
      <c r="I344" s="885"/>
      <c r="J344" s="885"/>
      <c r="K344" s="885"/>
      <c r="L344" s="885"/>
      <c r="M344" s="885"/>
      <c r="N344" s="887"/>
      <c r="O344" s="885"/>
      <c r="P344" s="885"/>
      <c r="Q344" s="885"/>
      <c r="R344" s="885"/>
      <c r="S344" s="885"/>
      <c r="T344" s="885"/>
      <c r="U344" s="885"/>
      <c r="V344" s="885"/>
      <c r="W344" s="885"/>
      <c r="X344" s="885"/>
      <c r="Y344" s="885"/>
      <c r="Z344" s="885"/>
    </row>
    <row r="345" ht="15.0" customHeight="1">
      <c r="A345" s="3"/>
      <c r="B345" s="3"/>
      <c r="C345" s="3"/>
      <c r="D345" s="3"/>
      <c r="E345" s="885"/>
      <c r="F345" s="3" t="s">
        <v>1714</v>
      </c>
      <c r="G345" s="3" t="s">
        <v>1715</v>
      </c>
      <c r="H345" s="886">
        <v>27.0</v>
      </c>
      <c r="I345" s="885"/>
      <c r="J345" s="885"/>
      <c r="K345" s="885"/>
      <c r="L345" s="885"/>
      <c r="M345" s="885"/>
      <c r="N345" s="887"/>
      <c r="O345" s="885"/>
      <c r="P345" s="885"/>
      <c r="Q345" s="885"/>
      <c r="R345" s="885"/>
      <c r="S345" s="885"/>
      <c r="T345" s="885"/>
      <c r="U345" s="885"/>
      <c r="V345" s="885"/>
      <c r="W345" s="885"/>
      <c r="X345" s="885"/>
      <c r="Y345" s="885"/>
      <c r="Z345" s="885"/>
    </row>
    <row r="346" ht="15.0" customHeight="1">
      <c r="A346" s="3"/>
      <c r="B346" s="3"/>
      <c r="C346" s="3"/>
      <c r="D346" s="3"/>
      <c r="E346" s="885"/>
      <c r="F346" s="3"/>
      <c r="G346" s="3"/>
      <c r="H346" s="886"/>
      <c r="I346" s="885"/>
      <c r="J346" s="885"/>
      <c r="K346" s="885"/>
      <c r="L346" s="885"/>
      <c r="M346" s="885"/>
      <c r="N346" s="887"/>
      <c r="O346" s="885"/>
      <c r="P346" s="885"/>
      <c r="Q346" s="885"/>
      <c r="R346" s="885"/>
      <c r="S346" s="885"/>
      <c r="T346" s="885"/>
      <c r="U346" s="885"/>
      <c r="V346" s="885"/>
      <c r="W346" s="885"/>
      <c r="X346" s="885"/>
      <c r="Y346" s="885"/>
      <c r="Z346" s="885"/>
    </row>
    <row r="347" ht="15.0" customHeight="1">
      <c r="A347" s="3"/>
      <c r="B347" s="3"/>
      <c r="C347" s="3"/>
      <c r="D347" s="3"/>
      <c r="E347" s="885"/>
      <c r="F347" s="3"/>
      <c r="G347" s="3"/>
      <c r="H347" s="886"/>
      <c r="I347" s="885"/>
      <c r="J347" s="885"/>
      <c r="K347" s="885"/>
      <c r="L347" s="885"/>
      <c r="M347" s="885"/>
      <c r="N347" s="887"/>
      <c r="O347" s="885"/>
      <c r="P347" s="885"/>
      <c r="Q347" s="885"/>
      <c r="R347" s="885"/>
      <c r="S347" s="885"/>
      <c r="T347" s="885"/>
      <c r="U347" s="885"/>
      <c r="V347" s="885"/>
      <c r="W347" s="885"/>
      <c r="X347" s="885"/>
      <c r="Y347" s="885"/>
      <c r="Z347" s="885"/>
    </row>
    <row r="348" ht="15.0" customHeight="1">
      <c r="A348" s="3"/>
      <c r="B348" s="884"/>
      <c r="C348" s="884"/>
      <c r="D348" s="3"/>
      <c r="E348" s="885"/>
      <c r="F348" s="3" t="s">
        <v>1270</v>
      </c>
      <c r="G348" s="3" t="s">
        <v>1761</v>
      </c>
      <c r="H348" s="886">
        <v>12.0</v>
      </c>
      <c r="I348" s="885"/>
      <c r="J348" s="885"/>
      <c r="K348" s="885"/>
      <c r="L348" s="885"/>
      <c r="M348" s="885"/>
      <c r="N348" s="887"/>
      <c r="O348" s="885"/>
      <c r="P348" s="885"/>
      <c r="Q348" s="885"/>
      <c r="R348" s="885"/>
      <c r="S348" s="885"/>
      <c r="T348" s="885"/>
      <c r="U348" s="885"/>
      <c r="V348" s="885"/>
      <c r="W348" s="885"/>
      <c r="X348" s="885"/>
      <c r="Y348" s="885"/>
      <c r="Z348" s="885"/>
    </row>
    <row r="349" ht="15.0" customHeight="1">
      <c r="A349" s="3"/>
      <c r="B349" s="3"/>
      <c r="C349" s="3"/>
      <c r="D349" s="3"/>
      <c r="E349" s="885"/>
      <c r="F349" s="3" t="s">
        <v>773</v>
      </c>
      <c r="G349" s="3" t="s">
        <v>1911</v>
      </c>
      <c r="H349" s="886">
        <v>11.0</v>
      </c>
      <c r="I349" s="885"/>
      <c r="J349" s="885"/>
      <c r="K349" s="885"/>
      <c r="L349" s="885"/>
      <c r="M349" s="885"/>
      <c r="N349" s="887"/>
      <c r="O349" s="885"/>
      <c r="P349" s="885"/>
      <c r="Q349" s="885"/>
      <c r="R349" s="885"/>
      <c r="S349" s="885"/>
      <c r="T349" s="885"/>
      <c r="U349" s="885"/>
      <c r="V349" s="885"/>
      <c r="W349" s="885"/>
      <c r="X349" s="885"/>
      <c r="Y349" s="885"/>
      <c r="Z349" s="885"/>
    </row>
    <row r="350" ht="15.0" customHeight="1">
      <c r="A350" s="3"/>
      <c r="B350" s="3"/>
      <c r="C350" s="3"/>
      <c r="D350" s="3"/>
      <c r="E350" s="885"/>
      <c r="F350" s="3" t="s">
        <v>1085</v>
      </c>
      <c r="G350" s="3" t="s">
        <v>1694</v>
      </c>
      <c r="H350" s="886">
        <v>19.0</v>
      </c>
      <c r="I350" s="885"/>
      <c r="J350" s="885"/>
      <c r="K350" s="885"/>
      <c r="L350" s="885"/>
      <c r="M350" s="885"/>
      <c r="N350" s="887"/>
      <c r="O350" s="885"/>
      <c r="P350" s="885"/>
      <c r="Q350" s="885"/>
      <c r="R350" s="885"/>
      <c r="S350" s="885"/>
      <c r="T350" s="885"/>
      <c r="U350" s="885"/>
      <c r="V350" s="885"/>
      <c r="W350" s="885"/>
      <c r="X350" s="885"/>
      <c r="Y350" s="885"/>
      <c r="Z350" s="885"/>
    </row>
    <row r="351" ht="15.0" customHeight="1">
      <c r="A351" s="3"/>
      <c r="B351" s="3"/>
      <c r="C351" s="3"/>
      <c r="D351" s="3"/>
      <c r="E351" s="885"/>
      <c r="F351" s="3" t="s">
        <v>1231</v>
      </c>
      <c r="G351" s="3" t="s">
        <v>1879</v>
      </c>
      <c r="H351" s="886">
        <v>21.0</v>
      </c>
      <c r="I351" s="885"/>
      <c r="J351" s="885"/>
      <c r="K351" s="885"/>
      <c r="L351" s="885"/>
      <c r="M351" s="885"/>
      <c r="N351" s="887"/>
      <c r="O351" s="885"/>
      <c r="P351" s="885"/>
      <c r="Q351" s="885"/>
      <c r="R351" s="885"/>
      <c r="S351" s="885"/>
      <c r="T351" s="885"/>
      <c r="U351" s="885"/>
      <c r="V351" s="885"/>
      <c r="W351" s="885"/>
      <c r="X351" s="885"/>
      <c r="Y351" s="885"/>
      <c r="Z351" s="885"/>
    </row>
    <row r="352" ht="15.0" customHeight="1">
      <c r="A352" s="3"/>
      <c r="B352" s="3"/>
      <c r="C352" s="3"/>
      <c r="D352" s="3"/>
      <c r="E352" s="885"/>
      <c r="F352" s="3"/>
      <c r="G352" s="3"/>
      <c r="H352" s="886"/>
      <c r="I352" s="885"/>
      <c r="J352" s="885"/>
      <c r="K352" s="885"/>
      <c r="L352" s="885"/>
      <c r="M352" s="885"/>
      <c r="N352" s="887"/>
      <c r="O352" s="885"/>
      <c r="P352" s="885"/>
      <c r="Q352" s="885"/>
      <c r="R352" s="885"/>
      <c r="S352" s="885"/>
      <c r="T352" s="885"/>
      <c r="U352" s="885"/>
      <c r="V352" s="885"/>
      <c r="W352" s="885"/>
      <c r="X352" s="885"/>
      <c r="Y352" s="885"/>
      <c r="Z352" s="885"/>
    </row>
    <row r="353" ht="15.0" customHeight="1">
      <c r="A353" s="3"/>
      <c r="B353" s="3"/>
      <c r="C353" s="3"/>
      <c r="D353" s="3"/>
      <c r="E353" s="885"/>
      <c r="F353" s="3"/>
      <c r="G353" s="3"/>
      <c r="H353" s="886"/>
      <c r="I353" s="3"/>
      <c r="J353" s="885"/>
      <c r="K353" s="885"/>
      <c r="L353" s="885"/>
      <c r="M353" s="885"/>
      <c r="N353" s="887"/>
      <c r="O353" s="885"/>
      <c r="P353" s="885"/>
      <c r="Q353" s="885"/>
      <c r="R353" s="885"/>
      <c r="S353" s="885"/>
      <c r="T353" s="885"/>
      <c r="U353" s="885"/>
      <c r="V353" s="885"/>
      <c r="W353" s="885"/>
      <c r="X353" s="885"/>
      <c r="Y353" s="885"/>
      <c r="Z353" s="885"/>
    </row>
    <row r="354" ht="15.0" customHeight="1">
      <c r="A354" s="3"/>
      <c r="B354" s="3"/>
      <c r="C354" s="3"/>
      <c r="D354" s="3"/>
      <c r="E354" s="885"/>
      <c r="F354" s="3"/>
      <c r="G354" s="3"/>
      <c r="H354" s="886"/>
      <c r="I354" s="885"/>
      <c r="J354" s="885"/>
      <c r="K354" s="885"/>
      <c r="L354" s="885"/>
      <c r="M354" s="885"/>
      <c r="N354" s="887"/>
      <c r="O354" s="885"/>
      <c r="P354" s="885"/>
      <c r="Q354" s="885"/>
      <c r="R354" s="885"/>
      <c r="S354" s="885"/>
      <c r="T354" s="885"/>
      <c r="U354" s="885"/>
      <c r="V354" s="885"/>
      <c r="W354" s="885"/>
      <c r="X354" s="885"/>
      <c r="Y354" s="885"/>
      <c r="Z354" s="885"/>
    </row>
    <row r="355" ht="15.0" customHeight="1">
      <c r="A355" s="3"/>
      <c r="B355" s="3"/>
      <c r="C355" s="3"/>
      <c r="D355" s="3"/>
      <c r="E355" s="885"/>
      <c r="F355" s="3"/>
      <c r="G355" s="3"/>
      <c r="H355" s="886"/>
      <c r="I355" s="885"/>
      <c r="J355" s="885"/>
      <c r="K355" s="885"/>
      <c r="L355" s="885"/>
      <c r="M355" s="885"/>
      <c r="N355" s="887"/>
      <c r="O355" s="885"/>
      <c r="P355" s="885"/>
      <c r="Q355" s="885"/>
      <c r="R355" s="885"/>
      <c r="S355" s="885"/>
      <c r="T355" s="885"/>
      <c r="U355" s="885"/>
      <c r="V355" s="885"/>
      <c r="W355" s="885"/>
      <c r="X355" s="885"/>
      <c r="Y355" s="885"/>
      <c r="Z355" s="885"/>
    </row>
    <row r="356" ht="15.0" customHeight="1">
      <c r="A356" s="3"/>
      <c r="B356" s="3"/>
      <c r="C356" s="3"/>
      <c r="D356" s="3"/>
      <c r="E356" s="885"/>
      <c r="F356" s="3"/>
      <c r="G356" s="3"/>
      <c r="H356" s="886"/>
      <c r="I356" s="885"/>
      <c r="J356" s="885"/>
      <c r="K356" s="885"/>
      <c r="L356" s="885"/>
      <c r="M356" s="885"/>
      <c r="N356" s="887"/>
      <c r="O356" s="885"/>
      <c r="P356" s="885"/>
      <c r="Q356" s="885"/>
      <c r="R356" s="885"/>
      <c r="S356" s="885"/>
      <c r="T356" s="885"/>
      <c r="U356" s="885"/>
      <c r="V356" s="885"/>
      <c r="W356" s="885"/>
      <c r="X356" s="885"/>
      <c r="Y356" s="885"/>
      <c r="Z356" s="885"/>
    </row>
    <row r="357" ht="15.0" customHeight="1">
      <c r="A357" s="3"/>
      <c r="B357" s="3"/>
      <c r="C357" s="3"/>
      <c r="D357" s="3"/>
      <c r="E357" s="885"/>
      <c r="F357" s="3"/>
      <c r="G357" s="3"/>
      <c r="H357" s="886"/>
      <c r="I357" s="885"/>
      <c r="J357" s="885"/>
      <c r="K357" s="885"/>
      <c r="L357" s="885"/>
      <c r="M357" s="885"/>
      <c r="N357" s="887"/>
      <c r="O357" s="885"/>
      <c r="P357" s="885"/>
      <c r="Q357" s="885"/>
      <c r="R357" s="885"/>
      <c r="S357" s="885"/>
      <c r="T357" s="885"/>
      <c r="U357" s="885"/>
      <c r="V357" s="885"/>
      <c r="W357" s="885"/>
      <c r="X357" s="885"/>
      <c r="Y357" s="885"/>
      <c r="Z357" s="885"/>
    </row>
    <row r="358" ht="15.0" customHeight="1">
      <c r="A358" s="3"/>
      <c r="B358" s="3"/>
      <c r="C358" s="3"/>
      <c r="D358" s="3"/>
      <c r="E358" s="885"/>
      <c r="F358" s="3"/>
      <c r="G358" s="3"/>
      <c r="H358" s="886"/>
      <c r="I358" s="885"/>
      <c r="J358" s="885"/>
      <c r="K358" s="885"/>
      <c r="L358" s="885"/>
      <c r="M358" s="885"/>
      <c r="N358" s="887"/>
      <c r="O358" s="885"/>
      <c r="P358" s="885"/>
      <c r="Q358" s="885"/>
      <c r="R358" s="885"/>
      <c r="S358" s="885"/>
      <c r="T358" s="885"/>
      <c r="U358" s="885"/>
      <c r="V358" s="885"/>
      <c r="W358" s="885"/>
      <c r="X358" s="885"/>
      <c r="Y358" s="885"/>
      <c r="Z358" s="885"/>
    </row>
    <row r="359" ht="15.0" customHeight="1">
      <c r="A359" s="895" t="s">
        <v>1912</v>
      </c>
      <c r="B359" s="895" t="s">
        <v>1755</v>
      </c>
      <c r="C359" s="3"/>
      <c r="D359" s="3"/>
      <c r="E359" s="885"/>
      <c r="F359" s="3"/>
      <c r="G359" s="3"/>
      <c r="H359" s="886"/>
      <c r="I359" s="885"/>
      <c r="J359" s="885"/>
      <c r="K359" s="885"/>
      <c r="L359" s="885"/>
      <c r="M359" s="885"/>
      <c r="N359" s="887"/>
      <c r="O359" s="885"/>
      <c r="P359" s="885"/>
      <c r="Q359" s="885"/>
      <c r="R359" s="885"/>
      <c r="S359" s="885"/>
      <c r="T359" s="885"/>
      <c r="U359" s="885"/>
      <c r="V359" s="885"/>
      <c r="W359" s="885"/>
      <c r="X359" s="885"/>
      <c r="Y359" s="885"/>
      <c r="Z359" s="885"/>
    </row>
    <row r="360" ht="15.0" customHeight="1">
      <c r="A360" s="3" t="s">
        <v>1913</v>
      </c>
      <c r="B360" s="895" t="s">
        <v>1755</v>
      </c>
      <c r="C360" s="3"/>
      <c r="D360" s="3"/>
      <c r="E360" s="885"/>
      <c r="F360" s="3"/>
      <c r="G360" s="3"/>
      <c r="H360" s="886"/>
      <c r="I360" s="885"/>
      <c r="J360" s="885"/>
      <c r="K360" s="885"/>
      <c r="L360" s="885"/>
      <c r="M360" s="885"/>
      <c r="N360" s="887"/>
      <c r="O360" s="885"/>
      <c r="P360" s="885"/>
      <c r="Q360" s="885"/>
      <c r="R360" s="885"/>
      <c r="S360" s="885"/>
      <c r="T360" s="885"/>
      <c r="U360" s="885"/>
      <c r="V360" s="885"/>
      <c r="W360" s="885"/>
      <c r="X360" s="885"/>
      <c r="Y360" s="885"/>
      <c r="Z360" s="885"/>
    </row>
    <row r="361" ht="15.0" customHeight="1">
      <c r="A361" s="3" t="s">
        <v>402</v>
      </c>
      <c r="B361" s="895" t="s">
        <v>1755</v>
      </c>
      <c r="C361" s="3"/>
      <c r="D361" s="3"/>
      <c r="E361" s="885"/>
      <c r="F361" s="3" t="s">
        <v>1205</v>
      </c>
      <c r="G361" s="3"/>
      <c r="H361" s="886">
        <v>7.0</v>
      </c>
      <c r="I361" s="885"/>
      <c r="J361" s="885"/>
      <c r="K361" s="885"/>
      <c r="L361" s="885"/>
      <c r="M361" s="885"/>
      <c r="N361" s="887"/>
      <c r="O361" s="885"/>
      <c r="P361" s="885"/>
      <c r="Q361" s="885"/>
      <c r="R361" s="885"/>
      <c r="S361" s="885"/>
      <c r="T361" s="885"/>
      <c r="U361" s="885"/>
      <c r="V361" s="885"/>
      <c r="W361" s="885"/>
      <c r="X361" s="885"/>
      <c r="Y361" s="885"/>
      <c r="Z361" s="885"/>
    </row>
    <row r="362" ht="15.0" customHeight="1">
      <c r="A362" s="3" t="s">
        <v>1914</v>
      </c>
      <c r="B362" s="895" t="s">
        <v>1755</v>
      </c>
      <c r="C362" s="3"/>
      <c r="D362" s="3"/>
      <c r="E362" s="885"/>
      <c r="F362" s="3" t="s">
        <v>1760</v>
      </c>
      <c r="G362" s="3"/>
      <c r="H362" s="886">
        <v>10.0</v>
      </c>
      <c r="I362" s="885"/>
      <c r="J362" s="885"/>
      <c r="K362" s="885"/>
      <c r="L362" s="885"/>
      <c r="M362" s="885"/>
      <c r="N362" s="887"/>
      <c r="O362" s="885"/>
      <c r="P362" s="885"/>
      <c r="Q362" s="885"/>
      <c r="R362" s="885"/>
      <c r="S362" s="885"/>
      <c r="T362" s="885"/>
      <c r="U362" s="885"/>
      <c r="V362" s="885"/>
      <c r="W362" s="885"/>
      <c r="X362" s="885"/>
      <c r="Y362" s="885"/>
      <c r="Z362" s="885"/>
    </row>
    <row r="363" ht="15.0" customHeight="1">
      <c r="A363" s="3" t="s">
        <v>1915</v>
      </c>
      <c r="B363" s="895" t="s">
        <v>1755</v>
      </c>
      <c r="C363" s="3"/>
      <c r="D363" s="3"/>
      <c r="E363" s="885"/>
      <c r="F363" s="3" t="s">
        <v>745</v>
      </c>
      <c r="G363" s="3"/>
      <c r="H363" s="886">
        <v>15.0</v>
      </c>
      <c r="I363" s="885"/>
      <c r="J363" s="885"/>
      <c r="K363" s="885"/>
      <c r="L363" s="885"/>
      <c r="M363" s="885"/>
      <c r="N363" s="887"/>
      <c r="O363" s="885"/>
      <c r="P363" s="885"/>
      <c r="Q363" s="885"/>
      <c r="R363" s="885"/>
      <c r="S363" s="885"/>
      <c r="T363" s="885"/>
      <c r="U363" s="885"/>
      <c r="V363" s="885"/>
      <c r="W363" s="885"/>
      <c r="X363" s="885"/>
      <c r="Y363" s="885"/>
      <c r="Z363" s="885"/>
    </row>
    <row r="364" ht="15.0" customHeight="1">
      <c r="A364" s="884" t="s">
        <v>342</v>
      </c>
      <c r="B364" s="884" t="s">
        <v>1275</v>
      </c>
      <c r="C364" s="884"/>
      <c r="D364" s="3"/>
      <c r="E364" s="885"/>
      <c r="F364" s="895" t="s">
        <v>1755</v>
      </c>
      <c r="G364" s="3" t="s">
        <v>1756</v>
      </c>
      <c r="H364" s="886">
        <v>12.0</v>
      </c>
      <c r="I364" s="885"/>
      <c r="J364" s="885"/>
      <c r="K364" s="885"/>
      <c r="L364" s="885"/>
      <c r="M364" s="885"/>
      <c r="N364" s="887"/>
      <c r="O364" s="885"/>
      <c r="P364" s="885"/>
      <c r="Q364" s="885"/>
      <c r="R364" s="885"/>
      <c r="S364" s="885"/>
      <c r="T364" s="885"/>
      <c r="U364" s="885"/>
      <c r="V364" s="885"/>
      <c r="W364" s="885"/>
      <c r="X364" s="885"/>
      <c r="Y364" s="885"/>
      <c r="Z364" s="885"/>
    </row>
    <row r="365" ht="15.0" customHeight="1">
      <c r="A365" s="3" t="s">
        <v>1916</v>
      </c>
      <c r="B365" s="884" t="s">
        <v>1275</v>
      </c>
      <c r="C365" s="3"/>
      <c r="D365" s="3"/>
      <c r="E365" s="885"/>
      <c r="F365" s="3" t="s">
        <v>1267</v>
      </c>
      <c r="G365" s="3"/>
      <c r="H365" s="886">
        <v>10.0</v>
      </c>
      <c r="I365" s="885"/>
      <c r="J365" s="885"/>
      <c r="K365" s="885"/>
      <c r="L365" s="885"/>
      <c r="M365" s="885"/>
      <c r="N365" s="887"/>
      <c r="O365" s="885"/>
      <c r="P365" s="885"/>
      <c r="Q365" s="885"/>
      <c r="R365" s="885"/>
      <c r="S365" s="885"/>
      <c r="T365" s="885"/>
      <c r="U365" s="885"/>
      <c r="V365" s="885"/>
      <c r="W365" s="885"/>
      <c r="X365" s="885"/>
      <c r="Y365" s="885"/>
      <c r="Z365" s="885"/>
    </row>
    <row r="366" ht="15.0" customHeight="1">
      <c r="A366" s="884" t="s">
        <v>1917</v>
      </c>
      <c r="B366" s="884" t="s">
        <v>1918</v>
      </c>
      <c r="C366" s="3"/>
      <c r="D366" s="3"/>
      <c r="E366" s="885"/>
      <c r="F366" s="3" t="s">
        <v>1716</v>
      </c>
      <c r="G366" s="3"/>
      <c r="H366" s="886">
        <v>15.0</v>
      </c>
      <c r="I366" s="885"/>
      <c r="J366" s="885"/>
      <c r="K366" s="885"/>
      <c r="L366" s="885"/>
      <c r="M366" s="885"/>
      <c r="N366" s="887"/>
      <c r="O366" s="885"/>
      <c r="P366" s="885"/>
      <c r="Q366" s="885"/>
      <c r="R366" s="885"/>
      <c r="S366" s="885"/>
      <c r="T366" s="885"/>
      <c r="U366" s="885"/>
      <c r="V366" s="885"/>
      <c r="W366" s="885"/>
      <c r="X366" s="885"/>
      <c r="Y366" s="885"/>
      <c r="Z366" s="885"/>
    </row>
    <row r="367" ht="15.0" customHeight="1">
      <c r="A367" s="884" t="s">
        <v>1919</v>
      </c>
      <c r="B367" s="884" t="s">
        <v>1920</v>
      </c>
      <c r="C367" s="3"/>
      <c r="D367" s="3"/>
      <c r="E367" s="885"/>
      <c r="F367" s="3" t="s">
        <v>943</v>
      </c>
      <c r="G367" s="3" t="s">
        <v>1762</v>
      </c>
      <c r="H367" s="886">
        <v>13.0</v>
      </c>
      <c r="I367" s="885"/>
      <c r="J367" s="885"/>
      <c r="K367" s="885"/>
      <c r="L367" s="885"/>
      <c r="M367" s="885"/>
      <c r="N367" s="887"/>
      <c r="O367" s="885"/>
      <c r="P367" s="885"/>
      <c r="Q367" s="885"/>
      <c r="R367" s="885"/>
      <c r="S367" s="885"/>
      <c r="T367" s="885"/>
      <c r="U367" s="885"/>
      <c r="V367" s="885"/>
      <c r="W367" s="885"/>
      <c r="X367" s="885"/>
      <c r="Y367" s="885"/>
      <c r="Z367" s="885"/>
    </row>
    <row r="368" ht="15.0" customHeight="1">
      <c r="A368" s="3" t="s">
        <v>1921</v>
      </c>
      <c r="B368" s="3" t="s">
        <v>1918</v>
      </c>
      <c r="C368" s="3"/>
      <c r="D368" s="3"/>
      <c r="E368" s="885"/>
      <c r="F368" s="3"/>
      <c r="G368" s="3"/>
      <c r="H368" s="886"/>
      <c r="I368" s="885"/>
      <c r="J368" s="885"/>
      <c r="K368" s="885"/>
      <c r="L368" s="3"/>
      <c r="M368" s="3"/>
      <c r="N368" s="892"/>
      <c r="O368" s="3"/>
      <c r="P368" s="3"/>
      <c r="Q368" s="3"/>
      <c r="R368" s="3"/>
      <c r="S368" s="3"/>
      <c r="T368" s="3"/>
      <c r="U368" s="3"/>
      <c r="V368" s="3"/>
      <c r="W368" s="3"/>
      <c r="X368" s="3"/>
      <c r="Y368" s="3"/>
      <c r="Z368" s="3"/>
    </row>
    <row r="369" ht="15.0" customHeight="1">
      <c r="A369" s="3" t="s">
        <v>1922</v>
      </c>
      <c r="B369" s="3" t="s">
        <v>1918</v>
      </c>
      <c r="C369" s="3"/>
      <c r="D369" s="3"/>
      <c r="E369" s="885"/>
      <c r="F369" s="3"/>
      <c r="G369" s="3"/>
      <c r="H369" s="886"/>
      <c r="I369" s="885"/>
      <c r="J369" s="885"/>
      <c r="K369" s="885"/>
      <c r="L369" s="3"/>
      <c r="M369" s="3"/>
      <c r="N369" s="892"/>
      <c r="O369" s="3"/>
      <c r="P369" s="3"/>
      <c r="Q369" s="3"/>
      <c r="R369" s="3"/>
      <c r="S369" s="3"/>
      <c r="T369" s="3"/>
      <c r="U369" s="3"/>
      <c r="V369" s="3"/>
      <c r="W369" s="3"/>
      <c r="X369" s="3"/>
      <c r="Y369" s="3"/>
      <c r="Z369" s="3"/>
    </row>
    <row r="370" ht="15.0" customHeight="1">
      <c r="A370" s="3" t="s">
        <v>1923</v>
      </c>
      <c r="B370" s="884" t="s">
        <v>1920</v>
      </c>
      <c r="C370" s="3"/>
      <c r="D370" s="3"/>
      <c r="E370" s="885"/>
      <c r="F370" s="3"/>
      <c r="G370" s="3"/>
      <c r="H370" s="886"/>
      <c r="I370" s="885"/>
      <c r="J370" s="885"/>
      <c r="K370" s="885"/>
      <c r="L370" s="3"/>
      <c r="M370" s="3"/>
      <c r="N370" s="892"/>
      <c r="O370" s="3"/>
      <c r="P370" s="3"/>
      <c r="Q370" s="3"/>
      <c r="R370" s="3"/>
      <c r="S370" s="3"/>
      <c r="T370" s="3"/>
      <c r="U370" s="3"/>
      <c r="V370" s="3"/>
      <c r="W370" s="3"/>
      <c r="X370" s="3"/>
      <c r="Y370" s="3"/>
      <c r="Z370" s="3"/>
    </row>
    <row r="371" ht="15.0" customHeight="1">
      <c r="A371" s="3" t="s">
        <v>1924</v>
      </c>
      <c r="B371" s="884" t="s">
        <v>1920</v>
      </c>
      <c r="C371" s="3"/>
      <c r="D371" s="3"/>
      <c r="E371" s="885"/>
      <c r="F371" s="3"/>
      <c r="G371" s="3"/>
      <c r="H371" s="886"/>
      <c r="I371" s="885"/>
      <c r="J371" s="885"/>
      <c r="K371" s="885"/>
      <c r="L371" s="3"/>
      <c r="M371" s="3"/>
      <c r="N371" s="892"/>
      <c r="O371" s="3"/>
      <c r="P371" s="3"/>
      <c r="Q371" s="3"/>
      <c r="R371" s="3"/>
      <c r="S371" s="3"/>
      <c r="T371" s="3"/>
      <c r="U371" s="3"/>
      <c r="V371" s="3"/>
      <c r="W371" s="3"/>
      <c r="X371" s="3"/>
      <c r="Y371" s="3"/>
      <c r="Z371" s="3"/>
    </row>
    <row r="372" ht="15.0" customHeight="1">
      <c r="A372" s="884" t="s">
        <v>1925</v>
      </c>
      <c r="B372" s="884" t="s">
        <v>1920</v>
      </c>
      <c r="C372" s="3"/>
      <c r="D372" s="3"/>
      <c r="E372" s="885"/>
      <c r="F372" s="3"/>
      <c r="G372" s="3"/>
      <c r="H372" s="886"/>
      <c r="I372" s="885"/>
      <c r="J372" s="885"/>
      <c r="K372" s="885"/>
      <c r="L372" s="3"/>
      <c r="M372" s="3"/>
      <c r="N372" s="892"/>
      <c r="O372" s="3"/>
      <c r="P372" s="3"/>
      <c r="Q372" s="3"/>
      <c r="R372" s="3"/>
      <c r="S372" s="3"/>
      <c r="T372" s="3"/>
      <c r="U372" s="3"/>
      <c r="V372" s="3"/>
      <c r="W372" s="3"/>
      <c r="X372" s="3"/>
      <c r="Y372" s="3"/>
      <c r="Z372" s="3"/>
    </row>
    <row r="373" ht="15.0" customHeight="1">
      <c r="A373" s="884" t="s">
        <v>1926</v>
      </c>
      <c r="B373" s="3" t="s">
        <v>1918</v>
      </c>
      <c r="C373" s="3"/>
      <c r="D373" s="3"/>
      <c r="E373" s="885"/>
      <c r="F373" s="3" t="s">
        <v>1746</v>
      </c>
      <c r="G373" s="3"/>
      <c r="H373" s="886">
        <v>18.0</v>
      </c>
      <c r="I373" s="885"/>
      <c r="J373" s="885"/>
      <c r="K373" s="885"/>
      <c r="L373" s="3"/>
      <c r="M373" s="3"/>
      <c r="N373" s="892"/>
      <c r="O373" s="3"/>
      <c r="P373" s="3"/>
      <c r="Q373" s="3"/>
      <c r="R373" s="3"/>
      <c r="S373" s="3"/>
      <c r="T373" s="3"/>
      <c r="U373" s="3"/>
      <c r="V373" s="3"/>
      <c r="W373" s="3"/>
      <c r="X373" s="3"/>
      <c r="Y373" s="3"/>
      <c r="Z373" s="3"/>
    </row>
    <row r="374" ht="15.0" customHeight="1">
      <c r="A374" s="3" t="s">
        <v>1927</v>
      </c>
      <c r="B374" s="3" t="s">
        <v>1920</v>
      </c>
      <c r="C374" s="3"/>
      <c r="D374" s="3"/>
      <c r="E374" s="885"/>
      <c r="F374" s="3"/>
      <c r="G374" s="3"/>
      <c r="H374" s="886"/>
      <c r="I374" s="885"/>
      <c r="J374" s="885"/>
      <c r="K374" s="885"/>
      <c r="L374" s="885"/>
      <c r="M374" s="885"/>
      <c r="N374" s="887"/>
      <c r="O374" s="885"/>
      <c r="P374" s="885"/>
      <c r="Q374" s="885"/>
      <c r="R374" s="885"/>
      <c r="S374" s="885"/>
      <c r="T374" s="885"/>
      <c r="U374" s="885"/>
      <c r="V374" s="885"/>
      <c r="W374" s="885"/>
      <c r="X374" s="885"/>
      <c r="Y374" s="885"/>
      <c r="Z374" s="885"/>
    </row>
    <row r="375" ht="15.0" customHeight="1">
      <c r="A375" s="884" t="s">
        <v>1928</v>
      </c>
      <c r="B375" s="884" t="s">
        <v>1920</v>
      </c>
      <c r="C375" s="3"/>
      <c r="D375" s="3"/>
      <c r="E375" s="885"/>
      <c r="F375" s="3"/>
      <c r="G375" s="3"/>
      <c r="H375" s="886"/>
      <c r="I375" s="885"/>
      <c r="J375" s="885"/>
      <c r="K375" s="885"/>
      <c r="L375" s="885"/>
      <c r="M375" s="885"/>
      <c r="N375" s="887"/>
      <c r="O375" s="885"/>
      <c r="P375" s="885"/>
      <c r="Q375" s="885"/>
      <c r="R375" s="885"/>
      <c r="S375" s="885"/>
      <c r="T375" s="885"/>
      <c r="U375" s="885"/>
      <c r="V375" s="885"/>
      <c r="W375" s="885"/>
      <c r="X375" s="885"/>
      <c r="Y375" s="885"/>
      <c r="Z375" s="885"/>
    </row>
    <row r="376" ht="15.0" customHeight="1">
      <c r="A376" s="20" t="s">
        <v>1929</v>
      </c>
      <c r="B376" s="895" t="s">
        <v>1930</v>
      </c>
      <c r="C376" s="3"/>
      <c r="D376" s="3"/>
      <c r="E376" s="885"/>
      <c r="F376" s="3"/>
      <c r="G376" s="3"/>
      <c r="H376" s="886"/>
      <c r="I376" s="885"/>
      <c r="J376" s="885"/>
      <c r="K376" s="885"/>
      <c r="L376" s="885"/>
      <c r="M376" s="885"/>
      <c r="N376" s="887"/>
      <c r="O376" s="885"/>
      <c r="P376" s="885"/>
      <c r="Q376" s="885"/>
      <c r="R376" s="885"/>
      <c r="S376" s="885"/>
      <c r="T376" s="885"/>
      <c r="U376" s="885"/>
      <c r="V376" s="885"/>
      <c r="W376" s="885"/>
      <c r="X376" s="885"/>
      <c r="Y376" s="885"/>
      <c r="Z376" s="885"/>
    </row>
    <row r="377" ht="15.0" customHeight="1">
      <c r="A377" s="3" t="s">
        <v>1931</v>
      </c>
      <c r="B377" s="895" t="s">
        <v>1930</v>
      </c>
      <c r="C377" s="3"/>
      <c r="D377" s="3"/>
      <c r="E377" s="3"/>
      <c r="F377" s="3"/>
      <c r="G377" s="3"/>
      <c r="H377" s="886"/>
      <c r="I377" s="885"/>
      <c r="J377" s="885"/>
      <c r="K377" s="885"/>
      <c r="L377" s="885"/>
      <c r="M377" s="885"/>
      <c r="N377" s="887"/>
      <c r="O377" s="885"/>
      <c r="P377" s="885"/>
      <c r="Q377" s="885"/>
      <c r="R377" s="885"/>
      <c r="S377" s="885"/>
      <c r="T377" s="885"/>
      <c r="U377" s="885"/>
      <c r="V377" s="885"/>
      <c r="W377" s="885"/>
      <c r="X377" s="885"/>
      <c r="Y377" s="885"/>
      <c r="Z377" s="885"/>
    </row>
    <row r="378" ht="15.0" customHeight="1">
      <c r="A378" s="3" t="s">
        <v>1932</v>
      </c>
      <c r="B378" s="895" t="s">
        <v>1930</v>
      </c>
      <c r="C378" s="3"/>
      <c r="D378" s="3"/>
      <c r="E378" s="885"/>
      <c r="F378" s="885"/>
      <c r="G378" s="885"/>
      <c r="H378" s="886"/>
      <c r="I378" s="885"/>
      <c r="J378" s="885"/>
      <c r="K378" s="885"/>
      <c r="L378" s="885"/>
      <c r="M378" s="885"/>
      <c r="N378" s="887"/>
      <c r="O378" s="885"/>
      <c r="P378" s="885"/>
      <c r="Q378" s="885"/>
      <c r="R378" s="885"/>
      <c r="S378" s="885"/>
      <c r="T378" s="885"/>
      <c r="U378" s="885"/>
      <c r="V378" s="885"/>
      <c r="W378" s="885"/>
      <c r="X378" s="885"/>
      <c r="Y378" s="885"/>
      <c r="Z378" s="885"/>
    </row>
    <row r="379" ht="15.0" customHeight="1">
      <c r="A379" s="895" t="s">
        <v>1933</v>
      </c>
      <c r="B379" s="895" t="s">
        <v>1930</v>
      </c>
      <c r="C379" s="3"/>
      <c r="D379" s="3"/>
      <c r="E379" s="885"/>
      <c r="F379" s="885"/>
      <c r="G379" s="885"/>
      <c r="H379" s="886"/>
      <c r="I379" s="885"/>
      <c r="J379" s="885"/>
      <c r="K379" s="885"/>
      <c r="L379" s="885"/>
      <c r="M379" s="885"/>
      <c r="N379" s="887"/>
      <c r="O379" s="885"/>
      <c r="P379" s="885"/>
      <c r="Q379" s="885"/>
      <c r="R379" s="885"/>
      <c r="S379" s="885"/>
      <c r="T379" s="885"/>
      <c r="U379" s="885"/>
      <c r="V379" s="885"/>
      <c r="W379" s="885"/>
      <c r="X379" s="885"/>
      <c r="Y379" s="885"/>
      <c r="Z379" s="885"/>
    </row>
    <row r="380" ht="15.0" customHeight="1">
      <c r="A380" s="3"/>
      <c r="B380" s="895"/>
      <c r="C380" s="3"/>
      <c r="D380" s="3"/>
      <c r="E380" s="885"/>
      <c r="F380" s="885"/>
      <c r="G380" s="885"/>
      <c r="H380" s="886"/>
      <c r="I380" s="885"/>
      <c r="J380" s="885"/>
      <c r="K380" s="885"/>
      <c r="L380" s="885"/>
      <c r="M380" s="885"/>
      <c r="N380" s="887"/>
      <c r="O380" s="885"/>
      <c r="P380" s="885"/>
      <c r="Q380" s="885"/>
      <c r="R380" s="885"/>
      <c r="S380" s="885"/>
      <c r="T380" s="885"/>
      <c r="U380" s="885"/>
      <c r="V380" s="885"/>
      <c r="W380" s="885"/>
      <c r="X380" s="885"/>
      <c r="Y380" s="885"/>
      <c r="Z380" s="885"/>
    </row>
    <row r="381" ht="15.0" customHeight="1">
      <c r="A381" s="3"/>
      <c r="B381" s="895"/>
      <c r="C381" s="3"/>
      <c r="D381" s="3"/>
      <c r="E381" s="885"/>
      <c r="F381" s="3"/>
      <c r="G381" s="10" t="s">
        <v>1683</v>
      </c>
      <c r="H381" s="886"/>
      <c r="I381" s="885"/>
      <c r="J381" s="885"/>
      <c r="K381" s="885"/>
      <c r="L381" s="885"/>
      <c r="M381" s="885"/>
      <c r="N381" s="887"/>
      <c r="O381" s="885"/>
      <c r="P381" s="885"/>
      <c r="Q381" s="885"/>
      <c r="R381" s="885"/>
      <c r="S381" s="885"/>
      <c r="T381" s="885"/>
      <c r="U381" s="885"/>
      <c r="V381" s="885"/>
      <c r="W381" s="885"/>
      <c r="X381" s="885"/>
      <c r="Y381" s="885"/>
      <c r="Z381" s="885"/>
    </row>
    <row r="382" ht="15.0" customHeight="1">
      <c r="A382" s="3"/>
      <c r="B382" s="895"/>
      <c r="C382" s="3"/>
      <c r="D382" s="3"/>
      <c r="E382" s="885"/>
      <c r="F382" s="3" t="s">
        <v>1934</v>
      </c>
      <c r="G382" s="3"/>
      <c r="H382" s="886">
        <v>10.0</v>
      </c>
      <c r="I382" s="885"/>
      <c r="J382" s="885"/>
      <c r="K382" s="885"/>
      <c r="L382" s="885"/>
      <c r="M382" s="885"/>
      <c r="N382" s="887"/>
      <c r="O382" s="885"/>
      <c r="P382" s="885"/>
      <c r="Q382" s="885"/>
      <c r="R382" s="885"/>
      <c r="S382" s="885"/>
      <c r="T382" s="885"/>
      <c r="U382" s="885"/>
      <c r="V382" s="885"/>
      <c r="W382" s="885"/>
      <c r="X382" s="885"/>
      <c r="Y382" s="885"/>
      <c r="Z382" s="885"/>
    </row>
    <row r="383" ht="15.0" customHeight="1">
      <c r="A383" s="20"/>
      <c r="B383" s="895"/>
      <c r="C383" s="3"/>
      <c r="D383" s="3"/>
      <c r="E383" s="885"/>
      <c r="F383" s="3" t="s">
        <v>823</v>
      </c>
      <c r="G383" s="3"/>
      <c r="H383" s="900">
        <v>15.0</v>
      </c>
      <c r="I383" s="883" t="s">
        <v>1935</v>
      </c>
      <c r="J383" s="885"/>
      <c r="K383" s="885"/>
      <c r="L383" s="885"/>
      <c r="M383" s="885"/>
      <c r="N383" s="887"/>
      <c r="O383" s="885"/>
      <c r="P383" s="885"/>
      <c r="Q383" s="885"/>
      <c r="R383" s="885"/>
      <c r="S383" s="885"/>
      <c r="T383" s="885"/>
      <c r="U383" s="885"/>
      <c r="V383" s="885"/>
      <c r="W383" s="885"/>
      <c r="X383" s="885"/>
      <c r="Y383" s="885"/>
      <c r="Z383" s="885"/>
    </row>
    <row r="384" ht="15.0" customHeight="1">
      <c r="A384" s="3"/>
      <c r="B384" s="895"/>
      <c r="C384" s="3"/>
      <c r="D384" s="3"/>
      <c r="E384" s="885"/>
      <c r="F384" s="3" t="s">
        <v>680</v>
      </c>
      <c r="G384" s="3"/>
      <c r="H384" s="900">
        <v>20.0</v>
      </c>
      <c r="I384" s="883" t="s">
        <v>1936</v>
      </c>
      <c r="J384" s="885"/>
      <c r="K384" s="885"/>
      <c r="L384" s="885"/>
      <c r="M384" s="885"/>
      <c r="N384" s="887"/>
      <c r="O384" s="885"/>
      <c r="P384" s="885"/>
      <c r="Q384" s="885"/>
      <c r="R384" s="885"/>
      <c r="S384" s="885"/>
      <c r="T384" s="885"/>
      <c r="U384" s="885"/>
      <c r="V384" s="885"/>
      <c r="W384" s="885"/>
      <c r="X384" s="885"/>
      <c r="Y384" s="885"/>
      <c r="Z384" s="885"/>
    </row>
    <row r="385" ht="15.0" customHeight="1">
      <c r="A385" s="3"/>
      <c r="B385" s="895"/>
      <c r="C385" s="3"/>
      <c r="D385" s="3"/>
      <c r="E385" s="885"/>
      <c r="F385" s="3" t="s">
        <v>1265</v>
      </c>
      <c r="G385" s="3"/>
      <c r="H385" s="886">
        <v>14.0</v>
      </c>
      <c r="I385" s="885"/>
      <c r="J385" s="885"/>
      <c r="K385" s="885"/>
      <c r="L385" s="885"/>
      <c r="M385" s="885"/>
      <c r="N385" s="887"/>
      <c r="O385" s="885"/>
      <c r="P385" s="885"/>
      <c r="Q385" s="885"/>
      <c r="R385" s="885"/>
      <c r="S385" s="885"/>
      <c r="T385" s="885"/>
      <c r="U385" s="885"/>
      <c r="V385" s="885"/>
      <c r="W385" s="885"/>
      <c r="X385" s="885"/>
      <c r="Y385" s="885"/>
      <c r="Z385" s="885"/>
    </row>
    <row r="386" ht="15.0" customHeight="1">
      <c r="A386" s="3"/>
      <c r="B386" s="884"/>
      <c r="C386" s="3"/>
      <c r="D386" s="3"/>
      <c r="E386" s="885"/>
      <c r="F386" s="915" t="s">
        <v>671</v>
      </c>
      <c r="G386" s="3" t="s">
        <v>89</v>
      </c>
      <c r="H386" s="886">
        <v>16.0</v>
      </c>
      <c r="I386" s="885"/>
      <c r="J386" s="885"/>
      <c r="K386" s="885"/>
      <c r="L386" s="885"/>
      <c r="M386" s="885"/>
      <c r="N386" s="887"/>
      <c r="O386" s="885"/>
      <c r="P386" s="885"/>
      <c r="Q386" s="885"/>
      <c r="R386" s="885"/>
      <c r="S386" s="885"/>
      <c r="T386" s="885"/>
      <c r="U386" s="885"/>
      <c r="V386" s="885"/>
      <c r="W386" s="885"/>
      <c r="X386" s="885"/>
      <c r="Y386" s="885"/>
      <c r="Z386" s="885"/>
    </row>
    <row r="387" ht="15.0" customHeight="1">
      <c r="A387" s="3"/>
      <c r="B387" s="884"/>
      <c r="C387" s="3"/>
      <c r="D387" s="3"/>
      <c r="E387" s="885"/>
      <c r="F387" s="725" t="s">
        <v>708</v>
      </c>
      <c r="H387" s="725">
        <v>22.0</v>
      </c>
      <c r="J387" s="885"/>
      <c r="K387" s="885"/>
      <c r="L387" s="885"/>
      <c r="M387" s="885"/>
      <c r="N387" s="887"/>
      <c r="O387" s="885"/>
      <c r="P387" s="885"/>
      <c r="Q387" s="885"/>
      <c r="R387" s="885"/>
      <c r="S387" s="885"/>
      <c r="T387" s="885"/>
      <c r="U387" s="885"/>
      <c r="V387" s="885"/>
      <c r="W387" s="885"/>
      <c r="X387" s="885"/>
      <c r="Y387" s="885"/>
      <c r="Z387" s="885"/>
    </row>
    <row r="388" ht="15.0" customHeight="1">
      <c r="A388" s="3"/>
      <c r="B388" s="884"/>
      <c r="C388" s="884"/>
      <c r="D388" s="3"/>
      <c r="E388" s="883"/>
      <c r="F388" s="725" t="s">
        <v>812</v>
      </c>
      <c r="H388" s="725">
        <v>45.0</v>
      </c>
      <c r="I388" s="43">
        <f>10+5+2+28</f>
        <v>45</v>
      </c>
      <c r="J388" s="885"/>
      <c r="K388" s="885"/>
      <c r="L388" s="885"/>
      <c r="M388" s="885"/>
      <c r="N388" s="887"/>
      <c r="O388" s="885"/>
      <c r="P388" s="885"/>
      <c r="Q388" s="885"/>
      <c r="R388" s="885"/>
      <c r="S388" s="885"/>
      <c r="T388" s="885"/>
      <c r="U388" s="885"/>
      <c r="V388" s="885"/>
      <c r="W388" s="885"/>
      <c r="X388" s="885"/>
      <c r="Y388" s="885"/>
      <c r="Z388" s="885"/>
    </row>
    <row r="389" ht="15.0" customHeight="1">
      <c r="A389" s="3"/>
      <c r="B389" s="884"/>
      <c r="C389" s="884"/>
      <c r="D389" s="3"/>
      <c r="E389" s="885"/>
      <c r="F389" s="3" t="s">
        <v>1829</v>
      </c>
      <c r="G389" s="3" t="s">
        <v>1830</v>
      </c>
      <c r="H389" s="886">
        <v>14.0</v>
      </c>
      <c r="I389" s="885"/>
      <c r="J389" s="885"/>
      <c r="K389" s="885"/>
      <c r="L389" s="885"/>
      <c r="M389" s="885"/>
      <c r="N389" s="887"/>
      <c r="O389" s="885"/>
      <c r="P389" s="885"/>
      <c r="Q389" s="885"/>
      <c r="R389" s="885"/>
      <c r="S389" s="885"/>
      <c r="T389" s="885"/>
      <c r="U389" s="885"/>
      <c r="V389" s="885"/>
      <c r="W389" s="885"/>
      <c r="X389" s="885"/>
      <c r="Y389" s="885"/>
      <c r="Z389" s="885"/>
    </row>
    <row r="390" ht="15.0" customHeight="1">
      <c r="A390" s="3"/>
      <c r="B390" s="884"/>
      <c r="C390" s="884"/>
      <c r="D390" s="3"/>
      <c r="E390" s="885"/>
      <c r="F390" s="3" t="s">
        <v>1198</v>
      </c>
      <c r="G390" s="3" t="s">
        <v>1832</v>
      </c>
      <c r="H390" s="886">
        <v>13.0</v>
      </c>
      <c r="I390" s="885"/>
      <c r="J390" s="885"/>
      <c r="K390" s="885"/>
      <c r="L390" s="885"/>
      <c r="M390" s="885"/>
      <c r="N390" s="887"/>
      <c r="O390" s="885"/>
      <c r="P390" s="885"/>
      <c r="Q390" s="885"/>
      <c r="R390" s="885"/>
      <c r="S390" s="885"/>
      <c r="T390" s="885"/>
      <c r="U390" s="885"/>
      <c r="V390" s="885"/>
      <c r="W390" s="885"/>
      <c r="X390" s="885"/>
      <c r="Y390" s="885"/>
      <c r="Z390" s="885"/>
    </row>
    <row r="391" ht="15.0" customHeight="1">
      <c r="A391" s="3"/>
      <c r="B391" s="884"/>
      <c r="C391" s="884"/>
      <c r="D391" s="3"/>
      <c r="E391" s="885"/>
      <c r="F391" s="3" t="s">
        <v>1275</v>
      </c>
      <c r="G391" s="3" t="s">
        <v>1834</v>
      </c>
      <c r="H391" s="886">
        <v>12.0</v>
      </c>
      <c r="I391" s="885"/>
      <c r="J391" s="885"/>
      <c r="K391" s="885"/>
      <c r="L391" s="885"/>
      <c r="M391" s="885"/>
      <c r="N391" s="887"/>
      <c r="O391" s="885"/>
      <c r="P391" s="885"/>
      <c r="Q391" s="885"/>
      <c r="R391" s="885"/>
      <c r="S391" s="885"/>
      <c r="T391" s="885"/>
      <c r="U391" s="885"/>
      <c r="V391" s="885"/>
      <c r="W391" s="885"/>
      <c r="X391" s="885"/>
      <c r="Y391" s="885"/>
      <c r="Z391" s="885"/>
    </row>
    <row r="392" ht="15.0" customHeight="1">
      <c r="A392" s="3"/>
      <c r="B392" s="884"/>
      <c r="C392" s="884"/>
      <c r="D392" s="3"/>
      <c r="E392" s="885"/>
      <c r="F392" s="895" t="s">
        <v>1755</v>
      </c>
      <c r="G392" s="3" t="s">
        <v>1756</v>
      </c>
      <c r="H392" s="886">
        <v>10.0</v>
      </c>
      <c r="I392" s="885"/>
      <c r="J392" s="885"/>
      <c r="K392" s="885"/>
      <c r="L392" s="885"/>
      <c r="M392" s="885"/>
      <c r="N392" s="887"/>
      <c r="O392" s="885"/>
      <c r="P392" s="885"/>
      <c r="Q392" s="885"/>
      <c r="R392" s="885"/>
      <c r="S392" s="885"/>
      <c r="T392" s="885"/>
      <c r="U392" s="885"/>
      <c r="V392" s="885"/>
      <c r="W392" s="885"/>
      <c r="X392" s="885"/>
      <c r="Y392" s="885"/>
      <c r="Z392" s="885"/>
    </row>
    <row r="393" ht="15.0" customHeight="1">
      <c r="A393" s="3"/>
      <c r="B393" s="884"/>
      <c r="C393" s="884"/>
      <c r="D393" s="3"/>
      <c r="E393" s="885"/>
      <c r="F393" s="3" t="s">
        <v>1746</v>
      </c>
      <c r="G393" s="3" t="s">
        <v>1758</v>
      </c>
      <c r="H393" s="886">
        <v>20.0</v>
      </c>
      <c r="I393" s="885"/>
      <c r="J393" s="885"/>
      <c r="K393" s="885"/>
      <c r="L393" s="885"/>
      <c r="M393" s="885"/>
      <c r="N393" s="887"/>
      <c r="O393" s="885"/>
      <c r="P393" s="885"/>
      <c r="Q393" s="885"/>
      <c r="R393" s="885"/>
      <c r="S393" s="885"/>
      <c r="T393" s="885"/>
      <c r="U393" s="885"/>
      <c r="V393" s="885"/>
      <c r="W393" s="885"/>
      <c r="X393" s="885"/>
      <c r="Y393" s="885"/>
      <c r="Z393" s="885"/>
    </row>
    <row r="394" ht="15.0" customHeight="1">
      <c r="A394" s="3"/>
      <c r="B394" s="884"/>
      <c r="C394" s="884"/>
      <c r="D394" s="3"/>
      <c r="E394" s="885"/>
      <c r="F394" s="3" t="s">
        <v>1205</v>
      </c>
      <c r="G394" s="3"/>
      <c r="H394" s="886">
        <v>10.0</v>
      </c>
      <c r="I394" s="885"/>
      <c r="J394" s="885"/>
      <c r="K394" s="885"/>
      <c r="L394" s="885"/>
      <c r="M394" s="885"/>
      <c r="N394" s="887"/>
      <c r="O394" s="885"/>
      <c r="P394" s="885"/>
      <c r="Q394" s="885"/>
      <c r="R394" s="885"/>
      <c r="S394" s="885"/>
      <c r="T394" s="885"/>
      <c r="U394" s="885"/>
      <c r="V394" s="885"/>
      <c r="W394" s="885"/>
      <c r="X394" s="885"/>
      <c r="Y394" s="885"/>
      <c r="Z394" s="885"/>
    </row>
    <row r="395" ht="15.0" customHeight="1">
      <c r="A395" s="3" t="s">
        <v>108</v>
      </c>
      <c r="B395" s="884" t="str">
        <f t="shared" ref="B395:B396" si="1">"+14 days open Far East"</f>
        <v>+14 days open Far East</v>
      </c>
      <c r="C395" s="884"/>
      <c r="D395" s="3"/>
      <c r="E395" s="885"/>
      <c r="F395" s="3" t="s">
        <v>1760</v>
      </c>
      <c r="G395" s="3"/>
      <c r="H395" s="886">
        <v>13.0</v>
      </c>
      <c r="I395" s="885"/>
      <c r="J395" s="885"/>
      <c r="K395" s="885"/>
      <c r="L395" s="885"/>
      <c r="M395" s="885"/>
      <c r="N395" s="887"/>
      <c r="O395" s="885"/>
      <c r="P395" s="885"/>
      <c r="Q395" s="885"/>
      <c r="R395" s="885"/>
      <c r="S395" s="885"/>
      <c r="T395" s="885"/>
      <c r="U395" s="885"/>
      <c r="V395" s="885"/>
      <c r="W395" s="885"/>
      <c r="X395" s="885"/>
      <c r="Y395" s="885"/>
      <c r="Z395" s="885"/>
    </row>
    <row r="396" ht="15.0" customHeight="1">
      <c r="A396" s="895" t="s">
        <v>1937</v>
      </c>
      <c r="B396" s="884" t="str">
        <f t="shared" si="1"/>
        <v>+14 days open Far East</v>
      </c>
      <c r="C396" s="884"/>
      <c r="D396" s="3"/>
      <c r="E396" s="885"/>
      <c r="F396" s="3" t="s">
        <v>1267</v>
      </c>
      <c r="G396" s="3" t="s">
        <v>1757</v>
      </c>
      <c r="H396" s="886">
        <v>1.0</v>
      </c>
      <c r="I396" s="885"/>
      <c r="J396" s="885"/>
      <c r="K396" s="885"/>
      <c r="L396" s="885"/>
      <c r="M396" s="885"/>
      <c r="N396" s="887"/>
      <c r="O396" s="885"/>
      <c r="P396" s="885"/>
      <c r="Q396" s="885"/>
      <c r="R396" s="885"/>
      <c r="S396" s="885"/>
      <c r="T396" s="885"/>
      <c r="U396" s="885"/>
      <c r="V396" s="885"/>
      <c r="W396" s="885"/>
      <c r="X396" s="885"/>
      <c r="Y396" s="885"/>
      <c r="Z396" s="885"/>
    </row>
    <row r="397" ht="15.0" customHeight="1">
      <c r="A397" s="3"/>
      <c r="B397" s="884"/>
      <c r="C397" s="884"/>
      <c r="D397" s="3"/>
      <c r="E397" s="885"/>
      <c r="F397" s="3" t="s">
        <v>561</v>
      </c>
      <c r="G397" s="3"/>
      <c r="H397" s="886">
        <v>1.0</v>
      </c>
      <c r="I397" s="885"/>
      <c r="J397" s="885"/>
      <c r="K397" s="885"/>
      <c r="L397" s="885"/>
      <c r="M397" s="885"/>
      <c r="N397" s="887"/>
      <c r="O397" s="885"/>
      <c r="P397" s="885"/>
      <c r="Q397" s="885"/>
      <c r="R397" s="885"/>
      <c r="S397" s="885"/>
      <c r="T397" s="885"/>
      <c r="U397" s="885"/>
      <c r="V397" s="885"/>
      <c r="W397" s="885"/>
      <c r="X397" s="885"/>
      <c r="Y397" s="885"/>
      <c r="Z397" s="885"/>
    </row>
    <row r="398" ht="15.0" customHeight="1">
      <c r="A398" s="3"/>
      <c r="B398" s="884"/>
      <c r="C398" s="884"/>
      <c r="D398" s="3"/>
      <c r="E398" s="885"/>
      <c r="F398" s="3" t="s">
        <v>1855</v>
      </c>
      <c r="G398" s="3"/>
      <c r="H398" s="886">
        <v>5.0</v>
      </c>
      <c r="I398" s="885"/>
      <c r="J398" s="885"/>
      <c r="K398" s="885"/>
      <c r="L398" s="885"/>
      <c r="M398" s="885"/>
      <c r="N398" s="887"/>
      <c r="O398" s="885"/>
      <c r="P398" s="885"/>
      <c r="Q398" s="885"/>
      <c r="R398" s="885"/>
      <c r="S398" s="885"/>
      <c r="T398" s="885"/>
      <c r="U398" s="885"/>
      <c r="V398" s="885"/>
      <c r="W398" s="885"/>
      <c r="X398" s="885"/>
      <c r="Y398" s="885"/>
      <c r="Z398" s="885"/>
    </row>
    <row r="399" ht="15.0" customHeight="1">
      <c r="A399" s="3"/>
      <c r="B399" s="884"/>
      <c r="C399" s="884"/>
      <c r="D399" s="3"/>
      <c r="E399" s="885"/>
      <c r="F399" s="3" t="s">
        <v>1171</v>
      </c>
      <c r="G399" s="3"/>
      <c r="H399" s="886">
        <v>10.0</v>
      </c>
      <c r="I399" s="885"/>
      <c r="J399" s="885"/>
      <c r="K399" s="885"/>
      <c r="L399" s="885"/>
      <c r="M399" s="885"/>
      <c r="N399" s="887"/>
      <c r="O399" s="885"/>
      <c r="P399" s="885"/>
      <c r="Q399" s="885"/>
      <c r="R399" s="885"/>
      <c r="S399" s="885"/>
      <c r="T399" s="885"/>
      <c r="U399" s="885"/>
      <c r="V399" s="885"/>
      <c r="W399" s="885"/>
      <c r="X399" s="885"/>
      <c r="Y399" s="885"/>
      <c r="Z399" s="885"/>
    </row>
    <row r="400" ht="15.0" customHeight="1">
      <c r="A400" s="3"/>
      <c r="B400" s="884"/>
      <c r="C400" s="884"/>
      <c r="D400" s="3"/>
      <c r="E400" s="885"/>
      <c r="F400" s="895" t="s">
        <v>1938</v>
      </c>
      <c r="G400" s="3"/>
      <c r="H400" s="900">
        <v>0.0</v>
      </c>
      <c r="I400" s="885"/>
      <c r="J400" s="885"/>
      <c r="K400" s="885"/>
      <c r="L400" s="885"/>
      <c r="M400" s="885"/>
      <c r="N400" s="887"/>
      <c r="O400" s="885"/>
      <c r="P400" s="885"/>
      <c r="Q400" s="885"/>
      <c r="R400" s="885"/>
      <c r="S400" s="885"/>
      <c r="T400" s="885"/>
      <c r="U400" s="885"/>
      <c r="V400" s="885"/>
      <c r="W400" s="885"/>
      <c r="X400" s="885"/>
      <c r="Y400" s="885"/>
      <c r="Z400" s="885"/>
    </row>
    <row r="401" ht="15.0" customHeight="1">
      <c r="A401" s="3"/>
      <c r="B401" s="884"/>
      <c r="C401" s="884"/>
      <c r="D401" s="3"/>
      <c r="E401" s="885"/>
      <c r="F401" s="895" t="s">
        <v>1702</v>
      </c>
      <c r="G401" s="3"/>
      <c r="H401" s="900">
        <v>25.083</v>
      </c>
      <c r="I401" s="885"/>
      <c r="J401" s="885"/>
      <c r="K401" s="3"/>
      <c r="L401" s="885"/>
      <c r="M401" s="885"/>
      <c r="N401" s="887"/>
      <c r="O401" s="885"/>
      <c r="P401" s="885"/>
      <c r="Q401" s="885"/>
      <c r="R401" s="885"/>
      <c r="S401" s="885"/>
      <c r="T401" s="885"/>
      <c r="U401" s="885"/>
      <c r="V401" s="885"/>
      <c r="W401" s="885"/>
      <c r="X401" s="885"/>
      <c r="Y401" s="885"/>
      <c r="Z401" s="885"/>
    </row>
    <row r="402" ht="15.0" customHeight="1">
      <c r="A402" s="3" t="s">
        <v>1939</v>
      </c>
      <c r="B402" s="883" t="s">
        <v>1940</v>
      </c>
      <c r="C402" s="884"/>
      <c r="D402" s="3"/>
      <c r="E402" s="885"/>
      <c r="F402" s="895" t="s">
        <v>374</v>
      </c>
      <c r="G402" s="3"/>
      <c r="H402" s="900">
        <v>17.0</v>
      </c>
      <c r="I402" s="885"/>
      <c r="J402" s="885"/>
      <c r="K402" s="3"/>
      <c r="L402" s="885"/>
      <c r="M402" s="885"/>
      <c r="N402" s="887"/>
      <c r="O402" s="885"/>
      <c r="P402" s="885"/>
      <c r="Q402" s="885"/>
      <c r="R402" s="885"/>
      <c r="S402" s="885"/>
      <c r="T402" s="885"/>
      <c r="U402" s="885"/>
      <c r="V402" s="885"/>
      <c r="W402" s="885"/>
      <c r="X402" s="885"/>
      <c r="Y402" s="885"/>
      <c r="Z402" s="885"/>
    </row>
    <row r="403" ht="15.0" customHeight="1">
      <c r="A403" s="3" t="s">
        <v>677</v>
      </c>
      <c r="B403" s="884" t="s">
        <v>307</v>
      </c>
      <c r="C403" s="884"/>
      <c r="D403" s="3"/>
      <c r="E403" s="885"/>
      <c r="F403" s="3" t="s">
        <v>1716</v>
      </c>
      <c r="G403" s="3" t="s">
        <v>1941</v>
      </c>
      <c r="H403" s="886">
        <v>5.0</v>
      </c>
      <c r="I403" s="885"/>
      <c r="J403" s="885"/>
      <c r="K403" s="885"/>
      <c r="L403" s="885"/>
      <c r="M403" s="885"/>
      <c r="N403" s="887"/>
      <c r="O403" s="885"/>
      <c r="P403" s="885"/>
      <c r="Q403" s="885"/>
      <c r="R403" s="885"/>
      <c r="S403" s="885"/>
      <c r="T403" s="885"/>
      <c r="U403" s="885"/>
      <c r="V403" s="885"/>
      <c r="W403" s="885"/>
      <c r="X403" s="885"/>
      <c r="Y403" s="885"/>
      <c r="Z403" s="885"/>
    </row>
    <row r="404" ht="15.0" customHeight="1">
      <c r="A404" s="922" t="s">
        <v>1942</v>
      </c>
      <c r="B404" s="884" t="s">
        <v>307</v>
      </c>
      <c r="C404" s="884"/>
      <c r="D404" s="3"/>
      <c r="E404" s="885"/>
      <c r="F404" s="3" t="s">
        <v>728</v>
      </c>
      <c r="G404" s="3" t="s">
        <v>1716</v>
      </c>
      <c r="H404" s="886">
        <v>5.0</v>
      </c>
      <c r="I404" s="885"/>
      <c r="J404" s="885"/>
      <c r="K404" s="885"/>
      <c r="L404" s="885"/>
      <c r="M404" s="885"/>
      <c r="N404" s="887"/>
      <c r="O404" s="885"/>
      <c r="P404" s="885"/>
      <c r="Q404" s="885"/>
      <c r="R404" s="885"/>
      <c r="S404" s="885"/>
      <c r="T404" s="885"/>
      <c r="U404" s="885"/>
      <c r="V404" s="885"/>
      <c r="W404" s="885"/>
      <c r="X404" s="885"/>
      <c r="Y404" s="885"/>
      <c r="Z404" s="885"/>
    </row>
    <row r="405" ht="15.0" customHeight="1">
      <c r="A405" s="20"/>
      <c r="B405" s="884"/>
      <c r="C405" s="884"/>
      <c r="D405" s="3"/>
      <c r="E405" s="885"/>
      <c r="F405" s="3" t="s">
        <v>773</v>
      </c>
      <c r="G405" s="3" t="s">
        <v>1754</v>
      </c>
      <c r="H405" s="900">
        <v>2.0</v>
      </c>
      <c r="I405" s="885"/>
      <c r="J405" s="885"/>
      <c r="K405" s="885"/>
      <c r="L405" s="885"/>
      <c r="M405" s="885"/>
      <c r="N405" s="887"/>
      <c r="O405" s="885"/>
      <c r="P405" s="885"/>
      <c r="Q405" s="885"/>
      <c r="R405" s="885"/>
      <c r="S405" s="885"/>
      <c r="T405" s="885"/>
      <c r="U405" s="885"/>
      <c r="V405" s="885"/>
      <c r="W405" s="885"/>
      <c r="X405" s="885"/>
      <c r="Y405" s="885"/>
      <c r="Z405" s="885"/>
    </row>
    <row r="406" ht="15.0" customHeight="1">
      <c r="A406" s="20"/>
      <c r="B406" s="884"/>
      <c r="C406" s="884"/>
      <c r="D406" s="3"/>
      <c r="E406" s="885"/>
      <c r="F406" s="3" t="s">
        <v>1859</v>
      </c>
      <c r="G406" s="3" t="s">
        <v>1860</v>
      </c>
      <c r="H406" s="886">
        <v>0.0</v>
      </c>
      <c r="I406" s="885"/>
      <c r="J406" s="885"/>
      <c r="K406" s="885"/>
      <c r="L406" s="885"/>
      <c r="M406" s="885"/>
      <c r="N406" s="887"/>
      <c r="O406" s="885"/>
      <c r="P406" s="885"/>
      <c r="Q406" s="885"/>
      <c r="R406" s="885"/>
      <c r="S406" s="885"/>
      <c r="T406" s="885"/>
      <c r="U406" s="885"/>
      <c r="V406" s="885"/>
      <c r="W406" s="885"/>
      <c r="X406" s="885"/>
      <c r="Y406" s="885"/>
      <c r="Z406" s="885"/>
    </row>
    <row r="407" ht="15.0" customHeight="1">
      <c r="A407" s="3"/>
      <c r="B407" s="884"/>
      <c r="C407" s="884"/>
      <c r="D407" s="3"/>
      <c r="E407" s="885"/>
      <c r="F407" s="3" t="s">
        <v>302</v>
      </c>
      <c r="G407" s="3" t="s">
        <v>302</v>
      </c>
      <c r="H407" s="886">
        <v>5.0</v>
      </c>
      <c r="I407" s="885"/>
      <c r="J407" s="885"/>
      <c r="K407" s="885"/>
      <c r="L407" s="885"/>
      <c r="M407" s="885"/>
      <c r="N407" s="887"/>
      <c r="O407" s="885"/>
      <c r="P407" s="885"/>
      <c r="Q407" s="885"/>
      <c r="R407" s="885"/>
      <c r="S407" s="885"/>
      <c r="T407" s="885"/>
      <c r="U407" s="885"/>
      <c r="V407" s="885"/>
      <c r="W407" s="885"/>
      <c r="X407" s="885"/>
      <c r="Y407" s="885"/>
      <c r="Z407" s="885"/>
    </row>
    <row r="408" ht="15.0" customHeight="1">
      <c r="A408" s="3" t="s">
        <v>1943</v>
      </c>
      <c r="B408" s="884" t="s">
        <v>307</v>
      </c>
      <c r="C408" s="884"/>
      <c r="D408" s="3"/>
      <c r="E408" s="885"/>
      <c r="F408" s="3" t="s">
        <v>1270</v>
      </c>
      <c r="G408" s="3" t="s">
        <v>1761</v>
      </c>
      <c r="H408" s="886">
        <v>3.0</v>
      </c>
      <c r="I408" s="885"/>
      <c r="J408" s="885"/>
      <c r="K408" s="885"/>
      <c r="L408" s="885"/>
      <c r="M408" s="885"/>
      <c r="N408" s="887"/>
      <c r="O408" s="885"/>
      <c r="P408" s="885"/>
      <c r="Q408" s="885"/>
      <c r="R408" s="885"/>
      <c r="S408" s="885"/>
      <c r="T408" s="885"/>
      <c r="U408" s="885"/>
      <c r="V408" s="885"/>
      <c r="W408" s="885"/>
      <c r="X408" s="885"/>
      <c r="Y408" s="885"/>
      <c r="Z408" s="885"/>
    </row>
    <row r="409" ht="15.0" customHeight="1">
      <c r="A409" s="3" t="s">
        <v>1944</v>
      </c>
      <c r="B409" s="884" t="s">
        <v>307</v>
      </c>
      <c r="C409" s="884"/>
      <c r="D409" s="3"/>
      <c r="E409" s="885"/>
      <c r="J409" s="885"/>
      <c r="K409" s="885"/>
      <c r="L409" s="885"/>
      <c r="M409" s="885"/>
      <c r="N409" s="887"/>
      <c r="O409" s="885"/>
      <c r="P409" s="885"/>
      <c r="Q409" s="885"/>
      <c r="R409" s="885"/>
      <c r="S409" s="885"/>
      <c r="T409" s="885"/>
      <c r="U409" s="885"/>
      <c r="V409" s="885"/>
      <c r="W409" s="885"/>
      <c r="X409" s="885"/>
      <c r="Y409" s="885"/>
      <c r="Z409" s="885"/>
    </row>
    <row r="410" ht="15.0" customHeight="1">
      <c r="A410" s="3" t="s">
        <v>1945</v>
      </c>
      <c r="B410" s="884" t="s">
        <v>307</v>
      </c>
      <c r="C410" s="884"/>
      <c r="D410" s="3"/>
      <c r="E410" s="885"/>
      <c r="F410" s="3" t="s">
        <v>951</v>
      </c>
      <c r="G410" s="3" t="s">
        <v>132</v>
      </c>
      <c r="H410" s="886">
        <v>15.0</v>
      </c>
      <c r="I410" s="885"/>
      <c r="J410" s="885"/>
      <c r="K410" s="885"/>
      <c r="L410" s="885"/>
      <c r="M410" s="885"/>
      <c r="N410" s="887"/>
      <c r="O410" s="885"/>
      <c r="P410" s="885"/>
      <c r="Q410" s="885"/>
      <c r="R410" s="885"/>
      <c r="S410" s="885"/>
      <c r="T410" s="885"/>
      <c r="U410" s="885"/>
      <c r="V410" s="885"/>
      <c r="W410" s="885"/>
      <c r="X410" s="885"/>
      <c r="Y410" s="885"/>
      <c r="Z410" s="885"/>
    </row>
    <row r="411" ht="15.0" customHeight="1">
      <c r="A411" s="3" t="s">
        <v>1946</v>
      </c>
      <c r="B411" s="884" t="s">
        <v>307</v>
      </c>
      <c r="C411" s="884"/>
      <c r="D411" s="3"/>
      <c r="E411" s="885"/>
      <c r="J411" s="885"/>
      <c r="K411" s="885"/>
      <c r="L411" s="885"/>
      <c r="M411" s="885"/>
      <c r="N411" s="887"/>
      <c r="O411" s="885"/>
      <c r="P411" s="885"/>
      <c r="Q411" s="885"/>
      <c r="R411" s="885"/>
      <c r="S411" s="885"/>
      <c r="T411" s="885"/>
      <c r="U411" s="885"/>
      <c r="V411" s="885"/>
      <c r="W411" s="885"/>
      <c r="X411" s="885"/>
      <c r="Y411" s="885"/>
      <c r="Z411" s="885"/>
    </row>
    <row r="412" ht="15.0" customHeight="1">
      <c r="A412" s="3" t="s">
        <v>1947</v>
      </c>
      <c r="B412" s="884" t="s">
        <v>307</v>
      </c>
      <c r="C412" s="884"/>
      <c r="D412" s="3"/>
      <c r="E412" s="885"/>
      <c r="F412" s="3"/>
      <c r="G412" s="3"/>
      <c r="H412" s="886" t="s">
        <v>1948</v>
      </c>
      <c r="I412" s="884" t="s">
        <v>1949</v>
      </c>
      <c r="J412" s="885"/>
      <c r="K412" s="885"/>
      <c r="L412" s="885"/>
      <c r="M412" s="885"/>
      <c r="N412" s="887"/>
      <c r="O412" s="885"/>
      <c r="P412" s="885"/>
      <c r="Q412" s="885"/>
      <c r="R412" s="885"/>
      <c r="S412" s="885"/>
      <c r="T412" s="885"/>
      <c r="U412" s="885"/>
      <c r="V412" s="885"/>
      <c r="W412" s="885"/>
      <c r="X412" s="885"/>
      <c r="Y412" s="885"/>
      <c r="Z412" s="885"/>
    </row>
    <row r="413" ht="15.0" customHeight="1">
      <c r="A413" s="3" t="s">
        <v>1950</v>
      </c>
      <c r="B413" s="884" t="s">
        <v>307</v>
      </c>
      <c r="C413" s="884"/>
      <c r="D413" s="3"/>
      <c r="E413" s="885"/>
      <c r="F413" s="915" t="s">
        <v>698</v>
      </c>
      <c r="G413" s="3"/>
      <c r="H413" s="886">
        <v>28.0</v>
      </c>
      <c r="I413" s="923">
        <v>19.0</v>
      </c>
      <c r="J413" s="885"/>
      <c r="K413" s="885"/>
      <c r="L413" s="885"/>
      <c r="M413" s="885"/>
      <c r="N413" s="887"/>
      <c r="O413" s="885"/>
      <c r="P413" s="885"/>
      <c r="Q413" s="885"/>
      <c r="R413" s="885"/>
      <c r="S413" s="885"/>
      <c r="T413" s="885"/>
      <c r="U413" s="885"/>
      <c r="V413" s="885"/>
      <c r="W413" s="885"/>
      <c r="X413" s="885"/>
      <c r="Y413" s="885"/>
      <c r="Z413" s="885"/>
    </row>
    <row r="414" ht="15.0" customHeight="1">
      <c r="A414" s="3" t="s">
        <v>1951</v>
      </c>
      <c r="B414" s="884" t="s">
        <v>307</v>
      </c>
      <c r="C414" s="884"/>
      <c r="D414" s="3"/>
      <c r="E414" s="885"/>
      <c r="F414" s="46" t="s">
        <v>860</v>
      </c>
      <c r="H414" s="897">
        <v>33.0</v>
      </c>
      <c r="I414" s="924"/>
      <c r="J414" s="885"/>
      <c r="K414" s="885"/>
      <c r="L414" s="885"/>
      <c r="M414" s="885"/>
      <c r="N414" s="887"/>
      <c r="O414" s="885"/>
      <c r="P414" s="885"/>
      <c r="Q414" s="885"/>
      <c r="R414" s="885"/>
      <c r="S414" s="885"/>
      <c r="T414" s="885"/>
      <c r="U414" s="885"/>
      <c r="V414" s="885"/>
      <c r="W414" s="885"/>
      <c r="X414" s="885"/>
      <c r="Y414" s="885"/>
      <c r="Z414" s="885"/>
    </row>
    <row r="415" ht="15.0" customHeight="1">
      <c r="A415" s="3" t="s">
        <v>149</v>
      </c>
      <c r="B415" s="884" t="s">
        <v>307</v>
      </c>
      <c r="C415" s="884"/>
      <c r="D415" s="3"/>
      <c r="E415" s="885"/>
      <c r="F415" s="895" t="s">
        <v>784</v>
      </c>
      <c r="G415" s="3" t="s">
        <v>494</v>
      </c>
      <c r="H415" s="886">
        <v>28.0</v>
      </c>
      <c r="I415" s="923">
        <v>18.0</v>
      </c>
      <c r="J415" s="885"/>
      <c r="K415" s="885"/>
      <c r="L415" s="885"/>
      <c r="M415" s="885"/>
      <c r="N415" s="887"/>
      <c r="O415" s="885"/>
      <c r="P415" s="885"/>
      <c r="Q415" s="885"/>
      <c r="R415" s="885"/>
      <c r="S415" s="885"/>
      <c r="T415" s="885"/>
      <c r="U415" s="885"/>
      <c r="V415" s="885"/>
      <c r="W415" s="885"/>
      <c r="X415" s="885"/>
      <c r="Y415" s="885"/>
      <c r="Z415" s="885"/>
    </row>
    <row r="416" ht="15.0" customHeight="1">
      <c r="A416" s="3" t="s">
        <v>1952</v>
      </c>
      <c r="B416" s="884" t="s">
        <v>307</v>
      </c>
      <c r="C416" s="884"/>
      <c r="D416" s="3"/>
      <c r="E416" s="885"/>
      <c r="F416" s="725" t="s">
        <v>1147</v>
      </c>
      <c r="H416" s="725">
        <v>33.0</v>
      </c>
      <c r="J416" s="885"/>
      <c r="K416" s="885"/>
      <c r="L416" s="885"/>
      <c r="M416" s="885"/>
      <c r="N416" s="887"/>
      <c r="O416" s="885"/>
      <c r="P416" s="885"/>
      <c r="Q416" s="885"/>
      <c r="R416" s="885"/>
      <c r="S416" s="885"/>
      <c r="T416" s="885"/>
      <c r="U416" s="885"/>
      <c r="V416" s="885"/>
      <c r="W416" s="885"/>
      <c r="X416" s="885"/>
      <c r="Y416" s="885"/>
      <c r="Z416" s="885"/>
    </row>
    <row r="417" ht="15.0" customHeight="1">
      <c r="A417" s="919" t="s">
        <v>149</v>
      </c>
      <c r="B417" s="884" t="s">
        <v>307</v>
      </c>
      <c r="C417" s="884"/>
      <c r="D417" s="3"/>
      <c r="E417" s="885"/>
      <c r="F417" s="3" t="s">
        <v>755</v>
      </c>
      <c r="G417" s="3" t="s">
        <v>106</v>
      </c>
      <c r="H417" s="886">
        <v>29.0</v>
      </c>
      <c r="I417" s="923">
        <v>21.0</v>
      </c>
      <c r="J417" s="885"/>
      <c r="K417" s="885"/>
      <c r="L417" s="885"/>
      <c r="M417" s="885"/>
      <c r="N417" s="887"/>
      <c r="O417" s="885"/>
      <c r="P417" s="885"/>
      <c r="Q417" s="885"/>
      <c r="R417" s="885"/>
      <c r="S417" s="885"/>
      <c r="T417" s="885"/>
      <c r="U417" s="885"/>
      <c r="V417" s="885"/>
      <c r="W417" s="885"/>
      <c r="X417" s="885"/>
      <c r="Y417" s="885"/>
      <c r="Z417" s="885"/>
    </row>
    <row r="418" ht="15.0" customHeight="1">
      <c r="A418" s="895" t="s">
        <v>1953</v>
      </c>
      <c r="B418" s="884" t="s">
        <v>307</v>
      </c>
      <c r="C418" s="884"/>
      <c r="D418" s="3"/>
      <c r="E418" s="885"/>
      <c r="F418" s="3"/>
      <c r="G418" s="3"/>
      <c r="H418" s="886"/>
      <c r="I418" s="923"/>
      <c r="J418" s="885"/>
      <c r="K418" s="885"/>
      <c r="L418" s="885"/>
      <c r="M418" s="885"/>
      <c r="N418" s="887"/>
      <c r="O418" s="885"/>
      <c r="P418" s="885"/>
      <c r="Q418" s="885"/>
      <c r="R418" s="885"/>
      <c r="S418" s="885"/>
      <c r="T418" s="885"/>
      <c r="U418" s="885"/>
      <c r="V418" s="885"/>
      <c r="W418" s="885"/>
      <c r="X418" s="885"/>
      <c r="Y418" s="885"/>
      <c r="Z418" s="885"/>
    </row>
    <row r="419" ht="15.0" customHeight="1">
      <c r="A419" s="3" t="s">
        <v>101</v>
      </c>
      <c r="B419" s="3" t="s">
        <v>307</v>
      </c>
      <c r="C419" s="884"/>
      <c r="D419" s="3"/>
      <c r="E419" s="885"/>
      <c r="F419" s="3" t="s">
        <v>1231</v>
      </c>
      <c r="G419" s="3" t="s">
        <v>1879</v>
      </c>
      <c r="H419" s="886">
        <v>28.0</v>
      </c>
      <c r="I419" s="923">
        <v>18.0</v>
      </c>
      <c r="J419" s="885"/>
      <c r="K419" s="885"/>
      <c r="L419" s="885"/>
      <c r="M419" s="885"/>
      <c r="N419" s="887"/>
      <c r="O419" s="885"/>
      <c r="P419" s="885"/>
      <c r="Q419" s="885"/>
      <c r="R419" s="885"/>
      <c r="S419" s="885"/>
      <c r="T419" s="885"/>
      <c r="U419" s="885"/>
      <c r="V419" s="885"/>
      <c r="W419" s="885"/>
      <c r="X419" s="885"/>
      <c r="Y419" s="885"/>
      <c r="Z419" s="885"/>
    </row>
    <row r="420" ht="15.0" customHeight="1">
      <c r="A420" s="3" t="s">
        <v>1954</v>
      </c>
      <c r="B420" s="3" t="s">
        <v>307</v>
      </c>
      <c r="C420" s="884"/>
      <c r="D420" s="3"/>
      <c r="E420" s="885"/>
      <c r="F420" s="3" t="s">
        <v>1085</v>
      </c>
      <c r="G420" s="3" t="s">
        <v>1955</v>
      </c>
      <c r="H420" s="886">
        <v>13.0</v>
      </c>
      <c r="I420" s="923">
        <v>14.0</v>
      </c>
      <c r="J420" s="885"/>
      <c r="K420" s="885"/>
      <c r="L420" s="885"/>
      <c r="M420" s="885"/>
      <c r="N420" s="887"/>
      <c r="O420" s="885"/>
      <c r="P420" s="885"/>
      <c r="Q420" s="885"/>
      <c r="R420" s="885"/>
      <c r="S420" s="885"/>
      <c r="T420" s="885"/>
      <c r="U420" s="885"/>
      <c r="V420" s="885"/>
      <c r="W420" s="885"/>
      <c r="X420" s="885"/>
      <c r="Y420" s="885"/>
      <c r="Z420" s="885"/>
    </row>
    <row r="421" ht="15.0" customHeight="1">
      <c r="A421" s="3" t="s">
        <v>307</v>
      </c>
      <c r="B421" s="884" t="s">
        <v>307</v>
      </c>
      <c r="C421" s="884"/>
      <c r="D421" s="3"/>
      <c r="E421" s="885"/>
      <c r="F421" s="3"/>
      <c r="G421" s="3"/>
      <c r="H421" s="886"/>
      <c r="I421" s="925"/>
      <c r="J421" s="885"/>
      <c r="K421" s="885"/>
      <c r="L421" s="885"/>
      <c r="M421" s="885"/>
      <c r="N421" s="887"/>
      <c r="O421" s="885"/>
      <c r="P421" s="885"/>
      <c r="Q421" s="885"/>
      <c r="R421" s="885"/>
      <c r="S421" s="885"/>
      <c r="T421" s="885"/>
      <c r="U421" s="885"/>
      <c r="V421" s="885"/>
      <c r="W421" s="885"/>
      <c r="X421" s="885"/>
      <c r="Y421" s="885"/>
      <c r="Z421" s="885"/>
    </row>
    <row r="422" ht="15.0" customHeight="1">
      <c r="A422" s="3" t="s">
        <v>1956</v>
      </c>
      <c r="B422" s="884" t="s">
        <v>307</v>
      </c>
      <c r="C422" s="884"/>
      <c r="D422" s="3"/>
      <c r="E422" s="885"/>
      <c r="F422" s="3" t="s">
        <v>1039</v>
      </c>
      <c r="G422" s="3" t="s">
        <v>160</v>
      </c>
      <c r="H422" s="886">
        <v>13.0</v>
      </c>
      <c r="I422" s="925"/>
      <c r="J422" s="885"/>
      <c r="K422" s="885"/>
      <c r="L422" s="885"/>
      <c r="M422" s="885"/>
      <c r="N422" s="887"/>
      <c r="O422" s="885"/>
      <c r="P422" s="885"/>
      <c r="Q422" s="885"/>
      <c r="R422" s="885"/>
      <c r="S422" s="885"/>
      <c r="T422" s="885"/>
      <c r="U422" s="885"/>
      <c r="V422" s="885"/>
      <c r="W422" s="885"/>
      <c r="X422" s="885"/>
      <c r="Y422" s="885"/>
      <c r="Z422" s="885"/>
    </row>
    <row r="423" ht="15.0" customHeight="1">
      <c r="A423" s="3" t="s">
        <v>1957</v>
      </c>
      <c r="B423" s="884" t="s">
        <v>307</v>
      </c>
      <c r="C423" s="884"/>
      <c r="D423" s="3"/>
      <c r="E423" s="885"/>
      <c r="F423" s="3" t="s">
        <v>745</v>
      </c>
      <c r="G423" s="3" t="s">
        <v>1958</v>
      </c>
      <c r="H423" s="886">
        <v>8.0</v>
      </c>
      <c r="I423" s="925"/>
      <c r="J423" s="885"/>
      <c r="K423" s="885"/>
      <c r="L423" s="885"/>
      <c r="M423" s="885"/>
      <c r="N423" s="887"/>
      <c r="O423" s="885"/>
      <c r="P423" s="885"/>
      <c r="Q423" s="885"/>
      <c r="R423" s="885"/>
      <c r="S423" s="885"/>
      <c r="T423" s="885"/>
      <c r="U423" s="885"/>
      <c r="V423" s="885"/>
      <c r="W423" s="885"/>
      <c r="X423" s="885"/>
      <c r="Y423" s="885"/>
      <c r="Z423" s="885"/>
    </row>
    <row r="424" ht="15.0" customHeight="1">
      <c r="A424" s="3" t="s">
        <v>1959</v>
      </c>
      <c r="B424" s="884" t="s">
        <v>307</v>
      </c>
      <c r="C424" s="884"/>
      <c r="D424" s="3"/>
      <c r="E424" s="885"/>
      <c r="F424" s="3" t="s">
        <v>211</v>
      </c>
      <c r="G424" s="3"/>
      <c r="H424" s="886">
        <v>26.0</v>
      </c>
      <c r="I424" s="923">
        <v>14.0</v>
      </c>
      <c r="J424" s="885"/>
      <c r="K424" s="885"/>
      <c r="L424" s="885"/>
      <c r="M424" s="885"/>
      <c r="N424" s="887"/>
      <c r="O424" s="885"/>
      <c r="P424" s="885"/>
      <c r="Q424" s="885"/>
      <c r="R424" s="885"/>
      <c r="S424" s="885"/>
      <c r="T424" s="885"/>
      <c r="U424" s="885"/>
      <c r="V424" s="885"/>
      <c r="W424" s="885"/>
      <c r="X424" s="885"/>
      <c r="Y424" s="885"/>
      <c r="Z424" s="885"/>
    </row>
    <row r="425" ht="15.0" customHeight="1">
      <c r="A425" s="3" t="s">
        <v>1960</v>
      </c>
      <c r="B425" s="884" t="s">
        <v>307</v>
      </c>
      <c r="C425" s="884"/>
      <c r="D425" s="3"/>
      <c r="E425" s="885"/>
      <c r="F425" s="3" t="s">
        <v>943</v>
      </c>
      <c r="G425" s="3" t="s">
        <v>1762</v>
      </c>
      <c r="H425" s="886">
        <v>18.0</v>
      </c>
      <c r="I425" s="925"/>
      <c r="J425" s="885"/>
      <c r="K425" s="885"/>
      <c r="L425" s="885"/>
      <c r="M425" s="885"/>
      <c r="N425" s="887"/>
      <c r="O425" s="885"/>
      <c r="P425" s="885"/>
      <c r="Q425" s="885"/>
      <c r="R425" s="885"/>
      <c r="S425" s="885"/>
      <c r="T425" s="885"/>
      <c r="U425" s="885"/>
      <c r="V425" s="885"/>
      <c r="W425" s="885"/>
      <c r="X425" s="885"/>
      <c r="Y425" s="885"/>
      <c r="Z425" s="885"/>
    </row>
    <row r="426" ht="15.0" customHeight="1">
      <c r="A426" s="3" t="s">
        <v>1961</v>
      </c>
      <c r="B426" s="884" t="s">
        <v>1962</v>
      </c>
      <c r="C426" s="884"/>
      <c r="D426" s="3"/>
      <c r="E426" s="885"/>
      <c r="F426" s="3" t="s">
        <v>1710</v>
      </c>
      <c r="G426" s="3"/>
      <c r="H426" s="886">
        <v>35.0</v>
      </c>
      <c r="I426" s="923">
        <v>25.0</v>
      </c>
      <c r="J426" s="885"/>
      <c r="K426" s="885"/>
      <c r="L426" s="885"/>
      <c r="M426" s="885"/>
      <c r="N426" s="887"/>
      <c r="O426" s="885"/>
      <c r="P426" s="885"/>
      <c r="Q426" s="885"/>
      <c r="R426" s="885"/>
      <c r="S426" s="885"/>
      <c r="T426" s="885"/>
      <c r="U426" s="885"/>
      <c r="V426" s="885"/>
      <c r="W426" s="885"/>
      <c r="X426" s="885"/>
      <c r="Y426" s="885"/>
      <c r="Z426" s="885"/>
    </row>
    <row r="427" ht="15.0" customHeight="1">
      <c r="A427" s="3" t="s">
        <v>1963</v>
      </c>
      <c r="B427" s="884" t="s">
        <v>307</v>
      </c>
      <c r="C427" s="884"/>
      <c r="D427" s="3"/>
      <c r="E427" s="885"/>
      <c r="F427" s="3" t="s">
        <v>663</v>
      </c>
      <c r="G427" s="3" t="s">
        <v>1710</v>
      </c>
      <c r="H427" s="886">
        <v>35.0</v>
      </c>
      <c r="I427" s="923">
        <v>25.0</v>
      </c>
      <c r="J427" s="3"/>
      <c r="K427" s="885"/>
      <c r="L427" s="885"/>
      <c r="M427" s="885"/>
      <c r="N427" s="887"/>
      <c r="O427" s="885"/>
      <c r="P427" s="885"/>
      <c r="Q427" s="885"/>
      <c r="R427" s="885"/>
      <c r="S427" s="885"/>
      <c r="T427" s="885"/>
      <c r="U427" s="885"/>
      <c r="V427" s="885"/>
      <c r="W427" s="885"/>
      <c r="X427" s="885"/>
      <c r="Y427" s="885"/>
      <c r="Z427" s="885"/>
    </row>
    <row r="428" ht="15.0" customHeight="1">
      <c r="A428" s="3" t="s">
        <v>1964</v>
      </c>
      <c r="B428" s="884" t="s">
        <v>1962</v>
      </c>
      <c r="C428" s="884"/>
      <c r="D428" s="3"/>
      <c r="E428" s="885"/>
      <c r="F428" s="3" t="s">
        <v>703</v>
      </c>
      <c r="G428" s="3" t="s">
        <v>1712</v>
      </c>
      <c r="H428" s="886">
        <v>33.0</v>
      </c>
      <c r="I428" s="923">
        <v>23.0</v>
      </c>
      <c r="J428" s="885"/>
      <c r="K428" s="885"/>
      <c r="L428" s="885"/>
      <c r="M428" s="885"/>
      <c r="N428" s="887"/>
      <c r="O428" s="885"/>
      <c r="P428" s="885"/>
      <c r="Q428" s="885"/>
      <c r="R428" s="885"/>
      <c r="S428" s="885"/>
      <c r="T428" s="885"/>
      <c r="U428" s="885"/>
      <c r="V428" s="885"/>
      <c r="W428" s="885"/>
      <c r="X428" s="885"/>
      <c r="Y428" s="885"/>
      <c r="Z428" s="885"/>
    </row>
    <row r="429" ht="15.0" customHeight="1">
      <c r="A429" s="3" t="s">
        <v>1965</v>
      </c>
      <c r="B429" s="884" t="s">
        <v>1962</v>
      </c>
      <c r="C429" s="884"/>
      <c r="D429" s="3"/>
      <c r="E429" s="885"/>
      <c r="F429" s="3" t="s">
        <v>963</v>
      </c>
      <c r="G429" s="3" t="s">
        <v>1722</v>
      </c>
      <c r="H429" s="886">
        <v>35.0</v>
      </c>
      <c r="I429" s="923">
        <v>26.0</v>
      </c>
      <c r="J429" s="885"/>
      <c r="K429" s="885"/>
      <c r="L429" s="885"/>
      <c r="M429" s="885"/>
      <c r="N429" s="887"/>
      <c r="O429" s="885"/>
      <c r="P429" s="885"/>
      <c r="Q429" s="885"/>
      <c r="R429" s="885"/>
      <c r="S429" s="885"/>
      <c r="T429" s="885"/>
      <c r="U429" s="885"/>
      <c r="V429" s="885"/>
      <c r="W429" s="885"/>
      <c r="X429" s="885"/>
      <c r="Y429" s="885"/>
      <c r="Z429" s="885"/>
    </row>
    <row r="430" ht="15.0" customHeight="1">
      <c r="A430" s="3" t="s">
        <v>1830</v>
      </c>
      <c r="B430" s="884" t="s">
        <v>1829</v>
      </c>
      <c r="C430" s="884"/>
      <c r="D430" s="3"/>
      <c r="E430" s="885"/>
      <c r="F430" s="3" t="s">
        <v>957</v>
      </c>
      <c r="G430" s="3" t="s">
        <v>445</v>
      </c>
      <c r="H430" s="886">
        <v>34.0</v>
      </c>
      <c r="I430" s="20">
        <v>24.0</v>
      </c>
      <c r="J430" s="885"/>
      <c r="K430" s="885"/>
      <c r="L430" s="885"/>
      <c r="M430" s="885"/>
      <c r="N430" s="887"/>
      <c r="O430" s="885"/>
      <c r="P430" s="885"/>
      <c r="Q430" s="885"/>
      <c r="R430" s="885"/>
      <c r="S430" s="885"/>
      <c r="T430" s="885"/>
      <c r="U430" s="885"/>
      <c r="V430" s="885"/>
      <c r="W430" s="885"/>
      <c r="X430" s="885"/>
      <c r="Y430" s="885"/>
      <c r="Z430" s="885"/>
    </row>
    <row r="431" ht="15.0" customHeight="1">
      <c r="A431" s="3" t="s">
        <v>1966</v>
      </c>
      <c r="B431" s="884" t="s">
        <v>1967</v>
      </c>
      <c r="C431" s="884"/>
      <c r="D431" s="3"/>
      <c r="E431" s="885"/>
      <c r="F431" s="3" t="s">
        <v>1369</v>
      </c>
      <c r="G431" s="3" t="s">
        <v>1706</v>
      </c>
      <c r="H431" s="886">
        <v>31.0</v>
      </c>
      <c r="I431" s="20">
        <v>21.0</v>
      </c>
      <c r="J431" s="885"/>
      <c r="K431" s="885"/>
      <c r="L431" s="885"/>
      <c r="M431" s="885"/>
      <c r="N431" s="887"/>
      <c r="O431" s="885"/>
      <c r="P431" s="885"/>
      <c r="Q431" s="885"/>
      <c r="R431" s="885"/>
      <c r="S431" s="885"/>
      <c r="T431" s="885"/>
      <c r="U431" s="885"/>
      <c r="V431" s="885"/>
      <c r="W431" s="885"/>
      <c r="X431" s="885"/>
      <c r="Y431" s="885"/>
      <c r="Z431" s="885"/>
    </row>
    <row r="432" ht="15.0" customHeight="1">
      <c r="A432" s="884" t="s">
        <v>1968</v>
      </c>
      <c r="B432" s="885"/>
      <c r="C432" s="885"/>
      <c r="D432" s="3"/>
      <c r="E432" s="885"/>
      <c r="F432" s="3" t="s">
        <v>809</v>
      </c>
      <c r="G432" s="3" t="s">
        <v>1707</v>
      </c>
      <c r="H432" s="886">
        <v>30.0</v>
      </c>
      <c r="I432" s="20">
        <v>20.0</v>
      </c>
      <c r="J432" s="885"/>
      <c r="K432" s="885"/>
      <c r="L432" s="885"/>
      <c r="M432" s="885"/>
      <c r="N432" s="887"/>
      <c r="O432" s="885"/>
      <c r="P432" s="885"/>
      <c r="Q432" s="885"/>
      <c r="R432" s="885"/>
      <c r="S432" s="885"/>
      <c r="T432" s="885"/>
      <c r="U432" s="885"/>
      <c r="V432" s="885"/>
      <c r="W432" s="885"/>
      <c r="X432" s="885"/>
      <c r="Y432" s="885"/>
      <c r="Z432" s="885"/>
    </row>
    <row r="433" ht="15.0" customHeight="1">
      <c r="A433" s="885"/>
      <c r="B433" s="885"/>
      <c r="C433" s="884"/>
      <c r="D433" s="3"/>
      <c r="E433" s="885"/>
      <c r="F433" s="3" t="s">
        <v>1327</v>
      </c>
      <c r="G433" s="3" t="s">
        <v>1708</v>
      </c>
      <c r="H433" s="886">
        <v>32.0</v>
      </c>
      <c r="I433" s="20">
        <v>22.0</v>
      </c>
      <c r="J433" s="885"/>
      <c r="K433" s="885"/>
      <c r="L433" s="885"/>
      <c r="M433" s="885"/>
      <c r="N433" s="887"/>
      <c r="O433" s="885"/>
      <c r="P433" s="885"/>
      <c r="Q433" s="885"/>
      <c r="R433" s="885"/>
      <c r="S433" s="885"/>
      <c r="T433" s="885"/>
      <c r="U433" s="885"/>
      <c r="V433" s="885"/>
      <c r="W433" s="885"/>
      <c r="X433" s="885"/>
      <c r="Y433" s="885"/>
      <c r="Z433" s="885"/>
    </row>
    <row r="434" ht="15.0" customHeight="1">
      <c r="A434" s="884" t="s">
        <v>1969</v>
      </c>
      <c r="B434" s="3" t="s">
        <v>1970</v>
      </c>
      <c r="C434" s="884"/>
      <c r="D434" s="3"/>
      <c r="E434" s="885"/>
      <c r="F434" s="3" t="s">
        <v>1714</v>
      </c>
      <c r="G434" s="884" t="s">
        <v>1971</v>
      </c>
      <c r="H434" s="886">
        <v>31.0</v>
      </c>
      <c r="I434" s="20">
        <v>28.0</v>
      </c>
      <c r="J434" s="885"/>
      <c r="K434" s="885"/>
      <c r="L434" s="885"/>
      <c r="M434" s="885"/>
      <c r="N434" s="887"/>
      <c r="O434" s="885"/>
      <c r="P434" s="885"/>
      <c r="Q434" s="885"/>
      <c r="R434" s="885"/>
      <c r="S434" s="885"/>
      <c r="T434" s="885"/>
      <c r="U434" s="885"/>
      <c r="V434" s="885"/>
      <c r="W434" s="885"/>
      <c r="X434" s="885"/>
      <c r="Y434" s="885"/>
      <c r="Z434" s="885"/>
    </row>
    <row r="435" ht="15.0" customHeight="1">
      <c r="A435" s="888" t="s">
        <v>1972</v>
      </c>
      <c r="B435" s="884" t="s">
        <v>1039</v>
      </c>
      <c r="C435" s="884"/>
      <c r="D435" s="3"/>
      <c r="E435" s="885"/>
      <c r="F435" s="3" t="s">
        <v>720</v>
      </c>
      <c r="G435" s="3" t="s">
        <v>251</v>
      </c>
      <c r="H435" s="886">
        <v>35.0</v>
      </c>
      <c r="I435" s="20">
        <v>26.0</v>
      </c>
      <c r="J435" s="885"/>
      <c r="K435" s="885"/>
      <c r="L435" s="885"/>
      <c r="M435" s="885"/>
      <c r="N435" s="887"/>
      <c r="O435" s="885"/>
      <c r="P435" s="885"/>
      <c r="Q435" s="885"/>
      <c r="R435" s="885"/>
      <c r="S435" s="885"/>
      <c r="T435" s="885"/>
      <c r="U435" s="885"/>
      <c r="V435" s="885"/>
      <c r="W435" s="885"/>
      <c r="X435" s="885"/>
      <c r="Y435" s="885"/>
      <c r="Z435" s="885"/>
    </row>
    <row r="436" ht="15.0" customHeight="1">
      <c r="A436" s="884" t="s">
        <v>1973</v>
      </c>
      <c r="B436" s="884" t="s">
        <v>1039</v>
      </c>
      <c r="C436" s="884"/>
      <c r="D436" s="3"/>
      <c r="E436" s="885"/>
      <c r="F436" s="3" t="s">
        <v>668</v>
      </c>
      <c r="G436" s="3" t="s">
        <v>190</v>
      </c>
      <c r="H436" s="886">
        <v>36.0</v>
      </c>
      <c r="I436" s="20">
        <v>27.0</v>
      </c>
      <c r="J436" s="885"/>
      <c r="K436" s="885"/>
      <c r="L436" s="885"/>
      <c r="M436" s="885"/>
      <c r="N436" s="887"/>
      <c r="O436" s="885"/>
      <c r="P436" s="885"/>
      <c r="Q436" s="885"/>
      <c r="R436" s="885"/>
      <c r="S436" s="885"/>
      <c r="T436" s="885"/>
      <c r="U436" s="885"/>
      <c r="V436" s="885"/>
      <c r="W436" s="885"/>
      <c r="X436" s="885"/>
      <c r="Y436" s="885"/>
      <c r="Z436" s="885"/>
    </row>
    <row r="437" ht="15.0" customHeight="1">
      <c r="A437" s="3" t="s">
        <v>1974</v>
      </c>
      <c r="B437" s="884" t="s">
        <v>1039</v>
      </c>
      <c r="C437" s="3"/>
      <c r="D437" s="3"/>
      <c r="E437" s="885"/>
      <c r="F437" s="895" t="s">
        <v>656</v>
      </c>
      <c r="G437" s="3"/>
      <c r="H437" s="900">
        <v>36.0</v>
      </c>
      <c r="I437" s="925"/>
      <c r="K437" s="885"/>
      <c r="L437" s="885"/>
      <c r="M437" s="885"/>
      <c r="N437" s="887"/>
      <c r="O437" s="885"/>
      <c r="P437" s="885"/>
      <c r="Q437" s="885"/>
      <c r="R437" s="885"/>
      <c r="S437" s="885"/>
      <c r="T437" s="885"/>
      <c r="U437" s="885"/>
      <c r="V437" s="885"/>
      <c r="W437" s="885"/>
      <c r="X437" s="885"/>
      <c r="Y437" s="885"/>
      <c r="Z437" s="885"/>
    </row>
    <row r="438" ht="15.0" customHeight="1">
      <c r="A438" s="3" t="s">
        <v>1975</v>
      </c>
      <c r="B438" s="884" t="s">
        <v>1039</v>
      </c>
      <c r="C438" s="884"/>
      <c r="D438" s="3"/>
      <c r="E438" s="885"/>
      <c r="F438" s="725" t="s">
        <v>285</v>
      </c>
      <c r="G438" s="725" t="s">
        <v>285</v>
      </c>
      <c r="H438" s="725">
        <v>26.625</v>
      </c>
      <c r="K438" s="885"/>
      <c r="L438" s="885"/>
      <c r="M438" s="885"/>
      <c r="N438" s="887"/>
      <c r="O438" s="885"/>
      <c r="P438" s="885"/>
      <c r="Q438" s="885"/>
      <c r="R438" s="885"/>
      <c r="S438" s="885"/>
      <c r="T438" s="885"/>
      <c r="U438" s="885"/>
      <c r="V438" s="885"/>
      <c r="W438" s="885"/>
      <c r="X438" s="885"/>
      <c r="Y438" s="885"/>
      <c r="Z438" s="885"/>
    </row>
    <row r="439" ht="15.0" customHeight="1">
      <c r="A439" s="895" t="s">
        <v>1976</v>
      </c>
      <c r="B439" s="883" t="s">
        <v>1039</v>
      </c>
      <c r="C439" s="884"/>
      <c r="D439" s="3"/>
      <c r="E439" s="885"/>
      <c r="K439" s="885"/>
      <c r="L439" s="885"/>
      <c r="M439" s="885"/>
      <c r="N439" s="887"/>
      <c r="O439" s="885"/>
      <c r="P439" s="885"/>
      <c r="Q439" s="885"/>
      <c r="R439" s="885"/>
      <c r="S439" s="885"/>
      <c r="T439" s="885"/>
      <c r="U439" s="885"/>
      <c r="V439" s="885"/>
      <c r="W439" s="885"/>
      <c r="X439" s="885"/>
      <c r="Y439" s="885"/>
      <c r="Z439" s="885"/>
    </row>
    <row r="440" ht="15.0" customHeight="1">
      <c r="A440" s="3" t="s">
        <v>1977</v>
      </c>
      <c r="B440" s="884" t="s">
        <v>1039</v>
      </c>
      <c r="C440" s="884"/>
      <c r="D440" s="3"/>
      <c r="E440" s="885"/>
      <c r="K440" s="885"/>
      <c r="L440" s="885"/>
      <c r="M440" s="885"/>
      <c r="N440" s="887"/>
      <c r="O440" s="885"/>
      <c r="P440" s="885"/>
      <c r="Q440" s="885"/>
      <c r="R440" s="885"/>
      <c r="S440" s="885"/>
      <c r="T440" s="885"/>
      <c r="U440" s="885"/>
      <c r="V440" s="885"/>
      <c r="W440" s="885"/>
      <c r="X440" s="885"/>
      <c r="Y440" s="885"/>
      <c r="Z440" s="885"/>
    </row>
    <row r="441" ht="15.0" customHeight="1">
      <c r="A441" s="20" t="s">
        <v>336</v>
      </c>
      <c r="B441" s="884" t="s">
        <v>1039</v>
      </c>
      <c r="C441" s="884"/>
      <c r="D441" s="3"/>
      <c r="E441" s="885"/>
      <c r="K441" s="885"/>
      <c r="L441" s="885"/>
      <c r="M441" s="885"/>
      <c r="N441" s="887"/>
      <c r="O441" s="885"/>
      <c r="P441" s="885"/>
      <c r="Q441" s="885"/>
      <c r="R441" s="885"/>
      <c r="S441" s="885"/>
      <c r="T441" s="885"/>
      <c r="U441" s="885"/>
      <c r="V441" s="885"/>
      <c r="W441" s="885"/>
      <c r="X441" s="885"/>
      <c r="Y441" s="885"/>
      <c r="Z441" s="885"/>
    </row>
    <row r="442" ht="15.0" customHeight="1">
      <c r="A442" s="3" t="s">
        <v>1978</v>
      </c>
      <c r="B442" s="884" t="s">
        <v>1039</v>
      </c>
      <c r="C442" s="884"/>
      <c r="D442" s="3"/>
      <c r="E442" s="885"/>
      <c r="J442" s="885"/>
      <c r="K442" s="885"/>
      <c r="L442" s="885"/>
      <c r="M442" s="885"/>
      <c r="N442" s="887"/>
      <c r="O442" s="885"/>
      <c r="P442" s="885"/>
      <c r="Q442" s="885"/>
      <c r="R442" s="885"/>
      <c r="S442" s="885"/>
      <c r="T442" s="885"/>
      <c r="U442" s="885"/>
      <c r="V442" s="885"/>
      <c r="W442" s="885"/>
      <c r="X442" s="885"/>
      <c r="Y442" s="885"/>
      <c r="Z442" s="885"/>
    </row>
    <row r="443" ht="15.0" customHeight="1">
      <c r="A443" s="3" t="s">
        <v>1979</v>
      </c>
      <c r="B443" s="884" t="s">
        <v>1039</v>
      </c>
      <c r="C443" s="884"/>
      <c r="D443" s="3"/>
      <c r="E443" s="885"/>
      <c r="J443" s="885"/>
      <c r="K443" s="885"/>
      <c r="L443" s="885"/>
      <c r="M443" s="885"/>
      <c r="N443" s="887"/>
      <c r="O443" s="885"/>
      <c r="P443" s="885"/>
      <c r="Q443" s="885"/>
      <c r="R443" s="885"/>
      <c r="S443" s="885"/>
      <c r="T443" s="885"/>
      <c r="U443" s="885"/>
      <c r="V443" s="885"/>
      <c r="W443" s="885"/>
      <c r="X443" s="885"/>
      <c r="Y443" s="885"/>
      <c r="Z443" s="885"/>
    </row>
    <row r="444" ht="15.0" customHeight="1">
      <c r="A444" s="3" t="s">
        <v>1980</v>
      </c>
      <c r="B444" s="884" t="s">
        <v>1039</v>
      </c>
      <c r="C444" s="884"/>
      <c r="D444" s="3"/>
      <c r="E444" s="885"/>
      <c r="J444" s="885"/>
      <c r="K444" s="885"/>
      <c r="L444" s="885"/>
      <c r="M444" s="885"/>
      <c r="N444" s="887"/>
      <c r="O444" s="885"/>
      <c r="P444" s="885"/>
      <c r="Q444" s="885"/>
      <c r="R444" s="885"/>
      <c r="S444" s="885"/>
      <c r="T444" s="885"/>
      <c r="U444" s="885"/>
      <c r="V444" s="885"/>
      <c r="W444" s="885"/>
      <c r="X444" s="885"/>
      <c r="Y444" s="885"/>
      <c r="Z444" s="885"/>
    </row>
    <row r="445" ht="15.0" customHeight="1">
      <c r="A445" s="3" t="s">
        <v>1981</v>
      </c>
      <c r="B445" s="884" t="s">
        <v>1039</v>
      </c>
      <c r="C445" s="884"/>
      <c r="D445" s="3"/>
      <c r="E445" s="885"/>
      <c r="F445" s="3"/>
      <c r="G445" s="3"/>
      <c r="H445" s="886"/>
      <c r="I445" s="885"/>
      <c r="J445" s="885"/>
      <c r="K445" s="885"/>
      <c r="L445" s="885"/>
      <c r="M445" s="885"/>
      <c r="N445" s="887"/>
      <c r="O445" s="885"/>
      <c r="P445" s="885"/>
      <c r="Q445" s="885"/>
      <c r="R445" s="885"/>
      <c r="S445" s="885"/>
      <c r="T445" s="885"/>
      <c r="U445" s="885"/>
      <c r="V445" s="885"/>
      <c r="W445" s="885"/>
      <c r="X445" s="885"/>
      <c r="Y445" s="885"/>
      <c r="Z445" s="885"/>
    </row>
    <row r="446" ht="15.0" customHeight="1">
      <c r="A446" s="3" t="s">
        <v>1982</v>
      </c>
      <c r="B446" s="884" t="s">
        <v>1039</v>
      </c>
      <c r="C446" s="884"/>
      <c r="D446" s="3"/>
      <c r="E446" s="885"/>
      <c r="F446" s="3"/>
      <c r="G446" s="3"/>
      <c r="H446" s="886"/>
      <c r="I446" s="885"/>
      <c r="J446" s="885"/>
      <c r="K446" s="885"/>
      <c r="L446" s="885"/>
      <c r="M446" s="885"/>
      <c r="N446" s="887"/>
      <c r="O446" s="885"/>
      <c r="P446" s="885"/>
      <c r="Q446" s="885"/>
      <c r="R446" s="885"/>
      <c r="S446" s="885"/>
      <c r="T446" s="885"/>
      <c r="U446" s="885"/>
      <c r="V446" s="885"/>
      <c r="W446" s="885"/>
      <c r="X446" s="885"/>
      <c r="Y446" s="885"/>
      <c r="Z446" s="885"/>
    </row>
    <row r="447" ht="15.0" customHeight="1">
      <c r="A447" s="3" t="s">
        <v>1983</v>
      </c>
      <c r="B447" s="884" t="s">
        <v>1039</v>
      </c>
      <c r="C447" s="884"/>
      <c r="D447" s="3"/>
      <c r="E447" s="885"/>
      <c r="F447" s="3"/>
      <c r="G447" s="10" t="s">
        <v>1984</v>
      </c>
      <c r="H447" s="892"/>
      <c r="I447" s="885"/>
      <c r="J447" s="885"/>
      <c r="K447" s="885"/>
      <c r="L447" s="885"/>
      <c r="M447" s="885"/>
      <c r="N447" s="887"/>
      <c r="O447" s="885"/>
      <c r="P447" s="885"/>
      <c r="Q447" s="885"/>
      <c r="R447" s="885"/>
      <c r="S447" s="885"/>
      <c r="T447" s="885"/>
      <c r="U447" s="885"/>
      <c r="V447" s="885"/>
      <c r="W447" s="885"/>
      <c r="X447" s="885"/>
      <c r="Y447" s="885"/>
      <c r="Z447" s="885"/>
    </row>
    <row r="448" ht="15.0" customHeight="1">
      <c r="A448" s="3" t="s">
        <v>1985</v>
      </c>
      <c r="B448" s="884" t="s">
        <v>1039</v>
      </c>
      <c r="C448" s="884"/>
      <c r="D448" s="3"/>
      <c r="E448" s="885"/>
      <c r="F448" s="883" t="s">
        <v>860</v>
      </c>
      <c r="G448" s="3"/>
      <c r="H448" s="926">
        <v>7.0</v>
      </c>
      <c r="I448" s="885"/>
      <c r="J448" s="885"/>
      <c r="K448" s="885"/>
      <c r="L448" s="885"/>
      <c r="M448" s="885"/>
      <c r="N448" s="887"/>
      <c r="O448" s="885"/>
      <c r="P448" s="885"/>
      <c r="Q448" s="885"/>
      <c r="R448" s="885"/>
      <c r="S448" s="885"/>
      <c r="T448" s="885"/>
      <c r="U448" s="885"/>
      <c r="V448" s="885"/>
      <c r="W448" s="885"/>
      <c r="X448" s="885"/>
      <c r="Y448" s="885"/>
      <c r="Z448" s="885"/>
    </row>
    <row r="449" ht="15.0" customHeight="1">
      <c r="A449" s="3" t="s">
        <v>1986</v>
      </c>
      <c r="B449" s="884" t="s">
        <v>1039</v>
      </c>
      <c r="C449" s="884"/>
      <c r="D449" s="3"/>
      <c r="E449" s="885"/>
      <c r="F449" s="725" t="s">
        <v>698</v>
      </c>
      <c r="H449" s="725">
        <v>0.0</v>
      </c>
      <c r="J449" s="885"/>
      <c r="K449" s="885"/>
      <c r="L449" s="885"/>
      <c r="M449" s="885"/>
      <c r="N449" s="887"/>
      <c r="O449" s="885"/>
      <c r="P449" s="885"/>
      <c r="Q449" s="885"/>
      <c r="R449" s="885"/>
      <c r="S449" s="885"/>
      <c r="T449" s="885"/>
      <c r="U449" s="885"/>
      <c r="V449" s="885"/>
      <c r="W449" s="885"/>
      <c r="X449" s="885"/>
      <c r="Y449" s="885"/>
      <c r="Z449" s="885"/>
    </row>
    <row r="450" ht="15.0" customHeight="1">
      <c r="A450" s="3" t="s">
        <v>1987</v>
      </c>
      <c r="B450" s="884" t="s">
        <v>1039</v>
      </c>
      <c r="C450" s="884"/>
      <c r="D450" s="3"/>
      <c r="E450" s="885"/>
      <c r="F450" s="884" t="s">
        <v>1231</v>
      </c>
      <c r="G450" s="3"/>
      <c r="H450" s="927">
        <v>5.0</v>
      </c>
      <c r="I450" s="885"/>
      <c r="J450" s="885"/>
      <c r="K450" s="885"/>
      <c r="L450" s="885"/>
      <c r="M450" s="885"/>
      <c r="N450" s="887"/>
      <c r="O450" s="885"/>
      <c r="P450" s="885"/>
      <c r="Q450" s="885"/>
      <c r="R450" s="885"/>
      <c r="S450" s="885"/>
      <c r="T450" s="885"/>
      <c r="U450" s="885"/>
      <c r="V450" s="885"/>
      <c r="W450" s="885"/>
      <c r="X450" s="885"/>
      <c r="Y450" s="885"/>
      <c r="Z450" s="885"/>
    </row>
    <row r="451" ht="15.0" customHeight="1">
      <c r="A451" s="3" t="s">
        <v>1988</v>
      </c>
      <c r="B451" s="884" t="s">
        <v>1039</v>
      </c>
      <c r="C451" s="884"/>
      <c r="D451" s="3"/>
      <c r="E451" s="885"/>
      <c r="F451" s="884" t="s">
        <v>1700</v>
      </c>
      <c r="G451" s="3"/>
      <c r="H451" s="927">
        <v>12.0</v>
      </c>
      <c r="J451" s="885"/>
      <c r="K451" s="885"/>
      <c r="L451" s="885"/>
      <c r="M451" s="885"/>
      <c r="N451" s="887"/>
      <c r="O451" s="885"/>
      <c r="P451" s="885"/>
      <c r="Q451" s="885"/>
      <c r="R451" s="885"/>
      <c r="S451" s="885"/>
      <c r="T451" s="885"/>
      <c r="U451" s="885"/>
      <c r="V451" s="885"/>
      <c r="W451" s="885"/>
      <c r="X451" s="885"/>
      <c r="Y451" s="885"/>
      <c r="Z451" s="885"/>
    </row>
    <row r="452" ht="15.0" customHeight="1">
      <c r="A452" s="3" t="s">
        <v>1989</v>
      </c>
      <c r="B452" s="884" t="s">
        <v>1039</v>
      </c>
      <c r="C452" s="884"/>
      <c r="D452" s="3"/>
      <c r="E452" s="885"/>
      <c r="F452" s="915" t="s">
        <v>812</v>
      </c>
      <c r="G452" s="3"/>
      <c r="H452" s="926">
        <v>17.0</v>
      </c>
      <c r="J452" s="885"/>
      <c r="K452" s="885"/>
      <c r="L452" s="885"/>
      <c r="M452" s="885"/>
      <c r="N452" s="887"/>
      <c r="O452" s="885"/>
      <c r="P452" s="885"/>
      <c r="Q452" s="885"/>
      <c r="R452" s="885"/>
      <c r="S452" s="885"/>
      <c r="T452" s="885"/>
      <c r="U452" s="885"/>
      <c r="V452" s="885"/>
      <c r="W452" s="885"/>
      <c r="X452" s="885"/>
      <c r="Y452" s="885"/>
      <c r="Z452" s="885"/>
    </row>
    <row r="453" ht="15.0" customHeight="1">
      <c r="A453" s="3" t="s">
        <v>1990</v>
      </c>
      <c r="B453" s="884" t="s">
        <v>1039</v>
      </c>
      <c r="C453" s="884"/>
      <c r="D453" s="3"/>
      <c r="E453" s="885"/>
      <c r="F453" s="915" t="s">
        <v>770</v>
      </c>
      <c r="G453" s="884" t="s">
        <v>89</v>
      </c>
      <c r="H453" s="928">
        <v>23.0</v>
      </c>
      <c r="J453" s="885"/>
      <c r="K453" s="885"/>
      <c r="L453" s="885"/>
      <c r="M453" s="885"/>
      <c r="N453" s="887"/>
      <c r="O453" s="885"/>
      <c r="P453" s="885"/>
      <c r="Q453" s="885"/>
      <c r="R453" s="885"/>
      <c r="S453" s="885"/>
      <c r="T453" s="885"/>
      <c r="U453" s="885"/>
      <c r="V453" s="885"/>
      <c r="W453" s="885"/>
      <c r="X453" s="885"/>
      <c r="Y453" s="885"/>
      <c r="Z453" s="885"/>
    </row>
    <row r="454" ht="15.0" customHeight="1">
      <c r="A454" s="3" t="s">
        <v>1991</v>
      </c>
      <c r="B454" s="884" t="s">
        <v>1039</v>
      </c>
      <c r="C454" s="884"/>
      <c r="D454" s="3"/>
      <c r="E454" s="885"/>
      <c r="F454" s="915" t="s">
        <v>671</v>
      </c>
      <c r="G454" s="895" t="s">
        <v>89</v>
      </c>
      <c r="H454" s="928">
        <v>16.0</v>
      </c>
      <c r="J454" s="885"/>
      <c r="K454" s="885"/>
      <c r="L454" s="885"/>
      <c r="M454" s="885"/>
      <c r="N454" s="887"/>
      <c r="O454" s="885"/>
      <c r="P454" s="885"/>
      <c r="Q454" s="885"/>
      <c r="R454" s="885"/>
      <c r="S454" s="885"/>
      <c r="T454" s="885"/>
      <c r="U454" s="885"/>
      <c r="V454" s="885"/>
      <c r="W454" s="885"/>
      <c r="X454" s="885"/>
      <c r="Y454" s="885"/>
      <c r="Z454" s="885"/>
    </row>
    <row r="455" ht="15.0" customHeight="1">
      <c r="A455" s="3" t="s">
        <v>1992</v>
      </c>
      <c r="B455" s="884" t="s">
        <v>1039</v>
      </c>
      <c r="C455" s="884"/>
      <c r="D455" s="3"/>
      <c r="E455" s="885"/>
      <c r="F455" s="915" t="s">
        <v>784</v>
      </c>
      <c r="G455" s="3"/>
      <c r="H455" s="926">
        <v>1.0</v>
      </c>
      <c r="J455" s="885"/>
      <c r="K455" s="885"/>
      <c r="L455" s="885"/>
      <c r="M455" s="885"/>
      <c r="N455" s="887"/>
      <c r="O455" s="885"/>
      <c r="P455" s="885"/>
      <c r="Q455" s="885"/>
      <c r="R455" s="885"/>
      <c r="S455" s="885"/>
      <c r="T455" s="885"/>
      <c r="U455" s="885"/>
      <c r="V455" s="885"/>
      <c r="W455" s="885"/>
      <c r="X455" s="885"/>
      <c r="Y455" s="885"/>
      <c r="Z455" s="885"/>
    </row>
    <row r="456" ht="15.0" customHeight="1">
      <c r="A456" s="3" t="s">
        <v>1993</v>
      </c>
      <c r="B456" s="884" t="s">
        <v>1039</v>
      </c>
      <c r="C456" s="884"/>
      <c r="D456" s="3"/>
      <c r="E456" s="885"/>
      <c r="F456" s="46" t="s">
        <v>1147</v>
      </c>
      <c r="H456" s="725">
        <v>5.0</v>
      </c>
      <c r="J456" s="885"/>
      <c r="K456" s="885"/>
      <c r="L456" s="885"/>
      <c r="M456" s="885"/>
      <c r="N456" s="887"/>
      <c r="O456" s="885"/>
      <c r="P456" s="885"/>
      <c r="Q456" s="885"/>
      <c r="R456" s="885"/>
      <c r="S456" s="885"/>
      <c r="T456" s="885"/>
      <c r="U456" s="885"/>
      <c r="V456" s="885"/>
      <c r="W456" s="885"/>
      <c r="X456" s="885"/>
      <c r="Y456" s="885"/>
      <c r="Z456" s="885"/>
    </row>
    <row r="457" ht="15.0" customHeight="1">
      <c r="A457" s="3" t="s">
        <v>1994</v>
      </c>
      <c r="B457" s="884" t="s">
        <v>1039</v>
      </c>
      <c r="C457" s="884"/>
      <c r="D457" s="3"/>
      <c r="E457" s="885"/>
      <c r="F457" s="884" t="s">
        <v>755</v>
      </c>
      <c r="G457" s="884" t="s">
        <v>1705</v>
      </c>
      <c r="H457" s="927">
        <v>3.0</v>
      </c>
      <c r="J457" s="885"/>
      <c r="K457" s="885"/>
      <c r="L457" s="885"/>
      <c r="M457" s="885"/>
      <c r="N457" s="887"/>
      <c r="O457" s="885"/>
      <c r="P457" s="885"/>
      <c r="Q457" s="885"/>
      <c r="R457" s="885"/>
      <c r="S457" s="885"/>
      <c r="T457" s="885"/>
      <c r="U457" s="885"/>
      <c r="V457" s="885"/>
      <c r="W457" s="885"/>
      <c r="X457" s="885"/>
      <c r="Y457" s="885"/>
      <c r="Z457" s="885"/>
    </row>
    <row r="458" ht="15.0" customHeight="1">
      <c r="A458" s="3" t="s">
        <v>1995</v>
      </c>
      <c r="B458" s="884" t="s">
        <v>1039</v>
      </c>
      <c r="C458" s="884"/>
      <c r="D458" s="3"/>
      <c r="E458" s="885"/>
      <c r="F458" s="884" t="s">
        <v>1369</v>
      </c>
      <c r="G458" s="884" t="s">
        <v>1706</v>
      </c>
      <c r="H458" s="929">
        <v>2.0</v>
      </c>
      <c r="J458" s="885"/>
      <c r="K458" s="885"/>
      <c r="L458" s="885"/>
      <c r="M458" s="885"/>
      <c r="N458" s="887"/>
      <c r="O458" s="885"/>
      <c r="P458" s="885"/>
      <c r="Q458" s="885"/>
      <c r="R458" s="885"/>
      <c r="S458" s="885"/>
      <c r="T458" s="885"/>
      <c r="U458" s="885"/>
      <c r="V458" s="885"/>
      <c r="W458" s="885"/>
      <c r="X458" s="885"/>
      <c r="Y458" s="885"/>
      <c r="Z458" s="885"/>
    </row>
    <row r="459" ht="15.0" customHeight="1">
      <c r="A459" s="3" t="s">
        <v>1996</v>
      </c>
      <c r="B459" s="884" t="s">
        <v>1039</v>
      </c>
      <c r="C459" s="884"/>
      <c r="D459" s="3"/>
      <c r="E459" s="885"/>
      <c r="F459" s="884" t="s">
        <v>211</v>
      </c>
      <c r="G459" s="884"/>
      <c r="H459" s="929">
        <v>6.0</v>
      </c>
      <c r="I459" s="50"/>
      <c r="J459" s="885"/>
      <c r="K459" s="885"/>
      <c r="L459" s="885"/>
      <c r="M459" s="885"/>
      <c r="N459" s="887"/>
      <c r="O459" s="885"/>
      <c r="P459" s="885"/>
      <c r="Q459" s="885"/>
      <c r="R459" s="885"/>
      <c r="S459" s="885"/>
      <c r="T459" s="885"/>
      <c r="U459" s="885"/>
      <c r="V459" s="885"/>
      <c r="W459" s="885"/>
      <c r="X459" s="885"/>
      <c r="Y459" s="885"/>
      <c r="Z459" s="885"/>
    </row>
    <row r="460" ht="15.0" customHeight="1">
      <c r="A460" s="3" t="s">
        <v>1997</v>
      </c>
      <c r="B460" s="884" t="s">
        <v>1039</v>
      </c>
      <c r="C460" s="884"/>
      <c r="D460" s="3"/>
      <c r="E460" s="885"/>
      <c r="F460" s="883" t="s">
        <v>374</v>
      </c>
      <c r="G460" s="884"/>
      <c r="H460" s="928">
        <v>13.0</v>
      </c>
      <c r="I460" s="50"/>
      <c r="J460" s="885"/>
      <c r="K460" s="885"/>
      <c r="L460" s="885"/>
      <c r="M460" s="885"/>
      <c r="N460" s="887"/>
      <c r="O460" s="885"/>
      <c r="P460" s="885"/>
      <c r="Q460" s="885"/>
      <c r="R460" s="885"/>
      <c r="S460" s="885"/>
      <c r="T460" s="885"/>
      <c r="U460" s="885"/>
      <c r="V460" s="885"/>
      <c r="W460" s="885"/>
      <c r="X460" s="885"/>
      <c r="Y460" s="885"/>
      <c r="Z460" s="885"/>
    </row>
    <row r="461" ht="15.0" customHeight="1">
      <c r="A461" s="3" t="s">
        <v>1998</v>
      </c>
      <c r="B461" s="884" t="s">
        <v>1039</v>
      </c>
      <c r="C461" s="884"/>
      <c r="D461" s="3"/>
      <c r="E461" s="885"/>
      <c r="F461" s="895" t="s">
        <v>1702</v>
      </c>
      <c r="G461" s="884"/>
      <c r="H461" s="928">
        <v>18.5</v>
      </c>
      <c r="I461" s="50"/>
      <c r="J461" s="885"/>
      <c r="K461" s="885"/>
      <c r="L461" s="885"/>
      <c r="M461" s="885"/>
      <c r="N461" s="887"/>
      <c r="O461" s="885"/>
      <c r="P461" s="885"/>
      <c r="Q461" s="885"/>
      <c r="R461" s="885"/>
      <c r="S461" s="885"/>
      <c r="T461" s="885"/>
      <c r="U461" s="885"/>
      <c r="V461" s="885"/>
      <c r="W461" s="885"/>
      <c r="X461" s="885"/>
      <c r="Y461" s="885"/>
      <c r="Z461" s="885"/>
    </row>
    <row r="462" ht="15.0" customHeight="1">
      <c r="A462" s="3" t="s">
        <v>1999</v>
      </c>
      <c r="B462" s="884" t="s">
        <v>1039</v>
      </c>
      <c r="C462" s="884"/>
      <c r="D462" s="3"/>
      <c r="E462" s="885"/>
      <c r="F462" s="884" t="s">
        <v>809</v>
      </c>
      <c r="G462" s="884" t="s">
        <v>1739</v>
      </c>
      <c r="H462" s="929">
        <v>2.0</v>
      </c>
      <c r="J462" s="885"/>
      <c r="K462" s="885"/>
      <c r="L462" s="885"/>
      <c r="M462" s="885"/>
      <c r="N462" s="887"/>
      <c r="O462" s="885"/>
      <c r="P462" s="885"/>
      <c r="Q462" s="885"/>
      <c r="R462" s="885"/>
      <c r="S462" s="885"/>
      <c r="T462" s="885"/>
      <c r="U462" s="885"/>
      <c r="V462" s="885"/>
      <c r="W462" s="885"/>
      <c r="X462" s="885"/>
      <c r="Y462" s="885"/>
      <c r="Z462" s="885"/>
    </row>
    <row r="463" ht="15.0" customHeight="1">
      <c r="A463" s="3" t="s">
        <v>2000</v>
      </c>
      <c r="B463" s="884" t="s">
        <v>1039</v>
      </c>
      <c r="C463" s="884"/>
      <c r="D463" s="3"/>
      <c r="E463" s="885"/>
      <c r="F463" s="884" t="s">
        <v>1327</v>
      </c>
      <c r="G463" s="884" t="s">
        <v>1708</v>
      </c>
      <c r="H463" s="929">
        <v>4.0</v>
      </c>
      <c r="J463" s="885"/>
      <c r="K463" s="885"/>
      <c r="L463" s="885"/>
      <c r="M463" s="885"/>
      <c r="N463" s="887"/>
      <c r="O463" s="885"/>
      <c r="P463" s="885"/>
      <c r="Q463" s="885"/>
      <c r="R463" s="885"/>
      <c r="S463" s="885"/>
      <c r="T463" s="885"/>
      <c r="U463" s="885"/>
      <c r="V463" s="885"/>
      <c r="W463" s="885"/>
      <c r="X463" s="885"/>
      <c r="Y463" s="885"/>
      <c r="Z463" s="885"/>
    </row>
    <row r="464" ht="15.0" customHeight="1">
      <c r="A464" s="3" t="s">
        <v>2001</v>
      </c>
      <c r="B464" s="884" t="s">
        <v>1039</v>
      </c>
      <c r="C464" s="884"/>
      <c r="D464" s="3"/>
      <c r="E464" s="885"/>
      <c r="F464" s="884" t="s">
        <v>957</v>
      </c>
      <c r="G464" s="884" t="s">
        <v>1709</v>
      </c>
      <c r="H464" s="929">
        <v>6.0</v>
      </c>
      <c r="J464" s="885"/>
      <c r="K464" s="885"/>
      <c r="L464" s="885"/>
      <c r="M464" s="885"/>
      <c r="N464" s="887"/>
      <c r="O464" s="885"/>
      <c r="P464" s="885"/>
      <c r="Q464" s="885"/>
      <c r="R464" s="885"/>
      <c r="S464" s="885"/>
      <c r="T464" s="885"/>
      <c r="U464" s="885"/>
      <c r="V464" s="885"/>
      <c r="W464" s="885"/>
      <c r="X464" s="885"/>
      <c r="Y464" s="885"/>
      <c r="Z464" s="885"/>
    </row>
    <row r="465" ht="15.0" customHeight="1">
      <c r="A465" s="3" t="s">
        <v>2002</v>
      </c>
      <c r="B465" s="884" t="s">
        <v>1039</v>
      </c>
      <c r="C465" s="884"/>
      <c r="D465" s="3"/>
      <c r="E465" s="885"/>
      <c r="F465" s="884" t="s">
        <v>1710</v>
      </c>
      <c r="G465" s="3"/>
      <c r="H465" s="929">
        <v>6.0</v>
      </c>
      <c r="I465" s="885"/>
      <c r="J465" s="885"/>
      <c r="K465" s="885"/>
      <c r="L465" s="885"/>
      <c r="M465" s="885"/>
      <c r="N465" s="887"/>
      <c r="O465" s="885"/>
      <c r="P465" s="885"/>
      <c r="Q465" s="885"/>
      <c r="R465" s="885"/>
      <c r="S465" s="885"/>
      <c r="T465" s="885"/>
      <c r="U465" s="885"/>
      <c r="V465" s="885"/>
      <c r="W465" s="885"/>
      <c r="X465" s="885"/>
      <c r="Y465" s="885"/>
      <c r="Z465" s="885"/>
    </row>
    <row r="466" ht="15.0" customHeight="1">
      <c r="A466" s="3" t="s">
        <v>2003</v>
      </c>
      <c r="B466" s="884" t="s">
        <v>1039</v>
      </c>
      <c r="C466" s="884"/>
      <c r="D466" s="3"/>
      <c r="E466" s="885"/>
      <c r="F466" s="3" t="s">
        <v>663</v>
      </c>
      <c r="G466" s="3" t="s">
        <v>1710</v>
      </c>
      <c r="H466" s="929">
        <v>6.0</v>
      </c>
      <c r="I466" s="885"/>
      <c r="J466" s="885"/>
      <c r="K466" s="885"/>
      <c r="L466" s="885"/>
      <c r="M466" s="885"/>
      <c r="N466" s="887"/>
      <c r="O466" s="885"/>
      <c r="P466" s="885"/>
      <c r="Q466" s="885"/>
      <c r="R466" s="885"/>
      <c r="S466" s="885"/>
      <c r="T466" s="885"/>
      <c r="U466" s="885"/>
      <c r="V466" s="885"/>
      <c r="W466" s="885"/>
      <c r="X466" s="885"/>
      <c r="Y466" s="885"/>
      <c r="Z466" s="885"/>
    </row>
    <row r="467" ht="15.0" customHeight="1">
      <c r="A467" s="3" t="s">
        <v>2004</v>
      </c>
      <c r="B467" s="884" t="s">
        <v>1039</v>
      </c>
      <c r="C467" s="884"/>
      <c r="D467" s="3"/>
      <c r="E467" s="885"/>
      <c r="F467" s="884" t="s">
        <v>188</v>
      </c>
      <c r="G467" s="884" t="s">
        <v>1710</v>
      </c>
      <c r="H467" s="929">
        <v>6.0</v>
      </c>
      <c r="I467" s="885"/>
      <c r="J467" s="885"/>
      <c r="K467" s="885"/>
      <c r="L467" s="885"/>
      <c r="M467" s="885"/>
      <c r="N467" s="887"/>
      <c r="O467" s="885"/>
      <c r="P467" s="885"/>
      <c r="Q467" s="885"/>
      <c r="R467" s="885"/>
      <c r="S467" s="885"/>
      <c r="T467" s="885"/>
      <c r="U467" s="885"/>
      <c r="V467" s="885"/>
      <c r="W467" s="885"/>
      <c r="X467" s="885"/>
      <c r="Y467" s="885"/>
      <c r="Z467" s="885"/>
    </row>
    <row r="468" ht="15.0" customHeight="1">
      <c r="A468" s="3" t="s">
        <v>2005</v>
      </c>
      <c r="B468" s="884" t="s">
        <v>1039</v>
      </c>
      <c r="C468" s="884"/>
      <c r="D468" s="3"/>
      <c r="E468" s="885"/>
      <c r="F468" s="884" t="s">
        <v>703</v>
      </c>
      <c r="G468" s="884" t="s">
        <v>1712</v>
      </c>
      <c r="H468" s="929">
        <v>4.0</v>
      </c>
      <c r="I468" s="885"/>
      <c r="J468" s="885"/>
      <c r="K468" s="885"/>
      <c r="L468" s="885"/>
      <c r="M468" s="885"/>
      <c r="N468" s="887"/>
      <c r="O468" s="885"/>
      <c r="P468" s="885"/>
      <c r="Q468" s="885"/>
      <c r="R468" s="885"/>
      <c r="S468" s="885"/>
      <c r="T468" s="885"/>
      <c r="U468" s="885"/>
      <c r="V468" s="885"/>
      <c r="W468" s="885"/>
      <c r="X468" s="885"/>
      <c r="Y468" s="885"/>
      <c r="Z468" s="885"/>
    </row>
    <row r="469" ht="15.0" customHeight="1">
      <c r="A469" s="3" t="s">
        <v>2006</v>
      </c>
      <c r="B469" s="884" t="s">
        <v>1039</v>
      </c>
      <c r="C469" s="884"/>
      <c r="D469" s="3"/>
      <c r="E469" s="3"/>
      <c r="F469" s="884" t="s">
        <v>720</v>
      </c>
      <c r="G469" s="884" t="s">
        <v>251</v>
      </c>
      <c r="H469" s="929">
        <v>7.0</v>
      </c>
      <c r="I469" s="885"/>
      <c r="J469" s="3"/>
      <c r="K469" s="3"/>
      <c r="L469" s="3"/>
      <c r="M469" s="3"/>
      <c r="N469" s="892"/>
      <c r="O469" s="3"/>
      <c r="P469" s="3"/>
      <c r="Q469" s="3"/>
      <c r="R469" s="3"/>
      <c r="S469" s="3"/>
      <c r="T469" s="3"/>
      <c r="U469" s="3"/>
      <c r="V469" s="3"/>
      <c r="W469" s="3"/>
      <c r="X469" s="3"/>
      <c r="Y469" s="3"/>
      <c r="Z469" s="3"/>
    </row>
    <row r="470" ht="15.0" customHeight="1">
      <c r="A470" s="3" t="s">
        <v>2007</v>
      </c>
      <c r="B470" s="884" t="s">
        <v>1039</v>
      </c>
      <c r="C470" s="884"/>
      <c r="D470" s="3"/>
      <c r="E470" s="3"/>
      <c r="F470" s="884" t="s">
        <v>656</v>
      </c>
      <c r="G470" s="884" t="s">
        <v>190</v>
      </c>
      <c r="H470" s="929">
        <v>8.0</v>
      </c>
      <c r="I470" s="3"/>
      <c r="J470" s="3"/>
      <c r="K470" s="3"/>
      <c r="L470" s="3"/>
      <c r="M470" s="3"/>
      <c r="N470" s="892"/>
      <c r="O470" s="3"/>
      <c r="P470" s="3"/>
      <c r="Q470" s="3"/>
      <c r="R470" s="3"/>
      <c r="S470" s="3"/>
      <c r="T470" s="3"/>
      <c r="U470" s="3"/>
      <c r="V470" s="3"/>
      <c r="W470" s="3"/>
      <c r="X470" s="3"/>
      <c r="Y470" s="3"/>
      <c r="Z470" s="3"/>
    </row>
    <row r="471" ht="15.0" customHeight="1">
      <c r="A471" s="3" t="s">
        <v>2008</v>
      </c>
      <c r="B471" s="884" t="s">
        <v>1039</v>
      </c>
      <c r="C471" s="884"/>
      <c r="D471" s="3"/>
      <c r="E471" s="3"/>
      <c r="F471" s="884" t="s">
        <v>668</v>
      </c>
      <c r="G471" s="3"/>
      <c r="H471" s="929">
        <v>8.0</v>
      </c>
      <c r="I471" s="3"/>
      <c r="J471" s="3"/>
      <c r="K471" s="3"/>
      <c r="L471" s="3"/>
      <c r="M471" s="3"/>
      <c r="N471" s="892"/>
      <c r="O471" s="3"/>
      <c r="P471" s="3"/>
      <c r="Q471" s="3"/>
      <c r="R471" s="3"/>
      <c r="S471" s="3"/>
      <c r="T471" s="3"/>
      <c r="U471" s="3"/>
      <c r="V471" s="3"/>
      <c r="W471" s="3"/>
      <c r="X471" s="3"/>
      <c r="Y471" s="3"/>
      <c r="Z471" s="3"/>
    </row>
    <row r="472" ht="15.0" customHeight="1">
      <c r="A472" s="3" t="s">
        <v>2009</v>
      </c>
      <c r="B472" s="884" t="s">
        <v>1039</v>
      </c>
      <c r="C472" s="884"/>
      <c r="D472" s="3"/>
      <c r="E472" s="3"/>
      <c r="F472" s="884" t="s">
        <v>963</v>
      </c>
      <c r="G472" s="884" t="s">
        <v>1713</v>
      </c>
      <c r="H472" s="929">
        <v>8.0</v>
      </c>
      <c r="I472" s="3"/>
      <c r="J472" s="3"/>
      <c r="K472" s="3"/>
      <c r="L472" s="3"/>
      <c r="M472" s="3"/>
      <c r="N472" s="892"/>
      <c r="O472" s="3"/>
      <c r="P472" s="3"/>
      <c r="Q472" s="3"/>
      <c r="R472" s="3"/>
      <c r="S472" s="3"/>
      <c r="T472" s="3"/>
      <c r="U472" s="3"/>
      <c r="V472" s="3"/>
      <c r="W472" s="3"/>
      <c r="X472" s="3"/>
      <c r="Y472" s="3"/>
      <c r="Z472" s="3"/>
    </row>
    <row r="473" ht="15.0" customHeight="1">
      <c r="A473" s="3" t="s">
        <v>2010</v>
      </c>
      <c r="B473" s="884" t="s">
        <v>1039</v>
      </c>
      <c r="C473" s="884"/>
      <c r="D473" s="3"/>
      <c r="E473" s="3"/>
      <c r="F473" s="884" t="s">
        <v>1714</v>
      </c>
      <c r="G473" s="884" t="s">
        <v>1971</v>
      </c>
      <c r="H473" s="929">
        <v>2.0</v>
      </c>
      <c r="I473" s="3"/>
      <c r="J473" s="3"/>
      <c r="K473" s="3"/>
      <c r="L473" s="3"/>
      <c r="N473" s="892"/>
      <c r="O473" s="3"/>
      <c r="P473" s="3"/>
      <c r="Q473" s="3"/>
      <c r="R473" s="3"/>
      <c r="S473" s="3"/>
      <c r="T473" s="3"/>
      <c r="U473" s="3"/>
      <c r="V473" s="3"/>
      <c r="W473" s="3"/>
      <c r="X473" s="3"/>
      <c r="Y473" s="3"/>
      <c r="Z473" s="3"/>
    </row>
    <row r="474" ht="15.0" customHeight="1">
      <c r="A474" s="3" t="s">
        <v>2011</v>
      </c>
      <c r="B474" s="884" t="s">
        <v>1039</v>
      </c>
      <c r="C474" s="884"/>
      <c r="D474" s="3"/>
      <c r="E474" s="3"/>
      <c r="F474" s="3" t="s">
        <v>951</v>
      </c>
      <c r="G474" s="3"/>
      <c r="H474" s="929">
        <v>11.0</v>
      </c>
      <c r="I474" s="3"/>
      <c r="J474" s="3"/>
      <c r="K474" s="3"/>
      <c r="L474" s="3"/>
      <c r="N474" s="892"/>
      <c r="O474" s="3"/>
      <c r="P474" s="3"/>
      <c r="Q474" s="3"/>
      <c r="R474" s="3"/>
      <c r="S474" s="3"/>
      <c r="T474" s="3"/>
      <c r="U474" s="3"/>
      <c r="V474" s="3"/>
      <c r="W474" s="3"/>
      <c r="X474" s="3"/>
      <c r="Y474" s="3"/>
      <c r="Z474" s="3"/>
    </row>
    <row r="475" ht="15.0" customHeight="1">
      <c r="A475" s="3" t="s">
        <v>2012</v>
      </c>
      <c r="B475" s="884" t="s">
        <v>1039</v>
      </c>
      <c r="C475" s="884"/>
      <c r="D475" s="3"/>
      <c r="E475" s="3"/>
      <c r="F475" s="3"/>
      <c r="G475" s="3"/>
      <c r="H475" s="886"/>
      <c r="I475" s="3"/>
      <c r="J475" s="3"/>
      <c r="K475" s="3"/>
      <c r="L475" s="3"/>
      <c r="N475" s="892"/>
      <c r="O475" s="3"/>
      <c r="P475" s="3"/>
      <c r="Q475" s="3"/>
      <c r="R475" s="3"/>
      <c r="S475" s="3"/>
      <c r="T475" s="3"/>
      <c r="U475" s="3"/>
      <c r="V475" s="3"/>
      <c r="W475" s="3"/>
      <c r="X475" s="3"/>
      <c r="Y475" s="3"/>
      <c r="Z475" s="3"/>
    </row>
    <row r="476" ht="15.0" customHeight="1">
      <c r="A476" s="3" t="s">
        <v>2013</v>
      </c>
      <c r="B476" s="884" t="s">
        <v>1039</v>
      </c>
      <c r="C476" s="884"/>
      <c r="D476" s="3"/>
      <c r="E476" s="3"/>
      <c r="F476" s="3"/>
      <c r="G476" s="3"/>
      <c r="H476" s="886"/>
      <c r="I476" s="3"/>
      <c r="J476" s="3"/>
      <c r="K476" s="3"/>
      <c r="L476" s="3"/>
      <c r="N476" s="892"/>
      <c r="O476" s="3"/>
      <c r="P476" s="3"/>
      <c r="Q476" s="3"/>
      <c r="R476" s="3"/>
      <c r="S476" s="3"/>
      <c r="T476" s="3"/>
      <c r="U476" s="3"/>
      <c r="V476" s="3"/>
      <c r="W476" s="3"/>
      <c r="X476" s="3"/>
      <c r="Y476" s="3"/>
      <c r="Z476" s="3"/>
    </row>
    <row r="477" ht="15.0" customHeight="1">
      <c r="A477" s="3" t="s">
        <v>2014</v>
      </c>
      <c r="B477" s="884" t="s">
        <v>1039</v>
      </c>
      <c r="C477" s="884"/>
      <c r="D477" s="3"/>
      <c r="E477" s="3"/>
      <c r="F477" s="3"/>
      <c r="G477" s="3"/>
      <c r="H477" s="886"/>
      <c r="I477" s="3"/>
      <c r="J477" s="3"/>
      <c r="K477" s="3"/>
      <c r="L477" s="3"/>
      <c r="M477" s="3"/>
      <c r="N477" s="892"/>
      <c r="O477" s="3"/>
      <c r="P477" s="3"/>
      <c r="Q477" s="3"/>
      <c r="R477" s="3"/>
      <c r="S477" s="3"/>
      <c r="T477" s="3"/>
      <c r="U477" s="3"/>
      <c r="V477" s="3"/>
      <c r="W477" s="3"/>
      <c r="X477" s="3"/>
      <c r="Y477" s="3"/>
      <c r="Z477" s="3"/>
    </row>
    <row r="478" ht="15.0" customHeight="1">
      <c r="A478" s="3" t="s">
        <v>2015</v>
      </c>
      <c r="B478" s="884" t="s">
        <v>1039</v>
      </c>
      <c r="C478" s="884"/>
      <c r="D478" s="3"/>
      <c r="E478" s="3"/>
      <c r="F478" s="3"/>
      <c r="G478" s="3"/>
      <c r="H478" s="886"/>
      <c r="I478" s="3"/>
      <c r="J478" s="3"/>
      <c r="K478" s="3"/>
      <c r="L478" s="3"/>
      <c r="M478" s="3"/>
      <c r="N478" s="892"/>
      <c r="O478" s="3"/>
      <c r="P478" s="3"/>
      <c r="Q478" s="3"/>
      <c r="R478" s="3"/>
      <c r="S478" s="3"/>
      <c r="T478" s="3"/>
      <c r="U478" s="3"/>
      <c r="V478" s="3"/>
      <c r="W478" s="3"/>
      <c r="X478" s="3"/>
      <c r="Y478" s="3"/>
      <c r="Z478" s="3"/>
    </row>
    <row r="479" ht="15.0" customHeight="1">
      <c r="A479" s="3" t="s">
        <v>2016</v>
      </c>
      <c r="B479" s="884" t="s">
        <v>1039</v>
      </c>
      <c r="C479" s="884"/>
      <c r="D479" s="3"/>
      <c r="E479" s="885"/>
      <c r="F479" s="885"/>
      <c r="G479" s="885"/>
      <c r="H479" s="930"/>
      <c r="I479" s="885"/>
      <c r="J479" s="885"/>
      <c r="K479" s="885"/>
      <c r="L479" s="885"/>
      <c r="M479" s="885"/>
      <c r="N479" s="887"/>
      <c r="O479" s="885"/>
      <c r="P479" s="885"/>
      <c r="Q479" s="885"/>
      <c r="R479" s="885"/>
      <c r="S479" s="885"/>
      <c r="T479" s="885"/>
      <c r="U479" s="885"/>
      <c r="V479" s="885"/>
      <c r="W479" s="885"/>
      <c r="X479" s="885"/>
      <c r="Y479" s="885"/>
      <c r="Z479" s="885"/>
    </row>
    <row r="480" ht="15.0" customHeight="1">
      <c r="A480" s="3" t="s">
        <v>2017</v>
      </c>
      <c r="B480" s="884" t="s">
        <v>1039</v>
      </c>
      <c r="C480" s="884"/>
      <c r="D480" s="3"/>
      <c r="E480" s="885"/>
      <c r="F480" s="885"/>
      <c r="G480" s="885"/>
      <c r="H480" s="930"/>
      <c r="I480" s="885"/>
      <c r="J480" s="885"/>
      <c r="K480" s="885"/>
      <c r="L480" s="885"/>
      <c r="M480" s="885"/>
      <c r="N480" s="887"/>
      <c r="O480" s="885"/>
      <c r="P480" s="885"/>
      <c r="Q480" s="885"/>
      <c r="R480" s="885"/>
      <c r="S480" s="885"/>
      <c r="T480" s="885"/>
      <c r="U480" s="885"/>
      <c r="V480" s="885"/>
      <c r="W480" s="885"/>
      <c r="X480" s="885"/>
      <c r="Y480" s="885"/>
      <c r="Z480" s="885"/>
    </row>
    <row r="481" ht="15.0" customHeight="1">
      <c r="A481" s="3" t="s">
        <v>2018</v>
      </c>
      <c r="B481" s="884" t="s">
        <v>1039</v>
      </c>
      <c r="C481" s="884"/>
      <c r="D481" s="3"/>
      <c r="E481" s="885"/>
      <c r="F481" s="3"/>
      <c r="G481" s="10" t="s">
        <v>2019</v>
      </c>
      <c r="H481" s="886"/>
      <c r="I481" s="885"/>
      <c r="J481" s="885"/>
      <c r="K481" s="885"/>
      <c r="O481" s="885"/>
      <c r="P481" s="885"/>
      <c r="Q481" s="885"/>
      <c r="R481" s="885"/>
      <c r="S481" s="885"/>
      <c r="T481" s="885"/>
      <c r="U481" s="885"/>
      <c r="V481" s="885"/>
      <c r="W481" s="885"/>
      <c r="X481" s="885"/>
      <c r="Y481" s="885"/>
      <c r="Z481" s="885"/>
    </row>
    <row r="482" ht="15.0" customHeight="1">
      <c r="A482" s="3" t="s">
        <v>2020</v>
      </c>
      <c r="B482" s="884" t="s">
        <v>1039</v>
      </c>
      <c r="C482" s="884"/>
      <c r="D482" s="3"/>
      <c r="E482" s="885"/>
      <c r="F482" s="884"/>
      <c r="G482" s="3"/>
      <c r="H482" s="930"/>
      <c r="I482" s="885"/>
      <c r="J482" s="885"/>
      <c r="K482" s="885"/>
      <c r="O482" s="885"/>
      <c r="P482" s="885"/>
      <c r="Q482" s="885"/>
      <c r="R482" s="885"/>
      <c r="S482" s="885"/>
      <c r="T482" s="885"/>
      <c r="U482" s="885"/>
      <c r="V482" s="885"/>
      <c r="W482" s="885"/>
      <c r="X482" s="885"/>
      <c r="Y482" s="885"/>
      <c r="Z482" s="885"/>
    </row>
    <row r="483" ht="15.0" customHeight="1">
      <c r="A483" s="3" t="s">
        <v>2021</v>
      </c>
      <c r="B483" s="884" t="s">
        <v>1039</v>
      </c>
      <c r="C483" s="884"/>
      <c r="D483" s="3"/>
      <c r="E483" s="885"/>
      <c r="F483" s="883" t="s">
        <v>698</v>
      </c>
      <c r="G483" s="3"/>
      <c r="H483" s="931">
        <v>11.0</v>
      </c>
      <c r="I483" s="885"/>
      <c r="J483" s="885"/>
      <c r="K483" s="885"/>
      <c r="O483" s="885"/>
      <c r="P483" s="885"/>
      <c r="Q483" s="885"/>
      <c r="R483" s="885"/>
      <c r="S483" s="885"/>
      <c r="T483" s="885"/>
      <c r="U483" s="885"/>
      <c r="V483" s="885"/>
      <c r="W483" s="885"/>
      <c r="X483" s="885"/>
      <c r="Y483" s="885"/>
      <c r="Z483" s="885"/>
    </row>
    <row r="484" ht="15.0" customHeight="1">
      <c r="A484" s="3" t="s">
        <v>2022</v>
      </c>
      <c r="B484" s="884" t="s">
        <v>1039</v>
      </c>
      <c r="C484" s="884"/>
      <c r="D484" s="3"/>
      <c r="E484" s="885"/>
      <c r="F484" s="883" t="s">
        <v>860</v>
      </c>
      <c r="G484" s="3"/>
      <c r="H484" s="931">
        <v>16.0</v>
      </c>
      <c r="I484" s="885"/>
      <c r="J484" s="885"/>
      <c r="K484" s="885"/>
      <c r="O484" s="885"/>
      <c r="P484" s="885"/>
      <c r="Q484" s="885"/>
      <c r="R484" s="885"/>
      <c r="S484" s="885"/>
      <c r="T484" s="885"/>
      <c r="U484" s="885"/>
      <c r="V484" s="885"/>
      <c r="W484" s="885"/>
      <c r="X484" s="885"/>
      <c r="Y484" s="885"/>
      <c r="Z484" s="885"/>
    </row>
    <row r="485" ht="15.0" customHeight="1">
      <c r="A485" s="3" t="s">
        <v>2023</v>
      </c>
      <c r="B485" s="884" t="s">
        <v>1039</v>
      </c>
      <c r="C485" s="884"/>
      <c r="D485" s="3"/>
      <c r="E485" s="885"/>
      <c r="F485" s="883" t="s">
        <v>812</v>
      </c>
      <c r="G485" s="3"/>
      <c r="H485" s="930">
        <f>10+5+2+11</f>
        <v>28</v>
      </c>
      <c r="I485" s="883" t="s">
        <v>2024</v>
      </c>
      <c r="J485" s="885"/>
      <c r="K485" s="885"/>
      <c r="O485" s="885"/>
      <c r="P485" s="885"/>
      <c r="Q485" s="885"/>
      <c r="R485" s="885"/>
      <c r="S485" s="885"/>
      <c r="T485" s="885"/>
      <c r="U485" s="885"/>
      <c r="V485" s="885"/>
      <c r="W485" s="885"/>
      <c r="X485" s="885"/>
      <c r="Y485" s="885"/>
      <c r="Z485" s="885"/>
    </row>
    <row r="486" ht="15.0" customHeight="1">
      <c r="A486" s="3" t="s">
        <v>2025</v>
      </c>
      <c r="B486" s="884" t="s">
        <v>1039</v>
      </c>
      <c r="C486" s="884"/>
      <c r="D486" s="3"/>
      <c r="E486" s="885"/>
      <c r="F486" s="884"/>
      <c r="G486" s="3"/>
      <c r="H486" s="930"/>
      <c r="I486" s="885"/>
      <c r="J486" s="885"/>
      <c r="K486" s="885"/>
      <c r="O486" s="885"/>
      <c r="P486" s="885"/>
      <c r="Q486" s="885"/>
      <c r="R486" s="885"/>
      <c r="S486" s="885"/>
      <c r="T486" s="885"/>
      <c r="U486" s="885"/>
      <c r="V486" s="885"/>
      <c r="W486" s="885"/>
      <c r="X486" s="885"/>
      <c r="Y486" s="885"/>
      <c r="Z486" s="885"/>
    </row>
    <row r="487" ht="15.0" customHeight="1">
      <c r="A487" s="3" t="s">
        <v>2026</v>
      </c>
      <c r="B487" s="884" t="s">
        <v>1039</v>
      </c>
      <c r="C487" s="884"/>
      <c r="D487" s="3"/>
      <c r="E487" s="885"/>
      <c r="F487" s="915" t="s">
        <v>784</v>
      </c>
      <c r="G487" s="3"/>
      <c r="H487" s="930">
        <v>11.0</v>
      </c>
      <c r="I487" s="885"/>
      <c r="J487" s="885"/>
      <c r="K487" s="885"/>
      <c r="O487" s="885"/>
      <c r="P487" s="885"/>
      <c r="Q487" s="885"/>
      <c r="R487" s="885"/>
      <c r="S487" s="885"/>
      <c r="T487" s="885"/>
      <c r="U487" s="885"/>
      <c r="V487" s="885"/>
      <c r="W487" s="885"/>
      <c r="X487" s="885"/>
      <c r="Y487" s="885"/>
      <c r="Z487" s="885"/>
    </row>
    <row r="488" ht="15.0" customHeight="1">
      <c r="A488" s="3" t="s">
        <v>2027</v>
      </c>
      <c r="B488" s="884" t="s">
        <v>1039</v>
      </c>
      <c r="C488" s="884"/>
      <c r="D488" s="3"/>
      <c r="E488" s="885"/>
      <c r="F488" s="915" t="s">
        <v>1147</v>
      </c>
      <c r="G488" s="884"/>
      <c r="H488" s="931">
        <v>16.0</v>
      </c>
      <c r="I488" s="885"/>
      <c r="J488" s="885"/>
      <c r="K488" s="885"/>
      <c r="O488" s="885"/>
      <c r="P488" s="885"/>
      <c r="Q488" s="885"/>
      <c r="R488" s="885"/>
      <c r="S488" s="885"/>
      <c r="T488" s="885"/>
      <c r="U488" s="885"/>
      <c r="V488" s="885"/>
      <c r="W488" s="885"/>
      <c r="X488" s="885"/>
      <c r="Y488" s="885"/>
      <c r="Z488" s="885"/>
    </row>
    <row r="489" ht="15.0" customHeight="1">
      <c r="A489" s="3" t="s">
        <v>2028</v>
      </c>
      <c r="B489" s="884" t="s">
        <v>1039</v>
      </c>
      <c r="C489" s="884"/>
      <c r="D489" s="3"/>
      <c r="E489" s="885"/>
      <c r="F489" s="884" t="s">
        <v>755</v>
      </c>
      <c r="G489" s="884" t="s">
        <v>1705</v>
      </c>
      <c r="H489" s="930">
        <v>9.0</v>
      </c>
      <c r="I489" s="885"/>
      <c r="J489" s="885"/>
      <c r="K489" s="885"/>
      <c r="O489" s="885"/>
      <c r="P489" s="885"/>
      <c r="Q489" s="885"/>
      <c r="R489" s="885"/>
      <c r="S489" s="885"/>
      <c r="T489" s="885"/>
      <c r="U489" s="885"/>
      <c r="V489" s="885"/>
      <c r="W489" s="885"/>
      <c r="X489" s="885"/>
      <c r="Y489" s="885"/>
      <c r="Z489" s="885"/>
    </row>
    <row r="490" ht="15.0" customHeight="1">
      <c r="A490" s="3" t="s">
        <v>160</v>
      </c>
      <c r="B490" s="884" t="s">
        <v>1039</v>
      </c>
      <c r="C490" s="884"/>
      <c r="D490" s="3"/>
      <c r="E490" s="885"/>
      <c r="F490" s="884" t="s">
        <v>1369</v>
      </c>
      <c r="G490" s="884" t="s">
        <v>1706</v>
      </c>
      <c r="H490" s="886">
        <v>13.0</v>
      </c>
      <c r="I490" s="885"/>
      <c r="J490" s="885"/>
      <c r="K490" s="885"/>
      <c r="O490" s="885"/>
      <c r="P490" s="885"/>
      <c r="Q490" s="885"/>
      <c r="R490" s="885"/>
      <c r="S490" s="885"/>
      <c r="T490" s="885"/>
      <c r="U490" s="885"/>
      <c r="V490" s="885"/>
      <c r="W490" s="885"/>
      <c r="X490" s="885"/>
      <c r="Y490" s="885"/>
      <c r="Z490" s="885"/>
    </row>
    <row r="491" ht="15.0" customHeight="1">
      <c r="A491" s="3" t="s">
        <v>2029</v>
      </c>
      <c r="B491" s="884" t="s">
        <v>1039</v>
      </c>
      <c r="C491" s="884"/>
      <c r="D491" s="3"/>
      <c r="E491" s="885"/>
      <c r="F491" s="884"/>
      <c r="G491" s="884"/>
      <c r="H491" s="886"/>
      <c r="I491" s="885"/>
      <c r="J491" s="885"/>
      <c r="K491" s="885"/>
      <c r="O491" s="885"/>
      <c r="P491" s="885"/>
      <c r="Q491" s="885"/>
      <c r="R491" s="885"/>
      <c r="S491" s="885"/>
      <c r="T491" s="885"/>
      <c r="U491" s="885"/>
      <c r="V491" s="885"/>
      <c r="W491" s="885"/>
      <c r="X491" s="885"/>
      <c r="Y491" s="885"/>
      <c r="Z491" s="885"/>
    </row>
    <row r="492" ht="15.0" customHeight="1">
      <c r="A492" s="20" t="s">
        <v>46</v>
      </c>
      <c r="B492" s="884" t="s">
        <v>1039</v>
      </c>
      <c r="C492" s="884"/>
      <c r="D492" s="3"/>
      <c r="E492" s="885"/>
      <c r="F492" s="884" t="s">
        <v>1231</v>
      </c>
      <c r="G492" s="884" t="s">
        <v>1879</v>
      </c>
      <c r="H492" s="886"/>
      <c r="I492" s="885"/>
      <c r="J492" s="885"/>
      <c r="K492" s="885"/>
      <c r="O492" s="885"/>
      <c r="P492" s="885"/>
      <c r="Q492" s="885"/>
      <c r="R492" s="885"/>
      <c r="S492" s="885"/>
      <c r="T492" s="885"/>
      <c r="U492" s="885"/>
      <c r="V492" s="885"/>
      <c r="W492" s="885"/>
      <c r="X492" s="885"/>
      <c r="Y492" s="885"/>
      <c r="Z492" s="885"/>
    </row>
    <row r="493" ht="15.0" customHeight="1">
      <c r="A493" s="3" t="s">
        <v>2030</v>
      </c>
      <c r="B493" s="884" t="s">
        <v>1039</v>
      </c>
      <c r="C493" s="884"/>
      <c r="D493" s="3"/>
      <c r="E493" s="885"/>
      <c r="F493" s="884"/>
      <c r="G493" s="884"/>
      <c r="H493" s="886"/>
      <c r="I493" s="885"/>
      <c r="J493" s="885"/>
      <c r="K493" s="885"/>
      <c r="O493" s="885"/>
      <c r="P493" s="885"/>
      <c r="Q493" s="885"/>
      <c r="R493" s="885"/>
      <c r="S493" s="885"/>
      <c r="T493" s="885"/>
      <c r="U493" s="885"/>
      <c r="V493" s="885"/>
      <c r="W493" s="885"/>
      <c r="X493" s="885"/>
      <c r="Y493" s="885"/>
      <c r="Z493" s="885"/>
    </row>
    <row r="494" ht="15.0" customHeight="1">
      <c r="A494" s="3" t="s">
        <v>2031</v>
      </c>
      <c r="B494" s="884" t="s">
        <v>1039</v>
      </c>
      <c r="C494" s="884"/>
      <c r="D494" s="3"/>
      <c r="E494" s="885"/>
      <c r="F494" s="884" t="s">
        <v>809</v>
      </c>
      <c r="G494" s="884" t="s">
        <v>1739</v>
      </c>
      <c r="H494" s="886">
        <v>12.0</v>
      </c>
      <c r="I494" s="885"/>
      <c r="J494" s="885"/>
      <c r="K494" s="885"/>
      <c r="O494" s="885"/>
      <c r="P494" s="885"/>
      <c r="Q494" s="885"/>
      <c r="R494" s="885"/>
      <c r="S494" s="885"/>
      <c r="T494" s="885"/>
      <c r="U494" s="885"/>
      <c r="V494" s="885"/>
      <c r="W494" s="885"/>
      <c r="X494" s="885"/>
      <c r="Y494" s="885"/>
      <c r="Z494" s="885"/>
    </row>
    <row r="495" ht="15.0" customHeight="1">
      <c r="A495" s="3" t="s">
        <v>2032</v>
      </c>
      <c r="B495" s="884" t="s">
        <v>1039</v>
      </c>
      <c r="C495" s="884"/>
      <c r="D495" s="3"/>
      <c r="E495" s="885"/>
      <c r="F495" s="884" t="s">
        <v>1327</v>
      </c>
      <c r="G495" s="884" t="s">
        <v>1708</v>
      </c>
      <c r="H495" s="886">
        <v>16.0</v>
      </c>
      <c r="I495" s="885"/>
      <c r="J495" s="885"/>
      <c r="K495" s="885"/>
      <c r="O495" s="885"/>
      <c r="P495" s="885"/>
      <c r="Q495" s="885"/>
      <c r="R495" s="885"/>
      <c r="S495" s="885"/>
      <c r="T495" s="885"/>
      <c r="U495" s="885"/>
      <c r="V495" s="885"/>
      <c r="W495" s="885"/>
      <c r="X495" s="885"/>
      <c r="Y495" s="885"/>
      <c r="Z495" s="885"/>
    </row>
    <row r="496" ht="15.0" customHeight="1">
      <c r="A496" s="3" t="s">
        <v>103</v>
      </c>
      <c r="B496" s="884" t="s">
        <v>1039</v>
      </c>
      <c r="C496" s="884"/>
      <c r="D496" s="3"/>
      <c r="E496" s="885"/>
      <c r="F496" s="884" t="s">
        <v>957</v>
      </c>
      <c r="G496" s="884" t="s">
        <v>1709</v>
      </c>
      <c r="H496" s="886">
        <v>13.0</v>
      </c>
      <c r="I496" s="885"/>
      <c r="J496" s="885"/>
      <c r="K496" s="885"/>
      <c r="O496" s="885"/>
      <c r="P496" s="885"/>
      <c r="Q496" s="885"/>
      <c r="R496" s="885"/>
      <c r="S496" s="885"/>
      <c r="T496" s="885"/>
      <c r="U496" s="885"/>
      <c r="V496" s="885"/>
      <c r="W496" s="885"/>
      <c r="X496" s="885"/>
      <c r="Y496" s="885"/>
      <c r="Z496" s="885"/>
    </row>
    <row r="497" ht="15.0" customHeight="1">
      <c r="A497" s="3" t="s">
        <v>2033</v>
      </c>
      <c r="B497" s="884" t="s">
        <v>1039</v>
      </c>
      <c r="C497" s="884"/>
      <c r="D497" s="3"/>
      <c r="E497" s="885"/>
      <c r="F497" s="884" t="s">
        <v>1710</v>
      </c>
      <c r="G497" s="3"/>
      <c r="H497" s="886">
        <v>14.0</v>
      </c>
      <c r="I497" s="885"/>
      <c r="J497" s="885"/>
      <c r="K497" s="885"/>
      <c r="O497" s="885"/>
      <c r="P497" s="885"/>
      <c r="Q497" s="885"/>
      <c r="R497" s="885"/>
      <c r="S497" s="885"/>
      <c r="T497" s="885"/>
      <c r="U497" s="885"/>
      <c r="V497" s="885"/>
      <c r="W497" s="885"/>
      <c r="X497" s="885"/>
      <c r="Y497" s="885"/>
      <c r="Z497" s="885"/>
    </row>
    <row r="498" ht="15.0" customHeight="1">
      <c r="A498" s="3" t="s">
        <v>2034</v>
      </c>
      <c r="B498" s="884" t="s">
        <v>1039</v>
      </c>
      <c r="C498" s="884"/>
      <c r="D498" s="3"/>
      <c r="E498" s="885"/>
      <c r="F498" s="3" t="s">
        <v>663</v>
      </c>
      <c r="G498" s="3" t="s">
        <v>1710</v>
      </c>
      <c r="H498" s="886">
        <v>14.0</v>
      </c>
      <c r="I498" s="885"/>
      <c r="J498" s="885"/>
      <c r="K498" s="885"/>
      <c r="O498" s="885"/>
      <c r="P498" s="885"/>
      <c r="Q498" s="885"/>
      <c r="R498" s="885"/>
      <c r="S498" s="885"/>
      <c r="T498" s="885"/>
      <c r="U498" s="885"/>
      <c r="V498" s="885"/>
      <c r="W498" s="885"/>
      <c r="X498" s="885"/>
      <c r="Y498" s="885"/>
      <c r="Z498" s="885"/>
    </row>
    <row r="499" ht="15.0" customHeight="1">
      <c r="A499" s="3" t="s">
        <v>2035</v>
      </c>
      <c r="B499" s="884" t="s">
        <v>1039</v>
      </c>
      <c r="C499" s="884"/>
      <c r="D499" s="3"/>
      <c r="E499" s="885"/>
      <c r="F499" s="884" t="s">
        <v>188</v>
      </c>
      <c r="G499" s="884" t="s">
        <v>1710</v>
      </c>
      <c r="H499" s="886">
        <v>14.0</v>
      </c>
      <c r="I499" s="885"/>
      <c r="J499" s="885"/>
      <c r="K499" s="885"/>
      <c r="O499" s="885"/>
      <c r="P499" s="885"/>
      <c r="Q499" s="885"/>
      <c r="R499" s="885"/>
      <c r="S499" s="885"/>
      <c r="T499" s="885"/>
      <c r="U499" s="885"/>
      <c r="V499" s="885"/>
      <c r="W499" s="885"/>
      <c r="X499" s="885"/>
      <c r="Y499" s="885"/>
      <c r="Z499" s="885"/>
    </row>
    <row r="500" ht="15.0" customHeight="1">
      <c r="A500" s="3" t="s">
        <v>2036</v>
      </c>
      <c r="B500" s="884" t="s">
        <v>1039</v>
      </c>
      <c r="C500" s="884"/>
      <c r="D500" s="3"/>
      <c r="E500" s="885"/>
      <c r="F500" s="884" t="s">
        <v>703</v>
      </c>
      <c r="G500" s="884" t="s">
        <v>1712</v>
      </c>
      <c r="H500" s="886">
        <v>14.0</v>
      </c>
      <c r="I500" s="885"/>
      <c r="J500" s="885"/>
      <c r="K500" s="885"/>
      <c r="O500" s="885"/>
      <c r="P500" s="885"/>
      <c r="Q500" s="885"/>
      <c r="R500" s="885"/>
      <c r="S500" s="885"/>
      <c r="T500" s="885"/>
      <c r="U500" s="885"/>
      <c r="V500" s="885"/>
      <c r="W500" s="885"/>
      <c r="X500" s="885"/>
      <c r="Y500" s="885"/>
      <c r="Z500" s="885"/>
    </row>
    <row r="501" ht="15.0" customHeight="1">
      <c r="A501" s="3" t="s">
        <v>2037</v>
      </c>
      <c r="B501" s="884" t="s">
        <v>1039</v>
      </c>
      <c r="C501" s="884"/>
      <c r="D501" s="3"/>
      <c r="E501" s="885"/>
      <c r="F501" s="884" t="s">
        <v>720</v>
      </c>
      <c r="G501" s="884" t="s">
        <v>251</v>
      </c>
      <c r="H501" s="886">
        <v>14.0</v>
      </c>
      <c r="I501" s="885"/>
      <c r="J501" s="885"/>
      <c r="K501" s="885"/>
      <c r="O501" s="885"/>
      <c r="P501" s="885"/>
      <c r="Q501" s="885"/>
      <c r="R501" s="885"/>
      <c r="S501" s="885"/>
      <c r="T501" s="885"/>
      <c r="U501" s="885"/>
      <c r="V501" s="885"/>
      <c r="W501" s="885"/>
      <c r="X501" s="885"/>
      <c r="Y501" s="885"/>
      <c r="Z501" s="885"/>
    </row>
    <row r="502" ht="15.0" customHeight="1">
      <c r="A502" s="3" t="s">
        <v>2038</v>
      </c>
      <c r="B502" s="884" t="s">
        <v>1039</v>
      </c>
      <c r="C502" s="884"/>
      <c r="D502" s="3"/>
      <c r="E502" s="885"/>
      <c r="F502" s="884" t="s">
        <v>656</v>
      </c>
      <c r="G502" s="884" t="s">
        <v>190</v>
      </c>
      <c r="H502" s="886">
        <v>13.0</v>
      </c>
      <c r="I502" s="885"/>
      <c r="J502" s="885"/>
      <c r="K502" s="885"/>
      <c r="O502" s="885"/>
      <c r="P502" s="885"/>
      <c r="Q502" s="885"/>
      <c r="R502" s="885"/>
      <c r="S502" s="885"/>
      <c r="T502" s="885"/>
      <c r="U502" s="885"/>
      <c r="V502" s="885"/>
      <c r="W502" s="885"/>
      <c r="X502" s="885"/>
      <c r="Y502" s="885"/>
      <c r="Z502" s="885"/>
    </row>
    <row r="503" ht="15.0" customHeight="1">
      <c r="A503" s="3" t="s">
        <v>2039</v>
      </c>
      <c r="B503" s="884" t="s">
        <v>1039</v>
      </c>
      <c r="C503" s="884"/>
      <c r="D503" s="3"/>
      <c r="E503" s="885"/>
      <c r="F503" s="884" t="s">
        <v>668</v>
      </c>
      <c r="G503" s="3"/>
      <c r="H503" s="886">
        <v>13.0</v>
      </c>
      <c r="I503" s="885"/>
      <c r="J503" s="885"/>
      <c r="K503" s="885"/>
      <c r="O503" s="885"/>
      <c r="P503" s="885"/>
      <c r="Q503" s="885"/>
      <c r="R503" s="885"/>
      <c r="S503" s="885"/>
      <c r="T503" s="885"/>
      <c r="U503" s="885"/>
      <c r="V503" s="885"/>
      <c r="W503" s="885"/>
      <c r="X503" s="885"/>
      <c r="Y503" s="885"/>
      <c r="Z503" s="885"/>
    </row>
    <row r="504" ht="15.0" customHeight="1">
      <c r="A504" s="3" t="s">
        <v>2040</v>
      </c>
      <c r="B504" s="884" t="s">
        <v>1039</v>
      </c>
      <c r="C504" s="884"/>
      <c r="D504" s="3"/>
      <c r="E504" s="885"/>
      <c r="F504" s="884"/>
      <c r="G504" s="884"/>
      <c r="H504" s="886"/>
      <c r="I504" s="885"/>
      <c r="J504" s="885"/>
      <c r="K504" s="885"/>
      <c r="O504" s="885"/>
      <c r="P504" s="885"/>
      <c r="Q504" s="885"/>
      <c r="R504" s="885"/>
      <c r="S504" s="885"/>
      <c r="T504" s="885"/>
      <c r="U504" s="885"/>
      <c r="V504" s="885"/>
      <c r="W504" s="885"/>
      <c r="X504" s="885"/>
      <c r="Y504" s="885"/>
      <c r="Z504" s="885"/>
    </row>
    <row r="505" ht="15.0" customHeight="1">
      <c r="A505" s="3" t="s">
        <v>2041</v>
      </c>
      <c r="B505" s="884" t="s">
        <v>1039</v>
      </c>
      <c r="C505" s="884"/>
      <c r="D505" s="3"/>
      <c r="E505" s="885"/>
      <c r="F505" s="884"/>
      <c r="G505" s="884"/>
      <c r="H505" s="886"/>
      <c r="I505" s="885"/>
      <c r="J505" s="885"/>
      <c r="K505" s="885"/>
      <c r="O505" s="885"/>
      <c r="P505" s="885"/>
      <c r="Q505" s="885"/>
      <c r="R505" s="885"/>
      <c r="S505" s="885"/>
      <c r="T505" s="885"/>
      <c r="U505" s="885"/>
      <c r="V505" s="885"/>
      <c r="W505" s="885"/>
      <c r="X505" s="885"/>
      <c r="Y505" s="885"/>
      <c r="Z505" s="885"/>
    </row>
    <row r="506" ht="15.0" customHeight="1">
      <c r="A506" s="3" t="s">
        <v>2042</v>
      </c>
      <c r="B506" s="884" t="s">
        <v>1039</v>
      </c>
      <c r="C506" s="884"/>
      <c r="D506" s="3"/>
      <c r="E506" s="885"/>
      <c r="F506" s="884" t="s">
        <v>963</v>
      </c>
      <c r="G506" s="884" t="s">
        <v>1713</v>
      </c>
      <c r="H506" s="886">
        <v>15.0</v>
      </c>
      <c r="I506" s="885"/>
      <c r="J506" s="885"/>
      <c r="K506" s="885"/>
      <c r="O506" s="885"/>
      <c r="P506" s="885"/>
      <c r="Q506" s="885"/>
      <c r="R506" s="885"/>
      <c r="S506" s="885"/>
      <c r="T506" s="885"/>
      <c r="U506" s="885"/>
      <c r="V506" s="885"/>
      <c r="W506" s="885"/>
      <c r="X506" s="885"/>
      <c r="Y506" s="885"/>
      <c r="Z506" s="885"/>
    </row>
    <row r="507" ht="15.0" customHeight="1">
      <c r="A507" s="3" t="s">
        <v>2043</v>
      </c>
      <c r="B507" s="884" t="s">
        <v>1039</v>
      </c>
      <c r="C507" s="884"/>
      <c r="D507" s="3"/>
      <c r="E507" s="885"/>
      <c r="F507" s="884" t="s">
        <v>1714</v>
      </c>
      <c r="G507" s="884" t="s">
        <v>1971</v>
      </c>
      <c r="H507" s="886">
        <v>2.0</v>
      </c>
      <c r="I507" s="885"/>
      <c r="J507" s="885"/>
      <c r="K507" s="885"/>
      <c r="O507" s="885"/>
      <c r="P507" s="885"/>
      <c r="Q507" s="885"/>
      <c r="R507" s="885"/>
      <c r="S507" s="885"/>
      <c r="T507" s="885"/>
      <c r="U507" s="885"/>
      <c r="V507" s="885"/>
      <c r="W507" s="885"/>
      <c r="X507" s="885"/>
      <c r="Y507" s="885"/>
      <c r="Z507" s="885"/>
    </row>
    <row r="508" ht="15.0" customHeight="1">
      <c r="A508" s="3" t="s">
        <v>59</v>
      </c>
      <c r="B508" s="884" t="s">
        <v>1039</v>
      </c>
      <c r="C508" s="884"/>
      <c r="D508" s="3"/>
      <c r="E508" s="885"/>
      <c r="F508" s="883" t="s">
        <v>770</v>
      </c>
      <c r="G508" s="884" t="s">
        <v>89</v>
      </c>
      <c r="H508" s="886">
        <v>15.0</v>
      </c>
      <c r="I508" s="885"/>
      <c r="J508" s="885"/>
      <c r="K508" s="885"/>
      <c r="O508" s="885"/>
      <c r="P508" s="885"/>
      <c r="Q508" s="885"/>
      <c r="R508" s="885"/>
      <c r="S508" s="885"/>
      <c r="T508" s="885"/>
      <c r="U508" s="885"/>
      <c r="V508" s="885"/>
      <c r="W508" s="885"/>
      <c r="X508" s="885"/>
      <c r="Y508" s="885"/>
      <c r="Z508" s="885"/>
    </row>
    <row r="509" ht="15.0" customHeight="1">
      <c r="A509" s="3" t="s">
        <v>2044</v>
      </c>
      <c r="B509" s="884" t="s">
        <v>1039</v>
      </c>
      <c r="C509" s="884"/>
      <c r="D509" s="3"/>
      <c r="E509" s="885"/>
      <c r="F509" s="3"/>
      <c r="G509" s="3"/>
      <c r="H509" s="886"/>
      <c r="I509" s="885"/>
      <c r="J509" s="885"/>
      <c r="K509" s="885"/>
      <c r="O509" s="885"/>
      <c r="P509" s="885"/>
      <c r="Q509" s="885"/>
      <c r="R509" s="885"/>
      <c r="S509" s="885"/>
      <c r="T509" s="885"/>
      <c r="U509" s="885"/>
      <c r="V509" s="885"/>
      <c r="W509" s="885"/>
      <c r="X509" s="885"/>
      <c r="Y509" s="885"/>
      <c r="Z509" s="885"/>
    </row>
    <row r="510" ht="15.0" customHeight="1">
      <c r="A510" s="3" t="s">
        <v>2045</v>
      </c>
      <c r="B510" s="884" t="s">
        <v>1039</v>
      </c>
      <c r="C510" s="884"/>
      <c r="D510" s="3"/>
      <c r="E510" s="885"/>
      <c r="F510" s="3"/>
      <c r="G510" s="3"/>
      <c r="H510" s="886"/>
      <c r="I510" s="885"/>
      <c r="J510" s="885"/>
      <c r="K510" s="885"/>
      <c r="O510" s="885"/>
      <c r="P510" s="885"/>
      <c r="Q510" s="885"/>
      <c r="R510" s="885"/>
      <c r="S510" s="885"/>
      <c r="T510" s="885"/>
      <c r="U510" s="885"/>
      <c r="V510" s="885"/>
      <c r="W510" s="885"/>
      <c r="X510" s="885"/>
      <c r="Y510" s="885"/>
      <c r="Z510" s="885"/>
    </row>
    <row r="511" ht="15.0" customHeight="1">
      <c r="A511" s="3" t="s">
        <v>2046</v>
      </c>
      <c r="B511" s="884" t="s">
        <v>1039</v>
      </c>
      <c r="C511" s="884"/>
      <c r="D511" s="3"/>
      <c r="E511" s="885"/>
      <c r="F511" s="3" t="s">
        <v>951</v>
      </c>
      <c r="G511" s="3"/>
      <c r="H511" s="886">
        <v>17.0</v>
      </c>
      <c r="I511" s="885"/>
      <c r="J511" s="885"/>
      <c r="K511" s="885"/>
      <c r="O511" s="885"/>
      <c r="P511" s="885"/>
      <c r="Q511" s="885"/>
      <c r="R511" s="885"/>
      <c r="S511" s="885"/>
      <c r="T511" s="885"/>
      <c r="U511" s="885"/>
      <c r="V511" s="885"/>
      <c r="W511" s="885"/>
      <c r="X511" s="885"/>
      <c r="Y511" s="885"/>
      <c r="Z511" s="885"/>
    </row>
    <row r="512" ht="15.0" customHeight="1">
      <c r="A512" s="3" t="s">
        <v>2047</v>
      </c>
      <c r="B512" s="884" t="s">
        <v>1039</v>
      </c>
      <c r="C512" s="884"/>
      <c r="D512" s="3"/>
      <c r="E512" s="885"/>
      <c r="I512" s="885"/>
      <c r="J512" s="885"/>
      <c r="K512" s="885"/>
      <c r="O512" s="885"/>
      <c r="P512" s="885"/>
      <c r="Q512" s="885"/>
      <c r="R512" s="885"/>
      <c r="S512" s="885"/>
      <c r="T512" s="885"/>
      <c r="U512" s="885"/>
      <c r="V512" s="885"/>
      <c r="W512" s="885"/>
      <c r="X512" s="885"/>
      <c r="Y512" s="885"/>
      <c r="Z512" s="885"/>
    </row>
    <row r="513" ht="15.0" customHeight="1">
      <c r="A513" s="3" t="s">
        <v>2048</v>
      </c>
      <c r="B513" s="884" t="s">
        <v>1039</v>
      </c>
      <c r="C513" s="884"/>
      <c r="D513" s="3"/>
      <c r="E513" s="885"/>
      <c r="I513" s="885"/>
      <c r="J513" s="885"/>
      <c r="K513" s="885"/>
      <c r="N513" s="932"/>
      <c r="O513" s="885"/>
      <c r="P513" s="885"/>
      <c r="Q513" s="885"/>
      <c r="R513" s="885"/>
      <c r="S513" s="885"/>
      <c r="T513" s="885"/>
      <c r="U513" s="885"/>
      <c r="V513" s="885"/>
      <c r="W513" s="885"/>
      <c r="X513" s="885"/>
      <c r="Y513" s="885"/>
      <c r="Z513" s="885"/>
    </row>
    <row r="514" ht="15.0" customHeight="1">
      <c r="A514" s="3" t="s">
        <v>2049</v>
      </c>
      <c r="B514" s="884" t="s">
        <v>1039</v>
      </c>
      <c r="C514" s="884"/>
      <c r="D514" s="3"/>
      <c r="E514" s="885"/>
      <c r="I514" s="885"/>
      <c r="J514" s="885"/>
      <c r="K514" s="885"/>
      <c r="O514" s="885"/>
      <c r="P514" s="885"/>
      <c r="Q514" s="885"/>
      <c r="R514" s="885"/>
      <c r="S514" s="885"/>
      <c r="T514" s="885"/>
      <c r="U514" s="885"/>
      <c r="V514" s="885"/>
      <c r="W514" s="885"/>
      <c r="X514" s="885"/>
      <c r="Y514" s="885"/>
      <c r="Z514" s="885"/>
    </row>
    <row r="515" ht="15.0" customHeight="1">
      <c r="A515" s="3" t="s">
        <v>2050</v>
      </c>
      <c r="B515" s="884" t="s">
        <v>1039</v>
      </c>
      <c r="C515" s="884"/>
      <c r="D515" s="3"/>
      <c r="E515" s="885"/>
      <c r="I515" s="885"/>
      <c r="J515" s="885"/>
      <c r="K515" s="885"/>
      <c r="O515" s="885"/>
      <c r="P515" s="885"/>
      <c r="Q515" s="885"/>
      <c r="R515" s="885"/>
      <c r="S515" s="885"/>
      <c r="T515" s="885"/>
      <c r="U515" s="885"/>
      <c r="V515" s="885"/>
      <c r="W515" s="885"/>
      <c r="X515" s="885"/>
      <c r="Y515" s="885"/>
      <c r="Z515" s="885"/>
    </row>
    <row r="516" ht="15.0" customHeight="1">
      <c r="A516" s="3" t="s">
        <v>2051</v>
      </c>
      <c r="B516" s="884" t="s">
        <v>1039</v>
      </c>
      <c r="C516" s="884"/>
      <c r="D516" s="3"/>
      <c r="E516" s="885"/>
      <c r="I516" s="885"/>
      <c r="J516" s="885"/>
      <c r="K516" s="885"/>
      <c r="O516" s="885"/>
      <c r="P516" s="885"/>
      <c r="Q516" s="885"/>
      <c r="R516" s="885"/>
      <c r="S516" s="885"/>
      <c r="T516" s="885"/>
      <c r="U516" s="885"/>
      <c r="V516" s="885"/>
      <c r="W516" s="885"/>
      <c r="X516" s="885"/>
      <c r="Y516" s="885"/>
      <c r="Z516" s="885"/>
    </row>
    <row r="517" ht="15.0" customHeight="1">
      <c r="A517" s="3" t="s">
        <v>2052</v>
      </c>
      <c r="B517" s="884" t="s">
        <v>1039</v>
      </c>
      <c r="C517" s="884"/>
      <c r="D517" s="3"/>
      <c r="E517" s="885"/>
      <c r="I517" s="885"/>
      <c r="J517" s="885"/>
      <c r="K517" s="885"/>
      <c r="O517" s="885"/>
      <c r="P517" s="885"/>
      <c r="Q517" s="885"/>
      <c r="R517" s="885"/>
      <c r="S517" s="885"/>
      <c r="T517" s="885"/>
      <c r="U517" s="885"/>
      <c r="V517" s="885"/>
      <c r="W517" s="885"/>
      <c r="X517" s="885"/>
      <c r="Y517" s="885"/>
      <c r="Z517" s="885"/>
    </row>
    <row r="518" ht="15.0" customHeight="1">
      <c r="A518" s="3" t="s">
        <v>2053</v>
      </c>
      <c r="B518" s="884" t="s">
        <v>1039</v>
      </c>
      <c r="C518" s="884"/>
      <c r="D518" s="3"/>
      <c r="E518" s="885"/>
      <c r="I518" s="885"/>
      <c r="J518" s="885"/>
      <c r="K518" s="885"/>
      <c r="O518" s="885"/>
      <c r="P518" s="885"/>
      <c r="Q518" s="885"/>
      <c r="R518" s="885"/>
      <c r="S518" s="885"/>
      <c r="T518" s="885"/>
      <c r="U518" s="885"/>
      <c r="V518" s="885"/>
      <c r="W518" s="885"/>
      <c r="X518" s="885"/>
      <c r="Y518" s="885"/>
      <c r="Z518" s="885"/>
    </row>
    <row r="519" ht="15.0" customHeight="1">
      <c r="A519" s="3" t="s">
        <v>2054</v>
      </c>
      <c r="B519" s="884" t="s">
        <v>1039</v>
      </c>
      <c r="C519" s="884"/>
      <c r="D519" s="3"/>
      <c r="E519" s="885"/>
      <c r="F519" s="3"/>
      <c r="G519" s="3"/>
      <c r="H519" s="886"/>
      <c r="I519" s="885"/>
      <c r="J519" s="885"/>
      <c r="K519" s="885"/>
      <c r="L519" s="3"/>
      <c r="M519" s="3"/>
      <c r="N519" s="892"/>
      <c r="O519" s="885"/>
      <c r="P519" s="885"/>
      <c r="Q519" s="885"/>
      <c r="R519" s="885"/>
      <c r="S519" s="885"/>
      <c r="T519" s="885"/>
      <c r="U519" s="885"/>
      <c r="V519" s="885"/>
      <c r="W519" s="885"/>
      <c r="X519" s="885"/>
      <c r="Y519" s="885"/>
      <c r="Z519" s="885"/>
    </row>
    <row r="520" ht="15.0" customHeight="1">
      <c r="A520" s="3" t="s">
        <v>2055</v>
      </c>
      <c r="B520" s="884" t="s">
        <v>1039</v>
      </c>
      <c r="C520" s="884"/>
      <c r="D520" s="3"/>
      <c r="E520" s="885"/>
      <c r="F520" s="3"/>
      <c r="G520" s="3"/>
      <c r="H520" s="886"/>
      <c r="I520" s="885"/>
      <c r="J520" s="885"/>
      <c r="K520" s="885"/>
      <c r="L520" s="3"/>
      <c r="M520" s="3"/>
      <c r="N520" s="892"/>
      <c r="O520" s="885"/>
      <c r="P520" s="885"/>
      <c r="Q520" s="885"/>
      <c r="R520" s="885"/>
      <c r="S520" s="885"/>
      <c r="T520" s="885"/>
      <c r="U520" s="885"/>
      <c r="V520" s="885"/>
      <c r="W520" s="885"/>
      <c r="X520" s="885"/>
      <c r="Y520" s="885"/>
      <c r="Z520" s="885"/>
    </row>
    <row r="521" ht="15.0" customHeight="1">
      <c r="A521" s="3" t="s">
        <v>2056</v>
      </c>
      <c r="B521" s="884" t="s">
        <v>1039</v>
      </c>
      <c r="C521" s="884"/>
      <c r="D521" s="3"/>
      <c r="E521" s="885"/>
      <c r="F521" s="3"/>
      <c r="G521" s="3"/>
      <c r="H521" s="886"/>
      <c r="I521" s="885"/>
      <c r="J521" s="885"/>
      <c r="K521" s="885"/>
      <c r="L521" s="3"/>
      <c r="M521" s="3"/>
      <c r="N521" s="892"/>
      <c r="O521" s="885"/>
      <c r="P521" s="885"/>
      <c r="Q521" s="885"/>
      <c r="R521" s="885"/>
      <c r="S521" s="885"/>
      <c r="T521" s="885"/>
      <c r="U521" s="885"/>
      <c r="V521" s="885"/>
      <c r="W521" s="885"/>
      <c r="X521" s="885"/>
      <c r="Y521" s="885"/>
      <c r="Z521" s="885"/>
    </row>
    <row r="522" ht="15.0" customHeight="1">
      <c r="A522" s="3" t="s">
        <v>1039</v>
      </c>
      <c r="B522" s="884" t="s">
        <v>1039</v>
      </c>
      <c r="C522" s="884"/>
      <c r="D522" s="3"/>
      <c r="E522" s="885"/>
      <c r="F522" s="3"/>
      <c r="G522" s="3"/>
      <c r="H522" s="886"/>
      <c r="I522" s="885"/>
      <c r="J522" s="885"/>
      <c r="K522" s="885"/>
      <c r="L522" s="3"/>
      <c r="M522" s="3"/>
      <c r="N522" s="892"/>
      <c r="O522" s="885"/>
      <c r="P522" s="885"/>
      <c r="Q522" s="885"/>
      <c r="R522" s="885"/>
      <c r="S522" s="885"/>
      <c r="T522" s="885"/>
      <c r="U522" s="885"/>
      <c r="V522" s="885"/>
      <c r="W522" s="885"/>
      <c r="X522" s="885"/>
      <c r="Y522" s="885"/>
      <c r="Z522" s="885"/>
    </row>
    <row r="523" ht="15.0" customHeight="1">
      <c r="A523" s="3" t="s">
        <v>2057</v>
      </c>
      <c r="B523" s="884" t="s">
        <v>1039</v>
      </c>
      <c r="C523" s="884"/>
      <c r="D523" s="3"/>
      <c r="E523" s="885"/>
      <c r="F523" s="3"/>
      <c r="G523" s="3"/>
      <c r="H523" s="886"/>
      <c r="I523" s="885"/>
      <c r="J523" s="885"/>
      <c r="K523" s="885"/>
      <c r="L523" s="3"/>
      <c r="M523" s="3"/>
      <c r="N523" s="892"/>
      <c r="O523" s="885"/>
      <c r="P523" s="885"/>
      <c r="Q523" s="885"/>
      <c r="R523" s="885"/>
      <c r="S523" s="885"/>
      <c r="T523" s="885"/>
      <c r="U523" s="885"/>
      <c r="V523" s="885"/>
      <c r="W523" s="885"/>
      <c r="X523" s="885"/>
      <c r="Y523" s="885"/>
      <c r="Z523" s="885"/>
    </row>
    <row r="524" ht="15.0" customHeight="1">
      <c r="A524" s="3" t="s">
        <v>2058</v>
      </c>
      <c r="B524" s="3" t="s">
        <v>1039</v>
      </c>
      <c r="C524" s="884"/>
      <c r="D524" s="3"/>
      <c r="E524" s="885"/>
      <c r="F524" s="3"/>
      <c r="G524" s="3"/>
      <c r="H524" s="886"/>
      <c r="I524" s="885"/>
      <c r="J524" s="885"/>
      <c r="K524" s="885"/>
      <c r="L524" s="3"/>
      <c r="M524" s="3"/>
      <c r="N524" s="892"/>
      <c r="O524" s="885"/>
      <c r="P524" s="885"/>
      <c r="Q524" s="885"/>
      <c r="R524" s="885"/>
      <c r="S524" s="885"/>
      <c r="T524" s="885"/>
      <c r="U524" s="885"/>
      <c r="V524" s="885"/>
      <c r="W524" s="885"/>
      <c r="X524" s="885"/>
      <c r="Y524" s="885"/>
      <c r="Z524" s="885"/>
    </row>
    <row r="525" ht="15.0" customHeight="1">
      <c r="A525" s="3" t="s">
        <v>2059</v>
      </c>
      <c r="B525" s="3" t="s">
        <v>1039</v>
      </c>
      <c r="C525" s="884"/>
      <c r="D525" s="3"/>
      <c r="E525" s="885"/>
      <c r="F525" s="3"/>
      <c r="G525" s="3"/>
      <c r="H525" s="886"/>
      <c r="I525" s="885"/>
      <c r="J525" s="885"/>
      <c r="K525" s="885"/>
      <c r="L525" s="3"/>
      <c r="M525" s="3"/>
      <c r="N525" s="892"/>
      <c r="O525" s="885"/>
      <c r="P525" s="885"/>
      <c r="Q525" s="885"/>
      <c r="R525" s="885"/>
      <c r="S525" s="885"/>
      <c r="T525" s="885"/>
      <c r="U525" s="885"/>
      <c r="V525" s="885"/>
      <c r="W525" s="885"/>
      <c r="X525" s="885"/>
      <c r="Y525" s="885"/>
      <c r="Z525" s="885"/>
    </row>
    <row r="526" ht="15.0" customHeight="1">
      <c r="A526" s="3" t="s">
        <v>2060</v>
      </c>
      <c r="B526" s="3" t="s">
        <v>1039</v>
      </c>
      <c r="C526" s="884"/>
      <c r="D526" s="3"/>
      <c r="E526" s="885"/>
      <c r="F526" s="3"/>
      <c r="G526" s="3"/>
      <c r="H526" s="886"/>
      <c r="I526" s="885"/>
      <c r="J526" s="885"/>
      <c r="K526" s="885"/>
      <c r="L526" s="3"/>
      <c r="M526" s="3"/>
      <c r="N526" s="892"/>
      <c r="O526" s="885"/>
      <c r="P526" s="885"/>
      <c r="Q526" s="885"/>
      <c r="R526" s="885"/>
      <c r="S526" s="885"/>
      <c r="T526" s="885"/>
      <c r="U526" s="885"/>
      <c r="V526" s="885"/>
      <c r="W526" s="885"/>
      <c r="X526" s="885"/>
      <c r="Y526" s="885"/>
      <c r="Z526" s="885"/>
    </row>
    <row r="527" ht="15.0" customHeight="1">
      <c r="A527" s="3" t="s">
        <v>2061</v>
      </c>
      <c r="B527" s="3" t="s">
        <v>1039</v>
      </c>
      <c r="C527" s="884"/>
      <c r="D527" s="3"/>
      <c r="E527" s="885"/>
      <c r="F527" s="3"/>
      <c r="G527" s="3"/>
      <c r="H527" s="886"/>
      <c r="I527" s="885"/>
      <c r="J527" s="885"/>
      <c r="K527" s="885"/>
      <c r="L527" s="3"/>
      <c r="M527" s="3"/>
      <c r="N527" s="892"/>
      <c r="O527" s="885"/>
      <c r="P527" s="885"/>
      <c r="Q527" s="885"/>
      <c r="R527" s="885"/>
      <c r="S527" s="885"/>
      <c r="T527" s="885"/>
      <c r="U527" s="885"/>
      <c r="V527" s="885"/>
      <c r="W527" s="885"/>
      <c r="X527" s="885"/>
      <c r="Y527" s="885"/>
      <c r="Z527" s="885"/>
    </row>
    <row r="528" ht="15.0" customHeight="1">
      <c r="A528" s="3" t="s">
        <v>2062</v>
      </c>
      <c r="B528" s="3" t="s">
        <v>2063</v>
      </c>
      <c r="C528" s="884"/>
      <c r="D528" s="3"/>
      <c r="E528" s="885"/>
      <c r="F528" s="3"/>
      <c r="G528" s="3"/>
      <c r="H528" s="886"/>
      <c r="I528" s="885"/>
      <c r="J528" s="885"/>
      <c r="K528" s="885"/>
      <c r="L528" s="3"/>
      <c r="M528" s="3"/>
      <c r="N528" s="892"/>
      <c r="O528" s="885"/>
      <c r="P528" s="885"/>
      <c r="Q528" s="885"/>
      <c r="R528" s="885"/>
      <c r="S528" s="885"/>
      <c r="T528" s="885"/>
      <c r="U528" s="885"/>
      <c r="V528" s="885"/>
      <c r="W528" s="885"/>
      <c r="X528" s="885"/>
      <c r="Y528" s="885"/>
      <c r="Z528" s="885"/>
    </row>
    <row r="529" ht="15.0" customHeight="1">
      <c r="A529" s="3" t="s">
        <v>522</v>
      </c>
      <c r="B529" s="3" t="s">
        <v>1039</v>
      </c>
      <c r="C529" s="884"/>
      <c r="D529" s="3"/>
      <c r="E529" s="885"/>
      <c r="F529" s="3"/>
      <c r="G529" s="3"/>
      <c r="H529" s="886"/>
      <c r="I529" s="885"/>
      <c r="J529" s="885"/>
      <c r="K529" s="885"/>
      <c r="L529" s="3"/>
      <c r="M529" s="3"/>
      <c r="N529" s="892"/>
      <c r="O529" s="885"/>
      <c r="P529" s="885"/>
      <c r="Q529" s="885"/>
      <c r="R529" s="885"/>
      <c r="S529" s="885"/>
      <c r="T529" s="885"/>
      <c r="U529" s="885"/>
      <c r="V529" s="885"/>
      <c r="W529" s="885"/>
      <c r="X529" s="885"/>
      <c r="Y529" s="885"/>
      <c r="Z529" s="885"/>
    </row>
    <row r="530" ht="15.0" customHeight="1">
      <c r="A530" s="3" t="s">
        <v>2064</v>
      </c>
      <c r="B530" s="884" t="s">
        <v>1039</v>
      </c>
      <c r="C530" s="884"/>
      <c r="D530" s="3"/>
      <c r="E530" s="885"/>
      <c r="F530" s="3"/>
      <c r="G530" s="3"/>
      <c r="H530" s="886"/>
      <c r="I530" s="885"/>
      <c r="J530" s="885"/>
      <c r="K530" s="885"/>
      <c r="L530" s="3"/>
      <c r="M530" s="3"/>
      <c r="N530" s="892"/>
      <c r="O530" s="885"/>
      <c r="P530" s="885"/>
      <c r="Q530" s="885"/>
      <c r="R530" s="885"/>
      <c r="S530" s="885"/>
      <c r="T530" s="885"/>
      <c r="U530" s="885"/>
      <c r="V530" s="885"/>
      <c r="W530" s="885"/>
      <c r="X530" s="885"/>
      <c r="Y530" s="885"/>
      <c r="Z530" s="885"/>
    </row>
    <row r="531" ht="15.0" customHeight="1">
      <c r="A531" s="3" t="s">
        <v>2065</v>
      </c>
      <c r="B531" s="884" t="s">
        <v>1039</v>
      </c>
      <c r="C531" s="3"/>
      <c r="D531" s="3"/>
      <c r="E531" s="885"/>
      <c r="F531" s="3"/>
      <c r="G531" s="3"/>
      <c r="H531" s="886"/>
      <c r="I531" s="885"/>
      <c r="J531" s="885"/>
      <c r="K531" s="885"/>
      <c r="L531" s="3"/>
      <c r="M531" s="3"/>
      <c r="N531" s="892"/>
      <c r="O531" s="885"/>
      <c r="P531" s="885"/>
      <c r="Q531" s="885"/>
      <c r="R531" s="885"/>
      <c r="S531" s="885"/>
      <c r="T531" s="885"/>
      <c r="U531" s="885"/>
      <c r="V531" s="885"/>
      <c r="W531" s="885"/>
      <c r="X531" s="885"/>
      <c r="Y531" s="885"/>
      <c r="Z531" s="885"/>
    </row>
    <row r="532" ht="15.0" customHeight="1">
      <c r="A532" s="3" t="s">
        <v>2066</v>
      </c>
      <c r="B532" s="884" t="s">
        <v>1039</v>
      </c>
      <c r="C532" s="3"/>
      <c r="D532" s="3"/>
      <c r="E532" s="885"/>
      <c r="F532" s="3"/>
      <c r="G532" s="3"/>
      <c r="H532" s="886"/>
      <c r="I532" s="885"/>
      <c r="J532" s="885"/>
      <c r="K532" s="885"/>
      <c r="L532" s="3"/>
      <c r="M532" s="3"/>
      <c r="N532" s="892"/>
      <c r="O532" s="885"/>
      <c r="P532" s="885"/>
      <c r="Q532" s="885"/>
      <c r="R532" s="885"/>
      <c r="S532" s="885"/>
      <c r="T532" s="885"/>
      <c r="U532" s="885"/>
      <c r="V532" s="885"/>
      <c r="W532" s="885"/>
      <c r="X532" s="885"/>
      <c r="Y532" s="885"/>
      <c r="Z532" s="885"/>
    </row>
    <row r="533" ht="15.0" customHeight="1">
      <c r="A533" s="3" t="s">
        <v>2067</v>
      </c>
      <c r="B533" s="884" t="s">
        <v>1039</v>
      </c>
      <c r="C533" s="3"/>
      <c r="D533" s="3"/>
      <c r="E533" s="885"/>
      <c r="F533" s="3"/>
      <c r="G533" s="3"/>
      <c r="H533" s="886"/>
      <c r="I533" s="885"/>
      <c r="J533" s="885"/>
      <c r="K533" s="885"/>
      <c r="L533" s="3"/>
      <c r="M533" s="3"/>
      <c r="N533" s="892"/>
      <c r="O533" s="885"/>
      <c r="P533" s="885"/>
      <c r="Q533" s="885"/>
      <c r="R533" s="885"/>
      <c r="S533" s="885"/>
      <c r="T533" s="885"/>
      <c r="U533" s="885"/>
      <c r="V533" s="885"/>
      <c r="W533" s="885"/>
      <c r="X533" s="885"/>
      <c r="Y533" s="885"/>
      <c r="Z533" s="885"/>
    </row>
    <row r="534" ht="15.0" customHeight="1">
      <c r="A534" s="3" t="s">
        <v>2068</v>
      </c>
      <c r="B534" s="884" t="s">
        <v>1039</v>
      </c>
      <c r="C534" s="3"/>
      <c r="D534" s="3"/>
      <c r="E534" s="885"/>
      <c r="F534" s="3"/>
      <c r="G534" s="3"/>
      <c r="H534" s="886"/>
      <c r="I534" s="885"/>
      <c r="J534" s="885"/>
      <c r="K534" s="885"/>
      <c r="L534" s="3"/>
      <c r="M534" s="3"/>
      <c r="N534" s="892"/>
      <c r="O534" s="885"/>
      <c r="P534" s="885"/>
      <c r="Q534" s="885"/>
      <c r="R534" s="885"/>
      <c r="S534" s="885"/>
      <c r="T534" s="885"/>
      <c r="U534" s="885"/>
      <c r="V534" s="885"/>
      <c r="W534" s="885"/>
      <c r="X534" s="885"/>
      <c r="Y534" s="885"/>
      <c r="Z534" s="885"/>
    </row>
    <row r="535" ht="15.0" customHeight="1">
      <c r="A535" s="3" t="s">
        <v>2069</v>
      </c>
      <c r="B535" s="884" t="s">
        <v>1039</v>
      </c>
      <c r="C535" s="3"/>
      <c r="D535" s="3"/>
      <c r="E535" s="885"/>
      <c r="F535" s="3"/>
      <c r="G535" s="3"/>
      <c r="H535" s="886"/>
      <c r="I535" s="885"/>
      <c r="J535" s="885"/>
      <c r="K535" s="885"/>
      <c r="L535" s="3"/>
      <c r="M535" s="3"/>
      <c r="N535" s="892"/>
      <c r="O535" s="885"/>
      <c r="P535" s="885"/>
      <c r="Q535" s="885"/>
      <c r="R535" s="885"/>
      <c r="S535" s="885"/>
      <c r="T535" s="885"/>
      <c r="U535" s="885"/>
      <c r="V535" s="885"/>
      <c r="W535" s="885"/>
      <c r="X535" s="885"/>
      <c r="Y535" s="885"/>
      <c r="Z535" s="885"/>
    </row>
    <row r="536" ht="15.0" customHeight="1">
      <c r="A536" s="3" t="s">
        <v>2070</v>
      </c>
      <c r="B536" s="884" t="s">
        <v>1039</v>
      </c>
      <c r="C536" s="3"/>
      <c r="D536" s="3"/>
      <c r="E536" s="885"/>
      <c r="F536" s="885"/>
      <c r="G536" s="885"/>
      <c r="H536" s="886"/>
      <c r="I536" s="885"/>
      <c r="J536" s="885"/>
      <c r="K536" s="885"/>
      <c r="L536" s="885"/>
      <c r="M536" s="885"/>
      <c r="N536" s="887"/>
      <c r="O536" s="885"/>
      <c r="P536" s="885"/>
      <c r="Q536" s="885"/>
      <c r="R536" s="885"/>
      <c r="S536" s="885"/>
      <c r="T536" s="885"/>
      <c r="U536" s="885"/>
      <c r="V536" s="885"/>
      <c r="W536" s="885"/>
      <c r="X536" s="885"/>
      <c r="Y536" s="885"/>
      <c r="Z536" s="885"/>
    </row>
    <row r="537" ht="15.0" customHeight="1">
      <c r="A537" s="3" t="s">
        <v>563</v>
      </c>
      <c r="B537" s="884" t="s">
        <v>1039</v>
      </c>
      <c r="C537" s="3"/>
      <c r="D537" s="3"/>
      <c r="E537" s="885"/>
      <c r="F537" s="885"/>
      <c r="G537" s="885"/>
      <c r="H537" s="886"/>
      <c r="I537" s="885"/>
      <c r="J537" s="885"/>
      <c r="K537" s="885"/>
      <c r="L537" s="885"/>
      <c r="M537" s="885"/>
      <c r="N537" s="887"/>
      <c r="O537" s="885"/>
      <c r="P537" s="885"/>
      <c r="Q537" s="885"/>
      <c r="R537" s="885"/>
      <c r="S537" s="885"/>
      <c r="T537" s="885"/>
      <c r="U537" s="885"/>
      <c r="V537" s="885"/>
      <c r="W537" s="885"/>
      <c r="X537" s="885"/>
      <c r="Y537" s="885"/>
      <c r="Z537" s="885"/>
    </row>
    <row r="538" ht="15.0" customHeight="1">
      <c r="A538" s="3" t="s">
        <v>2071</v>
      </c>
      <c r="B538" s="884" t="s">
        <v>1039</v>
      </c>
      <c r="C538" s="3"/>
      <c r="D538" s="3"/>
      <c r="E538" s="885"/>
      <c r="F538" s="885"/>
      <c r="G538" s="885"/>
      <c r="H538" s="886"/>
      <c r="I538" s="885"/>
      <c r="J538" s="885"/>
      <c r="K538" s="885"/>
      <c r="L538" s="885"/>
      <c r="M538" s="885"/>
      <c r="N538" s="887"/>
      <c r="O538" s="885"/>
      <c r="P538" s="885"/>
      <c r="Q538" s="885"/>
      <c r="R538" s="885"/>
      <c r="S538" s="885"/>
      <c r="T538" s="885"/>
      <c r="U538" s="885"/>
      <c r="V538" s="885"/>
      <c r="W538" s="885"/>
      <c r="X538" s="885"/>
      <c r="Y538" s="885"/>
      <c r="Z538" s="885"/>
    </row>
    <row r="539" ht="15.0" customHeight="1">
      <c r="A539" s="3" t="s">
        <v>2072</v>
      </c>
      <c r="B539" s="884" t="s">
        <v>1039</v>
      </c>
      <c r="C539" s="3"/>
      <c r="D539" s="3"/>
      <c r="E539" s="885"/>
      <c r="F539" s="3"/>
      <c r="G539" s="933" t="s">
        <v>1677</v>
      </c>
      <c r="H539" s="886"/>
      <c r="I539" s="885"/>
      <c r="J539" s="885"/>
      <c r="K539" s="885"/>
      <c r="L539" s="885"/>
      <c r="N539" s="887"/>
      <c r="O539" s="885"/>
      <c r="P539" s="885"/>
      <c r="Q539" s="885"/>
      <c r="R539" s="885"/>
      <c r="S539" s="885"/>
      <c r="T539" s="885"/>
      <c r="U539" s="885"/>
      <c r="V539" s="885"/>
      <c r="W539" s="885"/>
      <c r="X539" s="885"/>
      <c r="Y539" s="885"/>
      <c r="Z539" s="885"/>
    </row>
    <row r="540" ht="15.0" customHeight="1">
      <c r="A540" s="3" t="s">
        <v>2073</v>
      </c>
      <c r="B540" s="884" t="s">
        <v>1039</v>
      </c>
      <c r="C540" s="884"/>
      <c r="D540" s="3"/>
      <c r="E540" s="885"/>
      <c r="F540" s="915" t="s">
        <v>698</v>
      </c>
      <c r="G540" s="3"/>
      <c r="H540" s="930">
        <v>5.25</v>
      </c>
      <c r="I540" s="885"/>
      <c r="J540" s="885"/>
      <c r="K540" s="885"/>
      <c r="L540" s="885"/>
      <c r="N540" s="887"/>
      <c r="O540" s="885"/>
      <c r="P540" s="885"/>
      <c r="Q540" s="885"/>
      <c r="R540" s="885"/>
      <c r="S540" s="885"/>
      <c r="T540" s="885"/>
      <c r="U540" s="885"/>
      <c r="V540" s="885"/>
      <c r="W540" s="885"/>
      <c r="X540" s="885"/>
      <c r="Y540" s="885"/>
      <c r="Z540" s="885"/>
    </row>
    <row r="541" ht="15.0" customHeight="1">
      <c r="A541" s="3" t="s">
        <v>2074</v>
      </c>
      <c r="B541" s="884" t="s">
        <v>1039</v>
      </c>
      <c r="C541" s="884"/>
      <c r="D541" s="3"/>
      <c r="E541" s="885"/>
      <c r="F541" s="884" t="s">
        <v>1700</v>
      </c>
      <c r="G541" s="3"/>
      <c r="H541" s="931">
        <v>10.0</v>
      </c>
      <c r="I541" s="885"/>
      <c r="J541" s="885"/>
      <c r="K541" s="885"/>
      <c r="L541" s="885"/>
      <c r="N541" s="887"/>
      <c r="O541" s="885"/>
      <c r="P541" s="885"/>
      <c r="Q541" s="885"/>
      <c r="R541" s="885"/>
      <c r="S541" s="885"/>
      <c r="T541" s="885"/>
      <c r="U541" s="885"/>
      <c r="V541" s="885"/>
      <c r="W541" s="885"/>
      <c r="X541" s="885"/>
      <c r="Y541" s="885"/>
      <c r="Z541" s="885"/>
    </row>
    <row r="542" ht="15.0" customHeight="1">
      <c r="A542" s="3" t="s">
        <v>2075</v>
      </c>
      <c r="B542" s="884" t="s">
        <v>1039</v>
      </c>
      <c r="C542" s="884"/>
      <c r="D542" s="3"/>
      <c r="E542" s="885"/>
      <c r="F542" s="883" t="s">
        <v>784</v>
      </c>
      <c r="G542" s="3"/>
      <c r="H542" s="930">
        <v>5.5</v>
      </c>
      <c r="I542" s="885"/>
      <c r="J542" s="885"/>
      <c r="K542" s="885"/>
      <c r="L542" s="885"/>
      <c r="N542" s="887"/>
      <c r="O542" s="885"/>
      <c r="P542" s="885"/>
      <c r="Q542" s="885"/>
      <c r="R542" s="885"/>
      <c r="S542" s="885"/>
      <c r="T542" s="885"/>
      <c r="U542" s="885"/>
      <c r="V542" s="885"/>
      <c r="W542" s="885"/>
      <c r="X542" s="885"/>
      <c r="Y542" s="885"/>
      <c r="Z542" s="885"/>
    </row>
    <row r="543" ht="15.0" customHeight="1">
      <c r="A543" s="3" t="s">
        <v>2076</v>
      </c>
      <c r="B543" s="884" t="s">
        <v>1039</v>
      </c>
      <c r="C543" s="884"/>
      <c r="D543" s="3"/>
      <c r="E543" s="885"/>
      <c r="F543" s="725" t="s">
        <v>1147</v>
      </c>
      <c r="H543" s="725">
        <v>10.0</v>
      </c>
      <c r="I543" s="885"/>
      <c r="J543" s="885"/>
      <c r="K543" s="885"/>
      <c r="L543" s="885"/>
      <c r="N543" s="887"/>
      <c r="O543" s="885"/>
      <c r="P543" s="885"/>
      <c r="Q543" s="885"/>
      <c r="R543" s="885"/>
      <c r="S543" s="885"/>
      <c r="T543" s="885"/>
      <c r="U543" s="885"/>
      <c r="V543" s="885"/>
      <c r="W543" s="885"/>
      <c r="X543" s="885"/>
      <c r="Y543" s="885"/>
      <c r="Z543" s="885"/>
    </row>
    <row r="544" ht="15.0" customHeight="1">
      <c r="A544" s="3" t="s">
        <v>2077</v>
      </c>
      <c r="B544" s="3" t="s">
        <v>1039</v>
      </c>
      <c r="C544" s="884"/>
      <c r="D544" s="3"/>
      <c r="E544" s="885"/>
      <c r="F544" s="915" t="s">
        <v>860</v>
      </c>
      <c r="G544" s="884"/>
      <c r="H544" s="931">
        <v>10.0</v>
      </c>
      <c r="I544" s="885"/>
      <c r="J544" s="885"/>
      <c r="K544" s="885"/>
      <c r="L544" s="885"/>
      <c r="M544" s="885"/>
      <c r="N544" s="887"/>
      <c r="O544" s="885"/>
      <c r="P544" s="885"/>
      <c r="Q544" s="885"/>
      <c r="R544" s="885"/>
      <c r="S544" s="885"/>
      <c r="T544" s="885"/>
      <c r="U544" s="885"/>
      <c r="V544" s="885"/>
      <c r="W544" s="885"/>
      <c r="X544" s="885"/>
      <c r="Y544" s="885"/>
      <c r="Z544" s="885"/>
    </row>
    <row r="545" ht="15.0" customHeight="1">
      <c r="A545" s="884" t="s">
        <v>2078</v>
      </c>
      <c r="B545" s="3" t="s">
        <v>2079</v>
      </c>
      <c r="C545" s="884"/>
      <c r="D545" s="3"/>
      <c r="E545" s="885"/>
      <c r="F545" s="883" t="s">
        <v>1031</v>
      </c>
      <c r="G545" s="884"/>
      <c r="H545" s="930">
        <f>2+10+2+5</f>
        <v>19</v>
      </c>
      <c r="I545" s="885"/>
      <c r="J545" s="885"/>
      <c r="K545" s="885"/>
      <c r="L545" s="885"/>
      <c r="M545" s="885"/>
      <c r="N545" s="887"/>
      <c r="O545" s="885"/>
      <c r="P545" s="885"/>
      <c r="Q545" s="885"/>
      <c r="R545" s="885"/>
      <c r="S545" s="885"/>
      <c r="T545" s="885"/>
      <c r="U545" s="885"/>
      <c r="V545" s="885"/>
      <c r="W545" s="885"/>
      <c r="X545" s="885"/>
      <c r="Y545" s="885"/>
      <c r="Z545" s="885"/>
    </row>
    <row r="546" ht="15.0" customHeight="1">
      <c r="A546" s="884" t="s">
        <v>2080</v>
      </c>
      <c r="B546" s="3" t="s">
        <v>1039</v>
      </c>
      <c r="C546" s="884"/>
      <c r="D546" s="3"/>
      <c r="E546" s="885"/>
      <c r="F546" s="884" t="s">
        <v>755</v>
      </c>
      <c r="G546" s="884" t="s">
        <v>1705</v>
      </c>
      <c r="H546" s="930">
        <v>4.0</v>
      </c>
      <c r="I546" s="885"/>
      <c r="J546" s="885"/>
      <c r="K546" s="885"/>
      <c r="L546" s="885"/>
      <c r="M546" s="885"/>
      <c r="N546" s="887"/>
      <c r="O546" s="885"/>
      <c r="P546" s="885"/>
      <c r="Q546" s="885"/>
      <c r="R546" s="885"/>
      <c r="S546" s="885"/>
      <c r="T546" s="885"/>
      <c r="U546" s="885"/>
      <c r="V546" s="885"/>
      <c r="W546" s="885"/>
      <c r="X546" s="885"/>
      <c r="Y546" s="885"/>
      <c r="Z546" s="885"/>
    </row>
    <row r="547" ht="15.0" customHeight="1">
      <c r="A547" s="884" t="s">
        <v>500</v>
      </c>
      <c r="B547" s="3" t="s">
        <v>1039</v>
      </c>
      <c r="C547" s="884"/>
      <c r="D547" s="3"/>
      <c r="E547" s="885"/>
      <c r="F547" s="915" t="s">
        <v>770</v>
      </c>
      <c r="G547" s="884" t="s">
        <v>89</v>
      </c>
      <c r="H547" s="931">
        <v>20.0</v>
      </c>
      <c r="I547" s="885"/>
      <c r="J547" s="885"/>
      <c r="K547" s="885"/>
      <c r="L547" s="885"/>
      <c r="M547" s="885"/>
      <c r="N547" s="887"/>
      <c r="O547" s="885"/>
      <c r="P547" s="885"/>
      <c r="Q547" s="885"/>
      <c r="R547" s="885"/>
      <c r="S547" s="885"/>
      <c r="T547" s="885"/>
      <c r="U547" s="885"/>
      <c r="V547" s="885"/>
      <c r="W547" s="885"/>
      <c r="X547" s="885"/>
      <c r="Y547" s="885"/>
      <c r="Z547" s="885"/>
    </row>
    <row r="548" ht="15.0" customHeight="1">
      <c r="A548" s="884" t="s">
        <v>2081</v>
      </c>
      <c r="B548" s="884" t="s">
        <v>1039</v>
      </c>
      <c r="C548" s="884"/>
      <c r="D548" s="3"/>
      <c r="E548" s="885"/>
      <c r="F548" s="915" t="s">
        <v>812</v>
      </c>
      <c r="G548" s="884"/>
      <c r="H548" s="931">
        <v>20.0</v>
      </c>
      <c r="I548" s="885"/>
      <c r="J548" s="885"/>
      <c r="K548" s="885"/>
      <c r="L548" s="885"/>
      <c r="M548" s="885"/>
      <c r="N548" s="887"/>
      <c r="O548" s="885"/>
      <c r="P548" s="885"/>
      <c r="Q548" s="885"/>
      <c r="R548" s="885"/>
      <c r="S548" s="885"/>
      <c r="T548" s="885"/>
      <c r="U548" s="885"/>
      <c r="V548" s="885"/>
      <c r="W548" s="885"/>
      <c r="X548" s="885"/>
      <c r="Y548" s="885"/>
      <c r="Z548" s="885"/>
    </row>
    <row r="549" ht="15.0" customHeight="1">
      <c r="A549" s="884" t="s">
        <v>2082</v>
      </c>
      <c r="B549" s="884" t="s">
        <v>1039</v>
      </c>
      <c r="C549" s="884"/>
      <c r="D549" s="3"/>
      <c r="E549" s="885"/>
      <c r="F549" s="884" t="s">
        <v>1369</v>
      </c>
      <c r="G549" s="884" t="s">
        <v>1706</v>
      </c>
      <c r="H549" s="930">
        <v>6.75</v>
      </c>
      <c r="I549" s="885"/>
      <c r="J549" s="885"/>
      <c r="K549" s="885"/>
      <c r="L549" s="885"/>
      <c r="M549" s="885"/>
      <c r="N549" s="887"/>
      <c r="O549" s="885"/>
      <c r="P549" s="885"/>
      <c r="Q549" s="885"/>
      <c r="R549" s="885"/>
      <c r="S549" s="885"/>
      <c r="T549" s="885"/>
      <c r="U549" s="885"/>
      <c r="V549" s="885"/>
      <c r="W549" s="885"/>
      <c r="X549" s="885"/>
      <c r="Y549" s="885"/>
      <c r="Z549" s="885"/>
    </row>
    <row r="550" ht="15.0" customHeight="1">
      <c r="A550" s="884" t="s">
        <v>2083</v>
      </c>
      <c r="B550" s="884" t="s">
        <v>1039</v>
      </c>
      <c r="C550" s="884"/>
      <c r="D550" s="3"/>
      <c r="E550" s="885"/>
      <c r="F550" s="884" t="s">
        <v>809</v>
      </c>
      <c r="G550" s="884" t="s">
        <v>1739</v>
      </c>
      <c r="H550" s="930">
        <v>6.25</v>
      </c>
      <c r="I550" s="885"/>
      <c r="J550" s="885"/>
      <c r="K550" s="885"/>
      <c r="L550" s="885"/>
      <c r="M550" s="885"/>
      <c r="N550" s="887"/>
      <c r="O550" s="885"/>
      <c r="P550" s="885"/>
      <c r="Q550" s="885"/>
      <c r="R550" s="885"/>
      <c r="S550" s="885"/>
      <c r="T550" s="885"/>
      <c r="U550" s="885"/>
      <c r="V550" s="885"/>
      <c r="W550" s="885"/>
      <c r="X550" s="885"/>
      <c r="Y550" s="885"/>
      <c r="Z550" s="885"/>
    </row>
    <row r="551" ht="15.0" customHeight="1">
      <c r="A551" s="884" t="s">
        <v>2084</v>
      </c>
      <c r="B551" s="884" t="s">
        <v>1039</v>
      </c>
      <c r="C551" s="884"/>
      <c r="D551" s="3"/>
      <c r="E551" s="885"/>
      <c r="F551" s="884" t="s">
        <v>1327</v>
      </c>
      <c r="G551" s="884" t="s">
        <v>1708</v>
      </c>
      <c r="H551" s="930">
        <v>5.25</v>
      </c>
      <c r="I551" s="885"/>
      <c r="J551" s="885"/>
      <c r="K551" s="885"/>
      <c r="L551" s="885"/>
      <c r="M551" s="885"/>
      <c r="N551" s="887"/>
      <c r="O551" s="885"/>
      <c r="P551" s="885"/>
      <c r="Q551" s="885"/>
      <c r="R551" s="885"/>
      <c r="S551" s="885"/>
      <c r="T551" s="885"/>
      <c r="U551" s="885"/>
      <c r="V551" s="885"/>
      <c r="W551" s="885"/>
      <c r="X551" s="885"/>
      <c r="Y551" s="885"/>
      <c r="Z551" s="885"/>
    </row>
    <row r="552" ht="15.0" customHeight="1">
      <c r="A552" s="884" t="s">
        <v>2085</v>
      </c>
      <c r="B552" s="884" t="s">
        <v>1039</v>
      </c>
      <c r="C552" s="884"/>
      <c r="D552" s="3"/>
      <c r="E552" s="885"/>
      <c r="F552" s="884" t="s">
        <v>957</v>
      </c>
      <c r="G552" s="884" t="s">
        <v>1709</v>
      </c>
      <c r="H552" s="930">
        <v>7.0</v>
      </c>
      <c r="I552" s="885"/>
      <c r="J552" s="885"/>
      <c r="K552" s="885"/>
      <c r="L552" s="885"/>
      <c r="M552" s="885"/>
      <c r="N552" s="887"/>
      <c r="O552" s="885"/>
      <c r="P552" s="885"/>
      <c r="Q552" s="885"/>
      <c r="R552" s="885"/>
      <c r="S552" s="885"/>
      <c r="T552" s="885"/>
      <c r="U552" s="885"/>
      <c r="V552" s="885"/>
      <c r="W552" s="885"/>
      <c r="X552" s="885"/>
      <c r="Y552" s="885"/>
      <c r="Z552" s="885"/>
    </row>
    <row r="553" ht="15.0" customHeight="1">
      <c r="A553" s="884" t="s">
        <v>2086</v>
      </c>
      <c r="B553" s="3" t="s">
        <v>1039</v>
      </c>
      <c r="C553" s="884"/>
      <c r="D553" s="3"/>
      <c r="E553" s="885"/>
      <c r="F553" s="884" t="s">
        <v>1710</v>
      </c>
      <c r="G553" s="3"/>
      <c r="H553" s="930">
        <v>7.25</v>
      </c>
      <c r="I553" s="885"/>
      <c r="J553" s="885"/>
      <c r="K553" s="885"/>
      <c r="L553" s="885"/>
      <c r="M553" s="885"/>
      <c r="N553" s="887"/>
      <c r="O553" s="885"/>
      <c r="P553" s="885"/>
      <c r="Q553" s="885"/>
      <c r="R553" s="885"/>
      <c r="S553" s="885"/>
      <c r="T553" s="885"/>
      <c r="U553" s="885"/>
      <c r="V553" s="885"/>
      <c r="W553" s="885"/>
      <c r="X553" s="885"/>
      <c r="Y553" s="885"/>
      <c r="Z553" s="885"/>
    </row>
    <row r="554" ht="15.0" customHeight="1">
      <c r="A554" s="3" t="s">
        <v>2087</v>
      </c>
      <c r="B554" s="3" t="s">
        <v>1039</v>
      </c>
      <c r="C554" s="884"/>
      <c r="D554" s="3"/>
      <c r="E554" s="885"/>
      <c r="F554" s="3" t="s">
        <v>663</v>
      </c>
      <c r="G554" s="3" t="s">
        <v>1710</v>
      </c>
      <c r="H554" s="930">
        <v>7.25</v>
      </c>
      <c r="I554" s="885"/>
      <c r="J554" s="885"/>
      <c r="K554" s="885"/>
      <c r="L554" s="885"/>
      <c r="M554" s="885"/>
      <c r="N554" s="887"/>
      <c r="O554" s="885"/>
      <c r="P554" s="885"/>
      <c r="Q554" s="885"/>
      <c r="R554" s="885"/>
      <c r="S554" s="885"/>
      <c r="T554" s="885"/>
      <c r="U554" s="885"/>
      <c r="V554" s="885"/>
      <c r="W554" s="885"/>
      <c r="X554" s="885"/>
      <c r="Y554" s="885"/>
      <c r="Z554" s="885"/>
    </row>
    <row r="555" ht="15.0" customHeight="1">
      <c r="A555" s="884" t="s">
        <v>285</v>
      </c>
      <c r="B555" s="3" t="s">
        <v>1039</v>
      </c>
      <c r="C555" s="884"/>
      <c r="D555" s="3"/>
      <c r="E555" s="885"/>
      <c r="F555" s="884" t="s">
        <v>188</v>
      </c>
      <c r="G555" s="884" t="s">
        <v>1710</v>
      </c>
      <c r="H555" s="930">
        <v>7.25</v>
      </c>
      <c r="I555" s="885"/>
      <c r="J555" s="885"/>
      <c r="K555" s="885"/>
      <c r="L555" s="885"/>
      <c r="M555" s="885"/>
      <c r="N555" s="887"/>
      <c r="O555" s="885"/>
      <c r="P555" s="885"/>
      <c r="Q555" s="885"/>
      <c r="R555" s="885"/>
      <c r="S555" s="885"/>
      <c r="T555" s="885"/>
      <c r="U555" s="885"/>
      <c r="V555" s="885"/>
      <c r="W555" s="885"/>
      <c r="X555" s="885"/>
      <c r="Y555" s="885"/>
      <c r="Z555" s="885"/>
    </row>
    <row r="556" ht="15.0" customHeight="1">
      <c r="A556" s="3" t="s">
        <v>2088</v>
      </c>
      <c r="B556" s="884" t="s">
        <v>1039</v>
      </c>
      <c r="C556" s="884"/>
      <c r="D556" s="3"/>
      <c r="E556" s="885"/>
      <c r="F556" s="884" t="s">
        <v>703</v>
      </c>
      <c r="G556" s="884" t="s">
        <v>1712</v>
      </c>
      <c r="H556" s="930">
        <v>6.75</v>
      </c>
      <c r="I556" s="885"/>
      <c r="J556" s="885"/>
      <c r="K556" s="885"/>
      <c r="L556" s="885"/>
      <c r="M556" s="885"/>
      <c r="N556" s="887"/>
      <c r="O556" s="885"/>
      <c r="P556" s="885"/>
      <c r="Q556" s="885"/>
      <c r="R556" s="885"/>
      <c r="S556" s="885"/>
      <c r="T556" s="885"/>
      <c r="U556" s="885"/>
      <c r="V556" s="885"/>
      <c r="W556" s="885"/>
      <c r="X556" s="885"/>
      <c r="Y556" s="885"/>
      <c r="Z556" s="885"/>
    </row>
    <row r="557" ht="15.0" customHeight="1">
      <c r="A557" s="3" t="s">
        <v>2089</v>
      </c>
      <c r="B557" s="884" t="s">
        <v>1039</v>
      </c>
      <c r="C557" s="884"/>
      <c r="D557" s="3"/>
      <c r="E557" s="885"/>
      <c r="F557" s="884" t="s">
        <v>720</v>
      </c>
      <c r="G557" s="884" t="s">
        <v>251</v>
      </c>
      <c r="H557" s="930">
        <v>8.0</v>
      </c>
      <c r="I557" s="885"/>
      <c r="J557" s="885"/>
      <c r="K557" s="885"/>
      <c r="L557" s="885"/>
      <c r="M557" s="885"/>
      <c r="N557" s="887"/>
      <c r="O557" s="885"/>
      <c r="P557" s="885"/>
      <c r="Q557" s="885"/>
      <c r="R557" s="885"/>
      <c r="S557" s="885"/>
      <c r="T557" s="885"/>
      <c r="U557" s="885"/>
      <c r="V557" s="885"/>
      <c r="W557" s="885"/>
      <c r="X557" s="885"/>
      <c r="Y557" s="885"/>
      <c r="Z557" s="885"/>
    </row>
    <row r="558" ht="15.0" customHeight="1">
      <c r="A558" s="3" t="s">
        <v>2090</v>
      </c>
      <c r="B558" s="884" t="s">
        <v>1039</v>
      </c>
      <c r="C558" s="3"/>
      <c r="D558" s="3"/>
      <c r="E558" s="885"/>
      <c r="F558" s="884" t="s">
        <v>656</v>
      </c>
      <c r="G558" s="884" t="s">
        <v>190</v>
      </c>
      <c r="H558" s="930">
        <v>8.25</v>
      </c>
      <c r="I558" s="885"/>
      <c r="J558" s="885"/>
      <c r="K558" s="885"/>
      <c r="L558" s="885"/>
      <c r="M558" s="885"/>
      <c r="N558" s="887"/>
      <c r="O558" s="885"/>
      <c r="P558" s="885"/>
      <c r="Q558" s="885"/>
      <c r="R558" s="885"/>
      <c r="S558" s="885"/>
      <c r="T558" s="885"/>
      <c r="U558" s="885"/>
      <c r="V558" s="885"/>
      <c r="W558" s="885"/>
      <c r="X558" s="885"/>
      <c r="Y558" s="885"/>
      <c r="Z558" s="885"/>
    </row>
    <row r="559" ht="15.0" customHeight="1">
      <c r="A559" s="3" t="s">
        <v>2091</v>
      </c>
      <c r="B559" s="3" t="s">
        <v>1039</v>
      </c>
      <c r="C559" s="3"/>
      <c r="D559" s="3"/>
      <c r="E559" s="885"/>
      <c r="F559" s="884" t="s">
        <v>668</v>
      </c>
      <c r="G559" s="3"/>
      <c r="H559" s="930">
        <v>8.25</v>
      </c>
      <c r="I559" s="885"/>
      <c r="J559" s="885"/>
      <c r="K559" s="885"/>
      <c r="L559" s="885"/>
      <c r="M559" s="885"/>
      <c r="N559" s="887"/>
      <c r="O559" s="885"/>
      <c r="P559" s="885"/>
      <c r="Q559" s="885"/>
      <c r="R559" s="885"/>
      <c r="S559" s="885"/>
      <c r="T559" s="885"/>
      <c r="U559" s="885"/>
      <c r="V559" s="885"/>
      <c r="W559" s="885"/>
      <c r="X559" s="885"/>
      <c r="Y559" s="885"/>
      <c r="Z559" s="885"/>
    </row>
    <row r="560" ht="15.0" customHeight="1">
      <c r="A560" s="884" t="s">
        <v>2092</v>
      </c>
      <c r="B560" s="3" t="s">
        <v>1039</v>
      </c>
      <c r="C560" s="3"/>
      <c r="D560" s="3"/>
      <c r="E560" s="885"/>
      <c r="F560" s="884" t="s">
        <v>963</v>
      </c>
      <c r="G560" s="884" t="s">
        <v>1713</v>
      </c>
      <c r="H560" s="930">
        <v>9.0</v>
      </c>
      <c r="I560" s="885"/>
      <c r="J560" s="885"/>
      <c r="K560" s="885"/>
      <c r="L560" s="885"/>
      <c r="M560" s="885"/>
      <c r="N560" s="887"/>
      <c r="O560" s="885"/>
      <c r="P560" s="885"/>
      <c r="Q560" s="885"/>
      <c r="R560" s="885"/>
      <c r="S560" s="885"/>
      <c r="T560" s="885"/>
      <c r="U560" s="885"/>
      <c r="V560" s="885"/>
      <c r="W560" s="885"/>
      <c r="X560" s="885"/>
      <c r="Y560" s="885"/>
      <c r="Z560" s="885"/>
    </row>
    <row r="561" ht="15.0" customHeight="1">
      <c r="A561" s="884" t="s">
        <v>2093</v>
      </c>
      <c r="B561" s="3" t="s">
        <v>1039</v>
      </c>
      <c r="C561" s="3"/>
      <c r="D561" s="3"/>
      <c r="E561" s="885"/>
      <c r="F561" s="884"/>
      <c r="G561" s="884"/>
      <c r="H561" s="930"/>
      <c r="I561" s="885"/>
      <c r="J561" s="885"/>
      <c r="K561" s="885"/>
      <c r="L561" s="885"/>
      <c r="M561" s="885"/>
      <c r="N561" s="887"/>
      <c r="O561" s="885"/>
      <c r="P561" s="885"/>
      <c r="Q561" s="885"/>
      <c r="R561" s="885"/>
      <c r="S561" s="885"/>
      <c r="T561" s="885"/>
      <c r="U561" s="885"/>
      <c r="V561" s="885"/>
      <c r="W561" s="885"/>
      <c r="X561" s="885"/>
      <c r="Y561" s="885"/>
      <c r="Z561" s="885"/>
    </row>
    <row r="562" ht="15.0" customHeight="1">
      <c r="A562" s="3" t="s">
        <v>2094</v>
      </c>
      <c r="B562" s="3" t="s">
        <v>1039</v>
      </c>
      <c r="C562" s="3"/>
      <c r="D562" s="3"/>
      <c r="E562" s="885"/>
      <c r="F562" s="884" t="s">
        <v>1714</v>
      </c>
      <c r="G562" s="884" t="s">
        <v>1971</v>
      </c>
      <c r="H562" s="930">
        <v>7.0</v>
      </c>
      <c r="I562" s="885"/>
      <c r="J562" s="885"/>
      <c r="K562" s="885"/>
      <c r="L562" s="885"/>
      <c r="M562" s="885"/>
      <c r="N562" s="887"/>
      <c r="O562" s="885"/>
      <c r="P562" s="885"/>
      <c r="Q562" s="885"/>
      <c r="R562" s="885"/>
      <c r="S562" s="885"/>
      <c r="T562" s="885"/>
      <c r="U562" s="885"/>
      <c r="V562" s="885"/>
      <c r="W562" s="885"/>
      <c r="X562" s="885"/>
      <c r="Y562" s="885"/>
      <c r="Z562" s="885"/>
    </row>
    <row r="563" ht="15.0" customHeight="1">
      <c r="A563" s="3" t="s">
        <v>2095</v>
      </c>
      <c r="B563" s="3" t="s">
        <v>1039</v>
      </c>
      <c r="C563" s="3"/>
      <c r="D563" s="3"/>
      <c r="E563" s="885"/>
      <c r="I563" s="885"/>
      <c r="J563" s="885"/>
      <c r="K563" s="885"/>
      <c r="L563" s="885"/>
      <c r="M563" s="885"/>
      <c r="N563" s="887"/>
      <c r="O563" s="885"/>
      <c r="P563" s="885"/>
      <c r="Q563" s="885"/>
      <c r="R563" s="885"/>
      <c r="S563" s="885"/>
      <c r="T563" s="885"/>
      <c r="U563" s="885"/>
      <c r="V563" s="885"/>
      <c r="W563" s="885"/>
      <c r="X563" s="885"/>
      <c r="Y563" s="885"/>
      <c r="Z563" s="885"/>
    </row>
    <row r="564" ht="15.0" customHeight="1">
      <c r="A564" s="3" t="s">
        <v>2096</v>
      </c>
      <c r="B564" s="3" t="s">
        <v>1039</v>
      </c>
      <c r="C564" s="3"/>
      <c r="D564" s="3"/>
      <c r="E564" s="885"/>
      <c r="I564" s="885"/>
      <c r="J564" s="885"/>
      <c r="K564" s="885"/>
      <c r="L564" s="885"/>
      <c r="M564" s="885"/>
      <c r="N564" s="887"/>
      <c r="O564" s="885"/>
      <c r="P564" s="885"/>
      <c r="Q564" s="885"/>
      <c r="R564" s="885"/>
      <c r="S564" s="885"/>
      <c r="T564" s="885"/>
      <c r="U564" s="885"/>
      <c r="V564" s="885"/>
      <c r="W564" s="885"/>
      <c r="X564" s="885"/>
      <c r="Y564" s="885"/>
      <c r="Z564" s="885"/>
    </row>
    <row r="565" ht="15.0" customHeight="1">
      <c r="A565" s="3" t="s">
        <v>2097</v>
      </c>
      <c r="B565" s="3" t="s">
        <v>1039</v>
      </c>
      <c r="C565" s="3"/>
      <c r="D565" s="3"/>
      <c r="E565" s="885"/>
      <c r="I565" s="885"/>
      <c r="J565" s="885"/>
      <c r="K565" s="885"/>
      <c r="L565" s="885"/>
      <c r="M565" s="885"/>
      <c r="N565" s="887"/>
      <c r="O565" s="885"/>
      <c r="P565" s="885"/>
      <c r="Q565" s="885"/>
      <c r="R565" s="885"/>
      <c r="S565" s="885"/>
      <c r="T565" s="885"/>
      <c r="U565" s="885"/>
      <c r="V565" s="885"/>
      <c r="W565" s="885"/>
      <c r="X565" s="885"/>
      <c r="Y565" s="885"/>
      <c r="Z565" s="885"/>
    </row>
    <row r="566" ht="15.0" customHeight="1">
      <c r="A566" s="3" t="s">
        <v>2098</v>
      </c>
      <c r="B566" s="3" t="s">
        <v>1039</v>
      </c>
      <c r="C566" s="3"/>
      <c r="D566" s="3"/>
      <c r="E566" s="885"/>
      <c r="I566" s="885"/>
      <c r="J566" s="885"/>
      <c r="K566" s="885"/>
      <c r="L566" s="885"/>
      <c r="M566" s="885"/>
      <c r="N566" s="887"/>
      <c r="O566" s="885"/>
      <c r="P566" s="885"/>
      <c r="Q566" s="885"/>
      <c r="R566" s="885"/>
      <c r="S566" s="885"/>
      <c r="T566" s="885"/>
      <c r="U566" s="885"/>
      <c r="V566" s="885"/>
      <c r="W566" s="885"/>
      <c r="X566" s="885"/>
      <c r="Y566" s="885"/>
      <c r="Z566" s="885"/>
    </row>
    <row r="567" ht="15.0" customHeight="1">
      <c r="A567" s="3" t="s">
        <v>2099</v>
      </c>
      <c r="B567" s="3" t="s">
        <v>1039</v>
      </c>
      <c r="C567" s="3"/>
      <c r="D567" s="3"/>
      <c r="E567" s="885"/>
      <c r="F567" s="884"/>
      <c r="G567" s="884"/>
      <c r="H567" s="930"/>
      <c r="I567" s="885"/>
      <c r="J567" s="885"/>
      <c r="K567" s="885"/>
      <c r="L567" s="885"/>
      <c r="M567" s="885"/>
      <c r="N567" s="887"/>
      <c r="O567" s="885"/>
      <c r="P567" s="885"/>
      <c r="Q567" s="885"/>
      <c r="R567" s="885"/>
      <c r="S567" s="885"/>
      <c r="T567" s="885"/>
      <c r="U567" s="885"/>
      <c r="V567" s="885"/>
      <c r="W567" s="885"/>
      <c r="X567" s="885"/>
      <c r="Y567" s="885"/>
      <c r="Z567" s="885"/>
    </row>
    <row r="568" ht="15.0" customHeight="1">
      <c r="A568" s="884" t="s">
        <v>2100</v>
      </c>
      <c r="B568" s="3" t="s">
        <v>1039</v>
      </c>
      <c r="C568" s="3"/>
      <c r="D568" s="3" t="s">
        <v>2101</v>
      </c>
      <c r="E568" s="885"/>
      <c r="I568" s="885"/>
      <c r="J568" s="885"/>
      <c r="K568" s="885"/>
      <c r="L568" s="885"/>
      <c r="M568" s="885"/>
      <c r="N568" s="887"/>
      <c r="O568" s="885"/>
      <c r="P568" s="885"/>
      <c r="Q568" s="885"/>
      <c r="R568" s="885"/>
      <c r="S568" s="885"/>
      <c r="T568" s="885"/>
      <c r="U568" s="885"/>
      <c r="V568" s="885"/>
      <c r="W568" s="885"/>
      <c r="X568" s="885"/>
      <c r="Y568" s="885"/>
      <c r="Z568" s="885"/>
    </row>
    <row r="569" ht="15.0" customHeight="1">
      <c r="A569" s="884" t="s">
        <v>2102</v>
      </c>
      <c r="B569" s="3" t="s">
        <v>1039</v>
      </c>
      <c r="C569" s="3"/>
      <c r="D569" s="3"/>
      <c r="E569" s="885"/>
      <c r="F569" s="3" t="s">
        <v>951</v>
      </c>
      <c r="G569" s="3"/>
      <c r="H569" s="886">
        <v>15.0</v>
      </c>
      <c r="I569" s="885"/>
      <c r="J569" s="885"/>
      <c r="K569" s="885"/>
      <c r="L569" s="885"/>
      <c r="M569" s="885"/>
      <c r="N569" s="887"/>
      <c r="O569" s="885"/>
      <c r="P569" s="885"/>
      <c r="Q569" s="885"/>
      <c r="R569" s="885"/>
      <c r="S569" s="885"/>
      <c r="T569" s="885"/>
      <c r="U569" s="885"/>
      <c r="V569" s="885"/>
      <c r="W569" s="885"/>
      <c r="X569" s="885"/>
      <c r="Y569" s="885"/>
      <c r="Z569" s="885"/>
    </row>
    <row r="570" ht="15.0" customHeight="1">
      <c r="A570" s="884" t="s">
        <v>2103</v>
      </c>
      <c r="B570" s="3" t="s">
        <v>1039</v>
      </c>
      <c r="C570" s="3"/>
      <c r="H570" s="894"/>
      <c r="J570" s="885"/>
      <c r="K570" s="885"/>
      <c r="L570" s="885"/>
      <c r="M570" s="885"/>
      <c r="N570" s="887"/>
      <c r="O570" s="885"/>
      <c r="P570" s="885"/>
      <c r="Q570" s="885"/>
      <c r="R570" s="885"/>
      <c r="S570" s="885"/>
      <c r="T570" s="885"/>
      <c r="U570" s="885"/>
      <c r="V570" s="885"/>
      <c r="W570" s="885"/>
      <c r="X570" s="885"/>
      <c r="Y570" s="885"/>
      <c r="Z570" s="885"/>
    </row>
    <row r="571" ht="15.0" customHeight="1">
      <c r="A571" s="884" t="s">
        <v>2104</v>
      </c>
      <c r="B571" s="3" t="s">
        <v>1039</v>
      </c>
      <c r="C571" s="3"/>
      <c r="H571" s="894"/>
      <c r="J571" s="885"/>
      <c r="K571" s="885"/>
      <c r="L571" s="885"/>
      <c r="M571" s="885"/>
      <c r="N571" s="887"/>
      <c r="O571" s="885"/>
      <c r="P571" s="885"/>
      <c r="Q571" s="885"/>
      <c r="R571" s="885"/>
      <c r="S571" s="885"/>
      <c r="T571" s="885"/>
      <c r="U571" s="885"/>
      <c r="V571" s="885"/>
      <c r="W571" s="885"/>
      <c r="X571" s="885"/>
      <c r="Y571" s="885"/>
      <c r="Z571" s="885"/>
    </row>
    <row r="572" ht="15.0" customHeight="1">
      <c r="A572" s="884" t="s">
        <v>2105</v>
      </c>
      <c r="B572" s="884" t="s">
        <v>1039</v>
      </c>
      <c r="C572" s="3"/>
      <c r="D572" s="3"/>
      <c r="E572" s="885"/>
      <c r="F572" s="895" t="s">
        <v>1702</v>
      </c>
      <c r="H572" s="886"/>
      <c r="I572" s="885"/>
      <c r="J572" s="885"/>
      <c r="K572" s="885"/>
      <c r="L572" s="885"/>
      <c r="M572" s="885"/>
      <c r="N572" s="887"/>
      <c r="O572" s="885"/>
      <c r="P572" s="885"/>
      <c r="Q572" s="885"/>
      <c r="R572" s="885"/>
      <c r="S572" s="885"/>
      <c r="T572" s="885"/>
      <c r="U572" s="885"/>
      <c r="V572" s="885"/>
      <c r="W572" s="885"/>
      <c r="X572" s="885"/>
      <c r="Y572" s="885"/>
      <c r="Z572" s="885"/>
    </row>
    <row r="573" ht="15.0" customHeight="1">
      <c r="A573" s="884" t="s">
        <v>2106</v>
      </c>
      <c r="B573" s="884" t="s">
        <v>1039</v>
      </c>
      <c r="E573" s="725" t="s">
        <v>188</v>
      </c>
      <c r="F573" s="725" t="s">
        <v>663</v>
      </c>
      <c r="G573" s="725" t="s">
        <v>510</v>
      </c>
      <c r="H573" s="897">
        <v>13.0</v>
      </c>
      <c r="K573" s="885"/>
      <c r="L573" s="885"/>
      <c r="M573" s="885"/>
      <c r="N573" s="887"/>
      <c r="O573" s="885"/>
      <c r="P573" s="885"/>
      <c r="Q573" s="885"/>
      <c r="R573" s="885"/>
      <c r="S573" s="885"/>
      <c r="T573" s="885"/>
      <c r="U573" s="885"/>
      <c r="V573" s="885"/>
      <c r="W573" s="885"/>
      <c r="X573" s="885"/>
      <c r="Y573" s="885"/>
      <c r="Z573" s="885"/>
    </row>
    <row r="574" ht="15.0" customHeight="1">
      <c r="A574" s="884" t="s">
        <v>2107</v>
      </c>
      <c r="B574" s="884" t="s">
        <v>1039</v>
      </c>
      <c r="C574" s="3"/>
      <c r="E574" s="725" t="s">
        <v>188</v>
      </c>
      <c r="F574" s="725" t="s">
        <v>663</v>
      </c>
      <c r="G574" s="725" t="s">
        <v>2108</v>
      </c>
      <c r="H574" s="897">
        <v>12.833</v>
      </c>
      <c r="J574" s="885"/>
      <c r="K574" s="885"/>
      <c r="L574" s="885"/>
      <c r="M574" s="885"/>
      <c r="N574" s="887"/>
      <c r="O574" s="885"/>
      <c r="P574" s="885"/>
      <c r="Q574" s="885"/>
      <c r="R574" s="885"/>
      <c r="S574" s="885"/>
      <c r="T574" s="885"/>
      <c r="U574" s="885"/>
      <c r="V574" s="885"/>
      <c r="W574" s="885"/>
      <c r="X574" s="885"/>
      <c r="Y574" s="885"/>
      <c r="Z574" s="885"/>
    </row>
    <row r="575" ht="15.0" customHeight="1">
      <c r="A575" s="884" t="s">
        <v>2109</v>
      </c>
      <c r="B575" s="884" t="s">
        <v>1039</v>
      </c>
      <c r="C575" s="3"/>
      <c r="E575" s="725" t="s">
        <v>188</v>
      </c>
      <c r="F575" s="725" t="s">
        <v>663</v>
      </c>
      <c r="G575" s="725" t="s">
        <v>1710</v>
      </c>
      <c r="H575" s="897">
        <v>13.083</v>
      </c>
      <c r="J575" s="885"/>
      <c r="K575" s="885"/>
      <c r="L575" s="885"/>
      <c r="M575" s="885"/>
      <c r="N575" s="887"/>
      <c r="O575" s="885"/>
      <c r="P575" s="885"/>
      <c r="Q575" s="885"/>
      <c r="R575" s="885"/>
      <c r="S575" s="885"/>
      <c r="T575" s="885"/>
      <c r="U575" s="885"/>
      <c r="V575" s="885"/>
      <c r="W575" s="885"/>
      <c r="X575" s="885"/>
      <c r="Y575" s="885"/>
      <c r="Z575" s="885"/>
    </row>
    <row r="576" ht="15.0" customHeight="1">
      <c r="A576" s="884" t="s">
        <v>2110</v>
      </c>
      <c r="B576" s="884" t="s">
        <v>1039</v>
      </c>
      <c r="C576" s="3"/>
      <c r="E576" s="725" t="s">
        <v>188</v>
      </c>
      <c r="F576" s="725" t="s">
        <v>663</v>
      </c>
      <c r="G576" s="725" t="s">
        <v>422</v>
      </c>
      <c r="H576" s="897">
        <v>13.25</v>
      </c>
      <c r="J576" s="885"/>
      <c r="K576" s="885"/>
      <c r="L576" s="885"/>
      <c r="M576" s="885"/>
      <c r="N576" s="887"/>
      <c r="O576" s="885"/>
      <c r="P576" s="885"/>
      <c r="Q576" s="885"/>
      <c r="R576" s="885"/>
      <c r="S576" s="885"/>
      <c r="T576" s="885"/>
      <c r="U576" s="885"/>
      <c r="V576" s="885"/>
      <c r="W576" s="885"/>
      <c r="X576" s="885"/>
      <c r="Y576" s="885"/>
      <c r="Z576" s="885"/>
    </row>
    <row r="577" ht="15.0" customHeight="1">
      <c r="A577" s="884" t="s">
        <v>2111</v>
      </c>
      <c r="B577" s="884" t="s">
        <v>1039</v>
      </c>
      <c r="C577" s="3"/>
      <c r="D577" s="3"/>
      <c r="E577" s="883" t="s">
        <v>188</v>
      </c>
      <c r="F577" s="883" t="s">
        <v>963</v>
      </c>
      <c r="G577" s="883" t="s">
        <v>2112</v>
      </c>
      <c r="H577" s="931">
        <v>13.042</v>
      </c>
      <c r="I577" s="885"/>
      <c r="J577" s="885"/>
      <c r="K577" s="885"/>
      <c r="L577" s="885"/>
      <c r="M577" s="885"/>
      <c r="N577" s="887"/>
      <c r="O577" s="885"/>
      <c r="P577" s="885"/>
      <c r="Q577" s="885"/>
      <c r="R577" s="885"/>
      <c r="S577" s="885"/>
      <c r="T577" s="885"/>
      <c r="U577" s="885"/>
      <c r="V577" s="885"/>
      <c r="W577" s="885"/>
      <c r="X577" s="885"/>
      <c r="Y577" s="885"/>
      <c r="Z577" s="885"/>
    </row>
    <row r="578" ht="15.0" customHeight="1">
      <c r="A578" s="884" t="s">
        <v>2113</v>
      </c>
      <c r="B578" s="884" t="s">
        <v>1039</v>
      </c>
      <c r="C578" s="3"/>
      <c r="D578" s="3"/>
      <c r="E578" s="883" t="s">
        <v>188</v>
      </c>
      <c r="F578" s="883" t="s">
        <v>963</v>
      </c>
      <c r="G578" s="883" t="s">
        <v>2114</v>
      </c>
      <c r="H578" s="931">
        <v>13.625</v>
      </c>
      <c r="I578" s="885"/>
      <c r="J578" s="885"/>
      <c r="K578" s="885"/>
      <c r="L578" s="885"/>
      <c r="M578" s="885"/>
      <c r="N578" s="887"/>
      <c r="O578" s="885"/>
      <c r="P578" s="885"/>
      <c r="Q578" s="885"/>
      <c r="R578" s="885"/>
      <c r="S578" s="885"/>
      <c r="T578" s="885"/>
      <c r="U578" s="885"/>
      <c r="V578" s="885"/>
      <c r="W578" s="885"/>
      <c r="X578" s="885"/>
      <c r="Y578" s="885"/>
      <c r="Z578" s="885"/>
    </row>
    <row r="579" ht="15.0" customHeight="1">
      <c r="A579" s="884" t="s">
        <v>2115</v>
      </c>
      <c r="B579" s="884" t="s">
        <v>1039</v>
      </c>
      <c r="C579" s="3"/>
      <c r="D579" s="3"/>
      <c r="E579" s="883" t="s">
        <v>188</v>
      </c>
      <c r="F579" s="883" t="s">
        <v>963</v>
      </c>
      <c r="G579" s="883" t="s">
        <v>537</v>
      </c>
      <c r="H579" s="931">
        <v>13.167</v>
      </c>
      <c r="I579" s="885"/>
      <c r="J579" s="885"/>
      <c r="K579" s="885"/>
      <c r="L579" s="885"/>
      <c r="M579" s="885"/>
      <c r="N579" s="887"/>
      <c r="O579" s="885"/>
      <c r="P579" s="885"/>
      <c r="Q579" s="885"/>
      <c r="R579" s="885"/>
      <c r="S579" s="885"/>
      <c r="T579" s="885"/>
      <c r="U579" s="885"/>
      <c r="V579" s="885"/>
      <c r="W579" s="885"/>
      <c r="X579" s="885"/>
      <c r="Y579" s="885"/>
      <c r="Z579" s="885"/>
    </row>
    <row r="580" ht="15.0" customHeight="1">
      <c r="A580" s="884" t="s">
        <v>2116</v>
      </c>
      <c r="B580" s="884" t="s">
        <v>1039</v>
      </c>
      <c r="C580" s="3"/>
      <c r="E580" s="725" t="s">
        <v>188</v>
      </c>
      <c r="F580" s="725" t="s">
        <v>703</v>
      </c>
      <c r="G580" s="725" t="s">
        <v>2117</v>
      </c>
      <c r="H580" s="897">
        <v>13.75</v>
      </c>
      <c r="K580" s="885"/>
      <c r="L580" s="885"/>
      <c r="M580" s="885"/>
      <c r="N580" s="887"/>
      <c r="O580" s="885"/>
      <c r="P580" s="885"/>
      <c r="Q580" s="885"/>
      <c r="R580" s="885"/>
      <c r="S580" s="885"/>
      <c r="T580" s="885"/>
      <c r="U580" s="885"/>
      <c r="V580" s="885"/>
      <c r="W580" s="885"/>
      <c r="X580" s="885"/>
      <c r="Y580" s="885"/>
      <c r="Z580" s="885"/>
    </row>
    <row r="581" ht="15.0" customHeight="1">
      <c r="A581" s="884" t="s">
        <v>2118</v>
      </c>
      <c r="B581" s="884" t="s">
        <v>1039</v>
      </c>
      <c r="C581" s="3"/>
      <c r="E581" s="725" t="s">
        <v>188</v>
      </c>
      <c r="F581" s="725" t="s">
        <v>703</v>
      </c>
      <c r="G581" s="725" t="s">
        <v>2119</v>
      </c>
      <c r="H581" s="897">
        <v>14.833</v>
      </c>
      <c r="K581" s="885"/>
      <c r="L581" s="885"/>
      <c r="M581" s="885"/>
      <c r="N581" s="887"/>
      <c r="O581" s="885"/>
      <c r="P581" s="885"/>
      <c r="Q581" s="885"/>
      <c r="R581" s="885"/>
      <c r="S581" s="885"/>
      <c r="T581" s="885"/>
      <c r="U581" s="885"/>
      <c r="V581" s="885"/>
      <c r="W581" s="885"/>
      <c r="X581" s="885"/>
      <c r="Y581" s="885"/>
      <c r="Z581" s="885"/>
    </row>
    <row r="582" ht="15.0" customHeight="1">
      <c r="A582" s="884" t="s">
        <v>2120</v>
      </c>
      <c r="B582" s="884" t="s">
        <v>1039</v>
      </c>
      <c r="C582" s="3"/>
      <c r="E582" s="725" t="s">
        <v>188</v>
      </c>
      <c r="F582" s="725" t="s">
        <v>2121</v>
      </c>
      <c r="G582" s="725" t="s">
        <v>2122</v>
      </c>
      <c r="H582" s="897">
        <v>16.375</v>
      </c>
      <c r="K582" s="885"/>
      <c r="L582" s="885"/>
      <c r="M582" s="885"/>
      <c r="N582" s="887"/>
      <c r="O582" s="885"/>
      <c r="P582" s="885"/>
      <c r="Q582" s="885"/>
      <c r="R582" s="885"/>
      <c r="S582" s="885"/>
      <c r="T582" s="885"/>
      <c r="U582" s="885"/>
      <c r="V582" s="885"/>
      <c r="W582" s="885"/>
      <c r="X582" s="885"/>
      <c r="Y582" s="885"/>
      <c r="Z582" s="885"/>
    </row>
    <row r="583" ht="15.0" customHeight="1">
      <c r="A583" s="3" t="s">
        <v>2123</v>
      </c>
      <c r="B583" s="884" t="s">
        <v>1039</v>
      </c>
      <c r="C583" s="3"/>
      <c r="E583" s="725" t="s">
        <v>188</v>
      </c>
      <c r="F583" s="725" t="s">
        <v>2121</v>
      </c>
      <c r="G583" s="725" t="s">
        <v>2124</v>
      </c>
      <c r="H583" s="897">
        <v>16.375</v>
      </c>
      <c r="K583" s="885"/>
      <c r="L583" s="885"/>
      <c r="M583" s="885"/>
      <c r="N583" s="887"/>
      <c r="O583" s="885"/>
      <c r="P583" s="885"/>
      <c r="Q583" s="885"/>
      <c r="R583" s="885"/>
      <c r="S583" s="885"/>
      <c r="T583" s="885"/>
      <c r="U583" s="885"/>
      <c r="V583" s="885"/>
      <c r="W583" s="885"/>
      <c r="X583" s="885"/>
      <c r="Y583" s="885"/>
      <c r="Z583" s="885"/>
    </row>
    <row r="584" ht="15.0" customHeight="1">
      <c r="A584" s="3" t="s">
        <v>265</v>
      </c>
      <c r="B584" s="3" t="s">
        <v>1039</v>
      </c>
      <c r="C584" s="3"/>
      <c r="E584" s="725" t="s">
        <v>668</v>
      </c>
      <c r="F584" s="725" t="s">
        <v>668</v>
      </c>
      <c r="G584" s="725" t="s">
        <v>314</v>
      </c>
      <c r="H584" s="897">
        <v>9.875</v>
      </c>
      <c r="K584" s="885"/>
      <c r="L584" s="885"/>
      <c r="M584" s="885"/>
      <c r="N584" s="887"/>
      <c r="O584" s="885"/>
      <c r="P584" s="885"/>
      <c r="Q584" s="885"/>
      <c r="R584" s="885"/>
      <c r="S584" s="885"/>
      <c r="T584" s="885"/>
      <c r="U584" s="885"/>
      <c r="V584" s="885"/>
      <c r="W584" s="885"/>
      <c r="X584" s="885"/>
      <c r="Y584" s="885"/>
      <c r="Z584" s="885"/>
    </row>
    <row r="585" ht="15.0" customHeight="1">
      <c r="A585" s="3" t="s">
        <v>2125</v>
      </c>
      <c r="B585" s="3" t="s">
        <v>1039</v>
      </c>
      <c r="C585" s="3"/>
      <c r="E585" s="725" t="s">
        <v>668</v>
      </c>
      <c r="F585" s="725" t="s">
        <v>668</v>
      </c>
      <c r="G585" s="725" t="s">
        <v>2126</v>
      </c>
      <c r="H585" s="897">
        <v>11.042</v>
      </c>
      <c r="K585" s="885"/>
      <c r="L585" s="885"/>
      <c r="M585" s="885"/>
      <c r="N585" s="887"/>
      <c r="O585" s="885"/>
      <c r="P585" s="885"/>
      <c r="Q585" s="885"/>
      <c r="R585" s="885"/>
      <c r="S585" s="885"/>
      <c r="T585" s="885"/>
      <c r="U585" s="885"/>
      <c r="V585" s="885"/>
      <c r="W585" s="885"/>
      <c r="X585" s="885"/>
      <c r="Y585" s="885"/>
      <c r="Z585" s="885"/>
    </row>
    <row r="586" ht="15.0" customHeight="1">
      <c r="A586" s="3" t="s">
        <v>2127</v>
      </c>
      <c r="B586" s="3" t="s">
        <v>1039</v>
      </c>
      <c r="C586" s="3"/>
      <c r="E586" s="725" t="s">
        <v>668</v>
      </c>
      <c r="F586" s="725" t="s">
        <v>668</v>
      </c>
      <c r="G586" s="725" t="s">
        <v>2128</v>
      </c>
      <c r="H586" s="897">
        <v>11.083</v>
      </c>
      <c r="K586" s="885"/>
      <c r="L586" s="885"/>
      <c r="M586" s="885"/>
      <c r="N586" s="887"/>
      <c r="O586" s="885"/>
      <c r="P586" s="885"/>
      <c r="Q586" s="885"/>
      <c r="R586" s="885"/>
      <c r="S586" s="885"/>
      <c r="T586" s="885"/>
      <c r="U586" s="885"/>
      <c r="V586" s="885"/>
      <c r="W586" s="885"/>
      <c r="X586" s="885"/>
      <c r="Y586" s="885"/>
      <c r="Z586" s="885"/>
    </row>
    <row r="587" ht="15.0" customHeight="1">
      <c r="A587" s="884" t="s">
        <v>2129</v>
      </c>
      <c r="B587" s="3" t="s">
        <v>1039</v>
      </c>
      <c r="C587" s="3"/>
      <c r="E587" s="725" t="s">
        <v>668</v>
      </c>
      <c r="F587" s="725" t="s">
        <v>668</v>
      </c>
      <c r="G587" s="725" t="s">
        <v>2130</v>
      </c>
      <c r="H587" s="897">
        <v>11.0</v>
      </c>
      <c r="K587" s="885"/>
      <c r="L587" s="885"/>
      <c r="M587" s="885"/>
      <c r="N587" s="887"/>
      <c r="O587" s="885"/>
      <c r="P587" s="885"/>
      <c r="Q587" s="885"/>
      <c r="R587" s="885"/>
      <c r="S587" s="885"/>
      <c r="T587" s="885"/>
      <c r="U587" s="885"/>
      <c r="V587" s="885"/>
      <c r="W587" s="885"/>
      <c r="X587" s="885"/>
      <c r="Y587" s="885"/>
      <c r="Z587" s="885"/>
    </row>
    <row r="588" ht="15.0" customHeight="1">
      <c r="A588" s="3"/>
      <c r="B588" s="3"/>
      <c r="C588" s="3"/>
      <c r="E588" s="725" t="s">
        <v>668</v>
      </c>
      <c r="F588" s="725" t="s">
        <v>668</v>
      </c>
      <c r="G588" s="725" t="s">
        <v>2131</v>
      </c>
      <c r="H588" s="897">
        <v>10.708</v>
      </c>
      <c r="K588" s="885"/>
      <c r="L588" s="885"/>
      <c r="M588" s="885"/>
      <c r="N588" s="887"/>
      <c r="O588" s="885"/>
      <c r="P588" s="885"/>
      <c r="Q588" s="885"/>
      <c r="R588" s="885"/>
      <c r="S588" s="885"/>
      <c r="T588" s="885"/>
      <c r="U588" s="885"/>
      <c r="V588" s="885"/>
      <c r="W588" s="885"/>
      <c r="X588" s="885"/>
      <c r="Y588" s="885"/>
      <c r="Z588" s="885"/>
    </row>
    <row r="589" ht="15.0" customHeight="1">
      <c r="A589" s="3"/>
      <c r="B589" s="3"/>
      <c r="C589" s="3"/>
      <c r="E589" s="725" t="s">
        <v>668</v>
      </c>
      <c r="F589" s="725" t="s">
        <v>668</v>
      </c>
      <c r="G589" s="725" t="s">
        <v>355</v>
      </c>
      <c r="H589" s="897">
        <v>11.792</v>
      </c>
      <c r="K589" s="885"/>
      <c r="L589" s="885"/>
      <c r="M589" s="885"/>
      <c r="N589" s="887"/>
      <c r="O589" s="885"/>
      <c r="P589" s="885"/>
      <c r="Q589" s="885"/>
      <c r="R589" s="885"/>
      <c r="S589" s="885"/>
      <c r="T589" s="885"/>
      <c r="U589" s="885"/>
      <c r="V589" s="885"/>
      <c r="W589" s="885"/>
      <c r="X589" s="885"/>
      <c r="Y589" s="885"/>
      <c r="Z589" s="885"/>
    </row>
    <row r="590" ht="15.0" customHeight="1">
      <c r="A590" s="3"/>
      <c r="B590" s="3"/>
      <c r="C590" s="3"/>
      <c r="D590" s="3"/>
      <c r="E590" s="883" t="s">
        <v>668</v>
      </c>
      <c r="F590" s="895" t="s">
        <v>668</v>
      </c>
      <c r="G590" s="895" t="s">
        <v>2132</v>
      </c>
      <c r="H590" s="900">
        <v>11.458</v>
      </c>
      <c r="I590" s="885"/>
      <c r="J590" s="885"/>
      <c r="K590" s="885"/>
      <c r="L590" s="885"/>
      <c r="M590" s="885"/>
      <c r="N590" s="887"/>
      <c r="O590" s="885"/>
      <c r="P590" s="885"/>
      <c r="Q590" s="885"/>
      <c r="R590" s="885"/>
      <c r="S590" s="885"/>
      <c r="T590" s="885"/>
      <c r="U590" s="885"/>
      <c r="V590" s="885"/>
      <c r="W590" s="885"/>
      <c r="X590" s="885"/>
      <c r="Y590" s="885"/>
      <c r="Z590" s="885"/>
    </row>
    <row r="591" ht="15.0" customHeight="1">
      <c r="A591" s="3"/>
      <c r="B591" s="3"/>
      <c r="C591" s="3"/>
      <c r="D591" s="3"/>
      <c r="E591" s="883" t="s">
        <v>668</v>
      </c>
      <c r="F591" s="895" t="s">
        <v>668</v>
      </c>
      <c r="G591" s="895" t="s">
        <v>2133</v>
      </c>
      <c r="H591" s="900">
        <v>11.708</v>
      </c>
      <c r="I591" s="885"/>
      <c r="J591" s="885"/>
      <c r="K591" s="885"/>
      <c r="L591" s="885"/>
      <c r="M591" s="885"/>
      <c r="N591" s="887"/>
      <c r="O591" s="885"/>
      <c r="P591" s="885"/>
      <c r="Q591" s="885"/>
      <c r="R591" s="885"/>
      <c r="S591" s="885"/>
      <c r="T591" s="885"/>
      <c r="U591" s="885"/>
      <c r="V591" s="885"/>
      <c r="W591" s="885"/>
      <c r="X591" s="885"/>
      <c r="Y591" s="885"/>
      <c r="Z591" s="885"/>
    </row>
    <row r="592" ht="15.0" customHeight="1">
      <c r="A592" s="3"/>
      <c r="B592" s="3"/>
      <c r="E592" s="725" t="s">
        <v>668</v>
      </c>
      <c r="F592" s="725" t="s">
        <v>668</v>
      </c>
      <c r="G592" s="725" t="s">
        <v>2134</v>
      </c>
      <c r="H592" s="897">
        <v>10.375</v>
      </c>
      <c r="K592" s="885"/>
      <c r="L592" s="885"/>
      <c r="M592" s="885"/>
      <c r="N592" s="887"/>
      <c r="O592" s="885"/>
      <c r="P592" s="885"/>
      <c r="Q592" s="885"/>
      <c r="R592" s="885"/>
      <c r="S592" s="885"/>
      <c r="T592" s="885"/>
      <c r="U592" s="885"/>
      <c r="V592" s="885"/>
      <c r="W592" s="885"/>
      <c r="X592" s="885"/>
      <c r="Y592" s="885"/>
      <c r="Z592" s="885"/>
    </row>
    <row r="593" ht="15.0" customHeight="1">
      <c r="A593" s="884"/>
      <c r="B593" s="3"/>
      <c r="C593" s="3"/>
      <c r="D593" s="3"/>
      <c r="E593" s="883" t="s">
        <v>668</v>
      </c>
      <c r="F593" s="895" t="s">
        <v>668</v>
      </c>
      <c r="G593" s="895" t="s">
        <v>2135</v>
      </c>
      <c r="H593" s="900">
        <v>10.375</v>
      </c>
      <c r="I593" s="885"/>
      <c r="J593" s="885"/>
      <c r="K593" s="885"/>
      <c r="L593" s="885"/>
      <c r="M593" s="885"/>
      <c r="N593" s="887"/>
      <c r="O593" s="885"/>
      <c r="P593" s="885"/>
      <c r="Q593" s="885"/>
      <c r="R593" s="885"/>
      <c r="S593" s="885"/>
      <c r="T593" s="885"/>
      <c r="U593" s="885"/>
      <c r="V593" s="885"/>
      <c r="W593" s="885"/>
      <c r="X593" s="885"/>
      <c r="Y593" s="885"/>
      <c r="Z593" s="885"/>
    </row>
    <row r="594" ht="15.0" customHeight="1">
      <c r="A594" s="884"/>
      <c r="B594" s="3"/>
      <c r="C594" s="3"/>
      <c r="D594" s="3"/>
      <c r="E594" s="895" t="s">
        <v>668</v>
      </c>
      <c r="F594" s="895" t="s">
        <v>668</v>
      </c>
      <c r="G594" s="895" t="s">
        <v>2136</v>
      </c>
      <c r="H594" s="900">
        <v>10.667</v>
      </c>
      <c r="I594" s="3"/>
      <c r="J594" s="3"/>
      <c r="K594" s="3"/>
      <c r="L594" s="3"/>
      <c r="M594" s="3"/>
      <c r="N594" s="892"/>
      <c r="O594" s="3"/>
      <c r="P594" s="3"/>
      <c r="Q594" s="3"/>
      <c r="R594" s="3"/>
      <c r="S594" s="3"/>
      <c r="T594" s="3"/>
      <c r="U594" s="3"/>
      <c r="V594" s="3"/>
      <c r="W594" s="3"/>
      <c r="X594" s="3"/>
      <c r="Y594" s="3"/>
      <c r="Z594" s="3"/>
    </row>
    <row r="595" ht="15.0" customHeight="1">
      <c r="A595" s="884"/>
      <c r="B595" s="3"/>
      <c r="C595" s="3"/>
      <c r="D595" s="3"/>
      <c r="E595" s="895" t="s">
        <v>668</v>
      </c>
      <c r="F595" s="895" t="s">
        <v>668</v>
      </c>
      <c r="G595" s="895" t="s">
        <v>2137</v>
      </c>
      <c r="H595" s="900">
        <v>10.667</v>
      </c>
      <c r="I595" s="3"/>
      <c r="J595" s="3"/>
      <c r="K595" s="3"/>
      <c r="L595" s="3"/>
      <c r="M595" s="3"/>
      <c r="N595" s="892"/>
      <c r="O595" s="3"/>
      <c r="P595" s="3"/>
      <c r="Q595" s="3"/>
      <c r="R595" s="3"/>
      <c r="S595" s="3"/>
      <c r="T595" s="3"/>
      <c r="U595" s="3"/>
      <c r="V595" s="3"/>
      <c r="W595" s="3"/>
      <c r="X595" s="3"/>
      <c r="Y595" s="3"/>
      <c r="Z595" s="3"/>
    </row>
    <row r="596" ht="15.0" customHeight="1">
      <c r="A596" s="884"/>
      <c r="B596" s="3"/>
      <c r="C596" s="3"/>
      <c r="D596" s="3"/>
      <c r="E596" s="895" t="s">
        <v>668</v>
      </c>
      <c r="F596" s="895" t="s">
        <v>668</v>
      </c>
      <c r="G596" s="895" t="s">
        <v>2138</v>
      </c>
      <c r="H596" s="900">
        <v>10.667</v>
      </c>
      <c r="I596" s="3"/>
      <c r="J596" s="3"/>
      <c r="K596" s="3"/>
      <c r="L596" s="3"/>
      <c r="M596" s="3"/>
      <c r="N596" s="892"/>
      <c r="O596" s="3"/>
      <c r="P596" s="3"/>
      <c r="Q596" s="3"/>
      <c r="R596" s="3"/>
      <c r="S596" s="3"/>
      <c r="T596" s="3"/>
      <c r="U596" s="3"/>
      <c r="V596" s="3"/>
      <c r="W596" s="3"/>
      <c r="X596" s="3"/>
      <c r="Y596" s="3"/>
      <c r="Z596" s="3"/>
    </row>
    <row r="597" ht="15.0" customHeight="1">
      <c r="A597" s="884"/>
      <c r="B597" s="3"/>
      <c r="C597" s="3"/>
      <c r="D597" s="3"/>
      <c r="E597" s="895" t="s">
        <v>668</v>
      </c>
      <c r="F597" s="895" t="s">
        <v>668</v>
      </c>
      <c r="G597" s="895" t="s">
        <v>2139</v>
      </c>
      <c r="H597" s="900">
        <v>10.708</v>
      </c>
      <c r="I597" s="3"/>
      <c r="J597" s="3"/>
      <c r="K597" s="3"/>
      <c r="L597" s="3"/>
      <c r="M597" s="3"/>
      <c r="N597" s="892"/>
      <c r="O597" s="3"/>
      <c r="P597" s="3"/>
      <c r="Q597" s="3"/>
      <c r="R597" s="3"/>
      <c r="S597" s="3"/>
      <c r="T597" s="3"/>
      <c r="U597" s="3"/>
      <c r="V597" s="3"/>
      <c r="W597" s="3"/>
      <c r="X597" s="3"/>
      <c r="Y597" s="3"/>
      <c r="Z597" s="3"/>
    </row>
    <row r="598" ht="15.0" customHeight="1">
      <c r="A598" s="884" t="s">
        <v>2140</v>
      </c>
      <c r="B598" s="3" t="s">
        <v>1039</v>
      </c>
      <c r="C598" s="3"/>
      <c r="D598" s="3"/>
      <c r="E598" s="895" t="s">
        <v>668</v>
      </c>
      <c r="F598" s="895" t="s">
        <v>668</v>
      </c>
      <c r="G598" s="895" t="s">
        <v>2141</v>
      </c>
      <c r="H598" s="900">
        <v>11.792</v>
      </c>
      <c r="I598" s="3"/>
      <c r="J598" s="3"/>
      <c r="K598" s="3"/>
      <c r="L598" s="3"/>
      <c r="M598" s="3"/>
      <c r="N598" s="892"/>
      <c r="O598" s="3"/>
      <c r="P598" s="3"/>
      <c r="Q598" s="3"/>
      <c r="R598" s="3"/>
      <c r="S598" s="3"/>
      <c r="T598" s="3"/>
      <c r="U598" s="3"/>
      <c r="V598" s="3"/>
      <c r="W598" s="3"/>
      <c r="X598" s="3"/>
      <c r="Y598" s="3"/>
      <c r="Z598" s="3"/>
    </row>
    <row r="599" ht="15.0" customHeight="1">
      <c r="A599" s="884" t="s">
        <v>2142</v>
      </c>
      <c r="B599" s="3" t="s">
        <v>1039</v>
      </c>
      <c r="C599" s="3"/>
      <c r="D599" s="3"/>
      <c r="E599" s="895" t="s">
        <v>668</v>
      </c>
      <c r="F599" s="895" t="s">
        <v>668</v>
      </c>
      <c r="G599" s="895" t="s">
        <v>2143</v>
      </c>
      <c r="H599" s="900">
        <v>11.75</v>
      </c>
      <c r="I599" s="3"/>
      <c r="J599" s="3"/>
      <c r="K599" s="3"/>
      <c r="L599" s="3"/>
      <c r="M599" s="3"/>
      <c r="N599" s="892"/>
      <c r="O599" s="3"/>
      <c r="P599" s="3"/>
      <c r="Q599" s="3"/>
      <c r="R599" s="3"/>
      <c r="S599" s="3"/>
      <c r="T599" s="3"/>
      <c r="U599" s="3"/>
      <c r="V599" s="3"/>
      <c r="W599" s="3"/>
      <c r="X599" s="3"/>
      <c r="Y599" s="3"/>
      <c r="Z599" s="3"/>
    </row>
    <row r="600" ht="15.0" customHeight="1">
      <c r="A600" s="884" t="s">
        <v>2144</v>
      </c>
      <c r="B600" s="3" t="s">
        <v>1039</v>
      </c>
      <c r="C600" s="3"/>
      <c r="D600" s="3"/>
      <c r="E600" s="883" t="s">
        <v>668</v>
      </c>
      <c r="F600" s="895" t="s">
        <v>668</v>
      </c>
      <c r="G600" s="895" t="s">
        <v>2145</v>
      </c>
      <c r="H600" s="900">
        <v>10.667</v>
      </c>
      <c r="I600" s="885"/>
      <c r="J600" s="885"/>
      <c r="K600" s="885"/>
      <c r="L600" s="885"/>
      <c r="M600" s="885"/>
      <c r="N600" s="887"/>
      <c r="O600" s="885"/>
      <c r="P600" s="885"/>
      <c r="Q600" s="885"/>
      <c r="R600" s="885"/>
      <c r="S600" s="885"/>
      <c r="T600" s="885"/>
      <c r="U600" s="885"/>
      <c r="V600" s="885"/>
      <c r="W600" s="885"/>
      <c r="X600" s="885"/>
      <c r="Y600" s="885"/>
      <c r="Z600" s="885"/>
    </row>
    <row r="601" ht="15.0" customHeight="1">
      <c r="A601" s="884" t="s">
        <v>2146</v>
      </c>
      <c r="B601" s="3" t="s">
        <v>1039</v>
      </c>
      <c r="C601" s="3"/>
      <c r="D601" s="3"/>
      <c r="E601" s="883" t="s">
        <v>668</v>
      </c>
      <c r="F601" s="895" t="s">
        <v>668</v>
      </c>
      <c r="G601" s="895" t="s">
        <v>2147</v>
      </c>
      <c r="H601" s="900">
        <v>10.417</v>
      </c>
      <c r="I601" s="885"/>
      <c r="J601" s="885"/>
      <c r="K601" s="885"/>
      <c r="L601" s="885"/>
      <c r="M601" s="885"/>
      <c r="N601" s="887"/>
      <c r="O601" s="885"/>
      <c r="P601" s="885"/>
      <c r="Q601" s="885"/>
      <c r="R601" s="885"/>
      <c r="S601" s="885"/>
      <c r="T601" s="885"/>
      <c r="U601" s="885"/>
      <c r="V601" s="885"/>
      <c r="W601" s="885"/>
      <c r="X601" s="885"/>
      <c r="Y601" s="885"/>
      <c r="Z601" s="885"/>
    </row>
    <row r="602" ht="15.0" customHeight="1">
      <c r="A602" s="3" t="s">
        <v>2148</v>
      </c>
      <c r="B602" s="3" t="s">
        <v>1039</v>
      </c>
      <c r="C602" s="3"/>
      <c r="D602" s="3"/>
      <c r="E602" s="883" t="s">
        <v>668</v>
      </c>
      <c r="F602" s="895" t="s">
        <v>668</v>
      </c>
      <c r="G602" s="895" t="s">
        <v>2149</v>
      </c>
      <c r="H602" s="900">
        <v>11.625</v>
      </c>
      <c r="I602" s="885"/>
      <c r="J602" s="885"/>
      <c r="K602" s="885"/>
      <c r="L602" s="885"/>
      <c r="M602" s="885"/>
      <c r="N602" s="887"/>
      <c r="O602" s="885"/>
      <c r="P602" s="885"/>
      <c r="Q602" s="885"/>
      <c r="R602" s="885"/>
      <c r="S602" s="885"/>
      <c r="T602" s="885"/>
      <c r="U602" s="885"/>
      <c r="V602" s="885"/>
      <c r="W602" s="885"/>
      <c r="X602" s="885"/>
      <c r="Y602" s="885"/>
      <c r="Z602" s="885"/>
    </row>
    <row r="603" ht="15.0" customHeight="1">
      <c r="A603" s="3" t="s">
        <v>2150</v>
      </c>
      <c r="B603" s="3" t="s">
        <v>1039</v>
      </c>
      <c r="C603" s="3"/>
      <c r="D603" s="3"/>
      <c r="E603" s="883" t="s">
        <v>668</v>
      </c>
      <c r="F603" s="895" t="s">
        <v>668</v>
      </c>
      <c r="G603" s="895" t="s">
        <v>2151</v>
      </c>
      <c r="H603" s="900">
        <v>11.833</v>
      </c>
      <c r="I603" s="885"/>
      <c r="J603" s="885"/>
      <c r="K603" s="885"/>
      <c r="L603" s="885"/>
      <c r="M603" s="885"/>
      <c r="N603" s="887"/>
      <c r="O603" s="885"/>
      <c r="P603" s="885"/>
      <c r="Q603" s="885"/>
      <c r="R603" s="885"/>
      <c r="S603" s="885"/>
      <c r="T603" s="885"/>
      <c r="U603" s="885"/>
      <c r="V603" s="885"/>
      <c r="W603" s="885"/>
      <c r="X603" s="885"/>
      <c r="Y603" s="885"/>
      <c r="Z603" s="885"/>
    </row>
    <row r="604" ht="15.0" customHeight="1">
      <c r="A604" s="3" t="s">
        <v>2152</v>
      </c>
      <c r="B604" s="3" t="s">
        <v>1039</v>
      </c>
      <c r="C604" s="3"/>
      <c r="D604" s="3"/>
      <c r="E604" s="883" t="s">
        <v>668</v>
      </c>
      <c r="F604" s="895" t="s">
        <v>668</v>
      </c>
      <c r="G604" s="895" t="s">
        <v>2153</v>
      </c>
      <c r="H604" s="900">
        <v>11.833</v>
      </c>
      <c r="I604" s="885"/>
      <c r="J604" s="885"/>
      <c r="K604" s="885"/>
      <c r="L604" s="885"/>
      <c r="M604" s="885"/>
      <c r="N604" s="887"/>
      <c r="O604" s="885"/>
      <c r="P604" s="885"/>
      <c r="Q604" s="885"/>
      <c r="R604" s="885"/>
      <c r="S604" s="885"/>
      <c r="T604" s="885"/>
      <c r="U604" s="885"/>
      <c r="V604" s="885"/>
      <c r="W604" s="885"/>
      <c r="X604" s="885"/>
      <c r="Y604" s="885"/>
      <c r="Z604" s="885"/>
    </row>
    <row r="605" ht="15.0" customHeight="1">
      <c r="A605" s="3" t="s">
        <v>2154</v>
      </c>
      <c r="B605" s="3" t="s">
        <v>1039</v>
      </c>
      <c r="C605" s="3"/>
      <c r="D605" s="3"/>
      <c r="E605" s="883" t="s">
        <v>668</v>
      </c>
      <c r="F605" s="895" t="s">
        <v>668</v>
      </c>
      <c r="G605" s="895" t="s">
        <v>2155</v>
      </c>
      <c r="H605" s="900">
        <v>11.458</v>
      </c>
      <c r="I605" s="885"/>
      <c r="J605" s="885"/>
      <c r="K605" s="885"/>
      <c r="L605" s="885"/>
      <c r="M605" s="885"/>
      <c r="N605" s="887"/>
      <c r="O605" s="885"/>
      <c r="P605" s="885"/>
      <c r="Q605" s="885"/>
      <c r="R605" s="885"/>
      <c r="S605" s="885"/>
      <c r="T605" s="885"/>
      <c r="U605" s="885"/>
      <c r="V605" s="885"/>
      <c r="W605" s="885"/>
      <c r="X605" s="885"/>
      <c r="Y605" s="885"/>
      <c r="Z605" s="885"/>
    </row>
    <row r="606" ht="15.0" customHeight="1">
      <c r="A606" s="3" t="s">
        <v>2156</v>
      </c>
      <c r="B606" s="3" t="s">
        <v>1039</v>
      </c>
      <c r="C606" s="3"/>
      <c r="D606" s="3"/>
      <c r="E606" s="883" t="s">
        <v>668</v>
      </c>
      <c r="F606" s="895" t="s">
        <v>668</v>
      </c>
      <c r="G606" s="895" t="s">
        <v>2157</v>
      </c>
      <c r="H606" s="900">
        <v>11.458</v>
      </c>
      <c r="I606" s="885"/>
      <c r="J606" s="885"/>
      <c r="K606" s="885"/>
      <c r="L606" s="885"/>
      <c r="M606" s="885"/>
      <c r="N606" s="887"/>
      <c r="O606" s="885"/>
      <c r="P606" s="885"/>
      <c r="Q606" s="885"/>
      <c r="R606" s="885"/>
      <c r="S606" s="885"/>
      <c r="T606" s="885"/>
      <c r="U606" s="885"/>
      <c r="V606" s="885"/>
      <c r="W606" s="885"/>
      <c r="X606" s="885"/>
      <c r="Y606" s="885"/>
      <c r="Z606" s="885"/>
    </row>
    <row r="607" ht="15.0" customHeight="1">
      <c r="A607" s="3" t="s">
        <v>2158</v>
      </c>
      <c r="B607" s="3" t="s">
        <v>1039</v>
      </c>
      <c r="C607" s="3"/>
      <c r="D607" s="3"/>
      <c r="E607" s="883" t="s">
        <v>668</v>
      </c>
      <c r="F607" s="895" t="s">
        <v>668</v>
      </c>
      <c r="G607" s="895" t="s">
        <v>2159</v>
      </c>
      <c r="H607" s="900">
        <v>11.625</v>
      </c>
      <c r="I607" s="885"/>
      <c r="J607" s="885"/>
      <c r="K607" s="885"/>
      <c r="L607" s="885"/>
      <c r="M607" s="885"/>
      <c r="N607" s="887"/>
      <c r="O607" s="885"/>
      <c r="P607" s="885"/>
      <c r="Q607" s="885"/>
      <c r="R607" s="885"/>
      <c r="S607" s="885"/>
      <c r="T607" s="885"/>
      <c r="U607" s="885"/>
      <c r="V607" s="885"/>
      <c r="W607" s="885"/>
      <c r="X607" s="885"/>
      <c r="Y607" s="885"/>
      <c r="Z607" s="885"/>
    </row>
    <row r="608" ht="15.0" customHeight="1">
      <c r="A608" s="884" t="s">
        <v>2160</v>
      </c>
      <c r="B608" s="3" t="s">
        <v>1039</v>
      </c>
      <c r="C608" s="3"/>
      <c r="D608" s="3"/>
      <c r="E608" s="883" t="s">
        <v>668</v>
      </c>
      <c r="F608" s="895" t="s">
        <v>668</v>
      </c>
      <c r="G608" s="895" t="s">
        <v>193</v>
      </c>
      <c r="H608" s="900">
        <v>10.083</v>
      </c>
      <c r="I608" s="885"/>
      <c r="J608" s="885"/>
      <c r="K608" s="885"/>
      <c r="L608" s="885"/>
      <c r="M608" s="885"/>
      <c r="N608" s="887"/>
      <c r="O608" s="885"/>
      <c r="P608" s="885"/>
      <c r="Q608" s="885"/>
      <c r="R608" s="885"/>
      <c r="S608" s="885"/>
      <c r="T608" s="885"/>
      <c r="U608" s="885"/>
      <c r="V608" s="885"/>
      <c r="W608" s="885"/>
      <c r="X608" s="885"/>
      <c r="Y608" s="885"/>
      <c r="Z608" s="885"/>
    </row>
    <row r="609" ht="15.0" customHeight="1">
      <c r="A609" s="884" t="s">
        <v>2161</v>
      </c>
      <c r="B609" s="3" t="s">
        <v>1039</v>
      </c>
      <c r="C609" s="3"/>
      <c r="D609" s="3"/>
      <c r="E609" s="883" t="s">
        <v>668</v>
      </c>
      <c r="F609" s="895" t="s">
        <v>668</v>
      </c>
      <c r="G609" s="895" t="s">
        <v>2162</v>
      </c>
      <c r="H609" s="900">
        <v>11.458</v>
      </c>
      <c r="I609" s="885"/>
      <c r="J609" s="885"/>
      <c r="K609" s="885"/>
      <c r="L609" s="885"/>
      <c r="M609" s="885"/>
      <c r="N609" s="887"/>
      <c r="O609" s="885"/>
      <c r="P609" s="885"/>
      <c r="Q609" s="885"/>
      <c r="R609" s="885"/>
      <c r="S609" s="885"/>
      <c r="T609" s="885"/>
      <c r="U609" s="885"/>
      <c r="V609" s="885"/>
      <c r="W609" s="885"/>
      <c r="X609" s="885"/>
      <c r="Y609" s="885"/>
      <c r="Z609" s="885"/>
    </row>
    <row r="610" ht="15.0" customHeight="1">
      <c r="A610" s="884" t="s">
        <v>2163</v>
      </c>
      <c r="B610" s="3" t="s">
        <v>1039</v>
      </c>
      <c r="C610" s="3"/>
      <c r="D610" s="3"/>
      <c r="E610" s="883" t="s">
        <v>668</v>
      </c>
      <c r="F610" s="895" t="s">
        <v>668</v>
      </c>
      <c r="G610" s="895" t="s">
        <v>2164</v>
      </c>
      <c r="H610" s="900">
        <v>11.792</v>
      </c>
      <c r="I610" s="885"/>
      <c r="J610" s="885"/>
      <c r="K610" s="885"/>
      <c r="L610" s="885"/>
      <c r="M610" s="885"/>
      <c r="N610" s="887"/>
      <c r="O610" s="885"/>
      <c r="P610" s="885"/>
      <c r="Q610" s="885"/>
      <c r="R610" s="885"/>
      <c r="S610" s="885"/>
      <c r="T610" s="885"/>
      <c r="U610" s="885"/>
      <c r="V610" s="885"/>
      <c r="W610" s="885"/>
      <c r="X610" s="885"/>
      <c r="Y610" s="885"/>
      <c r="Z610" s="885"/>
    </row>
    <row r="611" ht="15.0" customHeight="1">
      <c r="A611" s="884" t="s">
        <v>2165</v>
      </c>
      <c r="B611" s="3" t="s">
        <v>1039</v>
      </c>
      <c r="C611" s="3"/>
      <c r="D611" s="3"/>
      <c r="E611" s="883" t="s">
        <v>668</v>
      </c>
      <c r="F611" s="895" t="s">
        <v>668</v>
      </c>
      <c r="G611" s="895" t="s">
        <v>2166</v>
      </c>
      <c r="H611" s="900">
        <v>11.042</v>
      </c>
      <c r="I611" s="885"/>
      <c r="J611" s="885"/>
      <c r="K611" s="885"/>
      <c r="L611" s="885"/>
      <c r="M611" s="885"/>
      <c r="N611" s="887"/>
      <c r="O611" s="885"/>
      <c r="P611" s="885"/>
      <c r="Q611" s="885"/>
      <c r="R611" s="885"/>
      <c r="S611" s="885"/>
      <c r="T611" s="885"/>
      <c r="U611" s="885"/>
      <c r="V611" s="885"/>
      <c r="W611" s="885"/>
      <c r="X611" s="885"/>
      <c r="Y611" s="885"/>
      <c r="Z611" s="885"/>
    </row>
    <row r="612" ht="15.0" customHeight="1">
      <c r="A612" s="884" t="s">
        <v>2167</v>
      </c>
      <c r="B612" s="3" t="s">
        <v>1039</v>
      </c>
      <c r="C612" s="3"/>
      <c r="D612" s="3"/>
      <c r="E612" s="883" t="s">
        <v>2168</v>
      </c>
      <c r="F612" s="895" t="s">
        <v>2168</v>
      </c>
      <c r="G612" s="895" t="s">
        <v>147</v>
      </c>
      <c r="H612" s="900">
        <v>12.792</v>
      </c>
      <c r="I612" s="885"/>
      <c r="J612" s="885"/>
      <c r="K612" s="885"/>
      <c r="L612" s="885"/>
      <c r="M612" s="885"/>
      <c r="N612" s="887"/>
      <c r="O612" s="885"/>
      <c r="P612" s="885"/>
      <c r="Q612" s="885"/>
      <c r="R612" s="885"/>
      <c r="S612" s="885"/>
      <c r="T612" s="885"/>
      <c r="U612" s="885"/>
      <c r="V612" s="885"/>
      <c r="W612" s="885"/>
      <c r="X612" s="885"/>
      <c r="Y612" s="885"/>
      <c r="Z612" s="885"/>
    </row>
    <row r="613" ht="15.0" customHeight="1">
      <c r="A613" s="3" t="s">
        <v>2169</v>
      </c>
      <c r="B613" s="3" t="s">
        <v>1039</v>
      </c>
      <c r="C613" s="3"/>
      <c r="D613" s="3"/>
      <c r="E613" s="883" t="s">
        <v>2168</v>
      </c>
      <c r="F613" s="895" t="s">
        <v>2168</v>
      </c>
      <c r="G613" s="895" t="s">
        <v>257</v>
      </c>
      <c r="H613" s="900">
        <v>12.792</v>
      </c>
      <c r="I613" s="885"/>
      <c r="J613" s="885"/>
      <c r="K613" s="885"/>
      <c r="L613" s="885"/>
      <c r="M613" s="885"/>
      <c r="N613" s="887"/>
      <c r="O613" s="885"/>
      <c r="P613" s="885"/>
      <c r="Q613" s="885"/>
      <c r="R613" s="885"/>
      <c r="S613" s="885"/>
      <c r="T613" s="885"/>
      <c r="U613" s="885"/>
      <c r="V613" s="885"/>
      <c r="W613" s="885"/>
      <c r="X613" s="885"/>
      <c r="Y613" s="885"/>
      <c r="Z613" s="885"/>
    </row>
    <row r="614" ht="15.0" customHeight="1">
      <c r="A614" s="884" t="s">
        <v>2170</v>
      </c>
      <c r="B614" s="3" t="s">
        <v>1039</v>
      </c>
      <c r="C614" s="3"/>
      <c r="D614" s="3"/>
      <c r="E614" s="883" t="s">
        <v>2168</v>
      </c>
      <c r="F614" s="883" t="s">
        <v>2168</v>
      </c>
      <c r="G614" s="883" t="s">
        <v>2171</v>
      </c>
      <c r="H614" s="900">
        <v>11.583</v>
      </c>
      <c r="I614" s="885"/>
      <c r="J614" s="885"/>
      <c r="K614" s="885"/>
      <c r="L614" s="885"/>
      <c r="M614" s="885"/>
      <c r="N614" s="887"/>
      <c r="O614" s="885"/>
      <c r="P614" s="885"/>
      <c r="Q614" s="885"/>
      <c r="R614" s="885"/>
      <c r="S614" s="885"/>
      <c r="T614" s="885"/>
      <c r="U614" s="885"/>
      <c r="V614" s="885"/>
      <c r="W614" s="885"/>
      <c r="X614" s="885"/>
      <c r="Y614" s="885"/>
      <c r="Z614" s="885"/>
    </row>
    <row r="615" ht="15.0" customHeight="1">
      <c r="A615" s="20" t="s">
        <v>2172</v>
      </c>
      <c r="B615" s="3" t="s">
        <v>1039</v>
      </c>
      <c r="C615" s="3"/>
      <c r="D615" s="3"/>
      <c r="E615" s="883" t="s">
        <v>2168</v>
      </c>
      <c r="F615" s="883" t="s">
        <v>2168</v>
      </c>
      <c r="G615" s="883" t="s">
        <v>2173</v>
      </c>
      <c r="H615" s="900">
        <v>11.583</v>
      </c>
      <c r="I615" s="885"/>
      <c r="J615" s="885"/>
      <c r="K615" s="885"/>
      <c r="L615" s="885"/>
      <c r="M615" s="885"/>
      <c r="N615" s="887"/>
      <c r="O615" s="885"/>
      <c r="P615" s="885"/>
      <c r="Q615" s="885"/>
      <c r="R615" s="885"/>
      <c r="S615" s="885"/>
      <c r="T615" s="885"/>
      <c r="U615" s="885"/>
      <c r="V615" s="885"/>
      <c r="W615" s="885"/>
      <c r="X615" s="885"/>
      <c r="Y615" s="885"/>
      <c r="Z615" s="885"/>
    </row>
    <row r="616" ht="15.0" customHeight="1">
      <c r="A616" s="884"/>
      <c r="B616" s="3"/>
      <c r="C616" s="3"/>
      <c r="D616" s="3"/>
      <c r="E616" s="883" t="s">
        <v>2168</v>
      </c>
      <c r="F616" s="883" t="s">
        <v>2168</v>
      </c>
      <c r="G616" s="883" t="s">
        <v>145</v>
      </c>
      <c r="H616" s="900">
        <v>11.917</v>
      </c>
      <c r="I616" s="885"/>
      <c r="J616" s="885"/>
      <c r="K616" s="885"/>
      <c r="L616" s="885"/>
      <c r="N616" s="887"/>
      <c r="O616" s="885"/>
      <c r="P616" s="885"/>
      <c r="Q616" s="885"/>
      <c r="R616" s="885"/>
      <c r="S616" s="885"/>
      <c r="T616" s="885"/>
      <c r="U616" s="885"/>
      <c r="V616" s="885"/>
      <c r="W616" s="885"/>
      <c r="X616" s="885"/>
      <c r="Y616" s="885"/>
      <c r="Z616" s="885"/>
    </row>
    <row r="617" ht="15.0" customHeight="1">
      <c r="A617" s="884"/>
      <c r="B617" s="3"/>
      <c r="C617" s="3"/>
      <c r="D617" s="3"/>
      <c r="E617" s="885"/>
      <c r="F617" s="885"/>
      <c r="G617" s="885"/>
      <c r="H617" s="886"/>
      <c r="I617" s="885"/>
      <c r="J617" s="885"/>
      <c r="K617" s="885"/>
      <c r="L617" s="885"/>
      <c r="N617" s="887"/>
      <c r="O617" s="885"/>
      <c r="P617" s="885"/>
      <c r="Q617" s="885"/>
      <c r="R617" s="885"/>
      <c r="S617" s="885"/>
      <c r="T617" s="885"/>
      <c r="U617" s="885"/>
      <c r="V617" s="885"/>
      <c r="W617" s="885"/>
      <c r="X617" s="885"/>
      <c r="Y617" s="885"/>
      <c r="Z617" s="885"/>
    </row>
    <row r="618" ht="15.0" customHeight="1">
      <c r="A618" s="884"/>
      <c r="B618" s="3"/>
      <c r="C618" s="3"/>
      <c r="D618" s="3"/>
      <c r="E618" s="885"/>
      <c r="F618" s="885"/>
      <c r="G618" s="885"/>
      <c r="H618" s="886"/>
      <c r="I618" s="885"/>
      <c r="J618" s="885"/>
      <c r="K618" s="885"/>
      <c r="L618" s="885"/>
      <c r="N618" s="887"/>
      <c r="O618" s="885"/>
      <c r="P618" s="885"/>
      <c r="Q618" s="885"/>
      <c r="R618" s="885"/>
      <c r="S618" s="885"/>
      <c r="T618" s="885"/>
      <c r="U618" s="885"/>
      <c r="V618" s="885"/>
      <c r="W618" s="885"/>
      <c r="X618" s="885"/>
      <c r="Y618" s="885"/>
      <c r="Z618" s="885"/>
    </row>
    <row r="619" ht="15.0" customHeight="1">
      <c r="A619" s="3" t="s">
        <v>2174</v>
      </c>
      <c r="B619" s="3" t="s">
        <v>1039</v>
      </c>
      <c r="E619" s="884"/>
      <c r="F619" s="934"/>
      <c r="G619" s="935" t="s">
        <v>1679</v>
      </c>
      <c r="H619" s="936"/>
      <c r="K619" s="885"/>
      <c r="L619" s="885"/>
      <c r="N619" s="887"/>
      <c r="O619" s="885"/>
      <c r="P619" s="885"/>
      <c r="Q619" s="885"/>
      <c r="R619" s="885"/>
      <c r="S619" s="885"/>
      <c r="T619" s="885"/>
      <c r="U619" s="885"/>
      <c r="V619" s="885"/>
      <c r="W619" s="885"/>
      <c r="X619" s="885"/>
      <c r="Y619" s="885"/>
      <c r="Z619" s="885"/>
    </row>
    <row r="620" ht="15.0" customHeight="1">
      <c r="A620" s="3"/>
      <c r="B620" s="3"/>
      <c r="C620" s="3"/>
      <c r="D620" s="3"/>
      <c r="F620" s="937" t="s">
        <v>1327</v>
      </c>
      <c r="G620" s="884" t="s">
        <v>1708</v>
      </c>
      <c r="H620" s="938">
        <v>15.0</v>
      </c>
      <c r="I620" s="885"/>
      <c r="J620" s="885"/>
      <c r="K620" s="885"/>
      <c r="L620" s="885"/>
      <c r="N620" s="887"/>
      <c r="O620" s="885"/>
      <c r="P620" s="885"/>
      <c r="Q620" s="885"/>
      <c r="R620" s="885"/>
      <c r="S620" s="885"/>
      <c r="T620" s="885"/>
      <c r="U620" s="885"/>
      <c r="V620" s="885"/>
      <c r="W620" s="885"/>
      <c r="X620" s="885"/>
      <c r="Y620" s="885"/>
      <c r="Z620" s="885"/>
    </row>
    <row r="621" ht="15.0" customHeight="1">
      <c r="A621" s="884"/>
      <c r="B621" s="3"/>
      <c r="C621" s="3"/>
      <c r="D621" s="3"/>
      <c r="F621" s="937" t="s">
        <v>957</v>
      </c>
      <c r="G621" s="884" t="s">
        <v>1709</v>
      </c>
      <c r="H621" s="938">
        <v>14.0</v>
      </c>
      <c r="I621" s="885"/>
      <c r="J621" s="885"/>
      <c r="K621" s="885"/>
      <c r="L621" s="885"/>
      <c r="N621" s="887"/>
      <c r="O621" s="885"/>
      <c r="P621" s="885"/>
      <c r="Q621" s="885"/>
      <c r="R621" s="885"/>
      <c r="S621" s="885"/>
      <c r="T621" s="885"/>
      <c r="U621" s="885"/>
      <c r="V621" s="885"/>
      <c r="W621" s="885"/>
      <c r="X621" s="885"/>
      <c r="Y621" s="885"/>
      <c r="Z621" s="885"/>
    </row>
    <row r="622" ht="15.0" customHeight="1">
      <c r="A622" s="3"/>
      <c r="B622" s="3"/>
      <c r="C622" s="3"/>
      <c r="D622" s="3"/>
      <c r="F622" s="937"/>
      <c r="G622" s="3"/>
      <c r="H622" s="938"/>
      <c r="I622" s="885"/>
      <c r="J622" s="885"/>
      <c r="K622" s="885"/>
      <c r="L622" s="885"/>
      <c r="M622" s="885"/>
      <c r="N622" s="887"/>
      <c r="O622" s="885"/>
      <c r="P622" s="885"/>
      <c r="Q622" s="885"/>
      <c r="R622" s="885"/>
      <c r="S622" s="885"/>
      <c r="T622" s="885"/>
      <c r="U622" s="885"/>
      <c r="V622" s="885"/>
      <c r="W622" s="885"/>
      <c r="X622" s="885"/>
      <c r="Y622" s="885"/>
      <c r="Z622" s="885"/>
    </row>
    <row r="623" ht="15.0" customHeight="1">
      <c r="A623" s="3"/>
      <c r="B623" s="3"/>
      <c r="C623" s="3"/>
      <c r="D623" s="3"/>
      <c r="F623" s="939" t="s">
        <v>663</v>
      </c>
      <c r="G623" s="3" t="s">
        <v>1710</v>
      </c>
      <c r="H623" s="938">
        <v>13.0</v>
      </c>
      <c r="I623" s="885"/>
      <c r="J623" s="885"/>
      <c r="K623" s="885"/>
      <c r="L623" s="885"/>
      <c r="M623" s="885"/>
      <c r="N623" s="887"/>
      <c r="O623" s="885"/>
      <c r="P623" s="885"/>
      <c r="Q623" s="885"/>
      <c r="R623" s="885"/>
      <c r="S623" s="885"/>
      <c r="T623" s="885"/>
      <c r="U623" s="885"/>
      <c r="V623" s="885"/>
      <c r="W623" s="885"/>
      <c r="X623" s="885"/>
      <c r="Y623" s="885"/>
      <c r="Z623" s="885"/>
    </row>
    <row r="624" ht="15.0" customHeight="1">
      <c r="A624" s="884"/>
      <c r="B624" s="3"/>
      <c r="C624" s="3"/>
      <c r="D624" s="3"/>
      <c r="F624" s="939" t="s">
        <v>1710</v>
      </c>
      <c r="G624" s="884" t="s">
        <v>1710</v>
      </c>
      <c r="H624" s="938">
        <v>13.0</v>
      </c>
      <c r="I624" s="885"/>
      <c r="J624" s="885"/>
      <c r="K624" s="885"/>
      <c r="L624" s="885"/>
      <c r="M624" s="885"/>
      <c r="N624" s="887"/>
      <c r="O624" s="885"/>
      <c r="P624" s="885"/>
      <c r="Q624" s="885"/>
      <c r="R624" s="885"/>
      <c r="S624" s="885"/>
      <c r="T624" s="885"/>
      <c r="U624" s="885"/>
      <c r="V624" s="885"/>
      <c r="W624" s="885"/>
      <c r="X624" s="885"/>
      <c r="Y624" s="885"/>
      <c r="Z624" s="885"/>
    </row>
    <row r="625" ht="15.0" customHeight="1">
      <c r="A625" s="884" t="s">
        <v>2175</v>
      </c>
      <c r="B625" s="3" t="s">
        <v>1039</v>
      </c>
      <c r="C625" s="3"/>
      <c r="D625" s="3"/>
      <c r="F625" s="937" t="s">
        <v>188</v>
      </c>
      <c r="G625" s="884" t="s">
        <v>1710</v>
      </c>
      <c r="H625" s="938">
        <v>13.0</v>
      </c>
      <c r="I625" s="885"/>
      <c r="J625" s="885"/>
      <c r="K625" s="885"/>
      <c r="L625" s="885"/>
      <c r="M625" s="885"/>
      <c r="N625" s="887"/>
      <c r="O625" s="885"/>
      <c r="P625" s="885"/>
      <c r="Q625" s="885"/>
      <c r="R625" s="885"/>
      <c r="S625" s="885"/>
      <c r="T625" s="885"/>
      <c r="U625" s="885"/>
      <c r="V625" s="885"/>
      <c r="W625" s="885"/>
      <c r="X625" s="885"/>
      <c r="Y625" s="885"/>
      <c r="Z625" s="885"/>
    </row>
    <row r="626" ht="15.0" customHeight="1">
      <c r="A626" s="884" t="s">
        <v>2176</v>
      </c>
      <c r="B626" s="3" t="s">
        <v>1039</v>
      </c>
      <c r="C626" s="3"/>
      <c r="D626" s="3"/>
      <c r="F626" s="937" t="s">
        <v>720</v>
      </c>
      <c r="G626" s="884" t="s">
        <v>251</v>
      </c>
      <c r="H626" s="938">
        <v>11.0</v>
      </c>
      <c r="I626" s="885"/>
      <c r="J626" s="885"/>
      <c r="K626" s="885"/>
      <c r="L626" s="885"/>
      <c r="M626" s="885"/>
      <c r="N626" s="887"/>
      <c r="O626" s="885"/>
      <c r="P626" s="885"/>
      <c r="Q626" s="885"/>
      <c r="R626" s="885"/>
      <c r="S626" s="885"/>
      <c r="T626" s="885"/>
      <c r="U626" s="885"/>
      <c r="V626" s="885"/>
      <c r="W626" s="885"/>
      <c r="X626" s="885"/>
      <c r="Y626" s="885"/>
      <c r="Z626" s="885"/>
    </row>
    <row r="627" ht="15.0" customHeight="1">
      <c r="A627" s="884" t="s">
        <v>2177</v>
      </c>
      <c r="B627" s="3" t="s">
        <v>1039</v>
      </c>
      <c r="C627" s="3"/>
      <c r="D627" s="3"/>
      <c r="F627" s="937" t="s">
        <v>656</v>
      </c>
      <c r="G627" s="884" t="s">
        <v>190</v>
      </c>
      <c r="H627" s="938">
        <v>11.0</v>
      </c>
      <c r="I627" s="885"/>
      <c r="J627" s="885"/>
      <c r="K627" s="885"/>
      <c r="L627" s="885"/>
      <c r="M627" s="885"/>
      <c r="N627" s="887"/>
      <c r="O627" s="885"/>
      <c r="P627" s="885"/>
      <c r="Q627" s="885"/>
      <c r="R627" s="885"/>
      <c r="S627" s="885"/>
      <c r="T627" s="885"/>
      <c r="U627" s="885"/>
      <c r="V627" s="885"/>
      <c r="W627" s="885"/>
      <c r="X627" s="885"/>
      <c r="Y627" s="885"/>
      <c r="Z627" s="885"/>
    </row>
    <row r="628" ht="15.0" customHeight="1">
      <c r="A628" s="884" t="s">
        <v>2178</v>
      </c>
      <c r="B628" s="3" t="s">
        <v>1039</v>
      </c>
      <c r="C628" s="3"/>
      <c r="D628" s="3"/>
      <c r="F628" s="937" t="s">
        <v>668</v>
      </c>
      <c r="G628" s="884" t="s">
        <v>190</v>
      </c>
      <c r="H628" s="938">
        <v>11.0</v>
      </c>
      <c r="I628" s="885"/>
      <c r="J628" s="885"/>
      <c r="K628" s="885"/>
      <c r="L628" s="885"/>
      <c r="M628" s="885"/>
      <c r="N628" s="887"/>
      <c r="O628" s="885"/>
      <c r="P628" s="885"/>
      <c r="Q628" s="885"/>
      <c r="R628" s="885"/>
      <c r="S628" s="885"/>
      <c r="T628" s="885"/>
      <c r="U628" s="885"/>
      <c r="V628" s="885"/>
      <c r="W628" s="885"/>
      <c r="X628" s="885"/>
      <c r="Y628" s="885"/>
      <c r="Z628" s="885"/>
    </row>
    <row r="629" ht="15.0" customHeight="1">
      <c r="A629" s="884" t="s">
        <v>2179</v>
      </c>
      <c r="B629" s="3" t="s">
        <v>1039</v>
      </c>
      <c r="C629" s="3"/>
      <c r="D629" s="3"/>
      <c r="F629" s="937" t="s">
        <v>963</v>
      </c>
      <c r="G629" s="884" t="s">
        <v>1713</v>
      </c>
      <c r="H629" s="938">
        <v>13.0</v>
      </c>
      <c r="I629" s="885"/>
      <c r="J629" s="885"/>
      <c r="K629" s="885"/>
      <c r="L629" s="885"/>
      <c r="M629" s="885"/>
      <c r="N629" s="887"/>
      <c r="O629" s="885"/>
      <c r="P629" s="885"/>
      <c r="Q629" s="885"/>
      <c r="R629" s="885"/>
      <c r="S629" s="885"/>
      <c r="T629" s="885"/>
      <c r="U629" s="885"/>
      <c r="V629" s="885"/>
      <c r="W629" s="885"/>
      <c r="X629" s="885"/>
      <c r="Y629" s="885"/>
      <c r="Z629" s="885"/>
    </row>
    <row r="630" ht="15.0" customHeight="1">
      <c r="A630" s="884" t="s">
        <v>2180</v>
      </c>
      <c r="B630" s="3" t="s">
        <v>1039</v>
      </c>
      <c r="C630" s="3"/>
      <c r="D630" s="3"/>
      <c r="E630" s="885"/>
      <c r="F630" s="940"/>
      <c r="H630" s="941"/>
      <c r="I630" s="885"/>
      <c r="J630" s="885"/>
      <c r="K630" s="885"/>
      <c r="L630" s="885"/>
      <c r="M630" s="885"/>
      <c r="N630" s="887"/>
      <c r="O630" s="885"/>
      <c r="P630" s="885"/>
      <c r="Q630" s="885"/>
      <c r="R630" s="885"/>
      <c r="S630" s="885"/>
      <c r="T630" s="885"/>
      <c r="U630" s="885"/>
      <c r="V630" s="885"/>
      <c r="W630" s="885"/>
      <c r="X630" s="885"/>
      <c r="Y630" s="885"/>
      <c r="Z630" s="885"/>
    </row>
    <row r="631" ht="15.0" customHeight="1">
      <c r="A631" s="884" t="s">
        <v>2181</v>
      </c>
      <c r="B631" s="3" t="s">
        <v>1039</v>
      </c>
      <c r="C631" s="3"/>
      <c r="D631" s="3"/>
      <c r="E631" s="885"/>
      <c r="F631" s="940"/>
      <c r="H631" s="941"/>
      <c r="I631" s="885"/>
      <c r="J631" s="885"/>
      <c r="K631" s="885"/>
      <c r="L631" s="885"/>
      <c r="M631" s="885"/>
      <c r="N631" s="887"/>
      <c r="O631" s="885"/>
      <c r="P631" s="885"/>
      <c r="Q631" s="885"/>
      <c r="R631" s="885"/>
      <c r="S631" s="885"/>
      <c r="T631" s="885"/>
      <c r="U631" s="885"/>
      <c r="V631" s="885"/>
      <c r="W631" s="885"/>
      <c r="X631" s="885"/>
      <c r="Y631" s="885"/>
      <c r="Z631" s="885"/>
    </row>
    <row r="632" ht="15.0" customHeight="1">
      <c r="A632" s="884" t="s">
        <v>2182</v>
      </c>
      <c r="B632" s="3" t="s">
        <v>1039</v>
      </c>
      <c r="C632" s="3"/>
      <c r="D632" s="3"/>
      <c r="E632" s="885"/>
      <c r="F632" s="940"/>
      <c r="H632" s="941"/>
      <c r="I632" s="885"/>
      <c r="J632" s="885"/>
      <c r="K632" s="885"/>
      <c r="L632" s="885"/>
      <c r="M632" s="885"/>
      <c r="N632" s="887"/>
      <c r="O632" s="885"/>
      <c r="P632" s="885"/>
      <c r="Q632" s="885"/>
      <c r="R632" s="885"/>
      <c r="S632" s="885"/>
      <c r="T632" s="885"/>
      <c r="U632" s="885"/>
      <c r="V632" s="885"/>
      <c r="W632" s="885"/>
      <c r="X632" s="885"/>
      <c r="Y632" s="885"/>
      <c r="Z632" s="885"/>
    </row>
    <row r="633" ht="15.0" customHeight="1">
      <c r="A633" s="884" t="s">
        <v>2183</v>
      </c>
      <c r="B633" s="3" t="s">
        <v>1039</v>
      </c>
      <c r="C633" s="3"/>
      <c r="D633" s="3"/>
      <c r="E633" s="885"/>
      <c r="F633" s="940"/>
      <c r="H633" s="941"/>
      <c r="I633" s="885"/>
      <c r="J633" s="885"/>
      <c r="K633" s="885"/>
      <c r="L633" s="885"/>
      <c r="M633" s="885"/>
      <c r="N633" s="887"/>
      <c r="O633" s="885"/>
      <c r="P633" s="885"/>
      <c r="Q633" s="885"/>
      <c r="R633" s="885"/>
      <c r="S633" s="885"/>
      <c r="T633" s="885"/>
      <c r="U633" s="885"/>
      <c r="V633" s="885"/>
      <c r="W633" s="885"/>
      <c r="X633" s="885"/>
      <c r="Y633" s="885"/>
      <c r="Z633" s="885"/>
    </row>
    <row r="634" ht="15.0" customHeight="1">
      <c r="A634" s="884" t="s">
        <v>2184</v>
      </c>
      <c r="B634" s="3" t="s">
        <v>1039</v>
      </c>
      <c r="C634" s="3"/>
      <c r="D634" s="3"/>
      <c r="E634" s="885"/>
      <c r="F634" s="940"/>
      <c r="H634" s="941"/>
      <c r="I634" s="885"/>
      <c r="J634" s="885"/>
      <c r="K634" s="885"/>
      <c r="L634" s="885"/>
      <c r="M634" s="885"/>
      <c r="N634" s="887"/>
      <c r="O634" s="885"/>
      <c r="P634" s="885"/>
      <c r="Q634" s="885"/>
      <c r="R634" s="885"/>
      <c r="S634" s="885"/>
      <c r="T634" s="885"/>
      <c r="U634" s="885"/>
      <c r="V634" s="885"/>
      <c r="W634" s="885"/>
      <c r="X634" s="885"/>
      <c r="Y634" s="885"/>
      <c r="Z634" s="885"/>
    </row>
    <row r="635" ht="15.0" customHeight="1">
      <c r="A635" s="884" t="s">
        <v>2185</v>
      </c>
      <c r="B635" s="3" t="s">
        <v>1039</v>
      </c>
      <c r="C635" s="3"/>
      <c r="D635" s="3"/>
      <c r="E635" s="885"/>
      <c r="F635" s="940"/>
      <c r="H635" s="941"/>
      <c r="I635" s="885"/>
      <c r="J635" s="885"/>
      <c r="K635" s="885"/>
      <c r="L635" s="885"/>
      <c r="M635" s="885"/>
      <c r="N635" s="887"/>
      <c r="O635" s="885"/>
      <c r="P635" s="885"/>
      <c r="Q635" s="885"/>
      <c r="R635" s="885"/>
      <c r="S635" s="885"/>
      <c r="T635" s="885"/>
      <c r="U635" s="885"/>
      <c r="V635" s="885"/>
      <c r="W635" s="885"/>
      <c r="X635" s="885"/>
      <c r="Y635" s="885"/>
      <c r="Z635" s="885"/>
    </row>
    <row r="636" ht="15.0" customHeight="1">
      <c r="A636" s="884" t="s">
        <v>2186</v>
      </c>
      <c r="B636" s="884" t="s">
        <v>1039</v>
      </c>
      <c r="C636" s="3"/>
      <c r="D636" s="3"/>
      <c r="E636" s="885"/>
      <c r="F636" s="940"/>
      <c r="H636" s="941"/>
      <c r="I636" s="885"/>
      <c r="J636" s="885"/>
      <c r="K636" s="885"/>
      <c r="L636" s="885"/>
      <c r="M636" s="885"/>
      <c r="N636" s="887"/>
      <c r="O636" s="885"/>
      <c r="P636" s="885"/>
      <c r="Q636" s="885"/>
      <c r="R636" s="885"/>
      <c r="S636" s="885"/>
      <c r="T636" s="885"/>
      <c r="U636" s="885"/>
      <c r="V636" s="885"/>
      <c r="W636" s="885"/>
      <c r="X636" s="885"/>
      <c r="Y636" s="885"/>
      <c r="Z636" s="885"/>
    </row>
    <row r="637" ht="15.0" customHeight="1">
      <c r="A637" s="884" t="s">
        <v>2187</v>
      </c>
      <c r="B637" s="884" t="s">
        <v>1039</v>
      </c>
      <c r="C637" s="3"/>
      <c r="D637" s="3"/>
      <c r="E637" s="885"/>
      <c r="F637" s="939"/>
      <c r="G637" s="3"/>
      <c r="H637" s="942"/>
      <c r="I637" s="885"/>
      <c r="J637" s="885"/>
      <c r="K637" s="885"/>
      <c r="L637" s="943"/>
      <c r="M637" s="883"/>
      <c r="N637" s="887"/>
      <c r="O637" s="885"/>
      <c r="P637" s="885"/>
      <c r="Q637" s="885"/>
      <c r="R637" s="885"/>
      <c r="S637" s="885"/>
      <c r="T637" s="885"/>
      <c r="U637" s="885"/>
      <c r="V637" s="885"/>
      <c r="W637" s="885"/>
      <c r="X637" s="885"/>
      <c r="Y637" s="885"/>
      <c r="Z637" s="885"/>
    </row>
    <row r="638" ht="15.0" customHeight="1">
      <c r="A638" s="884" t="s">
        <v>2188</v>
      </c>
      <c r="B638" s="884" t="s">
        <v>1039</v>
      </c>
      <c r="C638" s="3"/>
      <c r="D638" s="3"/>
      <c r="E638" s="885"/>
      <c r="F638" s="940"/>
      <c r="H638" s="941"/>
      <c r="I638" s="885"/>
      <c r="J638" s="885"/>
      <c r="K638" s="885"/>
      <c r="L638" s="943"/>
      <c r="M638" s="883"/>
      <c r="N638" s="917"/>
      <c r="O638" s="883"/>
      <c r="P638" s="885"/>
      <c r="Q638" s="885"/>
      <c r="R638" s="885"/>
      <c r="S638" s="885"/>
      <c r="T638" s="885"/>
      <c r="U638" s="885"/>
      <c r="V638" s="885"/>
      <c r="W638" s="885"/>
      <c r="X638" s="885"/>
      <c r="Y638" s="885"/>
      <c r="Z638" s="885"/>
    </row>
    <row r="639" ht="15.0" customHeight="1">
      <c r="A639" s="884" t="s">
        <v>2189</v>
      </c>
      <c r="B639" s="884" t="s">
        <v>1039</v>
      </c>
      <c r="C639" s="885"/>
      <c r="D639" s="3"/>
      <c r="E639" s="885"/>
      <c r="F639" s="939"/>
      <c r="G639" s="3"/>
      <c r="H639" s="942"/>
      <c r="I639" s="885"/>
      <c r="J639" s="885"/>
      <c r="K639" s="885"/>
      <c r="L639" s="943"/>
      <c r="M639" s="883"/>
      <c r="N639" s="917"/>
      <c r="O639" s="883"/>
      <c r="P639" s="885"/>
      <c r="Q639" s="885"/>
      <c r="R639" s="885"/>
      <c r="S639" s="885"/>
      <c r="T639" s="885"/>
      <c r="U639" s="885"/>
      <c r="V639" s="885"/>
      <c r="W639" s="885"/>
      <c r="X639" s="885"/>
      <c r="Y639" s="885"/>
      <c r="Z639" s="885"/>
    </row>
    <row r="640" ht="15.0" customHeight="1">
      <c r="A640" s="884" t="s">
        <v>2190</v>
      </c>
      <c r="B640" s="884" t="s">
        <v>1039</v>
      </c>
      <c r="C640" s="885"/>
      <c r="D640" s="3"/>
      <c r="E640" s="885"/>
      <c r="F640" s="940"/>
      <c r="H640" s="941"/>
      <c r="I640" s="885"/>
      <c r="J640" s="885"/>
      <c r="K640" s="885"/>
      <c r="L640" s="885"/>
      <c r="M640" s="885"/>
      <c r="N640" s="917"/>
      <c r="O640" s="883"/>
      <c r="P640" s="885"/>
      <c r="Q640" s="885"/>
      <c r="R640" s="885"/>
      <c r="S640" s="885"/>
      <c r="T640" s="885"/>
      <c r="U640" s="885"/>
      <c r="V640" s="885"/>
      <c r="W640" s="885"/>
      <c r="X640" s="885"/>
      <c r="Y640" s="885"/>
      <c r="Z640" s="885"/>
    </row>
    <row r="641" ht="15.0" customHeight="1">
      <c r="A641" s="884" t="s">
        <v>2191</v>
      </c>
      <c r="B641" s="3" t="s">
        <v>2192</v>
      </c>
      <c r="C641" s="3"/>
      <c r="D641" s="3"/>
      <c r="E641" s="885"/>
      <c r="F641" s="940"/>
      <c r="H641" s="941"/>
      <c r="I641" s="885"/>
      <c r="J641" s="885"/>
      <c r="K641" s="885"/>
      <c r="L641" s="885"/>
      <c r="M641" s="885"/>
      <c r="N641" s="887"/>
      <c r="O641" s="885"/>
      <c r="P641" s="885"/>
      <c r="Q641" s="885"/>
      <c r="R641" s="885"/>
      <c r="S641" s="885"/>
      <c r="T641" s="885"/>
      <c r="U641" s="885"/>
      <c r="V641" s="885"/>
      <c r="W641" s="885"/>
      <c r="X641" s="885"/>
      <c r="Y641" s="885"/>
      <c r="Z641" s="885"/>
    </row>
    <row r="642" ht="15.0" customHeight="1">
      <c r="A642" s="3" t="s">
        <v>2193</v>
      </c>
      <c r="B642" s="3" t="s">
        <v>1039</v>
      </c>
      <c r="C642" s="3"/>
      <c r="D642" s="3"/>
      <c r="E642" s="885"/>
      <c r="F642" s="939"/>
      <c r="G642" s="3"/>
      <c r="H642" s="942"/>
      <c r="I642" s="885"/>
      <c r="J642" s="885"/>
      <c r="K642" s="885"/>
      <c r="L642" s="885"/>
      <c r="M642" s="885"/>
      <c r="N642" s="887"/>
      <c r="O642" s="885"/>
      <c r="P642" s="885"/>
      <c r="Q642" s="885"/>
      <c r="R642" s="885"/>
      <c r="S642" s="885"/>
      <c r="T642" s="885"/>
      <c r="U642" s="885"/>
      <c r="V642" s="885"/>
      <c r="W642" s="885"/>
      <c r="X642" s="885"/>
      <c r="Y642" s="885"/>
      <c r="Z642" s="885"/>
    </row>
    <row r="643" ht="15.0" customHeight="1">
      <c r="A643" s="3" t="s">
        <v>2194</v>
      </c>
      <c r="B643" s="3" t="s">
        <v>1039</v>
      </c>
      <c r="C643" s="3"/>
      <c r="D643" s="3"/>
      <c r="E643" s="885"/>
      <c r="F643" s="939"/>
      <c r="G643" s="3"/>
      <c r="H643" s="942"/>
      <c r="I643" s="885"/>
      <c r="J643" s="885"/>
      <c r="K643" s="885"/>
      <c r="L643" s="885"/>
      <c r="M643" s="885"/>
      <c r="N643" s="887"/>
      <c r="O643" s="885"/>
      <c r="P643" s="885"/>
      <c r="Q643" s="885"/>
      <c r="R643" s="885"/>
      <c r="S643" s="885"/>
      <c r="T643" s="885"/>
      <c r="U643" s="885"/>
      <c r="V643" s="885"/>
      <c r="W643" s="885"/>
      <c r="X643" s="885"/>
      <c r="Y643" s="885"/>
      <c r="Z643" s="885"/>
    </row>
    <row r="644" ht="15.0" customHeight="1">
      <c r="A644" s="3" t="s">
        <v>2195</v>
      </c>
      <c r="B644" s="3" t="s">
        <v>1039</v>
      </c>
      <c r="C644" s="3"/>
      <c r="D644" s="3"/>
      <c r="E644" s="885"/>
      <c r="F644" s="939"/>
      <c r="G644" s="3"/>
      <c r="H644" s="942"/>
      <c r="I644" s="885"/>
      <c r="J644" s="885"/>
      <c r="K644" s="885"/>
      <c r="L644" s="885"/>
      <c r="M644" s="885"/>
      <c r="N644" s="887"/>
      <c r="O644" s="885"/>
      <c r="P644" s="885"/>
      <c r="Q644" s="885"/>
      <c r="R644" s="885"/>
      <c r="S644" s="885"/>
      <c r="T644" s="885"/>
      <c r="U644" s="885"/>
      <c r="V644" s="885"/>
      <c r="W644" s="885"/>
      <c r="X644" s="885"/>
      <c r="Y644" s="885"/>
      <c r="Z644" s="885"/>
    </row>
    <row r="645" ht="15.0" customHeight="1">
      <c r="A645" s="3" t="s">
        <v>2196</v>
      </c>
      <c r="B645" s="3" t="s">
        <v>1039</v>
      </c>
      <c r="C645" s="3"/>
      <c r="D645" s="3"/>
      <c r="E645" s="885"/>
      <c r="F645" s="939"/>
      <c r="G645" s="3"/>
      <c r="H645" s="942"/>
      <c r="I645" s="885"/>
      <c r="J645" s="885"/>
      <c r="K645" s="885"/>
      <c r="L645" s="885"/>
      <c r="M645" s="885"/>
      <c r="N645" s="887"/>
      <c r="O645" s="885"/>
      <c r="P645" s="885"/>
      <c r="Q645" s="885"/>
      <c r="R645" s="885"/>
      <c r="S645" s="885"/>
      <c r="T645" s="885"/>
      <c r="U645" s="885"/>
      <c r="V645" s="885"/>
      <c r="W645" s="885"/>
      <c r="X645" s="885"/>
      <c r="Y645" s="885"/>
      <c r="Z645" s="885"/>
    </row>
    <row r="646" ht="15.0" customHeight="1">
      <c r="A646" s="3" t="s">
        <v>2197</v>
      </c>
      <c r="B646" s="3" t="s">
        <v>1039</v>
      </c>
      <c r="C646" s="3"/>
      <c r="D646" s="3"/>
      <c r="E646" s="885"/>
      <c r="F646" s="944"/>
      <c r="G646" s="945"/>
      <c r="H646" s="946"/>
      <c r="I646" s="885"/>
      <c r="J646" s="885"/>
      <c r="K646" s="885"/>
      <c r="L646" s="885"/>
      <c r="M646" s="885"/>
      <c r="N646" s="887"/>
      <c r="O646" s="885"/>
      <c r="P646" s="885"/>
      <c r="Q646" s="885"/>
      <c r="R646" s="885"/>
      <c r="S646" s="885"/>
      <c r="T646" s="885"/>
      <c r="U646" s="885"/>
      <c r="V646" s="885"/>
      <c r="W646" s="885"/>
      <c r="X646" s="885"/>
      <c r="Y646" s="885"/>
      <c r="Z646" s="885"/>
    </row>
    <row r="647" ht="15.0" customHeight="1">
      <c r="A647" s="3" t="s">
        <v>2198</v>
      </c>
      <c r="B647" s="3" t="s">
        <v>1039</v>
      </c>
      <c r="C647" s="3"/>
      <c r="D647" s="3"/>
      <c r="E647" s="885"/>
      <c r="H647" s="894"/>
      <c r="J647" s="885"/>
      <c r="K647" s="885"/>
      <c r="L647" s="885"/>
      <c r="M647" s="885"/>
      <c r="N647" s="887"/>
      <c r="O647" s="885"/>
      <c r="P647" s="885"/>
      <c r="Q647" s="885"/>
      <c r="R647" s="885"/>
      <c r="S647" s="885"/>
      <c r="T647" s="885"/>
      <c r="U647" s="885"/>
      <c r="V647" s="885"/>
      <c r="W647" s="885"/>
      <c r="X647" s="885"/>
      <c r="Y647" s="885"/>
      <c r="Z647" s="885"/>
    </row>
    <row r="648" ht="15.0" customHeight="1">
      <c r="A648" s="3" t="s">
        <v>2199</v>
      </c>
      <c r="B648" s="3" t="s">
        <v>1039</v>
      </c>
      <c r="C648" s="3"/>
      <c r="D648" s="3"/>
      <c r="E648" s="885"/>
      <c r="H648" s="894"/>
      <c r="J648" s="885"/>
      <c r="K648" s="885"/>
      <c r="L648" s="885"/>
      <c r="M648" s="885"/>
      <c r="N648" s="887"/>
      <c r="O648" s="885"/>
      <c r="P648" s="885"/>
      <c r="Q648" s="885"/>
      <c r="R648" s="885"/>
      <c r="S648" s="885"/>
      <c r="T648" s="885"/>
      <c r="U648" s="885"/>
      <c r="V648" s="885"/>
      <c r="W648" s="885"/>
      <c r="X648" s="885"/>
      <c r="Y648" s="885"/>
      <c r="Z648" s="885"/>
    </row>
    <row r="649" ht="15.0" customHeight="1">
      <c r="A649" s="3" t="s">
        <v>2200</v>
      </c>
      <c r="B649" s="3" t="s">
        <v>1039</v>
      </c>
      <c r="C649" s="3"/>
      <c r="D649" s="3"/>
      <c r="E649" s="885"/>
      <c r="H649" s="894"/>
      <c r="J649" s="885"/>
      <c r="K649" s="885"/>
      <c r="L649" s="885"/>
      <c r="M649" s="885"/>
      <c r="N649" s="887"/>
      <c r="O649" s="885"/>
      <c r="P649" s="885"/>
      <c r="Q649" s="885"/>
      <c r="R649" s="885"/>
      <c r="S649" s="885"/>
      <c r="T649" s="885"/>
      <c r="U649" s="885"/>
      <c r="V649" s="885"/>
      <c r="W649" s="885"/>
      <c r="X649" s="885"/>
      <c r="Y649" s="885"/>
      <c r="Z649" s="885"/>
    </row>
    <row r="650" ht="15.0" customHeight="1">
      <c r="A650" s="3" t="s">
        <v>2201</v>
      </c>
      <c r="B650" s="3" t="s">
        <v>1039</v>
      </c>
      <c r="C650" s="3"/>
      <c r="D650" s="3"/>
      <c r="E650" s="885"/>
      <c r="H650" s="894"/>
      <c r="J650" s="885"/>
      <c r="K650" s="885"/>
      <c r="L650" s="885"/>
      <c r="M650" s="885"/>
      <c r="N650" s="887"/>
      <c r="O650" s="885"/>
      <c r="P650" s="885"/>
      <c r="Q650" s="885"/>
      <c r="R650" s="885"/>
      <c r="S650" s="885"/>
      <c r="T650" s="885"/>
      <c r="U650" s="885"/>
      <c r="V650" s="885"/>
      <c r="W650" s="885"/>
      <c r="X650" s="885"/>
      <c r="Y650" s="885"/>
      <c r="Z650" s="885"/>
    </row>
    <row r="651" ht="15.0" customHeight="1">
      <c r="A651" s="3" t="s">
        <v>2202</v>
      </c>
      <c r="B651" s="3" t="s">
        <v>1039</v>
      </c>
      <c r="C651" s="3"/>
      <c r="D651" s="3"/>
      <c r="E651" s="885"/>
      <c r="H651" s="894"/>
      <c r="J651" s="885"/>
      <c r="K651" s="885"/>
      <c r="L651" s="885"/>
      <c r="M651" s="885"/>
      <c r="N651" s="887"/>
      <c r="O651" s="885"/>
      <c r="P651" s="885"/>
      <c r="Q651" s="885"/>
      <c r="R651" s="885"/>
      <c r="S651" s="885"/>
      <c r="T651" s="885"/>
      <c r="U651" s="885"/>
      <c r="V651" s="885"/>
      <c r="W651" s="885"/>
      <c r="X651" s="885"/>
      <c r="Y651" s="885"/>
      <c r="Z651" s="885"/>
    </row>
    <row r="652" ht="15.0" customHeight="1">
      <c r="A652" s="3" t="s">
        <v>2203</v>
      </c>
      <c r="B652" s="3" t="s">
        <v>1039</v>
      </c>
      <c r="C652" s="3"/>
      <c r="D652" s="3"/>
      <c r="E652" s="885"/>
      <c r="H652" s="894"/>
      <c r="J652" s="885"/>
      <c r="K652" s="885"/>
      <c r="L652" s="885"/>
      <c r="M652" s="885"/>
      <c r="N652" s="887"/>
      <c r="O652" s="885"/>
      <c r="P652" s="885"/>
      <c r="Q652" s="885"/>
      <c r="R652" s="885"/>
      <c r="S652" s="885"/>
      <c r="T652" s="885"/>
      <c r="U652" s="885"/>
      <c r="V652" s="885"/>
      <c r="W652" s="885"/>
      <c r="X652" s="885"/>
      <c r="Y652" s="885"/>
      <c r="Z652" s="885"/>
    </row>
    <row r="653" ht="15.0" customHeight="1">
      <c r="A653" s="3" t="s">
        <v>2204</v>
      </c>
      <c r="B653" s="3" t="s">
        <v>1039</v>
      </c>
      <c r="C653" s="3"/>
      <c r="D653" s="3"/>
      <c r="E653" s="885"/>
      <c r="H653" s="894"/>
      <c r="J653" s="885"/>
      <c r="K653" s="885"/>
      <c r="L653" s="885"/>
      <c r="M653" s="885"/>
      <c r="N653" s="887"/>
      <c r="O653" s="885"/>
      <c r="P653" s="885"/>
      <c r="Q653" s="885"/>
      <c r="R653" s="885"/>
      <c r="S653" s="885"/>
      <c r="T653" s="885"/>
      <c r="U653" s="885"/>
      <c r="V653" s="885"/>
      <c r="W653" s="885"/>
      <c r="X653" s="885"/>
      <c r="Y653" s="885"/>
      <c r="Z653" s="885"/>
    </row>
    <row r="654" ht="15.0" customHeight="1">
      <c r="A654" s="3" t="s">
        <v>2205</v>
      </c>
      <c r="B654" s="3" t="s">
        <v>1039</v>
      </c>
      <c r="C654" s="3"/>
      <c r="D654" s="3"/>
      <c r="E654" s="885"/>
      <c r="H654" s="894"/>
      <c r="J654" s="885"/>
      <c r="K654" s="885"/>
      <c r="L654" s="885"/>
      <c r="M654" s="885"/>
      <c r="N654" s="887"/>
      <c r="O654" s="885"/>
      <c r="P654" s="885"/>
      <c r="Q654" s="885"/>
      <c r="R654" s="885"/>
      <c r="S654" s="885"/>
      <c r="T654" s="885"/>
      <c r="U654" s="885"/>
      <c r="V654" s="885"/>
      <c r="W654" s="885"/>
      <c r="X654" s="885"/>
      <c r="Y654" s="885"/>
      <c r="Z654" s="885"/>
    </row>
    <row r="655" ht="15.0" customHeight="1">
      <c r="A655" s="3" t="s">
        <v>2206</v>
      </c>
      <c r="B655" s="3" t="s">
        <v>1039</v>
      </c>
      <c r="C655" s="3"/>
      <c r="D655" s="3"/>
      <c r="E655" s="885"/>
      <c r="H655" s="894"/>
      <c r="J655" s="885"/>
      <c r="K655" s="885"/>
      <c r="L655" s="885"/>
      <c r="M655" s="885"/>
      <c r="N655" s="887"/>
      <c r="O655" s="885"/>
      <c r="P655" s="885"/>
      <c r="Q655" s="885"/>
      <c r="R655" s="885"/>
      <c r="S655" s="885"/>
      <c r="T655" s="885"/>
      <c r="U655" s="885"/>
      <c r="V655" s="885"/>
      <c r="W655" s="885"/>
      <c r="X655" s="885"/>
      <c r="Y655" s="885"/>
      <c r="Z655" s="885"/>
    </row>
    <row r="656" ht="15.0" customHeight="1">
      <c r="A656" s="3" t="s">
        <v>2207</v>
      </c>
      <c r="B656" s="3" t="s">
        <v>1039</v>
      </c>
      <c r="C656" s="3"/>
      <c r="D656" s="3"/>
      <c r="E656" s="885"/>
      <c r="H656" s="894"/>
      <c r="J656" s="885"/>
      <c r="K656" s="885"/>
      <c r="L656" s="885"/>
      <c r="M656" s="885"/>
      <c r="N656" s="887"/>
      <c r="O656" s="885"/>
      <c r="P656" s="885"/>
      <c r="Q656" s="885"/>
      <c r="R656" s="885"/>
      <c r="S656" s="885"/>
      <c r="T656" s="885"/>
      <c r="U656" s="885"/>
      <c r="V656" s="885"/>
      <c r="W656" s="885"/>
      <c r="X656" s="885"/>
      <c r="Y656" s="885"/>
      <c r="Z656" s="885"/>
    </row>
    <row r="657" ht="15.0" customHeight="1">
      <c r="A657" s="3" t="s">
        <v>2208</v>
      </c>
      <c r="B657" s="3" t="s">
        <v>1039</v>
      </c>
      <c r="C657" s="3"/>
      <c r="D657" s="3"/>
      <c r="E657" s="885"/>
      <c r="F657" s="885"/>
      <c r="G657" s="885"/>
      <c r="H657" s="886"/>
      <c r="I657" s="885"/>
      <c r="J657" s="885"/>
      <c r="K657" s="885"/>
      <c r="L657" s="885"/>
      <c r="M657" s="885"/>
      <c r="N657" s="887"/>
      <c r="O657" s="885"/>
      <c r="P657" s="885"/>
      <c r="Q657" s="885"/>
      <c r="R657" s="885"/>
      <c r="S657" s="885"/>
      <c r="T657" s="885"/>
      <c r="U657" s="885"/>
      <c r="V657" s="885"/>
      <c r="W657" s="885"/>
      <c r="X657" s="885"/>
      <c r="Y657" s="885"/>
      <c r="Z657" s="885"/>
    </row>
    <row r="658" ht="15.0" customHeight="1">
      <c r="A658" s="884" t="s">
        <v>2209</v>
      </c>
      <c r="B658" s="3" t="s">
        <v>1039</v>
      </c>
      <c r="C658" s="3"/>
      <c r="D658" s="3"/>
      <c r="E658" s="885"/>
      <c r="F658" s="885"/>
      <c r="G658" s="885"/>
      <c r="H658" s="886"/>
      <c r="I658" s="885"/>
      <c r="J658" s="885"/>
      <c r="K658" s="885"/>
      <c r="L658" s="885"/>
      <c r="M658" s="885"/>
      <c r="N658" s="887"/>
      <c r="O658" s="885"/>
      <c r="P658" s="885"/>
      <c r="Q658" s="885"/>
      <c r="R658" s="885"/>
      <c r="S658" s="885"/>
      <c r="T658" s="885"/>
      <c r="U658" s="885"/>
      <c r="V658" s="885"/>
      <c r="W658" s="885"/>
      <c r="X658" s="885"/>
      <c r="Y658" s="885"/>
      <c r="Z658" s="885"/>
    </row>
    <row r="659" ht="15.0" customHeight="1">
      <c r="A659" s="884" t="s">
        <v>2210</v>
      </c>
      <c r="B659" s="884" t="s">
        <v>1039</v>
      </c>
      <c r="C659" s="3"/>
      <c r="D659" s="3"/>
      <c r="E659" s="885"/>
      <c r="F659" s="885"/>
      <c r="G659" s="885"/>
      <c r="H659" s="886"/>
      <c r="I659" s="885"/>
      <c r="J659" s="885"/>
      <c r="K659" s="885"/>
      <c r="L659" s="885"/>
      <c r="M659" s="885"/>
      <c r="N659" s="887"/>
      <c r="O659" s="885"/>
      <c r="P659" s="885"/>
      <c r="Q659" s="885"/>
      <c r="R659" s="885"/>
      <c r="S659" s="885"/>
      <c r="T659" s="885"/>
      <c r="U659" s="885"/>
      <c r="V659" s="885"/>
      <c r="W659" s="885"/>
      <c r="X659" s="885"/>
      <c r="Y659" s="885"/>
      <c r="Z659" s="885"/>
    </row>
    <row r="660" ht="15.0" customHeight="1">
      <c r="A660" s="884" t="s">
        <v>2211</v>
      </c>
      <c r="B660" s="884" t="s">
        <v>1039</v>
      </c>
      <c r="C660" s="3"/>
      <c r="D660" s="3"/>
      <c r="E660" s="885"/>
      <c r="H660" s="894"/>
      <c r="I660" s="885"/>
      <c r="J660" s="885"/>
      <c r="K660" s="885"/>
      <c r="L660" s="885"/>
      <c r="M660" s="885"/>
      <c r="N660" s="887"/>
      <c r="O660" s="885"/>
      <c r="P660" s="885"/>
      <c r="Q660" s="885"/>
      <c r="R660" s="885"/>
      <c r="S660" s="885"/>
      <c r="T660" s="885"/>
      <c r="U660" s="885"/>
      <c r="V660" s="885"/>
      <c r="W660" s="885"/>
      <c r="X660" s="885"/>
      <c r="Y660" s="885"/>
      <c r="Z660" s="885"/>
    </row>
    <row r="661" ht="15.0" customHeight="1">
      <c r="A661" s="884" t="s">
        <v>2212</v>
      </c>
      <c r="B661" s="3" t="s">
        <v>1039</v>
      </c>
      <c r="C661" s="3"/>
      <c r="D661" s="3"/>
      <c r="E661" s="885"/>
      <c r="H661" s="894"/>
      <c r="I661" s="885"/>
      <c r="J661" s="885"/>
      <c r="K661" s="885"/>
      <c r="L661" s="885"/>
      <c r="M661" s="885"/>
      <c r="N661" s="887"/>
      <c r="O661" s="885"/>
      <c r="P661" s="885"/>
      <c r="Q661" s="885"/>
      <c r="R661" s="885"/>
      <c r="S661" s="885"/>
      <c r="T661" s="885"/>
      <c r="U661" s="885"/>
      <c r="V661" s="885"/>
      <c r="W661" s="885"/>
      <c r="X661" s="885"/>
      <c r="Y661" s="885"/>
      <c r="Z661" s="885"/>
    </row>
    <row r="662" ht="15.0" customHeight="1">
      <c r="A662" s="884" t="s">
        <v>2213</v>
      </c>
      <c r="B662" s="3" t="s">
        <v>1039</v>
      </c>
      <c r="C662" s="3"/>
      <c r="D662" s="3"/>
      <c r="E662" s="885"/>
      <c r="H662" s="894"/>
      <c r="I662" s="885"/>
      <c r="J662" s="885"/>
      <c r="K662" s="885"/>
      <c r="L662" s="885"/>
      <c r="M662" s="885"/>
      <c r="N662" s="887"/>
      <c r="O662" s="885"/>
      <c r="P662" s="885"/>
      <c r="Q662" s="885"/>
      <c r="R662" s="885"/>
      <c r="S662" s="885"/>
      <c r="T662" s="885"/>
      <c r="U662" s="885"/>
      <c r="V662" s="885"/>
      <c r="W662" s="885"/>
      <c r="X662" s="885"/>
      <c r="Y662" s="885"/>
      <c r="Z662" s="885"/>
    </row>
    <row r="663" ht="15.0" customHeight="1">
      <c r="A663" s="884" t="s">
        <v>2214</v>
      </c>
      <c r="B663" s="3" t="s">
        <v>1039</v>
      </c>
      <c r="C663" s="3"/>
      <c r="D663" s="3"/>
      <c r="E663" s="885"/>
      <c r="H663" s="894"/>
      <c r="I663" s="885"/>
      <c r="J663" s="885"/>
      <c r="K663" s="885"/>
      <c r="L663" s="885"/>
      <c r="M663" s="885"/>
      <c r="N663" s="887"/>
      <c r="O663" s="885"/>
      <c r="P663" s="885"/>
      <c r="Q663" s="885"/>
      <c r="R663" s="885"/>
      <c r="S663" s="885"/>
      <c r="T663" s="885"/>
      <c r="U663" s="885"/>
      <c r="V663" s="885"/>
      <c r="W663" s="885"/>
      <c r="X663" s="885"/>
      <c r="Y663" s="885"/>
      <c r="Z663" s="885"/>
    </row>
    <row r="664" ht="15.0" customHeight="1">
      <c r="A664" s="884" t="s">
        <v>2215</v>
      </c>
      <c r="B664" s="3" t="s">
        <v>1039</v>
      </c>
      <c r="C664" s="3"/>
      <c r="D664" s="3"/>
      <c r="E664" s="885"/>
      <c r="H664" s="894"/>
      <c r="I664" s="885"/>
      <c r="J664" s="885"/>
      <c r="K664" s="885"/>
      <c r="L664" s="885"/>
      <c r="M664" s="885"/>
      <c r="N664" s="887"/>
      <c r="O664" s="885"/>
      <c r="P664" s="885"/>
      <c r="Q664" s="885"/>
      <c r="R664" s="885"/>
      <c r="S664" s="885"/>
      <c r="T664" s="885"/>
      <c r="U664" s="885"/>
      <c r="V664" s="885"/>
      <c r="W664" s="885"/>
      <c r="X664" s="885"/>
      <c r="Y664" s="885"/>
      <c r="Z664" s="885"/>
    </row>
    <row r="665" ht="15.0" customHeight="1">
      <c r="A665" s="884" t="s">
        <v>2216</v>
      </c>
      <c r="B665" s="3" t="s">
        <v>1039</v>
      </c>
      <c r="C665" s="3"/>
      <c r="D665" s="3"/>
      <c r="E665" s="885"/>
      <c r="H665" s="894"/>
      <c r="I665" s="885"/>
      <c r="J665" s="885"/>
      <c r="K665" s="885"/>
      <c r="L665" s="885"/>
      <c r="M665" s="885"/>
      <c r="N665" s="887"/>
      <c r="O665" s="885"/>
      <c r="P665" s="885"/>
      <c r="Q665" s="885"/>
      <c r="R665" s="885"/>
      <c r="S665" s="885"/>
      <c r="T665" s="885"/>
      <c r="U665" s="885"/>
      <c r="V665" s="885"/>
      <c r="W665" s="885"/>
      <c r="X665" s="885"/>
      <c r="Y665" s="885"/>
      <c r="Z665" s="885"/>
    </row>
    <row r="666" ht="15.75" customHeight="1">
      <c r="A666" s="884" t="s">
        <v>2217</v>
      </c>
      <c r="B666" s="3" t="s">
        <v>1039</v>
      </c>
      <c r="C666" s="3"/>
      <c r="D666" s="3"/>
      <c r="E666" s="885"/>
      <c r="H666" s="894"/>
      <c r="I666" s="885"/>
      <c r="J666" s="885"/>
      <c r="K666" s="885"/>
      <c r="L666" s="885"/>
      <c r="M666" s="885"/>
      <c r="N666" s="887"/>
      <c r="O666" s="885"/>
      <c r="P666" s="885"/>
      <c r="Q666" s="885"/>
      <c r="R666" s="885"/>
      <c r="S666" s="885"/>
      <c r="T666" s="885"/>
      <c r="U666" s="885"/>
      <c r="V666" s="885"/>
      <c r="W666" s="885"/>
      <c r="X666" s="885"/>
      <c r="Y666" s="885"/>
      <c r="Z666" s="885"/>
    </row>
    <row r="667" ht="15.75" customHeight="1">
      <c r="A667" s="884" t="s">
        <v>2218</v>
      </c>
      <c r="B667" s="3" t="s">
        <v>1039</v>
      </c>
      <c r="C667" s="3"/>
      <c r="D667" s="3"/>
      <c r="E667" s="885"/>
      <c r="H667" s="894"/>
      <c r="I667" s="885"/>
      <c r="J667" s="885"/>
      <c r="K667" s="885"/>
      <c r="L667" s="885"/>
      <c r="M667" s="885"/>
      <c r="N667" s="887"/>
      <c r="O667" s="885"/>
      <c r="P667" s="885"/>
      <c r="Q667" s="885"/>
      <c r="R667" s="885"/>
      <c r="S667" s="885"/>
      <c r="T667" s="885"/>
      <c r="U667" s="885"/>
      <c r="V667" s="885"/>
      <c r="W667" s="885"/>
      <c r="X667" s="885"/>
      <c r="Y667" s="885"/>
      <c r="Z667" s="885"/>
    </row>
    <row r="668" ht="15.75" customHeight="1">
      <c r="A668" s="884" t="s">
        <v>2219</v>
      </c>
      <c r="B668" s="3" t="s">
        <v>1039</v>
      </c>
      <c r="C668" s="3"/>
      <c r="D668" s="3"/>
      <c r="E668" s="885"/>
      <c r="H668" s="894"/>
      <c r="I668" s="885"/>
      <c r="J668" s="885"/>
      <c r="K668" s="885"/>
      <c r="L668" s="885"/>
      <c r="M668" s="885"/>
      <c r="N668" s="887"/>
      <c r="O668" s="885"/>
      <c r="P668" s="885"/>
      <c r="Q668" s="885"/>
      <c r="R668" s="885"/>
      <c r="S668" s="885"/>
      <c r="T668" s="885"/>
      <c r="U668" s="885"/>
      <c r="V668" s="885"/>
      <c r="W668" s="885"/>
      <c r="X668" s="885"/>
      <c r="Y668" s="885"/>
      <c r="Z668" s="885"/>
    </row>
    <row r="669" ht="15.75" customHeight="1">
      <c r="A669" s="884" t="s">
        <v>2220</v>
      </c>
      <c r="B669" s="3" t="s">
        <v>1039</v>
      </c>
      <c r="C669" s="3"/>
      <c r="D669" s="3"/>
      <c r="E669" s="885"/>
      <c r="H669" s="894"/>
      <c r="I669" s="885"/>
      <c r="J669" s="885"/>
      <c r="K669" s="885"/>
      <c r="L669" s="885"/>
      <c r="M669" s="885"/>
      <c r="N669" s="887"/>
      <c r="O669" s="885"/>
      <c r="P669" s="885"/>
      <c r="Q669" s="885"/>
      <c r="R669" s="885"/>
      <c r="S669" s="885"/>
      <c r="T669" s="885"/>
      <c r="U669" s="885"/>
      <c r="V669" s="885"/>
      <c r="W669" s="885"/>
      <c r="X669" s="885"/>
      <c r="Y669" s="885"/>
      <c r="Z669" s="885"/>
    </row>
    <row r="670" ht="15.75" customHeight="1">
      <c r="A670" s="884" t="s">
        <v>2221</v>
      </c>
      <c r="B670" s="3" t="s">
        <v>1039</v>
      </c>
      <c r="C670" s="3"/>
      <c r="D670" s="3"/>
      <c r="E670" s="885"/>
      <c r="H670" s="894"/>
      <c r="I670" s="885"/>
      <c r="J670" s="885"/>
      <c r="K670" s="885"/>
      <c r="L670" s="885"/>
      <c r="M670" s="885"/>
      <c r="N670" s="887"/>
      <c r="O670" s="885"/>
      <c r="P670" s="885"/>
      <c r="Q670" s="885"/>
      <c r="R670" s="885"/>
      <c r="S670" s="885"/>
      <c r="T670" s="885"/>
      <c r="U670" s="885"/>
      <c r="V670" s="885"/>
      <c r="W670" s="885"/>
      <c r="X670" s="885"/>
      <c r="Y670" s="885"/>
      <c r="Z670" s="885"/>
    </row>
    <row r="671" ht="15.75" customHeight="1">
      <c r="A671" s="884" t="s">
        <v>2222</v>
      </c>
      <c r="B671" s="3" t="s">
        <v>1039</v>
      </c>
      <c r="C671" s="3"/>
      <c r="D671" s="3"/>
      <c r="E671" s="885"/>
      <c r="H671" s="894"/>
      <c r="I671" s="885"/>
      <c r="J671" s="885"/>
      <c r="K671" s="885"/>
      <c r="L671" s="885"/>
      <c r="M671" s="885"/>
      <c r="N671" s="887"/>
      <c r="O671" s="885"/>
      <c r="P671" s="885"/>
      <c r="Q671" s="885"/>
      <c r="R671" s="885"/>
      <c r="S671" s="885"/>
      <c r="T671" s="885"/>
      <c r="U671" s="885"/>
      <c r="V671" s="885"/>
      <c r="W671" s="885"/>
      <c r="X671" s="885"/>
      <c r="Y671" s="885"/>
      <c r="Z671" s="885"/>
    </row>
    <row r="672" ht="15.75" customHeight="1">
      <c r="A672" s="884" t="s">
        <v>2223</v>
      </c>
      <c r="B672" s="3" t="s">
        <v>1039</v>
      </c>
      <c r="C672" s="3"/>
      <c r="D672" s="3"/>
      <c r="E672" s="885"/>
      <c r="H672" s="894"/>
      <c r="I672" s="885"/>
      <c r="J672" s="885"/>
      <c r="K672" s="885"/>
      <c r="L672" s="885"/>
      <c r="M672" s="885"/>
      <c r="N672" s="887"/>
      <c r="O672" s="885"/>
      <c r="P672" s="885"/>
      <c r="Q672" s="885"/>
      <c r="R672" s="885"/>
      <c r="S672" s="885"/>
      <c r="T672" s="885"/>
      <c r="U672" s="885"/>
      <c r="V672" s="885"/>
      <c r="W672" s="885"/>
      <c r="X672" s="885"/>
      <c r="Y672" s="885"/>
      <c r="Z672" s="885"/>
    </row>
    <row r="673" ht="15.75" customHeight="1">
      <c r="A673" s="884" t="s">
        <v>2224</v>
      </c>
      <c r="B673" s="3" t="s">
        <v>1039</v>
      </c>
      <c r="C673" s="3"/>
      <c r="D673" s="3"/>
      <c r="E673" s="885"/>
      <c r="H673" s="894"/>
      <c r="I673" s="885"/>
      <c r="J673" s="885"/>
      <c r="K673" s="885"/>
      <c r="L673" s="885"/>
      <c r="M673" s="885"/>
      <c r="N673" s="887"/>
      <c r="O673" s="885"/>
      <c r="P673" s="885"/>
      <c r="Q673" s="885"/>
      <c r="R673" s="885"/>
      <c r="S673" s="885"/>
      <c r="T673" s="885"/>
      <c r="U673" s="885"/>
      <c r="V673" s="885"/>
      <c r="W673" s="885"/>
      <c r="X673" s="885"/>
      <c r="Y673" s="885"/>
      <c r="Z673" s="885"/>
    </row>
    <row r="674" ht="15.75" customHeight="1">
      <c r="A674" s="884" t="s">
        <v>2225</v>
      </c>
      <c r="B674" s="3" t="s">
        <v>1039</v>
      </c>
      <c r="C674" s="3"/>
      <c r="D674" s="3"/>
      <c r="E674" s="885"/>
      <c r="H674" s="894"/>
      <c r="I674" s="885"/>
      <c r="J674" s="885"/>
      <c r="K674" s="885"/>
      <c r="L674" s="885"/>
      <c r="M674" s="885"/>
      <c r="N674" s="887"/>
      <c r="O674" s="885"/>
      <c r="P674" s="885"/>
      <c r="Q674" s="885"/>
      <c r="R674" s="885"/>
      <c r="S674" s="885"/>
      <c r="T674" s="885"/>
      <c r="U674" s="885"/>
      <c r="V674" s="885"/>
      <c r="W674" s="885"/>
      <c r="X674" s="885"/>
      <c r="Y674" s="885"/>
      <c r="Z674" s="885"/>
    </row>
    <row r="675" ht="15.75" customHeight="1">
      <c r="A675" s="884" t="s">
        <v>2226</v>
      </c>
      <c r="B675" s="3" t="s">
        <v>1039</v>
      </c>
      <c r="C675" s="3"/>
      <c r="D675" s="3"/>
      <c r="E675" s="885"/>
      <c r="H675" s="894"/>
      <c r="J675" s="885"/>
      <c r="K675" s="885"/>
      <c r="L675" s="885"/>
      <c r="M675" s="885"/>
      <c r="N675" s="887"/>
      <c r="O675" s="885"/>
      <c r="P675" s="885"/>
      <c r="Q675" s="885"/>
      <c r="R675" s="885"/>
      <c r="S675" s="885"/>
      <c r="T675" s="885"/>
      <c r="U675" s="885"/>
      <c r="V675" s="885"/>
      <c r="W675" s="885"/>
      <c r="X675" s="885"/>
      <c r="Y675" s="885"/>
      <c r="Z675" s="885"/>
    </row>
    <row r="676" ht="15.75" customHeight="1">
      <c r="A676" s="884" t="s">
        <v>2227</v>
      </c>
      <c r="B676" s="3" t="s">
        <v>1039</v>
      </c>
      <c r="C676" s="3"/>
      <c r="D676" s="3"/>
      <c r="E676" s="885"/>
      <c r="H676" s="894"/>
      <c r="J676" s="885"/>
      <c r="K676" s="885"/>
      <c r="L676" s="885"/>
      <c r="M676" s="885"/>
      <c r="N676" s="887"/>
      <c r="O676" s="885"/>
      <c r="P676" s="885"/>
      <c r="Q676" s="885"/>
      <c r="R676" s="885"/>
      <c r="S676" s="885"/>
      <c r="T676" s="885"/>
      <c r="U676" s="885"/>
      <c r="V676" s="885"/>
      <c r="W676" s="885"/>
      <c r="X676" s="885"/>
      <c r="Y676" s="885"/>
      <c r="Z676" s="885"/>
    </row>
    <row r="677" ht="15.75" customHeight="1">
      <c r="A677" s="884" t="s">
        <v>2228</v>
      </c>
      <c r="B677" s="3" t="s">
        <v>2229</v>
      </c>
      <c r="C677" s="3"/>
      <c r="D677" s="3"/>
      <c r="E677" s="885"/>
      <c r="H677" s="894"/>
      <c r="J677" s="885"/>
      <c r="K677" s="885"/>
      <c r="L677" s="885"/>
      <c r="M677" s="885"/>
      <c r="N677" s="887"/>
      <c r="O677" s="885"/>
      <c r="P677" s="885"/>
      <c r="Q677" s="885"/>
      <c r="R677" s="885"/>
      <c r="S677" s="885"/>
      <c r="T677" s="885"/>
      <c r="U677" s="885"/>
      <c r="V677" s="885"/>
      <c r="W677" s="885"/>
      <c r="X677" s="885"/>
      <c r="Y677" s="885"/>
      <c r="Z677" s="885"/>
    </row>
    <row r="678" ht="15.75" customHeight="1">
      <c r="A678" s="884" t="s">
        <v>2230</v>
      </c>
      <c r="B678" s="3" t="s">
        <v>2231</v>
      </c>
      <c r="C678" s="3"/>
      <c r="D678" s="3"/>
      <c r="E678" s="885"/>
      <c r="H678" s="894"/>
      <c r="J678" s="885"/>
      <c r="K678" s="885"/>
      <c r="L678" s="885"/>
      <c r="M678" s="885"/>
      <c r="N678" s="887"/>
      <c r="O678" s="885"/>
      <c r="P678" s="885"/>
      <c r="Q678" s="885"/>
      <c r="R678" s="885"/>
      <c r="S678" s="885"/>
      <c r="T678" s="885"/>
      <c r="U678" s="885"/>
      <c r="V678" s="885"/>
      <c r="W678" s="885"/>
      <c r="X678" s="885"/>
      <c r="Y678" s="885"/>
      <c r="Z678" s="885"/>
    </row>
    <row r="679" ht="15.75" customHeight="1">
      <c r="A679" s="884" t="s">
        <v>2232</v>
      </c>
      <c r="B679" s="3" t="s">
        <v>2229</v>
      </c>
      <c r="C679" s="3"/>
      <c r="D679" s="3"/>
      <c r="E679" s="885"/>
      <c r="H679" s="894"/>
      <c r="J679" s="885"/>
      <c r="K679" s="885"/>
      <c r="L679" s="885"/>
      <c r="M679" s="885"/>
      <c r="N679" s="887"/>
      <c r="O679" s="885"/>
      <c r="P679" s="885"/>
      <c r="Q679" s="885"/>
      <c r="R679" s="885"/>
      <c r="S679" s="885"/>
      <c r="T679" s="885"/>
      <c r="U679" s="885"/>
      <c r="V679" s="885"/>
      <c r="W679" s="885"/>
      <c r="X679" s="885"/>
      <c r="Y679" s="885"/>
      <c r="Z679" s="885"/>
    </row>
    <row r="680" ht="15.75" customHeight="1">
      <c r="A680" s="884" t="s">
        <v>2233</v>
      </c>
      <c r="B680" s="3" t="s">
        <v>2234</v>
      </c>
      <c r="C680" s="3"/>
      <c r="D680" s="3"/>
      <c r="E680" s="885"/>
      <c r="H680" s="894"/>
      <c r="J680" s="885"/>
      <c r="K680" s="885"/>
      <c r="L680" s="885"/>
      <c r="M680" s="885"/>
      <c r="N680" s="887"/>
      <c r="O680" s="885"/>
      <c r="P680" s="885"/>
      <c r="Q680" s="885"/>
      <c r="R680" s="885"/>
      <c r="S680" s="885"/>
      <c r="T680" s="885"/>
      <c r="U680" s="885"/>
      <c r="V680" s="885"/>
      <c r="W680" s="885"/>
      <c r="X680" s="885"/>
      <c r="Y680" s="885"/>
      <c r="Z680" s="885"/>
    </row>
    <row r="681" ht="15.75" customHeight="1">
      <c r="A681" s="884" t="s">
        <v>2235</v>
      </c>
      <c r="B681" s="895" t="s">
        <v>2236</v>
      </c>
      <c r="C681" s="884"/>
      <c r="D681" s="3"/>
      <c r="E681" s="885"/>
      <c r="H681" s="894"/>
      <c r="J681" s="885"/>
      <c r="K681" s="885"/>
      <c r="L681" s="885"/>
      <c r="M681" s="885"/>
      <c r="N681" s="887"/>
      <c r="O681" s="885"/>
      <c r="P681" s="885"/>
      <c r="Q681" s="885"/>
      <c r="R681" s="885"/>
      <c r="S681" s="885"/>
      <c r="T681" s="885"/>
      <c r="U681" s="885"/>
      <c r="V681" s="885"/>
      <c r="W681" s="885"/>
      <c r="X681" s="885"/>
      <c r="Y681" s="885"/>
      <c r="Z681" s="885"/>
    </row>
    <row r="682" ht="15.75" customHeight="1">
      <c r="A682" s="3" t="s">
        <v>2237</v>
      </c>
      <c r="B682" s="895" t="s">
        <v>2236</v>
      </c>
      <c r="C682" s="884"/>
      <c r="D682" s="3"/>
      <c r="E682" s="885"/>
      <c r="H682" s="894"/>
      <c r="J682" s="885"/>
      <c r="K682" s="885"/>
      <c r="L682" s="885"/>
      <c r="M682" s="885"/>
      <c r="N682" s="887"/>
      <c r="O682" s="885"/>
      <c r="P682" s="885"/>
      <c r="Q682" s="885"/>
      <c r="R682" s="885"/>
      <c r="S682" s="885"/>
      <c r="T682" s="885"/>
      <c r="U682" s="885"/>
      <c r="V682" s="885"/>
      <c r="W682" s="885"/>
      <c r="X682" s="885"/>
      <c r="Y682" s="885"/>
      <c r="Z682" s="885"/>
    </row>
    <row r="683" ht="15.75" customHeight="1">
      <c r="A683" s="3" t="s">
        <v>2238</v>
      </c>
      <c r="B683" s="895" t="s">
        <v>2236</v>
      </c>
      <c r="C683" s="884"/>
      <c r="D683" s="3"/>
      <c r="E683" s="885"/>
      <c r="H683" s="894"/>
      <c r="J683" s="885"/>
      <c r="K683" s="885"/>
      <c r="L683" s="885"/>
      <c r="M683" s="885"/>
      <c r="N683" s="887"/>
      <c r="O683" s="885"/>
      <c r="P683" s="885"/>
      <c r="Q683" s="885"/>
      <c r="R683" s="885"/>
      <c r="S683" s="885"/>
      <c r="T683" s="885"/>
      <c r="U683" s="885"/>
      <c r="V683" s="885"/>
      <c r="W683" s="885"/>
      <c r="X683" s="885"/>
      <c r="Y683" s="885"/>
      <c r="Z683" s="885"/>
    </row>
    <row r="684" ht="15.75" customHeight="1">
      <c r="A684" s="3" t="s">
        <v>427</v>
      </c>
      <c r="B684" s="895" t="s">
        <v>2236</v>
      </c>
      <c r="C684" s="884"/>
      <c r="D684" s="3"/>
      <c r="E684" s="885"/>
      <c r="H684" s="894"/>
      <c r="J684" s="885"/>
      <c r="K684" s="885"/>
      <c r="L684" s="885"/>
      <c r="M684" s="885"/>
      <c r="N684" s="887"/>
      <c r="O684" s="885"/>
      <c r="P684" s="885"/>
      <c r="Q684" s="885"/>
      <c r="R684" s="885"/>
      <c r="S684" s="885"/>
      <c r="T684" s="885"/>
      <c r="U684" s="885"/>
      <c r="V684" s="885"/>
      <c r="W684" s="885"/>
      <c r="X684" s="885"/>
      <c r="Y684" s="885"/>
      <c r="Z684" s="885"/>
    </row>
    <row r="685" ht="15.75" customHeight="1">
      <c r="A685" s="3" t="s">
        <v>2239</v>
      </c>
      <c r="B685" s="895" t="s">
        <v>2236</v>
      </c>
      <c r="C685" s="884"/>
      <c r="D685" s="3"/>
      <c r="E685" s="885"/>
      <c r="H685" s="894"/>
      <c r="I685" s="885"/>
      <c r="J685" s="885"/>
      <c r="K685" s="885"/>
      <c r="L685" s="885"/>
      <c r="M685" s="885"/>
      <c r="N685" s="887"/>
      <c r="O685" s="885"/>
      <c r="P685" s="885"/>
      <c r="Q685" s="885"/>
      <c r="R685" s="885"/>
      <c r="S685" s="885"/>
      <c r="T685" s="885"/>
      <c r="U685" s="885"/>
      <c r="V685" s="885"/>
      <c r="W685" s="885"/>
      <c r="X685" s="885"/>
      <c r="Y685" s="885"/>
      <c r="Z685" s="885"/>
    </row>
    <row r="686" ht="15.75" customHeight="1">
      <c r="A686" s="3" t="s">
        <v>2240</v>
      </c>
      <c r="B686" s="895" t="s">
        <v>2236</v>
      </c>
      <c r="C686" s="884"/>
      <c r="D686" s="3"/>
      <c r="E686" s="885"/>
      <c r="H686" s="894"/>
      <c r="I686" s="885"/>
      <c r="J686" s="885"/>
      <c r="K686" s="885"/>
      <c r="L686" s="885"/>
      <c r="M686" s="885"/>
      <c r="N686" s="887"/>
      <c r="O686" s="885"/>
      <c r="P686" s="885"/>
      <c r="Q686" s="885"/>
      <c r="R686" s="885"/>
      <c r="S686" s="885"/>
      <c r="T686" s="885"/>
      <c r="U686" s="885"/>
      <c r="V686" s="885"/>
      <c r="W686" s="885"/>
      <c r="X686" s="885"/>
      <c r="Y686" s="885"/>
      <c r="Z686" s="885"/>
    </row>
    <row r="687" ht="15.75" customHeight="1">
      <c r="A687" s="3" t="s">
        <v>2241</v>
      </c>
      <c r="B687" s="895" t="s">
        <v>2236</v>
      </c>
      <c r="C687" s="884"/>
      <c r="D687" s="3"/>
      <c r="E687" s="885"/>
      <c r="H687" s="894"/>
      <c r="I687" s="885"/>
      <c r="J687" s="885"/>
      <c r="K687" s="885"/>
      <c r="L687" s="885"/>
      <c r="M687" s="885"/>
      <c r="N687" s="887"/>
      <c r="O687" s="885"/>
      <c r="P687" s="885"/>
      <c r="Q687" s="885"/>
      <c r="R687" s="885"/>
      <c r="S687" s="885"/>
      <c r="T687" s="885"/>
      <c r="U687" s="885"/>
      <c r="V687" s="885"/>
      <c r="W687" s="885"/>
      <c r="X687" s="885"/>
      <c r="Y687" s="885"/>
      <c r="Z687" s="885"/>
    </row>
    <row r="688" ht="15.75" customHeight="1">
      <c r="A688" s="3" t="s">
        <v>2242</v>
      </c>
      <c r="B688" s="895" t="s">
        <v>2236</v>
      </c>
      <c r="C688" s="884"/>
      <c r="D688" s="3"/>
      <c r="E688" s="885"/>
      <c r="H688" s="894"/>
      <c r="I688" s="885"/>
      <c r="J688" s="885"/>
      <c r="K688" s="885"/>
      <c r="L688" s="885"/>
      <c r="M688" s="885"/>
      <c r="N688" s="887"/>
      <c r="O688" s="885"/>
      <c r="P688" s="885"/>
      <c r="Q688" s="885"/>
      <c r="R688" s="885"/>
      <c r="S688" s="885"/>
      <c r="T688" s="885"/>
      <c r="U688" s="885"/>
      <c r="V688" s="885"/>
      <c r="W688" s="885"/>
      <c r="X688" s="885"/>
      <c r="Y688" s="885"/>
      <c r="Z688" s="885"/>
    </row>
    <row r="689" ht="15.75" customHeight="1">
      <c r="A689" s="3" t="s">
        <v>745</v>
      </c>
      <c r="B689" s="895" t="s">
        <v>2236</v>
      </c>
      <c r="C689" s="884"/>
      <c r="D689" s="3"/>
      <c r="E689" s="885"/>
      <c r="H689" s="894"/>
      <c r="I689" s="885"/>
      <c r="J689" s="885"/>
      <c r="K689" s="885"/>
      <c r="L689" s="885"/>
      <c r="M689" s="885"/>
      <c r="N689" s="887"/>
      <c r="O689" s="885"/>
      <c r="P689" s="885"/>
      <c r="Q689" s="885"/>
      <c r="R689" s="885"/>
      <c r="S689" s="885"/>
      <c r="T689" s="885"/>
      <c r="U689" s="885"/>
      <c r="V689" s="885"/>
      <c r="W689" s="885"/>
      <c r="X689" s="885"/>
      <c r="Y689" s="885"/>
      <c r="Z689" s="885"/>
    </row>
    <row r="690" ht="15.75" customHeight="1">
      <c r="A690" s="3" t="s">
        <v>2243</v>
      </c>
      <c r="B690" s="895" t="s">
        <v>2236</v>
      </c>
      <c r="C690" s="884"/>
      <c r="D690" s="3"/>
      <c r="E690" s="885"/>
      <c r="F690" s="884" t="s">
        <v>1327</v>
      </c>
      <c r="G690" s="884" t="s">
        <v>1708</v>
      </c>
      <c r="H690" s="930">
        <v>15.0</v>
      </c>
      <c r="I690" s="885"/>
      <c r="J690" s="885"/>
      <c r="K690" s="885"/>
      <c r="L690" s="885"/>
      <c r="M690" s="885"/>
      <c r="N690" s="887"/>
      <c r="O690" s="885"/>
      <c r="P690" s="885"/>
      <c r="Q690" s="885"/>
      <c r="R690" s="885"/>
      <c r="S690" s="885"/>
      <c r="T690" s="885"/>
      <c r="U690" s="885"/>
      <c r="V690" s="885"/>
      <c r="W690" s="885"/>
      <c r="X690" s="885"/>
      <c r="Y690" s="885"/>
      <c r="Z690" s="885"/>
    </row>
    <row r="691" ht="15.75" customHeight="1">
      <c r="A691" s="3" t="s">
        <v>2244</v>
      </c>
      <c r="B691" s="895" t="s">
        <v>2236</v>
      </c>
      <c r="C691" s="884"/>
      <c r="D691" s="3"/>
      <c r="E691" s="885"/>
      <c r="F691" s="884" t="s">
        <v>957</v>
      </c>
      <c r="G691" s="884" t="s">
        <v>1709</v>
      </c>
      <c r="H691" s="930">
        <v>14.0</v>
      </c>
      <c r="I691" s="885"/>
      <c r="J691" s="885"/>
      <c r="K691" s="885"/>
      <c r="L691" s="885"/>
      <c r="M691" s="885"/>
      <c r="N691" s="887"/>
      <c r="O691" s="885"/>
      <c r="P691" s="885"/>
      <c r="Q691" s="885"/>
      <c r="R691" s="885"/>
      <c r="S691" s="885"/>
      <c r="T691" s="885"/>
      <c r="U691" s="885"/>
      <c r="V691" s="885"/>
      <c r="W691" s="885"/>
      <c r="X691" s="885"/>
      <c r="Y691" s="885"/>
      <c r="Z691" s="885"/>
    </row>
    <row r="692" ht="15.75" customHeight="1">
      <c r="A692" s="3" t="s">
        <v>2245</v>
      </c>
      <c r="B692" s="895" t="s">
        <v>2236</v>
      </c>
      <c r="C692" s="884"/>
      <c r="D692" s="3"/>
      <c r="E692" s="885"/>
      <c r="F692" s="884" t="s">
        <v>703</v>
      </c>
      <c r="G692" s="3" t="s">
        <v>1712</v>
      </c>
      <c r="H692" s="930"/>
      <c r="I692" s="885"/>
      <c r="J692" s="885"/>
      <c r="K692" s="885"/>
      <c r="L692" s="885"/>
      <c r="M692" s="885"/>
      <c r="N692" s="887"/>
      <c r="O692" s="885"/>
      <c r="P692" s="885"/>
      <c r="Q692" s="885"/>
      <c r="R692" s="885"/>
      <c r="S692" s="885"/>
      <c r="T692" s="885"/>
      <c r="U692" s="885"/>
      <c r="V692" s="885"/>
      <c r="W692" s="885"/>
      <c r="X692" s="885"/>
      <c r="Y692" s="885"/>
      <c r="Z692" s="885"/>
    </row>
    <row r="693" ht="15.75" customHeight="1">
      <c r="A693" s="3" t="s">
        <v>277</v>
      </c>
      <c r="B693" s="895" t="s">
        <v>2236</v>
      </c>
      <c r="C693" s="884"/>
      <c r="D693" s="3"/>
      <c r="E693" s="885"/>
      <c r="F693" s="3" t="s">
        <v>663</v>
      </c>
      <c r="G693" s="3" t="s">
        <v>1710</v>
      </c>
      <c r="H693" s="930">
        <v>13.0</v>
      </c>
      <c r="I693" s="885"/>
      <c r="J693" s="885"/>
      <c r="K693" s="885"/>
      <c r="L693" s="885"/>
      <c r="M693" s="885"/>
      <c r="N693" s="887"/>
      <c r="O693" s="885"/>
      <c r="P693" s="885"/>
      <c r="Q693" s="885"/>
      <c r="R693" s="885"/>
      <c r="S693" s="885"/>
      <c r="T693" s="885"/>
      <c r="U693" s="885"/>
      <c r="V693" s="885"/>
      <c r="W693" s="885"/>
      <c r="X693" s="885"/>
      <c r="Y693" s="885"/>
      <c r="Z693" s="885"/>
    </row>
    <row r="694" ht="15.75" customHeight="1">
      <c r="A694" s="884" t="s">
        <v>2246</v>
      </c>
      <c r="B694" s="895" t="s">
        <v>2236</v>
      </c>
      <c r="C694" s="884"/>
      <c r="D694" s="3"/>
      <c r="E694" s="885"/>
      <c r="F694" s="3" t="s">
        <v>1710</v>
      </c>
      <c r="G694" s="884" t="s">
        <v>1710</v>
      </c>
      <c r="H694" s="930">
        <v>13.0</v>
      </c>
      <c r="I694" s="885"/>
      <c r="J694" s="885"/>
      <c r="K694" s="885"/>
      <c r="L694" s="885"/>
      <c r="M694" s="885"/>
      <c r="N694" s="887"/>
      <c r="O694" s="885"/>
      <c r="P694" s="885"/>
      <c r="Q694" s="885"/>
      <c r="R694" s="885"/>
      <c r="S694" s="885"/>
      <c r="T694" s="885"/>
      <c r="U694" s="885"/>
      <c r="V694" s="885"/>
      <c r="W694" s="885"/>
      <c r="X694" s="885"/>
      <c r="Y694" s="885"/>
      <c r="Z694" s="885"/>
    </row>
    <row r="695" ht="15.75" customHeight="1">
      <c r="A695" s="884" t="s">
        <v>2247</v>
      </c>
      <c r="B695" s="895" t="s">
        <v>2236</v>
      </c>
      <c r="C695" s="884"/>
      <c r="D695" s="3"/>
      <c r="E695" s="885"/>
      <c r="F695" s="884" t="s">
        <v>188</v>
      </c>
      <c r="G695" s="884" t="s">
        <v>1710</v>
      </c>
      <c r="H695" s="930">
        <v>13.0</v>
      </c>
      <c r="I695" s="885"/>
      <c r="J695" s="885"/>
      <c r="K695" s="885"/>
      <c r="L695" s="885"/>
      <c r="M695" s="885"/>
      <c r="N695" s="887"/>
      <c r="O695" s="885"/>
      <c r="P695" s="885"/>
      <c r="Q695" s="885"/>
      <c r="R695" s="885"/>
      <c r="S695" s="885"/>
      <c r="T695" s="885"/>
      <c r="U695" s="885"/>
      <c r="V695" s="885"/>
      <c r="W695" s="885"/>
      <c r="X695" s="885"/>
      <c r="Y695" s="885"/>
      <c r="Z695" s="885"/>
    </row>
    <row r="696" ht="15.75" customHeight="1">
      <c r="A696" s="884" t="s">
        <v>2248</v>
      </c>
      <c r="B696" s="895" t="s">
        <v>2236</v>
      </c>
      <c r="C696" s="884"/>
      <c r="D696" s="3"/>
      <c r="E696" s="885"/>
      <c r="F696" s="884" t="s">
        <v>720</v>
      </c>
      <c r="G696" s="884" t="s">
        <v>251</v>
      </c>
      <c r="H696" s="930">
        <v>11.0</v>
      </c>
      <c r="I696" s="885"/>
      <c r="J696" s="885"/>
      <c r="K696" s="885"/>
      <c r="L696" s="885"/>
      <c r="M696" s="885"/>
      <c r="N696" s="887"/>
      <c r="O696" s="885"/>
      <c r="P696" s="885"/>
      <c r="Q696" s="885"/>
      <c r="R696" s="885"/>
      <c r="S696" s="885"/>
      <c r="T696" s="885"/>
      <c r="U696" s="885"/>
      <c r="V696" s="885"/>
      <c r="W696" s="885"/>
      <c r="X696" s="885"/>
      <c r="Y696" s="885"/>
      <c r="Z696" s="885"/>
    </row>
    <row r="697" ht="15.75" customHeight="1">
      <c r="A697" s="884" t="s">
        <v>2249</v>
      </c>
      <c r="B697" s="895" t="s">
        <v>2236</v>
      </c>
      <c r="C697" s="884"/>
      <c r="D697" s="3"/>
      <c r="E697" s="885"/>
      <c r="F697" s="884" t="s">
        <v>656</v>
      </c>
      <c r="G697" s="884" t="s">
        <v>190</v>
      </c>
      <c r="H697" s="930">
        <v>11.0</v>
      </c>
      <c r="I697" s="885"/>
      <c r="J697" s="885"/>
      <c r="K697" s="885"/>
      <c r="L697" s="885"/>
      <c r="M697" s="885"/>
      <c r="N697" s="887"/>
      <c r="O697" s="885"/>
      <c r="P697" s="885"/>
      <c r="Q697" s="885"/>
      <c r="R697" s="885"/>
      <c r="S697" s="885"/>
      <c r="T697" s="885"/>
      <c r="U697" s="885"/>
      <c r="V697" s="885"/>
      <c r="W697" s="885"/>
      <c r="X697" s="885"/>
      <c r="Y697" s="885"/>
      <c r="Z697" s="885"/>
    </row>
    <row r="698" ht="15.75" customHeight="1">
      <c r="A698" s="884" t="s">
        <v>2250</v>
      </c>
      <c r="B698" s="895" t="s">
        <v>2236</v>
      </c>
      <c r="C698" s="884"/>
      <c r="D698" s="3"/>
      <c r="E698" s="885"/>
      <c r="F698" s="884" t="s">
        <v>668</v>
      </c>
      <c r="G698" s="884" t="s">
        <v>190</v>
      </c>
      <c r="H698" s="930">
        <v>11.0</v>
      </c>
      <c r="I698" s="885"/>
      <c r="J698" s="885"/>
      <c r="K698" s="885"/>
      <c r="L698" s="885"/>
      <c r="M698" s="885"/>
      <c r="N698" s="887"/>
      <c r="O698" s="885"/>
      <c r="P698" s="885"/>
      <c r="Q698" s="885"/>
      <c r="R698" s="885"/>
      <c r="S698" s="885"/>
      <c r="T698" s="885"/>
      <c r="U698" s="885"/>
      <c r="V698" s="885"/>
      <c r="W698" s="885"/>
      <c r="X698" s="885"/>
      <c r="Y698" s="885"/>
      <c r="Z698" s="885"/>
    </row>
    <row r="699" ht="15.75" customHeight="1">
      <c r="A699" s="884" t="s">
        <v>2251</v>
      </c>
      <c r="B699" s="895" t="s">
        <v>2236</v>
      </c>
      <c r="C699" s="884"/>
      <c r="D699" s="3"/>
      <c r="E699" s="885"/>
      <c r="F699" s="884" t="s">
        <v>963</v>
      </c>
      <c r="G699" s="884" t="s">
        <v>1713</v>
      </c>
      <c r="H699" s="930">
        <v>13.0</v>
      </c>
      <c r="I699" s="885"/>
      <c r="J699" s="885"/>
      <c r="K699" s="885"/>
      <c r="L699" s="885"/>
      <c r="M699" s="885"/>
      <c r="N699" s="887"/>
      <c r="O699" s="885"/>
      <c r="P699" s="885"/>
      <c r="Q699" s="885"/>
      <c r="R699" s="885"/>
      <c r="S699" s="885"/>
      <c r="T699" s="885"/>
      <c r="U699" s="885"/>
      <c r="V699" s="885"/>
      <c r="W699" s="885"/>
      <c r="X699" s="885"/>
      <c r="Y699" s="885"/>
      <c r="Z699" s="885"/>
    </row>
    <row r="700" ht="15.75" customHeight="1">
      <c r="A700" s="884" t="s">
        <v>2252</v>
      </c>
      <c r="B700" s="895" t="s">
        <v>2236</v>
      </c>
      <c r="C700" s="884"/>
      <c r="D700" s="3"/>
      <c r="E700" s="885"/>
      <c r="H700" s="894"/>
      <c r="I700" s="885"/>
      <c r="J700" s="885"/>
      <c r="K700" s="885"/>
      <c r="L700" s="885"/>
      <c r="M700" s="885"/>
      <c r="N700" s="887"/>
      <c r="O700" s="885"/>
      <c r="P700" s="885"/>
      <c r="Q700" s="885"/>
      <c r="R700" s="885"/>
      <c r="S700" s="885"/>
      <c r="T700" s="885"/>
      <c r="U700" s="885"/>
      <c r="V700" s="885"/>
      <c r="W700" s="885"/>
      <c r="X700" s="885"/>
      <c r="Y700" s="885"/>
      <c r="Z700" s="885"/>
    </row>
    <row r="701" ht="15.75" customHeight="1">
      <c r="A701" s="884" t="s">
        <v>2253</v>
      </c>
      <c r="B701" s="895" t="s">
        <v>2236</v>
      </c>
      <c r="C701" s="884"/>
      <c r="D701" s="3"/>
      <c r="E701" s="885"/>
      <c r="F701" s="3"/>
      <c r="G701" s="947" t="s">
        <v>2254</v>
      </c>
      <c r="H701" s="886"/>
      <c r="I701" s="885"/>
      <c r="J701" s="885"/>
      <c r="K701" s="885"/>
      <c r="L701" s="885"/>
      <c r="M701" s="885"/>
      <c r="N701" s="887"/>
      <c r="O701" s="885"/>
      <c r="P701" s="885"/>
      <c r="Q701" s="885"/>
      <c r="R701" s="885"/>
      <c r="S701" s="885"/>
      <c r="T701" s="885"/>
      <c r="U701" s="885"/>
      <c r="V701" s="885"/>
      <c r="W701" s="885"/>
      <c r="X701" s="885"/>
      <c r="Y701" s="885"/>
      <c r="Z701" s="885"/>
    </row>
    <row r="702" ht="15.75" customHeight="1">
      <c r="A702" s="3" t="s">
        <v>2255</v>
      </c>
      <c r="B702" s="895" t="s">
        <v>2236</v>
      </c>
      <c r="C702" s="884"/>
      <c r="D702" s="3"/>
      <c r="E702" s="885"/>
      <c r="F702" s="883" t="s">
        <v>698</v>
      </c>
      <c r="G702" s="3"/>
      <c r="H702" s="930">
        <v>10.0</v>
      </c>
      <c r="I702" s="885"/>
      <c r="J702" s="885"/>
      <c r="K702" s="885"/>
      <c r="L702" s="885"/>
      <c r="M702" s="885"/>
      <c r="N702" s="887"/>
      <c r="O702" s="885"/>
      <c r="P702" s="885"/>
      <c r="Q702" s="885"/>
      <c r="R702" s="885"/>
      <c r="S702" s="885"/>
      <c r="T702" s="885"/>
      <c r="U702" s="885"/>
      <c r="V702" s="885"/>
      <c r="W702" s="885"/>
      <c r="X702" s="885"/>
      <c r="Y702" s="885"/>
      <c r="Z702" s="885"/>
    </row>
    <row r="703" ht="15.75" customHeight="1">
      <c r="A703" s="3" t="s">
        <v>2256</v>
      </c>
      <c r="B703" s="895" t="s">
        <v>2236</v>
      </c>
      <c r="C703" s="884"/>
      <c r="D703" s="3"/>
      <c r="E703" s="885"/>
      <c r="F703" s="725" t="s">
        <v>860</v>
      </c>
      <c r="H703" s="897">
        <v>15.0</v>
      </c>
      <c r="I703" s="885"/>
      <c r="J703" s="885"/>
      <c r="K703" s="885"/>
      <c r="L703" s="885"/>
      <c r="M703" s="885"/>
      <c r="N703" s="887"/>
      <c r="O703" s="885"/>
      <c r="P703" s="885"/>
      <c r="Q703" s="885"/>
      <c r="R703" s="885"/>
      <c r="S703" s="885"/>
      <c r="T703" s="885"/>
      <c r="U703" s="885"/>
      <c r="V703" s="885"/>
      <c r="W703" s="885"/>
      <c r="X703" s="885"/>
      <c r="Y703" s="885"/>
      <c r="Z703" s="885"/>
    </row>
    <row r="704" ht="15.75" customHeight="1">
      <c r="A704" s="3" t="s">
        <v>2257</v>
      </c>
      <c r="B704" s="895" t="s">
        <v>2236</v>
      </c>
      <c r="C704" s="884"/>
      <c r="D704" s="3"/>
      <c r="E704" s="885"/>
      <c r="F704" s="884" t="s">
        <v>1700</v>
      </c>
      <c r="G704" s="3"/>
      <c r="H704" s="930">
        <v>3.0</v>
      </c>
      <c r="I704" s="885"/>
      <c r="J704" s="885"/>
      <c r="K704" s="885"/>
      <c r="L704" s="885"/>
      <c r="M704" s="885"/>
      <c r="N704" s="887"/>
      <c r="O704" s="885"/>
      <c r="P704" s="885"/>
      <c r="Q704" s="885"/>
      <c r="R704" s="885"/>
      <c r="S704" s="885"/>
      <c r="T704" s="885"/>
      <c r="U704" s="885"/>
      <c r="V704" s="885"/>
      <c r="W704" s="885"/>
      <c r="X704" s="885"/>
      <c r="Y704" s="885"/>
      <c r="Z704" s="885"/>
    </row>
    <row r="705" ht="15.75" customHeight="1">
      <c r="A705" s="3" t="s">
        <v>2258</v>
      </c>
      <c r="B705" s="895" t="s">
        <v>2236</v>
      </c>
      <c r="C705" s="884"/>
      <c r="D705" s="3"/>
      <c r="E705" s="885"/>
      <c r="F705" s="915" t="s">
        <v>784</v>
      </c>
      <c r="G705" s="3"/>
      <c r="H705" s="930">
        <v>11.0</v>
      </c>
      <c r="I705" s="885"/>
      <c r="J705" s="885"/>
      <c r="K705" s="885"/>
      <c r="L705" s="885"/>
      <c r="M705" s="885"/>
      <c r="N705" s="887"/>
      <c r="O705" s="885"/>
      <c r="P705" s="885"/>
      <c r="Q705" s="885"/>
      <c r="R705" s="885"/>
      <c r="S705" s="885"/>
      <c r="T705" s="885"/>
      <c r="U705" s="885"/>
      <c r="V705" s="885"/>
      <c r="W705" s="885"/>
      <c r="X705" s="885"/>
      <c r="Y705" s="885"/>
      <c r="Z705" s="885"/>
    </row>
    <row r="706" ht="15.75" customHeight="1">
      <c r="A706" s="3" t="s">
        <v>2259</v>
      </c>
      <c r="B706" s="895" t="s">
        <v>2236</v>
      </c>
      <c r="C706" s="884"/>
      <c r="D706" s="3"/>
      <c r="E706" s="885"/>
      <c r="F706" s="46" t="s">
        <v>1147</v>
      </c>
      <c r="H706" s="725">
        <v>15.0</v>
      </c>
      <c r="I706" s="885"/>
      <c r="J706" s="885"/>
      <c r="K706" s="885"/>
      <c r="L706" s="885"/>
      <c r="M706" s="885"/>
      <c r="N706" s="887"/>
      <c r="O706" s="885"/>
      <c r="P706" s="885"/>
      <c r="Q706" s="885"/>
      <c r="R706" s="885"/>
      <c r="S706" s="885"/>
      <c r="T706" s="885"/>
      <c r="U706" s="885"/>
      <c r="V706" s="885"/>
      <c r="W706" s="885"/>
      <c r="X706" s="885"/>
      <c r="Y706" s="885"/>
      <c r="Z706" s="885"/>
    </row>
    <row r="707" ht="15.75" customHeight="1">
      <c r="A707" s="3" t="s">
        <v>2260</v>
      </c>
      <c r="B707" s="895" t="s">
        <v>2236</v>
      </c>
      <c r="C707" s="884"/>
      <c r="D707" s="3"/>
      <c r="E707" s="885"/>
      <c r="F707" s="884" t="s">
        <v>755</v>
      </c>
      <c r="G707" s="884" t="s">
        <v>1705</v>
      </c>
      <c r="H707" s="930">
        <v>8.0</v>
      </c>
      <c r="I707" s="885"/>
      <c r="J707" s="885"/>
      <c r="K707" s="885"/>
      <c r="L707" s="885"/>
      <c r="M707" s="885"/>
      <c r="N707" s="887"/>
      <c r="O707" s="885"/>
      <c r="P707" s="885"/>
      <c r="Q707" s="885"/>
      <c r="R707" s="885"/>
      <c r="S707" s="885"/>
      <c r="T707" s="885"/>
      <c r="U707" s="885"/>
      <c r="V707" s="885"/>
      <c r="W707" s="885"/>
      <c r="X707" s="885"/>
      <c r="Y707" s="885"/>
      <c r="Z707" s="885"/>
    </row>
    <row r="708" ht="15.75" customHeight="1">
      <c r="A708" s="3" t="s">
        <v>2261</v>
      </c>
      <c r="B708" s="895" t="s">
        <v>2236</v>
      </c>
      <c r="C708" s="884"/>
      <c r="D708" s="3"/>
      <c r="E708" s="885"/>
      <c r="F708" s="884"/>
      <c r="G708" s="884"/>
      <c r="H708" s="930"/>
      <c r="I708" s="885"/>
      <c r="J708" s="885"/>
      <c r="K708" s="885"/>
      <c r="L708" s="885"/>
      <c r="M708" s="885"/>
      <c r="N708" s="887"/>
      <c r="O708" s="885"/>
      <c r="P708" s="885"/>
      <c r="Q708" s="885"/>
      <c r="R708" s="885"/>
      <c r="S708" s="885"/>
      <c r="T708" s="885"/>
      <c r="U708" s="885"/>
      <c r="V708" s="885"/>
      <c r="W708" s="885"/>
      <c r="X708" s="885"/>
      <c r="Y708" s="885"/>
      <c r="Z708" s="885"/>
    </row>
    <row r="709" ht="15.75" customHeight="1">
      <c r="A709" s="3" t="s">
        <v>2262</v>
      </c>
      <c r="B709" s="895" t="s">
        <v>2236</v>
      </c>
      <c r="C709" s="884"/>
      <c r="D709" s="3"/>
      <c r="E709" s="885"/>
      <c r="F709" s="884" t="s">
        <v>1369</v>
      </c>
      <c r="G709" s="884" t="s">
        <v>1706</v>
      </c>
      <c r="H709" s="930">
        <v>6.75</v>
      </c>
      <c r="I709" s="885"/>
      <c r="J709" s="885"/>
      <c r="K709" s="885"/>
      <c r="L709" s="885"/>
      <c r="M709" s="885"/>
      <c r="N709" s="887"/>
      <c r="O709" s="885"/>
      <c r="P709" s="885"/>
      <c r="Q709" s="885"/>
      <c r="R709" s="885"/>
      <c r="S709" s="885"/>
      <c r="T709" s="885"/>
      <c r="U709" s="885"/>
      <c r="V709" s="885"/>
      <c r="W709" s="885"/>
      <c r="X709" s="885"/>
      <c r="Y709" s="885"/>
      <c r="Z709" s="885"/>
    </row>
    <row r="710" ht="15.75" customHeight="1">
      <c r="A710" s="3" t="s">
        <v>2263</v>
      </c>
      <c r="B710" s="895" t="s">
        <v>2236</v>
      </c>
      <c r="C710" s="884"/>
      <c r="D710" s="3"/>
      <c r="E710" s="885"/>
      <c r="F710" s="884" t="s">
        <v>809</v>
      </c>
      <c r="G710" s="884" t="s">
        <v>1739</v>
      </c>
      <c r="H710" s="930">
        <v>6.25</v>
      </c>
      <c r="I710" s="885"/>
      <c r="J710" s="885"/>
      <c r="K710" s="885"/>
      <c r="L710" s="885"/>
      <c r="M710" s="885"/>
      <c r="N710" s="887"/>
      <c r="O710" s="885"/>
      <c r="P710" s="885"/>
      <c r="Q710" s="885"/>
      <c r="R710" s="885"/>
      <c r="S710" s="885"/>
      <c r="T710" s="885"/>
      <c r="U710" s="885"/>
      <c r="V710" s="885"/>
      <c r="W710" s="885"/>
      <c r="X710" s="885"/>
      <c r="Y710" s="885"/>
      <c r="Z710" s="885"/>
    </row>
    <row r="711" ht="15.75" customHeight="1">
      <c r="A711" s="3" t="s">
        <v>2264</v>
      </c>
      <c r="B711" s="895" t="s">
        <v>2236</v>
      </c>
      <c r="C711" s="884"/>
      <c r="D711" s="3"/>
      <c r="E711" s="885"/>
      <c r="F711" s="884" t="s">
        <v>1327</v>
      </c>
      <c r="G711" s="884" t="s">
        <v>1708</v>
      </c>
      <c r="H711" s="930">
        <v>5.25</v>
      </c>
      <c r="I711" s="885"/>
      <c r="J711" s="885"/>
      <c r="K711" s="885"/>
      <c r="L711" s="885"/>
      <c r="M711" s="885"/>
      <c r="N711" s="887"/>
      <c r="O711" s="885"/>
      <c r="P711" s="885"/>
      <c r="Q711" s="885"/>
      <c r="R711" s="885"/>
      <c r="S711" s="885"/>
      <c r="T711" s="885"/>
      <c r="U711" s="885"/>
      <c r="V711" s="885"/>
      <c r="W711" s="885"/>
      <c r="X711" s="885"/>
      <c r="Y711" s="885"/>
      <c r="Z711" s="885"/>
    </row>
    <row r="712" ht="15.75" customHeight="1">
      <c r="A712" s="3" t="s">
        <v>2265</v>
      </c>
      <c r="B712" s="895" t="s">
        <v>2236</v>
      </c>
      <c r="C712" s="884"/>
      <c r="D712" s="3"/>
      <c r="E712" s="885"/>
      <c r="F712" s="884" t="s">
        <v>957</v>
      </c>
      <c r="G712" s="884" t="s">
        <v>1709</v>
      </c>
      <c r="H712" s="930">
        <v>7.0</v>
      </c>
      <c r="I712" s="885"/>
      <c r="J712" s="885"/>
      <c r="K712" s="885"/>
      <c r="L712" s="885"/>
      <c r="M712" s="885"/>
      <c r="N712" s="887"/>
      <c r="O712" s="885"/>
      <c r="P712" s="885"/>
      <c r="Q712" s="885"/>
      <c r="R712" s="885"/>
      <c r="S712" s="885"/>
      <c r="T712" s="885"/>
      <c r="U712" s="885"/>
      <c r="V712" s="885"/>
      <c r="W712" s="885"/>
      <c r="X712" s="885"/>
      <c r="Y712" s="885"/>
      <c r="Z712" s="885"/>
    </row>
    <row r="713" ht="15.75" customHeight="1">
      <c r="A713" s="3" t="s">
        <v>2266</v>
      </c>
      <c r="B713" s="895" t="s">
        <v>2236</v>
      </c>
      <c r="C713" s="884"/>
      <c r="D713" s="3"/>
      <c r="E713" s="885"/>
      <c r="F713" s="884"/>
      <c r="G713" s="3"/>
      <c r="H713" s="930"/>
      <c r="I713" s="885"/>
      <c r="J713" s="885"/>
      <c r="K713" s="885"/>
      <c r="L713" s="885"/>
      <c r="M713" s="885"/>
      <c r="N713" s="887"/>
      <c r="O713" s="885"/>
      <c r="P713" s="885"/>
      <c r="Q713" s="885"/>
      <c r="R713" s="885"/>
      <c r="S713" s="885"/>
      <c r="T713" s="885"/>
      <c r="U713" s="885"/>
      <c r="V713" s="885"/>
      <c r="W713" s="885"/>
      <c r="X713" s="885"/>
      <c r="Y713" s="885"/>
      <c r="Z713" s="885"/>
    </row>
    <row r="714" ht="15.75" customHeight="1">
      <c r="A714" s="3" t="s">
        <v>2267</v>
      </c>
      <c r="B714" s="895" t="s">
        <v>2236</v>
      </c>
      <c r="C714" s="884"/>
      <c r="D714" s="3"/>
      <c r="E714" s="885"/>
      <c r="F714" s="884" t="s">
        <v>1710</v>
      </c>
      <c r="G714" s="3"/>
      <c r="H714" s="930">
        <v>7.25</v>
      </c>
      <c r="I714" s="885"/>
      <c r="J714" s="885"/>
      <c r="K714" s="885"/>
      <c r="L714" s="885"/>
      <c r="M714" s="885"/>
      <c r="N714" s="887"/>
      <c r="O714" s="885"/>
      <c r="P714" s="885"/>
      <c r="Q714" s="885"/>
      <c r="R714" s="885"/>
      <c r="S714" s="885"/>
      <c r="T714" s="885"/>
      <c r="U714" s="885"/>
      <c r="V714" s="885"/>
      <c r="W714" s="885"/>
      <c r="X714" s="885"/>
      <c r="Y714" s="885"/>
      <c r="Z714" s="885"/>
    </row>
    <row r="715" ht="15.75" customHeight="1">
      <c r="A715" s="3" t="s">
        <v>2268</v>
      </c>
      <c r="B715" s="895" t="s">
        <v>2236</v>
      </c>
      <c r="C715" s="884"/>
      <c r="D715" s="3"/>
      <c r="E715" s="885"/>
      <c r="F715" s="3" t="s">
        <v>663</v>
      </c>
      <c r="G715" s="3" t="s">
        <v>1710</v>
      </c>
      <c r="H715" s="930">
        <v>7.25</v>
      </c>
      <c r="I715" s="885"/>
      <c r="J715" s="885"/>
      <c r="K715" s="885"/>
      <c r="L715" s="885"/>
      <c r="M715" s="885"/>
      <c r="N715" s="887"/>
      <c r="O715" s="885"/>
      <c r="P715" s="885"/>
      <c r="Q715" s="885"/>
      <c r="R715" s="885"/>
      <c r="S715" s="885"/>
      <c r="T715" s="885"/>
      <c r="U715" s="885"/>
      <c r="V715" s="885"/>
      <c r="W715" s="885"/>
      <c r="X715" s="885"/>
      <c r="Y715" s="885"/>
      <c r="Z715" s="885"/>
    </row>
    <row r="716" ht="15.75" customHeight="1">
      <c r="A716" s="3" t="s">
        <v>2269</v>
      </c>
      <c r="B716" s="895" t="s">
        <v>2236</v>
      </c>
      <c r="C716" s="884"/>
      <c r="D716" s="3"/>
      <c r="E716" s="885"/>
      <c r="F716" s="884" t="s">
        <v>188</v>
      </c>
      <c r="G716" s="884" t="s">
        <v>1710</v>
      </c>
      <c r="H716" s="930">
        <v>7.25</v>
      </c>
      <c r="I716" s="885"/>
      <c r="J716" s="885"/>
      <c r="K716" s="885"/>
      <c r="L716" s="885"/>
      <c r="M716" s="885"/>
      <c r="N716" s="887"/>
      <c r="O716" s="885"/>
      <c r="P716" s="885"/>
      <c r="Q716" s="885"/>
      <c r="R716" s="885"/>
      <c r="S716" s="885"/>
      <c r="T716" s="885"/>
      <c r="U716" s="885"/>
      <c r="V716" s="885"/>
      <c r="W716" s="885"/>
      <c r="X716" s="885"/>
      <c r="Y716" s="885"/>
      <c r="Z716" s="885"/>
    </row>
    <row r="717" ht="15.75" customHeight="1">
      <c r="A717" s="3" t="s">
        <v>2270</v>
      </c>
      <c r="B717" s="895" t="s">
        <v>2236</v>
      </c>
      <c r="C717" s="884"/>
      <c r="D717" s="3"/>
      <c r="E717" s="885"/>
      <c r="F717" s="884"/>
      <c r="G717" s="884"/>
      <c r="H717" s="930"/>
      <c r="I717" s="885"/>
      <c r="J717" s="885"/>
      <c r="K717" s="885"/>
      <c r="L717" s="885"/>
      <c r="M717" s="885"/>
      <c r="N717" s="887"/>
      <c r="O717" s="885"/>
      <c r="P717" s="885"/>
      <c r="Q717" s="885"/>
      <c r="R717" s="885"/>
      <c r="S717" s="885"/>
      <c r="T717" s="885"/>
      <c r="U717" s="885"/>
      <c r="V717" s="885"/>
      <c r="W717" s="885"/>
      <c r="X717" s="885"/>
      <c r="Y717" s="885"/>
      <c r="Z717" s="885"/>
    </row>
    <row r="718" ht="15.75" customHeight="1">
      <c r="A718" s="3" t="s">
        <v>2271</v>
      </c>
      <c r="B718" s="895" t="s">
        <v>2236</v>
      </c>
      <c r="C718" s="884"/>
      <c r="D718" s="3"/>
      <c r="E718" s="885"/>
      <c r="F718" s="884"/>
      <c r="G718" s="884"/>
      <c r="H718" s="930"/>
      <c r="I718" s="885"/>
      <c r="J718" s="885"/>
      <c r="K718" s="885"/>
      <c r="L718" s="885"/>
      <c r="M718" s="885"/>
      <c r="N718" s="887"/>
      <c r="O718" s="885"/>
      <c r="P718" s="885"/>
      <c r="Q718" s="885"/>
      <c r="R718" s="885"/>
      <c r="S718" s="885"/>
      <c r="T718" s="885"/>
      <c r="U718" s="885"/>
      <c r="V718" s="885"/>
      <c r="W718" s="885"/>
      <c r="X718" s="885"/>
      <c r="Y718" s="885"/>
      <c r="Z718" s="885"/>
    </row>
    <row r="719" ht="15.75" customHeight="1">
      <c r="A719" s="3" t="s">
        <v>2272</v>
      </c>
      <c r="B719" s="895" t="s">
        <v>2236</v>
      </c>
      <c r="C719" s="884"/>
      <c r="D719" s="3"/>
      <c r="E719" s="885"/>
      <c r="F719" s="884" t="s">
        <v>703</v>
      </c>
      <c r="G719" s="884" t="s">
        <v>1712</v>
      </c>
      <c r="H719" s="930">
        <v>6.75</v>
      </c>
      <c r="I719" s="885"/>
      <c r="J719" s="885"/>
      <c r="K719" s="885"/>
      <c r="L719" s="885"/>
      <c r="M719" s="885"/>
      <c r="N719" s="887"/>
      <c r="O719" s="885"/>
      <c r="P719" s="885"/>
      <c r="Q719" s="885"/>
      <c r="R719" s="885"/>
      <c r="S719" s="885"/>
      <c r="T719" s="885"/>
      <c r="U719" s="885"/>
      <c r="V719" s="885"/>
      <c r="W719" s="885"/>
      <c r="X719" s="885"/>
      <c r="Y719" s="885"/>
      <c r="Z719" s="885"/>
    </row>
    <row r="720" ht="15.75" customHeight="1">
      <c r="A720" s="3" t="s">
        <v>2273</v>
      </c>
      <c r="B720" s="895" t="s">
        <v>2236</v>
      </c>
      <c r="C720" s="884"/>
      <c r="D720" s="3"/>
      <c r="E720" s="885"/>
      <c r="F720" s="884" t="s">
        <v>720</v>
      </c>
      <c r="G720" s="884" t="s">
        <v>251</v>
      </c>
      <c r="H720" s="930">
        <v>8.0</v>
      </c>
      <c r="I720" s="885"/>
      <c r="J720" s="885"/>
      <c r="K720" s="885"/>
      <c r="L720" s="885"/>
      <c r="M720" s="885"/>
      <c r="N720" s="887"/>
      <c r="O720" s="885"/>
      <c r="P720" s="885"/>
      <c r="Q720" s="885"/>
      <c r="R720" s="885"/>
      <c r="S720" s="885"/>
      <c r="T720" s="885"/>
      <c r="U720" s="885"/>
      <c r="V720" s="885"/>
      <c r="W720" s="885"/>
      <c r="X720" s="885"/>
      <c r="Y720" s="885"/>
      <c r="Z720" s="885"/>
    </row>
    <row r="721" ht="15.75" customHeight="1">
      <c r="A721" s="3" t="s">
        <v>2274</v>
      </c>
      <c r="B721" s="895" t="s">
        <v>2236</v>
      </c>
      <c r="C721" s="884"/>
      <c r="D721" s="3"/>
      <c r="E721" s="885"/>
      <c r="F721" s="884" t="s">
        <v>656</v>
      </c>
      <c r="G721" s="884" t="s">
        <v>190</v>
      </c>
      <c r="H721" s="930">
        <v>8.25</v>
      </c>
      <c r="I721" s="885"/>
      <c r="J721" s="885"/>
      <c r="K721" s="885"/>
      <c r="L721" s="885"/>
      <c r="M721" s="885"/>
      <c r="N721" s="887"/>
      <c r="O721" s="885"/>
      <c r="P721" s="885"/>
      <c r="Q721" s="885"/>
      <c r="R721" s="885"/>
      <c r="S721" s="885"/>
      <c r="T721" s="885"/>
      <c r="U721" s="885"/>
      <c r="V721" s="885"/>
      <c r="W721" s="885"/>
      <c r="X721" s="885"/>
      <c r="Y721" s="885"/>
      <c r="Z721" s="885"/>
    </row>
    <row r="722" ht="15.75" customHeight="1">
      <c r="A722" s="3" t="s">
        <v>2275</v>
      </c>
      <c r="B722" s="895" t="s">
        <v>2236</v>
      </c>
      <c r="C722" s="884"/>
      <c r="D722" s="3"/>
      <c r="E722" s="885"/>
      <c r="F722" s="884" t="s">
        <v>668</v>
      </c>
      <c r="G722" s="3"/>
      <c r="H722" s="930">
        <v>8.25</v>
      </c>
      <c r="I722" s="885"/>
      <c r="J722" s="885"/>
      <c r="K722" s="885"/>
      <c r="L722" s="885"/>
      <c r="M722" s="885"/>
      <c r="N722" s="887"/>
      <c r="O722" s="885"/>
      <c r="P722" s="885"/>
      <c r="Q722" s="885"/>
      <c r="R722" s="885"/>
      <c r="S722" s="885"/>
      <c r="T722" s="885"/>
      <c r="U722" s="885"/>
      <c r="V722" s="885"/>
      <c r="W722" s="885"/>
      <c r="X722" s="885"/>
      <c r="Y722" s="885"/>
      <c r="Z722" s="885"/>
    </row>
    <row r="723" ht="15.75" customHeight="1">
      <c r="A723" s="3" t="s">
        <v>2276</v>
      </c>
      <c r="B723" s="895" t="s">
        <v>2236</v>
      </c>
      <c r="C723" s="884"/>
      <c r="D723" s="3"/>
      <c r="E723" s="885"/>
      <c r="F723" s="884" t="s">
        <v>963</v>
      </c>
      <c r="G723" s="884" t="s">
        <v>1713</v>
      </c>
      <c r="H723" s="930">
        <v>9.0</v>
      </c>
      <c r="I723" s="885"/>
      <c r="J723" s="885"/>
      <c r="K723" s="885"/>
      <c r="L723" s="885"/>
      <c r="M723" s="885"/>
      <c r="N723" s="887"/>
      <c r="O723" s="885"/>
      <c r="P723" s="885"/>
      <c r="Q723" s="885"/>
      <c r="R723" s="885"/>
      <c r="S723" s="885"/>
      <c r="T723" s="885"/>
      <c r="U723" s="885"/>
      <c r="V723" s="885"/>
      <c r="W723" s="885"/>
      <c r="X723" s="885"/>
      <c r="Y723" s="885"/>
      <c r="Z723" s="885"/>
    </row>
    <row r="724" ht="15.75" customHeight="1">
      <c r="A724" s="3" t="s">
        <v>2277</v>
      </c>
      <c r="B724" s="895" t="s">
        <v>2236</v>
      </c>
      <c r="C724" s="884"/>
      <c r="D724" s="3"/>
      <c r="E724" s="885"/>
      <c r="F724" s="884" t="s">
        <v>1714</v>
      </c>
      <c r="G724" s="884" t="s">
        <v>1971</v>
      </c>
      <c r="H724" s="930">
        <v>7.0</v>
      </c>
      <c r="I724" s="885"/>
      <c r="J724" s="885"/>
      <c r="K724" s="885"/>
      <c r="L724" s="885"/>
      <c r="M724" s="885"/>
      <c r="N724" s="887"/>
      <c r="O724" s="885"/>
      <c r="P724" s="885"/>
      <c r="Q724" s="885"/>
      <c r="R724" s="885"/>
      <c r="S724" s="885"/>
      <c r="T724" s="885"/>
      <c r="U724" s="885"/>
      <c r="V724" s="885"/>
      <c r="W724" s="885"/>
      <c r="X724" s="885"/>
      <c r="Y724" s="885"/>
      <c r="Z724" s="885"/>
    </row>
    <row r="725" ht="15.75" customHeight="1">
      <c r="A725" s="3" t="s">
        <v>2278</v>
      </c>
      <c r="B725" s="895" t="s">
        <v>2236</v>
      </c>
      <c r="C725" s="884"/>
      <c r="D725" s="3"/>
      <c r="E725" s="885"/>
      <c r="F725" s="884"/>
      <c r="G725" s="884"/>
      <c r="H725" s="930"/>
      <c r="I725" s="885"/>
      <c r="J725" s="885"/>
      <c r="K725" s="885"/>
      <c r="L725" s="885"/>
      <c r="M725" s="885"/>
      <c r="N725" s="887"/>
      <c r="O725" s="885"/>
      <c r="P725" s="885"/>
      <c r="Q725" s="885"/>
      <c r="R725" s="885"/>
      <c r="S725" s="885"/>
      <c r="T725" s="885"/>
      <c r="U725" s="885"/>
      <c r="V725" s="885"/>
      <c r="W725" s="885"/>
      <c r="X725" s="885"/>
      <c r="Y725" s="885"/>
      <c r="Z725" s="885"/>
    </row>
    <row r="726" ht="15.75" customHeight="1">
      <c r="A726" s="3" t="s">
        <v>2279</v>
      </c>
      <c r="B726" s="895" t="s">
        <v>2236</v>
      </c>
      <c r="C726" s="884"/>
      <c r="D726" s="3"/>
      <c r="E726" s="885"/>
      <c r="F726" s="883" t="s">
        <v>770</v>
      </c>
      <c r="G726" s="884" t="s">
        <v>89</v>
      </c>
      <c r="H726" s="931">
        <v>20.0</v>
      </c>
      <c r="I726" s="883" t="s">
        <v>2280</v>
      </c>
      <c r="J726" s="885"/>
      <c r="K726" s="885"/>
      <c r="L726" s="885"/>
      <c r="M726" s="885"/>
      <c r="N726" s="887"/>
      <c r="O726" s="885"/>
      <c r="P726" s="885"/>
      <c r="Q726" s="885"/>
      <c r="R726" s="885"/>
      <c r="S726" s="885"/>
      <c r="T726" s="885"/>
      <c r="U726" s="885"/>
      <c r="V726" s="885"/>
      <c r="W726" s="885"/>
      <c r="X726" s="885"/>
      <c r="Y726" s="885"/>
      <c r="Z726" s="885"/>
    </row>
    <row r="727" ht="15.75" customHeight="1">
      <c r="A727" s="3" t="s">
        <v>2281</v>
      </c>
      <c r="B727" s="895" t="s">
        <v>2236</v>
      </c>
      <c r="C727" s="884"/>
      <c r="D727" s="3"/>
      <c r="E727" s="885"/>
      <c r="F727" s="3" t="s">
        <v>951</v>
      </c>
      <c r="G727" s="3"/>
      <c r="H727" s="886">
        <v>15.0</v>
      </c>
      <c r="I727" s="885"/>
      <c r="J727" s="885"/>
      <c r="K727" s="885"/>
      <c r="L727" s="885"/>
      <c r="M727" s="885"/>
      <c r="N727" s="887"/>
      <c r="O727" s="885"/>
      <c r="P727" s="885"/>
      <c r="Q727" s="885"/>
      <c r="R727" s="885"/>
      <c r="S727" s="885"/>
      <c r="T727" s="885"/>
      <c r="U727" s="885"/>
      <c r="V727" s="885"/>
      <c r="W727" s="885"/>
      <c r="X727" s="885"/>
      <c r="Y727" s="885"/>
      <c r="Z727" s="885"/>
    </row>
    <row r="728" ht="15.75" customHeight="1">
      <c r="A728" s="3" t="s">
        <v>2282</v>
      </c>
      <c r="B728" s="895" t="s">
        <v>2236</v>
      </c>
      <c r="C728" s="884"/>
      <c r="D728" s="3"/>
      <c r="E728" s="885"/>
      <c r="I728" s="885"/>
      <c r="J728" s="885"/>
      <c r="K728" s="885"/>
      <c r="L728" s="885"/>
      <c r="M728" s="885"/>
      <c r="N728" s="887"/>
      <c r="O728" s="885"/>
      <c r="P728" s="885"/>
      <c r="Q728" s="885"/>
      <c r="R728" s="885"/>
      <c r="S728" s="885"/>
      <c r="T728" s="885"/>
      <c r="U728" s="885"/>
      <c r="V728" s="885"/>
      <c r="W728" s="885"/>
      <c r="X728" s="885"/>
      <c r="Y728" s="885"/>
      <c r="Z728" s="885"/>
    </row>
    <row r="729" ht="15.75" customHeight="1">
      <c r="A729" s="884" t="s">
        <v>2283</v>
      </c>
      <c r="B729" s="895" t="s">
        <v>2236</v>
      </c>
      <c r="C729" s="884"/>
      <c r="D729" s="3"/>
      <c r="E729" s="885"/>
      <c r="I729" s="885"/>
      <c r="J729" s="885"/>
      <c r="K729" s="885"/>
      <c r="L729" s="885"/>
      <c r="M729" s="885"/>
      <c r="N729" s="887"/>
      <c r="O729" s="885"/>
      <c r="P729" s="885"/>
      <c r="Q729" s="885"/>
      <c r="R729" s="885"/>
      <c r="S729" s="885"/>
      <c r="T729" s="885"/>
      <c r="U729" s="885"/>
      <c r="V729" s="885"/>
      <c r="W729" s="885"/>
      <c r="X729" s="885"/>
      <c r="Y729" s="885"/>
      <c r="Z729" s="885"/>
    </row>
    <row r="730" ht="15.75" customHeight="1">
      <c r="A730" s="3" t="s">
        <v>2284</v>
      </c>
      <c r="B730" s="895" t="s">
        <v>2236</v>
      </c>
      <c r="C730" s="884"/>
      <c r="D730" s="3"/>
      <c r="E730" s="885"/>
      <c r="F730" s="885"/>
      <c r="G730" s="885"/>
      <c r="H730" s="886"/>
      <c r="I730" s="885"/>
      <c r="J730" s="885"/>
      <c r="K730" s="885"/>
      <c r="L730" s="885"/>
      <c r="M730" s="885"/>
      <c r="N730" s="887"/>
      <c r="O730" s="885"/>
      <c r="P730" s="885"/>
      <c r="Q730" s="885"/>
      <c r="R730" s="885"/>
      <c r="S730" s="885"/>
      <c r="T730" s="885"/>
      <c r="U730" s="885"/>
      <c r="V730" s="885"/>
      <c r="W730" s="885"/>
      <c r="X730" s="885"/>
      <c r="Y730" s="885"/>
      <c r="Z730" s="885"/>
    </row>
    <row r="731" ht="15.75" customHeight="1">
      <c r="A731" s="3" t="s">
        <v>2285</v>
      </c>
      <c r="B731" s="895" t="s">
        <v>2236</v>
      </c>
      <c r="C731" s="884"/>
      <c r="D731" s="3"/>
      <c r="E731" s="885"/>
      <c r="F731" s="885"/>
      <c r="G731" s="885"/>
      <c r="H731" s="930"/>
      <c r="I731" s="885"/>
      <c r="J731" s="885"/>
      <c r="K731" s="885"/>
      <c r="L731" s="885"/>
      <c r="M731" s="885"/>
      <c r="N731" s="887"/>
      <c r="O731" s="885"/>
      <c r="P731" s="885"/>
      <c r="Q731" s="885"/>
      <c r="R731" s="885"/>
      <c r="S731" s="885"/>
      <c r="T731" s="885"/>
      <c r="U731" s="885"/>
      <c r="V731" s="885"/>
      <c r="W731" s="885"/>
      <c r="X731" s="885"/>
      <c r="Y731" s="885"/>
      <c r="Z731" s="885"/>
    </row>
    <row r="732" ht="15.75" customHeight="1">
      <c r="A732" s="3" t="s">
        <v>2286</v>
      </c>
      <c r="B732" s="895" t="s">
        <v>2236</v>
      </c>
      <c r="C732" s="884"/>
      <c r="D732" s="3"/>
      <c r="E732" s="885"/>
      <c r="F732" s="3"/>
      <c r="G732" s="933" t="s">
        <v>2287</v>
      </c>
      <c r="H732" s="886"/>
      <c r="I732" s="885"/>
      <c r="J732" s="885"/>
      <c r="K732" s="885"/>
      <c r="L732" s="885"/>
      <c r="M732" s="885"/>
      <c r="N732" s="887"/>
      <c r="O732" s="885"/>
      <c r="P732" s="885"/>
      <c r="Q732" s="885"/>
      <c r="R732" s="885"/>
      <c r="S732" s="885"/>
      <c r="T732" s="885"/>
      <c r="U732" s="885"/>
      <c r="V732" s="885"/>
      <c r="W732" s="885"/>
      <c r="X732" s="885"/>
      <c r="Y732" s="885"/>
      <c r="Z732" s="885"/>
    </row>
    <row r="733" ht="15.75" customHeight="1">
      <c r="A733" s="3" t="s">
        <v>2288</v>
      </c>
      <c r="B733" s="895" t="s">
        <v>2236</v>
      </c>
      <c r="C733" s="884"/>
      <c r="D733" s="3"/>
      <c r="E733" s="885"/>
      <c r="F733" s="915" t="s">
        <v>698</v>
      </c>
      <c r="G733" s="3"/>
      <c r="H733" s="930">
        <v>5.0</v>
      </c>
      <c r="I733" s="885"/>
      <c r="J733" s="885"/>
      <c r="K733" s="885"/>
      <c r="L733" s="885"/>
      <c r="M733" s="885"/>
      <c r="N733" s="887"/>
      <c r="O733" s="885"/>
      <c r="P733" s="885"/>
      <c r="Q733" s="885"/>
      <c r="R733" s="885"/>
      <c r="S733" s="885"/>
      <c r="T733" s="885"/>
      <c r="U733" s="885"/>
      <c r="V733" s="885"/>
      <c r="W733" s="885"/>
      <c r="X733" s="885"/>
      <c r="Y733" s="885"/>
      <c r="Z733" s="885"/>
    </row>
    <row r="734" ht="15.75" customHeight="1">
      <c r="A734" s="3" t="s">
        <v>2289</v>
      </c>
      <c r="B734" s="895" t="s">
        <v>2236</v>
      </c>
      <c r="C734" s="884"/>
      <c r="D734" s="3"/>
      <c r="E734" s="885"/>
      <c r="F734" s="46" t="s">
        <v>860</v>
      </c>
      <c r="H734" s="897">
        <v>10.0</v>
      </c>
      <c r="I734" s="885"/>
      <c r="J734" s="885"/>
      <c r="K734" s="885"/>
      <c r="L734" s="885"/>
      <c r="M734" s="885"/>
      <c r="N734" s="887"/>
      <c r="O734" s="885"/>
      <c r="P734" s="885"/>
      <c r="Q734" s="885"/>
      <c r="R734" s="885"/>
      <c r="S734" s="885"/>
      <c r="T734" s="885"/>
      <c r="U734" s="885"/>
      <c r="V734" s="885"/>
      <c r="W734" s="885"/>
      <c r="X734" s="885"/>
      <c r="Y734" s="885"/>
      <c r="Z734" s="885"/>
    </row>
    <row r="735" ht="15.75" customHeight="1">
      <c r="A735" s="3" t="s">
        <v>2290</v>
      </c>
      <c r="B735" s="895" t="s">
        <v>2236</v>
      </c>
      <c r="C735" s="884"/>
      <c r="D735" s="3"/>
      <c r="E735" s="885"/>
      <c r="F735" s="884" t="s">
        <v>1700</v>
      </c>
      <c r="G735" s="3"/>
      <c r="H735" s="930">
        <v>8.0</v>
      </c>
      <c r="I735" s="885"/>
      <c r="J735" s="885"/>
      <c r="K735" s="885"/>
      <c r="L735" s="885"/>
      <c r="M735" s="885"/>
      <c r="N735" s="887"/>
      <c r="O735" s="885"/>
      <c r="P735" s="885"/>
      <c r="Q735" s="885"/>
      <c r="R735" s="885"/>
      <c r="S735" s="885"/>
      <c r="T735" s="885"/>
      <c r="U735" s="885"/>
      <c r="V735" s="885"/>
      <c r="W735" s="885"/>
      <c r="X735" s="885"/>
      <c r="Y735" s="885"/>
      <c r="Z735" s="885"/>
    </row>
    <row r="736" ht="15.75" customHeight="1">
      <c r="A736" s="3" t="s">
        <v>2291</v>
      </c>
      <c r="B736" s="895" t="s">
        <v>2236</v>
      </c>
      <c r="C736" s="884"/>
      <c r="D736" s="3"/>
      <c r="E736" s="885"/>
      <c r="F736" s="915" t="s">
        <v>784</v>
      </c>
      <c r="G736" s="3"/>
      <c r="H736" s="930">
        <v>5.0</v>
      </c>
      <c r="I736" s="885"/>
      <c r="J736" s="885"/>
      <c r="K736" s="885"/>
      <c r="L736" s="885"/>
      <c r="M736" s="885"/>
      <c r="N736" s="887"/>
      <c r="O736" s="885"/>
      <c r="P736" s="885"/>
      <c r="Q736" s="885"/>
      <c r="R736" s="885"/>
      <c r="S736" s="885"/>
      <c r="T736" s="885"/>
      <c r="U736" s="885"/>
      <c r="V736" s="885"/>
      <c r="W736" s="885"/>
      <c r="X736" s="885"/>
      <c r="Y736" s="885"/>
      <c r="Z736" s="885"/>
    </row>
    <row r="737" ht="15.75" customHeight="1">
      <c r="A737" s="3" t="s">
        <v>2292</v>
      </c>
      <c r="B737" s="895" t="s">
        <v>2236</v>
      </c>
      <c r="C737" s="884"/>
      <c r="D737" s="3"/>
      <c r="E737" s="885"/>
      <c r="F737" s="915" t="s">
        <v>1147</v>
      </c>
      <c r="G737" s="884"/>
      <c r="H737" s="931">
        <v>9.0</v>
      </c>
      <c r="I737" s="885"/>
      <c r="J737" s="885"/>
      <c r="K737" s="885"/>
      <c r="L737" s="885"/>
      <c r="M737" s="885"/>
      <c r="N737" s="887"/>
      <c r="O737" s="885"/>
      <c r="P737" s="885"/>
      <c r="Q737" s="885"/>
      <c r="R737" s="885"/>
      <c r="S737" s="885"/>
      <c r="T737" s="885"/>
      <c r="U737" s="885"/>
      <c r="V737" s="885"/>
      <c r="W737" s="885"/>
      <c r="X737" s="885"/>
      <c r="Y737" s="885"/>
      <c r="Z737" s="885"/>
    </row>
    <row r="738" ht="15.75" customHeight="1">
      <c r="A738" s="3" t="s">
        <v>2293</v>
      </c>
      <c r="B738" s="895" t="s">
        <v>2236</v>
      </c>
      <c r="C738" s="884"/>
      <c r="D738" s="3"/>
      <c r="E738" s="885"/>
      <c r="F738" s="884" t="s">
        <v>755</v>
      </c>
      <c r="G738" s="884" t="s">
        <v>1705</v>
      </c>
      <c r="H738" s="930">
        <v>4.0</v>
      </c>
      <c r="I738" s="885"/>
      <c r="J738" s="885"/>
      <c r="K738" s="885"/>
      <c r="L738" s="885"/>
      <c r="M738" s="885"/>
      <c r="N738" s="887"/>
      <c r="O738" s="885"/>
      <c r="P738" s="885"/>
      <c r="Q738" s="885"/>
      <c r="R738" s="885"/>
      <c r="S738" s="885"/>
      <c r="T738" s="885"/>
      <c r="U738" s="885"/>
      <c r="V738" s="885"/>
      <c r="W738" s="885"/>
      <c r="X738" s="885"/>
      <c r="Y738" s="885"/>
      <c r="Z738" s="885"/>
    </row>
    <row r="739" ht="15.75" customHeight="1">
      <c r="A739" s="3" t="s">
        <v>2294</v>
      </c>
      <c r="B739" s="895" t="s">
        <v>2236</v>
      </c>
      <c r="C739" s="884"/>
      <c r="D739" s="3"/>
      <c r="E739" s="885"/>
      <c r="F739" s="884"/>
      <c r="G739" s="884"/>
      <c r="H739" s="930"/>
      <c r="I739" s="885"/>
      <c r="J739" s="885"/>
      <c r="K739" s="885"/>
      <c r="L739" s="885"/>
      <c r="M739" s="885"/>
      <c r="N739" s="887"/>
      <c r="O739" s="885"/>
      <c r="P739" s="885"/>
      <c r="Q739" s="885"/>
      <c r="R739" s="885"/>
      <c r="S739" s="885"/>
      <c r="T739" s="885"/>
      <c r="U739" s="885"/>
      <c r="V739" s="885"/>
      <c r="W739" s="885"/>
      <c r="X739" s="885"/>
      <c r="Y739" s="885"/>
      <c r="Z739" s="885"/>
    </row>
    <row r="740" ht="15.75" customHeight="1">
      <c r="A740" s="3" t="s">
        <v>2295</v>
      </c>
      <c r="B740" s="895" t="s">
        <v>2236</v>
      </c>
      <c r="C740" s="884"/>
      <c r="D740" s="3"/>
      <c r="E740" s="885"/>
      <c r="F740" s="3"/>
      <c r="G740" s="884"/>
      <c r="H740" s="930"/>
      <c r="I740" s="885"/>
      <c r="J740" s="885"/>
      <c r="K740" s="885"/>
      <c r="L740" s="885"/>
      <c r="M740" s="885"/>
      <c r="N740" s="887"/>
      <c r="O740" s="885"/>
      <c r="P740" s="885"/>
      <c r="Q740" s="885"/>
      <c r="R740" s="885"/>
      <c r="S740" s="885"/>
      <c r="T740" s="885"/>
      <c r="U740" s="885"/>
      <c r="V740" s="885"/>
      <c r="W740" s="885"/>
      <c r="X740" s="885"/>
      <c r="Y740" s="885"/>
      <c r="Z740" s="885"/>
    </row>
    <row r="741" ht="15.75" customHeight="1">
      <c r="A741" s="3" t="s">
        <v>2296</v>
      </c>
      <c r="B741" s="895" t="s">
        <v>2236</v>
      </c>
      <c r="C741" s="884"/>
      <c r="D741" s="3"/>
      <c r="E741" s="885"/>
      <c r="F741" s="884"/>
      <c r="G741" s="884"/>
      <c r="H741" s="930"/>
      <c r="I741" s="885"/>
      <c r="J741" s="885"/>
      <c r="K741" s="885"/>
      <c r="L741" s="885"/>
      <c r="M741" s="885"/>
      <c r="N741" s="887"/>
      <c r="O741" s="885"/>
      <c r="P741" s="885"/>
      <c r="Q741" s="885"/>
      <c r="R741" s="885"/>
      <c r="S741" s="885"/>
      <c r="T741" s="885"/>
      <c r="U741" s="885"/>
      <c r="V741" s="885"/>
      <c r="W741" s="885"/>
      <c r="X741" s="885"/>
      <c r="Y741" s="885"/>
      <c r="Z741" s="885"/>
    </row>
    <row r="742" ht="15.75" customHeight="1">
      <c r="A742" s="3" t="s">
        <v>2297</v>
      </c>
      <c r="B742" s="895" t="s">
        <v>2236</v>
      </c>
      <c r="C742" s="884"/>
      <c r="D742" s="3"/>
      <c r="E742" s="885"/>
      <c r="F742" s="884"/>
      <c r="G742" s="884"/>
      <c r="H742" s="930"/>
      <c r="I742" s="885"/>
      <c r="J742" s="885"/>
      <c r="K742" s="885"/>
      <c r="L742" s="885"/>
      <c r="M742" s="885"/>
      <c r="N742" s="887"/>
      <c r="O742" s="885"/>
      <c r="P742" s="885"/>
      <c r="Q742" s="885"/>
      <c r="R742" s="885"/>
      <c r="S742" s="885"/>
      <c r="T742" s="885"/>
      <c r="U742" s="885"/>
      <c r="V742" s="885"/>
      <c r="W742" s="885"/>
      <c r="X742" s="885"/>
      <c r="Y742" s="885"/>
      <c r="Z742" s="885"/>
    </row>
    <row r="743" ht="15.75" customHeight="1">
      <c r="A743" s="884" t="s">
        <v>2298</v>
      </c>
      <c r="B743" s="895" t="s">
        <v>2236</v>
      </c>
      <c r="C743" s="884"/>
      <c r="D743" s="3"/>
      <c r="E743" s="885"/>
      <c r="F743" s="884"/>
      <c r="G743" s="884"/>
      <c r="H743" s="930"/>
      <c r="I743" s="885"/>
      <c r="J743" s="885"/>
      <c r="K743" s="885"/>
      <c r="L743" s="885"/>
      <c r="M743" s="885"/>
      <c r="N743" s="887"/>
      <c r="O743" s="885"/>
      <c r="P743" s="885"/>
      <c r="Q743" s="885"/>
      <c r="R743" s="885"/>
      <c r="S743" s="885"/>
      <c r="T743" s="885"/>
      <c r="U743" s="885"/>
      <c r="V743" s="885"/>
      <c r="W743" s="885"/>
      <c r="X743" s="885"/>
      <c r="Y743" s="885"/>
      <c r="Z743" s="885"/>
    </row>
    <row r="744" ht="15.75" customHeight="1">
      <c r="A744" s="884" t="s">
        <v>2299</v>
      </c>
      <c r="B744" s="895" t="s">
        <v>2236</v>
      </c>
      <c r="C744" s="884"/>
      <c r="D744" s="3"/>
      <c r="E744" s="885"/>
      <c r="F744" s="884"/>
      <c r="G744" s="884"/>
      <c r="H744" s="930"/>
      <c r="I744" s="885"/>
      <c r="J744" s="885"/>
      <c r="K744" s="885"/>
      <c r="L744" s="885"/>
      <c r="M744" s="885"/>
      <c r="N744" s="887"/>
      <c r="O744" s="885"/>
      <c r="P744" s="885"/>
      <c r="Q744" s="885"/>
      <c r="R744" s="885"/>
      <c r="S744" s="885"/>
      <c r="T744" s="885"/>
      <c r="U744" s="885"/>
      <c r="V744" s="885"/>
      <c r="W744" s="885"/>
      <c r="X744" s="885"/>
      <c r="Y744" s="885"/>
      <c r="Z744" s="885"/>
    </row>
    <row r="745" ht="15.75" customHeight="1">
      <c r="A745" s="884" t="s">
        <v>547</v>
      </c>
      <c r="B745" s="895" t="s">
        <v>2236</v>
      </c>
      <c r="C745" s="884"/>
      <c r="D745" s="3"/>
      <c r="E745" s="885"/>
      <c r="F745" s="884"/>
      <c r="G745" s="884"/>
      <c r="H745" s="930"/>
      <c r="I745" s="885"/>
      <c r="J745" s="885"/>
      <c r="K745" s="885"/>
      <c r="L745" s="885"/>
      <c r="M745" s="885"/>
      <c r="N745" s="887"/>
      <c r="O745" s="885"/>
      <c r="P745" s="885"/>
      <c r="Q745" s="885"/>
      <c r="R745" s="885"/>
      <c r="S745" s="885"/>
      <c r="T745" s="885"/>
      <c r="U745" s="885"/>
      <c r="V745" s="885"/>
      <c r="W745" s="885"/>
      <c r="X745" s="885"/>
      <c r="Y745" s="885"/>
      <c r="Z745" s="885"/>
    </row>
    <row r="746" ht="15.75" customHeight="1">
      <c r="A746" s="884" t="s">
        <v>2300</v>
      </c>
      <c r="B746" s="895" t="s">
        <v>2236</v>
      </c>
      <c r="C746" s="884"/>
      <c r="D746" s="3"/>
      <c r="E746" s="885"/>
      <c r="F746" s="884"/>
      <c r="G746" s="884"/>
      <c r="H746" s="930"/>
      <c r="I746" s="885"/>
      <c r="J746" s="885"/>
      <c r="K746" s="885"/>
      <c r="L746" s="885"/>
      <c r="M746" s="885"/>
      <c r="N746" s="887"/>
      <c r="O746" s="885"/>
      <c r="P746" s="885"/>
      <c r="Q746" s="885"/>
      <c r="R746" s="885"/>
      <c r="S746" s="885"/>
      <c r="T746" s="885"/>
      <c r="U746" s="885"/>
      <c r="V746" s="885"/>
      <c r="W746" s="885"/>
      <c r="X746" s="885"/>
      <c r="Y746" s="885"/>
      <c r="Z746" s="885"/>
    </row>
    <row r="747" ht="15.75" customHeight="1">
      <c r="A747" s="884" t="s">
        <v>2301</v>
      </c>
      <c r="B747" s="895" t="s">
        <v>2236</v>
      </c>
      <c r="C747" s="884"/>
      <c r="D747" s="3"/>
      <c r="E747" s="885"/>
      <c r="F747" s="884"/>
      <c r="G747" s="884"/>
      <c r="H747" s="930"/>
      <c r="I747" s="885"/>
      <c r="J747" s="885"/>
      <c r="K747" s="885"/>
      <c r="L747" s="885"/>
      <c r="M747" s="885"/>
      <c r="N747" s="887"/>
      <c r="O747" s="885"/>
      <c r="P747" s="885"/>
      <c r="Q747" s="885"/>
      <c r="R747" s="885"/>
      <c r="S747" s="885"/>
      <c r="T747" s="885"/>
      <c r="U747" s="885"/>
      <c r="V747" s="885"/>
      <c r="W747" s="885"/>
      <c r="X747" s="885"/>
      <c r="Y747" s="885"/>
      <c r="Z747" s="885"/>
    </row>
    <row r="748" ht="15.75" customHeight="1">
      <c r="A748" s="884" t="s">
        <v>2302</v>
      </c>
      <c r="B748" s="895" t="s">
        <v>2236</v>
      </c>
      <c r="C748" s="884"/>
      <c r="D748" s="3"/>
      <c r="E748" s="885"/>
      <c r="F748" s="884"/>
      <c r="G748" s="884"/>
      <c r="H748" s="930"/>
      <c r="I748" s="885"/>
      <c r="J748" s="885"/>
      <c r="K748" s="885"/>
      <c r="L748" s="885"/>
      <c r="M748" s="885"/>
      <c r="N748" s="887"/>
      <c r="O748" s="885"/>
      <c r="P748" s="885"/>
      <c r="Q748" s="885"/>
      <c r="R748" s="885"/>
      <c r="S748" s="885"/>
      <c r="T748" s="885"/>
      <c r="U748" s="885"/>
      <c r="V748" s="885"/>
      <c r="W748" s="885"/>
      <c r="X748" s="885"/>
      <c r="Y748" s="885"/>
      <c r="Z748" s="885"/>
    </row>
    <row r="749" ht="15.75" customHeight="1">
      <c r="A749" s="884" t="s">
        <v>2290</v>
      </c>
      <c r="B749" s="895" t="s">
        <v>2236</v>
      </c>
      <c r="C749" s="884"/>
      <c r="D749" s="3"/>
      <c r="E749" s="885"/>
      <c r="F749" s="884"/>
      <c r="G749" s="884"/>
      <c r="H749" s="930"/>
      <c r="I749" s="885"/>
      <c r="J749" s="885"/>
      <c r="K749" s="885"/>
      <c r="L749" s="885"/>
      <c r="M749" s="885"/>
      <c r="N749" s="887"/>
      <c r="O749" s="885"/>
      <c r="P749" s="885"/>
      <c r="Q749" s="885"/>
      <c r="R749" s="885"/>
      <c r="S749" s="885"/>
      <c r="T749" s="885"/>
      <c r="U749" s="885"/>
      <c r="V749" s="885"/>
      <c r="W749" s="885"/>
      <c r="X749" s="885"/>
      <c r="Y749" s="885"/>
      <c r="Z749" s="885"/>
    </row>
    <row r="750" ht="15.75" customHeight="1">
      <c r="A750" s="884" t="s">
        <v>2303</v>
      </c>
      <c r="B750" s="895" t="s">
        <v>2236</v>
      </c>
      <c r="C750" s="884"/>
      <c r="D750" s="3"/>
      <c r="E750" s="885"/>
      <c r="F750" s="884" t="s">
        <v>1369</v>
      </c>
      <c r="G750" s="884" t="s">
        <v>1706</v>
      </c>
      <c r="H750" s="930">
        <v>7.0</v>
      </c>
      <c r="I750" s="885"/>
      <c r="J750" s="885"/>
      <c r="K750" s="885"/>
      <c r="L750" s="885"/>
      <c r="M750" s="885"/>
      <c r="N750" s="887"/>
      <c r="O750" s="885"/>
      <c r="P750" s="885"/>
      <c r="Q750" s="885"/>
      <c r="R750" s="885"/>
      <c r="S750" s="885"/>
      <c r="T750" s="885"/>
      <c r="U750" s="885"/>
      <c r="V750" s="885"/>
      <c r="W750" s="885"/>
      <c r="X750" s="885"/>
      <c r="Y750" s="885"/>
      <c r="Z750" s="885"/>
    </row>
    <row r="751" ht="15.75" customHeight="1">
      <c r="A751" s="884" t="s">
        <v>2304</v>
      </c>
      <c r="B751" s="895" t="s">
        <v>2236</v>
      </c>
      <c r="C751" s="884"/>
      <c r="D751" s="3"/>
      <c r="E751" s="885"/>
      <c r="F751" s="884" t="s">
        <v>809</v>
      </c>
      <c r="G751" s="884" t="s">
        <v>1739</v>
      </c>
      <c r="H751" s="930">
        <v>6.0</v>
      </c>
      <c r="I751" s="885"/>
      <c r="J751" s="885"/>
      <c r="K751" s="885"/>
      <c r="L751" s="885"/>
      <c r="M751" s="885"/>
      <c r="N751" s="887"/>
      <c r="O751" s="885"/>
      <c r="P751" s="885"/>
      <c r="Q751" s="885"/>
      <c r="R751" s="885"/>
      <c r="S751" s="885"/>
      <c r="T751" s="885"/>
      <c r="U751" s="885"/>
      <c r="V751" s="885"/>
      <c r="W751" s="885"/>
      <c r="X751" s="885"/>
      <c r="Y751" s="885"/>
      <c r="Z751" s="885"/>
    </row>
    <row r="752" ht="15.75" customHeight="1">
      <c r="A752" s="884" t="s">
        <v>2305</v>
      </c>
      <c r="B752" s="895" t="s">
        <v>2236</v>
      </c>
      <c r="C752" s="884"/>
      <c r="D752" s="3"/>
      <c r="E752" s="885"/>
      <c r="F752" s="884" t="s">
        <v>1327</v>
      </c>
      <c r="G752" s="884" t="s">
        <v>1708</v>
      </c>
      <c r="H752" s="930">
        <v>6.0</v>
      </c>
      <c r="I752" s="885"/>
      <c r="J752" s="885"/>
      <c r="K752" s="885"/>
      <c r="L752" s="885"/>
      <c r="M752" s="885"/>
      <c r="N752" s="887"/>
      <c r="O752" s="885"/>
      <c r="P752" s="885"/>
      <c r="Q752" s="885"/>
      <c r="R752" s="885"/>
      <c r="S752" s="885"/>
      <c r="T752" s="885"/>
      <c r="U752" s="885"/>
      <c r="V752" s="885"/>
      <c r="W752" s="885"/>
      <c r="X752" s="885"/>
      <c r="Y752" s="885"/>
      <c r="Z752" s="885"/>
    </row>
    <row r="753" ht="15.75" customHeight="1">
      <c r="A753" s="884" t="s">
        <v>2306</v>
      </c>
      <c r="B753" s="895" t="s">
        <v>2236</v>
      </c>
      <c r="C753" s="884"/>
      <c r="D753" s="3"/>
      <c r="E753" s="885"/>
      <c r="F753" s="884" t="s">
        <v>957</v>
      </c>
      <c r="G753" s="884" t="s">
        <v>568</v>
      </c>
      <c r="H753" s="930">
        <v>8.0</v>
      </c>
      <c r="I753" s="885"/>
      <c r="J753" s="885"/>
      <c r="K753" s="885"/>
      <c r="L753" s="885"/>
      <c r="M753" s="885"/>
      <c r="N753" s="887"/>
      <c r="O753" s="885"/>
      <c r="P753" s="885"/>
      <c r="Q753" s="885"/>
      <c r="R753" s="885"/>
      <c r="S753" s="885"/>
      <c r="T753" s="885"/>
      <c r="U753" s="885"/>
      <c r="V753" s="885"/>
      <c r="W753" s="885"/>
      <c r="X753" s="885"/>
      <c r="Y753" s="885"/>
      <c r="Z753" s="885"/>
    </row>
    <row r="754" ht="15.75" customHeight="1">
      <c r="A754" s="884" t="s">
        <v>2307</v>
      </c>
      <c r="B754" s="895" t="s">
        <v>2236</v>
      </c>
      <c r="C754" s="884"/>
      <c r="D754" s="3"/>
      <c r="E754" s="885"/>
      <c r="F754" s="884"/>
      <c r="G754" s="3" t="s">
        <v>2308</v>
      </c>
      <c r="H754" s="930">
        <v>8.0</v>
      </c>
      <c r="I754" s="885"/>
      <c r="J754" s="885"/>
      <c r="K754" s="885"/>
      <c r="L754" s="885"/>
      <c r="M754" s="885"/>
      <c r="N754" s="887"/>
      <c r="O754" s="885"/>
      <c r="P754" s="885"/>
      <c r="Q754" s="885"/>
      <c r="R754" s="885"/>
      <c r="S754" s="885"/>
      <c r="T754" s="885"/>
      <c r="U754" s="885"/>
      <c r="V754" s="885"/>
      <c r="W754" s="885"/>
      <c r="X754" s="885"/>
      <c r="Y754" s="885"/>
      <c r="Z754" s="885"/>
    </row>
    <row r="755" ht="15.75" customHeight="1">
      <c r="A755" s="884" t="s">
        <v>2309</v>
      </c>
      <c r="B755" s="895" t="s">
        <v>2236</v>
      </c>
      <c r="C755" s="884"/>
      <c r="D755" s="3"/>
      <c r="E755" s="885"/>
      <c r="F755" s="884" t="s">
        <v>1710</v>
      </c>
      <c r="G755" s="3"/>
      <c r="H755" s="930"/>
      <c r="I755" s="885"/>
      <c r="J755" s="885"/>
      <c r="K755" s="885"/>
      <c r="L755" s="885"/>
      <c r="M755" s="885"/>
      <c r="N755" s="887"/>
      <c r="O755" s="885"/>
      <c r="P755" s="885"/>
      <c r="Q755" s="885"/>
      <c r="R755" s="885"/>
      <c r="S755" s="885"/>
      <c r="T755" s="885"/>
      <c r="U755" s="885"/>
      <c r="V755" s="885"/>
      <c r="W755" s="885"/>
      <c r="X755" s="885"/>
      <c r="Y755" s="885"/>
      <c r="Z755" s="885"/>
    </row>
    <row r="756" ht="15.75" customHeight="1">
      <c r="A756" s="884" t="s">
        <v>2310</v>
      </c>
      <c r="B756" s="895" t="s">
        <v>2236</v>
      </c>
      <c r="C756" s="884"/>
      <c r="D756" s="3"/>
      <c r="E756" s="885"/>
      <c r="F756" s="3" t="s">
        <v>663</v>
      </c>
      <c r="G756" s="3" t="s">
        <v>1710</v>
      </c>
      <c r="H756" s="930">
        <v>9.0</v>
      </c>
      <c r="I756" s="885"/>
      <c r="J756" s="885"/>
      <c r="K756" s="885"/>
      <c r="L756" s="885"/>
      <c r="M756" s="885"/>
      <c r="N756" s="887"/>
      <c r="O756" s="885"/>
      <c r="P756" s="885"/>
      <c r="Q756" s="885"/>
      <c r="R756" s="885"/>
      <c r="S756" s="885"/>
      <c r="T756" s="885"/>
      <c r="U756" s="885"/>
      <c r="V756" s="885"/>
      <c r="W756" s="885"/>
      <c r="X756" s="885"/>
      <c r="Y756" s="885"/>
      <c r="Z756" s="885"/>
    </row>
    <row r="757" ht="15.75" customHeight="1">
      <c r="A757" s="884" t="s">
        <v>2311</v>
      </c>
      <c r="B757" s="895" t="s">
        <v>2236</v>
      </c>
      <c r="C757" s="884"/>
      <c r="D757" s="3"/>
      <c r="E757" s="885"/>
      <c r="F757" s="884" t="s">
        <v>188</v>
      </c>
      <c r="G757" s="884" t="s">
        <v>1710</v>
      </c>
      <c r="H757" s="930">
        <v>9.0</v>
      </c>
      <c r="I757" s="885"/>
      <c r="J757" s="885"/>
      <c r="K757" s="885"/>
      <c r="L757" s="885"/>
      <c r="M757" s="885"/>
      <c r="N757" s="887"/>
      <c r="O757" s="885"/>
      <c r="P757" s="885"/>
      <c r="Q757" s="885"/>
      <c r="R757" s="885"/>
      <c r="S757" s="885"/>
      <c r="T757" s="885"/>
      <c r="U757" s="885"/>
      <c r="V757" s="885"/>
      <c r="W757" s="885"/>
      <c r="X757" s="885"/>
      <c r="Y757" s="885"/>
      <c r="Z757" s="885"/>
    </row>
    <row r="758" ht="15.75" customHeight="1">
      <c r="A758" s="884" t="s">
        <v>2312</v>
      </c>
      <c r="B758" s="895" t="s">
        <v>2236</v>
      </c>
      <c r="C758" s="884"/>
      <c r="D758" s="3"/>
      <c r="E758" s="885"/>
      <c r="F758" s="884"/>
      <c r="G758" s="884"/>
      <c r="H758" s="930"/>
      <c r="I758" s="885"/>
      <c r="J758" s="885"/>
      <c r="K758" s="885"/>
      <c r="L758" s="885"/>
      <c r="M758" s="885"/>
      <c r="N758" s="887"/>
      <c r="O758" s="885"/>
      <c r="P758" s="885"/>
      <c r="Q758" s="885"/>
      <c r="R758" s="885"/>
      <c r="S758" s="885"/>
      <c r="T758" s="885"/>
      <c r="U758" s="885"/>
      <c r="V758" s="885"/>
      <c r="W758" s="885"/>
      <c r="X758" s="885"/>
      <c r="Y758" s="885"/>
      <c r="Z758" s="885"/>
    </row>
    <row r="759" ht="15.75" customHeight="1">
      <c r="A759" s="884" t="s">
        <v>2313</v>
      </c>
      <c r="B759" s="3" t="s">
        <v>1039</v>
      </c>
      <c r="C759" s="884"/>
      <c r="D759" s="3"/>
      <c r="E759" s="885"/>
      <c r="F759" s="884"/>
      <c r="G759" s="884"/>
      <c r="H759" s="930"/>
      <c r="I759" s="885"/>
      <c r="J759" s="885"/>
      <c r="K759" s="885"/>
      <c r="L759" s="885"/>
      <c r="M759" s="885"/>
      <c r="N759" s="887"/>
      <c r="O759" s="885"/>
      <c r="P759" s="885"/>
      <c r="Q759" s="885"/>
      <c r="R759" s="885"/>
      <c r="S759" s="885"/>
      <c r="T759" s="885"/>
      <c r="U759" s="885"/>
      <c r="V759" s="885"/>
      <c r="W759" s="885"/>
      <c r="X759" s="885"/>
      <c r="Y759" s="885"/>
      <c r="Z759" s="885"/>
    </row>
    <row r="760" ht="15.75" customHeight="1">
      <c r="A760" s="3" t="s">
        <v>2314</v>
      </c>
      <c r="B760" s="725" t="s">
        <v>2315</v>
      </c>
      <c r="C760" s="884"/>
      <c r="D760" s="3"/>
      <c r="E760" s="885"/>
      <c r="F760" s="884"/>
      <c r="G760" s="884"/>
      <c r="H760" s="930"/>
      <c r="I760" s="885"/>
      <c r="J760" s="885"/>
      <c r="K760" s="885"/>
      <c r="L760" s="885"/>
      <c r="M760" s="885"/>
      <c r="N760" s="887"/>
      <c r="O760" s="885"/>
      <c r="P760" s="885"/>
      <c r="Q760" s="885"/>
      <c r="R760" s="885"/>
      <c r="S760" s="885"/>
      <c r="T760" s="885"/>
      <c r="U760" s="885"/>
      <c r="V760" s="885"/>
      <c r="W760" s="885"/>
      <c r="X760" s="885"/>
      <c r="Y760" s="885"/>
      <c r="Z760" s="885"/>
    </row>
    <row r="761" ht="15.75" customHeight="1">
      <c r="A761" s="3" t="s">
        <v>2316</v>
      </c>
      <c r="B761" s="895" t="s">
        <v>2317</v>
      </c>
      <c r="C761" s="884"/>
      <c r="D761" s="3"/>
      <c r="E761" s="885"/>
      <c r="F761" s="884"/>
      <c r="G761" s="884"/>
      <c r="H761" s="930"/>
      <c r="I761" s="885"/>
      <c r="J761" s="885"/>
      <c r="K761" s="885"/>
      <c r="L761" s="885"/>
      <c r="M761" s="885"/>
      <c r="N761" s="887"/>
      <c r="O761" s="885"/>
      <c r="P761" s="885"/>
      <c r="Q761" s="885"/>
      <c r="R761" s="885"/>
      <c r="S761" s="885"/>
      <c r="T761" s="885"/>
      <c r="U761" s="885"/>
      <c r="V761" s="885"/>
      <c r="W761" s="885"/>
      <c r="X761" s="885"/>
      <c r="Y761" s="885"/>
      <c r="Z761" s="885"/>
    </row>
    <row r="762" ht="15.75" customHeight="1">
      <c r="A762" s="884" t="s">
        <v>2318</v>
      </c>
      <c r="B762" s="895" t="s">
        <v>2319</v>
      </c>
      <c r="C762" s="884"/>
      <c r="D762" s="3"/>
      <c r="E762" s="885"/>
      <c r="F762" s="884"/>
      <c r="G762" s="884"/>
      <c r="H762" s="930"/>
      <c r="I762" s="885"/>
      <c r="J762" s="885"/>
      <c r="K762" s="885"/>
      <c r="L762" s="885"/>
      <c r="M762" s="885"/>
      <c r="N762" s="887"/>
      <c r="O762" s="885"/>
      <c r="P762" s="885"/>
      <c r="Q762" s="885"/>
      <c r="R762" s="885"/>
      <c r="S762" s="885"/>
      <c r="T762" s="885"/>
      <c r="U762" s="885"/>
      <c r="V762" s="885"/>
      <c r="W762" s="885"/>
      <c r="X762" s="885"/>
      <c r="Y762" s="885"/>
      <c r="Z762" s="885"/>
    </row>
    <row r="763" ht="15.75" customHeight="1">
      <c r="A763" s="884" t="s">
        <v>2320</v>
      </c>
      <c r="B763" s="895" t="s">
        <v>2319</v>
      </c>
      <c r="C763" s="884"/>
      <c r="D763" s="3"/>
      <c r="E763" s="885"/>
      <c r="F763" s="884"/>
      <c r="G763" s="884"/>
      <c r="H763" s="930"/>
      <c r="I763" s="885"/>
      <c r="J763" s="885"/>
      <c r="K763" s="885"/>
      <c r="L763" s="885"/>
      <c r="M763" s="885"/>
      <c r="N763" s="887"/>
      <c r="O763" s="885"/>
      <c r="P763" s="885"/>
      <c r="Q763" s="885"/>
      <c r="R763" s="885"/>
      <c r="S763" s="885"/>
      <c r="T763" s="885"/>
      <c r="U763" s="885"/>
      <c r="V763" s="885"/>
      <c r="W763" s="885"/>
      <c r="X763" s="885"/>
      <c r="Y763" s="885"/>
      <c r="Z763" s="885"/>
    </row>
    <row r="764" ht="15.75" customHeight="1">
      <c r="A764" s="884" t="s">
        <v>1859</v>
      </c>
      <c r="B764" s="895" t="s">
        <v>2319</v>
      </c>
      <c r="C764" s="884"/>
      <c r="D764" s="3"/>
      <c r="E764" s="885"/>
      <c r="F764" s="884"/>
      <c r="G764" s="884"/>
      <c r="H764" s="930"/>
      <c r="I764" s="885"/>
      <c r="J764" s="885"/>
      <c r="K764" s="885"/>
      <c r="L764" s="885"/>
      <c r="M764" s="885"/>
      <c r="N764" s="887"/>
      <c r="O764" s="885"/>
      <c r="P764" s="885"/>
      <c r="Q764" s="885"/>
      <c r="R764" s="885"/>
      <c r="S764" s="885"/>
      <c r="T764" s="885"/>
      <c r="U764" s="885"/>
      <c r="V764" s="885"/>
      <c r="W764" s="885"/>
      <c r="X764" s="885"/>
      <c r="Y764" s="885"/>
      <c r="Z764" s="885"/>
    </row>
    <row r="765" ht="15.75" customHeight="1">
      <c r="A765" s="3" t="s">
        <v>2321</v>
      </c>
      <c r="B765" s="895" t="s">
        <v>2319</v>
      </c>
      <c r="C765" s="884"/>
      <c r="D765" s="3"/>
      <c r="E765" s="885"/>
      <c r="F765" s="884"/>
      <c r="G765" s="884"/>
      <c r="H765" s="930"/>
      <c r="I765" s="885"/>
      <c r="J765" s="885"/>
      <c r="K765" s="885"/>
      <c r="L765" s="885"/>
      <c r="M765" s="885"/>
      <c r="N765" s="887"/>
      <c r="O765" s="885"/>
      <c r="P765" s="885"/>
      <c r="Q765" s="885"/>
      <c r="R765" s="885"/>
      <c r="S765" s="885"/>
      <c r="T765" s="885"/>
      <c r="U765" s="885"/>
      <c r="V765" s="885"/>
      <c r="W765" s="885"/>
      <c r="X765" s="885"/>
      <c r="Y765" s="885"/>
      <c r="Z765" s="885"/>
    </row>
    <row r="766" ht="15.75" customHeight="1">
      <c r="A766" s="3" t="s">
        <v>2322</v>
      </c>
      <c r="B766" s="895" t="s">
        <v>2319</v>
      </c>
      <c r="C766" s="884"/>
      <c r="D766" s="3"/>
      <c r="E766" s="885"/>
      <c r="F766" s="884"/>
      <c r="G766" s="884"/>
      <c r="H766" s="930"/>
      <c r="I766" s="885"/>
      <c r="J766" s="885"/>
      <c r="K766" s="885"/>
      <c r="L766" s="885"/>
      <c r="M766" s="885"/>
      <c r="N766" s="887"/>
      <c r="O766" s="885"/>
      <c r="P766" s="885"/>
      <c r="Q766" s="885"/>
      <c r="R766" s="885"/>
      <c r="S766" s="885"/>
      <c r="T766" s="885"/>
      <c r="U766" s="885"/>
      <c r="V766" s="885"/>
      <c r="W766" s="885"/>
      <c r="X766" s="885"/>
      <c r="Y766" s="885"/>
      <c r="Z766" s="885"/>
    </row>
    <row r="767" ht="15.75" customHeight="1">
      <c r="A767" s="3" t="s">
        <v>2323</v>
      </c>
      <c r="B767" s="895" t="s">
        <v>2319</v>
      </c>
      <c r="C767" s="884"/>
      <c r="D767" s="3"/>
      <c r="E767" s="885"/>
      <c r="F767" s="884"/>
      <c r="G767" s="884"/>
      <c r="H767" s="930"/>
      <c r="I767" s="885"/>
      <c r="J767" s="885"/>
      <c r="K767" s="885"/>
      <c r="L767" s="885"/>
      <c r="M767" s="885"/>
      <c r="N767" s="887"/>
      <c r="O767" s="885"/>
      <c r="P767" s="885"/>
      <c r="Q767" s="885"/>
      <c r="R767" s="885"/>
      <c r="S767" s="885"/>
      <c r="T767" s="885"/>
      <c r="U767" s="885"/>
      <c r="V767" s="885"/>
      <c r="W767" s="885"/>
      <c r="X767" s="885"/>
      <c r="Y767" s="885"/>
      <c r="Z767" s="885"/>
    </row>
    <row r="768" ht="15.75" customHeight="1">
      <c r="A768" s="3" t="s">
        <v>2324</v>
      </c>
      <c r="B768" s="895" t="s">
        <v>2319</v>
      </c>
      <c r="C768" s="884"/>
      <c r="D768" s="3"/>
      <c r="E768" s="885"/>
      <c r="F768" s="884"/>
      <c r="G768" s="884"/>
      <c r="H768" s="930"/>
      <c r="I768" s="885"/>
      <c r="J768" s="885"/>
      <c r="K768" s="885"/>
      <c r="L768" s="885"/>
      <c r="M768" s="885"/>
      <c r="N768" s="887"/>
      <c r="O768" s="885"/>
      <c r="P768" s="885"/>
      <c r="Q768" s="885"/>
      <c r="R768" s="885"/>
      <c r="S768" s="885"/>
      <c r="T768" s="885"/>
      <c r="U768" s="885"/>
      <c r="V768" s="885"/>
      <c r="W768" s="885"/>
      <c r="X768" s="885"/>
      <c r="Y768" s="885"/>
      <c r="Z768" s="885"/>
    </row>
    <row r="769" ht="15.75" customHeight="1">
      <c r="A769" s="3" t="s">
        <v>2325</v>
      </c>
      <c r="B769" s="895" t="s">
        <v>2319</v>
      </c>
      <c r="C769" s="884"/>
      <c r="D769" s="3"/>
      <c r="E769" s="885"/>
      <c r="F769" s="884"/>
      <c r="G769" s="884"/>
      <c r="H769" s="930"/>
      <c r="I769" s="885"/>
      <c r="J769" s="885"/>
      <c r="K769" s="885"/>
      <c r="L769" s="885"/>
      <c r="M769" s="885"/>
      <c r="N769" s="887"/>
      <c r="O769" s="885"/>
      <c r="P769" s="885"/>
      <c r="Q769" s="885"/>
      <c r="R769" s="885"/>
      <c r="S769" s="885"/>
      <c r="T769" s="885"/>
      <c r="U769" s="885"/>
      <c r="V769" s="885"/>
      <c r="W769" s="885"/>
      <c r="X769" s="885"/>
      <c r="Y769" s="885"/>
      <c r="Z769" s="885"/>
    </row>
    <row r="770" ht="15.75" customHeight="1">
      <c r="A770" s="3" t="s">
        <v>114</v>
      </c>
      <c r="B770" s="895" t="s">
        <v>2319</v>
      </c>
      <c r="C770" s="3"/>
      <c r="D770" s="3"/>
      <c r="E770" s="885"/>
      <c r="F770" s="884"/>
      <c r="G770" s="884"/>
      <c r="H770" s="930"/>
      <c r="I770" s="885"/>
      <c r="J770" s="885"/>
      <c r="K770" s="885"/>
      <c r="L770" s="885"/>
      <c r="M770" s="885"/>
      <c r="N770" s="887"/>
      <c r="O770" s="885"/>
      <c r="P770" s="885"/>
      <c r="Q770" s="885"/>
      <c r="R770" s="885"/>
      <c r="S770" s="885"/>
      <c r="T770" s="885"/>
      <c r="U770" s="885"/>
      <c r="V770" s="885"/>
      <c r="W770" s="885"/>
      <c r="X770" s="885"/>
      <c r="Y770" s="885"/>
      <c r="Z770" s="885"/>
    </row>
    <row r="771" ht="15.75" customHeight="1">
      <c r="A771" s="3" t="s">
        <v>2326</v>
      </c>
      <c r="B771" s="895" t="s">
        <v>2319</v>
      </c>
      <c r="C771" s="3"/>
      <c r="D771" s="3"/>
      <c r="E771" s="885"/>
      <c r="F771" s="884" t="s">
        <v>703</v>
      </c>
      <c r="G771" s="884" t="s">
        <v>1712</v>
      </c>
      <c r="H771" s="930">
        <v>8.0</v>
      </c>
      <c r="I771" s="885"/>
      <c r="J771" s="885"/>
      <c r="K771" s="885"/>
      <c r="L771" s="885"/>
      <c r="M771" s="885"/>
      <c r="N771" s="887"/>
      <c r="O771" s="885"/>
      <c r="P771" s="885"/>
      <c r="Q771" s="885"/>
      <c r="R771" s="885"/>
      <c r="S771" s="885"/>
      <c r="T771" s="885"/>
      <c r="U771" s="885"/>
      <c r="V771" s="885"/>
      <c r="W771" s="885"/>
      <c r="X771" s="885"/>
      <c r="Y771" s="885"/>
      <c r="Z771" s="885"/>
    </row>
    <row r="772" ht="15.75" customHeight="1">
      <c r="A772" s="3" t="s">
        <v>2327</v>
      </c>
      <c r="B772" s="895" t="s">
        <v>2319</v>
      </c>
      <c r="C772" s="3"/>
      <c r="D772" s="3"/>
      <c r="E772" s="885"/>
      <c r="F772" s="884" t="s">
        <v>720</v>
      </c>
      <c r="G772" s="884" t="s">
        <v>251</v>
      </c>
      <c r="H772" s="930">
        <v>10.0</v>
      </c>
      <c r="I772" s="885"/>
      <c r="J772" s="885"/>
      <c r="K772" s="885"/>
      <c r="L772" s="885"/>
      <c r="M772" s="885"/>
      <c r="N772" s="887"/>
      <c r="O772" s="885"/>
      <c r="P772" s="885"/>
      <c r="Q772" s="885"/>
      <c r="R772" s="885"/>
      <c r="S772" s="885"/>
      <c r="T772" s="885"/>
      <c r="U772" s="885"/>
      <c r="V772" s="885"/>
      <c r="W772" s="885"/>
      <c r="X772" s="885"/>
      <c r="Y772" s="885"/>
      <c r="Z772" s="885"/>
    </row>
    <row r="773" ht="15.75" customHeight="1">
      <c r="A773" s="3" t="s">
        <v>2328</v>
      </c>
      <c r="B773" s="895" t="s">
        <v>2319</v>
      </c>
      <c r="C773" s="3"/>
      <c r="D773" s="3"/>
      <c r="E773" s="885"/>
      <c r="F773" s="884" t="s">
        <v>656</v>
      </c>
      <c r="G773" s="884" t="s">
        <v>190</v>
      </c>
      <c r="H773" s="930">
        <v>10.0</v>
      </c>
      <c r="I773" s="885"/>
      <c r="J773" s="885"/>
      <c r="K773" s="885"/>
      <c r="L773" s="885"/>
      <c r="M773" s="885"/>
      <c r="N773" s="887"/>
      <c r="O773" s="885"/>
      <c r="P773" s="885"/>
      <c r="Q773" s="885"/>
      <c r="R773" s="885"/>
      <c r="S773" s="885"/>
      <c r="T773" s="885"/>
      <c r="U773" s="885"/>
      <c r="V773" s="885"/>
      <c r="W773" s="885"/>
      <c r="X773" s="885"/>
      <c r="Y773" s="885"/>
      <c r="Z773" s="885"/>
    </row>
    <row r="774" ht="15.75" customHeight="1">
      <c r="A774" s="3" t="s">
        <v>2329</v>
      </c>
      <c r="B774" s="884" t="s">
        <v>1171</v>
      </c>
      <c r="C774" s="3"/>
      <c r="D774" s="3"/>
      <c r="E774" s="885"/>
      <c r="F774" s="884" t="s">
        <v>668</v>
      </c>
      <c r="G774" s="3"/>
      <c r="H774" s="930"/>
      <c r="I774" s="885"/>
      <c r="J774" s="885"/>
      <c r="K774" s="885"/>
      <c r="L774" s="885"/>
      <c r="M774" s="885"/>
      <c r="N774" s="887"/>
      <c r="O774" s="885"/>
      <c r="P774" s="885"/>
      <c r="Q774" s="885"/>
      <c r="R774" s="885"/>
      <c r="S774" s="885"/>
      <c r="T774" s="885"/>
      <c r="U774" s="885"/>
      <c r="V774" s="885"/>
      <c r="W774" s="885"/>
      <c r="X774" s="885"/>
      <c r="Y774" s="885"/>
      <c r="Z774" s="885"/>
    </row>
    <row r="775" ht="15.75" customHeight="1">
      <c r="A775" s="895" t="s">
        <v>2330</v>
      </c>
      <c r="B775" s="884" t="s">
        <v>1171</v>
      </c>
      <c r="C775" s="3"/>
      <c r="D775" s="3"/>
      <c r="E775" s="885"/>
      <c r="F775" s="884"/>
      <c r="G775" s="884"/>
      <c r="H775" s="930"/>
      <c r="I775" s="885"/>
      <c r="J775" s="885"/>
      <c r="K775" s="885"/>
      <c r="L775" s="885"/>
      <c r="M775" s="885"/>
      <c r="N775" s="887"/>
      <c r="O775" s="885"/>
      <c r="P775" s="885"/>
      <c r="Q775" s="885"/>
      <c r="R775" s="885"/>
      <c r="S775" s="885"/>
      <c r="T775" s="885"/>
      <c r="U775" s="885"/>
      <c r="V775" s="885"/>
      <c r="W775" s="885"/>
      <c r="X775" s="885"/>
      <c r="Y775" s="885"/>
      <c r="Z775" s="885"/>
    </row>
    <row r="776" ht="15.75" customHeight="1">
      <c r="A776" s="895" t="s">
        <v>2331</v>
      </c>
      <c r="B776" s="884" t="s">
        <v>1171</v>
      </c>
      <c r="C776" s="3"/>
      <c r="D776" s="3"/>
      <c r="E776" s="885"/>
      <c r="F776" s="884" t="s">
        <v>963</v>
      </c>
      <c r="G776" s="884" t="s">
        <v>1909</v>
      </c>
      <c r="H776" s="930">
        <v>11.0</v>
      </c>
      <c r="I776" s="885"/>
      <c r="J776" s="885"/>
      <c r="K776" s="885"/>
      <c r="L776" s="885"/>
      <c r="M776" s="885"/>
      <c r="N776" s="887"/>
      <c r="O776" s="885"/>
      <c r="P776" s="885"/>
      <c r="Q776" s="885"/>
      <c r="R776" s="885"/>
      <c r="S776" s="885"/>
      <c r="T776" s="885"/>
      <c r="U776" s="885"/>
      <c r="V776" s="885"/>
      <c r="W776" s="885"/>
      <c r="X776" s="885"/>
      <c r="Y776" s="885"/>
      <c r="Z776" s="885"/>
    </row>
    <row r="777" ht="15.75" customHeight="1">
      <c r="A777" s="3" t="s">
        <v>2332</v>
      </c>
      <c r="B777" s="884" t="s">
        <v>1171</v>
      </c>
      <c r="C777" s="884"/>
      <c r="D777" s="3"/>
      <c r="E777" s="885"/>
      <c r="F777" s="884"/>
      <c r="G777" s="884" t="s">
        <v>1722</v>
      </c>
      <c r="H777" s="930">
        <v>10.0</v>
      </c>
      <c r="I777" s="885"/>
      <c r="J777" s="885"/>
      <c r="K777" s="885"/>
      <c r="L777" s="885"/>
      <c r="M777" s="885"/>
      <c r="N777" s="887"/>
      <c r="O777" s="885"/>
      <c r="P777" s="885"/>
      <c r="Q777" s="885"/>
      <c r="R777" s="885"/>
      <c r="S777" s="885"/>
      <c r="T777" s="885"/>
      <c r="U777" s="885"/>
      <c r="V777" s="885"/>
      <c r="W777" s="885"/>
      <c r="X777" s="885"/>
      <c r="Y777" s="885"/>
      <c r="Z777" s="885"/>
    </row>
    <row r="778" ht="15.75" customHeight="1">
      <c r="A778" s="3" t="s">
        <v>2333</v>
      </c>
      <c r="B778" s="3" t="s">
        <v>2334</v>
      </c>
      <c r="C778" s="884"/>
      <c r="D778" s="3"/>
      <c r="E778" s="885"/>
      <c r="F778" s="884" t="s">
        <v>1714</v>
      </c>
      <c r="G778" s="884" t="s">
        <v>1971</v>
      </c>
      <c r="H778" s="930">
        <v>8.0</v>
      </c>
      <c r="I778" s="885"/>
      <c r="J778" s="885"/>
      <c r="K778" s="885"/>
      <c r="L778" s="885"/>
      <c r="M778" s="885"/>
      <c r="N778" s="887"/>
      <c r="O778" s="885"/>
      <c r="P778" s="885"/>
      <c r="Q778" s="885"/>
      <c r="R778" s="885"/>
      <c r="S778" s="885"/>
      <c r="T778" s="885"/>
      <c r="U778" s="885"/>
      <c r="V778" s="885"/>
      <c r="W778" s="885"/>
      <c r="X778" s="885"/>
      <c r="Y778" s="885"/>
      <c r="Z778" s="885"/>
    </row>
    <row r="779" ht="15.75" customHeight="1">
      <c r="A779" s="3" t="s">
        <v>2335</v>
      </c>
      <c r="B779" s="3" t="s">
        <v>1171</v>
      </c>
      <c r="C779" s="884"/>
      <c r="D779" s="3"/>
      <c r="E779" s="885"/>
      <c r="F779" s="884"/>
      <c r="G779" s="884"/>
      <c r="H779" s="930"/>
      <c r="I779" s="885"/>
      <c r="J779" s="885"/>
      <c r="K779" s="885"/>
      <c r="L779" s="885"/>
      <c r="M779" s="885"/>
      <c r="N779" s="887"/>
      <c r="O779" s="885"/>
      <c r="P779" s="885"/>
      <c r="Q779" s="885"/>
      <c r="R779" s="885"/>
      <c r="S779" s="885"/>
      <c r="T779" s="885"/>
      <c r="U779" s="885"/>
      <c r="V779" s="885"/>
      <c r="W779" s="885"/>
      <c r="X779" s="885"/>
      <c r="Y779" s="885"/>
      <c r="Z779" s="885"/>
    </row>
    <row r="780" ht="15.75" customHeight="1">
      <c r="A780" s="3"/>
      <c r="B780" s="3" t="s">
        <v>1171</v>
      </c>
      <c r="C780" s="884"/>
      <c r="D780" s="3"/>
      <c r="E780" s="885"/>
      <c r="F780" s="883" t="s">
        <v>770</v>
      </c>
      <c r="G780" s="884" t="s">
        <v>89</v>
      </c>
      <c r="H780" s="931">
        <v>18.0</v>
      </c>
      <c r="I780" s="883" t="s">
        <v>2336</v>
      </c>
      <c r="J780" s="885"/>
      <c r="K780" s="885"/>
      <c r="L780" s="885"/>
      <c r="M780" s="885"/>
      <c r="N780" s="887"/>
      <c r="O780" s="885"/>
      <c r="P780" s="885"/>
      <c r="Q780" s="885"/>
      <c r="R780" s="885"/>
      <c r="S780" s="885"/>
      <c r="T780" s="885"/>
      <c r="U780" s="885"/>
      <c r="V780" s="885"/>
      <c r="W780" s="885"/>
      <c r="X780" s="885"/>
      <c r="Y780" s="885"/>
      <c r="Z780" s="885"/>
    </row>
    <row r="781" ht="15.75" customHeight="1">
      <c r="A781" s="3" t="s">
        <v>2337</v>
      </c>
      <c r="B781" s="3" t="s">
        <v>1171</v>
      </c>
      <c r="C781" s="884"/>
      <c r="D781" s="3"/>
      <c r="E781" s="885"/>
      <c r="F781" s="3" t="s">
        <v>951</v>
      </c>
      <c r="G781" s="3"/>
      <c r="H781" s="886">
        <v>13.0</v>
      </c>
      <c r="I781" s="885"/>
      <c r="J781" s="885"/>
      <c r="K781" s="885"/>
      <c r="L781" s="885"/>
      <c r="M781" s="885"/>
      <c r="N781" s="887"/>
      <c r="O781" s="885"/>
      <c r="P781" s="885"/>
      <c r="Q781" s="885"/>
      <c r="R781" s="885"/>
      <c r="S781" s="885"/>
      <c r="T781" s="885"/>
      <c r="U781" s="885"/>
      <c r="V781" s="885"/>
      <c r="W781" s="885"/>
      <c r="X781" s="885"/>
      <c r="Y781" s="885"/>
      <c r="Z781" s="885"/>
    </row>
    <row r="782" ht="15.75" customHeight="1">
      <c r="A782" s="3" t="s">
        <v>2338</v>
      </c>
      <c r="B782" s="3" t="s">
        <v>1171</v>
      </c>
      <c r="C782" s="884"/>
      <c r="D782" s="3"/>
      <c r="E782" s="885"/>
      <c r="F782" s="3"/>
      <c r="G782" s="3"/>
      <c r="H782" s="886"/>
      <c r="I782" s="885"/>
      <c r="J782" s="885"/>
      <c r="K782" s="885"/>
      <c r="L782" s="885"/>
      <c r="M782" s="885"/>
      <c r="N782" s="887"/>
      <c r="O782" s="885"/>
      <c r="P782" s="885"/>
      <c r="Q782" s="885"/>
      <c r="R782" s="885"/>
      <c r="S782" s="885"/>
      <c r="T782" s="885"/>
      <c r="U782" s="885"/>
      <c r="V782" s="885"/>
      <c r="W782" s="885"/>
      <c r="X782" s="885"/>
      <c r="Y782" s="885"/>
      <c r="Z782" s="885"/>
    </row>
    <row r="783" ht="15.75" customHeight="1">
      <c r="A783" s="884" t="s">
        <v>2339</v>
      </c>
      <c r="B783" s="3" t="s">
        <v>1171</v>
      </c>
      <c r="C783" s="884"/>
      <c r="D783" s="3"/>
      <c r="E783" s="885"/>
      <c r="F783" s="3"/>
      <c r="G783" s="3"/>
      <c r="H783" s="886"/>
      <c r="I783" s="885"/>
      <c r="J783" s="885"/>
      <c r="K783" s="885"/>
      <c r="L783" s="885"/>
      <c r="M783" s="885"/>
      <c r="N783" s="887"/>
      <c r="O783" s="885"/>
      <c r="P783" s="885"/>
      <c r="Q783" s="885"/>
      <c r="R783" s="885"/>
      <c r="S783" s="885"/>
      <c r="T783" s="885"/>
      <c r="U783" s="885"/>
      <c r="V783" s="885"/>
      <c r="W783" s="885"/>
      <c r="X783" s="885"/>
      <c r="Y783" s="885"/>
      <c r="Z783" s="885"/>
    </row>
    <row r="784" ht="15.75" customHeight="1">
      <c r="A784" s="884" t="s">
        <v>2340</v>
      </c>
      <c r="B784" s="3" t="s">
        <v>1171</v>
      </c>
      <c r="C784" s="884"/>
      <c r="D784" s="3"/>
      <c r="E784" s="885"/>
      <c r="F784" s="3"/>
      <c r="G784" s="3"/>
      <c r="H784" s="886"/>
      <c r="I784" s="885"/>
      <c r="J784" s="885"/>
      <c r="K784" s="885"/>
      <c r="L784" s="885"/>
      <c r="M784" s="885"/>
      <c r="N784" s="887"/>
      <c r="O784" s="885"/>
      <c r="P784" s="885"/>
      <c r="Q784" s="885"/>
      <c r="R784" s="885"/>
      <c r="S784" s="885"/>
      <c r="T784" s="885"/>
      <c r="U784" s="885"/>
      <c r="V784" s="885"/>
      <c r="W784" s="885"/>
      <c r="X784" s="885"/>
      <c r="Y784" s="885"/>
      <c r="Z784" s="885"/>
    </row>
    <row r="785" ht="15.75" customHeight="1">
      <c r="A785" s="884" t="s">
        <v>2341</v>
      </c>
      <c r="B785" s="3" t="s">
        <v>1171</v>
      </c>
      <c r="C785" s="884"/>
      <c r="D785" s="3"/>
      <c r="E785" s="885"/>
      <c r="F785" s="3"/>
      <c r="G785" s="3"/>
      <c r="H785" s="886"/>
      <c r="I785" s="885"/>
      <c r="J785" s="885"/>
      <c r="K785" s="885"/>
      <c r="L785" s="885"/>
      <c r="M785" s="885"/>
      <c r="N785" s="887"/>
      <c r="O785" s="885"/>
      <c r="P785" s="885"/>
      <c r="Q785" s="885"/>
      <c r="R785" s="885"/>
      <c r="S785" s="885"/>
      <c r="T785" s="885"/>
      <c r="U785" s="885"/>
      <c r="V785" s="885"/>
      <c r="W785" s="885"/>
      <c r="X785" s="885"/>
      <c r="Y785" s="885"/>
      <c r="Z785" s="885"/>
    </row>
    <row r="786" ht="15.75" customHeight="1">
      <c r="A786" s="884" t="s">
        <v>2342</v>
      </c>
      <c r="B786" s="3" t="s">
        <v>1171</v>
      </c>
      <c r="C786" s="884"/>
      <c r="D786" s="3"/>
      <c r="E786" s="885"/>
      <c r="F786" s="3"/>
      <c r="G786" s="3"/>
      <c r="H786" s="886"/>
      <c r="I786" s="885"/>
      <c r="J786" s="885"/>
      <c r="K786" s="885"/>
      <c r="L786" s="885"/>
      <c r="M786" s="885"/>
      <c r="N786" s="887"/>
      <c r="O786" s="885"/>
      <c r="P786" s="885"/>
      <c r="Q786" s="885"/>
      <c r="R786" s="885"/>
      <c r="S786" s="885"/>
      <c r="T786" s="885"/>
      <c r="U786" s="885"/>
      <c r="V786" s="885"/>
      <c r="W786" s="885"/>
      <c r="X786" s="885"/>
      <c r="Y786" s="885"/>
      <c r="Z786" s="885"/>
    </row>
    <row r="787" ht="15.75" customHeight="1">
      <c r="A787" s="884" t="s">
        <v>2343</v>
      </c>
      <c r="B787" s="3" t="s">
        <v>1171</v>
      </c>
      <c r="C787" s="884"/>
      <c r="D787" s="3"/>
      <c r="E787" s="885"/>
      <c r="F787" s="3"/>
      <c r="G787" s="3"/>
      <c r="H787" s="886"/>
      <c r="I787" s="885"/>
      <c r="J787" s="885"/>
      <c r="K787" s="885"/>
      <c r="L787" s="885"/>
      <c r="M787" s="885"/>
      <c r="N787" s="887"/>
      <c r="O787" s="885"/>
      <c r="P787" s="885"/>
      <c r="Q787" s="885"/>
      <c r="R787" s="885"/>
      <c r="S787" s="885"/>
      <c r="T787" s="885"/>
      <c r="U787" s="885"/>
      <c r="V787" s="885"/>
      <c r="W787" s="885"/>
      <c r="X787" s="885"/>
      <c r="Y787" s="885"/>
      <c r="Z787" s="885"/>
    </row>
    <row r="788" ht="15.75" customHeight="1">
      <c r="A788" s="3" t="s">
        <v>2344</v>
      </c>
      <c r="B788" s="3" t="s">
        <v>1171</v>
      </c>
      <c r="C788" s="884"/>
      <c r="D788" s="3"/>
      <c r="E788" s="885"/>
      <c r="F788" s="3"/>
      <c r="G788" s="3"/>
      <c r="H788" s="886"/>
      <c r="I788" s="885"/>
      <c r="J788" s="885"/>
      <c r="K788" s="885"/>
      <c r="L788" s="885"/>
      <c r="M788" s="885"/>
      <c r="N788" s="887"/>
      <c r="O788" s="885"/>
      <c r="P788" s="885"/>
      <c r="Q788" s="885"/>
      <c r="R788" s="885"/>
      <c r="S788" s="885"/>
      <c r="T788" s="885"/>
      <c r="U788" s="885"/>
      <c r="V788" s="885"/>
      <c r="W788" s="885"/>
      <c r="X788" s="885"/>
      <c r="Y788" s="885"/>
      <c r="Z788" s="885"/>
    </row>
    <row r="789" ht="15.75" customHeight="1">
      <c r="A789" s="3" t="s">
        <v>2345</v>
      </c>
      <c r="B789" s="3" t="s">
        <v>1171</v>
      </c>
      <c r="C789" s="884"/>
      <c r="D789" s="3"/>
      <c r="E789" s="885"/>
      <c r="F789" s="3"/>
      <c r="G789" s="3"/>
      <c r="H789" s="886"/>
      <c r="I789" s="885"/>
      <c r="J789" s="885"/>
      <c r="K789" s="885"/>
      <c r="L789" s="885"/>
      <c r="M789" s="885"/>
      <c r="N789" s="887"/>
      <c r="O789" s="885"/>
      <c r="P789" s="885"/>
      <c r="Q789" s="885"/>
      <c r="R789" s="885"/>
      <c r="S789" s="885"/>
      <c r="T789" s="885"/>
      <c r="U789" s="885"/>
      <c r="V789" s="885"/>
      <c r="W789" s="885"/>
      <c r="X789" s="885"/>
      <c r="Y789" s="885"/>
      <c r="Z789" s="885"/>
    </row>
    <row r="790" ht="15.75" customHeight="1">
      <c r="A790" s="3" t="s">
        <v>2346</v>
      </c>
      <c r="B790" s="3" t="s">
        <v>1171</v>
      </c>
      <c r="C790" s="884"/>
      <c r="D790" s="3"/>
      <c r="E790" s="885"/>
      <c r="F790" s="3"/>
      <c r="G790" s="3"/>
      <c r="H790" s="886"/>
      <c r="I790" s="885"/>
      <c r="J790" s="885"/>
      <c r="K790" s="885"/>
      <c r="L790" s="885"/>
      <c r="M790" s="885"/>
      <c r="N790" s="887"/>
      <c r="O790" s="885"/>
      <c r="P790" s="885"/>
      <c r="Q790" s="885"/>
      <c r="R790" s="885"/>
      <c r="S790" s="885"/>
      <c r="T790" s="885"/>
      <c r="U790" s="885"/>
      <c r="V790" s="885"/>
      <c r="W790" s="885"/>
      <c r="X790" s="885"/>
      <c r="Y790" s="885"/>
      <c r="Z790" s="885"/>
    </row>
    <row r="791" ht="15.75" customHeight="1">
      <c r="A791" s="3" t="s">
        <v>2347</v>
      </c>
      <c r="B791" s="3" t="s">
        <v>1171</v>
      </c>
      <c r="C791" s="884"/>
      <c r="D791" s="3"/>
      <c r="E791" s="885"/>
      <c r="F791" s="3"/>
      <c r="G791" s="3"/>
      <c r="H791" s="886"/>
      <c r="I791" s="885"/>
      <c r="J791" s="885"/>
      <c r="K791" s="885"/>
      <c r="L791" s="885"/>
      <c r="M791" s="885"/>
      <c r="N791" s="887"/>
      <c r="O791" s="885"/>
      <c r="P791" s="885"/>
      <c r="Q791" s="885"/>
      <c r="R791" s="885"/>
      <c r="S791" s="885"/>
      <c r="T791" s="885"/>
      <c r="U791" s="885"/>
      <c r="V791" s="885"/>
      <c r="W791" s="885"/>
      <c r="X791" s="885"/>
      <c r="Y791" s="885"/>
      <c r="Z791" s="885"/>
    </row>
    <row r="792" ht="15.75" customHeight="1">
      <c r="A792" s="3" t="s">
        <v>2348</v>
      </c>
      <c r="B792" s="3" t="s">
        <v>1171</v>
      </c>
      <c r="C792" s="884"/>
      <c r="D792" s="3"/>
      <c r="E792" s="885"/>
      <c r="F792" s="3"/>
      <c r="G792" s="3"/>
      <c r="H792" s="886"/>
      <c r="I792" s="885"/>
      <c r="J792" s="885"/>
      <c r="K792" s="885"/>
      <c r="L792" s="885"/>
      <c r="M792" s="885"/>
      <c r="N792" s="887"/>
      <c r="O792" s="885"/>
      <c r="P792" s="885"/>
      <c r="Q792" s="885"/>
      <c r="R792" s="885"/>
      <c r="S792" s="885"/>
      <c r="T792" s="885"/>
      <c r="U792" s="885"/>
      <c r="V792" s="885"/>
      <c r="W792" s="885"/>
      <c r="X792" s="885"/>
      <c r="Y792" s="885"/>
      <c r="Z792" s="885"/>
    </row>
    <row r="793" ht="15.75" customHeight="1">
      <c r="A793" s="3" t="s">
        <v>2349</v>
      </c>
      <c r="B793" s="3" t="s">
        <v>1171</v>
      </c>
      <c r="C793" s="884"/>
      <c r="D793" s="3"/>
      <c r="E793" s="885"/>
      <c r="F793" s="3"/>
      <c r="G793" s="3"/>
      <c r="H793" s="886"/>
      <c r="I793" s="885"/>
      <c r="J793" s="885"/>
      <c r="K793" s="885"/>
      <c r="L793" s="885"/>
      <c r="M793" s="885"/>
      <c r="N793" s="887"/>
      <c r="O793" s="885"/>
      <c r="P793" s="885"/>
      <c r="Q793" s="885"/>
      <c r="R793" s="885"/>
      <c r="S793" s="885"/>
      <c r="T793" s="885"/>
      <c r="U793" s="885"/>
      <c r="V793" s="885"/>
      <c r="W793" s="885"/>
      <c r="X793" s="885"/>
      <c r="Y793" s="885"/>
      <c r="Z793" s="885"/>
    </row>
    <row r="794" ht="15.75" customHeight="1">
      <c r="A794" s="3" t="s">
        <v>2350</v>
      </c>
      <c r="B794" s="884" t="s">
        <v>1171</v>
      </c>
      <c r="C794" s="884"/>
      <c r="D794" s="3"/>
      <c r="E794" s="885"/>
      <c r="F794" s="3"/>
      <c r="G794" s="3"/>
      <c r="H794" s="886"/>
      <c r="I794" s="885"/>
      <c r="J794" s="885"/>
      <c r="K794" s="885"/>
      <c r="L794" s="885"/>
      <c r="M794" s="885"/>
      <c r="N794" s="887"/>
      <c r="O794" s="885"/>
      <c r="P794" s="885"/>
      <c r="Q794" s="885"/>
      <c r="R794" s="885"/>
      <c r="S794" s="885"/>
      <c r="T794" s="885"/>
      <c r="U794" s="885"/>
      <c r="V794" s="885"/>
      <c r="W794" s="885"/>
      <c r="X794" s="885"/>
      <c r="Y794" s="885"/>
      <c r="Z794" s="885"/>
    </row>
    <row r="795" ht="15.75" customHeight="1">
      <c r="A795" s="895" t="s">
        <v>361</v>
      </c>
      <c r="B795" s="884" t="s">
        <v>1171</v>
      </c>
      <c r="C795" s="884"/>
      <c r="D795" s="3"/>
      <c r="E795" s="885"/>
      <c r="F795" s="3"/>
      <c r="G795" s="3"/>
      <c r="H795" s="886"/>
      <c r="I795" s="885"/>
      <c r="J795" s="885"/>
      <c r="K795" s="885"/>
      <c r="L795" s="885"/>
      <c r="M795" s="885"/>
      <c r="N795" s="887"/>
      <c r="O795" s="885"/>
      <c r="P795" s="885"/>
      <c r="Q795" s="885"/>
      <c r="R795" s="885"/>
      <c r="S795" s="885"/>
      <c r="T795" s="885"/>
      <c r="U795" s="885"/>
      <c r="V795" s="885"/>
      <c r="W795" s="885"/>
      <c r="X795" s="885"/>
      <c r="Y795" s="885"/>
      <c r="Z795" s="885"/>
    </row>
    <row r="796" ht="15.75" customHeight="1">
      <c r="A796" s="3" t="s">
        <v>2351</v>
      </c>
      <c r="B796" s="884" t="s">
        <v>1171</v>
      </c>
      <c r="C796" s="884"/>
      <c r="D796" s="3"/>
      <c r="E796" s="885"/>
      <c r="F796" s="3"/>
      <c r="G796" s="3"/>
      <c r="H796" s="886"/>
      <c r="I796" s="885"/>
      <c r="J796" s="885"/>
      <c r="K796" s="885"/>
      <c r="L796" s="885"/>
      <c r="N796" s="887"/>
      <c r="O796" s="885"/>
      <c r="P796" s="885"/>
      <c r="Q796" s="885"/>
      <c r="R796" s="885"/>
      <c r="S796" s="885"/>
      <c r="T796" s="885"/>
      <c r="U796" s="885"/>
      <c r="V796" s="885"/>
      <c r="W796" s="885"/>
      <c r="X796" s="885"/>
      <c r="Y796" s="885"/>
      <c r="Z796" s="885"/>
    </row>
    <row r="797" ht="15.75" customHeight="1">
      <c r="A797" s="3" t="s">
        <v>2352</v>
      </c>
      <c r="B797" s="884" t="s">
        <v>1171</v>
      </c>
      <c r="C797" s="884"/>
      <c r="D797" s="3"/>
      <c r="E797" s="885"/>
      <c r="F797" s="3"/>
      <c r="G797" s="3"/>
      <c r="H797" s="886"/>
      <c r="I797" s="885"/>
      <c r="J797" s="885"/>
      <c r="K797" s="885"/>
      <c r="L797" s="885"/>
      <c r="N797" s="887"/>
      <c r="O797" s="885"/>
      <c r="P797" s="885"/>
      <c r="Q797" s="885"/>
      <c r="R797" s="885"/>
      <c r="S797" s="885"/>
      <c r="T797" s="885"/>
      <c r="U797" s="885"/>
      <c r="V797" s="885"/>
      <c r="W797" s="885"/>
      <c r="X797" s="885"/>
      <c r="Y797" s="885"/>
      <c r="Z797" s="885"/>
    </row>
    <row r="798" ht="15.75" customHeight="1">
      <c r="A798" s="3" t="s">
        <v>2353</v>
      </c>
      <c r="B798" s="884" t="s">
        <v>1171</v>
      </c>
      <c r="C798" s="884"/>
      <c r="D798" s="3"/>
      <c r="E798" s="885"/>
      <c r="F798" s="3"/>
      <c r="G798" s="3"/>
      <c r="H798" s="886"/>
      <c r="I798" s="885"/>
      <c r="J798" s="885"/>
      <c r="K798" s="885"/>
      <c r="L798" s="885"/>
      <c r="N798" s="887"/>
      <c r="O798" s="885"/>
      <c r="P798" s="885"/>
      <c r="Q798" s="885"/>
      <c r="R798" s="885"/>
      <c r="S798" s="885"/>
      <c r="T798" s="885"/>
      <c r="U798" s="885"/>
      <c r="V798" s="885"/>
      <c r="W798" s="885"/>
      <c r="X798" s="885"/>
      <c r="Y798" s="885"/>
      <c r="Z798" s="885"/>
    </row>
    <row r="799" ht="15.75" customHeight="1">
      <c r="A799" s="3" t="s">
        <v>2354</v>
      </c>
      <c r="B799" s="884" t="s">
        <v>1171</v>
      </c>
      <c r="C799" s="884"/>
      <c r="D799" s="3"/>
      <c r="E799" s="885"/>
      <c r="F799" s="3"/>
      <c r="G799" s="3"/>
      <c r="H799" s="886"/>
      <c r="I799" s="885"/>
      <c r="J799" s="885"/>
      <c r="K799" s="885"/>
      <c r="L799" s="885"/>
      <c r="N799" s="887"/>
      <c r="O799" s="885"/>
      <c r="P799" s="885"/>
      <c r="Q799" s="885"/>
      <c r="R799" s="885"/>
      <c r="S799" s="885"/>
      <c r="T799" s="885"/>
      <c r="U799" s="885"/>
      <c r="V799" s="885"/>
      <c r="W799" s="885"/>
      <c r="X799" s="885"/>
      <c r="Y799" s="885"/>
      <c r="Z799" s="885"/>
    </row>
    <row r="800" ht="15.75" customHeight="1">
      <c r="A800" s="3" t="s">
        <v>2355</v>
      </c>
      <c r="B800" s="884" t="s">
        <v>1171</v>
      </c>
      <c r="C800" s="884"/>
      <c r="D800" s="3"/>
      <c r="E800" s="885"/>
      <c r="F800" s="3"/>
      <c r="G800" s="3"/>
      <c r="H800" s="886"/>
      <c r="I800" s="885"/>
      <c r="J800" s="885"/>
      <c r="K800" s="885"/>
      <c r="L800" s="885"/>
      <c r="N800" s="887"/>
      <c r="O800" s="885"/>
      <c r="P800" s="885"/>
      <c r="Q800" s="885"/>
      <c r="R800" s="885"/>
      <c r="S800" s="885"/>
      <c r="T800" s="885"/>
      <c r="U800" s="885"/>
      <c r="V800" s="885"/>
      <c r="W800" s="885"/>
      <c r="X800" s="885"/>
      <c r="Y800" s="885"/>
      <c r="Z800" s="885"/>
    </row>
    <row r="801" ht="15.75" customHeight="1">
      <c r="A801" s="3" t="s">
        <v>374</v>
      </c>
      <c r="B801" s="883" t="s">
        <v>374</v>
      </c>
      <c r="C801" s="884"/>
      <c r="D801" s="3"/>
      <c r="E801" s="885"/>
      <c r="F801" s="3"/>
      <c r="G801" s="3"/>
      <c r="H801" s="886"/>
      <c r="I801" s="885"/>
      <c r="J801" s="885"/>
      <c r="K801" s="885"/>
      <c r="L801" s="885"/>
      <c r="N801" s="887"/>
      <c r="O801" s="885"/>
      <c r="P801" s="885"/>
      <c r="Q801" s="885"/>
      <c r="R801" s="885"/>
      <c r="S801" s="885"/>
      <c r="T801" s="885"/>
      <c r="U801" s="885"/>
      <c r="V801" s="885"/>
      <c r="W801" s="885"/>
      <c r="X801" s="885"/>
      <c r="Y801" s="885"/>
      <c r="Z801" s="885"/>
    </row>
    <row r="802" ht="15.75" customHeight="1">
      <c r="A802" s="3" t="s">
        <v>2356</v>
      </c>
      <c r="B802" s="884" t="s">
        <v>1171</v>
      </c>
      <c r="C802" s="884"/>
      <c r="D802" s="3"/>
      <c r="E802" s="885"/>
      <c r="F802" s="3"/>
      <c r="G802" s="3"/>
      <c r="H802" s="886"/>
      <c r="I802" s="885"/>
      <c r="J802" s="885"/>
      <c r="K802" s="885"/>
      <c r="L802" s="885"/>
      <c r="N802" s="887"/>
      <c r="O802" s="885"/>
      <c r="P802" s="885"/>
      <c r="Q802" s="885"/>
      <c r="R802" s="885"/>
      <c r="S802" s="885"/>
      <c r="T802" s="885"/>
      <c r="U802" s="885"/>
      <c r="V802" s="885"/>
      <c r="W802" s="885"/>
      <c r="X802" s="885"/>
      <c r="Y802" s="885"/>
      <c r="Z802" s="885"/>
    </row>
    <row r="803" ht="15.75" customHeight="1">
      <c r="A803" s="3" t="s">
        <v>2357</v>
      </c>
      <c r="B803" s="884" t="s">
        <v>1171</v>
      </c>
      <c r="C803" s="884"/>
      <c r="D803" s="3"/>
      <c r="E803" s="885"/>
      <c r="F803" s="885"/>
      <c r="G803" s="885"/>
      <c r="H803" s="930"/>
      <c r="I803" s="885"/>
      <c r="J803" s="885"/>
      <c r="K803" s="885"/>
      <c r="L803" s="885"/>
      <c r="M803" s="885"/>
      <c r="N803" s="887"/>
      <c r="O803" s="885"/>
      <c r="P803" s="885"/>
      <c r="Q803" s="885"/>
      <c r="R803" s="885"/>
      <c r="S803" s="885"/>
      <c r="T803" s="885"/>
      <c r="U803" s="885"/>
      <c r="V803" s="885"/>
      <c r="W803" s="885"/>
      <c r="X803" s="885"/>
      <c r="Y803" s="885"/>
      <c r="Z803" s="885"/>
    </row>
    <row r="804" ht="15.75" customHeight="1">
      <c r="A804" s="3"/>
      <c r="B804" s="884" t="s">
        <v>1171</v>
      </c>
      <c r="C804" s="884"/>
      <c r="D804" s="3"/>
      <c r="E804" s="885"/>
      <c r="F804" s="885"/>
      <c r="G804" s="885"/>
      <c r="H804" s="930"/>
      <c r="I804" s="885"/>
      <c r="J804" s="885"/>
      <c r="K804" s="885"/>
      <c r="L804" s="885"/>
      <c r="M804" s="885"/>
      <c r="N804" s="887"/>
      <c r="O804" s="885"/>
      <c r="P804" s="885"/>
      <c r="Q804" s="885"/>
      <c r="R804" s="885"/>
      <c r="S804" s="885"/>
      <c r="T804" s="885"/>
      <c r="U804" s="885"/>
      <c r="V804" s="885"/>
      <c r="W804" s="885"/>
      <c r="X804" s="885"/>
      <c r="Y804" s="885"/>
      <c r="Z804" s="885"/>
    </row>
    <row r="805" ht="15.75" customHeight="1">
      <c r="A805" s="3" t="s">
        <v>2358</v>
      </c>
      <c r="B805" s="884" t="s">
        <v>1171</v>
      </c>
      <c r="C805" s="884"/>
      <c r="D805" s="3"/>
      <c r="E805" s="885"/>
      <c r="F805" s="885"/>
      <c r="G805" s="885"/>
      <c r="H805" s="930"/>
      <c r="I805" s="885"/>
      <c r="J805" s="885"/>
      <c r="K805" s="885"/>
      <c r="L805" s="885"/>
      <c r="M805" s="885"/>
      <c r="N805" s="887"/>
      <c r="O805" s="885"/>
      <c r="P805" s="885"/>
      <c r="Q805" s="885"/>
      <c r="R805" s="885"/>
      <c r="S805" s="885"/>
      <c r="T805" s="885"/>
      <c r="U805" s="885"/>
      <c r="V805" s="885"/>
      <c r="W805" s="885"/>
      <c r="X805" s="885"/>
      <c r="Y805" s="885"/>
      <c r="Z805" s="885"/>
    </row>
    <row r="806" ht="15.75" customHeight="1">
      <c r="A806" s="3" t="s">
        <v>2359</v>
      </c>
      <c r="B806" s="884" t="s">
        <v>1171</v>
      </c>
      <c r="C806" s="884"/>
      <c r="D806" s="3"/>
      <c r="E806" s="885"/>
      <c r="F806" s="885"/>
      <c r="G806" s="885"/>
      <c r="H806" s="930"/>
      <c r="I806" s="885"/>
      <c r="J806" s="885"/>
      <c r="K806" s="885"/>
      <c r="L806" s="885"/>
      <c r="M806" s="885"/>
      <c r="N806" s="887"/>
      <c r="O806" s="885"/>
      <c r="P806" s="885"/>
      <c r="Q806" s="885"/>
      <c r="R806" s="885"/>
      <c r="S806" s="885"/>
      <c r="T806" s="885"/>
      <c r="U806" s="885"/>
      <c r="V806" s="885"/>
      <c r="W806" s="885"/>
      <c r="X806" s="885"/>
      <c r="Y806" s="885"/>
      <c r="Z806" s="885"/>
    </row>
    <row r="807" ht="15.75" customHeight="1">
      <c r="A807" s="3" t="s">
        <v>2360</v>
      </c>
      <c r="B807" s="884" t="s">
        <v>1171</v>
      </c>
      <c r="C807" s="884"/>
      <c r="D807" s="3"/>
      <c r="E807" s="885"/>
      <c r="F807" s="948"/>
      <c r="G807" s="949" t="s">
        <v>2361</v>
      </c>
      <c r="H807" s="950"/>
      <c r="I807" s="951"/>
      <c r="J807" s="951"/>
      <c r="K807" s="952" t="s">
        <v>2362</v>
      </c>
      <c r="L807" s="953"/>
      <c r="M807" s="891" t="s">
        <v>2363</v>
      </c>
      <c r="N807" s="887"/>
      <c r="O807" s="885"/>
      <c r="P807" s="954"/>
      <c r="Q807" s="885"/>
      <c r="R807" s="885"/>
      <c r="S807" s="885"/>
      <c r="T807" s="885"/>
      <c r="U807" s="885"/>
      <c r="V807" s="885"/>
      <c r="W807" s="885"/>
      <c r="X807" s="885"/>
      <c r="Y807" s="885"/>
      <c r="Z807" s="885"/>
    </row>
    <row r="808" ht="15.75" customHeight="1">
      <c r="A808" s="3" t="s">
        <v>2364</v>
      </c>
      <c r="B808" s="884" t="s">
        <v>1171</v>
      </c>
      <c r="C808" s="884"/>
      <c r="D808" s="3"/>
      <c r="E808" s="885"/>
      <c r="F808" s="955" t="s">
        <v>2365</v>
      </c>
      <c r="G808" s="3"/>
      <c r="H808" s="930"/>
      <c r="I808" s="885"/>
      <c r="J808" s="885"/>
      <c r="L808" s="956"/>
      <c r="M808" s="957" t="s">
        <v>19</v>
      </c>
      <c r="N808" s="725">
        <v>1.0</v>
      </c>
      <c r="O808" s="885"/>
      <c r="P808" s="954"/>
      <c r="Q808" s="885"/>
      <c r="R808" s="885"/>
      <c r="S808" s="885"/>
      <c r="T808" s="885"/>
      <c r="U808" s="885"/>
      <c r="V808" s="885"/>
      <c r="W808" s="885"/>
      <c r="X808" s="885"/>
      <c r="Y808" s="885"/>
      <c r="Z808" s="885"/>
    </row>
    <row r="809" ht="15.75" customHeight="1">
      <c r="A809" s="3" t="s">
        <v>2366</v>
      </c>
      <c r="B809" s="883" t="s">
        <v>2367</v>
      </c>
      <c r="C809" s="884"/>
      <c r="D809" s="3"/>
      <c r="E809" s="885"/>
      <c r="F809" s="958" t="s">
        <v>698</v>
      </c>
      <c r="G809" s="895" t="s">
        <v>95</v>
      </c>
      <c r="H809" s="931">
        <v>37.0</v>
      </c>
      <c r="I809" s="885"/>
      <c r="J809" s="885"/>
      <c r="K809" s="895">
        <v>13.0</v>
      </c>
      <c r="L809" s="956"/>
      <c r="M809" s="957" t="s">
        <v>32</v>
      </c>
      <c r="N809" s="931">
        <v>1.0</v>
      </c>
      <c r="O809" s="885"/>
      <c r="P809" s="954"/>
      <c r="Q809" s="885"/>
      <c r="R809" s="885"/>
      <c r="S809" s="885"/>
      <c r="T809" s="885"/>
      <c r="U809" s="885"/>
      <c r="V809" s="885"/>
      <c r="W809" s="885"/>
      <c r="X809" s="885"/>
      <c r="Y809" s="885"/>
      <c r="Z809" s="885"/>
    </row>
    <row r="810" ht="15.75" customHeight="1">
      <c r="A810" s="3" t="s">
        <v>2368</v>
      </c>
      <c r="B810" s="884" t="s">
        <v>1171</v>
      </c>
      <c r="C810" s="884"/>
      <c r="D810" s="3"/>
      <c r="E810" s="885"/>
      <c r="F810" s="959" t="s">
        <v>860</v>
      </c>
      <c r="G810" s="725" t="s">
        <v>95</v>
      </c>
      <c r="H810" s="897">
        <v>43.0</v>
      </c>
      <c r="I810" s="885"/>
      <c r="J810" s="885"/>
      <c r="K810" s="895">
        <v>19.0</v>
      </c>
      <c r="L810" s="956"/>
      <c r="M810" s="957" t="s">
        <v>83</v>
      </c>
      <c r="N810" s="931">
        <v>1.0</v>
      </c>
      <c r="O810" s="885"/>
      <c r="P810" s="954"/>
      <c r="Q810" s="885"/>
      <c r="R810" s="885"/>
      <c r="S810" s="885"/>
      <c r="T810" s="885"/>
      <c r="U810" s="885"/>
      <c r="V810" s="885"/>
      <c r="W810" s="885"/>
      <c r="X810" s="885"/>
      <c r="Y810" s="885"/>
      <c r="Z810" s="885"/>
    </row>
    <row r="811" ht="15.75" customHeight="1">
      <c r="A811" s="3" t="s">
        <v>2369</v>
      </c>
      <c r="B811" s="884" t="s">
        <v>1171</v>
      </c>
      <c r="C811" s="884"/>
      <c r="D811" s="3"/>
      <c r="E811" s="885"/>
      <c r="F811" s="959" t="s">
        <v>708</v>
      </c>
      <c r="H811" s="725">
        <v>27.0</v>
      </c>
      <c r="L811" s="956"/>
      <c r="M811" s="957" t="s">
        <v>218</v>
      </c>
      <c r="N811" s="931">
        <v>1.0</v>
      </c>
      <c r="O811" s="885"/>
      <c r="P811" s="954"/>
      <c r="Q811" s="885"/>
      <c r="R811" s="885"/>
      <c r="S811" s="885"/>
      <c r="T811" s="885"/>
      <c r="U811" s="885"/>
      <c r="V811" s="885"/>
      <c r="W811" s="885"/>
      <c r="X811" s="885"/>
      <c r="Y811" s="885"/>
      <c r="Z811" s="885"/>
    </row>
    <row r="812" ht="15.75" customHeight="1">
      <c r="A812" s="3" t="s">
        <v>2370</v>
      </c>
      <c r="B812" s="884" t="s">
        <v>1171</v>
      </c>
      <c r="C812" s="884"/>
      <c r="D812" s="3"/>
      <c r="E812" s="885"/>
      <c r="F812" s="959" t="s">
        <v>812</v>
      </c>
      <c r="H812" s="725">
        <v>53.0</v>
      </c>
      <c r="L812" s="956"/>
      <c r="M812" s="960" t="s">
        <v>262</v>
      </c>
      <c r="N812" s="931">
        <v>1.0</v>
      </c>
      <c r="O812" s="885"/>
      <c r="P812" s="954"/>
      <c r="Q812" s="885"/>
      <c r="R812" s="885"/>
      <c r="S812" s="885"/>
      <c r="T812" s="885"/>
      <c r="U812" s="885"/>
      <c r="V812" s="885"/>
      <c r="W812" s="885"/>
      <c r="X812" s="885"/>
      <c r="Y812" s="885"/>
      <c r="Z812" s="885"/>
    </row>
    <row r="813" ht="15.75" customHeight="1">
      <c r="A813" s="3" t="s">
        <v>2371</v>
      </c>
      <c r="B813" s="884" t="s">
        <v>1171</v>
      </c>
      <c r="C813" s="884"/>
      <c r="D813" s="3"/>
      <c r="E813" s="885"/>
      <c r="F813" s="959" t="s">
        <v>784</v>
      </c>
      <c r="H813" s="725">
        <v>38.0</v>
      </c>
      <c r="K813" s="725">
        <v>12.0</v>
      </c>
      <c r="M813" s="961" t="s">
        <v>1615</v>
      </c>
      <c r="N813" s="931">
        <v>1.0</v>
      </c>
      <c r="O813" s="885"/>
      <c r="P813" s="954"/>
      <c r="Q813" s="885"/>
      <c r="R813" s="885"/>
      <c r="S813" s="885"/>
      <c r="T813" s="885"/>
      <c r="U813" s="885"/>
      <c r="V813" s="885"/>
      <c r="W813" s="885"/>
      <c r="X813" s="885"/>
      <c r="Y813" s="885"/>
      <c r="Z813" s="885"/>
    </row>
    <row r="814" ht="15.75" customHeight="1">
      <c r="A814" s="3" t="s">
        <v>2372</v>
      </c>
      <c r="B814" s="884" t="s">
        <v>1171</v>
      </c>
      <c r="C814" s="884"/>
      <c r="D814" s="3"/>
      <c r="E814" s="885"/>
      <c r="F814" s="959" t="s">
        <v>1147</v>
      </c>
      <c r="H814" s="725">
        <v>43.0</v>
      </c>
      <c r="K814" s="725">
        <v>17.0</v>
      </c>
      <c r="M814" s="957" t="s">
        <v>264</v>
      </c>
      <c r="N814" s="931">
        <v>1.0</v>
      </c>
      <c r="O814" s="885"/>
      <c r="P814" s="954"/>
      <c r="Q814" s="885"/>
      <c r="R814" s="885"/>
      <c r="S814" s="885"/>
      <c r="T814" s="885"/>
      <c r="U814" s="885"/>
      <c r="V814" s="885"/>
      <c r="W814" s="885"/>
      <c r="X814" s="885"/>
      <c r="Y814" s="885"/>
      <c r="Z814" s="885"/>
    </row>
    <row r="815" ht="15.75" customHeight="1">
      <c r="A815" s="3" t="s">
        <v>2373</v>
      </c>
      <c r="B815" s="884" t="s">
        <v>1171</v>
      </c>
      <c r="C815" s="884"/>
      <c r="D815" s="3"/>
      <c r="E815" s="885"/>
      <c r="F815" s="962" t="s">
        <v>671</v>
      </c>
      <c r="G815" s="963" t="s">
        <v>89</v>
      </c>
      <c r="H815" s="964">
        <v>23.0</v>
      </c>
      <c r="I815" s="885"/>
      <c r="J815" s="885"/>
      <c r="K815" s="3"/>
      <c r="L815" s="956"/>
      <c r="M815" s="960" t="s">
        <v>323</v>
      </c>
      <c r="N815" s="931">
        <v>1.0</v>
      </c>
      <c r="O815" s="885"/>
      <c r="P815" s="954"/>
      <c r="Q815" s="885"/>
      <c r="R815" s="885"/>
      <c r="S815" s="885"/>
      <c r="T815" s="885"/>
      <c r="U815" s="885"/>
      <c r="V815" s="885"/>
      <c r="W815" s="885"/>
      <c r="X815" s="885"/>
      <c r="Y815" s="885"/>
      <c r="Z815" s="885"/>
    </row>
    <row r="816" ht="15.75" customHeight="1">
      <c r="A816" s="3" t="s">
        <v>2374</v>
      </c>
      <c r="B816" s="884" t="s">
        <v>1171</v>
      </c>
      <c r="C816" s="884"/>
      <c r="D816" s="3"/>
      <c r="E816" s="885"/>
      <c r="F816" s="959" t="s">
        <v>770</v>
      </c>
      <c r="L816" s="956"/>
      <c r="M816" s="957" t="s">
        <v>332</v>
      </c>
      <c r="N816" s="931">
        <v>1.0</v>
      </c>
      <c r="O816" s="885"/>
      <c r="P816" s="954"/>
      <c r="Q816" s="885"/>
      <c r="R816" s="885"/>
      <c r="S816" s="885"/>
      <c r="T816" s="885"/>
      <c r="U816" s="885"/>
      <c r="V816" s="885"/>
      <c r="W816" s="885"/>
      <c r="X816" s="885"/>
      <c r="Y816" s="885"/>
      <c r="Z816" s="885"/>
    </row>
    <row r="817" ht="15.75" customHeight="1">
      <c r="A817" s="3" t="s">
        <v>2375</v>
      </c>
      <c r="B817" s="884" t="s">
        <v>765</v>
      </c>
      <c r="C817" s="3"/>
      <c r="D817" s="3"/>
      <c r="E817" s="885"/>
      <c r="F817" s="965" t="s">
        <v>1714</v>
      </c>
      <c r="G817" s="895" t="s">
        <v>1971</v>
      </c>
      <c r="H817" s="931">
        <v>41.0</v>
      </c>
      <c r="I817" s="885"/>
      <c r="J817" s="885"/>
      <c r="K817" s="895">
        <v>22.0</v>
      </c>
      <c r="L817" s="956"/>
      <c r="M817" s="966" t="s">
        <v>434</v>
      </c>
      <c r="N817" s="931">
        <v>1.0</v>
      </c>
      <c r="O817" s="885"/>
      <c r="P817" s="954"/>
      <c r="Q817" s="885"/>
      <c r="R817" s="885"/>
      <c r="S817" s="885"/>
      <c r="T817" s="885"/>
      <c r="U817" s="885"/>
      <c r="V817" s="885"/>
      <c r="W817" s="885"/>
      <c r="X817" s="885"/>
      <c r="Y817" s="885"/>
      <c r="Z817" s="885"/>
    </row>
    <row r="818" ht="15.75" customHeight="1">
      <c r="A818" s="3" t="s">
        <v>2376</v>
      </c>
      <c r="B818" s="884" t="s">
        <v>765</v>
      </c>
      <c r="C818" s="3"/>
      <c r="D818" s="3"/>
      <c r="E818" s="885"/>
      <c r="F818" s="965" t="s">
        <v>1031</v>
      </c>
      <c r="G818" s="895"/>
      <c r="H818" s="931"/>
      <c r="I818" s="885"/>
      <c r="J818" s="885"/>
      <c r="K818" s="895">
        <v>3.0</v>
      </c>
      <c r="L818" s="956"/>
      <c r="M818" s="957" t="s">
        <v>508</v>
      </c>
      <c r="N818" s="931">
        <v>1.0</v>
      </c>
      <c r="O818" s="885"/>
      <c r="P818" s="954"/>
      <c r="Q818" s="885"/>
      <c r="R818" s="885"/>
      <c r="S818" s="885"/>
      <c r="T818" s="885"/>
      <c r="U818" s="885"/>
      <c r="V818" s="885"/>
      <c r="W818" s="885"/>
      <c r="X818" s="885"/>
      <c r="Y818" s="885"/>
      <c r="Z818" s="885"/>
    </row>
    <row r="819" ht="15.75" customHeight="1">
      <c r="A819" s="3"/>
      <c r="B819" s="884"/>
      <c r="C819" s="884"/>
      <c r="D819" s="3"/>
      <c r="E819" s="885"/>
      <c r="F819" s="937" t="s">
        <v>755</v>
      </c>
      <c r="G819" s="883" t="s">
        <v>1870</v>
      </c>
      <c r="H819" s="931">
        <v>37.0</v>
      </c>
      <c r="I819" s="885"/>
      <c r="J819" s="885"/>
      <c r="K819" s="895">
        <v>13.0</v>
      </c>
      <c r="L819" s="956"/>
      <c r="M819" s="957" t="s">
        <v>584</v>
      </c>
      <c r="N819" s="931">
        <v>1.0</v>
      </c>
      <c r="O819" s="885"/>
      <c r="P819" s="954"/>
      <c r="Q819" s="885"/>
      <c r="R819" s="885"/>
      <c r="S819" s="885"/>
      <c r="T819" s="885"/>
      <c r="U819" s="885"/>
      <c r="V819" s="885"/>
      <c r="W819" s="885"/>
      <c r="X819" s="885"/>
      <c r="Y819" s="885"/>
      <c r="Z819" s="885"/>
    </row>
    <row r="820" ht="15.75" customHeight="1">
      <c r="A820" s="3"/>
      <c r="B820" s="884"/>
      <c r="C820" s="884"/>
      <c r="D820" s="3"/>
      <c r="E820" s="885"/>
      <c r="F820" s="937" t="s">
        <v>1369</v>
      </c>
      <c r="G820" s="883" t="s">
        <v>2377</v>
      </c>
      <c r="H820" s="931">
        <v>41.0</v>
      </c>
      <c r="I820" s="885"/>
      <c r="J820" s="885"/>
      <c r="K820" s="895">
        <v>15.0</v>
      </c>
      <c r="L820" s="956"/>
      <c r="M820" s="967" t="s">
        <v>25</v>
      </c>
      <c r="N820" s="931">
        <v>1.0</v>
      </c>
      <c r="O820" s="885"/>
      <c r="P820" s="885"/>
      <c r="Q820" s="885"/>
      <c r="R820" s="885"/>
      <c r="S820" s="885"/>
      <c r="T820" s="885"/>
      <c r="U820" s="885"/>
      <c r="V820" s="885"/>
      <c r="W820" s="885"/>
      <c r="X820" s="885"/>
      <c r="Y820" s="885"/>
      <c r="Z820" s="885"/>
    </row>
    <row r="821" ht="15.75" customHeight="1">
      <c r="A821" s="3"/>
      <c r="B821" s="3"/>
      <c r="C821" s="884"/>
      <c r="D821" s="3"/>
      <c r="E821" s="885"/>
      <c r="F821" s="937" t="s">
        <v>809</v>
      </c>
      <c r="G821" s="884" t="s">
        <v>1739</v>
      </c>
      <c r="H821" s="931">
        <v>40.0</v>
      </c>
      <c r="I821" s="885"/>
      <c r="J821" s="885"/>
      <c r="K821" s="895">
        <v>14.0</v>
      </c>
      <c r="L821" s="956"/>
      <c r="M821" s="968" t="s">
        <v>298</v>
      </c>
      <c r="N821" s="931">
        <v>1.0</v>
      </c>
      <c r="O821" s="885"/>
      <c r="P821" s="885"/>
      <c r="Q821" s="885"/>
      <c r="R821" s="885"/>
      <c r="S821" s="885"/>
      <c r="T821" s="885"/>
      <c r="U821" s="885"/>
      <c r="V821" s="885"/>
      <c r="W821" s="885"/>
      <c r="X821" s="885"/>
      <c r="Y821" s="885"/>
      <c r="Z821" s="885"/>
    </row>
    <row r="822" ht="15.75" customHeight="1">
      <c r="A822" s="3" t="s">
        <v>89</v>
      </c>
      <c r="B822" s="3" t="s">
        <v>2378</v>
      </c>
      <c r="C822" s="884"/>
      <c r="D822" s="3"/>
      <c r="E822" s="885"/>
      <c r="F822" s="937" t="s">
        <v>1327</v>
      </c>
      <c r="G822" s="884" t="s">
        <v>1708</v>
      </c>
      <c r="H822" s="931">
        <v>42.0</v>
      </c>
      <c r="I822" s="885"/>
      <c r="J822" s="885"/>
      <c r="K822" s="895">
        <v>16.0</v>
      </c>
      <c r="L822" s="956"/>
      <c r="M822" s="968" t="s">
        <v>469</v>
      </c>
      <c r="N822" s="931">
        <v>1.0</v>
      </c>
      <c r="O822" s="885"/>
      <c r="P822" s="885"/>
      <c r="Q822" s="885"/>
      <c r="R822" s="885"/>
      <c r="S822" s="885"/>
      <c r="T822" s="885"/>
      <c r="U822" s="885"/>
      <c r="V822" s="885"/>
      <c r="W822" s="885"/>
      <c r="X822" s="885"/>
      <c r="Y822" s="885"/>
      <c r="Z822" s="885"/>
    </row>
    <row r="823" ht="15.75" customHeight="1">
      <c r="A823" s="3" t="s">
        <v>2379</v>
      </c>
      <c r="B823" s="884" t="s">
        <v>2378</v>
      </c>
      <c r="C823" s="884"/>
      <c r="D823" s="3"/>
      <c r="E823" s="885"/>
      <c r="F823" s="937" t="s">
        <v>957</v>
      </c>
      <c r="G823" s="884" t="s">
        <v>568</v>
      </c>
      <c r="H823" s="931">
        <v>44.0</v>
      </c>
      <c r="I823" s="885"/>
      <c r="J823" s="885"/>
      <c r="K823" s="895">
        <v>17.0</v>
      </c>
      <c r="L823" s="956"/>
      <c r="M823" s="968" t="s">
        <v>273</v>
      </c>
      <c r="N823" s="931">
        <v>1.0</v>
      </c>
      <c r="O823" s="885"/>
      <c r="P823" s="885"/>
      <c r="Q823" s="885"/>
      <c r="R823" s="885"/>
      <c r="S823" s="885"/>
      <c r="T823" s="885"/>
      <c r="U823" s="885"/>
      <c r="V823" s="885"/>
      <c r="W823" s="885"/>
      <c r="X823" s="885"/>
      <c r="Y823" s="885"/>
      <c r="Z823" s="885"/>
    </row>
    <row r="824" ht="15.75" customHeight="1">
      <c r="A824" s="884" t="s">
        <v>280</v>
      </c>
      <c r="B824" s="884" t="s">
        <v>2378</v>
      </c>
      <c r="C824" s="3"/>
      <c r="D824" s="3"/>
      <c r="E824" s="885"/>
      <c r="F824" s="939" t="s">
        <v>663</v>
      </c>
      <c r="G824" s="3" t="s">
        <v>1710</v>
      </c>
      <c r="H824" s="931">
        <v>44.0</v>
      </c>
      <c r="I824" s="885"/>
      <c r="J824" s="885"/>
      <c r="K824" s="895">
        <v>18.0</v>
      </c>
      <c r="L824" s="956"/>
      <c r="M824" s="968" t="s">
        <v>300</v>
      </c>
      <c r="N824" s="931">
        <v>1.0</v>
      </c>
      <c r="O824" s="885"/>
      <c r="P824" s="885"/>
      <c r="Q824" s="885"/>
      <c r="R824" s="885"/>
      <c r="S824" s="885"/>
      <c r="T824" s="885"/>
      <c r="U824" s="885"/>
      <c r="V824" s="885"/>
      <c r="W824" s="885"/>
      <c r="X824" s="885"/>
      <c r="Y824" s="885"/>
      <c r="Z824" s="885"/>
    </row>
    <row r="825" ht="15.75" customHeight="1">
      <c r="A825" s="884" t="s">
        <v>2380</v>
      </c>
      <c r="B825" s="884" t="s">
        <v>2378</v>
      </c>
      <c r="C825" s="3"/>
      <c r="D825" s="3"/>
      <c r="E825" s="885"/>
      <c r="F825" s="937" t="s">
        <v>188</v>
      </c>
      <c r="G825" s="884" t="s">
        <v>1710</v>
      </c>
      <c r="H825" s="931">
        <v>44.0</v>
      </c>
      <c r="I825" s="885"/>
      <c r="J825" s="885"/>
      <c r="K825" s="895">
        <v>18.0</v>
      </c>
      <c r="L825" s="956"/>
      <c r="M825" s="968" t="s">
        <v>301</v>
      </c>
      <c r="N825" s="931">
        <v>1.0</v>
      </c>
      <c r="O825" s="885"/>
      <c r="P825" s="885"/>
      <c r="Q825" s="885"/>
      <c r="R825" s="885"/>
      <c r="S825" s="885"/>
      <c r="T825" s="885"/>
      <c r="U825" s="885"/>
      <c r="V825" s="885"/>
      <c r="W825" s="885"/>
      <c r="X825" s="885"/>
      <c r="Y825" s="885"/>
      <c r="Z825" s="885"/>
    </row>
    <row r="826" ht="15.75" customHeight="1">
      <c r="A826" s="884" t="s">
        <v>2381</v>
      </c>
      <c r="B826" s="884" t="s">
        <v>2382</v>
      </c>
      <c r="C826" s="3"/>
      <c r="D826" s="3"/>
      <c r="E826" s="885"/>
      <c r="F826" s="969" t="s">
        <v>1710</v>
      </c>
      <c r="H826" s="897">
        <v>44.0</v>
      </c>
      <c r="I826" s="885"/>
      <c r="J826" s="885"/>
      <c r="K826" s="895">
        <v>18.0</v>
      </c>
      <c r="L826" s="956"/>
      <c r="M826" s="968" t="s">
        <v>305</v>
      </c>
      <c r="N826" s="931">
        <v>1.0</v>
      </c>
      <c r="O826" s="885"/>
      <c r="P826" s="885"/>
      <c r="Q826" s="885"/>
      <c r="R826" s="885"/>
      <c r="S826" s="885"/>
      <c r="T826" s="885"/>
      <c r="U826" s="885"/>
      <c r="V826" s="885"/>
      <c r="W826" s="885"/>
      <c r="X826" s="885"/>
      <c r="Y826" s="885"/>
      <c r="Z826" s="885"/>
    </row>
    <row r="827" ht="15.75" customHeight="1">
      <c r="A827" s="3" t="s">
        <v>2383</v>
      </c>
      <c r="B827" s="884" t="s">
        <v>765</v>
      </c>
      <c r="C827" s="3"/>
      <c r="D827" s="3"/>
      <c r="E827" s="885"/>
      <c r="F827" s="937" t="s">
        <v>703</v>
      </c>
      <c r="G827" s="884" t="s">
        <v>1712</v>
      </c>
      <c r="H827" s="931">
        <v>42.0</v>
      </c>
      <c r="I827" s="885"/>
      <c r="J827" s="885"/>
      <c r="K827" s="895">
        <v>17.0</v>
      </c>
      <c r="L827" s="956"/>
      <c r="M827" s="968" t="s">
        <v>316</v>
      </c>
      <c r="N827" s="931">
        <v>1.0</v>
      </c>
      <c r="O827" s="885"/>
      <c r="P827" s="885"/>
      <c r="Q827" s="885"/>
      <c r="R827" s="885"/>
      <c r="S827" s="885"/>
      <c r="T827" s="885"/>
      <c r="U827" s="885"/>
      <c r="V827" s="885"/>
      <c r="W827" s="885"/>
      <c r="X827" s="885"/>
      <c r="Y827" s="885"/>
      <c r="Z827" s="885"/>
    </row>
    <row r="828" ht="15.75" customHeight="1">
      <c r="A828" s="3"/>
      <c r="B828" s="884"/>
      <c r="C828" s="3"/>
      <c r="D828" s="3"/>
      <c r="E828" s="885"/>
      <c r="F828" s="937" t="s">
        <v>963</v>
      </c>
      <c r="G828" s="884" t="s">
        <v>1909</v>
      </c>
      <c r="H828" s="931">
        <v>46.0</v>
      </c>
      <c r="I828" s="885"/>
      <c r="J828" s="885"/>
      <c r="K828" s="895">
        <v>20.0</v>
      </c>
      <c r="L828" s="956"/>
      <c r="M828" s="968" t="s">
        <v>324</v>
      </c>
      <c r="N828" s="931">
        <v>1.0</v>
      </c>
      <c r="O828" s="885"/>
      <c r="P828" s="885"/>
      <c r="Q828" s="885"/>
      <c r="R828" s="885"/>
      <c r="S828" s="885"/>
      <c r="T828" s="885"/>
      <c r="U828" s="885"/>
      <c r="V828" s="885"/>
      <c r="W828" s="885"/>
      <c r="X828" s="885"/>
      <c r="Y828" s="885"/>
      <c r="Z828" s="885"/>
    </row>
    <row r="829" ht="15.75" customHeight="1">
      <c r="A829" s="3" t="s">
        <v>140</v>
      </c>
      <c r="B829" s="883" t="s">
        <v>140</v>
      </c>
      <c r="C829" s="3"/>
      <c r="D829" s="3"/>
      <c r="E829" s="885"/>
      <c r="F829" s="937" t="s">
        <v>720</v>
      </c>
      <c r="G829" s="884" t="s">
        <v>251</v>
      </c>
      <c r="H829" s="931">
        <v>45.0</v>
      </c>
      <c r="I829" s="885"/>
      <c r="J829" s="885"/>
      <c r="K829" s="895">
        <v>19.0</v>
      </c>
      <c r="L829" s="956"/>
      <c r="M829" s="885"/>
      <c r="N829" s="887"/>
      <c r="O829" s="885"/>
      <c r="P829" s="885"/>
      <c r="Q829" s="885"/>
      <c r="R829" s="885"/>
      <c r="S829" s="885"/>
      <c r="T829" s="885"/>
      <c r="U829" s="885"/>
      <c r="V829" s="885"/>
      <c r="W829" s="885"/>
      <c r="X829" s="885"/>
      <c r="Y829" s="885"/>
      <c r="Z829" s="885"/>
    </row>
    <row r="830" ht="15.75" customHeight="1">
      <c r="A830" s="884" t="s">
        <v>2384</v>
      </c>
      <c r="B830" s="884" t="s">
        <v>765</v>
      </c>
      <c r="C830" s="3"/>
      <c r="D830" s="3"/>
      <c r="E830" s="885"/>
      <c r="F830" s="937" t="s">
        <v>656</v>
      </c>
      <c r="G830" s="884" t="s">
        <v>190</v>
      </c>
      <c r="H830" s="931">
        <v>46.0</v>
      </c>
      <c r="I830" s="885"/>
      <c r="J830" s="885"/>
      <c r="K830" s="895">
        <v>20.0</v>
      </c>
      <c r="L830" s="956"/>
      <c r="M830" s="885"/>
      <c r="N830" s="887"/>
      <c r="O830" s="885"/>
      <c r="P830" s="885"/>
      <c r="Q830" s="885"/>
      <c r="R830" s="885"/>
      <c r="S830" s="885"/>
      <c r="T830" s="885"/>
      <c r="U830" s="885"/>
      <c r="V830" s="885"/>
      <c r="W830" s="885"/>
      <c r="X830" s="885"/>
      <c r="Y830" s="885"/>
      <c r="Z830" s="885"/>
    </row>
    <row r="831" ht="15.75" customHeight="1">
      <c r="A831" s="884" t="s">
        <v>2385</v>
      </c>
      <c r="B831" s="884" t="s">
        <v>765</v>
      </c>
      <c r="C831" s="3"/>
      <c r="D831" s="3"/>
      <c r="E831" s="885"/>
      <c r="F831" s="937" t="s">
        <v>668</v>
      </c>
      <c r="G831" s="895" t="s">
        <v>190</v>
      </c>
      <c r="H831" s="931">
        <v>46.0</v>
      </c>
      <c r="I831" s="885"/>
      <c r="J831" s="885"/>
      <c r="K831" s="895">
        <v>20.0</v>
      </c>
      <c r="L831" s="956"/>
      <c r="M831" s="885"/>
      <c r="N831" s="887"/>
      <c r="O831" s="885"/>
      <c r="P831" s="885"/>
      <c r="Q831" s="885"/>
      <c r="R831" s="885"/>
      <c r="S831" s="885"/>
      <c r="T831" s="885"/>
      <c r="U831" s="885"/>
      <c r="V831" s="885"/>
      <c r="W831" s="885"/>
      <c r="X831" s="885"/>
      <c r="Y831" s="885"/>
      <c r="Z831" s="885"/>
    </row>
    <row r="832" ht="15.75" customHeight="1">
      <c r="A832" s="884" t="s">
        <v>2386</v>
      </c>
      <c r="B832" s="884" t="s">
        <v>765</v>
      </c>
      <c r="C832" s="3"/>
      <c r="D832" s="3"/>
      <c r="E832" s="885"/>
      <c r="F832" s="965" t="s">
        <v>1085</v>
      </c>
      <c r="G832" s="883" t="s">
        <v>390</v>
      </c>
      <c r="H832" s="931">
        <v>35.0</v>
      </c>
      <c r="I832" s="885"/>
      <c r="J832" s="885"/>
      <c r="K832" s="895">
        <v>7.0</v>
      </c>
      <c r="L832" s="956"/>
      <c r="M832" s="885"/>
      <c r="N832" s="887"/>
      <c r="O832" s="885"/>
      <c r="P832" s="885"/>
      <c r="Q832" s="885"/>
      <c r="R832" s="885"/>
      <c r="S832" s="885"/>
      <c r="T832" s="885"/>
      <c r="U832" s="885"/>
      <c r="V832" s="885"/>
      <c r="W832" s="885"/>
      <c r="X832" s="885"/>
      <c r="Y832" s="885"/>
      <c r="Z832" s="885"/>
    </row>
    <row r="833" ht="15.75" customHeight="1">
      <c r="A833" s="884" t="s">
        <v>2387</v>
      </c>
      <c r="B833" s="884" t="s">
        <v>765</v>
      </c>
      <c r="C833" s="3"/>
      <c r="D833" s="3"/>
      <c r="E833" s="885"/>
      <c r="F833" s="965" t="s">
        <v>1231</v>
      </c>
      <c r="G833" s="883" t="s">
        <v>1879</v>
      </c>
      <c r="H833" s="931">
        <v>38.0</v>
      </c>
      <c r="I833" s="885"/>
      <c r="J833" s="885"/>
      <c r="K833" s="895">
        <v>12.0</v>
      </c>
      <c r="L833" s="956"/>
      <c r="M833" s="885"/>
      <c r="N833" s="887"/>
      <c r="O833" s="885"/>
      <c r="P833" s="885"/>
      <c r="Q833" s="885"/>
      <c r="R833" s="885"/>
      <c r="S833" s="885"/>
      <c r="T833" s="885"/>
      <c r="U833" s="885"/>
      <c r="V833" s="885"/>
      <c r="W833" s="885"/>
      <c r="X833" s="885"/>
      <c r="Y833" s="885"/>
      <c r="Z833" s="885"/>
    </row>
    <row r="834" ht="15.75" customHeight="1">
      <c r="A834" s="884" t="s">
        <v>2388</v>
      </c>
      <c r="B834" s="883" t="s">
        <v>2389</v>
      </c>
      <c r="C834" s="3"/>
      <c r="D834" s="3"/>
      <c r="E834" s="885"/>
      <c r="F834" s="969" t="s">
        <v>211</v>
      </c>
      <c r="G834" s="725" t="s">
        <v>211</v>
      </c>
      <c r="H834" s="725">
        <v>43.0</v>
      </c>
      <c r="I834" s="883"/>
      <c r="J834" s="885"/>
      <c r="K834" s="895">
        <v>8.0</v>
      </c>
      <c r="L834" s="956"/>
      <c r="M834" s="885"/>
      <c r="N834" s="887"/>
      <c r="O834" s="885"/>
      <c r="P834" s="885"/>
      <c r="Q834" s="885"/>
      <c r="R834" s="885"/>
      <c r="S834" s="885"/>
      <c r="T834" s="885"/>
      <c r="U834" s="885"/>
      <c r="V834" s="885"/>
      <c r="W834" s="885"/>
      <c r="X834" s="885"/>
      <c r="Y834" s="885"/>
      <c r="Z834" s="885"/>
    </row>
    <row r="835" ht="15.75" customHeight="1">
      <c r="A835" s="884" t="s">
        <v>2390</v>
      </c>
      <c r="B835" s="883" t="s">
        <v>2389</v>
      </c>
      <c r="C835" s="3"/>
      <c r="D835" s="3"/>
      <c r="E835" s="885"/>
      <c r="F835" s="725" t="s">
        <v>1693</v>
      </c>
      <c r="G835" s="725" t="s">
        <v>1693</v>
      </c>
      <c r="H835" s="725">
        <v>35.0</v>
      </c>
      <c r="K835" s="725">
        <v>7.0</v>
      </c>
      <c r="L835" s="956"/>
      <c r="M835" s="885"/>
      <c r="N835" s="887"/>
      <c r="O835" s="885"/>
      <c r="P835" s="885"/>
      <c r="Q835" s="885"/>
      <c r="R835" s="885"/>
      <c r="S835" s="885"/>
      <c r="T835" s="885"/>
      <c r="U835" s="885"/>
      <c r="V835" s="885"/>
      <c r="W835" s="885"/>
      <c r="X835" s="885"/>
      <c r="Y835" s="885"/>
      <c r="Z835" s="885"/>
    </row>
    <row r="836" ht="15.75" customHeight="1">
      <c r="A836" s="884" t="s">
        <v>2391</v>
      </c>
      <c r="B836" s="883" t="s">
        <v>2389</v>
      </c>
      <c r="C836" s="3"/>
      <c r="D836" s="3"/>
      <c r="E836" s="885"/>
      <c r="F836" s="955" t="s">
        <v>2392</v>
      </c>
      <c r="G836" s="884"/>
      <c r="H836" s="930"/>
      <c r="I836" s="885"/>
      <c r="J836" s="885"/>
      <c r="K836" s="3"/>
      <c r="L836" s="956"/>
      <c r="M836" s="885"/>
      <c r="N836" s="887"/>
      <c r="O836" s="885"/>
      <c r="P836" s="885"/>
      <c r="Q836" s="885"/>
      <c r="R836" s="885"/>
      <c r="S836" s="885"/>
      <c r="T836" s="885"/>
      <c r="U836" s="885"/>
      <c r="V836" s="885"/>
      <c r="W836" s="885"/>
      <c r="X836" s="885"/>
      <c r="Y836" s="885"/>
      <c r="Z836" s="885"/>
    </row>
    <row r="837" ht="15.75" customHeight="1">
      <c r="A837" s="884" t="s">
        <v>2393</v>
      </c>
      <c r="B837" s="883" t="s">
        <v>2389</v>
      </c>
      <c r="C837" s="3"/>
      <c r="D837" s="3"/>
      <c r="E837" s="885"/>
      <c r="F837" s="970" t="s">
        <v>951</v>
      </c>
      <c r="G837" s="971"/>
      <c r="H837" s="972"/>
      <c r="I837" s="885"/>
      <c r="J837" s="885"/>
      <c r="K837" s="895">
        <v>13.0</v>
      </c>
      <c r="L837" s="956"/>
      <c r="M837" s="885"/>
      <c r="N837" s="887"/>
      <c r="O837" s="885"/>
      <c r="P837" s="885"/>
      <c r="Q837" s="885"/>
      <c r="R837" s="885"/>
      <c r="S837" s="885"/>
      <c r="T837" s="885"/>
      <c r="U837" s="885"/>
      <c r="V837" s="885"/>
      <c r="W837" s="885"/>
      <c r="X837" s="885"/>
      <c r="Y837" s="885"/>
      <c r="Z837" s="885"/>
    </row>
    <row r="838" ht="15.75" customHeight="1">
      <c r="A838" s="884" t="s">
        <v>2394</v>
      </c>
      <c r="B838" s="883" t="s">
        <v>2389</v>
      </c>
      <c r="C838" s="3"/>
      <c r="D838" s="3"/>
      <c r="E838" s="885"/>
      <c r="F838" s="970" t="s">
        <v>374</v>
      </c>
      <c r="G838" s="963" t="s">
        <v>374</v>
      </c>
      <c r="H838" s="964">
        <v>24.0</v>
      </c>
      <c r="I838" s="885"/>
      <c r="J838" s="885"/>
      <c r="K838" s="3"/>
      <c r="L838" s="956"/>
      <c r="M838" s="885"/>
      <c r="N838" s="887"/>
      <c r="O838" s="885"/>
      <c r="P838" s="885"/>
      <c r="Q838" s="885"/>
      <c r="R838" s="885"/>
      <c r="S838" s="885"/>
      <c r="T838" s="885"/>
      <c r="U838" s="885"/>
      <c r="V838" s="885"/>
      <c r="W838" s="885"/>
      <c r="X838" s="885"/>
      <c r="Y838" s="885"/>
      <c r="Z838" s="885"/>
    </row>
    <row r="839" ht="15.75" customHeight="1">
      <c r="A839" s="884" t="s">
        <v>2395</v>
      </c>
      <c r="B839" s="883" t="s">
        <v>2389</v>
      </c>
      <c r="C839" s="3"/>
      <c r="D839" s="3"/>
      <c r="E839" s="885"/>
      <c r="F839" s="970" t="s">
        <v>1829</v>
      </c>
      <c r="G839" s="963" t="s">
        <v>1830</v>
      </c>
      <c r="H839" s="964">
        <v>17.0</v>
      </c>
      <c r="I839" s="885"/>
      <c r="J839" s="885"/>
      <c r="K839" s="3"/>
      <c r="L839" s="956"/>
      <c r="M839" s="885"/>
      <c r="N839" s="887"/>
      <c r="O839" s="885"/>
      <c r="P839" s="885"/>
      <c r="Q839" s="885"/>
      <c r="R839" s="885"/>
      <c r="S839" s="885"/>
      <c r="T839" s="885"/>
      <c r="U839" s="885"/>
      <c r="V839" s="885"/>
      <c r="W839" s="885"/>
      <c r="X839" s="885"/>
      <c r="Y839" s="885"/>
      <c r="Z839" s="885"/>
    </row>
    <row r="840" ht="15.75" customHeight="1">
      <c r="A840" s="884" t="s">
        <v>2396</v>
      </c>
      <c r="B840" s="883" t="s">
        <v>2389</v>
      </c>
      <c r="C840" s="3"/>
      <c r="D840" s="3"/>
      <c r="E840" s="885"/>
      <c r="F840" s="970" t="s">
        <v>1198</v>
      </c>
      <c r="G840" s="963" t="s">
        <v>1832</v>
      </c>
      <c r="H840" s="964">
        <v>20.0</v>
      </c>
      <c r="I840" s="885"/>
      <c r="J840" s="885"/>
      <c r="K840" s="3"/>
      <c r="L840" s="956"/>
      <c r="M840" s="885"/>
      <c r="N840" s="887"/>
      <c r="O840" s="885"/>
      <c r="P840" s="885"/>
      <c r="Q840" s="885"/>
      <c r="R840" s="885"/>
      <c r="S840" s="885"/>
      <c r="T840" s="885"/>
      <c r="U840" s="885"/>
      <c r="V840" s="885"/>
      <c r="W840" s="885"/>
      <c r="X840" s="885"/>
      <c r="Y840" s="885"/>
      <c r="Z840" s="885"/>
    </row>
    <row r="841" ht="15.75" customHeight="1">
      <c r="A841" s="884" t="s">
        <v>951</v>
      </c>
      <c r="B841" s="883" t="s">
        <v>2389</v>
      </c>
      <c r="C841" s="3"/>
      <c r="D841" s="3"/>
      <c r="E841" s="885"/>
      <c r="F841" s="970" t="s">
        <v>1275</v>
      </c>
      <c r="G841" s="963" t="s">
        <v>1834</v>
      </c>
      <c r="H841" s="964">
        <v>19.0</v>
      </c>
      <c r="I841" s="885"/>
      <c r="J841" s="885"/>
      <c r="K841" s="3"/>
      <c r="L841" s="956"/>
      <c r="M841" s="885"/>
      <c r="N841" s="887"/>
      <c r="O841" s="885"/>
      <c r="P841" s="885"/>
      <c r="Q841" s="885"/>
      <c r="R841" s="885"/>
      <c r="S841" s="885"/>
      <c r="T841" s="885"/>
      <c r="U841" s="885"/>
      <c r="V841" s="885"/>
      <c r="W841" s="885"/>
      <c r="X841" s="885"/>
      <c r="Y841" s="885"/>
      <c r="Z841" s="885"/>
    </row>
    <row r="842" ht="15.75" customHeight="1">
      <c r="A842" s="20" t="s">
        <v>2397</v>
      </c>
      <c r="B842" s="883" t="s">
        <v>2389</v>
      </c>
      <c r="C842" s="3"/>
      <c r="D842" s="3"/>
      <c r="E842" s="885"/>
      <c r="F842" s="970" t="s">
        <v>2398</v>
      </c>
      <c r="G842" s="963" t="s">
        <v>1756</v>
      </c>
      <c r="H842" s="964">
        <v>16.0</v>
      </c>
      <c r="I842" s="885"/>
      <c r="J842" s="885"/>
      <c r="K842" s="3"/>
      <c r="L842" s="956"/>
      <c r="M842" s="885"/>
      <c r="N842" s="887"/>
      <c r="O842" s="885"/>
      <c r="P842" s="885"/>
      <c r="Q842" s="885"/>
      <c r="R842" s="885"/>
      <c r="S842" s="885"/>
      <c r="T842" s="885"/>
      <c r="U842" s="885"/>
      <c r="V842" s="885"/>
      <c r="W842" s="885"/>
      <c r="X842" s="885"/>
      <c r="Y842" s="885"/>
      <c r="Z842" s="885"/>
    </row>
    <row r="843" ht="15.75" customHeight="1">
      <c r="A843" s="3" t="s">
        <v>2399</v>
      </c>
      <c r="B843" s="883" t="s">
        <v>2389</v>
      </c>
      <c r="C843" s="3"/>
      <c r="D843" s="3"/>
      <c r="E843" s="885"/>
      <c r="F843" s="970" t="s">
        <v>1746</v>
      </c>
      <c r="G843" s="963" t="s">
        <v>1758</v>
      </c>
      <c r="H843" s="964">
        <v>28.0</v>
      </c>
      <c r="I843" s="885"/>
      <c r="J843" s="885"/>
      <c r="K843" s="3"/>
      <c r="L843" s="956"/>
      <c r="M843" s="885"/>
      <c r="N843" s="887"/>
      <c r="O843" s="885"/>
      <c r="P843" s="885"/>
      <c r="Q843" s="885"/>
      <c r="R843" s="885"/>
      <c r="S843" s="885"/>
      <c r="T843" s="885"/>
      <c r="U843" s="885"/>
      <c r="V843" s="885"/>
      <c r="W843" s="885"/>
      <c r="X843" s="885"/>
      <c r="Y843" s="885"/>
      <c r="Z843" s="885"/>
    </row>
    <row r="844" ht="15.75" customHeight="1">
      <c r="A844" s="3" t="s">
        <v>2400</v>
      </c>
      <c r="B844" s="883" t="s">
        <v>2389</v>
      </c>
      <c r="C844" s="3"/>
      <c r="D844" s="3"/>
      <c r="E844" s="885"/>
      <c r="F844" s="970" t="s">
        <v>2401</v>
      </c>
      <c r="G844" s="963" t="s">
        <v>1205</v>
      </c>
      <c r="H844" s="964">
        <v>16.0</v>
      </c>
      <c r="I844" s="885"/>
      <c r="J844" s="885"/>
      <c r="K844" s="3"/>
      <c r="L844" s="956"/>
      <c r="M844" s="885"/>
      <c r="N844" s="887"/>
      <c r="O844" s="885"/>
      <c r="P844" s="885"/>
      <c r="Q844" s="885"/>
      <c r="R844" s="885"/>
      <c r="S844" s="885"/>
      <c r="T844" s="885"/>
      <c r="U844" s="885"/>
      <c r="V844" s="885"/>
      <c r="W844" s="885"/>
      <c r="X844" s="885"/>
      <c r="Y844" s="885"/>
      <c r="Z844" s="885"/>
    </row>
    <row r="845" ht="15.75" customHeight="1">
      <c r="A845" s="3" t="s">
        <v>2402</v>
      </c>
      <c r="B845" s="883" t="s">
        <v>2389</v>
      </c>
      <c r="C845" s="884"/>
      <c r="D845" s="3"/>
      <c r="E845" s="885"/>
      <c r="F845" s="970" t="s">
        <v>1267</v>
      </c>
      <c r="G845" s="963" t="s">
        <v>1757</v>
      </c>
      <c r="H845" s="964">
        <v>8.0</v>
      </c>
      <c r="I845" s="885"/>
      <c r="J845" s="885"/>
      <c r="K845" s="3"/>
      <c r="L845" s="956"/>
      <c r="M845" s="885"/>
      <c r="N845" s="887"/>
      <c r="O845" s="885"/>
      <c r="P845" s="885"/>
      <c r="Q845" s="885"/>
      <c r="R845" s="885"/>
      <c r="S845" s="885"/>
      <c r="T845" s="885"/>
      <c r="U845" s="885"/>
      <c r="V845" s="885"/>
      <c r="W845" s="885"/>
      <c r="X845" s="885"/>
      <c r="Y845" s="885"/>
      <c r="Z845" s="885"/>
    </row>
    <row r="846" ht="15.75" customHeight="1">
      <c r="A846" s="3" t="s">
        <v>2403</v>
      </c>
      <c r="B846" s="883" t="s">
        <v>2389</v>
      </c>
      <c r="C846" s="884"/>
      <c r="D846" s="3"/>
      <c r="E846" s="885"/>
      <c r="F846" s="970" t="s">
        <v>561</v>
      </c>
      <c r="G846" s="971"/>
      <c r="H846" s="964">
        <v>8.0</v>
      </c>
      <c r="I846" s="885"/>
      <c r="J846" s="885"/>
      <c r="K846" s="3"/>
      <c r="L846" s="956"/>
      <c r="M846" s="885"/>
      <c r="N846" s="887"/>
      <c r="O846" s="885"/>
      <c r="P846" s="885"/>
      <c r="Q846" s="885"/>
      <c r="R846" s="885"/>
      <c r="S846" s="885"/>
      <c r="T846" s="885"/>
      <c r="U846" s="885"/>
      <c r="V846" s="885"/>
      <c r="W846" s="885"/>
      <c r="X846" s="885"/>
      <c r="Y846" s="885"/>
      <c r="Z846" s="885"/>
    </row>
    <row r="847" ht="15.75" customHeight="1">
      <c r="A847" s="3" t="s">
        <v>2404</v>
      </c>
      <c r="B847" s="883" t="s">
        <v>2389</v>
      </c>
      <c r="C847" s="884"/>
      <c r="D847" s="3"/>
      <c r="E847" s="885"/>
      <c r="F847" s="970" t="s">
        <v>1855</v>
      </c>
      <c r="G847" s="971"/>
      <c r="H847" s="964">
        <v>11.0</v>
      </c>
      <c r="I847" s="885"/>
      <c r="J847" s="885"/>
      <c r="K847" s="3"/>
      <c r="L847" s="956"/>
      <c r="M847" s="885"/>
      <c r="N847" s="887"/>
      <c r="O847" s="885"/>
      <c r="P847" s="885"/>
      <c r="Q847" s="885"/>
      <c r="R847" s="885"/>
      <c r="S847" s="885"/>
      <c r="T847" s="885"/>
      <c r="U847" s="885"/>
      <c r="V847" s="885"/>
      <c r="W847" s="885"/>
      <c r="X847" s="885"/>
      <c r="Y847" s="885"/>
      <c r="Z847" s="885"/>
    </row>
    <row r="848" ht="15.75" customHeight="1">
      <c r="A848" s="3" t="s">
        <v>2405</v>
      </c>
      <c r="B848" s="883" t="s">
        <v>2389</v>
      </c>
      <c r="C848" s="884"/>
      <c r="D848" s="3"/>
      <c r="E848" s="885"/>
      <c r="F848" s="970" t="s">
        <v>728</v>
      </c>
      <c r="G848" s="963" t="s">
        <v>1716</v>
      </c>
      <c r="H848" s="964">
        <v>4.0</v>
      </c>
      <c r="I848" s="885"/>
      <c r="J848" s="885"/>
      <c r="K848" s="3"/>
      <c r="L848" s="956"/>
      <c r="M848" s="885"/>
      <c r="N848" s="887"/>
      <c r="O848" s="885"/>
      <c r="P848" s="885"/>
      <c r="Q848" s="885"/>
      <c r="R848" s="885"/>
      <c r="S848" s="885"/>
      <c r="T848" s="885"/>
      <c r="U848" s="885"/>
      <c r="V848" s="885"/>
      <c r="W848" s="885"/>
      <c r="X848" s="885"/>
      <c r="Y848" s="885"/>
      <c r="Z848" s="885"/>
    </row>
    <row r="849" ht="15.75" customHeight="1">
      <c r="A849" s="3" t="s">
        <v>2391</v>
      </c>
      <c r="B849" s="883" t="s">
        <v>2389</v>
      </c>
      <c r="C849" s="884"/>
      <c r="D849" s="3"/>
      <c r="E849" s="885"/>
      <c r="F849" s="970" t="s">
        <v>773</v>
      </c>
      <c r="G849" s="963" t="s">
        <v>2406</v>
      </c>
      <c r="H849" s="964">
        <v>14.0</v>
      </c>
      <c r="I849" s="885"/>
      <c r="J849" s="885"/>
      <c r="K849" s="3"/>
      <c r="L849" s="956"/>
      <c r="M849" s="885"/>
      <c r="N849" s="887"/>
      <c r="O849" s="885"/>
      <c r="P849" s="885"/>
      <c r="Q849" s="885"/>
      <c r="R849" s="885"/>
      <c r="S849" s="885"/>
      <c r="T849" s="885"/>
      <c r="U849" s="885"/>
      <c r="V849" s="885"/>
      <c r="W849" s="885"/>
      <c r="X849" s="885"/>
      <c r="Y849" s="885"/>
      <c r="Z849" s="885"/>
    </row>
    <row r="850" ht="15.75" customHeight="1">
      <c r="A850" s="3" t="s">
        <v>2407</v>
      </c>
      <c r="B850" s="883" t="s">
        <v>2389</v>
      </c>
      <c r="C850" s="884"/>
      <c r="D850" s="3"/>
      <c r="E850" s="885"/>
      <c r="F850" s="970" t="s">
        <v>2408</v>
      </c>
      <c r="G850" s="963" t="s">
        <v>2409</v>
      </c>
      <c r="H850" s="964">
        <v>4.0</v>
      </c>
      <c r="I850" s="885"/>
      <c r="J850" s="885"/>
      <c r="K850" s="3"/>
      <c r="L850" s="956"/>
      <c r="M850" s="885"/>
      <c r="N850" s="887"/>
      <c r="O850" s="885"/>
      <c r="P850" s="885"/>
      <c r="Q850" s="885"/>
      <c r="R850" s="885"/>
      <c r="S850" s="885"/>
      <c r="T850" s="885"/>
      <c r="U850" s="885"/>
      <c r="V850" s="885"/>
      <c r="W850" s="885"/>
      <c r="X850" s="885"/>
      <c r="Y850" s="885"/>
      <c r="Z850" s="885"/>
    </row>
    <row r="851" ht="15.75" customHeight="1">
      <c r="A851" s="895" t="s">
        <v>2410</v>
      </c>
      <c r="B851" s="883" t="s">
        <v>2389</v>
      </c>
      <c r="C851" s="884"/>
      <c r="D851" s="884"/>
      <c r="E851" s="885"/>
      <c r="F851" s="970" t="s">
        <v>1270</v>
      </c>
      <c r="G851" s="963" t="s">
        <v>1761</v>
      </c>
      <c r="H851" s="964">
        <v>5.0</v>
      </c>
      <c r="I851" s="885"/>
      <c r="J851" s="885"/>
      <c r="K851" s="3"/>
      <c r="L851" s="956"/>
      <c r="M851" s="885"/>
      <c r="N851" s="887"/>
      <c r="O851" s="885"/>
      <c r="P851" s="885"/>
      <c r="Q851" s="885"/>
      <c r="R851" s="885"/>
      <c r="S851" s="885"/>
      <c r="T851" s="885"/>
      <c r="U851" s="885"/>
      <c r="V851" s="885"/>
      <c r="W851" s="885"/>
      <c r="X851" s="885"/>
      <c r="Y851" s="885"/>
      <c r="Z851" s="885"/>
    </row>
    <row r="852" ht="15.75" customHeight="1">
      <c r="A852" s="3" t="s">
        <v>2411</v>
      </c>
      <c r="B852" s="884" t="s">
        <v>95</v>
      </c>
      <c r="C852" s="884"/>
      <c r="D852" s="884"/>
      <c r="E852" s="885"/>
      <c r="F852" s="970" t="s">
        <v>745</v>
      </c>
      <c r="G852" s="963" t="s">
        <v>2245</v>
      </c>
      <c r="H852" s="964">
        <v>1.5</v>
      </c>
      <c r="I852" s="885"/>
      <c r="J852" s="885"/>
      <c r="K852" s="3"/>
      <c r="L852" s="956"/>
      <c r="M852" s="885"/>
      <c r="N852" s="887"/>
      <c r="O852" s="885"/>
      <c r="P852" s="885"/>
      <c r="Q852" s="885"/>
      <c r="R852" s="885"/>
      <c r="S852" s="885"/>
      <c r="T852" s="885"/>
      <c r="U852" s="885"/>
      <c r="V852" s="885"/>
      <c r="W852" s="885"/>
      <c r="X852" s="885"/>
      <c r="Y852" s="885"/>
      <c r="Z852" s="885"/>
    </row>
    <row r="853" ht="15.75" customHeight="1">
      <c r="A853" s="3" t="s">
        <v>2412</v>
      </c>
      <c r="B853" s="884" t="s">
        <v>95</v>
      </c>
      <c r="C853" s="884"/>
      <c r="D853" s="884"/>
      <c r="E853" s="885"/>
      <c r="F853" s="970" t="s">
        <v>1920</v>
      </c>
      <c r="G853" s="963" t="s">
        <v>2413</v>
      </c>
      <c r="H853" s="964">
        <v>17.0</v>
      </c>
      <c r="I853" s="885"/>
      <c r="J853" s="885"/>
      <c r="K853" s="3"/>
      <c r="L853" s="973"/>
      <c r="M853" s="885"/>
      <c r="N853" s="887"/>
      <c r="O853" s="885"/>
      <c r="P853" s="885"/>
      <c r="Q853" s="885"/>
      <c r="R853" s="885"/>
      <c r="S853" s="885"/>
      <c r="T853" s="885"/>
      <c r="U853" s="885"/>
      <c r="V853" s="885"/>
      <c r="W853" s="885"/>
      <c r="X853" s="885"/>
      <c r="Y853" s="885"/>
      <c r="Z853" s="885"/>
    </row>
    <row r="854" ht="15.75" customHeight="1">
      <c r="A854" s="3" t="s">
        <v>2414</v>
      </c>
      <c r="B854" s="884" t="s">
        <v>95</v>
      </c>
      <c r="C854" s="884"/>
      <c r="D854" s="884"/>
      <c r="E854" s="885"/>
      <c r="F854" s="970" t="s">
        <v>1755</v>
      </c>
      <c r="G854" s="885"/>
      <c r="H854" s="972"/>
      <c r="I854" s="885"/>
      <c r="J854" s="885"/>
      <c r="K854" s="3"/>
      <c r="L854" s="3"/>
      <c r="M854" s="885"/>
      <c r="N854" s="887"/>
      <c r="O854" s="885"/>
      <c r="P854" s="885"/>
      <c r="Q854" s="885"/>
      <c r="R854" s="885"/>
      <c r="S854" s="885"/>
      <c r="T854" s="885"/>
      <c r="U854" s="885"/>
      <c r="V854" s="885"/>
      <c r="W854" s="885"/>
      <c r="X854" s="885"/>
      <c r="Y854" s="885"/>
      <c r="Z854" s="885"/>
    </row>
    <row r="855" ht="15.75" customHeight="1">
      <c r="A855" s="3" t="s">
        <v>2415</v>
      </c>
      <c r="B855" s="884" t="s">
        <v>95</v>
      </c>
      <c r="C855" s="884"/>
      <c r="D855" s="884"/>
      <c r="E855" s="885"/>
      <c r="F855" s="910" t="s">
        <v>1702</v>
      </c>
      <c r="G855" s="974"/>
      <c r="H855" s="931">
        <v>31.333</v>
      </c>
      <c r="I855" s="885"/>
      <c r="J855" s="885"/>
      <c r="K855" s="3"/>
      <c r="M855" s="885"/>
      <c r="N855" s="887"/>
      <c r="O855" s="885"/>
      <c r="P855" s="885"/>
      <c r="Q855" s="885"/>
      <c r="R855" s="885"/>
      <c r="S855" s="885"/>
      <c r="T855" s="885"/>
      <c r="U855" s="885"/>
      <c r="V855" s="885"/>
      <c r="W855" s="885"/>
      <c r="X855" s="885"/>
      <c r="Y855" s="885"/>
      <c r="Z855" s="885"/>
    </row>
    <row r="856" ht="15.75" customHeight="1">
      <c r="A856" s="3" t="s">
        <v>2416</v>
      </c>
      <c r="B856" s="884" t="s">
        <v>95</v>
      </c>
      <c r="C856" s="884"/>
      <c r="D856" s="884"/>
      <c r="E856" s="885"/>
      <c r="M856" s="885"/>
      <c r="N856" s="887"/>
      <c r="O856" s="885"/>
      <c r="P856" s="885"/>
      <c r="Q856" s="885"/>
      <c r="R856" s="885"/>
      <c r="S856" s="885"/>
      <c r="T856" s="885"/>
      <c r="U856" s="885"/>
      <c r="V856" s="885"/>
      <c r="W856" s="885"/>
      <c r="X856" s="885"/>
      <c r="Y856" s="885"/>
      <c r="Z856" s="885"/>
    </row>
    <row r="857" ht="15.75" customHeight="1">
      <c r="A857" s="3" t="s">
        <v>2417</v>
      </c>
      <c r="B857" s="884" t="s">
        <v>95</v>
      </c>
      <c r="C857" s="884"/>
      <c r="D857" s="884"/>
      <c r="E857" s="885"/>
      <c r="F857" s="3"/>
      <c r="G857" s="3"/>
      <c r="H857" s="886"/>
      <c r="I857" s="885"/>
      <c r="J857" s="885"/>
      <c r="K857" s="3"/>
      <c r="L857" s="3"/>
      <c r="M857" s="885"/>
      <c r="N857" s="887"/>
      <c r="O857" s="885"/>
      <c r="P857" s="885"/>
      <c r="Q857" s="885"/>
      <c r="R857" s="885"/>
      <c r="S857" s="885"/>
      <c r="T857" s="885"/>
      <c r="U857" s="885"/>
      <c r="V857" s="885"/>
      <c r="W857" s="885"/>
      <c r="X857" s="885"/>
      <c r="Y857" s="885"/>
      <c r="Z857" s="885"/>
    </row>
    <row r="858" ht="15.75" customHeight="1">
      <c r="A858" s="3" t="s">
        <v>2418</v>
      </c>
      <c r="B858" s="884" t="s">
        <v>95</v>
      </c>
      <c r="C858" s="884"/>
      <c r="D858" s="884"/>
      <c r="E858" s="885"/>
      <c r="F858" s="3"/>
      <c r="G858" s="3"/>
      <c r="H858" s="886"/>
      <c r="I858" s="885"/>
      <c r="J858" s="885"/>
      <c r="K858" s="3"/>
      <c r="L858" s="3"/>
      <c r="M858" s="885"/>
      <c r="N858" s="887"/>
      <c r="O858" s="885"/>
      <c r="P858" s="885"/>
      <c r="Q858" s="885"/>
      <c r="R858" s="885"/>
      <c r="S858" s="885"/>
      <c r="T858" s="885"/>
      <c r="U858" s="885"/>
      <c r="V858" s="885"/>
      <c r="W858" s="885"/>
      <c r="X858" s="885"/>
      <c r="Y858" s="885"/>
      <c r="Z858" s="885"/>
    </row>
    <row r="859" ht="15.75" customHeight="1">
      <c r="A859" s="3" t="s">
        <v>2419</v>
      </c>
      <c r="B859" s="884" t="s">
        <v>95</v>
      </c>
      <c r="C859" s="884"/>
      <c r="D859" s="884"/>
      <c r="E859" s="885"/>
      <c r="F859" s="3"/>
      <c r="G859" s="3"/>
      <c r="H859" s="886"/>
      <c r="I859" s="885"/>
      <c r="J859" s="885"/>
      <c r="K859" s="3"/>
      <c r="L859" s="3"/>
      <c r="M859" s="885"/>
      <c r="N859" s="887"/>
      <c r="O859" s="885"/>
      <c r="P859" s="885"/>
      <c r="Q859" s="885"/>
      <c r="R859" s="885"/>
      <c r="S859" s="885"/>
      <c r="T859" s="885"/>
      <c r="U859" s="885"/>
      <c r="V859" s="885"/>
      <c r="W859" s="885"/>
      <c r="X859" s="885"/>
      <c r="Y859" s="885"/>
      <c r="Z859" s="885"/>
    </row>
    <row r="860" ht="15.75" customHeight="1">
      <c r="A860" s="3" t="s">
        <v>2420</v>
      </c>
      <c r="B860" s="884" t="s">
        <v>95</v>
      </c>
      <c r="C860" s="884"/>
      <c r="D860" s="884"/>
      <c r="E860" s="885"/>
      <c r="F860" s="3"/>
      <c r="G860" s="3"/>
      <c r="H860" s="886"/>
      <c r="I860" s="885"/>
      <c r="J860" s="885"/>
      <c r="K860" s="3"/>
      <c r="L860" s="3"/>
      <c r="M860" s="885"/>
      <c r="N860" s="887"/>
      <c r="O860" s="885"/>
      <c r="P860" s="885"/>
      <c r="Q860" s="885"/>
      <c r="R860" s="885"/>
      <c r="S860" s="885"/>
      <c r="T860" s="885"/>
      <c r="U860" s="885"/>
      <c r="V860" s="885"/>
      <c r="W860" s="885"/>
      <c r="X860" s="885"/>
      <c r="Y860" s="885"/>
      <c r="Z860" s="885"/>
    </row>
    <row r="861" ht="15.75" customHeight="1">
      <c r="A861" s="3" t="s">
        <v>95</v>
      </c>
      <c r="B861" s="884" t="s">
        <v>95</v>
      </c>
      <c r="C861" s="884"/>
      <c r="D861" s="884"/>
      <c r="E861" s="885"/>
      <c r="F861" s="3"/>
      <c r="G861" s="3"/>
      <c r="H861" s="886"/>
      <c r="I861" s="885"/>
      <c r="J861" s="885"/>
      <c r="K861" s="3"/>
      <c r="L861" s="3"/>
      <c r="M861" s="885"/>
      <c r="N861" s="887"/>
      <c r="O861" s="885"/>
      <c r="P861" s="885"/>
      <c r="Q861" s="885"/>
      <c r="R861" s="885"/>
      <c r="S861" s="885"/>
      <c r="T861" s="885"/>
      <c r="U861" s="885"/>
      <c r="V861" s="885"/>
      <c r="W861" s="885"/>
      <c r="X861" s="885"/>
      <c r="Y861" s="885"/>
      <c r="Z861" s="885"/>
    </row>
    <row r="862" ht="15.75" customHeight="1">
      <c r="A862" s="3" t="s">
        <v>2421</v>
      </c>
      <c r="B862" s="884" t="s">
        <v>95</v>
      </c>
      <c r="C862" s="884"/>
      <c r="D862" s="884"/>
      <c r="E862" s="885"/>
      <c r="F862" s="3"/>
      <c r="G862" s="3"/>
      <c r="H862" s="886"/>
      <c r="I862" s="885"/>
      <c r="J862" s="885"/>
      <c r="K862" s="3"/>
      <c r="L862" s="3"/>
      <c r="M862" s="885"/>
      <c r="N862" s="887"/>
      <c r="O862" s="885"/>
      <c r="P862" s="885"/>
      <c r="Q862" s="885"/>
      <c r="R862" s="885"/>
      <c r="S862" s="885"/>
      <c r="T862" s="885"/>
      <c r="U862" s="885"/>
      <c r="V862" s="885"/>
      <c r="W862" s="885"/>
      <c r="X862" s="885"/>
      <c r="Y862" s="885"/>
      <c r="Z862" s="885"/>
    </row>
    <row r="863" ht="15.75" customHeight="1">
      <c r="A863" s="884" t="s">
        <v>2422</v>
      </c>
      <c r="B863" s="884" t="s">
        <v>95</v>
      </c>
      <c r="C863" s="884"/>
      <c r="D863" s="884"/>
      <c r="E863" s="885"/>
      <c r="F863" s="3"/>
      <c r="G863" s="3"/>
      <c r="H863" s="886"/>
      <c r="I863" s="885"/>
      <c r="J863" s="885"/>
      <c r="K863" s="3"/>
      <c r="L863" s="3"/>
      <c r="M863" s="885"/>
      <c r="N863" s="887"/>
      <c r="O863" s="885"/>
      <c r="P863" s="885"/>
      <c r="Q863" s="885"/>
      <c r="R863" s="885"/>
      <c r="S863" s="885"/>
      <c r="T863" s="885"/>
      <c r="U863" s="885"/>
      <c r="V863" s="885"/>
      <c r="W863" s="885"/>
      <c r="X863" s="885"/>
      <c r="Y863" s="885"/>
      <c r="Z863" s="885"/>
    </row>
    <row r="864" ht="15.75" customHeight="1">
      <c r="A864" s="884" t="s">
        <v>2423</v>
      </c>
      <c r="B864" s="884" t="s">
        <v>95</v>
      </c>
      <c r="C864" s="884"/>
      <c r="D864" s="884"/>
      <c r="E864" s="885"/>
      <c r="F864" s="3"/>
      <c r="G864" s="3"/>
      <c r="H864" s="886"/>
      <c r="I864" s="885"/>
      <c r="J864" s="885"/>
      <c r="K864" s="3"/>
      <c r="L864" s="3"/>
      <c r="M864" s="885"/>
      <c r="N864" s="887"/>
      <c r="O864" s="885"/>
      <c r="P864" s="885"/>
      <c r="Q864" s="885"/>
      <c r="R864" s="885"/>
      <c r="S864" s="885"/>
      <c r="T864" s="885"/>
      <c r="U864" s="885"/>
      <c r="V864" s="885"/>
      <c r="W864" s="885"/>
      <c r="X864" s="885"/>
      <c r="Y864" s="885"/>
      <c r="Z864" s="885"/>
    </row>
    <row r="865" ht="15.75" customHeight="1">
      <c r="A865" s="884" t="s">
        <v>2424</v>
      </c>
      <c r="B865" s="884" t="s">
        <v>95</v>
      </c>
      <c r="C865" s="884"/>
      <c r="D865" s="884"/>
      <c r="E865" s="885"/>
      <c r="F865" s="3"/>
      <c r="G865" s="3"/>
      <c r="H865" s="886"/>
      <c r="I865" s="885"/>
      <c r="J865" s="885"/>
      <c r="K865" s="3"/>
      <c r="L865" s="3"/>
      <c r="M865" s="885"/>
      <c r="N865" s="887"/>
      <c r="O865" s="885"/>
      <c r="P865" s="885"/>
      <c r="Q865" s="885"/>
      <c r="R865" s="885"/>
      <c r="S865" s="885"/>
      <c r="T865" s="885"/>
      <c r="U865" s="885"/>
      <c r="V865" s="885"/>
      <c r="W865" s="885"/>
      <c r="X865" s="885"/>
      <c r="Y865" s="885"/>
      <c r="Z865" s="885"/>
    </row>
    <row r="866" ht="15.75" customHeight="1">
      <c r="A866" s="884" t="s">
        <v>2425</v>
      </c>
      <c r="B866" s="884" t="s">
        <v>95</v>
      </c>
      <c r="C866" s="884"/>
      <c r="D866" s="884"/>
      <c r="E866" s="885"/>
      <c r="F866" s="3"/>
      <c r="G866" s="3"/>
      <c r="H866" s="886"/>
      <c r="I866" s="885"/>
      <c r="J866" s="885"/>
      <c r="K866" s="3"/>
      <c r="L866" s="3"/>
      <c r="M866" s="885"/>
      <c r="N866" s="887"/>
      <c r="O866" s="885"/>
      <c r="P866" s="885"/>
      <c r="Q866" s="885"/>
      <c r="R866" s="885"/>
      <c r="S866" s="885"/>
      <c r="T866" s="885"/>
      <c r="U866" s="885"/>
      <c r="V866" s="885"/>
      <c r="W866" s="885"/>
      <c r="X866" s="885"/>
      <c r="Y866" s="885"/>
      <c r="Z866" s="885"/>
    </row>
    <row r="867" ht="15.75" customHeight="1">
      <c r="A867" s="884" t="s">
        <v>2426</v>
      </c>
      <c r="B867" s="884" t="s">
        <v>95</v>
      </c>
      <c r="C867" s="884"/>
      <c r="D867" s="884"/>
      <c r="E867" s="885"/>
      <c r="F867" s="3"/>
      <c r="G867" s="3"/>
      <c r="H867" s="886"/>
      <c r="I867" s="885"/>
      <c r="J867" s="885"/>
      <c r="K867" s="3"/>
      <c r="L867" s="3"/>
      <c r="M867" s="885"/>
      <c r="N867" s="887"/>
      <c r="O867" s="885"/>
      <c r="P867" s="885"/>
      <c r="Q867" s="885"/>
      <c r="R867" s="885"/>
      <c r="S867" s="885"/>
      <c r="T867" s="885"/>
      <c r="U867" s="885"/>
      <c r="V867" s="885"/>
      <c r="W867" s="885"/>
      <c r="X867" s="885"/>
      <c r="Y867" s="885"/>
      <c r="Z867" s="885"/>
    </row>
    <row r="868" ht="15.75" customHeight="1">
      <c r="A868" s="884" t="s">
        <v>530</v>
      </c>
      <c r="B868" s="884" t="s">
        <v>95</v>
      </c>
      <c r="C868" s="884"/>
      <c r="D868" s="884"/>
      <c r="E868" s="885"/>
      <c r="F868" s="3"/>
      <c r="G868" s="3"/>
      <c r="H868" s="886"/>
      <c r="I868" s="885"/>
      <c r="J868" s="885"/>
      <c r="K868" s="3"/>
      <c r="L868" s="3"/>
      <c r="M868" s="885"/>
      <c r="N868" s="887"/>
      <c r="O868" s="885"/>
      <c r="P868" s="885"/>
      <c r="Q868" s="885"/>
      <c r="R868" s="885"/>
      <c r="S868" s="885"/>
      <c r="T868" s="885"/>
      <c r="U868" s="885"/>
      <c r="V868" s="885"/>
      <c r="W868" s="885"/>
      <c r="X868" s="885"/>
      <c r="Y868" s="885"/>
      <c r="Z868" s="885"/>
    </row>
    <row r="869" ht="15.75" customHeight="1">
      <c r="A869" s="884" t="s">
        <v>2427</v>
      </c>
      <c r="B869" s="884" t="s">
        <v>95</v>
      </c>
      <c r="C869" s="884"/>
      <c r="D869" s="884"/>
      <c r="E869" s="885"/>
      <c r="F869" s="3"/>
      <c r="G869" s="3"/>
      <c r="H869" s="886"/>
      <c r="I869" s="885"/>
      <c r="J869" s="885"/>
      <c r="K869" s="3"/>
      <c r="L869" s="3"/>
      <c r="M869" s="885"/>
      <c r="N869" s="887"/>
      <c r="O869" s="885"/>
      <c r="P869" s="885"/>
      <c r="Q869" s="885"/>
      <c r="R869" s="885"/>
      <c r="S869" s="885"/>
      <c r="T869" s="885"/>
      <c r="U869" s="885"/>
      <c r="V869" s="885"/>
      <c r="W869" s="885"/>
      <c r="X869" s="885"/>
      <c r="Y869" s="885"/>
      <c r="Z869" s="885"/>
    </row>
    <row r="870" ht="15.75" customHeight="1">
      <c r="A870" s="884" t="s">
        <v>2428</v>
      </c>
      <c r="B870" s="884" t="s">
        <v>95</v>
      </c>
      <c r="C870" s="884"/>
      <c r="D870" s="884"/>
      <c r="E870" s="885"/>
      <c r="F870" s="3"/>
      <c r="G870" s="3"/>
      <c r="H870" s="886"/>
      <c r="I870" s="885"/>
      <c r="J870" s="885"/>
      <c r="K870" s="3"/>
      <c r="L870" s="3"/>
      <c r="M870" s="885"/>
      <c r="N870" s="887"/>
      <c r="O870" s="885"/>
      <c r="P870" s="885"/>
      <c r="Q870" s="885"/>
      <c r="R870" s="885"/>
      <c r="S870" s="885"/>
      <c r="T870" s="885"/>
      <c r="U870" s="885"/>
      <c r="V870" s="885"/>
      <c r="W870" s="885"/>
      <c r="X870" s="885"/>
      <c r="Y870" s="885"/>
      <c r="Z870" s="885"/>
    </row>
    <row r="871" ht="15.75" customHeight="1">
      <c r="A871" s="884" t="s">
        <v>2429</v>
      </c>
      <c r="B871" s="884" t="s">
        <v>95</v>
      </c>
      <c r="C871" s="884"/>
      <c r="D871" s="884"/>
      <c r="E871" s="885"/>
      <c r="F871" s="3"/>
      <c r="G871" s="3"/>
      <c r="H871" s="886"/>
      <c r="I871" s="885"/>
      <c r="J871" s="885"/>
      <c r="K871" s="3"/>
      <c r="L871" s="3"/>
      <c r="M871" s="885"/>
      <c r="N871" s="887"/>
      <c r="O871" s="885"/>
      <c r="P871" s="885"/>
      <c r="Q871" s="885"/>
      <c r="R871" s="885"/>
      <c r="S871" s="885"/>
      <c r="T871" s="885"/>
      <c r="U871" s="885"/>
      <c r="V871" s="885"/>
      <c r="W871" s="885"/>
      <c r="X871" s="885"/>
      <c r="Y871" s="885"/>
      <c r="Z871" s="885"/>
    </row>
    <row r="872" ht="15.75" customHeight="1">
      <c r="A872" s="884" t="s">
        <v>2430</v>
      </c>
      <c r="B872" s="884" t="s">
        <v>95</v>
      </c>
      <c r="C872" s="884"/>
      <c r="D872" s="884"/>
      <c r="E872" s="885"/>
      <c r="F872" s="3"/>
      <c r="G872" s="3"/>
      <c r="H872" s="886"/>
      <c r="I872" s="885"/>
      <c r="J872" s="885"/>
      <c r="K872" s="3"/>
      <c r="L872" s="3"/>
      <c r="M872" s="885"/>
      <c r="N872" s="887"/>
      <c r="O872" s="885"/>
      <c r="P872" s="885"/>
      <c r="Q872" s="885"/>
      <c r="R872" s="885"/>
      <c r="S872" s="885"/>
      <c r="T872" s="885"/>
      <c r="U872" s="885"/>
      <c r="V872" s="885"/>
      <c r="W872" s="885"/>
      <c r="X872" s="885"/>
      <c r="Y872" s="885"/>
      <c r="Z872" s="885"/>
    </row>
    <row r="873" ht="15.75" customHeight="1">
      <c r="A873" s="884" t="s">
        <v>2431</v>
      </c>
      <c r="B873" s="884" t="s">
        <v>95</v>
      </c>
      <c r="C873" s="884"/>
      <c r="D873" s="884"/>
      <c r="E873" s="885"/>
      <c r="H873" s="886"/>
      <c r="I873" s="885"/>
      <c r="J873" s="885"/>
      <c r="K873" s="3"/>
      <c r="L873" s="3"/>
      <c r="M873" s="885"/>
      <c r="N873" s="887"/>
      <c r="O873" s="885"/>
      <c r="P873" s="885"/>
      <c r="Q873" s="885"/>
      <c r="R873" s="885"/>
      <c r="S873" s="885"/>
      <c r="T873" s="885"/>
      <c r="U873" s="885"/>
      <c r="V873" s="885"/>
      <c r="W873" s="885"/>
      <c r="X873" s="885"/>
      <c r="Y873" s="885"/>
      <c r="Z873" s="885"/>
    </row>
    <row r="874" ht="15.75" customHeight="1">
      <c r="A874" s="884" t="s">
        <v>2432</v>
      </c>
      <c r="B874" s="3" t="s">
        <v>2433</v>
      </c>
      <c r="C874" s="884"/>
      <c r="D874" s="884"/>
      <c r="E874" s="885"/>
      <c r="H874" s="886"/>
      <c r="I874" s="885"/>
      <c r="J874" s="885"/>
      <c r="K874" s="3"/>
      <c r="L874" s="3"/>
      <c r="M874" s="885"/>
      <c r="N874" s="887"/>
      <c r="O874" s="885"/>
      <c r="P874" s="885"/>
      <c r="Q874" s="885"/>
      <c r="R874" s="885"/>
      <c r="S874" s="885"/>
      <c r="T874" s="885"/>
      <c r="U874" s="885"/>
      <c r="V874" s="885"/>
      <c r="W874" s="885"/>
      <c r="X874" s="885"/>
      <c r="Y874" s="885"/>
      <c r="Z874" s="885"/>
    </row>
    <row r="875" ht="15.75" customHeight="1">
      <c r="A875" s="884" t="s">
        <v>2434</v>
      </c>
      <c r="B875" s="3" t="s">
        <v>2433</v>
      </c>
      <c r="C875" s="884"/>
      <c r="D875" s="884"/>
      <c r="E875" s="885"/>
      <c r="H875" s="886"/>
      <c r="I875" s="885"/>
      <c r="J875" s="885"/>
      <c r="K875" s="3"/>
      <c r="L875" s="3"/>
      <c r="M875" s="885"/>
      <c r="N875" s="887"/>
      <c r="O875" s="885"/>
      <c r="P875" s="885"/>
      <c r="Q875" s="885"/>
      <c r="R875" s="885"/>
      <c r="S875" s="885"/>
      <c r="T875" s="885"/>
      <c r="U875" s="885"/>
      <c r="V875" s="885"/>
      <c r="W875" s="885"/>
      <c r="X875" s="885"/>
      <c r="Y875" s="885"/>
      <c r="Z875" s="885"/>
    </row>
    <row r="876" ht="15.75" customHeight="1">
      <c r="A876" s="884" t="s">
        <v>2435</v>
      </c>
      <c r="B876" s="3" t="s">
        <v>2433</v>
      </c>
      <c r="C876" s="884"/>
      <c r="D876" s="884"/>
      <c r="E876" s="885"/>
      <c r="H876" s="886"/>
      <c r="I876" s="885"/>
      <c r="J876" s="885"/>
      <c r="K876" s="3"/>
      <c r="L876" s="3"/>
      <c r="M876" s="885"/>
      <c r="N876" s="887"/>
      <c r="O876" s="885"/>
      <c r="P876" s="885"/>
      <c r="Q876" s="885"/>
      <c r="R876" s="885"/>
      <c r="S876" s="885"/>
      <c r="T876" s="885"/>
      <c r="U876" s="885"/>
      <c r="V876" s="885"/>
      <c r="W876" s="885"/>
      <c r="X876" s="885"/>
      <c r="Y876" s="885"/>
      <c r="Z876" s="885"/>
    </row>
    <row r="877" ht="15.75" customHeight="1">
      <c r="A877" s="884" t="s">
        <v>2436</v>
      </c>
      <c r="B877" s="3" t="s">
        <v>95</v>
      </c>
      <c r="C877" s="884"/>
      <c r="D877" s="884"/>
      <c r="E877" s="885"/>
      <c r="H877" s="886"/>
      <c r="I877" s="885"/>
      <c r="J877" s="885"/>
      <c r="K877" s="3"/>
      <c r="L877" s="3"/>
      <c r="M877" s="885"/>
      <c r="N877" s="887"/>
      <c r="O877" s="885"/>
      <c r="P877" s="885"/>
      <c r="Q877" s="885"/>
      <c r="R877" s="885"/>
      <c r="S877" s="885"/>
      <c r="T877" s="885"/>
      <c r="U877" s="885"/>
      <c r="V877" s="885"/>
      <c r="W877" s="885"/>
      <c r="X877" s="885"/>
      <c r="Y877" s="885"/>
      <c r="Z877" s="885"/>
    </row>
    <row r="878" ht="15.75" customHeight="1">
      <c r="A878" s="884" t="s">
        <v>2437</v>
      </c>
      <c r="B878" s="3" t="s">
        <v>95</v>
      </c>
      <c r="C878" s="884"/>
      <c r="D878" s="884"/>
      <c r="E878" s="885"/>
      <c r="F878" s="3"/>
      <c r="G878" s="3"/>
      <c r="H878" s="886"/>
      <c r="I878" s="885"/>
      <c r="J878" s="885"/>
      <c r="K878" s="3"/>
      <c r="L878" s="884"/>
      <c r="M878" s="885"/>
      <c r="N878" s="887"/>
      <c r="O878" s="885"/>
      <c r="P878" s="885"/>
      <c r="Q878" s="885"/>
      <c r="R878" s="885"/>
      <c r="S878" s="885"/>
      <c r="T878" s="885"/>
      <c r="U878" s="885"/>
      <c r="V878" s="885"/>
      <c r="W878" s="885"/>
      <c r="X878" s="885"/>
      <c r="Y878" s="885"/>
      <c r="Z878" s="885"/>
    </row>
    <row r="879" ht="15.75" customHeight="1">
      <c r="A879" s="884" t="s">
        <v>2438</v>
      </c>
      <c r="B879" s="3" t="s">
        <v>95</v>
      </c>
      <c r="C879" s="884"/>
      <c r="D879" s="884"/>
      <c r="E879" s="885"/>
      <c r="F879" s="885"/>
      <c r="G879" s="885"/>
      <c r="H879" s="930"/>
      <c r="I879" s="885"/>
      <c r="J879" s="885"/>
      <c r="K879" s="3"/>
      <c r="L879" s="3"/>
      <c r="M879" s="885"/>
      <c r="N879" s="887"/>
      <c r="O879" s="885"/>
      <c r="P879" s="885"/>
      <c r="Q879" s="885"/>
      <c r="R879" s="885"/>
      <c r="S879" s="885"/>
      <c r="T879" s="885"/>
      <c r="U879" s="885"/>
      <c r="V879" s="885"/>
      <c r="W879" s="885"/>
      <c r="X879" s="885"/>
      <c r="Y879" s="885"/>
      <c r="Z879" s="885"/>
    </row>
    <row r="880" ht="15.75" customHeight="1">
      <c r="A880" s="884" t="s">
        <v>2439</v>
      </c>
      <c r="B880" s="3" t="s">
        <v>95</v>
      </c>
      <c r="C880" s="884"/>
      <c r="D880" s="884"/>
      <c r="E880" s="885"/>
      <c r="F880" s="885"/>
      <c r="G880" s="885"/>
      <c r="H880" s="930"/>
      <c r="I880" s="885"/>
      <c r="J880" s="885"/>
      <c r="K880" s="3"/>
      <c r="L880" s="3"/>
      <c r="M880" s="885"/>
      <c r="N880" s="887"/>
      <c r="O880" s="885"/>
      <c r="P880" s="885"/>
      <c r="Q880" s="885"/>
      <c r="R880" s="885"/>
      <c r="S880" s="885"/>
      <c r="T880" s="885"/>
      <c r="U880" s="885"/>
      <c r="V880" s="885"/>
      <c r="W880" s="885"/>
      <c r="X880" s="885"/>
      <c r="Y880" s="885"/>
      <c r="Z880" s="885"/>
    </row>
    <row r="881" ht="15.75" customHeight="1">
      <c r="A881" s="884" t="s">
        <v>2440</v>
      </c>
      <c r="B881" s="3" t="s">
        <v>95</v>
      </c>
      <c r="C881" s="884"/>
      <c r="D881" s="884"/>
      <c r="E881" s="885"/>
      <c r="F881" s="885"/>
      <c r="G881" s="885"/>
      <c r="H881" s="930"/>
      <c r="I881" s="885"/>
      <c r="J881" s="885"/>
      <c r="K881" s="3"/>
      <c r="L881" s="3"/>
      <c r="M881" s="885"/>
      <c r="N881" s="887"/>
      <c r="O881" s="885"/>
      <c r="P881" s="885"/>
      <c r="Q881" s="885"/>
      <c r="R881" s="885"/>
      <c r="S881" s="885"/>
      <c r="T881" s="885"/>
      <c r="U881" s="885"/>
      <c r="V881" s="885"/>
      <c r="W881" s="885"/>
      <c r="X881" s="885"/>
      <c r="Y881" s="885"/>
      <c r="Z881" s="885"/>
    </row>
    <row r="882" ht="15.75" customHeight="1">
      <c r="A882" s="884" t="s">
        <v>2441</v>
      </c>
      <c r="B882" s="3" t="s">
        <v>95</v>
      </c>
      <c r="C882" s="884"/>
      <c r="D882" s="884"/>
      <c r="E882" s="885"/>
      <c r="F882" s="885"/>
      <c r="G882" s="885"/>
      <c r="H882" s="930"/>
      <c r="I882" s="885"/>
      <c r="J882" s="885"/>
      <c r="K882" s="3"/>
      <c r="L882" s="3"/>
      <c r="M882" s="885"/>
      <c r="N882" s="887"/>
      <c r="O882" s="885"/>
      <c r="P882" s="885"/>
      <c r="Q882" s="885"/>
      <c r="R882" s="885"/>
      <c r="S882" s="885"/>
      <c r="T882" s="885"/>
      <c r="U882" s="885"/>
      <c r="V882" s="885"/>
      <c r="W882" s="885"/>
      <c r="X882" s="885"/>
      <c r="Y882" s="885"/>
      <c r="Z882" s="885"/>
    </row>
    <row r="883" ht="15.75" customHeight="1">
      <c r="A883" s="884" t="s">
        <v>2442</v>
      </c>
      <c r="B883" s="3" t="s">
        <v>95</v>
      </c>
      <c r="C883" s="884"/>
      <c r="D883" s="884"/>
      <c r="E883" s="885"/>
      <c r="F883" s="885"/>
      <c r="G883" s="885"/>
      <c r="H883" s="930"/>
      <c r="I883" s="885"/>
      <c r="J883" s="885"/>
      <c r="K883" s="3"/>
      <c r="L883" s="3"/>
      <c r="M883" s="885"/>
      <c r="N883" s="887"/>
      <c r="O883" s="885"/>
      <c r="P883" s="885"/>
      <c r="Q883" s="885"/>
      <c r="R883" s="885"/>
      <c r="S883" s="885"/>
      <c r="T883" s="885"/>
      <c r="U883" s="885"/>
      <c r="V883" s="885"/>
      <c r="W883" s="885"/>
      <c r="X883" s="885"/>
      <c r="Y883" s="885"/>
      <c r="Z883" s="885"/>
    </row>
    <row r="884" ht="15.75" customHeight="1">
      <c r="A884" s="884" t="s">
        <v>2443</v>
      </c>
      <c r="B884" s="3" t="s">
        <v>95</v>
      </c>
      <c r="C884" s="884"/>
      <c r="D884" s="884"/>
      <c r="E884" s="885"/>
      <c r="F884" s="885"/>
      <c r="G884" s="885"/>
      <c r="H884" s="930"/>
      <c r="I884" s="885"/>
      <c r="J884" s="885"/>
      <c r="K884" s="3"/>
      <c r="L884" s="3"/>
      <c r="M884" s="885"/>
      <c r="N884" s="887"/>
      <c r="O884" s="885"/>
      <c r="P884" s="885"/>
      <c r="Q884" s="885"/>
      <c r="R884" s="885"/>
      <c r="S884" s="885"/>
      <c r="T884" s="885"/>
      <c r="U884" s="885"/>
      <c r="V884" s="885"/>
      <c r="W884" s="885"/>
      <c r="X884" s="885"/>
      <c r="Y884" s="885"/>
      <c r="Z884" s="885"/>
    </row>
    <row r="885" ht="15.75" customHeight="1">
      <c r="A885" s="884" t="s">
        <v>2444</v>
      </c>
      <c r="B885" s="3" t="s">
        <v>95</v>
      </c>
      <c r="C885" s="884"/>
      <c r="D885" s="884"/>
      <c r="E885" s="885"/>
      <c r="F885" s="885"/>
      <c r="G885" s="885"/>
      <c r="H885" s="930"/>
      <c r="I885" s="885"/>
      <c r="J885" s="885"/>
      <c r="K885" s="3"/>
      <c r="L885" s="3"/>
      <c r="M885" s="885"/>
      <c r="N885" s="887"/>
      <c r="O885" s="885"/>
      <c r="P885" s="885"/>
      <c r="Q885" s="885"/>
      <c r="R885" s="885"/>
      <c r="S885" s="885"/>
      <c r="T885" s="885"/>
      <c r="U885" s="885"/>
      <c r="V885" s="885"/>
      <c r="W885" s="885"/>
      <c r="X885" s="885"/>
      <c r="Y885" s="885"/>
      <c r="Z885" s="885"/>
    </row>
    <row r="886" ht="15.75" customHeight="1">
      <c r="A886" s="884" t="s">
        <v>2445</v>
      </c>
      <c r="B886" s="3" t="s">
        <v>95</v>
      </c>
      <c r="C886" s="884"/>
      <c r="D886" s="884"/>
      <c r="E886" s="885"/>
      <c r="F886" s="884"/>
      <c r="G886" s="975"/>
      <c r="H886" s="930"/>
      <c r="I886" s="885"/>
      <c r="J886" s="885"/>
      <c r="K886" s="3"/>
      <c r="L886" s="3"/>
      <c r="M886" s="885"/>
      <c r="N886" s="887"/>
      <c r="O886" s="885"/>
      <c r="P886" s="885"/>
      <c r="Q886" s="885"/>
      <c r="R886" s="885"/>
      <c r="S886" s="885"/>
      <c r="T886" s="885"/>
      <c r="U886" s="885"/>
      <c r="V886" s="885"/>
      <c r="W886" s="885"/>
      <c r="X886" s="885"/>
      <c r="Y886" s="885"/>
      <c r="Z886" s="885"/>
    </row>
    <row r="887" ht="15.75" customHeight="1">
      <c r="A887" s="884" t="s">
        <v>2446</v>
      </c>
      <c r="B887" s="3" t="s">
        <v>95</v>
      </c>
      <c r="C887" s="884"/>
      <c r="D887" s="884"/>
      <c r="E887" s="885"/>
      <c r="F887" s="884"/>
      <c r="G887" s="884"/>
      <c r="H887" s="930"/>
      <c r="I887" s="885"/>
      <c r="J887" s="885"/>
      <c r="K887" s="3"/>
      <c r="L887" s="3"/>
      <c r="M887" s="885"/>
      <c r="N887" s="887"/>
      <c r="O887" s="885"/>
      <c r="P887" s="885"/>
      <c r="Q887" s="885"/>
      <c r="R887" s="885"/>
      <c r="S887" s="885"/>
      <c r="T887" s="885"/>
      <c r="U887" s="885"/>
      <c r="V887" s="885"/>
      <c r="W887" s="885"/>
      <c r="X887" s="885"/>
      <c r="Y887" s="885"/>
      <c r="Z887" s="885"/>
    </row>
    <row r="888" ht="15.75" customHeight="1">
      <c r="A888" s="884" t="s">
        <v>2447</v>
      </c>
      <c r="B888" s="3" t="s">
        <v>95</v>
      </c>
      <c r="C888" s="884"/>
      <c r="D888" s="884"/>
      <c r="E888" s="885"/>
      <c r="F888" s="884"/>
      <c r="G888" s="885"/>
      <c r="H888" s="930"/>
      <c r="I888" s="885"/>
      <c r="J888" s="885"/>
      <c r="K888" s="3"/>
      <c r="L888" s="3"/>
      <c r="M888" s="885"/>
      <c r="N888" s="887"/>
      <c r="O888" s="885"/>
      <c r="P888" s="885"/>
      <c r="Q888" s="885"/>
      <c r="R888" s="885"/>
      <c r="S888" s="885"/>
      <c r="T888" s="885"/>
      <c r="U888" s="885"/>
      <c r="V888" s="885"/>
      <c r="W888" s="885"/>
      <c r="X888" s="885"/>
      <c r="Y888" s="885"/>
      <c r="Z888" s="885"/>
    </row>
    <row r="889" ht="15.75" customHeight="1">
      <c r="A889" s="884" t="s">
        <v>2448</v>
      </c>
      <c r="B889" s="3" t="s">
        <v>95</v>
      </c>
      <c r="C889" s="884"/>
      <c r="D889" s="884"/>
      <c r="E889" s="885"/>
      <c r="F889" s="884"/>
      <c r="G889" s="884"/>
      <c r="H889" s="930"/>
      <c r="I889" s="885"/>
      <c r="J889" s="885"/>
      <c r="K889" s="3"/>
      <c r="L889" s="3"/>
      <c r="M889" s="885"/>
      <c r="N889" s="887"/>
      <c r="O889" s="885"/>
      <c r="P889" s="885"/>
      <c r="Q889" s="885"/>
      <c r="R889" s="885"/>
      <c r="S889" s="885"/>
      <c r="T889" s="885"/>
      <c r="U889" s="885"/>
      <c r="V889" s="885"/>
      <c r="W889" s="885"/>
      <c r="X889" s="885"/>
      <c r="Y889" s="885"/>
      <c r="Z889" s="885"/>
    </row>
    <row r="890" ht="15.75" customHeight="1">
      <c r="A890" s="884" t="s">
        <v>2449</v>
      </c>
      <c r="B890" s="3" t="s">
        <v>2450</v>
      </c>
      <c r="C890" s="884"/>
      <c r="D890" s="884"/>
      <c r="E890" s="885"/>
      <c r="F890" s="884"/>
      <c r="G890" s="884"/>
      <c r="H890" s="930"/>
      <c r="I890" s="885"/>
      <c r="J890" s="885"/>
      <c r="K890" s="3"/>
      <c r="L890" s="3"/>
      <c r="M890" s="885"/>
      <c r="N890" s="887"/>
      <c r="O890" s="885"/>
      <c r="P890" s="885"/>
      <c r="Q890" s="885"/>
      <c r="R890" s="885"/>
      <c r="S890" s="885"/>
      <c r="T890" s="885"/>
      <c r="U890" s="885"/>
      <c r="V890" s="885"/>
      <c r="W890" s="885"/>
      <c r="X890" s="885"/>
      <c r="Y890" s="885"/>
      <c r="Z890" s="885"/>
    </row>
    <row r="891" ht="15.75" customHeight="1">
      <c r="A891" s="884" t="s">
        <v>2451</v>
      </c>
      <c r="B891" s="3" t="s">
        <v>2433</v>
      </c>
      <c r="C891" s="884"/>
      <c r="D891" s="884"/>
      <c r="E891" s="885"/>
      <c r="F891" s="884"/>
      <c r="G891" s="884"/>
      <c r="H891" s="930"/>
      <c r="I891" s="885"/>
      <c r="J891" s="885"/>
      <c r="K891" s="885"/>
      <c r="L891" s="885"/>
      <c r="M891" s="885"/>
      <c r="N891" s="887"/>
      <c r="O891" s="885"/>
      <c r="P891" s="885"/>
      <c r="Q891" s="885"/>
      <c r="R891" s="885"/>
      <c r="S891" s="885"/>
      <c r="T891" s="885"/>
      <c r="U891" s="885"/>
      <c r="V891" s="885"/>
      <c r="W891" s="885"/>
      <c r="X891" s="885"/>
      <c r="Y891" s="885"/>
      <c r="Z891" s="885"/>
    </row>
    <row r="892" ht="15.75" customHeight="1">
      <c r="A892" s="884" t="s">
        <v>2452</v>
      </c>
      <c r="B892" s="3" t="s">
        <v>2433</v>
      </c>
      <c r="C892" s="884"/>
      <c r="D892" s="884"/>
      <c r="E892" s="885"/>
      <c r="F892" s="884"/>
      <c r="G892" s="885"/>
      <c r="H892" s="930"/>
      <c r="I892" s="885"/>
      <c r="J892" s="885"/>
      <c r="K892" s="885"/>
      <c r="L892" s="885"/>
      <c r="M892" s="885"/>
      <c r="N892" s="887"/>
      <c r="O892" s="885"/>
      <c r="P892" s="885"/>
      <c r="Q892" s="885"/>
      <c r="R892" s="885"/>
      <c r="S892" s="885"/>
      <c r="T892" s="885"/>
      <c r="U892" s="885"/>
      <c r="V892" s="885"/>
      <c r="W892" s="885"/>
      <c r="X892" s="885"/>
      <c r="Y892" s="885"/>
      <c r="Z892" s="885"/>
    </row>
    <row r="893" ht="15.75" customHeight="1">
      <c r="A893" s="884" t="s">
        <v>2453</v>
      </c>
      <c r="B893" s="3" t="s">
        <v>2433</v>
      </c>
      <c r="C893" s="884"/>
      <c r="D893" s="884"/>
      <c r="E893" s="885"/>
      <c r="F893" s="884"/>
      <c r="G893" s="884"/>
      <c r="H893" s="930"/>
      <c r="I893" s="885"/>
      <c r="J893" s="885"/>
      <c r="K893" s="885"/>
      <c r="L893" s="885"/>
      <c r="M893" s="885"/>
      <c r="N893" s="887"/>
      <c r="O893" s="885"/>
      <c r="P893" s="885"/>
      <c r="Q893" s="885"/>
      <c r="R893" s="885"/>
      <c r="S893" s="885"/>
      <c r="T893" s="885"/>
      <c r="U893" s="885"/>
      <c r="V893" s="885"/>
      <c r="W893" s="885"/>
      <c r="X893" s="885"/>
      <c r="Y893" s="885"/>
      <c r="Z893" s="885"/>
    </row>
    <row r="894" ht="15.75" customHeight="1">
      <c r="A894" s="884" t="s">
        <v>2454</v>
      </c>
      <c r="B894" s="3" t="s">
        <v>2433</v>
      </c>
      <c r="C894" s="884"/>
      <c r="D894" s="884"/>
      <c r="E894" s="885"/>
      <c r="F894" s="884"/>
      <c r="G894" s="884"/>
      <c r="H894" s="930"/>
      <c r="I894" s="885"/>
      <c r="J894" s="885"/>
      <c r="K894" s="885"/>
      <c r="L894" s="885"/>
      <c r="M894" s="885"/>
      <c r="N894" s="887"/>
      <c r="O894" s="885"/>
      <c r="P894" s="885"/>
      <c r="Q894" s="885"/>
      <c r="R894" s="885"/>
      <c r="S894" s="885"/>
      <c r="T894" s="885"/>
      <c r="U894" s="885"/>
      <c r="V894" s="885"/>
      <c r="W894" s="885"/>
      <c r="X894" s="885"/>
      <c r="Y894" s="885"/>
      <c r="Z894" s="885"/>
    </row>
    <row r="895" ht="15.75" customHeight="1">
      <c r="A895" s="884" t="s">
        <v>2455</v>
      </c>
      <c r="B895" s="884" t="s">
        <v>2433</v>
      </c>
      <c r="C895" s="884"/>
      <c r="D895" s="884"/>
      <c r="E895" s="885"/>
      <c r="F895" s="884"/>
      <c r="G895" s="884"/>
      <c r="H895" s="930"/>
      <c r="I895" s="885"/>
      <c r="J895" s="885"/>
      <c r="K895" s="885"/>
      <c r="L895" s="885"/>
      <c r="M895" s="885"/>
      <c r="N895" s="887"/>
      <c r="O895" s="885"/>
      <c r="P895" s="885"/>
      <c r="Q895" s="885"/>
      <c r="R895" s="885"/>
      <c r="S895" s="885"/>
      <c r="T895" s="885"/>
      <c r="U895" s="885"/>
      <c r="V895" s="885"/>
      <c r="W895" s="885"/>
      <c r="X895" s="885"/>
      <c r="Y895" s="885"/>
      <c r="Z895" s="885"/>
    </row>
    <row r="896" ht="15.75" customHeight="1">
      <c r="A896" s="895" t="s">
        <v>2456</v>
      </c>
      <c r="B896" s="883" t="s">
        <v>95</v>
      </c>
      <c r="C896" s="884"/>
      <c r="D896" s="884"/>
      <c r="E896" s="885"/>
      <c r="F896" s="884"/>
      <c r="G896" s="884"/>
      <c r="H896" s="930"/>
      <c r="I896" s="885"/>
      <c r="J896" s="885"/>
      <c r="K896" s="885"/>
      <c r="L896" s="885"/>
      <c r="M896" s="885"/>
      <c r="N896" s="887"/>
      <c r="O896" s="885"/>
      <c r="P896" s="885"/>
      <c r="Q896" s="885"/>
      <c r="R896" s="885"/>
      <c r="S896" s="885"/>
      <c r="T896" s="885"/>
      <c r="U896" s="885"/>
      <c r="V896" s="885"/>
      <c r="W896" s="885"/>
      <c r="X896" s="885"/>
      <c r="Y896" s="885"/>
      <c r="Z896" s="885"/>
    </row>
    <row r="897" ht="15.75" customHeight="1">
      <c r="A897" s="3" t="s">
        <v>2457</v>
      </c>
      <c r="B897" s="883" t="s">
        <v>2458</v>
      </c>
      <c r="C897" s="884"/>
      <c r="D897" s="884"/>
      <c r="E897" s="885"/>
      <c r="F897" s="884"/>
      <c r="G897" s="884"/>
      <c r="H897" s="930"/>
      <c r="I897" s="885"/>
      <c r="J897" s="885"/>
      <c r="K897" s="885"/>
      <c r="L897" s="885"/>
      <c r="M897" s="885"/>
      <c r="N897" s="887"/>
      <c r="O897" s="885"/>
      <c r="P897" s="885"/>
      <c r="Q897" s="885"/>
      <c r="R897" s="885"/>
      <c r="S897" s="885"/>
      <c r="T897" s="885"/>
      <c r="U897" s="885"/>
      <c r="V897" s="885"/>
      <c r="W897" s="885"/>
      <c r="X897" s="885"/>
      <c r="Y897" s="885"/>
      <c r="Z897" s="885"/>
    </row>
    <row r="898" ht="15.75" customHeight="1">
      <c r="A898" s="3" t="s">
        <v>2459</v>
      </c>
      <c r="B898" s="884" t="s">
        <v>95</v>
      </c>
      <c r="C898" s="884"/>
      <c r="D898" s="884"/>
      <c r="E898" s="885"/>
      <c r="F898" s="884"/>
      <c r="G898" s="884"/>
      <c r="H898" s="930"/>
      <c r="I898" s="885"/>
      <c r="J898" s="885"/>
      <c r="K898" s="885"/>
      <c r="L898" s="885"/>
      <c r="M898" s="885"/>
      <c r="N898" s="887"/>
      <c r="O898" s="885"/>
      <c r="P898" s="885"/>
      <c r="Q898" s="885"/>
      <c r="R898" s="885"/>
      <c r="S898" s="885"/>
      <c r="T898" s="885"/>
      <c r="U898" s="885"/>
      <c r="V898" s="885"/>
      <c r="W898" s="885"/>
      <c r="X898" s="885"/>
      <c r="Y898" s="885"/>
      <c r="Z898" s="885"/>
    </row>
    <row r="899" ht="15.75" customHeight="1">
      <c r="A899" s="3" t="s">
        <v>2460</v>
      </c>
      <c r="B899" s="884" t="s">
        <v>95</v>
      </c>
      <c r="C899" s="884"/>
      <c r="D899" s="884"/>
      <c r="E899" s="885"/>
      <c r="F899" s="884"/>
      <c r="G899" s="884"/>
      <c r="H899" s="930"/>
      <c r="I899" s="885"/>
      <c r="J899" s="885"/>
      <c r="K899" s="885"/>
      <c r="L899" s="885"/>
      <c r="M899" s="885"/>
      <c r="N899" s="887"/>
      <c r="O899" s="885"/>
      <c r="P899" s="885"/>
      <c r="Q899" s="885"/>
      <c r="R899" s="885"/>
      <c r="S899" s="885"/>
      <c r="T899" s="885"/>
      <c r="U899" s="885"/>
      <c r="V899" s="885"/>
      <c r="W899" s="885"/>
      <c r="X899" s="885"/>
      <c r="Y899" s="885"/>
      <c r="Z899" s="885"/>
    </row>
    <row r="900" ht="15.75" customHeight="1">
      <c r="A900" s="3" t="s">
        <v>2461</v>
      </c>
      <c r="B900" s="884" t="s">
        <v>95</v>
      </c>
      <c r="C900" s="884"/>
      <c r="D900" s="884"/>
      <c r="E900" s="885"/>
      <c r="F900" s="884"/>
      <c r="G900" s="885"/>
      <c r="H900" s="930"/>
      <c r="I900" s="885"/>
      <c r="J900" s="885"/>
      <c r="K900" s="885"/>
      <c r="L900" s="885"/>
      <c r="M900" s="885"/>
      <c r="N900" s="887"/>
      <c r="O900" s="885"/>
      <c r="P900" s="885"/>
      <c r="Q900" s="885"/>
      <c r="R900" s="885"/>
      <c r="S900" s="885"/>
      <c r="T900" s="885"/>
      <c r="U900" s="885"/>
      <c r="V900" s="885"/>
      <c r="W900" s="885"/>
      <c r="X900" s="885"/>
      <c r="Y900" s="885"/>
      <c r="Z900" s="885"/>
    </row>
    <row r="901" ht="15.75" customHeight="1">
      <c r="A901" s="3" t="s">
        <v>2462</v>
      </c>
      <c r="B901" s="3" t="s">
        <v>2463</v>
      </c>
      <c r="C901" s="884"/>
      <c r="D901" s="884"/>
      <c r="E901" s="885"/>
      <c r="F901" s="885"/>
      <c r="G901" s="885"/>
      <c r="H901" s="930"/>
      <c r="I901" s="885"/>
      <c r="J901" s="885"/>
      <c r="K901" s="885"/>
      <c r="L901" s="885"/>
      <c r="M901" s="885"/>
      <c r="N901" s="887"/>
      <c r="O901" s="885"/>
      <c r="P901" s="885"/>
      <c r="Q901" s="885"/>
      <c r="R901" s="885"/>
      <c r="S901" s="885"/>
      <c r="T901" s="885"/>
      <c r="U901" s="885"/>
      <c r="V901" s="885"/>
      <c r="W901" s="885"/>
      <c r="X901" s="885"/>
      <c r="Y901" s="885"/>
      <c r="Z901" s="885"/>
    </row>
    <row r="902" ht="15.75" customHeight="1">
      <c r="A902" s="884" t="s">
        <v>2464</v>
      </c>
      <c r="B902" s="3" t="s">
        <v>2463</v>
      </c>
      <c r="C902" s="884"/>
      <c r="D902" s="884"/>
      <c r="E902" s="885"/>
      <c r="F902" s="885"/>
      <c r="G902" s="885"/>
      <c r="H902" s="930"/>
      <c r="I902" s="885"/>
      <c r="J902" s="885"/>
      <c r="K902" s="885"/>
      <c r="L902" s="885"/>
      <c r="M902" s="885"/>
      <c r="N902" s="887"/>
      <c r="O902" s="885"/>
      <c r="P902" s="885"/>
      <c r="Q902" s="885"/>
      <c r="R902" s="885"/>
      <c r="S902" s="885"/>
      <c r="T902" s="885"/>
      <c r="U902" s="885"/>
      <c r="V902" s="885"/>
      <c r="W902" s="885"/>
      <c r="X902" s="885"/>
      <c r="Y902" s="885"/>
      <c r="Z902" s="885"/>
    </row>
    <row r="903" ht="15.75" customHeight="1">
      <c r="A903" s="884" t="s">
        <v>494</v>
      </c>
      <c r="B903" s="895" t="s">
        <v>2465</v>
      </c>
      <c r="C903" s="884"/>
      <c r="D903" s="884"/>
      <c r="E903" s="885"/>
      <c r="F903" s="885"/>
      <c r="G903" s="885"/>
      <c r="H903" s="930"/>
      <c r="I903" s="885"/>
      <c r="J903" s="885"/>
      <c r="K903" s="885"/>
      <c r="L903" s="885"/>
      <c r="M903" s="885"/>
      <c r="N903" s="887"/>
      <c r="O903" s="885"/>
      <c r="P903" s="885"/>
      <c r="Q903" s="885"/>
      <c r="R903" s="885"/>
      <c r="S903" s="885"/>
      <c r="T903" s="885"/>
      <c r="U903" s="885"/>
      <c r="V903" s="885"/>
      <c r="W903" s="885"/>
      <c r="X903" s="885"/>
      <c r="Y903" s="885"/>
      <c r="Z903" s="885"/>
    </row>
    <row r="904" ht="15.75" customHeight="1">
      <c r="A904" s="884" t="s">
        <v>2466</v>
      </c>
      <c r="B904" s="895" t="s">
        <v>2467</v>
      </c>
      <c r="C904" s="884"/>
      <c r="D904" s="884"/>
      <c r="E904" s="885"/>
      <c r="F904" s="885"/>
      <c r="G904" s="885"/>
      <c r="H904" s="930"/>
      <c r="I904" s="885"/>
      <c r="J904" s="885"/>
      <c r="K904" s="885"/>
      <c r="L904" s="885"/>
      <c r="M904" s="885"/>
      <c r="N904" s="887"/>
      <c r="O904" s="885"/>
      <c r="P904" s="885"/>
      <c r="Q904" s="885"/>
      <c r="R904" s="885"/>
      <c r="S904" s="885"/>
      <c r="T904" s="885"/>
      <c r="U904" s="885"/>
      <c r="V904" s="885"/>
      <c r="W904" s="885"/>
      <c r="X904" s="885"/>
      <c r="Y904" s="885"/>
      <c r="Z904" s="885"/>
    </row>
    <row r="905" ht="15.75" customHeight="1">
      <c r="A905" s="883" t="s">
        <v>2468</v>
      </c>
      <c r="B905" s="3" t="s">
        <v>2463</v>
      </c>
      <c r="C905" s="884"/>
      <c r="D905" s="884"/>
      <c r="E905" s="885"/>
      <c r="F905" s="885"/>
      <c r="G905" s="885"/>
      <c r="H905" s="930"/>
      <c r="I905" s="885"/>
      <c r="J905" s="885"/>
      <c r="K905" s="885"/>
      <c r="L905" s="885"/>
      <c r="M905" s="885"/>
      <c r="N905" s="887"/>
      <c r="O905" s="885"/>
      <c r="P905" s="885"/>
      <c r="Q905" s="885"/>
      <c r="R905" s="885"/>
      <c r="S905" s="885"/>
      <c r="T905" s="885"/>
      <c r="U905" s="885"/>
      <c r="V905" s="885"/>
      <c r="W905" s="885"/>
      <c r="X905" s="885"/>
      <c r="Y905" s="885"/>
      <c r="Z905" s="885"/>
    </row>
    <row r="906" ht="15.75" customHeight="1">
      <c r="A906" s="884" t="s">
        <v>2469</v>
      </c>
      <c r="B906" s="3" t="s">
        <v>2463</v>
      </c>
      <c r="C906" s="884"/>
      <c r="D906" s="884"/>
      <c r="E906" s="885"/>
      <c r="F906" s="885"/>
      <c r="G906" s="885"/>
      <c r="H906" s="930"/>
      <c r="I906" s="885"/>
      <c r="J906" s="885"/>
      <c r="K906" s="885"/>
      <c r="L906" s="885"/>
      <c r="M906" s="885"/>
      <c r="N906" s="887"/>
      <c r="O906" s="885"/>
      <c r="P906" s="885"/>
      <c r="Q906" s="885"/>
      <c r="R906" s="885"/>
      <c r="S906" s="885"/>
      <c r="T906" s="885"/>
      <c r="U906" s="885"/>
      <c r="V906" s="885"/>
      <c r="W906" s="885"/>
      <c r="X906" s="885"/>
      <c r="Y906" s="885"/>
      <c r="Z906" s="885"/>
    </row>
    <row r="907" ht="15.75" customHeight="1">
      <c r="A907" s="3" t="s">
        <v>2470</v>
      </c>
      <c r="B907" s="895" t="s">
        <v>2467</v>
      </c>
      <c r="C907" s="884"/>
      <c r="D907" s="884"/>
      <c r="E907" s="885"/>
      <c r="F907" s="885"/>
      <c r="G907" s="885"/>
      <c r="H907" s="930"/>
      <c r="I907" s="885"/>
      <c r="J907" s="885"/>
      <c r="K907" s="885"/>
      <c r="L907" s="885"/>
      <c r="M907" s="885"/>
      <c r="N907" s="887"/>
      <c r="O907" s="885"/>
      <c r="P907" s="885"/>
      <c r="Q907" s="885"/>
      <c r="R907" s="885"/>
      <c r="S907" s="885"/>
      <c r="T907" s="885"/>
      <c r="U907" s="885"/>
      <c r="V907" s="885"/>
      <c r="W907" s="885"/>
      <c r="X907" s="885"/>
      <c r="Y907" s="885"/>
      <c r="Z907" s="885"/>
    </row>
    <row r="908" ht="15.75" customHeight="1">
      <c r="A908" s="895" t="s">
        <v>2471</v>
      </c>
      <c r="B908" s="895" t="s">
        <v>2467</v>
      </c>
      <c r="C908" s="884"/>
      <c r="D908" s="884"/>
      <c r="E908" s="885"/>
      <c r="F908" s="885"/>
      <c r="G908" s="885"/>
      <c r="H908" s="930"/>
      <c r="I908" s="885"/>
      <c r="J908" s="885"/>
      <c r="K908" s="885"/>
      <c r="L908" s="885"/>
      <c r="M908" s="885"/>
      <c r="N908" s="887"/>
      <c r="O908" s="885"/>
      <c r="P908" s="885"/>
      <c r="Q908" s="885"/>
      <c r="R908" s="885"/>
      <c r="S908" s="885"/>
      <c r="T908" s="885"/>
      <c r="U908" s="885"/>
      <c r="V908" s="885"/>
      <c r="W908" s="885"/>
      <c r="X908" s="885"/>
      <c r="Y908" s="885"/>
      <c r="Z908" s="885"/>
    </row>
    <row r="909" ht="15.75" customHeight="1">
      <c r="A909" s="895" t="s">
        <v>2463</v>
      </c>
      <c r="B909" s="895" t="s">
        <v>2463</v>
      </c>
      <c r="C909" s="884"/>
      <c r="D909" s="884"/>
      <c r="E909" s="885"/>
      <c r="F909" s="885"/>
      <c r="G909" s="885"/>
      <c r="H909" s="930"/>
      <c r="I909" s="885"/>
      <c r="J909" s="885"/>
      <c r="K909" s="885"/>
      <c r="L909" s="885"/>
      <c r="M909" s="885"/>
      <c r="N909" s="887"/>
      <c r="O909" s="885"/>
      <c r="P909" s="885"/>
      <c r="Q909" s="885"/>
      <c r="R909" s="885"/>
      <c r="S909" s="885"/>
      <c r="T909" s="885"/>
      <c r="U909" s="885"/>
      <c r="V909" s="885"/>
      <c r="W909" s="885"/>
      <c r="X909" s="885"/>
      <c r="Y909" s="885"/>
      <c r="Z909" s="885"/>
    </row>
    <row r="910" ht="15.75" customHeight="1">
      <c r="A910" s="3" t="s">
        <v>2472</v>
      </c>
      <c r="B910" s="895" t="s">
        <v>2467</v>
      </c>
      <c r="C910" s="884"/>
      <c r="D910" s="884"/>
      <c r="E910" s="885"/>
      <c r="F910" s="885"/>
      <c r="G910" s="885"/>
      <c r="H910" s="930"/>
      <c r="I910" s="885"/>
      <c r="J910" s="885"/>
      <c r="K910" s="885"/>
      <c r="L910" s="885"/>
      <c r="M910" s="885"/>
      <c r="N910" s="887"/>
      <c r="O910" s="885"/>
      <c r="P910" s="885"/>
      <c r="Q910" s="885"/>
      <c r="R910" s="885"/>
      <c r="S910" s="885"/>
      <c r="T910" s="885"/>
      <c r="U910" s="885"/>
      <c r="V910" s="885"/>
      <c r="W910" s="885"/>
      <c r="X910" s="885"/>
      <c r="Y910" s="885"/>
      <c r="Z910" s="885"/>
    </row>
    <row r="911" ht="15.75" customHeight="1">
      <c r="A911" s="3" t="s">
        <v>656</v>
      </c>
      <c r="B911" s="884" t="s">
        <v>656</v>
      </c>
      <c r="C911" s="884"/>
      <c r="D911" s="884"/>
      <c r="E911" s="885"/>
      <c r="F911" s="885"/>
      <c r="G911" s="885"/>
      <c r="H911" s="930"/>
      <c r="I911" s="885"/>
      <c r="J911" s="885"/>
      <c r="K911" s="885"/>
      <c r="L911" s="885"/>
      <c r="M911" s="885"/>
      <c r="N911" s="887"/>
      <c r="O911" s="885"/>
      <c r="P911" s="885"/>
      <c r="Q911" s="885"/>
      <c r="R911" s="885"/>
      <c r="S911" s="885"/>
      <c r="T911" s="885"/>
      <c r="U911" s="885"/>
      <c r="V911" s="885"/>
      <c r="W911" s="885"/>
      <c r="X911" s="885"/>
      <c r="Y911" s="885"/>
      <c r="Z911" s="885"/>
    </row>
    <row r="912" ht="15.75" customHeight="1">
      <c r="A912" s="3" t="s">
        <v>232</v>
      </c>
      <c r="B912" s="883" t="s">
        <v>2473</v>
      </c>
      <c r="C912" s="884"/>
      <c r="D912" s="884"/>
      <c r="E912" s="885"/>
      <c r="F912" s="885"/>
      <c r="G912" s="885"/>
      <c r="H912" s="930"/>
      <c r="I912" s="885"/>
      <c r="J912" s="885"/>
      <c r="K912" s="885"/>
      <c r="L912" s="885"/>
      <c r="M912" s="885"/>
      <c r="N912" s="887"/>
      <c r="O912" s="885"/>
      <c r="P912" s="885"/>
      <c r="Q912" s="885"/>
      <c r="R912" s="885"/>
      <c r="S912" s="885"/>
      <c r="T912" s="885"/>
      <c r="U912" s="885"/>
      <c r="V912" s="885"/>
      <c r="W912" s="885"/>
      <c r="X912" s="885"/>
      <c r="Y912" s="885"/>
      <c r="Z912" s="885"/>
    </row>
    <row r="913" ht="15.75" customHeight="1">
      <c r="A913" s="3" t="s">
        <v>2474</v>
      </c>
      <c r="B913" s="884" t="s">
        <v>656</v>
      </c>
      <c r="C913" s="884"/>
      <c r="D913" s="884"/>
      <c r="E913" s="885"/>
      <c r="F913" s="885"/>
      <c r="G913" s="885"/>
      <c r="H913" s="930"/>
      <c r="I913" s="885"/>
      <c r="J913" s="885"/>
      <c r="K913" s="885"/>
      <c r="L913" s="885"/>
      <c r="M913" s="885"/>
      <c r="N913" s="887"/>
      <c r="O913" s="885"/>
      <c r="P913" s="885"/>
      <c r="Q913" s="885"/>
      <c r="R913" s="885"/>
      <c r="S913" s="885"/>
      <c r="T913" s="885"/>
      <c r="U913" s="885"/>
      <c r="V913" s="885"/>
      <c r="W913" s="885"/>
      <c r="X913" s="885"/>
      <c r="Y913" s="885"/>
      <c r="Z913" s="885"/>
    </row>
    <row r="914" ht="15.75" customHeight="1">
      <c r="A914" s="3" t="s">
        <v>2475</v>
      </c>
      <c r="B914" s="895" t="s">
        <v>2476</v>
      </c>
      <c r="C914" s="884"/>
      <c r="D914" s="884"/>
      <c r="E914" s="885"/>
      <c r="F914" s="885"/>
      <c r="G914" s="885"/>
      <c r="H914" s="930"/>
      <c r="I914" s="885"/>
      <c r="J914" s="885"/>
      <c r="K914" s="885"/>
      <c r="L914" s="885"/>
      <c r="M914" s="885"/>
      <c r="N914" s="887"/>
      <c r="O914" s="885"/>
      <c r="P914" s="885"/>
      <c r="Q914" s="885"/>
      <c r="R914" s="885"/>
      <c r="S914" s="885"/>
      <c r="T914" s="885"/>
      <c r="U914" s="885"/>
      <c r="V914" s="885"/>
      <c r="W914" s="885"/>
      <c r="X914" s="885"/>
      <c r="Y914" s="885"/>
      <c r="Z914" s="885"/>
    </row>
    <row r="915" ht="15.75" customHeight="1">
      <c r="A915" s="3" t="s">
        <v>2477</v>
      </c>
      <c r="B915" s="895" t="s">
        <v>2476</v>
      </c>
      <c r="C915" s="884"/>
      <c r="D915" s="884"/>
      <c r="E915" s="885"/>
      <c r="F915" s="885"/>
      <c r="G915" s="885"/>
      <c r="H915" s="930"/>
      <c r="I915" s="885"/>
      <c r="J915" s="885"/>
      <c r="K915" s="885"/>
      <c r="L915" s="885"/>
      <c r="M915" s="885"/>
      <c r="N915" s="887"/>
      <c r="O915" s="885"/>
      <c r="P915" s="885"/>
      <c r="Q915" s="885"/>
      <c r="R915" s="885"/>
      <c r="S915" s="885"/>
      <c r="T915" s="885"/>
      <c r="U915" s="885"/>
      <c r="V915" s="885"/>
      <c r="W915" s="885"/>
      <c r="X915" s="885"/>
      <c r="Y915" s="885"/>
      <c r="Z915" s="885"/>
    </row>
    <row r="916" ht="15.75" customHeight="1">
      <c r="A916" s="3" t="s">
        <v>2478</v>
      </c>
      <c r="B916" s="895" t="s">
        <v>2476</v>
      </c>
      <c r="C916" s="884"/>
      <c r="D916" s="884"/>
      <c r="E916" s="885"/>
      <c r="F916" s="885"/>
      <c r="G916" s="885"/>
      <c r="H916" s="930"/>
      <c r="I916" s="885"/>
      <c r="J916" s="885"/>
      <c r="K916" s="885"/>
      <c r="L916" s="885"/>
      <c r="M916" s="885"/>
      <c r="N916" s="887"/>
      <c r="O916" s="885"/>
      <c r="P916" s="885"/>
      <c r="Q916" s="885"/>
      <c r="R916" s="885"/>
      <c r="S916" s="885"/>
      <c r="T916" s="885"/>
      <c r="U916" s="885"/>
      <c r="V916" s="885"/>
      <c r="W916" s="885"/>
      <c r="X916" s="885"/>
      <c r="Y916" s="885"/>
      <c r="Z916" s="885"/>
    </row>
    <row r="917" ht="15.75" customHeight="1">
      <c r="A917" s="3" t="s">
        <v>2479</v>
      </c>
      <c r="B917" s="895" t="s">
        <v>2476</v>
      </c>
      <c r="C917" s="884"/>
      <c r="D917" s="884"/>
      <c r="E917" s="885"/>
      <c r="F917" s="885"/>
      <c r="G917" s="885"/>
      <c r="H917" s="930"/>
      <c r="I917" s="885"/>
      <c r="J917" s="885"/>
      <c r="K917" s="885"/>
      <c r="L917" s="885"/>
      <c r="M917" s="885"/>
      <c r="N917" s="887"/>
      <c r="O917" s="885"/>
      <c r="P917" s="885"/>
      <c r="Q917" s="885"/>
      <c r="R917" s="885"/>
      <c r="S917" s="885"/>
      <c r="T917" s="885"/>
      <c r="U917" s="885"/>
      <c r="V917" s="885"/>
      <c r="W917" s="885"/>
      <c r="X917" s="885"/>
      <c r="Y917" s="885"/>
      <c r="Z917" s="885"/>
    </row>
    <row r="918" ht="15.75" customHeight="1">
      <c r="A918" s="3" t="s">
        <v>2480</v>
      </c>
      <c r="B918" s="895" t="s">
        <v>2476</v>
      </c>
      <c r="C918" s="884"/>
      <c r="D918" s="884"/>
      <c r="E918" s="885"/>
      <c r="F918" s="885"/>
      <c r="G918" s="885"/>
      <c r="H918" s="930"/>
      <c r="I918" s="885"/>
      <c r="J918" s="885"/>
      <c r="K918" s="885"/>
      <c r="L918" s="885"/>
      <c r="M918" s="885"/>
      <c r="N918" s="887"/>
      <c r="O918" s="885"/>
      <c r="P918" s="885"/>
      <c r="Q918" s="885"/>
      <c r="R918" s="885"/>
      <c r="S918" s="885"/>
      <c r="T918" s="885"/>
      <c r="U918" s="885"/>
      <c r="V918" s="885"/>
      <c r="W918" s="885"/>
      <c r="X918" s="885"/>
      <c r="Y918" s="885"/>
      <c r="Z918" s="885"/>
    </row>
    <row r="919" ht="15.75" customHeight="1">
      <c r="A919" s="3" t="s">
        <v>568</v>
      </c>
      <c r="B919" s="895" t="s">
        <v>2476</v>
      </c>
      <c r="C919" s="884"/>
      <c r="D919" s="884"/>
      <c r="E919" s="885"/>
      <c r="F919" s="885"/>
      <c r="G919" s="885"/>
      <c r="H919" s="930"/>
      <c r="I919" s="885"/>
      <c r="J919" s="885"/>
      <c r="K919" s="885"/>
      <c r="L919" s="885"/>
      <c r="M919" s="885"/>
      <c r="N919" s="887"/>
      <c r="O919" s="885"/>
      <c r="P919" s="885"/>
      <c r="Q919" s="885"/>
      <c r="R919" s="885"/>
      <c r="S919" s="885"/>
      <c r="T919" s="885"/>
      <c r="U919" s="885"/>
      <c r="V919" s="885"/>
      <c r="W919" s="885"/>
      <c r="X919" s="885"/>
      <c r="Y919" s="885"/>
      <c r="Z919" s="885"/>
    </row>
    <row r="920" ht="15.75" customHeight="1">
      <c r="A920" s="3" t="s">
        <v>2481</v>
      </c>
      <c r="B920" s="895" t="s">
        <v>2476</v>
      </c>
      <c r="C920" s="884"/>
      <c r="D920" s="884"/>
      <c r="E920" s="885"/>
      <c r="F920" s="885"/>
      <c r="G920" s="885"/>
      <c r="H920" s="930"/>
      <c r="I920" s="885"/>
      <c r="J920" s="885"/>
      <c r="K920" s="885"/>
      <c r="L920" s="885"/>
      <c r="M920" s="885"/>
      <c r="N920" s="887"/>
      <c r="O920" s="885"/>
      <c r="P920" s="885"/>
      <c r="Q920" s="885"/>
      <c r="R920" s="885"/>
      <c r="S920" s="885"/>
      <c r="T920" s="885"/>
      <c r="U920" s="885"/>
      <c r="V920" s="885"/>
      <c r="W920" s="885"/>
      <c r="X920" s="885"/>
      <c r="Y920" s="885"/>
      <c r="Z920" s="885"/>
    </row>
    <row r="921" ht="15.75" customHeight="1">
      <c r="A921" s="884" t="s">
        <v>957</v>
      </c>
      <c r="B921" s="895" t="s">
        <v>2476</v>
      </c>
      <c r="C921" s="884"/>
      <c r="D921" s="884"/>
      <c r="E921" s="885"/>
      <c r="F921" s="885"/>
      <c r="G921" s="885"/>
      <c r="H921" s="930"/>
      <c r="I921" s="885"/>
      <c r="J921" s="885"/>
      <c r="K921" s="885"/>
      <c r="L921" s="885"/>
      <c r="M921" s="885"/>
      <c r="N921" s="887"/>
      <c r="O921" s="885"/>
      <c r="P921" s="885"/>
      <c r="Q921" s="885"/>
      <c r="R921" s="885"/>
      <c r="S921" s="885"/>
      <c r="T921" s="885"/>
      <c r="U921" s="885"/>
      <c r="V921" s="885"/>
      <c r="W921" s="885"/>
      <c r="X921" s="885"/>
      <c r="Y921" s="885"/>
      <c r="Z921" s="885"/>
    </row>
    <row r="922" ht="15.75" customHeight="1">
      <c r="A922" s="3" t="s">
        <v>445</v>
      </c>
      <c r="B922" s="895" t="s">
        <v>2476</v>
      </c>
      <c r="C922" s="884"/>
      <c r="D922" s="884"/>
      <c r="E922" s="885"/>
      <c r="F922" s="885"/>
      <c r="G922" s="885"/>
      <c r="H922" s="930"/>
      <c r="I922" s="885"/>
      <c r="J922" s="885"/>
      <c r="K922" s="885"/>
      <c r="L922" s="885"/>
      <c r="M922" s="885"/>
      <c r="N922" s="887"/>
      <c r="O922" s="885"/>
      <c r="P922" s="885"/>
      <c r="Q922" s="885"/>
      <c r="R922" s="885"/>
      <c r="S922" s="885"/>
      <c r="T922" s="885"/>
      <c r="U922" s="885"/>
      <c r="V922" s="885"/>
      <c r="W922" s="885"/>
      <c r="X922" s="885"/>
      <c r="Y922" s="885"/>
      <c r="Z922" s="885"/>
    </row>
    <row r="923" ht="15.75" customHeight="1">
      <c r="A923" s="3" t="s">
        <v>2482</v>
      </c>
      <c r="B923" s="895" t="s">
        <v>2476</v>
      </c>
      <c r="C923" s="884"/>
      <c r="D923" s="884"/>
      <c r="E923" s="885"/>
      <c r="F923" s="885"/>
      <c r="G923" s="885"/>
      <c r="H923" s="930"/>
      <c r="I923" s="885"/>
      <c r="J923" s="885"/>
      <c r="K923" s="885"/>
      <c r="L923" s="885"/>
      <c r="M923" s="885"/>
      <c r="N923" s="887"/>
      <c r="O923" s="885"/>
      <c r="P923" s="885"/>
      <c r="Q923" s="885"/>
      <c r="R923" s="885"/>
      <c r="S923" s="885"/>
      <c r="T923" s="885"/>
      <c r="U923" s="885"/>
      <c r="V923" s="885"/>
      <c r="W923" s="885"/>
      <c r="X923" s="885"/>
      <c r="Y923" s="885"/>
      <c r="Z923" s="885"/>
    </row>
    <row r="924" ht="15.75" customHeight="1">
      <c r="A924" s="884" t="s">
        <v>2483</v>
      </c>
      <c r="B924" s="895" t="s">
        <v>2476</v>
      </c>
      <c r="C924" s="884"/>
      <c r="D924" s="884"/>
      <c r="E924" s="885"/>
      <c r="F924" s="885"/>
      <c r="G924" s="885"/>
      <c r="H924" s="930"/>
      <c r="I924" s="885"/>
      <c r="J924" s="885"/>
      <c r="K924" s="885"/>
      <c r="L924" s="885"/>
      <c r="M924" s="885"/>
      <c r="N924" s="887"/>
      <c r="O924" s="885"/>
      <c r="P924" s="885"/>
      <c r="Q924" s="885"/>
      <c r="R924" s="885"/>
      <c r="S924" s="885"/>
      <c r="T924" s="885"/>
      <c r="U924" s="885"/>
      <c r="V924" s="885"/>
      <c r="W924" s="885"/>
      <c r="X924" s="885"/>
      <c r="Y924" s="885"/>
      <c r="Z924" s="885"/>
    </row>
    <row r="925" ht="15.75" customHeight="1">
      <c r="A925" s="884" t="s">
        <v>2112</v>
      </c>
      <c r="B925" s="883" t="s">
        <v>2484</v>
      </c>
      <c r="C925" s="884"/>
      <c r="D925" s="884"/>
      <c r="E925" s="885"/>
      <c r="F925" s="885"/>
      <c r="G925" s="885"/>
      <c r="H925" s="930"/>
      <c r="I925" s="885"/>
      <c r="J925" s="885"/>
      <c r="K925" s="885"/>
      <c r="L925" s="885"/>
      <c r="M925" s="885"/>
      <c r="N925" s="887"/>
      <c r="O925" s="885"/>
      <c r="P925" s="885"/>
      <c r="Q925" s="885"/>
      <c r="R925" s="885"/>
      <c r="S925" s="885"/>
      <c r="T925" s="885"/>
      <c r="U925" s="885"/>
      <c r="V925" s="885"/>
      <c r="W925" s="885"/>
      <c r="X925" s="885"/>
      <c r="Y925" s="885"/>
      <c r="Z925" s="885"/>
    </row>
    <row r="926" ht="15.75" customHeight="1">
      <c r="A926" s="884" t="s">
        <v>2485</v>
      </c>
      <c r="B926" s="883" t="s">
        <v>2484</v>
      </c>
      <c r="C926" s="884"/>
      <c r="D926" s="884"/>
      <c r="E926" s="885"/>
      <c r="F926" s="885"/>
      <c r="G926" s="885"/>
      <c r="H926" s="930"/>
      <c r="I926" s="885"/>
      <c r="J926" s="885"/>
      <c r="K926" s="885"/>
      <c r="L926" s="885"/>
      <c r="M926" s="885"/>
      <c r="N926" s="887"/>
      <c r="O926" s="885"/>
      <c r="P926" s="885"/>
      <c r="Q926" s="885"/>
      <c r="R926" s="885"/>
      <c r="S926" s="885"/>
      <c r="T926" s="885"/>
      <c r="U926" s="885"/>
      <c r="V926" s="885"/>
      <c r="W926" s="885"/>
      <c r="X926" s="885"/>
      <c r="Y926" s="885"/>
      <c r="Z926" s="885"/>
    </row>
    <row r="927" ht="15.75" customHeight="1">
      <c r="A927" s="883" t="s">
        <v>2486</v>
      </c>
      <c r="B927" s="883" t="s">
        <v>2484</v>
      </c>
      <c r="C927" s="884"/>
      <c r="D927" s="884"/>
      <c r="E927" s="885"/>
      <c r="F927" s="885"/>
      <c r="G927" s="885"/>
      <c r="H927" s="930"/>
      <c r="I927" s="885"/>
      <c r="J927" s="885"/>
      <c r="K927" s="885"/>
      <c r="L927" s="885"/>
      <c r="M927" s="885"/>
      <c r="N927" s="887"/>
      <c r="O927" s="885"/>
      <c r="P927" s="885"/>
      <c r="Q927" s="885"/>
      <c r="R927" s="885"/>
      <c r="S927" s="885"/>
      <c r="T927" s="885"/>
      <c r="U927" s="885"/>
      <c r="V927" s="885"/>
      <c r="W927" s="885"/>
      <c r="X927" s="885"/>
      <c r="Y927" s="885"/>
      <c r="Z927" s="885"/>
    </row>
    <row r="928" ht="15.75" customHeight="1">
      <c r="A928" s="884" t="s">
        <v>2487</v>
      </c>
      <c r="B928" s="883" t="s">
        <v>2484</v>
      </c>
      <c r="C928" s="884"/>
      <c r="D928" s="884"/>
      <c r="E928" s="885"/>
      <c r="F928" s="885"/>
      <c r="G928" s="885"/>
      <c r="H928" s="930"/>
      <c r="I928" s="885"/>
      <c r="J928" s="885"/>
      <c r="K928" s="885"/>
      <c r="L928" s="885"/>
      <c r="M928" s="885"/>
      <c r="N928" s="887"/>
      <c r="O928" s="885"/>
      <c r="P928" s="885"/>
      <c r="Q928" s="885"/>
      <c r="R928" s="885"/>
      <c r="S928" s="885"/>
      <c r="T928" s="885"/>
      <c r="U928" s="885"/>
      <c r="V928" s="885"/>
      <c r="W928" s="885"/>
      <c r="X928" s="885"/>
      <c r="Y928" s="885"/>
      <c r="Z928" s="885"/>
    </row>
    <row r="929" ht="15.75" customHeight="1">
      <c r="A929" s="884" t="s">
        <v>2488</v>
      </c>
      <c r="B929" s="883" t="s">
        <v>2484</v>
      </c>
      <c r="C929" s="3"/>
      <c r="D929" s="884"/>
      <c r="E929" s="885"/>
      <c r="F929" s="885"/>
      <c r="G929" s="885"/>
      <c r="H929" s="930"/>
      <c r="I929" s="885"/>
      <c r="J929" s="885"/>
      <c r="K929" s="885"/>
      <c r="L929" s="885"/>
      <c r="M929" s="885"/>
      <c r="N929" s="887"/>
      <c r="O929" s="885"/>
      <c r="P929" s="885"/>
      <c r="Q929" s="885"/>
      <c r="R929" s="885"/>
      <c r="S929" s="885"/>
      <c r="T929" s="885"/>
      <c r="U929" s="885"/>
      <c r="V929" s="885"/>
      <c r="W929" s="885"/>
      <c r="X929" s="885"/>
      <c r="Y929" s="885"/>
      <c r="Z929" s="885"/>
    </row>
    <row r="930" ht="15.75" customHeight="1">
      <c r="A930" s="884" t="s">
        <v>2489</v>
      </c>
      <c r="B930" s="883" t="s">
        <v>2484</v>
      </c>
      <c r="C930" s="3"/>
      <c r="D930" s="884"/>
      <c r="E930" s="885"/>
      <c r="F930" s="885"/>
      <c r="G930" s="885"/>
      <c r="H930" s="930"/>
      <c r="I930" s="885"/>
      <c r="J930" s="885"/>
      <c r="K930" s="885"/>
      <c r="L930" s="885"/>
      <c r="M930" s="885"/>
      <c r="N930" s="887"/>
      <c r="O930" s="885"/>
      <c r="P930" s="885"/>
      <c r="Q930" s="885"/>
      <c r="R930" s="885"/>
      <c r="S930" s="885"/>
      <c r="T930" s="885"/>
      <c r="U930" s="885"/>
      <c r="V930" s="885"/>
      <c r="W930" s="885"/>
      <c r="X930" s="885"/>
      <c r="Y930" s="885"/>
      <c r="Z930" s="885"/>
    </row>
    <row r="931" ht="15.75" customHeight="1">
      <c r="A931" s="884" t="s">
        <v>2490</v>
      </c>
      <c r="B931" s="883" t="s">
        <v>2484</v>
      </c>
      <c r="C931" s="3"/>
      <c r="D931" s="884"/>
      <c r="E931" s="885"/>
      <c r="F931" s="885"/>
      <c r="G931" s="885"/>
      <c r="H931" s="930"/>
      <c r="I931" s="885"/>
      <c r="J931" s="885"/>
      <c r="K931" s="885"/>
      <c r="L931" s="885"/>
      <c r="M931" s="885"/>
      <c r="N931" s="887"/>
      <c r="O931" s="885"/>
      <c r="P931" s="885"/>
      <c r="Q931" s="885"/>
      <c r="R931" s="885"/>
      <c r="S931" s="885"/>
      <c r="T931" s="885"/>
      <c r="U931" s="885"/>
      <c r="V931" s="885"/>
      <c r="W931" s="885"/>
      <c r="X931" s="885"/>
      <c r="Y931" s="885"/>
      <c r="Z931" s="885"/>
    </row>
    <row r="932" ht="15.75" customHeight="1">
      <c r="A932" s="884" t="s">
        <v>963</v>
      </c>
      <c r="B932" s="883" t="s">
        <v>2484</v>
      </c>
      <c r="C932" s="3"/>
      <c r="D932" s="884"/>
      <c r="E932" s="885"/>
      <c r="F932" s="885"/>
      <c r="G932" s="885"/>
      <c r="H932" s="930"/>
      <c r="I932" s="885"/>
      <c r="J932" s="885"/>
      <c r="K932" s="885"/>
      <c r="L932" s="885"/>
      <c r="M932" s="885"/>
      <c r="N932" s="887"/>
      <c r="O932" s="885"/>
      <c r="P932" s="885"/>
      <c r="Q932" s="885"/>
      <c r="R932" s="885"/>
      <c r="S932" s="885"/>
      <c r="T932" s="885"/>
      <c r="U932" s="885"/>
      <c r="V932" s="885"/>
      <c r="W932" s="885"/>
      <c r="X932" s="885"/>
      <c r="Y932" s="885"/>
      <c r="Z932" s="885"/>
    </row>
    <row r="933" ht="15.75" customHeight="1">
      <c r="A933" s="3" t="s">
        <v>2491</v>
      </c>
      <c r="B933" s="883" t="s">
        <v>2484</v>
      </c>
      <c r="C933" s="3"/>
      <c r="D933" s="884"/>
      <c r="E933" s="885"/>
      <c r="F933" s="885"/>
      <c r="G933" s="885"/>
      <c r="H933" s="930"/>
      <c r="I933" s="885"/>
      <c r="J933" s="885"/>
      <c r="K933" s="885"/>
      <c r="L933" s="885"/>
      <c r="M933" s="885"/>
      <c r="N933" s="887"/>
      <c r="O933" s="885"/>
      <c r="P933" s="885"/>
      <c r="Q933" s="885"/>
      <c r="R933" s="885"/>
      <c r="S933" s="885"/>
      <c r="T933" s="885"/>
      <c r="U933" s="885"/>
      <c r="V933" s="885"/>
      <c r="W933" s="885"/>
      <c r="X933" s="885"/>
      <c r="Y933" s="885"/>
      <c r="Z933" s="885"/>
    </row>
    <row r="934" ht="15.75" customHeight="1">
      <c r="A934" s="3" t="s">
        <v>2492</v>
      </c>
      <c r="B934" s="883" t="s">
        <v>2484</v>
      </c>
      <c r="C934" s="884"/>
      <c r="D934" s="884"/>
      <c r="E934" s="885"/>
      <c r="F934" s="885"/>
      <c r="G934" s="885"/>
      <c r="H934" s="930"/>
      <c r="I934" s="885"/>
      <c r="J934" s="885"/>
      <c r="K934" s="885"/>
      <c r="L934" s="885"/>
      <c r="M934" s="885"/>
      <c r="N934" s="887"/>
      <c r="O934" s="885"/>
      <c r="P934" s="885"/>
      <c r="Q934" s="885"/>
      <c r="R934" s="885"/>
      <c r="S934" s="885"/>
      <c r="T934" s="885"/>
      <c r="U934" s="885"/>
      <c r="V934" s="885"/>
      <c r="W934" s="885"/>
      <c r="X934" s="885"/>
      <c r="Y934" s="885"/>
      <c r="Z934" s="885"/>
    </row>
    <row r="935" ht="15.75" customHeight="1">
      <c r="A935" s="3" t="s">
        <v>2493</v>
      </c>
      <c r="B935" s="883" t="s">
        <v>2484</v>
      </c>
      <c r="C935" s="884"/>
      <c r="D935" s="884"/>
      <c r="E935" s="885"/>
      <c r="F935" s="885"/>
      <c r="G935" s="885"/>
      <c r="H935" s="930"/>
      <c r="I935" s="885"/>
      <c r="J935" s="885"/>
      <c r="K935" s="885"/>
      <c r="L935" s="885"/>
      <c r="M935" s="885"/>
      <c r="N935" s="887"/>
      <c r="O935" s="885"/>
      <c r="P935" s="885"/>
      <c r="Q935" s="885"/>
      <c r="R935" s="885"/>
      <c r="S935" s="885"/>
      <c r="T935" s="885"/>
      <c r="U935" s="885"/>
      <c r="V935" s="885"/>
      <c r="W935" s="885"/>
      <c r="X935" s="885"/>
      <c r="Y935" s="885"/>
      <c r="Z935" s="885"/>
    </row>
    <row r="936" ht="15.75" customHeight="1">
      <c r="A936" s="3" t="s">
        <v>2494</v>
      </c>
      <c r="B936" s="883" t="s">
        <v>2484</v>
      </c>
      <c r="C936" s="884"/>
      <c r="D936" s="884"/>
      <c r="E936" s="885"/>
      <c r="F936" s="885"/>
      <c r="G936" s="885"/>
      <c r="H936" s="930"/>
      <c r="I936" s="885"/>
      <c r="J936" s="885"/>
      <c r="K936" s="885"/>
      <c r="L936" s="885"/>
      <c r="M936" s="885"/>
      <c r="N936" s="887"/>
      <c r="O936" s="885"/>
      <c r="P936" s="885"/>
      <c r="Q936" s="885"/>
      <c r="R936" s="885"/>
      <c r="S936" s="885"/>
      <c r="T936" s="885"/>
      <c r="U936" s="885"/>
      <c r="V936" s="885"/>
      <c r="W936" s="885"/>
      <c r="X936" s="885"/>
      <c r="Y936" s="885"/>
      <c r="Z936" s="885"/>
    </row>
    <row r="937" ht="15.75" customHeight="1">
      <c r="A937" s="895" t="s">
        <v>2495</v>
      </c>
      <c r="B937" s="883" t="s">
        <v>2484</v>
      </c>
      <c r="C937" s="884"/>
      <c r="D937" s="884"/>
      <c r="E937" s="885"/>
      <c r="F937" s="885"/>
      <c r="G937" s="885"/>
      <c r="H937" s="930"/>
      <c r="I937" s="885"/>
      <c r="J937" s="885"/>
      <c r="K937" s="885"/>
      <c r="L937" s="885"/>
      <c r="M937" s="885"/>
      <c r="N937" s="887"/>
      <c r="O937" s="885"/>
      <c r="P937" s="885"/>
      <c r="Q937" s="885"/>
      <c r="R937" s="885"/>
      <c r="S937" s="885"/>
      <c r="T937" s="885"/>
      <c r="U937" s="885"/>
      <c r="V937" s="885"/>
      <c r="W937" s="885"/>
      <c r="X937" s="885"/>
      <c r="Y937" s="885"/>
      <c r="Z937" s="885"/>
    </row>
    <row r="938" ht="15.75" customHeight="1">
      <c r="A938" s="3" t="s">
        <v>2496</v>
      </c>
      <c r="B938" s="883" t="s">
        <v>2484</v>
      </c>
      <c r="C938" s="884"/>
      <c r="D938" s="884"/>
      <c r="E938" s="885"/>
      <c r="F938" s="885"/>
      <c r="G938" s="885"/>
      <c r="H938" s="930"/>
      <c r="I938" s="885"/>
      <c r="J938" s="885"/>
      <c r="K938" s="885"/>
      <c r="L938" s="885"/>
      <c r="M938" s="885"/>
      <c r="N938" s="887"/>
      <c r="O938" s="885"/>
      <c r="P938" s="885"/>
      <c r="Q938" s="885"/>
      <c r="R938" s="885"/>
      <c r="S938" s="885"/>
      <c r="T938" s="885"/>
      <c r="U938" s="885"/>
      <c r="V938" s="885"/>
      <c r="W938" s="885"/>
      <c r="X938" s="885"/>
      <c r="Y938" s="885"/>
      <c r="Z938" s="885"/>
    </row>
    <row r="939" ht="15.75" customHeight="1">
      <c r="A939" s="3" t="s">
        <v>1909</v>
      </c>
      <c r="B939" s="883" t="s">
        <v>2484</v>
      </c>
      <c r="C939" s="884"/>
      <c r="D939" s="884"/>
      <c r="E939" s="885"/>
      <c r="F939" s="885"/>
      <c r="G939" s="885"/>
      <c r="H939" s="930"/>
      <c r="I939" s="885"/>
      <c r="J939" s="885"/>
      <c r="K939" s="885"/>
      <c r="L939" s="885"/>
      <c r="M939" s="885"/>
      <c r="N939" s="887"/>
      <c r="O939" s="885"/>
      <c r="P939" s="885"/>
      <c r="Q939" s="885"/>
      <c r="R939" s="885"/>
      <c r="S939" s="885"/>
      <c r="T939" s="885"/>
      <c r="U939" s="885"/>
      <c r="V939" s="885"/>
      <c r="W939" s="885"/>
      <c r="X939" s="885"/>
      <c r="Y939" s="885"/>
      <c r="Z939" s="885"/>
    </row>
    <row r="940" ht="15.75" customHeight="1">
      <c r="A940" s="3" t="s">
        <v>2497</v>
      </c>
      <c r="B940" s="883" t="s">
        <v>2484</v>
      </c>
      <c r="C940" s="884"/>
      <c r="D940" s="884"/>
      <c r="E940" s="885"/>
      <c r="F940" s="885"/>
      <c r="G940" s="885"/>
      <c r="H940" s="930"/>
      <c r="I940" s="885"/>
      <c r="J940" s="885"/>
      <c r="K940" s="885"/>
      <c r="L940" s="885"/>
      <c r="M940" s="885"/>
      <c r="N940" s="887"/>
      <c r="O940" s="885"/>
      <c r="P940" s="885"/>
      <c r="Q940" s="885"/>
      <c r="R940" s="885"/>
      <c r="S940" s="885"/>
      <c r="T940" s="885"/>
      <c r="U940" s="885"/>
      <c r="V940" s="885"/>
      <c r="W940" s="885"/>
      <c r="X940" s="885"/>
      <c r="Y940" s="885"/>
      <c r="Z940" s="885"/>
    </row>
    <row r="941" ht="15.75" customHeight="1">
      <c r="A941" s="3" t="s">
        <v>2498</v>
      </c>
      <c r="B941" s="883" t="s">
        <v>2484</v>
      </c>
      <c r="C941" s="884"/>
      <c r="D941" s="884"/>
      <c r="E941" s="885"/>
      <c r="F941" s="885"/>
      <c r="G941" s="885"/>
      <c r="H941" s="930"/>
      <c r="I941" s="885"/>
      <c r="J941" s="885"/>
      <c r="K941" s="885"/>
      <c r="L941" s="885"/>
      <c r="M941" s="885"/>
      <c r="N941" s="887"/>
      <c r="O941" s="885"/>
      <c r="P941" s="885"/>
      <c r="Q941" s="885"/>
      <c r="R941" s="885"/>
      <c r="S941" s="885"/>
      <c r="T941" s="885"/>
      <c r="U941" s="885"/>
      <c r="V941" s="885"/>
      <c r="W941" s="885"/>
      <c r="X941" s="885"/>
      <c r="Y941" s="885"/>
      <c r="Z941" s="885"/>
    </row>
    <row r="942" ht="15.75" customHeight="1">
      <c r="A942" s="3" t="s">
        <v>2499</v>
      </c>
      <c r="B942" s="883" t="s">
        <v>2484</v>
      </c>
      <c r="C942" s="884"/>
      <c r="D942" s="884"/>
      <c r="E942" s="885"/>
      <c r="F942" s="885"/>
      <c r="G942" s="885"/>
      <c r="H942" s="930"/>
      <c r="I942" s="885"/>
      <c r="J942" s="885"/>
      <c r="K942" s="885"/>
      <c r="L942" s="885"/>
      <c r="M942" s="885"/>
      <c r="N942" s="887"/>
      <c r="O942" s="885"/>
      <c r="P942" s="885"/>
      <c r="Q942" s="885"/>
      <c r="R942" s="885"/>
      <c r="S942" s="885"/>
      <c r="T942" s="885"/>
      <c r="U942" s="885"/>
      <c r="V942" s="885"/>
      <c r="W942" s="885"/>
      <c r="X942" s="885"/>
      <c r="Y942" s="885"/>
      <c r="Z942" s="885"/>
    </row>
    <row r="943" ht="15.75" customHeight="1">
      <c r="A943" s="3" t="s">
        <v>755</v>
      </c>
      <c r="B943" s="883" t="s">
        <v>2484</v>
      </c>
      <c r="C943" s="884"/>
      <c r="D943" s="884"/>
      <c r="E943" s="885"/>
      <c r="F943" s="885"/>
      <c r="G943" s="885"/>
      <c r="H943" s="930"/>
      <c r="I943" s="885"/>
      <c r="J943" s="885"/>
      <c r="K943" s="885"/>
      <c r="L943" s="885"/>
      <c r="M943" s="885"/>
      <c r="N943" s="887"/>
      <c r="O943" s="885"/>
      <c r="P943" s="885"/>
      <c r="Q943" s="885"/>
      <c r="R943" s="885"/>
      <c r="S943" s="885"/>
      <c r="T943" s="885"/>
      <c r="U943" s="885"/>
      <c r="V943" s="885"/>
      <c r="W943" s="885"/>
      <c r="X943" s="885"/>
      <c r="Y943" s="885"/>
      <c r="Z943" s="885"/>
    </row>
    <row r="944" ht="15.75" customHeight="1">
      <c r="A944" s="3" t="s">
        <v>2500</v>
      </c>
      <c r="B944" s="883" t="s">
        <v>2484</v>
      </c>
      <c r="C944" s="884"/>
      <c r="D944" s="884"/>
      <c r="E944" s="885"/>
      <c r="F944" s="885"/>
      <c r="G944" s="885"/>
      <c r="H944" s="930"/>
      <c r="I944" s="885"/>
      <c r="J944" s="885"/>
      <c r="K944" s="885"/>
      <c r="L944" s="885"/>
      <c r="M944" s="885"/>
      <c r="N944" s="887"/>
      <c r="O944" s="885"/>
      <c r="P944" s="885"/>
      <c r="Q944" s="885"/>
      <c r="R944" s="885"/>
      <c r="S944" s="885"/>
      <c r="T944" s="885"/>
      <c r="U944" s="885"/>
      <c r="V944" s="885"/>
      <c r="W944" s="885"/>
      <c r="X944" s="885"/>
      <c r="Y944" s="885"/>
      <c r="Z944" s="885"/>
    </row>
    <row r="945" ht="15.75" customHeight="1">
      <c r="A945" s="884" t="s">
        <v>2501</v>
      </c>
      <c r="B945" s="883" t="s">
        <v>2484</v>
      </c>
      <c r="C945" s="884"/>
      <c r="D945" s="884"/>
      <c r="E945" s="885"/>
      <c r="F945" s="885"/>
      <c r="G945" s="885"/>
      <c r="H945" s="930"/>
      <c r="I945" s="885"/>
      <c r="J945" s="885"/>
      <c r="K945" s="885"/>
      <c r="L945" s="885"/>
      <c r="M945" s="885"/>
      <c r="N945" s="887"/>
      <c r="O945" s="885"/>
      <c r="P945" s="885"/>
      <c r="Q945" s="885"/>
      <c r="R945" s="885"/>
      <c r="S945" s="885"/>
      <c r="T945" s="885"/>
      <c r="U945" s="885"/>
      <c r="V945" s="885"/>
      <c r="W945" s="885"/>
      <c r="X945" s="885"/>
      <c r="Y945" s="885"/>
      <c r="Z945" s="885"/>
    </row>
    <row r="946" ht="15.75" customHeight="1">
      <c r="A946" s="884" t="s">
        <v>1842</v>
      </c>
      <c r="B946" s="883" t="s">
        <v>2484</v>
      </c>
      <c r="C946" s="884"/>
      <c r="D946" s="884"/>
      <c r="E946" s="885"/>
      <c r="F946" s="885"/>
      <c r="G946" s="885"/>
      <c r="H946" s="930"/>
      <c r="I946" s="885"/>
      <c r="J946" s="885"/>
      <c r="K946" s="885"/>
      <c r="L946" s="885"/>
      <c r="M946" s="885"/>
      <c r="N946" s="887"/>
      <c r="O946" s="885"/>
      <c r="P946" s="885"/>
      <c r="Q946" s="885"/>
      <c r="R946" s="885"/>
      <c r="S946" s="885"/>
      <c r="T946" s="885"/>
      <c r="U946" s="885"/>
      <c r="V946" s="885"/>
      <c r="W946" s="885"/>
      <c r="X946" s="885"/>
      <c r="Y946" s="885"/>
      <c r="Z946" s="885"/>
    </row>
    <row r="947" ht="15.75" customHeight="1">
      <c r="A947" s="883" t="s">
        <v>2502</v>
      </c>
      <c r="B947" s="883" t="s">
        <v>2484</v>
      </c>
      <c r="C947" s="884"/>
      <c r="D947" s="884"/>
      <c r="E947" s="885"/>
      <c r="F947" s="885"/>
      <c r="G947" s="885"/>
      <c r="H947" s="930"/>
      <c r="I947" s="885"/>
      <c r="J947" s="885"/>
      <c r="K947" s="885"/>
      <c r="L947" s="885"/>
      <c r="M947" s="885"/>
      <c r="N947" s="887"/>
      <c r="O947" s="885"/>
      <c r="P947" s="885"/>
      <c r="Q947" s="885"/>
      <c r="R947" s="885"/>
      <c r="S947" s="885"/>
      <c r="T947" s="885"/>
      <c r="U947" s="885"/>
      <c r="V947" s="885"/>
      <c r="W947" s="885"/>
      <c r="X947" s="885"/>
      <c r="Y947" s="885"/>
      <c r="Z947" s="885"/>
    </row>
    <row r="948" ht="15.75" customHeight="1">
      <c r="A948" s="884" t="s">
        <v>2503</v>
      </c>
      <c r="B948" s="883" t="s">
        <v>2484</v>
      </c>
      <c r="C948" s="884"/>
      <c r="D948" s="884"/>
      <c r="E948" s="885"/>
      <c r="F948" s="885"/>
      <c r="G948" s="885"/>
      <c r="H948" s="930"/>
      <c r="I948" s="885"/>
      <c r="J948" s="885"/>
      <c r="K948" s="885"/>
      <c r="L948" s="885"/>
      <c r="M948" s="885"/>
      <c r="N948" s="887"/>
      <c r="O948" s="885"/>
      <c r="P948" s="885"/>
      <c r="Q948" s="885"/>
      <c r="R948" s="885"/>
      <c r="S948" s="885"/>
      <c r="T948" s="885"/>
      <c r="U948" s="885"/>
      <c r="V948" s="885"/>
      <c r="W948" s="885"/>
      <c r="X948" s="885"/>
      <c r="Y948" s="885"/>
      <c r="Z948" s="885"/>
    </row>
    <row r="949" ht="15.75" customHeight="1">
      <c r="A949" s="884" t="s">
        <v>2504</v>
      </c>
      <c r="B949" s="883" t="s">
        <v>2484</v>
      </c>
      <c r="C949" s="884"/>
      <c r="D949" s="884"/>
      <c r="E949" s="885"/>
      <c r="F949" s="885"/>
      <c r="G949" s="885"/>
      <c r="H949" s="930"/>
      <c r="I949" s="885"/>
      <c r="J949" s="885"/>
      <c r="K949" s="885"/>
      <c r="L949" s="885"/>
      <c r="M949" s="885"/>
      <c r="N949" s="887"/>
      <c r="O949" s="885"/>
      <c r="P949" s="885"/>
      <c r="Q949" s="885"/>
      <c r="R949" s="885"/>
      <c r="S949" s="885"/>
      <c r="T949" s="885"/>
      <c r="U949" s="885"/>
      <c r="V949" s="885"/>
      <c r="W949" s="885"/>
      <c r="X949" s="885"/>
      <c r="Y949" s="885"/>
      <c r="Z949" s="885"/>
    </row>
    <row r="950" ht="15.75" customHeight="1">
      <c r="A950" s="884" t="s">
        <v>492</v>
      </c>
      <c r="B950" s="883" t="s">
        <v>2484</v>
      </c>
      <c r="C950" s="884"/>
      <c r="D950" s="884"/>
      <c r="E950" s="885"/>
      <c r="F950" s="885"/>
      <c r="G950" s="885"/>
      <c r="H950" s="930"/>
      <c r="I950" s="885"/>
      <c r="J950" s="885"/>
      <c r="K950" s="885"/>
      <c r="L950" s="885"/>
      <c r="M950" s="885"/>
      <c r="N950" s="887"/>
      <c r="O950" s="885"/>
      <c r="P950" s="885"/>
      <c r="Q950" s="885"/>
      <c r="R950" s="885"/>
      <c r="S950" s="885"/>
      <c r="T950" s="885"/>
      <c r="U950" s="885"/>
      <c r="V950" s="885"/>
      <c r="W950" s="885"/>
      <c r="X950" s="885"/>
      <c r="Y950" s="885"/>
      <c r="Z950" s="885"/>
    </row>
    <row r="951" ht="15.75" customHeight="1">
      <c r="A951" s="884" t="s">
        <v>2505</v>
      </c>
      <c r="B951" s="883" t="s">
        <v>2484</v>
      </c>
      <c r="C951" s="884"/>
      <c r="D951" s="884"/>
      <c r="E951" s="885"/>
      <c r="F951" s="885"/>
      <c r="G951" s="885"/>
      <c r="H951" s="930"/>
      <c r="I951" s="885"/>
      <c r="J951" s="885"/>
      <c r="K951" s="885"/>
      <c r="L951" s="885"/>
      <c r="M951" s="885"/>
      <c r="N951" s="887"/>
      <c r="O951" s="885"/>
      <c r="P951" s="885"/>
      <c r="Q951" s="885"/>
      <c r="R951" s="885"/>
      <c r="S951" s="885"/>
      <c r="T951" s="885"/>
      <c r="U951" s="885"/>
      <c r="V951" s="885"/>
      <c r="W951" s="885"/>
      <c r="X951" s="885"/>
      <c r="Y951" s="885"/>
      <c r="Z951" s="885"/>
    </row>
    <row r="952" ht="15.75" customHeight="1">
      <c r="A952" s="884" t="s">
        <v>2506</v>
      </c>
      <c r="B952" s="883" t="s">
        <v>2484</v>
      </c>
      <c r="C952" s="884"/>
      <c r="D952" s="884"/>
      <c r="E952" s="885"/>
      <c r="F952" s="885"/>
      <c r="G952" s="885"/>
      <c r="H952" s="930"/>
      <c r="I952" s="885"/>
      <c r="J952" s="885"/>
      <c r="K952" s="885"/>
      <c r="L952" s="885"/>
      <c r="M952" s="885"/>
      <c r="N952" s="887"/>
      <c r="O952" s="885"/>
      <c r="P952" s="885"/>
      <c r="Q952" s="885"/>
      <c r="R952" s="885"/>
      <c r="S952" s="885"/>
      <c r="T952" s="885"/>
      <c r="U952" s="885"/>
      <c r="V952" s="885"/>
      <c r="W952" s="885"/>
      <c r="X952" s="885"/>
      <c r="Y952" s="885"/>
      <c r="Z952" s="885"/>
    </row>
    <row r="953" ht="15.75" customHeight="1">
      <c r="A953" s="884" t="s">
        <v>121</v>
      </c>
      <c r="B953" s="883" t="s">
        <v>2484</v>
      </c>
      <c r="C953" s="884"/>
      <c r="D953" s="884"/>
      <c r="E953" s="885"/>
      <c r="F953" s="885"/>
      <c r="G953" s="885"/>
      <c r="H953" s="930"/>
      <c r="I953" s="885"/>
      <c r="J953" s="885"/>
      <c r="K953" s="885"/>
      <c r="L953" s="885"/>
      <c r="M953" s="885"/>
      <c r="N953" s="887"/>
      <c r="O953" s="885"/>
      <c r="P953" s="885"/>
      <c r="Q953" s="885"/>
      <c r="R953" s="885"/>
      <c r="S953" s="885"/>
      <c r="T953" s="885"/>
      <c r="U953" s="885"/>
      <c r="V953" s="885"/>
      <c r="W953" s="885"/>
      <c r="X953" s="885"/>
      <c r="Y953" s="885"/>
      <c r="Z953" s="885"/>
    </row>
    <row r="954" ht="15.75" customHeight="1">
      <c r="A954" s="884" t="s">
        <v>388</v>
      </c>
      <c r="B954" s="883" t="s">
        <v>2484</v>
      </c>
      <c r="C954" s="884"/>
      <c r="D954" s="884"/>
      <c r="E954" s="885"/>
      <c r="F954" s="885"/>
      <c r="G954" s="885"/>
      <c r="H954" s="930"/>
      <c r="I954" s="885"/>
      <c r="J954" s="885"/>
      <c r="K954" s="885"/>
      <c r="L954" s="885"/>
      <c r="M954" s="885"/>
      <c r="N954" s="887"/>
      <c r="O954" s="885"/>
      <c r="P954" s="885"/>
      <c r="Q954" s="885"/>
      <c r="R954" s="885"/>
      <c r="S954" s="885"/>
      <c r="T954" s="885"/>
      <c r="U954" s="885"/>
      <c r="V954" s="885"/>
      <c r="W954" s="885"/>
      <c r="X954" s="885"/>
      <c r="Y954" s="885"/>
      <c r="Z954" s="885"/>
    </row>
    <row r="955" ht="15.75" customHeight="1">
      <c r="A955" s="884" t="s">
        <v>283</v>
      </c>
      <c r="B955" s="883" t="s">
        <v>2484</v>
      </c>
      <c r="C955" s="884"/>
      <c r="D955" s="884"/>
      <c r="E955" s="885"/>
      <c r="F955" s="885"/>
      <c r="G955" s="885"/>
      <c r="H955" s="930"/>
      <c r="I955" s="885"/>
      <c r="J955" s="885"/>
      <c r="K955" s="885"/>
      <c r="L955" s="885"/>
      <c r="M955" s="885"/>
      <c r="N955" s="887"/>
      <c r="O955" s="885"/>
      <c r="P955" s="885"/>
      <c r="Q955" s="885"/>
      <c r="R955" s="885"/>
      <c r="S955" s="885"/>
      <c r="T955" s="885"/>
      <c r="U955" s="885"/>
      <c r="V955" s="885"/>
      <c r="W955" s="885"/>
      <c r="X955" s="885"/>
      <c r="Y955" s="885"/>
      <c r="Z955" s="885"/>
    </row>
    <row r="956" ht="15.75" customHeight="1">
      <c r="A956" s="883" t="s">
        <v>2507</v>
      </c>
      <c r="B956" s="883" t="s">
        <v>2484</v>
      </c>
      <c r="C956" s="884"/>
      <c r="D956" s="884"/>
      <c r="E956" s="885"/>
      <c r="F956" s="885"/>
      <c r="G956" s="885"/>
      <c r="H956" s="930"/>
      <c r="I956" s="885"/>
      <c r="J956" s="885"/>
      <c r="K956" s="885"/>
      <c r="L956" s="885"/>
      <c r="M956" s="885"/>
      <c r="N956" s="887"/>
      <c r="O956" s="885"/>
      <c r="P956" s="885"/>
      <c r="Q956" s="885"/>
      <c r="R956" s="885"/>
      <c r="S956" s="885"/>
      <c r="T956" s="885"/>
      <c r="U956" s="885"/>
      <c r="V956" s="885"/>
      <c r="W956" s="885"/>
      <c r="X956" s="885"/>
      <c r="Y956" s="885"/>
      <c r="Z956" s="885"/>
    </row>
    <row r="957" ht="15.75" customHeight="1">
      <c r="A957" s="884" t="s">
        <v>2508</v>
      </c>
      <c r="B957" s="883" t="s">
        <v>2509</v>
      </c>
      <c r="C957" s="884"/>
      <c r="D957" s="884"/>
      <c r="E957" s="885"/>
      <c r="F957" s="885"/>
      <c r="G957" s="885"/>
      <c r="H957" s="930"/>
      <c r="I957" s="885"/>
      <c r="J957" s="885"/>
      <c r="K957" s="885"/>
      <c r="L957" s="885"/>
      <c r="M957" s="885"/>
      <c r="N957" s="887"/>
      <c r="O957" s="885"/>
      <c r="P957" s="885"/>
      <c r="Q957" s="885"/>
      <c r="R957" s="885"/>
      <c r="S957" s="885"/>
      <c r="T957" s="885"/>
      <c r="U957" s="885"/>
      <c r="V957" s="885"/>
      <c r="W957" s="885"/>
      <c r="X957" s="885"/>
      <c r="Y957" s="885"/>
      <c r="Z957" s="885"/>
    </row>
    <row r="958" ht="15.75" customHeight="1">
      <c r="A958" s="884" t="s">
        <v>2510</v>
      </c>
      <c r="B958" s="883" t="s">
        <v>2509</v>
      </c>
      <c r="C958" s="884"/>
      <c r="D958" s="884"/>
      <c r="E958" s="885"/>
      <c r="F958" s="885"/>
      <c r="G958" s="885"/>
      <c r="H958" s="930"/>
      <c r="I958" s="885"/>
      <c r="J958" s="885"/>
      <c r="K958" s="885"/>
      <c r="L958" s="885"/>
      <c r="M958" s="885"/>
      <c r="N958" s="887"/>
      <c r="O958" s="885"/>
      <c r="P958" s="885"/>
      <c r="Q958" s="885"/>
      <c r="R958" s="885"/>
      <c r="S958" s="885"/>
      <c r="T958" s="885"/>
      <c r="U958" s="885"/>
      <c r="V958" s="885"/>
      <c r="W958" s="885"/>
      <c r="X958" s="885"/>
      <c r="Y958" s="885"/>
      <c r="Z958" s="885"/>
    </row>
    <row r="959" ht="15.75" customHeight="1">
      <c r="A959" s="883" t="s">
        <v>2511</v>
      </c>
      <c r="B959" s="883" t="s">
        <v>2509</v>
      </c>
      <c r="C959" s="884"/>
      <c r="D959" s="884"/>
      <c r="E959" s="885"/>
      <c r="F959" s="885"/>
      <c r="G959" s="885"/>
      <c r="H959" s="930"/>
      <c r="I959" s="885"/>
      <c r="J959" s="885"/>
      <c r="K959" s="885"/>
      <c r="L959" s="885"/>
      <c r="M959" s="885"/>
      <c r="N959" s="887"/>
      <c r="O959" s="885"/>
      <c r="P959" s="885"/>
      <c r="Q959" s="885"/>
      <c r="R959" s="885"/>
      <c r="S959" s="885"/>
      <c r="T959" s="885"/>
      <c r="U959" s="885"/>
      <c r="V959" s="885"/>
      <c r="W959" s="885"/>
      <c r="X959" s="885"/>
      <c r="Y959" s="885"/>
      <c r="Z959" s="885"/>
    </row>
    <row r="960" ht="15.75" customHeight="1">
      <c r="A960" s="884" t="s">
        <v>2512</v>
      </c>
      <c r="B960" s="883" t="s">
        <v>2509</v>
      </c>
      <c r="C960" s="884"/>
      <c r="D960" s="884"/>
      <c r="E960" s="885"/>
      <c r="F960" s="885"/>
      <c r="G960" s="885"/>
      <c r="H960" s="930"/>
      <c r="I960" s="885"/>
      <c r="J960" s="885"/>
      <c r="K960" s="885"/>
      <c r="L960" s="885"/>
      <c r="M960" s="885"/>
      <c r="N960" s="887"/>
      <c r="O960" s="885"/>
      <c r="P960" s="885"/>
      <c r="Q960" s="885"/>
      <c r="R960" s="885"/>
      <c r="S960" s="885"/>
      <c r="T960" s="885"/>
      <c r="U960" s="885"/>
      <c r="V960" s="885"/>
      <c r="W960" s="885"/>
      <c r="X960" s="885"/>
      <c r="Y960" s="885"/>
      <c r="Z960" s="885"/>
    </row>
    <row r="961" ht="15.75" customHeight="1">
      <c r="A961" s="3" t="s">
        <v>525</v>
      </c>
      <c r="B961" s="883" t="s">
        <v>2509</v>
      </c>
      <c r="C961" s="884"/>
      <c r="D961" s="884"/>
      <c r="E961" s="885"/>
      <c r="F961" s="885"/>
      <c r="G961" s="885"/>
      <c r="H961" s="930"/>
      <c r="I961" s="885"/>
      <c r="J961" s="885"/>
      <c r="K961" s="885"/>
      <c r="L961" s="885"/>
      <c r="M961" s="885"/>
      <c r="N961" s="887"/>
      <c r="O961" s="885"/>
      <c r="P961" s="885"/>
      <c r="Q961" s="885"/>
      <c r="R961" s="885"/>
      <c r="S961" s="885"/>
      <c r="T961" s="885"/>
      <c r="U961" s="885"/>
      <c r="V961" s="885"/>
      <c r="W961" s="885"/>
      <c r="X961" s="885"/>
      <c r="Y961" s="885"/>
      <c r="Z961" s="885"/>
    </row>
    <row r="962" ht="15.75" customHeight="1">
      <c r="A962" s="3" t="s">
        <v>67</v>
      </c>
      <c r="B962" s="883" t="s">
        <v>2509</v>
      </c>
      <c r="C962" s="884"/>
      <c r="D962" s="884"/>
      <c r="E962" s="885"/>
      <c r="F962" s="885"/>
      <c r="G962" s="885"/>
      <c r="H962" s="930"/>
      <c r="I962" s="885"/>
      <c r="J962" s="885"/>
      <c r="K962" s="885"/>
      <c r="L962" s="885"/>
      <c r="M962" s="885"/>
      <c r="N962" s="887"/>
      <c r="O962" s="885"/>
      <c r="P962" s="885"/>
      <c r="Q962" s="885"/>
      <c r="R962" s="885"/>
      <c r="S962" s="885"/>
      <c r="T962" s="885"/>
      <c r="U962" s="885"/>
      <c r="V962" s="885"/>
      <c r="W962" s="885"/>
      <c r="X962" s="885"/>
      <c r="Y962" s="885"/>
      <c r="Z962" s="885"/>
    </row>
    <row r="963" ht="15.75" customHeight="1">
      <c r="A963" s="3" t="s">
        <v>2513</v>
      </c>
      <c r="B963" s="883" t="s">
        <v>2509</v>
      </c>
      <c r="C963" s="884"/>
      <c r="D963" s="884"/>
      <c r="E963" s="885"/>
      <c r="F963" s="885"/>
      <c r="G963" s="885"/>
      <c r="H963" s="930"/>
      <c r="I963" s="885"/>
      <c r="J963" s="885"/>
      <c r="K963" s="885"/>
      <c r="L963" s="885"/>
      <c r="M963" s="885"/>
      <c r="N963" s="887"/>
      <c r="O963" s="885"/>
      <c r="P963" s="885"/>
      <c r="Q963" s="885"/>
      <c r="R963" s="885"/>
      <c r="S963" s="885"/>
      <c r="T963" s="885"/>
      <c r="U963" s="885"/>
      <c r="V963" s="885"/>
      <c r="W963" s="885"/>
      <c r="X963" s="885"/>
      <c r="Y963" s="885"/>
      <c r="Z963" s="885"/>
    </row>
    <row r="964" ht="15.75" customHeight="1">
      <c r="A964" s="884" t="s">
        <v>2514</v>
      </c>
      <c r="B964" s="883" t="s">
        <v>2509</v>
      </c>
      <c r="C964" s="884"/>
      <c r="D964" s="884"/>
      <c r="E964" s="885"/>
      <c r="F964" s="885"/>
      <c r="G964" s="885"/>
      <c r="H964" s="930"/>
      <c r="I964" s="885"/>
      <c r="J964" s="885"/>
      <c r="K964" s="885"/>
      <c r="L964" s="885"/>
      <c r="M964" s="885"/>
      <c r="N964" s="887"/>
      <c r="O964" s="885"/>
      <c r="P964" s="885"/>
      <c r="Q964" s="885"/>
      <c r="R964" s="885"/>
      <c r="S964" s="885"/>
      <c r="T964" s="885"/>
      <c r="U964" s="885"/>
      <c r="V964" s="885"/>
      <c r="W964" s="885"/>
      <c r="X964" s="885"/>
      <c r="Y964" s="885"/>
      <c r="Z964" s="885"/>
    </row>
    <row r="965" ht="15.75" customHeight="1">
      <c r="A965" s="3" t="s">
        <v>2515</v>
      </c>
      <c r="B965" s="883" t="s">
        <v>2509</v>
      </c>
      <c r="C965" s="884"/>
      <c r="D965" s="884"/>
      <c r="E965" s="885"/>
      <c r="F965" s="885"/>
      <c r="G965" s="885"/>
      <c r="H965" s="930"/>
      <c r="I965" s="885"/>
      <c r="J965" s="885"/>
      <c r="K965" s="885"/>
      <c r="L965" s="885"/>
      <c r="M965" s="885"/>
      <c r="N965" s="887"/>
      <c r="O965" s="885"/>
      <c r="P965" s="885"/>
      <c r="Q965" s="885"/>
      <c r="R965" s="885"/>
      <c r="S965" s="885"/>
      <c r="T965" s="885"/>
      <c r="U965" s="885"/>
      <c r="V965" s="885"/>
      <c r="W965" s="885"/>
      <c r="X965" s="885"/>
      <c r="Y965" s="885"/>
      <c r="Z965" s="885"/>
    </row>
    <row r="966" ht="15.75" customHeight="1">
      <c r="A966" s="3" t="s">
        <v>2516</v>
      </c>
      <c r="B966" s="883" t="s">
        <v>2509</v>
      </c>
      <c r="C966" s="884"/>
      <c r="D966" s="884"/>
      <c r="E966" s="885"/>
      <c r="F966" s="885"/>
      <c r="G966" s="885"/>
      <c r="H966" s="930"/>
      <c r="I966" s="885"/>
      <c r="J966" s="885"/>
      <c r="K966" s="885"/>
      <c r="L966" s="885"/>
      <c r="M966" s="885"/>
      <c r="N966" s="887"/>
      <c r="O966" s="885"/>
      <c r="P966" s="885"/>
      <c r="Q966" s="885"/>
      <c r="R966" s="885"/>
      <c r="S966" s="885"/>
      <c r="T966" s="885"/>
      <c r="U966" s="885"/>
      <c r="V966" s="885"/>
      <c r="W966" s="885"/>
      <c r="X966" s="885"/>
      <c r="Y966" s="885"/>
      <c r="Z966" s="885"/>
    </row>
    <row r="967" ht="15.75" customHeight="1">
      <c r="A967" s="3" t="s">
        <v>2517</v>
      </c>
      <c r="B967" s="883" t="s">
        <v>2509</v>
      </c>
      <c r="C967" s="884"/>
      <c r="D967" s="884"/>
      <c r="E967" s="885"/>
      <c r="F967" s="885"/>
      <c r="G967" s="885"/>
      <c r="H967" s="930"/>
      <c r="I967" s="885"/>
      <c r="J967" s="885"/>
      <c r="K967" s="885"/>
      <c r="L967" s="885"/>
      <c r="M967" s="885"/>
      <c r="N967" s="887"/>
      <c r="O967" s="885"/>
      <c r="P967" s="885"/>
      <c r="Q967" s="885"/>
      <c r="R967" s="885"/>
      <c r="S967" s="885"/>
      <c r="T967" s="885"/>
      <c r="U967" s="885"/>
      <c r="V967" s="885"/>
      <c r="W967" s="885"/>
      <c r="X967" s="885"/>
      <c r="Y967" s="885"/>
      <c r="Z967" s="885"/>
    </row>
    <row r="968" ht="15.75" customHeight="1">
      <c r="A968" s="884" t="s">
        <v>2518</v>
      </c>
      <c r="B968" s="883" t="s">
        <v>2509</v>
      </c>
      <c r="C968" s="884"/>
      <c r="D968" s="884"/>
      <c r="E968" s="885"/>
      <c r="F968" s="885"/>
      <c r="G968" s="885"/>
      <c r="H968" s="930"/>
      <c r="I968" s="885"/>
      <c r="J968" s="885"/>
      <c r="K968" s="885"/>
      <c r="L968" s="885"/>
      <c r="M968" s="885"/>
      <c r="N968" s="887"/>
      <c r="O968" s="885"/>
      <c r="P968" s="885"/>
      <c r="Q968" s="885"/>
      <c r="R968" s="885"/>
      <c r="S968" s="885"/>
      <c r="T968" s="885"/>
      <c r="U968" s="885"/>
      <c r="V968" s="885"/>
      <c r="W968" s="885"/>
      <c r="X968" s="885"/>
      <c r="Y968" s="885"/>
      <c r="Z968" s="885"/>
    </row>
    <row r="969" ht="15.75" customHeight="1">
      <c r="A969" s="884" t="s">
        <v>2519</v>
      </c>
      <c r="B969" s="883" t="s">
        <v>2509</v>
      </c>
      <c r="C969" s="884"/>
      <c r="D969" s="884"/>
      <c r="E969" s="885"/>
      <c r="F969" s="885"/>
      <c r="G969" s="885"/>
      <c r="H969" s="930"/>
      <c r="I969" s="885"/>
      <c r="J969" s="885"/>
      <c r="K969" s="885"/>
      <c r="L969" s="885"/>
      <c r="M969" s="885"/>
      <c r="N969" s="887"/>
      <c r="O969" s="885"/>
      <c r="P969" s="885"/>
      <c r="Q969" s="885"/>
      <c r="R969" s="885"/>
      <c r="S969" s="885"/>
      <c r="T969" s="885"/>
      <c r="U969" s="885"/>
      <c r="V969" s="885"/>
      <c r="W969" s="885"/>
      <c r="X969" s="885"/>
      <c r="Y969" s="885"/>
      <c r="Z969" s="885"/>
    </row>
    <row r="970" ht="15.75" customHeight="1">
      <c r="A970" s="884" t="s">
        <v>2520</v>
      </c>
      <c r="B970" s="883" t="s">
        <v>2509</v>
      </c>
      <c r="C970" s="884"/>
      <c r="D970" s="884"/>
      <c r="E970" s="885"/>
      <c r="F970" s="885"/>
      <c r="G970" s="885"/>
      <c r="H970" s="930"/>
      <c r="I970" s="885"/>
      <c r="J970" s="885"/>
      <c r="K970" s="885"/>
      <c r="L970" s="885"/>
      <c r="M970" s="885"/>
      <c r="N970" s="887"/>
      <c r="O970" s="885"/>
      <c r="P970" s="885"/>
      <c r="Q970" s="885"/>
      <c r="R970" s="885"/>
      <c r="S970" s="885"/>
      <c r="T970" s="885"/>
      <c r="U970" s="885"/>
      <c r="V970" s="885"/>
      <c r="W970" s="885"/>
      <c r="X970" s="885"/>
      <c r="Y970" s="885"/>
      <c r="Z970" s="885"/>
    </row>
    <row r="971" ht="15.75" customHeight="1">
      <c r="A971" s="3" t="s">
        <v>2521</v>
      </c>
      <c r="B971" s="883" t="s">
        <v>2509</v>
      </c>
      <c r="C971" s="884"/>
      <c r="D971" s="884"/>
      <c r="E971" s="885"/>
      <c r="F971" s="885"/>
      <c r="G971" s="885"/>
      <c r="H971" s="930"/>
      <c r="I971" s="885"/>
      <c r="J971" s="885"/>
      <c r="K971" s="885"/>
      <c r="L971" s="885"/>
      <c r="M971" s="885"/>
      <c r="N971" s="887"/>
      <c r="O971" s="885"/>
      <c r="P971" s="885"/>
      <c r="Q971" s="885"/>
      <c r="R971" s="885"/>
      <c r="S971" s="885"/>
      <c r="T971" s="885"/>
      <c r="U971" s="885"/>
      <c r="V971" s="885"/>
      <c r="W971" s="885"/>
      <c r="X971" s="885"/>
      <c r="Y971" s="885"/>
      <c r="Z971" s="885"/>
    </row>
    <row r="972" ht="15.75" customHeight="1">
      <c r="A972" s="895" t="s">
        <v>2119</v>
      </c>
      <c r="B972" s="883" t="s">
        <v>2509</v>
      </c>
      <c r="C972" s="884"/>
      <c r="D972" s="884"/>
      <c r="E972" s="885"/>
      <c r="F972" s="885"/>
      <c r="G972" s="885"/>
      <c r="H972" s="930"/>
      <c r="I972" s="885"/>
      <c r="J972" s="885"/>
      <c r="K972" s="885"/>
      <c r="L972" s="885"/>
      <c r="M972" s="885"/>
      <c r="N972" s="887"/>
      <c r="O972" s="885"/>
      <c r="P972" s="885"/>
      <c r="Q972" s="885"/>
      <c r="R972" s="885"/>
      <c r="S972" s="885"/>
      <c r="T972" s="885"/>
      <c r="U972" s="885"/>
      <c r="V972" s="885"/>
      <c r="W972" s="885"/>
      <c r="X972" s="885"/>
      <c r="Y972" s="885"/>
      <c r="Z972" s="885"/>
    </row>
    <row r="973" ht="15.75" customHeight="1">
      <c r="A973" s="3" t="s">
        <v>439</v>
      </c>
      <c r="B973" s="883" t="s">
        <v>2509</v>
      </c>
      <c r="C973" s="884"/>
      <c r="D973" s="884"/>
      <c r="E973" s="885"/>
      <c r="F973" s="885"/>
      <c r="G973" s="885"/>
      <c r="H973" s="930"/>
      <c r="I973" s="885"/>
      <c r="J973" s="885"/>
      <c r="K973" s="885"/>
      <c r="L973" s="885"/>
      <c r="M973" s="885"/>
      <c r="N973" s="887"/>
      <c r="O973" s="885"/>
      <c r="P973" s="885"/>
      <c r="Q973" s="885"/>
      <c r="R973" s="885"/>
      <c r="S973" s="885"/>
      <c r="T973" s="885"/>
      <c r="U973" s="885"/>
      <c r="V973" s="885"/>
      <c r="W973" s="885"/>
      <c r="X973" s="885"/>
      <c r="Y973" s="885"/>
      <c r="Z973" s="885"/>
    </row>
    <row r="974" ht="15.75" customHeight="1">
      <c r="A974" s="3" t="s">
        <v>2522</v>
      </c>
      <c r="B974" s="883" t="s">
        <v>2509</v>
      </c>
      <c r="C974" s="884"/>
      <c r="D974" s="884"/>
      <c r="E974" s="885"/>
      <c r="F974" s="885"/>
      <c r="G974" s="885"/>
      <c r="H974" s="930"/>
      <c r="I974" s="885"/>
      <c r="J974" s="885"/>
      <c r="K974" s="885"/>
      <c r="L974" s="885"/>
      <c r="M974" s="885"/>
      <c r="N974" s="887"/>
      <c r="O974" s="885"/>
      <c r="P974" s="885"/>
      <c r="Q974" s="885"/>
      <c r="R974" s="885"/>
      <c r="S974" s="885"/>
      <c r="T974" s="885"/>
      <c r="U974" s="885"/>
      <c r="V974" s="885"/>
      <c r="W974" s="885"/>
      <c r="X974" s="885"/>
      <c r="Y974" s="885"/>
      <c r="Z974" s="885"/>
    </row>
    <row r="975" ht="15.75" customHeight="1">
      <c r="A975" s="884" t="s">
        <v>2523</v>
      </c>
      <c r="B975" s="883" t="s">
        <v>2509</v>
      </c>
      <c r="C975" s="884"/>
      <c r="D975" s="884"/>
      <c r="E975" s="885"/>
      <c r="F975" s="885"/>
      <c r="G975" s="885"/>
      <c r="H975" s="930"/>
      <c r="I975" s="885"/>
      <c r="J975" s="885"/>
      <c r="K975" s="885"/>
      <c r="L975" s="885"/>
      <c r="M975" s="885"/>
      <c r="N975" s="887"/>
      <c r="O975" s="885"/>
      <c r="P975" s="885"/>
      <c r="Q975" s="885"/>
      <c r="R975" s="885"/>
      <c r="S975" s="885"/>
      <c r="T975" s="885"/>
      <c r="U975" s="885"/>
      <c r="V975" s="885"/>
      <c r="W975" s="885"/>
      <c r="X975" s="885"/>
      <c r="Y975" s="885"/>
      <c r="Z975" s="885"/>
    </row>
    <row r="976" ht="15.75" customHeight="1">
      <c r="A976" s="884" t="s">
        <v>2524</v>
      </c>
      <c r="B976" s="883" t="s">
        <v>2509</v>
      </c>
      <c r="C976" s="884"/>
      <c r="D976" s="884"/>
      <c r="E976" s="885"/>
      <c r="F976" s="885"/>
      <c r="G976" s="885"/>
      <c r="H976" s="930"/>
      <c r="I976" s="885"/>
      <c r="J976" s="885"/>
      <c r="K976" s="885"/>
      <c r="L976" s="885"/>
      <c r="M976" s="885"/>
      <c r="N976" s="887"/>
      <c r="O976" s="885"/>
      <c r="P976" s="885"/>
      <c r="Q976" s="885"/>
      <c r="R976" s="885"/>
      <c r="S976" s="885"/>
      <c r="T976" s="885"/>
      <c r="U976" s="885"/>
      <c r="V976" s="885"/>
      <c r="W976" s="885"/>
      <c r="X976" s="885"/>
      <c r="Y976" s="885"/>
      <c r="Z976" s="885"/>
    </row>
    <row r="977" ht="15.75" customHeight="1">
      <c r="A977" s="884" t="s">
        <v>2525</v>
      </c>
      <c r="B977" s="883" t="s">
        <v>2509</v>
      </c>
      <c r="C977" s="884"/>
      <c r="D977" s="884"/>
      <c r="E977" s="885"/>
      <c r="F977" s="885"/>
      <c r="G977" s="885"/>
      <c r="H977" s="930"/>
      <c r="I977" s="885"/>
      <c r="J977" s="885"/>
      <c r="K977" s="885"/>
      <c r="L977" s="885"/>
      <c r="M977" s="885"/>
      <c r="N977" s="887"/>
      <c r="O977" s="885"/>
      <c r="P977" s="885"/>
      <c r="Q977" s="885"/>
      <c r="R977" s="885"/>
      <c r="S977" s="885"/>
      <c r="T977" s="885"/>
      <c r="U977" s="885"/>
      <c r="V977" s="885"/>
      <c r="W977" s="885"/>
      <c r="X977" s="885"/>
      <c r="Y977" s="885"/>
      <c r="Z977" s="885"/>
    </row>
    <row r="978" ht="15.75" customHeight="1">
      <c r="A978" s="884" t="s">
        <v>2526</v>
      </c>
      <c r="B978" s="883" t="s">
        <v>2509</v>
      </c>
      <c r="C978" s="884"/>
      <c r="D978" s="884"/>
      <c r="E978" s="885"/>
      <c r="F978" s="885"/>
      <c r="G978" s="885"/>
      <c r="H978" s="930"/>
      <c r="I978" s="885"/>
      <c r="J978" s="885"/>
      <c r="K978" s="885"/>
      <c r="L978" s="885"/>
      <c r="M978" s="885"/>
      <c r="N978" s="887"/>
      <c r="O978" s="885"/>
      <c r="P978" s="885"/>
      <c r="Q978" s="885"/>
      <c r="R978" s="885"/>
      <c r="S978" s="885"/>
      <c r="T978" s="885"/>
      <c r="U978" s="885"/>
      <c r="V978" s="885"/>
      <c r="W978" s="885"/>
      <c r="X978" s="885"/>
      <c r="Y978" s="885"/>
      <c r="Z978" s="885"/>
    </row>
    <row r="979" ht="15.75" customHeight="1">
      <c r="A979" s="884" t="s">
        <v>2527</v>
      </c>
      <c r="B979" s="883" t="s">
        <v>2509</v>
      </c>
      <c r="C979" s="884"/>
      <c r="D979" s="884"/>
      <c r="E979" s="885"/>
      <c r="F979" s="885"/>
      <c r="G979" s="885"/>
      <c r="H979" s="930"/>
      <c r="I979" s="885"/>
      <c r="J979" s="885"/>
      <c r="K979" s="885"/>
      <c r="L979" s="885"/>
      <c r="M979" s="885"/>
      <c r="N979" s="887"/>
      <c r="O979" s="885"/>
      <c r="P979" s="885"/>
      <c r="Q979" s="885"/>
      <c r="R979" s="885"/>
      <c r="S979" s="885"/>
      <c r="T979" s="885"/>
      <c r="U979" s="885"/>
      <c r="V979" s="885"/>
      <c r="W979" s="885"/>
      <c r="X979" s="885"/>
      <c r="Y979" s="885"/>
      <c r="Z979" s="885"/>
    </row>
    <row r="980" ht="15.75" customHeight="1">
      <c r="A980" s="3" t="s">
        <v>86</v>
      </c>
      <c r="B980" s="883" t="s">
        <v>2509</v>
      </c>
      <c r="C980" s="884"/>
      <c r="D980" s="884"/>
      <c r="E980" s="885"/>
      <c r="F980" s="885"/>
      <c r="G980" s="885"/>
      <c r="H980" s="930"/>
      <c r="I980" s="885"/>
      <c r="J980" s="885"/>
      <c r="K980" s="885"/>
      <c r="L980" s="885"/>
      <c r="M980" s="885"/>
      <c r="N980" s="887"/>
      <c r="O980" s="885"/>
      <c r="P980" s="885"/>
      <c r="Q980" s="885"/>
      <c r="R980" s="885"/>
      <c r="S980" s="885"/>
      <c r="T980" s="885"/>
      <c r="U980" s="885"/>
      <c r="V980" s="885"/>
      <c r="W980" s="885"/>
      <c r="X980" s="885"/>
      <c r="Y980" s="885"/>
      <c r="Z980" s="885"/>
    </row>
    <row r="981" ht="15.75" customHeight="1">
      <c r="A981" s="884" t="s">
        <v>703</v>
      </c>
      <c r="B981" s="883" t="s">
        <v>2509</v>
      </c>
      <c r="C981" s="884"/>
      <c r="D981" s="884"/>
      <c r="E981" s="885"/>
      <c r="F981" s="885"/>
      <c r="G981" s="885"/>
      <c r="H981" s="930"/>
      <c r="I981" s="885"/>
      <c r="J981" s="885"/>
      <c r="K981" s="885"/>
      <c r="L981" s="885"/>
      <c r="M981" s="885"/>
      <c r="N981" s="887"/>
      <c r="O981" s="885"/>
      <c r="P981" s="885"/>
      <c r="Q981" s="885"/>
      <c r="R981" s="885"/>
      <c r="S981" s="885"/>
      <c r="T981" s="885"/>
      <c r="U981" s="885"/>
      <c r="V981" s="885"/>
      <c r="W981" s="885"/>
      <c r="X981" s="885"/>
      <c r="Y981" s="885"/>
      <c r="Z981" s="885"/>
    </row>
    <row r="982" ht="15.75" customHeight="1">
      <c r="A982" s="884" t="s">
        <v>2528</v>
      </c>
      <c r="B982" s="883" t="s">
        <v>2509</v>
      </c>
      <c r="C982" s="884"/>
      <c r="D982" s="884"/>
      <c r="E982" s="885"/>
      <c r="F982" s="885"/>
      <c r="G982" s="885"/>
      <c r="H982" s="930"/>
      <c r="I982" s="885"/>
      <c r="J982" s="885"/>
      <c r="K982" s="885"/>
      <c r="L982" s="885"/>
      <c r="M982" s="885"/>
      <c r="N982" s="887"/>
      <c r="O982" s="885"/>
      <c r="P982" s="885"/>
      <c r="Q982" s="885"/>
      <c r="R982" s="885"/>
      <c r="S982" s="885"/>
      <c r="T982" s="885"/>
      <c r="U982" s="885"/>
      <c r="V982" s="885"/>
      <c r="W982" s="885"/>
      <c r="X982" s="885"/>
      <c r="Y982" s="885"/>
      <c r="Z982" s="885"/>
    </row>
    <row r="983" ht="15.75" customHeight="1">
      <c r="A983" s="884" t="s">
        <v>2117</v>
      </c>
      <c r="B983" s="883" t="s">
        <v>2509</v>
      </c>
      <c r="C983" s="884"/>
      <c r="D983" s="884"/>
      <c r="E983" s="885"/>
      <c r="F983" s="885"/>
      <c r="G983" s="885"/>
      <c r="H983" s="930"/>
      <c r="I983" s="885"/>
      <c r="J983" s="885"/>
      <c r="K983" s="885"/>
      <c r="L983" s="885"/>
      <c r="M983" s="885"/>
      <c r="N983" s="887"/>
      <c r="O983" s="885"/>
      <c r="P983" s="885"/>
      <c r="Q983" s="885"/>
      <c r="R983" s="885"/>
      <c r="S983" s="885"/>
      <c r="T983" s="885"/>
      <c r="U983" s="885"/>
      <c r="V983" s="885"/>
      <c r="W983" s="885"/>
      <c r="X983" s="885"/>
      <c r="Y983" s="885"/>
      <c r="Z983" s="885"/>
    </row>
    <row r="984" ht="15.75" customHeight="1">
      <c r="A984" s="3" t="s">
        <v>2529</v>
      </c>
      <c r="B984" s="883" t="s">
        <v>2509</v>
      </c>
      <c r="C984" s="884"/>
      <c r="D984" s="884"/>
      <c r="E984" s="885"/>
      <c r="F984" s="885"/>
      <c r="G984" s="885"/>
      <c r="H984" s="930"/>
      <c r="I984" s="885"/>
      <c r="J984" s="885"/>
      <c r="K984" s="885"/>
      <c r="L984" s="885"/>
      <c r="M984" s="885"/>
      <c r="N984" s="887"/>
      <c r="O984" s="885"/>
      <c r="P984" s="885"/>
      <c r="Q984" s="885"/>
      <c r="R984" s="885"/>
      <c r="S984" s="885"/>
      <c r="T984" s="885"/>
      <c r="U984" s="885"/>
      <c r="V984" s="885"/>
      <c r="W984" s="885"/>
      <c r="X984" s="885"/>
      <c r="Y984" s="885"/>
      <c r="Z984" s="885"/>
    </row>
    <row r="985" ht="15.75" customHeight="1">
      <c r="A985" s="3" t="s">
        <v>2530</v>
      </c>
      <c r="B985" s="883" t="s">
        <v>2509</v>
      </c>
      <c r="C985" s="884"/>
      <c r="D985" s="884"/>
      <c r="E985" s="885"/>
      <c r="F985" s="885"/>
      <c r="G985" s="885"/>
      <c r="H985" s="930"/>
      <c r="I985" s="885"/>
      <c r="J985" s="885"/>
      <c r="K985" s="885"/>
      <c r="L985" s="885"/>
      <c r="M985" s="885"/>
      <c r="N985" s="887"/>
      <c r="O985" s="885"/>
      <c r="P985" s="885"/>
      <c r="Q985" s="885"/>
      <c r="R985" s="885"/>
      <c r="S985" s="885"/>
      <c r="T985" s="885"/>
      <c r="U985" s="885"/>
      <c r="V985" s="885"/>
      <c r="W985" s="885"/>
      <c r="X985" s="885"/>
      <c r="Y985" s="885"/>
      <c r="Z985" s="885"/>
    </row>
    <row r="986" ht="15.75" customHeight="1">
      <c r="A986" s="3" t="s">
        <v>2531</v>
      </c>
      <c r="B986" s="883" t="s">
        <v>2509</v>
      </c>
      <c r="C986" s="884"/>
      <c r="D986" s="884"/>
      <c r="E986" s="885"/>
      <c r="F986" s="885"/>
      <c r="G986" s="885"/>
      <c r="H986" s="930"/>
      <c r="I986" s="885"/>
      <c r="J986" s="885"/>
      <c r="K986" s="885"/>
      <c r="L986" s="885"/>
      <c r="M986" s="885"/>
      <c r="N986" s="887"/>
      <c r="O986" s="885"/>
      <c r="P986" s="885"/>
      <c r="Q986" s="885"/>
      <c r="R986" s="885"/>
      <c r="S986" s="885"/>
      <c r="T986" s="885"/>
      <c r="U986" s="885"/>
      <c r="V986" s="885"/>
      <c r="W986" s="885"/>
      <c r="X986" s="885"/>
      <c r="Y986" s="885"/>
      <c r="Z986" s="885"/>
    </row>
    <row r="987" ht="15.75" customHeight="1">
      <c r="A987" s="3" t="s">
        <v>2122</v>
      </c>
      <c r="B987" s="883" t="s">
        <v>2509</v>
      </c>
      <c r="C987" s="885"/>
      <c r="D987" s="884"/>
      <c r="E987" s="885"/>
      <c r="F987" s="885"/>
      <c r="G987" s="885"/>
      <c r="H987" s="930"/>
      <c r="I987" s="885"/>
      <c r="J987" s="885"/>
      <c r="K987" s="885"/>
      <c r="L987" s="885"/>
      <c r="M987" s="885"/>
      <c r="N987" s="887"/>
      <c r="O987" s="885"/>
      <c r="P987" s="885"/>
      <c r="Q987" s="885"/>
      <c r="R987" s="885"/>
      <c r="S987" s="885"/>
      <c r="T987" s="885"/>
      <c r="U987" s="885"/>
      <c r="V987" s="885"/>
      <c r="W987" s="885"/>
      <c r="X987" s="885"/>
      <c r="Y987" s="885"/>
      <c r="Z987" s="885"/>
    </row>
    <row r="988" ht="15.75" customHeight="1">
      <c r="A988" s="3" t="s">
        <v>455</v>
      </c>
      <c r="B988" s="883" t="s">
        <v>2509</v>
      </c>
      <c r="C988" s="884"/>
      <c r="D988" s="884"/>
      <c r="E988" s="885"/>
      <c r="F988" s="885"/>
      <c r="G988" s="885"/>
      <c r="H988" s="930"/>
      <c r="I988" s="885"/>
      <c r="J988" s="885"/>
      <c r="K988" s="885"/>
      <c r="L988" s="885"/>
      <c r="M988" s="885"/>
      <c r="N988" s="887"/>
      <c r="O988" s="885"/>
      <c r="P988" s="885"/>
      <c r="Q988" s="885"/>
      <c r="R988" s="885"/>
      <c r="S988" s="885"/>
      <c r="T988" s="885"/>
      <c r="U988" s="885"/>
      <c r="V988" s="885"/>
      <c r="W988" s="885"/>
      <c r="X988" s="885"/>
      <c r="Y988" s="885"/>
      <c r="Z988" s="885"/>
    </row>
    <row r="989" ht="15.75" customHeight="1">
      <c r="A989" s="3" t="s">
        <v>2532</v>
      </c>
      <c r="B989" s="883" t="s">
        <v>2509</v>
      </c>
      <c r="C989" s="884"/>
      <c r="D989" s="884"/>
      <c r="E989" s="885"/>
      <c r="F989" s="885"/>
      <c r="G989" s="885"/>
      <c r="H989" s="930"/>
      <c r="I989" s="885"/>
      <c r="J989" s="885"/>
      <c r="K989" s="885"/>
      <c r="L989" s="885"/>
      <c r="M989" s="885"/>
      <c r="N989" s="887"/>
      <c r="O989" s="885"/>
      <c r="P989" s="885"/>
      <c r="Q989" s="885"/>
      <c r="R989" s="885"/>
      <c r="S989" s="885"/>
      <c r="T989" s="885"/>
      <c r="U989" s="885"/>
      <c r="V989" s="885"/>
      <c r="W989" s="885"/>
      <c r="X989" s="885"/>
      <c r="Y989" s="885"/>
      <c r="Z989" s="885"/>
    </row>
    <row r="990" ht="15.75" customHeight="1">
      <c r="A990" s="3" t="s">
        <v>2533</v>
      </c>
      <c r="B990" s="883" t="s">
        <v>2509</v>
      </c>
      <c r="C990" s="884"/>
      <c r="D990" s="884"/>
      <c r="E990" s="885"/>
      <c r="F990" s="885"/>
      <c r="G990" s="885"/>
      <c r="H990" s="930"/>
      <c r="I990" s="885"/>
      <c r="J990" s="885"/>
      <c r="K990" s="885"/>
      <c r="L990" s="885"/>
      <c r="M990" s="885"/>
      <c r="N990" s="887"/>
      <c r="O990" s="885"/>
      <c r="P990" s="885"/>
      <c r="Q990" s="885"/>
      <c r="R990" s="885"/>
      <c r="S990" s="885"/>
      <c r="T990" s="885"/>
      <c r="U990" s="885"/>
      <c r="V990" s="885"/>
      <c r="W990" s="885"/>
      <c r="X990" s="885"/>
      <c r="Y990" s="885"/>
      <c r="Z990" s="885"/>
    </row>
    <row r="991" ht="15.75" customHeight="1">
      <c r="A991" s="3" t="s">
        <v>2534</v>
      </c>
      <c r="B991" s="883" t="s">
        <v>2509</v>
      </c>
      <c r="C991" s="884"/>
      <c r="D991" s="884"/>
      <c r="E991" s="885"/>
      <c r="F991" s="885"/>
      <c r="G991" s="885"/>
      <c r="H991" s="930"/>
      <c r="I991" s="885"/>
      <c r="J991" s="885"/>
      <c r="K991" s="885"/>
      <c r="L991" s="885"/>
      <c r="M991" s="885"/>
      <c r="N991" s="887"/>
      <c r="O991" s="885"/>
      <c r="P991" s="885"/>
      <c r="Q991" s="885"/>
      <c r="R991" s="885"/>
      <c r="S991" s="885"/>
      <c r="T991" s="885"/>
      <c r="U991" s="885"/>
      <c r="V991" s="885"/>
      <c r="W991" s="885"/>
      <c r="X991" s="885"/>
      <c r="Y991" s="885"/>
      <c r="Z991" s="885"/>
    </row>
    <row r="992" ht="15.75" customHeight="1">
      <c r="A992" s="884" t="s">
        <v>2535</v>
      </c>
      <c r="B992" s="883" t="s">
        <v>2509</v>
      </c>
      <c r="C992" s="884"/>
      <c r="D992" s="884"/>
      <c r="E992" s="885"/>
      <c r="F992" s="885"/>
      <c r="G992" s="885"/>
      <c r="H992" s="930"/>
      <c r="I992" s="885"/>
      <c r="J992" s="885"/>
      <c r="K992" s="885"/>
      <c r="L992" s="885"/>
      <c r="M992" s="885"/>
      <c r="N992" s="887"/>
      <c r="O992" s="885"/>
      <c r="P992" s="885"/>
      <c r="Q992" s="885"/>
      <c r="R992" s="885"/>
      <c r="S992" s="885"/>
      <c r="T992" s="885"/>
      <c r="U992" s="885"/>
      <c r="V992" s="885"/>
      <c r="W992" s="885"/>
      <c r="X992" s="885"/>
      <c r="Y992" s="885"/>
      <c r="Z992" s="885"/>
    </row>
    <row r="993" ht="15.75" customHeight="1">
      <c r="A993" s="3" t="s">
        <v>2536</v>
      </c>
      <c r="B993" s="883" t="s">
        <v>2537</v>
      </c>
      <c r="C993" s="884"/>
      <c r="D993" s="884"/>
      <c r="E993" s="885"/>
      <c r="F993" s="885"/>
      <c r="G993" s="885"/>
      <c r="H993" s="930"/>
      <c r="I993" s="885"/>
      <c r="J993" s="885"/>
      <c r="K993" s="885"/>
      <c r="L993" s="885"/>
      <c r="M993" s="885"/>
      <c r="N993" s="887"/>
      <c r="O993" s="885"/>
      <c r="P993" s="885"/>
      <c r="Q993" s="885"/>
      <c r="R993" s="885"/>
      <c r="S993" s="885"/>
      <c r="T993" s="885"/>
      <c r="U993" s="885"/>
      <c r="V993" s="885"/>
      <c r="W993" s="885"/>
      <c r="X993" s="885"/>
      <c r="Y993" s="885"/>
      <c r="Z993" s="885"/>
    </row>
    <row r="994" ht="15.75" customHeight="1">
      <c r="A994" s="895" t="s">
        <v>183</v>
      </c>
      <c r="B994" s="883" t="s">
        <v>2509</v>
      </c>
      <c r="C994" s="884"/>
      <c r="D994" s="884"/>
      <c r="E994" s="885"/>
      <c r="F994" s="885"/>
      <c r="G994" s="885"/>
      <c r="H994" s="930"/>
      <c r="I994" s="885"/>
      <c r="J994" s="885"/>
      <c r="K994" s="885"/>
      <c r="L994" s="885"/>
      <c r="M994" s="885"/>
      <c r="N994" s="887"/>
      <c r="O994" s="885"/>
      <c r="P994" s="885"/>
      <c r="Q994" s="885"/>
      <c r="R994" s="885"/>
      <c r="S994" s="885"/>
      <c r="T994" s="885"/>
      <c r="U994" s="885"/>
      <c r="V994" s="885"/>
      <c r="W994" s="885"/>
      <c r="X994" s="885"/>
      <c r="Y994" s="885"/>
      <c r="Z994" s="885"/>
    </row>
    <row r="995" ht="15.75" customHeight="1">
      <c r="A995" s="895" t="s">
        <v>2538</v>
      </c>
      <c r="B995" s="883" t="s">
        <v>2509</v>
      </c>
      <c r="C995" s="884"/>
      <c r="D995" s="884"/>
      <c r="E995" s="885"/>
      <c r="F995" s="885"/>
      <c r="G995" s="885"/>
      <c r="H995" s="930"/>
      <c r="I995" s="885"/>
      <c r="J995" s="885"/>
      <c r="K995" s="885"/>
      <c r="L995" s="885"/>
      <c r="M995" s="885"/>
      <c r="N995" s="887"/>
      <c r="O995" s="885"/>
      <c r="P995" s="885"/>
      <c r="Q995" s="885"/>
      <c r="R995" s="885"/>
      <c r="S995" s="885"/>
      <c r="T995" s="885"/>
      <c r="U995" s="885"/>
      <c r="V995" s="885"/>
      <c r="W995" s="885"/>
      <c r="X995" s="885"/>
      <c r="Y995" s="885"/>
      <c r="Z995" s="885"/>
    </row>
    <row r="996" ht="15.75" customHeight="1">
      <c r="A996" s="3" t="s">
        <v>2539</v>
      </c>
      <c r="B996" s="883" t="s">
        <v>2509</v>
      </c>
      <c r="C996" s="884"/>
      <c r="D996" s="884"/>
      <c r="E996" s="885"/>
      <c r="F996" s="885"/>
      <c r="G996" s="885"/>
      <c r="H996" s="930"/>
      <c r="I996" s="885"/>
      <c r="J996" s="885"/>
      <c r="K996" s="885"/>
      <c r="L996" s="885"/>
      <c r="M996" s="885"/>
      <c r="N996" s="887"/>
      <c r="O996" s="885"/>
      <c r="P996" s="885"/>
      <c r="Q996" s="885"/>
      <c r="R996" s="885"/>
      <c r="S996" s="885"/>
      <c r="T996" s="885"/>
      <c r="U996" s="885"/>
      <c r="V996" s="885"/>
      <c r="W996" s="885"/>
      <c r="X996" s="885"/>
      <c r="Y996" s="885"/>
      <c r="Z996" s="885"/>
    </row>
    <row r="997" ht="15.75" customHeight="1">
      <c r="A997" s="3" t="s">
        <v>2540</v>
      </c>
      <c r="B997" s="895" t="s">
        <v>2541</v>
      </c>
      <c r="C997" s="884"/>
      <c r="D997" s="884"/>
      <c r="E997" s="885"/>
      <c r="F997" s="885"/>
      <c r="G997" s="885"/>
      <c r="H997" s="930"/>
      <c r="I997" s="885"/>
      <c r="J997" s="885"/>
      <c r="K997" s="885"/>
      <c r="L997" s="885"/>
      <c r="M997" s="885"/>
      <c r="N997" s="887"/>
      <c r="O997" s="885"/>
      <c r="P997" s="885"/>
      <c r="Q997" s="885"/>
      <c r="R997" s="885"/>
      <c r="S997" s="885"/>
      <c r="T997" s="885"/>
      <c r="U997" s="885"/>
      <c r="V997" s="885"/>
      <c r="W997" s="885"/>
      <c r="X997" s="885"/>
      <c r="Y997" s="885"/>
      <c r="Z997" s="885"/>
    </row>
    <row r="998" ht="15.75" customHeight="1">
      <c r="A998" s="895" t="s">
        <v>2542</v>
      </c>
      <c r="B998" s="895" t="s">
        <v>2543</v>
      </c>
      <c r="C998" s="884"/>
      <c r="D998" s="884"/>
      <c r="E998" s="885"/>
      <c r="F998" s="885"/>
      <c r="G998" s="885"/>
      <c r="H998" s="930"/>
      <c r="I998" s="885"/>
      <c r="J998" s="885"/>
      <c r="K998" s="885"/>
      <c r="L998" s="885"/>
      <c r="M998" s="885"/>
      <c r="N998" s="887"/>
      <c r="O998" s="885"/>
      <c r="P998" s="885"/>
      <c r="Q998" s="885"/>
      <c r="R998" s="885"/>
      <c r="S998" s="885"/>
      <c r="T998" s="885"/>
      <c r="U998" s="885"/>
      <c r="V998" s="885"/>
      <c r="W998" s="885"/>
      <c r="X998" s="885"/>
      <c r="Y998" s="885"/>
      <c r="Z998" s="885"/>
    </row>
    <row r="999" ht="15.75" customHeight="1">
      <c r="A999" s="3" t="s">
        <v>2544</v>
      </c>
      <c r="B999" s="895" t="s">
        <v>2541</v>
      </c>
      <c r="C999" s="884"/>
      <c r="D999" s="884"/>
      <c r="E999" s="885"/>
      <c r="F999" s="885"/>
      <c r="G999" s="885"/>
      <c r="H999" s="930"/>
      <c r="I999" s="885"/>
      <c r="J999" s="885"/>
      <c r="K999" s="885"/>
      <c r="L999" s="885"/>
      <c r="M999" s="885"/>
      <c r="N999" s="887"/>
      <c r="O999" s="885"/>
      <c r="P999" s="885"/>
      <c r="Q999" s="885"/>
      <c r="R999" s="885"/>
      <c r="S999" s="885"/>
      <c r="T999" s="885"/>
      <c r="U999" s="885"/>
      <c r="V999" s="885"/>
      <c r="W999" s="885"/>
      <c r="X999" s="885"/>
      <c r="Y999" s="885"/>
      <c r="Z999" s="885"/>
    </row>
    <row r="1000" ht="15.75" customHeight="1">
      <c r="A1000" s="3" t="s">
        <v>422</v>
      </c>
      <c r="B1000" s="895" t="s">
        <v>2541</v>
      </c>
      <c r="C1000" s="884"/>
      <c r="D1000" s="884"/>
      <c r="E1000" s="885"/>
      <c r="F1000" s="885"/>
      <c r="G1000" s="885"/>
      <c r="H1000" s="930"/>
      <c r="I1000" s="885"/>
      <c r="J1000" s="885"/>
      <c r="K1000" s="885"/>
      <c r="L1000" s="885"/>
      <c r="M1000" s="885"/>
      <c r="N1000" s="887"/>
      <c r="O1000" s="885"/>
      <c r="P1000" s="885"/>
      <c r="Q1000" s="885"/>
      <c r="R1000" s="885"/>
      <c r="S1000" s="885"/>
      <c r="T1000" s="885"/>
      <c r="U1000" s="885"/>
      <c r="V1000" s="885"/>
      <c r="W1000" s="885"/>
      <c r="X1000" s="885"/>
      <c r="Y1000" s="885"/>
      <c r="Z1000" s="885"/>
    </row>
    <row r="1001" ht="15.75" customHeight="1">
      <c r="A1001" s="3" t="s">
        <v>2545</v>
      </c>
      <c r="B1001" s="895" t="s">
        <v>2541</v>
      </c>
      <c r="C1001" s="884"/>
      <c r="D1001" s="884"/>
      <c r="E1001" s="885"/>
      <c r="F1001" s="885"/>
      <c r="G1001" s="885"/>
      <c r="H1001" s="930"/>
      <c r="I1001" s="885"/>
      <c r="J1001" s="885"/>
      <c r="K1001" s="885"/>
      <c r="L1001" s="885"/>
      <c r="M1001" s="885"/>
      <c r="N1001" s="887"/>
      <c r="O1001" s="885"/>
      <c r="P1001" s="885"/>
      <c r="Q1001" s="885"/>
      <c r="R1001" s="885"/>
      <c r="S1001" s="885"/>
      <c r="T1001" s="885"/>
      <c r="U1001" s="885"/>
      <c r="V1001" s="885"/>
      <c r="W1001" s="885"/>
      <c r="X1001" s="885"/>
      <c r="Y1001" s="885"/>
      <c r="Z1001" s="885"/>
    </row>
    <row r="1002" ht="15.75" customHeight="1">
      <c r="A1002" s="884" t="s">
        <v>510</v>
      </c>
      <c r="B1002" s="895" t="s">
        <v>2541</v>
      </c>
      <c r="C1002" s="884"/>
      <c r="D1002" s="884"/>
      <c r="E1002" s="885"/>
      <c r="F1002" s="885"/>
      <c r="G1002" s="885"/>
      <c r="H1002" s="930"/>
      <c r="I1002" s="885"/>
      <c r="J1002" s="885"/>
      <c r="K1002" s="885"/>
      <c r="L1002" s="885"/>
      <c r="M1002" s="885"/>
      <c r="N1002" s="887"/>
      <c r="O1002" s="885"/>
      <c r="P1002" s="885"/>
      <c r="Q1002" s="885"/>
      <c r="R1002" s="885"/>
      <c r="S1002" s="885"/>
      <c r="T1002" s="885"/>
      <c r="U1002" s="885"/>
      <c r="V1002" s="885"/>
      <c r="W1002" s="885"/>
      <c r="X1002" s="885"/>
      <c r="Y1002" s="885"/>
      <c r="Z1002" s="885"/>
    </row>
    <row r="1003" ht="15.75" customHeight="1">
      <c r="A1003" s="884" t="s">
        <v>64</v>
      </c>
      <c r="B1003" s="895" t="s">
        <v>2541</v>
      </c>
      <c r="C1003" s="884"/>
      <c r="D1003" s="884"/>
      <c r="E1003" s="885"/>
      <c r="F1003" s="885"/>
      <c r="G1003" s="885"/>
      <c r="H1003" s="930"/>
      <c r="I1003" s="885"/>
      <c r="J1003" s="885"/>
      <c r="K1003" s="885"/>
      <c r="L1003" s="885"/>
      <c r="M1003" s="885"/>
      <c r="N1003" s="887"/>
      <c r="O1003" s="885"/>
      <c r="P1003" s="885"/>
      <c r="Q1003" s="885"/>
      <c r="R1003" s="885"/>
      <c r="S1003" s="885"/>
      <c r="T1003" s="885"/>
      <c r="U1003" s="885"/>
      <c r="V1003" s="885"/>
      <c r="W1003" s="885"/>
      <c r="X1003" s="885"/>
      <c r="Y1003" s="885"/>
      <c r="Z1003" s="885"/>
    </row>
    <row r="1004" ht="15.75" customHeight="1">
      <c r="A1004" s="3" t="s">
        <v>2546</v>
      </c>
      <c r="B1004" s="895" t="s">
        <v>2541</v>
      </c>
      <c r="C1004" s="884"/>
      <c r="D1004" s="884"/>
      <c r="E1004" s="885"/>
      <c r="F1004" s="885"/>
      <c r="G1004" s="885"/>
      <c r="H1004" s="930"/>
      <c r="I1004" s="885"/>
      <c r="J1004" s="885"/>
      <c r="K1004" s="885"/>
      <c r="L1004" s="885"/>
      <c r="M1004" s="885"/>
      <c r="N1004" s="887"/>
      <c r="O1004" s="885"/>
      <c r="P1004" s="885"/>
      <c r="Q1004" s="885"/>
      <c r="R1004" s="885"/>
      <c r="S1004" s="885"/>
      <c r="T1004" s="885"/>
      <c r="U1004" s="885"/>
      <c r="V1004" s="885"/>
      <c r="W1004" s="885"/>
      <c r="X1004" s="885"/>
      <c r="Y1004" s="885"/>
      <c r="Z1004" s="885"/>
    </row>
    <row r="1005" ht="15.75" customHeight="1">
      <c r="A1005" s="3" t="s">
        <v>1710</v>
      </c>
      <c r="B1005" s="895" t="s">
        <v>2541</v>
      </c>
      <c r="C1005" s="884"/>
      <c r="D1005" s="884"/>
      <c r="E1005" s="885"/>
      <c r="F1005" s="885"/>
      <c r="G1005" s="885"/>
      <c r="H1005" s="930"/>
      <c r="I1005" s="885"/>
      <c r="J1005" s="885"/>
      <c r="K1005" s="885"/>
      <c r="L1005" s="885"/>
      <c r="M1005" s="885"/>
      <c r="N1005" s="887"/>
      <c r="O1005" s="885"/>
      <c r="P1005" s="885"/>
      <c r="Q1005" s="885"/>
      <c r="R1005" s="885"/>
      <c r="S1005" s="885"/>
      <c r="T1005" s="885"/>
      <c r="U1005" s="885"/>
      <c r="V1005" s="885"/>
      <c r="W1005" s="885"/>
      <c r="X1005" s="885"/>
      <c r="Y1005" s="885"/>
      <c r="Z1005" s="885"/>
    </row>
    <row r="1006" ht="15.75" customHeight="1">
      <c r="A1006" s="3" t="s">
        <v>2547</v>
      </c>
      <c r="B1006" s="895" t="s">
        <v>2541</v>
      </c>
      <c r="C1006" s="884"/>
      <c r="D1006" s="884"/>
      <c r="E1006" s="885"/>
      <c r="F1006" s="885"/>
      <c r="G1006" s="885"/>
      <c r="H1006" s="930"/>
      <c r="I1006" s="885"/>
      <c r="J1006" s="885"/>
      <c r="K1006" s="885"/>
      <c r="L1006" s="885"/>
      <c r="M1006" s="885"/>
      <c r="N1006" s="887"/>
      <c r="O1006" s="885"/>
      <c r="P1006" s="885"/>
      <c r="Q1006" s="885"/>
      <c r="R1006" s="885"/>
      <c r="S1006" s="885"/>
      <c r="T1006" s="885"/>
      <c r="U1006" s="885"/>
      <c r="V1006" s="885"/>
      <c r="W1006" s="885"/>
      <c r="X1006" s="885"/>
      <c r="Y1006" s="885"/>
      <c r="Z1006" s="885"/>
    </row>
    <row r="1007" ht="15.75" customHeight="1">
      <c r="A1007" s="3" t="s">
        <v>2548</v>
      </c>
      <c r="B1007" s="895" t="s">
        <v>2541</v>
      </c>
      <c r="C1007" s="884"/>
      <c r="D1007" s="884"/>
      <c r="E1007" s="885"/>
      <c r="F1007" s="885"/>
      <c r="G1007" s="885"/>
      <c r="H1007" s="930"/>
      <c r="I1007" s="885"/>
      <c r="J1007" s="885"/>
      <c r="K1007" s="885"/>
      <c r="L1007" s="885"/>
      <c r="M1007" s="885"/>
      <c r="N1007" s="887"/>
      <c r="O1007" s="885"/>
      <c r="P1007" s="885"/>
      <c r="Q1007" s="885"/>
      <c r="R1007" s="885"/>
      <c r="S1007" s="885"/>
      <c r="T1007" s="885"/>
      <c r="U1007" s="885"/>
      <c r="V1007" s="885"/>
      <c r="W1007" s="885"/>
      <c r="X1007" s="885"/>
      <c r="Y1007" s="885"/>
      <c r="Z1007" s="885"/>
    </row>
    <row r="1008" ht="15.75" customHeight="1">
      <c r="A1008" s="3" t="s">
        <v>2549</v>
      </c>
      <c r="B1008" s="895" t="s">
        <v>2541</v>
      </c>
      <c r="C1008" s="884"/>
      <c r="D1008" s="884"/>
      <c r="E1008" s="885"/>
      <c r="F1008" s="885"/>
      <c r="G1008" s="885"/>
      <c r="H1008" s="930"/>
      <c r="I1008" s="885"/>
      <c r="J1008" s="885"/>
      <c r="K1008" s="885"/>
      <c r="L1008" s="885"/>
      <c r="M1008" s="885"/>
      <c r="N1008" s="887"/>
      <c r="O1008" s="885"/>
      <c r="P1008" s="885"/>
      <c r="Q1008" s="885"/>
      <c r="R1008" s="885"/>
      <c r="S1008" s="885"/>
      <c r="T1008" s="885"/>
      <c r="U1008" s="885"/>
      <c r="V1008" s="885"/>
      <c r="W1008" s="885"/>
      <c r="X1008" s="885"/>
      <c r="Y1008" s="885"/>
      <c r="Z1008" s="885"/>
    </row>
    <row r="1009" ht="15.75" customHeight="1">
      <c r="A1009" s="3" t="s">
        <v>93</v>
      </c>
      <c r="B1009" s="895" t="s">
        <v>2541</v>
      </c>
      <c r="C1009" s="884"/>
      <c r="D1009" s="884"/>
      <c r="E1009" s="885"/>
      <c r="F1009" s="885"/>
      <c r="G1009" s="885"/>
      <c r="H1009" s="930"/>
      <c r="I1009" s="885"/>
      <c r="J1009" s="885"/>
      <c r="K1009" s="885"/>
      <c r="L1009" s="885"/>
      <c r="M1009" s="885"/>
      <c r="N1009" s="887"/>
      <c r="O1009" s="885"/>
      <c r="P1009" s="885"/>
      <c r="Q1009" s="885"/>
      <c r="R1009" s="885"/>
      <c r="S1009" s="885"/>
      <c r="T1009" s="885"/>
      <c r="U1009" s="885"/>
      <c r="V1009" s="885"/>
      <c r="W1009" s="885"/>
      <c r="X1009" s="885"/>
      <c r="Y1009" s="885"/>
      <c r="Z1009" s="885"/>
    </row>
    <row r="1010" ht="15.75" customHeight="1">
      <c r="A1010" s="3" t="s">
        <v>2550</v>
      </c>
      <c r="B1010" s="895" t="s">
        <v>2541</v>
      </c>
      <c r="C1010" s="3"/>
      <c r="D1010" s="884"/>
      <c r="E1010" s="885"/>
      <c r="F1010" s="885"/>
      <c r="G1010" s="885"/>
      <c r="H1010" s="930"/>
      <c r="I1010" s="885"/>
      <c r="J1010" s="885"/>
      <c r="K1010" s="885"/>
      <c r="L1010" s="885"/>
      <c r="M1010" s="885"/>
      <c r="N1010" s="887"/>
      <c r="O1010" s="885"/>
      <c r="P1010" s="885"/>
      <c r="Q1010" s="885"/>
      <c r="R1010" s="885"/>
      <c r="S1010" s="885"/>
      <c r="T1010" s="885"/>
      <c r="U1010" s="885"/>
      <c r="V1010" s="885"/>
      <c r="W1010" s="885"/>
      <c r="X1010" s="885"/>
      <c r="Y1010" s="885"/>
      <c r="Z1010" s="885"/>
    </row>
    <row r="1011" ht="15.75" customHeight="1">
      <c r="A1011" s="895" t="s">
        <v>2551</v>
      </c>
      <c r="B1011" s="895" t="s">
        <v>2541</v>
      </c>
      <c r="C1011" s="3"/>
      <c r="D1011" s="884"/>
      <c r="E1011" s="885"/>
      <c r="F1011" s="885"/>
      <c r="G1011" s="885"/>
      <c r="H1011" s="930"/>
      <c r="I1011" s="885"/>
      <c r="J1011" s="885"/>
      <c r="K1011" s="885"/>
      <c r="L1011" s="885"/>
      <c r="M1011" s="885"/>
      <c r="N1011" s="887"/>
      <c r="O1011" s="885"/>
      <c r="P1011" s="885"/>
      <c r="Q1011" s="885"/>
      <c r="R1011" s="885"/>
      <c r="S1011" s="885"/>
      <c r="T1011" s="885"/>
      <c r="U1011" s="885"/>
      <c r="V1011" s="885"/>
      <c r="W1011" s="885"/>
      <c r="X1011" s="885"/>
      <c r="Y1011" s="885"/>
      <c r="Z1011" s="885"/>
    </row>
    <row r="1012" ht="15.75" customHeight="1">
      <c r="A1012" s="3" t="s">
        <v>339</v>
      </c>
      <c r="B1012" s="895" t="s">
        <v>2541</v>
      </c>
      <c r="C1012" s="3"/>
      <c r="D1012" s="884"/>
      <c r="E1012" s="885"/>
      <c r="F1012" s="885"/>
      <c r="G1012" s="885"/>
      <c r="H1012" s="930"/>
      <c r="I1012" s="885"/>
      <c r="J1012" s="885"/>
      <c r="K1012" s="885"/>
      <c r="L1012" s="885"/>
      <c r="M1012" s="885"/>
      <c r="N1012" s="887"/>
      <c r="O1012" s="885"/>
      <c r="P1012" s="885"/>
      <c r="Q1012" s="885"/>
      <c r="R1012" s="885"/>
      <c r="S1012" s="885"/>
      <c r="T1012" s="885"/>
      <c r="U1012" s="885"/>
      <c r="V1012" s="885"/>
      <c r="W1012" s="885"/>
      <c r="X1012" s="885"/>
      <c r="Y1012" s="885"/>
      <c r="Z1012" s="885"/>
    </row>
    <row r="1013" ht="15.75" customHeight="1">
      <c r="A1013" s="3" t="s">
        <v>188</v>
      </c>
      <c r="B1013" s="895" t="s">
        <v>2541</v>
      </c>
      <c r="C1013" s="3"/>
      <c r="D1013" s="884"/>
      <c r="E1013" s="885"/>
      <c r="F1013" s="885"/>
      <c r="G1013" s="885"/>
      <c r="H1013" s="930"/>
      <c r="I1013" s="885"/>
      <c r="J1013" s="885"/>
      <c r="K1013" s="885"/>
      <c r="L1013" s="885"/>
      <c r="M1013" s="885"/>
      <c r="N1013" s="887"/>
      <c r="O1013" s="885"/>
      <c r="P1013" s="885"/>
      <c r="Q1013" s="885"/>
      <c r="R1013" s="885"/>
      <c r="S1013" s="885"/>
      <c r="T1013" s="885"/>
      <c r="U1013" s="885"/>
      <c r="V1013" s="885"/>
      <c r="W1013" s="885"/>
      <c r="X1013" s="885"/>
      <c r="Y1013" s="885"/>
      <c r="Z1013" s="885"/>
    </row>
    <row r="1014" ht="15.75" customHeight="1">
      <c r="A1014" s="884" t="s">
        <v>2552</v>
      </c>
      <c r="B1014" s="895" t="s">
        <v>2541</v>
      </c>
      <c r="C1014" s="3"/>
      <c r="D1014" s="884"/>
      <c r="E1014" s="885"/>
      <c r="F1014" s="885"/>
      <c r="G1014" s="885"/>
      <c r="H1014" s="930"/>
      <c r="I1014" s="885"/>
      <c r="J1014" s="885"/>
      <c r="K1014" s="885"/>
      <c r="L1014" s="885"/>
      <c r="M1014" s="885"/>
      <c r="N1014" s="887"/>
      <c r="O1014" s="885"/>
      <c r="P1014" s="885"/>
      <c r="Q1014" s="885"/>
      <c r="R1014" s="885"/>
      <c r="S1014" s="885"/>
      <c r="T1014" s="885"/>
      <c r="U1014" s="885"/>
      <c r="V1014" s="885"/>
      <c r="W1014" s="885"/>
      <c r="X1014" s="885"/>
      <c r="Y1014" s="885"/>
      <c r="Z1014" s="885"/>
    </row>
    <row r="1015" ht="15.75" customHeight="1">
      <c r="A1015" s="3" t="s">
        <v>2553</v>
      </c>
      <c r="B1015" s="895" t="s">
        <v>2541</v>
      </c>
      <c r="C1015" s="884"/>
      <c r="D1015" s="884"/>
      <c r="E1015" s="885"/>
      <c r="F1015" s="885"/>
      <c r="G1015" s="885"/>
      <c r="H1015" s="930"/>
      <c r="I1015" s="885"/>
      <c r="J1015" s="885"/>
      <c r="K1015" s="885"/>
      <c r="L1015" s="885"/>
      <c r="M1015" s="885"/>
      <c r="N1015" s="887"/>
      <c r="O1015" s="885"/>
      <c r="P1015" s="885"/>
      <c r="Q1015" s="885"/>
      <c r="R1015" s="885"/>
      <c r="S1015" s="885"/>
      <c r="T1015" s="885"/>
      <c r="U1015" s="885"/>
      <c r="V1015" s="885"/>
      <c r="W1015" s="885"/>
      <c r="X1015" s="885"/>
      <c r="Y1015" s="885"/>
      <c r="Z1015" s="885"/>
    </row>
    <row r="1016" ht="15.75" customHeight="1">
      <c r="A1016" s="884" t="s">
        <v>2108</v>
      </c>
      <c r="B1016" s="895" t="s">
        <v>2541</v>
      </c>
      <c r="C1016" s="884"/>
      <c r="D1016" s="884"/>
      <c r="E1016" s="885"/>
      <c r="F1016" s="885"/>
      <c r="G1016" s="885"/>
      <c r="H1016" s="930"/>
      <c r="I1016" s="885"/>
      <c r="J1016" s="885"/>
      <c r="K1016" s="885"/>
      <c r="L1016" s="885"/>
      <c r="M1016" s="885"/>
      <c r="N1016" s="887"/>
      <c r="O1016" s="885"/>
      <c r="P1016" s="885"/>
      <c r="Q1016" s="885"/>
      <c r="R1016" s="885"/>
      <c r="S1016" s="885"/>
      <c r="T1016" s="885"/>
      <c r="U1016" s="885"/>
      <c r="V1016" s="885"/>
      <c r="W1016" s="885"/>
      <c r="X1016" s="885"/>
      <c r="Y1016" s="885"/>
      <c r="Z1016" s="885"/>
    </row>
    <row r="1017" ht="15.75" customHeight="1">
      <c r="A1017" s="20" t="s">
        <v>2554</v>
      </c>
      <c r="B1017" s="895" t="s">
        <v>2541</v>
      </c>
      <c r="C1017" s="884"/>
      <c r="D1017" s="884"/>
      <c r="E1017" s="885"/>
      <c r="F1017" s="885"/>
      <c r="G1017" s="885"/>
      <c r="H1017" s="930"/>
      <c r="I1017" s="885"/>
      <c r="J1017" s="885"/>
      <c r="K1017" s="885"/>
      <c r="L1017" s="885"/>
      <c r="M1017" s="885"/>
      <c r="N1017" s="887"/>
      <c r="O1017" s="885"/>
      <c r="P1017" s="885"/>
      <c r="Q1017" s="885"/>
      <c r="R1017" s="885"/>
      <c r="S1017" s="885"/>
      <c r="T1017" s="885"/>
      <c r="U1017" s="885"/>
      <c r="V1017" s="885"/>
      <c r="W1017" s="885"/>
      <c r="X1017" s="885"/>
      <c r="Y1017" s="885"/>
      <c r="Z1017" s="885"/>
    </row>
    <row r="1018" ht="15.75" customHeight="1">
      <c r="A1018" s="3" t="s">
        <v>663</v>
      </c>
      <c r="B1018" s="895" t="s">
        <v>2541</v>
      </c>
      <c r="C1018" s="884"/>
      <c r="D1018" s="884"/>
      <c r="E1018" s="885"/>
      <c r="F1018" s="885"/>
      <c r="G1018" s="885"/>
      <c r="H1018" s="930"/>
      <c r="I1018" s="885"/>
      <c r="J1018" s="885"/>
      <c r="K1018" s="885"/>
      <c r="L1018" s="885"/>
      <c r="M1018" s="885"/>
      <c r="N1018" s="887"/>
      <c r="O1018" s="885"/>
      <c r="P1018" s="885"/>
      <c r="Q1018" s="885"/>
      <c r="R1018" s="885"/>
      <c r="S1018" s="885"/>
      <c r="T1018" s="885"/>
      <c r="U1018" s="885"/>
      <c r="V1018" s="885"/>
      <c r="W1018" s="885"/>
      <c r="X1018" s="885"/>
      <c r="Y1018" s="885"/>
      <c r="Z1018" s="885"/>
    </row>
    <row r="1019" ht="15.75" customHeight="1">
      <c r="A1019" s="884" t="s">
        <v>2555</v>
      </c>
      <c r="B1019" s="895" t="s">
        <v>2541</v>
      </c>
      <c r="C1019" s="884"/>
      <c r="D1019" s="884"/>
      <c r="E1019" s="885"/>
      <c r="F1019" s="885"/>
      <c r="G1019" s="885"/>
      <c r="H1019" s="930"/>
      <c r="I1019" s="885"/>
      <c r="J1019" s="885"/>
      <c r="K1019" s="885"/>
      <c r="L1019" s="885"/>
      <c r="M1019" s="885"/>
      <c r="N1019" s="887"/>
      <c r="O1019" s="885"/>
      <c r="P1019" s="885"/>
      <c r="Q1019" s="885"/>
      <c r="R1019" s="885"/>
      <c r="S1019" s="885"/>
      <c r="T1019" s="885"/>
      <c r="U1019" s="885"/>
      <c r="V1019" s="885"/>
      <c r="W1019" s="885"/>
      <c r="X1019" s="885"/>
      <c r="Y1019" s="885"/>
      <c r="Z1019" s="885"/>
    </row>
    <row r="1020" ht="15.75" customHeight="1">
      <c r="A1020" s="3" t="s">
        <v>537</v>
      </c>
      <c r="B1020" s="895" t="s">
        <v>2541</v>
      </c>
      <c r="C1020" s="884"/>
      <c r="D1020" s="884"/>
      <c r="E1020" s="885"/>
      <c r="F1020" s="885"/>
      <c r="G1020" s="885"/>
      <c r="H1020" s="930"/>
      <c r="I1020" s="885"/>
      <c r="J1020" s="885"/>
      <c r="K1020" s="885"/>
      <c r="L1020" s="885"/>
      <c r="M1020" s="885"/>
      <c r="N1020" s="887"/>
      <c r="O1020" s="885"/>
      <c r="P1020" s="885"/>
      <c r="Q1020" s="885"/>
      <c r="R1020" s="885"/>
      <c r="S1020" s="885"/>
      <c r="T1020" s="885"/>
      <c r="U1020" s="885"/>
      <c r="V1020" s="885"/>
      <c r="W1020" s="885"/>
      <c r="X1020" s="885"/>
      <c r="Y1020" s="885"/>
      <c r="Z1020" s="885"/>
    </row>
    <row r="1021" ht="15.75" customHeight="1">
      <c r="A1021" s="3" t="s">
        <v>2556</v>
      </c>
      <c r="B1021" s="895" t="s">
        <v>2541</v>
      </c>
      <c r="C1021" s="884"/>
      <c r="D1021" s="884"/>
      <c r="E1021" s="885"/>
      <c r="F1021" s="885"/>
      <c r="G1021" s="885"/>
      <c r="H1021" s="930"/>
      <c r="I1021" s="885"/>
      <c r="J1021" s="885"/>
      <c r="K1021" s="885"/>
      <c r="L1021" s="885"/>
      <c r="M1021" s="885"/>
      <c r="N1021" s="887"/>
      <c r="O1021" s="885"/>
      <c r="P1021" s="885"/>
      <c r="Q1021" s="885"/>
      <c r="R1021" s="885"/>
      <c r="S1021" s="885"/>
      <c r="T1021" s="885"/>
      <c r="U1021" s="885"/>
      <c r="V1021" s="885"/>
      <c r="W1021" s="885"/>
      <c r="X1021" s="885"/>
      <c r="Y1021" s="885"/>
      <c r="Z1021" s="885"/>
    </row>
    <row r="1022" ht="15.75" customHeight="1">
      <c r="A1022" s="3" t="s">
        <v>2557</v>
      </c>
      <c r="B1022" s="895" t="s">
        <v>2541</v>
      </c>
      <c r="C1022" s="884"/>
      <c r="D1022" s="884"/>
      <c r="E1022" s="885"/>
      <c r="F1022" s="885"/>
      <c r="G1022" s="885"/>
      <c r="H1022" s="930"/>
      <c r="I1022" s="885"/>
      <c r="J1022" s="885"/>
      <c r="K1022" s="885"/>
      <c r="L1022" s="885"/>
      <c r="M1022" s="885"/>
      <c r="N1022" s="887"/>
      <c r="O1022" s="885"/>
      <c r="P1022" s="885"/>
      <c r="Q1022" s="885"/>
      <c r="R1022" s="885"/>
      <c r="S1022" s="885"/>
      <c r="T1022" s="885"/>
      <c r="U1022" s="885"/>
      <c r="V1022" s="885"/>
      <c r="W1022" s="885"/>
      <c r="X1022" s="885"/>
      <c r="Y1022" s="885"/>
      <c r="Z1022" s="885"/>
    </row>
    <row r="1023" ht="15.75" customHeight="1">
      <c r="A1023" s="3" t="s">
        <v>2558</v>
      </c>
      <c r="B1023" s="895" t="s">
        <v>2541</v>
      </c>
      <c r="C1023" s="884"/>
      <c r="D1023" s="884"/>
      <c r="E1023" s="885"/>
      <c r="F1023" s="885"/>
      <c r="G1023" s="885"/>
      <c r="H1023" s="930"/>
      <c r="I1023" s="885"/>
      <c r="J1023" s="885"/>
      <c r="K1023" s="885"/>
      <c r="L1023" s="885"/>
      <c r="M1023" s="885"/>
      <c r="N1023" s="887"/>
      <c r="O1023" s="885"/>
      <c r="P1023" s="885"/>
      <c r="Q1023" s="885"/>
      <c r="R1023" s="885"/>
      <c r="S1023" s="885"/>
      <c r="T1023" s="885"/>
      <c r="U1023" s="885"/>
      <c r="V1023" s="885"/>
      <c r="W1023" s="885"/>
      <c r="X1023" s="885"/>
      <c r="Y1023" s="885"/>
      <c r="Z1023" s="885"/>
    </row>
    <row r="1024" ht="15.75" customHeight="1">
      <c r="A1024" s="884" t="s">
        <v>2559</v>
      </c>
      <c r="B1024" s="895" t="s">
        <v>2537</v>
      </c>
      <c r="C1024" s="884"/>
      <c r="D1024" s="884"/>
      <c r="E1024" s="885"/>
      <c r="F1024" s="885"/>
      <c r="G1024" s="885"/>
      <c r="H1024" s="930"/>
      <c r="I1024" s="885"/>
      <c r="J1024" s="885"/>
      <c r="K1024" s="885"/>
      <c r="L1024" s="885"/>
      <c r="M1024" s="885"/>
      <c r="N1024" s="887"/>
      <c r="O1024" s="885"/>
      <c r="P1024" s="885"/>
      <c r="Q1024" s="885"/>
      <c r="R1024" s="885"/>
      <c r="S1024" s="885"/>
      <c r="T1024" s="885"/>
      <c r="U1024" s="885"/>
      <c r="V1024" s="885"/>
      <c r="W1024" s="885"/>
      <c r="X1024" s="885"/>
      <c r="Y1024" s="885"/>
      <c r="Z1024" s="885"/>
    </row>
    <row r="1025" ht="15.75" customHeight="1">
      <c r="A1025" s="884" t="s">
        <v>2560</v>
      </c>
      <c r="B1025" s="895" t="s">
        <v>2541</v>
      </c>
      <c r="C1025" s="884"/>
      <c r="D1025" s="884"/>
      <c r="E1025" s="885"/>
      <c r="F1025" s="885"/>
      <c r="G1025" s="885"/>
      <c r="H1025" s="930"/>
      <c r="I1025" s="885"/>
      <c r="J1025" s="885"/>
      <c r="K1025" s="885"/>
      <c r="L1025" s="885"/>
      <c r="M1025" s="885"/>
      <c r="N1025" s="887"/>
      <c r="O1025" s="885"/>
      <c r="P1025" s="885"/>
      <c r="Q1025" s="885"/>
      <c r="R1025" s="885"/>
      <c r="S1025" s="885"/>
      <c r="T1025" s="885"/>
      <c r="U1025" s="885"/>
      <c r="V1025" s="885"/>
      <c r="W1025" s="885"/>
      <c r="X1025" s="885"/>
      <c r="Y1025" s="885"/>
      <c r="Z1025" s="885"/>
    </row>
    <row r="1026" ht="15.75" customHeight="1">
      <c r="A1026" s="884" t="s">
        <v>2561</v>
      </c>
      <c r="B1026" s="895" t="s">
        <v>2541</v>
      </c>
      <c r="C1026" s="884"/>
      <c r="D1026" s="884"/>
      <c r="E1026" s="885"/>
      <c r="F1026" s="885"/>
      <c r="G1026" s="885"/>
      <c r="H1026" s="930"/>
      <c r="I1026" s="885"/>
      <c r="J1026" s="885"/>
      <c r="K1026" s="885"/>
      <c r="L1026" s="885"/>
      <c r="M1026" s="885"/>
      <c r="N1026" s="887"/>
      <c r="O1026" s="885"/>
      <c r="P1026" s="885"/>
      <c r="Q1026" s="885"/>
      <c r="R1026" s="885"/>
      <c r="S1026" s="885"/>
      <c r="T1026" s="885"/>
      <c r="U1026" s="885"/>
      <c r="V1026" s="885"/>
      <c r="W1026" s="885"/>
      <c r="X1026" s="885"/>
      <c r="Y1026" s="885"/>
      <c r="Z1026" s="885"/>
    </row>
    <row r="1027" ht="15.75" customHeight="1">
      <c r="A1027" s="883" t="s">
        <v>2562</v>
      </c>
      <c r="B1027" s="895" t="s">
        <v>2541</v>
      </c>
      <c r="C1027" s="884"/>
      <c r="D1027" s="884"/>
      <c r="E1027" s="885"/>
      <c r="F1027" s="885"/>
      <c r="G1027" s="885"/>
      <c r="H1027" s="930"/>
      <c r="I1027" s="885"/>
      <c r="J1027" s="885"/>
      <c r="K1027" s="885"/>
      <c r="L1027" s="885"/>
      <c r="M1027" s="885"/>
      <c r="N1027" s="887"/>
      <c r="O1027" s="885"/>
      <c r="P1027" s="885"/>
      <c r="Q1027" s="885"/>
      <c r="R1027" s="885"/>
      <c r="S1027" s="885"/>
      <c r="T1027" s="885"/>
      <c r="U1027" s="885"/>
      <c r="V1027" s="885"/>
      <c r="W1027" s="885"/>
      <c r="X1027" s="885"/>
      <c r="Y1027" s="885"/>
      <c r="Z1027" s="885"/>
    </row>
    <row r="1028" ht="15.75" customHeight="1">
      <c r="A1028" s="883" t="s">
        <v>2563</v>
      </c>
      <c r="B1028" s="895" t="s">
        <v>2541</v>
      </c>
      <c r="C1028" s="884"/>
      <c r="D1028" s="884"/>
      <c r="E1028" s="885"/>
      <c r="F1028" s="885"/>
      <c r="G1028" s="885"/>
      <c r="H1028" s="930"/>
      <c r="I1028" s="885"/>
      <c r="J1028" s="885"/>
      <c r="K1028" s="885"/>
      <c r="L1028" s="885"/>
      <c r="M1028" s="885"/>
      <c r="N1028" s="887"/>
      <c r="O1028" s="885"/>
      <c r="P1028" s="885"/>
      <c r="Q1028" s="885"/>
      <c r="R1028" s="885"/>
      <c r="S1028" s="885"/>
      <c r="T1028" s="885"/>
      <c r="U1028" s="885"/>
      <c r="V1028" s="885"/>
      <c r="W1028" s="885"/>
      <c r="X1028" s="885"/>
      <c r="Y1028" s="885"/>
      <c r="Z1028" s="885"/>
    </row>
    <row r="1029" ht="15.75" customHeight="1">
      <c r="A1029" s="884" t="s">
        <v>2564</v>
      </c>
      <c r="B1029" s="895" t="s">
        <v>2565</v>
      </c>
      <c r="C1029" s="884"/>
      <c r="D1029" s="884"/>
      <c r="E1029" s="885"/>
      <c r="F1029" s="885"/>
      <c r="G1029" s="885"/>
      <c r="H1029" s="930"/>
      <c r="I1029" s="885"/>
      <c r="J1029" s="885"/>
      <c r="K1029" s="885"/>
      <c r="L1029" s="885"/>
      <c r="M1029" s="885"/>
      <c r="N1029" s="887"/>
      <c r="O1029" s="885"/>
      <c r="P1029" s="885"/>
      <c r="Q1029" s="885"/>
      <c r="R1029" s="885"/>
      <c r="S1029" s="885"/>
      <c r="T1029" s="885"/>
      <c r="U1029" s="885"/>
      <c r="V1029" s="885"/>
      <c r="W1029" s="885"/>
      <c r="X1029" s="885"/>
      <c r="Y1029" s="885"/>
      <c r="Z1029" s="885"/>
    </row>
    <row r="1030" ht="15.75" customHeight="1">
      <c r="A1030" s="3" t="s">
        <v>2566</v>
      </c>
      <c r="B1030" s="895" t="s">
        <v>2541</v>
      </c>
      <c r="C1030" s="884"/>
      <c r="D1030" s="884"/>
      <c r="E1030" s="885"/>
      <c r="F1030" s="885"/>
      <c r="G1030" s="885"/>
      <c r="H1030" s="930"/>
      <c r="I1030" s="885"/>
      <c r="J1030" s="885"/>
      <c r="K1030" s="885"/>
      <c r="L1030" s="885"/>
      <c r="M1030" s="885"/>
      <c r="N1030" s="887"/>
      <c r="O1030" s="885"/>
      <c r="P1030" s="885"/>
      <c r="Q1030" s="885"/>
      <c r="R1030" s="885"/>
      <c r="S1030" s="885"/>
      <c r="T1030" s="885"/>
      <c r="U1030" s="885"/>
      <c r="V1030" s="885"/>
      <c r="W1030" s="885"/>
      <c r="X1030" s="885"/>
      <c r="Y1030" s="885"/>
      <c r="Z1030" s="885"/>
    </row>
    <row r="1031" ht="15.75" customHeight="1">
      <c r="A1031" s="884" t="s">
        <v>2567</v>
      </c>
      <c r="B1031" s="895" t="s">
        <v>2541</v>
      </c>
      <c r="C1031" s="884"/>
      <c r="D1031" s="884"/>
      <c r="E1031" s="885"/>
      <c r="F1031" s="885"/>
      <c r="G1031" s="885"/>
      <c r="H1031" s="930"/>
      <c r="I1031" s="885"/>
      <c r="J1031" s="885"/>
      <c r="K1031" s="885"/>
      <c r="L1031" s="885"/>
      <c r="M1031" s="885"/>
      <c r="N1031" s="887"/>
      <c r="O1031" s="885"/>
      <c r="P1031" s="885"/>
      <c r="Q1031" s="885"/>
      <c r="R1031" s="885"/>
      <c r="S1031" s="885"/>
      <c r="T1031" s="885"/>
      <c r="U1031" s="885"/>
      <c r="V1031" s="885"/>
      <c r="W1031" s="885"/>
      <c r="X1031" s="885"/>
      <c r="Y1031" s="885"/>
      <c r="Z1031" s="885"/>
    </row>
    <row r="1032" ht="15.75" customHeight="1">
      <c r="A1032" s="884" t="s">
        <v>2568</v>
      </c>
      <c r="B1032" s="895" t="s">
        <v>2541</v>
      </c>
      <c r="C1032" s="884"/>
      <c r="D1032" s="884"/>
      <c r="E1032" s="885"/>
      <c r="F1032" s="885"/>
      <c r="G1032" s="885"/>
      <c r="H1032" s="930"/>
      <c r="I1032" s="885"/>
      <c r="J1032" s="885"/>
      <c r="K1032" s="885"/>
      <c r="L1032" s="885"/>
      <c r="M1032" s="885"/>
      <c r="N1032" s="887"/>
      <c r="O1032" s="885"/>
      <c r="P1032" s="885"/>
      <c r="Q1032" s="885"/>
      <c r="R1032" s="885"/>
      <c r="S1032" s="885"/>
      <c r="T1032" s="885"/>
      <c r="U1032" s="885"/>
      <c r="V1032" s="885"/>
      <c r="W1032" s="885"/>
      <c r="X1032" s="885"/>
      <c r="Y1032" s="885"/>
      <c r="Z1032" s="885"/>
    </row>
    <row r="1033" ht="15.75" customHeight="1">
      <c r="A1033" s="884" t="s">
        <v>2569</v>
      </c>
      <c r="B1033" s="895" t="s">
        <v>2541</v>
      </c>
      <c r="C1033" s="884"/>
      <c r="D1033" s="884"/>
      <c r="E1033" s="885"/>
      <c r="F1033" s="885"/>
      <c r="G1033" s="885"/>
      <c r="H1033" s="930"/>
      <c r="I1033" s="885"/>
      <c r="J1033" s="885"/>
      <c r="K1033" s="885"/>
      <c r="L1033" s="885"/>
      <c r="M1033" s="885"/>
      <c r="N1033" s="887"/>
      <c r="O1033" s="885"/>
      <c r="P1033" s="885"/>
      <c r="Q1033" s="885"/>
      <c r="R1033" s="885"/>
      <c r="S1033" s="885"/>
      <c r="T1033" s="885"/>
      <c r="U1033" s="885"/>
      <c r="V1033" s="885"/>
      <c r="W1033" s="885"/>
      <c r="X1033" s="885"/>
      <c r="Y1033" s="885"/>
      <c r="Z1033" s="885"/>
    </row>
    <row r="1034" ht="15.75" customHeight="1">
      <c r="A1034" s="884" t="s">
        <v>2570</v>
      </c>
      <c r="B1034" s="895" t="s">
        <v>2541</v>
      </c>
      <c r="C1034" s="884"/>
      <c r="D1034" s="884"/>
      <c r="E1034" s="885"/>
      <c r="F1034" s="885"/>
      <c r="G1034" s="885"/>
      <c r="H1034" s="930"/>
      <c r="I1034" s="885"/>
      <c r="J1034" s="885"/>
      <c r="K1034" s="885"/>
      <c r="L1034" s="885"/>
      <c r="M1034" s="885"/>
      <c r="N1034" s="887"/>
      <c r="O1034" s="885"/>
      <c r="P1034" s="885"/>
      <c r="Q1034" s="885"/>
      <c r="R1034" s="885"/>
      <c r="S1034" s="885"/>
      <c r="T1034" s="885"/>
      <c r="U1034" s="885"/>
      <c r="V1034" s="885"/>
      <c r="W1034" s="885"/>
      <c r="X1034" s="885"/>
      <c r="Y1034" s="885"/>
      <c r="Z1034" s="885"/>
    </row>
    <row r="1035" ht="15.75" customHeight="1">
      <c r="A1035" s="884" t="s">
        <v>2571</v>
      </c>
      <c r="B1035" s="895" t="s">
        <v>2537</v>
      </c>
      <c r="C1035" s="884"/>
      <c r="D1035" s="884"/>
      <c r="E1035" s="885"/>
      <c r="F1035" s="885"/>
      <c r="G1035" s="885"/>
      <c r="H1035" s="930"/>
      <c r="I1035" s="885"/>
      <c r="J1035" s="885"/>
      <c r="K1035" s="885"/>
      <c r="L1035" s="885"/>
      <c r="M1035" s="885"/>
      <c r="N1035" s="887"/>
      <c r="O1035" s="885"/>
      <c r="P1035" s="885"/>
      <c r="Q1035" s="885"/>
      <c r="R1035" s="885"/>
      <c r="S1035" s="885"/>
      <c r="T1035" s="885"/>
      <c r="U1035" s="885"/>
      <c r="V1035" s="885"/>
      <c r="W1035" s="885"/>
      <c r="X1035" s="885"/>
      <c r="Y1035" s="885"/>
      <c r="Z1035" s="885"/>
    </row>
    <row r="1036" ht="15.75" customHeight="1">
      <c r="A1036" s="884" t="s">
        <v>2572</v>
      </c>
      <c r="B1036" s="895" t="s">
        <v>2541</v>
      </c>
      <c r="C1036" s="884"/>
      <c r="D1036" s="884"/>
      <c r="E1036" s="885"/>
      <c r="F1036" s="885"/>
      <c r="G1036" s="885"/>
      <c r="H1036" s="930"/>
      <c r="I1036" s="885"/>
      <c r="J1036" s="885"/>
      <c r="K1036" s="885"/>
      <c r="L1036" s="885"/>
      <c r="M1036" s="885"/>
      <c r="N1036" s="887"/>
      <c r="O1036" s="885"/>
      <c r="P1036" s="885"/>
      <c r="Q1036" s="885"/>
      <c r="R1036" s="885"/>
      <c r="S1036" s="885"/>
      <c r="T1036" s="885"/>
      <c r="U1036" s="885"/>
      <c r="V1036" s="885"/>
      <c r="W1036" s="885"/>
      <c r="X1036" s="885"/>
      <c r="Y1036" s="885"/>
      <c r="Z1036" s="885"/>
    </row>
    <row r="1037" ht="15.75" customHeight="1">
      <c r="A1037" s="884" t="s">
        <v>663</v>
      </c>
      <c r="B1037" s="895" t="s">
        <v>2541</v>
      </c>
      <c r="C1037" s="884"/>
      <c r="D1037" s="884"/>
      <c r="E1037" s="885"/>
      <c r="F1037" s="885"/>
      <c r="G1037" s="885"/>
      <c r="H1037" s="930"/>
      <c r="I1037" s="885"/>
      <c r="J1037" s="885"/>
      <c r="K1037" s="885"/>
      <c r="L1037" s="885"/>
      <c r="M1037" s="885"/>
      <c r="N1037" s="887"/>
      <c r="O1037" s="885"/>
      <c r="P1037" s="885"/>
      <c r="Q1037" s="885"/>
      <c r="R1037" s="885"/>
      <c r="S1037" s="885"/>
      <c r="T1037" s="885"/>
      <c r="U1037" s="885"/>
      <c r="V1037" s="885"/>
      <c r="W1037" s="885"/>
      <c r="X1037" s="885"/>
      <c r="Y1037" s="885"/>
      <c r="Z1037" s="885"/>
    </row>
    <row r="1038" ht="15.75" customHeight="1">
      <c r="A1038" s="884" t="s">
        <v>2573</v>
      </c>
      <c r="B1038" s="895" t="s">
        <v>2541</v>
      </c>
      <c r="C1038" s="884"/>
      <c r="D1038" s="884"/>
      <c r="E1038" s="885"/>
      <c r="F1038" s="885"/>
      <c r="G1038" s="885"/>
      <c r="H1038" s="930"/>
      <c r="I1038" s="885"/>
      <c r="J1038" s="885"/>
      <c r="K1038" s="885"/>
      <c r="L1038" s="885"/>
      <c r="M1038" s="885"/>
      <c r="N1038" s="887"/>
      <c r="O1038" s="885"/>
      <c r="P1038" s="885"/>
      <c r="Q1038" s="885"/>
      <c r="R1038" s="885"/>
      <c r="S1038" s="885"/>
      <c r="T1038" s="885"/>
      <c r="U1038" s="885"/>
      <c r="V1038" s="885"/>
      <c r="W1038" s="885"/>
      <c r="X1038" s="885"/>
      <c r="Y1038" s="885"/>
      <c r="Z1038" s="885"/>
    </row>
    <row r="1039" ht="15.75" customHeight="1">
      <c r="A1039" s="3" t="s">
        <v>1910</v>
      </c>
      <c r="B1039" s="895" t="s">
        <v>2543</v>
      </c>
      <c r="C1039" s="884"/>
      <c r="D1039" s="884"/>
      <c r="E1039" s="885"/>
      <c r="F1039" s="885"/>
      <c r="G1039" s="885"/>
      <c r="H1039" s="930"/>
      <c r="I1039" s="885"/>
      <c r="J1039" s="885"/>
      <c r="K1039" s="885"/>
      <c r="L1039" s="885"/>
      <c r="M1039" s="885"/>
      <c r="N1039" s="887"/>
      <c r="O1039" s="885"/>
      <c r="P1039" s="885"/>
      <c r="Q1039" s="885"/>
      <c r="R1039" s="885"/>
      <c r="S1039" s="885"/>
      <c r="T1039" s="885"/>
      <c r="U1039" s="885"/>
      <c r="V1039" s="885"/>
      <c r="W1039" s="885"/>
      <c r="X1039" s="885"/>
      <c r="Y1039" s="885"/>
      <c r="Z1039" s="885"/>
    </row>
    <row r="1040" ht="15.75" customHeight="1">
      <c r="A1040" s="3" t="s">
        <v>2574</v>
      </c>
      <c r="B1040" s="895" t="s">
        <v>2541</v>
      </c>
      <c r="C1040" s="884"/>
      <c r="D1040" s="884"/>
      <c r="E1040" s="885"/>
      <c r="F1040" s="885"/>
      <c r="G1040" s="885"/>
      <c r="H1040" s="930"/>
      <c r="I1040" s="885"/>
      <c r="J1040" s="885"/>
      <c r="K1040" s="885"/>
      <c r="L1040" s="885"/>
      <c r="M1040" s="885"/>
      <c r="N1040" s="887"/>
      <c r="O1040" s="885"/>
      <c r="P1040" s="885"/>
      <c r="Q1040" s="885"/>
      <c r="R1040" s="885"/>
      <c r="S1040" s="885"/>
      <c r="T1040" s="885"/>
      <c r="U1040" s="885"/>
      <c r="V1040" s="885"/>
      <c r="W1040" s="885"/>
      <c r="X1040" s="885"/>
      <c r="Y1040" s="885"/>
      <c r="Z1040" s="885"/>
    </row>
    <row r="1041" ht="15.75" customHeight="1">
      <c r="A1041" s="3" t="s">
        <v>2575</v>
      </c>
      <c r="B1041" s="895" t="s">
        <v>2541</v>
      </c>
      <c r="C1041" s="884"/>
      <c r="D1041" s="884"/>
      <c r="E1041" s="885"/>
      <c r="F1041" s="885"/>
      <c r="G1041" s="885"/>
      <c r="H1041" s="930"/>
      <c r="I1041" s="885"/>
      <c r="J1041" s="885"/>
      <c r="K1041" s="885"/>
      <c r="L1041" s="885"/>
      <c r="M1041" s="885"/>
      <c r="N1041" s="887"/>
      <c r="O1041" s="885"/>
      <c r="P1041" s="885"/>
      <c r="Q1041" s="885"/>
      <c r="R1041" s="885"/>
      <c r="S1041" s="885"/>
      <c r="T1041" s="885"/>
      <c r="U1041" s="885"/>
      <c r="V1041" s="885"/>
      <c r="W1041" s="885"/>
      <c r="X1041" s="885"/>
      <c r="Y1041" s="885"/>
      <c r="Z1041" s="885"/>
    </row>
    <row r="1042" ht="15.75" customHeight="1">
      <c r="A1042" s="3" t="s">
        <v>2576</v>
      </c>
      <c r="B1042" s="895" t="s">
        <v>2541</v>
      </c>
      <c r="C1042" s="884"/>
      <c r="D1042" s="884"/>
      <c r="E1042" s="885"/>
      <c r="F1042" s="885"/>
      <c r="G1042" s="885"/>
      <c r="H1042" s="930"/>
      <c r="I1042" s="885"/>
      <c r="J1042" s="885"/>
      <c r="K1042" s="885"/>
      <c r="L1042" s="885"/>
      <c r="M1042" s="885"/>
      <c r="N1042" s="887"/>
      <c r="O1042" s="885"/>
      <c r="P1042" s="885"/>
      <c r="Q1042" s="885"/>
      <c r="R1042" s="885"/>
      <c r="S1042" s="885"/>
      <c r="T1042" s="885"/>
      <c r="U1042" s="885"/>
      <c r="V1042" s="885"/>
      <c r="W1042" s="885"/>
      <c r="X1042" s="885"/>
      <c r="Y1042" s="885"/>
      <c r="Z1042" s="885"/>
    </row>
    <row r="1043" ht="15.75" customHeight="1">
      <c r="A1043" s="3" t="s">
        <v>2577</v>
      </c>
      <c r="B1043" s="895" t="s">
        <v>2541</v>
      </c>
      <c r="C1043" s="884"/>
      <c r="D1043" s="884"/>
      <c r="E1043" s="885"/>
      <c r="F1043" s="885"/>
      <c r="G1043" s="885"/>
      <c r="H1043" s="930"/>
      <c r="I1043" s="885"/>
      <c r="J1043" s="885"/>
      <c r="K1043" s="885"/>
      <c r="L1043" s="885"/>
      <c r="M1043" s="885"/>
      <c r="N1043" s="887"/>
      <c r="O1043" s="885"/>
      <c r="P1043" s="885"/>
      <c r="Q1043" s="885"/>
      <c r="R1043" s="885"/>
      <c r="S1043" s="885"/>
      <c r="T1043" s="885"/>
      <c r="U1043" s="885"/>
      <c r="V1043" s="885"/>
      <c r="W1043" s="885"/>
      <c r="X1043" s="885"/>
      <c r="Y1043" s="885"/>
      <c r="Z1043" s="885"/>
    </row>
    <row r="1044" ht="15.75" customHeight="1">
      <c r="A1044" s="3" t="s">
        <v>380</v>
      </c>
      <c r="B1044" s="895" t="s">
        <v>2541</v>
      </c>
      <c r="C1044" s="884"/>
      <c r="D1044" s="884"/>
      <c r="E1044" s="885"/>
      <c r="F1044" s="885"/>
      <c r="G1044" s="885"/>
      <c r="H1044" s="930"/>
      <c r="I1044" s="885"/>
      <c r="J1044" s="885"/>
      <c r="K1044" s="885"/>
      <c r="L1044" s="885"/>
      <c r="M1044" s="885"/>
      <c r="N1044" s="887"/>
      <c r="O1044" s="885"/>
      <c r="P1044" s="885"/>
      <c r="Q1044" s="885"/>
      <c r="R1044" s="885"/>
      <c r="S1044" s="885"/>
      <c r="T1044" s="885"/>
      <c r="U1044" s="885"/>
      <c r="V1044" s="885"/>
      <c r="W1044" s="885"/>
      <c r="X1044" s="885"/>
      <c r="Y1044" s="885"/>
      <c r="Z1044" s="885"/>
    </row>
    <row r="1045" ht="15.75" customHeight="1">
      <c r="A1045" s="3" t="s">
        <v>2578</v>
      </c>
      <c r="B1045" s="883" t="s">
        <v>2579</v>
      </c>
      <c r="C1045" s="884"/>
      <c r="D1045" s="884"/>
      <c r="E1045" s="885"/>
      <c r="F1045" s="885"/>
      <c r="G1045" s="885"/>
      <c r="H1045" s="930"/>
      <c r="I1045" s="885"/>
      <c r="J1045" s="885"/>
      <c r="K1045" s="885"/>
      <c r="L1045" s="885"/>
      <c r="M1045" s="885"/>
      <c r="N1045" s="887"/>
      <c r="O1045" s="885"/>
      <c r="P1045" s="885"/>
      <c r="Q1045" s="885"/>
      <c r="R1045" s="885"/>
      <c r="S1045" s="885"/>
      <c r="T1045" s="885"/>
      <c r="U1045" s="885"/>
      <c r="V1045" s="885"/>
      <c r="W1045" s="885"/>
      <c r="X1045" s="885"/>
      <c r="Y1045" s="885"/>
      <c r="Z1045" s="885"/>
    </row>
    <row r="1046" ht="15.75" customHeight="1">
      <c r="A1046" s="884" t="s">
        <v>2171</v>
      </c>
      <c r="B1046" s="883" t="s">
        <v>2579</v>
      </c>
      <c r="C1046" s="884"/>
      <c r="D1046" s="884"/>
      <c r="E1046" s="885"/>
      <c r="F1046" s="885"/>
      <c r="G1046" s="885"/>
      <c r="H1046" s="930"/>
      <c r="I1046" s="885"/>
      <c r="J1046" s="885"/>
      <c r="K1046" s="885"/>
      <c r="L1046" s="885"/>
      <c r="M1046" s="885"/>
      <c r="N1046" s="887"/>
      <c r="O1046" s="885"/>
      <c r="P1046" s="885"/>
      <c r="Q1046" s="885"/>
      <c r="R1046" s="885"/>
      <c r="S1046" s="885"/>
      <c r="T1046" s="885"/>
      <c r="U1046" s="885"/>
      <c r="V1046" s="885"/>
      <c r="W1046" s="885"/>
      <c r="X1046" s="885"/>
      <c r="Y1046" s="885"/>
      <c r="Z1046" s="885"/>
    </row>
    <row r="1047" ht="15.75" customHeight="1">
      <c r="A1047" s="3" t="s">
        <v>2168</v>
      </c>
      <c r="B1047" s="883" t="s">
        <v>2579</v>
      </c>
      <c r="C1047" s="884"/>
      <c r="D1047" s="884"/>
      <c r="E1047" s="885"/>
      <c r="F1047" s="885"/>
      <c r="G1047" s="885"/>
      <c r="H1047" s="930"/>
      <c r="I1047" s="885"/>
      <c r="J1047" s="885"/>
      <c r="K1047" s="885"/>
      <c r="L1047" s="885"/>
      <c r="M1047" s="885"/>
      <c r="N1047" s="887"/>
      <c r="O1047" s="885"/>
      <c r="P1047" s="885"/>
      <c r="Q1047" s="885"/>
      <c r="R1047" s="885"/>
      <c r="S1047" s="885"/>
      <c r="T1047" s="885"/>
      <c r="U1047" s="885"/>
      <c r="V1047" s="885"/>
      <c r="W1047" s="885"/>
      <c r="X1047" s="885"/>
      <c r="Y1047" s="885"/>
      <c r="Z1047" s="885"/>
    </row>
    <row r="1048" ht="15.75" customHeight="1">
      <c r="A1048" s="3" t="s">
        <v>251</v>
      </c>
      <c r="B1048" s="883" t="s">
        <v>2579</v>
      </c>
      <c r="C1048" s="884"/>
      <c r="D1048" s="884"/>
      <c r="E1048" s="885"/>
      <c r="F1048" s="885"/>
      <c r="G1048" s="885"/>
      <c r="H1048" s="930"/>
      <c r="I1048" s="885"/>
      <c r="J1048" s="885"/>
      <c r="K1048" s="885"/>
      <c r="L1048" s="885"/>
      <c r="M1048" s="885"/>
      <c r="N1048" s="887"/>
      <c r="O1048" s="885"/>
      <c r="P1048" s="885"/>
      <c r="Q1048" s="885"/>
      <c r="R1048" s="885"/>
      <c r="S1048" s="885"/>
      <c r="T1048" s="885"/>
      <c r="U1048" s="885"/>
      <c r="V1048" s="885"/>
      <c r="W1048" s="885"/>
      <c r="X1048" s="885"/>
      <c r="Y1048" s="885"/>
      <c r="Z1048" s="885"/>
    </row>
    <row r="1049" ht="15.75" customHeight="1">
      <c r="A1049" s="3" t="s">
        <v>147</v>
      </c>
      <c r="B1049" s="883" t="s">
        <v>2579</v>
      </c>
      <c r="C1049" s="884"/>
      <c r="D1049" s="884"/>
      <c r="E1049" s="885"/>
      <c r="F1049" s="885"/>
      <c r="G1049" s="885"/>
      <c r="H1049" s="930"/>
      <c r="I1049" s="885"/>
      <c r="J1049" s="885"/>
      <c r="K1049" s="885"/>
      <c r="L1049" s="885"/>
      <c r="M1049" s="885"/>
      <c r="N1049" s="887"/>
      <c r="O1049" s="885"/>
      <c r="P1049" s="885"/>
      <c r="Q1049" s="885"/>
      <c r="R1049" s="885"/>
      <c r="S1049" s="885"/>
      <c r="T1049" s="885"/>
      <c r="U1049" s="885"/>
      <c r="V1049" s="885"/>
      <c r="W1049" s="885"/>
      <c r="X1049" s="885"/>
      <c r="Y1049" s="885"/>
      <c r="Z1049" s="885"/>
    </row>
    <row r="1050" ht="15.75" customHeight="1">
      <c r="A1050" s="3" t="s">
        <v>145</v>
      </c>
      <c r="B1050" s="883" t="s">
        <v>2580</v>
      </c>
      <c r="C1050" s="884"/>
      <c r="D1050" s="884"/>
      <c r="E1050" s="885"/>
      <c r="F1050" s="885"/>
      <c r="G1050" s="885"/>
      <c r="H1050" s="930"/>
      <c r="I1050" s="885"/>
      <c r="J1050" s="885"/>
      <c r="K1050" s="885"/>
      <c r="L1050" s="885"/>
      <c r="M1050" s="885"/>
      <c r="N1050" s="887"/>
      <c r="O1050" s="885"/>
      <c r="P1050" s="885"/>
      <c r="Q1050" s="885"/>
      <c r="R1050" s="885"/>
      <c r="S1050" s="885"/>
      <c r="T1050" s="885"/>
      <c r="U1050" s="885"/>
      <c r="V1050" s="885"/>
      <c r="W1050" s="885"/>
      <c r="X1050" s="885"/>
      <c r="Y1050" s="885"/>
      <c r="Z1050" s="885"/>
    </row>
    <row r="1051" ht="15.75" customHeight="1">
      <c r="A1051" s="884" t="s">
        <v>2581</v>
      </c>
      <c r="B1051" s="883" t="s">
        <v>2580</v>
      </c>
      <c r="C1051" s="884"/>
      <c r="D1051" s="884"/>
      <c r="E1051" s="885"/>
      <c r="F1051" s="885"/>
      <c r="G1051" s="885"/>
      <c r="H1051" s="930"/>
      <c r="I1051" s="885"/>
      <c r="J1051" s="885"/>
      <c r="K1051" s="885"/>
      <c r="L1051" s="885"/>
      <c r="M1051" s="885"/>
      <c r="N1051" s="887"/>
      <c r="O1051" s="885"/>
      <c r="P1051" s="885"/>
      <c r="Q1051" s="885"/>
      <c r="R1051" s="885"/>
      <c r="S1051" s="885"/>
      <c r="T1051" s="885"/>
      <c r="U1051" s="885"/>
      <c r="V1051" s="885"/>
      <c r="W1051" s="885"/>
      <c r="X1051" s="885"/>
      <c r="Y1051" s="885"/>
      <c r="Z1051" s="885"/>
    </row>
    <row r="1052" ht="15.75" customHeight="1">
      <c r="A1052" s="3" t="s">
        <v>257</v>
      </c>
      <c r="B1052" s="883" t="s">
        <v>2579</v>
      </c>
      <c r="C1052" s="884"/>
      <c r="D1052" s="884"/>
      <c r="E1052" s="885"/>
      <c r="F1052" s="885"/>
      <c r="G1052" s="885"/>
      <c r="H1052" s="930"/>
      <c r="I1052" s="885"/>
      <c r="J1052" s="885"/>
      <c r="K1052" s="885"/>
      <c r="L1052" s="885"/>
      <c r="M1052" s="885"/>
      <c r="N1052" s="887"/>
      <c r="O1052" s="885"/>
      <c r="P1052" s="885"/>
      <c r="Q1052" s="885"/>
      <c r="R1052" s="885"/>
      <c r="S1052" s="885"/>
      <c r="T1052" s="885"/>
      <c r="U1052" s="885"/>
      <c r="V1052" s="885"/>
      <c r="W1052" s="885"/>
      <c r="X1052" s="885"/>
      <c r="Y1052" s="885"/>
      <c r="Z1052" s="885"/>
    </row>
    <row r="1053" ht="15.75" customHeight="1">
      <c r="A1053" s="3" t="s">
        <v>169</v>
      </c>
      <c r="B1053" s="883" t="s">
        <v>2579</v>
      </c>
      <c r="C1053" s="884"/>
      <c r="D1053" s="884"/>
      <c r="E1053" s="885"/>
      <c r="F1053" s="885"/>
      <c r="G1053" s="885"/>
      <c r="H1053" s="930"/>
      <c r="I1053" s="885"/>
      <c r="J1053" s="885"/>
      <c r="K1053" s="885"/>
      <c r="L1053" s="885"/>
      <c r="M1053" s="885"/>
      <c r="N1053" s="887"/>
      <c r="O1053" s="885"/>
      <c r="P1053" s="885"/>
      <c r="Q1053" s="885"/>
      <c r="R1053" s="885"/>
      <c r="S1053" s="885"/>
      <c r="T1053" s="885"/>
      <c r="U1053" s="885"/>
      <c r="V1053" s="885"/>
      <c r="W1053" s="885"/>
      <c r="X1053" s="885"/>
      <c r="Y1053" s="885"/>
      <c r="Z1053" s="885"/>
    </row>
    <row r="1054" ht="15.75" customHeight="1">
      <c r="A1054" s="3" t="s">
        <v>2582</v>
      </c>
      <c r="B1054" s="883" t="s">
        <v>2579</v>
      </c>
      <c r="C1054" s="884"/>
      <c r="D1054" s="884"/>
      <c r="E1054" s="885"/>
      <c r="F1054" s="885"/>
      <c r="G1054" s="885"/>
      <c r="H1054" s="930"/>
      <c r="I1054" s="885"/>
      <c r="J1054" s="885"/>
      <c r="K1054" s="885"/>
      <c r="L1054" s="885"/>
      <c r="M1054" s="885"/>
      <c r="N1054" s="887"/>
      <c r="O1054" s="885"/>
      <c r="P1054" s="885"/>
      <c r="Q1054" s="885"/>
      <c r="R1054" s="885"/>
      <c r="S1054" s="885"/>
      <c r="T1054" s="885"/>
      <c r="U1054" s="885"/>
      <c r="V1054" s="885"/>
      <c r="W1054" s="885"/>
      <c r="X1054" s="885"/>
      <c r="Y1054" s="885"/>
      <c r="Z1054" s="885"/>
    </row>
    <row r="1055" ht="15.75" customHeight="1">
      <c r="A1055" s="3" t="s">
        <v>2583</v>
      </c>
      <c r="B1055" s="883" t="s">
        <v>2579</v>
      </c>
      <c r="C1055" s="884"/>
      <c r="D1055" s="884"/>
      <c r="E1055" s="885"/>
      <c r="F1055" s="885"/>
      <c r="G1055" s="885"/>
      <c r="H1055" s="930"/>
      <c r="I1055" s="885"/>
      <c r="J1055" s="885"/>
      <c r="K1055" s="885"/>
      <c r="L1055" s="885"/>
      <c r="M1055" s="885"/>
      <c r="N1055" s="887"/>
      <c r="O1055" s="885"/>
      <c r="P1055" s="885"/>
      <c r="Q1055" s="885"/>
      <c r="R1055" s="885"/>
      <c r="S1055" s="885"/>
      <c r="T1055" s="885"/>
      <c r="U1055" s="885"/>
      <c r="V1055" s="885"/>
      <c r="W1055" s="885"/>
      <c r="X1055" s="885"/>
      <c r="Y1055" s="885"/>
      <c r="Z1055" s="885"/>
    </row>
    <row r="1056" ht="15.75" customHeight="1">
      <c r="A1056" s="884" t="s">
        <v>2584</v>
      </c>
      <c r="B1056" s="883" t="s">
        <v>2579</v>
      </c>
      <c r="C1056" s="884"/>
      <c r="D1056" s="884"/>
      <c r="E1056" s="885"/>
      <c r="F1056" s="885"/>
      <c r="G1056" s="885"/>
      <c r="H1056" s="930"/>
      <c r="I1056" s="885"/>
      <c r="J1056" s="885"/>
      <c r="K1056" s="885"/>
      <c r="L1056" s="885"/>
      <c r="M1056" s="885"/>
      <c r="N1056" s="887"/>
      <c r="O1056" s="885"/>
      <c r="P1056" s="885"/>
      <c r="Q1056" s="885"/>
      <c r="R1056" s="885"/>
      <c r="S1056" s="885"/>
      <c r="T1056" s="885"/>
      <c r="U1056" s="885"/>
      <c r="V1056" s="885"/>
      <c r="W1056" s="885"/>
      <c r="X1056" s="885"/>
      <c r="Y1056" s="885"/>
      <c r="Z1056" s="885"/>
    </row>
    <row r="1057" ht="15.75" customHeight="1">
      <c r="A1057" s="3" t="s">
        <v>2585</v>
      </c>
      <c r="B1057" s="883" t="s">
        <v>2579</v>
      </c>
      <c r="C1057" s="884"/>
      <c r="D1057" s="884"/>
      <c r="E1057" s="885"/>
      <c r="F1057" s="885"/>
      <c r="G1057" s="885"/>
      <c r="H1057" s="930"/>
      <c r="I1057" s="885"/>
      <c r="J1057" s="885"/>
      <c r="K1057" s="885"/>
      <c r="L1057" s="885"/>
      <c r="M1057" s="885"/>
      <c r="N1057" s="887"/>
      <c r="O1057" s="885"/>
      <c r="P1057" s="885"/>
      <c r="Q1057" s="885"/>
      <c r="R1057" s="885"/>
      <c r="S1057" s="885"/>
      <c r="T1057" s="885"/>
      <c r="U1057" s="885"/>
      <c r="V1057" s="885"/>
      <c r="W1057" s="885"/>
      <c r="X1057" s="885"/>
      <c r="Y1057" s="885"/>
      <c r="Z1057" s="885"/>
    </row>
    <row r="1058" ht="15.75" customHeight="1">
      <c r="A1058" s="3" t="s">
        <v>2586</v>
      </c>
      <c r="B1058" s="883" t="s">
        <v>2579</v>
      </c>
      <c r="C1058" s="884"/>
      <c r="D1058" s="884"/>
      <c r="E1058" s="885"/>
      <c r="F1058" s="885"/>
      <c r="G1058" s="885"/>
      <c r="H1058" s="930"/>
      <c r="I1058" s="885"/>
      <c r="J1058" s="885"/>
      <c r="K1058" s="885"/>
      <c r="L1058" s="885"/>
      <c r="M1058" s="885"/>
      <c r="N1058" s="887"/>
      <c r="O1058" s="885"/>
      <c r="P1058" s="885"/>
      <c r="Q1058" s="885"/>
      <c r="R1058" s="885"/>
      <c r="S1058" s="885"/>
      <c r="T1058" s="885"/>
      <c r="U1058" s="885"/>
      <c r="V1058" s="885"/>
      <c r="W1058" s="885"/>
      <c r="X1058" s="885"/>
      <c r="Y1058" s="885"/>
      <c r="Z1058" s="885"/>
    </row>
    <row r="1059" ht="15.75" customHeight="1">
      <c r="A1059" s="3" t="s">
        <v>2587</v>
      </c>
      <c r="B1059" s="883" t="s">
        <v>2579</v>
      </c>
      <c r="C1059" s="884"/>
      <c r="D1059" s="884"/>
      <c r="E1059" s="885"/>
      <c r="F1059" s="885"/>
      <c r="G1059" s="885"/>
      <c r="H1059" s="930"/>
      <c r="I1059" s="885"/>
      <c r="J1059" s="885"/>
      <c r="K1059" s="885"/>
      <c r="L1059" s="885"/>
      <c r="M1059" s="885"/>
      <c r="N1059" s="887"/>
      <c r="O1059" s="885"/>
      <c r="P1059" s="885"/>
      <c r="Q1059" s="885"/>
      <c r="R1059" s="885"/>
      <c r="S1059" s="885"/>
      <c r="T1059" s="885"/>
      <c r="U1059" s="885"/>
      <c r="V1059" s="885"/>
      <c r="W1059" s="885"/>
      <c r="X1059" s="885"/>
      <c r="Y1059" s="885"/>
      <c r="Z1059" s="885"/>
    </row>
    <row r="1060" ht="15.75" customHeight="1">
      <c r="A1060" s="20" t="s">
        <v>2588</v>
      </c>
      <c r="B1060" s="883" t="s">
        <v>2579</v>
      </c>
      <c r="C1060" s="884"/>
      <c r="D1060" s="884"/>
      <c r="E1060" s="885"/>
      <c r="F1060" s="885"/>
      <c r="G1060" s="885"/>
      <c r="H1060" s="930"/>
      <c r="I1060" s="885"/>
      <c r="J1060" s="885"/>
      <c r="K1060" s="885"/>
      <c r="L1060" s="885"/>
      <c r="M1060" s="885"/>
      <c r="N1060" s="887"/>
      <c r="O1060" s="885"/>
      <c r="P1060" s="885"/>
      <c r="Q1060" s="885"/>
      <c r="R1060" s="885"/>
      <c r="S1060" s="885"/>
      <c r="T1060" s="885"/>
      <c r="U1060" s="885"/>
      <c r="V1060" s="885"/>
      <c r="W1060" s="885"/>
      <c r="X1060" s="885"/>
      <c r="Y1060" s="885"/>
      <c r="Z1060" s="885"/>
    </row>
    <row r="1061" ht="15.75" customHeight="1">
      <c r="A1061" s="3" t="s">
        <v>2589</v>
      </c>
      <c r="B1061" s="883" t="s">
        <v>2579</v>
      </c>
      <c r="C1061" s="884"/>
      <c r="D1061" s="884"/>
      <c r="E1061" s="885"/>
      <c r="F1061" s="885"/>
      <c r="G1061" s="885"/>
      <c r="H1061" s="930"/>
      <c r="I1061" s="885"/>
      <c r="J1061" s="885"/>
      <c r="K1061" s="885"/>
      <c r="L1061" s="885"/>
      <c r="M1061" s="885"/>
      <c r="N1061" s="887"/>
      <c r="O1061" s="885"/>
      <c r="P1061" s="885"/>
      <c r="Q1061" s="885"/>
      <c r="R1061" s="885"/>
      <c r="S1061" s="885"/>
      <c r="T1061" s="885"/>
      <c r="U1061" s="885"/>
      <c r="V1061" s="885"/>
      <c r="W1061" s="885"/>
      <c r="X1061" s="885"/>
      <c r="Y1061" s="885"/>
      <c r="Z1061" s="885"/>
    </row>
    <row r="1062" ht="15.75" customHeight="1">
      <c r="A1062" s="3" t="s">
        <v>2590</v>
      </c>
      <c r="B1062" s="883" t="s">
        <v>2579</v>
      </c>
      <c r="C1062" s="884"/>
      <c r="D1062" s="884"/>
      <c r="E1062" s="885"/>
      <c r="F1062" s="885"/>
      <c r="G1062" s="885"/>
      <c r="H1062" s="930"/>
      <c r="I1062" s="885"/>
      <c r="J1062" s="885"/>
      <c r="K1062" s="885"/>
      <c r="L1062" s="885"/>
      <c r="M1062" s="885"/>
      <c r="N1062" s="887"/>
      <c r="O1062" s="885"/>
      <c r="P1062" s="885"/>
      <c r="Q1062" s="885"/>
      <c r="R1062" s="885"/>
      <c r="S1062" s="885"/>
      <c r="T1062" s="885"/>
      <c r="U1062" s="885"/>
      <c r="V1062" s="885"/>
      <c r="W1062" s="885"/>
      <c r="X1062" s="885"/>
      <c r="Y1062" s="885"/>
      <c r="Z1062" s="885"/>
    </row>
    <row r="1063" ht="15.75" customHeight="1">
      <c r="A1063" s="3" t="s">
        <v>2591</v>
      </c>
      <c r="B1063" s="883" t="s">
        <v>2592</v>
      </c>
      <c r="C1063" s="884"/>
      <c r="D1063" s="884"/>
      <c r="E1063" s="885"/>
      <c r="F1063" s="885"/>
      <c r="G1063" s="885"/>
      <c r="H1063" s="930"/>
      <c r="I1063" s="885"/>
      <c r="J1063" s="885"/>
      <c r="K1063" s="885"/>
      <c r="L1063" s="885"/>
      <c r="M1063" s="885"/>
      <c r="N1063" s="887"/>
      <c r="O1063" s="885"/>
      <c r="P1063" s="885"/>
      <c r="Q1063" s="885"/>
      <c r="R1063" s="885"/>
      <c r="S1063" s="885"/>
      <c r="T1063" s="885"/>
      <c r="U1063" s="885"/>
      <c r="V1063" s="885"/>
      <c r="W1063" s="885"/>
      <c r="X1063" s="885"/>
      <c r="Y1063" s="885"/>
      <c r="Z1063" s="885"/>
    </row>
    <row r="1064" ht="15.75" customHeight="1">
      <c r="A1064" s="3" t="s">
        <v>2593</v>
      </c>
      <c r="B1064" s="883" t="s">
        <v>2592</v>
      </c>
      <c r="C1064" s="884"/>
      <c r="D1064" s="884"/>
      <c r="E1064" s="885"/>
      <c r="F1064" s="885"/>
      <c r="G1064" s="885"/>
      <c r="H1064" s="930"/>
      <c r="I1064" s="885"/>
      <c r="J1064" s="885"/>
      <c r="K1064" s="885"/>
      <c r="L1064" s="885"/>
      <c r="M1064" s="885"/>
      <c r="N1064" s="887"/>
      <c r="O1064" s="885"/>
      <c r="P1064" s="885"/>
      <c r="Q1064" s="885"/>
      <c r="R1064" s="885"/>
      <c r="S1064" s="885"/>
      <c r="T1064" s="885"/>
      <c r="U1064" s="885"/>
      <c r="V1064" s="885"/>
      <c r="W1064" s="885"/>
      <c r="X1064" s="885"/>
      <c r="Y1064" s="885"/>
      <c r="Z1064" s="885"/>
    </row>
    <row r="1065" ht="15.75" customHeight="1">
      <c r="A1065" s="3" t="s">
        <v>2594</v>
      </c>
      <c r="B1065" s="883" t="s">
        <v>2543</v>
      </c>
      <c r="C1065" s="884"/>
      <c r="D1065" s="884"/>
      <c r="E1065" s="885"/>
      <c r="F1065" s="885"/>
      <c r="G1065" s="885"/>
      <c r="H1065" s="930"/>
      <c r="I1065" s="885"/>
      <c r="J1065" s="885"/>
      <c r="K1065" s="885"/>
      <c r="L1065" s="885"/>
      <c r="M1065" s="885"/>
      <c r="N1065" s="887"/>
      <c r="O1065" s="885"/>
      <c r="P1065" s="885"/>
      <c r="Q1065" s="885"/>
      <c r="R1065" s="885"/>
      <c r="S1065" s="885"/>
      <c r="T1065" s="885"/>
      <c r="U1065" s="885"/>
      <c r="V1065" s="885"/>
      <c r="W1065" s="885"/>
      <c r="X1065" s="885"/>
      <c r="Y1065" s="885"/>
      <c r="Z1065" s="885"/>
    </row>
    <row r="1066" ht="15.75" customHeight="1">
      <c r="A1066" s="884" t="s">
        <v>2159</v>
      </c>
      <c r="B1066" s="883" t="s">
        <v>2592</v>
      </c>
      <c r="C1066" s="884"/>
      <c r="D1066" s="884"/>
      <c r="E1066" s="885"/>
      <c r="F1066" s="885"/>
      <c r="G1066" s="885"/>
      <c r="H1066" s="930"/>
      <c r="I1066" s="885"/>
      <c r="J1066" s="885"/>
      <c r="K1066" s="885"/>
      <c r="L1066" s="885"/>
      <c r="M1066" s="885"/>
      <c r="N1066" s="887"/>
      <c r="O1066" s="885"/>
      <c r="P1066" s="885"/>
      <c r="Q1066" s="885"/>
      <c r="R1066" s="885"/>
      <c r="S1066" s="885"/>
      <c r="T1066" s="885"/>
      <c r="U1066" s="885"/>
      <c r="V1066" s="885"/>
      <c r="W1066" s="885"/>
      <c r="X1066" s="885"/>
      <c r="Y1066" s="885"/>
      <c r="Z1066" s="885"/>
    </row>
    <row r="1067" ht="15.75" customHeight="1">
      <c r="A1067" s="884" t="s">
        <v>227</v>
      </c>
      <c r="B1067" s="883" t="s">
        <v>2592</v>
      </c>
      <c r="C1067" s="884"/>
      <c r="D1067" s="884"/>
      <c r="E1067" s="885"/>
      <c r="F1067" s="885"/>
      <c r="G1067" s="885"/>
      <c r="H1067" s="930"/>
      <c r="I1067" s="885"/>
      <c r="J1067" s="885"/>
      <c r="K1067" s="885"/>
      <c r="L1067" s="885"/>
      <c r="M1067" s="885"/>
      <c r="N1067" s="887"/>
      <c r="O1067" s="885"/>
      <c r="P1067" s="885"/>
      <c r="Q1067" s="885"/>
      <c r="R1067" s="885"/>
      <c r="S1067" s="885"/>
      <c r="T1067" s="885"/>
      <c r="U1067" s="885"/>
      <c r="V1067" s="885"/>
      <c r="W1067" s="885"/>
      <c r="X1067" s="885"/>
      <c r="Y1067" s="885"/>
      <c r="Z1067" s="885"/>
    </row>
    <row r="1068" ht="15.75" customHeight="1">
      <c r="A1068" s="3" t="s">
        <v>2595</v>
      </c>
      <c r="B1068" s="883" t="s">
        <v>2592</v>
      </c>
      <c r="C1068" s="884"/>
      <c r="D1068" s="884"/>
      <c r="E1068" s="885"/>
      <c r="F1068" s="885"/>
      <c r="G1068" s="885"/>
      <c r="H1068" s="930"/>
      <c r="I1068" s="885"/>
      <c r="J1068" s="885"/>
      <c r="K1068" s="885"/>
      <c r="L1068" s="885"/>
      <c r="M1068" s="885"/>
      <c r="N1068" s="887"/>
      <c r="O1068" s="885"/>
      <c r="P1068" s="885"/>
      <c r="Q1068" s="885"/>
      <c r="R1068" s="885"/>
      <c r="S1068" s="885"/>
      <c r="T1068" s="885"/>
      <c r="U1068" s="885"/>
      <c r="V1068" s="885"/>
      <c r="W1068" s="885"/>
      <c r="X1068" s="885"/>
      <c r="Y1068" s="885"/>
      <c r="Z1068" s="885"/>
    </row>
    <row r="1069" ht="15.75" customHeight="1">
      <c r="A1069" s="3" t="s">
        <v>2596</v>
      </c>
      <c r="B1069" s="883" t="s">
        <v>2592</v>
      </c>
      <c r="C1069" s="884"/>
      <c r="D1069" s="884"/>
      <c r="E1069" s="885"/>
      <c r="F1069" s="885"/>
      <c r="G1069" s="885"/>
      <c r="H1069" s="930"/>
      <c r="I1069" s="885"/>
      <c r="J1069" s="885"/>
      <c r="K1069" s="885"/>
      <c r="L1069" s="885"/>
      <c r="M1069" s="885"/>
      <c r="N1069" s="887"/>
      <c r="O1069" s="885"/>
      <c r="P1069" s="885"/>
      <c r="Q1069" s="885"/>
      <c r="R1069" s="885"/>
      <c r="S1069" s="885"/>
      <c r="T1069" s="885"/>
      <c r="U1069" s="885"/>
      <c r="V1069" s="885"/>
      <c r="W1069" s="885"/>
      <c r="X1069" s="885"/>
      <c r="Y1069" s="885"/>
      <c r="Z1069" s="885"/>
    </row>
    <row r="1070" ht="15.75" customHeight="1">
      <c r="A1070" s="3" t="s">
        <v>2597</v>
      </c>
      <c r="B1070" s="883" t="s">
        <v>2592</v>
      </c>
      <c r="C1070" s="884"/>
      <c r="D1070" s="884"/>
      <c r="E1070" s="885"/>
      <c r="F1070" s="885"/>
      <c r="G1070" s="885"/>
      <c r="H1070" s="930"/>
      <c r="I1070" s="885"/>
      <c r="J1070" s="885"/>
      <c r="K1070" s="885"/>
      <c r="L1070" s="885"/>
      <c r="M1070" s="885"/>
      <c r="N1070" s="887"/>
      <c r="O1070" s="885"/>
      <c r="P1070" s="885"/>
      <c r="Q1070" s="885"/>
      <c r="R1070" s="885"/>
      <c r="S1070" s="885"/>
      <c r="T1070" s="885"/>
      <c r="U1070" s="885"/>
      <c r="V1070" s="885"/>
      <c r="W1070" s="885"/>
      <c r="X1070" s="885"/>
      <c r="Y1070" s="885"/>
      <c r="Z1070" s="885"/>
    </row>
    <row r="1071" ht="15.75" customHeight="1">
      <c r="A1071" s="3" t="s">
        <v>246</v>
      </c>
      <c r="B1071" s="883" t="s">
        <v>2592</v>
      </c>
      <c r="C1071" s="884"/>
      <c r="D1071" s="884"/>
      <c r="E1071" s="885"/>
      <c r="F1071" s="885"/>
      <c r="G1071" s="885"/>
      <c r="H1071" s="930"/>
      <c r="I1071" s="885"/>
      <c r="J1071" s="885"/>
      <c r="K1071" s="885"/>
      <c r="L1071" s="885"/>
      <c r="M1071" s="885"/>
      <c r="N1071" s="887"/>
      <c r="O1071" s="885"/>
      <c r="P1071" s="885"/>
      <c r="Q1071" s="885"/>
      <c r="R1071" s="885"/>
      <c r="S1071" s="885"/>
      <c r="T1071" s="885"/>
      <c r="U1071" s="885"/>
      <c r="V1071" s="885"/>
      <c r="W1071" s="885"/>
      <c r="X1071" s="885"/>
      <c r="Y1071" s="885"/>
      <c r="Z1071" s="885"/>
    </row>
    <row r="1072" ht="15.75" customHeight="1">
      <c r="A1072" s="3" t="s">
        <v>2598</v>
      </c>
      <c r="B1072" s="883" t="s">
        <v>2592</v>
      </c>
      <c r="C1072" s="884"/>
      <c r="D1072" s="884"/>
      <c r="E1072" s="885"/>
      <c r="F1072" s="885"/>
      <c r="G1072" s="885"/>
      <c r="H1072" s="930"/>
      <c r="I1072" s="885"/>
      <c r="J1072" s="885"/>
      <c r="K1072" s="885"/>
      <c r="L1072" s="885"/>
      <c r="M1072" s="885"/>
      <c r="N1072" s="887"/>
      <c r="O1072" s="885"/>
      <c r="P1072" s="885"/>
      <c r="Q1072" s="885"/>
      <c r="R1072" s="885"/>
      <c r="S1072" s="885"/>
      <c r="T1072" s="885"/>
      <c r="U1072" s="885"/>
      <c r="V1072" s="885"/>
      <c r="W1072" s="885"/>
      <c r="X1072" s="885"/>
      <c r="Y1072" s="885"/>
      <c r="Z1072" s="885"/>
    </row>
    <row r="1073" ht="15.75" customHeight="1">
      <c r="A1073" s="3" t="s">
        <v>190</v>
      </c>
      <c r="B1073" s="883" t="s">
        <v>2592</v>
      </c>
      <c r="C1073" s="884"/>
      <c r="D1073" s="884"/>
      <c r="E1073" s="885"/>
      <c r="F1073" s="885"/>
      <c r="G1073" s="885"/>
      <c r="H1073" s="930"/>
      <c r="I1073" s="885"/>
      <c r="J1073" s="885"/>
      <c r="K1073" s="885"/>
      <c r="L1073" s="885"/>
      <c r="M1073" s="885"/>
      <c r="N1073" s="887"/>
      <c r="O1073" s="885"/>
      <c r="P1073" s="885"/>
      <c r="Q1073" s="885"/>
      <c r="R1073" s="885"/>
      <c r="S1073" s="885"/>
      <c r="T1073" s="885"/>
      <c r="U1073" s="885"/>
      <c r="V1073" s="885"/>
      <c r="W1073" s="885"/>
      <c r="X1073" s="885"/>
      <c r="Y1073" s="885"/>
      <c r="Z1073" s="885"/>
    </row>
    <row r="1074" ht="15.75" customHeight="1">
      <c r="A1074" s="3" t="s">
        <v>2599</v>
      </c>
      <c r="B1074" s="883" t="s">
        <v>2592</v>
      </c>
      <c r="C1074" s="884"/>
      <c r="D1074" s="884"/>
      <c r="E1074" s="885"/>
      <c r="F1074" s="885"/>
      <c r="G1074" s="885"/>
      <c r="H1074" s="930"/>
      <c r="I1074" s="885"/>
      <c r="J1074" s="885"/>
      <c r="K1074" s="885"/>
      <c r="L1074" s="885"/>
      <c r="M1074" s="885"/>
      <c r="N1074" s="887"/>
      <c r="O1074" s="885"/>
      <c r="P1074" s="885"/>
      <c r="Q1074" s="885"/>
      <c r="R1074" s="885"/>
      <c r="S1074" s="885"/>
      <c r="T1074" s="885"/>
      <c r="U1074" s="885"/>
      <c r="V1074" s="885"/>
      <c r="W1074" s="885"/>
      <c r="X1074" s="885"/>
      <c r="Y1074" s="885"/>
      <c r="Z1074" s="885"/>
    </row>
    <row r="1075" ht="15.75" customHeight="1">
      <c r="A1075" s="3" t="s">
        <v>2600</v>
      </c>
      <c r="B1075" s="883" t="s">
        <v>2592</v>
      </c>
      <c r="C1075" s="884"/>
      <c r="D1075" s="884"/>
      <c r="E1075" s="885"/>
      <c r="F1075" s="885"/>
      <c r="G1075" s="885"/>
      <c r="H1075" s="930"/>
      <c r="I1075" s="885"/>
      <c r="J1075" s="885"/>
      <c r="K1075" s="885"/>
      <c r="L1075" s="885"/>
      <c r="M1075" s="885"/>
      <c r="N1075" s="887"/>
      <c r="O1075" s="885"/>
      <c r="P1075" s="885"/>
      <c r="Q1075" s="885"/>
      <c r="R1075" s="885"/>
      <c r="S1075" s="885"/>
      <c r="T1075" s="885"/>
      <c r="U1075" s="885"/>
      <c r="V1075" s="885"/>
      <c r="W1075" s="885"/>
      <c r="X1075" s="885"/>
      <c r="Y1075" s="885"/>
      <c r="Z1075" s="885"/>
    </row>
    <row r="1076" ht="15.75" customHeight="1">
      <c r="A1076" s="3" t="s">
        <v>2162</v>
      </c>
      <c r="B1076" s="883" t="s">
        <v>2592</v>
      </c>
      <c r="C1076" s="884"/>
      <c r="D1076" s="884"/>
      <c r="E1076" s="885"/>
      <c r="F1076" s="885"/>
      <c r="G1076" s="885"/>
      <c r="H1076" s="930"/>
      <c r="I1076" s="885"/>
      <c r="J1076" s="885"/>
      <c r="K1076" s="885"/>
      <c r="L1076" s="885"/>
      <c r="M1076" s="885"/>
      <c r="N1076" s="887"/>
      <c r="O1076" s="885"/>
      <c r="P1076" s="885"/>
      <c r="Q1076" s="885"/>
      <c r="R1076" s="885"/>
      <c r="S1076" s="885"/>
      <c r="T1076" s="885"/>
      <c r="U1076" s="885"/>
      <c r="V1076" s="885"/>
      <c r="W1076" s="885"/>
      <c r="X1076" s="885"/>
      <c r="Y1076" s="885"/>
      <c r="Z1076" s="885"/>
    </row>
    <row r="1077" ht="15.75" customHeight="1">
      <c r="A1077" s="3" t="s">
        <v>355</v>
      </c>
      <c r="B1077" s="883" t="s">
        <v>2592</v>
      </c>
      <c r="C1077" s="884"/>
      <c r="D1077" s="884"/>
      <c r="E1077" s="885"/>
      <c r="F1077" s="885"/>
      <c r="G1077" s="885"/>
      <c r="H1077" s="930"/>
      <c r="I1077" s="885"/>
      <c r="J1077" s="885"/>
      <c r="K1077" s="885"/>
      <c r="L1077" s="885"/>
      <c r="M1077" s="885"/>
      <c r="N1077" s="887"/>
      <c r="O1077" s="885"/>
      <c r="P1077" s="885"/>
      <c r="Q1077" s="885"/>
      <c r="R1077" s="885"/>
      <c r="S1077" s="885"/>
      <c r="T1077" s="885"/>
      <c r="U1077" s="885"/>
      <c r="V1077" s="885"/>
      <c r="W1077" s="885"/>
      <c r="X1077" s="885"/>
      <c r="Y1077" s="885"/>
      <c r="Z1077" s="885"/>
    </row>
    <row r="1078" ht="15.75" customHeight="1">
      <c r="A1078" s="3" t="s">
        <v>2601</v>
      </c>
      <c r="B1078" s="883" t="s">
        <v>2592</v>
      </c>
      <c r="C1078" s="884"/>
      <c r="D1078" s="884"/>
      <c r="E1078" s="885"/>
      <c r="F1078" s="885"/>
      <c r="G1078" s="885"/>
      <c r="H1078" s="930"/>
      <c r="I1078" s="885"/>
      <c r="J1078" s="885"/>
      <c r="K1078" s="885"/>
      <c r="L1078" s="885"/>
      <c r="M1078" s="885"/>
      <c r="N1078" s="887"/>
      <c r="O1078" s="885"/>
      <c r="P1078" s="885"/>
      <c r="Q1078" s="885"/>
      <c r="R1078" s="885"/>
      <c r="S1078" s="885"/>
      <c r="T1078" s="885"/>
      <c r="U1078" s="885"/>
      <c r="V1078" s="885"/>
      <c r="W1078" s="885"/>
      <c r="X1078" s="885"/>
      <c r="Y1078" s="885"/>
      <c r="Z1078" s="885"/>
    </row>
    <row r="1079" ht="15.75" customHeight="1">
      <c r="A1079" s="3" t="s">
        <v>193</v>
      </c>
      <c r="B1079" s="883" t="s">
        <v>2592</v>
      </c>
      <c r="C1079" s="884"/>
      <c r="D1079" s="884"/>
      <c r="E1079" s="885"/>
      <c r="F1079" s="885"/>
      <c r="G1079" s="885"/>
      <c r="H1079" s="930"/>
      <c r="I1079" s="885"/>
      <c r="J1079" s="885"/>
      <c r="K1079" s="885"/>
      <c r="L1079" s="885"/>
      <c r="M1079" s="885"/>
      <c r="N1079" s="887"/>
      <c r="O1079" s="885"/>
      <c r="P1079" s="885"/>
      <c r="Q1079" s="885"/>
      <c r="R1079" s="885"/>
      <c r="S1079" s="885"/>
      <c r="T1079" s="885"/>
      <c r="U1079" s="885"/>
      <c r="V1079" s="885"/>
      <c r="W1079" s="885"/>
      <c r="X1079" s="885"/>
      <c r="Y1079" s="885"/>
      <c r="Z1079" s="885"/>
    </row>
    <row r="1080" ht="15.75" customHeight="1">
      <c r="A1080" s="3" t="s">
        <v>2602</v>
      </c>
      <c r="B1080" s="883" t="s">
        <v>2592</v>
      </c>
      <c r="C1080" s="884"/>
      <c r="D1080" s="884"/>
      <c r="E1080" s="885"/>
      <c r="F1080" s="885"/>
      <c r="G1080" s="885"/>
      <c r="H1080" s="930"/>
      <c r="I1080" s="885"/>
      <c r="J1080" s="885"/>
      <c r="K1080" s="885"/>
      <c r="L1080" s="885"/>
      <c r="M1080" s="885"/>
      <c r="N1080" s="887"/>
      <c r="O1080" s="885"/>
      <c r="P1080" s="885"/>
      <c r="Q1080" s="885"/>
      <c r="R1080" s="885"/>
      <c r="S1080" s="885"/>
      <c r="T1080" s="885"/>
      <c r="U1080" s="885"/>
      <c r="V1080" s="885"/>
      <c r="W1080" s="885"/>
      <c r="X1080" s="885"/>
      <c r="Y1080" s="885"/>
      <c r="Z1080" s="885"/>
    </row>
    <row r="1081" ht="15.75" customHeight="1">
      <c r="A1081" s="3" t="s">
        <v>2603</v>
      </c>
      <c r="B1081" s="883" t="s">
        <v>2592</v>
      </c>
      <c r="C1081" s="884"/>
      <c r="D1081" s="884"/>
      <c r="E1081" s="885"/>
      <c r="F1081" s="885"/>
      <c r="G1081" s="885"/>
      <c r="H1081" s="930"/>
      <c r="I1081" s="885"/>
      <c r="J1081" s="885"/>
      <c r="K1081" s="885"/>
      <c r="L1081" s="885"/>
      <c r="M1081" s="885"/>
      <c r="N1081" s="887"/>
      <c r="O1081" s="885"/>
      <c r="P1081" s="885"/>
      <c r="Q1081" s="885"/>
      <c r="R1081" s="885"/>
      <c r="S1081" s="885"/>
      <c r="T1081" s="885"/>
      <c r="U1081" s="885"/>
      <c r="V1081" s="885"/>
      <c r="W1081" s="885"/>
      <c r="X1081" s="885"/>
      <c r="Y1081" s="885"/>
      <c r="Z1081" s="885"/>
    </row>
    <row r="1082" ht="15.75" customHeight="1">
      <c r="A1082" s="3" t="s">
        <v>2604</v>
      </c>
      <c r="B1082" s="883" t="s">
        <v>2592</v>
      </c>
      <c r="C1082" s="884"/>
      <c r="D1082" s="884"/>
      <c r="E1082" s="885"/>
      <c r="F1082" s="885"/>
      <c r="G1082" s="885"/>
      <c r="H1082" s="930"/>
      <c r="I1082" s="885"/>
      <c r="J1082" s="885"/>
      <c r="K1082" s="885"/>
      <c r="L1082" s="885"/>
      <c r="M1082" s="885"/>
      <c r="N1082" s="887"/>
      <c r="O1082" s="885"/>
      <c r="P1082" s="885"/>
      <c r="Q1082" s="885"/>
      <c r="R1082" s="885"/>
      <c r="S1082" s="885"/>
      <c r="T1082" s="885"/>
      <c r="U1082" s="885"/>
      <c r="V1082" s="885"/>
      <c r="W1082" s="885"/>
      <c r="X1082" s="885"/>
      <c r="Y1082" s="885"/>
      <c r="Z1082" s="885"/>
    </row>
    <row r="1083" ht="15.75" customHeight="1">
      <c r="A1083" s="3" t="s">
        <v>668</v>
      </c>
      <c r="B1083" s="883" t="s">
        <v>2592</v>
      </c>
      <c r="C1083" s="884"/>
      <c r="D1083" s="884"/>
      <c r="E1083" s="885"/>
      <c r="F1083" s="885"/>
      <c r="G1083" s="885"/>
      <c r="H1083" s="930"/>
      <c r="I1083" s="885"/>
      <c r="J1083" s="885"/>
      <c r="K1083" s="885"/>
      <c r="L1083" s="885"/>
      <c r="M1083" s="885"/>
      <c r="N1083" s="887"/>
      <c r="O1083" s="885"/>
      <c r="P1083" s="885"/>
      <c r="Q1083" s="885"/>
      <c r="R1083" s="885"/>
      <c r="S1083" s="885"/>
      <c r="T1083" s="885"/>
      <c r="U1083" s="885"/>
      <c r="V1083" s="885"/>
      <c r="W1083" s="885"/>
      <c r="X1083" s="885"/>
      <c r="Y1083" s="885"/>
      <c r="Z1083" s="885"/>
    </row>
    <row r="1084" ht="15.75" customHeight="1">
      <c r="A1084" s="20" t="s">
        <v>271</v>
      </c>
      <c r="B1084" s="883" t="s">
        <v>2592</v>
      </c>
      <c r="C1084" s="884"/>
      <c r="D1084" s="884"/>
      <c r="E1084" s="885"/>
      <c r="F1084" s="885"/>
      <c r="G1084" s="885"/>
      <c r="H1084" s="930"/>
      <c r="I1084" s="885"/>
      <c r="J1084" s="885"/>
      <c r="K1084" s="885"/>
      <c r="L1084" s="885"/>
      <c r="M1084" s="885"/>
      <c r="N1084" s="887"/>
      <c r="O1084" s="885"/>
      <c r="P1084" s="885"/>
      <c r="Q1084" s="885"/>
      <c r="R1084" s="885"/>
      <c r="S1084" s="885"/>
      <c r="T1084" s="885"/>
      <c r="U1084" s="885"/>
      <c r="V1084" s="885"/>
      <c r="W1084" s="885"/>
      <c r="X1084" s="885"/>
      <c r="Y1084" s="885"/>
      <c r="Z1084" s="885"/>
    </row>
    <row r="1085" ht="15.75" customHeight="1">
      <c r="A1085" s="3" t="s">
        <v>314</v>
      </c>
      <c r="B1085" s="883" t="s">
        <v>2592</v>
      </c>
      <c r="C1085" s="884"/>
      <c r="D1085" s="884"/>
      <c r="E1085" s="885"/>
      <c r="F1085" s="885"/>
      <c r="G1085" s="885"/>
      <c r="H1085" s="930"/>
      <c r="I1085" s="885"/>
      <c r="J1085" s="885"/>
      <c r="K1085" s="885"/>
      <c r="L1085" s="885"/>
      <c r="M1085" s="885"/>
      <c r="N1085" s="887"/>
      <c r="O1085" s="885"/>
      <c r="P1085" s="885"/>
      <c r="Q1085" s="885"/>
      <c r="R1085" s="885"/>
      <c r="S1085" s="885"/>
      <c r="T1085" s="885"/>
      <c r="U1085" s="885"/>
      <c r="V1085" s="885"/>
      <c r="W1085" s="885"/>
      <c r="X1085" s="885"/>
      <c r="Y1085" s="885"/>
      <c r="Z1085" s="885"/>
    </row>
    <row r="1086" ht="15.75" customHeight="1">
      <c r="A1086" s="3" t="s">
        <v>2605</v>
      </c>
      <c r="B1086" s="883" t="s">
        <v>2592</v>
      </c>
      <c r="C1086" s="884"/>
      <c r="D1086" s="884"/>
      <c r="E1086" s="885"/>
      <c r="F1086" s="885"/>
      <c r="G1086" s="885"/>
      <c r="H1086" s="930"/>
      <c r="I1086" s="885"/>
      <c r="J1086" s="885"/>
      <c r="K1086" s="885"/>
      <c r="L1086" s="885"/>
      <c r="M1086" s="885"/>
      <c r="N1086" s="887"/>
      <c r="O1086" s="885"/>
      <c r="P1086" s="885"/>
      <c r="Q1086" s="885"/>
      <c r="R1086" s="885"/>
      <c r="S1086" s="885"/>
      <c r="T1086" s="885"/>
      <c r="U1086" s="885"/>
      <c r="V1086" s="885"/>
      <c r="W1086" s="885"/>
      <c r="X1086" s="885"/>
      <c r="Y1086" s="885"/>
      <c r="Z1086" s="885"/>
    </row>
    <row r="1087" ht="15.75" customHeight="1">
      <c r="A1087" s="3" t="s">
        <v>2606</v>
      </c>
      <c r="B1087" s="883" t="s">
        <v>2592</v>
      </c>
      <c r="C1087" s="884"/>
      <c r="D1087" s="884"/>
      <c r="E1087" s="885"/>
      <c r="F1087" s="885"/>
      <c r="G1087" s="885"/>
      <c r="H1087" s="930"/>
      <c r="I1087" s="885"/>
      <c r="J1087" s="885"/>
      <c r="K1087" s="885"/>
      <c r="L1087" s="885"/>
      <c r="M1087" s="885"/>
      <c r="N1087" s="887"/>
      <c r="O1087" s="885"/>
      <c r="P1087" s="885"/>
      <c r="Q1087" s="885"/>
      <c r="R1087" s="885"/>
      <c r="S1087" s="885"/>
      <c r="T1087" s="885"/>
      <c r="U1087" s="885"/>
      <c r="V1087" s="885"/>
      <c r="W1087" s="885"/>
      <c r="X1087" s="885"/>
      <c r="Y1087" s="885"/>
      <c r="Z1087" s="885"/>
    </row>
    <row r="1088" ht="15.75" customHeight="1">
      <c r="A1088" s="3" t="s">
        <v>99</v>
      </c>
      <c r="B1088" s="883" t="s">
        <v>2592</v>
      </c>
      <c r="C1088" s="884"/>
      <c r="D1088" s="884"/>
      <c r="E1088" s="885"/>
      <c r="F1088" s="885"/>
      <c r="G1088" s="885"/>
      <c r="H1088" s="930"/>
      <c r="I1088" s="885"/>
      <c r="J1088" s="885"/>
      <c r="K1088" s="885"/>
      <c r="L1088" s="885"/>
      <c r="M1088" s="885"/>
      <c r="N1088" s="887"/>
      <c r="O1088" s="885"/>
      <c r="P1088" s="885"/>
      <c r="Q1088" s="885"/>
      <c r="R1088" s="885"/>
      <c r="S1088" s="885"/>
      <c r="T1088" s="885"/>
      <c r="U1088" s="885"/>
      <c r="V1088" s="885"/>
      <c r="W1088" s="885"/>
      <c r="X1088" s="885"/>
      <c r="Y1088" s="885"/>
      <c r="Z1088" s="885"/>
    </row>
    <row r="1089" ht="15.75" customHeight="1">
      <c r="A1089" s="3" t="s">
        <v>2143</v>
      </c>
      <c r="B1089" s="883" t="s">
        <v>2592</v>
      </c>
      <c r="C1089" s="884"/>
      <c r="D1089" s="884"/>
      <c r="E1089" s="885"/>
      <c r="F1089" s="885"/>
      <c r="G1089" s="885"/>
      <c r="H1089" s="930"/>
      <c r="I1089" s="885"/>
      <c r="J1089" s="885"/>
      <c r="K1089" s="885"/>
      <c r="L1089" s="885"/>
      <c r="M1089" s="885"/>
      <c r="N1089" s="887"/>
      <c r="O1089" s="885"/>
      <c r="P1089" s="885"/>
      <c r="Q1089" s="885"/>
      <c r="R1089" s="885"/>
      <c r="S1089" s="885"/>
      <c r="T1089" s="885"/>
      <c r="U1089" s="885"/>
      <c r="V1089" s="885"/>
      <c r="W1089" s="885"/>
      <c r="X1089" s="885"/>
      <c r="Y1089" s="885"/>
      <c r="Z1089" s="885"/>
    </row>
    <row r="1090" ht="15.75" customHeight="1">
      <c r="A1090" s="3" t="s">
        <v>2607</v>
      </c>
      <c r="B1090" s="883" t="s">
        <v>2592</v>
      </c>
      <c r="C1090" s="884"/>
      <c r="D1090" s="884"/>
      <c r="E1090" s="885"/>
      <c r="F1090" s="885"/>
      <c r="G1090" s="885"/>
      <c r="H1090" s="930"/>
      <c r="I1090" s="885"/>
      <c r="J1090" s="885"/>
      <c r="K1090" s="885"/>
      <c r="L1090" s="885"/>
      <c r="M1090" s="885"/>
      <c r="N1090" s="887"/>
      <c r="O1090" s="885"/>
      <c r="P1090" s="885"/>
      <c r="Q1090" s="885"/>
      <c r="R1090" s="885"/>
      <c r="S1090" s="885"/>
      <c r="T1090" s="885"/>
      <c r="U1090" s="885"/>
      <c r="V1090" s="885"/>
      <c r="W1090" s="885"/>
      <c r="X1090" s="885"/>
      <c r="Y1090" s="885"/>
      <c r="Z1090" s="885"/>
    </row>
    <row r="1091" ht="15.75" customHeight="1">
      <c r="A1091" s="3" t="s">
        <v>2608</v>
      </c>
      <c r="B1091" s="883" t="s">
        <v>2592</v>
      </c>
      <c r="C1091" s="884"/>
      <c r="D1091" s="884"/>
      <c r="E1091" s="885"/>
      <c r="F1091" s="885"/>
      <c r="G1091" s="885"/>
      <c r="H1091" s="930"/>
      <c r="I1091" s="885"/>
      <c r="J1091" s="885"/>
      <c r="K1091" s="885"/>
      <c r="L1091" s="885"/>
      <c r="M1091" s="885"/>
      <c r="N1091" s="887"/>
      <c r="O1091" s="885"/>
      <c r="P1091" s="885"/>
      <c r="Q1091" s="885"/>
      <c r="R1091" s="885"/>
      <c r="S1091" s="885"/>
      <c r="T1091" s="885"/>
      <c r="U1091" s="885"/>
      <c r="V1091" s="885"/>
      <c r="W1091" s="885"/>
      <c r="X1091" s="885"/>
      <c r="Y1091" s="885"/>
      <c r="Z1091" s="885"/>
    </row>
    <row r="1092" ht="15.75" customHeight="1">
      <c r="A1092" s="884" t="s">
        <v>545</v>
      </c>
      <c r="B1092" s="883" t="s">
        <v>2592</v>
      </c>
      <c r="C1092" s="884"/>
      <c r="D1092" s="884"/>
      <c r="E1092" s="885"/>
      <c r="F1092" s="885"/>
      <c r="G1092" s="885"/>
      <c r="H1092" s="930"/>
      <c r="I1092" s="885"/>
      <c r="J1092" s="885"/>
      <c r="K1092" s="885"/>
      <c r="L1092" s="885"/>
      <c r="M1092" s="885"/>
      <c r="N1092" s="887"/>
      <c r="O1092" s="885"/>
      <c r="P1092" s="885"/>
      <c r="Q1092" s="885"/>
      <c r="R1092" s="885"/>
      <c r="S1092" s="885"/>
      <c r="T1092" s="885"/>
      <c r="U1092" s="885"/>
      <c r="V1092" s="885"/>
      <c r="W1092" s="885"/>
      <c r="X1092" s="885"/>
      <c r="Y1092" s="885"/>
      <c r="Z1092" s="885"/>
    </row>
    <row r="1093" ht="15.75" customHeight="1">
      <c r="A1093" s="884" t="s">
        <v>2609</v>
      </c>
      <c r="B1093" s="883" t="s">
        <v>2592</v>
      </c>
      <c r="C1093" s="3"/>
      <c r="D1093" s="884"/>
      <c r="E1093" s="885"/>
      <c r="F1093" s="885"/>
      <c r="G1093" s="885"/>
      <c r="H1093" s="930"/>
      <c r="I1093" s="885"/>
      <c r="J1093" s="885"/>
      <c r="K1093" s="885"/>
      <c r="L1093" s="885"/>
      <c r="M1093" s="885"/>
      <c r="N1093" s="887"/>
      <c r="O1093" s="885"/>
      <c r="P1093" s="885"/>
      <c r="Q1093" s="885"/>
      <c r="R1093" s="885"/>
      <c r="S1093" s="885"/>
      <c r="T1093" s="885"/>
      <c r="U1093" s="885"/>
      <c r="V1093" s="885"/>
      <c r="W1093" s="885"/>
      <c r="X1093" s="885"/>
      <c r="Y1093" s="885"/>
      <c r="Z1093" s="885"/>
    </row>
    <row r="1094" ht="15.75" customHeight="1">
      <c r="A1094" s="884" t="s">
        <v>2145</v>
      </c>
      <c r="B1094" s="883" t="s">
        <v>2592</v>
      </c>
      <c r="C1094" s="884"/>
      <c r="D1094" s="884"/>
      <c r="E1094" s="885"/>
      <c r="F1094" s="885"/>
      <c r="G1094" s="885"/>
      <c r="H1094" s="930"/>
      <c r="I1094" s="885"/>
      <c r="J1094" s="885"/>
      <c r="K1094" s="885"/>
      <c r="L1094" s="885"/>
      <c r="M1094" s="885"/>
      <c r="N1094" s="887"/>
      <c r="O1094" s="885"/>
      <c r="P1094" s="885"/>
      <c r="Q1094" s="885"/>
      <c r="R1094" s="885"/>
      <c r="S1094" s="885"/>
      <c r="T1094" s="885"/>
      <c r="U1094" s="885"/>
      <c r="V1094" s="885"/>
      <c r="W1094" s="885"/>
      <c r="X1094" s="885"/>
      <c r="Y1094" s="885"/>
      <c r="Z1094" s="885"/>
    </row>
    <row r="1095" ht="15.75" customHeight="1">
      <c r="A1095" s="884" t="s">
        <v>2166</v>
      </c>
      <c r="B1095" s="883" t="s">
        <v>2592</v>
      </c>
      <c r="C1095" s="884"/>
      <c r="D1095" s="884"/>
      <c r="E1095" s="885"/>
      <c r="F1095" s="885"/>
      <c r="G1095" s="885"/>
      <c r="H1095" s="930"/>
      <c r="I1095" s="885"/>
      <c r="J1095" s="885"/>
      <c r="K1095" s="885"/>
      <c r="L1095" s="885"/>
      <c r="M1095" s="885"/>
      <c r="N1095" s="887"/>
      <c r="O1095" s="885"/>
      <c r="P1095" s="885"/>
      <c r="Q1095" s="885"/>
      <c r="R1095" s="885"/>
      <c r="S1095" s="885"/>
      <c r="T1095" s="885"/>
      <c r="U1095" s="885"/>
      <c r="V1095" s="885"/>
      <c r="W1095" s="885"/>
      <c r="X1095" s="885"/>
      <c r="Y1095" s="885"/>
      <c r="Z1095" s="885"/>
    </row>
    <row r="1096" ht="15.75" customHeight="1">
      <c r="A1096" s="3" t="s">
        <v>2610</v>
      </c>
      <c r="B1096" s="883" t="s">
        <v>2592</v>
      </c>
      <c r="C1096" s="884"/>
      <c r="D1096" s="884"/>
      <c r="E1096" s="885"/>
      <c r="F1096" s="885"/>
      <c r="G1096" s="885"/>
      <c r="H1096" s="930"/>
      <c r="I1096" s="885"/>
      <c r="J1096" s="885"/>
      <c r="K1096" s="885"/>
      <c r="L1096" s="885"/>
      <c r="M1096" s="885"/>
      <c r="N1096" s="887"/>
      <c r="O1096" s="885"/>
      <c r="P1096" s="885"/>
      <c r="Q1096" s="885"/>
      <c r="R1096" s="885"/>
      <c r="S1096" s="885"/>
      <c r="T1096" s="885"/>
      <c r="U1096" s="885"/>
      <c r="V1096" s="885"/>
      <c r="W1096" s="885"/>
      <c r="X1096" s="885"/>
      <c r="Y1096" s="885"/>
      <c r="Z1096" s="885"/>
    </row>
    <row r="1097" ht="15.75" customHeight="1">
      <c r="A1097" s="884" t="s">
        <v>2133</v>
      </c>
      <c r="B1097" s="883" t="s">
        <v>2592</v>
      </c>
      <c r="C1097" s="884"/>
      <c r="D1097" s="884"/>
      <c r="E1097" s="885"/>
      <c r="F1097" s="885"/>
      <c r="G1097" s="885"/>
      <c r="H1097" s="930"/>
      <c r="I1097" s="885"/>
      <c r="J1097" s="885"/>
      <c r="K1097" s="885"/>
      <c r="L1097" s="885"/>
      <c r="M1097" s="885"/>
      <c r="N1097" s="887"/>
      <c r="O1097" s="885"/>
      <c r="P1097" s="885"/>
      <c r="Q1097" s="885"/>
      <c r="R1097" s="885"/>
      <c r="S1097" s="885"/>
      <c r="T1097" s="885"/>
      <c r="U1097" s="885"/>
      <c r="V1097" s="885"/>
      <c r="W1097" s="885"/>
      <c r="X1097" s="885"/>
      <c r="Y1097" s="885"/>
      <c r="Z1097" s="885"/>
    </row>
    <row r="1098" ht="15.75" customHeight="1">
      <c r="A1098" s="884" t="s">
        <v>2611</v>
      </c>
      <c r="B1098" s="883" t="s">
        <v>2592</v>
      </c>
      <c r="C1098" s="884"/>
      <c r="D1098" s="884"/>
      <c r="E1098" s="885"/>
      <c r="F1098" s="885"/>
      <c r="G1098" s="885"/>
      <c r="H1098" s="930"/>
      <c r="I1098" s="885"/>
      <c r="J1098" s="885"/>
      <c r="K1098" s="885"/>
      <c r="L1098" s="885"/>
      <c r="M1098" s="885"/>
      <c r="N1098" s="887"/>
      <c r="O1098" s="885"/>
      <c r="P1098" s="885"/>
      <c r="Q1098" s="885"/>
      <c r="R1098" s="885"/>
      <c r="S1098" s="885"/>
      <c r="T1098" s="885"/>
      <c r="U1098" s="885"/>
      <c r="V1098" s="885"/>
      <c r="W1098" s="885"/>
      <c r="X1098" s="885"/>
      <c r="Y1098" s="885"/>
      <c r="Z1098" s="885"/>
    </row>
    <row r="1099" ht="15.75" customHeight="1">
      <c r="A1099" s="884" t="s">
        <v>2612</v>
      </c>
      <c r="B1099" s="883" t="s">
        <v>2592</v>
      </c>
      <c r="C1099" s="884"/>
      <c r="D1099" s="884"/>
      <c r="E1099" s="885"/>
      <c r="F1099" s="885"/>
      <c r="G1099" s="885"/>
      <c r="H1099" s="930"/>
      <c r="I1099" s="885"/>
      <c r="J1099" s="885"/>
      <c r="K1099" s="885"/>
      <c r="L1099" s="885"/>
      <c r="M1099" s="885"/>
      <c r="N1099" s="887"/>
      <c r="O1099" s="885"/>
      <c r="P1099" s="885"/>
      <c r="Q1099" s="885"/>
      <c r="R1099" s="885"/>
      <c r="S1099" s="885"/>
      <c r="T1099" s="885"/>
      <c r="U1099" s="885"/>
      <c r="V1099" s="885"/>
      <c r="W1099" s="885"/>
      <c r="X1099" s="885"/>
      <c r="Y1099" s="885"/>
      <c r="Z1099" s="885"/>
    </row>
    <row r="1100" ht="15.75" customHeight="1">
      <c r="A1100" s="884" t="s">
        <v>2613</v>
      </c>
      <c r="B1100" s="883" t="s">
        <v>2592</v>
      </c>
      <c r="C1100" s="884"/>
      <c r="D1100" s="884"/>
      <c r="E1100" s="885"/>
      <c r="F1100" s="885"/>
      <c r="G1100" s="885"/>
      <c r="H1100" s="930"/>
      <c r="I1100" s="885"/>
      <c r="J1100" s="885"/>
      <c r="K1100" s="885"/>
      <c r="L1100" s="885"/>
      <c r="M1100" s="885"/>
      <c r="N1100" s="887"/>
      <c r="O1100" s="885"/>
      <c r="P1100" s="885"/>
      <c r="Q1100" s="885"/>
      <c r="R1100" s="885"/>
      <c r="S1100" s="885"/>
      <c r="T1100" s="885"/>
      <c r="U1100" s="885"/>
      <c r="V1100" s="885"/>
      <c r="W1100" s="885"/>
      <c r="X1100" s="885"/>
      <c r="Y1100" s="885"/>
      <c r="Z1100" s="885"/>
    </row>
    <row r="1101" ht="15.75" customHeight="1">
      <c r="A1101" s="884" t="s">
        <v>2151</v>
      </c>
      <c r="B1101" s="883" t="s">
        <v>2592</v>
      </c>
      <c r="C1101" s="884"/>
      <c r="D1101" s="884"/>
      <c r="E1101" s="885"/>
      <c r="F1101" s="885"/>
      <c r="G1101" s="885"/>
      <c r="H1101" s="930"/>
      <c r="I1101" s="885"/>
      <c r="J1101" s="885"/>
      <c r="K1101" s="885"/>
      <c r="L1101" s="885"/>
      <c r="M1101" s="885"/>
      <c r="N1101" s="887"/>
      <c r="O1101" s="885"/>
      <c r="P1101" s="885"/>
      <c r="Q1101" s="885"/>
      <c r="R1101" s="885"/>
      <c r="S1101" s="885"/>
      <c r="T1101" s="885"/>
      <c r="U1101" s="885"/>
      <c r="V1101" s="885"/>
      <c r="W1101" s="885"/>
      <c r="X1101" s="885"/>
      <c r="Y1101" s="885"/>
      <c r="Z1101" s="885"/>
    </row>
    <row r="1102" ht="15.75" customHeight="1">
      <c r="A1102" s="884" t="s">
        <v>2164</v>
      </c>
      <c r="B1102" s="883" t="s">
        <v>2592</v>
      </c>
      <c r="C1102" s="884"/>
      <c r="D1102" s="884"/>
      <c r="E1102" s="885"/>
      <c r="F1102" s="885"/>
      <c r="G1102" s="885"/>
      <c r="H1102" s="930"/>
      <c r="I1102" s="885"/>
      <c r="J1102" s="885"/>
      <c r="K1102" s="885"/>
      <c r="L1102" s="885"/>
      <c r="M1102" s="885"/>
      <c r="N1102" s="887"/>
      <c r="O1102" s="885"/>
      <c r="P1102" s="885"/>
      <c r="Q1102" s="885"/>
      <c r="R1102" s="885"/>
      <c r="S1102" s="885"/>
      <c r="T1102" s="885"/>
      <c r="U1102" s="885"/>
      <c r="V1102" s="885"/>
      <c r="W1102" s="885"/>
      <c r="X1102" s="885"/>
      <c r="Y1102" s="885"/>
      <c r="Z1102" s="885"/>
    </row>
    <row r="1103" ht="15.75" customHeight="1">
      <c r="A1103" s="3" t="s">
        <v>2614</v>
      </c>
      <c r="B1103" s="883" t="s">
        <v>2592</v>
      </c>
      <c r="C1103" s="884"/>
      <c r="D1103" s="884"/>
      <c r="E1103" s="885"/>
      <c r="F1103" s="885"/>
      <c r="G1103" s="885"/>
      <c r="H1103" s="930"/>
      <c r="I1103" s="885"/>
      <c r="J1103" s="885"/>
      <c r="K1103" s="885"/>
      <c r="L1103" s="885"/>
      <c r="M1103" s="885"/>
      <c r="N1103" s="887"/>
      <c r="O1103" s="885"/>
      <c r="P1103" s="885"/>
      <c r="Q1103" s="885"/>
      <c r="R1103" s="885"/>
      <c r="S1103" s="885"/>
      <c r="T1103" s="885"/>
      <c r="U1103" s="885"/>
      <c r="V1103" s="885"/>
      <c r="W1103" s="885"/>
      <c r="X1103" s="885"/>
      <c r="Y1103" s="885"/>
      <c r="Z1103" s="885"/>
    </row>
    <row r="1104" ht="15.75" customHeight="1">
      <c r="A1104" s="884" t="s">
        <v>2615</v>
      </c>
      <c r="B1104" s="883" t="s">
        <v>2592</v>
      </c>
      <c r="C1104" s="884"/>
      <c r="D1104" s="884"/>
      <c r="E1104" s="885"/>
      <c r="F1104" s="885"/>
      <c r="G1104" s="885"/>
      <c r="H1104" s="930"/>
      <c r="I1104" s="885"/>
      <c r="J1104" s="885"/>
      <c r="K1104" s="885"/>
      <c r="L1104" s="885"/>
      <c r="M1104" s="885"/>
      <c r="N1104" s="887"/>
      <c r="O1104" s="885"/>
      <c r="P1104" s="885"/>
      <c r="Q1104" s="885"/>
      <c r="R1104" s="885"/>
      <c r="S1104" s="885"/>
      <c r="T1104" s="885"/>
      <c r="U1104" s="885"/>
      <c r="V1104" s="885"/>
      <c r="W1104" s="885"/>
      <c r="X1104" s="885"/>
      <c r="Y1104" s="885"/>
      <c r="Z1104" s="885"/>
    </row>
    <row r="1105" ht="15.75" customHeight="1">
      <c r="A1105" s="884" t="s">
        <v>2616</v>
      </c>
      <c r="B1105" s="883" t="s">
        <v>2592</v>
      </c>
      <c r="C1105" s="884"/>
      <c r="D1105" s="884"/>
      <c r="E1105" s="885"/>
      <c r="F1105" s="885"/>
      <c r="G1105" s="885"/>
      <c r="H1105" s="930"/>
      <c r="I1105" s="885"/>
      <c r="J1105" s="885"/>
      <c r="K1105" s="885"/>
      <c r="L1105" s="885"/>
      <c r="M1105" s="885"/>
      <c r="N1105" s="887"/>
      <c r="O1105" s="885"/>
      <c r="P1105" s="885"/>
      <c r="Q1105" s="885"/>
      <c r="R1105" s="885"/>
      <c r="S1105" s="885"/>
      <c r="T1105" s="885"/>
      <c r="U1105" s="885"/>
      <c r="V1105" s="885"/>
      <c r="W1105" s="885"/>
      <c r="X1105" s="885"/>
      <c r="Y1105" s="885"/>
      <c r="Z1105" s="885"/>
    </row>
    <row r="1106" ht="15.75" customHeight="1">
      <c r="A1106" s="20" t="s">
        <v>2617</v>
      </c>
      <c r="B1106" s="883" t="s">
        <v>2592</v>
      </c>
      <c r="C1106" s="884"/>
      <c r="D1106" s="884"/>
      <c r="E1106" s="885"/>
      <c r="F1106" s="885"/>
      <c r="G1106" s="885"/>
      <c r="H1106" s="930"/>
      <c r="I1106" s="885"/>
      <c r="J1106" s="885"/>
      <c r="K1106" s="885"/>
      <c r="L1106" s="885"/>
      <c r="M1106" s="885"/>
      <c r="N1106" s="887"/>
      <c r="O1106" s="885"/>
      <c r="P1106" s="885"/>
      <c r="Q1106" s="885"/>
      <c r="R1106" s="885"/>
      <c r="S1106" s="885"/>
      <c r="T1106" s="885"/>
      <c r="U1106" s="885"/>
      <c r="V1106" s="885"/>
      <c r="W1106" s="885"/>
      <c r="X1106" s="885"/>
      <c r="Y1106" s="885"/>
      <c r="Z1106" s="885"/>
    </row>
    <row r="1107" ht="15.75" customHeight="1">
      <c r="A1107" s="884" t="s">
        <v>2618</v>
      </c>
      <c r="B1107" s="883" t="s">
        <v>2592</v>
      </c>
      <c r="C1107" s="884"/>
      <c r="D1107" s="884"/>
      <c r="E1107" s="885"/>
      <c r="F1107" s="885"/>
      <c r="G1107" s="885"/>
      <c r="H1107" s="930"/>
      <c r="I1107" s="885"/>
      <c r="J1107" s="885"/>
      <c r="K1107" s="885"/>
      <c r="L1107" s="885"/>
      <c r="M1107" s="885"/>
      <c r="N1107" s="887"/>
      <c r="O1107" s="885"/>
      <c r="P1107" s="885"/>
      <c r="Q1107" s="885"/>
      <c r="R1107" s="885"/>
      <c r="S1107" s="885"/>
      <c r="T1107" s="885"/>
      <c r="U1107" s="885"/>
      <c r="V1107" s="885"/>
      <c r="W1107" s="885"/>
      <c r="X1107" s="885"/>
      <c r="Y1107" s="885"/>
      <c r="Z1107" s="885"/>
    </row>
    <row r="1108" ht="15.75" customHeight="1">
      <c r="A1108" s="884" t="s">
        <v>2147</v>
      </c>
      <c r="B1108" s="883" t="s">
        <v>2592</v>
      </c>
      <c r="C1108" s="884"/>
      <c r="D1108" s="884"/>
      <c r="E1108" s="885"/>
      <c r="F1108" s="885"/>
      <c r="G1108" s="885"/>
      <c r="H1108" s="930"/>
      <c r="I1108" s="885"/>
      <c r="J1108" s="885"/>
      <c r="K1108" s="885"/>
      <c r="L1108" s="885"/>
      <c r="M1108" s="885"/>
      <c r="N1108" s="887"/>
      <c r="O1108" s="885"/>
      <c r="P1108" s="885"/>
      <c r="Q1108" s="885"/>
      <c r="R1108" s="885"/>
      <c r="S1108" s="885"/>
      <c r="T1108" s="885"/>
      <c r="U1108" s="885"/>
      <c r="V1108" s="885"/>
      <c r="W1108" s="885"/>
      <c r="X1108" s="885"/>
      <c r="Y1108" s="885"/>
      <c r="Z1108" s="885"/>
    </row>
    <row r="1109" ht="15.75" customHeight="1">
      <c r="A1109" s="884" t="s">
        <v>2141</v>
      </c>
      <c r="B1109" s="883" t="s">
        <v>2592</v>
      </c>
      <c r="C1109" s="884"/>
      <c r="D1109" s="884"/>
      <c r="E1109" s="885"/>
      <c r="F1109" s="885"/>
      <c r="G1109" s="885"/>
      <c r="H1109" s="930"/>
      <c r="I1109" s="885"/>
      <c r="J1109" s="885"/>
      <c r="K1109" s="885"/>
      <c r="L1109" s="885"/>
      <c r="M1109" s="885"/>
      <c r="N1109" s="887"/>
      <c r="O1109" s="885"/>
      <c r="P1109" s="885"/>
      <c r="Q1109" s="885"/>
      <c r="R1109" s="885"/>
      <c r="S1109" s="885"/>
      <c r="T1109" s="885"/>
      <c r="U1109" s="885"/>
      <c r="V1109" s="885"/>
      <c r="W1109" s="885"/>
      <c r="X1109" s="885"/>
      <c r="Y1109" s="885"/>
      <c r="Z1109" s="885"/>
    </row>
    <row r="1110" ht="15.75" customHeight="1">
      <c r="A1110" s="884" t="s">
        <v>2619</v>
      </c>
      <c r="B1110" s="883" t="s">
        <v>2592</v>
      </c>
      <c r="C1110" s="884"/>
      <c r="D1110" s="884"/>
      <c r="E1110" s="885"/>
      <c r="F1110" s="885"/>
      <c r="G1110" s="885"/>
      <c r="H1110" s="930"/>
      <c r="I1110" s="885"/>
      <c r="J1110" s="885"/>
      <c r="K1110" s="885"/>
      <c r="L1110" s="885"/>
      <c r="M1110" s="885"/>
      <c r="N1110" s="887"/>
      <c r="O1110" s="885"/>
      <c r="P1110" s="885"/>
      <c r="Q1110" s="885"/>
      <c r="R1110" s="885"/>
      <c r="S1110" s="885"/>
      <c r="T1110" s="885"/>
      <c r="U1110" s="885"/>
      <c r="V1110" s="885"/>
      <c r="W1110" s="885"/>
      <c r="X1110" s="885"/>
      <c r="Y1110" s="885"/>
      <c r="Z1110" s="885"/>
    </row>
    <row r="1111" ht="15.75" customHeight="1">
      <c r="A1111" s="884" t="s">
        <v>2620</v>
      </c>
      <c r="B1111" s="883" t="s">
        <v>2592</v>
      </c>
      <c r="C1111" s="884"/>
      <c r="D1111" s="884"/>
      <c r="E1111" s="885"/>
      <c r="F1111" s="885"/>
      <c r="G1111" s="885"/>
      <c r="H1111" s="930"/>
      <c r="I1111" s="885"/>
      <c r="J1111" s="885"/>
      <c r="K1111" s="885"/>
      <c r="L1111" s="885"/>
      <c r="M1111" s="885"/>
      <c r="N1111" s="887"/>
      <c r="O1111" s="885"/>
      <c r="P1111" s="885"/>
      <c r="Q1111" s="885"/>
      <c r="R1111" s="885"/>
      <c r="S1111" s="885"/>
      <c r="T1111" s="885"/>
      <c r="U1111" s="885"/>
      <c r="V1111" s="885"/>
      <c r="W1111" s="885"/>
      <c r="X1111" s="885"/>
      <c r="Y1111" s="885"/>
      <c r="Z1111" s="885"/>
    </row>
    <row r="1112" ht="15.75" customHeight="1">
      <c r="A1112" s="884" t="s">
        <v>2132</v>
      </c>
      <c r="B1112" s="883" t="s">
        <v>2592</v>
      </c>
      <c r="C1112" s="884"/>
      <c r="D1112" s="884"/>
      <c r="E1112" s="885"/>
      <c r="F1112" s="885"/>
      <c r="G1112" s="885"/>
      <c r="H1112" s="930"/>
      <c r="I1112" s="885"/>
      <c r="J1112" s="885"/>
      <c r="K1112" s="885"/>
      <c r="L1112" s="885"/>
      <c r="M1112" s="885"/>
      <c r="N1112" s="887"/>
      <c r="O1112" s="885"/>
      <c r="P1112" s="885"/>
      <c r="Q1112" s="885"/>
      <c r="R1112" s="885"/>
      <c r="S1112" s="885"/>
      <c r="T1112" s="885"/>
      <c r="U1112" s="885"/>
      <c r="V1112" s="885"/>
      <c r="W1112" s="885"/>
      <c r="X1112" s="885"/>
      <c r="Y1112" s="885"/>
      <c r="Z1112" s="885"/>
    </row>
    <row r="1113" ht="15.75" customHeight="1">
      <c r="A1113" s="884" t="s">
        <v>2621</v>
      </c>
      <c r="B1113" s="883" t="s">
        <v>2592</v>
      </c>
      <c r="C1113" s="884"/>
      <c r="D1113" s="884"/>
      <c r="E1113" s="885"/>
      <c r="F1113" s="885"/>
      <c r="G1113" s="885"/>
      <c r="H1113" s="930"/>
      <c r="I1113" s="885"/>
      <c r="J1113" s="885"/>
      <c r="K1113" s="885"/>
      <c r="L1113" s="885"/>
      <c r="M1113" s="885"/>
      <c r="N1113" s="887"/>
      <c r="O1113" s="885"/>
      <c r="P1113" s="885"/>
      <c r="Q1113" s="885"/>
      <c r="R1113" s="885"/>
      <c r="S1113" s="885"/>
      <c r="T1113" s="885"/>
      <c r="U1113" s="885"/>
      <c r="V1113" s="885"/>
      <c r="W1113" s="885"/>
      <c r="X1113" s="885"/>
      <c r="Y1113" s="885"/>
      <c r="Z1113" s="885"/>
    </row>
    <row r="1114" ht="15.75" customHeight="1">
      <c r="A1114" s="884" t="s">
        <v>2130</v>
      </c>
      <c r="B1114" s="883" t="s">
        <v>2592</v>
      </c>
      <c r="C1114" s="884"/>
      <c r="D1114" s="884"/>
      <c r="E1114" s="885"/>
      <c r="F1114" s="885"/>
      <c r="G1114" s="885"/>
      <c r="H1114" s="930"/>
      <c r="I1114" s="885"/>
      <c r="J1114" s="885"/>
      <c r="K1114" s="885"/>
      <c r="L1114" s="885"/>
      <c r="M1114" s="885"/>
      <c r="N1114" s="887"/>
      <c r="O1114" s="885"/>
      <c r="P1114" s="885"/>
      <c r="Q1114" s="885"/>
      <c r="R1114" s="885"/>
      <c r="S1114" s="885"/>
      <c r="T1114" s="885"/>
      <c r="U1114" s="885"/>
      <c r="V1114" s="885"/>
      <c r="W1114" s="885"/>
      <c r="X1114" s="885"/>
      <c r="Y1114" s="885"/>
      <c r="Z1114" s="885"/>
    </row>
    <row r="1115" ht="15.75" customHeight="1">
      <c r="A1115" s="884" t="s">
        <v>2622</v>
      </c>
      <c r="B1115" s="883" t="s">
        <v>2592</v>
      </c>
      <c r="C1115" s="884"/>
      <c r="D1115" s="884"/>
      <c r="E1115" s="885"/>
      <c r="F1115" s="885"/>
      <c r="G1115" s="885"/>
      <c r="H1115" s="930"/>
      <c r="I1115" s="885"/>
      <c r="J1115" s="885"/>
      <c r="K1115" s="885"/>
      <c r="L1115" s="885"/>
      <c r="M1115" s="885"/>
      <c r="N1115" s="887"/>
      <c r="O1115" s="885"/>
      <c r="P1115" s="885"/>
      <c r="Q1115" s="885"/>
      <c r="R1115" s="885"/>
      <c r="S1115" s="885"/>
      <c r="T1115" s="885"/>
      <c r="U1115" s="885"/>
      <c r="V1115" s="885"/>
      <c r="W1115" s="885"/>
      <c r="X1115" s="885"/>
      <c r="Y1115" s="885"/>
      <c r="Z1115" s="885"/>
    </row>
    <row r="1116" ht="15.75" customHeight="1">
      <c r="A1116" s="3" t="s">
        <v>2623</v>
      </c>
      <c r="B1116" s="883" t="s">
        <v>2624</v>
      </c>
      <c r="C1116" s="884"/>
      <c r="D1116" s="884"/>
      <c r="E1116" s="885"/>
      <c r="F1116" s="885"/>
      <c r="G1116" s="885"/>
      <c r="H1116" s="930"/>
      <c r="I1116" s="885"/>
      <c r="J1116" s="885"/>
      <c r="K1116" s="885"/>
      <c r="L1116" s="885"/>
      <c r="M1116" s="885"/>
      <c r="N1116" s="887"/>
      <c r="O1116" s="885"/>
      <c r="P1116" s="885"/>
      <c r="Q1116" s="885"/>
      <c r="R1116" s="885"/>
      <c r="S1116" s="885"/>
      <c r="T1116" s="885"/>
      <c r="U1116" s="885"/>
      <c r="V1116" s="885"/>
      <c r="W1116" s="885"/>
      <c r="X1116" s="885"/>
      <c r="Y1116" s="885"/>
      <c r="Z1116" s="885"/>
    </row>
    <row r="1117" ht="15.75" customHeight="1">
      <c r="A1117" s="3" t="s">
        <v>2625</v>
      </c>
      <c r="B1117" s="883" t="s">
        <v>2624</v>
      </c>
      <c r="C1117" s="884"/>
      <c r="D1117" s="884"/>
      <c r="E1117" s="885"/>
      <c r="F1117" s="885"/>
      <c r="G1117" s="885"/>
      <c r="H1117" s="930"/>
      <c r="I1117" s="885"/>
      <c r="J1117" s="885"/>
      <c r="K1117" s="885"/>
      <c r="L1117" s="885"/>
      <c r="M1117" s="885"/>
      <c r="N1117" s="887"/>
      <c r="O1117" s="885"/>
      <c r="P1117" s="885"/>
      <c r="Q1117" s="885"/>
      <c r="R1117" s="885"/>
      <c r="S1117" s="885"/>
      <c r="T1117" s="885"/>
      <c r="U1117" s="885"/>
      <c r="V1117" s="885"/>
      <c r="W1117" s="885"/>
      <c r="X1117" s="885"/>
      <c r="Y1117" s="885"/>
      <c r="Z1117" s="885"/>
    </row>
    <row r="1118" ht="15.75" customHeight="1">
      <c r="A1118" s="895" t="s">
        <v>2626</v>
      </c>
      <c r="B1118" s="883" t="s">
        <v>2624</v>
      </c>
      <c r="C1118" s="884"/>
      <c r="D1118" s="884"/>
      <c r="E1118" s="885"/>
      <c r="F1118" s="885"/>
      <c r="G1118" s="885"/>
      <c r="H1118" s="930"/>
      <c r="I1118" s="885"/>
      <c r="J1118" s="885"/>
      <c r="K1118" s="885"/>
      <c r="L1118" s="885"/>
      <c r="M1118" s="885"/>
      <c r="N1118" s="887"/>
      <c r="O1118" s="885"/>
      <c r="P1118" s="885"/>
      <c r="Q1118" s="885"/>
      <c r="R1118" s="885"/>
      <c r="S1118" s="885"/>
      <c r="T1118" s="885"/>
      <c r="U1118" s="885"/>
      <c r="V1118" s="885"/>
      <c r="W1118" s="885"/>
      <c r="X1118" s="885"/>
      <c r="Y1118" s="885"/>
      <c r="Z1118" s="885"/>
    </row>
    <row r="1119" ht="15.75" customHeight="1">
      <c r="A1119" s="895" t="s">
        <v>2627</v>
      </c>
      <c r="B1119" s="883" t="s">
        <v>2624</v>
      </c>
      <c r="C1119" s="884"/>
      <c r="D1119" s="884"/>
      <c r="E1119" s="885"/>
      <c r="F1119" s="885"/>
      <c r="G1119" s="885"/>
      <c r="H1119" s="930"/>
      <c r="I1119" s="885"/>
      <c r="J1119" s="885"/>
      <c r="K1119" s="885"/>
      <c r="L1119" s="885"/>
      <c r="M1119" s="885"/>
      <c r="N1119" s="887"/>
      <c r="O1119" s="885"/>
      <c r="P1119" s="885"/>
      <c r="Q1119" s="885"/>
      <c r="R1119" s="885"/>
      <c r="S1119" s="885"/>
      <c r="T1119" s="885"/>
      <c r="U1119" s="885"/>
      <c r="V1119" s="885"/>
      <c r="W1119" s="885"/>
      <c r="X1119" s="885"/>
      <c r="Y1119" s="885"/>
      <c r="Z1119" s="885"/>
    </row>
    <row r="1120" ht="15.75" customHeight="1">
      <c r="A1120" s="895" t="s">
        <v>2628</v>
      </c>
      <c r="B1120" s="883" t="s">
        <v>2624</v>
      </c>
      <c r="C1120" s="884"/>
      <c r="D1120" s="884"/>
      <c r="E1120" s="885"/>
      <c r="F1120" s="885"/>
      <c r="G1120" s="885"/>
      <c r="H1120" s="930"/>
      <c r="I1120" s="885"/>
      <c r="J1120" s="885"/>
      <c r="K1120" s="885"/>
      <c r="L1120" s="885"/>
      <c r="M1120" s="885"/>
      <c r="N1120" s="887"/>
      <c r="O1120" s="885"/>
      <c r="P1120" s="885"/>
      <c r="Q1120" s="885"/>
      <c r="R1120" s="885"/>
      <c r="S1120" s="885"/>
      <c r="T1120" s="885"/>
      <c r="U1120" s="885"/>
      <c r="V1120" s="885"/>
      <c r="W1120" s="885"/>
      <c r="X1120" s="885"/>
      <c r="Y1120" s="885"/>
      <c r="Z1120" s="885"/>
    </row>
    <row r="1121" ht="15.75" customHeight="1">
      <c r="A1121" s="3" t="s">
        <v>2629</v>
      </c>
      <c r="B1121" s="883" t="s">
        <v>2624</v>
      </c>
      <c r="C1121" s="884"/>
      <c r="D1121" s="884"/>
      <c r="E1121" s="885"/>
      <c r="F1121" s="885"/>
      <c r="G1121" s="885"/>
      <c r="H1121" s="930"/>
      <c r="I1121" s="885"/>
      <c r="J1121" s="885"/>
      <c r="K1121" s="885"/>
      <c r="L1121" s="885"/>
      <c r="M1121" s="885"/>
      <c r="N1121" s="887"/>
      <c r="O1121" s="885"/>
      <c r="P1121" s="885"/>
      <c r="Q1121" s="885"/>
      <c r="R1121" s="885"/>
      <c r="S1121" s="885"/>
      <c r="T1121" s="885"/>
      <c r="U1121" s="885"/>
      <c r="V1121" s="885"/>
      <c r="W1121" s="885"/>
      <c r="X1121" s="885"/>
      <c r="Y1121" s="885"/>
      <c r="Z1121" s="885"/>
    </row>
    <row r="1122" ht="15.75" customHeight="1">
      <c r="A1122" s="3" t="s">
        <v>124</v>
      </c>
      <c r="B1122" s="883" t="s">
        <v>2624</v>
      </c>
      <c r="C1122" s="884"/>
      <c r="D1122" s="884"/>
      <c r="E1122" s="885"/>
      <c r="F1122" s="885"/>
      <c r="G1122" s="885"/>
      <c r="H1122" s="930"/>
      <c r="I1122" s="885"/>
      <c r="J1122" s="885"/>
      <c r="K1122" s="885"/>
      <c r="L1122" s="885"/>
      <c r="M1122" s="885"/>
      <c r="N1122" s="887"/>
      <c r="O1122" s="885"/>
      <c r="P1122" s="885"/>
      <c r="Q1122" s="885"/>
      <c r="R1122" s="885"/>
      <c r="S1122" s="885"/>
      <c r="T1122" s="885"/>
      <c r="U1122" s="885"/>
      <c r="V1122" s="885"/>
      <c r="W1122" s="885"/>
      <c r="X1122" s="885"/>
      <c r="Y1122" s="885"/>
      <c r="Z1122" s="885"/>
    </row>
    <row r="1123" ht="15.75" customHeight="1">
      <c r="A1123" s="3" t="s">
        <v>2630</v>
      </c>
      <c r="B1123" s="883" t="s">
        <v>2624</v>
      </c>
      <c r="C1123" s="884"/>
      <c r="D1123" s="884"/>
      <c r="E1123" s="885"/>
      <c r="F1123" s="885"/>
      <c r="G1123" s="885"/>
      <c r="H1123" s="930"/>
      <c r="I1123" s="885"/>
      <c r="J1123" s="885"/>
      <c r="K1123" s="885"/>
      <c r="L1123" s="885"/>
      <c r="M1123" s="885"/>
      <c r="N1123" s="887"/>
      <c r="O1123" s="885"/>
      <c r="P1123" s="885"/>
      <c r="Q1123" s="885"/>
      <c r="R1123" s="885"/>
      <c r="S1123" s="885"/>
      <c r="T1123" s="885"/>
      <c r="U1123" s="885"/>
      <c r="V1123" s="885"/>
      <c r="W1123" s="885"/>
      <c r="X1123" s="885"/>
      <c r="Y1123" s="885"/>
      <c r="Z1123" s="885"/>
    </row>
    <row r="1124" ht="15.75" customHeight="1">
      <c r="A1124" s="3" t="s">
        <v>2631</v>
      </c>
      <c r="B1124" s="883" t="s">
        <v>2624</v>
      </c>
      <c r="C1124" s="884"/>
      <c r="D1124" s="884"/>
      <c r="E1124" s="885"/>
      <c r="F1124" s="885"/>
      <c r="G1124" s="885"/>
      <c r="H1124" s="930"/>
      <c r="I1124" s="885"/>
      <c r="J1124" s="885"/>
      <c r="K1124" s="885"/>
      <c r="L1124" s="885"/>
      <c r="M1124" s="885"/>
      <c r="N1124" s="887"/>
      <c r="O1124" s="885"/>
      <c r="P1124" s="885"/>
      <c r="Q1124" s="885"/>
      <c r="R1124" s="885"/>
      <c r="S1124" s="885"/>
      <c r="T1124" s="885"/>
      <c r="U1124" s="885"/>
      <c r="V1124" s="885"/>
      <c r="W1124" s="885"/>
      <c r="X1124" s="885"/>
      <c r="Y1124" s="885"/>
      <c r="Z1124" s="885"/>
    </row>
    <row r="1125" ht="15.75" customHeight="1">
      <c r="A1125" s="3" t="s">
        <v>2632</v>
      </c>
      <c r="B1125" s="883" t="s">
        <v>2624</v>
      </c>
      <c r="C1125" s="884"/>
      <c r="D1125" s="884"/>
      <c r="E1125" s="885"/>
      <c r="F1125" s="885"/>
      <c r="G1125" s="885"/>
      <c r="H1125" s="930"/>
      <c r="I1125" s="885"/>
      <c r="J1125" s="885"/>
      <c r="K1125" s="885"/>
      <c r="L1125" s="885"/>
      <c r="M1125" s="885"/>
      <c r="N1125" s="887"/>
      <c r="O1125" s="885"/>
      <c r="P1125" s="885"/>
      <c r="Q1125" s="885"/>
      <c r="R1125" s="885"/>
      <c r="S1125" s="885"/>
      <c r="T1125" s="885"/>
      <c r="U1125" s="885"/>
      <c r="V1125" s="885"/>
      <c r="W1125" s="885"/>
      <c r="X1125" s="885"/>
      <c r="Y1125" s="885"/>
      <c r="Z1125" s="885"/>
    </row>
    <row r="1126" ht="15.75" customHeight="1">
      <c r="A1126" s="3" t="s">
        <v>1699</v>
      </c>
      <c r="B1126" s="883" t="s">
        <v>2633</v>
      </c>
      <c r="C1126" s="884"/>
      <c r="D1126" s="884"/>
      <c r="E1126" s="885"/>
      <c r="F1126" s="885"/>
      <c r="G1126" s="885"/>
      <c r="H1126" s="930"/>
      <c r="I1126" s="885"/>
      <c r="J1126" s="885"/>
      <c r="K1126" s="885"/>
      <c r="L1126" s="885"/>
      <c r="M1126" s="885"/>
      <c r="N1126" s="887"/>
      <c r="O1126" s="885"/>
      <c r="P1126" s="885"/>
      <c r="Q1126" s="885"/>
      <c r="R1126" s="885"/>
      <c r="S1126" s="885"/>
      <c r="T1126" s="885"/>
      <c r="U1126" s="885"/>
      <c r="V1126" s="885"/>
      <c r="W1126" s="885"/>
      <c r="X1126" s="885"/>
      <c r="Y1126" s="885"/>
      <c r="Z1126" s="885"/>
    </row>
    <row r="1127" ht="15.75" customHeight="1">
      <c r="A1127" s="884" t="s">
        <v>2634</v>
      </c>
      <c r="B1127" s="883" t="s">
        <v>2624</v>
      </c>
      <c r="C1127" s="884"/>
      <c r="D1127" s="884"/>
      <c r="E1127" s="885"/>
      <c r="F1127" s="885"/>
      <c r="G1127" s="885"/>
      <c r="H1127" s="930"/>
      <c r="I1127" s="885"/>
      <c r="J1127" s="885"/>
      <c r="K1127" s="885"/>
      <c r="L1127" s="885"/>
      <c r="M1127" s="885"/>
      <c r="N1127" s="887"/>
      <c r="O1127" s="885"/>
      <c r="P1127" s="885"/>
      <c r="Q1127" s="885"/>
      <c r="R1127" s="885"/>
      <c r="S1127" s="885"/>
      <c r="T1127" s="885"/>
      <c r="U1127" s="885"/>
      <c r="V1127" s="885"/>
      <c r="W1127" s="885"/>
      <c r="X1127" s="885"/>
      <c r="Y1127" s="885"/>
      <c r="Z1127" s="885"/>
    </row>
    <row r="1128" ht="15.75" customHeight="1">
      <c r="A1128" s="3" t="s">
        <v>745</v>
      </c>
      <c r="B1128" s="883" t="s">
        <v>2624</v>
      </c>
      <c r="C1128" s="884"/>
      <c r="D1128" s="884"/>
      <c r="E1128" s="885"/>
      <c r="F1128" s="885"/>
      <c r="G1128" s="885"/>
      <c r="H1128" s="930"/>
      <c r="I1128" s="885"/>
      <c r="J1128" s="885"/>
      <c r="K1128" s="885"/>
      <c r="L1128" s="885"/>
      <c r="M1128" s="885"/>
      <c r="N1128" s="887"/>
      <c r="O1128" s="885"/>
      <c r="P1128" s="885"/>
      <c r="Q1128" s="885"/>
      <c r="R1128" s="885"/>
      <c r="S1128" s="885"/>
      <c r="T1128" s="885"/>
      <c r="U1128" s="885"/>
      <c r="V1128" s="885"/>
      <c r="W1128" s="885"/>
      <c r="X1128" s="885"/>
      <c r="Y1128" s="885"/>
      <c r="Z1128" s="885"/>
    </row>
    <row r="1129" ht="15.75" customHeight="1">
      <c r="A1129" s="3" t="s">
        <v>1698</v>
      </c>
      <c r="B1129" s="883" t="s">
        <v>2624</v>
      </c>
      <c r="C1129" s="884"/>
      <c r="D1129" s="884"/>
      <c r="E1129" s="885"/>
      <c r="F1129" s="885"/>
      <c r="G1129" s="885"/>
      <c r="H1129" s="930"/>
      <c r="I1129" s="885"/>
      <c r="J1129" s="885"/>
      <c r="K1129" s="885"/>
      <c r="L1129" s="885"/>
      <c r="M1129" s="885"/>
      <c r="N1129" s="887"/>
      <c r="O1129" s="885"/>
      <c r="P1129" s="885"/>
      <c r="Q1129" s="885"/>
      <c r="R1129" s="885"/>
      <c r="S1129" s="885"/>
      <c r="T1129" s="885"/>
      <c r="U1129" s="885"/>
      <c r="V1129" s="885"/>
      <c r="W1129" s="885"/>
      <c r="X1129" s="885"/>
      <c r="Y1129" s="885"/>
      <c r="Z1129" s="885"/>
    </row>
    <row r="1130" ht="15.75" customHeight="1">
      <c r="A1130" s="3" t="s">
        <v>370</v>
      </c>
      <c r="B1130" s="883" t="s">
        <v>2624</v>
      </c>
      <c r="C1130" s="884"/>
      <c r="D1130" s="884"/>
      <c r="E1130" s="885"/>
      <c r="F1130" s="885"/>
      <c r="G1130" s="885"/>
      <c r="H1130" s="930"/>
      <c r="I1130" s="885"/>
      <c r="J1130" s="885"/>
      <c r="K1130" s="885"/>
      <c r="L1130" s="885"/>
      <c r="M1130" s="885"/>
      <c r="N1130" s="887"/>
      <c r="O1130" s="885"/>
      <c r="P1130" s="885"/>
      <c r="Q1130" s="885"/>
      <c r="R1130" s="885"/>
      <c r="S1130" s="885"/>
      <c r="T1130" s="885"/>
      <c r="U1130" s="885"/>
      <c r="V1130" s="885"/>
      <c r="W1130" s="885"/>
      <c r="X1130" s="885"/>
      <c r="Y1130" s="885"/>
      <c r="Z1130" s="885"/>
    </row>
    <row r="1131" ht="15.75" customHeight="1">
      <c r="A1131" s="3" t="s">
        <v>2635</v>
      </c>
      <c r="B1131" s="883" t="s">
        <v>2624</v>
      </c>
      <c r="C1131" s="884"/>
      <c r="D1131" s="884"/>
      <c r="E1131" s="885"/>
      <c r="F1131" s="885"/>
      <c r="G1131" s="885"/>
      <c r="H1131" s="930"/>
      <c r="I1131" s="885"/>
      <c r="J1131" s="885"/>
      <c r="K1131" s="885"/>
      <c r="L1131" s="885"/>
      <c r="M1131" s="885"/>
      <c r="N1131" s="887"/>
      <c r="O1131" s="885"/>
      <c r="P1131" s="885"/>
      <c r="Q1131" s="885"/>
      <c r="R1131" s="885"/>
      <c r="S1131" s="885"/>
      <c r="T1131" s="885"/>
      <c r="U1131" s="885"/>
      <c r="V1131" s="885"/>
      <c r="W1131" s="885"/>
      <c r="X1131" s="885"/>
      <c r="Y1131" s="885"/>
      <c r="Z1131" s="885"/>
    </row>
    <row r="1132" ht="15.75" customHeight="1">
      <c r="A1132" s="883" t="s">
        <v>2636</v>
      </c>
      <c r="B1132" s="895" t="s">
        <v>2637</v>
      </c>
      <c r="C1132" s="884"/>
      <c r="D1132" s="884"/>
      <c r="E1132" s="885"/>
      <c r="F1132" s="885"/>
      <c r="G1132" s="885"/>
      <c r="H1132" s="930"/>
      <c r="I1132" s="885"/>
      <c r="J1132" s="885"/>
      <c r="K1132" s="885"/>
      <c r="L1132" s="885"/>
      <c r="M1132" s="885"/>
      <c r="N1132" s="887"/>
      <c r="O1132" s="885"/>
      <c r="P1132" s="885"/>
      <c r="Q1132" s="885"/>
      <c r="R1132" s="885"/>
      <c r="S1132" s="885"/>
      <c r="T1132" s="885"/>
      <c r="U1132" s="885"/>
      <c r="V1132" s="885"/>
      <c r="W1132" s="885"/>
      <c r="X1132" s="885"/>
      <c r="Y1132" s="885"/>
      <c r="Z1132" s="885"/>
    </row>
    <row r="1133" ht="15.75" customHeight="1">
      <c r="A1133" s="884" t="s">
        <v>2638</v>
      </c>
      <c r="B1133" s="895" t="s">
        <v>2637</v>
      </c>
      <c r="C1133" s="884"/>
      <c r="D1133" s="884"/>
      <c r="E1133" s="885"/>
      <c r="F1133" s="885"/>
      <c r="G1133" s="885"/>
      <c r="H1133" s="930"/>
      <c r="I1133" s="885"/>
      <c r="J1133" s="885"/>
      <c r="K1133" s="885"/>
      <c r="L1133" s="885"/>
      <c r="M1133" s="885"/>
      <c r="N1133" s="887"/>
      <c r="O1133" s="885"/>
      <c r="P1133" s="885"/>
      <c r="Q1133" s="885"/>
      <c r="R1133" s="885"/>
      <c r="S1133" s="885"/>
      <c r="T1133" s="885"/>
      <c r="U1133" s="885"/>
      <c r="V1133" s="885"/>
      <c r="W1133" s="885"/>
      <c r="X1133" s="885"/>
      <c r="Y1133" s="885"/>
      <c r="Z1133" s="885"/>
    </row>
    <row r="1134" ht="15.75" customHeight="1">
      <c r="A1134" s="884" t="s">
        <v>2639</v>
      </c>
      <c r="B1134" s="895" t="s">
        <v>2637</v>
      </c>
      <c r="C1134" s="884"/>
      <c r="D1134" s="884"/>
      <c r="E1134" s="885"/>
      <c r="F1134" s="885"/>
      <c r="G1134" s="885"/>
      <c r="H1134" s="930"/>
      <c r="I1134" s="885"/>
      <c r="J1134" s="885"/>
      <c r="K1134" s="885"/>
      <c r="L1134" s="885"/>
      <c r="M1134" s="885"/>
      <c r="N1134" s="887"/>
      <c r="O1134" s="885"/>
      <c r="P1134" s="885"/>
      <c r="Q1134" s="885"/>
      <c r="R1134" s="885"/>
      <c r="S1134" s="885"/>
      <c r="T1134" s="885"/>
      <c r="U1134" s="885"/>
      <c r="V1134" s="885"/>
      <c r="W1134" s="885"/>
      <c r="X1134" s="885"/>
      <c r="Y1134" s="885"/>
      <c r="Z1134" s="885"/>
    </row>
    <row r="1135" ht="15.75" customHeight="1">
      <c r="A1135" s="3" t="s">
        <v>2640</v>
      </c>
      <c r="B1135" s="895" t="s">
        <v>2637</v>
      </c>
      <c r="C1135" s="884"/>
      <c r="D1135" s="884"/>
      <c r="E1135" s="885"/>
      <c r="F1135" s="885"/>
      <c r="G1135" s="885"/>
      <c r="H1135" s="930"/>
      <c r="I1135" s="885"/>
      <c r="J1135" s="885"/>
      <c r="K1135" s="885"/>
      <c r="L1135" s="885"/>
      <c r="M1135" s="885"/>
      <c r="N1135" s="887"/>
      <c r="O1135" s="885"/>
      <c r="P1135" s="885"/>
      <c r="Q1135" s="885"/>
      <c r="R1135" s="885"/>
      <c r="S1135" s="885"/>
      <c r="T1135" s="885"/>
      <c r="U1135" s="885"/>
      <c r="V1135" s="885"/>
      <c r="W1135" s="885"/>
      <c r="X1135" s="885"/>
      <c r="Y1135" s="885"/>
      <c r="Z1135" s="885"/>
    </row>
    <row r="1136" ht="15.75" customHeight="1">
      <c r="A1136" s="895" t="s">
        <v>1694</v>
      </c>
      <c r="B1136" s="895" t="s">
        <v>2637</v>
      </c>
      <c r="C1136" s="884"/>
      <c r="D1136" s="884"/>
      <c r="E1136" s="885"/>
      <c r="F1136" s="885"/>
      <c r="G1136" s="885"/>
      <c r="H1136" s="930"/>
      <c r="I1136" s="885"/>
      <c r="J1136" s="885"/>
      <c r="K1136" s="885"/>
      <c r="L1136" s="885"/>
      <c r="M1136" s="885"/>
      <c r="N1136" s="887"/>
      <c r="O1136" s="885"/>
      <c r="P1136" s="885"/>
      <c r="Q1136" s="885"/>
      <c r="R1136" s="885"/>
      <c r="S1136" s="885"/>
      <c r="T1136" s="885"/>
      <c r="U1136" s="885"/>
      <c r="V1136" s="885"/>
      <c r="W1136" s="885"/>
      <c r="X1136" s="885"/>
      <c r="Y1136" s="885"/>
      <c r="Z1136" s="885"/>
    </row>
    <row r="1137" ht="15.75" customHeight="1">
      <c r="A1137" s="895" t="s">
        <v>2641</v>
      </c>
      <c r="B1137" s="895" t="s">
        <v>2637</v>
      </c>
      <c r="C1137" s="884"/>
      <c r="D1137" s="884"/>
      <c r="E1137" s="885"/>
      <c r="F1137" s="885"/>
      <c r="G1137" s="885"/>
      <c r="H1137" s="930"/>
      <c r="I1137" s="885"/>
      <c r="J1137" s="885"/>
      <c r="K1137" s="885"/>
      <c r="L1137" s="885"/>
      <c r="M1137" s="885"/>
      <c r="N1137" s="887"/>
      <c r="O1137" s="885"/>
      <c r="P1137" s="885"/>
      <c r="Q1137" s="885"/>
      <c r="R1137" s="885"/>
      <c r="S1137" s="885"/>
      <c r="T1137" s="885"/>
      <c r="U1137" s="885"/>
      <c r="V1137" s="885"/>
      <c r="W1137" s="885"/>
      <c r="X1137" s="885"/>
      <c r="Y1137" s="885"/>
      <c r="Z1137" s="885"/>
    </row>
    <row r="1138" ht="15.75" customHeight="1">
      <c r="A1138" s="895" t="s">
        <v>2642</v>
      </c>
      <c r="B1138" s="895" t="s">
        <v>2637</v>
      </c>
      <c r="C1138" s="884"/>
      <c r="D1138" s="884"/>
      <c r="E1138" s="885"/>
      <c r="F1138" s="885"/>
      <c r="G1138" s="885"/>
      <c r="H1138" s="930"/>
      <c r="I1138" s="885"/>
      <c r="J1138" s="885"/>
      <c r="K1138" s="885"/>
      <c r="L1138" s="885"/>
      <c r="M1138" s="885"/>
      <c r="N1138" s="887"/>
      <c r="O1138" s="885"/>
      <c r="P1138" s="885"/>
      <c r="Q1138" s="885"/>
      <c r="R1138" s="885"/>
      <c r="S1138" s="885"/>
      <c r="T1138" s="885"/>
      <c r="U1138" s="885"/>
      <c r="V1138" s="885"/>
      <c r="W1138" s="885"/>
      <c r="X1138" s="885"/>
      <c r="Y1138" s="885"/>
      <c r="Z1138" s="885"/>
    </row>
    <row r="1139" ht="15.75" customHeight="1">
      <c r="A1139" s="895" t="s">
        <v>2643</v>
      </c>
      <c r="B1139" s="895" t="s">
        <v>2637</v>
      </c>
      <c r="C1139" s="884"/>
      <c r="D1139" s="884"/>
      <c r="E1139" s="885"/>
      <c r="F1139" s="885"/>
      <c r="G1139" s="885"/>
      <c r="H1139" s="930"/>
      <c r="I1139" s="885"/>
      <c r="J1139" s="885"/>
      <c r="K1139" s="885"/>
      <c r="L1139" s="885"/>
      <c r="M1139" s="885"/>
      <c r="N1139" s="887"/>
      <c r="O1139" s="885"/>
      <c r="P1139" s="885"/>
      <c r="Q1139" s="885"/>
      <c r="R1139" s="885"/>
      <c r="S1139" s="885"/>
      <c r="T1139" s="885"/>
      <c r="U1139" s="885"/>
      <c r="V1139" s="885"/>
      <c r="W1139" s="885"/>
      <c r="X1139" s="885"/>
      <c r="Y1139" s="885"/>
      <c r="Z1139" s="885"/>
    </row>
    <row r="1140" ht="15.75" customHeight="1">
      <c r="A1140" s="3" t="s">
        <v>2644</v>
      </c>
      <c r="B1140" s="895" t="s">
        <v>2637</v>
      </c>
      <c r="C1140" s="884"/>
      <c r="D1140" s="884"/>
      <c r="E1140" s="885"/>
      <c r="F1140" s="885"/>
      <c r="G1140" s="885"/>
      <c r="H1140" s="930"/>
      <c r="I1140" s="885"/>
      <c r="J1140" s="885"/>
      <c r="K1140" s="885"/>
      <c r="L1140" s="885"/>
      <c r="M1140" s="885"/>
      <c r="N1140" s="887"/>
      <c r="O1140" s="885"/>
      <c r="P1140" s="885"/>
      <c r="Q1140" s="885"/>
      <c r="R1140" s="885"/>
      <c r="S1140" s="885"/>
      <c r="T1140" s="885"/>
      <c r="U1140" s="885"/>
      <c r="V1140" s="885"/>
      <c r="W1140" s="885"/>
      <c r="X1140" s="885"/>
      <c r="Y1140" s="885"/>
      <c r="Z1140" s="885"/>
    </row>
    <row r="1141" ht="15.75" customHeight="1">
      <c r="A1141" s="3" t="s">
        <v>2645</v>
      </c>
      <c r="B1141" s="895" t="s">
        <v>2637</v>
      </c>
      <c r="C1141" s="884"/>
      <c r="D1141" s="884"/>
      <c r="E1141" s="885"/>
      <c r="F1141" s="885"/>
      <c r="G1141" s="885"/>
      <c r="H1141" s="930"/>
      <c r="I1141" s="885"/>
      <c r="J1141" s="885"/>
      <c r="K1141" s="885"/>
      <c r="L1141" s="885"/>
      <c r="M1141" s="885"/>
      <c r="N1141" s="887"/>
      <c r="O1141" s="885"/>
      <c r="P1141" s="885"/>
      <c r="Q1141" s="885"/>
      <c r="R1141" s="885"/>
      <c r="S1141" s="885"/>
      <c r="T1141" s="885"/>
      <c r="U1141" s="885"/>
      <c r="V1141" s="885"/>
      <c r="W1141" s="885"/>
      <c r="X1141" s="885"/>
      <c r="Y1141" s="885"/>
      <c r="Z1141" s="885"/>
    </row>
    <row r="1142" ht="15.75" customHeight="1">
      <c r="A1142" s="3" t="s">
        <v>80</v>
      </c>
      <c r="B1142" s="895" t="s">
        <v>2637</v>
      </c>
      <c r="C1142" s="884"/>
      <c r="D1142" s="884"/>
      <c r="E1142" s="885"/>
      <c r="F1142" s="885"/>
      <c r="G1142" s="885"/>
      <c r="H1142" s="930"/>
      <c r="I1142" s="885"/>
      <c r="J1142" s="885"/>
      <c r="K1142" s="885"/>
      <c r="L1142" s="885"/>
      <c r="M1142" s="885"/>
      <c r="N1142" s="887"/>
      <c r="O1142" s="885"/>
      <c r="P1142" s="885"/>
      <c r="Q1142" s="885"/>
      <c r="R1142" s="885"/>
      <c r="S1142" s="885"/>
      <c r="T1142" s="885"/>
      <c r="U1142" s="885"/>
      <c r="V1142" s="885"/>
      <c r="W1142" s="885"/>
      <c r="X1142" s="885"/>
      <c r="Y1142" s="885"/>
      <c r="Z1142" s="885"/>
    </row>
    <row r="1143" ht="15.75" customHeight="1">
      <c r="A1143" s="884" t="s">
        <v>2646</v>
      </c>
      <c r="B1143" s="895" t="s">
        <v>2637</v>
      </c>
      <c r="C1143" s="884"/>
      <c r="D1143" s="884"/>
      <c r="E1143" s="885"/>
      <c r="F1143" s="885"/>
      <c r="G1143" s="885"/>
      <c r="H1143" s="930"/>
      <c r="I1143" s="885"/>
      <c r="J1143" s="885"/>
      <c r="K1143" s="885"/>
      <c r="L1143" s="885"/>
      <c r="M1143" s="885"/>
      <c r="N1143" s="887"/>
      <c r="O1143" s="885"/>
      <c r="P1143" s="885"/>
      <c r="Q1143" s="885"/>
      <c r="R1143" s="885"/>
      <c r="S1143" s="885"/>
      <c r="T1143" s="885"/>
      <c r="U1143" s="885"/>
      <c r="V1143" s="885"/>
      <c r="W1143" s="885"/>
      <c r="X1143" s="885"/>
      <c r="Y1143" s="885"/>
      <c r="Z1143" s="885"/>
    </row>
    <row r="1144" ht="15.75" customHeight="1">
      <c r="A1144" s="884" t="s">
        <v>2647</v>
      </c>
      <c r="B1144" s="895" t="s">
        <v>2637</v>
      </c>
      <c r="C1144" s="884"/>
      <c r="D1144" s="884"/>
      <c r="E1144" s="885"/>
      <c r="F1144" s="885"/>
      <c r="G1144" s="885"/>
      <c r="H1144" s="930"/>
      <c r="I1144" s="885"/>
      <c r="J1144" s="885"/>
      <c r="K1144" s="885"/>
      <c r="L1144" s="885"/>
      <c r="M1144" s="885"/>
      <c r="N1144" s="887"/>
      <c r="O1144" s="885"/>
      <c r="P1144" s="885"/>
      <c r="Q1144" s="885"/>
      <c r="R1144" s="885"/>
      <c r="S1144" s="885"/>
      <c r="T1144" s="885"/>
      <c r="U1144" s="885"/>
      <c r="V1144" s="885"/>
      <c r="W1144" s="885"/>
      <c r="X1144" s="885"/>
      <c r="Y1144" s="885"/>
      <c r="Z1144" s="885"/>
    </row>
    <row r="1145" ht="15.75" customHeight="1">
      <c r="A1145" s="3" t="s">
        <v>2648</v>
      </c>
      <c r="B1145" s="895" t="s">
        <v>2637</v>
      </c>
      <c r="C1145" s="884"/>
      <c r="D1145" s="884"/>
      <c r="E1145" s="885"/>
      <c r="F1145" s="885"/>
      <c r="G1145" s="885"/>
      <c r="H1145" s="930"/>
      <c r="I1145" s="885"/>
      <c r="J1145" s="885"/>
      <c r="K1145" s="885"/>
      <c r="L1145" s="885"/>
      <c r="M1145" s="885"/>
      <c r="N1145" s="887"/>
      <c r="O1145" s="885"/>
      <c r="P1145" s="885"/>
      <c r="Q1145" s="885"/>
      <c r="R1145" s="885"/>
      <c r="S1145" s="885"/>
      <c r="T1145" s="885"/>
      <c r="U1145" s="885"/>
      <c r="V1145" s="885"/>
      <c r="W1145" s="885"/>
      <c r="X1145" s="885"/>
      <c r="Y1145" s="885"/>
      <c r="Z1145" s="885"/>
    </row>
    <row r="1146" ht="15.75" customHeight="1">
      <c r="A1146" s="3" t="s">
        <v>136</v>
      </c>
      <c r="B1146" s="895" t="s">
        <v>2637</v>
      </c>
      <c r="C1146" s="884"/>
      <c r="D1146" s="884"/>
      <c r="E1146" s="885"/>
      <c r="F1146" s="885"/>
      <c r="G1146" s="885"/>
      <c r="H1146" s="930"/>
      <c r="I1146" s="885"/>
      <c r="J1146" s="885"/>
      <c r="K1146" s="885"/>
      <c r="L1146" s="885"/>
      <c r="M1146" s="885"/>
      <c r="N1146" s="887"/>
      <c r="O1146" s="885"/>
      <c r="P1146" s="885"/>
      <c r="Q1146" s="885"/>
      <c r="R1146" s="885"/>
      <c r="S1146" s="885"/>
      <c r="T1146" s="885"/>
      <c r="U1146" s="885"/>
      <c r="V1146" s="885"/>
      <c r="W1146" s="885"/>
      <c r="X1146" s="885"/>
      <c r="Y1146" s="885"/>
      <c r="Z1146" s="885"/>
    </row>
    <row r="1147" ht="15.75" customHeight="1">
      <c r="A1147" s="3" t="s">
        <v>2649</v>
      </c>
      <c r="B1147" s="895" t="s">
        <v>2637</v>
      </c>
      <c r="C1147" s="884"/>
      <c r="D1147" s="884"/>
      <c r="E1147" s="885"/>
      <c r="F1147" s="885"/>
      <c r="G1147" s="885"/>
      <c r="H1147" s="930"/>
      <c r="I1147" s="885"/>
      <c r="J1147" s="885"/>
      <c r="K1147" s="885"/>
      <c r="L1147" s="885"/>
      <c r="M1147" s="885"/>
      <c r="N1147" s="887"/>
      <c r="O1147" s="885"/>
      <c r="P1147" s="885"/>
      <c r="Q1147" s="885"/>
      <c r="R1147" s="885"/>
      <c r="S1147" s="885"/>
      <c r="T1147" s="885"/>
      <c r="U1147" s="885"/>
      <c r="V1147" s="885"/>
      <c r="W1147" s="885"/>
      <c r="X1147" s="885"/>
      <c r="Y1147" s="885"/>
      <c r="Z1147" s="885"/>
    </row>
    <row r="1148" ht="15.75" customHeight="1">
      <c r="A1148" s="3" t="s">
        <v>2650</v>
      </c>
      <c r="B1148" s="895" t="s">
        <v>2637</v>
      </c>
      <c r="C1148" s="884"/>
      <c r="D1148" s="884"/>
      <c r="E1148" s="885"/>
      <c r="F1148" s="885"/>
      <c r="G1148" s="885"/>
      <c r="H1148" s="930"/>
      <c r="I1148" s="885"/>
      <c r="J1148" s="885"/>
      <c r="K1148" s="885"/>
      <c r="L1148" s="885"/>
      <c r="M1148" s="885"/>
      <c r="N1148" s="887"/>
      <c r="O1148" s="885"/>
      <c r="P1148" s="885"/>
      <c r="Q1148" s="885"/>
      <c r="R1148" s="885"/>
      <c r="S1148" s="885"/>
      <c r="T1148" s="885"/>
      <c r="U1148" s="885"/>
      <c r="V1148" s="885"/>
      <c r="W1148" s="885"/>
      <c r="X1148" s="885"/>
      <c r="Y1148" s="885"/>
      <c r="Z1148" s="885"/>
    </row>
    <row r="1149" ht="15.75" customHeight="1">
      <c r="A1149" s="3" t="s">
        <v>390</v>
      </c>
      <c r="B1149" s="895" t="s">
        <v>2637</v>
      </c>
      <c r="C1149" s="884"/>
      <c r="D1149" s="884"/>
      <c r="E1149" s="885"/>
      <c r="F1149" s="885"/>
      <c r="G1149" s="885"/>
      <c r="H1149" s="930"/>
      <c r="I1149" s="885"/>
      <c r="J1149" s="885"/>
      <c r="K1149" s="885"/>
      <c r="L1149" s="885"/>
      <c r="M1149" s="885"/>
      <c r="N1149" s="887"/>
      <c r="O1149" s="885"/>
      <c r="P1149" s="885"/>
      <c r="Q1149" s="885"/>
      <c r="R1149" s="885"/>
      <c r="S1149" s="885"/>
      <c r="T1149" s="885"/>
      <c r="U1149" s="885"/>
      <c r="V1149" s="885"/>
      <c r="W1149" s="885"/>
      <c r="X1149" s="885"/>
      <c r="Y1149" s="885"/>
      <c r="Z1149" s="885"/>
    </row>
    <row r="1150" ht="15.75" customHeight="1">
      <c r="A1150" s="884" t="s">
        <v>2651</v>
      </c>
      <c r="B1150" s="895" t="s">
        <v>2637</v>
      </c>
      <c r="C1150" s="3"/>
      <c r="D1150" s="884"/>
      <c r="E1150" s="885"/>
      <c r="F1150" s="885"/>
      <c r="G1150" s="885"/>
      <c r="H1150" s="930"/>
      <c r="I1150" s="885"/>
      <c r="J1150" s="885"/>
      <c r="K1150" s="885"/>
      <c r="L1150" s="885"/>
      <c r="M1150" s="885"/>
      <c r="N1150" s="887"/>
      <c r="O1150" s="885"/>
      <c r="P1150" s="885"/>
      <c r="Q1150" s="885"/>
      <c r="R1150" s="885"/>
      <c r="S1150" s="885"/>
      <c r="T1150" s="885"/>
      <c r="U1150" s="885"/>
      <c r="V1150" s="885"/>
      <c r="W1150" s="885"/>
      <c r="X1150" s="885"/>
      <c r="Y1150" s="885"/>
      <c r="Z1150" s="885"/>
    </row>
    <row r="1151" ht="15.75" customHeight="1">
      <c r="A1151" s="883" t="s">
        <v>2652</v>
      </c>
      <c r="B1151" s="895" t="s">
        <v>2637</v>
      </c>
      <c r="C1151" s="3"/>
      <c r="D1151" s="884"/>
      <c r="E1151" s="885"/>
      <c r="F1151" s="885"/>
      <c r="G1151" s="885"/>
      <c r="H1151" s="930"/>
      <c r="I1151" s="885"/>
      <c r="J1151" s="885"/>
      <c r="K1151" s="885"/>
      <c r="L1151" s="885"/>
      <c r="M1151" s="885"/>
      <c r="N1151" s="887"/>
      <c r="O1151" s="885"/>
      <c r="P1151" s="885"/>
      <c r="Q1151" s="885"/>
      <c r="R1151" s="885"/>
      <c r="S1151" s="885"/>
      <c r="T1151" s="885"/>
      <c r="U1151" s="885"/>
      <c r="V1151" s="885"/>
      <c r="W1151" s="885"/>
      <c r="X1151" s="885"/>
      <c r="Y1151" s="885"/>
      <c r="Z1151" s="885"/>
    </row>
    <row r="1152" ht="15.75" customHeight="1">
      <c r="A1152" s="3" t="s">
        <v>347</v>
      </c>
      <c r="B1152" s="895" t="s">
        <v>2637</v>
      </c>
      <c r="C1152" s="884"/>
      <c r="D1152" s="884"/>
      <c r="E1152" s="885"/>
      <c r="F1152" s="885"/>
      <c r="G1152" s="885"/>
      <c r="H1152" s="930"/>
      <c r="I1152" s="885"/>
      <c r="J1152" s="885"/>
      <c r="K1152" s="885"/>
      <c r="L1152" s="885"/>
      <c r="M1152" s="885"/>
      <c r="N1152" s="887"/>
      <c r="O1152" s="885"/>
      <c r="P1152" s="885"/>
      <c r="Q1152" s="885"/>
      <c r="R1152" s="885"/>
      <c r="S1152" s="885"/>
      <c r="T1152" s="885"/>
      <c r="U1152" s="885"/>
      <c r="V1152" s="885"/>
      <c r="W1152" s="885"/>
      <c r="X1152" s="885"/>
      <c r="Y1152" s="885"/>
      <c r="Z1152" s="885"/>
    </row>
    <row r="1153" ht="15.75" customHeight="1">
      <c r="A1153" s="884" t="s">
        <v>2653</v>
      </c>
      <c r="B1153" s="895" t="s">
        <v>2654</v>
      </c>
      <c r="C1153" s="884"/>
      <c r="D1153" s="884"/>
      <c r="E1153" s="885"/>
      <c r="F1153" s="885"/>
      <c r="G1153" s="885"/>
      <c r="H1153" s="930"/>
      <c r="I1153" s="885"/>
      <c r="J1153" s="885"/>
      <c r="K1153" s="885"/>
      <c r="L1153" s="885"/>
      <c r="M1153" s="885"/>
      <c r="N1153" s="887"/>
      <c r="O1153" s="885"/>
      <c r="P1153" s="885"/>
      <c r="Q1153" s="885"/>
      <c r="R1153" s="885"/>
      <c r="S1153" s="885"/>
      <c r="T1153" s="885"/>
      <c r="U1153" s="885"/>
      <c r="V1153" s="885"/>
      <c r="W1153" s="885"/>
      <c r="X1153" s="885"/>
      <c r="Y1153" s="885"/>
      <c r="Z1153" s="885"/>
    </row>
    <row r="1154" ht="15.75" customHeight="1">
      <c r="A1154" s="884" t="s">
        <v>2655</v>
      </c>
      <c r="B1154" s="895" t="s">
        <v>2654</v>
      </c>
      <c r="C1154" s="884"/>
      <c r="D1154" s="884"/>
      <c r="E1154" s="885"/>
      <c r="F1154" s="885"/>
      <c r="G1154" s="885"/>
      <c r="H1154" s="930"/>
      <c r="I1154" s="885"/>
      <c r="J1154" s="885"/>
      <c r="K1154" s="885"/>
      <c r="L1154" s="885"/>
      <c r="M1154" s="885"/>
      <c r="N1154" s="887"/>
      <c r="O1154" s="885"/>
      <c r="P1154" s="885"/>
      <c r="Q1154" s="885"/>
      <c r="R1154" s="885"/>
      <c r="S1154" s="885"/>
      <c r="T1154" s="885"/>
      <c r="U1154" s="885"/>
      <c r="V1154" s="885"/>
      <c r="W1154" s="885"/>
      <c r="X1154" s="885"/>
      <c r="Y1154" s="885"/>
      <c r="Z1154" s="885"/>
    </row>
    <row r="1155" ht="15.75" customHeight="1">
      <c r="A1155" s="884" t="s">
        <v>2656</v>
      </c>
      <c r="B1155" s="895" t="s">
        <v>2654</v>
      </c>
      <c r="C1155" s="884"/>
      <c r="D1155" s="884"/>
      <c r="E1155" s="885"/>
      <c r="F1155" s="885"/>
      <c r="G1155" s="885"/>
      <c r="H1155" s="930"/>
      <c r="I1155" s="885"/>
      <c r="J1155" s="885"/>
      <c r="K1155" s="885"/>
      <c r="L1155" s="885"/>
      <c r="M1155" s="885"/>
      <c r="N1155" s="887"/>
      <c r="O1155" s="885"/>
      <c r="P1155" s="885"/>
      <c r="Q1155" s="885"/>
      <c r="R1155" s="885"/>
      <c r="S1155" s="885"/>
      <c r="T1155" s="885"/>
      <c r="U1155" s="885"/>
      <c r="V1155" s="885"/>
      <c r="W1155" s="885"/>
      <c r="X1155" s="885"/>
      <c r="Y1155" s="885"/>
      <c r="Z1155" s="885"/>
    </row>
    <row r="1156" ht="15.75" customHeight="1">
      <c r="A1156" s="3" t="s">
        <v>2657</v>
      </c>
      <c r="B1156" s="895" t="s">
        <v>2654</v>
      </c>
      <c r="C1156" s="884"/>
      <c r="D1156" s="884"/>
      <c r="E1156" s="885"/>
      <c r="F1156" s="885"/>
      <c r="G1156" s="885"/>
      <c r="H1156" s="930"/>
      <c r="I1156" s="885"/>
      <c r="J1156" s="885"/>
      <c r="K1156" s="885"/>
      <c r="L1156" s="885"/>
      <c r="M1156" s="885"/>
      <c r="N1156" s="887"/>
      <c r="O1156" s="885"/>
      <c r="P1156" s="885"/>
      <c r="Q1156" s="885"/>
      <c r="R1156" s="885"/>
      <c r="S1156" s="885"/>
      <c r="T1156" s="885"/>
      <c r="U1156" s="885"/>
      <c r="V1156" s="885"/>
      <c r="W1156" s="885"/>
      <c r="X1156" s="885"/>
      <c r="Y1156" s="885"/>
      <c r="Z1156" s="885"/>
    </row>
    <row r="1157" ht="15.75" customHeight="1">
      <c r="A1157" s="3" t="s">
        <v>2658</v>
      </c>
      <c r="B1157" s="895" t="s">
        <v>2654</v>
      </c>
      <c r="C1157" s="884"/>
      <c r="D1157" s="884"/>
      <c r="E1157" s="885"/>
      <c r="F1157" s="885"/>
      <c r="G1157" s="885"/>
      <c r="H1157" s="930"/>
      <c r="I1157" s="885"/>
      <c r="J1157" s="885"/>
      <c r="K1157" s="885"/>
      <c r="L1157" s="885"/>
      <c r="M1157" s="885"/>
      <c r="N1157" s="887"/>
      <c r="O1157" s="885"/>
      <c r="P1157" s="885"/>
      <c r="Q1157" s="885"/>
      <c r="R1157" s="885"/>
      <c r="S1157" s="885"/>
      <c r="T1157" s="885"/>
      <c r="U1157" s="885"/>
      <c r="V1157" s="885"/>
      <c r="W1157" s="885"/>
      <c r="X1157" s="885"/>
      <c r="Y1157" s="885"/>
      <c r="Z1157" s="885"/>
    </row>
    <row r="1158" ht="15.75" customHeight="1">
      <c r="A1158" s="3" t="s">
        <v>211</v>
      </c>
      <c r="B1158" s="895" t="s">
        <v>2654</v>
      </c>
      <c r="C1158" s="884"/>
      <c r="D1158" s="884"/>
      <c r="E1158" s="885"/>
      <c r="F1158" s="885"/>
      <c r="G1158" s="885"/>
      <c r="H1158" s="930"/>
      <c r="I1158" s="885"/>
      <c r="J1158" s="885"/>
      <c r="K1158" s="885"/>
      <c r="L1158" s="885"/>
      <c r="M1158" s="885"/>
      <c r="N1158" s="887"/>
      <c r="O1158" s="885"/>
      <c r="P1158" s="885"/>
      <c r="Q1158" s="885"/>
      <c r="R1158" s="885"/>
      <c r="S1158" s="885"/>
      <c r="T1158" s="885"/>
      <c r="U1158" s="885"/>
      <c r="V1158" s="885"/>
      <c r="W1158" s="885"/>
      <c r="X1158" s="885"/>
      <c r="Y1158" s="885"/>
      <c r="Z1158" s="885"/>
    </row>
    <row r="1159" ht="15.75" customHeight="1">
      <c r="A1159" s="3" t="s">
        <v>2659</v>
      </c>
      <c r="B1159" s="895" t="s">
        <v>2654</v>
      </c>
      <c r="C1159" s="884"/>
      <c r="D1159" s="884"/>
      <c r="E1159" s="885"/>
      <c r="F1159" s="885"/>
      <c r="G1159" s="885"/>
      <c r="H1159" s="930"/>
      <c r="I1159" s="885"/>
      <c r="J1159" s="885"/>
      <c r="K1159" s="885"/>
      <c r="L1159" s="885"/>
      <c r="M1159" s="885"/>
      <c r="N1159" s="887"/>
      <c r="O1159" s="885"/>
      <c r="P1159" s="885"/>
      <c r="Q1159" s="885"/>
      <c r="R1159" s="885"/>
      <c r="S1159" s="885"/>
      <c r="T1159" s="885"/>
      <c r="U1159" s="885"/>
      <c r="V1159" s="885"/>
      <c r="W1159" s="885"/>
      <c r="X1159" s="885"/>
      <c r="Y1159" s="885"/>
      <c r="Z1159" s="885"/>
    </row>
    <row r="1160" ht="15.75" customHeight="1">
      <c r="A1160" s="3" t="s">
        <v>2660</v>
      </c>
      <c r="B1160" s="895" t="s">
        <v>2654</v>
      </c>
      <c r="C1160" s="884"/>
      <c r="D1160" s="884"/>
      <c r="E1160" s="885"/>
      <c r="F1160" s="885"/>
      <c r="G1160" s="885"/>
      <c r="H1160" s="930"/>
      <c r="I1160" s="885"/>
      <c r="J1160" s="885"/>
      <c r="K1160" s="885"/>
      <c r="L1160" s="885"/>
      <c r="M1160" s="885"/>
      <c r="N1160" s="887"/>
      <c r="O1160" s="885"/>
      <c r="P1160" s="885"/>
      <c r="Q1160" s="885"/>
      <c r="R1160" s="885"/>
      <c r="S1160" s="885"/>
      <c r="T1160" s="885"/>
      <c r="U1160" s="885"/>
      <c r="V1160" s="885"/>
      <c r="W1160" s="885"/>
      <c r="X1160" s="885"/>
      <c r="Y1160" s="885"/>
      <c r="Z1160" s="885"/>
    </row>
    <row r="1161" ht="15.75" customHeight="1">
      <c r="A1161" s="3" t="s">
        <v>397</v>
      </c>
      <c r="B1161" s="895" t="s">
        <v>2654</v>
      </c>
      <c r="C1161" s="884"/>
      <c r="D1161" s="884"/>
      <c r="E1161" s="885"/>
      <c r="F1161" s="885"/>
      <c r="G1161" s="885"/>
      <c r="H1161" s="930"/>
      <c r="I1161" s="885"/>
      <c r="J1161" s="885"/>
      <c r="K1161" s="885"/>
      <c r="L1161" s="885"/>
      <c r="M1161" s="885"/>
      <c r="N1161" s="887"/>
      <c r="O1161" s="885"/>
      <c r="P1161" s="885"/>
      <c r="Q1161" s="885"/>
      <c r="R1161" s="885"/>
      <c r="S1161" s="885"/>
      <c r="T1161" s="885"/>
      <c r="U1161" s="885"/>
      <c r="V1161" s="885"/>
      <c r="W1161" s="885"/>
      <c r="X1161" s="885"/>
      <c r="Y1161" s="885"/>
      <c r="Z1161" s="885"/>
    </row>
    <row r="1162" ht="15.75" customHeight="1">
      <c r="A1162" s="895" t="s">
        <v>2661</v>
      </c>
      <c r="B1162" s="895" t="s">
        <v>2654</v>
      </c>
      <c r="C1162" s="884"/>
      <c r="D1162" s="884"/>
      <c r="E1162" s="885"/>
      <c r="F1162" s="885"/>
      <c r="G1162" s="885"/>
      <c r="H1162" s="930"/>
      <c r="I1162" s="885"/>
      <c r="J1162" s="885"/>
      <c r="K1162" s="885"/>
      <c r="L1162" s="885"/>
      <c r="M1162" s="885"/>
      <c r="N1162" s="887"/>
      <c r="O1162" s="885"/>
      <c r="P1162" s="885"/>
      <c r="Q1162" s="885"/>
      <c r="R1162" s="885"/>
      <c r="S1162" s="885"/>
      <c r="T1162" s="885"/>
      <c r="U1162" s="885"/>
      <c r="V1162" s="885"/>
      <c r="W1162" s="885"/>
      <c r="X1162" s="885"/>
      <c r="Y1162" s="885"/>
      <c r="Z1162" s="885"/>
    </row>
    <row r="1163" ht="15.75" customHeight="1">
      <c r="A1163" s="3" t="s">
        <v>447</v>
      </c>
      <c r="B1163" s="895" t="s">
        <v>2654</v>
      </c>
      <c r="C1163" s="884"/>
      <c r="D1163" s="884"/>
      <c r="E1163" s="885"/>
      <c r="F1163" s="885"/>
      <c r="G1163" s="885"/>
      <c r="H1163" s="930"/>
      <c r="I1163" s="885"/>
      <c r="J1163" s="885"/>
      <c r="K1163" s="885"/>
      <c r="L1163" s="885"/>
      <c r="M1163" s="885"/>
      <c r="N1163" s="887"/>
      <c r="O1163" s="885"/>
      <c r="P1163" s="885"/>
      <c r="Q1163" s="885"/>
      <c r="R1163" s="885"/>
      <c r="S1163" s="885"/>
      <c r="T1163" s="885"/>
      <c r="U1163" s="885"/>
      <c r="V1163" s="885"/>
      <c r="W1163" s="885"/>
      <c r="X1163" s="885"/>
      <c r="Y1163" s="885"/>
      <c r="Z1163" s="885"/>
    </row>
    <row r="1164" ht="15.75" customHeight="1">
      <c r="A1164" s="3" t="s">
        <v>2662</v>
      </c>
      <c r="B1164" s="895" t="s">
        <v>2663</v>
      </c>
      <c r="C1164" s="884"/>
      <c r="D1164" s="884"/>
      <c r="E1164" s="885"/>
      <c r="F1164" s="885"/>
      <c r="G1164" s="885"/>
      <c r="H1164" s="930"/>
      <c r="I1164" s="885"/>
      <c r="J1164" s="885"/>
      <c r="K1164" s="885"/>
      <c r="L1164" s="885"/>
      <c r="M1164" s="885"/>
      <c r="N1164" s="887"/>
      <c r="O1164" s="885"/>
      <c r="P1164" s="885"/>
      <c r="Q1164" s="885"/>
      <c r="R1164" s="885"/>
      <c r="S1164" s="885"/>
      <c r="T1164" s="885"/>
      <c r="U1164" s="885"/>
      <c r="V1164" s="885"/>
      <c r="W1164" s="885"/>
      <c r="X1164" s="885"/>
      <c r="Y1164" s="885"/>
      <c r="Z1164" s="885"/>
    </row>
    <row r="1165" ht="15.75" customHeight="1">
      <c r="A1165" s="3" t="s">
        <v>2664</v>
      </c>
      <c r="B1165" s="895" t="s">
        <v>2663</v>
      </c>
      <c r="C1165" s="884"/>
      <c r="D1165" s="884"/>
      <c r="E1165" s="885"/>
      <c r="F1165" s="885"/>
      <c r="G1165" s="885"/>
      <c r="H1165" s="930"/>
      <c r="I1165" s="885"/>
      <c r="J1165" s="885"/>
      <c r="K1165" s="885"/>
      <c r="L1165" s="885"/>
      <c r="M1165" s="885"/>
      <c r="N1165" s="887"/>
      <c r="O1165" s="885"/>
      <c r="P1165" s="885"/>
      <c r="Q1165" s="885"/>
      <c r="R1165" s="885"/>
      <c r="S1165" s="885"/>
      <c r="T1165" s="885"/>
      <c r="U1165" s="885"/>
      <c r="V1165" s="885"/>
      <c r="W1165" s="885"/>
      <c r="X1165" s="885"/>
      <c r="Y1165" s="885"/>
      <c r="Z1165" s="885"/>
    </row>
    <row r="1166" ht="15.75" customHeight="1">
      <c r="A1166" s="3" t="s">
        <v>1327</v>
      </c>
      <c r="B1166" s="895" t="s">
        <v>2663</v>
      </c>
      <c r="C1166" s="884"/>
      <c r="D1166" s="884"/>
      <c r="E1166" s="885"/>
      <c r="F1166" s="885"/>
      <c r="G1166" s="885"/>
      <c r="H1166" s="930"/>
      <c r="I1166" s="885"/>
      <c r="J1166" s="885"/>
      <c r="K1166" s="885"/>
      <c r="L1166" s="885"/>
      <c r="M1166" s="885"/>
      <c r="N1166" s="887"/>
      <c r="O1166" s="885"/>
      <c r="P1166" s="885"/>
      <c r="Q1166" s="885"/>
      <c r="R1166" s="885"/>
      <c r="S1166" s="885"/>
      <c r="T1166" s="885"/>
      <c r="U1166" s="885"/>
      <c r="V1166" s="885"/>
      <c r="W1166" s="885"/>
      <c r="X1166" s="885"/>
      <c r="Y1166" s="885"/>
      <c r="Z1166" s="885"/>
    </row>
    <row r="1167" ht="15.75" customHeight="1">
      <c r="A1167" s="3" t="s">
        <v>2665</v>
      </c>
      <c r="B1167" s="895" t="s">
        <v>2663</v>
      </c>
      <c r="C1167" s="884"/>
      <c r="D1167" s="884"/>
      <c r="E1167" s="885"/>
      <c r="F1167" s="885"/>
      <c r="G1167" s="885"/>
      <c r="H1167" s="930"/>
      <c r="I1167" s="885"/>
      <c r="J1167" s="885"/>
      <c r="K1167" s="885"/>
      <c r="L1167" s="885"/>
      <c r="M1167" s="885"/>
      <c r="N1167" s="887"/>
      <c r="O1167" s="885"/>
      <c r="P1167" s="885"/>
      <c r="Q1167" s="885"/>
      <c r="R1167" s="885"/>
      <c r="S1167" s="885"/>
      <c r="T1167" s="885"/>
      <c r="U1167" s="885"/>
      <c r="V1167" s="885"/>
      <c r="W1167" s="885"/>
      <c r="X1167" s="885"/>
      <c r="Y1167" s="885"/>
      <c r="Z1167" s="885"/>
    </row>
    <row r="1168" ht="15.75" customHeight="1">
      <c r="A1168" s="3" t="s">
        <v>2666</v>
      </c>
      <c r="B1168" s="895" t="s">
        <v>2663</v>
      </c>
      <c r="C1168" s="884"/>
      <c r="D1168" s="884"/>
      <c r="E1168" s="885"/>
      <c r="F1168" s="885"/>
      <c r="G1168" s="885"/>
      <c r="H1168" s="930"/>
      <c r="I1168" s="885"/>
      <c r="J1168" s="885"/>
      <c r="K1168" s="885"/>
      <c r="L1168" s="885"/>
      <c r="M1168" s="885"/>
      <c r="N1168" s="887"/>
      <c r="O1168" s="885"/>
      <c r="P1168" s="885"/>
      <c r="Q1168" s="885"/>
      <c r="R1168" s="885"/>
      <c r="S1168" s="885"/>
      <c r="T1168" s="885"/>
      <c r="U1168" s="885"/>
      <c r="V1168" s="885"/>
      <c r="W1168" s="885"/>
      <c r="X1168" s="885"/>
      <c r="Y1168" s="885"/>
      <c r="Z1168" s="885"/>
    </row>
    <row r="1169" ht="15.75" customHeight="1">
      <c r="A1169" s="3" t="s">
        <v>2667</v>
      </c>
      <c r="B1169" s="895" t="s">
        <v>2663</v>
      </c>
      <c r="C1169" s="884"/>
      <c r="D1169" s="884"/>
      <c r="E1169" s="885"/>
      <c r="F1169" s="885"/>
      <c r="G1169" s="885"/>
      <c r="H1169" s="930"/>
      <c r="I1169" s="885"/>
      <c r="J1169" s="885"/>
      <c r="K1169" s="885"/>
      <c r="L1169" s="885"/>
      <c r="M1169" s="885"/>
      <c r="N1169" s="887"/>
      <c r="O1169" s="885"/>
      <c r="P1169" s="885"/>
      <c r="Q1169" s="885"/>
      <c r="R1169" s="885"/>
      <c r="S1169" s="885"/>
      <c r="T1169" s="885"/>
      <c r="U1169" s="885"/>
      <c r="V1169" s="885"/>
      <c r="W1169" s="885"/>
      <c r="X1169" s="885"/>
      <c r="Y1169" s="885"/>
      <c r="Z1169" s="885"/>
    </row>
    <row r="1170" ht="15.75" customHeight="1">
      <c r="A1170" s="884" t="s">
        <v>2668</v>
      </c>
      <c r="B1170" s="895" t="s">
        <v>2663</v>
      </c>
      <c r="C1170" s="884"/>
      <c r="D1170" s="884"/>
      <c r="E1170" s="885"/>
      <c r="F1170" s="885"/>
      <c r="G1170" s="885"/>
      <c r="H1170" s="930"/>
      <c r="I1170" s="885"/>
      <c r="J1170" s="885"/>
      <c r="K1170" s="885"/>
      <c r="L1170" s="885"/>
      <c r="M1170" s="885"/>
      <c r="N1170" s="887"/>
      <c r="O1170" s="885"/>
      <c r="P1170" s="885"/>
      <c r="Q1170" s="885"/>
      <c r="R1170" s="885"/>
      <c r="S1170" s="885"/>
      <c r="T1170" s="885"/>
      <c r="U1170" s="885"/>
      <c r="V1170" s="885"/>
      <c r="W1170" s="885"/>
      <c r="X1170" s="885"/>
      <c r="Y1170" s="885"/>
      <c r="Z1170" s="885"/>
    </row>
    <row r="1171" ht="15.75" customHeight="1">
      <c r="A1171" s="884" t="s">
        <v>2669</v>
      </c>
      <c r="B1171" s="895" t="s">
        <v>2663</v>
      </c>
      <c r="C1171" s="884"/>
      <c r="D1171" s="884"/>
      <c r="E1171" s="885"/>
      <c r="F1171" s="885"/>
      <c r="G1171" s="885"/>
      <c r="H1171" s="930"/>
      <c r="I1171" s="885"/>
      <c r="J1171" s="885"/>
      <c r="K1171" s="885"/>
      <c r="L1171" s="885"/>
      <c r="M1171" s="885"/>
      <c r="N1171" s="887"/>
      <c r="O1171" s="885"/>
      <c r="P1171" s="885"/>
      <c r="Q1171" s="885"/>
      <c r="R1171" s="885"/>
      <c r="S1171" s="885"/>
      <c r="T1171" s="885"/>
      <c r="U1171" s="885"/>
      <c r="V1171" s="885"/>
      <c r="W1171" s="885"/>
      <c r="X1171" s="885"/>
      <c r="Y1171" s="885"/>
      <c r="Z1171" s="885"/>
    </row>
    <row r="1172" ht="15.75" customHeight="1">
      <c r="A1172" s="3" t="s">
        <v>2670</v>
      </c>
      <c r="B1172" s="895" t="s">
        <v>2663</v>
      </c>
      <c r="C1172" s="884"/>
      <c r="D1172" s="884"/>
      <c r="E1172" s="885"/>
      <c r="F1172" s="885"/>
      <c r="G1172" s="885"/>
      <c r="H1172" s="930"/>
      <c r="I1172" s="885"/>
      <c r="J1172" s="885"/>
      <c r="K1172" s="885"/>
      <c r="L1172" s="885"/>
      <c r="M1172" s="885"/>
      <c r="N1172" s="887"/>
      <c r="O1172" s="885"/>
      <c r="P1172" s="885"/>
      <c r="Q1172" s="885"/>
      <c r="R1172" s="885"/>
      <c r="S1172" s="885"/>
      <c r="T1172" s="885"/>
      <c r="U1172" s="885"/>
      <c r="V1172" s="885"/>
      <c r="W1172" s="885"/>
      <c r="X1172" s="885"/>
      <c r="Y1172" s="885"/>
      <c r="Z1172" s="885"/>
    </row>
    <row r="1173" ht="15.75" customHeight="1">
      <c r="A1173" s="884" t="s">
        <v>2671</v>
      </c>
      <c r="B1173" s="895" t="s">
        <v>2663</v>
      </c>
      <c r="C1173" s="884"/>
      <c r="D1173" s="884"/>
      <c r="E1173" s="885"/>
      <c r="F1173" s="885"/>
      <c r="G1173" s="885"/>
      <c r="H1173" s="930"/>
      <c r="I1173" s="885"/>
      <c r="J1173" s="885"/>
      <c r="K1173" s="885"/>
      <c r="L1173" s="885"/>
      <c r="M1173" s="885"/>
      <c r="N1173" s="887"/>
      <c r="O1173" s="885"/>
      <c r="P1173" s="885"/>
      <c r="Q1173" s="885"/>
      <c r="R1173" s="885"/>
      <c r="S1173" s="885"/>
      <c r="T1173" s="885"/>
      <c r="U1173" s="885"/>
      <c r="V1173" s="885"/>
      <c r="W1173" s="885"/>
      <c r="X1173" s="885"/>
      <c r="Y1173" s="885"/>
      <c r="Z1173" s="885"/>
    </row>
    <row r="1174" ht="15.75" customHeight="1">
      <c r="A1174" s="884" t="s">
        <v>2672</v>
      </c>
      <c r="B1174" s="895" t="s">
        <v>2663</v>
      </c>
      <c r="C1174" s="884"/>
      <c r="D1174" s="884"/>
      <c r="E1174" s="885"/>
      <c r="F1174" s="885"/>
      <c r="G1174" s="885"/>
      <c r="H1174" s="930"/>
      <c r="I1174" s="885"/>
      <c r="J1174" s="885"/>
      <c r="K1174" s="885"/>
      <c r="L1174" s="885"/>
      <c r="M1174" s="885"/>
      <c r="N1174" s="887"/>
      <c r="O1174" s="885"/>
      <c r="P1174" s="885"/>
      <c r="Q1174" s="885"/>
      <c r="R1174" s="885"/>
      <c r="S1174" s="885"/>
      <c r="T1174" s="885"/>
      <c r="U1174" s="885"/>
      <c r="V1174" s="885"/>
      <c r="W1174" s="885"/>
      <c r="X1174" s="885"/>
      <c r="Y1174" s="885"/>
      <c r="Z1174" s="885"/>
    </row>
    <row r="1175" ht="15.75" customHeight="1">
      <c r="A1175" s="884" t="s">
        <v>2673</v>
      </c>
      <c r="B1175" s="895" t="s">
        <v>2663</v>
      </c>
      <c r="C1175" s="884"/>
      <c r="D1175" s="884"/>
      <c r="E1175" s="885"/>
      <c r="F1175" s="885"/>
      <c r="G1175" s="885"/>
      <c r="H1175" s="930"/>
      <c r="I1175" s="885"/>
      <c r="J1175" s="885"/>
      <c r="K1175" s="885"/>
      <c r="L1175" s="885"/>
      <c r="M1175" s="885"/>
      <c r="N1175" s="887"/>
      <c r="O1175" s="885"/>
      <c r="P1175" s="885"/>
      <c r="Q1175" s="885"/>
      <c r="R1175" s="885"/>
      <c r="S1175" s="885"/>
      <c r="T1175" s="885"/>
      <c r="U1175" s="885"/>
      <c r="V1175" s="885"/>
      <c r="W1175" s="885"/>
      <c r="X1175" s="885"/>
      <c r="Y1175" s="885"/>
      <c r="Z1175" s="885"/>
    </row>
    <row r="1176" ht="15.75" customHeight="1">
      <c r="A1176" s="883" t="s">
        <v>1708</v>
      </c>
      <c r="B1176" s="895" t="s">
        <v>2663</v>
      </c>
      <c r="C1176" s="884"/>
      <c r="D1176" s="884"/>
      <c r="E1176" s="885"/>
      <c r="F1176" s="885"/>
      <c r="G1176" s="885"/>
      <c r="H1176" s="930"/>
      <c r="I1176" s="885"/>
      <c r="J1176" s="885"/>
      <c r="K1176" s="885"/>
      <c r="L1176" s="885"/>
      <c r="M1176" s="885"/>
      <c r="N1176" s="887"/>
      <c r="O1176" s="885"/>
      <c r="P1176" s="885"/>
      <c r="Q1176" s="885"/>
      <c r="R1176" s="885"/>
      <c r="S1176" s="885"/>
      <c r="T1176" s="885"/>
      <c r="U1176" s="885"/>
      <c r="V1176" s="885"/>
      <c r="W1176" s="885"/>
      <c r="X1176" s="885"/>
      <c r="Y1176" s="885"/>
      <c r="Z1176" s="885"/>
    </row>
    <row r="1177" ht="15.75" customHeight="1">
      <c r="A1177" s="884" t="s">
        <v>2674</v>
      </c>
      <c r="B1177" s="895" t="s">
        <v>2675</v>
      </c>
      <c r="C1177" s="884"/>
      <c r="D1177" s="884"/>
      <c r="E1177" s="885"/>
      <c r="F1177" s="885"/>
      <c r="G1177" s="885"/>
      <c r="H1177" s="930"/>
      <c r="I1177" s="885"/>
      <c r="J1177" s="885"/>
      <c r="K1177" s="885"/>
      <c r="L1177" s="885"/>
      <c r="M1177" s="885"/>
      <c r="N1177" s="887"/>
      <c r="O1177" s="885"/>
      <c r="P1177" s="885"/>
      <c r="Q1177" s="885"/>
      <c r="R1177" s="885"/>
      <c r="S1177" s="885"/>
      <c r="T1177" s="885"/>
      <c r="U1177" s="885"/>
      <c r="V1177" s="885"/>
      <c r="W1177" s="885"/>
      <c r="X1177" s="885"/>
      <c r="Y1177" s="885"/>
      <c r="Z1177" s="885"/>
    </row>
    <row r="1178" ht="15.75" customHeight="1">
      <c r="A1178" s="884" t="s">
        <v>289</v>
      </c>
      <c r="B1178" s="895" t="s">
        <v>2675</v>
      </c>
      <c r="C1178" s="884"/>
      <c r="D1178" s="884"/>
      <c r="E1178" s="885"/>
      <c r="F1178" s="885"/>
      <c r="G1178" s="885"/>
      <c r="H1178" s="930"/>
      <c r="I1178" s="885"/>
      <c r="J1178" s="885"/>
      <c r="K1178" s="885"/>
      <c r="L1178" s="885"/>
      <c r="M1178" s="885"/>
      <c r="N1178" s="887"/>
      <c r="O1178" s="885"/>
      <c r="P1178" s="885"/>
      <c r="Q1178" s="885"/>
      <c r="R1178" s="885"/>
      <c r="S1178" s="885"/>
      <c r="T1178" s="885"/>
      <c r="U1178" s="885"/>
      <c r="V1178" s="885"/>
      <c r="W1178" s="885"/>
      <c r="X1178" s="885"/>
      <c r="Y1178" s="885"/>
      <c r="Z1178" s="885"/>
    </row>
    <row r="1179" ht="15.75" customHeight="1">
      <c r="A1179" s="883" t="s">
        <v>1739</v>
      </c>
      <c r="B1179" s="895" t="s">
        <v>2675</v>
      </c>
      <c r="C1179" s="884"/>
      <c r="D1179" s="884"/>
      <c r="E1179" s="885"/>
      <c r="F1179" s="885"/>
      <c r="G1179" s="885"/>
      <c r="H1179" s="930"/>
      <c r="I1179" s="885"/>
      <c r="J1179" s="885"/>
      <c r="K1179" s="885"/>
      <c r="L1179" s="885"/>
      <c r="M1179" s="885"/>
      <c r="N1179" s="887"/>
      <c r="O1179" s="885"/>
      <c r="P1179" s="885"/>
      <c r="Q1179" s="885"/>
      <c r="R1179" s="885"/>
      <c r="S1179" s="885"/>
      <c r="T1179" s="885"/>
      <c r="U1179" s="885"/>
      <c r="V1179" s="885"/>
      <c r="W1179" s="885"/>
      <c r="X1179" s="885"/>
      <c r="Y1179" s="885"/>
      <c r="Z1179" s="885"/>
    </row>
    <row r="1180" ht="15.75" customHeight="1">
      <c r="A1180" s="884" t="s">
        <v>2676</v>
      </c>
      <c r="B1180" s="895" t="s">
        <v>2675</v>
      </c>
      <c r="C1180" s="884"/>
      <c r="D1180" s="884"/>
      <c r="E1180" s="885"/>
      <c r="F1180" s="885"/>
      <c r="G1180" s="885"/>
      <c r="H1180" s="930"/>
      <c r="I1180" s="885"/>
      <c r="J1180" s="885"/>
      <c r="K1180" s="885"/>
      <c r="L1180" s="885"/>
      <c r="M1180" s="885"/>
      <c r="N1180" s="887"/>
      <c r="O1180" s="885"/>
      <c r="P1180" s="885"/>
      <c r="Q1180" s="885"/>
      <c r="R1180" s="885"/>
      <c r="S1180" s="885"/>
      <c r="T1180" s="885"/>
      <c r="U1180" s="885"/>
      <c r="V1180" s="885"/>
      <c r="W1180" s="885"/>
      <c r="X1180" s="885"/>
      <c r="Y1180" s="885"/>
      <c r="Z1180" s="885"/>
    </row>
    <row r="1181" ht="15.75" customHeight="1">
      <c r="A1181" s="884" t="s">
        <v>2677</v>
      </c>
      <c r="B1181" s="895" t="s">
        <v>2675</v>
      </c>
      <c r="C1181" s="884"/>
      <c r="D1181" s="884"/>
      <c r="E1181" s="885"/>
      <c r="F1181" s="885"/>
      <c r="G1181" s="885"/>
      <c r="H1181" s="930"/>
      <c r="I1181" s="885"/>
      <c r="J1181" s="885"/>
      <c r="K1181" s="885"/>
      <c r="L1181" s="885"/>
      <c r="M1181" s="885"/>
      <c r="N1181" s="887"/>
      <c r="O1181" s="885"/>
      <c r="P1181" s="885"/>
      <c r="Q1181" s="885"/>
      <c r="R1181" s="885"/>
      <c r="S1181" s="885"/>
      <c r="T1181" s="885"/>
      <c r="U1181" s="885"/>
      <c r="V1181" s="885"/>
      <c r="W1181" s="885"/>
      <c r="X1181" s="885"/>
      <c r="Y1181" s="885"/>
      <c r="Z1181" s="885"/>
    </row>
    <row r="1182" ht="15.75" customHeight="1">
      <c r="A1182" s="3" t="s">
        <v>809</v>
      </c>
      <c r="B1182" s="895" t="s">
        <v>2675</v>
      </c>
      <c r="C1182" s="884"/>
      <c r="D1182" s="884"/>
      <c r="E1182" s="885"/>
      <c r="F1182" s="885"/>
      <c r="G1182" s="885"/>
      <c r="H1182" s="930"/>
      <c r="I1182" s="885"/>
      <c r="J1182" s="885"/>
      <c r="K1182" s="885"/>
      <c r="L1182" s="885"/>
      <c r="M1182" s="885"/>
      <c r="N1182" s="887"/>
      <c r="O1182" s="885"/>
      <c r="P1182" s="885"/>
      <c r="Q1182" s="885"/>
      <c r="R1182" s="885"/>
      <c r="S1182" s="885"/>
      <c r="T1182" s="885"/>
      <c r="U1182" s="885"/>
      <c r="V1182" s="885"/>
      <c r="W1182" s="885"/>
      <c r="X1182" s="885"/>
      <c r="Y1182" s="885"/>
      <c r="Z1182" s="885"/>
    </row>
    <row r="1183" ht="15.75" customHeight="1">
      <c r="A1183" s="3" t="s">
        <v>2678</v>
      </c>
      <c r="B1183" s="895" t="s">
        <v>2675</v>
      </c>
      <c r="C1183" s="884"/>
      <c r="D1183" s="884"/>
      <c r="E1183" s="885"/>
      <c r="F1183" s="885"/>
      <c r="G1183" s="885"/>
      <c r="H1183" s="930"/>
      <c r="I1183" s="885"/>
      <c r="J1183" s="885"/>
      <c r="K1183" s="885"/>
      <c r="L1183" s="885"/>
      <c r="M1183" s="885"/>
      <c r="N1183" s="887"/>
      <c r="O1183" s="885"/>
      <c r="P1183" s="885"/>
      <c r="Q1183" s="885"/>
      <c r="R1183" s="885"/>
      <c r="S1183" s="885"/>
      <c r="T1183" s="885"/>
      <c r="U1183" s="885"/>
      <c r="V1183" s="885"/>
      <c r="W1183" s="885"/>
      <c r="X1183" s="885"/>
      <c r="Y1183" s="885"/>
      <c r="Z1183" s="885"/>
    </row>
    <row r="1184" ht="15.75" customHeight="1">
      <c r="A1184" s="3" t="s">
        <v>2679</v>
      </c>
      <c r="B1184" s="895" t="s">
        <v>2675</v>
      </c>
      <c r="C1184" s="884"/>
      <c r="D1184" s="884"/>
      <c r="E1184" s="885"/>
      <c r="F1184" s="885"/>
      <c r="G1184" s="885"/>
      <c r="H1184" s="930"/>
      <c r="I1184" s="885"/>
      <c r="J1184" s="885"/>
      <c r="K1184" s="885"/>
      <c r="L1184" s="885"/>
      <c r="M1184" s="885"/>
      <c r="N1184" s="887"/>
      <c r="O1184" s="885"/>
      <c r="P1184" s="885"/>
      <c r="Q1184" s="885"/>
      <c r="R1184" s="885"/>
      <c r="S1184" s="885"/>
      <c r="T1184" s="885"/>
      <c r="U1184" s="885"/>
      <c r="V1184" s="885"/>
      <c r="W1184" s="885"/>
      <c r="X1184" s="885"/>
      <c r="Y1184" s="885"/>
      <c r="Z1184" s="885"/>
    </row>
    <row r="1185" ht="15.75" customHeight="1">
      <c r="A1185" s="3" t="s">
        <v>2680</v>
      </c>
      <c r="B1185" s="895" t="s">
        <v>2675</v>
      </c>
      <c r="C1185" s="884"/>
      <c r="D1185" s="884"/>
      <c r="E1185" s="885"/>
      <c r="F1185" s="885"/>
      <c r="G1185" s="885"/>
      <c r="H1185" s="930"/>
      <c r="I1185" s="885"/>
      <c r="J1185" s="885"/>
      <c r="K1185" s="885"/>
      <c r="L1185" s="885"/>
      <c r="M1185" s="885"/>
      <c r="N1185" s="887"/>
      <c r="O1185" s="885"/>
      <c r="P1185" s="885"/>
      <c r="Q1185" s="885"/>
      <c r="R1185" s="885"/>
      <c r="S1185" s="885"/>
      <c r="T1185" s="885"/>
      <c r="U1185" s="885"/>
      <c r="V1185" s="885"/>
      <c r="W1185" s="885"/>
      <c r="X1185" s="885"/>
      <c r="Y1185" s="885"/>
      <c r="Z1185" s="885"/>
    </row>
    <row r="1186" ht="15.75" customHeight="1">
      <c r="A1186" s="3" t="s">
        <v>2681</v>
      </c>
      <c r="B1186" s="883" t="s">
        <v>2682</v>
      </c>
      <c r="C1186" s="884"/>
      <c r="D1186" s="884"/>
      <c r="E1186" s="885"/>
      <c r="F1186" s="885"/>
      <c r="G1186" s="885"/>
      <c r="H1186" s="930"/>
      <c r="I1186" s="885"/>
      <c r="J1186" s="885"/>
      <c r="K1186" s="885"/>
      <c r="L1186" s="885"/>
      <c r="M1186" s="885"/>
      <c r="N1186" s="887"/>
      <c r="O1186" s="885"/>
      <c r="P1186" s="885"/>
      <c r="Q1186" s="885"/>
      <c r="R1186" s="885"/>
      <c r="S1186" s="885"/>
      <c r="T1186" s="885"/>
      <c r="U1186" s="885"/>
      <c r="V1186" s="885"/>
      <c r="W1186" s="885"/>
      <c r="X1186" s="885"/>
      <c r="Y1186" s="885"/>
      <c r="Z1186" s="885"/>
    </row>
    <row r="1187" ht="15.75" customHeight="1">
      <c r="A1187" s="3" t="s">
        <v>2683</v>
      </c>
      <c r="B1187" s="883" t="s">
        <v>2682</v>
      </c>
      <c r="C1187" s="884"/>
      <c r="D1187" s="884"/>
      <c r="E1187" s="885"/>
      <c r="F1187" s="885"/>
      <c r="G1187" s="885"/>
      <c r="H1187" s="930"/>
      <c r="I1187" s="885"/>
      <c r="J1187" s="885"/>
      <c r="K1187" s="885"/>
      <c r="L1187" s="885"/>
      <c r="M1187" s="885"/>
      <c r="N1187" s="887"/>
      <c r="O1187" s="885"/>
      <c r="P1187" s="885"/>
      <c r="Q1187" s="885"/>
      <c r="R1187" s="885"/>
      <c r="S1187" s="885"/>
      <c r="T1187" s="885"/>
      <c r="U1187" s="885"/>
      <c r="V1187" s="885"/>
      <c r="W1187" s="885"/>
      <c r="X1187" s="885"/>
      <c r="Y1187" s="885"/>
      <c r="Z1187" s="885"/>
    </row>
    <row r="1188" ht="15.75" customHeight="1">
      <c r="A1188" s="3" t="s">
        <v>2684</v>
      </c>
      <c r="B1188" s="883" t="s">
        <v>2682</v>
      </c>
      <c r="C1188" s="884"/>
      <c r="D1188" s="884"/>
      <c r="E1188" s="885"/>
      <c r="F1188" s="885"/>
      <c r="G1188" s="885"/>
      <c r="H1188" s="930"/>
      <c r="I1188" s="885"/>
      <c r="J1188" s="885"/>
      <c r="K1188" s="885"/>
      <c r="L1188" s="885"/>
      <c r="M1188" s="885"/>
      <c r="N1188" s="887"/>
      <c r="O1188" s="885"/>
      <c r="P1188" s="885"/>
      <c r="Q1188" s="885"/>
      <c r="R1188" s="885"/>
      <c r="S1188" s="885"/>
      <c r="T1188" s="885"/>
      <c r="U1188" s="885"/>
      <c r="V1188" s="885"/>
      <c r="W1188" s="885"/>
      <c r="X1188" s="885"/>
      <c r="Y1188" s="885"/>
      <c r="Z1188" s="885"/>
    </row>
    <row r="1189" ht="15.75" customHeight="1">
      <c r="A1189" s="895" t="s">
        <v>220</v>
      </c>
      <c r="B1189" s="883" t="s">
        <v>2685</v>
      </c>
      <c r="C1189" s="884"/>
      <c r="D1189" s="884"/>
      <c r="E1189" s="885"/>
      <c r="F1189" s="885"/>
      <c r="G1189" s="885"/>
      <c r="H1189" s="930"/>
      <c r="I1189" s="885"/>
      <c r="J1189" s="885"/>
      <c r="K1189" s="885"/>
      <c r="L1189" s="885"/>
      <c r="M1189" s="885"/>
      <c r="N1189" s="887"/>
      <c r="O1189" s="885"/>
      <c r="P1189" s="885"/>
      <c r="Q1189" s="885"/>
      <c r="R1189" s="885"/>
      <c r="S1189" s="885"/>
      <c r="T1189" s="885"/>
      <c r="U1189" s="885"/>
      <c r="V1189" s="885"/>
      <c r="W1189" s="885"/>
      <c r="X1189" s="885"/>
      <c r="Y1189" s="885"/>
      <c r="Z1189" s="885"/>
    </row>
    <row r="1190" ht="15.75" customHeight="1">
      <c r="A1190" s="20" t="s">
        <v>418</v>
      </c>
      <c r="B1190" s="883" t="s">
        <v>2685</v>
      </c>
      <c r="C1190" s="884"/>
      <c r="D1190" s="884"/>
      <c r="E1190" s="885"/>
      <c r="F1190" s="885"/>
      <c r="G1190" s="885"/>
      <c r="H1190" s="930"/>
      <c r="I1190" s="885"/>
      <c r="J1190" s="885"/>
      <c r="K1190" s="885"/>
      <c r="L1190" s="885"/>
      <c r="M1190" s="885"/>
      <c r="N1190" s="887"/>
      <c r="O1190" s="885"/>
      <c r="P1190" s="885"/>
      <c r="Q1190" s="885"/>
      <c r="R1190" s="885"/>
      <c r="S1190" s="885"/>
      <c r="T1190" s="885"/>
      <c r="U1190" s="885"/>
      <c r="V1190" s="885"/>
      <c r="W1190" s="885"/>
      <c r="X1190" s="885"/>
      <c r="Y1190" s="885"/>
      <c r="Z1190" s="885"/>
    </row>
    <row r="1191" ht="15.75" customHeight="1">
      <c r="A1191" s="3" t="s">
        <v>443</v>
      </c>
      <c r="B1191" s="883" t="s">
        <v>2685</v>
      </c>
      <c r="C1191" s="884"/>
      <c r="D1191" s="884"/>
      <c r="E1191" s="885"/>
      <c r="F1191" s="885"/>
      <c r="G1191" s="885"/>
      <c r="H1191" s="930"/>
      <c r="I1191" s="885"/>
      <c r="J1191" s="885"/>
      <c r="K1191" s="885"/>
      <c r="L1191" s="885"/>
      <c r="M1191" s="885"/>
      <c r="N1191" s="887"/>
      <c r="O1191" s="885"/>
      <c r="P1191" s="885"/>
      <c r="Q1191" s="885"/>
      <c r="R1191" s="885"/>
      <c r="S1191" s="885"/>
      <c r="T1191" s="885"/>
      <c r="U1191" s="885"/>
      <c r="V1191" s="885"/>
      <c r="W1191" s="885"/>
      <c r="X1191" s="885"/>
      <c r="Y1191" s="885"/>
      <c r="Z1191" s="885"/>
    </row>
    <row r="1192" ht="15.75" customHeight="1">
      <c r="A1192" s="3" t="s">
        <v>2686</v>
      </c>
      <c r="B1192" s="883" t="s">
        <v>2685</v>
      </c>
      <c r="C1192" s="884"/>
      <c r="D1192" s="884"/>
      <c r="E1192" s="885"/>
      <c r="F1192" s="885"/>
      <c r="G1192" s="885"/>
      <c r="H1192" s="930"/>
      <c r="I1192" s="885"/>
      <c r="J1192" s="885"/>
      <c r="K1192" s="885"/>
      <c r="L1192" s="885"/>
      <c r="M1192" s="885"/>
      <c r="N1192" s="887"/>
      <c r="O1192" s="885"/>
      <c r="P1192" s="885"/>
      <c r="Q1192" s="885"/>
      <c r="R1192" s="885"/>
      <c r="S1192" s="885"/>
      <c r="T1192" s="885"/>
      <c r="U1192" s="885"/>
      <c r="V1192" s="885"/>
      <c r="W1192" s="885"/>
      <c r="X1192" s="885"/>
      <c r="Y1192" s="885"/>
      <c r="Z1192" s="885"/>
    </row>
    <row r="1193" ht="15.75" customHeight="1">
      <c r="A1193" s="3" t="s">
        <v>2687</v>
      </c>
      <c r="B1193" s="883" t="s">
        <v>2685</v>
      </c>
      <c r="C1193" s="884"/>
      <c r="D1193" s="884"/>
      <c r="E1193" s="885"/>
      <c r="F1193" s="885"/>
      <c r="G1193" s="885"/>
      <c r="H1193" s="930"/>
      <c r="I1193" s="885"/>
      <c r="J1193" s="885"/>
      <c r="K1193" s="885"/>
      <c r="L1193" s="885"/>
      <c r="M1193" s="885"/>
      <c r="N1193" s="887"/>
      <c r="O1193" s="885"/>
      <c r="P1193" s="885"/>
      <c r="Q1193" s="885"/>
      <c r="R1193" s="885"/>
      <c r="S1193" s="885"/>
      <c r="T1193" s="885"/>
      <c r="U1193" s="885"/>
      <c r="V1193" s="885"/>
      <c r="W1193" s="885"/>
      <c r="X1193" s="885"/>
      <c r="Y1193" s="885"/>
      <c r="Z1193" s="885"/>
    </row>
    <row r="1194" ht="15.75" customHeight="1">
      <c r="A1194" s="3" t="s">
        <v>106</v>
      </c>
      <c r="B1194" s="895" t="s">
        <v>2688</v>
      </c>
      <c r="C1194" s="884"/>
      <c r="D1194" s="884"/>
      <c r="E1194" s="885"/>
      <c r="F1194" s="885"/>
      <c r="G1194" s="885"/>
      <c r="H1194" s="930"/>
      <c r="I1194" s="885"/>
      <c r="J1194" s="885"/>
      <c r="K1194" s="885"/>
      <c r="L1194" s="885"/>
      <c r="M1194" s="885"/>
      <c r="N1194" s="887"/>
      <c r="O1194" s="885"/>
      <c r="P1194" s="885"/>
      <c r="Q1194" s="885"/>
      <c r="R1194" s="885"/>
      <c r="S1194" s="885"/>
      <c r="T1194" s="885"/>
      <c r="U1194" s="885"/>
      <c r="V1194" s="885"/>
      <c r="W1194" s="885"/>
      <c r="X1194" s="885"/>
      <c r="Y1194" s="885"/>
      <c r="Z1194" s="885"/>
    </row>
    <row r="1195" ht="15.75" customHeight="1">
      <c r="A1195" s="3" t="s">
        <v>2689</v>
      </c>
      <c r="B1195" s="883" t="s">
        <v>2685</v>
      </c>
      <c r="C1195" s="884"/>
      <c r="D1195" s="884"/>
      <c r="E1195" s="885"/>
      <c r="F1195" s="885"/>
      <c r="G1195" s="885"/>
      <c r="H1195" s="930"/>
      <c r="I1195" s="885"/>
      <c r="J1195" s="885"/>
      <c r="K1195" s="885"/>
      <c r="L1195" s="885"/>
      <c r="M1195" s="885"/>
      <c r="N1195" s="887"/>
      <c r="O1195" s="885"/>
      <c r="P1195" s="885"/>
      <c r="Q1195" s="885"/>
      <c r="R1195" s="885"/>
      <c r="S1195" s="885"/>
      <c r="T1195" s="885"/>
      <c r="U1195" s="885"/>
      <c r="V1195" s="885"/>
      <c r="W1195" s="885"/>
      <c r="X1195" s="885"/>
      <c r="Y1195" s="885"/>
      <c r="Z1195" s="885"/>
    </row>
    <row r="1196" ht="15.75" customHeight="1">
      <c r="A1196" s="3" t="s">
        <v>2690</v>
      </c>
      <c r="B1196" s="883" t="s">
        <v>2685</v>
      </c>
      <c r="C1196" s="884"/>
      <c r="D1196" s="884"/>
      <c r="E1196" s="885"/>
      <c r="F1196" s="885"/>
      <c r="G1196" s="885"/>
      <c r="H1196" s="930"/>
      <c r="I1196" s="885"/>
      <c r="J1196" s="885"/>
      <c r="K1196" s="885"/>
      <c r="L1196" s="885"/>
      <c r="M1196" s="885"/>
      <c r="N1196" s="887"/>
      <c r="O1196" s="885"/>
      <c r="P1196" s="885"/>
      <c r="Q1196" s="885"/>
      <c r="R1196" s="885"/>
      <c r="S1196" s="885"/>
      <c r="T1196" s="885"/>
      <c r="U1196" s="885"/>
      <c r="V1196" s="885"/>
      <c r="W1196" s="885"/>
      <c r="X1196" s="885"/>
      <c r="Y1196" s="885"/>
      <c r="Z1196" s="885"/>
    </row>
    <row r="1197" ht="15.75" customHeight="1">
      <c r="A1197" s="3" t="s">
        <v>2691</v>
      </c>
      <c r="B1197" s="883" t="s">
        <v>2685</v>
      </c>
      <c r="C1197" s="884"/>
      <c r="D1197" s="884"/>
      <c r="E1197" s="885"/>
      <c r="F1197" s="885"/>
      <c r="G1197" s="885"/>
      <c r="H1197" s="930"/>
      <c r="I1197" s="885"/>
      <c r="J1197" s="885"/>
      <c r="K1197" s="885"/>
      <c r="L1197" s="885"/>
      <c r="M1197" s="885"/>
      <c r="N1197" s="887"/>
      <c r="O1197" s="885"/>
      <c r="P1197" s="885"/>
      <c r="Q1197" s="885"/>
      <c r="R1197" s="885"/>
      <c r="S1197" s="885"/>
      <c r="T1197" s="885"/>
      <c r="U1197" s="885"/>
      <c r="V1197" s="885"/>
      <c r="W1197" s="885"/>
      <c r="X1197" s="885"/>
      <c r="Y1197" s="885"/>
      <c r="Z1197" s="885"/>
    </row>
    <row r="1198" ht="15.75" customHeight="1">
      <c r="A1198" s="3" t="s">
        <v>2692</v>
      </c>
      <c r="B1198" s="883" t="s">
        <v>2685</v>
      </c>
      <c r="C1198" s="884"/>
      <c r="D1198" s="884"/>
      <c r="E1198" s="885"/>
      <c r="F1198" s="885"/>
      <c r="G1198" s="885"/>
      <c r="H1198" s="930"/>
      <c r="I1198" s="885"/>
      <c r="J1198" s="885"/>
      <c r="K1198" s="885"/>
      <c r="L1198" s="885"/>
      <c r="M1198" s="885"/>
      <c r="N1198" s="887"/>
      <c r="O1198" s="885"/>
      <c r="P1198" s="885"/>
      <c r="Q1198" s="885"/>
      <c r="R1198" s="885"/>
      <c r="S1198" s="885"/>
      <c r="T1198" s="885"/>
      <c r="U1198" s="885"/>
      <c r="V1198" s="885"/>
      <c r="W1198" s="885"/>
      <c r="X1198" s="885"/>
      <c r="Y1198" s="885"/>
      <c r="Z1198" s="885"/>
    </row>
    <row r="1199" ht="15.75" customHeight="1">
      <c r="A1199" s="3" t="s">
        <v>2693</v>
      </c>
      <c r="B1199" s="883" t="s">
        <v>2685</v>
      </c>
      <c r="C1199" s="884"/>
      <c r="D1199" s="884"/>
      <c r="E1199" s="885"/>
      <c r="F1199" s="885"/>
      <c r="G1199" s="885"/>
      <c r="H1199" s="930"/>
      <c r="I1199" s="885"/>
      <c r="J1199" s="885"/>
      <c r="K1199" s="885"/>
      <c r="L1199" s="885"/>
      <c r="M1199" s="885"/>
      <c r="N1199" s="887"/>
      <c r="O1199" s="885"/>
      <c r="P1199" s="885"/>
      <c r="Q1199" s="885"/>
      <c r="R1199" s="885"/>
      <c r="S1199" s="885"/>
      <c r="T1199" s="885"/>
      <c r="U1199" s="885"/>
      <c r="V1199" s="885"/>
      <c r="W1199" s="885"/>
      <c r="X1199" s="885"/>
      <c r="Y1199" s="885"/>
      <c r="Z1199" s="885"/>
    </row>
    <row r="1200" ht="15.75" customHeight="1">
      <c r="A1200" s="884" t="s">
        <v>2694</v>
      </c>
      <c r="B1200" s="883" t="s">
        <v>2685</v>
      </c>
      <c r="C1200" s="884"/>
      <c r="D1200" s="884"/>
      <c r="E1200" s="885"/>
      <c r="F1200" s="885"/>
      <c r="G1200" s="885"/>
      <c r="H1200" s="930"/>
      <c r="I1200" s="885"/>
      <c r="J1200" s="885"/>
      <c r="K1200" s="885"/>
      <c r="L1200" s="885"/>
      <c r="M1200" s="885"/>
      <c r="N1200" s="887"/>
      <c r="O1200" s="885"/>
      <c r="P1200" s="885"/>
      <c r="Q1200" s="885"/>
      <c r="R1200" s="885"/>
      <c r="S1200" s="885"/>
      <c r="T1200" s="885"/>
      <c r="U1200" s="885"/>
      <c r="V1200" s="885"/>
      <c r="W1200" s="885"/>
      <c r="X1200" s="885"/>
      <c r="Y1200" s="885"/>
      <c r="Z1200" s="885"/>
    </row>
    <row r="1201" ht="15.75" customHeight="1">
      <c r="A1201" s="895" t="s">
        <v>1705</v>
      </c>
      <c r="B1201" s="883" t="s">
        <v>2685</v>
      </c>
      <c r="C1201" s="884"/>
      <c r="D1201" s="884"/>
      <c r="E1201" s="885"/>
      <c r="F1201" s="885"/>
      <c r="G1201" s="885"/>
      <c r="H1201" s="930"/>
      <c r="I1201" s="885"/>
      <c r="J1201" s="885"/>
      <c r="K1201" s="885"/>
      <c r="L1201" s="885"/>
      <c r="M1201" s="885"/>
      <c r="N1201" s="887"/>
      <c r="O1201" s="885"/>
      <c r="P1201" s="885"/>
      <c r="Q1201" s="885"/>
      <c r="R1201" s="885"/>
      <c r="S1201" s="885"/>
      <c r="T1201" s="885"/>
      <c r="U1201" s="885"/>
      <c r="V1201" s="885"/>
      <c r="W1201" s="885"/>
      <c r="X1201" s="885"/>
      <c r="Y1201" s="885"/>
      <c r="Z1201" s="885"/>
    </row>
    <row r="1202" ht="15.75" customHeight="1">
      <c r="A1202" s="3" t="s">
        <v>2695</v>
      </c>
      <c r="B1202" s="883" t="s">
        <v>2685</v>
      </c>
      <c r="C1202" s="884"/>
      <c r="D1202" s="884"/>
      <c r="E1202" s="885"/>
      <c r="F1202" s="885"/>
      <c r="G1202" s="885"/>
      <c r="H1202" s="930"/>
      <c r="I1202" s="885"/>
      <c r="J1202" s="885"/>
      <c r="K1202" s="885"/>
      <c r="L1202" s="885"/>
      <c r="M1202" s="885"/>
      <c r="N1202" s="887"/>
      <c r="O1202" s="885"/>
      <c r="P1202" s="885"/>
      <c r="Q1202" s="885"/>
      <c r="R1202" s="885"/>
      <c r="S1202" s="885"/>
      <c r="T1202" s="885"/>
      <c r="U1202" s="885"/>
      <c r="V1202" s="885"/>
      <c r="W1202" s="885"/>
      <c r="X1202" s="885"/>
      <c r="Y1202" s="885"/>
      <c r="Z1202" s="885"/>
    </row>
    <row r="1203" ht="15.75" customHeight="1">
      <c r="A1203" s="884" t="s">
        <v>154</v>
      </c>
      <c r="B1203" s="883" t="s">
        <v>2685</v>
      </c>
      <c r="C1203" s="884"/>
      <c r="D1203" s="884"/>
      <c r="E1203" s="885"/>
      <c r="F1203" s="885"/>
      <c r="G1203" s="885"/>
      <c r="H1203" s="930"/>
      <c r="I1203" s="885"/>
      <c r="J1203" s="885"/>
      <c r="K1203" s="885"/>
      <c r="L1203" s="885"/>
      <c r="M1203" s="885"/>
      <c r="N1203" s="887"/>
      <c r="O1203" s="885"/>
      <c r="P1203" s="885"/>
      <c r="Q1203" s="885"/>
      <c r="R1203" s="885"/>
      <c r="S1203" s="885"/>
      <c r="T1203" s="885"/>
      <c r="U1203" s="885"/>
      <c r="V1203" s="885"/>
      <c r="W1203" s="885"/>
      <c r="X1203" s="885"/>
      <c r="Y1203" s="885"/>
      <c r="Z1203" s="885"/>
    </row>
    <row r="1204" ht="15.75" customHeight="1">
      <c r="A1204" s="884" t="s">
        <v>2696</v>
      </c>
      <c r="B1204" s="883" t="s">
        <v>2685</v>
      </c>
      <c r="C1204" s="884"/>
      <c r="D1204" s="884"/>
      <c r="E1204" s="885"/>
      <c r="F1204" s="885"/>
      <c r="G1204" s="885"/>
      <c r="H1204" s="930"/>
      <c r="I1204" s="885"/>
      <c r="J1204" s="885"/>
      <c r="K1204" s="885"/>
      <c r="L1204" s="885"/>
      <c r="M1204" s="885"/>
      <c r="N1204" s="887"/>
      <c r="O1204" s="885"/>
      <c r="P1204" s="885"/>
      <c r="Q1204" s="885"/>
      <c r="R1204" s="885"/>
      <c r="S1204" s="885"/>
      <c r="T1204" s="885"/>
      <c r="U1204" s="885"/>
      <c r="V1204" s="885"/>
      <c r="W1204" s="885"/>
      <c r="X1204" s="885"/>
      <c r="Y1204" s="885"/>
      <c r="Z1204" s="885"/>
    </row>
    <row r="1205" ht="15.75" customHeight="1">
      <c r="A1205" s="3" t="s">
        <v>269</v>
      </c>
      <c r="B1205" s="895" t="s">
        <v>2688</v>
      </c>
      <c r="C1205" s="884"/>
      <c r="D1205" s="884"/>
      <c r="E1205" s="885"/>
      <c r="F1205" s="885"/>
      <c r="G1205" s="885"/>
      <c r="H1205" s="930"/>
      <c r="I1205" s="885"/>
      <c r="J1205" s="885"/>
      <c r="K1205" s="885"/>
      <c r="L1205" s="885"/>
      <c r="M1205" s="885"/>
      <c r="N1205" s="887"/>
      <c r="O1205" s="885"/>
      <c r="P1205" s="885"/>
      <c r="Q1205" s="885"/>
      <c r="R1205" s="885"/>
      <c r="S1205" s="885"/>
      <c r="T1205" s="885"/>
      <c r="U1205" s="885"/>
      <c r="V1205" s="885"/>
      <c r="W1205" s="885"/>
      <c r="X1205" s="885"/>
      <c r="Y1205" s="885"/>
      <c r="Z1205" s="885"/>
    </row>
    <row r="1206" ht="15.75" customHeight="1">
      <c r="A1206" s="3" t="s">
        <v>2697</v>
      </c>
      <c r="B1206" s="883" t="s">
        <v>2685</v>
      </c>
      <c r="C1206" s="884"/>
      <c r="D1206" s="884"/>
      <c r="E1206" s="885"/>
      <c r="F1206" s="885"/>
      <c r="G1206" s="885"/>
      <c r="H1206" s="930"/>
      <c r="I1206" s="885"/>
      <c r="J1206" s="885"/>
      <c r="K1206" s="885"/>
      <c r="L1206" s="885"/>
      <c r="M1206" s="885"/>
      <c r="N1206" s="887"/>
      <c r="O1206" s="885"/>
      <c r="P1206" s="885"/>
      <c r="Q1206" s="885"/>
      <c r="R1206" s="885"/>
      <c r="S1206" s="885"/>
      <c r="T1206" s="885"/>
      <c r="U1206" s="885"/>
      <c r="V1206" s="885"/>
      <c r="W1206" s="885"/>
      <c r="X1206" s="885"/>
      <c r="Y1206" s="885"/>
      <c r="Z1206" s="885"/>
    </row>
    <row r="1207" ht="15.75" customHeight="1">
      <c r="A1207" s="3" t="s">
        <v>2698</v>
      </c>
      <c r="B1207" s="883" t="s">
        <v>2685</v>
      </c>
      <c r="C1207" s="884"/>
      <c r="D1207" s="884"/>
      <c r="E1207" s="885"/>
      <c r="F1207" s="885"/>
      <c r="G1207" s="885"/>
      <c r="H1207" s="930"/>
      <c r="I1207" s="885"/>
      <c r="J1207" s="885"/>
      <c r="K1207" s="885"/>
      <c r="L1207" s="885"/>
      <c r="M1207" s="885"/>
      <c r="N1207" s="887"/>
      <c r="O1207" s="885"/>
      <c r="P1207" s="885"/>
      <c r="Q1207" s="885"/>
      <c r="R1207" s="885"/>
      <c r="S1207" s="885"/>
      <c r="T1207" s="885"/>
      <c r="U1207" s="885"/>
      <c r="V1207" s="885"/>
      <c r="W1207" s="885"/>
      <c r="X1207" s="885"/>
      <c r="Y1207" s="885"/>
      <c r="Z1207" s="885"/>
    </row>
    <row r="1208" ht="15.75" customHeight="1">
      <c r="A1208" s="3" t="s">
        <v>2699</v>
      </c>
      <c r="B1208" s="883" t="s">
        <v>2685</v>
      </c>
      <c r="C1208" s="884"/>
      <c r="D1208" s="884"/>
      <c r="E1208" s="885"/>
      <c r="F1208" s="885"/>
      <c r="G1208" s="885"/>
      <c r="H1208" s="930"/>
      <c r="I1208" s="885"/>
      <c r="J1208" s="885"/>
      <c r="K1208" s="885"/>
      <c r="L1208" s="885"/>
      <c r="M1208" s="885"/>
      <c r="N1208" s="887"/>
      <c r="O1208" s="885"/>
      <c r="P1208" s="885"/>
      <c r="Q1208" s="885"/>
      <c r="R1208" s="885"/>
      <c r="S1208" s="885"/>
      <c r="T1208" s="885"/>
      <c r="U1208" s="885"/>
      <c r="V1208" s="885"/>
      <c r="W1208" s="885"/>
      <c r="X1208" s="885"/>
      <c r="Y1208" s="885"/>
      <c r="Z1208" s="885"/>
    </row>
    <row r="1209" ht="15.75" customHeight="1">
      <c r="A1209" s="3" t="s">
        <v>2700</v>
      </c>
      <c r="B1209" s="895" t="s">
        <v>2688</v>
      </c>
      <c r="C1209" s="884"/>
      <c r="D1209" s="884"/>
      <c r="E1209" s="885"/>
      <c r="F1209" s="885"/>
      <c r="G1209" s="885"/>
      <c r="H1209" s="930"/>
      <c r="I1209" s="885"/>
      <c r="J1209" s="885"/>
      <c r="K1209" s="885"/>
      <c r="L1209" s="885"/>
      <c r="M1209" s="885"/>
      <c r="N1209" s="887"/>
      <c r="O1209" s="885"/>
      <c r="P1209" s="885"/>
      <c r="Q1209" s="885"/>
      <c r="R1209" s="885"/>
      <c r="S1209" s="885"/>
      <c r="T1209" s="885"/>
      <c r="U1209" s="885"/>
      <c r="V1209" s="885"/>
      <c r="W1209" s="885"/>
      <c r="X1209" s="885"/>
      <c r="Y1209" s="885"/>
      <c r="Z1209" s="885"/>
    </row>
    <row r="1210" ht="15.75" customHeight="1">
      <c r="A1210" s="3" t="s">
        <v>2701</v>
      </c>
      <c r="B1210" s="883" t="s">
        <v>2685</v>
      </c>
      <c r="C1210" s="884"/>
      <c r="D1210" s="884"/>
      <c r="E1210" s="885"/>
      <c r="F1210" s="885"/>
      <c r="G1210" s="885"/>
      <c r="H1210" s="930"/>
      <c r="I1210" s="885"/>
      <c r="J1210" s="885"/>
      <c r="K1210" s="885"/>
      <c r="L1210" s="885"/>
      <c r="M1210" s="885"/>
      <c r="N1210" s="887"/>
      <c r="O1210" s="885"/>
      <c r="P1210" s="885"/>
      <c r="Q1210" s="885"/>
      <c r="R1210" s="885"/>
      <c r="S1210" s="885"/>
      <c r="T1210" s="885"/>
      <c r="U1210" s="885"/>
      <c r="V1210" s="885"/>
      <c r="W1210" s="885"/>
      <c r="X1210" s="885"/>
      <c r="Y1210" s="885"/>
      <c r="Z1210" s="885"/>
    </row>
    <row r="1211" ht="15.75" customHeight="1">
      <c r="A1211" s="3" t="s">
        <v>2702</v>
      </c>
      <c r="B1211" s="883" t="s">
        <v>2685</v>
      </c>
      <c r="C1211" s="884"/>
      <c r="D1211" s="884"/>
      <c r="E1211" s="885"/>
      <c r="F1211" s="885"/>
      <c r="G1211" s="885"/>
      <c r="H1211" s="930"/>
      <c r="I1211" s="885"/>
      <c r="J1211" s="885"/>
      <c r="K1211" s="885"/>
      <c r="L1211" s="885"/>
      <c r="M1211" s="885"/>
      <c r="N1211" s="887"/>
      <c r="O1211" s="885"/>
      <c r="P1211" s="885"/>
      <c r="Q1211" s="885"/>
      <c r="R1211" s="885"/>
      <c r="S1211" s="885"/>
      <c r="T1211" s="885"/>
      <c r="U1211" s="885"/>
      <c r="V1211" s="885"/>
      <c r="W1211" s="885"/>
      <c r="X1211" s="885"/>
      <c r="Y1211" s="885"/>
      <c r="Z1211" s="885"/>
    </row>
    <row r="1212" ht="15.75" customHeight="1">
      <c r="A1212" s="3" t="s">
        <v>2703</v>
      </c>
      <c r="B1212" s="883" t="s">
        <v>2685</v>
      </c>
      <c r="C1212" s="884"/>
      <c r="D1212" s="884"/>
      <c r="E1212" s="885"/>
      <c r="F1212" s="885"/>
      <c r="G1212" s="885"/>
      <c r="H1212" s="930"/>
      <c r="I1212" s="885"/>
      <c r="J1212" s="885"/>
      <c r="K1212" s="885"/>
      <c r="L1212" s="885"/>
      <c r="M1212" s="885"/>
      <c r="N1212" s="887"/>
      <c r="O1212" s="885"/>
      <c r="P1212" s="885"/>
      <c r="Q1212" s="885"/>
      <c r="R1212" s="885"/>
      <c r="S1212" s="885"/>
      <c r="T1212" s="885"/>
      <c r="U1212" s="885"/>
      <c r="V1212" s="885"/>
      <c r="W1212" s="885"/>
      <c r="X1212" s="885"/>
      <c r="Y1212" s="885"/>
      <c r="Z1212" s="885"/>
    </row>
    <row r="1213" ht="15.75" customHeight="1">
      <c r="A1213" s="3" t="s">
        <v>2704</v>
      </c>
      <c r="B1213" s="883" t="s">
        <v>2685</v>
      </c>
      <c r="C1213" s="884"/>
      <c r="D1213" s="884"/>
      <c r="E1213" s="885"/>
      <c r="F1213" s="885"/>
      <c r="G1213" s="885"/>
      <c r="H1213" s="930"/>
      <c r="I1213" s="885"/>
      <c r="J1213" s="885"/>
      <c r="K1213" s="885"/>
      <c r="L1213" s="885"/>
      <c r="M1213" s="885"/>
      <c r="N1213" s="887"/>
      <c r="O1213" s="885"/>
      <c r="P1213" s="885"/>
      <c r="Q1213" s="885"/>
      <c r="R1213" s="885"/>
      <c r="S1213" s="885"/>
      <c r="T1213" s="885"/>
      <c r="U1213" s="885"/>
      <c r="V1213" s="885"/>
      <c r="W1213" s="885"/>
      <c r="X1213" s="885"/>
      <c r="Y1213" s="885"/>
      <c r="Z1213" s="885"/>
    </row>
    <row r="1214" ht="15.75" customHeight="1">
      <c r="A1214" s="3" t="s">
        <v>2705</v>
      </c>
      <c r="B1214" s="895" t="s">
        <v>2706</v>
      </c>
      <c r="C1214" s="884"/>
      <c r="D1214" s="884"/>
      <c r="E1214" s="885"/>
      <c r="F1214" s="885"/>
      <c r="G1214" s="885"/>
      <c r="H1214" s="930"/>
      <c r="I1214" s="885"/>
      <c r="J1214" s="885"/>
      <c r="K1214" s="885"/>
      <c r="L1214" s="885"/>
      <c r="M1214" s="885"/>
      <c r="N1214" s="887"/>
      <c r="O1214" s="885"/>
      <c r="P1214" s="885"/>
      <c r="Q1214" s="885"/>
      <c r="R1214" s="885"/>
      <c r="S1214" s="885"/>
      <c r="T1214" s="885"/>
      <c r="U1214" s="885"/>
      <c r="V1214" s="885"/>
      <c r="W1214" s="885"/>
      <c r="X1214" s="885"/>
      <c r="Y1214" s="885"/>
      <c r="Z1214" s="885"/>
    </row>
    <row r="1215" ht="15.75" customHeight="1">
      <c r="A1215" s="3" t="s">
        <v>1369</v>
      </c>
      <c r="B1215" s="895" t="s">
        <v>2706</v>
      </c>
      <c r="C1215" s="884"/>
      <c r="D1215" s="884"/>
      <c r="E1215" s="885"/>
      <c r="F1215" s="885"/>
      <c r="G1215" s="885"/>
      <c r="H1215" s="930"/>
      <c r="I1215" s="885"/>
      <c r="J1215" s="885"/>
      <c r="K1215" s="885"/>
      <c r="L1215" s="885"/>
      <c r="M1215" s="885"/>
      <c r="N1215" s="887"/>
      <c r="O1215" s="885"/>
      <c r="P1215" s="885"/>
      <c r="Q1215" s="885"/>
      <c r="R1215" s="885"/>
      <c r="S1215" s="885"/>
      <c r="T1215" s="885"/>
      <c r="U1215" s="885"/>
      <c r="V1215" s="885"/>
      <c r="W1215" s="885"/>
      <c r="X1215" s="885"/>
      <c r="Y1215" s="885"/>
      <c r="Z1215" s="885"/>
    </row>
    <row r="1216" ht="15.75" customHeight="1">
      <c r="A1216" s="3" t="s">
        <v>130</v>
      </c>
      <c r="B1216" s="895" t="s">
        <v>2706</v>
      </c>
      <c r="C1216" s="884"/>
      <c r="D1216" s="884"/>
      <c r="E1216" s="885"/>
      <c r="F1216" s="885"/>
      <c r="G1216" s="885"/>
      <c r="H1216" s="930"/>
      <c r="I1216" s="885"/>
      <c r="J1216" s="885"/>
      <c r="K1216" s="885"/>
      <c r="L1216" s="885"/>
      <c r="M1216" s="885"/>
      <c r="N1216" s="887"/>
      <c r="O1216" s="885"/>
      <c r="P1216" s="885"/>
      <c r="Q1216" s="885"/>
      <c r="R1216" s="885"/>
      <c r="S1216" s="885"/>
      <c r="T1216" s="885"/>
      <c r="U1216" s="885"/>
      <c r="V1216" s="885"/>
      <c r="W1216" s="885"/>
      <c r="X1216" s="885"/>
      <c r="Y1216" s="885"/>
      <c r="Z1216" s="885"/>
    </row>
    <row r="1217" ht="15.75" customHeight="1">
      <c r="A1217" s="3" t="s">
        <v>2707</v>
      </c>
      <c r="B1217" s="895" t="s">
        <v>2708</v>
      </c>
      <c r="C1217" s="884"/>
      <c r="D1217" s="884"/>
      <c r="E1217" s="885"/>
      <c r="F1217" s="885"/>
      <c r="G1217" s="885"/>
      <c r="H1217" s="930"/>
      <c r="I1217" s="885"/>
      <c r="J1217" s="885"/>
      <c r="K1217" s="885"/>
      <c r="L1217" s="885"/>
      <c r="M1217" s="885"/>
      <c r="N1217" s="887"/>
      <c r="O1217" s="885"/>
      <c r="P1217" s="885"/>
      <c r="Q1217" s="885"/>
      <c r="R1217" s="885"/>
      <c r="S1217" s="885"/>
      <c r="T1217" s="885"/>
      <c r="U1217" s="885"/>
      <c r="V1217" s="885"/>
      <c r="W1217" s="885"/>
      <c r="X1217" s="885"/>
      <c r="Y1217" s="885"/>
      <c r="Z1217" s="885"/>
    </row>
    <row r="1218" ht="15.75" customHeight="1">
      <c r="A1218" s="3" t="s">
        <v>1700</v>
      </c>
      <c r="B1218" s="895" t="s">
        <v>2709</v>
      </c>
      <c r="C1218" s="884"/>
      <c r="D1218" s="884"/>
      <c r="E1218" s="885"/>
      <c r="F1218" s="885"/>
      <c r="G1218" s="885"/>
      <c r="H1218" s="930"/>
      <c r="I1218" s="885"/>
      <c r="J1218" s="885"/>
      <c r="K1218" s="885"/>
      <c r="L1218" s="885"/>
      <c r="M1218" s="885"/>
      <c r="N1218" s="887"/>
      <c r="O1218" s="885"/>
      <c r="P1218" s="885"/>
      <c r="Q1218" s="885"/>
      <c r="R1218" s="885"/>
      <c r="S1218" s="885"/>
      <c r="T1218" s="885"/>
      <c r="U1218" s="885"/>
      <c r="V1218" s="885"/>
      <c r="W1218" s="885"/>
      <c r="X1218" s="885"/>
      <c r="Y1218" s="885"/>
      <c r="Z1218" s="885"/>
    </row>
    <row r="1219" ht="15.75" customHeight="1">
      <c r="A1219" s="3" t="s">
        <v>2710</v>
      </c>
      <c r="B1219" s="895" t="s">
        <v>1714</v>
      </c>
      <c r="C1219" s="884"/>
      <c r="D1219" s="884"/>
      <c r="E1219" s="885"/>
      <c r="F1219" s="885"/>
      <c r="G1219" s="885"/>
      <c r="H1219" s="930"/>
      <c r="I1219" s="885"/>
      <c r="J1219" s="885"/>
      <c r="K1219" s="885"/>
      <c r="L1219" s="885"/>
      <c r="M1219" s="885"/>
      <c r="N1219" s="887"/>
      <c r="O1219" s="885"/>
      <c r="P1219" s="885"/>
      <c r="Q1219" s="885"/>
      <c r="R1219" s="885"/>
      <c r="S1219" s="885"/>
      <c r="T1219" s="885"/>
      <c r="U1219" s="885"/>
      <c r="V1219" s="885"/>
      <c r="W1219" s="885"/>
      <c r="X1219" s="885"/>
      <c r="Y1219" s="885"/>
      <c r="Z1219" s="885"/>
    </row>
    <row r="1220" ht="15.75" customHeight="1">
      <c r="A1220" s="3" t="s">
        <v>2711</v>
      </c>
      <c r="B1220" s="895" t="s">
        <v>1714</v>
      </c>
      <c r="C1220" s="884"/>
      <c r="D1220" s="884"/>
      <c r="E1220" s="885"/>
      <c r="F1220" s="885"/>
      <c r="G1220" s="885"/>
      <c r="H1220" s="930"/>
      <c r="I1220" s="885"/>
      <c r="J1220" s="885"/>
      <c r="K1220" s="885"/>
      <c r="L1220" s="885"/>
      <c r="M1220" s="885"/>
      <c r="N1220" s="887"/>
      <c r="O1220" s="885"/>
      <c r="P1220" s="885"/>
      <c r="Q1220" s="885"/>
      <c r="R1220" s="885"/>
      <c r="S1220" s="885"/>
      <c r="T1220" s="885"/>
      <c r="U1220" s="885"/>
      <c r="V1220" s="885"/>
      <c r="W1220" s="885"/>
      <c r="X1220" s="885"/>
      <c r="Y1220" s="885"/>
      <c r="Z1220" s="885"/>
    </row>
    <row r="1221" ht="15.75" customHeight="1">
      <c r="A1221" s="3" t="s">
        <v>2712</v>
      </c>
      <c r="B1221" s="895" t="s">
        <v>1714</v>
      </c>
      <c r="C1221" s="884"/>
      <c r="D1221" s="884"/>
      <c r="E1221" s="885"/>
      <c r="F1221" s="885"/>
      <c r="G1221" s="885"/>
      <c r="H1221" s="930"/>
      <c r="I1221" s="885"/>
      <c r="J1221" s="885"/>
      <c r="K1221" s="885"/>
      <c r="L1221" s="885"/>
      <c r="M1221" s="885"/>
      <c r="N1221" s="887"/>
      <c r="O1221" s="885"/>
      <c r="P1221" s="885"/>
      <c r="Q1221" s="885"/>
      <c r="R1221" s="885"/>
      <c r="S1221" s="885"/>
      <c r="T1221" s="885"/>
      <c r="U1221" s="885"/>
      <c r="V1221" s="885"/>
      <c r="W1221" s="885"/>
      <c r="X1221" s="885"/>
      <c r="Y1221" s="885"/>
      <c r="Z1221" s="885"/>
    </row>
    <row r="1222" ht="15.75" customHeight="1">
      <c r="A1222" s="3" t="s">
        <v>2713</v>
      </c>
      <c r="B1222" s="895" t="s">
        <v>1714</v>
      </c>
      <c r="C1222" s="884"/>
      <c r="D1222" s="884"/>
      <c r="E1222" s="885"/>
      <c r="F1222" s="885"/>
      <c r="G1222" s="885"/>
      <c r="H1222" s="930"/>
      <c r="I1222" s="885"/>
      <c r="J1222" s="885"/>
      <c r="K1222" s="885"/>
      <c r="L1222" s="885"/>
      <c r="M1222" s="885"/>
      <c r="N1222" s="887"/>
      <c r="O1222" s="885"/>
      <c r="P1222" s="885"/>
      <c r="Q1222" s="885"/>
      <c r="R1222" s="885"/>
      <c r="S1222" s="885"/>
      <c r="T1222" s="885"/>
      <c r="U1222" s="885"/>
      <c r="V1222" s="885"/>
      <c r="W1222" s="885"/>
      <c r="X1222" s="885"/>
      <c r="Y1222" s="885"/>
      <c r="Z1222" s="885"/>
    </row>
    <row r="1223" ht="15.75" customHeight="1">
      <c r="A1223" s="3" t="s">
        <v>1523</v>
      </c>
      <c r="B1223" s="895" t="s">
        <v>1714</v>
      </c>
      <c r="C1223" s="884"/>
      <c r="D1223" s="884"/>
      <c r="E1223" s="885"/>
      <c r="F1223" s="885"/>
      <c r="G1223" s="885"/>
      <c r="H1223" s="930"/>
      <c r="I1223" s="885"/>
      <c r="J1223" s="885"/>
      <c r="K1223" s="885"/>
      <c r="L1223" s="885"/>
      <c r="M1223" s="885"/>
      <c r="N1223" s="887"/>
      <c r="O1223" s="885"/>
      <c r="P1223" s="885"/>
      <c r="Q1223" s="885"/>
      <c r="R1223" s="885"/>
      <c r="S1223" s="885"/>
      <c r="T1223" s="885"/>
      <c r="U1223" s="885"/>
      <c r="V1223" s="885"/>
      <c r="W1223" s="885"/>
      <c r="X1223" s="885"/>
      <c r="Y1223" s="885"/>
      <c r="Z1223" s="885"/>
    </row>
    <row r="1224" ht="15.75" customHeight="1">
      <c r="A1224" s="3" t="s">
        <v>1714</v>
      </c>
      <c r="B1224" s="895" t="s">
        <v>1714</v>
      </c>
      <c r="C1224" s="884"/>
      <c r="D1224" s="884"/>
      <c r="E1224" s="885"/>
      <c r="F1224" s="885"/>
      <c r="G1224" s="885"/>
      <c r="H1224" s="930"/>
      <c r="I1224" s="885"/>
      <c r="J1224" s="885"/>
      <c r="K1224" s="885"/>
      <c r="L1224" s="885"/>
      <c r="M1224" s="885"/>
      <c r="N1224" s="887"/>
      <c r="O1224" s="885"/>
      <c r="P1224" s="885"/>
      <c r="Q1224" s="885"/>
      <c r="R1224" s="885"/>
      <c r="S1224" s="885"/>
      <c r="T1224" s="885"/>
      <c r="U1224" s="885"/>
      <c r="V1224" s="885"/>
      <c r="W1224" s="885"/>
      <c r="X1224" s="885"/>
      <c r="Y1224" s="885"/>
      <c r="Z1224" s="885"/>
    </row>
    <row r="1225" ht="15.75" customHeight="1">
      <c r="A1225" s="3" t="s">
        <v>2714</v>
      </c>
      <c r="B1225" s="895" t="s">
        <v>1714</v>
      </c>
      <c r="C1225" s="884"/>
      <c r="D1225" s="884"/>
      <c r="E1225" s="885"/>
      <c r="F1225" s="885"/>
      <c r="G1225" s="885"/>
      <c r="H1225" s="930"/>
      <c r="I1225" s="885"/>
      <c r="J1225" s="885"/>
      <c r="K1225" s="885"/>
      <c r="L1225" s="885"/>
      <c r="M1225" s="885"/>
      <c r="N1225" s="887"/>
      <c r="O1225" s="885"/>
      <c r="P1225" s="885"/>
      <c r="Q1225" s="885"/>
      <c r="R1225" s="885"/>
      <c r="S1225" s="885"/>
      <c r="T1225" s="885"/>
      <c r="U1225" s="885"/>
      <c r="V1225" s="885"/>
      <c r="W1225" s="885"/>
      <c r="X1225" s="885"/>
      <c r="Y1225" s="885"/>
      <c r="Z1225" s="885"/>
    </row>
    <row r="1226" ht="15.75" customHeight="1">
      <c r="A1226" s="3" t="s">
        <v>2715</v>
      </c>
      <c r="B1226" s="895" t="s">
        <v>1714</v>
      </c>
      <c r="C1226" s="884"/>
      <c r="D1226" s="884"/>
      <c r="E1226" s="885"/>
      <c r="F1226" s="885"/>
      <c r="G1226" s="885"/>
      <c r="H1226" s="930"/>
      <c r="I1226" s="885"/>
      <c r="J1226" s="885"/>
      <c r="K1226" s="885"/>
      <c r="L1226" s="885"/>
      <c r="M1226" s="885"/>
      <c r="N1226" s="887"/>
      <c r="O1226" s="885"/>
      <c r="P1226" s="885"/>
      <c r="Q1226" s="885"/>
      <c r="R1226" s="885"/>
      <c r="S1226" s="885"/>
      <c r="T1226" s="885"/>
      <c r="U1226" s="885"/>
      <c r="V1226" s="885"/>
      <c r="W1226" s="885"/>
      <c r="X1226" s="885"/>
      <c r="Y1226" s="885"/>
      <c r="Z1226" s="885"/>
    </row>
    <row r="1227" ht="15.75" customHeight="1">
      <c r="A1227" s="884" t="s">
        <v>2716</v>
      </c>
      <c r="B1227" s="895" t="str">
        <f t="shared" ref="B1227:B1228" si="2">"+5 days open Indo"</f>
        <v>+5 days open Indo</v>
      </c>
      <c r="C1227" s="884"/>
      <c r="D1227" s="884"/>
      <c r="E1227" s="885"/>
      <c r="F1227" s="885"/>
      <c r="G1227" s="885"/>
      <c r="H1227" s="930"/>
      <c r="I1227" s="885"/>
      <c r="J1227" s="885"/>
      <c r="K1227" s="885"/>
      <c r="L1227" s="885"/>
      <c r="M1227" s="885"/>
      <c r="N1227" s="887"/>
      <c r="O1227" s="885"/>
      <c r="P1227" s="885"/>
      <c r="Q1227" s="885"/>
      <c r="R1227" s="885"/>
      <c r="S1227" s="885"/>
      <c r="T1227" s="885"/>
      <c r="U1227" s="885"/>
      <c r="V1227" s="885"/>
      <c r="W1227" s="885"/>
      <c r="X1227" s="885"/>
      <c r="Y1227" s="885"/>
      <c r="Z1227" s="885"/>
    </row>
    <row r="1228" ht="15.75" customHeight="1">
      <c r="A1228" s="884" t="s">
        <v>2717</v>
      </c>
      <c r="B1228" s="895" t="str">
        <f t="shared" si="2"/>
        <v>+5 days open Indo</v>
      </c>
      <c r="C1228" s="884"/>
      <c r="D1228" s="884"/>
      <c r="E1228" s="885"/>
      <c r="F1228" s="885"/>
      <c r="G1228" s="885"/>
      <c r="H1228" s="930"/>
      <c r="I1228" s="885"/>
      <c r="J1228" s="885"/>
      <c r="K1228" s="885"/>
      <c r="L1228" s="885"/>
      <c r="M1228" s="885"/>
      <c r="N1228" s="887"/>
      <c r="O1228" s="885"/>
      <c r="P1228" s="885"/>
      <c r="Q1228" s="885"/>
      <c r="R1228" s="885"/>
      <c r="S1228" s="885"/>
      <c r="T1228" s="885"/>
      <c r="U1228" s="885"/>
      <c r="V1228" s="885"/>
      <c r="W1228" s="885"/>
      <c r="X1228" s="885"/>
      <c r="Y1228" s="885"/>
      <c r="Z1228" s="885"/>
    </row>
    <row r="1229" ht="15.75" customHeight="1">
      <c r="A1229" s="884" t="s">
        <v>2718</v>
      </c>
      <c r="B1229" s="895" t="s">
        <v>1714</v>
      </c>
      <c r="C1229" s="884"/>
      <c r="D1229" s="884"/>
      <c r="E1229" s="885"/>
      <c r="F1229" s="885"/>
      <c r="G1229" s="885"/>
      <c r="H1229" s="930"/>
      <c r="I1229" s="885"/>
      <c r="J1229" s="885"/>
      <c r="K1229" s="885"/>
      <c r="L1229" s="885"/>
      <c r="M1229" s="885"/>
      <c r="N1229" s="887"/>
      <c r="O1229" s="885"/>
      <c r="P1229" s="885"/>
      <c r="Q1229" s="885"/>
      <c r="R1229" s="885"/>
      <c r="S1229" s="885"/>
      <c r="T1229" s="885"/>
      <c r="U1229" s="885"/>
      <c r="V1229" s="885"/>
      <c r="W1229" s="885"/>
      <c r="X1229" s="885"/>
      <c r="Y1229" s="885"/>
      <c r="Z1229" s="885"/>
    </row>
    <row r="1230" ht="15.75" customHeight="1">
      <c r="A1230" s="884" t="s">
        <v>2719</v>
      </c>
      <c r="B1230" s="884" t="s">
        <v>2720</v>
      </c>
      <c r="C1230" s="884"/>
      <c r="D1230" s="884"/>
      <c r="E1230" s="885"/>
      <c r="F1230" s="885"/>
      <c r="G1230" s="885"/>
      <c r="H1230" s="930"/>
      <c r="I1230" s="885"/>
      <c r="J1230" s="885"/>
      <c r="K1230" s="885"/>
      <c r="L1230" s="885"/>
      <c r="M1230" s="885"/>
      <c r="N1230" s="887"/>
      <c r="O1230" s="885"/>
      <c r="P1230" s="885"/>
      <c r="Q1230" s="885"/>
      <c r="R1230" s="885"/>
      <c r="S1230" s="885"/>
      <c r="T1230" s="885"/>
      <c r="U1230" s="885"/>
      <c r="V1230" s="885"/>
      <c r="W1230" s="885"/>
      <c r="X1230" s="885"/>
      <c r="Y1230" s="885"/>
      <c r="Z1230" s="885"/>
    </row>
    <row r="1231" ht="15.75" customHeight="1">
      <c r="A1231" s="3" t="s">
        <v>1524</v>
      </c>
      <c r="B1231" s="895" t="s">
        <v>2721</v>
      </c>
      <c r="C1231" s="884"/>
      <c r="D1231" s="884"/>
      <c r="E1231" s="885"/>
      <c r="F1231" s="885"/>
      <c r="G1231" s="885"/>
      <c r="H1231" s="930"/>
      <c r="I1231" s="885"/>
      <c r="J1231" s="885"/>
      <c r="K1231" s="885"/>
      <c r="L1231" s="885"/>
      <c r="M1231" s="885"/>
      <c r="N1231" s="887"/>
      <c r="O1231" s="885"/>
      <c r="P1231" s="885"/>
      <c r="Q1231" s="885"/>
      <c r="R1231" s="885"/>
      <c r="S1231" s="885"/>
      <c r="T1231" s="885"/>
      <c r="U1231" s="885"/>
      <c r="V1231" s="885"/>
      <c r="W1231" s="885"/>
      <c r="X1231" s="885"/>
      <c r="Y1231" s="885"/>
      <c r="Z1231" s="885"/>
    </row>
    <row r="1232" ht="15.75" customHeight="1">
      <c r="A1232" s="3" t="s">
        <v>2722</v>
      </c>
      <c r="B1232" s="895" t="s">
        <v>2723</v>
      </c>
      <c r="C1232" s="884"/>
      <c r="D1232" s="884"/>
      <c r="E1232" s="885"/>
      <c r="F1232" s="885"/>
      <c r="G1232" s="885"/>
      <c r="H1232" s="930"/>
      <c r="I1232" s="885"/>
      <c r="J1232" s="885"/>
      <c r="K1232" s="885"/>
      <c r="L1232" s="885"/>
      <c r="M1232" s="885"/>
      <c r="N1232" s="887"/>
      <c r="O1232" s="885"/>
      <c r="P1232" s="885"/>
      <c r="Q1232" s="885"/>
      <c r="R1232" s="885"/>
      <c r="S1232" s="885"/>
      <c r="T1232" s="885"/>
      <c r="U1232" s="885"/>
      <c r="V1232" s="885"/>
      <c r="W1232" s="885"/>
      <c r="X1232" s="885"/>
      <c r="Y1232" s="885"/>
      <c r="Z1232" s="885"/>
    </row>
    <row r="1233" ht="15.75" customHeight="1">
      <c r="A1233" s="3" t="s">
        <v>2724</v>
      </c>
      <c r="B1233" s="895" t="s">
        <v>2723</v>
      </c>
      <c r="C1233" s="884"/>
      <c r="D1233" s="884"/>
      <c r="E1233" s="885"/>
      <c r="F1233" s="885"/>
      <c r="G1233" s="885"/>
      <c r="H1233" s="930"/>
      <c r="I1233" s="885"/>
      <c r="J1233" s="885"/>
      <c r="K1233" s="885"/>
      <c r="L1233" s="885"/>
      <c r="M1233" s="885"/>
      <c r="N1233" s="887"/>
      <c r="O1233" s="885"/>
      <c r="P1233" s="885"/>
      <c r="Q1233" s="885"/>
      <c r="R1233" s="885"/>
      <c r="S1233" s="885"/>
      <c r="T1233" s="885"/>
      <c r="U1233" s="885"/>
      <c r="V1233" s="885"/>
      <c r="W1233" s="885"/>
      <c r="X1233" s="885"/>
      <c r="Y1233" s="885"/>
      <c r="Z1233" s="885"/>
    </row>
    <row r="1234" ht="15.75" customHeight="1">
      <c r="A1234" s="3" t="s">
        <v>2725</v>
      </c>
      <c r="B1234" s="895" t="s">
        <v>2726</v>
      </c>
      <c r="C1234" s="884"/>
      <c r="D1234" s="884"/>
      <c r="E1234" s="885"/>
      <c r="F1234" s="885"/>
      <c r="G1234" s="885"/>
      <c r="H1234" s="930"/>
      <c r="I1234" s="885"/>
      <c r="J1234" s="885"/>
      <c r="K1234" s="885"/>
      <c r="L1234" s="885"/>
      <c r="M1234" s="885"/>
      <c r="N1234" s="887"/>
      <c r="O1234" s="885"/>
      <c r="P1234" s="885"/>
      <c r="Q1234" s="885"/>
      <c r="R1234" s="885"/>
      <c r="S1234" s="885"/>
      <c r="T1234" s="885"/>
      <c r="U1234" s="885"/>
      <c r="V1234" s="885"/>
      <c r="W1234" s="885"/>
      <c r="X1234" s="885"/>
      <c r="Y1234" s="885"/>
      <c r="Z1234" s="885"/>
    </row>
    <row r="1235" ht="15.75" customHeight="1">
      <c r="A1235" s="895" t="s">
        <v>2727</v>
      </c>
      <c r="B1235" s="895" t="s">
        <v>2726</v>
      </c>
      <c r="C1235" s="884"/>
      <c r="D1235" s="884"/>
      <c r="E1235" s="885"/>
      <c r="F1235" s="885"/>
      <c r="G1235" s="885"/>
      <c r="H1235" s="930"/>
      <c r="I1235" s="885"/>
      <c r="J1235" s="885"/>
      <c r="K1235" s="885"/>
      <c r="L1235" s="885"/>
      <c r="M1235" s="885"/>
      <c r="N1235" s="887"/>
      <c r="O1235" s="885"/>
      <c r="P1235" s="885"/>
      <c r="Q1235" s="885"/>
      <c r="R1235" s="885"/>
      <c r="S1235" s="885"/>
      <c r="T1235" s="885"/>
      <c r="U1235" s="885"/>
      <c r="V1235" s="885"/>
      <c r="W1235" s="885"/>
      <c r="X1235" s="885"/>
      <c r="Y1235" s="885"/>
      <c r="Z1235" s="885"/>
    </row>
    <row r="1236" ht="15.75" customHeight="1">
      <c r="A1236" s="883" t="s">
        <v>2728</v>
      </c>
      <c r="B1236" s="895" t="s">
        <v>2726</v>
      </c>
      <c r="C1236" s="884"/>
      <c r="D1236" s="884"/>
      <c r="E1236" s="885"/>
      <c r="F1236" s="885"/>
      <c r="G1236" s="885"/>
      <c r="H1236" s="930"/>
      <c r="I1236" s="885"/>
      <c r="J1236" s="885"/>
      <c r="K1236" s="885"/>
      <c r="L1236" s="885"/>
      <c r="M1236" s="885"/>
      <c r="N1236" s="887"/>
      <c r="O1236" s="885"/>
      <c r="P1236" s="885"/>
      <c r="Q1236" s="885"/>
      <c r="R1236" s="885"/>
      <c r="S1236" s="885"/>
      <c r="T1236" s="885"/>
      <c r="U1236" s="885"/>
      <c r="V1236" s="885"/>
      <c r="W1236" s="885"/>
      <c r="X1236" s="885"/>
      <c r="Y1236" s="885"/>
      <c r="Z1236" s="885"/>
    </row>
    <row r="1237" ht="15.75" customHeight="1">
      <c r="A1237" s="884" t="s">
        <v>2729</v>
      </c>
      <c r="B1237" s="895" t="s">
        <v>2726</v>
      </c>
      <c r="C1237" s="884"/>
      <c r="D1237" s="884"/>
      <c r="E1237" s="885"/>
      <c r="F1237" s="885"/>
      <c r="G1237" s="885"/>
      <c r="H1237" s="930"/>
      <c r="I1237" s="885"/>
      <c r="J1237" s="885"/>
      <c r="K1237" s="885"/>
      <c r="L1237" s="885"/>
      <c r="M1237" s="885"/>
      <c r="N1237" s="887"/>
      <c r="O1237" s="885"/>
      <c r="P1237" s="885"/>
      <c r="Q1237" s="885"/>
      <c r="R1237" s="885"/>
      <c r="S1237" s="885"/>
      <c r="T1237" s="885"/>
      <c r="U1237" s="885"/>
      <c r="V1237" s="885"/>
      <c r="W1237" s="885"/>
      <c r="X1237" s="885"/>
      <c r="Y1237" s="885"/>
      <c r="Z1237" s="885"/>
    </row>
    <row r="1238" ht="15.75" customHeight="1">
      <c r="A1238" s="3" t="s">
        <v>2730</v>
      </c>
      <c r="B1238" s="895" t="s">
        <v>2726</v>
      </c>
      <c r="C1238" s="884"/>
      <c r="D1238" s="884"/>
      <c r="E1238" s="885"/>
      <c r="F1238" s="885"/>
      <c r="G1238" s="885"/>
      <c r="H1238" s="930"/>
      <c r="I1238" s="885"/>
      <c r="J1238" s="885"/>
      <c r="K1238" s="885"/>
      <c r="L1238" s="885"/>
      <c r="M1238" s="885"/>
      <c r="N1238" s="887"/>
      <c r="O1238" s="885"/>
      <c r="P1238" s="885"/>
      <c r="Q1238" s="885"/>
      <c r="R1238" s="885"/>
      <c r="S1238" s="885"/>
      <c r="T1238" s="885"/>
      <c r="U1238" s="885"/>
      <c r="V1238" s="885"/>
      <c r="W1238" s="885"/>
      <c r="X1238" s="885"/>
      <c r="Y1238" s="885"/>
      <c r="Z1238" s="885"/>
    </row>
    <row r="1239" ht="15.75" customHeight="1">
      <c r="A1239" s="3" t="s">
        <v>302</v>
      </c>
      <c r="B1239" s="895" t="s">
        <v>2726</v>
      </c>
      <c r="C1239" s="884"/>
      <c r="D1239" s="884"/>
      <c r="E1239" s="885"/>
      <c r="F1239" s="885"/>
      <c r="G1239" s="885"/>
      <c r="H1239" s="930"/>
      <c r="I1239" s="885"/>
      <c r="J1239" s="885"/>
      <c r="K1239" s="885"/>
      <c r="L1239" s="885"/>
      <c r="M1239" s="885"/>
      <c r="N1239" s="887"/>
      <c r="O1239" s="885"/>
      <c r="P1239" s="885"/>
      <c r="Q1239" s="885"/>
      <c r="R1239" s="885"/>
      <c r="S1239" s="885"/>
      <c r="T1239" s="885"/>
      <c r="U1239" s="885"/>
      <c r="V1239" s="885"/>
      <c r="W1239" s="885"/>
      <c r="X1239" s="885"/>
      <c r="Y1239" s="885"/>
      <c r="Z1239" s="885"/>
    </row>
    <row r="1240" ht="15.75" customHeight="1">
      <c r="A1240" s="895" t="s">
        <v>2731</v>
      </c>
      <c r="B1240" s="895" t="s">
        <v>2726</v>
      </c>
      <c r="C1240" s="884"/>
      <c r="D1240" s="884"/>
      <c r="E1240" s="885"/>
      <c r="F1240" s="885"/>
      <c r="G1240" s="885"/>
      <c r="H1240" s="930"/>
      <c r="I1240" s="885"/>
      <c r="J1240" s="885"/>
      <c r="K1240" s="885"/>
      <c r="L1240" s="885"/>
      <c r="M1240" s="885"/>
      <c r="N1240" s="887"/>
      <c r="O1240" s="885"/>
      <c r="P1240" s="885"/>
      <c r="Q1240" s="885"/>
      <c r="R1240" s="885"/>
      <c r="S1240" s="885"/>
      <c r="T1240" s="885"/>
      <c r="U1240" s="885"/>
      <c r="V1240" s="885"/>
      <c r="W1240" s="885"/>
      <c r="X1240" s="885"/>
      <c r="Y1240" s="885"/>
      <c r="Z1240" s="885"/>
    </row>
    <row r="1241" ht="15.75" customHeight="1">
      <c r="A1241" s="895" t="s">
        <v>2732</v>
      </c>
      <c r="B1241" s="895" t="s">
        <v>2726</v>
      </c>
      <c r="C1241" s="884"/>
      <c r="D1241" s="884"/>
      <c r="E1241" s="885"/>
      <c r="F1241" s="885"/>
      <c r="G1241" s="885"/>
      <c r="H1241" s="930"/>
      <c r="I1241" s="885"/>
      <c r="J1241" s="885"/>
      <c r="K1241" s="885"/>
      <c r="L1241" s="885"/>
      <c r="M1241" s="885"/>
      <c r="N1241" s="887"/>
      <c r="O1241" s="885"/>
      <c r="P1241" s="885"/>
      <c r="Q1241" s="885"/>
      <c r="R1241" s="885"/>
      <c r="S1241" s="885"/>
      <c r="T1241" s="885"/>
      <c r="U1241" s="885"/>
      <c r="V1241" s="885"/>
      <c r="W1241" s="885"/>
      <c r="X1241" s="885"/>
      <c r="Y1241" s="885"/>
      <c r="Z1241" s="885"/>
    </row>
    <row r="1242" ht="15.75" customHeight="1">
      <c r="A1242" s="3" t="s">
        <v>2733</v>
      </c>
      <c r="B1242" s="895" t="s">
        <v>2726</v>
      </c>
      <c r="C1242" s="884"/>
      <c r="D1242" s="884"/>
      <c r="E1242" s="885"/>
      <c r="F1242" s="885"/>
      <c r="G1242" s="885"/>
      <c r="H1242" s="930"/>
      <c r="I1242" s="885"/>
      <c r="J1242" s="885"/>
      <c r="K1242" s="885"/>
      <c r="L1242" s="885"/>
      <c r="M1242" s="885"/>
      <c r="N1242" s="887"/>
      <c r="O1242" s="885"/>
      <c r="P1242" s="885"/>
      <c r="Q1242" s="885"/>
      <c r="R1242" s="885"/>
      <c r="S1242" s="885"/>
      <c r="T1242" s="885"/>
      <c r="U1242" s="885"/>
      <c r="V1242" s="885"/>
      <c r="W1242" s="885"/>
      <c r="X1242" s="885"/>
      <c r="Y1242" s="885"/>
      <c r="Z1242" s="885"/>
    </row>
    <row r="1243" ht="15.75" customHeight="1">
      <c r="A1243" s="3" t="s">
        <v>2734</v>
      </c>
      <c r="B1243" s="895" t="s">
        <v>2726</v>
      </c>
      <c r="C1243" s="884"/>
      <c r="D1243" s="884"/>
      <c r="E1243" s="885"/>
      <c r="F1243" s="885"/>
      <c r="G1243" s="885"/>
      <c r="H1243" s="930"/>
      <c r="I1243" s="885"/>
      <c r="J1243" s="885"/>
      <c r="K1243" s="885"/>
      <c r="L1243" s="885"/>
      <c r="M1243" s="885"/>
      <c r="N1243" s="887"/>
      <c r="O1243" s="885"/>
      <c r="P1243" s="885"/>
      <c r="Q1243" s="885"/>
      <c r="R1243" s="885"/>
      <c r="S1243" s="885"/>
      <c r="T1243" s="885"/>
      <c r="U1243" s="885"/>
      <c r="V1243" s="885"/>
      <c r="W1243" s="885"/>
      <c r="X1243" s="885"/>
      <c r="Y1243" s="885"/>
      <c r="Z1243" s="885"/>
    </row>
    <row r="1244" ht="15.75" customHeight="1">
      <c r="A1244" s="3" t="s">
        <v>2735</v>
      </c>
      <c r="B1244" s="895" t="s">
        <v>2726</v>
      </c>
      <c r="C1244" s="884"/>
      <c r="D1244" s="884"/>
      <c r="E1244" s="885"/>
      <c r="F1244" s="885"/>
      <c r="G1244" s="885"/>
      <c r="H1244" s="930"/>
      <c r="I1244" s="885"/>
      <c r="J1244" s="885"/>
      <c r="K1244" s="885"/>
      <c r="L1244" s="885"/>
      <c r="M1244" s="885"/>
      <c r="N1244" s="887"/>
      <c r="O1244" s="885"/>
      <c r="P1244" s="885"/>
      <c r="Q1244" s="885"/>
      <c r="R1244" s="885"/>
      <c r="S1244" s="885"/>
      <c r="T1244" s="885"/>
      <c r="U1244" s="885"/>
      <c r="V1244" s="885"/>
      <c r="W1244" s="885"/>
      <c r="X1244" s="885"/>
      <c r="Y1244" s="885"/>
      <c r="Z1244" s="885"/>
    </row>
    <row r="1245" ht="15.75" customHeight="1">
      <c r="A1245" s="3" t="s">
        <v>2736</v>
      </c>
      <c r="B1245" s="895" t="s">
        <v>2726</v>
      </c>
      <c r="C1245" s="884"/>
      <c r="D1245" s="884"/>
      <c r="E1245" s="885"/>
      <c r="F1245" s="885"/>
      <c r="G1245" s="885"/>
      <c r="H1245" s="930"/>
      <c r="I1245" s="885"/>
      <c r="J1245" s="885"/>
      <c r="K1245" s="885"/>
      <c r="L1245" s="885"/>
      <c r="M1245" s="885"/>
      <c r="N1245" s="887"/>
      <c r="O1245" s="885"/>
      <c r="P1245" s="885"/>
      <c r="Q1245" s="885"/>
      <c r="R1245" s="885"/>
      <c r="S1245" s="885"/>
      <c r="T1245" s="885"/>
      <c r="U1245" s="885"/>
      <c r="V1245" s="885"/>
      <c r="W1245" s="885"/>
      <c r="X1245" s="885"/>
      <c r="Y1245" s="885"/>
      <c r="Z1245" s="885"/>
    </row>
    <row r="1246" ht="15.75" customHeight="1">
      <c r="A1246" s="895" t="s">
        <v>2737</v>
      </c>
      <c r="B1246" s="895" t="s">
        <v>2726</v>
      </c>
      <c r="C1246" s="884"/>
      <c r="D1246" s="884"/>
      <c r="E1246" s="885"/>
      <c r="F1246" s="885"/>
      <c r="G1246" s="885"/>
      <c r="H1246" s="930"/>
      <c r="I1246" s="885"/>
      <c r="J1246" s="885"/>
      <c r="K1246" s="885"/>
      <c r="L1246" s="885"/>
      <c r="M1246" s="885"/>
      <c r="N1246" s="887"/>
      <c r="O1246" s="885"/>
      <c r="P1246" s="885"/>
      <c r="Q1246" s="885"/>
      <c r="R1246" s="885"/>
      <c r="S1246" s="885"/>
      <c r="T1246" s="885"/>
      <c r="U1246" s="885"/>
      <c r="V1246" s="885"/>
      <c r="W1246" s="885"/>
      <c r="X1246" s="885"/>
      <c r="Y1246" s="885"/>
      <c r="Z1246" s="885"/>
    </row>
    <row r="1247" ht="15.75" customHeight="1">
      <c r="A1247" s="895" t="s">
        <v>2738</v>
      </c>
      <c r="B1247" s="895" t="s">
        <v>2726</v>
      </c>
      <c r="C1247" s="884"/>
      <c r="D1247" s="884"/>
      <c r="E1247" s="885"/>
      <c r="F1247" s="885"/>
      <c r="G1247" s="885"/>
      <c r="H1247" s="930"/>
      <c r="I1247" s="885"/>
      <c r="J1247" s="885"/>
      <c r="K1247" s="885"/>
      <c r="L1247" s="885"/>
      <c r="M1247" s="885"/>
      <c r="N1247" s="887"/>
      <c r="O1247" s="885"/>
      <c r="P1247" s="885"/>
      <c r="Q1247" s="885"/>
      <c r="R1247" s="885"/>
      <c r="S1247" s="885"/>
      <c r="T1247" s="885"/>
      <c r="U1247" s="885"/>
      <c r="V1247" s="885"/>
      <c r="W1247" s="885"/>
      <c r="X1247" s="885"/>
      <c r="Y1247" s="885"/>
      <c r="Z1247" s="885"/>
    </row>
    <row r="1248" ht="15.75" customHeight="1">
      <c r="A1248" s="3" t="s">
        <v>2739</v>
      </c>
      <c r="B1248" s="895" t="s">
        <v>2726</v>
      </c>
      <c r="C1248" s="884"/>
      <c r="D1248" s="884"/>
      <c r="E1248" s="885"/>
      <c r="F1248" s="885"/>
      <c r="G1248" s="885"/>
      <c r="H1248" s="930"/>
      <c r="I1248" s="885"/>
      <c r="J1248" s="885"/>
      <c r="K1248" s="885"/>
      <c r="L1248" s="885"/>
      <c r="M1248" s="885"/>
      <c r="N1248" s="887"/>
      <c r="O1248" s="885"/>
      <c r="P1248" s="885"/>
      <c r="Q1248" s="885"/>
      <c r="R1248" s="885"/>
      <c r="S1248" s="885"/>
      <c r="T1248" s="885"/>
      <c r="U1248" s="885"/>
      <c r="V1248" s="885"/>
      <c r="W1248" s="885"/>
      <c r="X1248" s="885"/>
      <c r="Y1248" s="885"/>
      <c r="Z1248" s="885"/>
    </row>
    <row r="1249" ht="15.75" customHeight="1">
      <c r="A1249" s="3" t="s">
        <v>2740</v>
      </c>
      <c r="B1249" s="895" t="s">
        <v>2726</v>
      </c>
      <c r="C1249" s="884"/>
      <c r="D1249" s="884"/>
      <c r="E1249" s="885"/>
      <c r="F1249" s="885"/>
      <c r="G1249" s="885"/>
      <c r="H1249" s="930"/>
      <c r="I1249" s="885"/>
      <c r="J1249" s="885"/>
      <c r="K1249" s="885"/>
      <c r="L1249" s="885"/>
      <c r="M1249" s="885"/>
      <c r="N1249" s="887"/>
      <c r="O1249" s="885"/>
      <c r="P1249" s="885"/>
      <c r="Q1249" s="885"/>
      <c r="R1249" s="885"/>
      <c r="S1249" s="885"/>
      <c r="T1249" s="885"/>
      <c r="U1249" s="885"/>
      <c r="V1249" s="885"/>
      <c r="W1249" s="885"/>
      <c r="X1249" s="885"/>
      <c r="Y1249" s="885"/>
      <c r="Z1249" s="885"/>
    </row>
    <row r="1250" ht="15.75" customHeight="1">
      <c r="A1250" s="3" t="s">
        <v>589</v>
      </c>
      <c r="B1250" s="895" t="s">
        <v>2726</v>
      </c>
      <c r="C1250" s="884"/>
      <c r="D1250" s="884"/>
      <c r="E1250" s="885"/>
      <c r="F1250" s="885"/>
      <c r="G1250" s="885"/>
      <c r="H1250" s="930"/>
      <c r="I1250" s="885"/>
      <c r="J1250" s="885"/>
      <c r="K1250" s="885"/>
      <c r="L1250" s="885"/>
      <c r="M1250" s="885"/>
      <c r="N1250" s="887"/>
      <c r="O1250" s="885"/>
      <c r="P1250" s="885"/>
      <c r="Q1250" s="885"/>
      <c r="R1250" s="885"/>
      <c r="S1250" s="885"/>
      <c r="T1250" s="885"/>
      <c r="U1250" s="885"/>
      <c r="V1250" s="885"/>
      <c r="W1250" s="885"/>
      <c r="X1250" s="885"/>
      <c r="Y1250" s="885"/>
      <c r="Z1250" s="885"/>
    </row>
    <row r="1251" ht="15.75" customHeight="1">
      <c r="A1251" s="3" t="s">
        <v>2741</v>
      </c>
      <c r="B1251" s="895" t="s">
        <v>2726</v>
      </c>
      <c r="C1251" s="884"/>
      <c r="D1251" s="884"/>
      <c r="E1251" s="885"/>
      <c r="F1251" s="885"/>
      <c r="G1251" s="885"/>
      <c r="H1251" s="930"/>
      <c r="I1251" s="885"/>
      <c r="J1251" s="885"/>
      <c r="K1251" s="885"/>
      <c r="L1251" s="885"/>
      <c r="M1251" s="885"/>
      <c r="N1251" s="887"/>
      <c r="O1251" s="885"/>
      <c r="P1251" s="885"/>
      <c r="Q1251" s="885"/>
      <c r="R1251" s="885"/>
      <c r="S1251" s="885"/>
      <c r="T1251" s="885"/>
      <c r="U1251" s="885"/>
      <c r="V1251" s="885"/>
      <c r="W1251" s="885"/>
      <c r="X1251" s="885"/>
      <c r="Y1251" s="885"/>
      <c r="Z1251" s="885"/>
    </row>
    <row r="1252" ht="15.75" customHeight="1">
      <c r="A1252" s="922" t="s">
        <v>2742</v>
      </c>
      <c r="B1252" s="895" t="s">
        <v>2726</v>
      </c>
      <c r="C1252" s="884"/>
      <c r="D1252" s="884"/>
      <c r="E1252" s="885"/>
      <c r="F1252" s="885"/>
      <c r="G1252" s="885"/>
      <c r="H1252" s="930"/>
      <c r="I1252" s="885"/>
      <c r="J1252" s="885"/>
      <c r="K1252" s="885"/>
      <c r="L1252" s="885"/>
      <c r="M1252" s="885"/>
      <c r="N1252" s="887"/>
      <c r="O1252" s="885"/>
      <c r="P1252" s="885"/>
      <c r="Q1252" s="885"/>
      <c r="R1252" s="885"/>
      <c r="S1252" s="885"/>
      <c r="T1252" s="885"/>
      <c r="U1252" s="885"/>
      <c r="V1252" s="885"/>
      <c r="W1252" s="885"/>
      <c r="X1252" s="885"/>
      <c r="Y1252" s="885"/>
      <c r="Z1252" s="885"/>
    </row>
    <row r="1253" ht="15.75" customHeight="1">
      <c r="A1253" s="3" t="s">
        <v>2743</v>
      </c>
      <c r="B1253" s="895" t="s">
        <v>2726</v>
      </c>
      <c r="C1253" s="884"/>
      <c r="D1253" s="884"/>
      <c r="E1253" s="885"/>
      <c r="F1253" s="885"/>
      <c r="G1253" s="885"/>
      <c r="H1253" s="930"/>
      <c r="I1253" s="885"/>
      <c r="J1253" s="885"/>
      <c r="K1253" s="885"/>
      <c r="L1253" s="885"/>
      <c r="M1253" s="885"/>
      <c r="N1253" s="887"/>
      <c r="O1253" s="885"/>
      <c r="P1253" s="885"/>
      <c r="Q1253" s="885"/>
      <c r="R1253" s="885"/>
      <c r="S1253" s="885"/>
      <c r="T1253" s="885"/>
      <c r="U1253" s="885"/>
      <c r="V1253" s="885"/>
      <c r="W1253" s="885"/>
      <c r="X1253" s="885"/>
      <c r="Y1253" s="885"/>
      <c r="Z1253" s="885"/>
    </row>
    <row r="1254" ht="15.75" customHeight="1">
      <c r="A1254" s="3" t="s">
        <v>2744</v>
      </c>
      <c r="B1254" s="895" t="s">
        <v>2726</v>
      </c>
      <c r="C1254" s="884"/>
      <c r="D1254" s="884"/>
      <c r="E1254" s="885"/>
      <c r="F1254" s="885"/>
      <c r="G1254" s="885"/>
      <c r="H1254" s="930"/>
      <c r="I1254" s="885"/>
      <c r="J1254" s="885"/>
      <c r="K1254" s="885"/>
      <c r="L1254" s="885"/>
      <c r="M1254" s="885"/>
      <c r="N1254" s="887"/>
      <c r="O1254" s="885"/>
      <c r="P1254" s="885"/>
      <c r="Q1254" s="885"/>
      <c r="R1254" s="885"/>
      <c r="S1254" s="885"/>
      <c r="T1254" s="885"/>
      <c r="U1254" s="885"/>
      <c r="V1254" s="885"/>
      <c r="W1254" s="885"/>
      <c r="X1254" s="885"/>
      <c r="Y1254" s="885"/>
      <c r="Z1254" s="885"/>
    </row>
    <row r="1255" ht="15.75" customHeight="1">
      <c r="A1255" s="3" t="s">
        <v>2745</v>
      </c>
      <c r="B1255" s="895" t="s">
        <v>2726</v>
      </c>
      <c r="C1255" s="884"/>
      <c r="D1255" s="884"/>
      <c r="E1255" s="885"/>
      <c r="F1255" s="885"/>
      <c r="G1255" s="885"/>
      <c r="H1255" s="930"/>
      <c r="I1255" s="885"/>
      <c r="J1255" s="885"/>
      <c r="K1255" s="885"/>
      <c r="L1255" s="885"/>
      <c r="M1255" s="885"/>
      <c r="N1255" s="887"/>
      <c r="O1255" s="885"/>
      <c r="P1255" s="885"/>
      <c r="Q1255" s="885"/>
      <c r="R1255" s="885"/>
      <c r="S1255" s="885"/>
      <c r="T1255" s="885"/>
      <c r="U1255" s="885"/>
      <c r="V1255" s="885"/>
      <c r="W1255" s="885"/>
      <c r="X1255" s="885"/>
      <c r="Y1255" s="885"/>
      <c r="Z1255" s="885"/>
    </row>
    <row r="1256" ht="15.75" customHeight="1">
      <c r="A1256" s="884" t="s">
        <v>2746</v>
      </c>
      <c r="B1256" s="895" t="s">
        <v>2726</v>
      </c>
      <c r="C1256" s="884"/>
      <c r="D1256" s="884"/>
      <c r="E1256" s="885"/>
      <c r="F1256" s="885"/>
      <c r="G1256" s="885"/>
      <c r="H1256" s="930"/>
      <c r="I1256" s="885"/>
      <c r="J1256" s="885"/>
      <c r="K1256" s="885"/>
      <c r="L1256" s="885"/>
      <c r="M1256" s="885"/>
      <c r="N1256" s="887"/>
      <c r="O1256" s="885"/>
      <c r="P1256" s="885"/>
      <c r="Q1256" s="885"/>
      <c r="R1256" s="885"/>
      <c r="S1256" s="885"/>
      <c r="T1256" s="885"/>
      <c r="U1256" s="885"/>
      <c r="V1256" s="885"/>
      <c r="W1256" s="885"/>
      <c r="X1256" s="885"/>
      <c r="Y1256" s="885"/>
      <c r="Z1256" s="885"/>
    </row>
    <row r="1257" ht="15.75" customHeight="1">
      <c r="A1257" s="884" t="s">
        <v>2747</v>
      </c>
      <c r="B1257" s="895" t="s">
        <v>2726</v>
      </c>
      <c r="C1257" s="884"/>
      <c r="D1257" s="884"/>
      <c r="E1257" s="885"/>
      <c r="F1257" s="885"/>
      <c r="G1257" s="885"/>
      <c r="H1257" s="930"/>
      <c r="I1257" s="885"/>
      <c r="J1257" s="885"/>
      <c r="K1257" s="885"/>
      <c r="L1257" s="885"/>
      <c r="M1257" s="885"/>
      <c r="N1257" s="887"/>
      <c r="O1257" s="885"/>
      <c r="P1257" s="885"/>
      <c r="Q1257" s="885"/>
      <c r="R1257" s="885"/>
      <c r="S1257" s="885"/>
      <c r="T1257" s="885"/>
      <c r="U1257" s="885"/>
      <c r="V1257" s="885"/>
      <c r="W1257" s="885"/>
      <c r="X1257" s="885"/>
      <c r="Y1257" s="885"/>
      <c r="Z1257" s="885"/>
    </row>
    <row r="1258" ht="15.75" customHeight="1">
      <c r="A1258" s="3" t="s">
        <v>2748</v>
      </c>
      <c r="B1258" s="895" t="s">
        <v>2726</v>
      </c>
      <c r="C1258" s="884"/>
      <c r="D1258" s="884"/>
      <c r="E1258" s="885"/>
      <c r="F1258" s="885"/>
      <c r="G1258" s="885"/>
      <c r="H1258" s="930"/>
      <c r="I1258" s="885"/>
      <c r="J1258" s="885"/>
      <c r="K1258" s="885"/>
      <c r="L1258" s="885"/>
      <c r="M1258" s="885"/>
      <c r="N1258" s="887"/>
      <c r="O1258" s="885"/>
      <c r="P1258" s="885"/>
      <c r="Q1258" s="885"/>
      <c r="R1258" s="885"/>
      <c r="S1258" s="885"/>
      <c r="T1258" s="885"/>
      <c r="U1258" s="885"/>
      <c r="V1258" s="885"/>
      <c r="W1258" s="885"/>
      <c r="X1258" s="885"/>
      <c r="Y1258" s="885"/>
      <c r="Z1258" s="885"/>
    </row>
    <row r="1259" ht="15.75" customHeight="1">
      <c r="A1259" s="3" t="s">
        <v>2749</v>
      </c>
      <c r="B1259" s="895" t="s">
        <v>2726</v>
      </c>
      <c r="C1259" s="884"/>
      <c r="D1259" s="884"/>
      <c r="E1259" s="885"/>
      <c r="F1259" s="885"/>
      <c r="G1259" s="885"/>
      <c r="H1259" s="930"/>
      <c r="I1259" s="885"/>
      <c r="J1259" s="885"/>
      <c r="K1259" s="885"/>
      <c r="L1259" s="885"/>
      <c r="M1259" s="885"/>
      <c r="N1259" s="887"/>
      <c r="O1259" s="885"/>
      <c r="P1259" s="885"/>
      <c r="Q1259" s="885"/>
      <c r="R1259" s="885"/>
      <c r="S1259" s="885"/>
      <c r="T1259" s="885"/>
      <c r="U1259" s="885"/>
      <c r="V1259" s="885"/>
      <c r="W1259" s="885"/>
      <c r="X1259" s="885"/>
      <c r="Y1259" s="885"/>
      <c r="Z1259" s="885"/>
    </row>
    <row r="1260" ht="15.75" customHeight="1">
      <c r="A1260" s="3" t="s">
        <v>2750</v>
      </c>
      <c r="B1260" s="895" t="s">
        <v>2726</v>
      </c>
      <c r="C1260" s="884"/>
      <c r="D1260" s="884"/>
      <c r="E1260" s="885"/>
      <c r="F1260" s="885"/>
      <c r="G1260" s="885"/>
      <c r="H1260" s="930"/>
      <c r="I1260" s="885"/>
      <c r="J1260" s="885"/>
      <c r="K1260" s="885"/>
      <c r="L1260" s="885"/>
      <c r="M1260" s="885"/>
      <c r="N1260" s="887"/>
      <c r="O1260" s="885"/>
      <c r="P1260" s="885"/>
      <c r="Q1260" s="885"/>
      <c r="R1260" s="885"/>
      <c r="S1260" s="885"/>
      <c r="T1260" s="885"/>
      <c r="U1260" s="885"/>
      <c r="V1260" s="885"/>
      <c r="W1260" s="885"/>
      <c r="X1260" s="885"/>
      <c r="Y1260" s="885"/>
      <c r="Z1260" s="885"/>
    </row>
    <row r="1261" ht="15.75" customHeight="1">
      <c r="A1261" s="895" t="s">
        <v>378</v>
      </c>
      <c r="B1261" s="895" t="s">
        <v>2726</v>
      </c>
      <c r="C1261" s="884"/>
      <c r="D1261" s="884"/>
      <c r="E1261" s="885"/>
      <c r="F1261" s="885"/>
      <c r="G1261" s="885"/>
      <c r="H1261" s="930"/>
      <c r="I1261" s="885"/>
      <c r="J1261" s="885"/>
      <c r="K1261" s="885"/>
      <c r="L1261" s="885"/>
      <c r="M1261" s="885"/>
      <c r="N1261" s="887"/>
      <c r="O1261" s="885"/>
      <c r="P1261" s="885"/>
      <c r="Q1261" s="885"/>
      <c r="R1261" s="885"/>
      <c r="S1261" s="885"/>
      <c r="T1261" s="885"/>
      <c r="U1261" s="885"/>
      <c r="V1261" s="885"/>
      <c r="W1261" s="885"/>
      <c r="X1261" s="885"/>
      <c r="Y1261" s="885"/>
      <c r="Z1261" s="885"/>
    </row>
    <row r="1262" ht="15.75" customHeight="1">
      <c r="A1262" s="3" t="s">
        <v>2751</v>
      </c>
      <c r="B1262" s="895" t="s">
        <v>2726</v>
      </c>
      <c r="C1262" s="884"/>
      <c r="D1262" s="884"/>
      <c r="E1262" s="885"/>
      <c r="F1262" s="885"/>
      <c r="G1262" s="885"/>
      <c r="H1262" s="930"/>
      <c r="I1262" s="885"/>
      <c r="J1262" s="885"/>
      <c r="K1262" s="885"/>
      <c r="L1262" s="885"/>
      <c r="M1262" s="885"/>
      <c r="N1262" s="887"/>
      <c r="O1262" s="885"/>
      <c r="P1262" s="885"/>
      <c r="Q1262" s="885"/>
      <c r="R1262" s="885"/>
      <c r="S1262" s="885"/>
      <c r="T1262" s="885"/>
      <c r="U1262" s="885"/>
      <c r="V1262" s="885"/>
      <c r="W1262" s="885"/>
      <c r="X1262" s="885"/>
      <c r="Y1262" s="885"/>
      <c r="Z1262" s="885"/>
    </row>
    <row r="1263" ht="15.75" customHeight="1">
      <c r="A1263" s="3" t="s">
        <v>2752</v>
      </c>
      <c r="B1263" s="895" t="s">
        <v>2726</v>
      </c>
      <c r="C1263" s="884"/>
      <c r="D1263" s="884"/>
      <c r="E1263" s="885"/>
      <c r="F1263" s="885"/>
      <c r="G1263" s="885"/>
      <c r="H1263" s="930"/>
      <c r="I1263" s="885"/>
      <c r="J1263" s="885"/>
      <c r="K1263" s="885"/>
      <c r="L1263" s="885"/>
      <c r="M1263" s="885"/>
      <c r="N1263" s="887"/>
      <c r="O1263" s="885"/>
      <c r="P1263" s="885"/>
      <c r="Q1263" s="885"/>
      <c r="R1263" s="885"/>
      <c r="S1263" s="885"/>
      <c r="T1263" s="885"/>
      <c r="U1263" s="885"/>
      <c r="V1263" s="885"/>
      <c r="W1263" s="885"/>
      <c r="X1263" s="885"/>
      <c r="Y1263" s="885"/>
      <c r="Z1263" s="885"/>
    </row>
    <row r="1264" ht="15.75" customHeight="1">
      <c r="A1264" s="884" t="s">
        <v>2753</v>
      </c>
      <c r="B1264" s="895" t="s">
        <v>2726</v>
      </c>
      <c r="C1264" s="884"/>
      <c r="D1264" s="884"/>
      <c r="E1264" s="885"/>
      <c r="F1264" s="885"/>
      <c r="G1264" s="885"/>
      <c r="H1264" s="930"/>
      <c r="I1264" s="885"/>
      <c r="J1264" s="885"/>
      <c r="K1264" s="885"/>
      <c r="L1264" s="885"/>
      <c r="M1264" s="885"/>
      <c r="N1264" s="887"/>
      <c r="O1264" s="885"/>
      <c r="P1264" s="885"/>
      <c r="Q1264" s="885"/>
      <c r="R1264" s="885"/>
      <c r="S1264" s="885"/>
      <c r="T1264" s="885"/>
      <c r="U1264" s="885"/>
      <c r="V1264" s="885"/>
      <c r="W1264" s="885"/>
      <c r="X1264" s="885"/>
      <c r="Y1264" s="885"/>
      <c r="Z1264" s="885"/>
    </row>
    <row r="1265" ht="15.75" customHeight="1">
      <c r="A1265" s="884" t="s">
        <v>2754</v>
      </c>
      <c r="B1265" s="895" t="s">
        <v>2726</v>
      </c>
      <c r="C1265" s="884"/>
      <c r="D1265" s="884"/>
      <c r="E1265" s="885"/>
      <c r="F1265" s="885"/>
      <c r="G1265" s="885"/>
      <c r="H1265" s="930"/>
      <c r="I1265" s="885"/>
      <c r="J1265" s="885"/>
      <c r="K1265" s="885"/>
      <c r="L1265" s="885"/>
      <c r="M1265" s="885"/>
      <c r="N1265" s="887"/>
      <c r="O1265" s="885"/>
      <c r="P1265" s="885"/>
      <c r="Q1265" s="885"/>
      <c r="R1265" s="885"/>
      <c r="S1265" s="885"/>
      <c r="T1265" s="885"/>
      <c r="U1265" s="885"/>
      <c r="V1265" s="885"/>
      <c r="W1265" s="885"/>
      <c r="X1265" s="885"/>
      <c r="Y1265" s="885"/>
      <c r="Z1265" s="885"/>
    </row>
    <row r="1266" ht="15.75" customHeight="1">
      <c r="A1266" s="3" t="s">
        <v>2755</v>
      </c>
      <c r="B1266" s="895" t="s">
        <v>2726</v>
      </c>
      <c r="C1266" s="884"/>
      <c r="D1266" s="884"/>
      <c r="E1266" s="885"/>
      <c r="F1266" s="885"/>
      <c r="G1266" s="885"/>
      <c r="H1266" s="930"/>
      <c r="I1266" s="885"/>
      <c r="J1266" s="885"/>
      <c r="K1266" s="885"/>
      <c r="L1266" s="885"/>
      <c r="M1266" s="885"/>
      <c r="N1266" s="887"/>
      <c r="O1266" s="885"/>
      <c r="P1266" s="885"/>
      <c r="Q1266" s="885"/>
      <c r="R1266" s="885"/>
      <c r="S1266" s="885"/>
      <c r="T1266" s="885"/>
      <c r="U1266" s="885"/>
      <c r="V1266" s="885"/>
      <c r="W1266" s="885"/>
      <c r="X1266" s="885"/>
      <c r="Y1266" s="885"/>
      <c r="Z1266" s="885"/>
    </row>
    <row r="1267" ht="15.75" customHeight="1">
      <c r="A1267" s="3" t="s">
        <v>2756</v>
      </c>
      <c r="B1267" s="895" t="s">
        <v>2726</v>
      </c>
      <c r="C1267" s="884"/>
      <c r="D1267" s="884"/>
      <c r="E1267" s="885"/>
      <c r="F1267" s="885"/>
      <c r="G1267" s="885"/>
      <c r="H1267" s="930"/>
      <c r="I1267" s="885"/>
      <c r="J1267" s="885"/>
      <c r="K1267" s="885"/>
      <c r="L1267" s="885"/>
      <c r="M1267" s="885"/>
      <c r="N1267" s="887"/>
      <c r="O1267" s="885"/>
      <c r="P1267" s="885"/>
      <c r="Q1267" s="885"/>
      <c r="R1267" s="885"/>
      <c r="S1267" s="885"/>
      <c r="T1267" s="885"/>
      <c r="U1267" s="885"/>
      <c r="V1267" s="885"/>
      <c r="W1267" s="885"/>
      <c r="X1267" s="885"/>
      <c r="Y1267" s="885"/>
      <c r="Z1267" s="885"/>
    </row>
    <row r="1268" ht="15.75" customHeight="1">
      <c r="A1268" s="3" t="s">
        <v>2724</v>
      </c>
      <c r="B1268" s="895" t="s">
        <v>2726</v>
      </c>
      <c r="C1268" s="884"/>
      <c r="D1268" s="884"/>
      <c r="E1268" s="885"/>
      <c r="F1268" s="885"/>
      <c r="G1268" s="885"/>
      <c r="H1268" s="930"/>
      <c r="I1268" s="885"/>
      <c r="J1268" s="885"/>
      <c r="K1268" s="885"/>
      <c r="L1268" s="885"/>
      <c r="M1268" s="885"/>
      <c r="N1268" s="887"/>
      <c r="O1268" s="885"/>
      <c r="P1268" s="885"/>
      <c r="Q1268" s="885"/>
      <c r="R1268" s="885"/>
      <c r="S1268" s="885"/>
      <c r="T1268" s="885"/>
      <c r="U1268" s="885"/>
      <c r="V1268" s="885"/>
      <c r="W1268" s="885"/>
      <c r="X1268" s="885"/>
      <c r="Y1268" s="885"/>
      <c r="Z1268" s="885"/>
    </row>
    <row r="1269" ht="15.75" customHeight="1">
      <c r="A1269" s="3" t="s">
        <v>2757</v>
      </c>
      <c r="B1269" s="895" t="s">
        <v>2726</v>
      </c>
      <c r="C1269" s="884"/>
      <c r="D1269" s="884"/>
      <c r="E1269" s="885"/>
      <c r="F1269" s="885"/>
      <c r="G1269" s="885"/>
      <c r="H1269" s="930"/>
      <c r="I1269" s="885"/>
      <c r="J1269" s="885"/>
      <c r="K1269" s="885"/>
      <c r="L1269" s="885"/>
      <c r="M1269" s="885"/>
      <c r="N1269" s="887"/>
      <c r="O1269" s="885"/>
      <c r="P1269" s="885"/>
      <c r="Q1269" s="885"/>
      <c r="R1269" s="885"/>
      <c r="S1269" s="885"/>
      <c r="T1269" s="885"/>
      <c r="U1269" s="885"/>
      <c r="V1269" s="885"/>
      <c r="W1269" s="885"/>
      <c r="X1269" s="885"/>
      <c r="Y1269" s="885"/>
      <c r="Z1269" s="885"/>
    </row>
    <row r="1270" ht="15.75" customHeight="1">
      <c r="A1270" s="3" t="s">
        <v>2758</v>
      </c>
      <c r="B1270" s="895" t="s">
        <v>2726</v>
      </c>
      <c r="C1270" s="884"/>
      <c r="D1270" s="884"/>
      <c r="E1270" s="885"/>
      <c r="F1270" s="885"/>
      <c r="G1270" s="885"/>
      <c r="H1270" s="930"/>
      <c r="I1270" s="885"/>
      <c r="J1270" s="885"/>
      <c r="K1270" s="885"/>
      <c r="L1270" s="885"/>
      <c r="M1270" s="885"/>
      <c r="N1270" s="887"/>
      <c r="O1270" s="885"/>
      <c r="P1270" s="885"/>
      <c r="Q1270" s="885"/>
      <c r="R1270" s="885"/>
      <c r="S1270" s="885"/>
      <c r="T1270" s="885"/>
      <c r="U1270" s="885"/>
      <c r="V1270" s="885"/>
      <c r="W1270" s="885"/>
      <c r="X1270" s="885"/>
      <c r="Y1270" s="885"/>
      <c r="Z1270" s="885"/>
    </row>
    <row r="1271" ht="15.75" customHeight="1">
      <c r="A1271" s="883" t="s">
        <v>2759</v>
      </c>
      <c r="B1271" s="895" t="s">
        <v>2726</v>
      </c>
      <c r="C1271" s="884"/>
      <c r="D1271" s="884"/>
      <c r="E1271" s="885"/>
      <c r="F1271" s="885"/>
      <c r="G1271" s="885"/>
      <c r="H1271" s="930"/>
      <c r="I1271" s="885"/>
      <c r="J1271" s="885"/>
      <c r="K1271" s="885"/>
      <c r="L1271" s="885"/>
      <c r="M1271" s="885"/>
      <c r="N1271" s="887"/>
      <c r="O1271" s="885"/>
      <c r="P1271" s="885"/>
      <c r="Q1271" s="885"/>
      <c r="R1271" s="885"/>
      <c r="S1271" s="885"/>
      <c r="T1271" s="885"/>
      <c r="U1271" s="885"/>
      <c r="V1271" s="885"/>
      <c r="W1271" s="885"/>
      <c r="X1271" s="885"/>
      <c r="Y1271" s="885"/>
      <c r="Z1271" s="885"/>
    </row>
    <row r="1272" ht="15.75" customHeight="1">
      <c r="A1272" s="884" t="s">
        <v>2760</v>
      </c>
      <c r="B1272" s="895" t="s">
        <v>2726</v>
      </c>
      <c r="C1272" s="884"/>
      <c r="D1272" s="884"/>
      <c r="E1272" s="885"/>
      <c r="F1272" s="885"/>
      <c r="G1272" s="885"/>
      <c r="H1272" s="930"/>
      <c r="I1272" s="885"/>
      <c r="J1272" s="885"/>
      <c r="K1272" s="885"/>
      <c r="L1272" s="885"/>
      <c r="M1272" s="885"/>
      <c r="N1272" s="887"/>
      <c r="O1272" s="885"/>
      <c r="P1272" s="885"/>
      <c r="Q1272" s="885"/>
      <c r="R1272" s="885"/>
      <c r="S1272" s="885"/>
      <c r="T1272" s="885"/>
      <c r="U1272" s="885"/>
      <c r="V1272" s="885"/>
      <c r="W1272" s="885"/>
      <c r="X1272" s="885"/>
      <c r="Y1272" s="885"/>
      <c r="Z1272" s="885"/>
    </row>
    <row r="1273" ht="15.75" customHeight="1">
      <c r="A1273" s="3" t="s">
        <v>2761</v>
      </c>
      <c r="B1273" s="895" t="s">
        <v>2726</v>
      </c>
      <c r="C1273" s="884"/>
      <c r="D1273" s="884"/>
      <c r="E1273" s="885"/>
      <c r="F1273" s="885"/>
      <c r="G1273" s="885"/>
      <c r="H1273" s="930"/>
      <c r="I1273" s="885"/>
      <c r="J1273" s="885"/>
      <c r="K1273" s="885"/>
      <c r="L1273" s="885"/>
      <c r="M1273" s="885"/>
      <c r="N1273" s="887"/>
      <c r="O1273" s="885"/>
      <c r="P1273" s="885"/>
      <c r="Q1273" s="885"/>
      <c r="R1273" s="885"/>
      <c r="S1273" s="885"/>
      <c r="T1273" s="885"/>
      <c r="U1273" s="885"/>
      <c r="V1273" s="885"/>
      <c r="W1273" s="885"/>
      <c r="X1273" s="885"/>
      <c r="Y1273" s="885"/>
      <c r="Z1273" s="885"/>
    </row>
    <row r="1274" ht="15.75" customHeight="1">
      <c r="A1274" s="3" t="s">
        <v>2762</v>
      </c>
      <c r="B1274" s="895" t="s">
        <v>2726</v>
      </c>
      <c r="C1274" s="884"/>
      <c r="D1274" s="884"/>
      <c r="E1274" s="885"/>
      <c r="F1274" s="885"/>
      <c r="G1274" s="885"/>
      <c r="H1274" s="930"/>
      <c r="I1274" s="885"/>
      <c r="J1274" s="885"/>
      <c r="K1274" s="885"/>
      <c r="L1274" s="885"/>
      <c r="M1274" s="885"/>
      <c r="N1274" s="887"/>
      <c r="O1274" s="885"/>
      <c r="P1274" s="885"/>
      <c r="Q1274" s="885"/>
      <c r="R1274" s="885"/>
      <c r="S1274" s="885"/>
      <c r="T1274" s="885"/>
      <c r="U1274" s="885"/>
      <c r="V1274" s="885"/>
      <c r="W1274" s="885"/>
      <c r="X1274" s="885"/>
      <c r="Y1274" s="885"/>
      <c r="Z1274" s="885"/>
    </row>
    <row r="1275" ht="15.75" customHeight="1">
      <c r="A1275" s="3" t="s">
        <v>318</v>
      </c>
      <c r="B1275" s="895" t="s">
        <v>2726</v>
      </c>
      <c r="C1275" s="884"/>
      <c r="D1275" s="884"/>
      <c r="E1275" s="885"/>
      <c r="F1275" s="885"/>
      <c r="G1275" s="885"/>
      <c r="H1275" s="930"/>
      <c r="I1275" s="885"/>
      <c r="J1275" s="885"/>
      <c r="K1275" s="885"/>
      <c r="L1275" s="885"/>
      <c r="M1275" s="885"/>
      <c r="N1275" s="887"/>
      <c r="O1275" s="885"/>
      <c r="P1275" s="885"/>
      <c r="Q1275" s="885"/>
      <c r="R1275" s="885"/>
      <c r="S1275" s="885"/>
      <c r="T1275" s="885"/>
      <c r="U1275" s="885"/>
      <c r="V1275" s="885"/>
      <c r="W1275" s="885"/>
      <c r="X1275" s="885"/>
      <c r="Y1275" s="885"/>
      <c r="Z1275" s="885"/>
    </row>
    <row r="1276" ht="15.75" customHeight="1">
      <c r="A1276" s="3" t="s">
        <v>2763</v>
      </c>
      <c r="B1276" s="895" t="s">
        <v>2726</v>
      </c>
      <c r="C1276" s="884"/>
      <c r="D1276" s="884"/>
      <c r="E1276" s="885"/>
      <c r="F1276" s="885"/>
      <c r="G1276" s="885"/>
      <c r="H1276" s="930"/>
      <c r="I1276" s="885"/>
      <c r="J1276" s="885"/>
      <c r="K1276" s="885"/>
      <c r="L1276" s="885"/>
      <c r="M1276" s="885"/>
      <c r="N1276" s="887"/>
      <c r="O1276" s="885"/>
      <c r="P1276" s="885"/>
      <c r="Q1276" s="885"/>
      <c r="R1276" s="885"/>
      <c r="S1276" s="885"/>
      <c r="T1276" s="885"/>
      <c r="U1276" s="885"/>
      <c r="V1276" s="885"/>
      <c r="W1276" s="885"/>
      <c r="X1276" s="885"/>
      <c r="Y1276" s="885"/>
      <c r="Z1276" s="885"/>
    </row>
    <row r="1277" ht="15.75" customHeight="1">
      <c r="A1277" s="884" t="s">
        <v>2764</v>
      </c>
      <c r="B1277" s="895" t="s">
        <v>2726</v>
      </c>
      <c r="C1277" s="884"/>
      <c r="D1277" s="884"/>
      <c r="E1277" s="885"/>
      <c r="F1277" s="885"/>
      <c r="G1277" s="885"/>
      <c r="H1277" s="930"/>
      <c r="I1277" s="885"/>
      <c r="J1277" s="885"/>
      <c r="K1277" s="885"/>
      <c r="L1277" s="885"/>
      <c r="M1277" s="885"/>
      <c r="N1277" s="887"/>
      <c r="O1277" s="885"/>
      <c r="P1277" s="885"/>
      <c r="Q1277" s="885"/>
      <c r="R1277" s="885"/>
      <c r="S1277" s="885"/>
      <c r="T1277" s="885"/>
      <c r="U1277" s="885"/>
      <c r="V1277" s="885"/>
      <c r="W1277" s="885"/>
      <c r="X1277" s="885"/>
      <c r="Y1277" s="885"/>
      <c r="Z1277" s="885"/>
    </row>
    <row r="1278" ht="15.75" customHeight="1">
      <c r="A1278" s="884" t="s">
        <v>2765</v>
      </c>
      <c r="B1278" s="895" t="s">
        <v>2726</v>
      </c>
      <c r="C1278" s="884"/>
      <c r="D1278" s="884"/>
      <c r="E1278" s="885"/>
      <c r="F1278" s="885"/>
      <c r="G1278" s="885"/>
      <c r="H1278" s="930"/>
      <c r="I1278" s="885"/>
      <c r="J1278" s="885"/>
      <c r="K1278" s="885"/>
      <c r="L1278" s="885"/>
      <c r="M1278" s="885"/>
      <c r="N1278" s="887"/>
      <c r="O1278" s="885"/>
      <c r="P1278" s="885"/>
      <c r="Q1278" s="885"/>
      <c r="R1278" s="885"/>
      <c r="S1278" s="885"/>
      <c r="T1278" s="885"/>
      <c r="U1278" s="885"/>
      <c r="V1278" s="885"/>
      <c r="W1278" s="885"/>
      <c r="X1278" s="885"/>
      <c r="Y1278" s="885"/>
      <c r="Z1278" s="885"/>
    </row>
    <row r="1279" ht="15.75" customHeight="1">
      <c r="A1279" s="3" t="s">
        <v>2766</v>
      </c>
      <c r="B1279" s="895" t="s">
        <v>2726</v>
      </c>
      <c r="C1279" s="884"/>
      <c r="D1279" s="884"/>
      <c r="E1279" s="885"/>
      <c r="F1279" s="885"/>
      <c r="G1279" s="885"/>
      <c r="H1279" s="930"/>
      <c r="I1279" s="885"/>
      <c r="J1279" s="885"/>
      <c r="K1279" s="885"/>
      <c r="L1279" s="885"/>
      <c r="M1279" s="885"/>
      <c r="N1279" s="887"/>
      <c r="O1279" s="885"/>
      <c r="P1279" s="885"/>
      <c r="Q1279" s="885"/>
      <c r="R1279" s="885"/>
      <c r="S1279" s="885"/>
      <c r="T1279" s="885"/>
      <c r="U1279" s="885"/>
      <c r="V1279" s="885"/>
      <c r="W1279" s="885"/>
      <c r="X1279" s="885"/>
      <c r="Y1279" s="885"/>
      <c r="Z1279" s="885"/>
    </row>
    <row r="1280" ht="15.75" customHeight="1">
      <c r="A1280" s="895" t="s">
        <v>2767</v>
      </c>
      <c r="B1280" s="895" t="s">
        <v>2768</v>
      </c>
      <c r="C1280" s="884"/>
      <c r="D1280" s="884"/>
      <c r="E1280" s="885"/>
      <c r="F1280" s="885"/>
      <c r="G1280" s="885"/>
      <c r="H1280" s="930"/>
      <c r="I1280" s="885"/>
      <c r="J1280" s="885"/>
      <c r="K1280" s="885"/>
      <c r="L1280" s="885"/>
      <c r="M1280" s="885"/>
      <c r="N1280" s="887"/>
      <c r="O1280" s="885"/>
      <c r="P1280" s="885"/>
      <c r="Q1280" s="885"/>
      <c r="R1280" s="885"/>
      <c r="S1280" s="885"/>
      <c r="T1280" s="885"/>
      <c r="U1280" s="885"/>
      <c r="V1280" s="885"/>
      <c r="W1280" s="885"/>
      <c r="X1280" s="885"/>
      <c r="Y1280" s="885"/>
      <c r="Z1280" s="885"/>
    </row>
    <row r="1281" ht="15.75" customHeight="1">
      <c r="A1281" s="895" t="s">
        <v>2769</v>
      </c>
      <c r="B1281" s="895" t="s">
        <v>2726</v>
      </c>
      <c r="C1281" s="884"/>
      <c r="D1281" s="884"/>
      <c r="E1281" s="885"/>
      <c r="F1281" s="885"/>
      <c r="G1281" s="885"/>
      <c r="H1281" s="930"/>
      <c r="I1281" s="885"/>
      <c r="J1281" s="885"/>
      <c r="K1281" s="885"/>
      <c r="L1281" s="885"/>
      <c r="M1281" s="885"/>
      <c r="N1281" s="887"/>
      <c r="O1281" s="885"/>
      <c r="P1281" s="885"/>
      <c r="Q1281" s="885"/>
      <c r="R1281" s="885"/>
      <c r="S1281" s="885"/>
      <c r="T1281" s="885"/>
      <c r="U1281" s="885"/>
      <c r="V1281" s="885"/>
      <c r="W1281" s="885"/>
      <c r="X1281" s="885"/>
      <c r="Y1281" s="885"/>
      <c r="Z1281" s="885"/>
    </row>
    <row r="1282" ht="15.75" customHeight="1">
      <c r="A1282" s="3" t="s">
        <v>2770</v>
      </c>
      <c r="B1282" s="895" t="s">
        <v>2726</v>
      </c>
      <c r="C1282" s="884"/>
      <c r="D1282" s="884"/>
      <c r="E1282" s="885"/>
      <c r="F1282" s="885"/>
      <c r="G1282" s="885"/>
      <c r="H1282" s="930"/>
      <c r="I1282" s="885"/>
      <c r="J1282" s="885"/>
      <c r="K1282" s="885"/>
      <c r="L1282" s="885"/>
      <c r="M1282" s="885"/>
      <c r="N1282" s="887"/>
      <c r="O1282" s="885"/>
      <c r="P1282" s="885"/>
      <c r="Q1282" s="885"/>
      <c r="R1282" s="885"/>
      <c r="S1282" s="885"/>
      <c r="T1282" s="885"/>
      <c r="U1282" s="885"/>
      <c r="V1282" s="885"/>
      <c r="W1282" s="885"/>
      <c r="X1282" s="885"/>
      <c r="Y1282" s="885"/>
      <c r="Z1282" s="885"/>
    </row>
    <row r="1283" ht="15.75" customHeight="1">
      <c r="A1283" s="3" t="s">
        <v>2771</v>
      </c>
      <c r="B1283" s="895" t="s">
        <v>2726</v>
      </c>
      <c r="C1283" s="884"/>
      <c r="D1283" s="884"/>
      <c r="E1283" s="885"/>
      <c r="F1283" s="885"/>
      <c r="G1283" s="885"/>
      <c r="H1283" s="930"/>
      <c r="I1283" s="885"/>
      <c r="J1283" s="885"/>
      <c r="K1283" s="885"/>
      <c r="L1283" s="885"/>
      <c r="M1283" s="885"/>
      <c r="N1283" s="887"/>
      <c r="O1283" s="885"/>
      <c r="P1283" s="885"/>
      <c r="Q1283" s="885"/>
      <c r="R1283" s="885"/>
      <c r="S1283" s="885"/>
      <c r="T1283" s="885"/>
      <c r="U1283" s="885"/>
      <c r="V1283" s="885"/>
      <c r="W1283" s="885"/>
      <c r="X1283" s="885"/>
      <c r="Y1283" s="885"/>
      <c r="Z1283" s="885"/>
    </row>
    <row r="1284" ht="15.75" customHeight="1">
      <c r="A1284" s="3" t="s">
        <v>464</v>
      </c>
      <c r="B1284" s="895" t="s">
        <v>2726</v>
      </c>
      <c r="C1284" s="884"/>
      <c r="D1284" s="884"/>
      <c r="E1284" s="885"/>
      <c r="F1284" s="885"/>
      <c r="G1284" s="885"/>
      <c r="H1284" s="930"/>
      <c r="I1284" s="885"/>
      <c r="J1284" s="885"/>
      <c r="K1284" s="885"/>
      <c r="L1284" s="885"/>
      <c r="M1284" s="885"/>
      <c r="N1284" s="887"/>
      <c r="O1284" s="885"/>
      <c r="P1284" s="885"/>
      <c r="Q1284" s="885"/>
      <c r="R1284" s="885"/>
      <c r="S1284" s="885"/>
      <c r="T1284" s="885"/>
      <c r="U1284" s="885"/>
      <c r="V1284" s="885"/>
      <c r="W1284" s="885"/>
      <c r="X1284" s="885"/>
      <c r="Y1284" s="885"/>
      <c r="Z1284" s="885"/>
    </row>
    <row r="1285" ht="15.75" customHeight="1">
      <c r="A1285" s="3" t="s">
        <v>2772</v>
      </c>
      <c r="B1285" s="895" t="s">
        <v>2726</v>
      </c>
      <c r="C1285" s="884"/>
      <c r="D1285" s="884"/>
      <c r="E1285" s="885"/>
      <c r="F1285" s="885"/>
      <c r="G1285" s="885"/>
      <c r="H1285" s="930"/>
      <c r="I1285" s="885"/>
      <c r="J1285" s="885"/>
      <c r="K1285" s="885"/>
      <c r="L1285" s="885"/>
      <c r="M1285" s="885"/>
      <c r="N1285" s="887"/>
      <c r="O1285" s="885"/>
      <c r="P1285" s="885"/>
      <c r="Q1285" s="885"/>
      <c r="R1285" s="885"/>
      <c r="S1285" s="885"/>
      <c r="T1285" s="885"/>
      <c r="U1285" s="885"/>
      <c r="V1285" s="885"/>
      <c r="W1285" s="885"/>
      <c r="X1285" s="885"/>
      <c r="Y1285" s="885"/>
      <c r="Z1285" s="885"/>
    </row>
    <row r="1286" ht="15.75" customHeight="1">
      <c r="A1286" s="3" t="s">
        <v>2773</v>
      </c>
      <c r="B1286" s="895" t="s">
        <v>2726</v>
      </c>
      <c r="C1286" s="884"/>
      <c r="D1286" s="884"/>
      <c r="E1286" s="885"/>
      <c r="F1286" s="885"/>
      <c r="G1286" s="885"/>
      <c r="H1286" s="930"/>
      <c r="I1286" s="885"/>
      <c r="J1286" s="885"/>
      <c r="K1286" s="885"/>
      <c r="L1286" s="885"/>
      <c r="M1286" s="885"/>
      <c r="N1286" s="887"/>
      <c r="O1286" s="885"/>
      <c r="P1286" s="885"/>
      <c r="Q1286" s="885"/>
      <c r="R1286" s="885"/>
      <c r="S1286" s="885"/>
      <c r="T1286" s="885"/>
      <c r="U1286" s="885"/>
      <c r="V1286" s="885"/>
      <c r="W1286" s="885"/>
      <c r="X1286" s="885"/>
      <c r="Y1286" s="885"/>
      <c r="Z1286" s="885"/>
    </row>
    <row r="1287" ht="15.75" customHeight="1">
      <c r="A1287" s="895" t="s">
        <v>2774</v>
      </c>
      <c r="B1287" s="895" t="s">
        <v>2726</v>
      </c>
      <c r="C1287" s="884"/>
      <c r="D1287" s="884"/>
      <c r="E1287" s="885"/>
      <c r="F1287" s="885"/>
      <c r="G1287" s="885"/>
      <c r="H1287" s="930"/>
      <c r="I1287" s="885"/>
      <c r="J1287" s="885"/>
      <c r="K1287" s="885"/>
      <c r="L1287" s="885"/>
      <c r="M1287" s="885"/>
      <c r="N1287" s="887"/>
      <c r="O1287" s="885"/>
      <c r="P1287" s="885"/>
      <c r="Q1287" s="885"/>
      <c r="R1287" s="885"/>
      <c r="S1287" s="885"/>
      <c r="T1287" s="885"/>
      <c r="U1287" s="885"/>
      <c r="V1287" s="885"/>
      <c r="W1287" s="885"/>
      <c r="X1287" s="885"/>
      <c r="Y1287" s="885"/>
      <c r="Z1287" s="885"/>
    </row>
    <row r="1288" ht="15.75" customHeight="1">
      <c r="A1288" s="3" t="s">
        <v>2775</v>
      </c>
      <c r="B1288" s="895" t="s">
        <v>2726</v>
      </c>
      <c r="C1288" s="884"/>
      <c r="D1288" s="884"/>
      <c r="E1288" s="885"/>
      <c r="F1288" s="885"/>
      <c r="G1288" s="885"/>
      <c r="H1288" s="930"/>
      <c r="I1288" s="885"/>
      <c r="J1288" s="885"/>
      <c r="K1288" s="885"/>
      <c r="L1288" s="885"/>
      <c r="M1288" s="885"/>
      <c r="N1288" s="887"/>
      <c r="O1288" s="885"/>
      <c r="P1288" s="885"/>
      <c r="Q1288" s="885"/>
      <c r="R1288" s="885"/>
      <c r="S1288" s="885"/>
      <c r="T1288" s="885"/>
      <c r="U1288" s="885"/>
      <c r="V1288" s="885"/>
      <c r="W1288" s="885"/>
      <c r="X1288" s="885"/>
      <c r="Y1288" s="885"/>
      <c r="Z1288" s="885"/>
    </row>
    <row r="1289" ht="15.75" customHeight="1">
      <c r="A1289" s="895" t="s">
        <v>2776</v>
      </c>
      <c r="B1289" s="895" t="s">
        <v>2726</v>
      </c>
      <c r="C1289" s="884"/>
      <c r="D1289" s="884"/>
      <c r="E1289" s="885"/>
      <c r="F1289" s="885"/>
      <c r="G1289" s="885"/>
      <c r="H1289" s="930"/>
      <c r="I1289" s="885"/>
      <c r="J1289" s="885"/>
      <c r="K1289" s="885"/>
      <c r="L1289" s="885"/>
      <c r="M1289" s="885"/>
      <c r="N1289" s="887"/>
      <c r="O1289" s="885"/>
      <c r="P1289" s="885"/>
      <c r="Q1289" s="885"/>
      <c r="R1289" s="885"/>
      <c r="S1289" s="885"/>
      <c r="T1289" s="885"/>
      <c r="U1289" s="885"/>
      <c r="V1289" s="885"/>
      <c r="W1289" s="885"/>
      <c r="X1289" s="885"/>
      <c r="Y1289" s="885"/>
      <c r="Z1289" s="885"/>
    </row>
    <row r="1290" ht="15.75" customHeight="1">
      <c r="A1290" s="3" t="s">
        <v>2777</v>
      </c>
      <c r="B1290" s="895" t="s">
        <v>2726</v>
      </c>
      <c r="C1290" s="884"/>
      <c r="D1290" s="884"/>
      <c r="E1290" s="885"/>
      <c r="F1290" s="885"/>
      <c r="G1290" s="885"/>
      <c r="H1290" s="930"/>
      <c r="I1290" s="885"/>
      <c r="J1290" s="885"/>
      <c r="K1290" s="885"/>
      <c r="L1290" s="885"/>
      <c r="M1290" s="885"/>
      <c r="N1290" s="887"/>
      <c r="O1290" s="885"/>
      <c r="P1290" s="885"/>
      <c r="Q1290" s="885"/>
      <c r="R1290" s="885"/>
      <c r="S1290" s="885"/>
      <c r="T1290" s="885"/>
      <c r="U1290" s="885"/>
      <c r="V1290" s="885"/>
      <c r="W1290" s="885"/>
      <c r="X1290" s="885"/>
      <c r="Y1290" s="885"/>
      <c r="Z1290" s="885"/>
    </row>
    <row r="1291" ht="15.75" customHeight="1">
      <c r="A1291" s="884" t="s">
        <v>2778</v>
      </c>
      <c r="B1291" s="895" t="s">
        <v>2726</v>
      </c>
      <c r="C1291" s="884"/>
      <c r="D1291" s="884"/>
      <c r="E1291" s="885"/>
      <c r="F1291" s="885"/>
      <c r="G1291" s="885"/>
      <c r="H1291" s="930"/>
      <c r="I1291" s="885"/>
      <c r="J1291" s="885"/>
      <c r="K1291" s="885"/>
      <c r="L1291" s="885"/>
      <c r="M1291" s="885"/>
      <c r="N1291" s="887"/>
      <c r="O1291" s="885"/>
      <c r="P1291" s="885"/>
      <c r="Q1291" s="885"/>
      <c r="R1291" s="885"/>
      <c r="S1291" s="885"/>
      <c r="T1291" s="885"/>
      <c r="U1291" s="885"/>
      <c r="V1291" s="885"/>
      <c r="W1291" s="885"/>
      <c r="X1291" s="885"/>
      <c r="Y1291" s="885"/>
      <c r="Z1291" s="885"/>
    </row>
    <row r="1292" ht="15.75" customHeight="1">
      <c r="A1292" s="884" t="s">
        <v>2779</v>
      </c>
      <c r="B1292" s="895" t="s">
        <v>2726</v>
      </c>
      <c r="C1292" s="884"/>
      <c r="D1292" s="884"/>
      <c r="E1292" s="885"/>
      <c r="F1292" s="885"/>
      <c r="G1292" s="885"/>
      <c r="H1292" s="930"/>
      <c r="I1292" s="885"/>
      <c r="J1292" s="885"/>
      <c r="K1292" s="885"/>
      <c r="L1292" s="885"/>
      <c r="M1292" s="885"/>
      <c r="N1292" s="887"/>
      <c r="O1292" s="885"/>
      <c r="P1292" s="885"/>
      <c r="Q1292" s="885"/>
      <c r="R1292" s="885"/>
      <c r="S1292" s="885"/>
      <c r="T1292" s="885"/>
      <c r="U1292" s="885"/>
      <c r="V1292" s="885"/>
      <c r="W1292" s="885"/>
      <c r="X1292" s="885"/>
      <c r="Y1292" s="885"/>
      <c r="Z1292" s="885"/>
    </row>
    <row r="1293" ht="15.75" customHeight="1">
      <c r="A1293" s="884" t="s">
        <v>2780</v>
      </c>
      <c r="B1293" s="895" t="s">
        <v>2726</v>
      </c>
      <c r="C1293" s="884"/>
      <c r="D1293" s="884"/>
      <c r="E1293" s="885"/>
      <c r="F1293" s="885"/>
      <c r="G1293" s="885"/>
      <c r="H1293" s="930"/>
      <c r="I1293" s="885"/>
      <c r="J1293" s="885"/>
      <c r="K1293" s="885"/>
      <c r="L1293" s="885"/>
      <c r="M1293" s="885"/>
      <c r="N1293" s="887"/>
      <c r="O1293" s="885"/>
      <c r="P1293" s="885"/>
      <c r="Q1293" s="885"/>
      <c r="R1293" s="885"/>
      <c r="S1293" s="885"/>
      <c r="T1293" s="885"/>
      <c r="U1293" s="885"/>
      <c r="V1293" s="885"/>
      <c r="W1293" s="885"/>
      <c r="X1293" s="885"/>
      <c r="Y1293" s="885"/>
      <c r="Z1293" s="885"/>
    </row>
    <row r="1294" ht="15.75" customHeight="1">
      <c r="A1294" s="884" t="s">
        <v>2781</v>
      </c>
      <c r="B1294" s="895" t="s">
        <v>2726</v>
      </c>
      <c r="C1294" s="884"/>
      <c r="D1294" s="884"/>
      <c r="E1294" s="885"/>
      <c r="F1294" s="885"/>
      <c r="G1294" s="885"/>
      <c r="H1294" s="930"/>
      <c r="I1294" s="885"/>
      <c r="J1294" s="885"/>
      <c r="K1294" s="885"/>
      <c r="L1294" s="885"/>
      <c r="M1294" s="885"/>
      <c r="N1294" s="887"/>
      <c r="O1294" s="885"/>
      <c r="P1294" s="885"/>
      <c r="Q1294" s="885"/>
      <c r="R1294" s="885"/>
      <c r="S1294" s="885"/>
      <c r="T1294" s="885"/>
      <c r="U1294" s="885"/>
      <c r="V1294" s="885"/>
      <c r="W1294" s="885"/>
      <c r="X1294" s="885"/>
      <c r="Y1294" s="885"/>
      <c r="Z1294" s="885"/>
    </row>
    <row r="1295" ht="15.75" customHeight="1">
      <c r="A1295" s="884" t="s">
        <v>2782</v>
      </c>
      <c r="B1295" s="895" t="s">
        <v>2726</v>
      </c>
      <c r="C1295" s="884"/>
      <c r="D1295" s="884"/>
      <c r="E1295" s="885"/>
      <c r="F1295" s="885"/>
      <c r="G1295" s="885"/>
      <c r="H1295" s="930"/>
      <c r="I1295" s="885"/>
      <c r="J1295" s="885"/>
      <c r="K1295" s="885"/>
      <c r="L1295" s="885"/>
      <c r="M1295" s="885"/>
      <c r="N1295" s="887"/>
      <c r="O1295" s="885"/>
      <c r="P1295" s="885"/>
      <c r="Q1295" s="885"/>
      <c r="R1295" s="885"/>
      <c r="S1295" s="885"/>
      <c r="T1295" s="885"/>
      <c r="U1295" s="885"/>
      <c r="V1295" s="885"/>
      <c r="W1295" s="885"/>
      <c r="X1295" s="885"/>
      <c r="Y1295" s="885"/>
      <c r="Z1295" s="885"/>
    </row>
    <row r="1296" ht="15.75" customHeight="1">
      <c r="A1296" s="884" t="s">
        <v>2783</v>
      </c>
      <c r="B1296" s="895" t="s">
        <v>2726</v>
      </c>
      <c r="C1296" s="884"/>
      <c r="D1296" s="884"/>
      <c r="E1296" s="885"/>
      <c r="F1296" s="885"/>
      <c r="G1296" s="885"/>
      <c r="H1296" s="930"/>
      <c r="I1296" s="885"/>
      <c r="J1296" s="885"/>
      <c r="K1296" s="885"/>
      <c r="L1296" s="885"/>
      <c r="M1296" s="885"/>
      <c r="N1296" s="887"/>
      <c r="O1296" s="885"/>
      <c r="P1296" s="885"/>
      <c r="Q1296" s="885"/>
      <c r="R1296" s="885"/>
      <c r="S1296" s="885"/>
      <c r="T1296" s="885"/>
      <c r="U1296" s="885"/>
      <c r="V1296" s="885"/>
      <c r="W1296" s="885"/>
      <c r="X1296" s="885"/>
      <c r="Y1296" s="885"/>
      <c r="Z1296" s="885"/>
    </row>
    <row r="1297" ht="15.75" customHeight="1">
      <c r="A1297" s="884" t="s">
        <v>2784</v>
      </c>
      <c r="B1297" s="895" t="s">
        <v>2726</v>
      </c>
      <c r="C1297" s="884"/>
      <c r="D1297" s="884"/>
      <c r="E1297" s="885"/>
      <c r="F1297" s="885"/>
      <c r="G1297" s="885"/>
      <c r="H1297" s="930"/>
      <c r="I1297" s="885"/>
      <c r="J1297" s="885"/>
      <c r="K1297" s="885"/>
      <c r="L1297" s="885"/>
      <c r="M1297" s="885"/>
      <c r="N1297" s="887"/>
      <c r="O1297" s="885"/>
      <c r="P1297" s="885"/>
      <c r="Q1297" s="885"/>
      <c r="R1297" s="885"/>
      <c r="S1297" s="885"/>
      <c r="T1297" s="885"/>
      <c r="U1297" s="885"/>
      <c r="V1297" s="885"/>
      <c r="W1297" s="885"/>
      <c r="X1297" s="885"/>
      <c r="Y1297" s="885"/>
      <c r="Z1297" s="885"/>
    </row>
    <row r="1298" ht="15.75" customHeight="1">
      <c r="A1298" s="3" t="s">
        <v>2785</v>
      </c>
      <c r="B1298" s="895" t="s">
        <v>2726</v>
      </c>
      <c r="C1298" s="884"/>
      <c r="D1298" s="884"/>
      <c r="E1298" s="885"/>
      <c r="F1298" s="885"/>
      <c r="G1298" s="885"/>
      <c r="H1298" s="930"/>
      <c r="I1298" s="885"/>
      <c r="J1298" s="885"/>
      <c r="K1298" s="885"/>
      <c r="L1298" s="885"/>
      <c r="M1298" s="885"/>
      <c r="N1298" s="887"/>
      <c r="O1298" s="885"/>
      <c r="P1298" s="885"/>
      <c r="Q1298" s="885"/>
      <c r="R1298" s="885"/>
      <c r="S1298" s="885"/>
      <c r="T1298" s="885"/>
      <c r="U1298" s="885"/>
      <c r="V1298" s="885"/>
      <c r="W1298" s="885"/>
      <c r="X1298" s="885"/>
      <c r="Y1298" s="885"/>
      <c r="Z1298" s="885"/>
    </row>
    <row r="1299" ht="15.75" customHeight="1">
      <c r="A1299" s="3" t="s">
        <v>358</v>
      </c>
      <c r="B1299" s="895" t="s">
        <v>2726</v>
      </c>
      <c r="C1299" s="884"/>
      <c r="D1299" s="884"/>
      <c r="E1299" s="885"/>
      <c r="F1299" s="885"/>
      <c r="G1299" s="885"/>
      <c r="H1299" s="930"/>
      <c r="I1299" s="885"/>
      <c r="J1299" s="885"/>
      <c r="K1299" s="885"/>
      <c r="L1299" s="885"/>
      <c r="M1299" s="885"/>
      <c r="N1299" s="887"/>
      <c r="O1299" s="885"/>
      <c r="P1299" s="885"/>
      <c r="Q1299" s="885"/>
      <c r="R1299" s="885"/>
      <c r="S1299" s="885"/>
      <c r="T1299" s="885"/>
      <c r="U1299" s="885"/>
      <c r="V1299" s="885"/>
      <c r="W1299" s="885"/>
      <c r="X1299" s="885"/>
      <c r="Y1299" s="885"/>
      <c r="Z1299" s="885"/>
    </row>
    <row r="1300" ht="15.75" customHeight="1">
      <c r="A1300" s="884" t="s">
        <v>2786</v>
      </c>
      <c r="B1300" s="895" t="s">
        <v>2726</v>
      </c>
      <c r="C1300" s="884"/>
      <c r="D1300" s="884"/>
      <c r="E1300" s="885"/>
      <c r="F1300" s="885"/>
      <c r="G1300" s="885"/>
      <c r="H1300" s="930"/>
      <c r="I1300" s="885"/>
      <c r="J1300" s="885"/>
      <c r="K1300" s="885"/>
      <c r="L1300" s="885"/>
      <c r="M1300" s="885"/>
      <c r="N1300" s="887"/>
      <c r="O1300" s="885"/>
      <c r="P1300" s="885"/>
      <c r="Q1300" s="885"/>
      <c r="R1300" s="885"/>
      <c r="S1300" s="885"/>
      <c r="T1300" s="885"/>
      <c r="U1300" s="885"/>
      <c r="V1300" s="885"/>
      <c r="W1300" s="885"/>
      <c r="X1300" s="885"/>
      <c r="Y1300" s="885"/>
      <c r="Z1300" s="885"/>
    </row>
    <row r="1301" ht="15.75" customHeight="1">
      <c r="A1301" s="884" t="s">
        <v>2787</v>
      </c>
      <c r="B1301" s="895" t="s">
        <v>2726</v>
      </c>
      <c r="C1301" s="884"/>
      <c r="D1301" s="884"/>
      <c r="E1301" s="885"/>
      <c r="F1301" s="885"/>
      <c r="G1301" s="885"/>
      <c r="H1301" s="930"/>
      <c r="I1301" s="885"/>
      <c r="J1301" s="885"/>
      <c r="K1301" s="885"/>
      <c r="L1301" s="885"/>
      <c r="M1301" s="885"/>
      <c r="N1301" s="887"/>
      <c r="O1301" s="885"/>
      <c r="P1301" s="885"/>
      <c r="Q1301" s="885"/>
      <c r="R1301" s="885"/>
      <c r="S1301" s="885"/>
      <c r="T1301" s="885"/>
      <c r="U1301" s="885"/>
      <c r="V1301" s="885"/>
      <c r="W1301" s="885"/>
      <c r="X1301" s="885"/>
      <c r="Y1301" s="885"/>
      <c r="Z1301" s="885"/>
    </row>
    <row r="1302" ht="15.75" customHeight="1">
      <c r="A1302" s="884" t="s">
        <v>2788</v>
      </c>
      <c r="B1302" s="895" t="s">
        <v>2726</v>
      </c>
      <c r="C1302" s="884"/>
      <c r="D1302" s="884"/>
      <c r="E1302" s="885"/>
      <c r="F1302" s="885"/>
      <c r="G1302" s="885"/>
      <c r="H1302" s="930"/>
      <c r="I1302" s="885"/>
      <c r="J1302" s="885"/>
      <c r="K1302" s="885"/>
      <c r="L1302" s="885"/>
      <c r="M1302" s="885"/>
      <c r="N1302" s="887"/>
      <c r="O1302" s="885"/>
      <c r="P1302" s="885"/>
      <c r="Q1302" s="885"/>
      <c r="R1302" s="885"/>
      <c r="S1302" s="885"/>
      <c r="T1302" s="885"/>
      <c r="U1302" s="885"/>
      <c r="V1302" s="885"/>
      <c r="W1302" s="885"/>
      <c r="X1302" s="885"/>
      <c r="Y1302" s="885"/>
      <c r="Z1302" s="885"/>
    </row>
    <row r="1303" ht="15.75" customHeight="1">
      <c r="A1303" s="883" t="s">
        <v>2789</v>
      </c>
      <c r="B1303" s="883" t="s">
        <v>2790</v>
      </c>
      <c r="C1303" s="884"/>
      <c r="D1303" s="884"/>
      <c r="E1303" s="885"/>
      <c r="F1303" s="885"/>
      <c r="G1303" s="885"/>
      <c r="H1303" s="930"/>
      <c r="I1303" s="885"/>
      <c r="J1303" s="885"/>
      <c r="K1303" s="885"/>
      <c r="L1303" s="885"/>
      <c r="M1303" s="885"/>
      <c r="N1303" s="887"/>
      <c r="O1303" s="885"/>
      <c r="P1303" s="885"/>
      <c r="Q1303" s="885"/>
      <c r="R1303" s="885"/>
      <c r="S1303" s="885"/>
      <c r="T1303" s="885"/>
      <c r="U1303" s="885"/>
      <c r="V1303" s="885"/>
      <c r="W1303" s="885"/>
      <c r="X1303" s="885"/>
      <c r="Y1303" s="885"/>
      <c r="Z1303" s="885"/>
    </row>
    <row r="1304" ht="15.75" customHeight="1">
      <c r="A1304" s="883" t="s">
        <v>2791</v>
      </c>
      <c r="B1304" s="883" t="s">
        <v>2790</v>
      </c>
      <c r="C1304" s="884"/>
      <c r="D1304" s="884"/>
      <c r="E1304" s="885"/>
      <c r="F1304" s="885"/>
      <c r="G1304" s="885"/>
      <c r="H1304" s="930"/>
      <c r="I1304" s="885"/>
      <c r="J1304" s="885"/>
      <c r="K1304" s="885"/>
      <c r="L1304" s="885"/>
      <c r="M1304" s="885"/>
      <c r="N1304" s="887"/>
      <c r="O1304" s="885"/>
      <c r="P1304" s="885"/>
      <c r="Q1304" s="885"/>
      <c r="R1304" s="885"/>
      <c r="S1304" s="885"/>
      <c r="T1304" s="885"/>
      <c r="U1304" s="885"/>
      <c r="V1304" s="885"/>
      <c r="W1304" s="885"/>
      <c r="X1304" s="885"/>
      <c r="Y1304" s="885"/>
      <c r="Z1304" s="885"/>
    </row>
    <row r="1305" ht="15.75" customHeight="1">
      <c r="A1305" s="884" t="s">
        <v>2792</v>
      </c>
      <c r="B1305" s="883" t="s">
        <v>2790</v>
      </c>
      <c r="C1305" s="884"/>
      <c r="D1305" s="884"/>
      <c r="E1305" s="885"/>
      <c r="F1305" s="885"/>
      <c r="G1305" s="885"/>
      <c r="H1305" s="930"/>
      <c r="I1305" s="885"/>
      <c r="J1305" s="885"/>
      <c r="K1305" s="885"/>
      <c r="L1305" s="885"/>
      <c r="M1305" s="885"/>
      <c r="N1305" s="887"/>
      <c r="O1305" s="885"/>
      <c r="P1305" s="885"/>
      <c r="Q1305" s="885"/>
      <c r="R1305" s="885"/>
      <c r="S1305" s="885"/>
      <c r="T1305" s="885"/>
      <c r="U1305" s="885"/>
      <c r="V1305" s="885"/>
      <c r="W1305" s="885"/>
      <c r="X1305" s="885"/>
      <c r="Y1305" s="885"/>
      <c r="Z1305" s="885"/>
    </row>
    <row r="1306" ht="15.75" customHeight="1">
      <c r="A1306" s="3" t="s">
        <v>2793</v>
      </c>
      <c r="B1306" s="883" t="s">
        <v>2790</v>
      </c>
      <c r="C1306" s="884"/>
      <c r="D1306" s="884"/>
      <c r="E1306" s="885"/>
      <c r="F1306" s="885"/>
      <c r="G1306" s="885"/>
      <c r="H1306" s="930"/>
      <c r="I1306" s="885"/>
      <c r="J1306" s="885"/>
      <c r="K1306" s="885"/>
      <c r="L1306" s="885"/>
      <c r="M1306" s="885"/>
      <c r="N1306" s="887"/>
      <c r="O1306" s="885"/>
      <c r="P1306" s="885"/>
      <c r="Q1306" s="885"/>
      <c r="R1306" s="885"/>
      <c r="S1306" s="885"/>
      <c r="T1306" s="885"/>
      <c r="U1306" s="885"/>
      <c r="V1306" s="885"/>
      <c r="W1306" s="885"/>
      <c r="X1306" s="885"/>
      <c r="Y1306" s="885"/>
      <c r="Z1306" s="885"/>
    </row>
    <row r="1307" ht="15.75" customHeight="1">
      <c r="A1307" s="3" t="s">
        <v>2794</v>
      </c>
      <c r="B1307" s="883" t="s">
        <v>2790</v>
      </c>
      <c r="C1307" s="884"/>
      <c r="D1307" s="884"/>
      <c r="E1307" s="885"/>
      <c r="F1307" s="885"/>
      <c r="G1307" s="885"/>
      <c r="H1307" s="930"/>
      <c r="I1307" s="885"/>
      <c r="J1307" s="885"/>
      <c r="K1307" s="885"/>
      <c r="L1307" s="885"/>
      <c r="M1307" s="885"/>
      <c r="N1307" s="887"/>
      <c r="O1307" s="885"/>
      <c r="P1307" s="885"/>
      <c r="Q1307" s="885"/>
      <c r="R1307" s="885"/>
      <c r="S1307" s="885"/>
      <c r="T1307" s="885"/>
      <c r="U1307" s="885"/>
      <c r="V1307" s="885"/>
      <c r="W1307" s="885"/>
      <c r="X1307" s="885"/>
      <c r="Y1307" s="885"/>
      <c r="Z1307" s="885"/>
    </row>
    <row r="1308" ht="15.75" customHeight="1">
      <c r="A1308" s="883" t="s">
        <v>2795</v>
      </c>
      <c r="B1308" s="883" t="s">
        <v>2790</v>
      </c>
      <c r="C1308" s="884"/>
      <c r="D1308" s="884"/>
      <c r="E1308" s="885"/>
      <c r="F1308" s="885"/>
      <c r="G1308" s="885"/>
      <c r="H1308" s="930"/>
      <c r="I1308" s="885"/>
      <c r="J1308" s="885"/>
      <c r="K1308" s="885"/>
      <c r="L1308" s="885"/>
      <c r="M1308" s="885"/>
      <c r="N1308" s="887"/>
      <c r="O1308" s="885"/>
      <c r="P1308" s="885"/>
      <c r="Q1308" s="885"/>
      <c r="R1308" s="885"/>
      <c r="S1308" s="885"/>
      <c r="T1308" s="885"/>
      <c r="U1308" s="885"/>
      <c r="V1308" s="885"/>
      <c r="W1308" s="885"/>
      <c r="X1308" s="885"/>
      <c r="Y1308" s="885"/>
      <c r="Z1308" s="885"/>
    </row>
    <row r="1309" ht="15.75" customHeight="1">
      <c r="A1309" s="884" t="s">
        <v>2796</v>
      </c>
      <c r="B1309" s="883" t="s">
        <v>2790</v>
      </c>
      <c r="C1309" s="884"/>
      <c r="D1309" s="884"/>
      <c r="E1309" s="885"/>
      <c r="F1309" s="885"/>
      <c r="G1309" s="885"/>
      <c r="H1309" s="930"/>
      <c r="I1309" s="885"/>
      <c r="J1309" s="885"/>
      <c r="K1309" s="885"/>
      <c r="L1309" s="885"/>
      <c r="M1309" s="885"/>
      <c r="N1309" s="887"/>
      <c r="O1309" s="885"/>
      <c r="P1309" s="885"/>
      <c r="Q1309" s="885"/>
      <c r="R1309" s="885"/>
      <c r="S1309" s="885"/>
      <c r="T1309" s="885"/>
      <c r="U1309" s="885"/>
      <c r="V1309" s="885"/>
      <c r="W1309" s="885"/>
      <c r="X1309" s="885"/>
      <c r="Y1309" s="885"/>
      <c r="Z1309" s="885"/>
    </row>
    <row r="1310" ht="15.75" customHeight="1">
      <c r="A1310" s="884" t="s">
        <v>2787</v>
      </c>
      <c r="B1310" s="883" t="s">
        <v>2790</v>
      </c>
      <c r="C1310" s="884"/>
      <c r="D1310" s="884"/>
      <c r="E1310" s="885"/>
      <c r="F1310" s="885"/>
      <c r="G1310" s="885"/>
      <c r="H1310" s="930"/>
      <c r="I1310" s="885"/>
      <c r="J1310" s="885"/>
      <c r="K1310" s="885"/>
      <c r="L1310" s="885"/>
      <c r="M1310" s="885"/>
      <c r="N1310" s="887"/>
      <c r="O1310" s="885"/>
      <c r="P1310" s="885"/>
      <c r="Q1310" s="885"/>
      <c r="R1310" s="885"/>
      <c r="S1310" s="885"/>
      <c r="T1310" s="885"/>
      <c r="U1310" s="885"/>
      <c r="V1310" s="885"/>
      <c r="W1310" s="885"/>
      <c r="X1310" s="885"/>
      <c r="Y1310" s="885"/>
      <c r="Z1310" s="885"/>
    </row>
    <row r="1311" ht="15.75" customHeight="1">
      <c r="A1311" s="3" t="s">
        <v>2797</v>
      </c>
      <c r="B1311" s="883" t="s">
        <v>2790</v>
      </c>
      <c r="C1311" s="884"/>
      <c r="D1311" s="884"/>
      <c r="E1311" s="885"/>
      <c r="F1311" s="885"/>
      <c r="G1311" s="885"/>
      <c r="H1311" s="930"/>
      <c r="I1311" s="885"/>
      <c r="J1311" s="885"/>
      <c r="K1311" s="885"/>
      <c r="L1311" s="885"/>
      <c r="M1311" s="885"/>
      <c r="N1311" s="887"/>
      <c r="O1311" s="885"/>
      <c r="P1311" s="885"/>
      <c r="Q1311" s="885"/>
      <c r="R1311" s="885"/>
      <c r="S1311" s="885"/>
      <c r="T1311" s="885"/>
      <c r="U1311" s="885"/>
      <c r="V1311" s="885"/>
      <c r="W1311" s="885"/>
      <c r="X1311" s="885"/>
      <c r="Y1311" s="885"/>
      <c r="Z1311" s="885"/>
    </row>
    <row r="1312" ht="15.75" customHeight="1">
      <c r="A1312" s="3" t="s">
        <v>2798</v>
      </c>
      <c r="B1312" s="883" t="s">
        <v>2790</v>
      </c>
      <c r="C1312" s="884"/>
      <c r="D1312" s="884"/>
      <c r="E1312" s="885"/>
      <c r="F1312" s="885"/>
      <c r="G1312" s="885"/>
      <c r="H1312" s="930"/>
      <c r="I1312" s="885"/>
      <c r="J1312" s="885"/>
      <c r="K1312" s="885"/>
      <c r="L1312" s="885"/>
      <c r="M1312" s="885"/>
      <c r="N1312" s="887"/>
      <c r="O1312" s="885"/>
      <c r="P1312" s="885"/>
      <c r="Q1312" s="885"/>
      <c r="R1312" s="885"/>
      <c r="S1312" s="885"/>
      <c r="T1312" s="885"/>
      <c r="U1312" s="885"/>
      <c r="V1312" s="885"/>
      <c r="W1312" s="885"/>
      <c r="X1312" s="885"/>
      <c r="Y1312" s="885"/>
      <c r="Z1312" s="885"/>
    </row>
    <row r="1313" ht="15.75" customHeight="1">
      <c r="A1313" s="3" t="s">
        <v>2799</v>
      </c>
      <c r="B1313" s="883" t="s">
        <v>2537</v>
      </c>
      <c r="C1313" s="884"/>
      <c r="D1313" s="884"/>
      <c r="E1313" s="885"/>
      <c r="F1313" s="885"/>
      <c r="G1313" s="885"/>
      <c r="H1313" s="930"/>
      <c r="I1313" s="885"/>
      <c r="J1313" s="885"/>
      <c r="K1313" s="885"/>
      <c r="L1313" s="885"/>
      <c r="M1313" s="885"/>
      <c r="N1313" s="887"/>
      <c r="O1313" s="885"/>
      <c r="P1313" s="885"/>
      <c r="Q1313" s="885"/>
      <c r="R1313" s="885"/>
      <c r="S1313" s="885"/>
      <c r="T1313" s="885"/>
      <c r="U1313" s="885"/>
      <c r="V1313" s="885"/>
      <c r="W1313" s="885"/>
      <c r="X1313" s="885"/>
      <c r="Y1313" s="885"/>
      <c r="Z1313" s="885"/>
    </row>
    <row r="1314" ht="15.75" customHeight="1">
      <c r="A1314" s="3" t="s">
        <v>2800</v>
      </c>
      <c r="B1314" s="883" t="s">
        <v>2790</v>
      </c>
      <c r="C1314" s="884"/>
      <c r="D1314" s="884"/>
      <c r="E1314" s="885"/>
      <c r="F1314" s="885"/>
      <c r="G1314" s="885"/>
      <c r="H1314" s="930"/>
      <c r="I1314" s="885"/>
      <c r="J1314" s="885"/>
      <c r="K1314" s="885"/>
      <c r="L1314" s="885"/>
      <c r="M1314" s="885"/>
      <c r="N1314" s="887"/>
      <c r="O1314" s="885"/>
      <c r="P1314" s="885"/>
      <c r="Q1314" s="885"/>
      <c r="R1314" s="885"/>
      <c r="S1314" s="885"/>
      <c r="T1314" s="885"/>
      <c r="U1314" s="885"/>
      <c r="V1314" s="885"/>
      <c r="W1314" s="885"/>
      <c r="X1314" s="885"/>
      <c r="Y1314" s="885"/>
      <c r="Z1314" s="885"/>
    </row>
    <row r="1315" ht="15.75" customHeight="1">
      <c r="A1315" s="895" t="s">
        <v>2801</v>
      </c>
      <c r="B1315" s="883" t="s">
        <v>2790</v>
      </c>
      <c r="C1315" s="884"/>
      <c r="D1315" s="884"/>
      <c r="E1315" s="885"/>
      <c r="F1315" s="885"/>
      <c r="G1315" s="885"/>
      <c r="H1315" s="930"/>
      <c r="I1315" s="885"/>
      <c r="J1315" s="885"/>
      <c r="K1315" s="885"/>
      <c r="L1315" s="885"/>
      <c r="M1315" s="885"/>
      <c r="N1315" s="887"/>
      <c r="O1315" s="885"/>
      <c r="P1315" s="885"/>
      <c r="Q1315" s="885"/>
      <c r="R1315" s="885"/>
      <c r="S1315" s="885"/>
      <c r="T1315" s="885"/>
      <c r="U1315" s="885"/>
      <c r="V1315" s="885"/>
      <c r="W1315" s="885"/>
      <c r="X1315" s="885"/>
      <c r="Y1315" s="885"/>
      <c r="Z1315" s="885"/>
    </row>
    <row r="1316" ht="15.75" customHeight="1">
      <c r="A1316" s="895" t="s">
        <v>2802</v>
      </c>
      <c r="B1316" s="883" t="s">
        <v>2790</v>
      </c>
      <c r="C1316" s="884"/>
      <c r="D1316" s="884"/>
      <c r="E1316" s="885"/>
      <c r="F1316" s="885"/>
      <c r="G1316" s="885"/>
      <c r="H1316" s="930"/>
      <c r="I1316" s="885"/>
      <c r="J1316" s="885"/>
      <c r="K1316" s="885"/>
      <c r="L1316" s="885"/>
      <c r="M1316" s="885"/>
      <c r="N1316" s="887"/>
      <c r="O1316" s="885"/>
      <c r="P1316" s="885"/>
      <c r="Q1316" s="885"/>
      <c r="R1316" s="885"/>
      <c r="S1316" s="885"/>
      <c r="T1316" s="885"/>
      <c r="U1316" s="885"/>
      <c r="V1316" s="885"/>
      <c r="W1316" s="885"/>
      <c r="X1316" s="885"/>
      <c r="Y1316" s="885"/>
      <c r="Z1316" s="885"/>
    </row>
    <row r="1317" ht="15.75" customHeight="1">
      <c r="A1317" s="3" t="s">
        <v>2803</v>
      </c>
      <c r="B1317" s="883" t="s">
        <v>2790</v>
      </c>
      <c r="C1317" s="884"/>
      <c r="D1317" s="884"/>
      <c r="E1317" s="885"/>
      <c r="F1317" s="885"/>
      <c r="G1317" s="885"/>
      <c r="H1317" s="930"/>
      <c r="I1317" s="885"/>
      <c r="J1317" s="885"/>
      <c r="K1317" s="885"/>
      <c r="L1317" s="885"/>
      <c r="M1317" s="885"/>
      <c r="N1317" s="887"/>
      <c r="O1317" s="885"/>
      <c r="P1317" s="885"/>
      <c r="Q1317" s="885"/>
      <c r="R1317" s="885"/>
      <c r="S1317" s="885"/>
      <c r="T1317" s="885"/>
      <c r="U1317" s="885"/>
      <c r="V1317" s="885"/>
      <c r="W1317" s="885"/>
      <c r="X1317" s="885"/>
      <c r="Y1317" s="885"/>
      <c r="Z1317" s="885"/>
    </row>
    <row r="1318" ht="15.75" customHeight="1">
      <c r="A1318" s="3" t="s">
        <v>2804</v>
      </c>
      <c r="B1318" s="883" t="s">
        <v>2790</v>
      </c>
      <c r="C1318" s="884"/>
      <c r="D1318" s="884"/>
      <c r="E1318" s="885"/>
      <c r="F1318" s="885"/>
      <c r="G1318" s="885"/>
      <c r="H1318" s="930"/>
      <c r="I1318" s="885"/>
      <c r="J1318" s="885"/>
      <c r="K1318" s="885"/>
      <c r="L1318" s="885"/>
      <c r="M1318" s="885"/>
      <c r="N1318" s="887"/>
      <c r="O1318" s="885"/>
      <c r="P1318" s="885"/>
      <c r="Q1318" s="885"/>
      <c r="R1318" s="885"/>
      <c r="S1318" s="885"/>
      <c r="T1318" s="885"/>
      <c r="U1318" s="885"/>
      <c r="V1318" s="885"/>
      <c r="W1318" s="885"/>
      <c r="X1318" s="885"/>
      <c r="Y1318" s="885"/>
      <c r="Z1318" s="885"/>
    </row>
    <row r="1319" ht="15.75" customHeight="1">
      <c r="A1319" s="3" t="s">
        <v>2805</v>
      </c>
      <c r="B1319" s="883" t="s">
        <v>2790</v>
      </c>
      <c r="C1319" s="884"/>
      <c r="D1319" s="884"/>
      <c r="E1319" s="885"/>
      <c r="F1319" s="885"/>
      <c r="G1319" s="885"/>
      <c r="H1319" s="930"/>
      <c r="I1319" s="885"/>
      <c r="J1319" s="885"/>
      <c r="K1319" s="885"/>
      <c r="L1319" s="885"/>
      <c r="M1319" s="885"/>
      <c r="N1319" s="887"/>
      <c r="O1319" s="885"/>
      <c r="P1319" s="885"/>
      <c r="Q1319" s="885"/>
      <c r="R1319" s="885"/>
      <c r="S1319" s="885"/>
      <c r="T1319" s="885"/>
      <c r="U1319" s="885"/>
      <c r="V1319" s="885"/>
      <c r="W1319" s="885"/>
      <c r="X1319" s="885"/>
      <c r="Y1319" s="885"/>
      <c r="Z1319" s="885"/>
    </row>
    <row r="1320" ht="15.75" customHeight="1">
      <c r="A1320" s="884" t="s">
        <v>728</v>
      </c>
      <c r="B1320" s="883" t="s">
        <v>2790</v>
      </c>
      <c r="C1320" s="884"/>
      <c r="D1320" s="884"/>
      <c r="E1320" s="885"/>
      <c r="F1320" s="885"/>
      <c r="G1320" s="885"/>
      <c r="H1320" s="930"/>
      <c r="I1320" s="885"/>
      <c r="J1320" s="885"/>
      <c r="K1320" s="885"/>
      <c r="L1320" s="885"/>
      <c r="M1320" s="885"/>
      <c r="N1320" s="887"/>
      <c r="O1320" s="885"/>
      <c r="P1320" s="885"/>
      <c r="Q1320" s="885"/>
      <c r="R1320" s="885"/>
      <c r="S1320" s="885"/>
      <c r="T1320" s="885"/>
      <c r="U1320" s="885"/>
      <c r="V1320" s="885"/>
      <c r="W1320" s="885"/>
      <c r="X1320" s="885"/>
      <c r="Y1320" s="885"/>
      <c r="Z1320" s="885"/>
    </row>
    <row r="1321" ht="15.75" customHeight="1">
      <c r="A1321" s="3" t="s">
        <v>2806</v>
      </c>
      <c r="B1321" s="883" t="s">
        <v>2790</v>
      </c>
      <c r="C1321" s="884"/>
      <c r="D1321" s="884"/>
      <c r="E1321" s="885"/>
      <c r="F1321" s="885"/>
      <c r="G1321" s="885"/>
      <c r="H1321" s="930"/>
      <c r="I1321" s="885"/>
      <c r="J1321" s="885"/>
      <c r="K1321" s="885"/>
      <c r="L1321" s="885"/>
      <c r="M1321" s="885"/>
      <c r="N1321" s="887"/>
      <c r="O1321" s="885"/>
      <c r="P1321" s="885"/>
      <c r="Q1321" s="885"/>
      <c r="R1321" s="885"/>
      <c r="S1321" s="885"/>
      <c r="T1321" s="885"/>
      <c r="U1321" s="885"/>
      <c r="V1321" s="885"/>
      <c r="W1321" s="885"/>
      <c r="X1321" s="885"/>
      <c r="Y1321" s="885"/>
      <c r="Z1321" s="885"/>
    </row>
    <row r="1322" ht="15.75" customHeight="1">
      <c r="A1322" s="3" t="s">
        <v>2807</v>
      </c>
      <c r="B1322" s="895" t="s">
        <v>2537</v>
      </c>
      <c r="C1322" s="884"/>
      <c r="D1322" s="884"/>
      <c r="E1322" s="885"/>
      <c r="F1322" s="885"/>
      <c r="G1322" s="885"/>
      <c r="H1322" s="930"/>
      <c r="I1322" s="885"/>
      <c r="J1322" s="885"/>
      <c r="K1322" s="885"/>
      <c r="L1322" s="885"/>
      <c r="M1322" s="885"/>
      <c r="N1322" s="887"/>
      <c r="O1322" s="885"/>
      <c r="P1322" s="885"/>
      <c r="Q1322" s="885"/>
      <c r="R1322" s="885"/>
      <c r="S1322" s="885"/>
      <c r="T1322" s="885"/>
      <c r="U1322" s="885"/>
      <c r="V1322" s="885"/>
      <c r="W1322" s="885"/>
      <c r="X1322" s="885"/>
      <c r="Y1322" s="885"/>
      <c r="Z1322" s="885"/>
    </row>
    <row r="1323" ht="15.75" customHeight="1">
      <c r="A1323" s="3" t="s">
        <v>2808</v>
      </c>
      <c r="B1323" s="3" t="s">
        <v>2809</v>
      </c>
      <c r="C1323" s="884"/>
      <c r="D1323" s="884"/>
      <c r="E1323" s="885"/>
      <c r="F1323" s="885"/>
      <c r="G1323" s="885"/>
      <c r="H1323" s="930"/>
      <c r="I1323" s="885"/>
      <c r="J1323" s="885"/>
      <c r="K1323" s="885"/>
      <c r="L1323" s="885"/>
      <c r="M1323" s="885"/>
      <c r="N1323" s="887"/>
      <c r="O1323" s="885"/>
      <c r="P1323" s="885"/>
      <c r="Q1323" s="885"/>
      <c r="R1323" s="885"/>
      <c r="S1323" s="885"/>
      <c r="T1323" s="885"/>
      <c r="U1323" s="885"/>
      <c r="V1323" s="885"/>
      <c r="W1323" s="885"/>
      <c r="X1323" s="885"/>
      <c r="Y1323" s="885"/>
      <c r="Z1323" s="885"/>
    </row>
    <row r="1324" ht="15.75" customHeight="1">
      <c r="A1324" s="20" t="s">
        <v>2810</v>
      </c>
      <c r="B1324" s="3" t="s">
        <v>2809</v>
      </c>
      <c r="C1324" s="884"/>
      <c r="D1324" s="884"/>
      <c r="E1324" s="885"/>
      <c r="F1324" s="885"/>
      <c r="G1324" s="885"/>
      <c r="H1324" s="930"/>
      <c r="I1324" s="885"/>
      <c r="J1324" s="885"/>
      <c r="K1324" s="885"/>
      <c r="L1324" s="885"/>
      <c r="M1324" s="885"/>
      <c r="N1324" s="887"/>
      <c r="O1324" s="885"/>
      <c r="P1324" s="885"/>
      <c r="Q1324" s="885"/>
      <c r="R1324" s="885"/>
      <c r="S1324" s="885"/>
      <c r="T1324" s="885"/>
      <c r="U1324" s="885"/>
      <c r="V1324" s="885"/>
      <c r="W1324" s="885"/>
      <c r="X1324" s="885"/>
      <c r="Y1324" s="885"/>
      <c r="Z1324" s="885"/>
    </row>
    <row r="1325" ht="15.75" customHeight="1">
      <c r="A1325" s="3" t="s">
        <v>2811</v>
      </c>
      <c r="B1325" s="884" t="s">
        <v>1855</v>
      </c>
      <c r="C1325" s="884"/>
      <c r="D1325" s="884"/>
      <c r="E1325" s="885"/>
      <c r="F1325" s="885"/>
      <c r="G1325" s="885"/>
      <c r="H1325" s="930"/>
      <c r="I1325" s="885"/>
      <c r="J1325" s="885"/>
      <c r="K1325" s="885"/>
      <c r="L1325" s="885"/>
      <c r="M1325" s="885"/>
      <c r="N1325" s="887"/>
      <c r="O1325" s="885"/>
      <c r="P1325" s="885"/>
      <c r="Q1325" s="885"/>
      <c r="R1325" s="885"/>
      <c r="S1325" s="885"/>
      <c r="T1325" s="885"/>
      <c r="U1325" s="885"/>
      <c r="V1325" s="885"/>
      <c r="W1325" s="885"/>
      <c r="X1325" s="885"/>
      <c r="Y1325" s="885"/>
      <c r="Z1325" s="885"/>
    </row>
    <row r="1326" ht="15.75" customHeight="1">
      <c r="A1326" s="3" t="s">
        <v>2812</v>
      </c>
      <c r="B1326" s="3" t="s">
        <v>1855</v>
      </c>
      <c r="C1326" s="884"/>
      <c r="D1326" s="884"/>
      <c r="E1326" s="885"/>
      <c r="F1326" s="885"/>
      <c r="G1326" s="885"/>
      <c r="H1326" s="930"/>
      <c r="I1326" s="885"/>
      <c r="J1326" s="885"/>
      <c r="K1326" s="885"/>
      <c r="L1326" s="885"/>
      <c r="M1326" s="885"/>
      <c r="N1326" s="887"/>
      <c r="O1326" s="885"/>
      <c r="P1326" s="885"/>
      <c r="Q1326" s="885"/>
      <c r="R1326" s="885"/>
      <c r="S1326" s="885"/>
      <c r="T1326" s="885"/>
      <c r="U1326" s="885"/>
      <c r="V1326" s="885"/>
      <c r="W1326" s="885"/>
      <c r="X1326" s="885"/>
      <c r="Y1326" s="885"/>
      <c r="Z1326" s="885"/>
    </row>
    <row r="1327" ht="15.75" customHeight="1">
      <c r="A1327" s="884" t="s">
        <v>2813</v>
      </c>
      <c r="B1327" s="3" t="s">
        <v>561</v>
      </c>
      <c r="C1327" s="884"/>
      <c r="D1327" s="884"/>
      <c r="E1327" s="885"/>
      <c r="F1327" s="885"/>
      <c r="G1327" s="885"/>
      <c r="H1327" s="930"/>
      <c r="I1327" s="885"/>
      <c r="J1327" s="885"/>
      <c r="K1327" s="885"/>
      <c r="L1327" s="885"/>
      <c r="M1327" s="885"/>
      <c r="N1327" s="887"/>
      <c r="O1327" s="885"/>
      <c r="P1327" s="885"/>
      <c r="Q1327" s="885"/>
      <c r="R1327" s="885"/>
      <c r="S1327" s="885"/>
      <c r="T1327" s="885"/>
      <c r="U1327" s="885"/>
      <c r="V1327" s="885"/>
      <c r="W1327" s="885"/>
      <c r="X1327" s="885"/>
      <c r="Y1327" s="885"/>
      <c r="Z1327" s="885"/>
    </row>
    <row r="1328" ht="15.75" customHeight="1">
      <c r="A1328" s="884" t="s">
        <v>2408</v>
      </c>
      <c r="B1328" s="3" t="s">
        <v>561</v>
      </c>
      <c r="C1328" s="884"/>
      <c r="D1328" s="884"/>
      <c r="E1328" s="885"/>
      <c r="F1328" s="885"/>
      <c r="G1328" s="885"/>
      <c r="H1328" s="930"/>
      <c r="I1328" s="885"/>
      <c r="J1328" s="885"/>
      <c r="K1328" s="885"/>
      <c r="L1328" s="885"/>
      <c r="M1328" s="885"/>
      <c r="N1328" s="887"/>
      <c r="O1328" s="885"/>
      <c r="P1328" s="885"/>
      <c r="Q1328" s="885"/>
      <c r="R1328" s="885"/>
      <c r="S1328" s="885"/>
      <c r="T1328" s="885"/>
      <c r="U1328" s="885"/>
      <c r="V1328" s="885"/>
      <c r="W1328" s="885"/>
      <c r="X1328" s="885"/>
      <c r="Y1328" s="885"/>
      <c r="Z1328" s="885"/>
    </row>
    <row r="1329" ht="15.75" customHeight="1">
      <c r="A1329" s="3" t="s">
        <v>2814</v>
      </c>
      <c r="B1329" s="884" t="s">
        <v>561</v>
      </c>
      <c r="C1329" s="884"/>
      <c r="D1329" s="884"/>
      <c r="E1329" s="885"/>
      <c r="F1329" s="885"/>
      <c r="G1329" s="885"/>
      <c r="H1329" s="930"/>
      <c r="I1329" s="885"/>
      <c r="J1329" s="885"/>
      <c r="K1329" s="885"/>
      <c r="L1329" s="885"/>
      <c r="M1329" s="885"/>
      <c r="N1329" s="887"/>
      <c r="O1329" s="885"/>
      <c r="P1329" s="885"/>
      <c r="Q1329" s="885"/>
      <c r="R1329" s="885"/>
      <c r="S1329" s="885"/>
      <c r="T1329" s="885"/>
      <c r="U1329" s="885"/>
      <c r="V1329" s="885"/>
      <c r="W1329" s="885"/>
      <c r="X1329" s="885"/>
      <c r="Y1329" s="885"/>
      <c r="Z1329" s="885"/>
    </row>
    <row r="1330" ht="15.75" customHeight="1">
      <c r="A1330" s="3" t="s">
        <v>209</v>
      </c>
      <c r="B1330" s="884" t="s">
        <v>561</v>
      </c>
      <c r="C1330" s="884"/>
      <c r="D1330" s="884"/>
      <c r="E1330" s="885"/>
      <c r="F1330" s="885"/>
      <c r="G1330" s="885"/>
      <c r="H1330" s="930"/>
      <c r="I1330" s="885"/>
      <c r="J1330" s="885"/>
      <c r="K1330" s="885"/>
      <c r="L1330" s="885"/>
      <c r="M1330" s="885"/>
      <c r="N1330" s="887"/>
      <c r="O1330" s="885"/>
      <c r="P1330" s="885"/>
      <c r="Q1330" s="885"/>
      <c r="R1330" s="885"/>
      <c r="S1330" s="885"/>
      <c r="T1330" s="885"/>
      <c r="U1330" s="885"/>
      <c r="V1330" s="885"/>
      <c r="W1330" s="885"/>
      <c r="X1330" s="885"/>
      <c r="Y1330" s="885"/>
      <c r="Z1330" s="885"/>
    </row>
    <row r="1331" ht="15.75" customHeight="1">
      <c r="A1331" s="3" t="s">
        <v>2815</v>
      </c>
      <c r="B1331" s="3" t="s">
        <v>1270</v>
      </c>
      <c r="C1331" s="884"/>
      <c r="D1331" s="884"/>
      <c r="E1331" s="885"/>
      <c r="F1331" s="885"/>
      <c r="G1331" s="885"/>
      <c r="H1331" s="930"/>
      <c r="I1331" s="885"/>
      <c r="J1331" s="885"/>
      <c r="K1331" s="885"/>
      <c r="L1331" s="885"/>
      <c r="M1331" s="885"/>
      <c r="N1331" s="887"/>
      <c r="O1331" s="885"/>
      <c r="P1331" s="885"/>
      <c r="Q1331" s="885"/>
      <c r="R1331" s="885"/>
      <c r="S1331" s="885"/>
      <c r="T1331" s="885"/>
      <c r="U1331" s="885"/>
      <c r="V1331" s="885"/>
      <c r="W1331" s="885"/>
      <c r="X1331" s="885"/>
      <c r="Y1331" s="885"/>
      <c r="Z1331" s="885"/>
    </row>
    <row r="1332" ht="15.75" customHeight="1">
      <c r="A1332" s="3" t="s">
        <v>2816</v>
      </c>
      <c r="B1332" s="3" t="s">
        <v>1270</v>
      </c>
      <c r="C1332" s="884"/>
      <c r="D1332" s="884"/>
      <c r="E1332" s="885"/>
      <c r="F1332" s="885"/>
      <c r="G1332" s="885"/>
      <c r="H1332" s="930"/>
      <c r="I1332" s="885"/>
      <c r="J1332" s="885"/>
      <c r="K1332" s="885"/>
      <c r="L1332" s="885"/>
      <c r="M1332" s="885"/>
      <c r="N1332" s="887"/>
      <c r="O1332" s="885"/>
      <c r="P1332" s="885"/>
      <c r="Q1332" s="885"/>
      <c r="R1332" s="885"/>
      <c r="S1332" s="885"/>
      <c r="T1332" s="885"/>
      <c r="U1332" s="885"/>
      <c r="V1332" s="885"/>
      <c r="W1332" s="885"/>
      <c r="X1332" s="885"/>
      <c r="Y1332" s="885"/>
      <c r="Z1332" s="885"/>
    </row>
    <row r="1333" ht="15.75" customHeight="1">
      <c r="A1333" s="3" t="s">
        <v>2817</v>
      </c>
      <c r="B1333" s="3" t="s">
        <v>1270</v>
      </c>
      <c r="C1333" s="884"/>
      <c r="D1333" s="884"/>
      <c r="E1333" s="885"/>
      <c r="F1333" s="885"/>
      <c r="G1333" s="885"/>
      <c r="H1333" s="930"/>
      <c r="I1333" s="885"/>
      <c r="J1333" s="885"/>
      <c r="K1333" s="885"/>
      <c r="L1333" s="885"/>
      <c r="M1333" s="885"/>
      <c r="N1333" s="887"/>
      <c r="O1333" s="885"/>
      <c r="P1333" s="885"/>
      <c r="Q1333" s="885"/>
      <c r="R1333" s="885"/>
      <c r="S1333" s="885"/>
      <c r="T1333" s="885"/>
      <c r="U1333" s="885"/>
      <c r="V1333" s="885"/>
      <c r="W1333" s="885"/>
      <c r="X1333" s="885"/>
      <c r="Y1333" s="885"/>
      <c r="Z1333" s="885"/>
    </row>
    <row r="1334" ht="15.75" customHeight="1">
      <c r="A1334" s="3" t="s">
        <v>2818</v>
      </c>
      <c r="B1334" s="3" t="s">
        <v>1270</v>
      </c>
      <c r="C1334" s="884"/>
      <c r="D1334" s="884"/>
      <c r="E1334" s="885"/>
      <c r="F1334" s="885"/>
      <c r="G1334" s="885"/>
      <c r="H1334" s="930"/>
      <c r="I1334" s="885"/>
      <c r="J1334" s="885"/>
      <c r="K1334" s="885"/>
      <c r="L1334" s="885"/>
      <c r="M1334" s="885"/>
      <c r="N1334" s="887"/>
      <c r="O1334" s="885"/>
      <c r="P1334" s="885"/>
      <c r="Q1334" s="885"/>
      <c r="R1334" s="885"/>
      <c r="S1334" s="885"/>
      <c r="T1334" s="885"/>
      <c r="U1334" s="885"/>
      <c r="V1334" s="885"/>
      <c r="W1334" s="885"/>
      <c r="X1334" s="885"/>
      <c r="Y1334" s="885"/>
      <c r="Z1334" s="885"/>
    </row>
    <row r="1335" ht="15.75" customHeight="1">
      <c r="A1335" s="3" t="s">
        <v>561</v>
      </c>
      <c r="B1335" s="3" t="s">
        <v>1270</v>
      </c>
      <c r="C1335" s="884"/>
      <c r="D1335" s="884"/>
      <c r="E1335" s="885"/>
      <c r="F1335" s="885"/>
      <c r="G1335" s="885"/>
      <c r="H1335" s="930"/>
      <c r="I1335" s="885"/>
      <c r="J1335" s="885"/>
      <c r="K1335" s="885"/>
      <c r="L1335" s="885"/>
      <c r="M1335" s="885"/>
      <c r="N1335" s="887"/>
      <c r="O1335" s="885"/>
      <c r="P1335" s="885"/>
      <c r="Q1335" s="885"/>
      <c r="R1335" s="885"/>
      <c r="S1335" s="885"/>
      <c r="T1335" s="885"/>
      <c r="U1335" s="885"/>
      <c r="V1335" s="885"/>
      <c r="W1335" s="885"/>
      <c r="X1335" s="885"/>
      <c r="Y1335" s="885"/>
      <c r="Z1335" s="885"/>
    </row>
    <row r="1336" ht="15.75" customHeight="1">
      <c r="A1336" s="3" t="s">
        <v>2819</v>
      </c>
      <c r="B1336" s="3" t="s">
        <v>1270</v>
      </c>
      <c r="C1336" s="884"/>
      <c r="D1336" s="884"/>
      <c r="E1336" s="885"/>
      <c r="F1336" s="885"/>
      <c r="G1336" s="885"/>
      <c r="H1336" s="930"/>
      <c r="I1336" s="885"/>
      <c r="J1336" s="885"/>
      <c r="K1336" s="885"/>
      <c r="L1336" s="885"/>
      <c r="M1336" s="885"/>
      <c r="N1336" s="887"/>
      <c r="O1336" s="885"/>
      <c r="P1336" s="885"/>
      <c r="Q1336" s="885"/>
      <c r="R1336" s="885"/>
      <c r="S1336" s="885"/>
      <c r="T1336" s="885"/>
      <c r="U1336" s="885"/>
      <c r="V1336" s="885"/>
      <c r="W1336" s="885"/>
      <c r="X1336" s="885"/>
      <c r="Y1336" s="885"/>
      <c r="Z1336" s="885"/>
    </row>
    <row r="1337" ht="15.75" customHeight="1">
      <c r="A1337" s="895" t="s">
        <v>2820</v>
      </c>
      <c r="B1337" s="3" t="s">
        <v>1270</v>
      </c>
      <c r="C1337" s="884"/>
      <c r="D1337" s="884"/>
      <c r="E1337" s="885"/>
      <c r="F1337" s="885"/>
      <c r="G1337" s="885"/>
      <c r="H1337" s="930"/>
      <c r="I1337" s="885"/>
      <c r="J1337" s="885"/>
      <c r="K1337" s="885"/>
      <c r="L1337" s="885"/>
      <c r="M1337" s="885"/>
      <c r="N1337" s="887"/>
      <c r="O1337" s="885"/>
      <c r="P1337" s="885"/>
      <c r="Q1337" s="885"/>
      <c r="R1337" s="885"/>
      <c r="S1337" s="885"/>
      <c r="T1337" s="885"/>
      <c r="U1337" s="885"/>
      <c r="V1337" s="885"/>
      <c r="W1337" s="885"/>
      <c r="X1337" s="885"/>
      <c r="Y1337" s="885"/>
      <c r="Z1337" s="885"/>
    </row>
    <row r="1338" ht="15.75" customHeight="1">
      <c r="A1338" s="3" t="s">
        <v>162</v>
      </c>
      <c r="B1338" s="3" t="s">
        <v>1270</v>
      </c>
      <c r="C1338" s="884"/>
      <c r="D1338" s="884"/>
      <c r="E1338" s="885"/>
      <c r="F1338" s="885"/>
      <c r="G1338" s="885"/>
      <c r="H1338" s="930"/>
      <c r="I1338" s="885"/>
      <c r="J1338" s="885"/>
      <c r="K1338" s="885"/>
      <c r="L1338" s="885"/>
      <c r="M1338" s="885"/>
      <c r="N1338" s="887"/>
      <c r="O1338" s="885"/>
      <c r="P1338" s="885"/>
      <c r="Q1338" s="885"/>
      <c r="R1338" s="885"/>
      <c r="S1338" s="885"/>
      <c r="T1338" s="885"/>
      <c r="U1338" s="885"/>
      <c r="V1338" s="885"/>
      <c r="W1338" s="885"/>
      <c r="X1338" s="885"/>
      <c r="Y1338" s="885"/>
      <c r="Z1338" s="885"/>
    </row>
    <row r="1339" ht="15.75" customHeight="1">
      <c r="A1339" s="3" t="s">
        <v>2821</v>
      </c>
      <c r="B1339" s="3" t="s">
        <v>1270</v>
      </c>
      <c r="C1339" s="884"/>
      <c r="D1339" s="884"/>
      <c r="E1339" s="885"/>
      <c r="F1339" s="885"/>
      <c r="G1339" s="885"/>
      <c r="H1339" s="930"/>
      <c r="I1339" s="885"/>
      <c r="J1339" s="885"/>
      <c r="K1339" s="885"/>
      <c r="L1339" s="885"/>
      <c r="M1339" s="885"/>
      <c r="N1339" s="887"/>
      <c r="O1339" s="885"/>
      <c r="P1339" s="885"/>
      <c r="Q1339" s="885"/>
      <c r="R1339" s="885"/>
      <c r="S1339" s="885"/>
      <c r="T1339" s="885"/>
      <c r="U1339" s="885"/>
      <c r="V1339" s="885"/>
      <c r="W1339" s="885"/>
      <c r="X1339" s="885"/>
      <c r="Y1339" s="885"/>
      <c r="Z1339" s="885"/>
    </row>
    <row r="1340" ht="15.75" customHeight="1">
      <c r="A1340" s="3" t="s">
        <v>2822</v>
      </c>
      <c r="B1340" s="3" t="s">
        <v>2823</v>
      </c>
      <c r="C1340" s="884"/>
      <c r="D1340" s="884"/>
      <c r="E1340" s="885"/>
      <c r="F1340" s="885"/>
      <c r="G1340" s="885"/>
      <c r="H1340" s="930"/>
      <c r="I1340" s="885"/>
      <c r="J1340" s="885"/>
      <c r="K1340" s="885"/>
      <c r="L1340" s="885"/>
      <c r="M1340" s="885"/>
      <c r="N1340" s="887"/>
      <c r="O1340" s="885"/>
      <c r="P1340" s="885"/>
      <c r="Q1340" s="885"/>
      <c r="R1340" s="885"/>
      <c r="S1340" s="885"/>
      <c r="T1340" s="885"/>
      <c r="U1340" s="885"/>
      <c r="V1340" s="885"/>
      <c r="W1340" s="885"/>
      <c r="X1340" s="885"/>
      <c r="Y1340" s="885"/>
      <c r="Z1340" s="885"/>
    </row>
    <row r="1341" ht="15.75" customHeight="1">
      <c r="A1341" s="3" t="s">
        <v>2824</v>
      </c>
      <c r="B1341" s="3" t="s">
        <v>2825</v>
      </c>
      <c r="C1341" s="884"/>
      <c r="D1341" s="884"/>
      <c r="E1341" s="885"/>
      <c r="F1341" s="885"/>
      <c r="G1341" s="885"/>
      <c r="H1341" s="930"/>
      <c r="I1341" s="885"/>
      <c r="J1341" s="885"/>
      <c r="K1341" s="885"/>
      <c r="L1341" s="885"/>
      <c r="M1341" s="885"/>
      <c r="N1341" s="887"/>
      <c r="O1341" s="885"/>
      <c r="P1341" s="885"/>
      <c r="Q1341" s="885"/>
      <c r="R1341" s="885"/>
      <c r="S1341" s="885"/>
      <c r="T1341" s="885"/>
      <c r="U1341" s="885"/>
      <c r="V1341" s="885"/>
      <c r="W1341" s="885"/>
      <c r="X1341" s="885"/>
      <c r="Y1341" s="885"/>
      <c r="Z1341" s="885"/>
    </row>
    <row r="1342" ht="15.75" customHeight="1">
      <c r="A1342" s="3" t="s">
        <v>1761</v>
      </c>
      <c r="B1342" s="3" t="s">
        <v>2826</v>
      </c>
      <c r="C1342" s="884"/>
      <c r="D1342" s="884"/>
      <c r="E1342" s="885"/>
      <c r="F1342" s="885"/>
      <c r="G1342" s="885"/>
      <c r="H1342" s="930"/>
      <c r="I1342" s="885"/>
      <c r="J1342" s="885"/>
      <c r="K1342" s="885"/>
      <c r="L1342" s="885"/>
      <c r="M1342" s="885"/>
      <c r="N1342" s="887"/>
      <c r="O1342" s="885"/>
      <c r="P1342" s="885"/>
      <c r="Q1342" s="885"/>
      <c r="R1342" s="885"/>
      <c r="S1342" s="885"/>
      <c r="T1342" s="885"/>
      <c r="U1342" s="885"/>
      <c r="V1342" s="885"/>
      <c r="W1342" s="885"/>
      <c r="X1342" s="885"/>
      <c r="Y1342" s="885"/>
      <c r="Z1342" s="885"/>
    </row>
    <row r="1343" ht="15.75" customHeight="1">
      <c r="A1343" s="3" t="s">
        <v>2827</v>
      </c>
      <c r="B1343" s="3" t="s">
        <v>2826</v>
      </c>
      <c r="C1343" s="884"/>
      <c r="D1343" s="884"/>
      <c r="E1343" s="885"/>
      <c r="F1343" s="885"/>
      <c r="G1343" s="885"/>
      <c r="H1343" s="930"/>
      <c r="I1343" s="885"/>
      <c r="J1343" s="885"/>
      <c r="K1343" s="885"/>
      <c r="L1343" s="885"/>
      <c r="M1343" s="885"/>
      <c r="N1343" s="887"/>
      <c r="O1343" s="885"/>
      <c r="P1343" s="885"/>
      <c r="Q1343" s="885"/>
      <c r="R1343" s="885"/>
      <c r="S1343" s="885"/>
      <c r="T1343" s="885"/>
      <c r="U1343" s="885"/>
      <c r="V1343" s="885"/>
      <c r="W1343" s="885"/>
      <c r="X1343" s="885"/>
      <c r="Y1343" s="885"/>
      <c r="Z1343" s="885"/>
    </row>
    <row r="1344" ht="15.75" customHeight="1">
      <c r="A1344" s="884" t="s">
        <v>2828</v>
      </c>
      <c r="B1344" s="884" t="s">
        <v>1267</v>
      </c>
      <c r="C1344" s="884"/>
      <c r="D1344" s="884"/>
      <c r="E1344" s="885"/>
      <c r="F1344" s="885"/>
      <c r="G1344" s="885"/>
      <c r="H1344" s="930"/>
      <c r="I1344" s="885"/>
      <c r="J1344" s="885"/>
      <c r="K1344" s="885"/>
      <c r="L1344" s="885"/>
      <c r="M1344" s="885"/>
      <c r="N1344" s="887"/>
      <c r="O1344" s="885"/>
      <c r="P1344" s="885"/>
      <c r="Q1344" s="885"/>
      <c r="R1344" s="885"/>
      <c r="S1344" s="885"/>
      <c r="T1344" s="885"/>
      <c r="U1344" s="885"/>
      <c r="V1344" s="885"/>
      <c r="W1344" s="885"/>
      <c r="X1344" s="885"/>
      <c r="Y1344" s="885"/>
      <c r="Z1344" s="885"/>
    </row>
    <row r="1345" ht="15.75" customHeight="1">
      <c r="A1345" s="3" t="s">
        <v>2829</v>
      </c>
      <c r="B1345" s="884" t="s">
        <v>1267</v>
      </c>
      <c r="C1345" s="3"/>
      <c r="D1345" s="884"/>
      <c r="E1345" s="885"/>
      <c r="F1345" s="885"/>
      <c r="G1345" s="885"/>
      <c r="H1345" s="930"/>
      <c r="I1345" s="885"/>
      <c r="J1345" s="885"/>
      <c r="K1345" s="885"/>
      <c r="L1345" s="885"/>
      <c r="M1345" s="885"/>
      <c r="N1345" s="887"/>
      <c r="O1345" s="885"/>
      <c r="P1345" s="885"/>
      <c r="Q1345" s="885"/>
      <c r="R1345" s="885"/>
      <c r="S1345" s="885"/>
      <c r="T1345" s="885"/>
      <c r="U1345" s="885"/>
      <c r="V1345" s="885"/>
      <c r="W1345" s="885"/>
      <c r="X1345" s="885"/>
      <c r="Y1345" s="885"/>
      <c r="Z1345" s="885"/>
    </row>
    <row r="1346" ht="15.75" customHeight="1">
      <c r="A1346" s="3" t="s">
        <v>2409</v>
      </c>
      <c r="B1346" s="884" t="s">
        <v>1267</v>
      </c>
      <c r="C1346" s="884"/>
      <c r="D1346" s="884"/>
      <c r="E1346" s="885"/>
      <c r="F1346" s="885"/>
      <c r="G1346" s="885"/>
      <c r="H1346" s="930"/>
      <c r="I1346" s="885"/>
      <c r="J1346" s="885"/>
      <c r="K1346" s="885"/>
      <c r="L1346" s="885"/>
      <c r="M1346" s="885"/>
      <c r="N1346" s="887"/>
      <c r="O1346" s="885"/>
      <c r="P1346" s="885"/>
      <c r="Q1346" s="885"/>
      <c r="R1346" s="885"/>
      <c r="S1346" s="885"/>
      <c r="T1346" s="885"/>
      <c r="U1346" s="885"/>
      <c r="V1346" s="885"/>
      <c r="W1346" s="885"/>
      <c r="X1346" s="885"/>
      <c r="Y1346" s="885"/>
      <c r="Z1346" s="885"/>
    </row>
    <row r="1347" ht="15.75" customHeight="1">
      <c r="A1347" s="895" t="s">
        <v>2830</v>
      </c>
      <c r="B1347" s="884" t="s">
        <v>1267</v>
      </c>
      <c r="C1347" s="884"/>
      <c r="D1347" s="884"/>
      <c r="E1347" s="885"/>
      <c r="F1347" s="885"/>
      <c r="G1347" s="885"/>
      <c r="H1347" s="930"/>
      <c r="I1347" s="885"/>
      <c r="J1347" s="885"/>
      <c r="K1347" s="885"/>
      <c r="L1347" s="885"/>
      <c r="M1347" s="885"/>
      <c r="N1347" s="887"/>
      <c r="O1347" s="885"/>
      <c r="P1347" s="885"/>
      <c r="Q1347" s="885"/>
      <c r="R1347" s="885"/>
      <c r="S1347" s="885"/>
      <c r="T1347" s="885"/>
      <c r="U1347" s="885"/>
      <c r="V1347" s="885"/>
      <c r="W1347" s="885"/>
      <c r="X1347" s="885"/>
      <c r="Y1347" s="885"/>
      <c r="Z1347" s="885"/>
    </row>
    <row r="1348" ht="15.75" customHeight="1">
      <c r="A1348" s="3" t="s">
        <v>2831</v>
      </c>
      <c r="B1348" s="884" t="s">
        <v>1267</v>
      </c>
      <c r="C1348" s="884"/>
      <c r="D1348" s="884"/>
      <c r="E1348" s="885"/>
      <c r="F1348" s="885"/>
      <c r="G1348" s="885"/>
      <c r="H1348" s="930"/>
      <c r="I1348" s="885"/>
      <c r="J1348" s="885"/>
      <c r="K1348" s="885"/>
      <c r="L1348" s="885"/>
      <c r="M1348" s="885"/>
      <c r="N1348" s="887"/>
      <c r="O1348" s="885"/>
      <c r="P1348" s="885"/>
      <c r="Q1348" s="885"/>
      <c r="R1348" s="885"/>
      <c r="S1348" s="885"/>
      <c r="T1348" s="885"/>
      <c r="U1348" s="885"/>
      <c r="V1348" s="885"/>
      <c r="W1348" s="885"/>
      <c r="X1348" s="885"/>
      <c r="Y1348" s="885"/>
      <c r="Z1348" s="885"/>
    </row>
    <row r="1349" ht="15.75" customHeight="1">
      <c r="A1349" s="895" t="s">
        <v>2832</v>
      </c>
      <c r="B1349" s="883" t="s">
        <v>2833</v>
      </c>
      <c r="C1349" s="884"/>
      <c r="D1349" s="884"/>
      <c r="E1349" s="885"/>
      <c r="F1349" s="885"/>
      <c r="G1349" s="885"/>
      <c r="H1349" s="930"/>
      <c r="I1349" s="885"/>
      <c r="J1349" s="885"/>
      <c r="K1349" s="885"/>
      <c r="L1349" s="885"/>
      <c r="M1349" s="885"/>
      <c r="N1349" s="887"/>
      <c r="O1349" s="885"/>
      <c r="P1349" s="885"/>
      <c r="Q1349" s="885"/>
      <c r="R1349" s="885"/>
      <c r="S1349" s="885"/>
      <c r="T1349" s="885"/>
      <c r="U1349" s="885"/>
      <c r="V1349" s="885"/>
      <c r="W1349" s="885"/>
      <c r="X1349" s="885"/>
      <c r="Y1349" s="885"/>
      <c r="Z1349" s="885"/>
    </row>
    <row r="1350" ht="15.75" customHeight="1">
      <c r="A1350" s="3" t="s">
        <v>2323</v>
      </c>
      <c r="B1350" s="884" t="s">
        <v>1267</v>
      </c>
      <c r="C1350" s="884"/>
      <c r="D1350" s="884"/>
      <c r="E1350" s="885"/>
      <c r="F1350" s="885"/>
      <c r="G1350" s="885"/>
      <c r="H1350" s="930"/>
      <c r="I1350" s="885"/>
      <c r="J1350" s="885"/>
      <c r="K1350" s="885"/>
      <c r="L1350" s="885"/>
      <c r="M1350" s="885"/>
      <c r="N1350" s="887"/>
      <c r="O1350" s="885"/>
      <c r="P1350" s="885"/>
      <c r="Q1350" s="885"/>
      <c r="R1350" s="885"/>
      <c r="S1350" s="885"/>
      <c r="T1350" s="885"/>
      <c r="U1350" s="885"/>
      <c r="V1350" s="885"/>
      <c r="W1350" s="885"/>
      <c r="X1350" s="885"/>
      <c r="Y1350" s="885"/>
      <c r="Z1350" s="885"/>
    </row>
    <row r="1351" ht="15.75" customHeight="1">
      <c r="A1351" s="20" t="s">
        <v>2834</v>
      </c>
      <c r="B1351" s="884" t="s">
        <v>1267</v>
      </c>
      <c r="C1351" s="884"/>
      <c r="D1351" s="884"/>
      <c r="E1351" s="885"/>
      <c r="F1351" s="885"/>
      <c r="G1351" s="885"/>
      <c r="H1351" s="930"/>
      <c r="I1351" s="885"/>
      <c r="J1351" s="885"/>
      <c r="K1351" s="885"/>
      <c r="L1351" s="885"/>
      <c r="M1351" s="885"/>
      <c r="N1351" s="887"/>
      <c r="O1351" s="885"/>
      <c r="P1351" s="885"/>
      <c r="Q1351" s="885"/>
      <c r="R1351" s="885"/>
      <c r="S1351" s="885"/>
      <c r="T1351" s="885"/>
      <c r="U1351" s="885"/>
      <c r="V1351" s="885"/>
      <c r="W1351" s="885"/>
      <c r="X1351" s="885"/>
      <c r="Y1351" s="885"/>
      <c r="Z1351" s="885"/>
    </row>
    <row r="1352" ht="15.75" customHeight="1">
      <c r="A1352" s="3" t="s">
        <v>2835</v>
      </c>
      <c r="B1352" s="884" t="s">
        <v>2836</v>
      </c>
      <c r="C1352" s="884"/>
      <c r="D1352" s="884"/>
      <c r="E1352" s="885"/>
      <c r="F1352" s="885"/>
      <c r="G1352" s="885"/>
      <c r="H1352" s="930"/>
      <c r="I1352" s="885"/>
      <c r="J1352" s="885"/>
      <c r="K1352" s="885"/>
      <c r="L1352" s="885"/>
      <c r="M1352" s="885"/>
      <c r="N1352" s="887"/>
      <c r="O1352" s="885"/>
      <c r="P1352" s="885"/>
      <c r="Q1352" s="885"/>
      <c r="R1352" s="885"/>
      <c r="S1352" s="885"/>
      <c r="T1352" s="885"/>
      <c r="U1352" s="885"/>
      <c r="V1352" s="885"/>
      <c r="W1352" s="885"/>
      <c r="X1352" s="885"/>
      <c r="Y1352" s="885"/>
      <c r="Z1352" s="885"/>
    </row>
    <row r="1353" ht="15.75" customHeight="1">
      <c r="A1353" s="3" t="s">
        <v>2837</v>
      </c>
      <c r="B1353" s="884" t="s">
        <v>2836</v>
      </c>
      <c r="C1353" s="885"/>
      <c r="D1353" s="884"/>
      <c r="E1353" s="885"/>
      <c r="F1353" s="885"/>
      <c r="G1353" s="885"/>
      <c r="H1353" s="930"/>
      <c r="I1353" s="885"/>
      <c r="J1353" s="885"/>
      <c r="K1353" s="885"/>
      <c r="L1353" s="885"/>
      <c r="M1353" s="885"/>
      <c r="N1353" s="887"/>
      <c r="O1353" s="885"/>
      <c r="P1353" s="885"/>
      <c r="Q1353" s="885"/>
      <c r="R1353" s="885"/>
      <c r="S1353" s="885"/>
      <c r="T1353" s="885"/>
      <c r="U1353" s="885"/>
      <c r="V1353" s="885"/>
      <c r="W1353" s="885"/>
      <c r="X1353" s="885"/>
      <c r="Y1353" s="885"/>
      <c r="Z1353" s="885"/>
    </row>
    <row r="1354" ht="15.75" customHeight="1">
      <c r="A1354" s="884" t="s">
        <v>2838</v>
      </c>
      <c r="B1354" s="884" t="s">
        <v>2836</v>
      </c>
      <c r="C1354" s="885"/>
      <c r="D1354" s="884"/>
      <c r="E1354" s="885"/>
      <c r="F1354" s="885"/>
      <c r="G1354" s="885"/>
      <c r="H1354" s="930"/>
      <c r="I1354" s="885"/>
      <c r="J1354" s="885"/>
      <c r="K1354" s="885"/>
      <c r="L1354" s="885"/>
      <c r="M1354" s="885"/>
      <c r="N1354" s="887"/>
      <c r="O1354" s="885"/>
      <c r="P1354" s="885"/>
      <c r="Q1354" s="885"/>
      <c r="R1354" s="885"/>
      <c r="S1354" s="885"/>
      <c r="T1354" s="885"/>
      <c r="U1354" s="885"/>
      <c r="V1354" s="885"/>
      <c r="W1354" s="885"/>
      <c r="X1354" s="885"/>
      <c r="Y1354" s="885"/>
      <c r="Z1354" s="885"/>
    </row>
    <row r="1355" ht="15.75" customHeight="1">
      <c r="A1355" s="883" t="s">
        <v>2839</v>
      </c>
      <c r="B1355" s="3" t="s">
        <v>1745</v>
      </c>
      <c r="C1355" s="884"/>
      <c r="D1355" s="884"/>
      <c r="E1355" s="885"/>
      <c r="F1355" s="885"/>
      <c r="G1355" s="885"/>
      <c r="H1355" s="930"/>
      <c r="I1355" s="885"/>
      <c r="J1355" s="885"/>
      <c r="K1355" s="885"/>
      <c r="L1355" s="885"/>
      <c r="M1355" s="885"/>
      <c r="N1355" s="887"/>
      <c r="O1355" s="885"/>
      <c r="P1355" s="885"/>
      <c r="Q1355" s="885"/>
      <c r="R1355" s="885"/>
      <c r="S1355" s="885"/>
      <c r="T1355" s="885"/>
      <c r="U1355" s="885"/>
      <c r="V1355" s="885"/>
      <c r="W1355" s="885"/>
      <c r="X1355" s="885"/>
      <c r="Y1355" s="885"/>
      <c r="Z1355" s="885"/>
    </row>
    <row r="1356" ht="15.75" customHeight="1">
      <c r="A1356" s="895" t="s">
        <v>2840</v>
      </c>
      <c r="B1356" s="3" t="s">
        <v>1745</v>
      </c>
      <c r="C1356" s="884"/>
      <c r="D1356" s="884"/>
      <c r="E1356" s="885"/>
      <c r="F1356" s="885"/>
      <c r="G1356" s="885"/>
      <c r="H1356" s="930"/>
      <c r="I1356" s="885"/>
      <c r="J1356" s="885"/>
      <c r="K1356" s="885"/>
      <c r="L1356" s="885"/>
      <c r="M1356" s="885"/>
      <c r="N1356" s="887"/>
      <c r="O1356" s="885"/>
      <c r="P1356" s="885"/>
      <c r="Q1356" s="885"/>
      <c r="R1356" s="885"/>
      <c r="S1356" s="885"/>
      <c r="T1356" s="885"/>
      <c r="U1356" s="885"/>
      <c r="V1356" s="885"/>
      <c r="W1356" s="885"/>
      <c r="X1356" s="885"/>
      <c r="Y1356" s="885"/>
      <c r="Z1356" s="885"/>
    </row>
    <row r="1357" ht="15.75" customHeight="1">
      <c r="A1357" s="884" t="s">
        <v>2841</v>
      </c>
      <c r="B1357" s="3" t="s">
        <v>1745</v>
      </c>
      <c r="C1357" s="885"/>
      <c r="D1357" s="884"/>
      <c r="E1357" s="885"/>
      <c r="F1357" s="885"/>
      <c r="G1357" s="885"/>
      <c r="H1357" s="930"/>
      <c r="I1357" s="885"/>
      <c r="J1357" s="885"/>
      <c r="K1357" s="885"/>
      <c r="L1357" s="885"/>
      <c r="M1357" s="885"/>
      <c r="N1357" s="887"/>
      <c r="O1357" s="885"/>
      <c r="P1357" s="885"/>
      <c r="Q1357" s="885"/>
      <c r="R1357" s="885"/>
      <c r="S1357" s="885"/>
      <c r="T1357" s="885"/>
      <c r="U1357" s="885"/>
      <c r="V1357" s="885"/>
      <c r="W1357" s="885"/>
      <c r="X1357" s="885"/>
      <c r="Y1357" s="885"/>
      <c r="Z1357" s="885"/>
    </row>
    <row r="1358" ht="15.75" customHeight="1">
      <c r="A1358" s="883" t="s">
        <v>1746</v>
      </c>
      <c r="B1358" s="3" t="s">
        <v>1745</v>
      </c>
      <c r="C1358" s="885"/>
      <c r="D1358" s="884"/>
      <c r="E1358" s="885"/>
      <c r="F1358" s="885"/>
      <c r="G1358" s="885"/>
      <c r="H1358" s="930"/>
      <c r="I1358" s="885"/>
      <c r="J1358" s="885"/>
      <c r="K1358" s="885"/>
      <c r="L1358" s="885"/>
      <c r="M1358" s="885"/>
      <c r="N1358" s="887"/>
      <c r="O1358" s="885"/>
      <c r="P1358" s="885"/>
      <c r="Q1358" s="885"/>
      <c r="R1358" s="885"/>
      <c r="S1358" s="885"/>
      <c r="T1358" s="885"/>
      <c r="U1358" s="885"/>
      <c r="V1358" s="885"/>
      <c r="W1358" s="885"/>
      <c r="X1358" s="885"/>
      <c r="Y1358" s="885"/>
      <c r="Z1358" s="885"/>
    </row>
    <row r="1359" ht="15.75" customHeight="1">
      <c r="A1359" s="884" t="s">
        <v>2842</v>
      </c>
      <c r="B1359" s="3" t="s">
        <v>1745</v>
      </c>
      <c r="C1359" s="884"/>
      <c r="D1359" s="884"/>
      <c r="E1359" s="885"/>
      <c r="F1359" s="885"/>
      <c r="G1359" s="885"/>
      <c r="H1359" s="930"/>
      <c r="I1359" s="885"/>
      <c r="J1359" s="885"/>
      <c r="K1359" s="885"/>
      <c r="L1359" s="885"/>
      <c r="M1359" s="885"/>
      <c r="N1359" s="887"/>
      <c r="O1359" s="885"/>
      <c r="P1359" s="885"/>
      <c r="Q1359" s="885"/>
      <c r="R1359" s="885"/>
      <c r="S1359" s="885"/>
      <c r="T1359" s="885"/>
      <c r="U1359" s="885"/>
      <c r="V1359" s="885"/>
      <c r="W1359" s="885"/>
      <c r="X1359" s="885"/>
      <c r="Y1359" s="885"/>
      <c r="Z1359" s="885"/>
    </row>
    <row r="1360" ht="15.75" customHeight="1">
      <c r="A1360" s="3" t="s">
        <v>2843</v>
      </c>
      <c r="B1360" s="884" t="s">
        <v>1198</v>
      </c>
      <c r="C1360" s="884"/>
      <c r="D1360" s="884"/>
      <c r="E1360" s="885"/>
      <c r="F1360" s="885"/>
      <c r="G1360" s="885"/>
      <c r="H1360" s="930"/>
      <c r="I1360" s="885"/>
      <c r="J1360" s="885"/>
      <c r="K1360" s="885"/>
      <c r="L1360" s="885"/>
      <c r="M1360" s="885"/>
      <c r="N1360" s="887"/>
      <c r="O1360" s="885"/>
      <c r="P1360" s="885"/>
      <c r="Q1360" s="885"/>
      <c r="R1360" s="885"/>
      <c r="S1360" s="885"/>
      <c r="T1360" s="885"/>
      <c r="U1360" s="885"/>
      <c r="V1360" s="885"/>
      <c r="W1360" s="885"/>
      <c r="X1360" s="885"/>
      <c r="Y1360" s="885"/>
      <c r="Z1360" s="885"/>
    </row>
    <row r="1361" ht="15.75" customHeight="1">
      <c r="A1361" s="884" t="s">
        <v>40</v>
      </c>
      <c r="B1361" s="884" t="s">
        <v>1198</v>
      </c>
      <c r="C1361" s="884"/>
      <c r="D1361" s="884"/>
      <c r="E1361" s="885"/>
      <c r="F1361" s="885"/>
      <c r="G1361" s="885"/>
      <c r="H1361" s="930"/>
      <c r="I1361" s="885"/>
      <c r="J1361" s="885"/>
      <c r="K1361" s="885"/>
      <c r="L1361" s="885"/>
      <c r="M1361" s="885"/>
      <c r="N1361" s="887"/>
      <c r="O1361" s="885"/>
      <c r="P1361" s="885"/>
      <c r="Q1361" s="885"/>
      <c r="R1361" s="885"/>
      <c r="S1361" s="885"/>
      <c r="T1361" s="885"/>
      <c r="U1361" s="885"/>
      <c r="V1361" s="885"/>
      <c r="W1361" s="885"/>
      <c r="X1361" s="885"/>
      <c r="Y1361" s="885"/>
      <c r="Z1361" s="885"/>
    </row>
    <row r="1362" ht="15.75" customHeight="1">
      <c r="A1362" s="895" t="s">
        <v>2844</v>
      </c>
      <c r="B1362" s="883" t="s">
        <v>1198</v>
      </c>
      <c r="C1362" s="884"/>
      <c r="D1362" s="884"/>
      <c r="E1362" s="885"/>
      <c r="F1362" s="885"/>
      <c r="G1362" s="885"/>
      <c r="H1362" s="930"/>
      <c r="I1362" s="885"/>
      <c r="J1362" s="885"/>
      <c r="K1362" s="885"/>
      <c r="L1362" s="885"/>
      <c r="M1362" s="885"/>
      <c r="N1362" s="887"/>
      <c r="O1362" s="885"/>
      <c r="P1362" s="885"/>
      <c r="Q1362" s="885"/>
      <c r="R1362" s="885"/>
      <c r="S1362" s="885"/>
      <c r="T1362" s="885"/>
      <c r="U1362" s="885"/>
      <c r="V1362" s="885"/>
      <c r="W1362" s="885"/>
      <c r="X1362" s="885"/>
      <c r="Y1362" s="885"/>
      <c r="Z1362" s="885"/>
    </row>
    <row r="1363" ht="15.75" customHeight="1">
      <c r="A1363" s="895" t="s">
        <v>2845</v>
      </c>
      <c r="B1363" s="883" t="s">
        <v>1198</v>
      </c>
      <c r="C1363" s="884"/>
      <c r="D1363" s="884"/>
      <c r="E1363" s="885"/>
      <c r="F1363" s="885"/>
      <c r="G1363" s="885"/>
      <c r="H1363" s="930"/>
      <c r="I1363" s="885"/>
      <c r="J1363" s="885"/>
      <c r="K1363" s="885"/>
      <c r="L1363" s="885"/>
      <c r="M1363" s="885"/>
      <c r="N1363" s="887"/>
      <c r="O1363" s="885"/>
      <c r="P1363" s="885"/>
      <c r="Q1363" s="885"/>
      <c r="R1363" s="885"/>
      <c r="S1363" s="885"/>
      <c r="T1363" s="885"/>
      <c r="U1363" s="885"/>
      <c r="V1363" s="885"/>
      <c r="W1363" s="885"/>
      <c r="X1363" s="885"/>
      <c r="Y1363" s="885"/>
      <c r="Z1363" s="885"/>
    </row>
    <row r="1364" ht="15.75" customHeight="1">
      <c r="A1364" s="3" t="s">
        <v>1198</v>
      </c>
      <c r="B1364" s="884" t="s">
        <v>1205</v>
      </c>
      <c r="C1364" s="884"/>
      <c r="D1364" s="884"/>
      <c r="E1364" s="885"/>
      <c r="F1364" s="885"/>
      <c r="G1364" s="885"/>
      <c r="H1364" s="930"/>
      <c r="I1364" s="885"/>
      <c r="J1364" s="885"/>
      <c r="K1364" s="885"/>
      <c r="L1364" s="885"/>
      <c r="M1364" s="885"/>
      <c r="N1364" s="887"/>
      <c r="O1364" s="885"/>
      <c r="P1364" s="885"/>
      <c r="Q1364" s="885"/>
      <c r="R1364" s="885"/>
      <c r="S1364" s="885"/>
      <c r="T1364" s="885"/>
      <c r="U1364" s="885"/>
      <c r="V1364" s="885"/>
      <c r="W1364" s="885"/>
      <c r="X1364" s="885"/>
      <c r="Y1364" s="885"/>
      <c r="Z1364" s="885"/>
    </row>
    <row r="1365" ht="15.75" customHeight="1">
      <c r="A1365" s="3" t="s">
        <v>2846</v>
      </c>
      <c r="B1365" s="884" t="s">
        <v>1760</v>
      </c>
      <c r="C1365" s="884"/>
      <c r="D1365" s="884"/>
      <c r="E1365" s="885"/>
      <c r="F1365" s="885"/>
      <c r="G1365" s="885"/>
      <c r="H1365" s="930"/>
      <c r="I1365" s="885"/>
      <c r="J1365" s="885"/>
      <c r="K1365" s="885"/>
      <c r="L1365" s="885"/>
      <c r="M1365" s="885"/>
      <c r="N1365" s="887"/>
      <c r="O1365" s="885"/>
      <c r="P1365" s="885"/>
      <c r="Q1365" s="885"/>
      <c r="R1365" s="885"/>
      <c r="S1365" s="885"/>
      <c r="T1365" s="885"/>
      <c r="U1365" s="885"/>
      <c r="V1365" s="885"/>
      <c r="W1365" s="885"/>
      <c r="X1365" s="885"/>
      <c r="Y1365" s="885"/>
      <c r="Z1365" s="885"/>
    </row>
    <row r="1366" ht="15.75" customHeight="1">
      <c r="A1366" s="3" t="s">
        <v>2847</v>
      </c>
      <c r="B1366" s="884" t="s">
        <v>1205</v>
      </c>
      <c r="C1366" s="884"/>
      <c r="D1366" s="884"/>
      <c r="E1366" s="885"/>
      <c r="F1366" s="885"/>
      <c r="G1366" s="885"/>
      <c r="H1366" s="930"/>
      <c r="I1366" s="885"/>
      <c r="J1366" s="885"/>
      <c r="K1366" s="885"/>
      <c r="L1366" s="885"/>
      <c r="M1366" s="885"/>
      <c r="N1366" s="887"/>
      <c r="O1366" s="885"/>
      <c r="P1366" s="885"/>
      <c r="Q1366" s="885"/>
      <c r="R1366" s="885"/>
      <c r="S1366" s="885"/>
      <c r="T1366" s="885"/>
      <c r="U1366" s="885"/>
      <c r="V1366" s="885"/>
      <c r="W1366" s="885"/>
      <c r="X1366" s="885"/>
      <c r="Y1366" s="885"/>
      <c r="Z1366" s="885"/>
    </row>
    <row r="1367" ht="15.75" customHeight="1">
      <c r="A1367" s="3" t="s">
        <v>1748</v>
      </c>
      <c r="B1367" s="3" t="s">
        <v>1205</v>
      </c>
      <c r="C1367" s="884"/>
      <c r="D1367" s="884"/>
      <c r="E1367" s="885"/>
      <c r="F1367" s="885"/>
      <c r="G1367" s="885"/>
      <c r="H1367" s="930"/>
      <c r="I1367" s="885"/>
      <c r="J1367" s="885"/>
      <c r="K1367" s="885"/>
      <c r="L1367" s="885"/>
      <c r="M1367" s="885"/>
      <c r="N1367" s="887"/>
      <c r="O1367" s="885"/>
      <c r="P1367" s="885"/>
      <c r="Q1367" s="885"/>
      <c r="R1367" s="885"/>
      <c r="S1367" s="885"/>
      <c r="T1367" s="885"/>
      <c r="U1367" s="885"/>
      <c r="V1367" s="885"/>
      <c r="W1367" s="885"/>
      <c r="X1367" s="885"/>
      <c r="Y1367" s="885"/>
      <c r="Z1367" s="885"/>
    </row>
    <row r="1368" ht="15.75" customHeight="1">
      <c r="A1368" s="884" t="s">
        <v>2848</v>
      </c>
      <c r="B1368" s="3" t="s">
        <v>1205</v>
      </c>
      <c r="C1368" s="884"/>
      <c r="D1368" s="884"/>
      <c r="E1368" s="885"/>
      <c r="F1368" s="885"/>
      <c r="G1368" s="885"/>
      <c r="H1368" s="930"/>
      <c r="I1368" s="885"/>
      <c r="J1368" s="885"/>
      <c r="K1368" s="885"/>
      <c r="L1368" s="885"/>
      <c r="M1368" s="885"/>
      <c r="N1368" s="887"/>
      <c r="O1368" s="885"/>
      <c r="P1368" s="885"/>
      <c r="Q1368" s="885"/>
      <c r="R1368" s="885"/>
      <c r="S1368" s="885"/>
      <c r="T1368" s="885"/>
      <c r="U1368" s="885"/>
      <c r="V1368" s="885"/>
      <c r="W1368" s="885"/>
      <c r="X1368" s="885"/>
      <c r="Y1368" s="885"/>
      <c r="Z1368" s="885"/>
    </row>
    <row r="1369" ht="15.75" customHeight="1">
      <c r="A1369" s="884" t="s">
        <v>2849</v>
      </c>
      <c r="B1369" s="884" t="s">
        <v>1760</v>
      </c>
      <c r="C1369" s="884"/>
      <c r="D1369" s="884"/>
      <c r="E1369" s="885"/>
      <c r="F1369" s="885"/>
      <c r="G1369" s="885"/>
      <c r="H1369" s="930"/>
      <c r="I1369" s="885"/>
      <c r="J1369" s="885"/>
      <c r="K1369" s="885"/>
      <c r="L1369" s="885"/>
      <c r="M1369" s="885"/>
      <c r="N1369" s="887"/>
      <c r="O1369" s="885"/>
      <c r="P1369" s="885"/>
      <c r="Q1369" s="885"/>
      <c r="R1369" s="885"/>
      <c r="S1369" s="885"/>
      <c r="T1369" s="885"/>
      <c r="U1369" s="885"/>
      <c r="V1369" s="885"/>
      <c r="W1369" s="885"/>
      <c r="X1369" s="885"/>
      <c r="Y1369" s="885"/>
      <c r="Z1369" s="885"/>
    </row>
    <row r="1370" ht="15.75" customHeight="1">
      <c r="A1370" s="884" t="s">
        <v>2850</v>
      </c>
      <c r="B1370" s="884" t="s">
        <v>1205</v>
      </c>
      <c r="C1370" s="884"/>
      <c r="D1370" s="884"/>
      <c r="E1370" s="885"/>
      <c r="F1370" s="885"/>
      <c r="G1370" s="885"/>
      <c r="H1370" s="930"/>
      <c r="I1370" s="885"/>
      <c r="J1370" s="885"/>
      <c r="K1370" s="885"/>
      <c r="L1370" s="885"/>
      <c r="M1370" s="885"/>
      <c r="N1370" s="887"/>
      <c r="O1370" s="885"/>
      <c r="P1370" s="885"/>
      <c r="Q1370" s="885"/>
      <c r="R1370" s="885"/>
      <c r="S1370" s="885"/>
      <c r="T1370" s="885"/>
      <c r="U1370" s="885"/>
      <c r="V1370" s="885"/>
      <c r="W1370" s="885"/>
      <c r="X1370" s="885"/>
      <c r="Y1370" s="885"/>
      <c r="Z1370" s="885"/>
    </row>
    <row r="1371" ht="15.75" customHeight="1">
      <c r="A1371" s="3" t="s">
        <v>2851</v>
      </c>
      <c r="B1371" s="3" t="s">
        <v>2852</v>
      </c>
      <c r="C1371" s="884"/>
      <c r="D1371" s="884"/>
      <c r="E1371" s="885"/>
      <c r="F1371" s="885"/>
      <c r="G1371" s="885"/>
      <c r="H1371" s="930"/>
      <c r="I1371" s="885"/>
      <c r="J1371" s="885"/>
      <c r="K1371" s="885"/>
      <c r="L1371" s="885"/>
      <c r="M1371" s="885"/>
      <c r="N1371" s="887"/>
      <c r="O1371" s="885"/>
      <c r="P1371" s="885"/>
      <c r="Q1371" s="885"/>
      <c r="R1371" s="885"/>
      <c r="S1371" s="885"/>
      <c r="T1371" s="885"/>
      <c r="U1371" s="885"/>
      <c r="V1371" s="885"/>
      <c r="W1371" s="885"/>
      <c r="X1371" s="885"/>
      <c r="Y1371" s="885"/>
      <c r="Z1371" s="885"/>
    </row>
    <row r="1372" ht="15.75" customHeight="1">
      <c r="A1372" s="3" t="s">
        <v>2853</v>
      </c>
      <c r="B1372" s="3" t="s">
        <v>1764</v>
      </c>
      <c r="C1372" s="884"/>
      <c r="D1372" s="884"/>
      <c r="E1372" s="885"/>
      <c r="F1372" s="885"/>
      <c r="G1372" s="885"/>
      <c r="H1372" s="930"/>
      <c r="I1372" s="885"/>
      <c r="J1372" s="885"/>
      <c r="K1372" s="885"/>
      <c r="L1372" s="885"/>
      <c r="M1372" s="885"/>
      <c r="N1372" s="887"/>
      <c r="O1372" s="885"/>
      <c r="P1372" s="885"/>
      <c r="Q1372" s="885"/>
      <c r="R1372" s="885"/>
      <c r="S1372" s="885"/>
      <c r="T1372" s="885"/>
      <c r="U1372" s="885"/>
      <c r="V1372" s="885"/>
      <c r="W1372" s="885"/>
      <c r="X1372" s="885"/>
      <c r="Y1372" s="885"/>
      <c r="Z1372" s="885"/>
    </row>
    <row r="1373" ht="15.75" customHeight="1">
      <c r="A1373" s="3" t="s">
        <v>1205</v>
      </c>
      <c r="B1373" s="883" t="s">
        <v>2854</v>
      </c>
      <c r="C1373" s="884"/>
      <c r="D1373" s="884"/>
      <c r="E1373" s="885"/>
      <c r="F1373" s="885"/>
      <c r="G1373" s="885"/>
      <c r="H1373" s="930"/>
      <c r="I1373" s="885"/>
      <c r="J1373" s="885"/>
      <c r="K1373" s="885"/>
      <c r="L1373" s="885"/>
      <c r="M1373" s="885"/>
      <c r="N1373" s="887"/>
      <c r="O1373" s="885"/>
      <c r="P1373" s="885"/>
      <c r="Q1373" s="885"/>
      <c r="R1373" s="885"/>
      <c r="S1373" s="885"/>
      <c r="T1373" s="885"/>
      <c r="U1373" s="885"/>
      <c r="V1373" s="885"/>
      <c r="W1373" s="885"/>
      <c r="X1373" s="885"/>
      <c r="Y1373" s="885"/>
      <c r="Z1373" s="885"/>
    </row>
    <row r="1374" ht="15.75" customHeight="1">
      <c r="A1374" s="3" t="s">
        <v>1760</v>
      </c>
      <c r="B1374" s="3" t="s">
        <v>1760</v>
      </c>
      <c r="C1374" s="884"/>
      <c r="D1374" s="884"/>
      <c r="E1374" s="885"/>
      <c r="F1374" s="885"/>
      <c r="G1374" s="885"/>
      <c r="H1374" s="930"/>
      <c r="I1374" s="885"/>
      <c r="J1374" s="885"/>
      <c r="K1374" s="885"/>
      <c r="L1374" s="885"/>
      <c r="M1374" s="885"/>
      <c r="N1374" s="887"/>
      <c r="O1374" s="885"/>
      <c r="P1374" s="885"/>
      <c r="Q1374" s="885"/>
      <c r="R1374" s="885"/>
      <c r="S1374" s="885"/>
      <c r="T1374" s="885"/>
      <c r="U1374" s="885"/>
      <c r="V1374" s="885"/>
      <c r="W1374" s="885"/>
      <c r="X1374" s="885"/>
      <c r="Y1374" s="885"/>
      <c r="Z1374" s="885"/>
    </row>
    <row r="1375" ht="15.75" customHeight="1">
      <c r="A1375" s="3" t="s">
        <v>2855</v>
      </c>
      <c r="B1375" s="883" t="s">
        <v>2854</v>
      </c>
      <c r="C1375" s="884"/>
      <c r="D1375" s="884"/>
      <c r="E1375" s="885"/>
      <c r="F1375" s="885"/>
      <c r="G1375" s="885"/>
      <c r="H1375" s="930"/>
      <c r="I1375" s="885"/>
      <c r="J1375" s="885"/>
      <c r="K1375" s="885"/>
      <c r="L1375" s="885"/>
      <c r="M1375" s="885"/>
      <c r="N1375" s="887"/>
      <c r="O1375" s="885"/>
      <c r="P1375" s="885"/>
      <c r="Q1375" s="885"/>
      <c r="R1375" s="885"/>
      <c r="S1375" s="885"/>
      <c r="T1375" s="885"/>
      <c r="U1375" s="885"/>
      <c r="V1375" s="885"/>
      <c r="W1375" s="885"/>
      <c r="X1375" s="885"/>
      <c r="Y1375" s="885"/>
      <c r="Z1375" s="885"/>
    </row>
    <row r="1376" ht="15.75" customHeight="1">
      <c r="A1376" s="3" t="s">
        <v>2856</v>
      </c>
      <c r="B1376" s="883" t="s">
        <v>2854</v>
      </c>
      <c r="C1376" s="884"/>
      <c r="D1376" s="884"/>
      <c r="E1376" s="885"/>
      <c r="F1376" s="885"/>
      <c r="G1376" s="885"/>
      <c r="H1376" s="930"/>
      <c r="I1376" s="885"/>
      <c r="J1376" s="885"/>
      <c r="K1376" s="885"/>
      <c r="L1376" s="885"/>
      <c r="M1376" s="885"/>
      <c r="N1376" s="887"/>
      <c r="O1376" s="885"/>
      <c r="P1376" s="885"/>
      <c r="Q1376" s="885"/>
      <c r="R1376" s="885"/>
      <c r="S1376" s="885"/>
      <c r="T1376" s="885"/>
      <c r="U1376" s="885"/>
      <c r="V1376" s="885"/>
      <c r="W1376" s="885"/>
      <c r="X1376" s="885"/>
      <c r="Y1376" s="885"/>
      <c r="Z1376" s="885"/>
    </row>
    <row r="1377" ht="15.75" customHeight="1">
      <c r="A1377" s="3" t="s">
        <v>2857</v>
      </c>
      <c r="B1377" s="883" t="s">
        <v>2854</v>
      </c>
      <c r="C1377" s="884"/>
      <c r="D1377" s="884"/>
      <c r="E1377" s="885"/>
      <c r="F1377" s="885"/>
      <c r="G1377" s="885"/>
      <c r="H1377" s="930"/>
      <c r="I1377" s="885"/>
      <c r="J1377" s="885"/>
      <c r="K1377" s="885"/>
      <c r="L1377" s="885"/>
      <c r="M1377" s="885"/>
      <c r="N1377" s="887"/>
      <c r="O1377" s="885"/>
      <c r="P1377" s="885"/>
      <c r="Q1377" s="885"/>
      <c r="R1377" s="885"/>
      <c r="S1377" s="885"/>
      <c r="T1377" s="885"/>
      <c r="U1377" s="885"/>
      <c r="V1377" s="885"/>
      <c r="W1377" s="885"/>
      <c r="X1377" s="885"/>
      <c r="Y1377" s="885"/>
      <c r="Z1377" s="885"/>
    </row>
    <row r="1378" ht="15.75" customHeight="1">
      <c r="A1378" s="3" t="s">
        <v>2401</v>
      </c>
      <c r="B1378" s="883" t="s">
        <v>2854</v>
      </c>
      <c r="C1378" s="884"/>
      <c r="D1378" s="884"/>
      <c r="E1378" s="885"/>
      <c r="F1378" s="885"/>
      <c r="G1378" s="885"/>
      <c r="H1378" s="930"/>
      <c r="I1378" s="885"/>
      <c r="J1378" s="885"/>
      <c r="K1378" s="885"/>
      <c r="L1378" s="885"/>
      <c r="M1378" s="885"/>
      <c r="N1378" s="887"/>
      <c r="O1378" s="885"/>
      <c r="P1378" s="885"/>
      <c r="Q1378" s="885"/>
      <c r="R1378" s="885"/>
      <c r="S1378" s="885"/>
      <c r="T1378" s="885"/>
      <c r="U1378" s="885"/>
      <c r="V1378" s="885"/>
      <c r="W1378" s="885"/>
      <c r="X1378" s="885"/>
      <c r="Y1378" s="885"/>
      <c r="Z1378" s="885"/>
    </row>
    <row r="1379" ht="15.75" customHeight="1">
      <c r="A1379" s="3" t="s">
        <v>1764</v>
      </c>
      <c r="B1379" s="884" t="s">
        <v>2852</v>
      </c>
      <c r="C1379" s="884"/>
      <c r="D1379" s="884"/>
      <c r="E1379" s="885"/>
      <c r="F1379" s="885"/>
      <c r="G1379" s="885"/>
      <c r="H1379" s="930"/>
      <c r="I1379" s="885"/>
      <c r="J1379" s="885"/>
      <c r="K1379" s="885"/>
      <c r="L1379" s="885"/>
      <c r="M1379" s="885"/>
      <c r="N1379" s="887"/>
      <c r="O1379" s="885"/>
      <c r="P1379" s="885"/>
      <c r="Q1379" s="885"/>
      <c r="R1379" s="885"/>
      <c r="S1379" s="885"/>
      <c r="T1379" s="885"/>
      <c r="U1379" s="885"/>
      <c r="V1379" s="885"/>
      <c r="W1379" s="885"/>
      <c r="X1379" s="885"/>
      <c r="Y1379" s="885"/>
      <c r="Z1379" s="885"/>
    </row>
    <row r="1380" ht="15.75" customHeight="1">
      <c r="A1380" s="3" t="s">
        <v>2858</v>
      </c>
      <c r="B1380" s="884" t="s">
        <v>2852</v>
      </c>
      <c r="C1380" s="884"/>
      <c r="D1380" s="884"/>
      <c r="E1380" s="885"/>
      <c r="F1380" s="885"/>
      <c r="G1380" s="885"/>
      <c r="H1380" s="930"/>
      <c r="I1380" s="885"/>
      <c r="J1380" s="885"/>
      <c r="K1380" s="885"/>
      <c r="L1380" s="885"/>
      <c r="M1380" s="885"/>
      <c r="N1380" s="887"/>
      <c r="O1380" s="885"/>
      <c r="P1380" s="885"/>
      <c r="Q1380" s="885"/>
      <c r="R1380" s="885"/>
      <c r="S1380" s="885"/>
      <c r="T1380" s="885"/>
      <c r="U1380" s="885"/>
      <c r="V1380" s="885"/>
      <c r="W1380" s="885"/>
      <c r="X1380" s="885"/>
      <c r="Y1380" s="885"/>
      <c r="Z1380" s="885"/>
    </row>
    <row r="1381" ht="15.75" customHeight="1">
      <c r="A1381" s="3" t="s">
        <v>2859</v>
      </c>
      <c r="B1381" s="884" t="s">
        <v>2852</v>
      </c>
      <c r="C1381" s="884"/>
      <c r="D1381" s="884"/>
      <c r="E1381" s="885"/>
      <c r="F1381" s="885"/>
      <c r="G1381" s="885"/>
      <c r="H1381" s="930"/>
      <c r="I1381" s="885"/>
      <c r="J1381" s="885"/>
      <c r="K1381" s="885"/>
      <c r="L1381" s="885"/>
      <c r="M1381" s="885"/>
      <c r="N1381" s="887"/>
      <c r="O1381" s="885"/>
      <c r="P1381" s="885"/>
      <c r="Q1381" s="885"/>
      <c r="R1381" s="885"/>
      <c r="S1381" s="885"/>
      <c r="T1381" s="885"/>
      <c r="U1381" s="885"/>
      <c r="V1381" s="885"/>
      <c r="W1381" s="885"/>
      <c r="X1381" s="885"/>
      <c r="Y1381" s="885"/>
      <c r="Z1381" s="885"/>
    </row>
    <row r="1382" ht="15.75" customHeight="1">
      <c r="A1382" s="3" t="s">
        <v>1649</v>
      </c>
      <c r="B1382" s="883" t="s">
        <v>2854</v>
      </c>
      <c r="C1382" s="884"/>
      <c r="D1382" s="884"/>
      <c r="E1382" s="885"/>
      <c r="F1382" s="885"/>
      <c r="G1382" s="885"/>
      <c r="H1382" s="930"/>
      <c r="I1382" s="885"/>
      <c r="J1382" s="885"/>
      <c r="K1382" s="885"/>
      <c r="L1382" s="885"/>
      <c r="M1382" s="885"/>
      <c r="N1382" s="887"/>
      <c r="O1382" s="885"/>
      <c r="P1382" s="885"/>
      <c r="Q1382" s="885"/>
      <c r="R1382" s="885"/>
      <c r="S1382" s="885"/>
      <c r="T1382" s="885"/>
      <c r="U1382" s="885"/>
      <c r="V1382" s="885"/>
      <c r="W1382" s="885"/>
      <c r="X1382" s="885"/>
      <c r="Y1382" s="885"/>
      <c r="Z1382" s="885"/>
    </row>
    <row r="1383" ht="15.75" customHeight="1">
      <c r="A1383" s="3" t="s">
        <v>2860</v>
      </c>
      <c r="B1383" s="883" t="s">
        <v>2854</v>
      </c>
      <c r="C1383" s="884"/>
      <c r="D1383" s="884"/>
      <c r="E1383" s="885"/>
      <c r="F1383" s="885"/>
      <c r="G1383" s="885"/>
      <c r="H1383" s="930"/>
      <c r="I1383" s="885"/>
      <c r="J1383" s="885"/>
      <c r="K1383" s="885"/>
      <c r="L1383" s="885"/>
      <c r="M1383" s="885"/>
      <c r="N1383" s="887"/>
      <c r="O1383" s="885"/>
      <c r="P1383" s="885"/>
      <c r="Q1383" s="885"/>
      <c r="R1383" s="885"/>
      <c r="S1383" s="885"/>
      <c r="T1383" s="885"/>
      <c r="U1383" s="885"/>
      <c r="V1383" s="885"/>
      <c r="W1383" s="885"/>
      <c r="X1383" s="885"/>
      <c r="Y1383" s="885"/>
      <c r="Z1383" s="885"/>
    </row>
    <row r="1384" ht="15.75" customHeight="1">
      <c r="A1384" s="3" t="s">
        <v>1646</v>
      </c>
      <c r="B1384" s="883" t="s">
        <v>2854</v>
      </c>
      <c r="C1384" s="884"/>
      <c r="D1384" s="884"/>
      <c r="E1384" s="885"/>
      <c r="F1384" s="885"/>
      <c r="G1384" s="885"/>
      <c r="H1384" s="930"/>
      <c r="I1384" s="885"/>
      <c r="J1384" s="885"/>
      <c r="K1384" s="885"/>
      <c r="L1384" s="885"/>
      <c r="M1384" s="885"/>
      <c r="N1384" s="887"/>
      <c r="O1384" s="885"/>
      <c r="P1384" s="885"/>
      <c r="Q1384" s="885"/>
      <c r="R1384" s="885"/>
      <c r="S1384" s="885"/>
      <c r="T1384" s="885"/>
      <c r="U1384" s="885"/>
      <c r="V1384" s="885"/>
      <c r="W1384" s="885"/>
      <c r="X1384" s="885"/>
      <c r="Y1384" s="885"/>
      <c r="Z1384" s="885"/>
    </row>
    <row r="1385" ht="15.75" customHeight="1">
      <c r="A1385" s="884" t="s">
        <v>2861</v>
      </c>
      <c r="B1385" s="3" t="s">
        <v>1760</v>
      </c>
      <c r="C1385" s="884"/>
      <c r="D1385" s="884"/>
      <c r="E1385" s="885"/>
      <c r="F1385" s="885"/>
      <c r="G1385" s="885"/>
      <c r="H1385" s="930"/>
      <c r="I1385" s="885"/>
      <c r="J1385" s="885"/>
      <c r="K1385" s="885"/>
      <c r="L1385" s="885"/>
      <c r="M1385" s="885"/>
      <c r="N1385" s="887"/>
      <c r="O1385" s="885"/>
      <c r="P1385" s="885"/>
      <c r="Q1385" s="885"/>
      <c r="R1385" s="885"/>
      <c r="S1385" s="885"/>
      <c r="T1385" s="885"/>
      <c r="U1385" s="885"/>
      <c r="V1385" s="885"/>
      <c r="W1385" s="885"/>
      <c r="X1385" s="885"/>
      <c r="Y1385" s="885"/>
      <c r="Z1385" s="885"/>
    </row>
    <row r="1386" ht="15.75" customHeight="1">
      <c r="A1386" s="725" t="s">
        <v>2862</v>
      </c>
      <c r="B1386" s="895" t="s">
        <v>2863</v>
      </c>
      <c r="C1386" s="884"/>
      <c r="D1386" s="884"/>
      <c r="E1386" s="885"/>
      <c r="F1386" s="885"/>
      <c r="G1386" s="885"/>
      <c r="H1386" s="930"/>
      <c r="I1386" s="885"/>
      <c r="J1386" s="885"/>
      <c r="K1386" s="885"/>
      <c r="L1386" s="885"/>
      <c r="M1386" s="885"/>
      <c r="N1386" s="887"/>
      <c r="O1386" s="885"/>
      <c r="P1386" s="885"/>
      <c r="Q1386" s="885"/>
      <c r="R1386" s="885"/>
      <c r="S1386" s="885"/>
      <c r="T1386" s="885"/>
      <c r="U1386" s="885"/>
      <c r="V1386" s="885"/>
      <c r="W1386" s="885"/>
      <c r="X1386" s="885"/>
      <c r="Y1386" s="885"/>
      <c r="Z1386" s="885"/>
    </row>
    <row r="1387" ht="15.75" customHeight="1">
      <c r="A1387" s="725" t="s">
        <v>75</v>
      </c>
      <c r="B1387" s="976" t="s">
        <v>2864</v>
      </c>
      <c r="C1387" s="884"/>
      <c r="D1387" s="884"/>
      <c r="E1387" s="885"/>
      <c r="F1387" s="885"/>
      <c r="G1387" s="885"/>
      <c r="H1387" s="930"/>
      <c r="I1387" s="885"/>
      <c r="J1387" s="885"/>
      <c r="K1387" s="885"/>
      <c r="L1387" s="885"/>
      <c r="M1387" s="885"/>
      <c r="N1387" s="887"/>
      <c r="O1387" s="885"/>
      <c r="P1387" s="885"/>
      <c r="Q1387" s="885"/>
      <c r="R1387" s="885"/>
      <c r="S1387" s="885"/>
      <c r="T1387" s="885"/>
      <c r="U1387" s="885"/>
      <c r="V1387" s="885"/>
      <c r="W1387" s="885"/>
      <c r="X1387" s="885"/>
      <c r="Y1387" s="885"/>
      <c r="Z1387" s="885"/>
    </row>
    <row r="1388" ht="15.75" customHeight="1">
      <c r="A1388" s="725" t="s">
        <v>2865</v>
      </c>
      <c r="B1388" s="895" t="s">
        <v>2863</v>
      </c>
      <c r="C1388" s="884"/>
      <c r="D1388" s="884"/>
      <c r="E1388" s="885"/>
      <c r="F1388" s="885"/>
      <c r="G1388" s="885"/>
      <c r="H1388" s="930"/>
      <c r="I1388" s="885"/>
      <c r="J1388" s="885"/>
      <c r="K1388" s="885"/>
      <c r="L1388" s="885"/>
      <c r="M1388" s="885"/>
      <c r="N1388" s="887"/>
      <c r="O1388" s="885"/>
      <c r="P1388" s="885"/>
      <c r="Q1388" s="885"/>
      <c r="R1388" s="885"/>
      <c r="S1388" s="885"/>
      <c r="T1388" s="885"/>
      <c r="U1388" s="885"/>
      <c r="V1388" s="885"/>
      <c r="W1388" s="885"/>
      <c r="X1388" s="885"/>
      <c r="Y1388" s="885"/>
      <c r="Z1388" s="885"/>
    </row>
    <row r="1389" ht="15.75" customHeight="1">
      <c r="A1389" s="725" t="s">
        <v>1641</v>
      </c>
      <c r="B1389" s="922" t="s">
        <v>1641</v>
      </c>
      <c r="C1389" s="884"/>
      <c r="D1389" s="884"/>
      <c r="E1389" s="885"/>
      <c r="F1389" s="885"/>
      <c r="G1389" s="885"/>
      <c r="H1389" s="930"/>
      <c r="I1389" s="885"/>
      <c r="J1389" s="885"/>
      <c r="K1389" s="885"/>
      <c r="L1389" s="885"/>
      <c r="M1389" s="885"/>
      <c r="N1389" s="887"/>
      <c r="O1389" s="885"/>
      <c r="P1389" s="885"/>
      <c r="Q1389" s="885"/>
      <c r="R1389" s="885"/>
      <c r="S1389" s="885"/>
      <c r="T1389" s="885"/>
      <c r="U1389" s="885"/>
      <c r="V1389" s="885"/>
      <c r="W1389" s="885"/>
      <c r="X1389" s="885"/>
      <c r="Y1389" s="885"/>
      <c r="Z1389" s="885"/>
    </row>
    <row r="1390" ht="15.75" customHeight="1">
      <c r="A1390" s="895" t="s">
        <v>2866</v>
      </c>
      <c r="B1390" s="883" t="s">
        <v>1198</v>
      </c>
      <c r="C1390" s="884"/>
      <c r="D1390" s="884"/>
      <c r="E1390" s="885"/>
      <c r="F1390" s="885"/>
      <c r="G1390" s="885"/>
      <c r="H1390" s="930"/>
      <c r="I1390" s="885"/>
      <c r="J1390" s="885"/>
      <c r="K1390" s="885"/>
      <c r="L1390" s="885"/>
      <c r="M1390" s="885"/>
      <c r="N1390" s="887"/>
      <c r="O1390" s="885"/>
      <c r="P1390" s="885"/>
      <c r="Q1390" s="885"/>
      <c r="R1390" s="885"/>
      <c r="S1390" s="885"/>
      <c r="T1390" s="885"/>
      <c r="U1390" s="885"/>
      <c r="V1390" s="885"/>
      <c r="W1390" s="885"/>
      <c r="X1390" s="885"/>
      <c r="Y1390" s="885"/>
      <c r="Z1390" s="885"/>
    </row>
    <row r="1391" ht="15.75" customHeight="1">
      <c r="A1391" s="3"/>
      <c r="B1391" s="884"/>
      <c r="C1391" s="884"/>
      <c r="D1391" s="884"/>
      <c r="E1391" s="885"/>
      <c r="F1391" s="885"/>
      <c r="G1391" s="885"/>
      <c r="H1391" s="930"/>
      <c r="I1391" s="885"/>
      <c r="J1391" s="885"/>
      <c r="K1391" s="885"/>
      <c r="L1391" s="885"/>
      <c r="M1391" s="885"/>
      <c r="N1391" s="887"/>
      <c r="O1391" s="885"/>
      <c r="P1391" s="885"/>
      <c r="Q1391" s="885"/>
      <c r="R1391" s="885"/>
      <c r="S1391" s="885"/>
      <c r="T1391" s="885"/>
      <c r="U1391" s="885"/>
      <c r="V1391" s="885"/>
      <c r="W1391" s="885"/>
      <c r="X1391" s="885"/>
      <c r="Y1391" s="885"/>
      <c r="Z1391" s="885"/>
    </row>
    <row r="1392" ht="15.75" customHeight="1">
      <c r="A1392" s="3"/>
      <c r="B1392" s="884"/>
      <c r="C1392" s="884"/>
      <c r="D1392" s="884"/>
      <c r="E1392" s="885"/>
      <c r="F1392" s="885"/>
      <c r="G1392" s="885"/>
      <c r="H1392" s="930"/>
      <c r="I1392" s="885"/>
      <c r="J1392" s="885"/>
      <c r="K1392" s="885"/>
      <c r="L1392" s="885"/>
      <c r="M1392" s="885"/>
      <c r="N1392" s="887"/>
      <c r="O1392" s="885"/>
      <c r="P1392" s="885"/>
      <c r="Q1392" s="885"/>
      <c r="R1392" s="885"/>
      <c r="S1392" s="885"/>
      <c r="T1392" s="885"/>
      <c r="U1392" s="885"/>
      <c r="V1392" s="885"/>
      <c r="W1392" s="885"/>
      <c r="X1392" s="885"/>
      <c r="Y1392" s="885"/>
      <c r="Z1392" s="885"/>
    </row>
    <row r="1393" ht="15.75" customHeight="1">
      <c r="A1393" s="3"/>
      <c r="B1393" s="884"/>
      <c r="C1393" s="884"/>
      <c r="D1393" s="884"/>
      <c r="E1393" s="885"/>
      <c r="F1393" s="885"/>
      <c r="G1393" s="885"/>
      <c r="H1393" s="930"/>
      <c r="I1393" s="885"/>
      <c r="J1393" s="885"/>
      <c r="K1393" s="885"/>
      <c r="L1393" s="885"/>
      <c r="M1393" s="885"/>
      <c r="N1393" s="887"/>
      <c r="O1393" s="885"/>
      <c r="P1393" s="885"/>
      <c r="Q1393" s="885"/>
      <c r="R1393" s="885"/>
      <c r="S1393" s="885"/>
      <c r="T1393" s="885"/>
      <c r="U1393" s="885"/>
      <c r="V1393" s="885"/>
      <c r="W1393" s="885"/>
      <c r="X1393" s="885"/>
      <c r="Y1393" s="885"/>
      <c r="Z1393" s="885"/>
    </row>
    <row r="1394" ht="15.75" customHeight="1">
      <c r="A1394" s="3"/>
      <c r="B1394" s="884"/>
      <c r="C1394" s="884"/>
      <c r="D1394" s="884"/>
      <c r="E1394" s="885"/>
      <c r="F1394" s="885"/>
      <c r="G1394" s="885"/>
      <c r="H1394" s="930"/>
      <c r="I1394" s="885"/>
      <c r="J1394" s="885"/>
      <c r="K1394" s="885"/>
      <c r="L1394" s="885"/>
      <c r="M1394" s="885"/>
      <c r="N1394" s="887"/>
      <c r="O1394" s="885"/>
      <c r="P1394" s="885"/>
      <c r="Q1394" s="885"/>
      <c r="R1394" s="885"/>
      <c r="S1394" s="885"/>
      <c r="T1394" s="885"/>
      <c r="U1394" s="885"/>
      <c r="V1394" s="885"/>
      <c r="W1394" s="885"/>
      <c r="X1394" s="885"/>
      <c r="Y1394" s="885"/>
      <c r="Z1394" s="885"/>
    </row>
    <row r="1395" ht="15.75" customHeight="1">
      <c r="A1395" s="3"/>
      <c r="B1395" s="884"/>
      <c r="C1395" s="884"/>
      <c r="D1395" s="884"/>
      <c r="E1395" s="885"/>
      <c r="F1395" s="885"/>
      <c r="G1395" s="885"/>
      <c r="H1395" s="930"/>
      <c r="I1395" s="885"/>
      <c r="J1395" s="885"/>
      <c r="K1395" s="885"/>
      <c r="L1395" s="885"/>
      <c r="M1395" s="885"/>
      <c r="N1395" s="887"/>
      <c r="O1395" s="885"/>
      <c r="P1395" s="885"/>
      <c r="Q1395" s="885"/>
      <c r="R1395" s="885"/>
      <c r="S1395" s="885"/>
      <c r="T1395" s="885"/>
      <c r="U1395" s="885"/>
      <c r="V1395" s="885"/>
      <c r="W1395" s="885"/>
      <c r="X1395" s="885"/>
      <c r="Y1395" s="885"/>
      <c r="Z1395" s="885"/>
    </row>
    <row r="1396" ht="15.75" customHeight="1">
      <c r="A1396" s="3"/>
      <c r="B1396" s="884"/>
      <c r="C1396" s="884"/>
      <c r="D1396" s="884"/>
      <c r="E1396" s="885"/>
      <c r="F1396" s="885"/>
      <c r="G1396" s="885"/>
      <c r="H1396" s="930"/>
      <c r="I1396" s="885"/>
      <c r="J1396" s="885"/>
      <c r="K1396" s="885"/>
      <c r="L1396" s="885"/>
      <c r="M1396" s="885"/>
      <c r="N1396" s="887"/>
      <c r="O1396" s="885"/>
      <c r="P1396" s="885"/>
      <c r="Q1396" s="885"/>
      <c r="R1396" s="885"/>
      <c r="S1396" s="885"/>
      <c r="T1396" s="885"/>
      <c r="U1396" s="885"/>
      <c r="V1396" s="885"/>
      <c r="W1396" s="885"/>
      <c r="X1396" s="885"/>
      <c r="Y1396" s="885"/>
      <c r="Z1396" s="885"/>
    </row>
    <row r="1397" ht="15.75" customHeight="1">
      <c r="A1397" s="3"/>
      <c r="B1397" s="884"/>
      <c r="C1397" s="884"/>
      <c r="D1397" s="884"/>
      <c r="E1397" s="885"/>
      <c r="F1397" s="885"/>
      <c r="G1397" s="885"/>
      <c r="H1397" s="930"/>
      <c r="I1397" s="885"/>
      <c r="J1397" s="885"/>
      <c r="K1397" s="885"/>
      <c r="L1397" s="885"/>
      <c r="M1397" s="885"/>
      <c r="N1397" s="887"/>
      <c r="O1397" s="885"/>
      <c r="P1397" s="885"/>
      <c r="Q1397" s="885"/>
      <c r="R1397" s="885"/>
      <c r="S1397" s="885"/>
      <c r="T1397" s="885"/>
      <c r="U1397" s="885"/>
      <c r="V1397" s="885"/>
      <c r="W1397" s="885"/>
      <c r="X1397" s="885"/>
      <c r="Y1397" s="885"/>
      <c r="Z1397" s="885"/>
    </row>
    <row r="1398" ht="15.75" customHeight="1">
      <c r="A1398" s="3"/>
      <c r="B1398" s="884"/>
      <c r="C1398" s="884"/>
      <c r="D1398" s="884"/>
      <c r="E1398" s="885"/>
      <c r="F1398" s="885"/>
      <c r="G1398" s="885"/>
      <c r="H1398" s="930"/>
      <c r="I1398" s="885"/>
      <c r="J1398" s="885"/>
      <c r="K1398" s="885"/>
      <c r="L1398" s="885"/>
      <c r="M1398" s="885"/>
      <c r="N1398" s="887"/>
      <c r="O1398" s="885"/>
      <c r="P1398" s="885"/>
      <c r="Q1398" s="885"/>
      <c r="R1398" s="885"/>
      <c r="S1398" s="885"/>
      <c r="T1398" s="885"/>
      <c r="U1398" s="885"/>
      <c r="V1398" s="885"/>
      <c r="W1398" s="885"/>
      <c r="X1398" s="885"/>
      <c r="Y1398" s="885"/>
      <c r="Z1398" s="885"/>
    </row>
    <row r="1399" ht="15.75" customHeight="1">
      <c r="A1399" s="3"/>
      <c r="B1399" s="884"/>
      <c r="C1399" s="884"/>
      <c r="D1399" s="884"/>
      <c r="E1399" s="885"/>
      <c r="F1399" s="885"/>
      <c r="G1399" s="885"/>
      <c r="H1399" s="930"/>
      <c r="I1399" s="885"/>
      <c r="J1399" s="885"/>
      <c r="K1399" s="885"/>
      <c r="L1399" s="885"/>
      <c r="M1399" s="885"/>
      <c r="N1399" s="887"/>
      <c r="O1399" s="885"/>
      <c r="P1399" s="885"/>
      <c r="Q1399" s="885"/>
      <c r="R1399" s="885"/>
      <c r="S1399" s="885"/>
      <c r="T1399" s="885"/>
      <c r="U1399" s="885"/>
      <c r="V1399" s="885"/>
      <c r="W1399" s="885"/>
      <c r="X1399" s="885"/>
      <c r="Y1399" s="885"/>
      <c r="Z1399" s="885"/>
    </row>
    <row r="1400" ht="15.75" customHeight="1">
      <c r="A1400" s="3"/>
      <c r="B1400" s="884"/>
      <c r="C1400" s="884"/>
      <c r="D1400" s="884"/>
      <c r="E1400" s="885"/>
      <c r="F1400" s="885"/>
      <c r="G1400" s="885"/>
      <c r="H1400" s="930"/>
      <c r="I1400" s="885"/>
      <c r="J1400" s="885"/>
      <c r="K1400" s="885"/>
      <c r="L1400" s="885"/>
      <c r="M1400" s="885"/>
      <c r="N1400" s="887"/>
      <c r="O1400" s="885"/>
      <c r="P1400" s="885"/>
      <c r="Q1400" s="885"/>
      <c r="R1400" s="885"/>
      <c r="S1400" s="885"/>
      <c r="T1400" s="885"/>
      <c r="U1400" s="885"/>
      <c r="V1400" s="885"/>
      <c r="W1400" s="885"/>
      <c r="X1400" s="885"/>
      <c r="Y1400" s="885"/>
      <c r="Z1400" s="885"/>
    </row>
    <row r="1401" ht="15.75" customHeight="1">
      <c r="A1401" s="3"/>
      <c r="B1401" s="884"/>
      <c r="C1401" s="884"/>
      <c r="D1401" s="884"/>
      <c r="E1401" s="885"/>
      <c r="F1401" s="885"/>
      <c r="G1401" s="885"/>
      <c r="H1401" s="930"/>
      <c r="I1401" s="885"/>
      <c r="J1401" s="885"/>
      <c r="K1401" s="885"/>
      <c r="L1401" s="885"/>
      <c r="M1401" s="885"/>
      <c r="N1401" s="887"/>
      <c r="O1401" s="885"/>
      <c r="P1401" s="885"/>
      <c r="Q1401" s="885"/>
      <c r="R1401" s="885"/>
      <c r="S1401" s="885"/>
      <c r="T1401" s="885"/>
      <c r="U1401" s="885"/>
      <c r="V1401" s="885"/>
      <c r="W1401" s="885"/>
      <c r="X1401" s="885"/>
      <c r="Y1401" s="885"/>
      <c r="Z1401" s="885"/>
    </row>
    <row r="1402" ht="15.75" customHeight="1">
      <c r="A1402" s="3"/>
      <c r="B1402" s="884"/>
      <c r="C1402" s="884"/>
      <c r="D1402" s="884"/>
      <c r="E1402" s="885"/>
      <c r="F1402" s="885"/>
      <c r="G1402" s="885"/>
      <c r="H1402" s="930"/>
      <c r="I1402" s="885"/>
      <c r="J1402" s="885"/>
      <c r="K1402" s="885"/>
      <c r="L1402" s="885"/>
      <c r="M1402" s="885"/>
      <c r="N1402" s="887"/>
      <c r="O1402" s="885"/>
      <c r="P1402" s="885"/>
      <c r="Q1402" s="885"/>
      <c r="R1402" s="885"/>
      <c r="S1402" s="885"/>
      <c r="T1402" s="885"/>
      <c r="U1402" s="885"/>
      <c r="V1402" s="885"/>
      <c r="W1402" s="885"/>
      <c r="X1402" s="885"/>
      <c r="Y1402" s="885"/>
      <c r="Z1402" s="885"/>
    </row>
    <row r="1403" ht="15.75" customHeight="1">
      <c r="A1403" s="3"/>
      <c r="B1403" s="884"/>
      <c r="C1403" s="884"/>
      <c r="D1403" s="884"/>
      <c r="E1403" s="885"/>
      <c r="F1403" s="885"/>
      <c r="G1403" s="885"/>
      <c r="H1403" s="930"/>
      <c r="I1403" s="885"/>
      <c r="J1403" s="885"/>
      <c r="K1403" s="885"/>
      <c r="L1403" s="885"/>
      <c r="M1403" s="885"/>
      <c r="N1403" s="887"/>
      <c r="O1403" s="885"/>
      <c r="P1403" s="885"/>
      <c r="Q1403" s="885"/>
      <c r="R1403" s="885"/>
      <c r="S1403" s="885"/>
      <c r="T1403" s="885"/>
      <c r="U1403" s="885"/>
      <c r="V1403" s="885"/>
      <c r="W1403" s="885"/>
      <c r="X1403" s="885"/>
      <c r="Y1403" s="885"/>
      <c r="Z1403" s="885"/>
    </row>
    <row r="1404" ht="15.75" customHeight="1">
      <c r="A1404" s="3"/>
      <c r="B1404" s="884"/>
      <c r="C1404" s="884"/>
      <c r="D1404" s="884"/>
      <c r="E1404" s="885"/>
      <c r="F1404" s="885"/>
      <c r="G1404" s="885"/>
      <c r="H1404" s="930"/>
      <c r="I1404" s="885"/>
      <c r="J1404" s="885"/>
      <c r="K1404" s="885"/>
      <c r="L1404" s="885"/>
      <c r="M1404" s="885"/>
      <c r="N1404" s="887"/>
      <c r="O1404" s="885"/>
      <c r="P1404" s="885"/>
      <c r="Q1404" s="885"/>
      <c r="R1404" s="885"/>
      <c r="S1404" s="885"/>
      <c r="T1404" s="885"/>
      <c r="U1404" s="885"/>
      <c r="V1404" s="885"/>
      <c r="W1404" s="885"/>
      <c r="X1404" s="885"/>
      <c r="Y1404" s="885"/>
      <c r="Z1404" s="885"/>
    </row>
    <row r="1405" ht="15.75" customHeight="1">
      <c r="A1405" s="3"/>
      <c r="B1405" s="884"/>
      <c r="C1405" s="884"/>
      <c r="D1405" s="884"/>
      <c r="E1405" s="885"/>
      <c r="F1405" s="885"/>
      <c r="G1405" s="885"/>
      <c r="H1405" s="930"/>
      <c r="I1405" s="885"/>
      <c r="J1405" s="885"/>
      <c r="K1405" s="885"/>
      <c r="L1405" s="885"/>
      <c r="M1405" s="885"/>
      <c r="N1405" s="887"/>
      <c r="O1405" s="885"/>
      <c r="P1405" s="885"/>
      <c r="Q1405" s="885"/>
      <c r="R1405" s="885"/>
      <c r="S1405" s="885"/>
      <c r="T1405" s="885"/>
      <c r="U1405" s="885"/>
      <c r="V1405" s="885"/>
      <c r="W1405" s="885"/>
      <c r="X1405" s="885"/>
      <c r="Y1405" s="885"/>
      <c r="Z1405" s="885"/>
    </row>
    <row r="1406" ht="15.75" customHeight="1">
      <c r="A1406" s="3"/>
      <c r="B1406" s="884"/>
      <c r="C1406" s="884"/>
      <c r="D1406" s="884"/>
      <c r="E1406" s="885"/>
      <c r="F1406" s="885"/>
      <c r="G1406" s="885"/>
      <c r="H1406" s="930"/>
      <c r="I1406" s="885"/>
      <c r="J1406" s="885"/>
      <c r="K1406" s="885"/>
      <c r="L1406" s="885"/>
      <c r="M1406" s="885"/>
      <c r="N1406" s="887"/>
      <c r="O1406" s="885"/>
      <c r="P1406" s="885"/>
      <c r="Q1406" s="885"/>
      <c r="R1406" s="885"/>
      <c r="S1406" s="885"/>
      <c r="T1406" s="885"/>
      <c r="U1406" s="885"/>
      <c r="V1406" s="885"/>
      <c r="W1406" s="885"/>
      <c r="X1406" s="885"/>
      <c r="Y1406" s="885"/>
      <c r="Z1406" s="885"/>
    </row>
    <row r="1407" ht="15.75" customHeight="1">
      <c r="A1407" s="3"/>
      <c r="B1407" s="884"/>
      <c r="C1407" s="884"/>
      <c r="D1407" s="884"/>
      <c r="E1407" s="885"/>
      <c r="F1407" s="885"/>
      <c r="G1407" s="885"/>
      <c r="H1407" s="930"/>
      <c r="I1407" s="885"/>
      <c r="J1407" s="885"/>
      <c r="K1407" s="885"/>
      <c r="L1407" s="885"/>
      <c r="M1407" s="885"/>
      <c r="N1407" s="887"/>
      <c r="O1407" s="885"/>
      <c r="P1407" s="885"/>
      <c r="Q1407" s="885"/>
      <c r="R1407" s="885"/>
      <c r="S1407" s="885"/>
      <c r="T1407" s="885"/>
      <c r="U1407" s="885"/>
      <c r="V1407" s="885"/>
      <c r="W1407" s="885"/>
      <c r="X1407" s="885"/>
      <c r="Y1407" s="885"/>
      <c r="Z1407" s="885"/>
    </row>
    <row r="1408" ht="15.75" customHeight="1">
      <c r="A1408" s="3"/>
      <c r="B1408" s="884"/>
      <c r="C1408" s="884"/>
      <c r="D1408" s="884"/>
      <c r="E1408" s="885"/>
      <c r="F1408" s="885"/>
      <c r="G1408" s="885"/>
      <c r="H1408" s="930"/>
      <c r="I1408" s="885"/>
      <c r="J1408" s="885"/>
      <c r="K1408" s="885"/>
      <c r="L1408" s="885"/>
      <c r="M1408" s="885"/>
      <c r="N1408" s="887"/>
      <c r="O1408" s="885"/>
      <c r="P1408" s="885"/>
      <c r="Q1408" s="885"/>
      <c r="R1408" s="885"/>
      <c r="S1408" s="885"/>
      <c r="T1408" s="885"/>
      <c r="U1408" s="885"/>
      <c r="V1408" s="885"/>
      <c r="W1408" s="885"/>
      <c r="X1408" s="885"/>
      <c r="Y1408" s="885"/>
      <c r="Z1408" s="885"/>
    </row>
    <row r="1409" ht="15.75" customHeight="1">
      <c r="A1409" s="3"/>
      <c r="B1409" s="884"/>
      <c r="C1409" s="884"/>
      <c r="D1409" s="884"/>
      <c r="E1409" s="885"/>
      <c r="F1409" s="885"/>
      <c r="G1409" s="885"/>
      <c r="H1409" s="930"/>
      <c r="I1409" s="885"/>
      <c r="J1409" s="885"/>
      <c r="K1409" s="885"/>
      <c r="L1409" s="885"/>
      <c r="M1409" s="885"/>
      <c r="N1409" s="887"/>
      <c r="O1409" s="885"/>
      <c r="P1409" s="885"/>
      <c r="Q1409" s="885"/>
      <c r="R1409" s="885"/>
      <c r="S1409" s="885"/>
      <c r="T1409" s="885"/>
      <c r="U1409" s="885"/>
      <c r="V1409" s="885"/>
      <c r="W1409" s="885"/>
      <c r="X1409" s="885"/>
      <c r="Y1409" s="885"/>
      <c r="Z1409" s="885"/>
    </row>
    <row r="1410" ht="15.75" customHeight="1">
      <c r="A1410" s="3"/>
      <c r="B1410" s="884"/>
      <c r="C1410" s="884"/>
      <c r="D1410" s="884"/>
      <c r="E1410" s="885"/>
      <c r="F1410" s="885"/>
      <c r="G1410" s="885"/>
      <c r="H1410" s="930"/>
      <c r="I1410" s="885"/>
      <c r="J1410" s="885"/>
      <c r="K1410" s="885"/>
      <c r="L1410" s="885"/>
      <c r="M1410" s="885"/>
      <c r="N1410" s="887"/>
      <c r="O1410" s="885"/>
      <c r="P1410" s="885"/>
      <c r="Q1410" s="885"/>
      <c r="R1410" s="885"/>
      <c r="S1410" s="885"/>
      <c r="T1410" s="885"/>
      <c r="U1410" s="885"/>
      <c r="V1410" s="885"/>
      <c r="W1410" s="885"/>
      <c r="X1410" s="885"/>
      <c r="Y1410" s="885"/>
      <c r="Z1410" s="885"/>
    </row>
    <row r="1411" ht="15.75" customHeight="1">
      <c r="A1411" s="3"/>
      <c r="B1411" s="884"/>
      <c r="C1411" s="884"/>
      <c r="D1411" s="884"/>
      <c r="E1411" s="885"/>
      <c r="F1411" s="885"/>
      <c r="G1411" s="885"/>
      <c r="H1411" s="930"/>
      <c r="I1411" s="885"/>
      <c r="J1411" s="885"/>
      <c r="K1411" s="885"/>
      <c r="L1411" s="885"/>
      <c r="M1411" s="885"/>
      <c r="N1411" s="887"/>
      <c r="O1411" s="885"/>
      <c r="P1411" s="885"/>
      <c r="Q1411" s="885"/>
      <c r="R1411" s="885"/>
      <c r="S1411" s="885"/>
      <c r="T1411" s="885"/>
      <c r="U1411" s="885"/>
      <c r="V1411" s="885"/>
      <c r="W1411" s="885"/>
      <c r="X1411" s="885"/>
      <c r="Y1411" s="885"/>
      <c r="Z1411" s="885"/>
    </row>
    <row r="1412" ht="15.75" customHeight="1">
      <c r="A1412" s="3"/>
      <c r="B1412" s="884"/>
      <c r="C1412" s="884"/>
      <c r="D1412" s="884"/>
      <c r="E1412" s="885"/>
      <c r="F1412" s="885"/>
      <c r="G1412" s="885"/>
      <c r="H1412" s="930"/>
      <c r="I1412" s="885"/>
      <c r="J1412" s="885"/>
      <c r="K1412" s="885"/>
      <c r="L1412" s="885"/>
      <c r="M1412" s="885"/>
      <c r="N1412" s="887"/>
      <c r="O1412" s="885"/>
      <c r="P1412" s="885"/>
      <c r="Q1412" s="885"/>
      <c r="R1412" s="885"/>
      <c r="S1412" s="885"/>
      <c r="T1412" s="885"/>
      <c r="U1412" s="885"/>
      <c r="V1412" s="885"/>
      <c r="W1412" s="885"/>
      <c r="X1412" s="885"/>
      <c r="Y1412" s="885"/>
      <c r="Z1412" s="885"/>
    </row>
    <row r="1413" ht="15.75" customHeight="1">
      <c r="A1413" s="3"/>
      <c r="B1413" s="884"/>
      <c r="C1413" s="884"/>
      <c r="D1413" s="884"/>
      <c r="E1413" s="885"/>
      <c r="F1413" s="885"/>
      <c r="G1413" s="885"/>
      <c r="H1413" s="930"/>
      <c r="I1413" s="885"/>
      <c r="J1413" s="885"/>
      <c r="K1413" s="885"/>
      <c r="L1413" s="885"/>
      <c r="M1413" s="885"/>
      <c r="N1413" s="887"/>
      <c r="O1413" s="885"/>
      <c r="P1413" s="885"/>
      <c r="Q1413" s="885"/>
      <c r="R1413" s="885"/>
      <c r="S1413" s="885"/>
      <c r="T1413" s="885"/>
      <c r="U1413" s="885"/>
      <c r="V1413" s="885"/>
      <c r="W1413" s="885"/>
      <c r="X1413" s="885"/>
      <c r="Y1413" s="885"/>
      <c r="Z1413" s="885"/>
    </row>
    <row r="1414" ht="15.75" customHeight="1">
      <c r="A1414" s="3"/>
      <c r="B1414" s="884"/>
      <c r="C1414" s="884"/>
      <c r="D1414" s="884"/>
      <c r="E1414" s="885"/>
      <c r="F1414" s="885"/>
      <c r="G1414" s="885"/>
      <c r="H1414" s="930"/>
      <c r="I1414" s="885"/>
      <c r="J1414" s="885"/>
      <c r="K1414" s="885"/>
      <c r="L1414" s="885"/>
      <c r="M1414" s="885"/>
      <c r="N1414" s="887"/>
      <c r="O1414" s="885"/>
      <c r="P1414" s="885"/>
      <c r="Q1414" s="885"/>
      <c r="R1414" s="885"/>
      <c r="S1414" s="885"/>
      <c r="T1414" s="885"/>
      <c r="U1414" s="885"/>
      <c r="V1414" s="885"/>
      <c r="W1414" s="885"/>
      <c r="X1414" s="885"/>
      <c r="Y1414" s="885"/>
      <c r="Z1414" s="885"/>
    </row>
    <row r="1415" ht="15.75" customHeight="1">
      <c r="A1415" s="3"/>
      <c r="B1415" s="884"/>
      <c r="C1415" s="884"/>
      <c r="D1415" s="884"/>
      <c r="E1415" s="885"/>
      <c r="F1415" s="885"/>
      <c r="G1415" s="885"/>
      <c r="H1415" s="930"/>
      <c r="I1415" s="885"/>
      <c r="J1415" s="885"/>
      <c r="K1415" s="885"/>
      <c r="L1415" s="885"/>
      <c r="M1415" s="885"/>
      <c r="N1415" s="887"/>
      <c r="O1415" s="885"/>
      <c r="P1415" s="885"/>
      <c r="Q1415" s="885"/>
      <c r="R1415" s="885"/>
      <c r="S1415" s="885"/>
      <c r="T1415" s="885"/>
      <c r="U1415" s="885"/>
      <c r="V1415" s="885"/>
      <c r="W1415" s="885"/>
      <c r="X1415" s="885"/>
      <c r="Y1415" s="885"/>
      <c r="Z1415" s="885"/>
    </row>
    <row r="1416" ht="15.75" customHeight="1">
      <c r="A1416" s="3"/>
      <c r="B1416" s="884"/>
      <c r="C1416" s="884"/>
      <c r="D1416" s="884"/>
      <c r="E1416" s="885"/>
      <c r="F1416" s="885"/>
      <c r="G1416" s="885"/>
      <c r="H1416" s="930"/>
      <c r="I1416" s="885"/>
      <c r="J1416" s="885"/>
      <c r="K1416" s="885"/>
      <c r="L1416" s="885"/>
      <c r="M1416" s="885"/>
      <c r="N1416" s="887"/>
      <c r="O1416" s="885"/>
      <c r="P1416" s="885"/>
      <c r="Q1416" s="885"/>
      <c r="R1416" s="885"/>
      <c r="S1416" s="885"/>
      <c r="T1416" s="885"/>
      <c r="U1416" s="885"/>
      <c r="V1416" s="885"/>
      <c r="W1416" s="885"/>
      <c r="X1416" s="885"/>
      <c r="Y1416" s="885"/>
      <c r="Z1416" s="885"/>
    </row>
    <row r="1417" ht="15.75" customHeight="1">
      <c r="A1417" s="3"/>
      <c r="B1417" s="884"/>
      <c r="C1417" s="884"/>
      <c r="D1417" s="884"/>
      <c r="E1417" s="885"/>
      <c r="F1417" s="885"/>
      <c r="G1417" s="885"/>
      <c r="H1417" s="930"/>
      <c r="I1417" s="885"/>
      <c r="J1417" s="885"/>
      <c r="K1417" s="885"/>
      <c r="L1417" s="885"/>
      <c r="M1417" s="885"/>
      <c r="N1417" s="887"/>
      <c r="O1417" s="885"/>
      <c r="P1417" s="885"/>
      <c r="Q1417" s="885"/>
      <c r="R1417" s="885"/>
      <c r="S1417" s="885"/>
      <c r="T1417" s="885"/>
      <c r="U1417" s="885"/>
      <c r="V1417" s="885"/>
      <c r="W1417" s="885"/>
      <c r="X1417" s="885"/>
      <c r="Y1417" s="885"/>
      <c r="Z1417" s="885"/>
    </row>
    <row r="1418" ht="15.75" customHeight="1">
      <c r="A1418" s="3"/>
      <c r="B1418" s="884"/>
      <c r="C1418" s="884"/>
      <c r="D1418" s="884"/>
      <c r="E1418" s="885"/>
      <c r="F1418" s="885"/>
      <c r="G1418" s="885"/>
      <c r="H1418" s="930"/>
      <c r="I1418" s="885"/>
      <c r="J1418" s="885"/>
      <c r="K1418" s="885"/>
      <c r="L1418" s="885"/>
      <c r="M1418" s="885"/>
      <c r="N1418" s="887"/>
      <c r="O1418" s="885"/>
      <c r="P1418" s="885"/>
      <c r="Q1418" s="885"/>
      <c r="R1418" s="885"/>
      <c r="S1418" s="885"/>
      <c r="T1418" s="885"/>
      <c r="U1418" s="885"/>
      <c r="V1418" s="885"/>
      <c r="W1418" s="885"/>
      <c r="X1418" s="885"/>
      <c r="Y1418" s="885"/>
      <c r="Z1418" s="885"/>
    </row>
    <row r="1419" ht="15.75" customHeight="1">
      <c r="A1419" s="3"/>
      <c r="B1419" s="884"/>
      <c r="C1419" s="884"/>
      <c r="D1419" s="884"/>
      <c r="E1419" s="885"/>
      <c r="F1419" s="885"/>
      <c r="G1419" s="885"/>
      <c r="H1419" s="930"/>
      <c r="I1419" s="885"/>
      <c r="J1419" s="885"/>
      <c r="K1419" s="885"/>
      <c r="L1419" s="885"/>
      <c r="M1419" s="885"/>
      <c r="N1419" s="887"/>
      <c r="O1419" s="885"/>
      <c r="P1419" s="885"/>
      <c r="Q1419" s="885"/>
      <c r="R1419" s="885"/>
      <c r="S1419" s="885"/>
      <c r="T1419" s="885"/>
      <c r="U1419" s="885"/>
      <c r="V1419" s="885"/>
      <c r="W1419" s="885"/>
      <c r="X1419" s="885"/>
      <c r="Y1419" s="885"/>
      <c r="Z1419" s="885"/>
    </row>
    <row r="1420" ht="15.75" customHeight="1">
      <c r="A1420" s="3"/>
      <c r="B1420" s="884"/>
      <c r="C1420" s="884"/>
      <c r="D1420" s="884"/>
      <c r="E1420" s="885"/>
      <c r="F1420" s="885"/>
      <c r="G1420" s="885"/>
      <c r="H1420" s="930"/>
      <c r="I1420" s="885"/>
      <c r="J1420" s="885"/>
      <c r="K1420" s="885"/>
      <c r="L1420" s="885"/>
      <c r="M1420" s="885"/>
      <c r="N1420" s="887"/>
      <c r="O1420" s="885"/>
      <c r="P1420" s="885"/>
      <c r="Q1420" s="885"/>
      <c r="R1420" s="885"/>
      <c r="S1420" s="885"/>
      <c r="T1420" s="885"/>
      <c r="U1420" s="885"/>
      <c r="V1420" s="885"/>
      <c r="W1420" s="885"/>
      <c r="X1420" s="885"/>
      <c r="Y1420" s="885"/>
      <c r="Z1420" s="885"/>
    </row>
    <row r="1421" ht="15.75" customHeight="1">
      <c r="A1421" s="3"/>
      <c r="B1421" s="884"/>
      <c r="C1421" s="884"/>
      <c r="D1421" s="884"/>
      <c r="E1421" s="885"/>
      <c r="F1421" s="885"/>
      <c r="G1421" s="885"/>
      <c r="H1421" s="930"/>
      <c r="I1421" s="885"/>
      <c r="J1421" s="885"/>
      <c r="K1421" s="885"/>
      <c r="L1421" s="885"/>
      <c r="M1421" s="885"/>
      <c r="N1421" s="887"/>
      <c r="O1421" s="885"/>
      <c r="P1421" s="885"/>
      <c r="Q1421" s="885"/>
      <c r="R1421" s="885"/>
      <c r="S1421" s="885"/>
      <c r="T1421" s="885"/>
      <c r="U1421" s="885"/>
      <c r="V1421" s="885"/>
      <c r="W1421" s="885"/>
      <c r="X1421" s="885"/>
      <c r="Y1421" s="885"/>
      <c r="Z1421" s="885"/>
    </row>
    <row r="1422" ht="15.75" customHeight="1">
      <c r="A1422" s="3"/>
      <c r="B1422" s="884"/>
      <c r="C1422" s="884"/>
      <c r="D1422" s="884"/>
      <c r="E1422" s="885"/>
      <c r="F1422" s="885"/>
      <c r="G1422" s="885"/>
      <c r="H1422" s="930"/>
      <c r="I1422" s="885"/>
      <c r="J1422" s="885"/>
      <c r="K1422" s="885"/>
      <c r="L1422" s="885"/>
      <c r="M1422" s="885"/>
      <c r="N1422" s="887"/>
      <c r="O1422" s="885"/>
      <c r="P1422" s="885"/>
      <c r="Q1422" s="885"/>
      <c r="R1422" s="885"/>
      <c r="S1422" s="885"/>
      <c r="T1422" s="885"/>
      <c r="U1422" s="885"/>
      <c r="V1422" s="885"/>
      <c r="W1422" s="885"/>
      <c r="X1422" s="885"/>
      <c r="Y1422" s="885"/>
      <c r="Z1422" s="885"/>
    </row>
    <row r="1423" ht="15.75" customHeight="1">
      <c r="A1423" s="3"/>
      <c r="B1423" s="884"/>
      <c r="C1423" s="884"/>
      <c r="D1423" s="884"/>
      <c r="E1423" s="885"/>
      <c r="F1423" s="885"/>
      <c r="G1423" s="885"/>
      <c r="H1423" s="930"/>
      <c r="I1423" s="885"/>
      <c r="J1423" s="885"/>
      <c r="K1423" s="885"/>
      <c r="L1423" s="885"/>
      <c r="M1423" s="885"/>
      <c r="N1423" s="887"/>
      <c r="O1423" s="885"/>
      <c r="P1423" s="885"/>
      <c r="Q1423" s="885"/>
      <c r="R1423" s="885"/>
      <c r="S1423" s="885"/>
      <c r="T1423" s="885"/>
      <c r="U1423" s="885"/>
      <c r="V1423" s="885"/>
      <c r="W1423" s="885"/>
      <c r="X1423" s="885"/>
      <c r="Y1423" s="885"/>
      <c r="Z1423" s="885"/>
    </row>
    <row r="1424" ht="15.75" customHeight="1">
      <c r="A1424" s="3"/>
      <c r="B1424" s="884"/>
      <c r="C1424" s="884"/>
      <c r="D1424" s="884"/>
      <c r="E1424" s="885"/>
      <c r="F1424" s="885"/>
      <c r="G1424" s="885"/>
      <c r="H1424" s="930"/>
      <c r="I1424" s="885"/>
      <c r="J1424" s="885"/>
      <c r="K1424" s="885"/>
      <c r="L1424" s="885"/>
      <c r="M1424" s="885"/>
      <c r="N1424" s="887"/>
      <c r="O1424" s="885"/>
      <c r="P1424" s="885"/>
      <c r="Q1424" s="885"/>
      <c r="R1424" s="885"/>
      <c r="S1424" s="885"/>
      <c r="T1424" s="885"/>
      <c r="U1424" s="885"/>
      <c r="V1424" s="885"/>
      <c r="W1424" s="885"/>
      <c r="X1424" s="885"/>
      <c r="Y1424" s="885"/>
      <c r="Z1424" s="885"/>
    </row>
    <row r="1425" ht="15.75" customHeight="1">
      <c r="A1425" s="3"/>
      <c r="B1425" s="884"/>
      <c r="C1425" s="884"/>
      <c r="D1425" s="884"/>
      <c r="E1425" s="885"/>
      <c r="F1425" s="885"/>
      <c r="G1425" s="885"/>
      <c r="H1425" s="930"/>
      <c r="I1425" s="885"/>
      <c r="J1425" s="885"/>
      <c r="K1425" s="885"/>
      <c r="L1425" s="885"/>
      <c r="M1425" s="885"/>
      <c r="N1425" s="887"/>
      <c r="O1425" s="885"/>
      <c r="P1425" s="885"/>
      <c r="Q1425" s="885"/>
      <c r="R1425" s="885"/>
      <c r="S1425" s="885"/>
      <c r="T1425" s="885"/>
      <c r="U1425" s="885"/>
      <c r="V1425" s="885"/>
      <c r="W1425" s="885"/>
      <c r="X1425" s="885"/>
      <c r="Y1425" s="885"/>
      <c r="Z1425" s="885"/>
    </row>
    <row r="1426" ht="15.75" customHeight="1">
      <c r="A1426" s="884"/>
      <c r="B1426" s="884"/>
      <c r="C1426" s="884"/>
      <c r="D1426" s="884"/>
      <c r="E1426" s="885"/>
      <c r="F1426" s="885"/>
      <c r="G1426" s="885"/>
      <c r="H1426" s="930"/>
      <c r="I1426" s="885"/>
      <c r="J1426" s="885"/>
      <c r="K1426" s="885"/>
      <c r="L1426" s="885"/>
      <c r="M1426" s="885"/>
      <c r="N1426" s="887"/>
      <c r="O1426" s="885"/>
      <c r="P1426" s="885"/>
      <c r="Q1426" s="885"/>
      <c r="R1426" s="885"/>
      <c r="S1426" s="885"/>
      <c r="T1426" s="885"/>
      <c r="U1426" s="885"/>
      <c r="V1426" s="885"/>
      <c r="W1426" s="885"/>
      <c r="X1426" s="885"/>
      <c r="Y1426" s="885"/>
      <c r="Z1426" s="885"/>
    </row>
    <row r="1427" ht="15.75" customHeight="1">
      <c r="A1427" s="884"/>
      <c r="B1427" s="884"/>
      <c r="C1427" s="884"/>
      <c r="D1427" s="884"/>
      <c r="E1427" s="885"/>
      <c r="F1427" s="885"/>
      <c r="G1427" s="885"/>
      <c r="H1427" s="930"/>
      <c r="I1427" s="885"/>
      <c r="J1427" s="885"/>
      <c r="K1427" s="885"/>
      <c r="L1427" s="885"/>
      <c r="M1427" s="885"/>
      <c r="N1427" s="887"/>
      <c r="O1427" s="885"/>
      <c r="P1427" s="885"/>
      <c r="Q1427" s="885"/>
      <c r="R1427" s="885"/>
      <c r="S1427" s="885"/>
      <c r="T1427" s="885"/>
      <c r="U1427" s="885"/>
      <c r="V1427" s="885"/>
      <c r="W1427" s="885"/>
      <c r="X1427" s="885"/>
      <c r="Y1427" s="885"/>
      <c r="Z1427" s="885"/>
    </row>
    <row r="1428" ht="15.75" customHeight="1">
      <c r="A1428" s="884"/>
      <c r="B1428" s="884"/>
      <c r="C1428" s="884"/>
      <c r="D1428" s="884"/>
      <c r="E1428" s="885"/>
      <c r="F1428" s="885"/>
      <c r="G1428" s="885"/>
      <c r="H1428" s="930"/>
      <c r="I1428" s="885"/>
      <c r="J1428" s="885"/>
      <c r="K1428" s="885"/>
      <c r="L1428" s="885"/>
      <c r="M1428" s="885"/>
      <c r="N1428" s="887"/>
      <c r="O1428" s="885"/>
      <c r="P1428" s="885"/>
      <c r="Q1428" s="885"/>
      <c r="R1428" s="885"/>
      <c r="S1428" s="885"/>
      <c r="T1428" s="885"/>
      <c r="U1428" s="885"/>
      <c r="V1428" s="885"/>
      <c r="W1428" s="885"/>
      <c r="X1428" s="885"/>
      <c r="Y1428" s="885"/>
      <c r="Z1428" s="885"/>
    </row>
    <row r="1429" ht="15.75" customHeight="1">
      <c r="A1429" s="884"/>
      <c r="B1429" s="884"/>
      <c r="C1429" s="884"/>
      <c r="D1429" s="884"/>
      <c r="E1429" s="885"/>
      <c r="F1429" s="885"/>
      <c r="G1429" s="885"/>
      <c r="H1429" s="930"/>
      <c r="I1429" s="885"/>
      <c r="J1429" s="885"/>
      <c r="K1429" s="885"/>
      <c r="L1429" s="885"/>
      <c r="M1429" s="885"/>
      <c r="N1429" s="887"/>
      <c r="O1429" s="885"/>
      <c r="P1429" s="885"/>
      <c r="Q1429" s="885"/>
      <c r="R1429" s="885"/>
      <c r="S1429" s="885"/>
      <c r="T1429" s="885"/>
      <c r="U1429" s="885"/>
      <c r="V1429" s="885"/>
      <c r="W1429" s="885"/>
      <c r="X1429" s="885"/>
      <c r="Y1429" s="885"/>
      <c r="Z1429" s="885"/>
    </row>
    <row r="1430" ht="15.75" customHeight="1">
      <c r="A1430" s="884"/>
      <c r="B1430" s="884"/>
      <c r="C1430" s="884"/>
      <c r="D1430" s="884"/>
      <c r="E1430" s="885"/>
      <c r="F1430" s="885"/>
      <c r="G1430" s="885"/>
      <c r="H1430" s="930"/>
      <c r="I1430" s="885"/>
      <c r="J1430" s="885"/>
      <c r="K1430" s="885"/>
      <c r="L1430" s="885"/>
      <c r="M1430" s="885"/>
      <c r="N1430" s="887"/>
      <c r="O1430" s="885"/>
      <c r="P1430" s="885"/>
      <c r="Q1430" s="885"/>
      <c r="R1430" s="885"/>
      <c r="S1430" s="885"/>
      <c r="T1430" s="885"/>
      <c r="U1430" s="885"/>
      <c r="V1430" s="885"/>
      <c r="W1430" s="885"/>
      <c r="X1430" s="885"/>
      <c r="Y1430" s="885"/>
      <c r="Z1430" s="885"/>
    </row>
    <row r="1431" ht="15.75" customHeight="1">
      <c r="A1431" s="884"/>
      <c r="B1431" s="884"/>
      <c r="C1431" s="884"/>
      <c r="D1431" s="884"/>
      <c r="E1431" s="885"/>
      <c r="F1431" s="885"/>
      <c r="G1431" s="885"/>
      <c r="H1431" s="930"/>
      <c r="I1431" s="885"/>
      <c r="J1431" s="885"/>
      <c r="K1431" s="885"/>
      <c r="L1431" s="885"/>
      <c r="M1431" s="885"/>
      <c r="N1431" s="887"/>
      <c r="O1431" s="885"/>
      <c r="P1431" s="885"/>
      <c r="Q1431" s="885"/>
      <c r="R1431" s="885"/>
      <c r="S1431" s="885"/>
      <c r="T1431" s="885"/>
      <c r="U1431" s="885"/>
      <c r="V1431" s="885"/>
      <c r="W1431" s="885"/>
      <c r="X1431" s="885"/>
      <c r="Y1431" s="885"/>
      <c r="Z1431" s="885"/>
    </row>
    <row r="1432" ht="15.75" customHeight="1">
      <c r="A1432" s="884"/>
      <c r="B1432" s="884"/>
      <c r="C1432" s="884"/>
      <c r="D1432" s="884"/>
      <c r="E1432" s="885"/>
      <c r="F1432" s="885"/>
      <c r="G1432" s="885"/>
      <c r="H1432" s="930"/>
      <c r="I1432" s="885"/>
      <c r="J1432" s="885"/>
      <c r="K1432" s="885"/>
      <c r="L1432" s="885"/>
      <c r="M1432" s="885"/>
      <c r="N1432" s="887"/>
      <c r="O1432" s="885"/>
      <c r="P1432" s="885"/>
      <c r="Q1432" s="885"/>
      <c r="R1432" s="885"/>
      <c r="S1432" s="885"/>
      <c r="T1432" s="885"/>
      <c r="U1432" s="885"/>
      <c r="V1432" s="885"/>
      <c r="W1432" s="885"/>
      <c r="X1432" s="885"/>
      <c r="Y1432" s="885"/>
      <c r="Z1432" s="885"/>
    </row>
    <row r="1433" ht="15.75" customHeight="1">
      <c r="A1433" s="884"/>
      <c r="B1433" s="884"/>
      <c r="C1433" s="884"/>
      <c r="D1433" s="884"/>
      <c r="E1433" s="885"/>
      <c r="F1433" s="885"/>
      <c r="G1433" s="885"/>
      <c r="H1433" s="930"/>
      <c r="I1433" s="885"/>
      <c r="J1433" s="885"/>
      <c r="K1433" s="885"/>
      <c r="L1433" s="885"/>
      <c r="M1433" s="885"/>
      <c r="N1433" s="887"/>
      <c r="O1433" s="885"/>
      <c r="P1433" s="885"/>
      <c r="Q1433" s="885"/>
      <c r="R1433" s="885"/>
      <c r="S1433" s="885"/>
      <c r="T1433" s="885"/>
      <c r="U1433" s="885"/>
      <c r="V1433" s="885"/>
      <c r="W1433" s="885"/>
      <c r="X1433" s="885"/>
      <c r="Y1433" s="885"/>
      <c r="Z1433" s="885"/>
    </row>
    <row r="1434" ht="15.75" customHeight="1">
      <c r="A1434" s="884"/>
      <c r="B1434" s="884"/>
      <c r="C1434" s="884"/>
      <c r="D1434" s="884"/>
      <c r="E1434" s="885"/>
      <c r="F1434" s="885"/>
      <c r="G1434" s="885"/>
      <c r="H1434" s="930"/>
      <c r="I1434" s="885"/>
      <c r="J1434" s="885"/>
      <c r="K1434" s="885"/>
      <c r="L1434" s="885"/>
      <c r="M1434" s="885"/>
      <c r="N1434" s="887"/>
      <c r="O1434" s="885"/>
      <c r="P1434" s="885"/>
      <c r="Q1434" s="885"/>
      <c r="R1434" s="885"/>
      <c r="S1434" s="885"/>
      <c r="T1434" s="885"/>
      <c r="U1434" s="885"/>
      <c r="V1434" s="885"/>
      <c r="W1434" s="885"/>
      <c r="X1434" s="885"/>
      <c r="Y1434" s="885"/>
      <c r="Z1434" s="885"/>
    </row>
    <row r="1435" ht="15.75" customHeight="1">
      <c r="A1435" s="884"/>
      <c r="B1435" s="884"/>
      <c r="C1435" s="884"/>
      <c r="D1435" s="884"/>
      <c r="E1435" s="885"/>
      <c r="F1435" s="885"/>
      <c r="G1435" s="885"/>
      <c r="H1435" s="930"/>
      <c r="I1435" s="885"/>
      <c r="J1435" s="885"/>
      <c r="K1435" s="885"/>
      <c r="L1435" s="885"/>
      <c r="M1435" s="885"/>
      <c r="N1435" s="887"/>
      <c r="O1435" s="885"/>
      <c r="P1435" s="885"/>
      <c r="Q1435" s="885"/>
      <c r="R1435" s="885"/>
      <c r="S1435" s="885"/>
      <c r="T1435" s="885"/>
      <c r="U1435" s="885"/>
      <c r="V1435" s="885"/>
      <c r="W1435" s="885"/>
      <c r="X1435" s="885"/>
      <c r="Y1435" s="885"/>
      <c r="Z1435" s="885"/>
    </row>
    <row r="1436" ht="15.75" customHeight="1">
      <c r="A1436" s="884"/>
      <c r="B1436" s="884"/>
      <c r="C1436" s="884"/>
      <c r="D1436" s="884"/>
      <c r="E1436" s="885"/>
      <c r="F1436" s="885"/>
      <c r="G1436" s="885"/>
      <c r="H1436" s="930"/>
      <c r="I1436" s="885"/>
      <c r="J1436" s="885"/>
      <c r="K1436" s="885"/>
      <c r="L1436" s="885"/>
      <c r="M1436" s="885"/>
      <c r="N1436" s="887"/>
      <c r="O1436" s="885"/>
      <c r="P1436" s="885"/>
      <c r="Q1436" s="885"/>
      <c r="R1436" s="885"/>
      <c r="S1436" s="885"/>
      <c r="T1436" s="885"/>
      <c r="U1436" s="885"/>
      <c r="V1436" s="885"/>
      <c r="W1436" s="885"/>
      <c r="X1436" s="885"/>
      <c r="Y1436" s="885"/>
      <c r="Z1436" s="885"/>
    </row>
    <row r="1437" ht="15.75" customHeight="1">
      <c r="A1437" s="884"/>
      <c r="B1437" s="884"/>
      <c r="C1437" s="884"/>
      <c r="D1437" s="884"/>
      <c r="E1437" s="885"/>
      <c r="F1437" s="885"/>
      <c r="G1437" s="885"/>
      <c r="H1437" s="930"/>
      <c r="I1437" s="885"/>
      <c r="J1437" s="885"/>
      <c r="K1437" s="885"/>
      <c r="L1437" s="885"/>
      <c r="M1437" s="885"/>
      <c r="N1437" s="887"/>
      <c r="O1437" s="885"/>
      <c r="P1437" s="885"/>
      <c r="Q1437" s="885"/>
      <c r="R1437" s="885"/>
      <c r="S1437" s="885"/>
      <c r="T1437" s="885"/>
      <c r="U1437" s="885"/>
      <c r="V1437" s="885"/>
      <c r="W1437" s="885"/>
      <c r="X1437" s="885"/>
      <c r="Y1437" s="885"/>
      <c r="Z1437" s="885"/>
    </row>
    <row r="1438" ht="15.75" customHeight="1">
      <c r="A1438" s="884"/>
      <c r="B1438" s="884"/>
      <c r="C1438" s="884"/>
      <c r="D1438" s="884"/>
      <c r="E1438" s="885"/>
      <c r="F1438" s="885"/>
      <c r="G1438" s="885"/>
      <c r="H1438" s="930"/>
      <c r="I1438" s="885"/>
      <c r="J1438" s="885"/>
      <c r="K1438" s="885"/>
      <c r="L1438" s="885"/>
      <c r="M1438" s="885"/>
      <c r="N1438" s="887"/>
      <c r="O1438" s="885"/>
      <c r="P1438" s="885"/>
      <c r="Q1438" s="885"/>
      <c r="R1438" s="885"/>
      <c r="S1438" s="885"/>
      <c r="T1438" s="885"/>
      <c r="U1438" s="885"/>
      <c r="V1438" s="885"/>
      <c r="W1438" s="885"/>
      <c r="X1438" s="885"/>
      <c r="Y1438" s="885"/>
      <c r="Z1438" s="885"/>
    </row>
    <row r="1439" ht="15.75" customHeight="1">
      <c r="A1439" s="884"/>
      <c r="B1439" s="884"/>
      <c r="C1439" s="884"/>
      <c r="D1439" s="884"/>
      <c r="E1439" s="885"/>
      <c r="F1439" s="885"/>
      <c r="G1439" s="885"/>
      <c r="H1439" s="930"/>
      <c r="I1439" s="885"/>
      <c r="J1439" s="885"/>
      <c r="K1439" s="885"/>
      <c r="L1439" s="885"/>
      <c r="M1439" s="885"/>
      <c r="N1439" s="887"/>
      <c r="O1439" s="885"/>
      <c r="P1439" s="885"/>
      <c r="Q1439" s="885"/>
      <c r="R1439" s="885"/>
      <c r="S1439" s="885"/>
      <c r="T1439" s="885"/>
      <c r="U1439" s="885"/>
      <c r="V1439" s="885"/>
      <c r="W1439" s="885"/>
      <c r="X1439" s="885"/>
      <c r="Y1439" s="885"/>
      <c r="Z1439" s="885"/>
    </row>
    <row r="1440" ht="15.75" customHeight="1">
      <c r="A1440" s="884"/>
      <c r="B1440" s="884"/>
      <c r="C1440" s="884"/>
      <c r="D1440" s="884"/>
      <c r="E1440" s="885"/>
      <c r="F1440" s="885"/>
      <c r="G1440" s="885"/>
      <c r="H1440" s="930"/>
      <c r="I1440" s="885"/>
      <c r="J1440" s="885"/>
      <c r="K1440" s="885"/>
      <c r="L1440" s="885"/>
      <c r="M1440" s="885"/>
      <c r="N1440" s="887"/>
      <c r="O1440" s="885"/>
      <c r="P1440" s="885"/>
      <c r="Q1440" s="885"/>
      <c r="R1440" s="885"/>
      <c r="S1440" s="885"/>
      <c r="T1440" s="885"/>
      <c r="U1440" s="885"/>
      <c r="V1440" s="885"/>
      <c r="W1440" s="885"/>
      <c r="X1440" s="885"/>
      <c r="Y1440" s="885"/>
      <c r="Z1440" s="885"/>
    </row>
    <row r="1441" ht="15.75" customHeight="1">
      <c r="A1441" s="884"/>
      <c r="B1441" s="884"/>
      <c r="C1441" s="884"/>
      <c r="D1441" s="884"/>
      <c r="E1441" s="885"/>
      <c r="F1441" s="885"/>
      <c r="G1441" s="885"/>
      <c r="H1441" s="930"/>
      <c r="I1441" s="885"/>
      <c r="J1441" s="885"/>
      <c r="K1441" s="885"/>
      <c r="L1441" s="885"/>
      <c r="M1441" s="885"/>
      <c r="N1441" s="887"/>
      <c r="O1441" s="885"/>
      <c r="P1441" s="885"/>
      <c r="Q1441" s="885"/>
      <c r="R1441" s="885"/>
      <c r="S1441" s="885"/>
      <c r="T1441" s="885"/>
      <c r="U1441" s="885"/>
      <c r="V1441" s="885"/>
      <c r="W1441" s="885"/>
      <c r="X1441" s="885"/>
      <c r="Y1441" s="885"/>
      <c r="Z1441" s="885"/>
    </row>
    <row r="1442" ht="15.75" customHeight="1">
      <c r="A1442" s="884"/>
      <c r="B1442" s="884"/>
      <c r="C1442" s="884"/>
      <c r="D1442" s="884"/>
      <c r="E1442" s="885"/>
      <c r="F1442" s="885"/>
      <c r="G1442" s="885"/>
      <c r="H1442" s="930"/>
      <c r="I1442" s="885"/>
      <c r="J1442" s="885"/>
      <c r="K1442" s="885"/>
      <c r="L1442" s="885"/>
      <c r="M1442" s="885"/>
      <c r="N1442" s="887"/>
      <c r="O1442" s="885"/>
      <c r="P1442" s="885"/>
      <c r="Q1442" s="885"/>
      <c r="R1442" s="885"/>
      <c r="S1442" s="885"/>
      <c r="T1442" s="885"/>
      <c r="U1442" s="885"/>
      <c r="V1442" s="885"/>
      <c r="W1442" s="885"/>
      <c r="X1442" s="885"/>
      <c r="Y1442" s="885"/>
      <c r="Z1442" s="885"/>
    </row>
    <row r="1443" ht="15.75" customHeight="1">
      <c r="A1443" s="884"/>
      <c r="B1443" s="884"/>
      <c r="C1443" s="884"/>
      <c r="D1443" s="884"/>
      <c r="E1443" s="885"/>
      <c r="F1443" s="885"/>
      <c r="G1443" s="885"/>
      <c r="H1443" s="930"/>
      <c r="I1443" s="885"/>
      <c r="J1443" s="885"/>
      <c r="K1443" s="885"/>
      <c r="L1443" s="885"/>
      <c r="M1443" s="885"/>
      <c r="N1443" s="887"/>
      <c r="O1443" s="885"/>
      <c r="P1443" s="885"/>
      <c r="Q1443" s="885"/>
      <c r="R1443" s="885"/>
      <c r="S1443" s="885"/>
      <c r="T1443" s="885"/>
      <c r="U1443" s="885"/>
      <c r="V1443" s="885"/>
      <c r="W1443" s="885"/>
      <c r="X1443" s="885"/>
      <c r="Y1443" s="885"/>
      <c r="Z1443" s="885"/>
    </row>
    <row r="1444" ht="15.75" customHeight="1">
      <c r="A1444" s="884"/>
      <c r="B1444" s="884"/>
      <c r="C1444" s="884"/>
      <c r="D1444" s="884"/>
      <c r="E1444" s="885"/>
      <c r="F1444" s="885"/>
      <c r="G1444" s="885"/>
      <c r="H1444" s="930"/>
      <c r="I1444" s="885"/>
      <c r="J1444" s="885"/>
      <c r="K1444" s="885"/>
      <c r="L1444" s="885"/>
      <c r="M1444" s="885"/>
      <c r="N1444" s="887"/>
      <c r="O1444" s="885"/>
      <c r="P1444" s="885"/>
      <c r="Q1444" s="885"/>
      <c r="R1444" s="885"/>
      <c r="S1444" s="885"/>
      <c r="T1444" s="885"/>
      <c r="U1444" s="885"/>
      <c r="V1444" s="885"/>
      <c r="W1444" s="885"/>
      <c r="X1444" s="885"/>
      <c r="Y1444" s="885"/>
      <c r="Z1444" s="885"/>
    </row>
    <row r="1445" ht="15.75" customHeight="1">
      <c r="A1445" s="884"/>
      <c r="B1445" s="884"/>
      <c r="C1445" s="884"/>
      <c r="D1445" s="884"/>
      <c r="E1445" s="885"/>
      <c r="F1445" s="885"/>
      <c r="G1445" s="885"/>
      <c r="H1445" s="930"/>
      <c r="I1445" s="885"/>
      <c r="J1445" s="885"/>
      <c r="K1445" s="885"/>
      <c r="L1445" s="885"/>
      <c r="M1445" s="885"/>
      <c r="N1445" s="887"/>
      <c r="O1445" s="885"/>
      <c r="P1445" s="885"/>
      <c r="Q1445" s="885"/>
      <c r="R1445" s="885"/>
      <c r="S1445" s="885"/>
      <c r="T1445" s="885"/>
      <c r="U1445" s="885"/>
      <c r="V1445" s="885"/>
      <c r="W1445" s="885"/>
      <c r="X1445" s="885"/>
      <c r="Y1445" s="885"/>
      <c r="Z1445" s="885"/>
    </row>
    <row r="1446" ht="15.75" customHeight="1">
      <c r="A1446" s="884"/>
      <c r="B1446" s="884"/>
      <c r="C1446" s="884"/>
      <c r="D1446" s="884"/>
      <c r="E1446" s="885"/>
      <c r="F1446" s="885"/>
      <c r="G1446" s="885"/>
      <c r="H1446" s="930"/>
      <c r="I1446" s="885"/>
      <c r="J1446" s="885"/>
      <c r="K1446" s="885"/>
      <c r="L1446" s="885"/>
      <c r="M1446" s="885"/>
      <c r="N1446" s="887"/>
      <c r="O1446" s="885"/>
      <c r="P1446" s="885"/>
      <c r="Q1446" s="885"/>
      <c r="R1446" s="885"/>
      <c r="S1446" s="885"/>
      <c r="T1446" s="885"/>
      <c r="U1446" s="885"/>
      <c r="V1446" s="885"/>
      <c r="W1446" s="885"/>
      <c r="X1446" s="885"/>
      <c r="Y1446" s="885"/>
      <c r="Z1446" s="885"/>
    </row>
    <row r="1447" ht="15.75" customHeight="1">
      <c r="A1447" s="884"/>
      <c r="B1447" s="884"/>
      <c r="C1447" s="884"/>
      <c r="D1447" s="884"/>
      <c r="E1447" s="885"/>
      <c r="F1447" s="885"/>
      <c r="G1447" s="885"/>
      <c r="H1447" s="930"/>
      <c r="I1447" s="885"/>
      <c r="J1447" s="885"/>
      <c r="K1447" s="885"/>
      <c r="L1447" s="885"/>
      <c r="M1447" s="885"/>
      <c r="N1447" s="887"/>
      <c r="O1447" s="885"/>
      <c r="P1447" s="885"/>
      <c r="Q1447" s="885"/>
      <c r="R1447" s="885"/>
      <c r="S1447" s="885"/>
      <c r="T1447" s="885"/>
      <c r="U1447" s="885"/>
      <c r="V1447" s="885"/>
      <c r="W1447" s="885"/>
      <c r="X1447" s="885"/>
      <c r="Y1447" s="885"/>
      <c r="Z1447" s="885"/>
    </row>
    <row r="1448" ht="15.75" customHeight="1">
      <c r="A1448" s="884"/>
      <c r="B1448" s="884"/>
      <c r="C1448" s="884"/>
      <c r="D1448" s="884"/>
      <c r="E1448" s="885"/>
      <c r="F1448" s="885"/>
      <c r="G1448" s="885"/>
      <c r="H1448" s="930"/>
      <c r="I1448" s="885"/>
      <c r="J1448" s="885"/>
      <c r="K1448" s="885"/>
      <c r="L1448" s="885"/>
      <c r="M1448" s="885"/>
      <c r="N1448" s="887"/>
      <c r="O1448" s="885"/>
      <c r="P1448" s="885"/>
      <c r="Q1448" s="885"/>
      <c r="R1448" s="885"/>
      <c r="S1448" s="885"/>
      <c r="T1448" s="885"/>
      <c r="U1448" s="885"/>
      <c r="V1448" s="885"/>
      <c r="W1448" s="885"/>
      <c r="X1448" s="885"/>
      <c r="Y1448" s="885"/>
      <c r="Z1448" s="885"/>
    </row>
    <row r="1449" ht="15.75" customHeight="1">
      <c r="A1449" s="884"/>
      <c r="B1449" s="884"/>
      <c r="C1449" s="884"/>
      <c r="D1449" s="884"/>
      <c r="E1449" s="885"/>
      <c r="F1449" s="885"/>
      <c r="G1449" s="885"/>
      <c r="H1449" s="930"/>
      <c r="I1449" s="885"/>
      <c r="J1449" s="885"/>
      <c r="K1449" s="885"/>
      <c r="L1449" s="885"/>
      <c r="M1449" s="885"/>
      <c r="N1449" s="887"/>
      <c r="O1449" s="885"/>
      <c r="P1449" s="885"/>
      <c r="Q1449" s="885"/>
      <c r="R1449" s="885"/>
      <c r="S1449" s="885"/>
      <c r="T1449" s="885"/>
      <c r="U1449" s="885"/>
      <c r="V1449" s="885"/>
      <c r="W1449" s="885"/>
      <c r="X1449" s="885"/>
      <c r="Y1449" s="885"/>
      <c r="Z1449" s="885"/>
    </row>
    <row r="1450" ht="15.75" customHeight="1">
      <c r="A1450" s="884"/>
      <c r="B1450" s="884"/>
      <c r="C1450" s="884"/>
      <c r="D1450" s="884"/>
      <c r="E1450" s="885"/>
      <c r="F1450" s="885"/>
      <c r="G1450" s="885"/>
      <c r="H1450" s="930"/>
      <c r="I1450" s="885"/>
      <c r="J1450" s="885"/>
      <c r="K1450" s="885"/>
      <c r="L1450" s="885"/>
      <c r="M1450" s="885"/>
      <c r="N1450" s="887"/>
      <c r="O1450" s="885"/>
      <c r="P1450" s="885"/>
      <c r="Q1450" s="885"/>
      <c r="R1450" s="885"/>
      <c r="S1450" s="885"/>
      <c r="T1450" s="885"/>
      <c r="U1450" s="885"/>
      <c r="V1450" s="885"/>
      <c r="W1450" s="885"/>
      <c r="X1450" s="885"/>
      <c r="Y1450" s="885"/>
      <c r="Z1450" s="885"/>
    </row>
    <row r="1451" ht="15.75" customHeight="1">
      <c r="A1451" s="884"/>
      <c r="B1451" s="884"/>
      <c r="C1451" s="884"/>
      <c r="D1451" s="884"/>
      <c r="E1451" s="885"/>
      <c r="F1451" s="885"/>
      <c r="G1451" s="885"/>
      <c r="H1451" s="930"/>
      <c r="I1451" s="885"/>
      <c r="J1451" s="885"/>
      <c r="K1451" s="885"/>
      <c r="L1451" s="885"/>
      <c r="M1451" s="885"/>
      <c r="N1451" s="887"/>
      <c r="O1451" s="885"/>
      <c r="P1451" s="885"/>
      <c r="Q1451" s="885"/>
      <c r="R1451" s="885"/>
      <c r="S1451" s="885"/>
      <c r="T1451" s="885"/>
      <c r="U1451" s="885"/>
      <c r="V1451" s="885"/>
      <c r="W1451" s="885"/>
      <c r="X1451" s="885"/>
      <c r="Y1451" s="885"/>
      <c r="Z1451" s="885"/>
    </row>
    <row r="1452" ht="15.75" customHeight="1">
      <c r="A1452" s="884"/>
      <c r="B1452" s="884"/>
      <c r="C1452" s="884"/>
      <c r="D1452" s="884"/>
      <c r="E1452" s="885"/>
      <c r="F1452" s="885"/>
      <c r="G1452" s="885"/>
      <c r="H1452" s="930"/>
      <c r="I1452" s="885"/>
      <c r="J1452" s="885"/>
      <c r="K1452" s="885"/>
      <c r="L1452" s="885"/>
      <c r="M1452" s="885"/>
      <c r="N1452" s="887"/>
      <c r="O1452" s="885"/>
      <c r="P1452" s="885"/>
      <c r="Q1452" s="885"/>
      <c r="R1452" s="885"/>
      <c r="S1452" s="885"/>
      <c r="T1452" s="885"/>
      <c r="U1452" s="885"/>
      <c r="V1452" s="885"/>
      <c r="W1452" s="885"/>
      <c r="X1452" s="885"/>
      <c r="Y1452" s="885"/>
      <c r="Z1452" s="885"/>
    </row>
    <row r="1453" ht="15.75" customHeight="1">
      <c r="A1453" s="884"/>
      <c r="B1453" s="884"/>
      <c r="C1453" s="884"/>
      <c r="D1453" s="884"/>
      <c r="E1453" s="885"/>
      <c r="F1453" s="885"/>
      <c r="G1453" s="885"/>
      <c r="H1453" s="930"/>
      <c r="I1453" s="885"/>
      <c r="J1453" s="885"/>
      <c r="K1453" s="885"/>
      <c r="L1453" s="885"/>
      <c r="M1453" s="885"/>
      <c r="N1453" s="887"/>
      <c r="O1453" s="885"/>
      <c r="P1453" s="885"/>
      <c r="Q1453" s="885"/>
      <c r="R1453" s="885"/>
      <c r="S1453" s="885"/>
      <c r="T1453" s="885"/>
      <c r="U1453" s="885"/>
      <c r="V1453" s="885"/>
      <c r="W1453" s="885"/>
      <c r="X1453" s="885"/>
      <c r="Y1453" s="885"/>
      <c r="Z1453" s="885"/>
    </row>
    <row r="1454" ht="15.75" customHeight="1">
      <c r="A1454" s="884"/>
      <c r="B1454" s="884"/>
      <c r="C1454" s="884"/>
      <c r="D1454" s="884"/>
      <c r="E1454" s="885"/>
      <c r="F1454" s="885"/>
      <c r="G1454" s="885"/>
      <c r="H1454" s="930"/>
      <c r="I1454" s="885"/>
      <c r="J1454" s="885"/>
      <c r="K1454" s="885"/>
      <c r="L1454" s="885"/>
      <c r="M1454" s="885"/>
      <c r="N1454" s="887"/>
      <c r="O1454" s="885"/>
      <c r="P1454" s="885"/>
      <c r="Q1454" s="885"/>
      <c r="R1454" s="885"/>
      <c r="S1454" s="885"/>
      <c r="T1454" s="885"/>
      <c r="U1454" s="885"/>
      <c r="V1454" s="885"/>
      <c r="W1454" s="885"/>
      <c r="X1454" s="885"/>
      <c r="Y1454" s="885"/>
      <c r="Z1454" s="885"/>
    </row>
    <row r="1455" ht="15.75" customHeight="1">
      <c r="A1455" s="884"/>
      <c r="B1455" s="884"/>
      <c r="C1455" s="884"/>
      <c r="D1455" s="884"/>
      <c r="E1455" s="885"/>
      <c r="F1455" s="885"/>
      <c r="G1455" s="885"/>
      <c r="H1455" s="930"/>
      <c r="I1455" s="885"/>
      <c r="J1455" s="885"/>
      <c r="K1455" s="885"/>
      <c r="L1455" s="885"/>
      <c r="M1455" s="885"/>
      <c r="N1455" s="887"/>
      <c r="O1455" s="885"/>
      <c r="P1455" s="885"/>
      <c r="Q1455" s="885"/>
      <c r="R1455" s="885"/>
      <c r="S1455" s="885"/>
      <c r="T1455" s="885"/>
      <c r="U1455" s="885"/>
      <c r="V1455" s="885"/>
      <c r="W1455" s="885"/>
      <c r="X1455" s="885"/>
      <c r="Y1455" s="885"/>
      <c r="Z1455" s="885"/>
    </row>
    <row r="1456" ht="15.75" customHeight="1">
      <c r="A1456" s="884"/>
      <c r="B1456" s="884"/>
      <c r="C1456" s="884"/>
      <c r="D1456" s="884"/>
      <c r="E1456" s="885"/>
      <c r="F1456" s="885"/>
      <c r="G1456" s="885"/>
      <c r="H1456" s="930"/>
      <c r="I1456" s="885"/>
      <c r="J1456" s="885"/>
      <c r="K1456" s="885"/>
      <c r="L1456" s="885"/>
      <c r="M1456" s="885"/>
      <c r="N1456" s="887"/>
      <c r="O1456" s="885"/>
      <c r="P1456" s="885"/>
      <c r="Q1456" s="885"/>
      <c r="R1456" s="885"/>
      <c r="S1456" s="885"/>
      <c r="T1456" s="885"/>
      <c r="U1456" s="885"/>
      <c r="V1456" s="885"/>
      <c r="W1456" s="885"/>
      <c r="X1456" s="885"/>
      <c r="Y1456" s="885"/>
      <c r="Z1456" s="885"/>
    </row>
    <row r="1457" ht="15.75" customHeight="1">
      <c r="A1457" s="884"/>
      <c r="B1457" s="884"/>
      <c r="C1457" s="884"/>
      <c r="D1457" s="884"/>
      <c r="E1457" s="885"/>
      <c r="F1457" s="885"/>
      <c r="G1457" s="885"/>
      <c r="H1457" s="930"/>
      <c r="I1457" s="885"/>
      <c r="J1457" s="885"/>
      <c r="K1457" s="885"/>
      <c r="L1457" s="885"/>
      <c r="M1457" s="885"/>
      <c r="N1457" s="887"/>
      <c r="O1457" s="885"/>
      <c r="P1457" s="885"/>
      <c r="Q1457" s="885"/>
      <c r="R1457" s="885"/>
      <c r="S1457" s="885"/>
      <c r="T1457" s="885"/>
      <c r="U1457" s="885"/>
      <c r="V1457" s="885"/>
      <c r="W1457" s="885"/>
      <c r="X1457" s="885"/>
      <c r="Y1457" s="885"/>
      <c r="Z1457" s="885"/>
    </row>
    <row r="1458" ht="15.75" customHeight="1">
      <c r="A1458" s="884"/>
      <c r="B1458" s="884"/>
      <c r="C1458" s="884"/>
      <c r="D1458" s="884"/>
      <c r="E1458" s="885"/>
      <c r="F1458" s="885"/>
      <c r="G1458" s="885"/>
      <c r="H1458" s="930"/>
      <c r="I1458" s="885"/>
      <c r="J1458" s="885"/>
      <c r="K1458" s="885"/>
      <c r="L1458" s="885"/>
      <c r="M1458" s="885"/>
      <c r="N1458" s="887"/>
      <c r="O1458" s="885"/>
      <c r="P1458" s="885"/>
      <c r="Q1458" s="885"/>
      <c r="R1458" s="885"/>
      <c r="S1458" s="885"/>
      <c r="T1458" s="885"/>
      <c r="U1458" s="885"/>
      <c r="V1458" s="885"/>
      <c r="W1458" s="885"/>
      <c r="X1458" s="885"/>
      <c r="Y1458" s="885"/>
      <c r="Z1458" s="885"/>
    </row>
    <row r="1459" ht="15.75" customHeight="1">
      <c r="A1459" s="884"/>
      <c r="B1459" s="884"/>
      <c r="C1459" s="884"/>
      <c r="D1459" s="884"/>
      <c r="E1459" s="885"/>
      <c r="F1459" s="885"/>
      <c r="G1459" s="885"/>
      <c r="H1459" s="930"/>
      <c r="I1459" s="885"/>
      <c r="J1459" s="885"/>
      <c r="K1459" s="885"/>
      <c r="L1459" s="885"/>
      <c r="M1459" s="885"/>
      <c r="N1459" s="887"/>
      <c r="O1459" s="885"/>
      <c r="P1459" s="885"/>
      <c r="Q1459" s="885"/>
      <c r="R1459" s="885"/>
      <c r="S1459" s="885"/>
      <c r="T1459" s="885"/>
      <c r="U1459" s="885"/>
      <c r="V1459" s="885"/>
      <c r="W1459" s="885"/>
      <c r="X1459" s="885"/>
      <c r="Y1459" s="885"/>
      <c r="Z1459" s="885"/>
    </row>
    <row r="1460" ht="15.75" customHeight="1">
      <c r="A1460" s="884"/>
      <c r="B1460" s="884"/>
      <c r="C1460" s="884"/>
      <c r="D1460" s="884"/>
      <c r="E1460" s="885"/>
      <c r="F1460" s="885"/>
      <c r="G1460" s="885"/>
      <c r="H1460" s="930"/>
      <c r="I1460" s="885"/>
      <c r="J1460" s="885"/>
      <c r="K1460" s="885"/>
      <c r="L1460" s="885"/>
      <c r="M1460" s="885"/>
      <c r="N1460" s="887"/>
      <c r="O1460" s="885"/>
      <c r="P1460" s="885"/>
      <c r="Q1460" s="885"/>
      <c r="R1460" s="885"/>
      <c r="S1460" s="885"/>
      <c r="T1460" s="885"/>
      <c r="U1460" s="885"/>
      <c r="V1460" s="885"/>
      <c r="W1460" s="885"/>
      <c r="X1460" s="885"/>
      <c r="Y1460" s="885"/>
      <c r="Z1460" s="885"/>
    </row>
    <row r="1461" ht="15.75" customHeight="1">
      <c r="A1461" s="884"/>
      <c r="B1461" s="884"/>
      <c r="C1461" s="884"/>
      <c r="D1461" s="884"/>
      <c r="E1461" s="885"/>
      <c r="F1461" s="885"/>
      <c r="G1461" s="885"/>
      <c r="H1461" s="930"/>
      <c r="I1461" s="885"/>
      <c r="J1461" s="885"/>
      <c r="K1461" s="885"/>
      <c r="L1461" s="885"/>
      <c r="M1461" s="885"/>
      <c r="N1461" s="887"/>
      <c r="O1461" s="885"/>
      <c r="P1461" s="885"/>
      <c r="Q1461" s="885"/>
      <c r="R1461" s="885"/>
      <c r="S1461" s="885"/>
      <c r="T1461" s="885"/>
      <c r="U1461" s="885"/>
      <c r="V1461" s="885"/>
      <c r="W1461" s="885"/>
      <c r="X1461" s="885"/>
      <c r="Y1461" s="885"/>
      <c r="Z1461" s="885"/>
    </row>
    <row r="1462" ht="15.75" customHeight="1">
      <c r="A1462" s="884"/>
      <c r="B1462" s="884"/>
      <c r="C1462" s="884"/>
      <c r="D1462" s="884"/>
      <c r="E1462" s="885"/>
      <c r="F1462" s="885"/>
      <c r="G1462" s="885"/>
      <c r="H1462" s="930"/>
      <c r="I1462" s="885"/>
      <c r="J1462" s="885"/>
      <c r="K1462" s="885"/>
      <c r="L1462" s="885"/>
      <c r="M1462" s="885"/>
      <c r="N1462" s="887"/>
      <c r="O1462" s="885"/>
      <c r="P1462" s="885"/>
      <c r="Q1462" s="885"/>
      <c r="R1462" s="885"/>
      <c r="S1462" s="885"/>
      <c r="T1462" s="885"/>
      <c r="U1462" s="885"/>
      <c r="V1462" s="885"/>
      <c r="W1462" s="885"/>
      <c r="X1462" s="885"/>
      <c r="Y1462" s="885"/>
      <c r="Z1462" s="885"/>
    </row>
    <row r="1463" ht="15.75" customHeight="1">
      <c r="A1463" s="884"/>
      <c r="B1463" s="884"/>
      <c r="C1463" s="884"/>
      <c r="D1463" s="884"/>
      <c r="E1463" s="885"/>
      <c r="F1463" s="885"/>
      <c r="G1463" s="885"/>
      <c r="H1463" s="930"/>
      <c r="I1463" s="885"/>
      <c r="J1463" s="885"/>
      <c r="K1463" s="885"/>
      <c r="L1463" s="885"/>
      <c r="M1463" s="885"/>
      <c r="N1463" s="887"/>
      <c r="O1463" s="885"/>
      <c r="P1463" s="885"/>
      <c r="Q1463" s="885"/>
      <c r="R1463" s="885"/>
      <c r="S1463" s="885"/>
      <c r="T1463" s="885"/>
      <c r="U1463" s="885"/>
      <c r="V1463" s="885"/>
      <c r="W1463" s="885"/>
      <c r="X1463" s="885"/>
      <c r="Y1463" s="885"/>
      <c r="Z1463" s="885"/>
    </row>
    <row r="1464" ht="15.75" customHeight="1">
      <c r="A1464" s="884"/>
      <c r="B1464" s="884"/>
      <c r="C1464" s="884"/>
      <c r="D1464" s="884"/>
      <c r="E1464" s="885"/>
      <c r="F1464" s="885"/>
      <c r="G1464" s="885"/>
      <c r="H1464" s="930"/>
      <c r="I1464" s="885"/>
      <c r="J1464" s="885"/>
      <c r="K1464" s="885"/>
      <c r="L1464" s="885"/>
      <c r="M1464" s="885"/>
      <c r="N1464" s="887"/>
      <c r="O1464" s="885"/>
      <c r="P1464" s="885"/>
      <c r="Q1464" s="885"/>
      <c r="R1464" s="885"/>
      <c r="S1464" s="885"/>
      <c r="T1464" s="885"/>
      <c r="U1464" s="885"/>
      <c r="V1464" s="885"/>
      <c r="W1464" s="885"/>
      <c r="X1464" s="885"/>
      <c r="Y1464" s="885"/>
      <c r="Z1464" s="885"/>
    </row>
    <row r="1465" ht="15.75" customHeight="1">
      <c r="A1465" s="884"/>
      <c r="B1465" s="884"/>
      <c r="C1465" s="884"/>
      <c r="D1465" s="884"/>
      <c r="E1465" s="885"/>
      <c r="F1465" s="885"/>
      <c r="G1465" s="885"/>
      <c r="H1465" s="930"/>
      <c r="I1465" s="885"/>
      <c r="J1465" s="885"/>
      <c r="K1465" s="885"/>
      <c r="L1465" s="885"/>
      <c r="M1465" s="885"/>
      <c r="N1465" s="887"/>
      <c r="O1465" s="885"/>
      <c r="P1465" s="885"/>
      <c r="Q1465" s="885"/>
      <c r="R1465" s="885"/>
      <c r="S1465" s="885"/>
      <c r="T1465" s="885"/>
      <c r="U1465" s="885"/>
      <c r="V1465" s="885"/>
      <c r="W1465" s="885"/>
      <c r="X1465" s="885"/>
      <c r="Y1465" s="885"/>
      <c r="Z1465" s="885"/>
    </row>
    <row r="1466" ht="15.75" customHeight="1">
      <c r="A1466" s="884"/>
      <c r="B1466" s="884"/>
      <c r="C1466" s="884"/>
      <c r="D1466" s="884"/>
      <c r="E1466" s="885"/>
      <c r="F1466" s="885"/>
      <c r="G1466" s="885"/>
      <c r="H1466" s="930"/>
      <c r="I1466" s="885"/>
      <c r="J1466" s="885"/>
      <c r="K1466" s="885"/>
      <c r="L1466" s="885"/>
      <c r="M1466" s="885"/>
      <c r="N1466" s="887"/>
      <c r="O1466" s="885"/>
      <c r="P1466" s="885"/>
      <c r="Q1466" s="885"/>
      <c r="R1466" s="885"/>
      <c r="S1466" s="885"/>
      <c r="T1466" s="885"/>
      <c r="U1466" s="885"/>
      <c r="V1466" s="885"/>
      <c r="W1466" s="885"/>
      <c r="X1466" s="885"/>
      <c r="Y1466" s="885"/>
      <c r="Z1466" s="885"/>
    </row>
    <row r="1467" ht="15.75" customHeight="1">
      <c r="A1467" s="884"/>
      <c r="B1467" s="884"/>
      <c r="C1467" s="884"/>
      <c r="D1467" s="884"/>
      <c r="E1467" s="885"/>
      <c r="F1467" s="885"/>
      <c r="G1467" s="885"/>
      <c r="H1467" s="930"/>
      <c r="I1467" s="885"/>
      <c r="J1467" s="885"/>
      <c r="K1467" s="885"/>
      <c r="L1467" s="885"/>
      <c r="M1467" s="885"/>
      <c r="N1467" s="887"/>
      <c r="O1467" s="885"/>
      <c r="P1467" s="885"/>
      <c r="Q1467" s="885"/>
      <c r="R1467" s="885"/>
      <c r="S1467" s="885"/>
      <c r="T1467" s="885"/>
      <c r="U1467" s="885"/>
      <c r="V1467" s="885"/>
      <c r="W1467" s="885"/>
      <c r="X1467" s="885"/>
      <c r="Y1467" s="885"/>
      <c r="Z1467" s="885"/>
    </row>
    <row r="1468" ht="15.75" customHeight="1">
      <c r="A1468" s="884"/>
      <c r="B1468" s="884"/>
      <c r="C1468" s="884"/>
      <c r="D1468" s="884"/>
      <c r="E1468" s="885"/>
      <c r="F1468" s="885"/>
      <c r="G1468" s="885"/>
      <c r="H1468" s="930"/>
      <c r="I1468" s="885"/>
      <c r="J1468" s="885"/>
      <c r="K1468" s="885"/>
      <c r="L1468" s="885"/>
      <c r="M1468" s="885"/>
      <c r="N1468" s="887"/>
      <c r="O1468" s="885"/>
      <c r="P1468" s="885"/>
      <c r="Q1468" s="885"/>
      <c r="R1468" s="885"/>
      <c r="S1468" s="885"/>
      <c r="T1468" s="885"/>
      <c r="U1468" s="885"/>
      <c r="V1468" s="885"/>
      <c r="W1468" s="885"/>
      <c r="X1468" s="885"/>
      <c r="Y1468" s="885"/>
      <c r="Z1468" s="885"/>
    </row>
    <row r="1469" ht="15.75" customHeight="1">
      <c r="A1469" s="884"/>
      <c r="B1469" s="884"/>
      <c r="C1469" s="884"/>
      <c r="D1469" s="884"/>
      <c r="E1469" s="885"/>
      <c r="F1469" s="885"/>
      <c r="G1469" s="885"/>
      <c r="H1469" s="930"/>
      <c r="I1469" s="885"/>
      <c r="J1469" s="885"/>
      <c r="K1469" s="885"/>
      <c r="L1469" s="885"/>
      <c r="M1469" s="885"/>
      <c r="N1469" s="887"/>
      <c r="O1469" s="885"/>
      <c r="P1469" s="885"/>
      <c r="Q1469" s="885"/>
      <c r="R1469" s="885"/>
      <c r="S1469" s="885"/>
      <c r="T1469" s="885"/>
      <c r="U1469" s="885"/>
      <c r="V1469" s="885"/>
      <c r="W1469" s="885"/>
      <c r="X1469" s="885"/>
      <c r="Y1469" s="885"/>
      <c r="Z1469" s="885"/>
    </row>
    <row r="1470" ht="15.75" customHeight="1">
      <c r="A1470" s="884"/>
      <c r="B1470" s="884"/>
      <c r="C1470" s="884"/>
      <c r="D1470" s="884"/>
      <c r="E1470" s="885"/>
      <c r="F1470" s="885"/>
      <c r="G1470" s="885"/>
      <c r="H1470" s="930"/>
      <c r="I1470" s="885"/>
      <c r="J1470" s="885"/>
      <c r="K1470" s="885"/>
      <c r="L1470" s="885"/>
      <c r="M1470" s="885"/>
      <c r="N1470" s="887"/>
      <c r="O1470" s="885"/>
      <c r="P1470" s="885"/>
      <c r="Q1470" s="885"/>
      <c r="R1470" s="885"/>
      <c r="S1470" s="885"/>
      <c r="T1470" s="885"/>
      <c r="U1470" s="885"/>
      <c r="V1470" s="885"/>
      <c r="W1470" s="885"/>
      <c r="X1470" s="885"/>
      <c r="Y1470" s="885"/>
      <c r="Z1470" s="885"/>
    </row>
    <row r="1471" ht="15.75" customHeight="1">
      <c r="A1471" s="884"/>
      <c r="B1471" s="884"/>
      <c r="C1471" s="884"/>
      <c r="D1471" s="884"/>
      <c r="E1471" s="885"/>
      <c r="F1471" s="885"/>
      <c r="G1471" s="885"/>
      <c r="H1471" s="930"/>
      <c r="I1471" s="885"/>
      <c r="J1471" s="885"/>
      <c r="K1471" s="885"/>
      <c r="L1471" s="885"/>
      <c r="M1471" s="885"/>
      <c r="N1471" s="887"/>
      <c r="O1471" s="885"/>
      <c r="P1471" s="885"/>
      <c r="Q1471" s="885"/>
      <c r="R1471" s="885"/>
      <c r="S1471" s="885"/>
      <c r="T1471" s="885"/>
      <c r="U1471" s="885"/>
      <c r="V1471" s="885"/>
      <c r="W1471" s="885"/>
      <c r="X1471" s="885"/>
      <c r="Y1471" s="885"/>
      <c r="Z1471" s="885"/>
    </row>
    <row r="1472" ht="15.75" customHeight="1">
      <c r="A1472" s="884"/>
      <c r="B1472" s="884"/>
      <c r="C1472" s="884"/>
      <c r="D1472" s="884"/>
      <c r="E1472" s="885"/>
      <c r="F1472" s="885"/>
      <c r="G1472" s="885"/>
      <c r="H1472" s="930"/>
      <c r="I1472" s="885"/>
      <c r="J1472" s="885"/>
      <c r="K1472" s="885"/>
      <c r="L1472" s="885"/>
      <c r="M1472" s="885"/>
      <c r="N1472" s="887"/>
      <c r="O1472" s="885"/>
      <c r="P1472" s="885"/>
      <c r="Q1472" s="885"/>
      <c r="R1472" s="885"/>
      <c r="S1472" s="885"/>
      <c r="T1472" s="885"/>
      <c r="U1472" s="885"/>
      <c r="V1472" s="885"/>
      <c r="W1472" s="885"/>
      <c r="X1472" s="885"/>
      <c r="Y1472" s="885"/>
      <c r="Z1472" s="885"/>
    </row>
    <row r="1473" ht="15.75" customHeight="1">
      <c r="A1473" s="884"/>
      <c r="B1473" s="884"/>
      <c r="C1473" s="884"/>
      <c r="D1473" s="884"/>
      <c r="E1473" s="885"/>
      <c r="F1473" s="885"/>
      <c r="G1473" s="885"/>
      <c r="H1473" s="930"/>
      <c r="I1473" s="885"/>
      <c r="J1473" s="885"/>
      <c r="K1473" s="885"/>
      <c r="L1473" s="885"/>
      <c r="M1473" s="885"/>
      <c r="N1473" s="887"/>
      <c r="O1473" s="885"/>
      <c r="P1473" s="885"/>
      <c r="Q1473" s="885"/>
      <c r="R1473" s="885"/>
      <c r="S1473" s="885"/>
      <c r="T1473" s="885"/>
      <c r="U1473" s="885"/>
      <c r="V1473" s="885"/>
      <c r="W1473" s="885"/>
      <c r="X1473" s="885"/>
      <c r="Y1473" s="885"/>
      <c r="Z1473" s="885"/>
    </row>
    <row r="1474" ht="15.75" customHeight="1">
      <c r="A1474" s="884"/>
      <c r="B1474" s="884"/>
      <c r="C1474" s="884"/>
      <c r="D1474" s="884"/>
      <c r="E1474" s="885"/>
      <c r="F1474" s="885"/>
      <c r="G1474" s="885"/>
      <c r="H1474" s="930"/>
      <c r="I1474" s="885"/>
      <c r="J1474" s="885"/>
      <c r="K1474" s="885"/>
      <c r="L1474" s="885"/>
      <c r="M1474" s="885"/>
      <c r="N1474" s="887"/>
      <c r="O1474" s="885"/>
      <c r="P1474" s="885"/>
      <c r="Q1474" s="885"/>
      <c r="R1474" s="885"/>
      <c r="S1474" s="885"/>
      <c r="T1474" s="885"/>
      <c r="U1474" s="885"/>
      <c r="V1474" s="885"/>
      <c r="W1474" s="885"/>
      <c r="X1474" s="885"/>
      <c r="Y1474" s="885"/>
      <c r="Z1474" s="885"/>
    </row>
    <row r="1475" ht="15.75" customHeight="1">
      <c r="A1475" s="884"/>
      <c r="B1475" s="884"/>
      <c r="C1475" s="884"/>
      <c r="D1475" s="884"/>
      <c r="E1475" s="885"/>
      <c r="F1475" s="885"/>
      <c r="G1475" s="885"/>
      <c r="H1475" s="930"/>
      <c r="I1475" s="885"/>
      <c r="J1475" s="885"/>
      <c r="K1475" s="885"/>
      <c r="L1475" s="885"/>
      <c r="M1475" s="885"/>
      <c r="N1475" s="887"/>
      <c r="O1475" s="885"/>
      <c r="P1475" s="885"/>
      <c r="Q1475" s="885"/>
      <c r="R1475" s="885"/>
      <c r="S1475" s="885"/>
      <c r="T1475" s="885"/>
      <c r="U1475" s="885"/>
      <c r="V1475" s="885"/>
      <c r="W1475" s="885"/>
      <c r="X1475" s="885"/>
      <c r="Y1475" s="885"/>
      <c r="Z1475" s="885"/>
    </row>
    <row r="1476" ht="15.75" customHeight="1">
      <c r="A1476" s="884"/>
      <c r="B1476" s="884"/>
      <c r="C1476" s="884"/>
      <c r="D1476" s="884"/>
      <c r="E1476" s="885"/>
      <c r="F1476" s="885"/>
      <c r="G1476" s="885"/>
      <c r="H1476" s="930"/>
      <c r="I1476" s="885"/>
      <c r="J1476" s="885"/>
      <c r="K1476" s="885"/>
      <c r="L1476" s="885"/>
      <c r="M1476" s="885"/>
      <c r="N1476" s="887"/>
      <c r="O1476" s="885"/>
      <c r="P1476" s="885"/>
      <c r="Q1476" s="885"/>
      <c r="R1476" s="885"/>
      <c r="S1476" s="885"/>
      <c r="T1476" s="885"/>
      <c r="U1476" s="885"/>
      <c r="V1476" s="885"/>
      <c r="W1476" s="885"/>
      <c r="X1476" s="885"/>
      <c r="Y1476" s="885"/>
      <c r="Z1476" s="885"/>
    </row>
    <row r="1477" ht="15.75" customHeight="1">
      <c r="A1477" s="884"/>
      <c r="B1477" s="884"/>
      <c r="C1477" s="884"/>
      <c r="D1477" s="884"/>
      <c r="E1477" s="885"/>
      <c r="F1477" s="885"/>
      <c r="G1477" s="885"/>
      <c r="H1477" s="930"/>
      <c r="I1477" s="885"/>
      <c r="J1477" s="885"/>
      <c r="K1477" s="885"/>
      <c r="L1477" s="885"/>
      <c r="M1477" s="885"/>
      <c r="N1477" s="887"/>
      <c r="O1477" s="885"/>
      <c r="P1477" s="885"/>
      <c r="Q1477" s="885"/>
      <c r="R1477" s="885"/>
      <c r="S1477" s="885"/>
      <c r="T1477" s="885"/>
      <c r="U1477" s="885"/>
      <c r="V1477" s="885"/>
      <c r="W1477" s="885"/>
      <c r="X1477" s="885"/>
      <c r="Y1477" s="885"/>
      <c r="Z1477" s="885"/>
    </row>
    <row r="1478" ht="15.75" customHeight="1">
      <c r="A1478" s="884"/>
      <c r="B1478" s="884"/>
      <c r="C1478" s="884"/>
      <c r="D1478" s="884"/>
      <c r="E1478" s="885"/>
      <c r="F1478" s="885"/>
      <c r="G1478" s="885"/>
      <c r="H1478" s="930"/>
      <c r="I1478" s="885"/>
      <c r="J1478" s="885"/>
      <c r="K1478" s="885"/>
      <c r="L1478" s="885"/>
      <c r="M1478" s="885"/>
      <c r="N1478" s="887"/>
      <c r="O1478" s="885"/>
      <c r="P1478" s="885"/>
      <c r="Q1478" s="885"/>
      <c r="R1478" s="885"/>
      <c r="S1478" s="885"/>
      <c r="T1478" s="885"/>
      <c r="U1478" s="885"/>
      <c r="V1478" s="885"/>
      <c r="W1478" s="885"/>
      <c r="X1478" s="885"/>
      <c r="Y1478" s="885"/>
      <c r="Z1478" s="885"/>
    </row>
    <row r="1479" ht="15.75" customHeight="1">
      <c r="A1479" s="884"/>
      <c r="B1479" s="884"/>
      <c r="C1479" s="884"/>
      <c r="D1479" s="884"/>
      <c r="E1479" s="885"/>
      <c r="F1479" s="885"/>
      <c r="G1479" s="885"/>
      <c r="H1479" s="930"/>
      <c r="I1479" s="885"/>
      <c r="J1479" s="885"/>
      <c r="K1479" s="885"/>
      <c r="L1479" s="885"/>
      <c r="M1479" s="885"/>
      <c r="N1479" s="887"/>
      <c r="O1479" s="885"/>
      <c r="P1479" s="885"/>
      <c r="Q1479" s="885"/>
      <c r="R1479" s="885"/>
      <c r="S1479" s="885"/>
      <c r="T1479" s="885"/>
      <c r="U1479" s="885"/>
      <c r="V1479" s="885"/>
      <c r="W1479" s="885"/>
      <c r="X1479" s="885"/>
      <c r="Y1479" s="885"/>
      <c r="Z1479" s="885"/>
    </row>
    <row r="1480" ht="15.75" customHeight="1">
      <c r="A1480" s="884"/>
      <c r="B1480" s="884"/>
      <c r="C1480" s="884"/>
      <c r="D1480" s="884"/>
      <c r="E1480" s="885"/>
      <c r="F1480" s="885"/>
      <c r="G1480" s="885"/>
      <c r="H1480" s="930"/>
      <c r="I1480" s="885"/>
      <c r="J1480" s="885"/>
      <c r="K1480" s="885"/>
      <c r="L1480" s="885"/>
      <c r="M1480" s="885"/>
      <c r="N1480" s="887"/>
      <c r="O1480" s="885"/>
      <c r="P1480" s="885"/>
      <c r="Q1480" s="885"/>
      <c r="R1480" s="885"/>
      <c r="S1480" s="885"/>
      <c r="T1480" s="885"/>
      <c r="U1480" s="885"/>
      <c r="V1480" s="885"/>
      <c r="W1480" s="885"/>
      <c r="X1480" s="885"/>
      <c r="Y1480" s="885"/>
      <c r="Z1480" s="885"/>
    </row>
    <row r="1481" ht="15.75" customHeight="1">
      <c r="A1481" s="884"/>
      <c r="B1481" s="884"/>
      <c r="C1481" s="884"/>
      <c r="D1481" s="884"/>
      <c r="E1481" s="885"/>
      <c r="F1481" s="885"/>
      <c r="G1481" s="885"/>
      <c r="H1481" s="930"/>
      <c r="I1481" s="885"/>
      <c r="J1481" s="885"/>
      <c r="K1481" s="885"/>
      <c r="L1481" s="885"/>
      <c r="M1481" s="885"/>
      <c r="N1481" s="887"/>
      <c r="O1481" s="885"/>
      <c r="P1481" s="885"/>
      <c r="Q1481" s="885"/>
      <c r="R1481" s="885"/>
      <c r="S1481" s="885"/>
      <c r="T1481" s="885"/>
      <c r="U1481" s="885"/>
      <c r="V1481" s="885"/>
      <c r="W1481" s="885"/>
      <c r="X1481" s="885"/>
      <c r="Y1481" s="885"/>
      <c r="Z1481" s="885"/>
    </row>
    <row r="1482" ht="15.75" customHeight="1">
      <c r="A1482" s="884"/>
      <c r="B1482" s="884"/>
      <c r="C1482" s="884"/>
      <c r="D1482" s="884"/>
      <c r="E1482" s="885"/>
      <c r="F1482" s="885"/>
      <c r="G1482" s="885"/>
      <c r="H1482" s="930"/>
      <c r="I1482" s="885"/>
      <c r="J1482" s="885"/>
      <c r="K1482" s="885"/>
      <c r="L1482" s="885"/>
      <c r="M1482" s="885"/>
      <c r="N1482" s="887"/>
      <c r="O1482" s="885"/>
      <c r="P1482" s="885"/>
      <c r="Q1482" s="885"/>
      <c r="R1482" s="885"/>
      <c r="S1482" s="885"/>
      <c r="T1482" s="885"/>
      <c r="U1482" s="885"/>
      <c r="V1482" s="885"/>
      <c r="W1482" s="885"/>
      <c r="X1482" s="885"/>
      <c r="Y1482" s="885"/>
      <c r="Z1482" s="885"/>
    </row>
    <row r="1483" ht="15.75" customHeight="1">
      <c r="A1483" s="884"/>
      <c r="B1483" s="884"/>
      <c r="C1483" s="884"/>
      <c r="D1483" s="884"/>
      <c r="E1483" s="885"/>
      <c r="F1483" s="885"/>
      <c r="G1483" s="885"/>
      <c r="H1483" s="930"/>
      <c r="I1483" s="885"/>
      <c r="J1483" s="885"/>
      <c r="K1483" s="885"/>
      <c r="L1483" s="885"/>
      <c r="M1483" s="885"/>
      <c r="N1483" s="887"/>
      <c r="O1483" s="885"/>
      <c r="P1483" s="885"/>
      <c r="Q1483" s="885"/>
      <c r="R1483" s="885"/>
      <c r="S1483" s="885"/>
      <c r="T1483" s="885"/>
      <c r="U1483" s="885"/>
      <c r="V1483" s="885"/>
      <c r="W1483" s="885"/>
      <c r="X1483" s="885"/>
      <c r="Y1483" s="885"/>
      <c r="Z1483" s="885"/>
    </row>
    <row r="1484" ht="15.75" customHeight="1">
      <c r="A1484" s="884"/>
      <c r="B1484" s="884"/>
      <c r="C1484" s="884"/>
      <c r="D1484" s="884"/>
      <c r="E1484" s="885"/>
      <c r="F1484" s="885"/>
      <c r="G1484" s="885"/>
      <c r="H1484" s="930"/>
      <c r="I1484" s="885"/>
      <c r="J1484" s="885"/>
      <c r="K1484" s="885"/>
      <c r="L1484" s="885"/>
      <c r="M1484" s="885"/>
      <c r="N1484" s="887"/>
      <c r="O1484" s="885"/>
      <c r="P1484" s="885"/>
      <c r="Q1484" s="885"/>
      <c r="R1484" s="885"/>
      <c r="S1484" s="885"/>
      <c r="T1484" s="885"/>
      <c r="U1484" s="885"/>
      <c r="V1484" s="885"/>
      <c r="W1484" s="885"/>
      <c r="X1484" s="885"/>
      <c r="Y1484" s="885"/>
      <c r="Z1484" s="885"/>
    </row>
    <row r="1485" ht="15.75" customHeight="1">
      <c r="A1485" s="884"/>
      <c r="B1485" s="884"/>
      <c r="C1485" s="884"/>
      <c r="D1485" s="884"/>
      <c r="E1485" s="885"/>
      <c r="F1485" s="885"/>
      <c r="G1485" s="885"/>
      <c r="H1485" s="930"/>
      <c r="I1485" s="885"/>
      <c r="J1485" s="885"/>
      <c r="K1485" s="885"/>
      <c r="L1485" s="885"/>
      <c r="M1485" s="885"/>
      <c r="N1485" s="887"/>
      <c r="O1485" s="885"/>
      <c r="P1485" s="885"/>
      <c r="Q1485" s="885"/>
      <c r="R1485" s="885"/>
      <c r="S1485" s="885"/>
      <c r="T1485" s="885"/>
      <c r="U1485" s="885"/>
      <c r="V1485" s="885"/>
      <c r="W1485" s="885"/>
      <c r="X1485" s="885"/>
      <c r="Y1485" s="885"/>
      <c r="Z1485" s="885"/>
    </row>
    <row r="1486" ht="15.75" customHeight="1">
      <c r="A1486" s="884"/>
      <c r="B1486" s="884"/>
      <c r="C1486" s="884"/>
      <c r="D1486" s="884"/>
      <c r="E1486" s="885"/>
      <c r="F1486" s="885"/>
      <c r="G1486" s="885"/>
      <c r="H1486" s="930"/>
      <c r="I1486" s="885"/>
      <c r="J1486" s="885"/>
      <c r="K1486" s="885"/>
      <c r="L1486" s="885"/>
      <c r="M1486" s="885"/>
      <c r="N1486" s="887"/>
      <c r="O1486" s="885"/>
      <c r="P1486" s="885"/>
      <c r="Q1486" s="885"/>
      <c r="R1486" s="885"/>
      <c r="S1486" s="885"/>
      <c r="T1486" s="885"/>
      <c r="U1486" s="885"/>
      <c r="V1486" s="885"/>
      <c r="W1486" s="885"/>
      <c r="X1486" s="885"/>
      <c r="Y1486" s="885"/>
      <c r="Z1486" s="885"/>
    </row>
    <row r="1487" ht="15.75" customHeight="1">
      <c r="A1487" s="884"/>
      <c r="B1487" s="884"/>
      <c r="C1487" s="884"/>
      <c r="D1487" s="884"/>
      <c r="E1487" s="885"/>
      <c r="F1487" s="885"/>
      <c r="G1487" s="885"/>
      <c r="H1487" s="930"/>
      <c r="I1487" s="885"/>
      <c r="J1487" s="885"/>
      <c r="K1487" s="885"/>
      <c r="L1487" s="885"/>
      <c r="M1487" s="885"/>
      <c r="N1487" s="887"/>
      <c r="O1487" s="885"/>
      <c r="P1487" s="885"/>
      <c r="Q1487" s="885"/>
      <c r="R1487" s="885"/>
      <c r="S1487" s="885"/>
      <c r="T1487" s="885"/>
      <c r="U1487" s="885"/>
      <c r="V1487" s="885"/>
      <c r="W1487" s="885"/>
      <c r="X1487" s="885"/>
      <c r="Y1487" s="885"/>
      <c r="Z1487" s="885"/>
    </row>
    <row r="1488" ht="15.75" customHeight="1">
      <c r="A1488" s="884"/>
      <c r="B1488" s="884"/>
      <c r="C1488" s="884"/>
      <c r="D1488" s="884"/>
      <c r="E1488" s="885"/>
      <c r="F1488" s="885"/>
      <c r="G1488" s="885"/>
      <c r="H1488" s="930"/>
      <c r="I1488" s="885"/>
      <c r="J1488" s="885"/>
      <c r="K1488" s="885"/>
      <c r="L1488" s="885"/>
      <c r="M1488" s="885"/>
      <c r="N1488" s="887"/>
      <c r="O1488" s="885"/>
      <c r="P1488" s="885"/>
      <c r="Q1488" s="885"/>
      <c r="R1488" s="885"/>
      <c r="S1488" s="885"/>
      <c r="T1488" s="885"/>
      <c r="U1488" s="885"/>
      <c r="V1488" s="885"/>
      <c r="W1488" s="885"/>
      <c r="X1488" s="885"/>
      <c r="Y1488" s="885"/>
      <c r="Z1488" s="885"/>
    </row>
    <row r="1489" ht="15.75" customHeight="1">
      <c r="A1489" s="884"/>
      <c r="B1489" s="884"/>
      <c r="C1489" s="884"/>
      <c r="D1489" s="884"/>
      <c r="E1489" s="885"/>
      <c r="F1489" s="885"/>
      <c r="G1489" s="885"/>
      <c r="H1489" s="930"/>
      <c r="I1489" s="885"/>
      <c r="J1489" s="885"/>
      <c r="K1489" s="885"/>
      <c r="L1489" s="885"/>
      <c r="M1489" s="885"/>
      <c r="N1489" s="887"/>
      <c r="O1489" s="885"/>
      <c r="P1489" s="885"/>
      <c r="Q1489" s="885"/>
      <c r="R1489" s="885"/>
      <c r="S1489" s="885"/>
      <c r="T1489" s="885"/>
      <c r="U1489" s="885"/>
      <c r="V1489" s="885"/>
      <c r="W1489" s="885"/>
      <c r="X1489" s="885"/>
      <c r="Y1489" s="885"/>
      <c r="Z1489" s="885"/>
    </row>
    <row r="1490" ht="15.75" customHeight="1">
      <c r="A1490" s="884"/>
      <c r="B1490" s="884"/>
      <c r="C1490" s="884"/>
      <c r="D1490" s="884"/>
      <c r="E1490" s="885"/>
      <c r="F1490" s="885"/>
      <c r="G1490" s="885"/>
      <c r="H1490" s="930"/>
      <c r="I1490" s="885"/>
      <c r="J1490" s="885"/>
      <c r="K1490" s="885"/>
      <c r="L1490" s="885"/>
      <c r="M1490" s="885"/>
      <c r="N1490" s="887"/>
      <c r="O1490" s="885"/>
      <c r="P1490" s="885"/>
      <c r="Q1490" s="885"/>
      <c r="R1490" s="885"/>
      <c r="S1490" s="885"/>
      <c r="T1490" s="885"/>
      <c r="U1490" s="885"/>
      <c r="V1490" s="885"/>
      <c r="W1490" s="885"/>
      <c r="X1490" s="885"/>
      <c r="Y1490" s="885"/>
      <c r="Z1490" s="885"/>
    </row>
    <row r="1491" ht="15.75" customHeight="1">
      <c r="A1491" s="884"/>
      <c r="B1491" s="884"/>
      <c r="C1491" s="884"/>
      <c r="D1491" s="884"/>
      <c r="E1491" s="885"/>
      <c r="F1491" s="885"/>
      <c r="G1491" s="885"/>
      <c r="H1491" s="930"/>
      <c r="I1491" s="885"/>
      <c r="J1491" s="885"/>
      <c r="K1491" s="885"/>
      <c r="L1491" s="885"/>
      <c r="M1491" s="885"/>
      <c r="N1491" s="887"/>
      <c r="O1491" s="885"/>
      <c r="P1491" s="885"/>
      <c r="Q1491" s="885"/>
      <c r="R1491" s="885"/>
      <c r="S1491" s="885"/>
      <c r="T1491" s="885"/>
      <c r="U1491" s="885"/>
      <c r="V1491" s="885"/>
      <c r="W1491" s="885"/>
      <c r="X1491" s="885"/>
      <c r="Y1491" s="885"/>
      <c r="Z1491" s="885"/>
    </row>
    <row r="1492" ht="15.75" customHeight="1">
      <c r="A1492" s="884"/>
      <c r="B1492" s="884"/>
      <c r="C1492" s="884"/>
      <c r="D1492" s="884"/>
      <c r="E1492" s="885"/>
      <c r="F1492" s="885"/>
      <c r="G1492" s="885"/>
      <c r="H1492" s="930"/>
      <c r="I1492" s="885"/>
      <c r="J1492" s="885"/>
      <c r="K1492" s="885"/>
      <c r="L1492" s="885"/>
      <c r="M1492" s="885"/>
      <c r="N1492" s="887"/>
      <c r="O1492" s="885"/>
      <c r="P1492" s="885"/>
      <c r="Q1492" s="885"/>
      <c r="R1492" s="885"/>
      <c r="S1492" s="885"/>
      <c r="T1492" s="885"/>
      <c r="U1492" s="885"/>
      <c r="V1492" s="885"/>
      <c r="W1492" s="885"/>
      <c r="X1492" s="885"/>
      <c r="Y1492" s="885"/>
      <c r="Z1492" s="885"/>
    </row>
    <row r="1493" ht="15.75" customHeight="1">
      <c r="A1493" s="884"/>
      <c r="B1493" s="884"/>
      <c r="C1493" s="884"/>
      <c r="D1493" s="884"/>
      <c r="E1493" s="885"/>
      <c r="F1493" s="885"/>
      <c r="G1493" s="885"/>
      <c r="H1493" s="930"/>
      <c r="I1493" s="885"/>
      <c r="J1493" s="885"/>
      <c r="K1493" s="885"/>
      <c r="L1493" s="885"/>
      <c r="M1493" s="885"/>
      <c r="N1493" s="887"/>
      <c r="O1493" s="885"/>
      <c r="P1493" s="885"/>
      <c r="Q1493" s="885"/>
      <c r="R1493" s="885"/>
      <c r="S1493" s="885"/>
      <c r="T1493" s="885"/>
      <c r="U1493" s="885"/>
      <c r="V1493" s="885"/>
      <c r="W1493" s="885"/>
      <c r="X1493" s="885"/>
      <c r="Y1493" s="885"/>
      <c r="Z1493" s="885"/>
    </row>
    <row r="1494" ht="15.75" customHeight="1">
      <c r="A1494" s="884"/>
      <c r="B1494" s="884"/>
      <c r="C1494" s="884"/>
      <c r="D1494" s="884"/>
      <c r="E1494" s="885"/>
      <c r="F1494" s="885"/>
      <c r="G1494" s="885"/>
      <c r="H1494" s="930"/>
      <c r="I1494" s="885"/>
      <c r="J1494" s="885"/>
      <c r="K1494" s="885"/>
      <c r="L1494" s="885"/>
      <c r="M1494" s="885"/>
      <c r="N1494" s="887"/>
      <c r="O1494" s="885"/>
      <c r="P1494" s="885"/>
      <c r="Q1494" s="885"/>
      <c r="R1494" s="885"/>
      <c r="S1494" s="885"/>
      <c r="T1494" s="885"/>
      <c r="U1494" s="885"/>
      <c r="V1494" s="885"/>
      <c r="W1494" s="885"/>
      <c r="X1494" s="885"/>
      <c r="Y1494" s="885"/>
      <c r="Z1494" s="885"/>
    </row>
    <row r="1495" ht="15.75" customHeight="1">
      <c r="A1495" s="884"/>
      <c r="B1495" s="884"/>
      <c r="C1495" s="884"/>
      <c r="D1495" s="884"/>
      <c r="E1495" s="885"/>
      <c r="F1495" s="885"/>
      <c r="G1495" s="885"/>
      <c r="H1495" s="930"/>
      <c r="I1495" s="885"/>
      <c r="J1495" s="885"/>
      <c r="K1495" s="885"/>
      <c r="L1495" s="885"/>
      <c r="M1495" s="885"/>
      <c r="N1495" s="887"/>
      <c r="O1495" s="885"/>
      <c r="P1495" s="885"/>
      <c r="Q1495" s="885"/>
      <c r="R1495" s="885"/>
      <c r="S1495" s="885"/>
      <c r="T1495" s="885"/>
      <c r="U1495" s="885"/>
      <c r="V1495" s="885"/>
      <c r="W1495" s="885"/>
      <c r="X1495" s="885"/>
      <c r="Y1495" s="885"/>
      <c r="Z1495" s="885"/>
    </row>
    <row r="1496" ht="15.75" customHeight="1">
      <c r="A1496" s="884"/>
      <c r="B1496" s="884"/>
      <c r="C1496" s="884"/>
      <c r="D1496" s="884"/>
      <c r="E1496" s="885"/>
      <c r="F1496" s="885"/>
      <c r="G1496" s="885"/>
      <c r="H1496" s="930"/>
      <c r="I1496" s="885"/>
      <c r="J1496" s="885"/>
      <c r="K1496" s="885"/>
      <c r="L1496" s="885"/>
      <c r="M1496" s="885"/>
      <c r="N1496" s="887"/>
      <c r="O1496" s="885"/>
      <c r="P1496" s="885"/>
      <c r="Q1496" s="885"/>
      <c r="R1496" s="885"/>
      <c r="S1496" s="885"/>
      <c r="T1496" s="885"/>
      <c r="U1496" s="885"/>
      <c r="V1496" s="885"/>
      <c r="W1496" s="885"/>
      <c r="X1496" s="885"/>
      <c r="Y1496" s="885"/>
      <c r="Z1496" s="885"/>
    </row>
    <row r="1497" ht="15.75" customHeight="1">
      <c r="A1497" s="884"/>
      <c r="B1497" s="884"/>
      <c r="C1497" s="884"/>
      <c r="D1497" s="884"/>
      <c r="E1497" s="885"/>
      <c r="F1497" s="885"/>
      <c r="G1497" s="885"/>
      <c r="H1497" s="930"/>
      <c r="I1497" s="885"/>
      <c r="J1497" s="885"/>
      <c r="K1497" s="885"/>
      <c r="L1497" s="885"/>
      <c r="M1497" s="885"/>
      <c r="N1497" s="887"/>
      <c r="O1497" s="885"/>
      <c r="P1497" s="885"/>
      <c r="Q1497" s="885"/>
      <c r="R1497" s="885"/>
      <c r="S1497" s="885"/>
      <c r="T1497" s="885"/>
      <c r="U1497" s="885"/>
      <c r="V1497" s="885"/>
      <c r="W1497" s="885"/>
      <c r="X1497" s="885"/>
      <c r="Y1497" s="885"/>
      <c r="Z1497" s="885"/>
    </row>
    <row r="1498" ht="15.75" customHeight="1">
      <c r="A1498" s="884"/>
      <c r="B1498" s="884"/>
      <c r="C1498" s="884"/>
      <c r="D1498" s="884"/>
      <c r="E1498" s="885"/>
      <c r="F1498" s="885"/>
      <c r="G1498" s="885"/>
      <c r="H1498" s="930"/>
      <c r="I1498" s="885"/>
      <c r="J1498" s="885"/>
      <c r="K1498" s="885"/>
      <c r="L1498" s="885"/>
      <c r="M1498" s="885"/>
      <c r="N1498" s="887"/>
      <c r="O1498" s="885"/>
      <c r="P1498" s="885"/>
      <c r="Q1498" s="885"/>
      <c r="R1498" s="885"/>
      <c r="S1498" s="885"/>
      <c r="T1498" s="885"/>
      <c r="U1498" s="885"/>
      <c r="V1498" s="885"/>
      <c r="W1498" s="885"/>
      <c r="X1498" s="885"/>
      <c r="Y1498" s="885"/>
      <c r="Z1498" s="885"/>
    </row>
    <row r="1499" ht="15.75" customHeight="1">
      <c r="A1499" s="884"/>
      <c r="B1499" s="884"/>
      <c r="C1499" s="884"/>
      <c r="D1499" s="884"/>
      <c r="E1499" s="885"/>
      <c r="F1499" s="885"/>
      <c r="G1499" s="885"/>
      <c r="H1499" s="930"/>
      <c r="I1499" s="885"/>
      <c r="J1499" s="885"/>
      <c r="K1499" s="885"/>
      <c r="L1499" s="885"/>
      <c r="M1499" s="885"/>
      <c r="N1499" s="887"/>
      <c r="O1499" s="885"/>
      <c r="P1499" s="885"/>
      <c r="Q1499" s="885"/>
      <c r="R1499" s="885"/>
      <c r="S1499" s="885"/>
      <c r="T1499" s="885"/>
      <c r="U1499" s="885"/>
      <c r="V1499" s="885"/>
      <c r="W1499" s="885"/>
      <c r="X1499" s="885"/>
      <c r="Y1499" s="885"/>
      <c r="Z1499" s="885"/>
    </row>
    <row r="1500" ht="15.75" customHeight="1">
      <c r="A1500" s="884"/>
      <c r="B1500" s="884"/>
      <c r="C1500" s="884"/>
      <c r="D1500" s="884"/>
      <c r="E1500" s="885"/>
      <c r="F1500" s="885"/>
      <c r="G1500" s="885"/>
      <c r="H1500" s="930"/>
      <c r="I1500" s="885"/>
      <c r="J1500" s="885"/>
      <c r="K1500" s="885"/>
      <c r="L1500" s="885"/>
      <c r="M1500" s="885"/>
      <c r="N1500" s="887"/>
      <c r="O1500" s="885"/>
      <c r="P1500" s="885"/>
      <c r="Q1500" s="885"/>
      <c r="R1500" s="885"/>
      <c r="S1500" s="885"/>
      <c r="T1500" s="885"/>
      <c r="U1500" s="885"/>
      <c r="V1500" s="885"/>
      <c r="W1500" s="885"/>
      <c r="X1500" s="885"/>
      <c r="Y1500" s="885"/>
      <c r="Z1500" s="885"/>
    </row>
    <row r="1501" ht="15.75" customHeight="1">
      <c r="A1501" s="884"/>
      <c r="B1501" s="884"/>
      <c r="C1501" s="884"/>
      <c r="D1501" s="884"/>
      <c r="E1501" s="885"/>
      <c r="F1501" s="885"/>
      <c r="G1501" s="885"/>
      <c r="H1501" s="930"/>
      <c r="I1501" s="885"/>
      <c r="J1501" s="885"/>
      <c r="K1501" s="885"/>
      <c r="L1501" s="885"/>
      <c r="M1501" s="885"/>
      <c r="N1501" s="887"/>
      <c r="O1501" s="885"/>
      <c r="P1501" s="885"/>
      <c r="Q1501" s="885"/>
      <c r="R1501" s="885"/>
      <c r="S1501" s="885"/>
      <c r="T1501" s="885"/>
      <c r="U1501" s="885"/>
      <c r="V1501" s="885"/>
      <c r="W1501" s="885"/>
      <c r="X1501" s="885"/>
      <c r="Y1501" s="885"/>
      <c r="Z1501" s="885"/>
    </row>
    <row r="1502" ht="15.75" customHeight="1">
      <c r="A1502" s="884"/>
      <c r="B1502" s="884"/>
      <c r="C1502" s="884"/>
      <c r="D1502" s="884"/>
      <c r="E1502" s="885"/>
      <c r="F1502" s="885"/>
      <c r="G1502" s="885"/>
      <c r="H1502" s="930"/>
      <c r="I1502" s="885"/>
      <c r="J1502" s="885"/>
      <c r="K1502" s="885"/>
      <c r="L1502" s="885"/>
      <c r="M1502" s="885"/>
      <c r="N1502" s="887"/>
      <c r="O1502" s="885"/>
      <c r="P1502" s="885"/>
      <c r="Q1502" s="885"/>
      <c r="R1502" s="885"/>
      <c r="S1502" s="885"/>
      <c r="T1502" s="885"/>
      <c r="U1502" s="885"/>
      <c r="V1502" s="885"/>
      <c r="W1502" s="885"/>
      <c r="X1502" s="885"/>
      <c r="Y1502" s="885"/>
      <c r="Z1502" s="885"/>
    </row>
    <row r="1503" ht="15.75" customHeight="1">
      <c r="A1503" s="884"/>
      <c r="B1503" s="884"/>
      <c r="C1503" s="884"/>
      <c r="D1503" s="884"/>
      <c r="E1503" s="885"/>
      <c r="F1503" s="885"/>
      <c r="G1503" s="885"/>
      <c r="H1503" s="930"/>
      <c r="I1503" s="885"/>
      <c r="J1503" s="885"/>
      <c r="K1503" s="885"/>
      <c r="L1503" s="885"/>
      <c r="M1503" s="885"/>
      <c r="N1503" s="887"/>
      <c r="O1503" s="885"/>
      <c r="P1503" s="885"/>
      <c r="Q1503" s="885"/>
      <c r="R1503" s="885"/>
      <c r="S1503" s="885"/>
      <c r="T1503" s="885"/>
      <c r="U1503" s="885"/>
      <c r="V1503" s="885"/>
      <c r="W1503" s="885"/>
      <c r="X1503" s="885"/>
      <c r="Y1503" s="885"/>
      <c r="Z1503" s="885"/>
    </row>
    <row r="1504" ht="15.75" customHeight="1">
      <c r="A1504" s="884"/>
      <c r="B1504" s="884"/>
      <c r="C1504" s="884"/>
      <c r="D1504" s="884"/>
      <c r="E1504" s="885"/>
      <c r="F1504" s="885"/>
      <c r="G1504" s="885"/>
      <c r="H1504" s="930"/>
      <c r="I1504" s="885"/>
      <c r="J1504" s="885"/>
      <c r="K1504" s="885"/>
      <c r="L1504" s="885"/>
      <c r="M1504" s="885"/>
      <c r="N1504" s="887"/>
      <c r="O1504" s="885"/>
      <c r="P1504" s="885"/>
      <c r="Q1504" s="885"/>
      <c r="R1504" s="885"/>
      <c r="S1504" s="885"/>
      <c r="T1504" s="885"/>
      <c r="U1504" s="885"/>
      <c r="V1504" s="885"/>
      <c r="W1504" s="885"/>
      <c r="X1504" s="885"/>
      <c r="Y1504" s="885"/>
      <c r="Z1504" s="885"/>
    </row>
    <row r="1505" ht="15.75" customHeight="1">
      <c r="A1505" s="884"/>
      <c r="B1505" s="884"/>
      <c r="C1505" s="884"/>
      <c r="D1505" s="884"/>
      <c r="E1505" s="885"/>
      <c r="F1505" s="885"/>
      <c r="G1505" s="885"/>
      <c r="H1505" s="930"/>
      <c r="I1505" s="885"/>
      <c r="J1505" s="885"/>
      <c r="K1505" s="885"/>
      <c r="L1505" s="885"/>
      <c r="M1505" s="885"/>
      <c r="N1505" s="887"/>
      <c r="O1505" s="885"/>
      <c r="P1505" s="885"/>
      <c r="Q1505" s="885"/>
      <c r="R1505" s="885"/>
      <c r="S1505" s="885"/>
      <c r="T1505" s="885"/>
      <c r="U1505" s="885"/>
      <c r="V1505" s="885"/>
      <c r="W1505" s="885"/>
      <c r="X1505" s="885"/>
      <c r="Y1505" s="885"/>
      <c r="Z1505" s="885"/>
    </row>
    <row r="1506" ht="15.75" customHeight="1">
      <c r="A1506" s="884"/>
      <c r="B1506" s="884"/>
      <c r="C1506" s="884"/>
      <c r="D1506" s="884"/>
      <c r="E1506" s="885"/>
      <c r="F1506" s="885"/>
      <c r="G1506" s="885"/>
      <c r="H1506" s="930"/>
      <c r="I1506" s="885"/>
      <c r="J1506" s="885"/>
      <c r="K1506" s="885"/>
      <c r="L1506" s="885"/>
      <c r="M1506" s="885"/>
      <c r="N1506" s="887"/>
      <c r="O1506" s="885"/>
      <c r="P1506" s="885"/>
      <c r="Q1506" s="885"/>
      <c r="R1506" s="885"/>
      <c r="S1506" s="885"/>
      <c r="T1506" s="885"/>
      <c r="U1506" s="885"/>
      <c r="V1506" s="885"/>
      <c r="W1506" s="885"/>
      <c r="X1506" s="885"/>
      <c r="Y1506" s="885"/>
      <c r="Z1506" s="885"/>
    </row>
    <row r="1507" ht="15.75" customHeight="1">
      <c r="A1507" s="884"/>
      <c r="B1507" s="884"/>
      <c r="C1507" s="884"/>
      <c r="D1507" s="884"/>
      <c r="E1507" s="885"/>
      <c r="F1507" s="885"/>
      <c r="G1507" s="885"/>
      <c r="H1507" s="930"/>
      <c r="I1507" s="885"/>
      <c r="J1507" s="885"/>
      <c r="K1507" s="885"/>
      <c r="L1507" s="885"/>
      <c r="M1507" s="885"/>
      <c r="N1507" s="887"/>
      <c r="O1507" s="885"/>
      <c r="P1507" s="885"/>
      <c r="Q1507" s="885"/>
      <c r="R1507" s="885"/>
      <c r="S1507" s="885"/>
      <c r="T1507" s="885"/>
      <c r="U1507" s="885"/>
      <c r="V1507" s="885"/>
      <c r="W1507" s="885"/>
      <c r="X1507" s="885"/>
      <c r="Y1507" s="885"/>
      <c r="Z1507" s="885"/>
    </row>
    <row r="1508" ht="15.75" customHeight="1">
      <c r="A1508" s="884"/>
      <c r="B1508" s="884"/>
      <c r="C1508" s="884"/>
      <c r="D1508" s="884"/>
      <c r="E1508" s="885"/>
      <c r="F1508" s="885"/>
      <c r="G1508" s="885"/>
      <c r="H1508" s="930"/>
      <c r="I1508" s="885"/>
      <c r="J1508" s="885"/>
      <c r="K1508" s="885"/>
      <c r="L1508" s="885"/>
      <c r="M1508" s="885"/>
      <c r="N1508" s="887"/>
      <c r="O1508" s="885"/>
      <c r="P1508" s="885"/>
      <c r="Q1508" s="885"/>
      <c r="R1508" s="885"/>
      <c r="S1508" s="885"/>
      <c r="T1508" s="885"/>
      <c r="U1508" s="885"/>
      <c r="V1508" s="885"/>
      <c r="W1508" s="885"/>
      <c r="X1508" s="885"/>
      <c r="Y1508" s="885"/>
      <c r="Z1508" s="885"/>
    </row>
    <row r="1509" ht="15.75" customHeight="1">
      <c r="A1509" s="884"/>
      <c r="B1509" s="884"/>
      <c r="C1509" s="884"/>
      <c r="D1509" s="884"/>
      <c r="E1509" s="885"/>
      <c r="F1509" s="885"/>
      <c r="G1509" s="885"/>
      <c r="H1509" s="930"/>
      <c r="I1509" s="885"/>
      <c r="J1509" s="885"/>
      <c r="K1509" s="885"/>
      <c r="L1509" s="885"/>
      <c r="M1509" s="885"/>
      <c r="N1509" s="887"/>
      <c r="O1509" s="885"/>
      <c r="P1509" s="885"/>
      <c r="Q1509" s="885"/>
      <c r="R1509" s="885"/>
      <c r="S1509" s="885"/>
      <c r="T1509" s="885"/>
      <c r="U1509" s="885"/>
      <c r="V1509" s="885"/>
      <c r="W1509" s="885"/>
      <c r="X1509" s="885"/>
      <c r="Y1509" s="885"/>
      <c r="Z1509" s="885"/>
    </row>
    <row r="1510" ht="15.75" customHeight="1">
      <c r="A1510" s="884"/>
      <c r="B1510" s="884"/>
      <c r="C1510" s="884"/>
      <c r="D1510" s="884"/>
      <c r="E1510" s="885"/>
      <c r="F1510" s="885"/>
      <c r="G1510" s="885"/>
      <c r="H1510" s="930"/>
      <c r="I1510" s="885"/>
      <c r="J1510" s="885"/>
      <c r="K1510" s="885"/>
      <c r="L1510" s="885"/>
      <c r="M1510" s="885"/>
      <c r="N1510" s="887"/>
      <c r="O1510" s="885"/>
      <c r="P1510" s="885"/>
      <c r="Q1510" s="885"/>
      <c r="R1510" s="885"/>
      <c r="S1510" s="885"/>
      <c r="T1510" s="885"/>
      <c r="U1510" s="885"/>
      <c r="V1510" s="885"/>
      <c r="W1510" s="885"/>
      <c r="X1510" s="885"/>
      <c r="Y1510" s="885"/>
      <c r="Z1510" s="885"/>
    </row>
    <row r="1511" ht="15.75" customHeight="1">
      <c r="A1511" s="884"/>
      <c r="B1511" s="884"/>
      <c r="C1511" s="884"/>
      <c r="D1511" s="884"/>
      <c r="E1511" s="885"/>
      <c r="F1511" s="885"/>
      <c r="G1511" s="885"/>
      <c r="H1511" s="930"/>
      <c r="I1511" s="885"/>
      <c r="J1511" s="885"/>
      <c r="K1511" s="885"/>
      <c r="L1511" s="885"/>
      <c r="M1511" s="885"/>
      <c r="N1511" s="887"/>
      <c r="O1511" s="885"/>
      <c r="P1511" s="885"/>
      <c r="Q1511" s="885"/>
      <c r="R1511" s="885"/>
      <c r="S1511" s="885"/>
      <c r="T1511" s="885"/>
      <c r="U1511" s="885"/>
      <c r="V1511" s="885"/>
      <c r="W1511" s="885"/>
      <c r="X1511" s="885"/>
      <c r="Y1511" s="885"/>
      <c r="Z1511" s="885"/>
    </row>
    <row r="1512" ht="15.75" customHeight="1">
      <c r="A1512" s="884"/>
      <c r="B1512" s="884"/>
      <c r="C1512" s="884"/>
      <c r="D1512" s="884"/>
      <c r="E1512" s="885"/>
      <c r="F1512" s="885"/>
      <c r="G1512" s="885"/>
      <c r="H1512" s="930"/>
      <c r="I1512" s="885"/>
      <c r="J1512" s="885"/>
      <c r="K1512" s="885"/>
      <c r="L1512" s="885"/>
      <c r="M1512" s="885"/>
      <c r="N1512" s="887"/>
      <c r="O1512" s="885"/>
      <c r="P1512" s="885"/>
      <c r="Q1512" s="885"/>
      <c r="R1512" s="885"/>
      <c r="S1512" s="885"/>
      <c r="T1512" s="885"/>
      <c r="U1512" s="885"/>
      <c r="V1512" s="885"/>
      <c r="W1512" s="885"/>
      <c r="X1512" s="885"/>
      <c r="Y1512" s="885"/>
      <c r="Z1512" s="885"/>
    </row>
    <row r="1513" ht="15.75" customHeight="1">
      <c r="A1513" s="884"/>
      <c r="B1513" s="884"/>
      <c r="C1513" s="884"/>
      <c r="D1513" s="884"/>
      <c r="E1513" s="885"/>
      <c r="F1513" s="885"/>
      <c r="G1513" s="885"/>
      <c r="H1513" s="930"/>
      <c r="I1513" s="885"/>
      <c r="J1513" s="885"/>
      <c r="K1513" s="885"/>
      <c r="L1513" s="885"/>
      <c r="M1513" s="885"/>
      <c r="N1513" s="887"/>
      <c r="O1513" s="885"/>
      <c r="P1513" s="885"/>
      <c r="Q1513" s="885"/>
      <c r="R1513" s="885"/>
      <c r="S1513" s="885"/>
      <c r="T1513" s="885"/>
      <c r="U1513" s="885"/>
      <c r="V1513" s="885"/>
      <c r="W1513" s="885"/>
      <c r="X1513" s="885"/>
      <c r="Y1513" s="885"/>
      <c r="Z1513" s="885"/>
    </row>
    <row r="1514" ht="15.75" customHeight="1">
      <c r="A1514" s="884"/>
      <c r="B1514" s="884"/>
      <c r="C1514" s="884"/>
      <c r="D1514" s="884"/>
      <c r="E1514" s="885"/>
      <c r="F1514" s="885"/>
      <c r="G1514" s="885"/>
      <c r="H1514" s="930"/>
      <c r="I1514" s="885"/>
      <c r="J1514" s="885"/>
      <c r="K1514" s="885"/>
      <c r="L1514" s="885"/>
      <c r="M1514" s="885"/>
      <c r="N1514" s="887"/>
      <c r="O1514" s="885"/>
      <c r="P1514" s="885"/>
      <c r="Q1514" s="885"/>
      <c r="R1514" s="885"/>
      <c r="S1514" s="885"/>
      <c r="T1514" s="885"/>
      <c r="U1514" s="885"/>
      <c r="V1514" s="885"/>
      <c r="W1514" s="885"/>
      <c r="X1514" s="885"/>
      <c r="Y1514" s="885"/>
      <c r="Z1514" s="885"/>
    </row>
    <row r="1515" ht="15.75" customHeight="1">
      <c r="A1515" s="884"/>
      <c r="B1515" s="884"/>
      <c r="C1515" s="884"/>
      <c r="D1515" s="884"/>
      <c r="E1515" s="885"/>
      <c r="F1515" s="885"/>
      <c r="G1515" s="885"/>
      <c r="H1515" s="930"/>
      <c r="I1515" s="885"/>
      <c r="J1515" s="885"/>
      <c r="K1515" s="885"/>
      <c r="L1515" s="885"/>
      <c r="M1515" s="885"/>
      <c r="N1515" s="887"/>
      <c r="O1515" s="885"/>
      <c r="P1515" s="885"/>
      <c r="Q1515" s="885"/>
      <c r="R1515" s="885"/>
      <c r="S1515" s="885"/>
      <c r="T1515" s="885"/>
      <c r="U1515" s="885"/>
      <c r="V1515" s="885"/>
      <c r="W1515" s="885"/>
      <c r="X1515" s="885"/>
      <c r="Y1515" s="885"/>
      <c r="Z1515" s="885"/>
    </row>
    <row r="1516" ht="15.75" customHeight="1">
      <c r="A1516" s="884"/>
      <c r="B1516" s="884"/>
      <c r="C1516" s="884"/>
      <c r="D1516" s="884"/>
      <c r="E1516" s="885"/>
      <c r="F1516" s="885"/>
      <c r="G1516" s="885"/>
      <c r="H1516" s="930"/>
      <c r="I1516" s="885"/>
      <c r="J1516" s="885"/>
      <c r="K1516" s="885"/>
      <c r="L1516" s="885"/>
      <c r="M1516" s="885"/>
      <c r="N1516" s="887"/>
      <c r="O1516" s="885"/>
      <c r="P1516" s="885"/>
      <c r="Q1516" s="885"/>
      <c r="R1516" s="885"/>
      <c r="S1516" s="885"/>
      <c r="T1516" s="885"/>
      <c r="U1516" s="885"/>
      <c r="V1516" s="885"/>
      <c r="W1516" s="885"/>
      <c r="X1516" s="885"/>
      <c r="Y1516" s="885"/>
      <c r="Z1516" s="885"/>
    </row>
    <row r="1517" ht="15.75" customHeight="1">
      <c r="A1517" s="884"/>
      <c r="B1517" s="884"/>
      <c r="C1517" s="884"/>
      <c r="D1517" s="884"/>
      <c r="E1517" s="885"/>
      <c r="F1517" s="885"/>
      <c r="G1517" s="885"/>
      <c r="H1517" s="930"/>
      <c r="I1517" s="885"/>
      <c r="J1517" s="885"/>
      <c r="K1517" s="885"/>
      <c r="L1517" s="885"/>
      <c r="M1517" s="885"/>
      <c r="N1517" s="887"/>
      <c r="O1517" s="885"/>
      <c r="P1517" s="885"/>
      <c r="Q1517" s="885"/>
      <c r="R1517" s="885"/>
      <c r="S1517" s="885"/>
      <c r="T1517" s="885"/>
      <c r="U1517" s="885"/>
      <c r="V1517" s="885"/>
      <c r="W1517" s="885"/>
      <c r="X1517" s="885"/>
      <c r="Y1517" s="885"/>
      <c r="Z1517" s="885"/>
    </row>
    <row r="1518" ht="15.75" customHeight="1">
      <c r="A1518" s="884"/>
      <c r="B1518" s="884"/>
      <c r="C1518" s="884"/>
      <c r="D1518" s="884"/>
      <c r="E1518" s="885"/>
      <c r="F1518" s="885"/>
      <c r="G1518" s="885"/>
      <c r="H1518" s="930"/>
      <c r="I1518" s="885"/>
      <c r="J1518" s="885"/>
      <c r="K1518" s="885"/>
      <c r="L1518" s="885"/>
      <c r="M1518" s="885"/>
      <c r="N1518" s="887"/>
      <c r="O1518" s="885"/>
      <c r="P1518" s="885"/>
      <c r="Q1518" s="885"/>
      <c r="R1518" s="885"/>
      <c r="S1518" s="885"/>
      <c r="T1518" s="885"/>
      <c r="U1518" s="885"/>
      <c r="V1518" s="885"/>
      <c r="W1518" s="885"/>
      <c r="X1518" s="885"/>
      <c r="Y1518" s="885"/>
      <c r="Z1518" s="885"/>
    </row>
    <row r="1519" ht="15.75" customHeight="1">
      <c r="A1519" s="884"/>
      <c r="B1519" s="884"/>
      <c r="C1519" s="884"/>
      <c r="D1519" s="884"/>
      <c r="E1519" s="885"/>
      <c r="F1519" s="885"/>
      <c r="G1519" s="885"/>
      <c r="H1519" s="930"/>
      <c r="I1519" s="885"/>
      <c r="J1519" s="885"/>
      <c r="K1519" s="885"/>
      <c r="L1519" s="885"/>
      <c r="M1519" s="885"/>
      <c r="N1519" s="887"/>
      <c r="O1519" s="885"/>
      <c r="P1519" s="885"/>
      <c r="Q1519" s="885"/>
      <c r="R1519" s="885"/>
      <c r="S1519" s="885"/>
      <c r="T1519" s="885"/>
      <c r="U1519" s="885"/>
      <c r="V1519" s="885"/>
      <c r="W1519" s="885"/>
      <c r="X1519" s="885"/>
      <c r="Y1519" s="885"/>
      <c r="Z1519" s="885"/>
    </row>
    <row r="1520" ht="15.75" customHeight="1">
      <c r="A1520" s="884"/>
      <c r="B1520" s="884"/>
      <c r="C1520" s="884"/>
      <c r="D1520" s="884"/>
      <c r="E1520" s="885"/>
      <c r="F1520" s="885"/>
      <c r="G1520" s="885"/>
      <c r="H1520" s="930"/>
      <c r="I1520" s="885"/>
      <c r="J1520" s="885"/>
      <c r="K1520" s="885"/>
      <c r="L1520" s="885"/>
      <c r="M1520" s="885"/>
      <c r="N1520" s="887"/>
      <c r="O1520" s="885"/>
      <c r="P1520" s="885"/>
      <c r="Q1520" s="885"/>
      <c r="R1520" s="885"/>
      <c r="S1520" s="885"/>
      <c r="T1520" s="885"/>
      <c r="U1520" s="885"/>
      <c r="V1520" s="885"/>
      <c r="W1520" s="885"/>
      <c r="X1520" s="885"/>
      <c r="Y1520" s="885"/>
      <c r="Z1520" s="885"/>
    </row>
    <row r="1521" ht="15.75" customHeight="1">
      <c r="A1521" s="884"/>
      <c r="B1521" s="884"/>
      <c r="C1521" s="884"/>
      <c r="D1521" s="884"/>
      <c r="E1521" s="885"/>
      <c r="F1521" s="885"/>
      <c r="G1521" s="885"/>
      <c r="H1521" s="930"/>
      <c r="I1521" s="885"/>
      <c r="J1521" s="885"/>
      <c r="K1521" s="885"/>
      <c r="L1521" s="885"/>
      <c r="M1521" s="885"/>
      <c r="N1521" s="887"/>
      <c r="O1521" s="885"/>
      <c r="P1521" s="885"/>
      <c r="Q1521" s="885"/>
      <c r="R1521" s="885"/>
      <c r="S1521" s="885"/>
      <c r="T1521" s="885"/>
      <c r="U1521" s="885"/>
      <c r="V1521" s="885"/>
      <c r="W1521" s="885"/>
      <c r="X1521" s="885"/>
      <c r="Y1521" s="885"/>
      <c r="Z1521" s="885"/>
    </row>
    <row r="1522" ht="15.75" customHeight="1">
      <c r="A1522" s="884"/>
      <c r="B1522" s="884"/>
      <c r="C1522" s="884"/>
      <c r="D1522" s="884"/>
      <c r="E1522" s="885"/>
      <c r="F1522" s="885"/>
      <c r="G1522" s="885"/>
      <c r="H1522" s="930"/>
      <c r="I1522" s="885"/>
      <c r="J1522" s="885"/>
      <c r="K1522" s="885"/>
      <c r="L1522" s="885"/>
      <c r="M1522" s="885"/>
      <c r="N1522" s="887"/>
      <c r="O1522" s="885"/>
      <c r="P1522" s="885"/>
      <c r="Q1522" s="885"/>
      <c r="R1522" s="885"/>
      <c r="S1522" s="885"/>
      <c r="T1522" s="885"/>
      <c r="U1522" s="885"/>
      <c r="V1522" s="885"/>
      <c r="W1522" s="885"/>
      <c r="X1522" s="885"/>
      <c r="Y1522" s="885"/>
      <c r="Z1522" s="885"/>
    </row>
    <row r="1523" ht="15.75" customHeight="1">
      <c r="A1523" s="884"/>
      <c r="B1523" s="884"/>
      <c r="C1523" s="884"/>
      <c r="D1523" s="884"/>
      <c r="E1523" s="885"/>
      <c r="F1523" s="885"/>
      <c r="G1523" s="885"/>
      <c r="H1523" s="930"/>
      <c r="I1523" s="885"/>
      <c r="J1523" s="885"/>
      <c r="K1523" s="885"/>
      <c r="L1523" s="885"/>
      <c r="M1523" s="885"/>
      <c r="N1523" s="887"/>
      <c r="O1523" s="885"/>
      <c r="P1523" s="885"/>
      <c r="Q1523" s="885"/>
      <c r="R1523" s="885"/>
      <c r="S1523" s="885"/>
      <c r="T1523" s="885"/>
      <c r="U1523" s="885"/>
      <c r="V1523" s="885"/>
      <c r="W1523" s="885"/>
      <c r="X1523" s="885"/>
      <c r="Y1523" s="885"/>
      <c r="Z1523" s="885"/>
    </row>
    <row r="1524" ht="15.75" customHeight="1">
      <c r="A1524" s="884"/>
      <c r="B1524" s="884"/>
      <c r="C1524" s="884"/>
      <c r="D1524" s="884"/>
      <c r="E1524" s="885"/>
      <c r="F1524" s="885"/>
      <c r="G1524" s="885"/>
      <c r="H1524" s="930"/>
      <c r="I1524" s="885"/>
      <c r="J1524" s="885"/>
      <c r="K1524" s="885"/>
      <c r="L1524" s="885"/>
      <c r="M1524" s="885"/>
      <c r="N1524" s="887"/>
      <c r="O1524" s="885"/>
      <c r="P1524" s="885"/>
      <c r="Q1524" s="885"/>
      <c r="R1524" s="885"/>
      <c r="S1524" s="885"/>
      <c r="T1524" s="885"/>
      <c r="U1524" s="885"/>
      <c r="V1524" s="885"/>
      <c r="W1524" s="885"/>
      <c r="X1524" s="885"/>
      <c r="Y1524" s="885"/>
      <c r="Z1524" s="885"/>
    </row>
    <row r="1525" ht="15.75" customHeight="1">
      <c r="A1525" s="884"/>
      <c r="B1525" s="884"/>
      <c r="C1525" s="884"/>
      <c r="D1525" s="884"/>
      <c r="E1525" s="885"/>
      <c r="F1525" s="885"/>
      <c r="G1525" s="885"/>
      <c r="H1525" s="930"/>
      <c r="I1525" s="885"/>
      <c r="J1525" s="885"/>
      <c r="K1525" s="885"/>
      <c r="L1525" s="885"/>
      <c r="M1525" s="885"/>
      <c r="N1525" s="887"/>
      <c r="O1525" s="885"/>
      <c r="P1525" s="885"/>
      <c r="Q1525" s="885"/>
      <c r="R1525" s="885"/>
      <c r="S1525" s="885"/>
      <c r="T1525" s="885"/>
      <c r="U1525" s="885"/>
      <c r="V1525" s="885"/>
      <c r="W1525" s="885"/>
      <c r="X1525" s="885"/>
      <c r="Y1525" s="885"/>
      <c r="Z1525" s="885"/>
    </row>
    <row r="1526" ht="15.75" customHeight="1">
      <c r="A1526" s="884"/>
      <c r="B1526" s="884"/>
      <c r="C1526" s="884"/>
      <c r="D1526" s="884"/>
      <c r="E1526" s="885"/>
      <c r="F1526" s="885"/>
      <c r="G1526" s="885"/>
      <c r="H1526" s="930"/>
      <c r="I1526" s="885"/>
      <c r="J1526" s="885"/>
      <c r="K1526" s="885"/>
      <c r="L1526" s="885"/>
      <c r="M1526" s="885"/>
      <c r="N1526" s="887"/>
      <c r="O1526" s="885"/>
      <c r="P1526" s="885"/>
      <c r="Q1526" s="885"/>
      <c r="R1526" s="885"/>
      <c r="S1526" s="885"/>
      <c r="T1526" s="885"/>
      <c r="U1526" s="885"/>
      <c r="V1526" s="885"/>
      <c r="W1526" s="885"/>
      <c r="X1526" s="885"/>
      <c r="Y1526" s="885"/>
      <c r="Z1526" s="885"/>
    </row>
    <row r="1527" ht="15.75" customHeight="1">
      <c r="A1527" s="884"/>
      <c r="B1527" s="884"/>
      <c r="C1527" s="884"/>
      <c r="D1527" s="884"/>
      <c r="E1527" s="885"/>
      <c r="F1527" s="885"/>
      <c r="G1527" s="885"/>
      <c r="H1527" s="930"/>
      <c r="I1527" s="885"/>
      <c r="J1527" s="885"/>
      <c r="K1527" s="885"/>
      <c r="L1527" s="885"/>
      <c r="M1527" s="885"/>
      <c r="N1527" s="887"/>
      <c r="O1527" s="885"/>
      <c r="P1527" s="885"/>
      <c r="Q1527" s="885"/>
      <c r="R1527" s="885"/>
      <c r="S1527" s="885"/>
      <c r="T1527" s="885"/>
      <c r="U1527" s="885"/>
      <c r="V1527" s="885"/>
      <c r="W1527" s="885"/>
      <c r="X1527" s="885"/>
      <c r="Y1527" s="885"/>
      <c r="Z1527" s="885"/>
    </row>
    <row r="1528" ht="15.75" customHeight="1">
      <c r="A1528" s="884"/>
      <c r="B1528" s="884"/>
      <c r="C1528" s="884"/>
      <c r="D1528" s="884"/>
      <c r="E1528" s="885"/>
      <c r="F1528" s="885"/>
      <c r="G1528" s="885"/>
      <c r="H1528" s="930"/>
      <c r="I1528" s="885"/>
      <c r="J1528" s="885"/>
      <c r="K1528" s="885"/>
      <c r="L1528" s="885"/>
      <c r="M1528" s="885"/>
      <c r="N1528" s="887"/>
      <c r="O1528" s="885"/>
      <c r="P1528" s="885"/>
      <c r="Q1528" s="885"/>
      <c r="R1528" s="885"/>
      <c r="S1528" s="885"/>
      <c r="T1528" s="885"/>
      <c r="U1528" s="885"/>
      <c r="V1528" s="885"/>
      <c r="W1528" s="885"/>
      <c r="X1528" s="885"/>
      <c r="Y1528" s="885"/>
      <c r="Z1528" s="885"/>
    </row>
    <row r="1529" ht="15.75" customHeight="1">
      <c r="A1529" s="884"/>
      <c r="B1529" s="884"/>
      <c r="C1529" s="884"/>
      <c r="D1529" s="884"/>
      <c r="E1529" s="885"/>
      <c r="F1529" s="885"/>
      <c r="G1529" s="885"/>
      <c r="H1529" s="930"/>
      <c r="I1529" s="885"/>
      <c r="J1529" s="885"/>
      <c r="K1529" s="885"/>
      <c r="L1529" s="885"/>
      <c r="M1529" s="885"/>
      <c r="N1529" s="887"/>
      <c r="O1529" s="885"/>
      <c r="P1529" s="885"/>
      <c r="Q1529" s="885"/>
      <c r="R1529" s="885"/>
      <c r="S1529" s="885"/>
      <c r="T1529" s="885"/>
      <c r="U1529" s="885"/>
      <c r="V1529" s="885"/>
      <c r="W1529" s="885"/>
      <c r="X1529" s="885"/>
      <c r="Y1529" s="885"/>
      <c r="Z1529" s="885"/>
    </row>
    <row r="1530" ht="15.75" customHeight="1">
      <c r="A1530" s="884"/>
      <c r="B1530" s="884"/>
      <c r="C1530" s="884"/>
      <c r="D1530" s="884"/>
      <c r="E1530" s="885"/>
      <c r="F1530" s="885"/>
      <c r="G1530" s="885"/>
      <c r="H1530" s="930"/>
      <c r="I1530" s="885"/>
      <c r="J1530" s="885"/>
      <c r="K1530" s="885"/>
      <c r="L1530" s="885"/>
      <c r="M1530" s="885"/>
      <c r="N1530" s="887"/>
      <c r="O1530" s="885"/>
      <c r="P1530" s="885"/>
      <c r="Q1530" s="885"/>
      <c r="R1530" s="885"/>
      <c r="S1530" s="885"/>
      <c r="T1530" s="885"/>
      <c r="U1530" s="885"/>
      <c r="V1530" s="885"/>
      <c r="W1530" s="885"/>
      <c r="X1530" s="885"/>
      <c r="Y1530" s="885"/>
      <c r="Z1530" s="885"/>
    </row>
    <row r="1531" ht="15.75" customHeight="1">
      <c r="A1531" s="884"/>
      <c r="B1531" s="884"/>
      <c r="C1531" s="884"/>
      <c r="D1531" s="884"/>
      <c r="E1531" s="885"/>
      <c r="F1531" s="885"/>
      <c r="G1531" s="885"/>
      <c r="H1531" s="930"/>
      <c r="I1531" s="885"/>
      <c r="J1531" s="885"/>
      <c r="K1531" s="885"/>
      <c r="L1531" s="885"/>
      <c r="M1531" s="885"/>
      <c r="N1531" s="887"/>
      <c r="O1531" s="885"/>
      <c r="P1531" s="885"/>
      <c r="Q1531" s="885"/>
      <c r="R1531" s="885"/>
      <c r="S1531" s="885"/>
      <c r="T1531" s="885"/>
      <c r="U1531" s="885"/>
      <c r="V1531" s="885"/>
      <c r="W1531" s="885"/>
      <c r="X1531" s="885"/>
      <c r="Y1531" s="885"/>
      <c r="Z1531" s="885"/>
    </row>
    <row r="1532" ht="15.75" customHeight="1">
      <c r="A1532" s="884"/>
      <c r="B1532" s="884"/>
      <c r="C1532" s="884"/>
      <c r="D1532" s="884"/>
      <c r="E1532" s="885"/>
      <c r="F1532" s="885"/>
      <c r="G1532" s="885"/>
      <c r="H1532" s="930"/>
      <c r="I1532" s="885"/>
      <c r="J1532" s="885"/>
      <c r="K1532" s="885"/>
      <c r="L1532" s="885"/>
      <c r="M1532" s="885"/>
      <c r="N1532" s="887"/>
      <c r="O1532" s="885"/>
      <c r="P1532" s="885"/>
      <c r="Q1532" s="885"/>
      <c r="R1532" s="885"/>
      <c r="S1532" s="885"/>
      <c r="T1532" s="885"/>
      <c r="U1532" s="885"/>
      <c r="V1532" s="885"/>
      <c r="W1532" s="885"/>
      <c r="X1532" s="885"/>
      <c r="Y1532" s="885"/>
      <c r="Z1532" s="885"/>
    </row>
    <row r="1533" ht="15.75" customHeight="1">
      <c r="A1533" s="884"/>
      <c r="B1533" s="884"/>
      <c r="C1533" s="884"/>
      <c r="D1533" s="884"/>
      <c r="E1533" s="885"/>
      <c r="F1533" s="885"/>
      <c r="G1533" s="885"/>
      <c r="H1533" s="930"/>
      <c r="I1533" s="885"/>
      <c r="J1533" s="885"/>
      <c r="K1533" s="885"/>
      <c r="L1533" s="885"/>
      <c r="M1533" s="885"/>
      <c r="N1533" s="887"/>
      <c r="O1533" s="885"/>
      <c r="P1533" s="885"/>
      <c r="Q1533" s="885"/>
      <c r="R1533" s="885"/>
      <c r="S1533" s="885"/>
      <c r="T1533" s="885"/>
      <c r="U1533" s="885"/>
      <c r="V1533" s="885"/>
      <c r="W1533" s="885"/>
      <c r="X1533" s="885"/>
      <c r="Y1533" s="885"/>
      <c r="Z1533" s="885"/>
    </row>
    <row r="1534" ht="15.75" customHeight="1">
      <c r="A1534" s="884"/>
      <c r="B1534" s="884"/>
      <c r="C1534" s="884"/>
      <c r="D1534" s="884"/>
      <c r="E1534" s="885"/>
      <c r="F1534" s="885"/>
      <c r="G1534" s="885"/>
      <c r="H1534" s="930"/>
      <c r="I1534" s="885"/>
      <c r="J1534" s="885"/>
      <c r="K1534" s="885"/>
      <c r="L1534" s="885"/>
      <c r="M1534" s="885"/>
      <c r="N1534" s="887"/>
      <c r="O1534" s="885"/>
      <c r="P1534" s="885"/>
      <c r="Q1534" s="885"/>
      <c r="R1534" s="885"/>
      <c r="S1534" s="885"/>
      <c r="T1534" s="885"/>
      <c r="U1534" s="885"/>
      <c r="V1534" s="885"/>
      <c r="W1534" s="885"/>
      <c r="X1534" s="885"/>
      <c r="Y1534" s="885"/>
      <c r="Z1534" s="885"/>
    </row>
    <row r="1535" ht="15.75" customHeight="1">
      <c r="A1535" s="884"/>
      <c r="B1535" s="884"/>
      <c r="C1535" s="884"/>
      <c r="D1535" s="884"/>
      <c r="E1535" s="885"/>
      <c r="F1535" s="885"/>
      <c r="G1535" s="885"/>
      <c r="H1535" s="930"/>
      <c r="I1535" s="885"/>
      <c r="J1535" s="885"/>
      <c r="K1535" s="885"/>
      <c r="L1535" s="885"/>
      <c r="M1535" s="885"/>
      <c r="N1535" s="887"/>
      <c r="O1535" s="885"/>
      <c r="P1535" s="885"/>
      <c r="Q1535" s="885"/>
      <c r="R1535" s="885"/>
      <c r="S1535" s="885"/>
      <c r="T1535" s="885"/>
      <c r="U1535" s="885"/>
      <c r="V1535" s="885"/>
      <c r="W1535" s="885"/>
      <c r="X1535" s="885"/>
      <c r="Y1535" s="885"/>
      <c r="Z1535" s="885"/>
    </row>
    <row r="1536" ht="15.75" customHeight="1">
      <c r="A1536" s="884"/>
      <c r="B1536" s="884"/>
      <c r="C1536" s="884"/>
      <c r="D1536" s="884"/>
      <c r="E1536" s="885"/>
      <c r="F1536" s="885"/>
      <c r="G1536" s="885"/>
      <c r="H1536" s="930"/>
      <c r="I1536" s="885"/>
      <c r="J1536" s="885"/>
      <c r="K1536" s="885"/>
      <c r="L1536" s="885"/>
      <c r="M1536" s="885"/>
      <c r="N1536" s="887"/>
      <c r="O1536" s="885"/>
      <c r="P1536" s="885"/>
      <c r="Q1536" s="885"/>
      <c r="R1536" s="885"/>
      <c r="S1536" s="885"/>
      <c r="T1536" s="885"/>
      <c r="U1536" s="885"/>
      <c r="V1536" s="885"/>
      <c r="W1536" s="885"/>
      <c r="X1536" s="885"/>
      <c r="Y1536" s="885"/>
      <c r="Z1536" s="885"/>
    </row>
    <row r="1537" ht="15.75" customHeight="1">
      <c r="A1537" s="884"/>
      <c r="B1537" s="884"/>
      <c r="C1537" s="884"/>
      <c r="D1537" s="884"/>
      <c r="E1537" s="885"/>
      <c r="F1537" s="885"/>
      <c r="G1537" s="885"/>
      <c r="H1537" s="930"/>
      <c r="I1537" s="885"/>
      <c r="J1537" s="885"/>
      <c r="K1537" s="885"/>
      <c r="L1537" s="885"/>
      <c r="M1537" s="885"/>
      <c r="N1537" s="887"/>
      <c r="O1537" s="885"/>
      <c r="P1537" s="885"/>
      <c r="Q1537" s="885"/>
      <c r="R1537" s="885"/>
      <c r="S1537" s="885"/>
      <c r="T1537" s="885"/>
      <c r="U1537" s="885"/>
      <c r="V1537" s="885"/>
      <c r="W1537" s="885"/>
      <c r="X1537" s="885"/>
      <c r="Y1537" s="885"/>
      <c r="Z1537" s="885"/>
    </row>
    <row r="1538" ht="15.75" customHeight="1">
      <c r="A1538" s="884"/>
      <c r="B1538" s="884"/>
      <c r="C1538" s="884"/>
      <c r="D1538" s="884"/>
      <c r="E1538" s="885"/>
      <c r="F1538" s="885"/>
      <c r="G1538" s="885"/>
      <c r="H1538" s="930"/>
      <c r="I1538" s="885"/>
      <c r="J1538" s="885"/>
      <c r="K1538" s="885"/>
      <c r="L1538" s="885"/>
      <c r="M1538" s="885"/>
      <c r="N1538" s="887"/>
      <c r="O1538" s="885"/>
      <c r="P1538" s="885"/>
      <c r="Q1538" s="885"/>
      <c r="R1538" s="885"/>
      <c r="S1538" s="885"/>
      <c r="T1538" s="885"/>
      <c r="U1538" s="885"/>
      <c r="V1538" s="885"/>
      <c r="W1538" s="885"/>
      <c r="X1538" s="885"/>
      <c r="Y1538" s="885"/>
      <c r="Z1538" s="885"/>
    </row>
    <row r="1539" ht="15.75" customHeight="1">
      <c r="A1539" s="884"/>
      <c r="B1539" s="884"/>
      <c r="C1539" s="884"/>
      <c r="D1539" s="884"/>
      <c r="E1539" s="885"/>
      <c r="F1539" s="885"/>
      <c r="G1539" s="885"/>
      <c r="H1539" s="930"/>
      <c r="I1539" s="885"/>
      <c r="J1539" s="885"/>
      <c r="K1539" s="885"/>
      <c r="L1539" s="885"/>
      <c r="M1539" s="885"/>
      <c r="N1539" s="887"/>
      <c r="O1539" s="885"/>
      <c r="P1539" s="885"/>
      <c r="Q1539" s="885"/>
      <c r="R1539" s="885"/>
      <c r="S1539" s="885"/>
      <c r="T1539" s="885"/>
      <c r="U1539" s="885"/>
      <c r="V1539" s="885"/>
      <c r="W1539" s="885"/>
      <c r="X1539" s="885"/>
      <c r="Y1539" s="885"/>
      <c r="Z1539" s="885"/>
    </row>
    <row r="1540" ht="15.75" customHeight="1">
      <c r="A1540" s="884"/>
      <c r="B1540" s="884"/>
      <c r="C1540" s="884"/>
      <c r="D1540" s="884"/>
      <c r="E1540" s="885"/>
      <c r="F1540" s="885"/>
      <c r="G1540" s="885"/>
      <c r="H1540" s="930"/>
      <c r="I1540" s="885"/>
      <c r="J1540" s="885"/>
      <c r="K1540" s="885"/>
      <c r="L1540" s="885"/>
      <c r="M1540" s="885"/>
      <c r="N1540" s="887"/>
      <c r="O1540" s="885"/>
      <c r="P1540" s="885"/>
      <c r="Q1540" s="885"/>
      <c r="R1540" s="885"/>
      <c r="S1540" s="885"/>
      <c r="T1540" s="885"/>
      <c r="U1540" s="885"/>
      <c r="V1540" s="885"/>
      <c r="W1540" s="885"/>
      <c r="X1540" s="885"/>
      <c r="Y1540" s="885"/>
      <c r="Z1540" s="885"/>
    </row>
    <row r="1541" ht="15.75" customHeight="1">
      <c r="A1541" s="884"/>
      <c r="B1541" s="884"/>
      <c r="C1541" s="884"/>
      <c r="D1541" s="884"/>
      <c r="E1541" s="885"/>
      <c r="F1541" s="885"/>
      <c r="G1541" s="885"/>
      <c r="H1541" s="930"/>
      <c r="I1541" s="885"/>
      <c r="J1541" s="885"/>
      <c r="K1541" s="885"/>
      <c r="L1541" s="885"/>
      <c r="M1541" s="885"/>
      <c r="N1541" s="887"/>
      <c r="O1541" s="885"/>
      <c r="P1541" s="885"/>
      <c r="Q1541" s="885"/>
      <c r="R1541" s="885"/>
      <c r="S1541" s="885"/>
      <c r="T1541" s="885"/>
      <c r="U1541" s="885"/>
      <c r="V1541" s="885"/>
      <c r="W1541" s="885"/>
      <c r="X1541" s="885"/>
      <c r="Y1541" s="885"/>
      <c r="Z1541" s="885"/>
    </row>
    <row r="1542" ht="15.75" customHeight="1">
      <c r="A1542" s="884"/>
      <c r="B1542" s="884"/>
      <c r="C1542" s="884"/>
      <c r="D1542" s="884"/>
      <c r="E1542" s="885"/>
      <c r="F1542" s="885"/>
      <c r="G1542" s="885"/>
      <c r="H1542" s="930"/>
      <c r="I1542" s="885"/>
      <c r="J1542" s="885"/>
      <c r="K1542" s="885"/>
      <c r="L1542" s="885"/>
      <c r="M1542" s="885"/>
      <c r="N1542" s="887"/>
      <c r="O1542" s="885"/>
      <c r="P1542" s="885"/>
      <c r="Q1542" s="885"/>
      <c r="R1542" s="885"/>
      <c r="S1542" s="885"/>
      <c r="T1542" s="885"/>
      <c r="U1542" s="885"/>
      <c r="V1542" s="885"/>
      <c r="W1542" s="885"/>
      <c r="X1542" s="885"/>
      <c r="Y1542" s="885"/>
      <c r="Z1542" s="885"/>
    </row>
    <row r="1543" ht="15.75" customHeight="1">
      <c r="A1543" s="884"/>
      <c r="B1543" s="884"/>
      <c r="C1543" s="884"/>
      <c r="D1543" s="884"/>
      <c r="E1543" s="885"/>
      <c r="F1543" s="885"/>
      <c r="G1543" s="885"/>
      <c r="H1543" s="930"/>
      <c r="I1543" s="885"/>
      <c r="J1543" s="885"/>
      <c r="K1543" s="885"/>
      <c r="L1543" s="885"/>
      <c r="M1543" s="885"/>
      <c r="N1543" s="887"/>
      <c r="O1543" s="885"/>
      <c r="P1543" s="885"/>
      <c r="Q1543" s="885"/>
      <c r="R1543" s="885"/>
      <c r="S1543" s="885"/>
      <c r="T1543" s="885"/>
      <c r="U1543" s="885"/>
      <c r="V1543" s="885"/>
      <c r="W1543" s="885"/>
      <c r="X1543" s="885"/>
      <c r="Y1543" s="885"/>
      <c r="Z1543" s="885"/>
    </row>
    <row r="1544" ht="15.75" customHeight="1">
      <c r="A1544" s="884"/>
      <c r="B1544" s="884"/>
      <c r="C1544" s="884"/>
      <c r="D1544" s="884"/>
      <c r="E1544" s="885"/>
      <c r="F1544" s="885"/>
      <c r="G1544" s="885"/>
      <c r="H1544" s="930"/>
      <c r="I1544" s="885"/>
      <c r="J1544" s="885"/>
      <c r="K1544" s="885"/>
      <c r="L1544" s="885"/>
      <c r="M1544" s="885"/>
      <c r="N1544" s="887"/>
      <c r="O1544" s="885"/>
      <c r="P1544" s="885"/>
      <c r="Q1544" s="885"/>
      <c r="R1544" s="885"/>
      <c r="S1544" s="885"/>
      <c r="T1544" s="885"/>
      <c r="U1544" s="885"/>
      <c r="V1544" s="885"/>
      <c r="W1544" s="885"/>
      <c r="X1544" s="885"/>
      <c r="Y1544" s="885"/>
      <c r="Z1544" s="885"/>
    </row>
    <row r="1545" ht="15.75" customHeight="1">
      <c r="A1545" s="884"/>
      <c r="B1545" s="884"/>
      <c r="C1545" s="884"/>
      <c r="D1545" s="884"/>
      <c r="E1545" s="885"/>
      <c r="F1545" s="885"/>
      <c r="G1545" s="885"/>
      <c r="H1545" s="930"/>
      <c r="I1545" s="885"/>
      <c r="J1545" s="885"/>
      <c r="K1545" s="885"/>
      <c r="L1545" s="885"/>
      <c r="M1545" s="885"/>
      <c r="N1545" s="887"/>
      <c r="O1545" s="885"/>
      <c r="P1545" s="885"/>
      <c r="Q1545" s="885"/>
      <c r="R1545" s="885"/>
      <c r="S1545" s="885"/>
      <c r="T1545" s="885"/>
      <c r="U1545" s="885"/>
      <c r="V1545" s="885"/>
      <c r="W1545" s="885"/>
      <c r="X1545" s="885"/>
      <c r="Y1545" s="885"/>
      <c r="Z1545" s="885"/>
    </row>
    <row r="1546" ht="15.75" customHeight="1">
      <c r="A1546" s="884"/>
      <c r="B1546" s="884"/>
      <c r="C1546" s="884"/>
      <c r="D1546" s="884"/>
      <c r="E1546" s="885"/>
      <c r="F1546" s="885"/>
      <c r="G1546" s="885"/>
      <c r="H1546" s="930"/>
      <c r="I1546" s="885"/>
      <c r="J1546" s="885"/>
      <c r="K1546" s="885"/>
      <c r="L1546" s="885"/>
      <c r="M1546" s="885"/>
      <c r="N1546" s="887"/>
      <c r="O1546" s="885"/>
      <c r="P1546" s="885"/>
      <c r="Q1546" s="885"/>
      <c r="R1546" s="885"/>
      <c r="S1546" s="885"/>
      <c r="T1546" s="885"/>
      <c r="U1546" s="885"/>
      <c r="V1546" s="885"/>
      <c r="W1546" s="885"/>
      <c r="X1546" s="885"/>
      <c r="Y1546" s="885"/>
      <c r="Z1546" s="885"/>
    </row>
    <row r="1547" ht="15.75" customHeight="1">
      <c r="A1547" s="884"/>
      <c r="B1547" s="884"/>
      <c r="C1547" s="884"/>
      <c r="D1547" s="884"/>
      <c r="E1547" s="885"/>
      <c r="F1547" s="885"/>
      <c r="G1547" s="885"/>
      <c r="H1547" s="930"/>
      <c r="I1547" s="885"/>
      <c r="J1547" s="885"/>
      <c r="K1547" s="885"/>
      <c r="L1547" s="885"/>
      <c r="M1547" s="885"/>
      <c r="N1547" s="887"/>
      <c r="O1547" s="885"/>
      <c r="P1547" s="885"/>
      <c r="Q1547" s="885"/>
      <c r="R1547" s="885"/>
      <c r="S1547" s="885"/>
      <c r="T1547" s="885"/>
      <c r="U1547" s="885"/>
      <c r="V1547" s="885"/>
      <c r="W1547" s="885"/>
      <c r="X1547" s="885"/>
      <c r="Y1547" s="885"/>
      <c r="Z1547" s="885"/>
    </row>
    <row r="1548" ht="15.75" customHeight="1">
      <c r="A1548" s="884"/>
      <c r="B1548" s="884"/>
      <c r="C1548" s="884"/>
      <c r="D1548" s="884"/>
      <c r="E1548" s="885"/>
      <c r="F1548" s="885"/>
      <c r="G1548" s="885"/>
      <c r="H1548" s="930"/>
      <c r="I1548" s="885"/>
      <c r="J1548" s="885"/>
      <c r="K1548" s="885"/>
      <c r="L1548" s="885"/>
      <c r="M1548" s="885"/>
      <c r="N1548" s="887"/>
      <c r="O1548" s="885"/>
      <c r="P1548" s="885"/>
      <c r="Q1548" s="885"/>
      <c r="R1548" s="885"/>
      <c r="S1548" s="885"/>
      <c r="T1548" s="885"/>
      <c r="U1548" s="885"/>
      <c r="V1548" s="885"/>
      <c r="W1548" s="885"/>
      <c r="X1548" s="885"/>
      <c r="Y1548" s="885"/>
      <c r="Z1548" s="885"/>
    </row>
    <row r="1549" ht="15.75" customHeight="1">
      <c r="A1549" s="884"/>
      <c r="B1549" s="884"/>
      <c r="C1549" s="884"/>
      <c r="D1549" s="884"/>
      <c r="E1549" s="885"/>
      <c r="F1549" s="885"/>
      <c r="G1549" s="885"/>
      <c r="H1549" s="930"/>
      <c r="I1549" s="885"/>
      <c r="J1549" s="885"/>
      <c r="K1549" s="885"/>
      <c r="L1549" s="885"/>
      <c r="M1549" s="885"/>
      <c r="N1549" s="887"/>
      <c r="O1549" s="885"/>
      <c r="P1549" s="885"/>
      <c r="Q1549" s="885"/>
      <c r="R1549" s="885"/>
      <c r="S1549" s="885"/>
      <c r="T1549" s="885"/>
      <c r="U1549" s="885"/>
      <c r="V1549" s="885"/>
      <c r="W1549" s="885"/>
      <c r="X1549" s="885"/>
      <c r="Y1549" s="885"/>
      <c r="Z1549" s="885"/>
    </row>
    <row r="1550" ht="15.75" customHeight="1">
      <c r="A1550" s="884"/>
      <c r="B1550" s="884"/>
      <c r="C1550" s="884"/>
      <c r="D1550" s="884"/>
      <c r="E1550" s="885"/>
      <c r="F1550" s="885"/>
      <c r="G1550" s="885"/>
      <c r="H1550" s="930"/>
      <c r="I1550" s="885"/>
      <c r="J1550" s="885"/>
      <c r="K1550" s="885"/>
      <c r="L1550" s="885"/>
      <c r="M1550" s="885"/>
      <c r="N1550" s="887"/>
      <c r="O1550" s="885"/>
      <c r="P1550" s="885"/>
      <c r="Q1550" s="885"/>
      <c r="R1550" s="885"/>
      <c r="S1550" s="885"/>
      <c r="T1550" s="885"/>
      <c r="U1550" s="885"/>
      <c r="V1550" s="885"/>
      <c r="W1550" s="885"/>
      <c r="X1550" s="885"/>
      <c r="Y1550" s="885"/>
      <c r="Z1550" s="885"/>
    </row>
    <row r="1551" ht="15.75" customHeight="1">
      <c r="A1551" s="884"/>
      <c r="B1551" s="884"/>
      <c r="C1551" s="884"/>
      <c r="D1551" s="884"/>
      <c r="E1551" s="885"/>
      <c r="F1551" s="885"/>
      <c r="G1551" s="885"/>
      <c r="H1551" s="930"/>
      <c r="I1551" s="885"/>
      <c r="J1551" s="885"/>
      <c r="K1551" s="885"/>
      <c r="L1551" s="885"/>
      <c r="M1551" s="885"/>
      <c r="N1551" s="887"/>
      <c r="O1551" s="885"/>
      <c r="P1551" s="885"/>
      <c r="Q1551" s="885"/>
      <c r="R1551" s="885"/>
      <c r="S1551" s="885"/>
      <c r="T1551" s="885"/>
      <c r="U1551" s="885"/>
      <c r="V1551" s="885"/>
      <c r="W1551" s="885"/>
      <c r="X1551" s="885"/>
      <c r="Y1551" s="885"/>
      <c r="Z1551" s="885"/>
    </row>
    <row r="1552" ht="15.75" customHeight="1">
      <c r="A1552" s="884"/>
      <c r="B1552" s="884"/>
      <c r="C1552" s="884"/>
      <c r="D1552" s="884"/>
      <c r="E1552" s="885"/>
      <c r="F1552" s="885"/>
      <c r="G1552" s="885"/>
      <c r="H1552" s="930"/>
      <c r="I1552" s="885"/>
      <c r="J1552" s="885"/>
      <c r="K1552" s="885"/>
      <c r="L1552" s="885"/>
      <c r="M1552" s="885"/>
      <c r="N1552" s="887"/>
      <c r="O1552" s="885"/>
      <c r="P1552" s="885"/>
      <c r="Q1552" s="885"/>
      <c r="R1552" s="885"/>
      <c r="S1552" s="885"/>
      <c r="T1552" s="885"/>
      <c r="U1552" s="885"/>
      <c r="V1552" s="885"/>
      <c r="W1552" s="885"/>
      <c r="X1552" s="885"/>
      <c r="Y1552" s="885"/>
      <c r="Z1552" s="885"/>
    </row>
    <row r="1553" ht="15.75" customHeight="1">
      <c r="A1553" s="884"/>
      <c r="B1553" s="884"/>
      <c r="C1553" s="884"/>
      <c r="D1553" s="884"/>
      <c r="E1553" s="885"/>
      <c r="F1553" s="885"/>
      <c r="G1553" s="885"/>
      <c r="H1553" s="930"/>
      <c r="I1553" s="885"/>
      <c r="J1553" s="885"/>
      <c r="K1553" s="885"/>
      <c r="L1553" s="885"/>
      <c r="M1553" s="885"/>
      <c r="N1553" s="887"/>
      <c r="O1553" s="885"/>
      <c r="P1553" s="885"/>
      <c r="Q1553" s="885"/>
      <c r="R1553" s="885"/>
      <c r="S1553" s="885"/>
      <c r="T1553" s="885"/>
      <c r="U1553" s="885"/>
      <c r="V1553" s="885"/>
      <c r="W1553" s="885"/>
      <c r="X1553" s="885"/>
      <c r="Y1553" s="885"/>
      <c r="Z1553" s="885"/>
    </row>
    <row r="1554" ht="15.75" customHeight="1">
      <c r="A1554" s="884"/>
      <c r="B1554" s="884"/>
      <c r="C1554" s="884"/>
      <c r="D1554" s="884"/>
      <c r="E1554" s="885"/>
      <c r="F1554" s="885"/>
      <c r="G1554" s="885"/>
      <c r="H1554" s="930"/>
      <c r="I1554" s="885"/>
      <c r="J1554" s="885"/>
      <c r="K1554" s="885"/>
      <c r="L1554" s="885"/>
      <c r="M1554" s="885"/>
      <c r="N1554" s="887"/>
      <c r="O1554" s="885"/>
      <c r="P1554" s="885"/>
      <c r="Q1554" s="885"/>
      <c r="R1554" s="885"/>
      <c r="S1554" s="885"/>
      <c r="T1554" s="885"/>
      <c r="U1554" s="885"/>
      <c r="V1554" s="885"/>
      <c r="W1554" s="885"/>
      <c r="X1554" s="885"/>
      <c r="Y1554" s="885"/>
      <c r="Z1554" s="885"/>
    </row>
    <row r="1555" ht="15.75" customHeight="1">
      <c r="A1555" s="884"/>
      <c r="B1555" s="884"/>
      <c r="C1555" s="884"/>
      <c r="D1555" s="884"/>
      <c r="E1555" s="885"/>
      <c r="F1555" s="885"/>
      <c r="G1555" s="885"/>
      <c r="H1555" s="930"/>
      <c r="I1555" s="885"/>
      <c r="J1555" s="885"/>
      <c r="K1555" s="885"/>
      <c r="L1555" s="885"/>
      <c r="M1555" s="885"/>
      <c r="N1555" s="887"/>
      <c r="O1555" s="885"/>
      <c r="P1555" s="885"/>
      <c r="Q1555" s="885"/>
      <c r="R1555" s="885"/>
      <c r="S1555" s="885"/>
      <c r="T1555" s="885"/>
      <c r="U1555" s="885"/>
      <c r="V1555" s="885"/>
      <c r="W1555" s="885"/>
      <c r="X1555" s="885"/>
      <c r="Y1555" s="885"/>
      <c r="Z1555" s="885"/>
    </row>
    <row r="1556" ht="15.75" customHeight="1">
      <c r="A1556" s="884"/>
      <c r="B1556" s="884"/>
      <c r="C1556" s="884"/>
      <c r="D1556" s="884"/>
      <c r="E1556" s="885"/>
      <c r="F1556" s="885"/>
      <c r="G1556" s="885"/>
      <c r="H1556" s="930"/>
      <c r="I1556" s="885"/>
      <c r="J1556" s="885"/>
      <c r="K1556" s="885"/>
      <c r="L1556" s="885"/>
      <c r="M1556" s="885"/>
      <c r="N1556" s="887"/>
      <c r="O1556" s="885"/>
      <c r="P1556" s="885"/>
      <c r="Q1556" s="885"/>
      <c r="R1556" s="885"/>
      <c r="S1556" s="885"/>
      <c r="T1556" s="885"/>
      <c r="U1556" s="885"/>
      <c r="V1556" s="885"/>
      <c r="W1556" s="885"/>
      <c r="X1556" s="885"/>
      <c r="Y1556" s="885"/>
      <c r="Z1556" s="885"/>
    </row>
    <row r="1557" ht="15.75" customHeight="1">
      <c r="A1557" s="884"/>
      <c r="B1557" s="884"/>
      <c r="C1557" s="884"/>
      <c r="D1557" s="884"/>
      <c r="E1557" s="885"/>
      <c r="F1557" s="885"/>
      <c r="G1557" s="885"/>
      <c r="H1557" s="930"/>
      <c r="I1557" s="885"/>
      <c r="J1557" s="885"/>
      <c r="K1557" s="885"/>
      <c r="L1557" s="885"/>
      <c r="M1557" s="885"/>
      <c r="N1557" s="887"/>
      <c r="O1557" s="885"/>
      <c r="P1557" s="885"/>
      <c r="Q1557" s="885"/>
      <c r="R1557" s="885"/>
      <c r="S1557" s="885"/>
      <c r="T1557" s="885"/>
      <c r="U1557" s="885"/>
      <c r="V1557" s="885"/>
      <c r="W1557" s="885"/>
      <c r="X1557" s="885"/>
      <c r="Y1557" s="885"/>
      <c r="Z1557" s="885"/>
    </row>
    <row r="1558" ht="15.75" customHeight="1">
      <c r="A1558" s="884"/>
      <c r="B1558" s="884"/>
      <c r="C1558" s="884"/>
      <c r="D1558" s="884"/>
      <c r="E1558" s="885"/>
      <c r="F1558" s="885"/>
      <c r="G1558" s="885"/>
      <c r="H1558" s="930"/>
      <c r="I1558" s="885"/>
      <c r="J1558" s="885"/>
      <c r="K1558" s="885"/>
      <c r="L1558" s="885"/>
      <c r="M1558" s="885"/>
      <c r="N1558" s="887"/>
      <c r="O1558" s="885"/>
      <c r="P1558" s="885"/>
      <c r="Q1558" s="885"/>
      <c r="R1558" s="885"/>
      <c r="S1558" s="885"/>
      <c r="T1558" s="885"/>
      <c r="U1558" s="885"/>
      <c r="V1558" s="885"/>
      <c r="W1558" s="885"/>
      <c r="X1558" s="885"/>
      <c r="Y1558" s="885"/>
      <c r="Z1558" s="885"/>
    </row>
    <row r="1559" ht="15.75" customHeight="1">
      <c r="A1559" s="884"/>
      <c r="B1559" s="884"/>
      <c r="C1559" s="884"/>
      <c r="D1559" s="884"/>
      <c r="E1559" s="885"/>
      <c r="F1559" s="885"/>
      <c r="G1559" s="885"/>
      <c r="H1559" s="930"/>
      <c r="I1559" s="885"/>
      <c r="J1559" s="885"/>
      <c r="K1559" s="885"/>
      <c r="L1559" s="885"/>
      <c r="M1559" s="885"/>
      <c r="N1559" s="887"/>
      <c r="O1559" s="885"/>
      <c r="P1559" s="885"/>
      <c r="Q1559" s="885"/>
      <c r="R1559" s="885"/>
      <c r="S1559" s="885"/>
      <c r="T1559" s="885"/>
      <c r="U1559" s="885"/>
      <c r="V1559" s="885"/>
      <c r="W1559" s="885"/>
      <c r="X1559" s="885"/>
      <c r="Y1559" s="885"/>
      <c r="Z1559" s="885"/>
    </row>
    <row r="1560" ht="15.75" customHeight="1">
      <c r="A1560" s="884"/>
      <c r="B1560" s="884"/>
      <c r="C1560" s="884"/>
      <c r="D1560" s="884"/>
      <c r="E1560" s="885"/>
      <c r="F1560" s="885"/>
      <c r="G1560" s="885"/>
      <c r="H1560" s="930"/>
      <c r="I1560" s="885"/>
      <c r="J1560" s="885"/>
      <c r="K1560" s="885"/>
      <c r="L1560" s="885"/>
      <c r="M1560" s="885"/>
      <c r="N1560" s="887"/>
      <c r="O1560" s="885"/>
      <c r="P1560" s="885"/>
      <c r="Q1560" s="885"/>
      <c r="R1560" s="885"/>
      <c r="S1560" s="885"/>
      <c r="T1560" s="885"/>
      <c r="U1560" s="885"/>
      <c r="V1560" s="885"/>
      <c r="W1560" s="885"/>
      <c r="X1560" s="885"/>
      <c r="Y1560" s="885"/>
      <c r="Z1560" s="885"/>
    </row>
    <row r="1561" ht="15.75" customHeight="1">
      <c r="A1561" s="884"/>
      <c r="B1561" s="884"/>
      <c r="C1561" s="884"/>
      <c r="D1561" s="884"/>
      <c r="E1561" s="885"/>
      <c r="F1561" s="885"/>
      <c r="G1561" s="885"/>
      <c r="H1561" s="930"/>
      <c r="I1561" s="885"/>
      <c r="J1561" s="885"/>
      <c r="K1561" s="885"/>
      <c r="L1561" s="885"/>
      <c r="M1561" s="885"/>
      <c r="N1561" s="887"/>
      <c r="O1561" s="885"/>
      <c r="P1561" s="885"/>
      <c r="Q1561" s="885"/>
      <c r="R1561" s="885"/>
      <c r="S1561" s="885"/>
      <c r="T1561" s="885"/>
      <c r="U1561" s="885"/>
      <c r="V1561" s="885"/>
      <c r="W1561" s="885"/>
      <c r="X1561" s="885"/>
      <c r="Y1561" s="885"/>
      <c r="Z1561" s="885"/>
    </row>
    <row r="1562" ht="15.75" customHeight="1">
      <c r="A1562" s="884"/>
      <c r="B1562" s="884"/>
      <c r="C1562" s="884"/>
      <c r="D1562" s="884"/>
      <c r="E1562" s="885"/>
      <c r="F1562" s="885"/>
      <c r="G1562" s="885"/>
      <c r="H1562" s="930"/>
      <c r="I1562" s="885"/>
      <c r="J1562" s="885"/>
      <c r="K1562" s="885"/>
      <c r="L1562" s="885"/>
      <c r="M1562" s="885"/>
      <c r="N1562" s="887"/>
      <c r="O1562" s="885"/>
      <c r="P1562" s="885"/>
      <c r="Q1562" s="885"/>
      <c r="R1562" s="885"/>
      <c r="S1562" s="885"/>
      <c r="T1562" s="885"/>
      <c r="U1562" s="885"/>
      <c r="V1562" s="885"/>
      <c r="W1562" s="885"/>
      <c r="X1562" s="885"/>
      <c r="Y1562" s="885"/>
      <c r="Z1562" s="885"/>
    </row>
    <row r="1563" ht="15.75" customHeight="1">
      <c r="A1563" s="884"/>
      <c r="B1563" s="884"/>
      <c r="C1563" s="884"/>
      <c r="D1563" s="884"/>
      <c r="E1563" s="885"/>
      <c r="F1563" s="885"/>
      <c r="G1563" s="885"/>
      <c r="H1563" s="930"/>
      <c r="I1563" s="885"/>
      <c r="J1563" s="885"/>
      <c r="K1563" s="885"/>
      <c r="L1563" s="885"/>
      <c r="M1563" s="885"/>
      <c r="N1563" s="887"/>
      <c r="O1563" s="885"/>
      <c r="P1563" s="885"/>
      <c r="Q1563" s="885"/>
      <c r="R1563" s="885"/>
      <c r="S1563" s="885"/>
      <c r="T1563" s="885"/>
      <c r="U1563" s="885"/>
      <c r="V1563" s="885"/>
      <c r="W1563" s="885"/>
      <c r="X1563" s="885"/>
      <c r="Y1563" s="885"/>
      <c r="Z1563" s="885"/>
    </row>
    <row r="1564" ht="15.75" customHeight="1">
      <c r="A1564" s="884"/>
      <c r="B1564" s="884"/>
      <c r="C1564" s="884"/>
      <c r="D1564" s="884"/>
      <c r="E1564" s="885"/>
      <c r="F1564" s="885"/>
      <c r="G1564" s="885"/>
      <c r="H1564" s="930"/>
      <c r="I1564" s="885"/>
      <c r="J1564" s="885"/>
      <c r="K1564" s="885"/>
      <c r="L1564" s="885"/>
      <c r="M1564" s="885"/>
      <c r="N1564" s="887"/>
      <c r="O1564" s="885"/>
      <c r="P1564" s="885"/>
      <c r="Q1564" s="885"/>
      <c r="R1564" s="885"/>
      <c r="S1564" s="885"/>
      <c r="T1564" s="885"/>
      <c r="U1564" s="885"/>
      <c r="V1564" s="885"/>
      <c r="W1564" s="885"/>
      <c r="X1564" s="885"/>
      <c r="Y1564" s="885"/>
      <c r="Z1564" s="885"/>
    </row>
    <row r="1565" ht="15.75" customHeight="1">
      <c r="A1565" s="884"/>
      <c r="B1565" s="884"/>
      <c r="C1565" s="884"/>
      <c r="D1565" s="884"/>
      <c r="E1565" s="885"/>
      <c r="F1565" s="885"/>
      <c r="G1565" s="885"/>
      <c r="H1565" s="930"/>
      <c r="I1565" s="885"/>
      <c r="J1565" s="885"/>
      <c r="K1565" s="885"/>
      <c r="L1565" s="885"/>
      <c r="M1565" s="885"/>
      <c r="N1565" s="887"/>
      <c r="O1565" s="885"/>
      <c r="P1565" s="885"/>
      <c r="Q1565" s="885"/>
      <c r="R1565" s="885"/>
      <c r="S1565" s="885"/>
      <c r="T1565" s="885"/>
      <c r="U1565" s="885"/>
      <c r="V1565" s="885"/>
      <c r="W1565" s="885"/>
      <c r="X1565" s="885"/>
      <c r="Y1565" s="885"/>
      <c r="Z1565" s="885"/>
    </row>
    <row r="1566" ht="15.75" customHeight="1">
      <c r="A1566" s="884"/>
      <c r="B1566" s="884"/>
      <c r="C1566" s="884"/>
      <c r="D1566" s="884"/>
      <c r="E1566" s="885"/>
      <c r="F1566" s="885"/>
      <c r="G1566" s="885"/>
      <c r="H1566" s="930"/>
      <c r="I1566" s="885"/>
      <c r="J1566" s="885"/>
      <c r="K1566" s="885"/>
      <c r="L1566" s="885"/>
      <c r="M1566" s="885"/>
      <c r="N1566" s="887"/>
      <c r="O1566" s="885"/>
      <c r="P1566" s="885"/>
      <c r="Q1566" s="885"/>
      <c r="R1566" s="885"/>
      <c r="S1566" s="885"/>
      <c r="T1566" s="885"/>
      <c r="U1566" s="885"/>
      <c r="V1566" s="885"/>
      <c r="W1566" s="885"/>
      <c r="X1566" s="885"/>
      <c r="Y1566" s="885"/>
      <c r="Z1566" s="885"/>
    </row>
    <row r="1567" ht="15.75" customHeight="1">
      <c r="A1567" s="884"/>
      <c r="B1567" s="884"/>
      <c r="C1567" s="884"/>
      <c r="D1567" s="884"/>
      <c r="E1567" s="885"/>
      <c r="F1567" s="885"/>
      <c r="G1567" s="885"/>
      <c r="H1567" s="930"/>
      <c r="I1567" s="885"/>
      <c r="J1567" s="885"/>
      <c r="K1567" s="885"/>
      <c r="L1567" s="885"/>
      <c r="M1567" s="885"/>
      <c r="N1567" s="887"/>
      <c r="O1567" s="885"/>
      <c r="P1567" s="885"/>
      <c r="Q1567" s="885"/>
      <c r="R1567" s="885"/>
      <c r="S1567" s="885"/>
      <c r="T1567" s="885"/>
      <c r="U1567" s="885"/>
      <c r="V1567" s="885"/>
      <c r="W1567" s="885"/>
      <c r="X1567" s="885"/>
      <c r="Y1567" s="885"/>
      <c r="Z1567" s="885"/>
    </row>
    <row r="1568" ht="15.75" customHeight="1">
      <c r="A1568" s="884"/>
      <c r="B1568" s="884"/>
      <c r="C1568" s="884"/>
      <c r="D1568" s="884"/>
      <c r="E1568" s="885"/>
      <c r="F1568" s="885"/>
      <c r="G1568" s="885"/>
      <c r="H1568" s="930"/>
      <c r="I1568" s="885"/>
      <c r="J1568" s="885"/>
      <c r="K1568" s="885"/>
      <c r="L1568" s="885"/>
      <c r="M1568" s="885"/>
      <c r="N1568" s="887"/>
      <c r="O1568" s="885"/>
      <c r="P1568" s="885"/>
      <c r="Q1568" s="885"/>
      <c r="R1568" s="885"/>
      <c r="S1568" s="885"/>
      <c r="T1568" s="885"/>
      <c r="U1568" s="885"/>
      <c r="V1568" s="885"/>
      <c r="W1568" s="885"/>
      <c r="X1568" s="885"/>
      <c r="Y1568" s="885"/>
      <c r="Z1568" s="885"/>
    </row>
    <row r="1569" ht="15.75" customHeight="1">
      <c r="A1569" s="884"/>
      <c r="B1569" s="884"/>
      <c r="C1569" s="884"/>
      <c r="D1569" s="884"/>
      <c r="E1569" s="885"/>
      <c r="F1569" s="885"/>
      <c r="G1569" s="885"/>
      <c r="H1569" s="930"/>
      <c r="I1569" s="885"/>
      <c r="J1569" s="885"/>
      <c r="K1569" s="885"/>
      <c r="L1569" s="885"/>
      <c r="M1569" s="885"/>
      <c r="N1569" s="887"/>
      <c r="O1569" s="885"/>
      <c r="P1569" s="885"/>
      <c r="Q1569" s="885"/>
      <c r="R1569" s="885"/>
      <c r="S1569" s="885"/>
      <c r="T1569" s="885"/>
      <c r="U1569" s="885"/>
      <c r="V1569" s="885"/>
      <c r="W1569" s="885"/>
      <c r="X1569" s="885"/>
      <c r="Y1569" s="885"/>
      <c r="Z1569" s="885"/>
    </row>
    <row r="1570" ht="15.75" customHeight="1">
      <c r="A1570" s="884"/>
      <c r="B1570" s="884"/>
      <c r="C1570" s="884"/>
      <c r="D1570" s="884"/>
      <c r="E1570" s="885"/>
      <c r="F1570" s="885"/>
      <c r="G1570" s="885"/>
      <c r="H1570" s="930"/>
      <c r="I1570" s="885"/>
      <c r="J1570" s="885"/>
      <c r="K1570" s="885"/>
      <c r="L1570" s="885"/>
      <c r="M1570" s="885"/>
      <c r="N1570" s="887"/>
      <c r="O1570" s="885"/>
      <c r="P1570" s="885"/>
      <c r="Q1570" s="885"/>
      <c r="R1570" s="885"/>
      <c r="S1570" s="885"/>
      <c r="T1570" s="885"/>
      <c r="U1570" s="885"/>
      <c r="V1570" s="885"/>
      <c r="W1570" s="885"/>
      <c r="X1570" s="885"/>
      <c r="Y1570" s="885"/>
      <c r="Z1570" s="885"/>
    </row>
    <row r="1571" ht="15.75" customHeight="1">
      <c r="A1571" s="884"/>
      <c r="B1571" s="884"/>
      <c r="C1571" s="884"/>
      <c r="D1571" s="884"/>
      <c r="E1571" s="885"/>
      <c r="F1571" s="885"/>
      <c r="G1571" s="885"/>
      <c r="H1571" s="930"/>
      <c r="I1571" s="885"/>
      <c r="J1571" s="885"/>
      <c r="K1571" s="885"/>
      <c r="L1571" s="885"/>
      <c r="M1571" s="885"/>
      <c r="N1571" s="887"/>
      <c r="O1571" s="885"/>
      <c r="P1571" s="885"/>
      <c r="Q1571" s="885"/>
      <c r="R1571" s="885"/>
      <c r="S1571" s="885"/>
      <c r="T1571" s="885"/>
      <c r="U1571" s="885"/>
      <c r="V1571" s="885"/>
      <c r="W1571" s="885"/>
      <c r="X1571" s="885"/>
      <c r="Y1571" s="885"/>
      <c r="Z1571" s="885"/>
    </row>
    <row r="1572" ht="15.75" customHeight="1">
      <c r="A1572" s="884"/>
      <c r="B1572" s="884"/>
      <c r="C1572" s="884"/>
      <c r="D1572" s="884"/>
      <c r="E1572" s="885"/>
      <c r="F1572" s="885"/>
      <c r="G1572" s="885"/>
      <c r="H1572" s="930"/>
      <c r="I1572" s="885"/>
      <c r="J1572" s="885"/>
      <c r="K1572" s="885"/>
      <c r="L1572" s="885"/>
      <c r="M1572" s="885"/>
      <c r="N1572" s="887"/>
      <c r="O1572" s="885"/>
      <c r="P1572" s="885"/>
      <c r="Q1572" s="885"/>
      <c r="R1572" s="885"/>
      <c r="S1572" s="885"/>
      <c r="T1572" s="885"/>
      <c r="U1572" s="885"/>
      <c r="V1572" s="885"/>
      <c r="W1572" s="885"/>
      <c r="X1572" s="885"/>
      <c r="Y1572" s="885"/>
      <c r="Z1572" s="885"/>
    </row>
    <row r="1573" ht="15.75" customHeight="1">
      <c r="A1573" s="884"/>
      <c r="B1573" s="884"/>
      <c r="C1573" s="884"/>
      <c r="D1573" s="884"/>
      <c r="E1573" s="885"/>
      <c r="F1573" s="885"/>
      <c r="G1573" s="885"/>
      <c r="H1573" s="930"/>
      <c r="I1573" s="885"/>
      <c r="J1573" s="885"/>
      <c r="K1573" s="885"/>
      <c r="L1573" s="885"/>
      <c r="M1573" s="885"/>
      <c r="N1573" s="887"/>
      <c r="O1573" s="885"/>
      <c r="P1573" s="885"/>
      <c r="Q1573" s="885"/>
      <c r="R1573" s="885"/>
      <c r="S1573" s="885"/>
      <c r="T1573" s="885"/>
      <c r="U1573" s="885"/>
      <c r="V1573" s="885"/>
      <c r="W1573" s="885"/>
      <c r="X1573" s="885"/>
      <c r="Y1573" s="885"/>
      <c r="Z1573" s="885"/>
    </row>
    <row r="1574" ht="15.75" customHeight="1">
      <c r="A1574" s="884"/>
      <c r="B1574" s="884"/>
      <c r="C1574" s="884"/>
      <c r="D1574" s="884"/>
      <c r="E1574" s="885"/>
      <c r="F1574" s="885"/>
      <c r="G1574" s="885"/>
      <c r="H1574" s="930"/>
      <c r="I1574" s="885"/>
      <c r="J1574" s="885"/>
      <c r="K1574" s="885"/>
      <c r="L1574" s="885"/>
      <c r="M1574" s="885"/>
      <c r="N1574" s="887"/>
      <c r="O1574" s="885"/>
      <c r="P1574" s="885"/>
      <c r="Q1574" s="885"/>
      <c r="R1574" s="885"/>
      <c r="S1574" s="885"/>
      <c r="T1574" s="885"/>
      <c r="U1574" s="885"/>
      <c r="V1574" s="885"/>
      <c r="W1574" s="885"/>
      <c r="X1574" s="885"/>
      <c r="Y1574" s="885"/>
      <c r="Z1574" s="885"/>
    </row>
    <row r="1575" ht="15.75" customHeight="1">
      <c r="A1575" s="884"/>
      <c r="B1575" s="884"/>
      <c r="C1575" s="884"/>
      <c r="D1575" s="884"/>
      <c r="E1575" s="885"/>
      <c r="F1575" s="885"/>
      <c r="G1575" s="885"/>
      <c r="H1575" s="930"/>
      <c r="I1575" s="885"/>
      <c r="J1575" s="885"/>
      <c r="K1575" s="885"/>
      <c r="L1575" s="885"/>
      <c r="M1575" s="885"/>
      <c r="N1575" s="887"/>
      <c r="O1575" s="885"/>
      <c r="P1575" s="885"/>
      <c r="Q1575" s="885"/>
      <c r="R1575" s="885"/>
      <c r="S1575" s="885"/>
      <c r="T1575" s="885"/>
      <c r="U1575" s="885"/>
      <c r="V1575" s="885"/>
      <c r="W1575" s="885"/>
      <c r="X1575" s="885"/>
      <c r="Y1575" s="885"/>
      <c r="Z1575" s="885"/>
    </row>
    <row r="1576" ht="15.75" customHeight="1">
      <c r="A1576" s="884"/>
      <c r="B1576" s="884"/>
      <c r="C1576" s="884"/>
      <c r="D1576" s="884"/>
      <c r="E1576" s="885"/>
      <c r="F1576" s="885"/>
      <c r="G1576" s="885"/>
      <c r="H1576" s="930"/>
      <c r="I1576" s="885"/>
      <c r="J1576" s="885"/>
      <c r="K1576" s="885"/>
      <c r="L1576" s="885"/>
      <c r="M1576" s="885"/>
      <c r="N1576" s="887"/>
      <c r="O1576" s="885"/>
      <c r="P1576" s="885"/>
      <c r="Q1576" s="885"/>
      <c r="R1576" s="885"/>
      <c r="S1576" s="885"/>
      <c r="T1576" s="885"/>
      <c r="U1576" s="885"/>
      <c r="V1576" s="885"/>
      <c r="W1576" s="885"/>
      <c r="X1576" s="885"/>
      <c r="Y1576" s="885"/>
      <c r="Z1576" s="885"/>
    </row>
    <row r="1577" ht="15.75" customHeight="1">
      <c r="A1577" s="884"/>
      <c r="B1577" s="884"/>
      <c r="C1577" s="884"/>
      <c r="D1577" s="884"/>
      <c r="E1577" s="885"/>
      <c r="F1577" s="885"/>
      <c r="G1577" s="885"/>
      <c r="H1577" s="930"/>
      <c r="I1577" s="885"/>
      <c r="J1577" s="885"/>
      <c r="K1577" s="885"/>
      <c r="L1577" s="885"/>
      <c r="M1577" s="885"/>
      <c r="N1577" s="887"/>
      <c r="O1577" s="885"/>
      <c r="P1577" s="885"/>
      <c r="Q1577" s="885"/>
      <c r="R1577" s="885"/>
      <c r="S1577" s="885"/>
      <c r="T1577" s="885"/>
      <c r="U1577" s="885"/>
      <c r="V1577" s="885"/>
      <c r="W1577" s="885"/>
      <c r="X1577" s="885"/>
      <c r="Y1577" s="885"/>
      <c r="Z1577" s="885"/>
    </row>
    <row r="1578" ht="15.75" customHeight="1">
      <c r="A1578" s="884"/>
      <c r="B1578" s="884"/>
      <c r="C1578" s="884"/>
      <c r="D1578" s="884"/>
      <c r="E1578" s="885"/>
      <c r="F1578" s="885"/>
      <c r="G1578" s="885"/>
      <c r="H1578" s="930"/>
      <c r="I1578" s="885"/>
      <c r="J1578" s="885"/>
      <c r="K1578" s="885"/>
      <c r="L1578" s="885"/>
      <c r="M1578" s="885"/>
      <c r="N1578" s="887"/>
      <c r="O1578" s="885"/>
      <c r="P1578" s="885"/>
      <c r="Q1578" s="885"/>
      <c r="R1578" s="885"/>
      <c r="S1578" s="885"/>
      <c r="T1578" s="885"/>
      <c r="U1578" s="885"/>
      <c r="V1578" s="885"/>
      <c r="W1578" s="885"/>
      <c r="X1578" s="885"/>
      <c r="Y1578" s="885"/>
      <c r="Z1578" s="885"/>
    </row>
    <row r="1579" ht="15.75" customHeight="1">
      <c r="A1579" s="884"/>
      <c r="B1579" s="884"/>
      <c r="C1579" s="884"/>
      <c r="D1579" s="884"/>
      <c r="E1579" s="885"/>
      <c r="F1579" s="885"/>
      <c r="G1579" s="885"/>
      <c r="H1579" s="930"/>
      <c r="I1579" s="885"/>
      <c r="J1579" s="885"/>
      <c r="K1579" s="885"/>
      <c r="L1579" s="885"/>
      <c r="M1579" s="885"/>
      <c r="N1579" s="887"/>
      <c r="O1579" s="885"/>
      <c r="P1579" s="885"/>
      <c r="Q1579" s="885"/>
      <c r="R1579" s="885"/>
      <c r="S1579" s="885"/>
      <c r="T1579" s="885"/>
      <c r="U1579" s="885"/>
      <c r="V1579" s="885"/>
      <c r="W1579" s="885"/>
      <c r="X1579" s="885"/>
      <c r="Y1579" s="885"/>
      <c r="Z1579" s="885"/>
    </row>
    <row r="1580" ht="15.75" customHeight="1">
      <c r="A1580" s="884"/>
      <c r="B1580" s="884"/>
      <c r="C1580" s="884"/>
      <c r="D1580" s="884"/>
      <c r="E1580" s="885"/>
      <c r="F1580" s="885"/>
      <c r="G1580" s="885"/>
      <c r="H1580" s="930"/>
      <c r="I1580" s="885"/>
      <c r="J1580" s="885"/>
      <c r="K1580" s="885"/>
      <c r="L1580" s="885"/>
      <c r="M1580" s="885"/>
      <c r="N1580" s="887"/>
      <c r="O1580" s="885"/>
      <c r="P1580" s="885"/>
      <c r="Q1580" s="885"/>
      <c r="R1580" s="885"/>
      <c r="S1580" s="885"/>
      <c r="T1580" s="885"/>
      <c r="U1580" s="885"/>
      <c r="V1580" s="885"/>
      <c r="W1580" s="885"/>
      <c r="X1580" s="885"/>
      <c r="Y1580" s="885"/>
      <c r="Z1580" s="885"/>
    </row>
    <row r="1581" ht="15.75" customHeight="1">
      <c r="A1581" s="884"/>
      <c r="B1581" s="884"/>
      <c r="C1581" s="884"/>
      <c r="D1581" s="884"/>
      <c r="E1581" s="885"/>
      <c r="F1581" s="885"/>
      <c r="G1581" s="885"/>
      <c r="H1581" s="930"/>
      <c r="I1581" s="885"/>
      <c r="J1581" s="885"/>
      <c r="K1581" s="885"/>
      <c r="L1581" s="885"/>
      <c r="M1581" s="885"/>
      <c r="N1581" s="887"/>
      <c r="O1581" s="885"/>
      <c r="P1581" s="885"/>
      <c r="Q1581" s="885"/>
      <c r="R1581" s="885"/>
      <c r="S1581" s="885"/>
      <c r="T1581" s="885"/>
      <c r="U1581" s="885"/>
      <c r="V1581" s="885"/>
      <c r="W1581" s="885"/>
      <c r="X1581" s="885"/>
      <c r="Y1581" s="885"/>
      <c r="Z1581" s="885"/>
    </row>
    <row r="1582" ht="15.75" customHeight="1">
      <c r="A1582" s="884"/>
      <c r="B1582" s="884"/>
      <c r="C1582" s="884"/>
      <c r="D1582" s="884"/>
      <c r="E1582" s="885"/>
      <c r="F1582" s="885"/>
      <c r="G1582" s="885"/>
      <c r="H1582" s="930"/>
      <c r="I1582" s="885"/>
      <c r="J1582" s="885"/>
      <c r="K1582" s="885"/>
      <c r="L1582" s="885"/>
      <c r="M1582" s="885"/>
      <c r="N1582" s="887"/>
      <c r="O1582" s="885"/>
      <c r="P1582" s="885"/>
      <c r="Q1582" s="885"/>
      <c r="R1582" s="885"/>
      <c r="S1582" s="885"/>
      <c r="T1582" s="885"/>
      <c r="U1582" s="885"/>
      <c r="V1582" s="885"/>
      <c r="W1582" s="885"/>
      <c r="X1582" s="885"/>
      <c r="Y1582" s="885"/>
      <c r="Z1582" s="885"/>
    </row>
    <row r="1583" ht="15.75" customHeight="1">
      <c r="A1583" s="884"/>
      <c r="B1583" s="884"/>
      <c r="C1583" s="884"/>
      <c r="D1583" s="884"/>
      <c r="E1583" s="885"/>
      <c r="F1583" s="885"/>
      <c r="G1583" s="885"/>
      <c r="H1583" s="930"/>
      <c r="I1583" s="885"/>
      <c r="J1583" s="885"/>
      <c r="K1583" s="885"/>
      <c r="L1583" s="885"/>
      <c r="M1583" s="885"/>
      <c r="N1583" s="887"/>
      <c r="O1583" s="885"/>
      <c r="P1583" s="885"/>
      <c r="Q1583" s="885"/>
      <c r="R1583" s="885"/>
      <c r="S1583" s="885"/>
      <c r="T1583" s="885"/>
      <c r="U1583" s="885"/>
      <c r="V1583" s="885"/>
      <c r="W1583" s="885"/>
      <c r="X1583" s="885"/>
      <c r="Y1583" s="885"/>
      <c r="Z1583" s="885"/>
    </row>
    <row r="1584" ht="15.75" customHeight="1">
      <c r="A1584" s="884"/>
      <c r="B1584" s="884"/>
      <c r="C1584" s="884"/>
      <c r="D1584" s="884"/>
      <c r="E1584" s="885"/>
      <c r="F1584" s="885"/>
      <c r="G1584" s="885"/>
      <c r="H1584" s="930"/>
      <c r="I1584" s="885"/>
      <c r="J1584" s="885"/>
      <c r="K1584" s="885"/>
      <c r="L1584" s="885"/>
      <c r="M1584" s="885"/>
      <c r="N1584" s="887"/>
      <c r="O1584" s="885"/>
      <c r="P1584" s="885"/>
      <c r="Q1584" s="885"/>
      <c r="R1584" s="885"/>
      <c r="S1584" s="885"/>
      <c r="T1584" s="885"/>
      <c r="U1584" s="885"/>
      <c r="V1584" s="885"/>
      <c r="W1584" s="885"/>
      <c r="X1584" s="885"/>
      <c r="Y1584" s="885"/>
      <c r="Z1584" s="885"/>
    </row>
    <row r="1585" ht="15.75" customHeight="1">
      <c r="A1585" s="884"/>
      <c r="B1585" s="884"/>
      <c r="C1585" s="884"/>
      <c r="D1585" s="884"/>
      <c r="E1585" s="885"/>
      <c r="F1585" s="885"/>
      <c r="G1585" s="885"/>
      <c r="H1585" s="930"/>
      <c r="I1585" s="885"/>
      <c r="J1585" s="885"/>
      <c r="K1585" s="885"/>
      <c r="L1585" s="885"/>
      <c r="M1585" s="885"/>
      <c r="N1585" s="887"/>
      <c r="O1585" s="885"/>
      <c r="P1585" s="885"/>
      <c r="Q1585" s="885"/>
      <c r="R1585" s="885"/>
      <c r="S1585" s="885"/>
      <c r="T1585" s="885"/>
      <c r="U1585" s="885"/>
      <c r="V1585" s="885"/>
      <c r="W1585" s="885"/>
      <c r="X1585" s="885"/>
      <c r="Y1585" s="885"/>
      <c r="Z1585" s="885"/>
    </row>
    <row r="1586" ht="15.75" customHeight="1">
      <c r="A1586" s="884"/>
      <c r="B1586" s="884"/>
      <c r="C1586" s="884"/>
      <c r="D1586" s="884"/>
      <c r="E1586" s="885"/>
      <c r="F1586" s="885"/>
      <c r="G1586" s="885"/>
      <c r="H1586" s="930"/>
      <c r="I1586" s="885"/>
      <c r="J1586" s="885"/>
      <c r="K1586" s="885"/>
      <c r="L1586" s="885"/>
      <c r="M1586" s="885"/>
      <c r="N1586" s="887"/>
      <c r="O1586" s="885"/>
      <c r="P1586" s="885"/>
      <c r="Q1586" s="885"/>
      <c r="R1586" s="885"/>
      <c r="S1586" s="885"/>
      <c r="T1586" s="885"/>
      <c r="U1586" s="885"/>
      <c r="V1586" s="885"/>
      <c r="W1586" s="885"/>
      <c r="X1586" s="885"/>
      <c r="Y1586" s="885"/>
      <c r="Z1586" s="885"/>
    </row>
    <row r="1587" ht="15.75" customHeight="1">
      <c r="A1587" s="884"/>
      <c r="B1587" s="884"/>
      <c r="C1587" s="884"/>
      <c r="D1587" s="884"/>
      <c r="E1587" s="885"/>
      <c r="F1587" s="885"/>
      <c r="G1587" s="885"/>
      <c r="H1587" s="930"/>
      <c r="I1587" s="885"/>
      <c r="J1587" s="885"/>
      <c r="K1587" s="885"/>
      <c r="L1587" s="885"/>
      <c r="M1587" s="885"/>
      <c r="N1587" s="887"/>
      <c r="O1587" s="885"/>
      <c r="P1587" s="885"/>
      <c r="Q1587" s="885"/>
      <c r="R1587" s="885"/>
      <c r="S1587" s="885"/>
      <c r="T1587" s="885"/>
      <c r="U1587" s="885"/>
      <c r="V1587" s="885"/>
      <c r="W1587" s="885"/>
      <c r="X1587" s="885"/>
      <c r="Y1587" s="885"/>
      <c r="Z1587" s="885"/>
    </row>
    <row r="1588" ht="15.75" customHeight="1">
      <c r="A1588" s="884"/>
      <c r="B1588" s="884"/>
      <c r="C1588" s="884"/>
      <c r="D1588" s="884"/>
      <c r="E1588" s="885"/>
      <c r="F1588" s="885"/>
      <c r="G1588" s="885"/>
      <c r="H1588" s="930"/>
      <c r="I1588" s="885"/>
      <c r="J1588" s="885"/>
      <c r="K1588" s="885"/>
      <c r="L1588" s="885"/>
      <c r="M1588" s="885"/>
      <c r="N1588" s="887"/>
      <c r="O1588" s="885"/>
      <c r="P1588" s="885"/>
      <c r="Q1588" s="885"/>
      <c r="R1588" s="885"/>
      <c r="S1588" s="885"/>
      <c r="T1588" s="885"/>
      <c r="U1588" s="885"/>
      <c r="V1588" s="885"/>
      <c r="W1588" s="885"/>
      <c r="X1588" s="885"/>
      <c r="Y1588" s="885"/>
      <c r="Z1588" s="885"/>
    </row>
    <row r="1589" ht="15.75" customHeight="1">
      <c r="A1589" s="884"/>
      <c r="B1589" s="884"/>
      <c r="C1589" s="884"/>
      <c r="D1589" s="884"/>
      <c r="E1589" s="885"/>
      <c r="F1589" s="885"/>
      <c r="G1589" s="885"/>
      <c r="H1589" s="930"/>
      <c r="I1589" s="885"/>
      <c r="J1589" s="885"/>
      <c r="K1589" s="885"/>
      <c r="L1589" s="885"/>
      <c r="M1589" s="885"/>
      <c r="N1589" s="887"/>
      <c r="O1589" s="885"/>
      <c r="P1589" s="885"/>
      <c r="Q1589" s="885"/>
      <c r="R1589" s="885"/>
      <c r="S1589" s="885"/>
      <c r="T1589" s="885"/>
      <c r="U1589" s="885"/>
      <c r="V1589" s="885"/>
      <c r="W1589" s="885"/>
      <c r="X1589" s="885"/>
      <c r="Y1589" s="885"/>
      <c r="Z1589" s="885"/>
    </row>
    <row r="1590" ht="15.75" customHeight="1">
      <c r="A1590" s="884"/>
      <c r="B1590" s="884"/>
      <c r="C1590" s="884"/>
      <c r="D1590" s="884"/>
      <c r="E1590" s="885"/>
      <c r="F1590" s="885"/>
      <c r="G1590" s="885"/>
      <c r="H1590" s="930"/>
      <c r="I1590" s="885"/>
      <c r="J1590" s="885"/>
      <c r="K1590" s="885"/>
      <c r="L1590" s="885"/>
      <c r="M1590" s="885"/>
      <c r="N1590" s="887"/>
      <c r="O1590" s="885"/>
      <c r="P1590" s="885"/>
      <c r="Q1590" s="885"/>
      <c r="R1590" s="885"/>
      <c r="S1590" s="885"/>
      <c r="T1590" s="885"/>
      <c r="U1590" s="885"/>
      <c r="V1590" s="885"/>
      <c r="W1590" s="885"/>
      <c r="X1590" s="885"/>
      <c r="Y1590" s="885"/>
      <c r="Z1590" s="885"/>
    </row>
    <row r="1591" ht="15.75" customHeight="1">
      <c r="A1591" s="884"/>
      <c r="B1591" s="884"/>
      <c r="C1591" s="884"/>
      <c r="D1591" s="884"/>
      <c r="E1591" s="885"/>
      <c r="F1591" s="885"/>
      <c r="G1591" s="885"/>
      <c r="H1591" s="930"/>
      <c r="I1591" s="885"/>
      <c r="J1591" s="885"/>
      <c r="K1591" s="885"/>
      <c r="L1591" s="885"/>
      <c r="M1591" s="885"/>
      <c r="N1591" s="887"/>
      <c r="O1591" s="885"/>
      <c r="P1591" s="885"/>
      <c r="Q1591" s="885"/>
      <c r="R1591" s="885"/>
      <c r="S1591" s="885"/>
      <c r="T1591" s="885"/>
      <c r="U1591" s="885"/>
      <c r="V1591" s="885"/>
      <c r="W1591" s="885"/>
      <c r="X1591" s="885"/>
      <c r="Y1591" s="885"/>
      <c r="Z1591" s="885"/>
    </row>
    <row r="1592" ht="15.75" customHeight="1">
      <c r="A1592" s="884"/>
      <c r="B1592" s="884"/>
      <c r="C1592" s="884"/>
      <c r="D1592" s="884"/>
      <c r="E1592" s="885"/>
      <c r="F1592" s="885"/>
      <c r="G1592" s="885"/>
      <c r="H1592" s="930"/>
      <c r="I1592" s="885"/>
      <c r="J1592" s="885"/>
      <c r="K1592" s="885"/>
      <c r="L1592" s="885"/>
      <c r="M1592" s="885"/>
      <c r="N1592" s="887"/>
      <c r="O1592" s="885"/>
      <c r="P1592" s="885"/>
      <c r="Q1592" s="885"/>
      <c r="R1592" s="885"/>
      <c r="S1592" s="885"/>
      <c r="T1592" s="885"/>
      <c r="U1592" s="885"/>
      <c r="V1592" s="885"/>
      <c r="W1592" s="885"/>
      <c r="X1592" s="885"/>
      <c r="Y1592" s="885"/>
      <c r="Z1592" s="885"/>
    </row>
    <row r="1593" ht="15.75" customHeight="1">
      <c r="A1593" s="884"/>
      <c r="B1593" s="884"/>
      <c r="C1593" s="884"/>
      <c r="D1593" s="884"/>
      <c r="E1593" s="885"/>
      <c r="F1593" s="885"/>
      <c r="G1593" s="885"/>
      <c r="H1593" s="930"/>
      <c r="I1593" s="885"/>
      <c r="J1593" s="885"/>
      <c r="K1593" s="885"/>
      <c r="L1593" s="885"/>
      <c r="M1593" s="885"/>
      <c r="N1593" s="887"/>
      <c r="O1593" s="885"/>
      <c r="P1593" s="885"/>
      <c r="Q1593" s="885"/>
      <c r="R1593" s="885"/>
      <c r="S1593" s="885"/>
      <c r="T1593" s="885"/>
      <c r="U1593" s="885"/>
      <c r="V1593" s="885"/>
      <c r="W1593" s="885"/>
      <c r="X1593" s="885"/>
      <c r="Y1593" s="885"/>
      <c r="Z1593" s="885"/>
    </row>
    <row r="1594" ht="15.75" customHeight="1">
      <c r="A1594" s="884"/>
      <c r="B1594" s="884"/>
      <c r="C1594" s="884"/>
      <c r="D1594" s="884"/>
      <c r="E1594" s="885"/>
      <c r="F1594" s="885"/>
      <c r="G1594" s="885"/>
      <c r="H1594" s="930"/>
      <c r="I1594" s="885"/>
      <c r="J1594" s="885"/>
      <c r="K1594" s="885"/>
      <c r="L1594" s="885"/>
      <c r="M1594" s="885"/>
      <c r="N1594" s="887"/>
      <c r="O1594" s="885"/>
      <c r="P1594" s="885"/>
      <c r="Q1594" s="885"/>
      <c r="R1594" s="885"/>
      <c r="S1594" s="885"/>
      <c r="T1594" s="885"/>
      <c r="U1594" s="885"/>
      <c r="V1594" s="885"/>
      <c r="W1594" s="885"/>
      <c r="X1594" s="885"/>
      <c r="Y1594" s="885"/>
      <c r="Z1594" s="885"/>
    </row>
    <row r="1595" ht="15.75" customHeight="1">
      <c r="A1595" s="884"/>
      <c r="B1595" s="884"/>
      <c r="C1595" s="884"/>
      <c r="D1595" s="884"/>
      <c r="E1595" s="885"/>
      <c r="F1595" s="885"/>
      <c r="G1595" s="885"/>
      <c r="H1595" s="930"/>
      <c r="I1595" s="885"/>
      <c r="J1595" s="885"/>
      <c r="K1595" s="885"/>
      <c r="L1595" s="885"/>
      <c r="M1595" s="885"/>
      <c r="N1595" s="887"/>
      <c r="O1595" s="885"/>
      <c r="P1595" s="885"/>
      <c r="Q1595" s="885"/>
      <c r="R1595" s="885"/>
      <c r="S1595" s="885"/>
      <c r="T1595" s="885"/>
      <c r="U1595" s="885"/>
      <c r="V1595" s="885"/>
      <c r="W1595" s="885"/>
      <c r="X1595" s="885"/>
      <c r="Y1595" s="885"/>
      <c r="Z1595" s="885"/>
    </row>
    <row r="1596" ht="15.75" customHeight="1">
      <c r="A1596" s="884"/>
      <c r="B1596" s="884"/>
      <c r="C1596" s="884"/>
      <c r="D1596" s="884"/>
      <c r="E1596" s="885"/>
      <c r="F1596" s="885"/>
      <c r="G1596" s="885"/>
      <c r="H1596" s="930"/>
      <c r="I1596" s="885"/>
      <c r="J1596" s="885"/>
      <c r="K1596" s="885"/>
      <c r="L1596" s="885"/>
      <c r="M1596" s="885"/>
      <c r="N1596" s="887"/>
      <c r="O1596" s="885"/>
      <c r="P1596" s="885"/>
      <c r="Q1596" s="885"/>
      <c r="R1596" s="885"/>
      <c r="S1596" s="885"/>
      <c r="T1596" s="885"/>
      <c r="U1596" s="885"/>
      <c r="V1596" s="885"/>
      <c r="W1596" s="885"/>
      <c r="X1596" s="885"/>
      <c r="Y1596" s="885"/>
      <c r="Z1596" s="885"/>
    </row>
    <row r="1597" ht="15.75" customHeight="1">
      <c r="A1597" s="884"/>
      <c r="B1597" s="884"/>
      <c r="C1597" s="884"/>
      <c r="D1597" s="884"/>
      <c r="E1597" s="885"/>
      <c r="F1597" s="885"/>
      <c r="G1597" s="885"/>
      <c r="H1597" s="930"/>
      <c r="I1597" s="885"/>
      <c r="J1597" s="885"/>
      <c r="K1597" s="885"/>
      <c r="L1597" s="885"/>
      <c r="M1597" s="885"/>
      <c r="N1597" s="887"/>
      <c r="O1597" s="885"/>
      <c r="P1597" s="885"/>
      <c r="Q1597" s="885"/>
      <c r="R1597" s="885"/>
      <c r="S1597" s="885"/>
      <c r="T1597" s="885"/>
      <c r="U1597" s="885"/>
      <c r="V1597" s="885"/>
      <c r="W1597" s="885"/>
      <c r="X1597" s="885"/>
      <c r="Y1597" s="885"/>
      <c r="Z1597" s="885"/>
    </row>
    <row r="1598" ht="15.75" customHeight="1">
      <c r="A1598" s="884"/>
      <c r="B1598" s="884"/>
      <c r="C1598" s="884"/>
      <c r="D1598" s="884"/>
      <c r="E1598" s="885"/>
      <c r="F1598" s="885"/>
      <c r="G1598" s="885"/>
      <c r="H1598" s="930"/>
      <c r="I1598" s="885"/>
      <c r="J1598" s="885"/>
      <c r="K1598" s="885"/>
      <c r="L1598" s="885"/>
      <c r="M1598" s="885"/>
      <c r="N1598" s="887"/>
      <c r="O1598" s="885"/>
      <c r="P1598" s="885"/>
      <c r="Q1598" s="885"/>
      <c r="R1598" s="885"/>
      <c r="S1598" s="885"/>
      <c r="T1598" s="885"/>
      <c r="U1598" s="885"/>
      <c r="V1598" s="885"/>
      <c r="W1598" s="885"/>
      <c r="X1598" s="885"/>
      <c r="Y1598" s="885"/>
      <c r="Z1598" s="885"/>
    </row>
    <row r="1599" ht="15.75" customHeight="1">
      <c r="A1599" s="884"/>
      <c r="B1599" s="884"/>
      <c r="C1599" s="884"/>
      <c r="D1599" s="884"/>
      <c r="E1599" s="885"/>
      <c r="F1599" s="885"/>
      <c r="G1599" s="885"/>
      <c r="H1599" s="930"/>
      <c r="I1599" s="885"/>
      <c r="J1599" s="885"/>
      <c r="K1599" s="885"/>
      <c r="L1599" s="885"/>
      <c r="M1599" s="885"/>
      <c r="N1599" s="887"/>
      <c r="O1599" s="885"/>
      <c r="P1599" s="885"/>
      <c r="Q1599" s="885"/>
      <c r="R1599" s="885"/>
      <c r="S1599" s="885"/>
      <c r="T1599" s="885"/>
      <c r="U1599" s="885"/>
      <c r="V1599" s="885"/>
      <c r="W1599" s="885"/>
      <c r="X1599" s="885"/>
      <c r="Y1599" s="885"/>
      <c r="Z1599" s="885"/>
    </row>
    <row r="1600" ht="15.75" customHeight="1">
      <c r="A1600" s="884"/>
      <c r="B1600" s="884"/>
      <c r="C1600" s="884"/>
      <c r="D1600" s="884"/>
      <c r="E1600" s="885"/>
      <c r="F1600" s="885"/>
      <c r="G1600" s="885"/>
      <c r="H1600" s="930"/>
      <c r="I1600" s="885"/>
      <c r="J1600" s="885"/>
      <c r="K1600" s="885"/>
      <c r="L1600" s="885"/>
      <c r="M1600" s="885"/>
      <c r="N1600" s="887"/>
      <c r="O1600" s="885"/>
      <c r="P1600" s="885"/>
      <c r="Q1600" s="885"/>
      <c r="R1600" s="885"/>
      <c r="S1600" s="885"/>
      <c r="T1600" s="885"/>
      <c r="U1600" s="885"/>
      <c r="V1600" s="885"/>
      <c r="W1600" s="885"/>
      <c r="X1600" s="885"/>
      <c r="Y1600" s="885"/>
      <c r="Z1600" s="885"/>
    </row>
    <row r="1601" ht="15.75" customHeight="1">
      <c r="A1601" s="884"/>
      <c r="B1601" s="884"/>
      <c r="C1601" s="884"/>
      <c r="D1601" s="884"/>
      <c r="E1601" s="885"/>
      <c r="F1601" s="885"/>
      <c r="G1601" s="885"/>
      <c r="H1601" s="930"/>
      <c r="I1601" s="885"/>
      <c r="J1601" s="885"/>
      <c r="K1601" s="885"/>
      <c r="L1601" s="885"/>
      <c r="M1601" s="885"/>
      <c r="N1601" s="887"/>
      <c r="O1601" s="885"/>
      <c r="P1601" s="885"/>
      <c r="Q1601" s="885"/>
      <c r="R1601" s="885"/>
      <c r="S1601" s="885"/>
      <c r="T1601" s="885"/>
      <c r="U1601" s="885"/>
      <c r="V1601" s="885"/>
      <c r="W1601" s="885"/>
      <c r="X1601" s="885"/>
      <c r="Y1601" s="885"/>
      <c r="Z1601" s="885"/>
    </row>
    <row r="1602" ht="15.75" customHeight="1">
      <c r="A1602" s="884"/>
      <c r="B1602" s="884"/>
      <c r="C1602" s="884"/>
      <c r="D1602" s="884"/>
      <c r="E1602" s="885"/>
      <c r="F1602" s="885"/>
      <c r="G1602" s="885"/>
      <c r="H1602" s="930"/>
      <c r="I1602" s="885"/>
      <c r="J1602" s="885"/>
      <c r="K1602" s="885"/>
      <c r="L1602" s="885"/>
      <c r="M1602" s="885"/>
      <c r="N1602" s="887"/>
      <c r="O1602" s="885"/>
      <c r="P1602" s="885"/>
      <c r="Q1602" s="885"/>
      <c r="R1602" s="885"/>
      <c r="S1602" s="885"/>
      <c r="T1602" s="885"/>
      <c r="U1602" s="885"/>
      <c r="V1602" s="885"/>
      <c r="W1602" s="885"/>
      <c r="X1602" s="885"/>
      <c r="Y1602" s="885"/>
      <c r="Z1602" s="885"/>
    </row>
    <row r="1603" ht="15.75" customHeight="1">
      <c r="A1603" s="884"/>
      <c r="B1603" s="884"/>
      <c r="C1603" s="884"/>
      <c r="D1603" s="884"/>
      <c r="E1603" s="885"/>
      <c r="F1603" s="885"/>
      <c r="G1603" s="885"/>
      <c r="H1603" s="930"/>
      <c r="I1603" s="885"/>
      <c r="J1603" s="885"/>
      <c r="K1603" s="885"/>
      <c r="L1603" s="885"/>
      <c r="M1603" s="885"/>
      <c r="N1603" s="887"/>
      <c r="O1603" s="885"/>
      <c r="P1603" s="885"/>
      <c r="Q1603" s="885"/>
      <c r="R1603" s="885"/>
      <c r="S1603" s="885"/>
      <c r="T1603" s="885"/>
      <c r="U1603" s="885"/>
      <c r="V1603" s="885"/>
      <c r="W1603" s="885"/>
      <c r="X1603" s="885"/>
      <c r="Y1603" s="885"/>
      <c r="Z1603" s="885"/>
    </row>
    <row r="1604" ht="15.75" customHeight="1">
      <c r="A1604" s="884"/>
      <c r="B1604" s="884"/>
      <c r="C1604" s="884"/>
      <c r="D1604" s="884"/>
      <c r="E1604" s="885"/>
      <c r="F1604" s="885"/>
      <c r="G1604" s="885"/>
      <c r="H1604" s="930"/>
      <c r="I1604" s="885"/>
      <c r="J1604" s="885"/>
      <c r="K1604" s="885"/>
      <c r="L1604" s="885"/>
      <c r="M1604" s="885"/>
      <c r="N1604" s="887"/>
      <c r="O1604" s="885"/>
      <c r="P1604" s="885"/>
      <c r="Q1604" s="885"/>
      <c r="R1604" s="885"/>
      <c r="S1604" s="885"/>
      <c r="T1604" s="885"/>
      <c r="U1604" s="885"/>
      <c r="V1604" s="885"/>
      <c r="W1604" s="885"/>
      <c r="X1604" s="885"/>
      <c r="Y1604" s="885"/>
      <c r="Z1604" s="885"/>
    </row>
    <row r="1605" ht="15.75" customHeight="1">
      <c r="A1605" s="884"/>
      <c r="B1605" s="884"/>
      <c r="C1605" s="884"/>
      <c r="D1605" s="884"/>
      <c r="E1605" s="885"/>
      <c r="F1605" s="885"/>
      <c r="G1605" s="885"/>
      <c r="H1605" s="930"/>
      <c r="I1605" s="885"/>
      <c r="J1605" s="885"/>
      <c r="K1605" s="885"/>
      <c r="L1605" s="885"/>
      <c r="M1605" s="885"/>
      <c r="N1605" s="887"/>
      <c r="O1605" s="885"/>
      <c r="P1605" s="885"/>
      <c r="Q1605" s="885"/>
      <c r="R1605" s="885"/>
      <c r="S1605" s="885"/>
      <c r="T1605" s="885"/>
      <c r="U1605" s="885"/>
      <c r="V1605" s="885"/>
      <c r="W1605" s="885"/>
      <c r="X1605" s="885"/>
      <c r="Y1605" s="885"/>
      <c r="Z1605" s="885"/>
    </row>
    <row r="1606" ht="15.75" customHeight="1">
      <c r="A1606" s="884"/>
      <c r="B1606" s="884"/>
      <c r="C1606" s="884"/>
      <c r="D1606" s="884"/>
      <c r="E1606" s="885"/>
      <c r="F1606" s="885"/>
      <c r="G1606" s="885"/>
      <c r="H1606" s="930"/>
      <c r="I1606" s="885"/>
      <c r="J1606" s="885"/>
      <c r="K1606" s="885"/>
      <c r="L1606" s="885"/>
      <c r="M1606" s="885"/>
      <c r="N1606" s="887"/>
      <c r="O1606" s="885"/>
      <c r="P1606" s="885"/>
      <c r="Q1606" s="885"/>
      <c r="R1606" s="885"/>
      <c r="S1606" s="885"/>
      <c r="T1606" s="885"/>
      <c r="U1606" s="885"/>
      <c r="V1606" s="885"/>
      <c r="W1606" s="885"/>
      <c r="X1606" s="885"/>
      <c r="Y1606" s="885"/>
      <c r="Z1606" s="885"/>
    </row>
    <row r="1607" ht="15.75" customHeight="1">
      <c r="A1607" s="884"/>
      <c r="B1607" s="884"/>
      <c r="C1607" s="884"/>
      <c r="D1607" s="884"/>
      <c r="E1607" s="885"/>
      <c r="F1607" s="885"/>
      <c r="G1607" s="885"/>
      <c r="H1607" s="930"/>
      <c r="I1607" s="885"/>
      <c r="J1607" s="885"/>
      <c r="K1607" s="885"/>
      <c r="L1607" s="885"/>
      <c r="M1607" s="885"/>
      <c r="N1607" s="887"/>
      <c r="O1607" s="885"/>
      <c r="P1607" s="885"/>
      <c r="Q1607" s="885"/>
      <c r="R1607" s="885"/>
      <c r="S1607" s="885"/>
      <c r="T1607" s="885"/>
      <c r="U1607" s="885"/>
      <c r="V1607" s="885"/>
      <c r="W1607" s="885"/>
      <c r="X1607" s="885"/>
      <c r="Y1607" s="885"/>
      <c r="Z1607" s="885"/>
    </row>
    <row r="1608" ht="15.75" customHeight="1">
      <c r="A1608" s="884"/>
      <c r="B1608" s="884"/>
      <c r="C1608" s="884"/>
      <c r="D1608" s="884"/>
      <c r="E1608" s="885"/>
      <c r="F1608" s="885"/>
      <c r="G1608" s="885"/>
      <c r="H1608" s="930"/>
      <c r="I1608" s="885"/>
      <c r="J1608" s="885"/>
      <c r="K1608" s="885"/>
      <c r="L1608" s="885"/>
      <c r="M1608" s="885"/>
      <c r="N1608" s="887"/>
      <c r="O1608" s="885"/>
      <c r="P1608" s="885"/>
      <c r="Q1608" s="885"/>
      <c r="R1608" s="885"/>
      <c r="S1608" s="885"/>
      <c r="T1608" s="885"/>
      <c r="U1608" s="885"/>
      <c r="V1608" s="885"/>
      <c r="W1608" s="885"/>
      <c r="X1608" s="885"/>
      <c r="Y1608" s="885"/>
      <c r="Z1608" s="885"/>
    </row>
    <row r="1609" ht="15.75" customHeight="1">
      <c r="A1609" s="884"/>
      <c r="B1609" s="884"/>
      <c r="C1609" s="884"/>
      <c r="D1609" s="884"/>
      <c r="E1609" s="885"/>
      <c r="F1609" s="885"/>
      <c r="G1609" s="885"/>
      <c r="H1609" s="930"/>
      <c r="I1609" s="885"/>
      <c r="J1609" s="885"/>
      <c r="K1609" s="885"/>
      <c r="L1609" s="885"/>
      <c r="M1609" s="885"/>
      <c r="N1609" s="887"/>
      <c r="O1609" s="885"/>
      <c r="P1609" s="885"/>
      <c r="Q1609" s="885"/>
      <c r="R1609" s="885"/>
      <c r="S1609" s="885"/>
      <c r="T1609" s="885"/>
      <c r="U1609" s="885"/>
      <c r="V1609" s="885"/>
      <c r="W1609" s="885"/>
      <c r="X1609" s="885"/>
      <c r="Y1609" s="885"/>
      <c r="Z1609" s="885"/>
    </row>
    <row r="1610" ht="15.75" customHeight="1">
      <c r="A1610" s="884"/>
      <c r="B1610" s="884"/>
      <c r="C1610" s="884"/>
      <c r="D1610" s="884"/>
      <c r="E1610" s="885"/>
      <c r="F1610" s="885"/>
      <c r="G1610" s="885"/>
      <c r="H1610" s="930"/>
      <c r="I1610" s="885"/>
      <c r="J1610" s="885"/>
      <c r="K1610" s="885"/>
      <c r="L1610" s="885"/>
      <c r="M1610" s="885"/>
      <c r="N1610" s="887"/>
      <c r="O1610" s="885"/>
      <c r="P1610" s="885"/>
      <c r="Q1610" s="885"/>
      <c r="R1610" s="885"/>
      <c r="S1610" s="885"/>
      <c r="T1610" s="885"/>
      <c r="U1610" s="885"/>
      <c r="V1610" s="885"/>
      <c r="W1610" s="885"/>
      <c r="X1610" s="885"/>
      <c r="Y1610" s="885"/>
      <c r="Z1610" s="885"/>
    </row>
    <row r="1611" ht="15.75" customHeight="1">
      <c r="A1611" s="884"/>
      <c r="B1611" s="884"/>
      <c r="C1611" s="884"/>
      <c r="D1611" s="884"/>
      <c r="E1611" s="885"/>
      <c r="F1611" s="885"/>
      <c r="G1611" s="885"/>
      <c r="H1611" s="930"/>
      <c r="I1611" s="885"/>
      <c r="J1611" s="885"/>
      <c r="K1611" s="885"/>
      <c r="L1611" s="885"/>
      <c r="M1611" s="885"/>
      <c r="N1611" s="887"/>
      <c r="O1611" s="885"/>
      <c r="P1611" s="885"/>
      <c r="Q1611" s="885"/>
      <c r="R1611" s="885"/>
      <c r="S1611" s="885"/>
      <c r="T1611" s="885"/>
      <c r="U1611" s="885"/>
      <c r="V1611" s="885"/>
      <c r="W1611" s="885"/>
      <c r="X1611" s="885"/>
      <c r="Y1611" s="885"/>
      <c r="Z1611" s="885"/>
    </row>
    <row r="1612" ht="15.75" customHeight="1">
      <c r="A1612" s="884"/>
      <c r="B1612" s="884"/>
      <c r="C1612" s="884"/>
      <c r="D1612" s="884"/>
      <c r="E1612" s="885"/>
      <c r="F1612" s="885"/>
      <c r="G1612" s="885"/>
      <c r="H1612" s="930"/>
      <c r="I1612" s="885"/>
      <c r="J1612" s="885"/>
      <c r="K1612" s="885"/>
      <c r="L1612" s="885"/>
      <c r="M1612" s="885"/>
      <c r="N1612" s="887"/>
      <c r="O1612" s="885"/>
      <c r="P1612" s="885"/>
      <c r="Q1612" s="885"/>
      <c r="R1612" s="885"/>
      <c r="S1612" s="885"/>
      <c r="T1612" s="885"/>
      <c r="U1612" s="885"/>
      <c r="V1612" s="885"/>
      <c r="W1612" s="885"/>
      <c r="X1612" s="885"/>
      <c r="Y1612" s="885"/>
      <c r="Z1612" s="885"/>
    </row>
    <row r="1613" ht="15.75" customHeight="1">
      <c r="A1613" s="884"/>
      <c r="B1613" s="884"/>
      <c r="C1613" s="884"/>
      <c r="D1613" s="884"/>
      <c r="E1613" s="885"/>
      <c r="F1613" s="885"/>
      <c r="G1613" s="885"/>
      <c r="H1613" s="930"/>
      <c r="I1613" s="885"/>
      <c r="J1613" s="885"/>
      <c r="K1613" s="885"/>
      <c r="L1613" s="885"/>
      <c r="M1613" s="885"/>
      <c r="N1613" s="887"/>
      <c r="O1613" s="885"/>
      <c r="P1613" s="885"/>
      <c r="Q1613" s="885"/>
      <c r="R1613" s="885"/>
      <c r="S1613" s="885"/>
      <c r="T1613" s="885"/>
      <c r="U1613" s="885"/>
      <c r="V1613" s="885"/>
      <c r="W1613" s="885"/>
      <c r="X1613" s="885"/>
      <c r="Y1613" s="885"/>
      <c r="Z1613" s="885"/>
    </row>
    <row r="1614" ht="15.75" customHeight="1">
      <c r="A1614" s="884"/>
      <c r="B1614" s="884"/>
      <c r="C1614" s="884"/>
      <c r="D1614" s="884"/>
      <c r="E1614" s="885"/>
      <c r="F1614" s="885"/>
      <c r="G1614" s="885"/>
      <c r="H1614" s="930"/>
      <c r="I1614" s="885"/>
      <c r="J1614" s="885"/>
      <c r="K1614" s="885"/>
      <c r="L1614" s="885"/>
      <c r="M1614" s="885"/>
      <c r="N1614" s="887"/>
      <c r="O1614" s="885"/>
      <c r="P1614" s="885"/>
      <c r="Q1614" s="885"/>
      <c r="R1614" s="885"/>
      <c r="S1614" s="885"/>
      <c r="T1614" s="885"/>
      <c r="U1614" s="885"/>
      <c r="V1614" s="885"/>
      <c r="W1614" s="885"/>
      <c r="X1614" s="885"/>
      <c r="Y1614" s="885"/>
      <c r="Z1614" s="885"/>
    </row>
    <row r="1615" ht="15.75" customHeight="1">
      <c r="A1615" s="884"/>
      <c r="B1615" s="884"/>
      <c r="C1615" s="884"/>
      <c r="D1615" s="884"/>
      <c r="E1615" s="885"/>
      <c r="F1615" s="885"/>
      <c r="G1615" s="885"/>
      <c r="H1615" s="930"/>
      <c r="I1615" s="885"/>
      <c r="J1615" s="885"/>
      <c r="K1615" s="885"/>
      <c r="L1615" s="885"/>
      <c r="M1615" s="885"/>
      <c r="N1615" s="887"/>
      <c r="O1615" s="885"/>
      <c r="P1615" s="885"/>
      <c r="Q1615" s="885"/>
      <c r="R1615" s="885"/>
      <c r="S1615" s="885"/>
      <c r="T1615" s="885"/>
      <c r="U1615" s="885"/>
      <c r="V1615" s="885"/>
      <c r="W1615" s="885"/>
      <c r="X1615" s="885"/>
      <c r="Y1615" s="885"/>
      <c r="Z1615" s="885"/>
    </row>
    <row r="1616" ht="15.75" customHeight="1">
      <c r="A1616" s="884"/>
      <c r="B1616" s="884"/>
      <c r="C1616" s="884"/>
      <c r="D1616" s="884"/>
      <c r="E1616" s="885"/>
      <c r="F1616" s="885"/>
      <c r="G1616" s="885"/>
      <c r="H1616" s="930"/>
      <c r="I1616" s="885"/>
      <c r="J1616" s="885"/>
      <c r="K1616" s="885"/>
      <c r="L1616" s="885"/>
      <c r="M1616" s="885"/>
      <c r="N1616" s="887"/>
      <c r="O1616" s="885"/>
      <c r="P1616" s="885"/>
      <c r="Q1616" s="885"/>
      <c r="R1616" s="885"/>
      <c r="S1616" s="885"/>
      <c r="T1616" s="885"/>
      <c r="U1616" s="885"/>
      <c r="V1616" s="885"/>
      <c r="W1616" s="885"/>
      <c r="X1616" s="885"/>
      <c r="Y1616" s="885"/>
      <c r="Z1616" s="885"/>
    </row>
    <row r="1617" ht="15.75" customHeight="1">
      <c r="A1617" s="884"/>
      <c r="B1617" s="884"/>
      <c r="C1617" s="884"/>
      <c r="D1617" s="884"/>
      <c r="E1617" s="885"/>
      <c r="F1617" s="885"/>
      <c r="G1617" s="885"/>
      <c r="H1617" s="930"/>
      <c r="I1617" s="885"/>
      <c r="J1617" s="885"/>
      <c r="K1617" s="885"/>
      <c r="L1617" s="885"/>
      <c r="M1617" s="885"/>
      <c r="N1617" s="887"/>
      <c r="O1617" s="885"/>
      <c r="P1617" s="885"/>
      <c r="Q1617" s="885"/>
      <c r="R1617" s="885"/>
      <c r="S1617" s="885"/>
      <c r="T1617" s="885"/>
      <c r="U1617" s="885"/>
      <c r="V1617" s="885"/>
      <c r="W1617" s="885"/>
      <c r="X1617" s="885"/>
      <c r="Y1617" s="885"/>
      <c r="Z1617" s="885"/>
    </row>
    <row r="1618" ht="15.75" customHeight="1">
      <c r="A1618" s="884"/>
      <c r="B1618" s="884"/>
      <c r="C1618" s="884"/>
      <c r="D1618" s="884"/>
      <c r="E1618" s="885"/>
      <c r="F1618" s="885"/>
      <c r="G1618" s="885"/>
      <c r="H1618" s="930"/>
      <c r="I1618" s="885"/>
      <c r="J1618" s="885"/>
      <c r="K1618" s="885"/>
      <c r="L1618" s="885"/>
      <c r="M1618" s="885"/>
      <c r="N1618" s="887"/>
      <c r="O1618" s="885"/>
      <c r="P1618" s="885"/>
      <c r="Q1618" s="885"/>
      <c r="R1618" s="885"/>
      <c r="S1618" s="885"/>
      <c r="T1618" s="885"/>
      <c r="U1618" s="885"/>
      <c r="V1618" s="885"/>
      <c r="W1618" s="885"/>
      <c r="X1618" s="885"/>
      <c r="Y1618" s="885"/>
      <c r="Z1618" s="885"/>
    </row>
    <row r="1619" ht="15.75" customHeight="1">
      <c r="A1619" s="884"/>
      <c r="B1619" s="884"/>
      <c r="C1619" s="884"/>
      <c r="D1619" s="884"/>
      <c r="E1619" s="885"/>
      <c r="F1619" s="885"/>
      <c r="G1619" s="885"/>
      <c r="H1619" s="930"/>
      <c r="I1619" s="885"/>
      <c r="J1619" s="885"/>
      <c r="K1619" s="885"/>
      <c r="L1619" s="885"/>
      <c r="M1619" s="885"/>
      <c r="N1619" s="887"/>
      <c r="O1619" s="885"/>
      <c r="P1619" s="885"/>
      <c r="Q1619" s="885"/>
      <c r="R1619" s="885"/>
      <c r="S1619" s="885"/>
      <c r="T1619" s="885"/>
      <c r="U1619" s="885"/>
      <c r="V1619" s="885"/>
      <c r="W1619" s="885"/>
      <c r="X1619" s="885"/>
      <c r="Y1619" s="885"/>
      <c r="Z1619" s="885"/>
    </row>
    <row r="1620" ht="15.75" customHeight="1">
      <c r="A1620" s="884"/>
      <c r="B1620" s="884"/>
      <c r="C1620" s="884"/>
      <c r="D1620" s="884"/>
      <c r="E1620" s="885"/>
      <c r="F1620" s="885"/>
      <c r="G1620" s="885"/>
      <c r="H1620" s="930"/>
      <c r="I1620" s="885"/>
      <c r="J1620" s="885"/>
      <c r="K1620" s="885"/>
      <c r="L1620" s="885"/>
      <c r="M1620" s="885"/>
      <c r="N1620" s="887"/>
      <c r="O1620" s="885"/>
      <c r="P1620" s="885"/>
      <c r="Q1620" s="885"/>
      <c r="R1620" s="885"/>
      <c r="S1620" s="885"/>
      <c r="T1620" s="885"/>
      <c r="U1620" s="885"/>
      <c r="V1620" s="885"/>
      <c r="W1620" s="885"/>
      <c r="X1620" s="885"/>
      <c r="Y1620" s="885"/>
      <c r="Z1620" s="885"/>
    </row>
    <row r="1621" ht="15.75" customHeight="1">
      <c r="A1621" s="884"/>
      <c r="B1621" s="884"/>
      <c r="C1621" s="884"/>
      <c r="D1621" s="884"/>
      <c r="E1621" s="885"/>
      <c r="F1621" s="885"/>
      <c r="G1621" s="885"/>
      <c r="H1621" s="930"/>
      <c r="I1621" s="885"/>
      <c r="J1621" s="885"/>
      <c r="K1621" s="885"/>
      <c r="L1621" s="885"/>
      <c r="M1621" s="885"/>
      <c r="N1621" s="887"/>
      <c r="O1621" s="885"/>
      <c r="P1621" s="885"/>
      <c r="Q1621" s="885"/>
      <c r="R1621" s="885"/>
      <c r="S1621" s="885"/>
      <c r="T1621" s="885"/>
      <c r="U1621" s="885"/>
      <c r="V1621" s="885"/>
      <c r="W1621" s="885"/>
      <c r="X1621" s="885"/>
      <c r="Y1621" s="885"/>
      <c r="Z1621" s="885"/>
    </row>
    <row r="1622" ht="15.75" customHeight="1">
      <c r="A1622" s="884"/>
      <c r="B1622" s="884"/>
      <c r="C1622" s="884"/>
      <c r="D1622" s="884"/>
      <c r="E1622" s="885"/>
      <c r="F1622" s="885"/>
      <c r="G1622" s="885"/>
      <c r="H1622" s="930"/>
      <c r="I1622" s="885"/>
      <c r="J1622" s="885"/>
      <c r="K1622" s="885"/>
      <c r="L1622" s="885"/>
      <c r="M1622" s="885"/>
      <c r="N1622" s="887"/>
      <c r="O1622" s="885"/>
      <c r="P1622" s="885"/>
      <c r="Q1622" s="885"/>
      <c r="R1622" s="885"/>
      <c r="S1622" s="885"/>
      <c r="T1622" s="885"/>
      <c r="U1622" s="885"/>
      <c r="V1622" s="885"/>
      <c r="W1622" s="885"/>
      <c r="X1622" s="885"/>
      <c r="Y1622" s="885"/>
      <c r="Z1622" s="885"/>
    </row>
    <row r="1623" ht="15.75" customHeight="1">
      <c r="A1623" s="884"/>
      <c r="B1623" s="884"/>
      <c r="C1623" s="884"/>
      <c r="D1623" s="884"/>
      <c r="E1623" s="885"/>
      <c r="F1623" s="885"/>
      <c r="G1623" s="885"/>
      <c r="H1623" s="930"/>
      <c r="I1623" s="885"/>
      <c r="J1623" s="885"/>
      <c r="K1623" s="885"/>
      <c r="L1623" s="885"/>
      <c r="M1623" s="885"/>
      <c r="N1623" s="887"/>
      <c r="O1623" s="885"/>
      <c r="P1623" s="885"/>
      <c r="Q1623" s="885"/>
      <c r="R1623" s="885"/>
      <c r="S1623" s="885"/>
      <c r="T1623" s="885"/>
      <c r="U1623" s="885"/>
      <c r="V1623" s="885"/>
      <c r="W1623" s="885"/>
      <c r="X1623" s="885"/>
      <c r="Y1623" s="885"/>
      <c r="Z1623" s="885"/>
    </row>
    <row r="1624" ht="15.75" customHeight="1">
      <c r="A1624" s="884"/>
      <c r="B1624" s="884"/>
      <c r="C1624" s="884"/>
      <c r="D1624" s="884"/>
      <c r="E1624" s="885"/>
      <c r="F1624" s="885"/>
      <c r="G1624" s="885"/>
      <c r="H1624" s="930"/>
      <c r="I1624" s="885"/>
      <c r="J1624" s="885"/>
      <c r="K1624" s="885"/>
      <c r="L1624" s="885"/>
      <c r="M1624" s="885"/>
      <c r="N1624" s="887"/>
      <c r="O1624" s="885"/>
      <c r="P1624" s="885"/>
      <c r="Q1624" s="885"/>
      <c r="R1624" s="885"/>
      <c r="S1624" s="885"/>
      <c r="T1624" s="885"/>
      <c r="U1624" s="885"/>
      <c r="V1624" s="885"/>
      <c r="W1624" s="885"/>
      <c r="X1624" s="885"/>
      <c r="Y1624" s="885"/>
      <c r="Z1624" s="885"/>
    </row>
    <row r="1625" ht="15.75" customHeight="1">
      <c r="A1625" s="884"/>
      <c r="B1625" s="884"/>
      <c r="C1625" s="884"/>
      <c r="D1625" s="884"/>
      <c r="E1625" s="885"/>
      <c r="F1625" s="885"/>
      <c r="G1625" s="885"/>
      <c r="H1625" s="930"/>
      <c r="I1625" s="885"/>
      <c r="J1625" s="885"/>
      <c r="K1625" s="885"/>
      <c r="L1625" s="885"/>
      <c r="M1625" s="885"/>
      <c r="N1625" s="887"/>
      <c r="O1625" s="885"/>
      <c r="P1625" s="885"/>
      <c r="Q1625" s="885"/>
      <c r="R1625" s="885"/>
      <c r="S1625" s="885"/>
      <c r="T1625" s="885"/>
      <c r="U1625" s="885"/>
      <c r="V1625" s="885"/>
      <c r="W1625" s="885"/>
      <c r="X1625" s="885"/>
      <c r="Y1625" s="885"/>
      <c r="Z1625" s="885"/>
    </row>
    <row r="1626" ht="15.75" customHeight="1">
      <c r="A1626" s="884"/>
      <c r="B1626" s="884"/>
      <c r="C1626" s="884"/>
      <c r="D1626" s="884"/>
      <c r="E1626" s="885"/>
      <c r="F1626" s="885"/>
      <c r="G1626" s="885"/>
      <c r="H1626" s="930"/>
      <c r="I1626" s="885"/>
      <c r="J1626" s="885"/>
      <c r="K1626" s="885"/>
      <c r="L1626" s="885"/>
      <c r="M1626" s="885"/>
      <c r="N1626" s="887"/>
      <c r="O1626" s="885"/>
      <c r="P1626" s="885"/>
      <c r="Q1626" s="885"/>
      <c r="R1626" s="885"/>
      <c r="S1626" s="885"/>
      <c r="T1626" s="885"/>
      <c r="U1626" s="885"/>
      <c r="V1626" s="885"/>
      <c r="W1626" s="885"/>
      <c r="X1626" s="885"/>
      <c r="Y1626" s="885"/>
      <c r="Z1626" s="885"/>
    </row>
    <row r="1627" ht="15.75" customHeight="1">
      <c r="A1627" s="884"/>
      <c r="B1627" s="884"/>
      <c r="C1627" s="884"/>
      <c r="D1627" s="884"/>
      <c r="E1627" s="885"/>
      <c r="F1627" s="885"/>
      <c r="G1627" s="885"/>
      <c r="H1627" s="930"/>
      <c r="I1627" s="885"/>
      <c r="J1627" s="885"/>
      <c r="K1627" s="885"/>
      <c r="L1627" s="885"/>
      <c r="M1627" s="885"/>
      <c r="N1627" s="887"/>
      <c r="O1627" s="885"/>
      <c r="P1627" s="885"/>
      <c r="Q1627" s="885"/>
      <c r="R1627" s="885"/>
      <c r="S1627" s="885"/>
      <c r="T1627" s="885"/>
      <c r="U1627" s="885"/>
      <c r="V1627" s="885"/>
      <c r="W1627" s="885"/>
      <c r="X1627" s="885"/>
      <c r="Y1627" s="885"/>
      <c r="Z1627" s="885"/>
    </row>
    <row r="1628" ht="15.75" customHeight="1">
      <c r="A1628" s="884"/>
      <c r="B1628" s="884"/>
      <c r="C1628" s="884"/>
      <c r="D1628" s="884"/>
      <c r="E1628" s="885"/>
      <c r="F1628" s="885"/>
      <c r="G1628" s="885"/>
      <c r="H1628" s="930"/>
      <c r="I1628" s="885"/>
      <c r="J1628" s="885"/>
      <c r="K1628" s="885"/>
      <c r="L1628" s="885"/>
      <c r="M1628" s="885"/>
      <c r="N1628" s="887"/>
      <c r="O1628" s="885"/>
      <c r="P1628" s="885"/>
      <c r="Q1628" s="885"/>
      <c r="R1628" s="885"/>
      <c r="S1628" s="885"/>
      <c r="T1628" s="885"/>
      <c r="U1628" s="885"/>
      <c r="V1628" s="885"/>
      <c r="W1628" s="885"/>
      <c r="X1628" s="885"/>
      <c r="Y1628" s="885"/>
      <c r="Z1628" s="885"/>
    </row>
    <row r="1629" ht="15.75" customHeight="1">
      <c r="A1629" s="884"/>
      <c r="B1629" s="884"/>
      <c r="C1629" s="884"/>
      <c r="D1629" s="884"/>
      <c r="E1629" s="885"/>
      <c r="F1629" s="885"/>
      <c r="G1629" s="885"/>
      <c r="H1629" s="930"/>
      <c r="I1629" s="885"/>
      <c r="J1629" s="885"/>
      <c r="K1629" s="885"/>
      <c r="L1629" s="885"/>
      <c r="M1629" s="885"/>
      <c r="N1629" s="887"/>
      <c r="O1629" s="885"/>
      <c r="P1629" s="885"/>
      <c r="Q1629" s="885"/>
      <c r="R1629" s="885"/>
      <c r="S1629" s="885"/>
      <c r="T1629" s="885"/>
      <c r="U1629" s="885"/>
      <c r="V1629" s="885"/>
      <c r="W1629" s="885"/>
      <c r="X1629" s="885"/>
      <c r="Y1629" s="885"/>
      <c r="Z1629" s="885"/>
    </row>
    <row r="1630" ht="15.75" customHeight="1">
      <c r="A1630" s="884"/>
      <c r="B1630" s="884"/>
      <c r="C1630" s="884"/>
      <c r="D1630" s="884"/>
      <c r="E1630" s="885"/>
      <c r="F1630" s="885"/>
      <c r="G1630" s="885"/>
      <c r="H1630" s="930"/>
      <c r="I1630" s="885"/>
      <c r="J1630" s="885"/>
      <c r="K1630" s="885"/>
      <c r="L1630" s="885"/>
      <c r="M1630" s="885"/>
      <c r="N1630" s="887"/>
      <c r="O1630" s="885"/>
      <c r="P1630" s="885"/>
      <c r="Q1630" s="885"/>
      <c r="R1630" s="885"/>
      <c r="S1630" s="885"/>
      <c r="T1630" s="885"/>
      <c r="U1630" s="885"/>
      <c r="V1630" s="885"/>
      <c r="W1630" s="885"/>
      <c r="X1630" s="885"/>
      <c r="Y1630" s="885"/>
      <c r="Z1630" s="885"/>
    </row>
    <row r="1631" ht="15.75" customHeight="1">
      <c r="A1631" s="884"/>
      <c r="B1631" s="884"/>
      <c r="C1631" s="884"/>
      <c r="D1631" s="884"/>
      <c r="E1631" s="885"/>
      <c r="F1631" s="885"/>
      <c r="G1631" s="885"/>
      <c r="H1631" s="930"/>
      <c r="I1631" s="885"/>
      <c r="J1631" s="885"/>
      <c r="K1631" s="885"/>
      <c r="L1631" s="885"/>
      <c r="M1631" s="885"/>
      <c r="N1631" s="887"/>
      <c r="O1631" s="885"/>
      <c r="P1631" s="885"/>
      <c r="Q1631" s="885"/>
      <c r="R1631" s="885"/>
      <c r="S1631" s="885"/>
      <c r="T1631" s="885"/>
      <c r="U1631" s="885"/>
      <c r="V1631" s="885"/>
      <c r="W1631" s="885"/>
      <c r="X1631" s="885"/>
      <c r="Y1631" s="885"/>
      <c r="Z1631" s="885"/>
    </row>
    <row r="1632" ht="15.75" customHeight="1">
      <c r="A1632" s="884"/>
      <c r="B1632" s="884"/>
      <c r="C1632" s="884"/>
      <c r="D1632" s="884"/>
      <c r="E1632" s="885"/>
      <c r="F1632" s="885"/>
      <c r="G1632" s="885"/>
      <c r="H1632" s="930"/>
      <c r="I1632" s="885"/>
      <c r="J1632" s="885"/>
      <c r="K1632" s="885"/>
      <c r="L1632" s="885"/>
      <c r="M1632" s="885"/>
      <c r="N1632" s="887"/>
      <c r="O1632" s="885"/>
      <c r="P1632" s="885"/>
      <c r="Q1632" s="885"/>
      <c r="R1632" s="885"/>
      <c r="S1632" s="885"/>
      <c r="T1632" s="885"/>
      <c r="U1632" s="885"/>
      <c r="V1632" s="885"/>
      <c r="W1632" s="885"/>
      <c r="X1632" s="885"/>
      <c r="Y1632" s="885"/>
      <c r="Z1632" s="885"/>
    </row>
    <row r="1633" ht="15.75" customHeight="1">
      <c r="A1633" s="884"/>
      <c r="B1633" s="884"/>
      <c r="C1633" s="884"/>
      <c r="D1633" s="884"/>
      <c r="E1633" s="885"/>
      <c r="F1633" s="885"/>
      <c r="G1633" s="885"/>
      <c r="H1633" s="930"/>
      <c r="I1633" s="885"/>
      <c r="J1633" s="885"/>
      <c r="K1633" s="885"/>
      <c r="L1633" s="885"/>
      <c r="M1633" s="885"/>
      <c r="N1633" s="887"/>
      <c r="O1633" s="885"/>
      <c r="P1633" s="885"/>
      <c r="Q1633" s="885"/>
      <c r="R1633" s="885"/>
      <c r="S1633" s="885"/>
      <c r="T1633" s="885"/>
      <c r="U1633" s="885"/>
      <c r="V1633" s="885"/>
      <c r="W1633" s="885"/>
      <c r="X1633" s="885"/>
      <c r="Y1633" s="885"/>
      <c r="Z1633" s="885"/>
    </row>
    <row r="1634" ht="15.75" customHeight="1">
      <c r="A1634" s="884"/>
      <c r="B1634" s="884"/>
      <c r="C1634" s="884"/>
      <c r="D1634" s="884"/>
      <c r="E1634" s="885"/>
      <c r="F1634" s="885"/>
      <c r="G1634" s="885"/>
      <c r="H1634" s="930"/>
      <c r="I1634" s="885"/>
      <c r="J1634" s="885"/>
      <c r="K1634" s="885"/>
      <c r="L1634" s="885"/>
      <c r="M1634" s="885"/>
      <c r="N1634" s="887"/>
      <c r="O1634" s="885"/>
      <c r="P1634" s="885"/>
      <c r="Q1634" s="885"/>
      <c r="R1634" s="885"/>
      <c r="S1634" s="885"/>
      <c r="T1634" s="885"/>
      <c r="U1634" s="885"/>
      <c r="V1634" s="885"/>
      <c r="W1634" s="885"/>
      <c r="X1634" s="885"/>
      <c r="Y1634" s="885"/>
      <c r="Z1634" s="885"/>
    </row>
    <row r="1635" ht="15.75" customHeight="1">
      <c r="A1635" s="884"/>
      <c r="B1635" s="884"/>
      <c r="C1635" s="884"/>
      <c r="D1635" s="884"/>
      <c r="E1635" s="885"/>
      <c r="F1635" s="885"/>
      <c r="G1635" s="885"/>
      <c r="H1635" s="930"/>
      <c r="I1635" s="885"/>
      <c r="J1635" s="885"/>
      <c r="K1635" s="885"/>
      <c r="L1635" s="885"/>
      <c r="M1635" s="885"/>
      <c r="N1635" s="887"/>
      <c r="O1635" s="885"/>
      <c r="P1635" s="885"/>
      <c r="Q1635" s="885"/>
      <c r="R1635" s="885"/>
      <c r="S1635" s="885"/>
      <c r="T1635" s="885"/>
      <c r="U1635" s="885"/>
      <c r="V1635" s="885"/>
      <c r="W1635" s="885"/>
      <c r="X1635" s="885"/>
      <c r="Y1635" s="885"/>
      <c r="Z1635" s="885"/>
    </row>
    <row r="1636" ht="15.75" customHeight="1">
      <c r="A1636" s="884"/>
      <c r="B1636" s="884"/>
      <c r="C1636" s="884"/>
      <c r="D1636" s="884"/>
      <c r="E1636" s="885"/>
      <c r="F1636" s="885"/>
      <c r="G1636" s="885"/>
      <c r="H1636" s="930"/>
      <c r="I1636" s="885"/>
      <c r="J1636" s="885"/>
      <c r="K1636" s="885"/>
      <c r="L1636" s="885"/>
      <c r="M1636" s="885"/>
      <c r="N1636" s="887"/>
      <c r="O1636" s="885"/>
      <c r="P1636" s="885"/>
      <c r="Q1636" s="885"/>
      <c r="R1636" s="885"/>
      <c r="S1636" s="885"/>
      <c r="T1636" s="885"/>
      <c r="U1636" s="885"/>
      <c r="V1636" s="885"/>
      <c r="W1636" s="885"/>
      <c r="X1636" s="885"/>
      <c r="Y1636" s="885"/>
      <c r="Z1636" s="885"/>
    </row>
    <row r="1637" ht="15.75" customHeight="1">
      <c r="A1637" s="884"/>
      <c r="B1637" s="884"/>
      <c r="C1637" s="884"/>
      <c r="D1637" s="884"/>
      <c r="E1637" s="885"/>
      <c r="F1637" s="885"/>
      <c r="G1637" s="885"/>
      <c r="H1637" s="930"/>
      <c r="I1637" s="885"/>
      <c r="J1637" s="885"/>
      <c r="K1637" s="885"/>
      <c r="L1637" s="885"/>
      <c r="M1637" s="885"/>
      <c r="N1637" s="887"/>
      <c r="O1637" s="885"/>
      <c r="P1637" s="885"/>
      <c r="Q1637" s="885"/>
      <c r="R1637" s="885"/>
      <c r="S1637" s="885"/>
      <c r="T1637" s="885"/>
      <c r="U1637" s="885"/>
      <c r="V1637" s="885"/>
      <c r="W1637" s="885"/>
      <c r="X1637" s="885"/>
      <c r="Y1637" s="885"/>
      <c r="Z1637" s="885"/>
    </row>
    <row r="1638" ht="15.75" customHeight="1">
      <c r="A1638" s="884"/>
      <c r="B1638" s="884"/>
      <c r="C1638" s="884"/>
      <c r="D1638" s="884"/>
      <c r="E1638" s="885"/>
      <c r="F1638" s="885"/>
      <c r="G1638" s="885"/>
      <c r="H1638" s="930"/>
      <c r="I1638" s="885"/>
      <c r="J1638" s="885"/>
      <c r="K1638" s="885"/>
      <c r="L1638" s="885"/>
      <c r="M1638" s="885"/>
      <c r="N1638" s="887"/>
      <c r="O1638" s="885"/>
      <c r="P1638" s="885"/>
      <c r="Q1638" s="885"/>
      <c r="R1638" s="885"/>
      <c r="S1638" s="885"/>
      <c r="T1638" s="885"/>
      <c r="U1638" s="885"/>
      <c r="V1638" s="885"/>
      <c r="W1638" s="885"/>
      <c r="X1638" s="885"/>
      <c r="Y1638" s="885"/>
      <c r="Z1638" s="885"/>
    </row>
    <row r="1639" ht="15.75" customHeight="1">
      <c r="A1639" s="884"/>
      <c r="B1639" s="884"/>
      <c r="C1639" s="884"/>
      <c r="D1639" s="884"/>
      <c r="E1639" s="885"/>
      <c r="F1639" s="885"/>
      <c r="G1639" s="885"/>
      <c r="H1639" s="930"/>
      <c r="I1639" s="885"/>
      <c r="J1639" s="885"/>
      <c r="K1639" s="885"/>
      <c r="L1639" s="885"/>
      <c r="M1639" s="885"/>
      <c r="N1639" s="887"/>
      <c r="O1639" s="885"/>
      <c r="P1639" s="885"/>
      <c r="Q1639" s="885"/>
      <c r="R1639" s="885"/>
      <c r="S1639" s="885"/>
      <c r="T1639" s="885"/>
      <c r="U1639" s="885"/>
      <c r="V1639" s="885"/>
      <c r="W1639" s="885"/>
      <c r="X1639" s="885"/>
      <c r="Y1639" s="885"/>
      <c r="Z1639" s="885"/>
    </row>
    <row r="1640" ht="15.75" customHeight="1">
      <c r="A1640" s="884"/>
      <c r="B1640" s="884"/>
      <c r="C1640" s="884"/>
      <c r="D1640" s="884"/>
      <c r="E1640" s="885"/>
      <c r="F1640" s="885"/>
      <c r="G1640" s="885"/>
      <c r="H1640" s="930"/>
      <c r="I1640" s="885"/>
      <c r="J1640" s="885"/>
      <c r="K1640" s="885"/>
      <c r="L1640" s="885"/>
      <c r="M1640" s="885"/>
      <c r="N1640" s="887"/>
      <c r="O1640" s="885"/>
      <c r="P1640" s="885"/>
      <c r="Q1640" s="885"/>
      <c r="R1640" s="885"/>
      <c r="S1640" s="885"/>
      <c r="T1640" s="885"/>
      <c r="U1640" s="885"/>
      <c r="V1640" s="885"/>
      <c r="W1640" s="885"/>
      <c r="X1640" s="885"/>
      <c r="Y1640" s="885"/>
      <c r="Z1640" s="885"/>
    </row>
    <row r="1641" ht="15.75" customHeight="1">
      <c r="A1641" s="884"/>
      <c r="B1641" s="884"/>
      <c r="C1641" s="884"/>
      <c r="D1641" s="884"/>
      <c r="E1641" s="885"/>
      <c r="F1641" s="885"/>
      <c r="G1641" s="885"/>
      <c r="H1641" s="930"/>
      <c r="I1641" s="885"/>
      <c r="J1641" s="885"/>
      <c r="K1641" s="885"/>
      <c r="L1641" s="885"/>
      <c r="M1641" s="885"/>
      <c r="N1641" s="887"/>
      <c r="O1641" s="885"/>
      <c r="P1641" s="885"/>
      <c r="Q1641" s="885"/>
      <c r="R1641" s="885"/>
      <c r="S1641" s="885"/>
      <c r="T1641" s="885"/>
      <c r="U1641" s="885"/>
      <c r="V1641" s="885"/>
      <c r="W1641" s="885"/>
      <c r="X1641" s="885"/>
      <c r="Y1641" s="885"/>
      <c r="Z1641" s="885"/>
    </row>
    <row r="1642" ht="15.75" customHeight="1">
      <c r="A1642" s="884"/>
      <c r="B1642" s="884"/>
      <c r="C1642" s="884"/>
      <c r="D1642" s="884"/>
      <c r="E1642" s="885"/>
      <c r="F1642" s="885"/>
      <c r="G1642" s="885"/>
      <c r="H1642" s="930"/>
      <c r="I1642" s="885"/>
      <c r="J1642" s="885"/>
      <c r="K1642" s="885"/>
      <c r="L1642" s="885"/>
      <c r="M1642" s="885"/>
      <c r="N1642" s="887"/>
      <c r="O1642" s="885"/>
      <c r="P1642" s="885"/>
      <c r="Q1642" s="885"/>
      <c r="R1642" s="885"/>
      <c r="S1642" s="885"/>
      <c r="T1642" s="885"/>
      <c r="U1642" s="885"/>
      <c r="V1642" s="885"/>
      <c r="W1642" s="885"/>
      <c r="X1642" s="885"/>
      <c r="Y1642" s="885"/>
      <c r="Z1642" s="885"/>
    </row>
    <row r="1643" ht="15.75" customHeight="1">
      <c r="A1643" s="884"/>
      <c r="B1643" s="884"/>
      <c r="C1643" s="884"/>
      <c r="D1643" s="884"/>
      <c r="E1643" s="885"/>
      <c r="F1643" s="885"/>
      <c r="G1643" s="885"/>
      <c r="H1643" s="930"/>
      <c r="I1643" s="885"/>
      <c r="J1643" s="885"/>
      <c r="K1643" s="885"/>
      <c r="L1643" s="885"/>
      <c r="M1643" s="885"/>
      <c r="N1643" s="887"/>
      <c r="O1643" s="885"/>
      <c r="P1643" s="885"/>
      <c r="Q1643" s="885"/>
      <c r="R1643" s="885"/>
      <c r="S1643" s="885"/>
      <c r="T1643" s="885"/>
      <c r="U1643" s="885"/>
      <c r="V1643" s="885"/>
      <c r="W1643" s="885"/>
      <c r="X1643" s="885"/>
      <c r="Y1643" s="885"/>
      <c r="Z1643" s="885"/>
    </row>
    <row r="1644" ht="15.75" customHeight="1">
      <c r="A1644" s="884"/>
      <c r="B1644" s="884"/>
      <c r="C1644" s="884"/>
      <c r="D1644" s="884"/>
      <c r="E1644" s="885"/>
      <c r="F1644" s="885"/>
      <c r="G1644" s="885"/>
      <c r="H1644" s="930"/>
      <c r="I1644" s="885"/>
      <c r="J1644" s="885"/>
      <c r="K1644" s="885"/>
      <c r="L1644" s="885"/>
      <c r="M1644" s="885"/>
      <c r="N1644" s="887"/>
      <c r="O1644" s="885"/>
      <c r="P1644" s="885"/>
      <c r="Q1644" s="885"/>
      <c r="R1644" s="885"/>
      <c r="S1644" s="885"/>
      <c r="T1644" s="885"/>
      <c r="U1644" s="885"/>
      <c r="V1644" s="885"/>
      <c r="W1644" s="885"/>
      <c r="X1644" s="885"/>
      <c r="Y1644" s="885"/>
      <c r="Z1644" s="885"/>
    </row>
    <row r="1645" ht="15.75" customHeight="1">
      <c r="A1645" s="884"/>
      <c r="B1645" s="884"/>
      <c r="C1645" s="884"/>
      <c r="D1645" s="884"/>
      <c r="E1645" s="885"/>
      <c r="F1645" s="885"/>
      <c r="G1645" s="885"/>
      <c r="H1645" s="930"/>
      <c r="I1645" s="885"/>
      <c r="J1645" s="885"/>
      <c r="K1645" s="885"/>
      <c r="L1645" s="885"/>
      <c r="M1645" s="885"/>
      <c r="N1645" s="887"/>
      <c r="O1645" s="885"/>
      <c r="P1645" s="885"/>
      <c r="Q1645" s="885"/>
      <c r="R1645" s="885"/>
      <c r="S1645" s="885"/>
      <c r="T1645" s="885"/>
      <c r="U1645" s="885"/>
      <c r="V1645" s="885"/>
      <c r="W1645" s="885"/>
      <c r="X1645" s="885"/>
      <c r="Y1645" s="885"/>
      <c r="Z1645" s="885"/>
    </row>
    <row r="1646" ht="15.75" customHeight="1">
      <c r="A1646" s="884"/>
      <c r="B1646" s="884"/>
      <c r="C1646" s="884"/>
      <c r="D1646" s="884"/>
      <c r="E1646" s="885"/>
      <c r="F1646" s="885"/>
      <c r="G1646" s="885"/>
      <c r="H1646" s="930"/>
      <c r="I1646" s="885"/>
      <c r="J1646" s="885"/>
      <c r="K1646" s="885"/>
      <c r="L1646" s="885"/>
      <c r="M1646" s="885"/>
      <c r="N1646" s="887"/>
      <c r="O1646" s="885"/>
      <c r="P1646" s="885"/>
      <c r="Q1646" s="885"/>
      <c r="R1646" s="885"/>
      <c r="S1646" s="885"/>
      <c r="T1646" s="885"/>
      <c r="U1646" s="885"/>
      <c r="V1646" s="885"/>
      <c r="W1646" s="885"/>
      <c r="X1646" s="885"/>
      <c r="Y1646" s="885"/>
      <c r="Z1646" s="885"/>
    </row>
    <row r="1647" ht="15.75" customHeight="1">
      <c r="A1647" s="884"/>
      <c r="B1647" s="884"/>
      <c r="C1647" s="884"/>
      <c r="D1647" s="884"/>
      <c r="E1647" s="885"/>
      <c r="F1647" s="885"/>
      <c r="G1647" s="885"/>
      <c r="H1647" s="930"/>
      <c r="I1647" s="885"/>
      <c r="J1647" s="885"/>
      <c r="K1647" s="885"/>
      <c r="L1647" s="885"/>
      <c r="M1647" s="885"/>
      <c r="N1647" s="887"/>
      <c r="O1647" s="885"/>
      <c r="P1647" s="885"/>
      <c r="Q1647" s="885"/>
      <c r="R1647" s="885"/>
      <c r="S1647" s="885"/>
      <c r="T1647" s="885"/>
      <c r="U1647" s="885"/>
      <c r="V1647" s="885"/>
      <c r="W1647" s="885"/>
      <c r="X1647" s="885"/>
      <c r="Y1647" s="885"/>
      <c r="Z1647" s="885"/>
    </row>
    <row r="1648" ht="15.75" customHeight="1">
      <c r="A1648" s="884"/>
      <c r="B1648" s="884"/>
      <c r="C1648" s="884"/>
      <c r="D1648" s="884"/>
      <c r="E1648" s="885"/>
      <c r="F1648" s="885"/>
      <c r="G1648" s="885"/>
      <c r="H1648" s="930"/>
      <c r="I1648" s="885"/>
      <c r="J1648" s="885"/>
      <c r="K1648" s="885"/>
      <c r="L1648" s="885"/>
      <c r="M1648" s="885"/>
      <c r="N1648" s="887"/>
      <c r="O1648" s="885"/>
      <c r="P1648" s="885"/>
      <c r="Q1648" s="885"/>
      <c r="R1648" s="885"/>
      <c r="S1648" s="885"/>
      <c r="T1648" s="885"/>
      <c r="U1648" s="885"/>
      <c r="V1648" s="885"/>
      <c r="W1648" s="885"/>
      <c r="X1648" s="885"/>
      <c r="Y1648" s="885"/>
      <c r="Z1648" s="885"/>
    </row>
    <row r="1649" ht="15.75" customHeight="1">
      <c r="A1649" s="884"/>
      <c r="B1649" s="884"/>
      <c r="C1649" s="884"/>
      <c r="D1649" s="884"/>
      <c r="E1649" s="885"/>
      <c r="F1649" s="885"/>
      <c r="G1649" s="885"/>
      <c r="H1649" s="930"/>
      <c r="I1649" s="885"/>
      <c r="J1649" s="885"/>
      <c r="K1649" s="885"/>
      <c r="L1649" s="885"/>
      <c r="M1649" s="885"/>
      <c r="N1649" s="887"/>
      <c r="O1649" s="885"/>
      <c r="P1649" s="885"/>
      <c r="Q1649" s="885"/>
      <c r="R1649" s="885"/>
      <c r="S1649" s="885"/>
      <c r="T1649" s="885"/>
      <c r="U1649" s="885"/>
      <c r="V1649" s="885"/>
      <c r="W1649" s="885"/>
      <c r="X1649" s="885"/>
      <c r="Y1649" s="885"/>
      <c r="Z1649" s="885"/>
    </row>
    <row r="1650" ht="15.75" customHeight="1">
      <c r="A1650" s="884"/>
      <c r="B1650" s="884"/>
      <c r="C1650" s="884"/>
      <c r="D1650" s="884"/>
      <c r="E1650" s="885"/>
      <c r="F1650" s="885"/>
      <c r="G1650" s="885"/>
      <c r="H1650" s="930"/>
      <c r="I1650" s="885"/>
      <c r="J1650" s="885"/>
      <c r="K1650" s="885"/>
      <c r="L1650" s="885"/>
      <c r="M1650" s="885"/>
      <c r="N1650" s="887"/>
      <c r="O1650" s="885"/>
      <c r="P1650" s="885"/>
      <c r="Q1650" s="885"/>
      <c r="R1650" s="885"/>
      <c r="S1650" s="885"/>
      <c r="T1650" s="885"/>
      <c r="U1650" s="885"/>
      <c r="V1650" s="885"/>
      <c r="W1650" s="885"/>
      <c r="X1650" s="885"/>
      <c r="Y1650" s="885"/>
      <c r="Z1650" s="885"/>
    </row>
    <row r="1651" ht="15.75" customHeight="1">
      <c r="A1651" s="884"/>
      <c r="B1651" s="884"/>
      <c r="C1651" s="884"/>
      <c r="D1651" s="884"/>
      <c r="E1651" s="885"/>
      <c r="F1651" s="885"/>
      <c r="G1651" s="885"/>
      <c r="H1651" s="930"/>
      <c r="I1651" s="885"/>
      <c r="J1651" s="885"/>
      <c r="K1651" s="885"/>
      <c r="L1651" s="885"/>
      <c r="M1651" s="885"/>
      <c r="N1651" s="887"/>
      <c r="O1651" s="885"/>
      <c r="P1651" s="885"/>
      <c r="Q1651" s="885"/>
      <c r="R1651" s="885"/>
      <c r="S1651" s="885"/>
      <c r="T1651" s="885"/>
      <c r="U1651" s="885"/>
      <c r="V1651" s="885"/>
      <c r="W1651" s="885"/>
      <c r="X1651" s="885"/>
      <c r="Y1651" s="885"/>
      <c r="Z1651" s="885"/>
    </row>
    <row r="1652" ht="15.75" customHeight="1">
      <c r="A1652" s="884"/>
      <c r="B1652" s="884"/>
      <c r="C1652" s="884"/>
      <c r="D1652" s="884"/>
      <c r="E1652" s="885"/>
      <c r="F1652" s="885"/>
      <c r="G1652" s="885"/>
      <c r="H1652" s="930"/>
      <c r="I1652" s="885"/>
      <c r="J1652" s="885"/>
      <c r="K1652" s="885"/>
      <c r="L1652" s="885"/>
      <c r="M1652" s="885"/>
      <c r="N1652" s="887"/>
      <c r="O1652" s="885"/>
      <c r="P1652" s="885"/>
      <c r="Q1652" s="885"/>
      <c r="R1652" s="885"/>
      <c r="S1652" s="885"/>
      <c r="T1652" s="885"/>
      <c r="U1652" s="885"/>
      <c r="V1652" s="885"/>
      <c r="W1652" s="885"/>
      <c r="X1652" s="885"/>
      <c r="Y1652" s="885"/>
      <c r="Z1652" s="885"/>
    </row>
    <row r="1653" ht="15.75" customHeight="1">
      <c r="A1653" s="884"/>
      <c r="B1653" s="884"/>
      <c r="C1653" s="884"/>
      <c r="D1653" s="884"/>
      <c r="E1653" s="885"/>
      <c r="F1653" s="885"/>
      <c r="G1653" s="885"/>
      <c r="H1653" s="930"/>
      <c r="I1653" s="885"/>
      <c r="J1653" s="885"/>
      <c r="K1653" s="885"/>
      <c r="L1653" s="885"/>
      <c r="M1653" s="885"/>
      <c r="N1653" s="887"/>
      <c r="O1653" s="885"/>
      <c r="P1653" s="885"/>
      <c r="Q1653" s="885"/>
      <c r="R1653" s="885"/>
      <c r="S1653" s="885"/>
      <c r="T1653" s="885"/>
      <c r="U1653" s="885"/>
      <c r="V1653" s="885"/>
      <c r="W1653" s="885"/>
      <c r="X1653" s="885"/>
      <c r="Y1653" s="885"/>
      <c r="Z1653" s="885"/>
    </row>
    <row r="1654" ht="15.75" customHeight="1">
      <c r="A1654" s="884"/>
      <c r="B1654" s="884"/>
      <c r="C1654" s="884"/>
      <c r="D1654" s="884"/>
      <c r="E1654" s="885"/>
      <c r="F1654" s="885"/>
      <c r="G1654" s="885"/>
      <c r="H1654" s="930"/>
      <c r="I1654" s="885"/>
      <c r="J1654" s="885"/>
      <c r="K1654" s="885"/>
      <c r="L1654" s="885"/>
      <c r="M1654" s="885"/>
      <c r="N1654" s="887"/>
      <c r="O1654" s="885"/>
      <c r="P1654" s="885"/>
      <c r="Q1654" s="885"/>
      <c r="R1654" s="885"/>
      <c r="S1654" s="885"/>
      <c r="T1654" s="885"/>
      <c r="U1654" s="885"/>
      <c r="V1654" s="885"/>
      <c r="W1654" s="885"/>
      <c r="X1654" s="885"/>
      <c r="Y1654" s="885"/>
      <c r="Z1654" s="885"/>
    </row>
    <row r="1655" ht="15.75" customHeight="1">
      <c r="A1655" s="884"/>
      <c r="B1655" s="884"/>
      <c r="C1655" s="884"/>
      <c r="D1655" s="884"/>
      <c r="E1655" s="885"/>
      <c r="F1655" s="885"/>
      <c r="G1655" s="885"/>
      <c r="H1655" s="930"/>
      <c r="I1655" s="885"/>
      <c r="J1655" s="885"/>
      <c r="K1655" s="885"/>
      <c r="L1655" s="885"/>
      <c r="M1655" s="885"/>
      <c r="N1655" s="887"/>
      <c r="O1655" s="885"/>
      <c r="P1655" s="885"/>
      <c r="Q1655" s="885"/>
      <c r="R1655" s="885"/>
      <c r="S1655" s="885"/>
      <c r="T1655" s="885"/>
      <c r="U1655" s="885"/>
      <c r="V1655" s="885"/>
      <c r="W1655" s="885"/>
      <c r="X1655" s="885"/>
      <c r="Y1655" s="885"/>
      <c r="Z1655" s="885"/>
    </row>
    <row r="1656" ht="15.75" customHeight="1">
      <c r="A1656" s="884"/>
      <c r="B1656" s="884"/>
      <c r="C1656" s="884"/>
      <c r="D1656" s="884"/>
      <c r="E1656" s="885"/>
      <c r="F1656" s="885"/>
      <c r="G1656" s="885"/>
      <c r="H1656" s="930"/>
      <c r="I1656" s="885"/>
      <c r="J1656" s="885"/>
      <c r="K1656" s="885"/>
      <c r="L1656" s="885"/>
      <c r="M1656" s="885"/>
      <c r="N1656" s="887"/>
      <c r="O1656" s="885"/>
      <c r="P1656" s="885"/>
      <c r="Q1656" s="885"/>
      <c r="R1656" s="885"/>
      <c r="S1656" s="885"/>
      <c r="T1656" s="885"/>
      <c r="U1656" s="885"/>
      <c r="V1656" s="885"/>
      <c r="W1656" s="885"/>
      <c r="X1656" s="885"/>
      <c r="Y1656" s="885"/>
      <c r="Z1656" s="885"/>
    </row>
    <row r="1657" ht="15.75" customHeight="1">
      <c r="A1657" s="884"/>
      <c r="B1657" s="884"/>
      <c r="C1657" s="884"/>
      <c r="D1657" s="884"/>
      <c r="E1657" s="885"/>
      <c r="F1657" s="885"/>
      <c r="G1657" s="885"/>
      <c r="H1657" s="930"/>
      <c r="I1657" s="885"/>
      <c r="J1657" s="885"/>
      <c r="K1657" s="885"/>
      <c r="L1657" s="885"/>
      <c r="M1657" s="885"/>
      <c r="N1657" s="887"/>
      <c r="O1657" s="885"/>
      <c r="P1657" s="885"/>
      <c r="Q1657" s="885"/>
      <c r="R1657" s="885"/>
      <c r="S1657" s="885"/>
      <c r="T1657" s="885"/>
      <c r="U1657" s="885"/>
      <c r="V1657" s="885"/>
      <c r="W1657" s="885"/>
      <c r="X1657" s="885"/>
      <c r="Y1657" s="885"/>
      <c r="Z1657" s="885"/>
    </row>
    <row r="1658" ht="15.75" customHeight="1">
      <c r="A1658" s="884"/>
      <c r="B1658" s="884"/>
      <c r="C1658" s="884"/>
      <c r="D1658" s="884"/>
      <c r="E1658" s="885"/>
      <c r="F1658" s="885"/>
      <c r="G1658" s="885"/>
      <c r="H1658" s="930"/>
      <c r="I1658" s="885"/>
      <c r="J1658" s="885"/>
      <c r="K1658" s="885"/>
      <c r="L1658" s="885"/>
      <c r="M1658" s="885"/>
      <c r="N1658" s="887"/>
      <c r="O1658" s="885"/>
      <c r="P1658" s="885"/>
      <c r="Q1658" s="885"/>
      <c r="R1658" s="885"/>
      <c r="S1658" s="885"/>
      <c r="T1658" s="885"/>
      <c r="U1658" s="885"/>
      <c r="V1658" s="885"/>
      <c r="W1658" s="885"/>
      <c r="X1658" s="885"/>
      <c r="Y1658" s="885"/>
      <c r="Z1658" s="885"/>
    </row>
    <row r="1659" ht="15.75" customHeight="1">
      <c r="A1659" s="884"/>
      <c r="B1659" s="884"/>
      <c r="C1659" s="884"/>
      <c r="D1659" s="884"/>
      <c r="E1659" s="885"/>
      <c r="F1659" s="885"/>
      <c r="G1659" s="885"/>
      <c r="H1659" s="930"/>
      <c r="I1659" s="885"/>
      <c r="J1659" s="885"/>
      <c r="K1659" s="885"/>
      <c r="L1659" s="885"/>
      <c r="M1659" s="885"/>
      <c r="N1659" s="887"/>
      <c r="O1659" s="885"/>
      <c r="P1659" s="885"/>
      <c r="Q1659" s="885"/>
      <c r="R1659" s="885"/>
      <c r="S1659" s="885"/>
      <c r="T1659" s="885"/>
      <c r="U1659" s="885"/>
      <c r="V1659" s="885"/>
      <c r="W1659" s="885"/>
      <c r="X1659" s="885"/>
      <c r="Y1659" s="885"/>
      <c r="Z1659" s="885"/>
    </row>
    <row r="1660" ht="15.75" customHeight="1">
      <c r="A1660" s="884"/>
      <c r="B1660" s="884"/>
      <c r="C1660" s="884"/>
      <c r="D1660" s="884"/>
      <c r="E1660" s="885"/>
      <c r="F1660" s="885"/>
      <c r="G1660" s="885"/>
      <c r="H1660" s="930"/>
      <c r="I1660" s="885"/>
      <c r="J1660" s="885"/>
      <c r="K1660" s="885"/>
      <c r="L1660" s="885"/>
      <c r="M1660" s="885"/>
      <c r="N1660" s="887"/>
      <c r="O1660" s="885"/>
      <c r="P1660" s="885"/>
      <c r="Q1660" s="885"/>
      <c r="R1660" s="885"/>
      <c r="S1660" s="885"/>
      <c r="T1660" s="885"/>
      <c r="U1660" s="885"/>
      <c r="V1660" s="885"/>
      <c r="W1660" s="885"/>
      <c r="X1660" s="885"/>
      <c r="Y1660" s="885"/>
      <c r="Z1660" s="885"/>
    </row>
    <row r="1661" ht="15.75" customHeight="1">
      <c r="A1661" s="884"/>
      <c r="B1661" s="884"/>
      <c r="C1661" s="884"/>
      <c r="D1661" s="884"/>
      <c r="E1661" s="885"/>
      <c r="F1661" s="885"/>
      <c r="G1661" s="885"/>
      <c r="H1661" s="930"/>
      <c r="I1661" s="885"/>
      <c r="J1661" s="885"/>
      <c r="K1661" s="885"/>
      <c r="L1661" s="885"/>
      <c r="M1661" s="885"/>
      <c r="N1661" s="887"/>
      <c r="O1661" s="885"/>
      <c r="P1661" s="885"/>
      <c r="Q1661" s="885"/>
      <c r="R1661" s="885"/>
      <c r="S1661" s="885"/>
      <c r="T1661" s="885"/>
      <c r="U1661" s="885"/>
      <c r="V1661" s="885"/>
      <c r="W1661" s="885"/>
      <c r="X1661" s="885"/>
      <c r="Y1661" s="885"/>
      <c r="Z1661" s="885"/>
    </row>
    <row r="1662" ht="15.75" customHeight="1">
      <c r="A1662" s="884"/>
      <c r="B1662" s="884"/>
      <c r="C1662" s="884"/>
      <c r="D1662" s="884"/>
      <c r="E1662" s="885"/>
      <c r="F1662" s="885"/>
      <c r="G1662" s="885"/>
      <c r="H1662" s="930"/>
      <c r="I1662" s="885"/>
      <c r="J1662" s="885"/>
      <c r="K1662" s="885"/>
      <c r="L1662" s="885"/>
      <c r="M1662" s="885"/>
      <c r="N1662" s="887"/>
      <c r="O1662" s="885"/>
      <c r="P1662" s="885"/>
      <c r="Q1662" s="885"/>
      <c r="R1662" s="885"/>
      <c r="S1662" s="885"/>
      <c r="T1662" s="885"/>
      <c r="U1662" s="885"/>
      <c r="V1662" s="885"/>
      <c r="W1662" s="885"/>
      <c r="X1662" s="885"/>
      <c r="Y1662" s="885"/>
      <c r="Z1662" s="885"/>
    </row>
    <row r="1663" ht="15.75" customHeight="1">
      <c r="A1663" s="884"/>
      <c r="B1663" s="884"/>
      <c r="C1663" s="884"/>
      <c r="D1663" s="884"/>
      <c r="E1663" s="885"/>
      <c r="F1663" s="885"/>
      <c r="G1663" s="885"/>
      <c r="H1663" s="930"/>
      <c r="I1663" s="885"/>
      <c r="J1663" s="885"/>
      <c r="K1663" s="885"/>
      <c r="L1663" s="885"/>
      <c r="M1663" s="885"/>
      <c r="N1663" s="887"/>
      <c r="O1663" s="885"/>
      <c r="P1663" s="885"/>
      <c r="Q1663" s="885"/>
      <c r="R1663" s="885"/>
      <c r="S1663" s="885"/>
      <c r="T1663" s="885"/>
      <c r="U1663" s="885"/>
      <c r="V1663" s="885"/>
      <c r="W1663" s="885"/>
      <c r="X1663" s="885"/>
      <c r="Y1663" s="885"/>
      <c r="Z1663" s="885"/>
    </row>
    <row r="1664" ht="15.75" customHeight="1">
      <c r="A1664" s="884"/>
      <c r="B1664" s="884"/>
      <c r="C1664" s="884"/>
      <c r="D1664" s="884"/>
      <c r="E1664" s="885"/>
      <c r="F1664" s="885"/>
      <c r="G1664" s="885"/>
      <c r="H1664" s="930"/>
      <c r="I1664" s="885"/>
      <c r="J1664" s="885"/>
      <c r="K1664" s="885"/>
      <c r="L1664" s="885"/>
      <c r="M1664" s="885"/>
      <c r="N1664" s="887"/>
      <c r="O1664" s="885"/>
      <c r="P1664" s="885"/>
      <c r="Q1664" s="885"/>
      <c r="R1664" s="885"/>
      <c r="S1664" s="885"/>
      <c r="T1664" s="885"/>
      <c r="U1664" s="885"/>
      <c r="V1664" s="885"/>
      <c r="W1664" s="885"/>
      <c r="X1664" s="885"/>
      <c r="Y1664" s="885"/>
      <c r="Z1664" s="885"/>
    </row>
    <row r="1665" ht="15.75" customHeight="1">
      <c r="A1665" s="884"/>
      <c r="B1665" s="884"/>
      <c r="C1665" s="884"/>
      <c r="D1665" s="884"/>
      <c r="E1665" s="885"/>
      <c r="F1665" s="885"/>
      <c r="G1665" s="885"/>
      <c r="H1665" s="930"/>
      <c r="I1665" s="885"/>
      <c r="J1665" s="885"/>
      <c r="K1665" s="885"/>
      <c r="L1665" s="885"/>
      <c r="M1665" s="885"/>
      <c r="N1665" s="887"/>
      <c r="O1665" s="885"/>
      <c r="P1665" s="885"/>
      <c r="Q1665" s="885"/>
      <c r="R1665" s="885"/>
      <c r="S1665" s="885"/>
      <c r="T1665" s="885"/>
      <c r="U1665" s="885"/>
      <c r="V1665" s="885"/>
      <c r="W1665" s="885"/>
      <c r="X1665" s="885"/>
      <c r="Y1665" s="885"/>
      <c r="Z1665" s="885"/>
    </row>
    <row r="1666" ht="15.75" customHeight="1">
      <c r="A1666" s="884"/>
      <c r="B1666" s="884"/>
      <c r="C1666" s="884"/>
      <c r="D1666" s="884"/>
      <c r="E1666" s="885"/>
      <c r="F1666" s="885"/>
      <c r="G1666" s="885"/>
      <c r="H1666" s="930"/>
      <c r="I1666" s="885"/>
      <c r="J1666" s="885"/>
      <c r="K1666" s="885"/>
      <c r="L1666" s="885"/>
      <c r="M1666" s="885"/>
      <c r="N1666" s="887"/>
      <c r="O1666" s="885"/>
      <c r="P1666" s="885"/>
      <c r="Q1666" s="885"/>
      <c r="R1666" s="885"/>
      <c r="S1666" s="885"/>
      <c r="T1666" s="885"/>
      <c r="U1666" s="885"/>
      <c r="V1666" s="885"/>
      <c r="W1666" s="885"/>
      <c r="X1666" s="885"/>
      <c r="Y1666" s="885"/>
      <c r="Z1666" s="885"/>
    </row>
    <row r="1667" ht="15.75" customHeight="1">
      <c r="A1667" s="884"/>
      <c r="B1667" s="884"/>
      <c r="C1667" s="884"/>
      <c r="D1667" s="884"/>
      <c r="E1667" s="885"/>
      <c r="F1667" s="885"/>
      <c r="G1667" s="885"/>
      <c r="H1667" s="930"/>
      <c r="I1667" s="885"/>
      <c r="J1667" s="885"/>
      <c r="K1667" s="885"/>
      <c r="L1667" s="885"/>
      <c r="M1667" s="885"/>
      <c r="N1667" s="887"/>
      <c r="O1667" s="885"/>
      <c r="P1667" s="885"/>
      <c r="Q1667" s="885"/>
      <c r="R1667" s="885"/>
      <c r="S1667" s="885"/>
      <c r="T1667" s="885"/>
      <c r="U1667" s="885"/>
      <c r="V1667" s="885"/>
      <c r="W1667" s="885"/>
      <c r="X1667" s="885"/>
      <c r="Y1667" s="885"/>
      <c r="Z1667" s="885"/>
    </row>
    <row r="1668" ht="15.75" customHeight="1">
      <c r="A1668" s="884"/>
      <c r="B1668" s="884"/>
      <c r="C1668" s="884"/>
      <c r="D1668" s="884"/>
      <c r="E1668" s="885"/>
      <c r="F1668" s="885"/>
      <c r="G1668" s="885"/>
      <c r="H1668" s="930"/>
      <c r="I1668" s="885"/>
      <c r="J1668" s="885"/>
      <c r="K1668" s="885"/>
      <c r="L1668" s="885"/>
      <c r="M1668" s="885"/>
      <c r="N1668" s="887"/>
      <c r="O1668" s="885"/>
      <c r="P1668" s="885"/>
      <c r="Q1668" s="885"/>
      <c r="R1668" s="885"/>
      <c r="S1668" s="885"/>
      <c r="T1668" s="885"/>
      <c r="U1668" s="885"/>
      <c r="V1668" s="885"/>
      <c r="W1668" s="885"/>
      <c r="X1668" s="885"/>
      <c r="Y1668" s="885"/>
      <c r="Z1668" s="885"/>
    </row>
    <row r="1669" ht="15.75" customHeight="1">
      <c r="A1669" s="884"/>
      <c r="B1669" s="884"/>
      <c r="C1669" s="884"/>
      <c r="D1669" s="884"/>
      <c r="E1669" s="885"/>
      <c r="F1669" s="885"/>
      <c r="G1669" s="885"/>
      <c r="H1669" s="930"/>
      <c r="I1669" s="885"/>
      <c r="J1669" s="885"/>
      <c r="K1669" s="885"/>
      <c r="L1669" s="885"/>
      <c r="M1669" s="885"/>
      <c r="N1669" s="887"/>
      <c r="O1669" s="885"/>
      <c r="P1669" s="885"/>
      <c r="Q1669" s="885"/>
      <c r="R1669" s="885"/>
      <c r="S1669" s="885"/>
      <c r="T1669" s="885"/>
      <c r="U1669" s="885"/>
      <c r="V1669" s="885"/>
      <c r="W1669" s="885"/>
      <c r="X1669" s="885"/>
      <c r="Y1669" s="885"/>
      <c r="Z1669" s="885"/>
    </row>
    <row r="1670" ht="15.75" customHeight="1">
      <c r="A1670" s="884"/>
      <c r="B1670" s="884"/>
      <c r="C1670" s="884"/>
      <c r="D1670" s="884"/>
      <c r="E1670" s="885"/>
      <c r="F1670" s="885"/>
      <c r="G1670" s="885"/>
      <c r="H1670" s="930"/>
      <c r="I1670" s="885"/>
      <c r="J1670" s="885"/>
      <c r="K1670" s="885"/>
      <c r="L1670" s="885"/>
      <c r="M1670" s="885"/>
      <c r="N1670" s="887"/>
      <c r="O1670" s="885"/>
      <c r="P1670" s="885"/>
      <c r="Q1670" s="885"/>
      <c r="R1670" s="885"/>
      <c r="S1670" s="885"/>
      <c r="T1670" s="885"/>
      <c r="U1670" s="885"/>
      <c r="V1670" s="885"/>
      <c r="W1670" s="885"/>
      <c r="X1670" s="885"/>
      <c r="Y1670" s="885"/>
      <c r="Z1670" s="885"/>
    </row>
    <row r="1671" ht="15.75" customHeight="1">
      <c r="A1671" s="884"/>
      <c r="B1671" s="884"/>
      <c r="C1671" s="884"/>
      <c r="D1671" s="884"/>
      <c r="E1671" s="885"/>
      <c r="F1671" s="885"/>
      <c r="G1671" s="885"/>
      <c r="H1671" s="930"/>
      <c r="I1671" s="885"/>
      <c r="J1671" s="885"/>
      <c r="K1671" s="885"/>
      <c r="L1671" s="885"/>
      <c r="M1671" s="885"/>
      <c r="N1671" s="887"/>
      <c r="O1671" s="885"/>
      <c r="P1671" s="885"/>
      <c r="Q1671" s="885"/>
      <c r="R1671" s="885"/>
      <c r="S1671" s="885"/>
      <c r="T1671" s="885"/>
      <c r="U1671" s="885"/>
      <c r="V1671" s="885"/>
      <c r="W1671" s="885"/>
      <c r="X1671" s="885"/>
      <c r="Y1671" s="885"/>
      <c r="Z1671" s="885"/>
    </row>
    <row r="1672" ht="15.75" customHeight="1">
      <c r="A1672" s="884"/>
      <c r="B1672" s="884"/>
      <c r="C1672" s="884"/>
      <c r="D1672" s="884"/>
      <c r="E1672" s="885"/>
      <c r="F1672" s="885"/>
      <c r="G1672" s="885"/>
      <c r="H1672" s="930"/>
      <c r="I1672" s="885"/>
      <c r="J1672" s="885"/>
      <c r="K1672" s="885"/>
      <c r="L1672" s="885"/>
      <c r="M1672" s="885"/>
      <c r="N1672" s="887"/>
      <c r="O1672" s="885"/>
      <c r="P1672" s="885"/>
      <c r="Q1672" s="885"/>
      <c r="R1672" s="885"/>
      <c r="S1672" s="885"/>
      <c r="T1672" s="885"/>
      <c r="U1672" s="885"/>
      <c r="V1672" s="885"/>
      <c r="W1672" s="885"/>
      <c r="X1672" s="885"/>
      <c r="Y1672" s="885"/>
      <c r="Z1672" s="885"/>
    </row>
    <row r="1673" ht="15.75" customHeight="1">
      <c r="A1673" s="884"/>
      <c r="B1673" s="884"/>
      <c r="C1673" s="884"/>
      <c r="D1673" s="884"/>
      <c r="E1673" s="885"/>
      <c r="F1673" s="885"/>
      <c r="G1673" s="885"/>
      <c r="H1673" s="930"/>
      <c r="I1673" s="885"/>
      <c r="J1673" s="885"/>
      <c r="K1673" s="885"/>
      <c r="L1673" s="885"/>
      <c r="M1673" s="885"/>
      <c r="N1673" s="887"/>
      <c r="O1673" s="885"/>
      <c r="P1673" s="885"/>
      <c r="Q1673" s="885"/>
      <c r="R1673" s="885"/>
      <c r="S1673" s="885"/>
      <c r="T1673" s="885"/>
      <c r="U1673" s="885"/>
      <c r="V1673" s="885"/>
      <c r="W1673" s="885"/>
      <c r="X1673" s="885"/>
      <c r="Y1673" s="885"/>
      <c r="Z1673" s="885"/>
    </row>
    <row r="1674" ht="15.75" customHeight="1">
      <c r="A1674" s="884"/>
      <c r="B1674" s="884"/>
      <c r="C1674" s="884"/>
      <c r="D1674" s="884"/>
      <c r="E1674" s="885"/>
      <c r="F1674" s="885"/>
      <c r="G1674" s="885"/>
      <c r="H1674" s="930"/>
      <c r="I1674" s="885"/>
      <c r="J1674" s="885"/>
      <c r="K1674" s="885"/>
      <c r="L1674" s="885"/>
      <c r="M1674" s="885"/>
      <c r="N1674" s="887"/>
      <c r="O1674" s="885"/>
      <c r="P1674" s="885"/>
      <c r="Q1674" s="885"/>
      <c r="R1674" s="885"/>
      <c r="S1674" s="885"/>
      <c r="T1674" s="885"/>
      <c r="U1674" s="885"/>
      <c r="V1674" s="885"/>
      <c r="W1674" s="885"/>
      <c r="X1674" s="885"/>
      <c r="Y1674" s="885"/>
      <c r="Z1674" s="885"/>
    </row>
    <row r="1675" ht="15.75" customHeight="1">
      <c r="A1675" s="884"/>
      <c r="B1675" s="884"/>
      <c r="C1675" s="884"/>
      <c r="D1675" s="884"/>
      <c r="E1675" s="885"/>
      <c r="F1675" s="885"/>
      <c r="G1675" s="885"/>
      <c r="H1675" s="930"/>
      <c r="I1675" s="885"/>
      <c r="J1675" s="885"/>
      <c r="K1675" s="885"/>
      <c r="L1675" s="885"/>
      <c r="M1675" s="885"/>
      <c r="N1675" s="887"/>
      <c r="O1675" s="885"/>
      <c r="P1675" s="885"/>
      <c r="Q1675" s="885"/>
      <c r="R1675" s="885"/>
      <c r="S1675" s="885"/>
      <c r="T1675" s="885"/>
      <c r="U1675" s="885"/>
      <c r="V1675" s="885"/>
      <c r="W1675" s="885"/>
      <c r="X1675" s="885"/>
      <c r="Y1675" s="885"/>
      <c r="Z1675" s="885"/>
    </row>
    <row r="1676" ht="15.75" customHeight="1">
      <c r="A1676" s="884"/>
      <c r="B1676" s="884"/>
      <c r="C1676" s="884"/>
      <c r="D1676" s="884"/>
      <c r="E1676" s="885"/>
      <c r="F1676" s="885"/>
      <c r="G1676" s="885"/>
      <c r="H1676" s="930"/>
      <c r="I1676" s="885"/>
      <c r="J1676" s="885"/>
      <c r="K1676" s="885"/>
      <c r="L1676" s="885"/>
      <c r="M1676" s="885"/>
      <c r="N1676" s="887"/>
      <c r="O1676" s="885"/>
      <c r="P1676" s="885"/>
      <c r="Q1676" s="885"/>
      <c r="R1676" s="885"/>
      <c r="S1676" s="885"/>
      <c r="T1676" s="885"/>
      <c r="U1676" s="885"/>
      <c r="V1676" s="885"/>
      <c r="W1676" s="885"/>
      <c r="X1676" s="885"/>
      <c r="Y1676" s="885"/>
      <c r="Z1676" s="885"/>
    </row>
    <row r="1677" ht="15.75" customHeight="1">
      <c r="A1677" s="884"/>
      <c r="B1677" s="884"/>
      <c r="C1677" s="884"/>
      <c r="D1677" s="884"/>
      <c r="E1677" s="885"/>
      <c r="F1677" s="885"/>
      <c r="G1677" s="885"/>
      <c r="H1677" s="930"/>
      <c r="I1677" s="885"/>
      <c r="J1677" s="885"/>
      <c r="K1677" s="885"/>
      <c r="L1677" s="885"/>
      <c r="M1677" s="885"/>
      <c r="N1677" s="887"/>
      <c r="O1677" s="885"/>
      <c r="P1677" s="885"/>
      <c r="Q1677" s="885"/>
      <c r="R1677" s="885"/>
      <c r="S1677" s="885"/>
      <c r="T1677" s="885"/>
      <c r="U1677" s="885"/>
      <c r="V1677" s="885"/>
      <c r="W1677" s="885"/>
      <c r="X1677" s="885"/>
      <c r="Y1677" s="885"/>
      <c r="Z1677" s="885"/>
    </row>
    <row r="1678" ht="15.75" customHeight="1">
      <c r="A1678" s="884"/>
      <c r="B1678" s="884"/>
      <c r="C1678" s="884"/>
      <c r="D1678" s="884"/>
      <c r="E1678" s="885"/>
      <c r="F1678" s="885"/>
      <c r="G1678" s="885"/>
      <c r="H1678" s="930"/>
      <c r="I1678" s="885"/>
      <c r="J1678" s="885"/>
      <c r="K1678" s="885"/>
      <c r="L1678" s="885"/>
      <c r="M1678" s="885"/>
      <c r="N1678" s="887"/>
      <c r="O1678" s="885"/>
      <c r="P1678" s="885"/>
      <c r="Q1678" s="885"/>
      <c r="R1678" s="885"/>
      <c r="S1678" s="885"/>
      <c r="T1678" s="885"/>
      <c r="U1678" s="885"/>
      <c r="V1678" s="885"/>
      <c r="W1678" s="885"/>
      <c r="X1678" s="885"/>
      <c r="Y1678" s="885"/>
      <c r="Z1678" s="885"/>
    </row>
    <row r="1679" ht="15.75" customHeight="1">
      <c r="A1679" s="884"/>
      <c r="B1679" s="884"/>
      <c r="C1679" s="884"/>
      <c r="D1679" s="884"/>
      <c r="E1679" s="885"/>
      <c r="F1679" s="885"/>
      <c r="G1679" s="885"/>
      <c r="H1679" s="930"/>
      <c r="I1679" s="885"/>
      <c r="J1679" s="885"/>
      <c r="K1679" s="885"/>
      <c r="L1679" s="885"/>
      <c r="M1679" s="885"/>
      <c r="N1679" s="887"/>
      <c r="O1679" s="885"/>
      <c r="P1679" s="885"/>
      <c r="Q1679" s="885"/>
      <c r="R1679" s="885"/>
      <c r="S1679" s="885"/>
      <c r="T1679" s="885"/>
      <c r="U1679" s="885"/>
      <c r="V1679" s="885"/>
      <c r="W1679" s="885"/>
      <c r="X1679" s="885"/>
      <c r="Y1679" s="885"/>
      <c r="Z1679" s="885"/>
    </row>
    <row r="1680" ht="15.75" customHeight="1">
      <c r="A1680" s="884"/>
      <c r="B1680" s="884"/>
      <c r="C1680" s="884"/>
      <c r="D1680" s="884"/>
      <c r="E1680" s="885"/>
      <c r="F1680" s="885"/>
      <c r="G1680" s="885"/>
      <c r="H1680" s="930"/>
      <c r="I1680" s="885"/>
      <c r="J1680" s="885"/>
      <c r="K1680" s="885"/>
      <c r="L1680" s="885"/>
      <c r="M1680" s="885"/>
      <c r="N1680" s="887"/>
      <c r="O1680" s="885"/>
      <c r="P1680" s="885"/>
      <c r="Q1680" s="885"/>
      <c r="R1680" s="885"/>
      <c r="S1680" s="885"/>
      <c r="T1680" s="885"/>
      <c r="U1680" s="885"/>
      <c r="V1680" s="885"/>
      <c r="W1680" s="885"/>
      <c r="X1680" s="885"/>
      <c r="Y1680" s="885"/>
      <c r="Z1680" s="885"/>
    </row>
    <row r="1681" ht="15.75" customHeight="1">
      <c r="A1681" s="884"/>
      <c r="B1681" s="884"/>
      <c r="C1681" s="884"/>
      <c r="D1681" s="884"/>
      <c r="E1681" s="885"/>
      <c r="F1681" s="885"/>
      <c r="G1681" s="885"/>
      <c r="H1681" s="930"/>
      <c r="I1681" s="885"/>
      <c r="J1681" s="885"/>
      <c r="K1681" s="885"/>
      <c r="L1681" s="885"/>
      <c r="M1681" s="885"/>
      <c r="N1681" s="887"/>
      <c r="O1681" s="885"/>
      <c r="P1681" s="885"/>
      <c r="Q1681" s="885"/>
      <c r="R1681" s="885"/>
      <c r="S1681" s="885"/>
      <c r="T1681" s="885"/>
      <c r="U1681" s="885"/>
      <c r="V1681" s="885"/>
      <c r="W1681" s="885"/>
      <c r="X1681" s="885"/>
      <c r="Y1681" s="885"/>
      <c r="Z1681" s="885"/>
    </row>
    <row r="1682" ht="15.75" customHeight="1">
      <c r="A1682" s="884"/>
      <c r="B1682" s="884"/>
      <c r="C1682" s="884"/>
      <c r="D1682" s="884"/>
      <c r="E1682" s="885"/>
      <c r="F1682" s="885"/>
      <c r="G1682" s="885"/>
      <c r="H1682" s="930"/>
      <c r="I1682" s="885"/>
      <c r="J1682" s="885"/>
      <c r="K1682" s="885"/>
      <c r="L1682" s="885"/>
      <c r="M1682" s="885"/>
      <c r="N1682" s="887"/>
      <c r="O1682" s="885"/>
      <c r="P1682" s="885"/>
      <c r="Q1682" s="885"/>
      <c r="R1682" s="885"/>
      <c r="S1682" s="885"/>
      <c r="T1682" s="885"/>
      <c r="U1682" s="885"/>
      <c r="V1682" s="885"/>
      <c r="W1682" s="885"/>
      <c r="X1682" s="885"/>
      <c r="Y1682" s="885"/>
      <c r="Z1682" s="885"/>
    </row>
    <row r="1683" ht="15.75" customHeight="1">
      <c r="A1683" s="884"/>
      <c r="B1683" s="884"/>
      <c r="C1683" s="884"/>
      <c r="D1683" s="884"/>
      <c r="E1683" s="885"/>
      <c r="F1683" s="885"/>
      <c r="G1683" s="885"/>
      <c r="H1683" s="930"/>
      <c r="I1683" s="885"/>
      <c r="J1683" s="885"/>
      <c r="K1683" s="885"/>
      <c r="L1683" s="885"/>
      <c r="M1683" s="885"/>
      <c r="N1683" s="887"/>
      <c r="O1683" s="885"/>
      <c r="P1683" s="885"/>
      <c r="Q1683" s="885"/>
      <c r="R1683" s="885"/>
      <c r="S1683" s="885"/>
      <c r="T1683" s="885"/>
      <c r="U1683" s="885"/>
      <c r="V1683" s="885"/>
      <c r="W1683" s="885"/>
      <c r="X1683" s="885"/>
      <c r="Y1683" s="885"/>
      <c r="Z1683" s="885"/>
    </row>
    <row r="1684" ht="15.75" customHeight="1">
      <c r="A1684" s="884"/>
      <c r="B1684" s="884"/>
      <c r="C1684" s="884"/>
      <c r="D1684" s="884"/>
      <c r="E1684" s="885"/>
      <c r="F1684" s="885"/>
      <c r="G1684" s="885"/>
      <c r="H1684" s="930"/>
      <c r="I1684" s="885"/>
      <c r="J1684" s="885"/>
      <c r="K1684" s="885"/>
      <c r="L1684" s="885"/>
      <c r="M1684" s="885"/>
      <c r="N1684" s="887"/>
      <c r="O1684" s="885"/>
      <c r="P1684" s="885"/>
      <c r="Q1684" s="885"/>
      <c r="R1684" s="885"/>
      <c r="S1684" s="885"/>
      <c r="T1684" s="885"/>
      <c r="U1684" s="885"/>
      <c r="V1684" s="885"/>
      <c r="W1684" s="885"/>
      <c r="X1684" s="885"/>
      <c r="Y1684" s="885"/>
      <c r="Z1684" s="885"/>
    </row>
    <row r="1685" ht="15.75" customHeight="1">
      <c r="A1685" s="884"/>
      <c r="B1685" s="884"/>
      <c r="C1685" s="884"/>
      <c r="D1685" s="884"/>
      <c r="E1685" s="885"/>
      <c r="F1685" s="885"/>
      <c r="G1685" s="885"/>
      <c r="H1685" s="930"/>
      <c r="I1685" s="885"/>
      <c r="J1685" s="885"/>
      <c r="K1685" s="885"/>
      <c r="L1685" s="885"/>
      <c r="M1685" s="885"/>
      <c r="N1685" s="887"/>
      <c r="O1685" s="885"/>
      <c r="P1685" s="885"/>
      <c r="Q1685" s="885"/>
      <c r="R1685" s="885"/>
      <c r="S1685" s="885"/>
      <c r="T1685" s="885"/>
      <c r="U1685" s="885"/>
      <c r="V1685" s="885"/>
      <c r="W1685" s="885"/>
      <c r="X1685" s="885"/>
      <c r="Y1685" s="885"/>
      <c r="Z1685" s="885"/>
    </row>
    <row r="1686" ht="15.75" customHeight="1">
      <c r="A1686" s="884"/>
      <c r="B1686" s="884"/>
      <c r="C1686" s="884"/>
      <c r="D1686" s="884"/>
      <c r="E1686" s="885"/>
      <c r="F1686" s="885"/>
      <c r="G1686" s="885"/>
      <c r="H1686" s="930"/>
      <c r="I1686" s="885"/>
      <c r="J1686" s="885"/>
      <c r="K1686" s="885"/>
      <c r="L1686" s="885"/>
      <c r="M1686" s="885"/>
      <c r="N1686" s="887"/>
      <c r="O1686" s="885"/>
      <c r="P1686" s="885"/>
      <c r="Q1686" s="885"/>
      <c r="R1686" s="885"/>
      <c r="S1686" s="885"/>
      <c r="T1686" s="885"/>
      <c r="U1686" s="885"/>
      <c r="V1686" s="885"/>
      <c r="W1686" s="885"/>
      <c r="X1686" s="885"/>
      <c r="Y1686" s="885"/>
      <c r="Z1686" s="885"/>
    </row>
    <row r="1687" ht="15.75" customHeight="1">
      <c r="A1687" s="884"/>
      <c r="B1687" s="884"/>
      <c r="C1687" s="884"/>
      <c r="D1687" s="884"/>
      <c r="E1687" s="885"/>
      <c r="F1687" s="885"/>
      <c r="G1687" s="885"/>
      <c r="H1687" s="930"/>
      <c r="I1687" s="885"/>
      <c r="J1687" s="885"/>
      <c r="K1687" s="885"/>
      <c r="L1687" s="885"/>
      <c r="M1687" s="885"/>
      <c r="N1687" s="887"/>
      <c r="O1687" s="885"/>
      <c r="P1687" s="885"/>
      <c r="Q1687" s="885"/>
      <c r="R1687" s="885"/>
      <c r="S1687" s="885"/>
      <c r="T1687" s="885"/>
      <c r="U1687" s="885"/>
      <c r="V1687" s="885"/>
      <c r="W1687" s="885"/>
      <c r="X1687" s="885"/>
      <c r="Y1687" s="885"/>
      <c r="Z1687" s="885"/>
    </row>
    <row r="1688" ht="15.75" customHeight="1">
      <c r="A1688" s="884"/>
      <c r="B1688" s="884"/>
      <c r="C1688" s="884"/>
      <c r="D1688" s="884"/>
      <c r="E1688" s="885"/>
      <c r="F1688" s="885"/>
      <c r="G1688" s="885"/>
      <c r="H1688" s="930"/>
      <c r="I1688" s="885"/>
      <c r="J1688" s="885"/>
      <c r="K1688" s="885"/>
      <c r="L1688" s="885"/>
      <c r="M1688" s="885"/>
      <c r="N1688" s="887"/>
      <c r="O1688" s="885"/>
      <c r="P1688" s="885"/>
      <c r="Q1688" s="885"/>
      <c r="R1688" s="885"/>
      <c r="S1688" s="885"/>
      <c r="T1688" s="885"/>
      <c r="U1688" s="885"/>
      <c r="V1688" s="885"/>
      <c r="W1688" s="885"/>
      <c r="X1688" s="885"/>
      <c r="Y1688" s="885"/>
      <c r="Z1688" s="885"/>
    </row>
    <row r="1689" ht="15.75" customHeight="1">
      <c r="A1689" s="884"/>
      <c r="B1689" s="884"/>
      <c r="C1689" s="884"/>
      <c r="D1689" s="884"/>
      <c r="E1689" s="885"/>
      <c r="F1689" s="885"/>
      <c r="G1689" s="885"/>
      <c r="H1689" s="930"/>
      <c r="I1689" s="885"/>
      <c r="J1689" s="885"/>
      <c r="K1689" s="885"/>
      <c r="L1689" s="885"/>
      <c r="M1689" s="885"/>
      <c r="N1689" s="887"/>
      <c r="O1689" s="885"/>
      <c r="P1689" s="885"/>
      <c r="Q1689" s="885"/>
      <c r="R1689" s="885"/>
      <c r="S1689" s="885"/>
      <c r="T1689" s="885"/>
      <c r="U1689" s="885"/>
      <c r="V1689" s="885"/>
      <c r="W1689" s="885"/>
      <c r="X1689" s="885"/>
      <c r="Y1689" s="885"/>
      <c r="Z1689" s="885"/>
    </row>
    <row r="1690" ht="15.75" customHeight="1">
      <c r="A1690" s="884"/>
      <c r="B1690" s="884"/>
      <c r="C1690" s="884"/>
      <c r="D1690" s="884"/>
      <c r="E1690" s="885"/>
      <c r="F1690" s="885"/>
      <c r="G1690" s="885"/>
      <c r="H1690" s="930"/>
      <c r="I1690" s="885"/>
      <c r="J1690" s="885"/>
      <c r="K1690" s="885"/>
      <c r="L1690" s="885"/>
      <c r="M1690" s="885"/>
      <c r="N1690" s="887"/>
      <c r="O1690" s="885"/>
      <c r="P1690" s="885"/>
      <c r="Q1690" s="885"/>
      <c r="R1690" s="885"/>
      <c r="S1690" s="885"/>
      <c r="T1690" s="885"/>
      <c r="U1690" s="885"/>
      <c r="V1690" s="885"/>
      <c r="W1690" s="885"/>
      <c r="X1690" s="885"/>
      <c r="Y1690" s="885"/>
      <c r="Z1690" s="885"/>
    </row>
    <row r="1691" ht="15.75" customHeight="1">
      <c r="A1691" s="884"/>
      <c r="B1691" s="884"/>
      <c r="C1691" s="884"/>
      <c r="D1691" s="884"/>
      <c r="E1691" s="885"/>
      <c r="F1691" s="885"/>
      <c r="G1691" s="885"/>
      <c r="H1691" s="930"/>
      <c r="I1691" s="885"/>
      <c r="J1691" s="885"/>
      <c r="K1691" s="885"/>
      <c r="L1691" s="885"/>
      <c r="M1691" s="885"/>
      <c r="N1691" s="887"/>
      <c r="O1691" s="885"/>
      <c r="P1691" s="885"/>
      <c r="Q1691" s="885"/>
      <c r="R1691" s="885"/>
      <c r="S1691" s="885"/>
      <c r="T1691" s="885"/>
      <c r="U1691" s="885"/>
      <c r="V1691" s="885"/>
      <c r="W1691" s="885"/>
      <c r="X1691" s="885"/>
      <c r="Y1691" s="885"/>
      <c r="Z1691" s="885"/>
    </row>
    <row r="1692" ht="15.75" customHeight="1">
      <c r="A1692" s="884"/>
      <c r="B1692" s="884"/>
      <c r="C1692" s="884"/>
      <c r="D1692" s="884"/>
      <c r="E1692" s="885"/>
      <c r="F1692" s="885"/>
      <c r="G1692" s="885"/>
      <c r="H1692" s="930"/>
      <c r="I1692" s="885"/>
      <c r="J1692" s="885"/>
      <c r="K1692" s="885"/>
      <c r="L1692" s="885"/>
      <c r="M1692" s="885"/>
      <c r="N1692" s="887"/>
      <c r="O1692" s="885"/>
      <c r="P1692" s="885"/>
      <c r="Q1692" s="885"/>
      <c r="R1692" s="885"/>
      <c r="S1692" s="885"/>
      <c r="T1692" s="885"/>
      <c r="U1692" s="885"/>
      <c r="V1692" s="885"/>
      <c r="W1692" s="885"/>
      <c r="X1692" s="885"/>
      <c r="Y1692" s="885"/>
      <c r="Z1692" s="885"/>
    </row>
    <row r="1693" ht="15.75" customHeight="1">
      <c r="A1693" s="884"/>
      <c r="B1693" s="884"/>
      <c r="C1693" s="884"/>
      <c r="D1693" s="884"/>
      <c r="E1693" s="885"/>
      <c r="F1693" s="885"/>
      <c r="G1693" s="885"/>
      <c r="H1693" s="930"/>
      <c r="I1693" s="885"/>
      <c r="J1693" s="885"/>
      <c r="K1693" s="885"/>
      <c r="L1693" s="885"/>
      <c r="M1693" s="885"/>
      <c r="N1693" s="887"/>
      <c r="O1693" s="885"/>
      <c r="P1693" s="885"/>
      <c r="Q1693" s="885"/>
      <c r="R1693" s="885"/>
      <c r="S1693" s="885"/>
      <c r="T1693" s="885"/>
      <c r="U1693" s="885"/>
      <c r="V1693" s="885"/>
      <c r="W1693" s="885"/>
      <c r="X1693" s="885"/>
      <c r="Y1693" s="885"/>
      <c r="Z1693" s="885"/>
    </row>
    <row r="1694" ht="15.75" customHeight="1">
      <c r="A1694" s="884"/>
      <c r="B1694" s="884"/>
      <c r="C1694" s="884"/>
      <c r="D1694" s="884"/>
      <c r="E1694" s="885"/>
      <c r="F1694" s="885"/>
      <c r="G1694" s="885"/>
      <c r="H1694" s="930"/>
      <c r="I1694" s="885"/>
      <c r="J1694" s="885"/>
      <c r="K1694" s="885"/>
      <c r="L1694" s="885"/>
      <c r="M1694" s="885"/>
      <c r="N1694" s="887"/>
      <c r="O1694" s="885"/>
      <c r="P1694" s="885"/>
      <c r="Q1694" s="885"/>
      <c r="R1694" s="885"/>
      <c r="S1694" s="885"/>
      <c r="T1694" s="885"/>
      <c r="U1694" s="885"/>
      <c r="V1694" s="885"/>
      <c r="W1694" s="885"/>
      <c r="X1694" s="885"/>
      <c r="Y1694" s="885"/>
      <c r="Z1694" s="885"/>
    </row>
    <row r="1695" ht="15.75" customHeight="1">
      <c r="A1695" s="884"/>
      <c r="B1695" s="884"/>
      <c r="C1695" s="884"/>
      <c r="D1695" s="884"/>
      <c r="E1695" s="885"/>
      <c r="F1695" s="885"/>
      <c r="G1695" s="885"/>
      <c r="H1695" s="930"/>
      <c r="I1695" s="885"/>
      <c r="J1695" s="885"/>
      <c r="K1695" s="885"/>
      <c r="L1695" s="885"/>
      <c r="M1695" s="885"/>
      <c r="N1695" s="887"/>
      <c r="O1695" s="885"/>
      <c r="P1695" s="885"/>
      <c r="Q1695" s="885"/>
      <c r="R1695" s="885"/>
      <c r="S1695" s="885"/>
      <c r="T1695" s="885"/>
      <c r="U1695" s="885"/>
      <c r="V1695" s="885"/>
      <c r="W1695" s="885"/>
      <c r="X1695" s="885"/>
      <c r="Y1695" s="885"/>
      <c r="Z1695" s="885"/>
    </row>
    <row r="1696" ht="15.75" customHeight="1">
      <c r="A1696" s="884"/>
      <c r="B1696" s="884"/>
      <c r="C1696" s="884"/>
      <c r="D1696" s="884"/>
      <c r="E1696" s="885"/>
      <c r="F1696" s="885"/>
      <c r="G1696" s="885"/>
      <c r="H1696" s="930"/>
      <c r="I1696" s="885"/>
      <c r="J1696" s="885"/>
      <c r="K1696" s="885"/>
      <c r="L1696" s="885"/>
      <c r="M1696" s="885"/>
      <c r="N1696" s="887"/>
      <c r="O1696" s="885"/>
      <c r="P1696" s="885"/>
      <c r="Q1696" s="885"/>
      <c r="R1696" s="885"/>
      <c r="S1696" s="885"/>
      <c r="T1696" s="885"/>
      <c r="U1696" s="885"/>
      <c r="V1696" s="885"/>
      <c r="W1696" s="885"/>
      <c r="X1696" s="885"/>
      <c r="Y1696" s="885"/>
      <c r="Z1696" s="885"/>
    </row>
    <row r="1697" ht="15.75" customHeight="1">
      <c r="A1697" s="884"/>
      <c r="B1697" s="884"/>
      <c r="C1697" s="884"/>
      <c r="D1697" s="884"/>
      <c r="E1697" s="885"/>
      <c r="F1697" s="885"/>
      <c r="G1697" s="885"/>
      <c r="H1697" s="930"/>
      <c r="I1697" s="885"/>
      <c r="J1697" s="885"/>
      <c r="K1697" s="885"/>
      <c r="L1697" s="885"/>
      <c r="M1697" s="885"/>
      <c r="N1697" s="887"/>
      <c r="O1697" s="885"/>
      <c r="P1697" s="885"/>
      <c r="Q1697" s="885"/>
      <c r="R1697" s="885"/>
      <c r="S1697" s="885"/>
      <c r="T1697" s="885"/>
      <c r="U1697" s="885"/>
      <c r="V1697" s="885"/>
      <c r="W1697" s="885"/>
      <c r="X1697" s="885"/>
      <c r="Y1697" s="885"/>
      <c r="Z1697" s="885"/>
    </row>
    <row r="1698" ht="15.75" customHeight="1">
      <c r="A1698" s="884"/>
      <c r="B1698" s="884"/>
      <c r="C1698" s="884"/>
      <c r="D1698" s="884"/>
      <c r="E1698" s="885"/>
      <c r="F1698" s="885"/>
      <c r="G1698" s="885"/>
      <c r="H1698" s="930"/>
      <c r="I1698" s="885"/>
      <c r="J1698" s="885"/>
      <c r="K1698" s="885"/>
      <c r="L1698" s="885"/>
      <c r="M1698" s="885"/>
      <c r="N1698" s="887"/>
      <c r="O1698" s="885"/>
      <c r="P1698" s="885"/>
      <c r="Q1698" s="885"/>
      <c r="R1698" s="885"/>
      <c r="S1698" s="885"/>
      <c r="T1698" s="885"/>
      <c r="U1698" s="885"/>
      <c r="V1698" s="885"/>
      <c r="W1698" s="885"/>
      <c r="X1698" s="885"/>
      <c r="Y1698" s="885"/>
      <c r="Z1698" s="885"/>
    </row>
    <row r="1699" ht="15.75" customHeight="1">
      <c r="A1699" s="884"/>
      <c r="B1699" s="884"/>
      <c r="C1699" s="884"/>
      <c r="D1699" s="884"/>
      <c r="E1699" s="885"/>
      <c r="F1699" s="885"/>
      <c r="G1699" s="885"/>
      <c r="H1699" s="930"/>
      <c r="I1699" s="885"/>
      <c r="J1699" s="885"/>
      <c r="K1699" s="885"/>
      <c r="L1699" s="885"/>
      <c r="M1699" s="885"/>
      <c r="N1699" s="887"/>
      <c r="O1699" s="885"/>
      <c r="P1699" s="885"/>
      <c r="Q1699" s="885"/>
      <c r="R1699" s="885"/>
      <c r="S1699" s="885"/>
      <c r="T1699" s="885"/>
      <c r="U1699" s="885"/>
      <c r="V1699" s="885"/>
      <c r="W1699" s="885"/>
      <c r="X1699" s="885"/>
      <c r="Y1699" s="885"/>
      <c r="Z1699" s="885"/>
    </row>
    <row r="1700" ht="15.75" customHeight="1">
      <c r="A1700" s="884"/>
      <c r="B1700" s="884"/>
      <c r="C1700" s="884"/>
      <c r="D1700" s="884"/>
      <c r="E1700" s="885"/>
      <c r="F1700" s="885"/>
      <c r="G1700" s="885"/>
      <c r="H1700" s="930"/>
      <c r="I1700" s="885"/>
      <c r="J1700" s="885"/>
      <c r="K1700" s="885"/>
      <c r="L1700" s="885"/>
      <c r="M1700" s="885"/>
      <c r="N1700" s="887"/>
      <c r="O1700" s="885"/>
      <c r="P1700" s="885"/>
      <c r="Q1700" s="885"/>
      <c r="R1700" s="885"/>
      <c r="S1700" s="885"/>
      <c r="T1700" s="885"/>
      <c r="U1700" s="885"/>
      <c r="V1700" s="885"/>
      <c r="W1700" s="885"/>
      <c r="X1700" s="885"/>
      <c r="Y1700" s="885"/>
      <c r="Z1700" s="885"/>
    </row>
    <row r="1701" ht="15.75" customHeight="1">
      <c r="A1701" s="884"/>
      <c r="B1701" s="884"/>
      <c r="C1701" s="884"/>
      <c r="D1701" s="884"/>
      <c r="E1701" s="885"/>
      <c r="F1701" s="885"/>
      <c r="G1701" s="885"/>
      <c r="H1701" s="930"/>
      <c r="I1701" s="885"/>
      <c r="J1701" s="885"/>
      <c r="K1701" s="885"/>
      <c r="L1701" s="885"/>
      <c r="M1701" s="885"/>
      <c r="N1701" s="887"/>
      <c r="O1701" s="885"/>
      <c r="P1701" s="885"/>
      <c r="Q1701" s="885"/>
      <c r="R1701" s="885"/>
      <c r="S1701" s="885"/>
      <c r="T1701" s="885"/>
      <c r="U1701" s="885"/>
      <c r="V1701" s="885"/>
      <c r="W1701" s="885"/>
      <c r="X1701" s="885"/>
      <c r="Y1701" s="885"/>
      <c r="Z1701" s="885"/>
    </row>
    <row r="1702" ht="15.75" customHeight="1">
      <c r="A1702" s="884"/>
      <c r="B1702" s="884"/>
      <c r="C1702" s="884"/>
      <c r="D1702" s="884"/>
      <c r="E1702" s="885"/>
      <c r="F1702" s="885"/>
      <c r="G1702" s="885"/>
      <c r="H1702" s="930"/>
      <c r="I1702" s="885"/>
      <c r="J1702" s="885"/>
      <c r="K1702" s="885"/>
      <c r="L1702" s="885"/>
      <c r="M1702" s="885"/>
      <c r="N1702" s="887"/>
      <c r="O1702" s="885"/>
      <c r="P1702" s="885"/>
      <c r="Q1702" s="885"/>
      <c r="R1702" s="885"/>
      <c r="S1702" s="885"/>
      <c r="T1702" s="885"/>
      <c r="U1702" s="885"/>
      <c r="V1702" s="885"/>
      <c r="W1702" s="885"/>
      <c r="X1702" s="885"/>
      <c r="Y1702" s="885"/>
      <c r="Z1702" s="885"/>
    </row>
    <row r="1703" ht="15.75" customHeight="1">
      <c r="A1703" s="884"/>
      <c r="B1703" s="884"/>
      <c r="C1703" s="884"/>
      <c r="D1703" s="884"/>
      <c r="E1703" s="885"/>
      <c r="F1703" s="885"/>
      <c r="G1703" s="885"/>
      <c r="H1703" s="930"/>
      <c r="I1703" s="885"/>
      <c r="J1703" s="885"/>
      <c r="K1703" s="885"/>
      <c r="L1703" s="885"/>
      <c r="M1703" s="885"/>
      <c r="N1703" s="887"/>
      <c r="O1703" s="885"/>
      <c r="P1703" s="885"/>
      <c r="Q1703" s="885"/>
      <c r="R1703" s="885"/>
      <c r="S1703" s="885"/>
      <c r="T1703" s="885"/>
      <c r="U1703" s="885"/>
      <c r="V1703" s="885"/>
      <c r="W1703" s="885"/>
      <c r="X1703" s="885"/>
      <c r="Y1703" s="885"/>
      <c r="Z1703" s="885"/>
    </row>
    <row r="1704" ht="15.75" customHeight="1">
      <c r="A1704" s="884"/>
      <c r="B1704" s="884"/>
      <c r="C1704" s="884"/>
      <c r="D1704" s="884"/>
      <c r="E1704" s="885"/>
      <c r="F1704" s="885"/>
      <c r="G1704" s="885"/>
      <c r="H1704" s="930"/>
      <c r="I1704" s="885"/>
      <c r="J1704" s="885"/>
      <c r="K1704" s="885"/>
      <c r="L1704" s="885"/>
      <c r="M1704" s="885"/>
      <c r="N1704" s="887"/>
      <c r="O1704" s="885"/>
      <c r="P1704" s="885"/>
      <c r="Q1704" s="885"/>
      <c r="R1704" s="885"/>
      <c r="S1704" s="885"/>
      <c r="T1704" s="885"/>
      <c r="U1704" s="885"/>
      <c r="V1704" s="885"/>
      <c r="W1704" s="885"/>
      <c r="X1704" s="885"/>
      <c r="Y1704" s="885"/>
      <c r="Z1704" s="885"/>
    </row>
    <row r="1705" ht="15.75" customHeight="1">
      <c r="A1705" s="884"/>
      <c r="B1705" s="884"/>
      <c r="C1705" s="884"/>
      <c r="D1705" s="884"/>
      <c r="E1705" s="885"/>
      <c r="F1705" s="885"/>
      <c r="G1705" s="885"/>
      <c r="H1705" s="930"/>
      <c r="I1705" s="885"/>
      <c r="J1705" s="885"/>
      <c r="K1705" s="885"/>
      <c r="L1705" s="885"/>
      <c r="M1705" s="885"/>
      <c r="N1705" s="887"/>
      <c r="O1705" s="885"/>
      <c r="P1705" s="885"/>
      <c r="Q1705" s="885"/>
      <c r="R1705" s="885"/>
      <c r="S1705" s="885"/>
      <c r="T1705" s="885"/>
      <c r="U1705" s="885"/>
      <c r="V1705" s="885"/>
      <c r="W1705" s="885"/>
      <c r="X1705" s="885"/>
      <c r="Y1705" s="885"/>
      <c r="Z1705" s="885"/>
    </row>
    <row r="1706" ht="15.75" customHeight="1">
      <c r="A1706" s="884"/>
      <c r="B1706" s="884"/>
      <c r="C1706" s="884"/>
      <c r="D1706" s="884"/>
      <c r="E1706" s="885"/>
      <c r="F1706" s="885"/>
      <c r="G1706" s="885"/>
      <c r="H1706" s="930"/>
      <c r="I1706" s="885"/>
      <c r="J1706" s="885"/>
      <c r="K1706" s="885"/>
      <c r="L1706" s="885"/>
      <c r="M1706" s="885"/>
      <c r="N1706" s="887"/>
      <c r="O1706" s="885"/>
      <c r="P1706" s="885"/>
      <c r="Q1706" s="885"/>
      <c r="R1706" s="885"/>
      <c r="S1706" s="885"/>
      <c r="T1706" s="885"/>
      <c r="U1706" s="885"/>
      <c r="V1706" s="885"/>
      <c r="W1706" s="885"/>
      <c r="X1706" s="885"/>
      <c r="Y1706" s="885"/>
      <c r="Z1706" s="885"/>
    </row>
    <row r="1707" ht="15.75" customHeight="1">
      <c r="A1707" s="884"/>
      <c r="B1707" s="884"/>
      <c r="C1707" s="884"/>
      <c r="D1707" s="884"/>
      <c r="E1707" s="885"/>
      <c r="F1707" s="885"/>
      <c r="G1707" s="885"/>
      <c r="H1707" s="930"/>
      <c r="I1707" s="885"/>
      <c r="J1707" s="885"/>
      <c r="K1707" s="885"/>
      <c r="L1707" s="885"/>
      <c r="M1707" s="885"/>
      <c r="N1707" s="887"/>
      <c r="O1707" s="885"/>
      <c r="P1707" s="885"/>
      <c r="Q1707" s="885"/>
      <c r="R1707" s="885"/>
      <c r="S1707" s="885"/>
      <c r="T1707" s="885"/>
      <c r="U1707" s="885"/>
      <c r="V1707" s="885"/>
      <c r="W1707" s="885"/>
      <c r="X1707" s="885"/>
      <c r="Y1707" s="885"/>
      <c r="Z1707" s="885"/>
    </row>
    <row r="1708" ht="15.75" customHeight="1">
      <c r="A1708" s="884"/>
      <c r="B1708" s="884"/>
      <c r="C1708" s="884"/>
      <c r="D1708" s="884"/>
      <c r="E1708" s="885"/>
      <c r="F1708" s="885"/>
      <c r="G1708" s="885"/>
      <c r="H1708" s="930"/>
      <c r="I1708" s="885"/>
      <c r="J1708" s="885"/>
      <c r="K1708" s="885"/>
      <c r="L1708" s="885"/>
      <c r="M1708" s="885"/>
      <c r="N1708" s="887"/>
      <c r="O1708" s="885"/>
      <c r="P1708" s="885"/>
      <c r="Q1708" s="885"/>
      <c r="R1708" s="885"/>
      <c r="S1708" s="885"/>
      <c r="T1708" s="885"/>
      <c r="U1708" s="885"/>
      <c r="V1708" s="885"/>
      <c r="W1708" s="885"/>
      <c r="X1708" s="885"/>
      <c r="Y1708" s="885"/>
      <c r="Z1708" s="885"/>
    </row>
    <row r="1709" ht="15.75" customHeight="1">
      <c r="A1709" s="884"/>
      <c r="B1709" s="884"/>
      <c r="C1709" s="884"/>
      <c r="D1709" s="884"/>
      <c r="E1709" s="885"/>
      <c r="F1709" s="885"/>
      <c r="G1709" s="885"/>
      <c r="H1709" s="930"/>
      <c r="I1709" s="885"/>
      <c r="J1709" s="885"/>
      <c r="K1709" s="885"/>
      <c r="L1709" s="885"/>
      <c r="M1709" s="885"/>
      <c r="N1709" s="887"/>
      <c r="O1709" s="885"/>
      <c r="P1709" s="885"/>
      <c r="Q1709" s="885"/>
      <c r="R1709" s="885"/>
      <c r="S1709" s="885"/>
      <c r="T1709" s="885"/>
      <c r="U1709" s="885"/>
      <c r="V1709" s="885"/>
      <c r="W1709" s="885"/>
      <c r="X1709" s="885"/>
      <c r="Y1709" s="885"/>
      <c r="Z1709" s="885"/>
    </row>
    <row r="1710" ht="15.75" customHeight="1">
      <c r="A1710" s="884"/>
      <c r="B1710" s="884"/>
      <c r="C1710" s="884"/>
      <c r="D1710" s="884"/>
      <c r="E1710" s="885"/>
      <c r="F1710" s="885"/>
      <c r="G1710" s="885"/>
      <c r="H1710" s="930"/>
      <c r="I1710" s="885"/>
      <c r="J1710" s="885"/>
      <c r="K1710" s="885"/>
      <c r="L1710" s="885"/>
      <c r="M1710" s="885"/>
      <c r="N1710" s="887"/>
      <c r="O1710" s="885"/>
      <c r="P1710" s="885"/>
      <c r="Q1710" s="885"/>
      <c r="R1710" s="885"/>
      <c r="S1710" s="885"/>
      <c r="T1710" s="885"/>
      <c r="U1710" s="885"/>
      <c r="V1710" s="885"/>
      <c r="W1710" s="885"/>
      <c r="X1710" s="885"/>
      <c r="Y1710" s="885"/>
      <c r="Z1710" s="885"/>
    </row>
    <row r="1711" ht="15.75" customHeight="1">
      <c r="A1711" s="884"/>
      <c r="B1711" s="884"/>
      <c r="C1711" s="884"/>
      <c r="D1711" s="884"/>
      <c r="E1711" s="885"/>
      <c r="F1711" s="885"/>
      <c r="G1711" s="885"/>
      <c r="H1711" s="930"/>
      <c r="I1711" s="885"/>
      <c r="J1711" s="885"/>
      <c r="K1711" s="885"/>
      <c r="L1711" s="885"/>
      <c r="M1711" s="885"/>
      <c r="N1711" s="887"/>
      <c r="O1711" s="885"/>
      <c r="P1711" s="885"/>
      <c r="Q1711" s="885"/>
      <c r="R1711" s="885"/>
      <c r="S1711" s="885"/>
      <c r="T1711" s="885"/>
      <c r="U1711" s="885"/>
      <c r="V1711" s="885"/>
      <c r="W1711" s="885"/>
      <c r="X1711" s="885"/>
      <c r="Y1711" s="885"/>
      <c r="Z1711" s="885"/>
    </row>
    <row r="1712" ht="15.75" customHeight="1">
      <c r="A1712" s="884"/>
      <c r="B1712" s="884"/>
      <c r="C1712" s="884"/>
      <c r="D1712" s="884"/>
      <c r="E1712" s="885"/>
      <c r="F1712" s="885"/>
      <c r="G1712" s="885"/>
      <c r="H1712" s="930"/>
      <c r="I1712" s="885"/>
      <c r="J1712" s="885"/>
      <c r="K1712" s="885"/>
      <c r="L1712" s="885"/>
      <c r="M1712" s="885"/>
      <c r="N1712" s="887"/>
      <c r="O1712" s="885"/>
      <c r="P1712" s="885"/>
      <c r="Q1712" s="885"/>
      <c r="R1712" s="885"/>
      <c r="S1712" s="885"/>
      <c r="T1712" s="885"/>
      <c r="U1712" s="885"/>
      <c r="V1712" s="885"/>
      <c r="W1712" s="885"/>
      <c r="X1712" s="885"/>
      <c r="Y1712" s="885"/>
      <c r="Z1712" s="885"/>
    </row>
    <row r="1713" ht="15.75" customHeight="1">
      <c r="A1713" s="884"/>
      <c r="B1713" s="884"/>
      <c r="C1713" s="884"/>
      <c r="D1713" s="884"/>
      <c r="E1713" s="885"/>
      <c r="F1713" s="885"/>
      <c r="G1713" s="885"/>
      <c r="H1713" s="930"/>
      <c r="I1713" s="885"/>
      <c r="J1713" s="885"/>
      <c r="K1713" s="885"/>
      <c r="L1713" s="885"/>
      <c r="M1713" s="885"/>
      <c r="N1713" s="887"/>
      <c r="O1713" s="885"/>
      <c r="P1713" s="885"/>
      <c r="Q1713" s="885"/>
      <c r="R1713" s="885"/>
      <c r="S1713" s="885"/>
      <c r="T1713" s="885"/>
      <c r="U1713" s="885"/>
      <c r="V1713" s="885"/>
      <c r="W1713" s="885"/>
      <c r="X1713" s="885"/>
      <c r="Y1713" s="885"/>
      <c r="Z1713" s="885"/>
    </row>
    <row r="1714" ht="15.75" customHeight="1">
      <c r="A1714" s="884"/>
      <c r="B1714" s="884"/>
      <c r="C1714" s="884"/>
      <c r="D1714" s="884"/>
      <c r="E1714" s="885"/>
      <c r="F1714" s="885"/>
      <c r="G1714" s="885"/>
      <c r="H1714" s="930"/>
      <c r="I1714" s="885"/>
      <c r="J1714" s="885"/>
      <c r="K1714" s="885"/>
      <c r="L1714" s="885"/>
      <c r="M1714" s="885"/>
      <c r="N1714" s="887"/>
      <c r="O1714" s="885"/>
      <c r="P1714" s="885"/>
      <c r="Q1714" s="885"/>
      <c r="R1714" s="885"/>
      <c r="S1714" s="885"/>
      <c r="T1714" s="885"/>
      <c r="U1714" s="885"/>
      <c r="V1714" s="885"/>
      <c r="W1714" s="885"/>
      <c r="X1714" s="885"/>
      <c r="Y1714" s="885"/>
      <c r="Z1714" s="885"/>
    </row>
    <row r="1715" ht="15.75" customHeight="1">
      <c r="A1715" s="884"/>
      <c r="B1715" s="884"/>
      <c r="C1715" s="884"/>
      <c r="D1715" s="884"/>
      <c r="E1715" s="885"/>
      <c r="F1715" s="885"/>
      <c r="G1715" s="885"/>
      <c r="H1715" s="930"/>
      <c r="I1715" s="885"/>
      <c r="J1715" s="885"/>
      <c r="K1715" s="885"/>
      <c r="L1715" s="885"/>
      <c r="M1715" s="885"/>
      <c r="N1715" s="887"/>
      <c r="O1715" s="885"/>
      <c r="P1715" s="885"/>
      <c r="Q1715" s="885"/>
      <c r="R1715" s="885"/>
      <c r="S1715" s="885"/>
      <c r="T1715" s="885"/>
      <c r="U1715" s="885"/>
      <c r="V1715" s="885"/>
      <c r="W1715" s="885"/>
      <c r="X1715" s="885"/>
      <c r="Y1715" s="885"/>
      <c r="Z1715" s="885"/>
    </row>
    <row r="1716" ht="15.75" customHeight="1">
      <c r="A1716" s="884"/>
      <c r="B1716" s="884"/>
      <c r="C1716" s="884"/>
      <c r="D1716" s="884"/>
      <c r="E1716" s="885"/>
      <c r="F1716" s="885"/>
      <c r="G1716" s="885"/>
      <c r="H1716" s="930"/>
      <c r="I1716" s="885"/>
      <c r="J1716" s="885"/>
      <c r="K1716" s="885"/>
      <c r="L1716" s="885"/>
      <c r="M1716" s="885"/>
      <c r="N1716" s="887"/>
      <c r="O1716" s="885"/>
      <c r="P1716" s="885"/>
      <c r="Q1716" s="885"/>
      <c r="R1716" s="885"/>
      <c r="S1716" s="885"/>
      <c r="T1716" s="885"/>
      <c r="U1716" s="885"/>
      <c r="V1716" s="885"/>
      <c r="W1716" s="885"/>
      <c r="X1716" s="885"/>
      <c r="Y1716" s="885"/>
      <c r="Z1716" s="885"/>
    </row>
    <row r="1717" ht="15.75" customHeight="1">
      <c r="A1717" s="884"/>
      <c r="B1717" s="884"/>
      <c r="C1717" s="884"/>
      <c r="D1717" s="884"/>
      <c r="E1717" s="885"/>
      <c r="F1717" s="885"/>
      <c r="G1717" s="885"/>
      <c r="H1717" s="930"/>
      <c r="I1717" s="885"/>
      <c r="J1717" s="885"/>
      <c r="K1717" s="885"/>
      <c r="L1717" s="885"/>
      <c r="M1717" s="885"/>
      <c r="N1717" s="887"/>
      <c r="O1717" s="885"/>
      <c r="P1717" s="885"/>
      <c r="Q1717" s="885"/>
      <c r="R1717" s="885"/>
      <c r="S1717" s="885"/>
      <c r="T1717" s="885"/>
      <c r="U1717" s="885"/>
      <c r="V1717" s="885"/>
      <c r="W1717" s="885"/>
      <c r="X1717" s="885"/>
      <c r="Y1717" s="885"/>
      <c r="Z1717" s="885"/>
    </row>
    <row r="1718" ht="15.75" customHeight="1">
      <c r="A1718" s="884"/>
      <c r="B1718" s="884"/>
      <c r="C1718" s="884"/>
      <c r="D1718" s="884"/>
      <c r="E1718" s="885"/>
      <c r="F1718" s="885"/>
      <c r="G1718" s="885"/>
      <c r="H1718" s="930"/>
      <c r="I1718" s="885"/>
      <c r="J1718" s="885"/>
      <c r="K1718" s="885"/>
      <c r="L1718" s="885"/>
      <c r="M1718" s="885"/>
      <c r="N1718" s="887"/>
      <c r="O1718" s="885"/>
      <c r="P1718" s="885"/>
      <c r="Q1718" s="885"/>
      <c r="R1718" s="885"/>
      <c r="S1718" s="885"/>
      <c r="T1718" s="885"/>
      <c r="U1718" s="885"/>
      <c r="V1718" s="885"/>
      <c r="W1718" s="885"/>
      <c r="X1718" s="885"/>
      <c r="Y1718" s="885"/>
      <c r="Z1718" s="885"/>
    </row>
    <row r="1719" ht="15.75" customHeight="1">
      <c r="A1719" s="884"/>
      <c r="B1719" s="884"/>
      <c r="C1719" s="884"/>
      <c r="D1719" s="884"/>
      <c r="E1719" s="885"/>
      <c r="F1719" s="885"/>
      <c r="G1719" s="885"/>
      <c r="H1719" s="930"/>
      <c r="I1719" s="885"/>
      <c r="J1719" s="885"/>
      <c r="K1719" s="885"/>
      <c r="L1719" s="885"/>
      <c r="M1719" s="885"/>
      <c r="N1719" s="887"/>
      <c r="O1719" s="885"/>
      <c r="P1719" s="885"/>
      <c r="Q1719" s="885"/>
      <c r="R1719" s="885"/>
      <c r="S1719" s="885"/>
      <c r="T1719" s="885"/>
      <c r="U1719" s="885"/>
      <c r="V1719" s="885"/>
      <c r="W1719" s="885"/>
      <c r="X1719" s="885"/>
      <c r="Y1719" s="885"/>
      <c r="Z1719" s="885"/>
    </row>
    <row r="1720" ht="15.75" customHeight="1">
      <c r="A1720" s="884"/>
      <c r="B1720" s="884"/>
      <c r="C1720" s="884"/>
      <c r="D1720" s="884"/>
      <c r="E1720" s="885"/>
      <c r="F1720" s="885"/>
      <c r="G1720" s="885"/>
      <c r="H1720" s="930"/>
      <c r="I1720" s="885"/>
      <c r="J1720" s="885"/>
      <c r="K1720" s="885"/>
      <c r="L1720" s="885"/>
      <c r="M1720" s="885"/>
      <c r="N1720" s="887"/>
      <c r="O1720" s="885"/>
      <c r="P1720" s="885"/>
      <c r="Q1720" s="885"/>
      <c r="R1720" s="885"/>
      <c r="S1720" s="885"/>
      <c r="T1720" s="885"/>
      <c r="U1720" s="885"/>
      <c r="V1720" s="885"/>
      <c r="W1720" s="885"/>
      <c r="X1720" s="885"/>
      <c r="Y1720" s="885"/>
      <c r="Z1720" s="885"/>
    </row>
    <row r="1721" ht="15.75" customHeight="1">
      <c r="A1721" s="884"/>
      <c r="B1721" s="884"/>
      <c r="C1721" s="884"/>
      <c r="D1721" s="884"/>
      <c r="E1721" s="885"/>
      <c r="F1721" s="885"/>
      <c r="G1721" s="885"/>
      <c r="H1721" s="930"/>
      <c r="I1721" s="885"/>
      <c r="J1721" s="885"/>
      <c r="K1721" s="885"/>
      <c r="L1721" s="885"/>
      <c r="M1721" s="885"/>
      <c r="N1721" s="887"/>
      <c r="O1721" s="885"/>
      <c r="P1721" s="885"/>
      <c r="Q1721" s="885"/>
      <c r="R1721" s="885"/>
      <c r="S1721" s="885"/>
      <c r="T1721" s="885"/>
      <c r="U1721" s="885"/>
      <c r="V1721" s="885"/>
      <c r="W1721" s="885"/>
      <c r="X1721" s="885"/>
      <c r="Y1721" s="885"/>
      <c r="Z1721" s="885"/>
    </row>
    <row r="1722" ht="15.75" customHeight="1">
      <c r="A1722" s="884"/>
      <c r="B1722" s="884"/>
      <c r="C1722" s="884"/>
      <c r="D1722" s="884"/>
      <c r="E1722" s="885"/>
      <c r="F1722" s="885"/>
      <c r="G1722" s="885"/>
      <c r="H1722" s="930"/>
      <c r="I1722" s="885"/>
      <c r="J1722" s="885"/>
      <c r="K1722" s="885"/>
      <c r="L1722" s="885"/>
      <c r="M1722" s="885"/>
      <c r="N1722" s="887"/>
      <c r="O1722" s="885"/>
      <c r="P1722" s="885"/>
      <c r="Q1722" s="885"/>
      <c r="R1722" s="885"/>
      <c r="S1722" s="885"/>
      <c r="T1722" s="885"/>
      <c r="U1722" s="885"/>
      <c r="V1722" s="885"/>
      <c r="W1722" s="885"/>
      <c r="X1722" s="885"/>
      <c r="Y1722" s="885"/>
      <c r="Z1722" s="885"/>
    </row>
    <row r="1723" ht="15.75" customHeight="1">
      <c r="A1723" s="884"/>
      <c r="B1723" s="884"/>
      <c r="C1723" s="884"/>
      <c r="D1723" s="884"/>
      <c r="E1723" s="885"/>
      <c r="F1723" s="885"/>
      <c r="G1723" s="885"/>
      <c r="H1723" s="930"/>
      <c r="I1723" s="885"/>
      <c r="J1723" s="885"/>
      <c r="K1723" s="885"/>
      <c r="L1723" s="885"/>
      <c r="M1723" s="885"/>
      <c r="N1723" s="887"/>
      <c r="O1723" s="885"/>
      <c r="P1723" s="885"/>
      <c r="Q1723" s="885"/>
      <c r="R1723" s="885"/>
      <c r="S1723" s="885"/>
      <c r="T1723" s="885"/>
      <c r="U1723" s="885"/>
      <c r="V1723" s="885"/>
      <c r="W1723" s="885"/>
      <c r="X1723" s="885"/>
      <c r="Y1723" s="885"/>
      <c r="Z1723" s="885"/>
    </row>
    <row r="1724" ht="15.75" customHeight="1">
      <c r="A1724" s="884"/>
      <c r="B1724" s="884"/>
      <c r="C1724" s="884"/>
      <c r="D1724" s="884"/>
      <c r="E1724" s="885"/>
      <c r="F1724" s="885"/>
      <c r="G1724" s="885"/>
      <c r="H1724" s="930"/>
      <c r="I1724" s="885"/>
      <c r="J1724" s="885"/>
      <c r="K1724" s="885"/>
      <c r="L1724" s="885"/>
      <c r="M1724" s="885"/>
      <c r="N1724" s="887"/>
      <c r="O1724" s="885"/>
      <c r="P1724" s="885"/>
      <c r="Q1724" s="885"/>
      <c r="R1724" s="885"/>
      <c r="S1724" s="885"/>
      <c r="T1724" s="885"/>
      <c r="U1724" s="885"/>
      <c r="V1724" s="885"/>
      <c r="W1724" s="885"/>
      <c r="X1724" s="885"/>
      <c r="Y1724" s="885"/>
      <c r="Z1724" s="885"/>
    </row>
    <row r="1725" ht="15.75" customHeight="1">
      <c r="A1725" s="884"/>
      <c r="B1725" s="884"/>
      <c r="C1725" s="884"/>
      <c r="D1725" s="884"/>
      <c r="E1725" s="885"/>
      <c r="F1725" s="885"/>
      <c r="G1725" s="885"/>
      <c r="H1725" s="930"/>
      <c r="I1725" s="885"/>
      <c r="J1725" s="885"/>
      <c r="K1725" s="885"/>
      <c r="L1725" s="885"/>
      <c r="M1725" s="885"/>
      <c r="N1725" s="887"/>
      <c r="O1725" s="885"/>
      <c r="P1725" s="885"/>
      <c r="Q1725" s="885"/>
      <c r="R1725" s="885"/>
      <c r="S1725" s="885"/>
      <c r="T1725" s="885"/>
      <c r="U1725" s="885"/>
      <c r="V1725" s="885"/>
      <c r="W1725" s="885"/>
      <c r="X1725" s="885"/>
      <c r="Y1725" s="885"/>
      <c r="Z1725" s="885"/>
    </row>
    <row r="1726" ht="15.75" customHeight="1">
      <c r="A1726" s="884"/>
      <c r="B1726" s="884"/>
      <c r="C1726" s="884"/>
      <c r="D1726" s="884"/>
      <c r="E1726" s="885"/>
      <c r="F1726" s="885"/>
      <c r="G1726" s="885"/>
      <c r="H1726" s="930"/>
      <c r="I1726" s="885"/>
      <c r="J1726" s="885"/>
      <c r="K1726" s="885"/>
      <c r="L1726" s="885"/>
      <c r="M1726" s="885"/>
      <c r="N1726" s="887"/>
      <c r="O1726" s="885"/>
      <c r="P1726" s="885"/>
      <c r="Q1726" s="885"/>
      <c r="R1726" s="885"/>
      <c r="S1726" s="885"/>
      <c r="T1726" s="885"/>
      <c r="U1726" s="885"/>
      <c r="V1726" s="885"/>
      <c r="W1726" s="885"/>
      <c r="X1726" s="885"/>
      <c r="Y1726" s="885"/>
      <c r="Z1726" s="885"/>
    </row>
    <row r="1727" ht="15.75" customHeight="1">
      <c r="A1727" s="884"/>
      <c r="B1727" s="884"/>
      <c r="C1727" s="884"/>
      <c r="D1727" s="884"/>
      <c r="E1727" s="885"/>
      <c r="F1727" s="885"/>
      <c r="G1727" s="885"/>
      <c r="H1727" s="930"/>
      <c r="I1727" s="885"/>
      <c r="J1727" s="885"/>
      <c r="K1727" s="885"/>
      <c r="L1727" s="885"/>
      <c r="M1727" s="885"/>
      <c r="N1727" s="887"/>
      <c r="O1727" s="885"/>
      <c r="P1727" s="885"/>
      <c r="Q1727" s="885"/>
      <c r="R1727" s="885"/>
      <c r="S1727" s="885"/>
      <c r="T1727" s="885"/>
      <c r="U1727" s="885"/>
      <c r="V1727" s="885"/>
      <c r="W1727" s="885"/>
      <c r="X1727" s="885"/>
      <c r="Y1727" s="885"/>
      <c r="Z1727" s="885"/>
    </row>
    <row r="1728" ht="15.75" customHeight="1">
      <c r="A1728" s="884"/>
      <c r="B1728" s="884"/>
      <c r="C1728" s="884"/>
      <c r="D1728" s="884"/>
      <c r="E1728" s="885"/>
      <c r="F1728" s="885"/>
      <c r="G1728" s="885"/>
      <c r="H1728" s="930"/>
      <c r="I1728" s="885"/>
      <c r="J1728" s="885"/>
      <c r="K1728" s="885"/>
      <c r="L1728" s="885"/>
      <c r="M1728" s="885"/>
      <c r="N1728" s="887"/>
      <c r="O1728" s="885"/>
      <c r="P1728" s="885"/>
      <c r="Q1728" s="885"/>
      <c r="R1728" s="885"/>
      <c r="S1728" s="885"/>
      <c r="T1728" s="885"/>
      <c r="U1728" s="885"/>
      <c r="V1728" s="885"/>
      <c r="W1728" s="885"/>
      <c r="X1728" s="885"/>
      <c r="Y1728" s="885"/>
      <c r="Z1728" s="885"/>
    </row>
    <row r="1729" ht="15.75" customHeight="1">
      <c r="A1729" s="884"/>
      <c r="B1729" s="884"/>
      <c r="C1729" s="884"/>
      <c r="D1729" s="884"/>
      <c r="E1729" s="885"/>
      <c r="F1729" s="885"/>
      <c r="G1729" s="885"/>
      <c r="H1729" s="930"/>
      <c r="I1729" s="885"/>
      <c r="J1729" s="885"/>
      <c r="K1729" s="885"/>
      <c r="L1729" s="885"/>
      <c r="M1729" s="885"/>
      <c r="N1729" s="887"/>
      <c r="O1729" s="885"/>
      <c r="P1729" s="885"/>
      <c r="Q1729" s="885"/>
      <c r="R1729" s="885"/>
      <c r="S1729" s="885"/>
      <c r="T1729" s="885"/>
      <c r="U1729" s="885"/>
      <c r="V1729" s="885"/>
      <c r="W1729" s="885"/>
      <c r="X1729" s="885"/>
      <c r="Y1729" s="885"/>
      <c r="Z1729" s="885"/>
    </row>
    <row r="1730" ht="15.75" customHeight="1">
      <c r="A1730" s="884"/>
      <c r="B1730" s="884"/>
      <c r="C1730" s="884"/>
      <c r="D1730" s="884"/>
      <c r="E1730" s="885"/>
      <c r="F1730" s="885"/>
      <c r="G1730" s="885"/>
      <c r="H1730" s="930"/>
      <c r="I1730" s="885"/>
      <c r="J1730" s="885"/>
      <c r="K1730" s="885"/>
      <c r="L1730" s="885"/>
      <c r="M1730" s="885"/>
      <c r="N1730" s="887"/>
      <c r="O1730" s="885"/>
      <c r="P1730" s="885"/>
      <c r="Q1730" s="885"/>
      <c r="R1730" s="885"/>
      <c r="S1730" s="885"/>
      <c r="T1730" s="885"/>
      <c r="U1730" s="885"/>
      <c r="V1730" s="885"/>
      <c r="W1730" s="885"/>
      <c r="X1730" s="885"/>
      <c r="Y1730" s="885"/>
      <c r="Z1730" s="885"/>
    </row>
    <row r="1731" ht="15.75" customHeight="1">
      <c r="A1731" s="884"/>
      <c r="B1731" s="884"/>
      <c r="C1731" s="884"/>
      <c r="D1731" s="884"/>
      <c r="E1731" s="885"/>
      <c r="F1731" s="885"/>
      <c r="G1731" s="885"/>
      <c r="H1731" s="930"/>
      <c r="I1731" s="885"/>
      <c r="J1731" s="885"/>
      <c r="K1731" s="885"/>
      <c r="L1731" s="885"/>
      <c r="M1731" s="885"/>
      <c r="N1731" s="887"/>
      <c r="O1731" s="885"/>
      <c r="P1731" s="885"/>
      <c r="Q1731" s="885"/>
      <c r="R1731" s="885"/>
      <c r="S1731" s="885"/>
      <c r="T1731" s="885"/>
      <c r="U1731" s="885"/>
      <c r="V1731" s="885"/>
      <c r="W1731" s="885"/>
      <c r="X1731" s="885"/>
      <c r="Y1731" s="885"/>
      <c r="Z1731" s="885"/>
    </row>
    <row r="1732" ht="15.75" customHeight="1">
      <c r="A1732" s="884"/>
      <c r="B1732" s="884"/>
      <c r="C1732" s="884"/>
      <c r="D1732" s="884"/>
      <c r="E1732" s="885"/>
      <c r="F1732" s="885"/>
      <c r="G1732" s="885"/>
      <c r="H1732" s="930"/>
      <c r="I1732" s="885"/>
      <c r="J1732" s="885"/>
      <c r="K1732" s="885"/>
      <c r="L1732" s="885"/>
      <c r="M1732" s="885"/>
      <c r="N1732" s="887"/>
      <c r="O1732" s="885"/>
      <c r="P1732" s="885"/>
      <c r="Q1732" s="885"/>
      <c r="R1732" s="885"/>
      <c r="S1732" s="885"/>
      <c r="T1732" s="885"/>
      <c r="U1732" s="885"/>
      <c r="V1732" s="885"/>
      <c r="W1732" s="885"/>
      <c r="X1732" s="885"/>
      <c r="Y1732" s="885"/>
      <c r="Z1732" s="885"/>
    </row>
    <row r="1733" ht="15.75" customHeight="1">
      <c r="A1733" s="884"/>
      <c r="B1733" s="884"/>
      <c r="C1733" s="884"/>
      <c r="D1733" s="884"/>
      <c r="E1733" s="885"/>
      <c r="F1733" s="885"/>
      <c r="G1733" s="885"/>
      <c r="H1733" s="930"/>
      <c r="I1733" s="885"/>
      <c r="J1733" s="885"/>
      <c r="K1733" s="885"/>
      <c r="L1733" s="885"/>
      <c r="M1733" s="885"/>
      <c r="N1733" s="887"/>
      <c r="O1733" s="885"/>
      <c r="P1733" s="885"/>
      <c r="Q1733" s="885"/>
      <c r="R1733" s="885"/>
      <c r="S1733" s="885"/>
      <c r="T1733" s="885"/>
      <c r="U1733" s="885"/>
      <c r="V1733" s="885"/>
      <c r="W1733" s="885"/>
      <c r="X1733" s="885"/>
      <c r="Y1733" s="885"/>
      <c r="Z1733" s="885"/>
    </row>
    <row r="1734" ht="15.75" customHeight="1">
      <c r="A1734" s="884"/>
      <c r="B1734" s="884"/>
      <c r="C1734" s="884"/>
      <c r="D1734" s="884"/>
      <c r="E1734" s="885"/>
      <c r="F1734" s="885"/>
      <c r="G1734" s="885"/>
      <c r="H1734" s="930"/>
      <c r="I1734" s="885"/>
      <c r="J1734" s="885"/>
      <c r="K1734" s="885"/>
      <c r="L1734" s="885"/>
      <c r="M1734" s="885"/>
      <c r="N1734" s="887"/>
      <c r="O1734" s="885"/>
      <c r="P1734" s="885"/>
      <c r="Q1734" s="885"/>
      <c r="R1734" s="885"/>
      <c r="S1734" s="885"/>
      <c r="T1734" s="885"/>
      <c r="U1734" s="885"/>
      <c r="V1734" s="885"/>
      <c r="W1734" s="885"/>
      <c r="X1734" s="885"/>
      <c r="Y1734" s="885"/>
      <c r="Z1734" s="885"/>
    </row>
    <row r="1735" ht="15.75" customHeight="1">
      <c r="A1735" s="884"/>
      <c r="B1735" s="884"/>
      <c r="C1735" s="884"/>
      <c r="D1735" s="884"/>
      <c r="E1735" s="885"/>
      <c r="F1735" s="885"/>
      <c r="G1735" s="885"/>
      <c r="H1735" s="930"/>
      <c r="I1735" s="885"/>
      <c r="J1735" s="885"/>
      <c r="K1735" s="885"/>
      <c r="L1735" s="885"/>
      <c r="M1735" s="885"/>
      <c r="N1735" s="887"/>
      <c r="O1735" s="885"/>
      <c r="P1735" s="885"/>
      <c r="Q1735" s="885"/>
      <c r="R1735" s="885"/>
      <c r="S1735" s="885"/>
      <c r="T1735" s="885"/>
      <c r="U1735" s="885"/>
      <c r="V1735" s="885"/>
      <c r="W1735" s="885"/>
      <c r="X1735" s="885"/>
      <c r="Y1735" s="885"/>
      <c r="Z1735" s="885"/>
    </row>
    <row r="1736" ht="15.75" customHeight="1">
      <c r="A1736" s="884"/>
      <c r="B1736" s="884"/>
      <c r="C1736" s="884"/>
      <c r="D1736" s="884"/>
      <c r="E1736" s="885"/>
      <c r="F1736" s="885"/>
      <c r="G1736" s="885"/>
      <c r="H1736" s="930"/>
      <c r="I1736" s="885"/>
      <c r="J1736" s="885"/>
      <c r="K1736" s="885"/>
      <c r="L1736" s="885"/>
      <c r="M1736" s="885"/>
      <c r="N1736" s="887"/>
      <c r="O1736" s="885"/>
      <c r="P1736" s="885"/>
      <c r="Q1736" s="885"/>
      <c r="R1736" s="885"/>
      <c r="S1736" s="885"/>
      <c r="T1736" s="885"/>
      <c r="U1736" s="885"/>
      <c r="V1736" s="885"/>
      <c r="W1736" s="885"/>
      <c r="X1736" s="885"/>
      <c r="Y1736" s="885"/>
      <c r="Z1736" s="885"/>
    </row>
    <row r="1737" ht="15.75" customHeight="1">
      <c r="A1737" s="884"/>
      <c r="B1737" s="884"/>
      <c r="C1737" s="884"/>
      <c r="D1737" s="884"/>
      <c r="E1737" s="885"/>
      <c r="F1737" s="885"/>
      <c r="G1737" s="885"/>
      <c r="H1737" s="930"/>
      <c r="I1737" s="885"/>
      <c r="J1737" s="885"/>
      <c r="K1737" s="885"/>
      <c r="L1737" s="885"/>
      <c r="M1737" s="885"/>
      <c r="N1737" s="887"/>
      <c r="O1737" s="885"/>
      <c r="P1737" s="885"/>
      <c r="Q1737" s="885"/>
      <c r="R1737" s="885"/>
      <c r="S1737" s="885"/>
      <c r="T1737" s="885"/>
      <c r="U1737" s="885"/>
      <c r="V1737" s="885"/>
      <c r="W1737" s="885"/>
      <c r="X1737" s="885"/>
      <c r="Y1737" s="885"/>
      <c r="Z1737" s="885"/>
    </row>
    <row r="1738" ht="15.75" customHeight="1">
      <c r="A1738" s="884"/>
      <c r="B1738" s="884"/>
      <c r="C1738" s="884"/>
      <c r="D1738" s="884"/>
      <c r="E1738" s="885"/>
      <c r="F1738" s="885"/>
      <c r="G1738" s="885"/>
      <c r="H1738" s="930"/>
      <c r="I1738" s="885"/>
      <c r="J1738" s="885"/>
      <c r="K1738" s="885"/>
      <c r="L1738" s="885"/>
      <c r="M1738" s="885"/>
      <c r="N1738" s="887"/>
      <c r="O1738" s="885"/>
      <c r="P1738" s="885"/>
      <c r="Q1738" s="885"/>
      <c r="R1738" s="885"/>
      <c r="S1738" s="885"/>
      <c r="T1738" s="885"/>
      <c r="U1738" s="885"/>
      <c r="V1738" s="885"/>
      <c r="W1738" s="885"/>
      <c r="X1738" s="885"/>
      <c r="Y1738" s="885"/>
      <c r="Z1738" s="885"/>
    </row>
    <row r="1739" ht="15.75" customHeight="1">
      <c r="A1739" s="884"/>
      <c r="B1739" s="884"/>
      <c r="C1739" s="884"/>
      <c r="D1739" s="884"/>
      <c r="E1739" s="885"/>
      <c r="F1739" s="885"/>
      <c r="G1739" s="885"/>
      <c r="H1739" s="930"/>
      <c r="I1739" s="885"/>
      <c r="J1739" s="885"/>
      <c r="K1739" s="885"/>
      <c r="L1739" s="885"/>
      <c r="M1739" s="885"/>
      <c r="N1739" s="887"/>
      <c r="O1739" s="885"/>
      <c r="P1739" s="885"/>
      <c r="Q1739" s="885"/>
      <c r="R1739" s="885"/>
      <c r="S1739" s="885"/>
      <c r="T1739" s="885"/>
      <c r="U1739" s="885"/>
      <c r="V1739" s="885"/>
      <c r="W1739" s="885"/>
      <c r="X1739" s="885"/>
      <c r="Y1739" s="885"/>
      <c r="Z1739" s="885"/>
    </row>
    <row r="1740" ht="15.75" customHeight="1">
      <c r="A1740" s="884"/>
      <c r="B1740" s="884"/>
      <c r="C1740" s="884"/>
      <c r="D1740" s="884"/>
      <c r="E1740" s="885"/>
      <c r="F1740" s="885"/>
      <c r="G1740" s="885"/>
      <c r="H1740" s="930"/>
      <c r="I1740" s="885"/>
      <c r="J1740" s="885"/>
      <c r="K1740" s="885"/>
      <c r="L1740" s="885"/>
      <c r="M1740" s="885"/>
      <c r="N1740" s="887"/>
      <c r="O1740" s="885"/>
      <c r="P1740" s="885"/>
      <c r="Q1740" s="885"/>
      <c r="R1740" s="885"/>
      <c r="S1740" s="885"/>
      <c r="T1740" s="885"/>
      <c r="U1740" s="885"/>
      <c r="V1740" s="885"/>
      <c r="W1740" s="885"/>
      <c r="X1740" s="885"/>
      <c r="Y1740" s="885"/>
      <c r="Z1740" s="885"/>
    </row>
    <row r="1741" ht="15.75" customHeight="1">
      <c r="A1741" s="884"/>
      <c r="B1741" s="884"/>
      <c r="C1741" s="884"/>
      <c r="D1741" s="884"/>
      <c r="E1741" s="885"/>
      <c r="F1741" s="885"/>
      <c r="G1741" s="885"/>
      <c r="H1741" s="930"/>
      <c r="I1741" s="885"/>
      <c r="J1741" s="885"/>
      <c r="K1741" s="885"/>
      <c r="L1741" s="885"/>
      <c r="M1741" s="885"/>
      <c r="N1741" s="887"/>
      <c r="O1741" s="885"/>
      <c r="P1741" s="885"/>
      <c r="Q1741" s="885"/>
      <c r="R1741" s="885"/>
      <c r="S1741" s="885"/>
      <c r="T1741" s="885"/>
      <c r="U1741" s="885"/>
      <c r="V1741" s="885"/>
      <c r="W1741" s="885"/>
      <c r="X1741" s="885"/>
      <c r="Y1741" s="885"/>
      <c r="Z1741" s="885"/>
    </row>
    <row r="1742" ht="15.75" customHeight="1">
      <c r="A1742" s="884"/>
      <c r="B1742" s="884"/>
      <c r="C1742" s="884"/>
      <c r="D1742" s="884"/>
      <c r="E1742" s="885"/>
      <c r="F1742" s="885"/>
      <c r="G1742" s="885"/>
      <c r="H1742" s="930"/>
      <c r="I1742" s="885"/>
      <c r="J1742" s="885"/>
      <c r="K1742" s="885"/>
      <c r="L1742" s="885"/>
      <c r="M1742" s="885"/>
      <c r="N1742" s="887"/>
      <c r="O1742" s="885"/>
      <c r="P1742" s="885"/>
      <c r="Q1742" s="885"/>
      <c r="R1742" s="885"/>
      <c r="S1742" s="885"/>
      <c r="T1742" s="885"/>
      <c r="U1742" s="885"/>
      <c r="V1742" s="885"/>
      <c r="W1742" s="885"/>
      <c r="X1742" s="885"/>
      <c r="Y1742" s="885"/>
      <c r="Z1742" s="885"/>
    </row>
    <row r="1743" ht="15.75" customHeight="1">
      <c r="A1743" s="884"/>
      <c r="B1743" s="884"/>
      <c r="C1743" s="884"/>
      <c r="D1743" s="884"/>
      <c r="E1743" s="885"/>
      <c r="F1743" s="885"/>
      <c r="G1743" s="885"/>
      <c r="H1743" s="930"/>
      <c r="I1743" s="885"/>
      <c r="J1743" s="885"/>
      <c r="K1743" s="885"/>
      <c r="L1743" s="885"/>
      <c r="M1743" s="885"/>
      <c r="N1743" s="887"/>
      <c r="O1743" s="885"/>
      <c r="P1743" s="885"/>
      <c r="Q1743" s="885"/>
      <c r="R1743" s="885"/>
      <c r="S1743" s="885"/>
      <c r="T1743" s="885"/>
      <c r="U1743" s="885"/>
      <c r="V1743" s="885"/>
      <c r="W1743" s="885"/>
      <c r="X1743" s="885"/>
      <c r="Y1743" s="885"/>
      <c r="Z1743" s="885"/>
    </row>
    <row r="1744" ht="15.75" customHeight="1">
      <c r="A1744" s="884"/>
      <c r="B1744" s="884"/>
      <c r="C1744" s="884"/>
      <c r="D1744" s="884"/>
      <c r="E1744" s="885"/>
      <c r="F1744" s="885"/>
      <c r="G1744" s="885"/>
      <c r="H1744" s="930"/>
      <c r="I1744" s="885"/>
      <c r="J1744" s="885"/>
      <c r="K1744" s="885"/>
      <c r="L1744" s="885"/>
      <c r="M1744" s="885"/>
      <c r="N1744" s="887"/>
      <c r="O1744" s="885"/>
      <c r="P1744" s="885"/>
      <c r="Q1744" s="885"/>
      <c r="R1744" s="885"/>
      <c r="S1744" s="885"/>
      <c r="T1744" s="885"/>
      <c r="U1744" s="885"/>
      <c r="V1744" s="885"/>
      <c r="W1744" s="885"/>
      <c r="X1744" s="885"/>
      <c r="Y1744" s="885"/>
      <c r="Z1744" s="885"/>
    </row>
    <row r="1745" ht="15.75" customHeight="1">
      <c r="A1745" s="884"/>
      <c r="B1745" s="884"/>
      <c r="C1745" s="884"/>
      <c r="D1745" s="884"/>
      <c r="E1745" s="885"/>
      <c r="F1745" s="885"/>
      <c r="G1745" s="885"/>
      <c r="H1745" s="930"/>
      <c r="I1745" s="885"/>
      <c r="J1745" s="885"/>
      <c r="K1745" s="885"/>
      <c r="L1745" s="885"/>
      <c r="M1745" s="885"/>
      <c r="N1745" s="887"/>
      <c r="O1745" s="885"/>
      <c r="P1745" s="885"/>
      <c r="Q1745" s="885"/>
      <c r="R1745" s="885"/>
      <c r="S1745" s="885"/>
      <c r="T1745" s="885"/>
      <c r="U1745" s="885"/>
      <c r="V1745" s="885"/>
      <c r="W1745" s="885"/>
      <c r="X1745" s="885"/>
      <c r="Y1745" s="885"/>
      <c r="Z1745" s="885"/>
    </row>
    <row r="1746" ht="15.75" customHeight="1">
      <c r="A1746" s="884"/>
      <c r="B1746" s="884"/>
      <c r="C1746" s="884"/>
      <c r="D1746" s="884"/>
      <c r="E1746" s="885"/>
      <c r="F1746" s="885"/>
      <c r="G1746" s="885"/>
      <c r="H1746" s="930"/>
      <c r="I1746" s="885"/>
      <c r="J1746" s="885"/>
      <c r="K1746" s="885"/>
      <c r="L1746" s="885"/>
      <c r="M1746" s="885"/>
      <c r="N1746" s="887"/>
      <c r="O1746" s="885"/>
      <c r="P1746" s="885"/>
      <c r="Q1746" s="885"/>
      <c r="R1746" s="885"/>
      <c r="S1746" s="885"/>
      <c r="T1746" s="885"/>
      <c r="U1746" s="885"/>
      <c r="V1746" s="885"/>
      <c r="W1746" s="885"/>
      <c r="X1746" s="885"/>
      <c r="Y1746" s="885"/>
      <c r="Z1746" s="885"/>
    </row>
    <row r="1747" ht="15.75" customHeight="1">
      <c r="A1747" s="884"/>
      <c r="B1747" s="884"/>
      <c r="C1747" s="884"/>
      <c r="D1747" s="884"/>
      <c r="E1747" s="885"/>
      <c r="F1747" s="885"/>
      <c r="G1747" s="885"/>
      <c r="H1747" s="930"/>
      <c r="I1747" s="885"/>
      <c r="J1747" s="885"/>
      <c r="K1747" s="885"/>
      <c r="L1747" s="885"/>
      <c r="M1747" s="885"/>
      <c r="N1747" s="887"/>
      <c r="O1747" s="885"/>
      <c r="P1747" s="885"/>
      <c r="Q1747" s="885"/>
      <c r="R1747" s="885"/>
      <c r="S1747" s="885"/>
      <c r="T1747" s="885"/>
      <c r="U1747" s="885"/>
      <c r="V1747" s="885"/>
      <c r="W1747" s="885"/>
      <c r="X1747" s="885"/>
      <c r="Y1747" s="885"/>
      <c r="Z1747" s="885"/>
    </row>
    <row r="1748" ht="15.75" customHeight="1">
      <c r="A1748" s="884"/>
      <c r="B1748" s="884"/>
      <c r="C1748" s="884"/>
      <c r="D1748" s="884"/>
      <c r="E1748" s="885"/>
      <c r="F1748" s="885"/>
      <c r="G1748" s="885"/>
      <c r="H1748" s="930"/>
      <c r="I1748" s="885"/>
      <c r="J1748" s="885"/>
      <c r="K1748" s="885"/>
      <c r="L1748" s="885"/>
      <c r="M1748" s="885"/>
      <c r="N1748" s="887"/>
      <c r="O1748" s="885"/>
      <c r="P1748" s="885"/>
      <c r="Q1748" s="885"/>
      <c r="R1748" s="885"/>
      <c r="S1748" s="885"/>
      <c r="T1748" s="885"/>
      <c r="U1748" s="885"/>
      <c r="V1748" s="885"/>
      <c r="W1748" s="885"/>
      <c r="X1748" s="885"/>
      <c r="Y1748" s="885"/>
      <c r="Z1748" s="885"/>
    </row>
    <row r="1749" ht="15.75" customHeight="1">
      <c r="A1749" s="884"/>
      <c r="B1749" s="884"/>
      <c r="C1749" s="884"/>
      <c r="D1749" s="884"/>
      <c r="E1749" s="885"/>
      <c r="F1749" s="885"/>
      <c r="G1749" s="885"/>
      <c r="H1749" s="930"/>
      <c r="I1749" s="885"/>
      <c r="J1749" s="885"/>
      <c r="K1749" s="885"/>
      <c r="L1749" s="885"/>
      <c r="M1749" s="885"/>
      <c r="N1749" s="887"/>
      <c r="O1749" s="885"/>
      <c r="P1749" s="885"/>
      <c r="Q1749" s="885"/>
      <c r="R1749" s="885"/>
      <c r="S1749" s="885"/>
      <c r="T1749" s="885"/>
      <c r="U1749" s="885"/>
      <c r="V1749" s="885"/>
      <c r="W1749" s="885"/>
      <c r="X1749" s="885"/>
      <c r="Y1749" s="885"/>
      <c r="Z1749" s="885"/>
    </row>
    <row r="1750" ht="15.75" customHeight="1">
      <c r="A1750" s="884"/>
      <c r="B1750" s="884"/>
      <c r="C1750" s="884"/>
      <c r="D1750" s="884"/>
      <c r="E1750" s="885"/>
      <c r="F1750" s="885"/>
      <c r="G1750" s="885"/>
      <c r="H1750" s="930"/>
      <c r="I1750" s="885"/>
      <c r="J1750" s="885"/>
      <c r="K1750" s="885"/>
      <c r="L1750" s="885"/>
      <c r="M1750" s="885"/>
      <c r="N1750" s="887"/>
      <c r="O1750" s="885"/>
      <c r="P1750" s="885"/>
      <c r="Q1750" s="885"/>
      <c r="R1750" s="885"/>
      <c r="S1750" s="885"/>
      <c r="T1750" s="885"/>
      <c r="U1750" s="885"/>
      <c r="V1750" s="885"/>
      <c r="W1750" s="885"/>
      <c r="X1750" s="885"/>
      <c r="Y1750" s="885"/>
      <c r="Z1750" s="885"/>
    </row>
    <row r="1751" ht="15.75" customHeight="1">
      <c r="A1751" s="884"/>
      <c r="B1751" s="884"/>
      <c r="C1751" s="884"/>
      <c r="D1751" s="884"/>
      <c r="E1751" s="885"/>
      <c r="F1751" s="885"/>
      <c r="G1751" s="885"/>
      <c r="H1751" s="930"/>
      <c r="I1751" s="885"/>
      <c r="J1751" s="885"/>
      <c r="K1751" s="885"/>
      <c r="L1751" s="885"/>
      <c r="M1751" s="885"/>
      <c r="N1751" s="887"/>
      <c r="O1751" s="885"/>
      <c r="P1751" s="885"/>
      <c r="Q1751" s="885"/>
      <c r="R1751" s="885"/>
      <c r="S1751" s="885"/>
      <c r="T1751" s="885"/>
      <c r="U1751" s="885"/>
      <c r="V1751" s="885"/>
      <c r="W1751" s="885"/>
      <c r="X1751" s="885"/>
      <c r="Y1751" s="885"/>
      <c r="Z1751" s="885"/>
    </row>
    <row r="1752" ht="15.75" customHeight="1">
      <c r="A1752" s="884"/>
      <c r="B1752" s="884"/>
      <c r="C1752" s="884"/>
      <c r="D1752" s="884"/>
      <c r="E1752" s="885"/>
      <c r="F1752" s="885"/>
      <c r="G1752" s="885"/>
      <c r="H1752" s="930"/>
      <c r="I1752" s="885"/>
      <c r="J1752" s="885"/>
      <c r="K1752" s="885"/>
      <c r="L1752" s="885"/>
      <c r="M1752" s="885"/>
      <c r="N1752" s="887"/>
      <c r="O1752" s="885"/>
      <c r="P1752" s="885"/>
      <c r="Q1752" s="885"/>
      <c r="R1752" s="885"/>
      <c r="S1752" s="885"/>
      <c r="T1752" s="885"/>
      <c r="U1752" s="885"/>
      <c r="V1752" s="885"/>
      <c r="W1752" s="885"/>
      <c r="X1752" s="885"/>
      <c r="Y1752" s="885"/>
      <c r="Z1752" s="885"/>
    </row>
    <row r="1753" ht="15.75" customHeight="1">
      <c r="A1753" s="884"/>
      <c r="B1753" s="884"/>
      <c r="C1753" s="884"/>
      <c r="D1753" s="884"/>
      <c r="E1753" s="885"/>
      <c r="F1753" s="885"/>
      <c r="G1753" s="885"/>
      <c r="H1753" s="930"/>
      <c r="I1753" s="885"/>
      <c r="J1753" s="885"/>
      <c r="K1753" s="885"/>
      <c r="L1753" s="885"/>
      <c r="M1753" s="885"/>
      <c r="N1753" s="887"/>
      <c r="O1753" s="885"/>
      <c r="P1753" s="885"/>
      <c r="Q1753" s="885"/>
      <c r="R1753" s="885"/>
      <c r="S1753" s="885"/>
      <c r="T1753" s="885"/>
      <c r="U1753" s="885"/>
      <c r="V1753" s="885"/>
      <c r="W1753" s="885"/>
      <c r="X1753" s="885"/>
      <c r="Y1753" s="885"/>
      <c r="Z1753" s="885"/>
    </row>
    <row r="1754" ht="15.75" customHeight="1">
      <c r="A1754" s="884"/>
      <c r="B1754" s="884"/>
      <c r="C1754" s="884"/>
      <c r="D1754" s="884"/>
      <c r="E1754" s="885"/>
      <c r="F1754" s="885"/>
      <c r="G1754" s="885"/>
      <c r="H1754" s="930"/>
      <c r="I1754" s="885"/>
      <c r="J1754" s="885"/>
      <c r="K1754" s="885"/>
      <c r="L1754" s="885"/>
      <c r="M1754" s="885"/>
      <c r="N1754" s="887"/>
      <c r="O1754" s="885"/>
      <c r="P1754" s="885"/>
      <c r="Q1754" s="885"/>
      <c r="R1754" s="885"/>
      <c r="S1754" s="885"/>
      <c r="T1754" s="885"/>
      <c r="U1754" s="885"/>
      <c r="V1754" s="885"/>
      <c r="W1754" s="885"/>
      <c r="X1754" s="885"/>
      <c r="Y1754" s="885"/>
      <c r="Z1754" s="885"/>
    </row>
    <row r="1755" ht="15.75" customHeight="1">
      <c r="A1755" s="884"/>
      <c r="B1755" s="884"/>
      <c r="C1755" s="884"/>
      <c r="D1755" s="884"/>
      <c r="E1755" s="885"/>
      <c r="F1755" s="885"/>
      <c r="G1755" s="885"/>
      <c r="H1755" s="930"/>
      <c r="I1755" s="885"/>
      <c r="J1755" s="885"/>
      <c r="K1755" s="885"/>
      <c r="L1755" s="885"/>
      <c r="M1755" s="885"/>
      <c r="N1755" s="887"/>
      <c r="O1755" s="885"/>
      <c r="P1755" s="885"/>
      <c r="Q1755" s="885"/>
      <c r="R1755" s="885"/>
      <c r="S1755" s="885"/>
      <c r="T1755" s="885"/>
      <c r="U1755" s="885"/>
      <c r="V1755" s="885"/>
      <c r="W1755" s="885"/>
      <c r="X1755" s="885"/>
      <c r="Y1755" s="885"/>
      <c r="Z1755" s="885"/>
    </row>
    <row r="1756" ht="15.75" customHeight="1">
      <c r="A1756" s="884"/>
      <c r="B1756" s="884"/>
      <c r="C1756" s="884"/>
      <c r="D1756" s="884"/>
      <c r="E1756" s="885"/>
      <c r="F1756" s="885"/>
      <c r="G1756" s="885"/>
      <c r="H1756" s="930"/>
      <c r="I1756" s="885"/>
      <c r="J1756" s="885"/>
      <c r="K1756" s="885"/>
      <c r="L1756" s="885"/>
      <c r="M1756" s="885"/>
      <c r="N1756" s="887"/>
      <c r="O1756" s="885"/>
      <c r="P1756" s="885"/>
      <c r="Q1756" s="885"/>
      <c r="R1756" s="885"/>
      <c r="S1756" s="885"/>
      <c r="T1756" s="885"/>
      <c r="U1756" s="885"/>
      <c r="V1756" s="885"/>
      <c r="W1756" s="885"/>
      <c r="X1756" s="885"/>
      <c r="Y1756" s="885"/>
      <c r="Z1756" s="885"/>
    </row>
    <row r="1757" ht="15.75" customHeight="1">
      <c r="A1757" s="884"/>
      <c r="B1757" s="884"/>
      <c r="C1757" s="884"/>
      <c r="D1757" s="884"/>
      <c r="E1757" s="885"/>
      <c r="F1757" s="885"/>
      <c r="G1757" s="885"/>
      <c r="H1757" s="930"/>
      <c r="I1757" s="885"/>
      <c r="J1757" s="885"/>
      <c r="K1757" s="885"/>
      <c r="L1757" s="885"/>
      <c r="M1757" s="885"/>
      <c r="N1757" s="887"/>
      <c r="O1757" s="885"/>
      <c r="P1757" s="885"/>
      <c r="Q1757" s="885"/>
      <c r="R1757" s="885"/>
      <c r="S1757" s="885"/>
      <c r="T1757" s="885"/>
      <c r="U1757" s="885"/>
      <c r="V1757" s="885"/>
      <c r="W1757" s="885"/>
      <c r="X1757" s="885"/>
      <c r="Y1757" s="885"/>
      <c r="Z1757" s="885"/>
    </row>
    <row r="1758" ht="15.75" customHeight="1">
      <c r="A1758" s="884"/>
      <c r="B1758" s="884"/>
      <c r="C1758" s="884"/>
      <c r="D1758" s="884"/>
      <c r="E1758" s="885"/>
      <c r="F1758" s="885"/>
      <c r="G1758" s="885"/>
      <c r="H1758" s="930"/>
      <c r="I1758" s="885"/>
      <c r="J1758" s="885"/>
      <c r="K1758" s="885"/>
      <c r="L1758" s="885"/>
      <c r="M1758" s="885"/>
      <c r="N1758" s="887"/>
      <c r="O1758" s="885"/>
      <c r="P1758" s="885"/>
      <c r="Q1758" s="885"/>
      <c r="R1758" s="885"/>
      <c r="S1758" s="885"/>
      <c r="T1758" s="885"/>
      <c r="U1758" s="885"/>
      <c r="V1758" s="885"/>
      <c r="W1758" s="885"/>
      <c r="X1758" s="885"/>
      <c r="Y1758" s="885"/>
      <c r="Z1758" s="885"/>
    </row>
    <row r="1759" ht="15.75" customHeight="1">
      <c r="A1759" s="884"/>
      <c r="B1759" s="884"/>
      <c r="C1759" s="884"/>
      <c r="D1759" s="884"/>
      <c r="E1759" s="885"/>
      <c r="F1759" s="885"/>
      <c r="G1759" s="885"/>
      <c r="H1759" s="930"/>
      <c r="I1759" s="885"/>
      <c r="J1759" s="885"/>
      <c r="K1759" s="885"/>
      <c r="L1759" s="885"/>
      <c r="M1759" s="885"/>
      <c r="N1759" s="887"/>
      <c r="O1759" s="885"/>
      <c r="P1759" s="885"/>
      <c r="Q1759" s="885"/>
      <c r="R1759" s="885"/>
      <c r="S1759" s="885"/>
      <c r="T1759" s="885"/>
      <c r="U1759" s="885"/>
      <c r="V1759" s="885"/>
      <c r="W1759" s="885"/>
      <c r="X1759" s="885"/>
      <c r="Y1759" s="885"/>
      <c r="Z1759" s="885"/>
    </row>
    <row r="1760" ht="15.75" customHeight="1">
      <c r="A1760" s="884"/>
      <c r="B1760" s="884"/>
      <c r="C1760" s="884"/>
      <c r="D1760" s="884"/>
      <c r="E1760" s="885"/>
      <c r="F1760" s="885"/>
      <c r="G1760" s="885"/>
      <c r="H1760" s="930"/>
      <c r="I1760" s="885"/>
      <c r="J1760" s="885"/>
      <c r="K1760" s="885"/>
      <c r="L1760" s="885"/>
      <c r="M1760" s="885"/>
      <c r="N1760" s="887"/>
      <c r="O1760" s="885"/>
      <c r="P1760" s="885"/>
      <c r="Q1760" s="885"/>
      <c r="R1760" s="885"/>
      <c r="S1760" s="885"/>
      <c r="T1760" s="885"/>
      <c r="U1760" s="885"/>
      <c r="V1760" s="885"/>
      <c r="W1760" s="885"/>
      <c r="X1760" s="885"/>
      <c r="Y1760" s="885"/>
      <c r="Z1760" s="885"/>
    </row>
    <row r="1761" ht="15.75" customHeight="1">
      <c r="A1761" s="884"/>
      <c r="B1761" s="884"/>
      <c r="C1761" s="884"/>
      <c r="D1761" s="884"/>
      <c r="E1761" s="885"/>
      <c r="F1761" s="885"/>
      <c r="G1761" s="885"/>
      <c r="H1761" s="930"/>
      <c r="I1761" s="885"/>
      <c r="J1761" s="885"/>
      <c r="K1761" s="885"/>
      <c r="L1761" s="885"/>
      <c r="M1761" s="885"/>
      <c r="N1761" s="887"/>
      <c r="O1761" s="885"/>
      <c r="P1761" s="885"/>
      <c r="Q1761" s="885"/>
      <c r="R1761" s="885"/>
      <c r="S1761" s="885"/>
      <c r="T1761" s="885"/>
      <c r="U1761" s="885"/>
      <c r="V1761" s="885"/>
      <c r="W1761" s="885"/>
      <c r="X1761" s="885"/>
      <c r="Y1761" s="885"/>
      <c r="Z1761" s="885"/>
    </row>
    <row r="1762" ht="15.75" customHeight="1">
      <c r="A1762" s="884"/>
      <c r="B1762" s="884"/>
      <c r="C1762" s="884"/>
      <c r="D1762" s="884"/>
      <c r="E1762" s="885"/>
      <c r="F1762" s="885"/>
      <c r="G1762" s="885"/>
      <c r="H1762" s="930"/>
      <c r="I1762" s="885"/>
      <c r="J1762" s="885"/>
      <c r="K1762" s="885"/>
      <c r="L1762" s="885"/>
      <c r="M1762" s="885"/>
      <c r="N1762" s="887"/>
      <c r="O1762" s="885"/>
      <c r="P1762" s="885"/>
      <c r="Q1762" s="885"/>
      <c r="R1762" s="885"/>
      <c r="S1762" s="885"/>
      <c r="T1762" s="885"/>
      <c r="U1762" s="885"/>
      <c r="V1762" s="885"/>
      <c r="W1762" s="885"/>
      <c r="X1762" s="885"/>
      <c r="Y1762" s="885"/>
      <c r="Z1762" s="885"/>
    </row>
    <row r="1763" ht="15.75" customHeight="1">
      <c r="A1763" s="884"/>
      <c r="B1763" s="884"/>
      <c r="C1763" s="884"/>
      <c r="D1763" s="884"/>
      <c r="E1763" s="885"/>
      <c r="F1763" s="885"/>
      <c r="G1763" s="885"/>
      <c r="H1763" s="930"/>
      <c r="I1763" s="885"/>
      <c r="J1763" s="885"/>
      <c r="K1763" s="885"/>
      <c r="L1763" s="885"/>
      <c r="M1763" s="885"/>
      <c r="N1763" s="887"/>
      <c r="O1763" s="885"/>
      <c r="P1763" s="885"/>
      <c r="Q1763" s="885"/>
      <c r="R1763" s="885"/>
      <c r="S1763" s="885"/>
      <c r="T1763" s="885"/>
      <c r="U1763" s="885"/>
      <c r="V1763" s="885"/>
      <c r="W1763" s="885"/>
      <c r="X1763" s="885"/>
      <c r="Y1763" s="885"/>
      <c r="Z1763" s="885"/>
    </row>
    <row r="1764" ht="15.75" customHeight="1">
      <c r="A1764" s="884"/>
      <c r="B1764" s="884"/>
      <c r="C1764" s="884"/>
      <c r="D1764" s="884"/>
      <c r="E1764" s="885"/>
      <c r="F1764" s="885"/>
      <c r="G1764" s="885"/>
      <c r="H1764" s="930"/>
      <c r="I1764" s="885"/>
      <c r="J1764" s="885"/>
      <c r="K1764" s="885"/>
      <c r="L1764" s="885"/>
      <c r="M1764" s="885"/>
      <c r="N1764" s="887"/>
      <c r="O1764" s="885"/>
      <c r="P1764" s="885"/>
      <c r="Q1764" s="885"/>
      <c r="R1764" s="885"/>
      <c r="S1764" s="885"/>
      <c r="T1764" s="885"/>
      <c r="U1764" s="885"/>
      <c r="V1764" s="885"/>
      <c r="W1764" s="885"/>
      <c r="X1764" s="885"/>
      <c r="Y1764" s="885"/>
      <c r="Z1764" s="885"/>
    </row>
    <row r="1765" ht="15.75" customHeight="1">
      <c r="A1765" s="884"/>
      <c r="B1765" s="884"/>
      <c r="C1765" s="884"/>
      <c r="D1765" s="884"/>
      <c r="E1765" s="885"/>
      <c r="F1765" s="885"/>
      <c r="G1765" s="885"/>
      <c r="H1765" s="930"/>
      <c r="I1765" s="885"/>
      <c r="J1765" s="885"/>
      <c r="K1765" s="885"/>
      <c r="L1765" s="885"/>
      <c r="M1765" s="885"/>
      <c r="N1765" s="887"/>
      <c r="O1765" s="885"/>
      <c r="P1765" s="885"/>
      <c r="Q1765" s="885"/>
      <c r="R1765" s="885"/>
      <c r="S1765" s="885"/>
      <c r="T1765" s="885"/>
      <c r="U1765" s="885"/>
      <c r="V1765" s="885"/>
      <c r="W1765" s="885"/>
      <c r="X1765" s="885"/>
      <c r="Y1765" s="885"/>
      <c r="Z1765" s="885"/>
    </row>
    <row r="1766" ht="15.75" customHeight="1">
      <c r="A1766" s="884"/>
      <c r="B1766" s="884"/>
      <c r="C1766" s="884"/>
      <c r="D1766" s="884"/>
      <c r="E1766" s="885"/>
      <c r="F1766" s="885"/>
      <c r="G1766" s="885"/>
      <c r="H1766" s="930"/>
      <c r="I1766" s="885"/>
      <c r="J1766" s="885"/>
      <c r="K1766" s="885"/>
      <c r="L1766" s="885"/>
      <c r="M1766" s="885"/>
      <c r="N1766" s="887"/>
      <c r="O1766" s="885"/>
      <c r="P1766" s="885"/>
      <c r="Q1766" s="885"/>
      <c r="R1766" s="885"/>
      <c r="S1766" s="885"/>
      <c r="T1766" s="885"/>
      <c r="U1766" s="885"/>
      <c r="V1766" s="885"/>
      <c r="W1766" s="885"/>
      <c r="X1766" s="885"/>
      <c r="Y1766" s="885"/>
      <c r="Z1766" s="885"/>
    </row>
    <row r="1767" ht="15.75" customHeight="1">
      <c r="A1767" s="884"/>
      <c r="B1767" s="884"/>
      <c r="C1767" s="884"/>
      <c r="D1767" s="884"/>
      <c r="E1767" s="885"/>
      <c r="F1767" s="885"/>
      <c r="G1767" s="885"/>
      <c r="H1767" s="930"/>
      <c r="I1767" s="885"/>
      <c r="J1767" s="885"/>
      <c r="K1767" s="885"/>
      <c r="L1767" s="885"/>
      <c r="M1767" s="885"/>
      <c r="N1767" s="887"/>
      <c r="O1767" s="885"/>
      <c r="P1767" s="885"/>
      <c r="Q1767" s="885"/>
      <c r="R1767" s="885"/>
      <c r="S1767" s="885"/>
      <c r="T1767" s="885"/>
      <c r="U1767" s="885"/>
      <c r="V1767" s="885"/>
      <c r="W1767" s="885"/>
      <c r="X1767" s="885"/>
      <c r="Y1767" s="885"/>
      <c r="Z1767" s="885"/>
    </row>
    <row r="1768" ht="15.75" customHeight="1">
      <c r="A1768" s="884"/>
      <c r="B1768" s="884"/>
      <c r="C1768" s="884"/>
      <c r="D1768" s="884"/>
      <c r="E1768" s="885"/>
      <c r="F1768" s="885"/>
      <c r="G1768" s="885"/>
      <c r="H1768" s="930"/>
      <c r="I1768" s="885"/>
      <c r="J1768" s="885"/>
      <c r="K1768" s="885"/>
      <c r="L1768" s="885"/>
      <c r="M1768" s="885"/>
      <c r="N1768" s="887"/>
      <c r="O1768" s="885"/>
      <c r="P1768" s="885"/>
      <c r="Q1768" s="885"/>
      <c r="R1768" s="885"/>
      <c r="S1768" s="885"/>
      <c r="T1768" s="885"/>
      <c r="U1768" s="885"/>
      <c r="V1768" s="885"/>
      <c r="W1768" s="885"/>
      <c r="X1768" s="885"/>
      <c r="Y1768" s="885"/>
      <c r="Z1768" s="885"/>
    </row>
    <row r="1769" ht="15.75" customHeight="1">
      <c r="A1769" s="884"/>
      <c r="B1769" s="884"/>
      <c r="C1769" s="884"/>
      <c r="D1769" s="884"/>
      <c r="E1769" s="885"/>
      <c r="F1769" s="885"/>
      <c r="G1769" s="885"/>
      <c r="H1769" s="930"/>
      <c r="I1769" s="885"/>
      <c r="J1769" s="885"/>
      <c r="K1769" s="885"/>
      <c r="L1769" s="885"/>
      <c r="M1769" s="885"/>
      <c r="N1769" s="887"/>
      <c r="O1769" s="885"/>
      <c r="P1769" s="885"/>
      <c r="Q1769" s="885"/>
      <c r="R1769" s="885"/>
      <c r="S1769" s="885"/>
      <c r="T1769" s="885"/>
      <c r="U1769" s="885"/>
      <c r="V1769" s="885"/>
      <c r="W1769" s="885"/>
      <c r="X1769" s="885"/>
      <c r="Y1769" s="885"/>
      <c r="Z1769" s="885"/>
    </row>
    <row r="1770" ht="15.75" customHeight="1">
      <c r="A1770" s="884"/>
      <c r="B1770" s="884"/>
      <c r="C1770" s="884"/>
      <c r="D1770" s="884"/>
      <c r="E1770" s="885"/>
      <c r="F1770" s="885"/>
      <c r="G1770" s="885"/>
      <c r="H1770" s="930"/>
      <c r="I1770" s="885"/>
      <c r="J1770" s="885"/>
      <c r="K1770" s="885"/>
      <c r="L1770" s="885"/>
      <c r="M1770" s="885"/>
      <c r="N1770" s="887"/>
      <c r="O1770" s="885"/>
      <c r="P1770" s="885"/>
      <c r="Q1770" s="885"/>
      <c r="R1770" s="885"/>
      <c r="S1770" s="885"/>
      <c r="T1770" s="885"/>
      <c r="U1770" s="885"/>
      <c r="V1770" s="885"/>
      <c r="W1770" s="885"/>
      <c r="X1770" s="885"/>
      <c r="Y1770" s="885"/>
      <c r="Z1770" s="885"/>
    </row>
    <row r="1771" ht="15.75" customHeight="1">
      <c r="A1771" s="884"/>
      <c r="B1771" s="884"/>
      <c r="C1771" s="884"/>
      <c r="D1771" s="884"/>
      <c r="E1771" s="885"/>
      <c r="F1771" s="885"/>
      <c r="G1771" s="885"/>
      <c r="H1771" s="930"/>
      <c r="I1771" s="885"/>
      <c r="J1771" s="885"/>
      <c r="K1771" s="885"/>
      <c r="L1771" s="885"/>
      <c r="M1771" s="885"/>
      <c r="N1771" s="887"/>
      <c r="O1771" s="885"/>
      <c r="P1771" s="885"/>
      <c r="Q1771" s="885"/>
      <c r="R1771" s="885"/>
      <c r="S1771" s="885"/>
      <c r="T1771" s="885"/>
      <c r="U1771" s="885"/>
      <c r="V1771" s="885"/>
      <c r="W1771" s="885"/>
      <c r="X1771" s="885"/>
      <c r="Y1771" s="885"/>
      <c r="Z1771" s="885"/>
    </row>
    <row r="1772" ht="15.75" customHeight="1">
      <c r="A1772" s="884"/>
      <c r="B1772" s="884"/>
      <c r="C1772" s="884"/>
      <c r="D1772" s="884"/>
      <c r="E1772" s="885"/>
      <c r="F1772" s="885"/>
      <c r="G1772" s="885"/>
      <c r="H1772" s="930"/>
      <c r="I1772" s="885"/>
      <c r="J1772" s="885"/>
      <c r="K1772" s="885"/>
      <c r="L1772" s="885"/>
      <c r="M1772" s="885"/>
      <c r="N1772" s="887"/>
      <c r="O1772" s="885"/>
      <c r="P1772" s="885"/>
      <c r="Q1772" s="885"/>
      <c r="R1772" s="885"/>
      <c r="S1772" s="885"/>
      <c r="T1772" s="885"/>
      <c r="U1772" s="885"/>
      <c r="V1772" s="885"/>
      <c r="W1772" s="885"/>
      <c r="X1772" s="885"/>
      <c r="Y1772" s="885"/>
      <c r="Z1772" s="885"/>
    </row>
    <row r="1773" ht="15.75" customHeight="1">
      <c r="A1773" s="884"/>
      <c r="B1773" s="884"/>
      <c r="C1773" s="884"/>
      <c r="D1773" s="884"/>
      <c r="E1773" s="885"/>
      <c r="F1773" s="885"/>
      <c r="G1773" s="885"/>
      <c r="H1773" s="930"/>
      <c r="I1773" s="885"/>
      <c r="J1773" s="885"/>
      <c r="K1773" s="885"/>
      <c r="L1773" s="885"/>
      <c r="M1773" s="885"/>
      <c r="N1773" s="887"/>
      <c r="O1773" s="885"/>
      <c r="P1773" s="885"/>
      <c r="Q1773" s="885"/>
      <c r="R1773" s="885"/>
      <c r="S1773" s="885"/>
      <c r="T1773" s="885"/>
      <c r="U1773" s="885"/>
      <c r="V1773" s="885"/>
      <c r="W1773" s="885"/>
      <c r="X1773" s="885"/>
      <c r="Y1773" s="885"/>
      <c r="Z1773" s="885"/>
    </row>
    <row r="1774" ht="15.75" customHeight="1">
      <c r="A1774" s="884"/>
      <c r="B1774" s="884"/>
      <c r="C1774" s="884"/>
      <c r="D1774" s="884"/>
      <c r="E1774" s="885"/>
      <c r="F1774" s="885"/>
      <c r="G1774" s="885"/>
      <c r="H1774" s="930"/>
      <c r="I1774" s="885"/>
      <c r="J1774" s="885"/>
      <c r="K1774" s="885"/>
      <c r="L1774" s="885"/>
      <c r="M1774" s="885"/>
      <c r="N1774" s="887"/>
      <c r="O1774" s="885"/>
      <c r="P1774" s="885"/>
      <c r="Q1774" s="885"/>
      <c r="R1774" s="885"/>
      <c r="S1774" s="885"/>
      <c r="T1774" s="885"/>
      <c r="U1774" s="885"/>
      <c r="V1774" s="885"/>
      <c r="W1774" s="885"/>
      <c r="X1774" s="885"/>
      <c r="Y1774" s="885"/>
      <c r="Z1774" s="885"/>
    </row>
    <row r="1775" ht="15.75" customHeight="1">
      <c r="A1775" s="884"/>
      <c r="B1775" s="884"/>
      <c r="C1775" s="884"/>
      <c r="D1775" s="884"/>
      <c r="E1775" s="885"/>
      <c r="F1775" s="885"/>
      <c r="G1775" s="885"/>
      <c r="H1775" s="930"/>
      <c r="I1775" s="885"/>
      <c r="J1775" s="885"/>
      <c r="K1775" s="885"/>
      <c r="L1775" s="885"/>
      <c r="M1775" s="885"/>
      <c r="N1775" s="887"/>
      <c r="O1775" s="885"/>
      <c r="P1775" s="885"/>
      <c r="Q1775" s="885"/>
      <c r="R1775" s="885"/>
      <c r="S1775" s="885"/>
      <c r="T1775" s="885"/>
      <c r="U1775" s="885"/>
      <c r="V1775" s="885"/>
      <c r="W1775" s="885"/>
      <c r="X1775" s="885"/>
      <c r="Y1775" s="885"/>
      <c r="Z1775" s="885"/>
    </row>
    <row r="1776" ht="15.75" customHeight="1">
      <c r="A1776" s="884"/>
      <c r="B1776" s="884"/>
      <c r="C1776" s="884"/>
      <c r="D1776" s="884"/>
      <c r="E1776" s="885"/>
      <c r="F1776" s="885"/>
      <c r="G1776" s="885"/>
      <c r="H1776" s="930"/>
      <c r="I1776" s="885"/>
      <c r="J1776" s="885"/>
      <c r="K1776" s="885"/>
      <c r="L1776" s="885"/>
      <c r="M1776" s="885"/>
      <c r="N1776" s="887"/>
      <c r="O1776" s="885"/>
      <c r="P1776" s="885"/>
      <c r="Q1776" s="885"/>
      <c r="R1776" s="885"/>
      <c r="S1776" s="885"/>
      <c r="T1776" s="885"/>
      <c r="U1776" s="885"/>
      <c r="V1776" s="885"/>
      <c r="W1776" s="885"/>
      <c r="X1776" s="885"/>
      <c r="Y1776" s="885"/>
      <c r="Z1776" s="885"/>
    </row>
    <row r="1777" ht="15.75" customHeight="1">
      <c r="A1777" s="884"/>
      <c r="B1777" s="884"/>
      <c r="C1777" s="884"/>
      <c r="D1777" s="884"/>
      <c r="E1777" s="885"/>
      <c r="F1777" s="885"/>
      <c r="G1777" s="885"/>
      <c r="H1777" s="930"/>
      <c r="I1777" s="885"/>
      <c r="J1777" s="885"/>
      <c r="K1777" s="885"/>
      <c r="L1777" s="885"/>
      <c r="M1777" s="885"/>
      <c r="N1777" s="887"/>
      <c r="O1777" s="885"/>
      <c r="P1777" s="885"/>
      <c r="Q1777" s="885"/>
      <c r="R1777" s="885"/>
      <c r="S1777" s="885"/>
      <c r="T1777" s="885"/>
      <c r="U1777" s="885"/>
      <c r="V1777" s="885"/>
      <c r="W1777" s="885"/>
      <c r="X1777" s="885"/>
      <c r="Y1777" s="885"/>
      <c r="Z1777" s="885"/>
    </row>
    <row r="1778" ht="15.75" customHeight="1">
      <c r="A1778" s="884"/>
      <c r="B1778" s="884"/>
      <c r="C1778" s="884"/>
      <c r="D1778" s="884"/>
      <c r="E1778" s="885"/>
      <c r="F1778" s="885"/>
      <c r="G1778" s="885"/>
      <c r="H1778" s="930"/>
      <c r="I1778" s="885"/>
      <c r="J1778" s="885"/>
      <c r="K1778" s="885"/>
      <c r="L1778" s="885"/>
      <c r="M1778" s="885"/>
      <c r="N1778" s="887"/>
      <c r="O1778" s="885"/>
      <c r="P1778" s="885"/>
      <c r="Q1778" s="885"/>
      <c r="R1778" s="885"/>
      <c r="S1778" s="885"/>
      <c r="T1778" s="885"/>
      <c r="U1778" s="885"/>
      <c r="V1778" s="885"/>
      <c r="W1778" s="885"/>
      <c r="X1778" s="885"/>
      <c r="Y1778" s="885"/>
      <c r="Z1778" s="885"/>
    </row>
    <row r="1779" ht="15.75" customHeight="1">
      <c r="A1779" s="884"/>
      <c r="B1779" s="884"/>
      <c r="C1779" s="884"/>
      <c r="D1779" s="884"/>
      <c r="E1779" s="885"/>
      <c r="F1779" s="885"/>
      <c r="G1779" s="885"/>
      <c r="H1779" s="930"/>
      <c r="I1779" s="885"/>
      <c r="J1779" s="885"/>
      <c r="K1779" s="885"/>
      <c r="L1779" s="885"/>
      <c r="M1779" s="885"/>
      <c r="N1779" s="887"/>
      <c r="O1779" s="885"/>
      <c r="P1779" s="885"/>
      <c r="Q1779" s="885"/>
      <c r="R1779" s="885"/>
      <c r="S1779" s="885"/>
      <c r="T1779" s="885"/>
      <c r="U1779" s="885"/>
      <c r="V1779" s="885"/>
      <c r="W1779" s="885"/>
      <c r="X1779" s="885"/>
      <c r="Y1779" s="885"/>
      <c r="Z1779" s="885"/>
    </row>
    <row r="1780" ht="15.75" customHeight="1">
      <c r="A1780" s="884"/>
      <c r="B1780" s="884"/>
      <c r="C1780" s="884"/>
      <c r="D1780" s="884"/>
      <c r="E1780" s="885"/>
      <c r="F1780" s="885"/>
      <c r="G1780" s="885"/>
      <c r="H1780" s="930"/>
      <c r="I1780" s="885"/>
      <c r="J1780" s="885"/>
      <c r="K1780" s="885"/>
      <c r="L1780" s="885"/>
      <c r="M1780" s="885"/>
      <c r="N1780" s="887"/>
      <c r="O1780" s="885"/>
      <c r="P1780" s="885"/>
      <c r="Q1780" s="885"/>
      <c r="R1780" s="885"/>
      <c r="S1780" s="885"/>
      <c r="T1780" s="885"/>
      <c r="U1780" s="885"/>
      <c r="V1780" s="885"/>
      <c r="W1780" s="885"/>
      <c r="X1780" s="885"/>
      <c r="Y1780" s="885"/>
      <c r="Z1780" s="885"/>
    </row>
    <row r="1781" ht="15.75" customHeight="1">
      <c r="A1781" s="884"/>
      <c r="B1781" s="884"/>
      <c r="C1781" s="884"/>
      <c r="D1781" s="884"/>
      <c r="E1781" s="885"/>
      <c r="F1781" s="885"/>
      <c r="G1781" s="885"/>
      <c r="H1781" s="930"/>
      <c r="I1781" s="885"/>
      <c r="J1781" s="885"/>
      <c r="K1781" s="885"/>
      <c r="L1781" s="885"/>
      <c r="M1781" s="885"/>
      <c r="N1781" s="887"/>
      <c r="O1781" s="885"/>
      <c r="P1781" s="885"/>
      <c r="Q1781" s="885"/>
      <c r="R1781" s="885"/>
      <c r="S1781" s="885"/>
      <c r="T1781" s="885"/>
      <c r="U1781" s="885"/>
      <c r="V1781" s="885"/>
      <c r="W1781" s="885"/>
      <c r="X1781" s="885"/>
      <c r="Y1781" s="885"/>
      <c r="Z1781" s="885"/>
    </row>
    <row r="1782" ht="15.75" customHeight="1">
      <c r="A1782" s="884"/>
      <c r="B1782" s="884"/>
      <c r="C1782" s="884"/>
      <c r="D1782" s="884"/>
      <c r="E1782" s="885"/>
      <c r="F1782" s="885"/>
      <c r="G1782" s="885"/>
      <c r="H1782" s="930"/>
      <c r="I1782" s="885"/>
      <c r="J1782" s="885"/>
      <c r="K1782" s="885"/>
      <c r="L1782" s="885"/>
      <c r="M1782" s="885"/>
      <c r="N1782" s="887"/>
      <c r="O1782" s="885"/>
      <c r="P1782" s="885"/>
      <c r="Q1782" s="885"/>
      <c r="R1782" s="885"/>
      <c r="S1782" s="885"/>
      <c r="T1782" s="885"/>
      <c r="U1782" s="885"/>
      <c r="V1782" s="885"/>
      <c r="W1782" s="885"/>
      <c r="X1782" s="885"/>
      <c r="Y1782" s="885"/>
      <c r="Z1782" s="885"/>
    </row>
    <row r="1783" ht="15.75" customHeight="1">
      <c r="A1783" s="884"/>
      <c r="B1783" s="884"/>
      <c r="C1783" s="884"/>
      <c r="D1783" s="884"/>
      <c r="E1783" s="885"/>
      <c r="F1783" s="885"/>
      <c r="G1783" s="885"/>
      <c r="H1783" s="930"/>
      <c r="I1783" s="885"/>
      <c r="J1783" s="885"/>
      <c r="K1783" s="885"/>
      <c r="L1783" s="885"/>
      <c r="M1783" s="885"/>
      <c r="N1783" s="887"/>
      <c r="O1783" s="885"/>
      <c r="P1783" s="885"/>
      <c r="Q1783" s="885"/>
      <c r="R1783" s="885"/>
      <c r="S1783" s="885"/>
      <c r="T1783" s="885"/>
      <c r="U1783" s="885"/>
      <c r="V1783" s="885"/>
      <c r="W1783" s="885"/>
      <c r="X1783" s="885"/>
      <c r="Y1783" s="885"/>
      <c r="Z1783" s="885"/>
    </row>
    <row r="1784" ht="15.75" customHeight="1">
      <c r="A1784" s="884"/>
      <c r="B1784" s="884"/>
      <c r="C1784" s="884"/>
      <c r="D1784" s="884"/>
      <c r="E1784" s="885"/>
      <c r="F1784" s="885"/>
      <c r="G1784" s="885"/>
      <c r="H1784" s="930"/>
      <c r="I1784" s="885"/>
      <c r="J1784" s="885"/>
      <c r="K1784" s="885"/>
      <c r="L1784" s="885"/>
      <c r="M1784" s="885"/>
      <c r="N1784" s="887"/>
      <c r="O1784" s="885"/>
      <c r="P1784" s="885"/>
      <c r="Q1784" s="885"/>
      <c r="R1784" s="885"/>
      <c r="S1784" s="885"/>
      <c r="T1784" s="885"/>
      <c r="U1784" s="885"/>
      <c r="V1784" s="885"/>
      <c r="W1784" s="885"/>
      <c r="X1784" s="885"/>
      <c r="Y1784" s="885"/>
      <c r="Z1784" s="885"/>
    </row>
    <row r="1785" ht="15.75" customHeight="1">
      <c r="A1785" s="884"/>
      <c r="B1785" s="884"/>
      <c r="C1785" s="884"/>
      <c r="D1785" s="884"/>
      <c r="E1785" s="885"/>
      <c r="F1785" s="885"/>
      <c r="G1785" s="885"/>
      <c r="H1785" s="930"/>
      <c r="I1785" s="885"/>
      <c r="J1785" s="885"/>
      <c r="K1785" s="885"/>
      <c r="L1785" s="885"/>
      <c r="M1785" s="885"/>
      <c r="N1785" s="887"/>
      <c r="O1785" s="885"/>
      <c r="P1785" s="885"/>
      <c r="Q1785" s="885"/>
      <c r="R1785" s="885"/>
      <c r="S1785" s="885"/>
      <c r="T1785" s="885"/>
      <c r="U1785" s="885"/>
      <c r="V1785" s="885"/>
      <c r="W1785" s="885"/>
      <c r="X1785" s="885"/>
      <c r="Y1785" s="885"/>
      <c r="Z1785" s="885"/>
    </row>
    <row r="1786" ht="15.75" customHeight="1">
      <c r="A1786" s="884"/>
      <c r="B1786" s="884"/>
      <c r="C1786" s="884"/>
      <c r="D1786" s="884"/>
      <c r="E1786" s="885"/>
      <c r="F1786" s="885"/>
      <c r="G1786" s="885"/>
      <c r="H1786" s="930"/>
      <c r="I1786" s="885"/>
      <c r="J1786" s="885"/>
      <c r="K1786" s="885"/>
      <c r="L1786" s="885"/>
      <c r="M1786" s="885"/>
      <c r="N1786" s="887"/>
      <c r="O1786" s="885"/>
      <c r="P1786" s="885"/>
      <c r="Q1786" s="885"/>
      <c r="R1786" s="885"/>
      <c r="S1786" s="885"/>
      <c r="T1786" s="885"/>
      <c r="U1786" s="885"/>
      <c r="V1786" s="885"/>
      <c r="W1786" s="885"/>
      <c r="X1786" s="885"/>
      <c r="Y1786" s="885"/>
      <c r="Z1786" s="885"/>
    </row>
    <row r="1787" ht="15.75" customHeight="1">
      <c r="A1787" s="884"/>
      <c r="B1787" s="884"/>
      <c r="C1787" s="884"/>
      <c r="D1787" s="884"/>
      <c r="E1787" s="885"/>
      <c r="F1787" s="885"/>
      <c r="G1787" s="885"/>
      <c r="H1787" s="930"/>
      <c r="I1787" s="885"/>
      <c r="J1787" s="885"/>
      <c r="K1787" s="885"/>
      <c r="L1787" s="885"/>
      <c r="M1787" s="885"/>
      <c r="N1787" s="887"/>
      <c r="O1787" s="885"/>
      <c r="P1787" s="885"/>
      <c r="Q1787" s="885"/>
      <c r="R1787" s="885"/>
      <c r="S1787" s="885"/>
      <c r="T1787" s="885"/>
      <c r="U1787" s="885"/>
      <c r="V1787" s="885"/>
      <c r="W1787" s="885"/>
      <c r="X1787" s="885"/>
      <c r="Y1787" s="885"/>
      <c r="Z1787" s="885"/>
    </row>
    <row r="1788" ht="15.75" customHeight="1">
      <c r="A1788" s="884"/>
      <c r="B1788" s="884"/>
      <c r="C1788" s="884"/>
      <c r="D1788" s="884"/>
      <c r="E1788" s="885"/>
      <c r="F1788" s="885"/>
      <c r="G1788" s="885"/>
      <c r="H1788" s="930"/>
      <c r="I1788" s="885"/>
      <c r="J1788" s="885"/>
      <c r="K1788" s="885"/>
      <c r="L1788" s="885"/>
      <c r="M1788" s="885"/>
      <c r="N1788" s="887"/>
      <c r="O1788" s="885"/>
      <c r="P1788" s="885"/>
      <c r="Q1788" s="885"/>
      <c r="R1788" s="885"/>
      <c r="S1788" s="885"/>
      <c r="T1788" s="885"/>
      <c r="U1788" s="885"/>
      <c r="V1788" s="885"/>
      <c r="W1788" s="885"/>
      <c r="X1788" s="885"/>
      <c r="Y1788" s="885"/>
      <c r="Z1788" s="885"/>
    </row>
    <row r="1789" ht="15.75" customHeight="1">
      <c r="A1789" s="884"/>
      <c r="B1789" s="884"/>
      <c r="C1789" s="884"/>
      <c r="D1789" s="884"/>
      <c r="E1789" s="885"/>
      <c r="F1789" s="885"/>
      <c r="G1789" s="885"/>
      <c r="H1789" s="930"/>
      <c r="I1789" s="885"/>
      <c r="J1789" s="885"/>
      <c r="K1789" s="885"/>
      <c r="L1789" s="885"/>
      <c r="M1789" s="885"/>
      <c r="N1789" s="887"/>
      <c r="O1789" s="885"/>
      <c r="P1789" s="885"/>
      <c r="Q1789" s="885"/>
      <c r="R1789" s="885"/>
      <c r="S1789" s="885"/>
      <c r="T1789" s="885"/>
      <c r="U1789" s="885"/>
      <c r="V1789" s="885"/>
      <c r="W1789" s="885"/>
      <c r="X1789" s="885"/>
      <c r="Y1789" s="885"/>
      <c r="Z1789" s="885"/>
    </row>
    <row r="1790" ht="15.75" customHeight="1">
      <c r="A1790" s="884"/>
      <c r="B1790" s="884"/>
      <c r="C1790" s="884"/>
      <c r="D1790" s="884"/>
      <c r="E1790" s="885"/>
      <c r="F1790" s="885"/>
      <c r="G1790" s="885"/>
      <c r="H1790" s="930"/>
      <c r="I1790" s="885"/>
      <c r="J1790" s="885"/>
      <c r="K1790" s="885"/>
      <c r="L1790" s="885"/>
      <c r="M1790" s="885"/>
      <c r="N1790" s="887"/>
      <c r="O1790" s="885"/>
      <c r="P1790" s="885"/>
      <c r="Q1790" s="885"/>
      <c r="R1790" s="885"/>
      <c r="S1790" s="885"/>
      <c r="T1790" s="885"/>
      <c r="U1790" s="885"/>
      <c r="V1790" s="885"/>
      <c r="W1790" s="885"/>
      <c r="X1790" s="885"/>
      <c r="Y1790" s="885"/>
      <c r="Z1790" s="885"/>
    </row>
    <row r="1791" ht="15.75" customHeight="1">
      <c r="A1791" s="884"/>
      <c r="B1791" s="884"/>
      <c r="C1791" s="884"/>
      <c r="D1791" s="884"/>
      <c r="E1791" s="885"/>
      <c r="F1791" s="885"/>
      <c r="G1791" s="885"/>
      <c r="H1791" s="930"/>
      <c r="I1791" s="885"/>
      <c r="J1791" s="885"/>
      <c r="K1791" s="885"/>
      <c r="L1791" s="885"/>
      <c r="M1791" s="885"/>
      <c r="N1791" s="887"/>
      <c r="O1791" s="885"/>
      <c r="P1791" s="885"/>
      <c r="Q1791" s="885"/>
      <c r="R1791" s="885"/>
      <c r="S1791" s="885"/>
      <c r="T1791" s="885"/>
      <c r="U1791" s="885"/>
      <c r="V1791" s="885"/>
      <c r="W1791" s="885"/>
      <c r="X1791" s="885"/>
      <c r="Y1791" s="885"/>
      <c r="Z1791" s="885"/>
    </row>
    <row r="1792" ht="15.75" customHeight="1">
      <c r="A1792" s="884"/>
      <c r="B1792" s="884"/>
      <c r="C1792" s="884"/>
      <c r="D1792" s="884"/>
      <c r="E1792" s="885"/>
      <c r="F1792" s="885"/>
      <c r="G1792" s="885"/>
      <c r="H1792" s="930"/>
      <c r="I1792" s="885"/>
      <c r="J1792" s="885"/>
      <c r="K1792" s="885"/>
      <c r="L1792" s="885"/>
      <c r="M1792" s="885"/>
      <c r="N1792" s="887"/>
      <c r="O1792" s="885"/>
      <c r="P1792" s="885"/>
      <c r="Q1792" s="885"/>
      <c r="R1792" s="885"/>
      <c r="S1792" s="885"/>
      <c r="T1792" s="885"/>
      <c r="U1792" s="885"/>
      <c r="V1792" s="885"/>
      <c r="W1792" s="885"/>
      <c r="X1792" s="885"/>
      <c r="Y1792" s="885"/>
      <c r="Z1792" s="885"/>
    </row>
    <row r="1793" ht="15.75" customHeight="1">
      <c r="A1793" s="884"/>
      <c r="B1793" s="884"/>
      <c r="C1793" s="884"/>
      <c r="D1793" s="884"/>
      <c r="E1793" s="885"/>
      <c r="F1793" s="885"/>
      <c r="G1793" s="885"/>
      <c r="H1793" s="930"/>
      <c r="I1793" s="885"/>
      <c r="J1793" s="885"/>
      <c r="K1793" s="885"/>
      <c r="L1793" s="885"/>
      <c r="M1793" s="885"/>
      <c r="N1793" s="887"/>
      <c r="O1793" s="885"/>
      <c r="P1793" s="885"/>
      <c r="Q1793" s="885"/>
      <c r="R1793" s="885"/>
      <c r="S1793" s="885"/>
      <c r="T1793" s="885"/>
      <c r="U1793" s="885"/>
      <c r="V1793" s="885"/>
      <c r="W1793" s="885"/>
      <c r="X1793" s="885"/>
      <c r="Y1793" s="885"/>
      <c r="Z1793" s="885"/>
    </row>
    <row r="1794" ht="15.75" customHeight="1">
      <c r="A1794" s="884"/>
      <c r="B1794" s="884"/>
      <c r="C1794" s="884"/>
      <c r="D1794" s="884"/>
      <c r="E1794" s="885"/>
      <c r="F1794" s="885"/>
      <c r="G1794" s="885"/>
      <c r="H1794" s="930"/>
      <c r="I1794" s="885"/>
      <c r="J1794" s="885"/>
      <c r="K1794" s="885"/>
      <c r="L1794" s="885"/>
      <c r="M1794" s="885"/>
      <c r="N1794" s="887"/>
      <c r="O1794" s="885"/>
      <c r="P1794" s="885"/>
      <c r="Q1794" s="885"/>
      <c r="R1794" s="885"/>
      <c r="S1794" s="885"/>
      <c r="T1794" s="885"/>
      <c r="U1794" s="885"/>
      <c r="V1794" s="885"/>
      <c r="W1794" s="885"/>
      <c r="X1794" s="885"/>
      <c r="Y1794" s="885"/>
      <c r="Z1794" s="885"/>
    </row>
    <row r="1795" ht="15.75" customHeight="1">
      <c r="A1795" s="884"/>
      <c r="B1795" s="884"/>
      <c r="C1795" s="884"/>
      <c r="D1795" s="884"/>
      <c r="E1795" s="885"/>
      <c r="F1795" s="885"/>
      <c r="G1795" s="885"/>
      <c r="H1795" s="930"/>
      <c r="I1795" s="885"/>
      <c r="J1795" s="885"/>
      <c r="K1795" s="885"/>
      <c r="L1795" s="885"/>
      <c r="M1795" s="885"/>
      <c r="N1795" s="887"/>
      <c r="O1795" s="885"/>
      <c r="P1795" s="885"/>
      <c r="Q1795" s="885"/>
      <c r="R1795" s="885"/>
      <c r="S1795" s="885"/>
      <c r="T1795" s="885"/>
      <c r="U1795" s="885"/>
      <c r="V1795" s="885"/>
      <c r="W1795" s="885"/>
      <c r="X1795" s="885"/>
      <c r="Y1795" s="885"/>
      <c r="Z1795" s="885"/>
    </row>
    <row r="1796" ht="15.75" customHeight="1">
      <c r="A1796" s="884"/>
      <c r="B1796" s="884"/>
      <c r="C1796" s="884"/>
      <c r="D1796" s="884"/>
      <c r="E1796" s="885"/>
      <c r="F1796" s="885"/>
      <c r="G1796" s="885"/>
      <c r="H1796" s="930"/>
      <c r="I1796" s="885"/>
      <c r="J1796" s="885"/>
      <c r="K1796" s="885"/>
      <c r="L1796" s="885"/>
      <c r="M1796" s="885"/>
      <c r="N1796" s="887"/>
      <c r="O1796" s="885"/>
      <c r="P1796" s="885"/>
      <c r="Q1796" s="885"/>
      <c r="R1796" s="885"/>
      <c r="S1796" s="885"/>
      <c r="T1796" s="885"/>
      <c r="U1796" s="885"/>
      <c r="V1796" s="885"/>
      <c r="W1796" s="885"/>
      <c r="X1796" s="885"/>
      <c r="Y1796" s="885"/>
      <c r="Z1796" s="885"/>
    </row>
    <row r="1797" ht="15.75" customHeight="1">
      <c r="A1797" s="884"/>
      <c r="B1797" s="884"/>
      <c r="C1797" s="884"/>
      <c r="D1797" s="884"/>
      <c r="E1797" s="885"/>
      <c r="F1797" s="885"/>
      <c r="G1797" s="885"/>
      <c r="H1797" s="930"/>
      <c r="I1797" s="885"/>
      <c r="J1797" s="885"/>
      <c r="K1797" s="885"/>
      <c r="L1797" s="885"/>
      <c r="M1797" s="885"/>
      <c r="N1797" s="887"/>
      <c r="O1797" s="885"/>
      <c r="P1797" s="885"/>
      <c r="Q1797" s="885"/>
      <c r="R1797" s="885"/>
      <c r="S1797" s="885"/>
      <c r="T1797" s="885"/>
      <c r="U1797" s="885"/>
      <c r="V1797" s="885"/>
      <c r="W1797" s="885"/>
      <c r="X1797" s="885"/>
      <c r="Y1797" s="885"/>
      <c r="Z1797" s="885"/>
    </row>
    <row r="1798" ht="15.75" customHeight="1">
      <c r="A1798" s="884"/>
      <c r="B1798" s="884"/>
      <c r="C1798" s="884"/>
      <c r="D1798" s="884"/>
      <c r="E1798" s="885"/>
      <c r="F1798" s="885"/>
      <c r="G1798" s="885"/>
      <c r="H1798" s="930"/>
      <c r="I1798" s="885"/>
      <c r="J1798" s="885"/>
      <c r="K1798" s="885"/>
      <c r="L1798" s="885"/>
      <c r="M1798" s="885"/>
      <c r="N1798" s="887"/>
      <c r="O1798" s="885"/>
      <c r="P1798" s="885"/>
      <c r="Q1798" s="885"/>
      <c r="R1798" s="885"/>
      <c r="S1798" s="885"/>
      <c r="T1798" s="885"/>
      <c r="U1798" s="885"/>
      <c r="V1798" s="885"/>
      <c r="W1798" s="885"/>
      <c r="X1798" s="885"/>
      <c r="Y1798" s="885"/>
      <c r="Z1798" s="885"/>
    </row>
    <row r="1799" ht="15.75" customHeight="1">
      <c r="A1799" s="884"/>
      <c r="B1799" s="884"/>
      <c r="C1799" s="884"/>
      <c r="D1799" s="884"/>
      <c r="E1799" s="885"/>
      <c r="F1799" s="885"/>
      <c r="G1799" s="885"/>
      <c r="H1799" s="930"/>
      <c r="I1799" s="885"/>
      <c r="J1799" s="885"/>
      <c r="K1799" s="885"/>
      <c r="L1799" s="885"/>
      <c r="M1799" s="885"/>
      <c r="N1799" s="887"/>
      <c r="O1799" s="885"/>
      <c r="P1799" s="885"/>
      <c r="Q1799" s="885"/>
      <c r="R1799" s="885"/>
      <c r="S1799" s="885"/>
      <c r="T1799" s="885"/>
      <c r="U1799" s="885"/>
      <c r="V1799" s="885"/>
      <c r="W1799" s="885"/>
      <c r="X1799" s="885"/>
      <c r="Y1799" s="885"/>
      <c r="Z1799" s="885"/>
    </row>
    <row r="1800" ht="15.75" customHeight="1">
      <c r="A1800" s="884"/>
      <c r="B1800" s="884"/>
      <c r="C1800" s="884"/>
      <c r="D1800" s="884"/>
      <c r="E1800" s="885"/>
      <c r="F1800" s="885"/>
      <c r="G1800" s="885"/>
      <c r="H1800" s="930"/>
      <c r="I1800" s="885"/>
      <c r="J1800" s="885"/>
      <c r="K1800" s="885"/>
      <c r="L1800" s="885"/>
      <c r="M1800" s="885"/>
      <c r="N1800" s="887"/>
      <c r="O1800" s="885"/>
      <c r="P1800" s="885"/>
      <c r="Q1800" s="885"/>
      <c r="R1800" s="885"/>
      <c r="S1800" s="885"/>
      <c r="T1800" s="885"/>
      <c r="U1800" s="885"/>
      <c r="V1800" s="885"/>
      <c r="W1800" s="885"/>
      <c r="X1800" s="885"/>
      <c r="Y1800" s="885"/>
      <c r="Z1800" s="885"/>
    </row>
    <row r="1801" ht="15.75" customHeight="1">
      <c r="A1801" s="884"/>
      <c r="B1801" s="884"/>
      <c r="C1801" s="884"/>
      <c r="D1801" s="884"/>
      <c r="E1801" s="885"/>
      <c r="F1801" s="885"/>
      <c r="G1801" s="885"/>
      <c r="H1801" s="930"/>
      <c r="I1801" s="885"/>
      <c r="J1801" s="885"/>
      <c r="K1801" s="885"/>
      <c r="L1801" s="885"/>
      <c r="M1801" s="885"/>
      <c r="N1801" s="887"/>
      <c r="O1801" s="885"/>
      <c r="P1801" s="885"/>
      <c r="Q1801" s="885"/>
      <c r="R1801" s="885"/>
      <c r="S1801" s="885"/>
      <c r="T1801" s="885"/>
      <c r="U1801" s="885"/>
      <c r="V1801" s="885"/>
      <c r="W1801" s="885"/>
      <c r="X1801" s="885"/>
      <c r="Y1801" s="885"/>
      <c r="Z1801" s="885"/>
    </row>
    <row r="1802" ht="15.75" customHeight="1">
      <c r="A1802" s="884"/>
      <c r="B1802" s="884"/>
      <c r="C1802" s="884"/>
      <c r="D1802" s="884"/>
      <c r="E1802" s="885"/>
      <c r="F1802" s="885"/>
      <c r="G1802" s="885"/>
      <c r="H1802" s="930"/>
      <c r="I1802" s="885"/>
      <c r="J1802" s="885"/>
      <c r="K1802" s="885"/>
      <c r="L1802" s="885"/>
      <c r="M1802" s="885"/>
      <c r="N1802" s="887"/>
      <c r="O1802" s="885"/>
      <c r="P1802" s="885"/>
      <c r="Q1802" s="885"/>
      <c r="R1802" s="885"/>
      <c r="S1802" s="885"/>
      <c r="T1802" s="885"/>
      <c r="U1802" s="885"/>
      <c r="V1802" s="885"/>
      <c r="W1802" s="885"/>
      <c r="X1802" s="885"/>
      <c r="Y1802" s="885"/>
      <c r="Z1802" s="885"/>
    </row>
    <row r="1803" ht="15.75" customHeight="1">
      <c r="A1803" s="884"/>
      <c r="B1803" s="884"/>
      <c r="C1803" s="884"/>
      <c r="D1803" s="884"/>
      <c r="E1803" s="885"/>
      <c r="F1803" s="885"/>
      <c r="G1803" s="885"/>
      <c r="H1803" s="930"/>
      <c r="I1803" s="885"/>
      <c r="J1803" s="885"/>
      <c r="K1803" s="885"/>
      <c r="L1803" s="885"/>
      <c r="M1803" s="885"/>
      <c r="N1803" s="887"/>
      <c r="O1803" s="885"/>
      <c r="P1803" s="885"/>
      <c r="Q1803" s="885"/>
      <c r="R1803" s="885"/>
      <c r="S1803" s="885"/>
      <c r="T1803" s="885"/>
      <c r="U1803" s="885"/>
      <c r="V1803" s="885"/>
      <c r="W1803" s="885"/>
      <c r="X1803" s="885"/>
      <c r="Y1803" s="885"/>
      <c r="Z1803" s="885"/>
    </row>
    <row r="1804" ht="15.75" customHeight="1">
      <c r="A1804" s="884"/>
      <c r="B1804" s="884"/>
      <c r="C1804" s="884"/>
      <c r="D1804" s="884"/>
      <c r="E1804" s="885"/>
      <c r="F1804" s="885"/>
      <c r="G1804" s="885"/>
      <c r="H1804" s="930"/>
      <c r="I1804" s="885"/>
      <c r="J1804" s="885"/>
      <c r="K1804" s="885"/>
      <c r="L1804" s="885"/>
      <c r="M1804" s="885"/>
      <c r="N1804" s="887"/>
      <c r="O1804" s="885"/>
      <c r="P1804" s="885"/>
      <c r="Q1804" s="885"/>
      <c r="R1804" s="885"/>
      <c r="S1804" s="885"/>
      <c r="T1804" s="885"/>
      <c r="U1804" s="885"/>
      <c r="V1804" s="885"/>
      <c r="W1804" s="885"/>
      <c r="X1804" s="885"/>
      <c r="Y1804" s="885"/>
      <c r="Z1804" s="885"/>
    </row>
    <row r="1805" ht="15.75" customHeight="1">
      <c r="A1805" s="884"/>
      <c r="B1805" s="884"/>
      <c r="C1805" s="884"/>
      <c r="D1805" s="884"/>
      <c r="E1805" s="885"/>
      <c r="F1805" s="885"/>
      <c r="G1805" s="885"/>
      <c r="H1805" s="930"/>
      <c r="I1805" s="885"/>
      <c r="J1805" s="885"/>
      <c r="K1805" s="885"/>
      <c r="L1805" s="885"/>
      <c r="M1805" s="885"/>
      <c r="N1805" s="887"/>
      <c r="O1805" s="885"/>
      <c r="P1805" s="885"/>
      <c r="Q1805" s="885"/>
      <c r="R1805" s="885"/>
      <c r="S1805" s="885"/>
      <c r="T1805" s="885"/>
      <c r="U1805" s="885"/>
      <c r="V1805" s="885"/>
      <c r="W1805" s="885"/>
      <c r="X1805" s="885"/>
      <c r="Y1805" s="885"/>
      <c r="Z1805" s="885"/>
    </row>
    <row r="1806" ht="15.75" customHeight="1">
      <c r="A1806" s="884"/>
      <c r="B1806" s="884"/>
      <c r="C1806" s="884"/>
      <c r="D1806" s="884"/>
      <c r="E1806" s="885"/>
      <c r="F1806" s="885"/>
      <c r="G1806" s="885"/>
      <c r="H1806" s="930"/>
      <c r="I1806" s="885"/>
      <c r="J1806" s="885"/>
      <c r="K1806" s="885"/>
      <c r="L1806" s="885"/>
      <c r="M1806" s="885"/>
      <c r="N1806" s="887"/>
      <c r="O1806" s="885"/>
      <c r="P1806" s="885"/>
      <c r="Q1806" s="885"/>
      <c r="R1806" s="885"/>
      <c r="S1806" s="885"/>
      <c r="T1806" s="885"/>
      <c r="U1806" s="885"/>
      <c r="V1806" s="885"/>
      <c r="W1806" s="885"/>
      <c r="X1806" s="885"/>
      <c r="Y1806" s="885"/>
      <c r="Z1806" s="885"/>
    </row>
    <row r="1807" ht="15.75" customHeight="1">
      <c r="A1807" s="884"/>
      <c r="B1807" s="884"/>
      <c r="C1807" s="884"/>
      <c r="D1807" s="884"/>
      <c r="E1807" s="885"/>
      <c r="F1807" s="885"/>
      <c r="G1807" s="885"/>
      <c r="H1807" s="930"/>
      <c r="I1807" s="885"/>
      <c r="J1807" s="885"/>
      <c r="K1807" s="885"/>
      <c r="L1807" s="885"/>
      <c r="M1807" s="885"/>
      <c r="N1807" s="887"/>
      <c r="O1807" s="885"/>
      <c r="P1807" s="885"/>
      <c r="Q1807" s="885"/>
      <c r="R1807" s="885"/>
      <c r="S1807" s="885"/>
      <c r="T1807" s="885"/>
      <c r="U1807" s="885"/>
      <c r="V1807" s="885"/>
      <c r="W1807" s="885"/>
      <c r="X1807" s="885"/>
      <c r="Y1807" s="885"/>
      <c r="Z1807" s="885"/>
    </row>
    <row r="1808" ht="15.75" customHeight="1">
      <c r="A1808" s="884"/>
      <c r="B1808" s="884"/>
      <c r="C1808" s="884"/>
      <c r="D1808" s="884"/>
      <c r="E1808" s="885"/>
      <c r="F1808" s="885"/>
      <c r="G1808" s="885"/>
      <c r="H1808" s="930"/>
      <c r="I1808" s="885"/>
      <c r="J1808" s="885"/>
      <c r="K1808" s="885"/>
      <c r="L1808" s="885"/>
      <c r="M1808" s="885"/>
      <c r="N1808" s="887"/>
      <c r="O1808" s="885"/>
      <c r="P1808" s="885"/>
      <c r="Q1808" s="885"/>
      <c r="R1808" s="885"/>
      <c r="S1808" s="885"/>
      <c r="T1808" s="885"/>
      <c r="U1808" s="885"/>
      <c r="V1808" s="885"/>
      <c r="W1808" s="885"/>
      <c r="X1808" s="885"/>
      <c r="Y1808" s="885"/>
      <c r="Z1808" s="885"/>
    </row>
    <row r="1809" ht="15.75" customHeight="1">
      <c r="A1809" s="884"/>
      <c r="B1809" s="884"/>
      <c r="C1809" s="884"/>
      <c r="D1809" s="884"/>
      <c r="E1809" s="885"/>
      <c r="F1809" s="885"/>
      <c r="G1809" s="885"/>
      <c r="H1809" s="930"/>
      <c r="I1809" s="885"/>
      <c r="J1809" s="885"/>
      <c r="K1809" s="885"/>
      <c r="L1809" s="885"/>
      <c r="M1809" s="885"/>
      <c r="N1809" s="887"/>
      <c r="O1809" s="885"/>
      <c r="P1809" s="885"/>
      <c r="Q1809" s="885"/>
      <c r="R1809" s="885"/>
      <c r="S1809" s="885"/>
      <c r="T1809" s="885"/>
      <c r="U1809" s="885"/>
      <c r="V1809" s="885"/>
      <c r="W1809" s="885"/>
      <c r="X1809" s="885"/>
      <c r="Y1809" s="885"/>
      <c r="Z1809" s="885"/>
    </row>
    <row r="1810" ht="15.75" customHeight="1">
      <c r="A1810" s="884"/>
      <c r="B1810" s="884"/>
      <c r="C1810" s="884"/>
      <c r="D1810" s="884"/>
      <c r="E1810" s="885"/>
      <c r="F1810" s="885"/>
      <c r="G1810" s="885"/>
      <c r="H1810" s="930"/>
      <c r="I1810" s="885"/>
      <c r="J1810" s="885"/>
      <c r="K1810" s="885"/>
      <c r="L1810" s="885"/>
      <c r="M1810" s="885"/>
      <c r="N1810" s="887"/>
      <c r="O1810" s="885"/>
      <c r="P1810" s="885"/>
      <c r="Q1810" s="885"/>
      <c r="R1810" s="885"/>
      <c r="S1810" s="885"/>
      <c r="T1810" s="885"/>
      <c r="U1810" s="885"/>
      <c r="V1810" s="885"/>
      <c r="W1810" s="885"/>
      <c r="X1810" s="885"/>
      <c r="Y1810" s="885"/>
      <c r="Z1810" s="885"/>
    </row>
    <row r="1811" ht="15.75" customHeight="1">
      <c r="A1811" s="884"/>
      <c r="B1811" s="884"/>
      <c r="C1811" s="884"/>
      <c r="D1811" s="884"/>
      <c r="E1811" s="885"/>
      <c r="F1811" s="885"/>
      <c r="G1811" s="885"/>
      <c r="H1811" s="930"/>
      <c r="I1811" s="885"/>
      <c r="J1811" s="885"/>
      <c r="K1811" s="885"/>
      <c r="L1811" s="885"/>
      <c r="M1811" s="885"/>
      <c r="N1811" s="887"/>
      <c r="O1811" s="885"/>
      <c r="P1811" s="885"/>
      <c r="Q1811" s="885"/>
      <c r="R1811" s="885"/>
      <c r="S1811" s="885"/>
      <c r="T1811" s="885"/>
      <c r="U1811" s="885"/>
      <c r="V1811" s="885"/>
      <c r="W1811" s="885"/>
      <c r="X1811" s="885"/>
      <c r="Y1811" s="885"/>
      <c r="Z1811" s="885"/>
    </row>
    <row r="1812" ht="15.75" customHeight="1">
      <c r="A1812" s="884"/>
      <c r="B1812" s="884"/>
      <c r="C1812" s="884"/>
      <c r="D1812" s="884"/>
      <c r="E1812" s="885"/>
      <c r="F1812" s="885"/>
      <c r="G1812" s="885"/>
      <c r="H1812" s="930"/>
      <c r="I1812" s="885"/>
      <c r="J1812" s="885"/>
      <c r="K1812" s="885"/>
      <c r="L1812" s="885"/>
      <c r="M1812" s="885"/>
      <c r="N1812" s="887"/>
      <c r="O1812" s="885"/>
      <c r="P1812" s="885"/>
      <c r="Q1812" s="885"/>
      <c r="R1812" s="885"/>
      <c r="S1812" s="885"/>
      <c r="T1812" s="885"/>
      <c r="U1812" s="885"/>
      <c r="V1812" s="885"/>
      <c r="W1812" s="885"/>
      <c r="X1812" s="885"/>
      <c r="Y1812" s="885"/>
      <c r="Z1812" s="885"/>
    </row>
    <row r="1813" ht="15.75" customHeight="1">
      <c r="A1813" s="884"/>
      <c r="B1813" s="884"/>
      <c r="C1813" s="884"/>
      <c r="D1813" s="884"/>
      <c r="E1813" s="885"/>
      <c r="F1813" s="885"/>
      <c r="G1813" s="885"/>
      <c r="H1813" s="930"/>
      <c r="I1813" s="885"/>
      <c r="J1813" s="885"/>
      <c r="K1813" s="885"/>
      <c r="L1813" s="885"/>
      <c r="M1813" s="885"/>
      <c r="N1813" s="887"/>
      <c r="O1813" s="885"/>
      <c r="P1813" s="885"/>
      <c r="Q1813" s="885"/>
      <c r="R1813" s="885"/>
      <c r="S1813" s="885"/>
      <c r="T1813" s="885"/>
      <c r="U1813" s="885"/>
      <c r="V1813" s="885"/>
      <c r="W1813" s="885"/>
      <c r="X1813" s="885"/>
      <c r="Y1813" s="885"/>
      <c r="Z1813" s="885"/>
    </row>
    <row r="1814" ht="15.75" customHeight="1">
      <c r="A1814" s="884"/>
      <c r="B1814" s="884"/>
      <c r="C1814" s="884"/>
      <c r="D1814" s="884"/>
      <c r="E1814" s="885"/>
      <c r="F1814" s="885"/>
      <c r="G1814" s="885"/>
      <c r="H1814" s="930"/>
      <c r="I1814" s="885"/>
      <c r="J1814" s="885"/>
      <c r="K1814" s="885"/>
      <c r="L1814" s="885"/>
      <c r="M1814" s="885"/>
      <c r="N1814" s="887"/>
      <c r="O1814" s="885"/>
      <c r="P1814" s="885"/>
      <c r="Q1814" s="885"/>
      <c r="R1814" s="885"/>
      <c r="S1814" s="885"/>
      <c r="T1814" s="885"/>
      <c r="U1814" s="885"/>
      <c r="V1814" s="885"/>
      <c r="W1814" s="885"/>
      <c r="X1814" s="885"/>
      <c r="Y1814" s="885"/>
      <c r="Z1814" s="885"/>
    </row>
    <row r="1815" ht="15.75" customHeight="1">
      <c r="A1815" s="884"/>
      <c r="B1815" s="884"/>
      <c r="C1815" s="884"/>
      <c r="D1815" s="884"/>
      <c r="E1815" s="885"/>
      <c r="F1815" s="885"/>
      <c r="G1815" s="885"/>
      <c r="H1815" s="930"/>
      <c r="I1815" s="885"/>
      <c r="J1815" s="885"/>
      <c r="K1815" s="885"/>
      <c r="L1815" s="885"/>
      <c r="M1815" s="885"/>
      <c r="N1815" s="887"/>
      <c r="O1815" s="885"/>
      <c r="P1815" s="885"/>
      <c r="Q1815" s="885"/>
      <c r="R1815" s="885"/>
      <c r="S1815" s="885"/>
      <c r="T1815" s="885"/>
      <c r="U1815" s="885"/>
      <c r="V1815" s="885"/>
      <c r="W1815" s="885"/>
      <c r="X1815" s="885"/>
      <c r="Y1815" s="885"/>
      <c r="Z1815" s="885"/>
    </row>
    <row r="1816" ht="15.75" customHeight="1">
      <c r="A1816" s="884"/>
      <c r="B1816" s="884"/>
      <c r="C1816" s="884"/>
      <c r="D1816" s="884"/>
      <c r="E1816" s="885"/>
      <c r="F1816" s="885"/>
      <c r="G1816" s="885"/>
      <c r="H1816" s="930"/>
      <c r="I1816" s="885"/>
      <c r="J1816" s="885"/>
      <c r="K1816" s="885"/>
      <c r="L1816" s="885"/>
      <c r="M1816" s="885"/>
      <c r="N1816" s="887"/>
      <c r="O1816" s="885"/>
      <c r="P1816" s="885"/>
      <c r="Q1816" s="885"/>
      <c r="R1816" s="885"/>
      <c r="S1816" s="885"/>
      <c r="T1816" s="885"/>
      <c r="U1816" s="885"/>
      <c r="V1816" s="885"/>
      <c r="W1816" s="885"/>
      <c r="X1816" s="885"/>
      <c r="Y1816" s="885"/>
      <c r="Z1816" s="885"/>
    </row>
    <row r="1817" ht="15.75" customHeight="1">
      <c r="A1817" s="884"/>
      <c r="B1817" s="884"/>
      <c r="C1817" s="884"/>
      <c r="D1817" s="884"/>
      <c r="E1817" s="885"/>
      <c r="F1817" s="885"/>
      <c r="G1817" s="885"/>
      <c r="H1817" s="930"/>
      <c r="I1817" s="885"/>
      <c r="J1817" s="885"/>
      <c r="K1817" s="885"/>
      <c r="L1817" s="885"/>
      <c r="M1817" s="885"/>
      <c r="N1817" s="887"/>
      <c r="O1817" s="885"/>
      <c r="P1817" s="885"/>
      <c r="Q1817" s="885"/>
      <c r="R1817" s="885"/>
      <c r="S1817" s="885"/>
      <c r="T1817" s="885"/>
      <c r="U1817" s="885"/>
      <c r="V1817" s="885"/>
      <c r="W1817" s="885"/>
      <c r="X1817" s="885"/>
      <c r="Y1817" s="885"/>
      <c r="Z1817" s="885"/>
    </row>
    <row r="1818" ht="15.75" customHeight="1">
      <c r="A1818" s="884"/>
      <c r="B1818" s="884"/>
      <c r="C1818" s="884"/>
      <c r="D1818" s="884"/>
      <c r="E1818" s="885"/>
      <c r="F1818" s="885"/>
      <c r="G1818" s="885"/>
      <c r="H1818" s="930"/>
      <c r="I1818" s="885"/>
      <c r="J1818" s="885"/>
      <c r="K1818" s="885"/>
      <c r="L1818" s="885"/>
      <c r="M1818" s="885"/>
      <c r="N1818" s="887"/>
      <c r="O1818" s="885"/>
      <c r="P1818" s="885"/>
      <c r="Q1818" s="885"/>
      <c r="R1818" s="885"/>
      <c r="S1818" s="885"/>
      <c r="T1818" s="885"/>
      <c r="U1818" s="885"/>
      <c r="V1818" s="885"/>
      <c r="W1818" s="885"/>
      <c r="X1818" s="885"/>
      <c r="Y1818" s="885"/>
      <c r="Z1818" s="885"/>
    </row>
    <row r="1819" ht="15.75" customHeight="1">
      <c r="A1819" s="884"/>
      <c r="B1819" s="884"/>
      <c r="C1819" s="884"/>
      <c r="D1819" s="884"/>
      <c r="E1819" s="885"/>
      <c r="F1819" s="885"/>
      <c r="G1819" s="885"/>
      <c r="H1819" s="930"/>
      <c r="I1819" s="885"/>
      <c r="J1819" s="885"/>
      <c r="K1819" s="885"/>
      <c r="L1819" s="885"/>
      <c r="M1819" s="885"/>
      <c r="N1819" s="887"/>
      <c r="O1819" s="885"/>
      <c r="P1819" s="885"/>
      <c r="Q1819" s="885"/>
      <c r="R1819" s="885"/>
      <c r="S1819" s="885"/>
      <c r="T1819" s="885"/>
      <c r="U1819" s="885"/>
      <c r="V1819" s="885"/>
      <c r="W1819" s="885"/>
      <c r="X1819" s="885"/>
      <c r="Y1819" s="885"/>
      <c r="Z1819" s="885"/>
    </row>
    <row r="1820" ht="15.75" customHeight="1">
      <c r="A1820" s="884"/>
      <c r="B1820" s="884"/>
      <c r="C1820" s="884"/>
      <c r="D1820" s="884"/>
      <c r="E1820" s="885"/>
      <c r="F1820" s="885"/>
      <c r="G1820" s="885"/>
      <c r="H1820" s="930"/>
      <c r="I1820" s="885"/>
      <c r="J1820" s="885"/>
      <c r="K1820" s="885"/>
      <c r="L1820" s="885"/>
      <c r="M1820" s="885"/>
      <c r="N1820" s="887"/>
      <c r="O1820" s="885"/>
      <c r="P1820" s="885"/>
      <c r="Q1820" s="885"/>
      <c r="R1820" s="885"/>
      <c r="S1820" s="885"/>
      <c r="T1820" s="885"/>
      <c r="U1820" s="885"/>
      <c r="V1820" s="885"/>
      <c r="W1820" s="885"/>
      <c r="X1820" s="885"/>
      <c r="Y1820" s="885"/>
      <c r="Z1820" s="885"/>
    </row>
    <row r="1821" ht="15.75" customHeight="1">
      <c r="A1821" s="884"/>
      <c r="B1821" s="884"/>
      <c r="C1821" s="884"/>
      <c r="D1821" s="884"/>
      <c r="E1821" s="885"/>
      <c r="F1821" s="885"/>
      <c r="G1821" s="885"/>
      <c r="H1821" s="930"/>
      <c r="I1821" s="885"/>
      <c r="J1821" s="885"/>
      <c r="K1821" s="885"/>
      <c r="L1821" s="885"/>
      <c r="M1821" s="885"/>
      <c r="N1821" s="887"/>
      <c r="O1821" s="885"/>
      <c r="P1821" s="885"/>
      <c r="Q1821" s="885"/>
      <c r="R1821" s="885"/>
      <c r="S1821" s="885"/>
      <c r="T1821" s="885"/>
      <c r="U1821" s="885"/>
      <c r="V1821" s="885"/>
      <c r="W1821" s="885"/>
      <c r="X1821" s="885"/>
      <c r="Y1821" s="885"/>
      <c r="Z1821" s="885"/>
    </row>
    <row r="1822" ht="15.75" customHeight="1">
      <c r="A1822" s="884"/>
      <c r="B1822" s="884"/>
      <c r="C1822" s="884"/>
      <c r="D1822" s="884"/>
      <c r="E1822" s="885"/>
      <c r="F1822" s="885"/>
      <c r="G1822" s="885"/>
      <c r="H1822" s="930"/>
      <c r="I1822" s="885"/>
      <c r="J1822" s="885"/>
      <c r="K1822" s="885"/>
      <c r="L1822" s="885"/>
      <c r="M1822" s="885"/>
      <c r="N1822" s="887"/>
      <c r="O1822" s="885"/>
      <c r="P1822" s="885"/>
      <c r="Q1822" s="885"/>
      <c r="R1822" s="885"/>
      <c r="S1822" s="885"/>
      <c r="T1822" s="885"/>
      <c r="U1822" s="885"/>
      <c r="V1822" s="885"/>
      <c r="W1822" s="885"/>
      <c r="X1822" s="885"/>
      <c r="Y1822" s="885"/>
      <c r="Z1822" s="885"/>
    </row>
    <row r="1823" ht="15.75" customHeight="1">
      <c r="A1823" s="884"/>
      <c r="B1823" s="884"/>
      <c r="C1823" s="884"/>
      <c r="D1823" s="884"/>
      <c r="E1823" s="885"/>
      <c r="F1823" s="885"/>
      <c r="G1823" s="885"/>
      <c r="H1823" s="930"/>
      <c r="I1823" s="885"/>
      <c r="J1823" s="885"/>
      <c r="K1823" s="885"/>
      <c r="L1823" s="885"/>
      <c r="M1823" s="885"/>
      <c r="N1823" s="887"/>
      <c r="O1823" s="885"/>
      <c r="P1823" s="885"/>
      <c r="Q1823" s="885"/>
      <c r="R1823" s="885"/>
      <c r="S1823" s="885"/>
      <c r="T1823" s="885"/>
      <c r="U1823" s="885"/>
      <c r="V1823" s="885"/>
      <c r="W1823" s="885"/>
      <c r="X1823" s="885"/>
      <c r="Y1823" s="885"/>
      <c r="Z1823" s="885"/>
    </row>
    <row r="1824" ht="15.75" customHeight="1">
      <c r="A1824" s="884"/>
      <c r="B1824" s="884"/>
      <c r="C1824" s="884"/>
      <c r="D1824" s="884"/>
      <c r="E1824" s="885"/>
      <c r="F1824" s="885"/>
      <c r="G1824" s="885"/>
      <c r="H1824" s="930"/>
      <c r="I1824" s="885"/>
      <c r="J1824" s="885"/>
      <c r="K1824" s="885"/>
      <c r="L1824" s="885"/>
      <c r="M1824" s="885"/>
      <c r="N1824" s="887"/>
      <c r="O1824" s="885"/>
      <c r="P1824" s="885"/>
      <c r="Q1824" s="885"/>
      <c r="R1824" s="885"/>
      <c r="S1824" s="885"/>
      <c r="T1824" s="885"/>
      <c r="U1824" s="885"/>
      <c r="V1824" s="885"/>
      <c r="W1824" s="885"/>
      <c r="X1824" s="885"/>
      <c r="Y1824" s="885"/>
      <c r="Z1824" s="885"/>
    </row>
    <row r="1825" ht="15.75" customHeight="1">
      <c r="A1825" s="884"/>
      <c r="B1825" s="884"/>
      <c r="C1825" s="884"/>
      <c r="D1825" s="884"/>
      <c r="E1825" s="885"/>
      <c r="F1825" s="885"/>
      <c r="G1825" s="885"/>
      <c r="H1825" s="930"/>
      <c r="I1825" s="885"/>
      <c r="J1825" s="885"/>
      <c r="K1825" s="885"/>
      <c r="L1825" s="885"/>
      <c r="M1825" s="885"/>
      <c r="N1825" s="887"/>
      <c r="O1825" s="885"/>
      <c r="P1825" s="885"/>
      <c r="Q1825" s="885"/>
      <c r="R1825" s="885"/>
      <c r="S1825" s="885"/>
      <c r="T1825" s="885"/>
      <c r="U1825" s="885"/>
      <c r="V1825" s="885"/>
      <c r="W1825" s="885"/>
      <c r="X1825" s="885"/>
      <c r="Y1825" s="885"/>
      <c r="Z1825" s="885"/>
    </row>
    <row r="1826" ht="15.75" customHeight="1">
      <c r="A1826" s="884"/>
      <c r="B1826" s="884"/>
      <c r="C1826" s="884"/>
      <c r="D1826" s="884"/>
      <c r="E1826" s="885"/>
      <c r="F1826" s="885"/>
      <c r="G1826" s="885"/>
      <c r="H1826" s="930"/>
      <c r="I1826" s="885"/>
      <c r="J1826" s="885"/>
      <c r="K1826" s="885"/>
      <c r="L1826" s="885"/>
      <c r="M1826" s="885"/>
      <c r="N1826" s="887"/>
      <c r="O1826" s="885"/>
      <c r="P1826" s="885"/>
      <c r="Q1826" s="885"/>
      <c r="R1826" s="885"/>
      <c r="S1826" s="885"/>
      <c r="T1826" s="885"/>
      <c r="U1826" s="885"/>
      <c r="V1826" s="885"/>
      <c r="W1826" s="885"/>
      <c r="X1826" s="885"/>
      <c r="Y1826" s="885"/>
      <c r="Z1826" s="885"/>
    </row>
    <row r="1827" ht="15.75" customHeight="1">
      <c r="A1827" s="884"/>
      <c r="B1827" s="884"/>
      <c r="C1827" s="884"/>
      <c r="D1827" s="884"/>
      <c r="E1827" s="885"/>
      <c r="F1827" s="885"/>
      <c r="G1827" s="885"/>
      <c r="H1827" s="930"/>
      <c r="I1827" s="885"/>
      <c r="J1827" s="885"/>
      <c r="K1827" s="885"/>
      <c r="L1827" s="885"/>
      <c r="M1827" s="885"/>
      <c r="N1827" s="887"/>
      <c r="O1827" s="885"/>
      <c r="P1827" s="885"/>
      <c r="Q1827" s="885"/>
      <c r="R1827" s="885"/>
      <c r="S1827" s="885"/>
      <c r="T1827" s="885"/>
      <c r="U1827" s="885"/>
      <c r="V1827" s="885"/>
      <c r="W1827" s="885"/>
      <c r="X1827" s="885"/>
      <c r="Y1827" s="885"/>
      <c r="Z1827" s="885"/>
    </row>
    <row r="1828" ht="15.75" customHeight="1">
      <c r="A1828" s="884"/>
      <c r="B1828" s="884"/>
      <c r="C1828" s="884"/>
      <c r="D1828" s="884"/>
      <c r="E1828" s="885"/>
      <c r="F1828" s="885"/>
      <c r="G1828" s="885"/>
      <c r="H1828" s="930"/>
      <c r="I1828" s="885"/>
      <c r="J1828" s="885"/>
      <c r="K1828" s="885"/>
      <c r="L1828" s="885"/>
      <c r="M1828" s="885"/>
      <c r="N1828" s="887"/>
      <c r="O1828" s="885"/>
      <c r="P1828" s="885"/>
      <c r="Q1828" s="885"/>
      <c r="R1828" s="885"/>
      <c r="S1828" s="885"/>
      <c r="T1828" s="885"/>
      <c r="U1828" s="885"/>
      <c r="V1828" s="885"/>
      <c r="W1828" s="885"/>
      <c r="X1828" s="885"/>
      <c r="Y1828" s="885"/>
      <c r="Z1828" s="885"/>
    </row>
    <row r="1829" ht="15.75" customHeight="1">
      <c r="A1829" s="884"/>
      <c r="B1829" s="884"/>
      <c r="C1829" s="884"/>
      <c r="D1829" s="884"/>
      <c r="E1829" s="885"/>
      <c r="F1829" s="885"/>
      <c r="G1829" s="885"/>
      <c r="H1829" s="930"/>
      <c r="I1829" s="885"/>
      <c r="J1829" s="885"/>
      <c r="K1829" s="885"/>
      <c r="L1829" s="885"/>
      <c r="M1829" s="885"/>
      <c r="N1829" s="887"/>
      <c r="O1829" s="885"/>
      <c r="P1829" s="885"/>
      <c r="Q1829" s="885"/>
      <c r="R1829" s="885"/>
      <c r="S1829" s="885"/>
      <c r="T1829" s="885"/>
      <c r="U1829" s="885"/>
      <c r="V1829" s="885"/>
      <c r="W1829" s="885"/>
      <c r="X1829" s="885"/>
      <c r="Y1829" s="885"/>
      <c r="Z1829" s="885"/>
    </row>
    <row r="1830" ht="15.75" customHeight="1">
      <c r="A1830" s="884"/>
      <c r="B1830" s="884"/>
      <c r="C1830" s="884"/>
      <c r="D1830" s="884"/>
      <c r="E1830" s="885"/>
      <c r="F1830" s="885"/>
      <c r="G1830" s="885"/>
      <c r="H1830" s="930"/>
      <c r="I1830" s="885"/>
      <c r="J1830" s="885"/>
      <c r="K1830" s="885"/>
      <c r="L1830" s="885"/>
      <c r="M1830" s="885"/>
      <c r="N1830" s="887"/>
      <c r="O1830" s="885"/>
      <c r="P1830" s="885"/>
      <c r="Q1830" s="885"/>
      <c r="R1830" s="885"/>
      <c r="S1830" s="885"/>
      <c r="T1830" s="885"/>
      <c r="U1830" s="885"/>
      <c r="V1830" s="885"/>
      <c r="W1830" s="885"/>
      <c r="X1830" s="885"/>
      <c r="Y1830" s="885"/>
      <c r="Z1830" s="885"/>
    </row>
    <row r="1831" ht="15.75" customHeight="1">
      <c r="A1831" s="884"/>
      <c r="B1831" s="884"/>
      <c r="C1831" s="884"/>
      <c r="D1831" s="884"/>
      <c r="E1831" s="885"/>
      <c r="F1831" s="885"/>
      <c r="G1831" s="885"/>
      <c r="H1831" s="930"/>
      <c r="I1831" s="885"/>
      <c r="J1831" s="885"/>
      <c r="K1831" s="885"/>
      <c r="L1831" s="885"/>
      <c r="M1831" s="885"/>
      <c r="N1831" s="887"/>
      <c r="O1831" s="885"/>
      <c r="P1831" s="885"/>
      <c r="Q1831" s="885"/>
      <c r="R1831" s="885"/>
      <c r="S1831" s="885"/>
      <c r="T1831" s="885"/>
      <c r="U1831" s="885"/>
      <c r="V1831" s="885"/>
      <c r="W1831" s="885"/>
      <c r="X1831" s="885"/>
      <c r="Y1831" s="885"/>
      <c r="Z1831" s="885"/>
    </row>
    <row r="1832" ht="15.75" customHeight="1">
      <c r="A1832" s="884"/>
      <c r="B1832" s="884"/>
      <c r="C1832" s="884"/>
      <c r="D1832" s="884"/>
      <c r="E1832" s="885"/>
      <c r="F1832" s="885"/>
      <c r="G1832" s="885"/>
      <c r="H1832" s="930"/>
      <c r="I1832" s="885"/>
      <c r="J1832" s="885"/>
      <c r="K1832" s="885"/>
      <c r="L1832" s="885"/>
      <c r="M1832" s="885"/>
      <c r="N1832" s="887"/>
      <c r="O1832" s="885"/>
      <c r="P1832" s="885"/>
      <c r="Q1832" s="885"/>
      <c r="R1832" s="885"/>
      <c r="S1832" s="885"/>
      <c r="T1832" s="885"/>
      <c r="U1832" s="885"/>
      <c r="V1832" s="885"/>
      <c r="W1832" s="885"/>
      <c r="X1832" s="885"/>
      <c r="Y1832" s="885"/>
      <c r="Z1832" s="885"/>
    </row>
    <row r="1833" ht="15.75" customHeight="1">
      <c r="A1833" s="884"/>
      <c r="B1833" s="884"/>
      <c r="C1833" s="884"/>
      <c r="D1833" s="884"/>
      <c r="E1833" s="885"/>
      <c r="F1833" s="885"/>
      <c r="G1833" s="885"/>
      <c r="H1833" s="930"/>
      <c r="I1833" s="885"/>
      <c r="J1833" s="885"/>
      <c r="K1833" s="885"/>
      <c r="L1833" s="885"/>
      <c r="M1833" s="885"/>
      <c r="N1833" s="887"/>
      <c r="O1833" s="885"/>
      <c r="P1833" s="885"/>
      <c r="Q1833" s="885"/>
      <c r="R1833" s="885"/>
      <c r="S1833" s="885"/>
      <c r="T1833" s="885"/>
      <c r="U1833" s="885"/>
      <c r="V1833" s="885"/>
      <c r="W1833" s="885"/>
      <c r="X1833" s="885"/>
      <c r="Y1833" s="885"/>
      <c r="Z1833" s="885"/>
    </row>
    <row r="1834" ht="15.75" customHeight="1">
      <c r="A1834" s="884"/>
      <c r="B1834" s="884"/>
      <c r="C1834" s="884"/>
      <c r="D1834" s="884"/>
      <c r="E1834" s="885"/>
      <c r="F1834" s="885"/>
      <c r="G1834" s="885"/>
      <c r="H1834" s="930"/>
      <c r="I1834" s="885"/>
      <c r="J1834" s="885"/>
      <c r="K1834" s="885"/>
      <c r="L1834" s="885"/>
      <c r="M1834" s="885"/>
      <c r="N1834" s="887"/>
      <c r="O1834" s="885"/>
      <c r="P1834" s="885"/>
      <c r="Q1834" s="885"/>
      <c r="R1834" s="885"/>
      <c r="S1834" s="885"/>
      <c r="T1834" s="885"/>
      <c r="U1834" s="885"/>
      <c r="V1834" s="885"/>
      <c r="W1834" s="885"/>
      <c r="X1834" s="885"/>
      <c r="Y1834" s="885"/>
      <c r="Z1834" s="885"/>
    </row>
    <row r="1835" ht="15.75" customHeight="1">
      <c r="A1835" s="884"/>
      <c r="B1835" s="884"/>
      <c r="C1835" s="884"/>
      <c r="D1835" s="884"/>
      <c r="E1835" s="885"/>
      <c r="F1835" s="885"/>
      <c r="G1835" s="885"/>
      <c r="H1835" s="930"/>
      <c r="I1835" s="885"/>
      <c r="J1835" s="885"/>
      <c r="K1835" s="885"/>
      <c r="L1835" s="885"/>
      <c r="M1835" s="885"/>
      <c r="N1835" s="887"/>
      <c r="O1835" s="885"/>
      <c r="P1835" s="885"/>
      <c r="Q1835" s="885"/>
      <c r="R1835" s="885"/>
      <c r="S1835" s="885"/>
      <c r="T1835" s="885"/>
      <c r="U1835" s="885"/>
      <c r="V1835" s="885"/>
      <c r="W1835" s="885"/>
      <c r="X1835" s="885"/>
      <c r="Y1835" s="885"/>
      <c r="Z1835" s="885"/>
    </row>
    <row r="1836" ht="15.75" customHeight="1">
      <c r="A1836" s="884"/>
      <c r="B1836" s="884"/>
      <c r="C1836" s="884"/>
      <c r="D1836" s="884"/>
      <c r="E1836" s="885"/>
      <c r="F1836" s="885"/>
      <c r="G1836" s="885"/>
      <c r="H1836" s="930"/>
      <c r="I1836" s="885"/>
      <c r="J1836" s="885"/>
      <c r="K1836" s="885"/>
      <c r="L1836" s="885"/>
      <c r="M1836" s="885"/>
      <c r="N1836" s="887"/>
      <c r="O1836" s="885"/>
      <c r="P1836" s="885"/>
      <c r="Q1836" s="885"/>
      <c r="R1836" s="885"/>
      <c r="S1836" s="885"/>
      <c r="T1836" s="885"/>
      <c r="U1836" s="885"/>
      <c r="V1836" s="885"/>
      <c r="W1836" s="885"/>
      <c r="X1836" s="885"/>
      <c r="Y1836" s="885"/>
      <c r="Z1836" s="885"/>
    </row>
    <row r="1837" ht="15.75" customHeight="1">
      <c r="A1837" s="884"/>
      <c r="B1837" s="884"/>
      <c r="C1837" s="884"/>
      <c r="D1837" s="884"/>
      <c r="E1837" s="885"/>
      <c r="F1837" s="885"/>
      <c r="G1837" s="885"/>
      <c r="H1837" s="930"/>
      <c r="I1837" s="885"/>
      <c r="J1837" s="885"/>
      <c r="K1837" s="885"/>
      <c r="L1837" s="885"/>
      <c r="M1837" s="885"/>
      <c r="N1837" s="887"/>
      <c r="O1837" s="885"/>
      <c r="P1837" s="885"/>
      <c r="Q1837" s="885"/>
      <c r="R1837" s="885"/>
      <c r="S1837" s="885"/>
      <c r="T1837" s="885"/>
      <c r="U1837" s="885"/>
      <c r="V1837" s="885"/>
      <c r="W1837" s="885"/>
      <c r="X1837" s="885"/>
      <c r="Y1837" s="885"/>
      <c r="Z1837" s="885"/>
    </row>
    <row r="1838" ht="15.75" customHeight="1">
      <c r="A1838" s="884"/>
      <c r="B1838" s="884"/>
      <c r="C1838" s="884"/>
      <c r="D1838" s="884"/>
      <c r="E1838" s="885"/>
      <c r="F1838" s="885"/>
      <c r="G1838" s="885"/>
      <c r="H1838" s="930"/>
      <c r="I1838" s="885"/>
      <c r="J1838" s="885"/>
      <c r="K1838" s="885"/>
      <c r="L1838" s="885"/>
      <c r="M1838" s="885"/>
      <c r="N1838" s="887"/>
      <c r="O1838" s="885"/>
      <c r="P1838" s="885"/>
      <c r="Q1838" s="885"/>
      <c r="R1838" s="885"/>
      <c r="S1838" s="885"/>
      <c r="T1838" s="885"/>
      <c r="U1838" s="885"/>
      <c r="V1838" s="885"/>
      <c r="W1838" s="885"/>
      <c r="X1838" s="885"/>
      <c r="Y1838" s="885"/>
      <c r="Z1838" s="885"/>
    </row>
    <row r="1839" ht="15.75" customHeight="1">
      <c r="A1839" s="884"/>
      <c r="B1839" s="884"/>
      <c r="C1839" s="884"/>
      <c r="D1839" s="884"/>
      <c r="E1839" s="885"/>
      <c r="F1839" s="885"/>
      <c r="G1839" s="885"/>
      <c r="H1839" s="930"/>
      <c r="I1839" s="885"/>
      <c r="J1839" s="885"/>
      <c r="K1839" s="885"/>
      <c r="L1839" s="885"/>
      <c r="M1839" s="885"/>
      <c r="N1839" s="887"/>
      <c r="O1839" s="885"/>
      <c r="P1839" s="885"/>
      <c r="Q1839" s="885"/>
      <c r="R1839" s="885"/>
      <c r="S1839" s="885"/>
      <c r="T1839" s="885"/>
      <c r="U1839" s="885"/>
      <c r="V1839" s="885"/>
      <c r="W1839" s="885"/>
      <c r="X1839" s="885"/>
      <c r="Y1839" s="885"/>
      <c r="Z1839" s="885"/>
    </row>
    <row r="1840" ht="15.75" customHeight="1">
      <c r="A1840" s="884"/>
      <c r="B1840" s="884"/>
      <c r="C1840" s="884"/>
      <c r="D1840" s="884"/>
      <c r="E1840" s="885"/>
      <c r="F1840" s="885"/>
      <c r="G1840" s="885"/>
      <c r="H1840" s="930"/>
      <c r="I1840" s="885"/>
      <c r="J1840" s="885"/>
      <c r="K1840" s="885"/>
      <c r="L1840" s="885"/>
      <c r="M1840" s="885"/>
      <c r="N1840" s="887"/>
      <c r="O1840" s="885"/>
      <c r="P1840" s="885"/>
      <c r="Q1840" s="885"/>
      <c r="R1840" s="885"/>
      <c r="S1840" s="885"/>
      <c r="T1840" s="885"/>
      <c r="U1840" s="885"/>
      <c r="V1840" s="885"/>
      <c r="W1840" s="885"/>
      <c r="X1840" s="885"/>
      <c r="Y1840" s="885"/>
      <c r="Z1840" s="885"/>
    </row>
    <row r="1841" ht="15.75" customHeight="1">
      <c r="A1841" s="884"/>
      <c r="B1841" s="884"/>
      <c r="C1841" s="884"/>
      <c r="D1841" s="884"/>
      <c r="E1841" s="885"/>
      <c r="F1841" s="885"/>
      <c r="G1841" s="885"/>
      <c r="H1841" s="930"/>
      <c r="I1841" s="885"/>
      <c r="J1841" s="885"/>
      <c r="K1841" s="885"/>
      <c r="L1841" s="885"/>
      <c r="M1841" s="885"/>
      <c r="N1841" s="887"/>
      <c r="O1841" s="885"/>
      <c r="P1841" s="885"/>
      <c r="Q1841" s="885"/>
      <c r="R1841" s="885"/>
      <c r="S1841" s="885"/>
      <c r="T1841" s="885"/>
      <c r="U1841" s="885"/>
      <c r="V1841" s="885"/>
      <c r="W1841" s="885"/>
      <c r="X1841" s="885"/>
      <c r="Y1841" s="885"/>
      <c r="Z1841" s="885"/>
    </row>
    <row r="1842" ht="15.75" customHeight="1">
      <c r="A1842" s="884"/>
      <c r="B1842" s="884"/>
      <c r="C1842" s="884"/>
      <c r="D1842" s="884"/>
      <c r="E1842" s="885"/>
      <c r="F1842" s="885"/>
      <c r="G1842" s="885"/>
      <c r="H1842" s="930"/>
      <c r="I1842" s="885"/>
      <c r="J1842" s="885"/>
      <c r="K1842" s="885"/>
      <c r="L1842" s="885"/>
      <c r="M1842" s="885"/>
      <c r="N1842" s="887"/>
      <c r="O1842" s="885"/>
      <c r="P1842" s="885"/>
      <c r="Q1842" s="885"/>
      <c r="R1842" s="885"/>
      <c r="S1842" s="885"/>
      <c r="T1842" s="885"/>
      <c r="U1842" s="885"/>
      <c r="V1842" s="885"/>
      <c r="W1842" s="885"/>
      <c r="X1842" s="885"/>
      <c r="Y1842" s="885"/>
      <c r="Z1842" s="885"/>
    </row>
    <row r="1843" ht="15.75" customHeight="1">
      <c r="A1843" s="884"/>
      <c r="B1843" s="884"/>
      <c r="C1843" s="884"/>
      <c r="D1843" s="884"/>
      <c r="E1843" s="885"/>
      <c r="F1843" s="885"/>
      <c r="G1843" s="885"/>
      <c r="H1843" s="930"/>
      <c r="I1843" s="885"/>
      <c r="J1843" s="885"/>
      <c r="K1843" s="885"/>
      <c r="L1843" s="885"/>
      <c r="M1843" s="885"/>
      <c r="N1843" s="887"/>
      <c r="O1843" s="885"/>
      <c r="P1843" s="885"/>
      <c r="Q1843" s="885"/>
      <c r="R1843" s="885"/>
      <c r="S1843" s="885"/>
      <c r="T1843" s="885"/>
      <c r="U1843" s="885"/>
      <c r="V1843" s="885"/>
      <c r="W1843" s="885"/>
      <c r="X1843" s="885"/>
      <c r="Y1843" s="885"/>
      <c r="Z1843" s="885"/>
    </row>
    <row r="1844" ht="15.75" customHeight="1">
      <c r="A1844" s="884"/>
      <c r="B1844" s="884"/>
      <c r="C1844" s="884"/>
      <c r="D1844" s="884"/>
      <c r="E1844" s="885"/>
      <c r="F1844" s="885"/>
      <c r="G1844" s="885"/>
      <c r="H1844" s="930"/>
      <c r="I1844" s="885"/>
      <c r="J1844" s="885"/>
      <c r="K1844" s="885"/>
      <c r="L1844" s="885"/>
      <c r="M1844" s="885"/>
      <c r="N1844" s="887"/>
      <c r="O1844" s="885"/>
      <c r="P1844" s="885"/>
      <c r="Q1844" s="885"/>
      <c r="R1844" s="885"/>
      <c r="S1844" s="885"/>
      <c r="T1844" s="885"/>
      <c r="U1844" s="885"/>
      <c r="V1844" s="885"/>
      <c r="W1844" s="885"/>
      <c r="X1844" s="885"/>
      <c r="Y1844" s="885"/>
      <c r="Z1844" s="885"/>
    </row>
    <row r="1845" ht="15.75" customHeight="1">
      <c r="A1845" s="884"/>
      <c r="B1845" s="884"/>
      <c r="C1845" s="884"/>
      <c r="D1845" s="884"/>
      <c r="E1845" s="885"/>
      <c r="F1845" s="885"/>
      <c r="G1845" s="885"/>
      <c r="H1845" s="930"/>
      <c r="I1845" s="885"/>
      <c r="J1845" s="885"/>
      <c r="K1845" s="885"/>
      <c r="L1845" s="885"/>
      <c r="M1845" s="885"/>
      <c r="N1845" s="887"/>
      <c r="O1845" s="885"/>
      <c r="P1845" s="885"/>
      <c r="Q1845" s="885"/>
      <c r="R1845" s="885"/>
      <c r="S1845" s="885"/>
      <c r="T1845" s="885"/>
      <c r="U1845" s="885"/>
      <c r="V1845" s="885"/>
      <c r="W1845" s="885"/>
      <c r="X1845" s="885"/>
      <c r="Y1845" s="885"/>
      <c r="Z1845" s="885"/>
    </row>
    <row r="1846" ht="15.75" customHeight="1">
      <c r="A1846" s="884"/>
      <c r="B1846" s="884"/>
      <c r="C1846" s="884"/>
      <c r="D1846" s="884"/>
      <c r="E1846" s="885"/>
      <c r="F1846" s="885"/>
      <c r="G1846" s="885"/>
      <c r="H1846" s="930"/>
      <c r="I1846" s="885"/>
      <c r="J1846" s="885"/>
      <c r="K1846" s="885"/>
      <c r="L1846" s="885"/>
      <c r="M1846" s="885"/>
      <c r="N1846" s="887"/>
      <c r="O1846" s="885"/>
      <c r="P1846" s="885"/>
      <c r="Q1846" s="885"/>
      <c r="R1846" s="885"/>
      <c r="S1846" s="885"/>
      <c r="T1846" s="885"/>
      <c r="U1846" s="885"/>
      <c r="V1846" s="885"/>
      <c r="W1846" s="885"/>
      <c r="X1846" s="885"/>
      <c r="Y1846" s="885"/>
      <c r="Z1846" s="885"/>
    </row>
    <row r="1847" ht="15.75" customHeight="1">
      <c r="A1847" s="884"/>
      <c r="B1847" s="884"/>
      <c r="C1847" s="884"/>
      <c r="D1847" s="884"/>
      <c r="E1847" s="885"/>
      <c r="F1847" s="885"/>
      <c r="G1847" s="885"/>
      <c r="H1847" s="930"/>
      <c r="I1847" s="885"/>
      <c r="J1847" s="885"/>
      <c r="K1847" s="885"/>
      <c r="L1847" s="885"/>
      <c r="M1847" s="885"/>
      <c r="N1847" s="887"/>
      <c r="O1847" s="885"/>
      <c r="P1847" s="885"/>
      <c r="Q1847" s="885"/>
      <c r="R1847" s="885"/>
      <c r="S1847" s="885"/>
      <c r="T1847" s="885"/>
      <c r="U1847" s="885"/>
      <c r="V1847" s="885"/>
      <c r="W1847" s="885"/>
      <c r="X1847" s="885"/>
      <c r="Y1847" s="885"/>
      <c r="Z1847" s="885"/>
    </row>
    <row r="1848" ht="15.75" customHeight="1">
      <c r="A1848" s="884"/>
      <c r="B1848" s="884"/>
      <c r="C1848" s="884"/>
      <c r="D1848" s="884"/>
      <c r="E1848" s="885"/>
      <c r="F1848" s="885"/>
      <c r="G1848" s="885"/>
      <c r="H1848" s="930"/>
      <c r="I1848" s="885"/>
      <c r="J1848" s="885"/>
      <c r="K1848" s="885"/>
      <c r="L1848" s="885"/>
      <c r="M1848" s="885"/>
      <c r="N1848" s="887"/>
      <c r="O1848" s="885"/>
      <c r="P1848" s="885"/>
      <c r="Q1848" s="885"/>
      <c r="R1848" s="885"/>
      <c r="S1848" s="885"/>
      <c r="T1848" s="885"/>
      <c r="U1848" s="885"/>
      <c r="V1848" s="885"/>
      <c r="W1848" s="885"/>
      <c r="X1848" s="885"/>
      <c r="Y1848" s="885"/>
      <c r="Z1848" s="885"/>
    </row>
    <row r="1849" ht="15.75" customHeight="1">
      <c r="A1849" s="884"/>
      <c r="B1849" s="884"/>
      <c r="C1849" s="884"/>
      <c r="D1849" s="884"/>
      <c r="E1849" s="885"/>
      <c r="F1849" s="885"/>
      <c r="G1849" s="885"/>
      <c r="H1849" s="930"/>
      <c r="I1849" s="885"/>
      <c r="J1849" s="885"/>
      <c r="K1849" s="885"/>
      <c r="L1849" s="885"/>
      <c r="M1849" s="885"/>
      <c r="N1849" s="887"/>
      <c r="O1849" s="885"/>
      <c r="P1849" s="885"/>
      <c r="Q1849" s="885"/>
      <c r="R1849" s="885"/>
      <c r="S1849" s="885"/>
      <c r="T1849" s="885"/>
      <c r="U1849" s="885"/>
      <c r="V1849" s="885"/>
      <c r="W1849" s="885"/>
      <c r="X1849" s="885"/>
      <c r="Y1849" s="885"/>
      <c r="Z1849" s="885"/>
    </row>
    <row r="1850" ht="15.75" customHeight="1">
      <c r="A1850" s="884"/>
      <c r="B1850" s="884"/>
      <c r="C1850" s="884"/>
      <c r="D1850" s="884"/>
      <c r="E1850" s="885"/>
      <c r="F1850" s="885"/>
      <c r="G1850" s="885"/>
      <c r="H1850" s="930"/>
      <c r="I1850" s="885"/>
      <c r="J1850" s="885"/>
      <c r="K1850" s="885"/>
      <c r="L1850" s="885"/>
      <c r="M1850" s="885"/>
      <c r="N1850" s="887"/>
      <c r="O1850" s="885"/>
      <c r="P1850" s="885"/>
      <c r="Q1850" s="885"/>
      <c r="R1850" s="885"/>
      <c r="S1850" s="885"/>
      <c r="T1850" s="885"/>
      <c r="U1850" s="885"/>
      <c r="V1850" s="885"/>
      <c r="W1850" s="885"/>
      <c r="X1850" s="885"/>
      <c r="Y1850" s="885"/>
      <c r="Z1850" s="885"/>
    </row>
    <row r="1851" ht="15.75" customHeight="1">
      <c r="A1851" s="884"/>
      <c r="B1851" s="884"/>
      <c r="C1851" s="884"/>
      <c r="D1851" s="884"/>
      <c r="E1851" s="885"/>
      <c r="F1851" s="885"/>
      <c r="G1851" s="885"/>
      <c r="H1851" s="930"/>
      <c r="I1851" s="885"/>
      <c r="J1851" s="885"/>
      <c r="K1851" s="885"/>
      <c r="L1851" s="885"/>
      <c r="M1851" s="885"/>
      <c r="N1851" s="887"/>
      <c r="O1851" s="885"/>
      <c r="P1851" s="885"/>
      <c r="Q1851" s="885"/>
      <c r="R1851" s="885"/>
      <c r="S1851" s="885"/>
      <c r="T1851" s="885"/>
      <c r="U1851" s="885"/>
      <c r="V1851" s="885"/>
      <c r="W1851" s="885"/>
      <c r="X1851" s="885"/>
      <c r="Y1851" s="885"/>
      <c r="Z1851" s="885"/>
    </row>
    <row r="1852" ht="15.75" customHeight="1">
      <c r="A1852" s="884"/>
      <c r="B1852" s="884"/>
      <c r="C1852" s="884"/>
      <c r="D1852" s="884"/>
      <c r="E1852" s="885"/>
      <c r="F1852" s="885"/>
      <c r="G1852" s="885"/>
      <c r="H1852" s="930"/>
      <c r="I1852" s="885"/>
      <c r="J1852" s="885"/>
      <c r="K1852" s="885"/>
      <c r="L1852" s="885"/>
      <c r="M1852" s="885"/>
      <c r="N1852" s="887"/>
      <c r="O1852" s="885"/>
      <c r="P1852" s="885"/>
      <c r="Q1852" s="885"/>
      <c r="R1852" s="885"/>
      <c r="S1852" s="885"/>
      <c r="T1852" s="885"/>
      <c r="U1852" s="885"/>
      <c r="V1852" s="885"/>
      <c r="W1852" s="885"/>
      <c r="X1852" s="885"/>
      <c r="Y1852" s="885"/>
      <c r="Z1852" s="885"/>
    </row>
    <row r="1853" ht="15.75" customHeight="1">
      <c r="A1853" s="884"/>
      <c r="B1853" s="884"/>
      <c r="C1853" s="884"/>
      <c r="D1853" s="884"/>
      <c r="E1853" s="885"/>
      <c r="F1853" s="885"/>
      <c r="G1853" s="885"/>
      <c r="H1853" s="930"/>
      <c r="I1853" s="885"/>
      <c r="J1853" s="885"/>
      <c r="K1853" s="885"/>
      <c r="L1853" s="885"/>
      <c r="M1853" s="885"/>
      <c r="N1853" s="887"/>
      <c r="O1853" s="885"/>
      <c r="P1853" s="885"/>
      <c r="Q1853" s="885"/>
      <c r="R1853" s="885"/>
      <c r="S1853" s="885"/>
      <c r="T1853" s="885"/>
      <c r="U1853" s="885"/>
      <c r="V1853" s="885"/>
      <c r="W1853" s="885"/>
      <c r="X1853" s="885"/>
      <c r="Y1853" s="885"/>
      <c r="Z1853" s="885"/>
    </row>
    <row r="1854" ht="15.75" customHeight="1">
      <c r="A1854" s="884"/>
      <c r="B1854" s="884"/>
      <c r="C1854" s="884"/>
      <c r="D1854" s="884"/>
      <c r="E1854" s="885"/>
      <c r="F1854" s="885"/>
      <c r="G1854" s="885"/>
      <c r="H1854" s="930"/>
      <c r="I1854" s="885"/>
      <c r="J1854" s="885"/>
      <c r="K1854" s="885"/>
      <c r="L1854" s="885"/>
      <c r="M1854" s="885"/>
      <c r="N1854" s="887"/>
      <c r="O1854" s="885"/>
      <c r="P1854" s="885"/>
      <c r="Q1854" s="885"/>
      <c r="R1854" s="885"/>
      <c r="S1854" s="885"/>
      <c r="T1854" s="885"/>
      <c r="U1854" s="885"/>
      <c r="V1854" s="885"/>
      <c r="W1854" s="885"/>
      <c r="X1854" s="885"/>
      <c r="Y1854" s="885"/>
      <c r="Z1854" s="885"/>
    </row>
    <row r="1855" ht="15.75" customHeight="1">
      <c r="A1855" s="884"/>
      <c r="B1855" s="884"/>
      <c r="C1855" s="884"/>
      <c r="D1855" s="884"/>
      <c r="E1855" s="885"/>
      <c r="F1855" s="885"/>
      <c r="G1855" s="885"/>
      <c r="H1855" s="930"/>
      <c r="I1855" s="885"/>
      <c r="J1855" s="885"/>
      <c r="K1855" s="885"/>
      <c r="L1855" s="885"/>
      <c r="M1855" s="885"/>
      <c r="N1855" s="887"/>
      <c r="O1855" s="885"/>
      <c r="P1855" s="885"/>
      <c r="Q1855" s="885"/>
      <c r="R1855" s="885"/>
      <c r="S1855" s="885"/>
      <c r="T1855" s="885"/>
      <c r="U1855" s="885"/>
      <c r="V1855" s="885"/>
      <c r="W1855" s="885"/>
      <c r="X1855" s="885"/>
      <c r="Y1855" s="885"/>
      <c r="Z1855" s="885"/>
    </row>
    <row r="1856" ht="15.75" customHeight="1">
      <c r="A1856" s="884"/>
      <c r="B1856" s="884"/>
      <c r="C1856" s="884"/>
      <c r="D1856" s="884"/>
      <c r="E1856" s="885"/>
      <c r="F1856" s="885"/>
      <c r="G1856" s="885"/>
      <c r="H1856" s="930"/>
      <c r="I1856" s="885"/>
      <c r="J1856" s="885"/>
      <c r="K1856" s="885"/>
      <c r="L1856" s="885"/>
      <c r="M1856" s="885"/>
      <c r="N1856" s="887"/>
      <c r="O1856" s="885"/>
      <c r="P1856" s="885"/>
      <c r="Q1856" s="885"/>
      <c r="R1856" s="885"/>
      <c r="S1856" s="885"/>
      <c r="T1856" s="885"/>
      <c r="U1856" s="885"/>
      <c r="V1856" s="885"/>
      <c r="W1856" s="885"/>
      <c r="X1856" s="885"/>
      <c r="Y1856" s="885"/>
      <c r="Z1856" s="885"/>
    </row>
    <row r="1857" ht="15.75" customHeight="1">
      <c r="A1857" s="884"/>
      <c r="B1857" s="884"/>
      <c r="C1857" s="884"/>
      <c r="D1857" s="884"/>
      <c r="E1857" s="885"/>
      <c r="F1857" s="885"/>
      <c r="G1857" s="885"/>
      <c r="H1857" s="930"/>
      <c r="I1857" s="885"/>
      <c r="J1857" s="885"/>
      <c r="K1857" s="885"/>
      <c r="L1857" s="885"/>
      <c r="M1857" s="885"/>
      <c r="N1857" s="887"/>
      <c r="O1857" s="885"/>
      <c r="P1857" s="885"/>
      <c r="Q1857" s="885"/>
      <c r="R1857" s="885"/>
      <c r="S1857" s="885"/>
      <c r="T1857" s="885"/>
      <c r="U1857" s="885"/>
      <c r="V1857" s="885"/>
      <c r="W1857" s="885"/>
      <c r="X1857" s="885"/>
      <c r="Y1857" s="885"/>
      <c r="Z1857" s="885"/>
    </row>
    <row r="1858" ht="15.75" customHeight="1">
      <c r="A1858" s="884"/>
      <c r="B1858" s="884"/>
      <c r="C1858" s="884"/>
      <c r="D1858" s="884"/>
      <c r="E1858" s="885"/>
      <c r="F1858" s="885"/>
      <c r="G1858" s="885"/>
      <c r="H1858" s="930"/>
      <c r="I1858" s="885"/>
      <c r="J1858" s="885"/>
      <c r="K1858" s="885"/>
      <c r="L1858" s="885"/>
      <c r="M1858" s="885"/>
      <c r="N1858" s="887"/>
      <c r="O1858" s="885"/>
      <c r="P1858" s="885"/>
      <c r="Q1858" s="885"/>
      <c r="R1858" s="885"/>
      <c r="S1858" s="885"/>
      <c r="T1858" s="885"/>
      <c r="U1858" s="885"/>
      <c r="V1858" s="885"/>
      <c r="W1858" s="885"/>
      <c r="X1858" s="885"/>
      <c r="Y1858" s="885"/>
      <c r="Z1858" s="885"/>
    </row>
    <row r="1859" ht="15.75" customHeight="1">
      <c r="A1859" s="884"/>
      <c r="B1859" s="884"/>
      <c r="C1859" s="884"/>
      <c r="D1859" s="884"/>
      <c r="E1859" s="885"/>
      <c r="F1859" s="885"/>
      <c r="G1859" s="885"/>
      <c r="H1859" s="930"/>
      <c r="I1859" s="885"/>
      <c r="J1859" s="885"/>
      <c r="K1859" s="885"/>
      <c r="L1859" s="885"/>
      <c r="M1859" s="885"/>
      <c r="N1859" s="887"/>
      <c r="O1859" s="885"/>
      <c r="P1859" s="885"/>
      <c r="Q1859" s="885"/>
      <c r="R1859" s="885"/>
      <c r="S1859" s="885"/>
      <c r="T1859" s="885"/>
      <c r="U1859" s="885"/>
      <c r="V1859" s="885"/>
      <c r="W1859" s="885"/>
      <c r="X1859" s="885"/>
      <c r="Y1859" s="885"/>
      <c r="Z1859" s="885"/>
    </row>
    <row r="1860" ht="15.75" customHeight="1">
      <c r="A1860" s="884"/>
      <c r="B1860" s="884"/>
      <c r="C1860" s="884"/>
      <c r="D1860" s="884"/>
      <c r="E1860" s="885"/>
      <c r="F1860" s="885"/>
      <c r="G1860" s="885"/>
      <c r="H1860" s="930"/>
      <c r="I1860" s="885"/>
      <c r="J1860" s="885"/>
      <c r="K1860" s="885"/>
      <c r="L1860" s="885"/>
      <c r="M1860" s="885"/>
      <c r="N1860" s="887"/>
      <c r="O1860" s="885"/>
      <c r="P1860" s="885"/>
      <c r="Q1860" s="885"/>
      <c r="R1860" s="885"/>
      <c r="S1860" s="885"/>
      <c r="T1860" s="885"/>
      <c r="U1860" s="885"/>
      <c r="V1860" s="885"/>
      <c r="W1860" s="885"/>
      <c r="X1860" s="885"/>
      <c r="Y1860" s="885"/>
      <c r="Z1860" s="885"/>
    </row>
    <row r="1861" ht="15.75" customHeight="1">
      <c r="A1861" s="884"/>
      <c r="B1861" s="884"/>
      <c r="C1861" s="884"/>
      <c r="D1861" s="884"/>
      <c r="E1861" s="885"/>
      <c r="F1861" s="885"/>
      <c r="G1861" s="885"/>
      <c r="H1861" s="930"/>
      <c r="I1861" s="885"/>
      <c r="J1861" s="885"/>
      <c r="K1861" s="885"/>
      <c r="L1861" s="885"/>
      <c r="M1861" s="885"/>
      <c r="N1861" s="887"/>
      <c r="O1861" s="885"/>
      <c r="P1861" s="885"/>
      <c r="Q1861" s="885"/>
      <c r="R1861" s="885"/>
      <c r="S1861" s="885"/>
      <c r="T1861" s="885"/>
      <c r="U1861" s="885"/>
      <c r="V1861" s="885"/>
      <c r="W1861" s="885"/>
      <c r="X1861" s="885"/>
      <c r="Y1861" s="885"/>
      <c r="Z1861" s="885"/>
    </row>
    <row r="1862" ht="15.75" customHeight="1">
      <c r="A1862" s="884"/>
      <c r="B1862" s="884"/>
      <c r="C1862" s="884"/>
      <c r="D1862" s="884"/>
      <c r="E1862" s="885"/>
      <c r="F1862" s="885"/>
      <c r="G1862" s="885"/>
      <c r="H1862" s="930"/>
      <c r="I1862" s="885"/>
      <c r="J1862" s="885"/>
      <c r="K1862" s="885"/>
      <c r="L1862" s="885"/>
      <c r="M1862" s="885"/>
      <c r="N1862" s="887"/>
      <c r="O1862" s="885"/>
      <c r="P1862" s="885"/>
      <c r="Q1862" s="885"/>
      <c r="R1862" s="885"/>
      <c r="S1862" s="885"/>
      <c r="T1862" s="885"/>
      <c r="U1862" s="885"/>
      <c r="V1862" s="885"/>
      <c r="W1862" s="885"/>
      <c r="X1862" s="885"/>
      <c r="Y1862" s="885"/>
      <c r="Z1862" s="885"/>
    </row>
    <row r="1863" ht="15.75" customHeight="1">
      <c r="A1863" s="884"/>
      <c r="B1863" s="884"/>
      <c r="C1863" s="884"/>
      <c r="D1863" s="884"/>
      <c r="E1863" s="885"/>
      <c r="F1863" s="885"/>
      <c r="G1863" s="885"/>
      <c r="H1863" s="930"/>
      <c r="I1863" s="885"/>
      <c r="J1863" s="885"/>
      <c r="K1863" s="885"/>
      <c r="L1863" s="885"/>
      <c r="M1863" s="885"/>
      <c r="N1863" s="887"/>
      <c r="O1863" s="885"/>
      <c r="P1863" s="885"/>
      <c r="Q1863" s="885"/>
      <c r="R1863" s="885"/>
      <c r="S1863" s="885"/>
      <c r="T1863" s="885"/>
      <c r="U1863" s="885"/>
      <c r="V1863" s="885"/>
      <c r="W1863" s="885"/>
      <c r="X1863" s="885"/>
      <c r="Y1863" s="885"/>
      <c r="Z1863" s="885"/>
    </row>
    <row r="1864" ht="15.75" customHeight="1">
      <c r="A1864" s="884"/>
      <c r="B1864" s="884"/>
      <c r="C1864" s="884"/>
      <c r="D1864" s="884"/>
      <c r="E1864" s="885"/>
      <c r="F1864" s="885"/>
      <c r="G1864" s="885"/>
      <c r="H1864" s="930"/>
      <c r="I1864" s="885"/>
      <c r="J1864" s="885"/>
      <c r="K1864" s="885"/>
      <c r="L1864" s="885"/>
      <c r="M1864" s="885"/>
      <c r="N1864" s="887"/>
      <c r="O1864" s="885"/>
      <c r="P1864" s="885"/>
      <c r="Q1864" s="885"/>
      <c r="R1864" s="885"/>
      <c r="S1864" s="885"/>
      <c r="T1864" s="885"/>
      <c r="U1864" s="885"/>
      <c r="V1864" s="885"/>
      <c r="W1864" s="885"/>
      <c r="X1864" s="885"/>
      <c r="Y1864" s="885"/>
      <c r="Z1864" s="885"/>
    </row>
    <row r="1865" ht="15.75" customHeight="1">
      <c r="A1865" s="884"/>
      <c r="B1865" s="884"/>
      <c r="C1865" s="884"/>
      <c r="D1865" s="884"/>
      <c r="E1865" s="885"/>
      <c r="F1865" s="885"/>
      <c r="G1865" s="885"/>
      <c r="H1865" s="930"/>
      <c r="I1865" s="885"/>
      <c r="J1865" s="885"/>
      <c r="K1865" s="885"/>
      <c r="L1865" s="885"/>
      <c r="M1865" s="885"/>
      <c r="N1865" s="887"/>
      <c r="O1865" s="885"/>
      <c r="P1865" s="885"/>
      <c r="Q1865" s="885"/>
      <c r="R1865" s="885"/>
      <c r="S1865" s="885"/>
      <c r="T1865" s="885"/>
      <c r="U1865" s="885"/>
      <c r="V1865" s="885"/>
      <c r="W1865" s="885"/>
      <c r="X1865" s="885"/>
      <c r="Y1865" s="885"/>
      <c r="Z1865" s="885"/>
    </row>
    <row r="1866" ht="15.75" customHeight="1">
      <c r="A1866" s="884"/>
      <c r="B1866" s="884"/>
      <c r="C1866" s="884"/>
      <c r="D1866" s="884"/>
      <c r="E1866" s="885"/>
      <c r="F1866" s="885"/>
      <c r="G1866" s="885"/>
      <c r="H1866" s="930"/>
      <c r="I1866" s="885"/>
      <c r="J1866" s="885"/>
      <c r="K1866" s="885"/>
      <c r="L1866" s="885"/>
      <c r="M1866" s="885"/>
      <c r="N1866" s="887"/>
      <c r="O1866" s="885"/>
      <c r="P1866" s="885"/>
      <c r="Q1866" s="885"/>
      <c r="R1866" s="885"/>
      <c r="S1866" s="885"/>
      <c r="T1866" s="885"/>
      <c r="U1866" s="885"/>
      <c r="V1866" s="885"/>
      <c r="W1866" s="885"/>
      <c r="X1866" s="885"/>
      <c r="Y1866" s="885"/>
      <c r="Z1866" s="885"/>
    </row>
    <row r="1867" ht="15.75" customHeight="1">
      <c r="A1867" s="884"/>
      <c r="B1867" s="884"/>
      <c r="C1867" s="884"/>
      <c r="D1867" s="884"/>
      <c r="E1867" s="885"/>
      <c r="F1867" s="885"/>
      <c r="G1867" s="885"/>
      <c r="H1867" s="930"/>
      <c r="I1867" s="885"/>
      <c r="J1867" s="885"/>
      <c r="K1867" s="885"/>
      <c r="L1867" s="885"/>
      <c r="M1867" s="885"/>
      <c r="N1867" s="887"/>
      <c r="O1867" s="885"/>
      <c r="P1867" s="885"/>
      <c r="Q1867" s="885"/>
      <c r="R1867" s="885"/>
      <c r="S1867" s="885"/>
      <c r="T1867" s="885"/>
      <c r="U1867" s="885"/>
      <c r="V1867" s="885"/>
      <c r="W1867" s="885"/>
      <c r="X1867" s="885"/>
      <c r="Y1867" s="885"/>
      <c r="Z1867" s="885"/>
    </row>
    <row r="1868" ht="15.75" customHeight="1">
      <c r="A1868" s="884"/>
      <c r="B1868" s="884"/>
      <c r="C1868" s="884"/>
      <c r="D1868" s="884"/>
      <c r="E1868" s="885"/>
      <c r="F1868" s="885"/>
      <c r="G1868" s="885"/>
      <c r="H1868" s="930"/>
      <c r="I1868" s="885"/>
      <c r="J1868" s="885"/>
      <c r="K1868" s="885"/>
      <c r="L1868" s="885"/>
      <c r="M1868" s="885"/>
      <c r="N1868" s="887"/>
      <c r="O1868" s="885"/>
      <c r="P1868" s="885"/>
      <c r="Q1868" s="885"/>
      <c r="R1868" s="885"/>
      <c r="S1868" s="885"/>
      <c r="T1868" s="885"/>
      <c r="U1868" s="885"/>
      <c r="V1868" s="885"/>
      <c r="W1868" s="885"/>
      <c r="X1868" s="885"/>
      <c r="Y1868" s="885"/>
      <c r="Z1868" s="885"/>
    </row>
    <row r="1869" ht="15.75" customHeight="1">
      <c r="A1869" s="884"/>
      <c r="B1869" s="884"/>
      <c r="C1869" s="884"/>
      <c r="D1869" s="884"/>
      <c r="E1869" s="885"/>
      <c r="F1869" s="885"/>
      <c r="G1869" s="885"/>
      <c r="H1869" s="930"/>
      <c r="I1869" s="885"/>
      <c r="J1869" s="885"/>
      <c r="K1869" s="885"/>
      <c r="L1869" s="885"/>
      <c r="M1869" s="885"/>
      <c r="N1869" s="887"/>
      <c r="O1869" s="885"/>
      <c r="P1869" s="885"/>
      <c r="Q1869" s="885"/>
      <c r="R1869" s="885"/>
      <c r="S1869" s="885"/>
      <c r="T1869" s="885"/>
      <c r="U1869" s="885"/>
      <c r="V1869" s="885"/>
      <c r="W1869" s="885"/>
      <c r="X1869" s="885"/>
      <c r="Y1869" s="885"/>
      <c r="Z1869" s="885"/>
    </row>
    <row r="1870" ht="15.75" customHeight="1">
      <c r="A1870" s="884"/>
      <c r="B1870" s="884"/>
      <c r="C1870" s="884"/>
      <c r="D1870" s="884"/>
      <c r="E1870" s="885"/>
      <c r="F1870" s="885"/>
      <c r="G1870" s="885"/>
      <c r="H1870" s="930"/>
      <c r="I1870" s="885"/>
      <c r="J1870" s="885"/>
      <c r="K1870" s="885"/>
      <c r="L1870" s="885"/>
      <c r="M1870" s="885"/>
      <c r="N1870" s="887"/>
      <c r="O1870" s="885"/>
      <c r="P1870" s="885"/>
      <c r="Q1870" s="885"/>
      <c r="R1870" s="885"/>
      <c r="S1870" s="885"/>
      <c r="T1870" s="885"/>
      <c r="U1870" s="885"/>
      <c r="V1870" s="885"/>
      <c r="W1870" s="885"/>
      <c r="X1870" s="885"/>
      <c r="Y1870" s="885"/>
      <c r="Z1870" s="885"/>
    </row>
    <row r="1871" ht="15.75" customHeight="1">
      <c r="A1871" s="884"/>
      <c r="B1871" s="884"/>
      <c r="C1871" s="884"/>
      <c r="D1871" s="884"/>
      <c r="E1871" s="885"/>
      <c r="F1871" s="885"/>
      <c r="G1871" s="885"/>
      <c r="H1871" s="930"/>
      <c r="I1871" s="885"/>
      <c r="J1871" s="885"/>
      <c r="K1871" s="885"/>
      <c r="L1871" s="885"/>
      <c r="M1871" s="885"/>
      <c r="N1871" s="887"/>
      <c r="O1871" s="885"/>
      <c r="P1871" s="885"/>
      <c r="Q1871" s="885"/>
      <c r="R1871" s="885"/>
      <c r="S1871" s="885"/>
      <c r="T1871" s="885"/>
      <c r="U1871" s="885"/>
      <c r="V1871" s="885"/>
      <c r="W1871" s="885"/>
      <c r="X1871" s="885"/>
      <c r="Y1871" s="885"/>
      <c r="Z1871" s="885"/>
    </row>
    <row r="1872" ht="15.75" customHeight="1">
      <c r="A1872" s="884"/>
      <c r="B1872" s="884"/>
      <c r="C1872" s="884"/>
      <c r="D1872" s="884"/>
      <c r="E1872" s="885"/>
      <c r="F1872" s="885"/>
      <c r="G1872" s="885"/>
      <c r="H1872" s="930"/>
      <c r="I1872" s="885"/>
      <c r="J1872" s="885"/>
      <c r="K1872" s="885"/>
      <c r="L1872" s="885"/>
      <c r="M1872" s="885"/>
      <c r="N1872" s="887"/>
      <c r="O1872" s="885"/>
      <c r="P1872" s="885"/>
      <c r="Q1872" s="885"/>
      <c r="R1872" s="885"/>
      <c r="S1872" s="885"/>
      <c r="T1872" s="885"/>
      <c r="U1872" s="885"/>
      <c r="V1872" s="885"/>
      <c r="W1872" s="885"/>
      <c r="X1872" s="885"/>
      <c r="Y1872" s="885"/>
      <c r="Z1872" s="885"/>
    </row>
    <row r="1873" ht="15.75" customHeight="1">
      <c r="A1873" s="884"/>
      <c r="B1873" s="884"/>
      <c r="C1873" s="884"/>
      <c r="D1873" s="884"/>
      <c r="E1873" s="885"/>
      <c r="F1873" s="885"/>
      <c r="G1873" s="885"/>
      <c r="H1873" s="930"/>
      <c r="I1873" s="885"/>
      <c r="J1873" s="885"/>
      <c r="K1873" s="885"/>
      <c r="L1873" s="885"/>
      <c r="M1873" s="885"/>
      <c r="N1873" s="887"/>
      <c r="O1873" s="885"/>
      <c r="P1873" s="885"/>
      <c r="Q1873" s="885"/>
      <c r="R1873" s="885"/>
      <c r="S1873" s="885"/>
      <c r="T1873" s="885"/>
      <c r="U1873" s="885"/>
      <c r="V1873" s="885"/>
      <c r="W1873" s="885"/>
      <c r="X1873" s="885"/>
      <c r="Y1873" s="885"/>
      <c r="Z1873" s="885"/>
    </row>
    <row r="1874" ht="15.75" customHeight="1">
      <c r="A1874" s="884"/>
      <c r="B1874" s="884"/>
      <c r="C1874" s="884"/>
      <c r="D1874" s="884"/>
      <c r="E1874" s="885"/>
      <c r="F1874" s="885"/>
      <c r="G1874" s="885"/>
      <c r="H1874" s="930"/>
      <c r="I1874" s="885"/>
      <c r="J1874" s="885"/>
      <c r="K1874" s="885"/>
      <c r="L1874" s="885"/>
      <c r="M1874" s="885"/>
      <c r="N1874" s="887"/>
      <c r="O1874" s="885"/>
      <c r="P1874" s="885"/>
      <c r="Q1874" s="885"/>
      <c r="R1874" s="885"/>
      <c r="S1874" s="885"/>
      <c r="T1874" s="885"/>
      <c r="U1874" s="885"/>
      <c r="V1874" s="885"/>
      <c r="W1874" s="885"/>
      <c r="X1874" s="885"/>
      <c r="Y1874" s="885"/>
      <c r="Z1874" s="885"/>
    </row>
    <row r="1875" ht="15.75" customHeight="1">
      <c r="A1875" s="884"/>
      <c r="B1875" s="884"/>
      <c r="C1875" s="884"/>
      <c r="D1875" s="884"/>
      <c r="E1875" s="885"/>
      <c r="F1875" s="885"/>
      <c r="G1875" s="885"/>
      <c r="H1875" s="930"/>
      <c r="I1875" s="885"/>
      <c r="J1875" s="885"/>
      <c r="K1875" s="885"/>
      <c r="L1875" s="885"/>
      <c r="M1875" s="885"/>
      <c r="N1875" s="887"/>
      <c r="O1875" s="885"/>
      <c r="P1875" s="885"/>
      <c r="Q1875" s="885"/>
      <c r="R1875" s="885"/>
      <c r="S1875" s="885"/>
      <c r="T1875" s="885"/>
      <c r="U1875" s="885"/>
      <c r="V1875" s="885"/>
      <c r="W1875" s="885"/>
      <c r="X1875" s="885"/>
      <c r="Y1875" s="885"/>
      <c r="Z1875" s="885"/>
    </row>
    <row r="1876" ht="15.75" customHeight="1">
      <c r="A1876" s="884"/>
      <c r="B1876" s="884"/>
      <c r="C1876" s="884"/>
      <c r="D1876" s="884"/>
      <c r="E1876" s="885"/>
      <c r="F1876" s="885"/>
      <c r="G1876" s="885"/>
      <c r="H1876" s="930"/>
      <c r="I1876" s="885"/>
      <c r="J1876" s="885"/>
      <c r="K1876" s="885"/>
      <c r="L1876" s="885"/>
      <c r="M1876" s="885"/>
      <c r="N1876" s="887"/>
      <c r="O1876" s="885"/>
      <c r="P1876" s="885"/>
      <c r="Q1876" s="885"/>
      <c r="R1876" s="885"/>
      <c r="S1876" s="885"/>
      <c r="T1876" s="885"/>
      <c r="U1876" s="885"/>
      <c r="V1876" s="885"/>
      <c r="W1876" s="885"/>
      <c r="X1876" s="885"/>
      <c r="Y1876" s="885"/>
      <c r="Z1876" s="885"/>
    </row>
    <row r="1877" ht="15.75" customHeight="1">
      <c r="A1877" s="884"/>
      <c r="B1877" s="884"/>
      <c r="C1877" s="884"/>
      <c r="D1877" s="884"/>
      <c r="E1877" s="885"/>
      <c r="F1877" s="885"/>
      <c r="G1877" s="885"/>
      <c r="H1877" s="930"/>
      <c r="I1877" s="885"/>
      <c r="J1877" s="885"/>
      <c r="K1877" s="885"/>
      <c r="L1877" s="885"/>
      <c r="M1877" s="885"/>
      <c r="N1877" s="887"/>
      <c r="O1877" s="885"/>
      <c r="P1877" s="885"/>
      <c r="Q1877" s="885"/>
      <c r="R1877" s="885"/>
      <c r="S1877" s="885"/>
      <c r="T1877" s="885"/>
      <c r="U1877" s="885"/>
      <c r="V1877" s="885"/>
      <c r="W1877" s="885"/>
      <c r="X1877" s="885"/>
      <c r="Y1877" s="885"/>
      <c r="Z1877" s="885"/>
    </row>
    <row r="1878" ht="15.75" customHeight="1">
      <c r="A1878" s="884"/>
      <c r="B1878" s="884"/>
      <c r="C1878" s="884"/>
      <c r="D1878" s="884"/>
      <c r="E1878" s="885"/>
      <c r="F1878" s="885"/>
      <c r="G1878" s="885"/>
      <c r="H1878" s="930"/>
      <c r="I1878" s="885"/>
      <c r="J1878" s="885"/>
      <c r="K1878" s="885"/>
      <c r="L1878" s="885"/>
      <c r="M1878" s="885"/>
      <c r="N1878" s="887"/>
      <c r="O1878" s="885"/>
      <c r="P1878" s="885"/>
      <c r="Q1878" s="885"/>
      <c r="R1878" s="885"/>
      <c r="S1878" s="885"/>
      <c r="T1878" s="885"/>
      <c r="U1878" s="885"/>
      <c r="V1878" s="885"/>
      <c r="W1878" s="885"/>
      <c r="X1878" s="885"/>
      <c r="Y1878" s="885"/>
      <c r="Z1878" s="885"/>
    </row>
    <row r="1879" ht="15.75" customHeight="1">
      <c r="A1879" s="884"/>
      <c r="B1879" s="884"/>
      <c r="C1879" s="884"/>
      <c r="D1879" s="884"/>
      <c r="E1879" s="885"/>
      <c r="F1879" s="885"/>
      <c r="G1879" s="885"/>
      <c r="H1879" s="930"/>
      <c r="I1879" s="885"/>
      <c r="J1879" s="885"/>
      <c r="K1879" s="885"/>
      <c r="L1879" s="885"/>
      <c r="M1879" s="885"/>
      <c r="N1879" s="887"/>
      <c r="O1879" s="885"/>
      <c r="P1879" s="885"/>
      <c r="Q1879" s="885"/>
      <c r="R1879" s="885"/>
      <c r="S1879" s="885"/>
      <c r="T1879" s="885"/>
      <c r="U1879" s="885"/>
      <c r="V1879" s="885"/>
      <c r="W1879" s="885"/>
      <c r="X1879" s="885"/>
      <c r="Y1879" s="885"/>
      <c r="Z1879" s="885"/>
    </row>
    <row r="1880" ht="15.75" customHeight="1">
      <c r="A1880" s="884"/>
      <c r="B1880" s="884"/>
      <c r="C1880" s="884"/>
      <c r="D1880" s="884"/>
      <c r="E1880" s="885"/>
      <c r="F1880" s="885"/>
      <c r="G1880" s="885"/>
      <c r="H1880" s="930"/>
      <c r="I1880" s="885"/>
      <c r="J1880" s="885"/>
      <c r="K1880" s="885"/>
      <c r="L1880" s="885"/>
      <c r="M1880" s="885"/>
      <c r="N1880" s="887"/>
      <c r="O1880" s="885"/>
      <c r="P1880" s="885"/>
      <c r="Q1880" s="885"/>
      <c r="R1880" s="885"/>
      <c r="S1880" s="885"/>
      <c r="T1880" s="885"/>
      <c r="U1880" s="885"/>
      <c r="V1880" s="885"/>
      <c r="W1880" s="885"/>
      <c r="X1880" s="885"/>
      <c r="Y1880" s="885"/>
      <c r="Z1880" s="885"/>
    </row>
    <row r="1881" ht="15.75" customHeight="1">
      <c r="A1881" s="884"/>
      <c r="B1881" s="884"/>
      <c r="C1881" s="884"/>
      <c r="D1881" s="884"/>
      <c r="E1881" s="885"/>
      <c r="F1881" s="885"/>
      <c r="G1881" s="885"/>
      <c r="H1881" s="930"/>
      <c r="I1881" s="885"/>
      <c r="J1881" s="885"/>
      <c r="K1881" s="885"/>
      <c r="L1881" s="885"/>
      <c r="M1881" s="885"/>
      <c r="N1881" s="887"/>
      <c r="O1881" s="885"/>
      <c r="P1881" s="885"/>
      <c r="Q1881" s="885"/>
      <c r="R1881" s="885"/>
      <c r="S1881" s="885"/>
      <c r="T1881" s="885"/>
      <c r="U1881" s="885"/>
      <c r="V1881" s="885"/>
      <c r="W1881" s="885"/>
      <c r="X1881" s="885"/>
      <c r="Y1881" s="885"/>
      <c r="Z1881" s="885"/>
    </row>
    <row r="1882" ht="15.75" customHeight="1">
      <c r="A1882" s="884"/>
      <c r="B1882" s="884"/>
      <c r="C1882" s="884"/>
      <c r="D1882" s="884"/>
      <c r="E1882" s="885"/>
      <c r="F1882" s="885"/>
      <c r="G1882" s="885"/>
      <c r="H1882" s="930"/>
      <c r="I1882" s="885"/>
      <c r="J1882" s="885"/>
      <c r="K1882" s="885"/>
      <c r="L1882" s="885"/>
      <c r="M1882" s="885"/>
      <c r="N1882" s="887"/>
      <c r="O1882" s="885"/>
      <c r="P1882" s="885"/>
      <c r="Q1882" s="885"/>
      <c r="R1882" s="885"/>
      <c r="S1882" s="885"/>
      <c r="T1882" s="885"/>
      <c r="U1882" s="885"/>
      <c r="V1882" s="885"/>
      <c r="W1882" s="885"/>
      <c r="X1882" s="885"/>
      <c r="Y1882" s="885"/>
      <c r="Z1882" s="885"/>
    </row>
    <row r="1883" ht="15.75" customHeight="1">
      <c r="A1883" s="884"/>
      <c r="B1883" s="884"/>
      <c r="C1883" s="884"/>
      <c r="D1883" s="884"/>
      <c r="E1883" s="885"/>
      <c r="F1883" s="885"/>
      <c r="G1883" s="885"/>
      <c r="H1883" s="930"/>
      <c r="I1883" s="885"/>
      <c r="J1883" s="885"/>
      <c r="K1883" s="885"/>
      <c r="L1883" s="885"/>
      <c r="M1883" s="885"/>
      <c r="N1883" s="887"/>
      <c r="O1883" s="885"/>
      <c r="P1883" s="885"/>
      <c r="Q1883" s="885"/>
      <c r="R1883" s="885"/>
      <c r="S1883" s="885"/>
      <c r="T1883" s="885"/>
      <c r="U1883" s="885"/>
      <c r="V1883" s="885"/>
      <c r="W1883" s="885"/>
      <c r="X1883" s="885"/>
      <c r="Y1883" s="885"/>
      <c r="Z1883" s="885"/>
    </row>
    <row r="1884" ht="15.75" customHeight="1">
      <c r="A1884" s="884"/>
      <c r="B1884" s="884"/>
      <c r="C1884" s="884"/>
      <c r="D1884" s="884"/>
      <c r="E1884" s="885"/>
      <c r="F1884" s="885"/>
      <c r="G1884" s="885"/>
      <c r="H1884" s="930"/>
      <c r="I1884" s="885"/>
      <c r="J1884" s="885"/>
      <c r="K1884" s="885"/>
      <c r="L1884" s="885"/>
      <c r="M1884" s="885"/>
      <c r="N1884" s="887"/>
      <c r="O1884" s="885"/>
      <c r="P1884" s="885"/>
      <c r="Q1884" s="885"/>
      <c r="R1884" s="885"/>
      <c r="S1884" s="885"/>
      <c r="T1884" s="885"/>
      <c r="U1884" s="885"/>
      <c r="V1884" s="885"/>
      <c r="W1884" s="885"/>
      <c r="X1884" s="885"/>
      <c r="Y1884" s="885"/>
      <c r="Z1884" s="885"/>
    </row>
    <row r="1885" ht="15.75" customHeight="1">
      <c r="A1885" s="884"/>
      <c r="B1885" s="884"/>
      <c r="C1885" s="884"/>
      <c r="D1885" s="884"/>
      <c r="E1885" s="885"/>
      <c r="F1885" s="885"/>
      <c r="G1885" s="885"/>
      <c r="H1885" s="930"/>
      <c r="I1885" s="885"/>
      <c r="J1885" s="885"/>
      <c r="K1885" s="885"/>
      <c r="L1885" s="885"/>
      <c r="M1885" s="885"/>
      <c r="N1885" s="887"/>
      <c r="O1885" s="885"/>
      <c r="P1885" s="885"/>
      <c r="Q1885" s="885"/>
      <c r="R1885" s="885"/>
      <c r="S1885" s="885"/>
      <c r="T1885" s="885"/>
      <c r="U1885" s="885"/>
      <c r="V1885" s="885"/>
      <c r="W1885" s="885"/>
      <c r="X1885" s="885"/>
      <c r="Y1885" s="885"/>
      <c r="Z1885" s="885"/>
    </row>
    <row r="1886" ht="15.75" customHeight="1">
      <c r="A1886" s="884"/>
      <c r="B1886" s="884"/>
      <c r="C1886" s="884"/>
      <c r="D1886" s="884"/>
      <c r="E1886" s="885"/>
      <c r="F1886" s="885"/>
      <c r="G1886" s="885"/>
      <c r="H1886" s="930"/>
      <c r="I1886" s="885"/>
      <c r="J1886" s="885"/>
      <c r="K1886" s="885"/>
      <c r="L1886" s="885"/>
      <c r="M1886" s="885"/>
      <c r="N1886" s="887"/>
      <c r="O1886" s="885"/>
      <c r="P1886" s="885"/>
      <c r="Q1886" s="885"/>
      <c r="R1886" s="885"/>
      <c r="S1886" s="885"/>
      <c r="T1886" s="885"/>
      <c r="U1886" s="885"/>
      <c r="V1886" s="885"/>
      <c r="W1886" s="885"/>
      <c r="X1886" s="885"/>
      <c r="Y1886" s="885"/>
      <c r="Z1886" s="885"/>
    </row>
    <row r="1887" ht="15.75" customHeight="1">
      <c r="A1887" s="884"/>
      <c r="B1887" s="884"/>
      <c r="C1887" s="884"/>
      <c r="D1887" s="884"/>
      <c r="E1887" s="885"/>
      <c r="F1887" s="885"/>
      <c r="G1887" s="885"/>
      <c r="H1887" s="930"/>
      <c r="I1887" s="885"/>
      <c r="J1887" s="885"/>
      <c r="K1887" s="885"/>
      <c r="L1887" s="885"/>
      <c r="M1887" s="885"/>
      <c r="N1887" s="887"/>
      <c r="O1887" s="885"/>
      <c r="P1887" s="885"/>
      <c r="Q1887" s="885"/>
      <c r="R1887" s="885"/>
      <c r="S1887" s="885"/>
      <c r="T1887" s="885"/>
      <c r="U1887" s="885"/>
      <c r="V1887" s="885"/>
      <c r="W1887" s="885"/>
      <c r="X1887" s="885"/>
      <c r="Y1887" s="885"/>
      <c r="Z1887" s="885"/>
    </row>
    <row r="1888" ht="15.75" customHeight="1">
      <c r="A1888" s="884"/>
      <c r="B1888" s="884"/>
      <c r="C1888" s="884"/>
      <c r="D1888" s="884"/>
      <c r="E1888" s="885"/>
      <c r="F1888" s="885"/>
      <c r="G1888" s="885"/>
      <c r="H1888" s="930"/>
      <c r="I1888" s="885"/>
      <c r="J1888" s="885"/>
      <c r="K1888" s="885"/>
      <c r="L1888" s="885"/>
      <c r="M1888" s="885"/>
      <c r="N1888" s="887"/>
      <c r="O1888" s="885"/>
      <c r="P1888" s="885"/>
      <c r="Q1888" s="885"/>
      <c r="R1888" s="885"/>
      <c r="S1888" s="885"/>
      <c r="T1888" s="885"/>
      <c r="U1888" s="885"/>
      <c r="V1888" s="885"/>
      <c r="W1888" s="885"/>
      <c r="X1888" s="885"/>
      <c r="Y1888" s="885"/>
      <c r="Z1888" s="885"/>
    </row>
    <row r="1889" ht="15.75" customHeight="1">
      <c r="A1889" s="884"/>
      <c r="B1889" s="884"/>
      <c r="C1889" s="884"/>
      <c r="D1889" s="884"/>
      <c r="E1889" s="885"/>
      <c r="F1889" s="885"/>
      <c r="G1889" s="885"/>
      <c r="H1889" s="930"/>
      <c r="I1889" s="885"/>
      <c r="J1889" s="885"/>
      <c r="K1889" s="885"/>
      <c r="L1889" s="885"/>
      <c r="M1889" s="885"/>
      <c r="N1889" s="887"/>
      <c r="O1889" s="885"/>
      <c r="P1889" s="885"/>
      <c r="Q1889" s="885"/>
      <c r="R1889" s="885"/>
      <c r="S1889" s="885"/>
      <c r="T1889" s="885"/>
      <c r="U1889" s="885"/>
      <c r="V1889" s="885"/>
      <c r="W1889" s="885"/>
      <c r="X1889" s="885"/>
      <c r="Y1889" s="885"/>
      <c r="Z1889" s="885"/>
    </row>
  </sheetData>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77" t="s">
        <v>2867</v>
      </c>
      <c r="B1" s="977" t="s">
        <v>2868</v>
      </c>
      <c r="C1" s="977" t="s">
        <v>1517</v>
      </c>
      <c r="D1" s="977" t="s">
        <v>600</v>
      </c>
      <c r="E1" s="977" t="s">
        <v>2869</v>
      </c>
      <c r="F1" s="977" t="s">
        <v>2870</v>
      </c>
    </row>
    <row r="2">
      <c r="A2" s="978" t="s">
        <v>2871</v>
      </c>
      <c r="B2" s="978" t="s">
        <v>2872</v>
      </c>
      <c r="C2" s="979" t="s">
        <v>2873</v>
      </c>
      <c r="D2" s="979" t="s">
        <v>301</v>
      </c>
      <c r="E2" s="979" t="s">
        <v>2874</v>
      </c>
      <c r="F2" s="980">
        <v>146.0</v>
      </c>
    </row>
    <row r="3">
      <c r="A3" s="981"/>
      <c r="B3" s="981"/>
      <c r="C3" s="979" t="s">
        <v>2875</v>
      </c>
      <c r="D3" s="979" t="s">
        <v>189</v>
      </c>
      <c r="E3" s="979" t="s">
        <v>2876</v>
      </c>
      <c r="F3" s="979"/>
    </row>
    <row r="4">
      <c r="A4" s="981"/>
      <c r="B4" s="981"/>
      <c r="C4" s="979" t="s">
        <v>2877</v>
      </c>
      <c r="D4" s="979" t="s">
        <v>247</v>
      </c>
      <c r="E4" s="979" t="s">
        <v>2874</v>
      </c>
      <c r="F4" s="979"/>
    </row>
    <row r="5">
      <c r="A5" s="982"/>
      <c r="B5" s="982"/>
      <c r="C5" s="979" t="s">
        <v>1313</v>
      </c>
      <c r="D5" s="979" t="s">
        <v>301</v>
      </c>
      <c r="E5" s="979" t="s">
        <v>2878</v>
      </c>
      <c r="F5" s="979"/>
    </row>
    <row r="6">
      <c r="A6" s="722"/>
      <c r="B6" s="722"/>
      <c r="C6" s="722"/>
      <c r="D6" s="722"/>
      <c r="E6" s="722"/>
      <c r="F6" s="722"/>
    </row>
    <row r="7">
      <c r="A7" s="722"/>
      <c r="B7" s="722"/>
      <c r="C7" s="722"/>
      <c r="D7" s="722"/>
      <c r="E7" s="722"/>
      <c r="F7" s="722"/>
    </row>
    <row r="8">
      <c r="A8" s="722"/>
      <c r="B8" s="722"/>
      <c r="C8" s="722"/>
      <c r="D8" s="722"/>
      <c r="E8" s="722"/>
      <c r="F8" s="722"/>
    </row>
    <row r="9">
      <c r="A9" s="722"/>
      <c r="B9" s="722"/>
      <c r="C9" s="722"/>
      <c r="D9" s="722"/>
      <c r="E9" s="722"/>
      <c r="F9" s="722"/>
    </row>
    <row r="10">
      <c r="A10" s="722"/>
      <c r="B10" s="722"/>
      <c r="C10" s="722"/>
      <c r="D10" s="722"/>
      <c r="E10" s="722"/>
      <c r="F10" s="722"/>
    </row>
    <row r="11">
      <c r="A11" s="722"/>
      <c r="B11" s="722"/>
      <c r="C11" s="722"/>
      <c r="D11" s="722"/>
      <c r="E11" s="722"/>
      <c r="F11" s="722"/>
    </row>
    <row r="12">
      <c r="A12" s="722"/>
      <c r="B12" s="722"/>
      <c r="C12" s="722"/>
      <c r="D12" s="722"/>
      <c r="E12" s="722"/>
      <c r="F12" s="722"/>
    </row>
    <row r="13">
      <c r="A13" s="722"/>
      <c r="B13" s="722"/>
      <c r="C13" s="722"/>
      <c r="D13" s="722"/>
      <c r="E13" s="722"/>
      <c r="F13" s="722"/>
    </row>
  </sheetData>
  <mergeCells count="2">
    <mergeCell ref="A2:A5"/>
    <mergeCell ref="B2:B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0"/>
    <col customWidth="1" min="3" max="3" width="13.71"/>
    <col customWidth="1" min="4" max="4" width="10.14"/>
    <col customWidth="1" min="5" max="5" width="18.57"/>
    <col customWidth="1" min="6" max="6" width="19.86"/>
  </cols>
  <sheetData>
    <row r="2">
      <c r="B2" s="983" t="s">
        <v>2879</v>
      </c>
    </row>
    <row r="3">
      <c r="B3" s="725" t="s">
        <v>1466</v>
      </c>
      <c r="C3" s="725" t="s">
        <v>901</v>
      </c>
      <c r="D3" s="725" t="s">
        <v>1039</v>
      </c>
      <c r="E3" s="725" t="s">
        <v>2880</v>
      </c>
    </row>
    <row r="4">
      <c r="B4" s="725" t="s">
        <v>1330</v>
      </c>
      <c r="C4" s="725" t="s">
        <v>2881</v>
      </c>
      <c r="D4" s="725" t="s">
        <v>75</v>
      </c>
    </row>
    <row r="5">
      <c r="B5" s="725" t="s">
        <v>1330</v>
      </c>
      <c r="C5" s="725" t="s">
        <v>830</v>
      </c>
      <c r="D5" s="725" t="s">
        <v>1265</v>
      </c>
    </row>
    <row r="6">
      <c r="B6" s="725" t="s">
        <v>1412</v>
      </c>
      <c r="C6" s="725" t="s">
        <v>830</v>
      </c>
      <c r="D6" s="725" t="s">
        <v>1265</v>
      </c>
    </row>
    <row r="7">
      <c r="B7" s="725" t="s">
        <v>1412</v>
      </c>
      <c r="C7" s="725" t="s">
        <v>956</v>
      </c>
      <c r="D7" s="725" t="s">
        <v>1265</v>
      </c>
    </row>
    <row r="8">
      <c r="B8" s="725" t="s">
        <v>1412</v>
      </c>
      <c r="C8" s="725" t="s">
        <v>1569</v>
      </c>
      <c r="D8" s="725" t="s">
        <v>75</v>
      </c>
    </row>
    <row r="9">
      <c r="B9" s="725" t="s">
        <v>1412</v>
      </c>
      <c r="C9" s="725" t="s">
        <v>1179</v>
      </c>
      <c r="D9" s="725" t="s">
        <v>1265</v>
      </c>
      <c r="E9" s="725" t="s">
        <v>2882</v>
      </c>
      <c r="F9" s="725" t="s">
        <v>2883</v>
      </c>
    </row>
    <row r="10">
      <c r="B10" s="725" t="s">
        <v>1313</v>
      </c>
      <c r="C10" s="725" t="s">
        <v>2884</v>
      </c>
      <c r="D10" s="725" t="s">
        <v>1039</v>
      </c>
      <c r="E10" s="725" t="s">
        <v>2885</v>
      </c>
      <c r="F10" s="725" t="s">
        <v>2886</v>
      </c>
    </row>
    <row r="15">
      <c r="B15" s="725" t="s">
        <v>1008</v>
      </c>
      <c r="C15" s="725" t="s">
        <v>2887</v>
      </c>
      <c r="D15" s="984">
        <v>45926.0</v>
      </c>
    </row>
    <row r="16">
      <c r="B16" s="725" t="s">
        <v>2888</v>
      </c>
    </row>
  </sheetData>
  <mergeCells count="1">
    <mergeCell ref="B2:F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15.0"/>
    <col customWidth="1" min="2" max="2" width="6.29"/>
    <col customWidth="1" min="3" max="3" width="7.86"/>
    <col customWidth="1" hidden="1" min="4" max="4" width="10.86"/>
    <col customWidth="1" hidden="1" min="5" max="5" width="4.57"/>
    <col customWidth="1" hidden="1" min="6" max="6" width="6.71"/>
    <col customWidth="1" hidden="1" min="7" max="7" width="13.71"/>
    <col customWidth="1" min="8" max="8" width="4.14"/>
    <col customWidth="1" min="9" max="9" width="9.43"/>
    <col customWidth="1" hidden="1" min="10" max="10" width="19.14"/>
    <col customWidth="1" min="11" max="11" width="8.57"/>
    <col customWidth="1" min="12" max="12" width="11.86"/>
    <col customWidth="1" min="13" max="13" width="10.14"/>
    <col customWidth="1" min="14" max="14" width="9.57"/>
    <col customWidth="1" min="15" max="15" width="3.29"/>
    <col customWidth="1" min="16" max="16" width="11.57"/>
    <col customWidth="1" min="17" max="17" width="26.86"/>
    <col customWidth="1" min="18" max="18" width="25.71"/>
    <col customWidth="1" min="19" max="19" width="5.57"/>
    <col customWidth="1" min="20" max="20" width="8.57"/>
    <col customWidth="1" min="21" max="21" width="13.14"/>
    <col customWidth="1" min="22" max="22" width="20.57"/>
    <col customWidth="1" min="23" max="23" width="16.43"/>
    <col customWidth="1" min="24" max="24" width="7.86"/>
    <col customWidth="1" min="25" max="25" width="10.14"/>
    <col customWidth="1" hidden="1" min="26" max="28" width="9.57"/>
    <col customWidth="1" hidden="1" min="29" max="29" width="10.71"/>
    <col customWidth="1" hidden="1" min="30" max="30" width="15.71"/>
    <col customWidth="1" hidden="1" min="31" max="31" width="9.57"/>
    <col customWidth="1" hidden="1" min="32" max="32" width="12.86"/>
    <col customWidth="1" hidden="1" min="33" max="34" width="9.57"/>
    <col customWidth="1" hidden="1" min="35" max="35" width="11.14"/>
    <col customWidth="1" hidden="1" min="36" max="57" width="9.57"/>
    <col customWidth="1" min="58" max="65" width="9.57"/>
  </cols>
  <sheetData>
    <row r="1" ht="15.75" customHeight="1">
      <c r="A1" s="985" t="s">
        <v>2889</v>
      </c>
      <c r="B1" s="986"/>
      <c r="C1" s="987"/>
      <c r="D1" s="988"/>
      <c r="E1" s="988"/>
      <c r="F1" s="989"/>
      <c r="G1" s="990"/>
      <c r="H1" s="990"/>
      <c r="I1" s="990"/>
      <c r="J1" s="990"/>
      <c r="K1" s="990"/>
      <c r="L1" s="990"/>
      <c r="M1" s="987"/>
      <c r="N1" s="989"/>
      <c r="O1" s="991"/>
      <c r="P1" s="987"/>
      <c r="Q1" s="988"/>
      <c r="R1" s="992"/>
      <c r="S1" s="992"/>
      <c r="T1" s="993"/>
      <c r="U1" s="988" t="s">
        <v>2890</v>
      </c>
      <c r="V1" s="988"/>
      <c r="W1" s="988"/>
      <c r="X1" s="994" t="str">
        <f>IF(Q1&lt;&gt;"",MID(INFO("DIRECTORY"),10,LEN(INFO("DIRECTORY"))-LEN(MID(INFO("DIRECTORY"),FIND("\",INFO("DIRECTORY"),10),1000))-LEN("C:\Users\")),IF(R1&lt;&gt;"",MID(INFO("DIRECTORY"),10,LEN(INFO("DIRECTORY"))-LEN(MID(INFO("DIRECTORY"),FIND("\",INFO("DIRECTORY"),10),1000))-LEN("C:\Users\")),IF(S1&lt;&gt;"",MID(INFO("DIRECTORY"),10,LEN(INFO("DIRECTORY"))-LEN(MID(INFO("DIRECTORY"),FIND("\",INFO("DIRECTORY"),10),1000))-LEN("C:\Users\")),IF(T1&lt;&gt;"",MID(INFO("DIRECTORY"),10,LEN(INFO("DIRECTORY"))-LEN(MID(INFO("DIRECTORY"),FIND("\",INFO("DIRECTORY"),10),1000))-LEN("C:\Users\")),IF(U1&lt;&gt;"",MID(INFO("DIRECTORY"),10,LEN(INFO("DIRECTORY"))-LEN(MID(INFO("DIRECTORY"),FIND("\",INFO("DIRECTORY"),10),1000))-LEN("C:\Users\")),IF(V1&lt;&gt;"",NOW(),IF(W1&lt;&gt;"",MID(INFO("DIRECTORY"),10,LEN(INFO("DIRECTORY"))-LEN(MID(INFO("DIRECTORY"),FIND("\",INFO("DIRECTORY"),10),1000))-LEN("C:\Users\")),"")))))))</f>
        <v>#NAME?</v>
      </c>
      <c r="Y1" s="990"/>
      <c r="Z1" s="990"/>
      <c r="AE1" s="990"/>
      <c r="AF1" s="990"/>
      <c r="AG1" s="990"/>
      <c r="AH1" s="990"/>
      <c r="AI1" s="995" t="str">
        <f>IFERROR($R1+VLOOKUP($Q1,'Voyage days'!$F$94:$H$193,3,FALSE),"")</f>
        <v/>
      </c>
      <c r="AJ1" s="995" t="str">
        <f>IFERROR($S1+VLOOKUP($Q1,'Voyage days'!$F$94:$H$193,3,FALSE),"")</f>
        <v/>
      </c>
      <c r="AK1" s="990"/>
      <c r="AL1" s="990"/>
      <c r="AM1" s="990"/>
      <c r="AN1" s="990"/>
      <c r="AO1" s="990"/>
      <c r="AP1" s="990"/>
      <c r="AQ1" s="990"/>
      <c r="AR1" s="990"/>
      <c r="AS1" s="990"/>
      <c r="AT1" s="990"/>
      <c r="AU1" s="990"/>
      <c r="AV1" s="990"/>
      <c r="AW1" s="990"/>
      <c r="AX1" s="990"/>
      <c r="AY1" s="990"/>
      <c r="AZ1" s="990"/>
      <c r="BA1" s="990"/>
      <c r="BB1" s="990"/>
      <c r="BC1" s="990"/>
      <c r="BD1" s="990"/>
      <c r="BE1" s="990"/>
      <c r="BF1" s="996"/>
      <c r="BG1" s="996"/>
      <c r="BH1" s="996"/>
      <c r="BI1" s="996"/>
      <c r="BJ1" s="996"/>
      <c r="BK1" s="996"/>
      <c r="BL1" s="996"/>
      <c r="BM1" s="996"/>
    </row>
    <row r="2" ht="15.75" customHeight="1">
      <c r="A2" s="997" t="s">
        <v>600</v>
      </c>
      <c r="B2" s="998" t="s">
        <v>601</v>
      </c>
      <c r="C2" s="999" t="s">
        <v>602</v>
      </c>
      <c r="D2" s="78" t="s">
        <v>2891</v>
      </c>
      <c r="E2" s="94" t="s">
        <v>2892</v>
      </c>
      <c r="F2" s="93" t="s">
        <v>2893</v>
      </c>
      <c r="G2" s="93" t="s">
        <v>2894</v>
      </c>
      <c r="H2" s="93"/>
      <c r="I2" s="92" t="s">
        <v>607</v>
      </c>
      <c r="J2" s="88" t="s">
        <v>2895</v>
      </c>
      <c r="K2" s="93" t="s">
        <v>608</v>
      </c>
      <c r="L2" s="88" t="s">
        <v>610</v>
      </c>
      <c r="M2" s="88" t="s">
        <v>611</v>
      </c>
      <c r="N2" s="88" t="s">
        <v>612</v>
      </c>
      <c r="O2" s="94" t="s">
        <v>2896</v>
      </c>
      <c r="P2" s="88" t="s">
        <v>613</v>
      </c>
      <c r="Q2" s="88" t="s">
        <v>614</v>
      </c>
      <c r="R2" s="92" t="s">
        <v>2897</v>
      </c>
      <c r="S2" s="94" t="s">
        <v>616</v>
      </c>
      <c r="T2" s="95" t="s">
        <v>617</v>
      </c>
      <c r="U2" s="88" t="s">
        <v>618</v>
      </c>
      <c r="V2" s="88" t="s">
        <v>619</v>
      </c>
      <c r="W2" s="94" t="s">
        <v>27</v>
      </c>
      <c r="X2" s="94" t="s">
        <v>5</v>
      </c>
      <c r="Y2" s="96" t="s">
        <v>620</v>
      </c>
      <c r="Z2" s="98" t="s">
        <v>620</v>
      </c>
      <c r="AA2" s="93" t="s">
        <v>628</v>
      </c>
      <c r="AB2" s="93" t="s">
        <v>629</v>
      </c>
      <c r="AC2" s="98" t="s">
        <v>621</v>
      </c>
      <c r="AD2" s="93" t="s">
        <v>630</v>
      </c>
      <c r="AE2" s="93" t="s">
        <v>631</v>
      </c>
      <c r="AF2" s="98" t="s">
        <v>622</v>
      </c>
      <c r="AG2" s="93" t="s">
        <v>630</v>
      </c>
      <c r="AH2" s="93" t="s">
        <v>631</v>
      </c>
      <c r="AI2" s="98" t="s">
        <v>632</v>
      </c>
      <c r="AJ2" s="93" t="s">
        <v>633</v>
      </c>
      <c r="AK2" s="93" t="s">
        <v>634</v>
      </c>
      <c r="AL2" s="98" t="s">
        <v>635</v>
      </c>
      <c r="AM2" s="93" t="s">
        <v>636</v>
      </c>
      <c r="AN2" s="93" t="s">
        <v>636</v>
      </c>
      <c r="AO2" s="98" t="s">
        <v>637</v>
      </c>
      <c r="AP2" s="93" t="s">
        <v>638</v>
      </c>
      <c r="AQ2" s="93" t="s">
        <v>639</v>
      </c>
      <c r="AR2" s="98" t="s">
        <v>640</v>
      </c>
      <c r="AS2" s="93" t="s">
        <v>641</v>
      </c>
      <c r="AT2" s="93" t="s">
        <v>642</v>
      </c>
      <c r="AU2" s="98" t="s">
        <v>643</v>
      </c>
      <c r="AV2" s="93" t="s">
        <v>644</v>
      </c>
      <c r="AW2" s="93" t="s">
        <v>645</v>
      </c>
      <c r="AX2" s="98" t="s">
        <v>646</v>
      </c>
      <c r="AY2" s="93" t="s">
        <v>647</v>
      </c>
      <c r="AZ2" s="93" t="s">
        <v>648</v>
      </c>
      <c r="BA2" s="98" t="s">
        <v>649</v>
      </c>
      <c r="BB2" s="99" t="s">
        <v>649</v>
      </c>
      <c r="BC2" s="96" t="s">
        <v>627</v>
      </c>
      <c r="BD2" s="91" t="s">
        <v>650</v>
      </c>
      <c r="BE2" s="91" t="s">
        <v>651</v>
      </c>
      <c r="BF2" s="1000"/>
      <c r="BG2" s="1000"/>
      <c r="BH2" s="1000"/>
      <c r="BI2" s="1000"/>
      <c r="BJ2" s="1000"/>
      <c r="BK2" s="1000"/>
      <c r="BL2" s="1000"/>
      <c r="BM2" s="1000"/>
    </row>
    <row r="3">
      <c r="A3" s="1001" t="s">
        <v>2898</v>
      </c>
      <c r="B3" s="561">
        <v>39692.0</v>
      </c>
      <c r="C3" s="512">
        <v>84615.0</v>
      </c>
      <c r="D3" s="603" t="s">
        <v>2899</v>
      </c>
      <c r="E3" s="103"/>
      <c r="F3" s="604">
        <v>44743.0</v>
      </c>
      <c r="G3" s="605">
        <v>45992.0</v>
      </c>
      <c r="H3" s="111" t="s">
        <v>2900</v>
      </c>
      <c r="I3" s="603" t="s">
        <v>2899</v>
      </c>
      <c r="J3" s="111" t="s">
        <v>2901</v>
      </c>
      <c r="K3" s="336" t="str">
        <f t="shared" ref="K3:K25" si="1">IF(W3="","NO AIS",IF((W3-M3-1)&gt;0,"Update",""))</f>
        <v>#N/A</v>
      </c>
      <c r="L3" s="108" t="s">
        <v>1031</v>
      </c>
      <c r="M3" s="109">
        <v>45840.0</v>
      </c>
      <c r="N3" s="109">
        <v>45841.0</v>
      </c>
      <c r="O3" s="110"/>
      <c r="P3" s="108" t="s">
        <v>2902</v>
      </c>
      <c r="Q3" s="185"/>
      <c r="R3" s="108" t="s">
        <v>2903</v>
      </c>
      <c r="S3" s="112" t="s">
        <v>33</v>
      </c>
      <c r="T3" s="293">
        <v>45833.0</v>
      </c>
      <c r="U3" s="114" t="str">
        <f>IF(V3="","No AIS",VLOOKUP(V3,'Voyage days'!$A$3:$B$1480,2,FALSE))</f>
        <v>#N/A</v>
      </c>
      <c r="V3" s="115" t="str">
        <f>IF(VLOOKUP(A3,'1) Kpler'!$E$2:$P$1000,8, FALSE)="","",VLOOKUP(A3,'1) Kpler'!$E$2:$P$1000,8, FALSE))</f>
        <v>#N/A</v>
      </c>
      <c r="W3" s="116" t="str">
        <f>IF(VLOOKUP(A3,'1) Kpler'!$E$2:$P$1000,9,FALSE)="","",VLOOKUP(A3,'1) Kpler'!$E$2:$P$1000,9,FALSE))</f>
        <v>#N/A</v>
      </c>
      <c r="X3" s="115" t="str">
        <f>VLOOKUP(A3,'1) Kpler'!$E$2:$I$1000,4,FALSE)</f>
        <v>#N/A</v>
      </c>
      <c r="Y3" s="117" t="str">
        <f t="shared" ref="Y3:Y14" si="2">Z3</f>
        <v>02-03 Jul</v>
      </c>
      <c r="Z3" s="120" t="str">
        <f t="shared" ref="Z3:Z14" si="3">IF(AA3="","",TEXT(AA3,"dd")&amp;"-"&amp;TEXT(AB3,"dd mmm"))</f>
        <v>02-03 Jul</v>
      </c>
      <c r="AA3" s="121">
        <f>IFERROR($M3+VLOOKUP($L3,'Voyage days'!$F$38:$H$89,3,FALSE),"")</f>
        <v>45840</v>
      </c>
      <c r="AB3" s="121">
        <f>IFERROR(N3+VLOOKUP($L3,'Voyage days'!$F$38:$H$89,3,FALSE),"")</f>
        <v>45841</v>
      </c>
      <c r="AC3" s="120" t="str">
        <f t="shared" ref="AC3:AC14" si="4">IF(AD3="","",TEXT(AD3,"dd")&amp;"-"&amp;TEXT(AE3,"dd mmm"))</f>
        <v/>
      </c>
      <c r="AD3" s="121" t="str">
        <f>IFERROR($M3+VLOOKUP($L3,'Voyage days'!$F$94:$H$193,3,FALSE),"")</f>
        <v/>
      </c>
      <c r="AE3" s="121" t="str">
        <f>IFERROR($N3+VLOOKUP($L3,'Voyage days'!$F$94:$H$193,3,FALSE),"")</f>
        <v/>
      </c>
      <c r="AF3" s="120" t="str">
        <f t="shared" ref="AF3:AF14" si="5">IF(AG3="","",TEXT(AG3,"dd")&amp;"-"&amp;TEXT(AH3,"dd mmm"))</f>
        <v/>
      </c>
      <c r="AG3" s="121" t="str">
        <f>IFERROR($M3+VLOOKUP($L3,'Voyage days'!$F$203:$H$256,3,FALSE),"")</f>
        <v/>
      </c>
      <c r="AH3" s="121" t="str">
        <f>IFERROR($N3+VLOOKUP($L3,'Voyage days'!$F$203:$H$256,3,FALSE),"")</f>
        <v/>
      </c>
      <c r="AI3" s="120" t="str">
        <f t="shared" ref="AI3:AI14" si="6">IF(AJ3="","",TEXT(AJ3,"dd")&amp;"-"&amp;TEXT(AK3,"dd mmm"))</f>
        <v/>
      </c>
      <c r="AJ3" s="121" t="str">
        <f>IFERROR($M3+VLOOKUP($L3,'Voyage days'!$F$294:$H$377,3,FALSE),"")</f>
        <v/>
      </c>
      <c r="AK3" s="121" t="str">
        <f>IFERROR($N3+VLOOKUP($L3,'Voyage days'!$F$294:$H$377,3,FALSE),"")</f>
        <v/>
      </c>
      <c r="AL3" s="120" t="str">
        <f t="shared" ref="AL3:AL14" si="7">IF(AM3="","",TEXT(AM3,"dd")&amp;"-"&amp;TEXT(AN3,"dd mmm"))</f>
        <v/>
      </c>
      <c r="AM3" s="121" t="str">
        <f>IFERROR($M3+VLOOKUP($L3,'Voyage days'!$F$382:$H$446,3,FALSE),"")</f>
        <v/>
      </c>
      <c r="AN3" s="121" t="str">
        <f>IFERROR($N3+VLOOKUP($L3,'Voyage days'!$F$382:$H$446,3,FALSE),"")</f>
        <v/>
      </c>
      <c r="AO3" s="120" t="str">
        <f t="shared" ref="AO3:AO14" si="8">IF(AP3="","",TEXT(AP3,"dd")&amp;"-"&amp;TEXT(AQ3,"dd mmm"))</f>
        <v/>
      </c>
      <c r="AP3" s="121" t="str">
        <f>IFERROR($M3+VLOOKUP($L3,'Voyage days'!$F$483:$H$538,3,FALSE),"")</f>
        <v/>
      </c>
      <c r="AQ3" s="121" t="str">
        <f>IFERROR($N3+VLOOKUP($L3,'Voyage days'!$F$483:$H$538,3,FALSE),"")</f>
        <v/>
      </c>
      <c r="AR3" s="120" t="str">
        <f t="shared" ref="AR3:AR14" si="9">IF(AS3="","",TEXT(AS3,"dd")&amp;"-"&amp;TEXT(AT3,"dd mmm"))</f>
        <v>21-22 Jul</v>
      </c>
      <c r="AS3" s="121">
        <f>IFERROR($M3+VLOOKUP($L3,'Voyage days'!$F$540:$H$613,3,FALSE),"")</f>
        <v>45859</v>
      </c>
      <c r="AT3" s="121">
        <f>IFERROR($N3+VLOOKUP($L3,'Voyage days'!$F$540:$H$613,3,FALSE),"")</f>
        <v>45860</v>
      </c>
      <c r="AU3" s="120" t="str">
        <f t="shared" ref="AU3:AU14" si="10">IF(AV3="","",TEXT(AV3,"dd")&amp;"-"&amp;TEXT(AW3,"dd mmm"))</f>
        <v/>
      </c>
      <c r="AV3" s="121" t="str">
        <f>IFERROR($M3+VLOOKUP($L3,'Voyage days'!$L$483:$N$535,3,FALSE),"")</f>
        <v/>
      </c>
      <c r="AW3" s="121" t="str">
        <f>IFERROR($N3+VLOOKUP($L3,'Voyage days'!$L$483:$N$535,3,FALSE),"")</f>
        <v/>
      </c>
      <c r="AX3" s="120" t="str">
        <f t="shared" ref="AX3:AX14" si="11">IF(AY3="","",TEXT(AY3,"dd")&amp;"-"&amp;TEXT(AZ3,"dd mmm"))</f>
        <v/>
      </c>
      <c r="AY3" s="122" t="str">
        <f>IFERROR($M3+VLOOKUP($L3,'Voyage days'!$F$620:$H$646,3,FALSE),"")</f>
        <v/>
      </c>
      <c r="AZ3" s="122" t="str">
        <f>IFERROR($N3+VLOOKUP($L3,'Voyage days'!$F$620:$H$646,3,FALSE),"")</f>
        <v/>
      </c>
      <c r="BA3" s="120" t="str">
        <f t="shared" ref="BA3:BA14" si="12">IF(BB3="","",TEXT(BB3,"dd")&amp;"-"&amp;TEXT(BE3,"dd mmm"))</f>
        <v/>
      </c>
      <c r="BB3" s="123" t="str">
        <f>IFERROR($M3+VLOOKUP($L3,'Voyage days'!$F$702:$H$727,3,FALSE),"")</f>
        <v/>
      </c>
      <c r="BC3" s="120" t="str">
        <f t="shared" ref="BC3:BC14" si="13">IF(BD3="","",TEXT(BD3,"dd")&amp;"-"&amp;TEXT(BE3,"dd mmm"))</f>
        <v>02-03 Jul</v>
      </c>
      <c r="BD3" s="122">
        <f>IFERROR($M3+VLOOKUP($L3,'Voyage days'!$F$807:$H$878,3,FALSE),"")</f>
        <v>45840</v>
      </c>
      <c r="BE3" s="122">
        <f>IFERROR($N3+VLOOKUP($L3,'Voyage days'!$F$807:$H$878,3,FALSE),"")</f>
        <v>45841</v>
      </c>
      <c r="BF3" s="609"/>
      <c r="BG3" s="609"/>
      <c r="BH3" s="609"/>
      <c r="BI3" s="609"/>
      <c r="BJ3" s="609"/>
      <c r="BK3" s="609"/>
      <c r="BL3" s="609"/>
      <c r="BM3" s="609"/>
    </row>
    <row r="4" ht="15.75" customHeight="1">
      <c r="A4" s="606" t="s">
        <v>344</v>
      </c>
      <c r="B4" s="1002">
        <v>40260.0</v>
      </c>
      <c r="C4" s="25">
        <v>82521.0</v>
      </c>
      <c r="D4" s="603"/>
      <c r="E4" s="192" t="s">
        <v>2904</v>
      </c>
      <c r="F4" s="604">
        <v>44652.0</v>
      </c>
      <c r="G4" s="605">
        <v>46266.0</v>
      </c>
      <c r="H4" s="103"/>
      <c r="I4" s="603"/>
      <c r="J4" s="185"/>
      <c r="K4" s="336" t="str">
        <f t="shared" si="1"/>
        <v>Update</v>
      </c>
      <c r="L4" s="108" t="s">
        <v>1231</v>
      </c>
      <c r="M4" s="109">
        <v>45834.0</v>
      </c>
      <c r="N4" s="109">
        <v>45835.0</v>
      </c>
      <c r="O4" s="110"/>
      <c r="P4" s="185"/>
      <c r="Q4" s="185"/>
      <c r="R4" s="185"/>
      <c r="S4" s="112" t="s">
        <v>33</v>
      </c>
      <c r="T4" s="113">
        <v>45833.0</v>
      </c>
      <c r="U4" s="114" t="str">
        <f>IF(V4="","No AIS",VLOOKUP(V4,'Voyage days'!$A$3:$B$1480,2,FALSE))</f>
        <v>AG</v>
      </c>
      <c r="V4" s="115" t="str">
        <f>IF(VLOOKUP(A4,'1) Kpler'!$E$2:$P$1000,8, FALSE)="","",VLOOKUP(A4,'1) Kpler'!$E$2:$P$1000,8, FALSE))</f>
        <v>Mina al-Ahmadi</v>
      </c>
      <c r="W4" s="116">
        <f>IF(VLOOKUP(A4,'1) Kpler'!$E$2:$P$1000,9,FALSE)="","",VLOOKUP(A4,'1) Kpler'!$E$2:$P$1000,9,FALSE))</f>
        <v>46134.49306</v>
      </c>
      <c r="X4" s="115" t="str">
        <f>VLOOKUP(A4,'1) Kpler'!$E$2:$I$1000,4,FALSE)</f>
        <v>ballast</v>
      </c>
      <c r="Y4" s="160" t="str">
        <f t="shared" si="2"/>
        <v>05-06 Jul</v>
      </c>
      <c r="Z4" s="120" t="str">
        <f t="shared" si="3"/>
        <v>05-06 Jul</v>
      </c>
      <c r="AA4" s="121">
        <f>IFERROR($M4+VLOOKUP($L4,'Voyage days'!$F$38:$H$89,3,FALSE),"")</f>
        <v>45843</v>
      </c>
      <c r="AB4" s="121">
        <f>IFERROR(N4+VLOOKUP($L4,'Voyage days'!$F$38:$H$89,3,FALSE),"")</f>
        <v>45844</v>
      </c>
      <c r="AC4" s="120" t="str">
        <f t="shared" si="4"/>
        <v/>
      </c>
      <c r="AD4" s="121" t="str">
        <f>IFERROR($M4+VLOOKUP($L4,'Voyage days'!$F$94:$H$193,3,FALSE),"")</f>
        <v/>
      </c>
      <c r="AE4" s="121" t="str">
        <f>IFERROR($N4+VLOOKUP($L4,'Voyage days'!$F$94:$H$193,3,FALSE),"")</f>
        <v/>
      </c>
      <c r="AF4" s="120" t="str">
        <f t="shared" si="5"/>
        <v>01-02 Aug</v>
      </c>
      <c r="AG4" s="121">
        <f>IFERROR($M4+VLOOKUP($L4,'Voyage days'!$F$203:$H$256,3,FALSE),"")</f>
        <v>45870</v>
      </c>
      <c r="AH4" s="121">
        <f>IFERROR($N4+VLOOKUP($L4,'Voyage days'!$F$203:$H$256,3,FALSE),"")</f>
        <v>45871</v>
      </c>
      <c r="AI4" s="120" t="str">
        <f t="shared" si="6"/>
        <v>17-18 Jul</v>
      </c>
      <c r="AJ4" s="121">
        <f>IFERROR($M4+VLOOKUP($L4,'Voyage days'!$F$294:$H$377,3,FALSE),"")</f>
        <v>45855</v>
      </c>
      <c r="AK4" s="121">
        <f>IFERROR($N4+VLOOKUP($L4,'Voyage days'!$F$294:$H$377,3,FALSE),"")</f>
        <v>45856</v>
      </c>
      <c r="AL4" s="120" t="str">
        <f t="shared" si="7"/>
        <v>24-25 Jul</v>
      </c>
      <c r="AM4" s="121">
        <f>IFERROR($M4+VLOOKUP($L4,'Voyage days'!$F$382:$H$446,3,FALSE),"")</f>
        <v>45862</v>
      </c>
      <c r="AN4" s="121">
        <f>IFERROR($N4+VLOOKUP($L4,'Voyage days'!$F$382:$H$446,3,FALSE),"")</f>
        <v>45863</v>
      </c>
      <c r="AO4" s="120" t="str">
        <f t="shared" si="8"/>
        <v>26-27 Jun</v>
      </c>
      <c r="AP4" s="121">
        <f>IFERROR($M4+VLOOKUP($L4,'Voyage days'!$F$483:$H$538,3,FALSE),"")</f>
        <v>45834</v>
      </c>
      <c r="AQ4" s="121">
        <f>IFERROR($N4+VLOOKUP($L4,'Voyage days'!$F$483:$H$538,3,FALSE),"")</f>
        <v>45835</v>
      </c>
      <c r="AR4" s="120" t="str">
        <f t="shared" si="9"/>
        <v/>
      </c>
      <c r="AS4" s="121" t="str">
        <f>IFERROR($M4+VLOOKUP($L4,'Voyage days'!$F$540:$H$613,3,FALSE),"")</f>
        <v/>
      </c>
      <c r="AT4" s="121" t="str">
        <f>IFERROR($N4+VLOOKUP($L4,'Voyage days'!$F$540:$H$613,3,FALSE),"")</f>
        <v/>
      </c>
      <c r="AU4" s="120" t="str">
        <f t="shared" si="10"/>
        <v/>
      </c>
      <c r="AV4" s="121" t="str">
        <f>IFERROR($M4+VLOOKUP($L4,'Voyage days'!$L$483:$N$535,3,FALSE),"")</f>
        <v/>
      </c>
      <c r="AW4" s="121" t="str">
        <f>IFERROR($N4+VLOOKUP($L4,'Voyage days'!$L$483:$N$535,3,FALSE),"")</f>
        <v/>
      </c>
      <c r="AX4" s="120" t="str">
        <f t="shared" si="11"/>
        <v/>
      </c>
      <c r="AY4" s="122" t="str">
        <f>IFERROR($M4+VLOOKUP($L4,'Voyage days'!$F$620:$H$646,3,FALSE),"")</f>
        <v/>
      </c>
      <c r="AZ4" s="122" t="str">
        <f>IFERROR($N4+VLOOKUP($L4,'Voyage days'!$F$620:$H$646,3,FALSE),"")</f>
        <v/>
      </c>
      <c r="BA4" s="120" t="str">
        <f t="shared" si="12"/>
        <v/>
      </c>
      <c r="BB4" s="123" t="str">
        <f>IFERROR($M4+VLOOKUP($L4,'Voyage days'!$F$702:$H$727,3,FALSE),"")</f>
        <v/>
      </c>
      <c r="BC4" s="120" t="str">
        <f t="shared" si="13"/>
        <v>03-04 Aug</v>
      </c>
      <c r="BD4" s="122">
        <f>IFERROR($M4+VLOOKUP($L4,'Voyage days'!$F$807:$H$878,3,FALSE),"")</f>
        <v>45872</v>
      </c>
      <c r="BE4" s="122">
        <f>IFERROR($N4+VLOOKUP($L4,'Voyage days'!$F$807:$H$878,3,FALSE),"")</f>
        <v>45873</v>
      </c>
      <c r="BF4" s="609"/>
      <c r="BG4" s="609"/>
      <c r="BH4" s="609"/>
      <c r="BI4" s="609"/>
      <c r="BJ4" s="609"/>
      <c r="BK4" s="609"/>
      <c r="BL4" s="609"/>
      <c r="BM4" s="609"/>
    </row>
    <row r="5">
      <c r="A5" s="1003" t="s">
        <v>346</v>
      </c>
      <c r="B5" s="25">
        <v>2009.0</v>
      </c>
      <c r="C5" s="25">
        <v>82521.0</v>
      </c>
      <c r="D5" s="603" t="s">
        <v>2899</v>
      </c>
      <c r="E5" s="103"/>
      <c r="F5" s="604"/>
      <c r="G5" s="605">
        <v>46023.0</v>
      </c>
      <c r="H5" s="103"/>
      <c r="I5" s="603" t="s">
        <v>2899</v>
      </c>
      <c r="J5" s="185" t="s">
        <v>2905</v>
      </c>
      <c r="K5" s="336" t="str">
        <f t="shared" si="1"/>
        <v>Update</v>
      </c>
      <c r="L5" s="108" t="s">
        <v>1031</v>
      </c>
      <c r="M5" s="109">
        <v>45833.0</v>
      </c>
      <c r="N5" s="109">
        <v>45834.0</v>
      </c>
      <c r="O5" s="110"/>
      <c r="P5" s="187"/>
      <c r="Q5" s="111"/>
      <c r="R5" s="290" t="s">
        <v>2906</v>
      </c>
      <c r="S5" s="112" t="s">
        <v>33</v>
      </c>
      <c r="T5" s="113">
        <v>45833.0</v>
      </c>
      <c r="U5" s="114" t="str">
        <f>IF(V5="","No AIS",VLOOKUP(V5,'Voyage days'!$A$3:$B$1480,2,FALSE))</f>
        <v>WCI + 5</v>
      </c>
      <c r="V5" s="115" t="str">
        <f>IF(VLOOKUP(A5,'1) Kpler'!$E$2:$P$1000,8, FALSE)="","",VLOOKUP(A5,'1) Kpler'!$E$2:$P$1000,8, FALSE))</f>
        <v>Mundra</v>
      </c>
      <c r="W5" s="116">
        <f>IF(VLOOKUP(A5,'1) Kpler'!$E$2:$P$1000,9,FALSE)="","",VLOOKUP(A5,'1) Kpler'!$E$2:$P$1000,9,FALSE))</f>
        <v>46132.96458</v>
      </c>
      <c r="X5" s="115" t="str">
        <f>VLOOKUP(A5,'1) Kpler'!$E$2:$I$1000,4,FALSE)</f>
        <v>ballast</v>
      </c>
      <c r="Y5" s="160" t="str">
        <f t="shared" si="2"/>
        <v>25-26 Jun</v>
      </c>
      <c r="Z5" s="120" t="str">
        <f t="shared" si="3"/>
        <v>25-26 Jun</v>
      </c>
      <c r="AA5" s="121">
        <f>IFERROR($M5+VLOOKUP($L5,'Voyage days'!$F$38:$H$89,3,FALSE),"")</f>
        <v>45833</v>
      </c>
      <c r="AB5" s="121">
        <f>IFERROR(N5+VLOOKUP($L5,'Voyage days'!$F$38:$H$89,3,FALSE),"")</f>
        <v>45834</v>
      </c>
      <c r="AC5" s="120" t="str">
        <f t="shared" si="4"/>
        <v/>
      </c>
      <c r="AD5" s="121" t="str">
        <f>IFERROR($M5+VLOOKUP($L5,'Voyage days'!$F$94:$H$193,3,FALSE),"")</f>
        <v/>
      </c>
      <c r="AE5" s="121" t="str">
        <f>IFERROR($N5+VLOOKUP($L5,'Voyage days'!$F$94:$H$193,3,FALSE),"")</f>
        <v/>
      </c>
      <c r="AF5" s="120" t="str">
        <f t="shared" si="5"/>
        <v/>
      </c>
      <c r="AG5" s="121" t="str">
        <f>IFERROR($M5+VLOOKUP($L5,'Voyage days'!$F$203:$H$256,3,FALSE),"")</f>
        <v/>
      </c>
      <c r="AH5" s="121" t="str">
        <f>IFERROR($N5+VLOOKUP($L5,'Voyage days'!$F$203:$H$256,3,FALSE),"")</f>
        <v/>
      </c>
      <c r="AI5" s="120" t="str">
        <f t="shared" si="6"/>
        <v/>
      </c>
      <c r="AJ5" s="121" t="str">
        <f>IFERROR($M5+VLOOKUP($L5,'Voyage days'!$F$294:$H$377,3,FALSE),"")</f>
        <v/>
      </c>
      <c r="AK5" s="121" t="str">
        <f>IFERROR($N5+VLOOKUP($L5,'Voyage days'!$F$294:$H$377,3,FALSE),"")</f>
        <v/>
      </c>
      <c r="AL5" s="120" t="str">
        <f t="shared" si="7"/>
        <v/>
      </c>
      <c r="AM5" s="121" t="str">
        <f>IFERROR($M5+VLOOKUP($L5,'Voyage days'!$F$382:$H$446,3,FALSE),"")</f>
        <v/>
      </c>
      <c r="AN5" s="121" t="str">
        <f>IFERROR($N5+VLOOKUP($L5,'Voyage days'!$F$382:$H$446,3,FALSE),"")</f>
        <v/>
      </c>
      <c r="AO5" s="120" t="str">
        <f t="shared" si="8"/>
        <v/>
      </c>
      <c r="AP5" s="121" t="str">
        <f>IFERROR($M5+VLOOKUP($L5,'Voyage days'!$F$483:$H$538,3,FALSE),"")</f>
        <v/>
      </c>
      <c r="AQ5" s="121" t="str">
        <f>IFERROR($N5+VLOOKUP($L5,'Voyage days'!$F$483:$H$538,3,FALSE),"")</f>
        <v/>
      </c>
      <c r="AR5" s="120" t="str">
        <f t="shared" si="9"/>
        <v>14-15 Jul</v>
      </c>
      <c r="AS5" s="121">
        <f>IFERROR($M5+VLOOKUP($L5,'Voyage days'!$F$540:$H$613,3,FALSE),"")</f>
        <v>45852</v>
      </c>
      <c r="AT5" s="121">
        <f>IFERROR($N5+VLOOKUP($L5,'Voyage days'!$F$540:$H$613,3,FALSE),"")</f>
        <v>45853</v>
      </c>
      <c r="AU5" s="120" t="str">
        <f t="shared" si="10"/>
        <v/>
      </c>
      <c r="AV5" s="121" t="str">
        <f>IFERROR($M5+VLOOKUP($L5,'Voyage days'!$L$483:$N$535,3,FALSE),"")</f>
        <v/>
      </c>
      <c r="AW5" s="121" t="str">
        <f>IFERROR($N5+VLOOKUP($L5,'Voyage days'!$L$483:$N$535,3,FALSE),"")</f>
        <v/>
      </c>
      <c r="AX5" s="120" t="str">
        <f t="shared" si="11"/>
        <v/>
      </c>
      <c r="AY5" s="122" t="str">
        <f>IFERROR($M5+VLOOKUP($L5,'Voyage days'!$F$620:$H$646,3,FALSE),"")</f>
        <v/>
      </c>
      <c r="AZ5" s="122" t="str">
        <f>IFERROR($N5+VLOOKUP($L5,'Voyage days'!$F$620:$H$646,3,FALSE),"")</f>
        <v/>
      </c>
      <c r="BA5" s="120" t="str">
        <f t="shared" si="12"/>
        <v/>
      </c>
      <c r="BB5" s="123" t="str">
        <f>IFERROR($M5+VLOOKUP($L5,'Voyage days'!$F$702:$H$727,3,FALSE),"")</f>
        <v/>
      </c>
      <c r="BC5" s="120" t="str">
        <f t="shared" si="13"/>
        <v>25-26 Jun</v>
      </c>
      <c r="BD5" s="122">
        <f>IFERROR($M5+VLOOKUP($L5,'Voyage days'!$F$807:$H$878,3,FALSE),"")</f>
        <v>45833</v>
      </c>
      <c r="BE5" s="122">
        <f>IFERROR($N5+VLOOKUP($L5,'Voyage days'!$F$807:$H$878,3,FALSE),"")</f>
        <v>45834</v>
      </c>
      <c r="BF5" s="609"/>
      <c r="BG5" s="609"/>
      <c r="BH5" s="609"/>
      <c r="BI5" s="609"/>
      <c r="BJ5" s="609"/>
      <c r="BK5" s="609"/>
      <c r="BL5" s="609"/>
      <c r="BM5" s="609"/>
    </row>
    <row r="6">
      <c r="A6" s="1004" t="s">
        <v>348</v>
      </c>
      <c r="B6" s="561">
        <v>39630.0</v>
      </c>
      <c r="C6" s="25">
        <v>82500.0</v>
      </c>
      <c r="D6" s="603" t="s">
        <v>2899</v>
      </c>
      <c r="E6" s="103"/>
      <c r="F6" s="604">
        <v>44531.0</v>
      </c>
      <c r="G6" s="605" t="s">
        <v>2907</v>
      </c>
      <c r="H6" s="111"/>
      <c r="I6" s="603" t="s">
        <v>2899</v>
      </c>
      <c r="J6" s="111" t="s">
        <v>2905</v>
      </c>
      <c r="K6" s="336" t="str">
        <f t="shared" si="1"/>
        <v>NO AIS</v>
      </c>
      <c r="L6" s="108" t="s">
        <v>1231</v>
      </c>
      <c r="M6" s="109">
        <v>45836.0</v>
      </c>
      <c r="N6" s="109">
        <v>45837.0</v>
      </c>
      <c r="O6" s="110"/>
      <c r="P6" s="108"/>
      <c r="Q6" s="185"/>
      <c r="R6" s="290" t="s">
        <v>2908</v>
      </c>
      <c r="S6" s="112" t="s">
        <v>33</v>
      </c>
      <c r="T6" s="113">
        <v>45833.0</v>
      </c>
      <c r="U6" s="114" t="str">
        <f>IF(V6="","No AIS",VLOOKUP(V6,'Voyage days'!$A$3:$B$1480,2,FALSE))</f>
        <v>No AIS</v>
      </c>
      <c r="V6" s="115" t="str">
        <f>IF(VLOOKUP(A6,'1) Kpler'!$E$2:$P$1000,8, FALSE)="","",VLOOKUP(A6,'1) Kpler'!$E$2:$P$1000,8, FALSE))</f>
        <v/>
      </c>
      <c r="W6" s="116" t="str">
        <f>IF(VLOOKUP(A6,'1) Kpler'!$E$2:$P$1000,9,FALSE)="","",VLOOKUP(A6,'1) Kpler'!$E$2:$P$1000,9,FALSE))</f>
        <v/>
      </c>
      <c r="X6" s="115" t="str">
        <f>VLOOKUP(A6,'1) Kpler'!$E$2:$I$1000,4,FALSE)</f>
        <v>ballast</v>
      </c>
      <c r="Y6" s="117" t="str">
        <f t="shared" si="2"/>
        <v>07-08 Jul</v>
      </c>
      <c r="Z6" s="120" t="str">
        <f t="shared" si="3"/>
        <v>07-08 Jul</v>
      </c>
      <c r="AA6" s="121">
        <f>IFERROR($M6+VLOOKUP($L6,'Voyage days'!$F$38:$H$89,3,FALSE),"")</f>
        <v>45845</v>
      </c>
      <c r="AB6" s="121">
        <f>IFERROR(N6+VLOOKUP($L6,'Voyage days'!$F$38:$H$89,3,FALSE),"")</f>
        <v>45846</v>
      </c>
      <c r="AC6" s="120" t="str">
        <f t="shared" si="4"/>
        <v/>
      </c>
      <c r="AD6" s="121" t="str">
        <f>IFERROR($M6+VLOOKUP($L6,'Voyage days'!$F$94:$H$193,3,FALSE),"")</f>
        <v/>
      </c>
      <c r="AE6" s="121" t="str">
        <f>IFERROR($N6+VLOOKUP($L6,'Voyage days'!$F$94:$H$193,3,FALSE),"")</f>
        <v/>
      </c>
      <c r="AF6" s="120" t="str">
        <f t="shared" si="5"/>
        <v>03-04 Aug</v>
      </c>
      <c r="AG6" s="121">
        <f>IFERROR($M6+VLOOKUP($L6,'Voyage days'!$F$203:$H$256,3,FALSE),"")</f>
        <v>45872</v>
      </c>
      <c r="AH6" s="121">
        <f>IFERROR($N6+VLOOKUP($L6,'Voyage days'!$F$203:$H$256,3,FALSE),"")</f>
        <v>45873</v>
      </c>
      <c r="AI6" s="120" t="str">
        <f t="shared" si="6"/>
        <v>19-20 Jul</v>
      </c>
      <c r="AJ6" s="121">
        <f>IFERROR($M6+VLOOKUP($L6,'Voyage days'!$F$294:$H$377,3,FALSE),"")</f>
        <v>45857</v>
      </c>
      <c r="AK6" s="121">
        <f>IFERROR($N6+VLOOKUP($L6,'Voyage days'!$F$294:$H$377,3,FALSE),"")</f>
        <v>45858</v>
      </c>
      <c r="AL6" s="120" t="str">
        <f t="shared" si="7"/>
        <v>26-27 Jul</v>
      </c>
      <c r="AM6" s="121">
        <f>IFERROR($M6+VLOOKUP($L6,'Voyage days'!$F$382:$H$446,3,FALSE),"")</f>
        <v>45864</v>
      </c>
      <c r="AN6" s="121">
        <f>IFERROR($N6+VLOOKUP($L6,'Voyage days'!$F$382:$H$446,3,FALSE),"")</f>
        <v>45865</v>
      </c>
      <c r="AO6" s="120" t="str">
        <f t="shared" si="8"/>
        <v>28-29 Jun</v>
      </c>
      <c r="AP6" s="121">
        <f>IFERROR($M6+VLOOKUP($L6,'Voyage days'!$F$483:$H$538,3,FALSE),"")</f>
        <v>45836</v>
      </c>
      <c r="AQ6" s="121">
        <f>IFERROR($N6+VLOOKUP($L6,'Voyage days'!$F$483:$H$538,3,FALSE),"")</f>
        <v>45837</v>
      </c>
      <c r="AR6" s="120" t="str">
        <f t="shared" si="9"/>
        <v/>
      </c>
      <c r="AS6" s="121" t="str">
        <f>IFERROR($M6+VLOOKUP($L6,'Voyage days'!$F$540:$H$613,3,FALSE),"")</f>
        <v/>
      </c>
      <c r="AT6" s="121" t="str">
        <f>IFERROR($N6+VLOOKUP($L6,'Voyage days'!$F$540:$H$613,3,FALSE),"")</f>
        <v/>
      </c>
      <c r="AU6" s="120" t="str">
        <f t="shared" si="10"/>
        <v/>
      </c>
      <c r="AV6" s="121" t="str">
        <f>IFERROR($M6+VLOOKUP($L6,'Voyage days'!$L$483:$N$535,3,FALSE),"")</f>
        <v/>
      </c>
      <c r="AW6" s="121" t="str">
        <f>IFERROR($N6+VLOOKUP($L6,'Voyage days'!$L$483:$N$535,3,FALSE),"")</f>
        <v/>
      </c>
      <c r="AX6" s="120" t="str">
        <f t="shared" si="11"/>
        <v/>
      </c>
      <c r="AY6" s="122" t="str">
        <f>IFERROR($M6+VLOOKUP($L6,'Voyage days'!$F$620:$H$646,3,FALSE),"")</f>
        <v/>
      </c>
      <c r="AZ6" s="122" t="str">
        <f>IFERROR($N6+VLOOKUP($L6,'Voyage days'!$F$620:$H$646,3,FALSE),"")</f>
        <v/>
      </c>
      <c r="BA6" s="120" t="str">
        <f t="shared" si="12"/>
        <v/>
      </c>
      <c r="BB6" s="123" t="str">
        <f>IFERROR($M6+VLOOKUP($L6,'Voyage days'!$F$702:$H$727,3,FALSE),"")</f>
        <v/>
      </c>
      <c r="BC6" s="120" t="str">
        <f t="shared" si="13"/>
        <v>05-06 Aug</v>
      </c>
      <c r="BD6" s="122">
        <f>IFERROR($M6+VLOOKUP($L6,'Voyage days'!$F$807:$H$878,3,FALSE),"")</f>
        <v>45874</v>
      </c>
      <c r="BE6" s="122">
        <f>IFERROR($N6+VLOOKUP($L6,'Voyage days'!$F$807:$H$878,3,FALSE),"")</f>
        <v>45875</v>
      </c>
      <c r="BF6" s="609"/>
      <c r="BG6" s="609"/>
      <c r="BH6" s="609"/>
      <c r="BI6" s="609"/>
      <c r="BJ6" s="609"/>
      <c r="BK6" s="609"/>
      <c r="BL6" s="609"/>
      <c r="BM6" s="609"/>
    </row>
    <row r="7" ht="15.75" customHeight="1">
      <c r="A7" s="606" t="s">
        <v>389</v>
      </c>
      <c r="B7" s="1002">
        <v>39052.0</v>
      </c>
      <c r="C7" s="25">
        <v>83000.0</v>
      </c>
      <c r="D7" s="603" t="s">
        <v>2899</v>
      </c>
      <c r="E7" s="103" t="s">
        <v>666</v>
      </c>
      <c r="F7" s="604"/>
      <c r="G7" s="605" t="s">
        <v>2907</v>
      </c>
      <c r="H7" s="103"/>
      <c r="I7" s="603" t="s">
        <v>2899</v>
      </c>
      <c r="J7" s="185"/>
      <c r="K7" s="106" t="str">
        <f t="shared" si="1"/>
        <v>Update</v>
      </c>
      <c r="L7" s="108" t="s">
        <v>1031</v>
      </c>
      <c r="M7" s="109">
        <v>45834.0</v>
      </c>
      <c r="N7" s="109">
        <v>45834.0</v>
      </c>
      <c r="O7" s="110"/>
      <c r="P7" s="108" t="s">
        <v>2909</v>
      </c>
      <c r="Q7" s="185"/>
      <c r="R7" s="108" t="s">
        <v>2910</v>
      </c>
      <c r="S7" s="112" t="s">
        <v>33</v>
      </c>
      <c r="T7" s="113">
        <v>45833.0</v>
      </c>
      <c r="U7" s="114" t="str">
        <f>IF(V7="","No AIS",VLOOKUP(V7,'Voyage days'!$A$3:$B$1480,2,FALSE))</f>
        <v>WCI + 5</v>
      </c>
      <c r="V7" s="115" t="str">
        <f>IF(VLOOKUP(A7,'1) Kpler'!$E$2:$P$1000,8, FALSE)="","",VLOOKUP(A7,'1) Kpler'!$E$2:$P$1000,8, FALSE))</f>
        <v>Mumbai</v>
      </c>
      <c r="W7" s="116">
        <f>IF(VLOOKUP(A7,'1) Kpler'!$E$2:$P$1000,9,FALSE)="","",VLOOKUP(A7,'1) Kpler'!$E$2:$P$1000,9,FALSE))</f>
        <v>46132.875</v>
      </c>
      <c r="X7" s="115" t="str">
        <f>VLOOKUP(A7,'1) Kpler'!$E$2:$I$1000,4,FALSE)</f>
        <v>ballast</v>
      </c>
      <c r="Y7" s="160" t="str">
        <f t="shared" si="2"/>
        <v>26-26 Jun</v>
      </c>
      <c r="Z7" s="120" t="str">
        <f t="shared" si="3"/>
        <v>26-26 Jun</v>
      </c>
      <c r="AA7" s="121">
        <f>IFERROR($M7+VLOOKUP($L7,'Voyage days'!$F$38:$H$89,3,FALSE),"")</f>
        <v>45834</v>
      </c>
      <c r="AB7" s="121">
        <f>IFERROR(N7+VLOOKUP($L7,'Voyage days'!$F$38:$H$89,3,FALSE),"")</f>
        <v>45834</v>
      </c>
      <c r="AC7" s="120" t="str">
        <f t="shared" si="4"/>
        <v/>
      </c>
      <c r="AD7" s="121" t="str">
        <f>IFERROR($M7+VLOOKUP($L7,'Voyage days'!$F$94:$H$193,3,FALSE),"")</f>
        <v/>
      </c>
      <c r="AE7" s="121" t="str">
        <f>IFERROR($N7+VLOOKUP($L7,'Voyage days'!$F$94:$H$193,3,FALSE),"")</f>
        <v/>
      </c>
      <c r="AF7" s="120" t="str">
        <f t="shared" si="5"/>
        <v/>
      </c>
      <c r="AG7" s="121" t="str">
        <f>IFERROR($M7+VLOOKUP($L7,'Voyage days'!$F$203:$H$256,3,FALSE),"")</f>
        <v/>
      </c>
      <c r="AH7" s="121" t="str">
        <f>IFERROR($N7+VLOOKUP($L7,'Voyage days'!$F$203:$H$256,3,FALSE),"")</f>
        <v/>
      </c>
      <c r="AI7" s="120" t="str">
        <f t="shared" si="6"/>
        <v/>
      </c>
      <c r="AJ7" s="121" t="str">
        <f>IFERROR($M7+VLOOKUP($L7,'Voyage days'!$F$294:$H$377,3,FALSE),"")</f>
        <v/>
      </c>
      <c r="AK7" s="121" t="str">
        <f>IFERROR($N7+VLOOKUP($L7,'Voyage days'!$F$294:$H$377,3,FALSE),"")</f>
        <v/>
      </c>
      <c r="AL7" s="120" t="str">
        <f t="shared" si="7"/>
        <v/>
      </c>
      <c r="AM7" s="121" t="str">
        <f>IFERROR($M7+VLOOKUP($L7,'Voyage days'!$F$382:$H$446,3,FALSE),"")</f>
        <v/>
      </c>
      <c r="AN7" s="121" t="str">
        <f>IFERROR($N7+VLOOKUP($L7,'Voyage days'!$F$382:$H$446,3,FALSE),"")</f>
        <v/>
      </c>
      <c r="AO7" s="120" t="str">
        <f t="shared" si="8"/>
        <v/>
      </c>
      <c r="AP7" s="121" t="str">
        <f>IFERROR($M7+VLOOKUP($L7,'Voyage days'!$F$483:$H$538,3,FALSE),"")</f>
        <v/>
      </c>
      <c r="AQ7" s="121" t="str">
        <f>IFERROR($N7+VLOOKUP($L7,'Voyage days'!$F$483:$H$538,3,FALSE),"")</f>
        <v/>
      </c>
      <c r="AR7" s="120" t="str">
        <f t="shared" si="9"/>
        <v>15-15 Jul</v>
      </c>
      <c r="AS7" s="121">
        <f>IFERROR($M7+VLOOKUP($L7,'Voyage days'!$F$540:$H$613,3,FALSE),"")</f>
        <v>45853</v>
      </c>
      <c r="AT7" s="121">
        <f>IFERROR($N7+VLOOKUP($L7,'Voyage days'!$F$540:$H$613,3,FALSE),"")</f>
        <v>45853</v>
      </c>
      <c r="AU7" s="120" t="str">
        <f t="shared" si="10"/>
        <v/>
      </c>
      <c r="AV7" s="121" t="str">
        <f>IFERROR($M7+VLOOKUP($L7,'Voyage days'!$L$483:$N$535,3,FALSE),"")</f>
        <v/>
      </c>
      <c r="AW7" s="121" t="str">
        <f>IFERROR($N7+VLOOKUP($L7,'Voyage days'!$L$483:$N$535,3,FALSE),"")</f>
        <v/>
      </c>
      <c r="AX7" s="120" t="str">
        <f t="shared" si="11"/>
        <v/>
      </c>
      <c r="AY7" s="122" t="str">
        <f>IFERROR($M7+VLOOKUP($L7,'Voyage days'!$F$620:$H$646,3,FALSE),"")</f>
        <v/>
      </c>
      <c r="AZ7" s="122" t="str">
        <f>IFERROR($N7+VLOOKUP($L7,'Voyage days'!$F$620:$H$646,3,FALSE),"")</f>
        <v/>
      </c>
      <c r="BA7" s="120" t="str">
        <f t="shared" si="12"/>
        <v/>
      </c>
      <c r="BB7" s="123" t="str">
        <f>IFERROR($M7+VLOOKUP($L7,'Voyage days'!$F$702:$H$727,3,FALSE),"")</f>
        <v/>
      </c>
      <c r="BC7" s="120" t="str">
        <f t="shared" si="13"/>
        <v>26-26 Jun</v>
      </c>
      <c r="BD7" s="122">
        <f>IFERROR($M7+VLOOKUP($L7,'Voyage days'!$F$807:$H$878,3,FALSE),"")</f>
        <v>45834</v>
      </c>
      <c r="BE7" s="122">
        <f>IFERROR($N7+VLOOKUP($L7,'Voyage days'!$F$807:$H$878,3,FALSE),"")</f>
        <v>45834</v>
      </c>
      <c r="BF7" s="609"/>
      <c r="BG7" s="609"/>
      <c r="BH7" s="609"/>
      <c r="BI7" s="609"/>
      <c r="BJ7" s="609"/>
      <c r="BK7" s="609"/>
      <c r="BL7" s="609"/>
      <c r="BM7" s="609"/>
    </row>
    <row r="8" ht="15.75" customHeight="1">
      <c r="A8" s="606" t="s">
        <v>2911</v>
      </c>
      <c r="B8" s="1005">
        <v>37591.0</v>
      </c>
      <c r="C8" s="25">
        <v>79514.0</v>
      </c>
      <c r="D8" s="603" t="s">
        <v>2899</v>
      </c>
      <c r="E8" s="103" t="s">
        <v>666</v>
      </c>
      <c r="F8" s="604"/>
      <c r="G8" s="605">
        <v>46266.0</v>
      </c>
      <c r="H8" s="604"/>
      <c r="I8" s="603" t="s">
        <v>2899</v>
      </c>
      <c r="J8" s="111" t="s">
        <v>2912</v>
      </c>
      <c r="K8" s="336" t="str">
        <f t="shared" si="1"/>
        <v>#N/A</v>
      </c>
      <c r="L8" s="108" t="s">
        <v>1031</v>
      </c>
      <c r="M8" s="109">
        <v>45833.0</v>
      </c>
      <c r="N8" s="109">
        <v>45833.0</v>
      </c>
      <c r="O8" s="110"/>
      <c r="P8" s="108"/>
      <c r="Q8" s="185"/>
      <c r="R8" s="108" t="s">
        <v>2913</v>
      </c>
      <c r="S8" s="112" t="s">
        <v>33</v>
      </c>
      <c r="T8" s="113">
        <v>45833.0</v>
      </c>
      <c r="U8" s="114" t="str">
        <f>IF(V8="","No AIS",VLOOKUP(V8,'Voyage days'!$A$3:$B$1480,2,FALSE))</f>
        <v>#N/A</v>
      </c>
      <c r="V8" s="115" t="str">
        <f>IF(VLOOKUP(A8,'1) Kpler'!$E$2:$P$1000,8, FALSE)="","",VLOOKUP(A8,'1) Kpler'!$E$2:$P$1000,8, FALSE))</f>
        <v>#N/A</v>
      </c>
      <c r="W8" s="116" t="str">
        <f>IF(VLOOKUP(A8,'1) Kpler'!$E$2:$P$1000,9,FALSE)="","",VLOOKUP(A8,'1) Kpler'!$E$2:$P$1000,9,FALSE))</f>
        <v>#N/A</v>
      </c>
      <c r="X8" s="115" t="str">
        <f>VLOOKUP(A8,'1) Kpler'!$E$2:$I$1000,4,FALSE)</f>
        <v>#N/A</v>
      </c>
      <c r="Y8" s="160" t="str">
        <f t="shared" si="2"/>
        <v>25-25 Jun</v>
      </c>
      <c r="Z8" s="120" t="str">
        <f t="shared" si="3"/>
        <v>25-25 Jun</v>
      </c>
      <c r="AA8" s="121">
        <f>IFERROR($M8+VLOOKUP($L8,'Voyage days'!$F$38:$H$89,3,FALSE),"")</f>
        <v>45833</v>
      </c>
      <c r="AB8" s="121">
        <f>IFERROR(N8+VLOOKUP($L8,'Voyage days'!$F$38:$H$89,3,FALSE),"")</f>
        <v>45833</v>
      </c>
      <c r="AC8" s="120" t="str">
        <f t="shared" si="4"/>
        <v/>
      </c>
      <c r="AD8" s="121" t="str">
        <f>IFERROR($M8+VLOOKUP($L8,'Voyage days'!$F$94:$H$193,3,FALSE),"")</f>
        <v/>
      </c>
      <c r="AE8" s="121" t="str">
        <f>IFERROR($N8+VLOOKUP($L8,'Voyage days'!$F$94:$H$193,3,FALSE),"")</f>
        <v/>
      </c>
      <c r="AF8" s="120" t="str">
        <f t="shared" si="5"/>
        <v/>
      </c>
      <c r="AG8" s="121" t="str">
        <f>IFERROR($M8+VLOOKUP($L8,'Voyage days'!$F$203:$H$256,3,FALSE),"")</f>
        <v/>
      </c>
      <c r="AH8" s="121" t="str">
        <f>IFERROR($N8+VLOOKUP($L8,'Voyage days'!$F$203:$H$256,3,FALSE),"")</f>
        <v/>
      </c>
      <c r="AI8" s="120" t="str">
        <f t="shared" si="6"/>
        <v/>
      </c>
      <c r="AJ8" s="121" t="str">
        <f>IFERROR($M8+VLOOKUP($L8,'Voyage days'!$F$294:$H$377,3,FALSE),"")</f>
        <v/>
      </c>
      <c r="AK8" s="121" t="str">
        <f>IFERROR($N8+VLOOKUP($L8,'Voyage days'!$F$294:$H$377,3,FALSE),"")</f>
        <v/>
      </c>
      <c r="AL8" s="120" t="str">
        <f t="shared" si="7"/>
        <v/>
      </c>
      <c r="AM8" s="121" t="str">
        <f>IFERROR($M8+VLOOKUP($L8,'Voyage days'!$F$382:$H$446,3,FALSE),"")</f>
        <v/>
      </c>
      <c r="AN8" s="121" t="str">
        <f>IFERROR($N8+VLOOKUP($L8,'Voyage days'!$F$382:$H$446,3,FALSE),"")</f>
        <v/>
      </c>
      <c r="AO8" s="120" t="str">
        <f t="shared" si="8"/>
        <v/>
      </c>
      <c r="AP8" s="121" t="str">
        <f>IFERROR($M8+VLOOKUP($L8,'Voyage days'!$F$483:$H$538,3,FALSE),"")</f>
        <v/>
      </c>
      <c r="AQ8" s="121" t="str">
        <f>IFERROR($N8+VLOOKUP($L8,'Voyage days'!$F$483:$H$538,3,FALSE),"")</f>
        <v/>
      </c>
      <c r="AR8" s="120" t="str">
        <f t="shared" si="9"/>
        <v>14-14 Jul</v>
      </c>
      <c r="AS8" s="121">
        <f>IFERROR($M8+VLOOKUP($L8,'Voyage days'!$F$540:$H$613,3,FALSE),"")</f>
        <v>45852</v>
      </c>
      <c r="AT8" s="121">
        <f>IFERROR($N8+VLOOKUP($L8,'Voyage days'!$F$540:$H$613,3,FALSE),"")</f>
        <v>45852</v>
      </c>
      <c r="AU8" s="120" t="str">
        <f t="shared" si="10"/>
        <v/>
      </c>
      <c r="AV8" s="121" t="str">
        <f>IFERROR($M8+VLOOKUP($L8,'Voyage days'!$L$483:$N$535,3,FALSE),"")</f>
        <v/>
      </c>
      <c r="AW8" s="121" t="str">
        <f>IFERROR($N8+VLOOKUP($L8,'Voyage days'!$L$483:$N$535,3,FALSE),"")</f>
        <v/>
      </c>
      <c r="AX8" s="120" t="str">
        <f t="shared" si="11"/>
        <v/>
      </c>
      <c r="AY8" s="122" t="str">
        <f>IFERROR($M8+VLOOKUP($L8,'Voyage days'!$F$620:$H$646,3,FALSE),"")</f>
        <v/>
      </c>
      <c r="AZ8" s="122" t="str">
        <f>IFERROR($N8+VLOOKUP($L8,'Voyage days'!$F$620:$H$646,3,FALSE),"")</f>
        <v/>
      </c>
      <c r="BA8" s="120" t="str">
        <f t="shared" si="12"/>
        <v/>
      </c>
      <c r="BB8" s="123" t="str">
        <f>IFERROR($M8+VLOOKUP($L8,'Voyage days'!$F$702:$H$727,3,FALSE),"")</f>
        <v/>
      </c>
      <c r="BC8" s="120" t="str">
        <f t="shared" si="13"/>
        <v>25-25 Jun</v>
      </c>
      <c r="BD8" s="122">
        <f>IFERROR($M8+VLOOKUP($L8,'Voyage days'!$F$807:$H$878,3,FALSE),"")</f>
        <v>45833</v>
      </c>
      <c r="BE8" s="122">
        <f>IFERROR($N8+VLOOKUP($L8,'Voyage days'!$F$807:$H$878,3,FALSE),"")</f>
        <v>45833</v>
      </c>
      <c r="BF8" s="609"/>
      <c r="BG8" s="609"/>
      <c r="BH8" s="609"/>
      <c r="BI8" s="609"/>
      <c r="BJ8" s="609"/>
      <c r="BK8" s="609"/>
      <c r="BL8" s="609"/>
      <c r="BM8" s="609"/>
    </row>
    <row r="9">
      <c r="A9" s="1006" t="s">
        <v>541</v>
      </c>
      <c r="B9" s="1007">
        <v>37118.0</v>
      </c>
      <c r="C9" s="1008">
        <v>84333.0</v>
      </c>
      <c r="D9" s="1009" t="s">
        <v>2899</v>
      </c>
      <c r="E9" s="223"/>
      <c r="F9" s="1010">
        <v>44217.0</v>
      </c>
      <c r="G9" s="1011" t="s">
        <v>2914</v>
      </c>
      <c r="H9" s="223"/>
      <c r="I9" s="1009" t="s">
        <v>2899</v>
      </c>
      <c r="J9" s="463" t="s">
        <v>2905</v>
      </c>
      <c r="K9" s="469" t="str">
        <f t="shared" si="1"/>
        <v>Update</v>
      </c>
      <c r="L9" s="172" t="s">
        <v>1031</v>
      </c>
      <c r="M9" s="173">
        <v>45834.0</v>
      </c>
      <c r="N9" s="173">
        <v>45835.0</v>
      </c>
      <c r="O9" s="174"/>
      <c r="P9" s="1012" t="s">
        <v>2915</v>
      </c>
      <c r="Q9" s="463"/>
      <c r="R9" s="1009"/>
      <c r="S9" s="227" t="s">
        <v>33</v>
      </c>
      <c r="T9" s="413">
        <v>45833.0</v>
      </c>
      <c r="U9" s="177" t="str">
        <f>IF(V9="","No AIS",VLOOKUP(V9,'Voyage days'!$A$3:$B$1480,2,FALSE))</f>
        <v>South China + 4</v>
      </c>
      <c r="V9" s="178" t="str">
        <f>IF(VLOOKUP(A9,'1) Kpler'!$E$2:$P$1000,8, FALSE)="","",VLOOKUP(A9,'1) Kpler'!$E$2:$P$1000,8, FALSE))</f>
        <v>Guangzhou</v>
      </c>
      <c r="W9" s="179">
        <f>IF(VLOOKUP(A9,'1) Kpler'!$E$2:$P$1000,9,FALSE)="","",VLOOKUP(A9,'1) Kpler'!$E$2:$P$1000,9,FALSE))</f>
        <v>46139.33333</v>
      </c>
      <c r="X9" s="178" t="str">
        <f>VLOOKUP(A9,'1) Kpler'!$E$2:$I$1000,4,FALSE)</f>
        <v>loaded</v>
      </c>
      <c r="Y9" s="180" t="str">
        <f t="shared" si="2"/>
        <v>26-27 Jun</v>
      </c>
      <c r="Z9" s="120" t="str">
        <f t="shared" si="3"/>
        <v>26-27 Jun</v>
      </c>
      <c r="AA9" s="121">
        <f>IFERROR($M9+VLOOKUP($L9,'Voyage days'!$F$38:$H$89,3,FALSE),"")</f>
        <v>45834</v>
      </c>
      <c r="AB9" s="121">
        <f>IFERROR(N9+VLOOKUP($L9,'Voyage days'!$F$38:$H$89,3,FALSE),"")</f>
        <v>45835</v>
      </c>
      <c r="AC9" s="120" t="str">
        <f t="shared" si="4"/>
        <v/>
      </c>
      <c r="AD9" s="121" t="str">
        <f>IFERROR($M9+VLOOKUP($L9,'Voyage days'!$F$94:$H$193,3,FALSE),"")</f>
        <v/>
      </c>
      <c r="AE9" s="121" t="str">
        <f>IFERROR($N9+VLOOKUP($L9,'Voyage days'!$F$94:$H$193,3,FALSE),"")</f>
        <v/>
      </c>
      <c r="AF9" s="120" t="str">
        <f t="shared" si="5"/>
        <v/>
      </c>
      <c r="AG9" s="121" t="str">
        <f>IFERROR($M9+VLOOKUP($L9,'Voyage days'!$F$203:$H$256,3,FALSE),"")</f>
        <v/>
      </c>
      <c r="AH9" s="121" t="str">
        <f>IFERROR($N9+VLOOKUP($L9,'Voyage days'!$F$203:$H$256,3,FALSE),"")</f>
        <v/>
      </c>
      <c r="AI9" s="120" t="str">
        <f t="shared" si="6"/>
        <v/>
      </c>
      <c r="AJ9" s="121" t="str">
        <f>IFERROR($M9+VLOOKUP($L9,'Voyage days'!$F$294:$H$377,3,FALSE),"")</f>
        <v/>
      </c>
      <c r="AK9" s="121" t="str">
        <f>IFERROR($N9+VLOOKUP($L9,'Voyage days'!$F$294:$H$377,3,FALSE),"")</f>
        <v/>
      </c>
      <c r="AL9" s="120" t="str">
        <f t="shared" si="7"/>
        <v/>
      </c>
      <c r="AM9" s="121" t="str">
        <f>IFERROR($M9+VLOOKUP($L9,'Voyage days'!$F$382:$H$446,3,FALSE),"")</f>
        <v/>
      </c>
      <c r="AN9" s="121" t="str">
        <f>IFERROR($N9+VLOOKUP($L9,'Voyage days'!$F$382:$H$446,3,FALSE),"")</f>
        <v/>
      </c>
      <c r="AO9" s="120" t="str">
        <f t="shared" si="8"/>
        <v/>
      </c>
      <c r="AP9" s="121" t="str">
        <f>IFERROR($M9+VLOOKUP($L9,'Voyage days'!$F$483:$H$538,3,FALSE),"")</f>
        <v/>
      </c>
      <c r="AQ9" s="121" t="str">
        <f>IFERROR($N9+VLOOKUP($L9,'Voyage days'!$F$483:$H$538,3,FALSE),"")</f>
        <v/>
      </c>
      <c r="AR9" s="120" t="str">
        <f t="shared" si="9"/>
        <v>15-16 Jul</v>
      </c>
      <c r="AS9" s="121">
        <f>IFERROR($M9+VLOOKUP($L9,'Voyage days'!$F$540:$H$613,3,FALSE),"")</f>
        <v>45853</v>
      </c>
      <c r="AT9" s="121">
        <f>IFERROR($N9+VLOOKUP($L9,'Voyage days'!$F$540:$H$613,3,FALSE),"")</f>
        <v>45854</v>
      </c>
      <c r="AU9" s="120" t="str">
        <f t="shared" si="10"/>
        <v/>
      </c>
      <c r="AV9" s="121" t="str">
        <f>IFERROR($M9+VLOOKUP($L9,'Voyage days'!$L$483:$N$535,3,FALSE),"")</f>
        <v/>
      </c>
      <c r="AW9" s="121" t="str">
        <f>IFERROR($N9+VLOOKUP($L9,'Voyage days'!$L$483:$N$535,3,FALSE),"")</f>
        <v/>
      </c>
      <c r="AX9" s="120" t="str">
        <f t="shared" si="11"/>
        <v/>
      </c>
      <c r="AY9" s="122" t="str">
        <f>IFERROR($M9+VLOOKUP($L9,'Voyage days'!$F$620:$H$646,3,FALSE),"")</f>
        <v/>
      </c>
      <c r="AZ9" s="122" t="str">
        <f>IFERROR($N9+VLOOKUP($L9,'Voyage days'!$F$620:$H$646,3,FALSE),"")</f>
        <v/>
      </c>
      <c r="BA9" s="120" t="str">
        <f t="shared" si="12"/>
        <v/>
      </c>
      <c r="BB9" s="123" t="str">
        <f>IFERROR($M9+VLOOKUP($L9,'Voyage days'!$F$702:$H$727,3,FALSE),"")</f>
        <v/>
      </c>
      <c r="BC9" s="120" t="str">
        <f t="shared" si="13"/>
        <v>26-27 Jun</v>
      </c>
      <c r="BD9" s="122">
        <f>IFERROR($M9+VLOOKUP($L9,'Voyage days'!$F$807:$H$878,3,FALSE),"")</f>
        <v>45834</v>
      </c>
      <c r="BE9" s="122">
        <f>IFERROR($N9+VLOOKUP($L9,'Voyage days'!$F$807:$H$878,3,FALSE),"")</f>
        <v>45835</v>
      </c>
      <c r="BF9" s="609"/>
      <c r="BG9" s="609"/>
      <c r="BH9" s="609"/>
      <c r="BI9" s="609"/>
      <c r="BJ9" s="609"/>
      <c r="BK9" s="609"/>
      <c r="BL9" s="609"/>
      <c r="BM9" s="609"/>
    </row>
    <row r="10" ht="15.75" customHeight="1">
      <c r="A10" s="606" t="s">
        <v>1349</v>
      </c>
      <c r="B10" s="1002">
        <v>39356.0</v>
      </c>
      <c r="C10" s="512">
        <v>82291.0</v>
      </c>
      <c r="D10" s="1013" t="s">
        <v>1362</v>
      </c>
      <c r="E10" s="149"/>
      <c r="F10" s="1014"/>
      <c r="G10" s="1015">
        <v>45992.0</v>
      </c>
      <c r="H10" s="149"/>
      <c r="I10" s="1013" t="s">
        <v>1362</v>
      </c>
      <c r="J10" s="157" t="s">
        <v>2905</v>
      </c>
      <c r="K10" s="470" t="str">
        <f t="shared" si="1"/>
        <v>NO AIS</v>
      </c>
      <c r="L10" s="153" t="s">
        <v>1231</v>
      </c>
      <c r="M10" s="276">
        <v>45836.0</v>
      </c>
      <c r="N10" s="276">
        <v>45837.0</v>
      </c>
      <c r="O10" s="155"/>
      <c r="P10" s="278" t="s">
        <v>2916</v>
      </c>
      <c r="Q10" s="157"/>
      <c r="R10" s="153" t="s">
        <v>2917</v>
      </c>
      <c r="S10" s="292" t="s">
        <v>934</v>
      </c>
      <c r="T10" s="420">
        <v>45827.0</v>
      </c>
      <c r="U10" s="114" t="str">
        <f>IF(V10="","No AIS",VLOOKUP(V10,'Voyage days'!$A$3:$B$1480,2,FALSE))</f>
        <v>No AIS</v>
      </c>
      <c r="V10" s="114" t="str">
        <f>IF(VLOOKUP(A10,'1) Kpler'!$E$2:$P$1000,8, FALSE)="","",VLOOKUP(A10,'1) Kpler'!$E$2:$P$1000,8, FALSE))</f>
        <v/>
      </c>
      <c r="W10" s="159" t="str">
        <f>IF(VLOOKUP(A10,'1) Kpler'!$E$2:$P$1000,9,FALSE)="","",VLOOKUP(A10,'1) Kpler'!$E$2:$P$1000,9,FALSE))</f>
        <v/>
      </c>
      <c r="X10" s="114" t="str">
        <f>VLOOKUP(A10,'1) Kpler'!$E$2:$I$1000,4,FALSE)</f>
        <v>ballast</v>
      </c>
      <c r="Y10" s="272" t="str">
        <f t="shared" si="2"/>
        <v>07-08 Jul</v>
      </c>
      <c r="Z10" s="163" t="str">
        <f t="shared" si="3"/>
        <v>07-08 Jul</v>
      </c>
      <c r="AA10" s="122">
        <f>IFERROR($M10+VLOOKUP($L10,'Voyage days'!$F$38:$H$89,3,FALSE),"")</f>
        <v>45845</v>
      </c>
      <c r="AB10" s="122">
        <f>IFERROR(N10+VLOOKUP($L10,'Voyage days'!$F$38:$H$89,3,FALSE),"")</f>
        <v>45846</v>
      </c>
      <c r="AC10" s="163" t="str">
        <f t="shared" si="4"/>
        <v/>
      </c>
      <c r="AD10" s="122" t="str">
        <f>IFERROR($M10+VLOOKUP($L10,'Voyage days'!$F$94:$H$193,3,FALSE),"")</f>
        <v/>
      </c>
      <c r="AE10" s="122" t="str">
        <f>IFERROR($N10+VLOOKUP($L10,'Voyage days'!$F$94:$H$193,3,FALSE),"")</f>
        <v/>
      </c>
      <c r="AF10" s="163" t="str">
        <f t="shared" si="5"/>
        <v>03-04 Aug</v>
      </c>
      <c r="AG10" s="122">
        <f>IFERROR($M10+VLOOKUP($L10,'Voyage days'!$F$203:$H$256,3,FALSE),"")</f>
        <v>45872</v>
      </c>
      <c r="AH10" s="122">
        <f>IFERROR($N10+VLOOKUP($L10,'Voyage days'!$F$203:$H$256,3,FALSE),"")</f>
        <v>45873</v>
      </c>
      <c r="AI10" s="163" t="str">
        <f t="shared" si="6"/>
        <v>19-20 Jul</v>
      </c>
      <c r="AJ10" s="122">
        <f>IFERROR($M10+VLOOKUP($L10,'Voyage days'!$F$294:$H$377,3,FALSE),"")</f>
        <v>45857</v>
      </c>
      <c r="AK10" s="122">
        <f>IFERROR($N10+VLOOKUP($L10,'Voyage days'!$F$294:$H$377,3,FALSE),"")</f>
        <v>45858</v>
      </c>
      <c r="AL10" s="163" t="str">
        <f t="shared" si="7"/>
        <v>26-27 Jul</v>
      </c>
      <c r="AM10" s="122">
        <f>IFERROR($M10+VLOOKUP($L10,'Voyage days'!$F$382:$H$446,3,FALSE),"")</f>
        <v>45864</v>
      </c>
      <c r="AN10" s="122">
        <f>IFERROR($N10+VLOOKUP($L10,'Voyage days'!$F$382:$H$446,3,FALSE),"")</f>
        <v>45865</v>
      </c>
      <c r="AO10" s="163" t="str">
        <f t="shared" si="8"/>
        <v>28-29 Jun</v>
      </c>
      <c r="AP10" s="122">
        <f>IFERROR($M10+VLOOKUP($L10,'Voyage days'!$F$483:$H$538,3,FALSE),"")</f>
        <v>45836</v>
      </c>
      <c r="AQ10" s="122">
        <f>IFERROR($N10+VLOOKUP($L10,'Voyage days'!$F$483:$H$538,3,FALSE),"")</f>
        <v>45837</v>
      </c>
      <c r="AR10" s="163" t="str">
        <f t="shared" si="9"/>
        <v/>
      </c>
      <c r="AS10" s="122" t="str">
        <f>IFERROR($M10+VLOOKUP($L10,'Voyage days'!$F$540:$H$613,3,FALSE),"")</f>
        <v/>
      </c>
      <c r="AT10" s="122" t="str">
        <f>IFERROR($N10+VLOOKUP($L10,'Voyage days'!$F$540:$H$613,3,FALSE),"")</f>
        <v/>
      </c>
      <c r="AU10" s="163" t="str">
        <f t="shared" si="10"/>
        <v/>
      </c>
      <c r="AV10" s="122" t="str">
        <f>IFERROR($M10+VLOOKUP($L10,'Voyage days'!$L$483:$N$535,3,FALSE),"")</f>
        <v/>
      </c>
      <c r="AW10" s="122" t="str">
        <f>IFERROR($N10+VLOOKUP($L10,'Voyage days'!$L$483:$N$535,3,FALSE),"")</f>
        <v/>
      </c>
      <c r="AX10" s="163" t="str">
        <f t="shared" si="11"/>
        <v/>
      </c>
      <c r="AY10" s="122" t="str">
        <f>IFERROR($M10+VLOOKUP($L10,'Voyage days'!$F$620:$H$646,3,FALSE),"")</f>
        <v/>
      </c>
      <c r="AZ10" s="122" t="str">
        <f>IFERROR($N10+VLOOKUP($L10,'Voyage days'!$F$620:$H$646,3,FALSE),"")</f>
        <v/>
      </c>
      <c r="BA10" s="163" t="str">
        <f t="shared" si="12"/>
        <v/>
      </c>
      <c r="BB10" s="123" t="str">
        <f>IFERROR($M10+VLOOKUP($L10,'Voyage days'!$F$702:$H$727,3,FALSE),"")</f>
        <v/>
      </c>
      <c r="BC10" s="163" t="str">
        <f t="shared" si="13"/>
        <v>05-06 Aug</v>
      </c>
      <c r="BD10" s="122">
        <f>IFERROR($M10+VLOOKUP($L10,'Voyage days'!$F$807:$H$878,3,FALSE),"")</f>
        <v>45874</v>
      </c>
      <c r="BE10" s="122">
        <f>IFERROR($N10+VLOOKUP($L10,'Voyage days'!$F$807:$H$878,3,FALSE),"")</f>
        <v>45875</v>
      </c>
      <c r="BF10" s="609"/>
      <c r="BG10" s="609"/>
      <c r="BH10" s="609"/>
      <c r="BI10" s="609"/>
      <c r="BJ10" s="609"/>
      <c r="BK10" s="609"/>
      <c r="BL10" s="609"/>
      <c r="BM10" s="609"/>
    </row>
    <row r="11">
      <c r="A11" s="1016" t="s">
        <v>1361</v>
      </c>
      <c r="B11" s="1002">
        <v>39448.0</v>
      </c>
      <c r="C11" s="25">
        <v>83800.0</v>
      </c>
      <c r="D11" s="603" t="s">
        <v>1362</v>
      </c>
      <c r="E11" s="103" t="s">
        <v>689</v>
      </c>
      <c r="F11" s="604"/>
      <c r="G11" s="1017">
        <v>45658.0</v>
      </c>
      <c r="H11" s="103"/>
      <c r="I11" s="290" t="s">
        <v>1362</v>
      </c>
      <c r="J11" s="185" t="s">
        <v>2918</v>
      </c>
      <c r="K11" s="106" t="str">
        <f t="shared" si="1"/>
        <v>NO AIS</v>
      </c>
      <c r="L11" s="108" t="s">
        <v>1031</v>
      </c>
      <c r="M11" s="109">
        <v>45833.0</v>
      </c>
      <c r="N11" s="109">
        <v>45833.0</v>
      </c>
      <c r="O11" s="110"/>
      <c r="P11" s="108" t="s">
        <v>2919</v>
      </c>
      <c r="Q11" s="185"/>
      <c r="R11" s="290" t="s">
        <v>2920</v>
      </c>
      <c r="S11" s="112" t="s">
        <v>33</v>
      </c>
      <c r="T11" s="113">
        <v>45827.0</v>
      </c>
      <c r="U11" s="114" t="str">
        <f>IF(V11="","No AIS",VLOOKUP(V11,'Voyage days'!$A$3:$B$1480,2,FALSE))</f>
        <v>No AIS</v>
      </c>
      <c r="V11" s="115" t="str">
        <f>IF(VLOOKUP(A11,'1) Kpler'!$E$2:$P$1000,8, FALSE)="","",VLOOKUP(A11,'1) Kpler'!$E$2:$P$1000,8, FALSE))</f>
        <v/>
      </c>
      <c r="W11" s="116" t="str">
        <f>IF(VLOOKUP(A11,'1) Kpler'!$E$2:$P$1000,9,FALSE)="","",VLOOKUP(A11,'1) Kpler'!$E$2:$P$1000,9,FALSE))</f>
        <v/>
      </c>
      <c r="X11" s="115" t="str">
        <f>VLOOKUP(A11,'1) Kpler'!$E$2:$I$1000,4,FALSE)</f>
        <v>loaded</v>
      </c>
      <c r="Y11" s="160" t="str">
        <f t="shared" si="2"/>
        <v>25-25 Jun</v>
      </c>
      <c r="Z11" s="120" t="str">
        <f t="shared" si="3"/>
        <v>25-25 Jun</v>
      </c>
      <c r="AA11" s="121">
        <f>IFERROR($M11+VLOOKUP($L11,'Voyage days'!$F$38:$H$89,3,FALSE),"")</f>
        <v>45833</v>
      </c>
      <c r="AB11" s="121">
        <f>IFERROR(N11+VLOOKUP($L11,'Voyage days'!$F$38:$H$89,3,FALSE),"")</f>
        <v>45833</v>
      </c>
      <c r="AC11" s="120" t="str">
        <f t="shared" si="4"/>
        <v/>
      </c>
      <c r="AD11" s="121" t="str">
        <f>IFERROR($M11+VLOOKUP($L11,'Voyage days'!$F$94:$H$193,3,FALSE),"")</f>
        <v/>
      </c>
      <c r="AE11" s="121" t="str">
        <f>IFERROR($N11+VLOOKUP($L11,'Voyage days'!$F$94:$H$193,3,FALSE),"")</f>
        <v/>
      </c>
      <c r="AF11" s="120" t="str">
        <f t="shared" si="5"/>
        <v/>
      </c>
      <c r="AG11" s="121" t="str">
        <f>IFERROR($M11+VLOOKUP($L11,'Voyage days'!$F$203:$H$256,3,FALSE),"")</f>
        <v/>
      </c>
      <c r="AH11" s="121" t="str">
        <f>IFERROR($N11+VLOOKUP($L11,'Voyage days'!$F$203:$H$256,3,FALSE),"")</f>
        <v/>
      </c>
      <c r="AI11" s="120" t="str">
        <f t="shared" si="6"/>
        <v/>
      </c>
      <c r="AJ11" s="121" t="str">
        <f>IFERROR($M11+VLOOKUP($L11,'Voyage days'!$F$294:$H$377,3,FALSE),"")</f>
        <v/>
      </c>
      <c r="AK11" s="121" t="str">
        <f>IFERROR($N11+VLOOKUP($L11,'Voyage days'!$F$294:$H$377,3,FALSE),"")</f>
        <v/>
      </c>
      <c r="AL11" s="120" t="str">
        <f t="shared" si="7"/>
        <v/>
      </c>
      <c r="AM11" s="121" t="str">
        <f>IFERROR($M11+VLOOKUP($L11,'Voyage days'!$F$382:$H$446,3,FALSE),"")</f>
        <v/>
      </c>
      <c r="AN11" s="121" t="str">
        <f>IFERROR($N11+VLOOKUP($L11,'Voyage days'!$F$382:$H$446,3,FALSE),"")</f>
        <v/>
      </c>
      <c r="AO11" s="120" t="str">
        <f t="shared" si="8"/>
        <v/>
      </c>
      <c r="AP11" s="121" t="str">
        <f>IFERROR($M11+VLOOKUP($L11,'Voyage days'!$F$483:$H$538,3,FALSE),"")</f>
        <v/>
      </c>
      <c r="AQ11" s="121" t="str">
        <f>IFERROR($N11+VLOOKUP($L11,'Voyage days'!$F$483:$H$538,3,FALSE),"")</f>
        <v/>
      </c>
      <c r="AR11" s="120" t="str">
        <f t="shared" si="9"/>
        <v>14-14 Jul</v>
      </c>
      <c r="AS11" s="121">
        <f>IFERROR($M11+VLOOKUP($L11,'Voyage days'!$F$540:$H$613,3,FALSE),"")</f>
        <v>45852</v>
      </c>
      <c r="AT11" s="121">
        <f>IFERROR($N11+VLOOKUP($L11,'Voyage days'!$F$540:$H$613,3,FALSE),"")</f>
        <v>45852</v>
      </c>
      <c r="AU11" s="120" t="str">
        <f t="shared" si="10"/>
        <v/>
      </c>
      <c r="AV11" s="121" t="str">
        <f>IFERROR($M11+VLOOKUP($L11,'Voyage days'!$L$483:$N$535,3,FALSE),"")</f>
        <v/>
      </c>
      <c r="AW11" s="121" t="str">
        <f>IFERROR($N11+VLOOKUP($L11,'Voyage days'!$L$483:$N$535,3,FALSE),"")</f>
        <v/>
      </c>
      <c r="AX11" s="120" t="str">
        <f t="shared" si="11"/>
        <v/>
      </c>
      <c r="AY11" s="122" t="str">
        <f>IFERROR($M11+VLOOKUP($L11,'Voyage days'!$F$620:$H$646,3,FALSE),"")</f>
        <v/>
      </c>
      <c r="AZ11" s="122" t="str">
        <f>IFERROR($N11+VLOOKUP($L11,'Voyage days'!$F$620:$H$646,3,FALSE),"")</f>
        <v/>
      </c>
      <c r="BA11" s="120" t="str">
        <f t="shared" si="12"/>
        <v/>
      </c>
      <c r="BB11" s="123" t="str">
        <f>IFERROR($M11+VLOOKUP($L11,'Voyage days'!$F$702:$H$727,3,FALSE),"")</f>
        <v/>
      </c>
      <c r="BC11" s="120" t="str">
        <f t="shared" si="13"/>
        <v>25-25 Jun</v>
      </c>
      <c r="BD11" s="122">
        <f>IFERROR($M11+VLOOKUP($L11,'Voyage days'!$F$807:$H$878,3,FALSE),"")</f>
        <v>45833</v>
      </c>
      <c r="BE11" s="122">
        <f>IFERROR($N11+VLOOKUP($L11,'Voyage days'!$F$807:$H$878,3,FALSE),"")</f>
        <v>45833</v>
      </c>
      <c r="BF11" s="609"/>
      <c r="BG11" s="609"/>
      <c r="BH11" s="609"/>
      <c r="BI11" s="609"/>
      <c r="BJ11" s="609"/>
      <c r="BK11" s="609"/>
      <c r="BL11" s="609"/>
      <c r="BM11" s="609"/>
    </row>
    <row r="12" ht="15.75" customHeight="1">
      <c r="A12" s="606" t="s">
        <v>2921</v>
      </c>
      <c r="B12" s="1002">
        <v>39448.0</v>
      </c>
      <c r="C12" s="512">
        <v>82253.0</v>
      </c>
      <c r="D12" s="603" t="s">
        <v>1362</v>
      </c>
      <c r="E12" s="103"/>
      <c r="F12" s="604"/>
      <c r="G12" s="1017">
        <v>46327.0</v>
      </c>
      <c r="H12" s="111"/>
      <c r="I12" s="603" t="s">
        <v>1362</v>
      </c>
      <c r="J12" s="111" t="s">
        <v>2918</v>
      </c>
      <c r="K12" s="106" t="str">
        <f t="shared" si="1"/>
        <v>Update</v>
      </c>
      <c r="L12" s="108" t="s">
        <v>1270</v>
      </c>
      <c r="M12" s="109">
        <v>45828.0</v>
      </c>
      <c r="N12" s="109">
        <v>45829.0</v>
      </c>
      <c r="O12" s="110"/>
      <c r="P12" s="108" t="s">
        <v>2922</v>
      </c>
      <c r="Q12" s="185"/>
      <c r="R12" s="108" t="s">
        <v>2923</v>
      </c>
      <c r="S12" s="112" t="s">
        <v>33</v>
      </c>
      <c r="T12" s="113">
        <v>45833.0</v>
      </c>
      <c r="U12" s="114" t="str">
        <f>IF(V12="","No AIS",VLOOKUP(V12,'Voyage days'!$A$3:$B$1480,2,FALSE))</f>
        <v>WCI + 5</v>
      </c>
      <c r="V12" s="115" t="str">
        <f>IF(VLOOKUP(A12,'1) Kpler'!$E$2:$P$1000,8, FALSE)="","",VLOOKUP(A12,'1) Kpler'!$E$2:$P$1000,8, FALSE))</f>
        <v>Kandla</v>
      </c>
      <c r="W12" s="116">
        <f>IF(VLOOKUP(A12,'1) Kpler'!$E$2:$P$1000,9,FALSE)="","",VLOOKUP(A12,'1) Kpler'!$E$2:$P$1000,9,FALSE))</f>
        <v>46131.75</v>
      </c>
      <c r="X12" s="115" t="str">
        <f>VLOOKUP(A12,'1) Kpler'!$E$2:$I$1000,4,FALSE)</f>
        <v>ballast</v>
      </c>
      <c r="Y12" s="117" t="str">
        <f t="shared" si="2"/>
        <v/>
      </c>
      <c r="Z12" s="120" t="str">
        <f t="shared" si="3"/>
        <v/>
      </c>
      <c r="AA12" s="121" t="str">
        <f>IFERROR($M12+VLOOKUP($L12,'Voyage days'!$F$38:$H$89,3,FALSE),"")</f>
        <v/>
      </c>
      <c r="AB12" s="121" t="str">
        <f>IFERROR(N12+VLOOKUP($L12,'Voyage days'!$F$38:$H$89,3,FALSE),"")</f>
        <v/>
      </c>
      <c r="AC12" s="120" t="str">
        <f t="shared" si="4"/>
        <v>06-07 Jul</v>
      </c>
      <c r="AD12" s="121">
        <f>IFERROR($M12+VLOOKUP($L12,'Voyage days'!$F$94:$H$193,3,FALSE),"")</f>
        <v>45844</v>
      </c>
      <c r="AE12" s="121">
        <f>IFERROR($N12+VLOOKUP($L12,'Voyage days'!$F$94:$H$193,3,FALSE),"")</f>
        <v>45845</v>
      </c>
      <c r="AF12" s="120" t="str">
        <f t="shared" si="5"/>
        <v>07-08 Jul</v>
      </c>
      <c r="AG12" s="121">
        <f>IFERROR($M12+VLOOKUP($L12,'Voyage days'!$F$203:$H$256,3,FALSE),"")</f>
        <v>45845</v>
      </c>
      <c r="AH12" s="121">
        <f>IFERROR($N12+VLOOKUP($L12,'Voyage days'!$F$203:$H$256,3,FALSE),"")</f>
        <v>45846</v>
      </c>
      <c r="AI12" s="120" t="str">
        <f t="shared" si="6"/>
        <v>02-03 Jul</v>
      </c>
      <c r="AJ12" s="121">
        <f>IFERROR($M12+VLOOKUP($L12,'Voyage days'!$F$294:$H$377,3,FALSE),"")</f>
        <v>45840</v>
      </c>
      <c r="AK12" s="121">
        <f>IFERROR($N12+VLOOKUP($L12,'Voyage days'!$F$294:$H$377,3,FALSE),"")</f>
        <v>45841</v>
      </c>
      <c r="AL12" s="120" t="str">
        <f t="shared" si="7"/>
        <v>23-24 Jun</v>
      </c>
      <c r="AM12" s="121">
        <f>IFERROR($M12+VLOOKUP($L12,'Voyage days'!$F$382:$H$446,3,FALSE),"")</f>
        <v>45831</v>
      </c>
      <c r="AN12" s="121">
        <f>IFERROR($N12+VLOOKUP($L12,'Voyage days'!$F$382:$H$446,3,FALSE),"")</f>
        <v>45832</v>
      </c>
      <c r="AO12" s="120" t="str">
        <f t="shared" si="8"/>
        <v/>
      </c>
      <c r="AP12" s="121" t="str">
        <f>IFERROR($M12+VLOOKUP($L12,'Voyage days'!$F$483:$H$538,3,FALSE),"")</f>
        <v/>
      </c>
      <c r="AQ12" s="121" t="str">
        <f>IFERROR($N12+VLOOKUP($L12,'Voyage days'!$F$483:$H$538,3,FALSE),"")</f>
        <v/>
      </c>
      <c r="AR12" s="120" t="str">
        <f t="shared" si="9"/>
        <v/>
      </c>
      <c r="AS12" s="121" t="str">
        <f>IFERROR($M12+VLOOKUP($L12,'Voyage days'!$F$540:$H$613,3,FALSE),"")</f>
        <v/>
      </c>
      <c r="AT12" s="121" t="str">
        <f>IFERROR($N12+VLOOKUP($L12,'Voyage days'!$F$540:$H$613,3,FALSE),"")</f>
        <v/>
      </c>
      <c r="AU12" s="120" t="str">
        <f t="shared" si="10"/>
        <v/>
      </c>
      <c r="AV12" s="121" t="str">
        <f>IFERROR($M12+VLOOKUP($L12,'Voyage days'!$L$483:$N$535,3,FALSE),"")</f>
        <v/>
      </c>
      <c r="AW12" s="121" t="str">
        <f>IFERROR($N12+VLOOKUP($L12,'Voyage days'!$L$483:$N$535,3,FALSE),"")</f>
        <v/>
      </c>
      <c r="AX12" s="120" t="str">
        <f t="shared" si="11"/>
        <v/>
      </c>
      <c r="AY12" s="122" t="str">
        <f>IFERROR($M12+VLOOKUP($L12,'Voyage days'!$F$620:$H$646,3,FALSE),"")</f>
        <v/>
      </c>
      <c r="AZ12" s="122" t="str">
        <f>IFERROR($N12+VLOOKUP($L12,'Voyage days'!$F$620:$H$646,3,FALSE),"")</f>
        <v/>
      </c>
      <c r="BA12" s="120" t="str">
        <f t="shared" si="12"/>
        <v/>
      </c>
      <c r="BB12" s="123" t="str">
        <f>IFERROR($M12+VLOOKUP($L12,'Voyage days'!$F$702:$H$727,3,FALSE),"")</f>
        <v/>
      </c>
      <c r="BC12" s="120" t="str">
        <f t="shared" si="13"/>
        <v>25-26 Jun</v>
      </c>
      <c r="BD12" s="122">
        <f>IFERROR($M12+VLOOKUP($L12,'Voyage days'!$F$807:$H$878,3,FALSE),"")</f>
        <v>45833</v>
      </c>
      <c r="BE12" s="122">
        <f>IFERROR($N12+VLOOKUP($L12,'Voyage days'!$F$807:$H$878,3,FALSE),"")</f>
        <v>45834</v>
      </c>
      <c r="BF12" s="609"/>
      <c r="BG12" s="609"/>
      <c r="BH12" s="609"/>
      <c r="BI12" s="609"/>
      <c r="BJ12" s="609"/>
      <c r="BK12" s="609"/>
      <c r="BL12" s="609"/>
      <c r="BM12" s="609"/>
    </row>
    <row r="13">
      <c r="A13" s="1016" t="s">
        <v>2924</v>
      </c>
      <c r="B13" s="561">
        <v>39508.0</v>
      </c>
      <c r="C13" s="512">
        <v>82203.0</v>
      </c>
      <c r="D13" s="603" t="s">
        <v>1362</v>
      </c>
      <c r="E13" s="103"/>
      <c r="F13" s="604"/>
      <c r="G13" s="605"/>
      <c r="H13" s="111"/>
      <c r="I13" s="603" t="s">
        <v>1362</v>
      </c>
      <c r="J13" s="111"/>
      <c r="K13" s="106" t="str">
        <f t="shared" si="1"/>
        <v>NO AIS</v>
      </c>
      <c r="L13" s="108" t="s">
        <v>1085</v>
      </c>
      <c r="M13" s="109">
        <v>45832.0</v>
      </c>
      <c r="N13" s="109">
        <v>45833.0</v>
      </c>
      <c r="O13" s="110"/>
      <c r="P13" s="304" t="s">
        <v>2925</v>
      </c>
      <c r="Q13" s="185"/>
      <c r="R13" s="290" t="s">
        <v>2926</v>
      </c>
      <c r="S13" s="112" t="s">
        <v>33</v>
      </c>
      <c r="T13" s="113">
        <v>45833.0</v>
      </c>
      <c r="U13" s="114" t="str">
        <f>IF(V13="","No AIS",VLOOKUP(V13,'Voyage days'!$A$3:$B$1480,2,FALSE))</f>
        <v>No AIS</v>
      </c>
      <c r="V13" s="115" t="str">
        <f>IF(VLOOKUP(A13,'1) Kpler'!$E$2:$P$1000,8, FALSE)="","",VLOOKUP(A13,'1) Kpler'!$E$2:$P$1000,8, FALSE))</f>
        <v/>
      </c>
      <c r="W13" s="116" t="str">
        <f>IF(VLOOKUP(A13,'1) Kpler'!$E$2:$P$1000,9,FALSE)="","",VLOOKUP(A13,'1) Kpler'!$E$2:$P$1000,9,FALSE))</f>
        <v/>
      </c>
      <c r="X13" s="115" t="str">
        <f>VLOOKUP(A13,'1) Kpler'!$E$2:$I$1000,4,FALSE)</f>
        <v>loaded</v>
      </c>
      <c r="Y13" s="117" t="str">
        <f t="shared" si="2"/>
        <v>29-30 Jun</v>
      </c>
      <c r="Z13" s="120" t="str">
        <f t="shared" si="3"/>
        <v>29-30 Jun</v>
      </c>
      <c r="AA13" s="121">
        <f>IFERROR($M13+VLOOKUP($L13,'Voyage days'!$F$38:$H$89,3,FALSE),"")</f>
        <v>45837</v>
      </c>
      <c r="AB13" s="121">
        <f>IFERROR(N13+VLOOKUP($L13,'Voyage days'!$F$38:$H$89,3,FALSE),"")</f>
        <v>45838</v>
      </c>
      <c r="AC13" s="120" t="str">
        <f t="shared" si="4"/>
        <v/>
      </c>
      <c r="AD13" s="121" t="str">
        <f>IFERROR($M13+VLOOKUP($L13,'Voyage days'!$F$94:$H$193,3,FALSE),"")</f>
        <v/>
      </c>
      <c r="AE13" s="121" t="str">
        <f>IFERROR($N13+VLOOKUP($L13,'Voyage days'!$F$94:$H$193,3,FALSE),"")</f>
        <v/>
      </c>
      <c r="AF13" s="120" t="str">
        <f t="shared" si="5"/>
        <v>26-27 Jul</v>
      </c>
      <c r="AG13" s="121">
        <f>IFERROR($M13+VLOOKUP($L13,'Voyage days'!$F$203:$H$256,3,FALSE),"")</f>
        <v>45864</v>
      </c>
      <c r="AH13" s="121">
        <f>IFERROR($N13+VLOOKUP($L13,'Voyage days'!$F$203:$H$256,3,FALSE),"")</f>
        <v>45865</v>
      </c>
      <c r="AI13" s="120" t="str">
        <f t="shared" si="6"/>
        <v>13-14 Jul</v>
      </c>
      <c r="AJ13" s="121">
        <f>IFERROR($M13+VLOOKUP($L13,'Voyage days'!$F$294:$H$377,3,FALSE),"")</f>
        <v>45851</v>
      </c>
      <c r="AK13" s="121">
        <f>IFERROR($N13+VLOOKUP($L13,'Voyage days'!$F$294:$H$377,3,FALSE),"")</f>
        <v>45852</v>
      </c>
      <c r="AL13" s="120" t="str">
        <f t="shared" si="7"/>
        <v>07-08 Jul</v>
      </c>
      <c r="AM13" s="121">
        <f>IFERROR($M13+VLOOKUP($L13,'Voyage days'!$F$382:$H$446,3,FALSE),"")</f>
        <v>45845</v>
      </c>
      <c r="AN13" s="121">
        <f>IFERROR($N13+VLOOKUP($L13,'Voyage days'!$F$382:$H$446,3,FALSE),"")</f>
        <v>45846</v>
      </c>
      <c r="AO13" s="120" t="str">
        <f t="shared" si="8"/>
        <v/>
      </c>
      <c r="AP13" s="121" t="str">
        <f>IFERROR($M13+VLOOKUP($L13,'Voyage days'!$F$483:$H$538,3,FALSE),"")</f>
        <v/>
      </c>
      <c r="AQ13" s="121" t="str">
        <f>IFERROR($N13+VLOOKUP($L13,'Voyage days'!$F$483:$H$538,3,FALSE),"")</f>
        <v/>
      </c>
      <c r="AR13" s="120" t="str">
        <f t="shared" si="9"/>
        <v/>
      </c>
      <c r="AS13" s="121" t="str">
        <f>IFERROR($M13+VLOOKUP($L13,'Voyage days'!$F$540:$H$613,3,FALSE),"")</f>
        <v/>
      </c>
      <c r="AT13" s="121" t="str">
        <f>IFERROR($N13+VLOOKUP($L13,'Voyage days'!$F$540:$H$613,3,FALSE),"")</f>
        <v/>
      </c>
      <c r="AU13" s="120" t="str">
        <f t="shared" si="10"/>
        <v/>
      </c>
      <c r="AV13" s="121" t="str">
        <f>IFERROR($M13+VLOOKUP($L13,'Voyage days'!$L$483:$N$535,3,FALSE),"")</f>
        <v/>
      </c>
      <c r="AW13" s="121" t="str">
        <f>IFERROR($N13+VLOOKUP($L13,'Voyage days'!$L$483:$N$535,3,FALSE),"")</f>
        <v/>
      </c>
      <c r="AX13" s="120" t="str">
        <f t="shared" si="11"/>
        <v/>
      </c>
      <c r="AY13" s="122" t="str">
        <f>IFERROR($M13+VLOOKUP($L13,'Voyage days'!$F$620:$H$646,3,FALSE),"")</f>
        <v/>
      </c>
      <c r="AZ13" s="122" t="str">
        <f>IFERROR($N13+VLOOKUP($L13,'Voyage days'!$F$620:$H$646,3,FALSE),"")</f>
        <v/>
      </c>
      <c r="BA13" s="120" t="str">
        <f t="shared" si="12"/>
        <v/>
      </c>
      <c r="BB13" s="123" t="str">
        <f>IFERROR($M13+VLOOKUP($L13,'Voyage days'!$F$702:$H$727,3,FALSE),"")</f>
        <v/>
      </c>
      <c r="BC13" s="120" t="str">
        <f t="shared" si="13"/>
        <v>29-30 Jul</v>
      </c>
      <c r="BD13" s="122">
        <f>IFERROR($M13+VLOOKUP($L13,'Voyage days'!$F$807:$H$878,3,FALSE),"")</f>
        <v>45867</v>
      </c>
      <c r="BE13" s="122">
        <f>IFERROR($N13+VLOOKUP($L13,'Voyage days'!$F$807:$H$878,3,FALSE),"")</f>
        <v>45868</v>
      </c>
      <c r="BF13" s="609"/>
      <c r="BG13" s="609"/>
      <c r="BH13" s="609"/>
      <c r="BI13" s="609"/>
      <c r="BJ13" s="609"/>
      <c r="BK13" s="609"/>
      <c r="BL13" s="609"/>
      <c r="BM13" s="609"/>
    </row>
    <row r="14">
      <c r="A14" s="1004" t="s">
        <v>467</v>
      </c>
      <c r="B14" s="561">
        <v>39417.0</v>
      </c>
      <c r="C14" s="25">
        <v>83800.0</v>
      </c>
      <c r="D14" s="603" t="s">
        <v>1362</v>
      </c>
      <c r="E14" s="112" t="s">
        <v>2927</v>
      </c>
      <c r="F14" s="604">
        <v>44217.0</v>
      </c>
      <c r="G14" s="605">
        <v>45992.0</v>
      </c>
      <c r="H14" s="111"/>
      <c r="I14" s="603" t="s">
        <v>1362</v>
      </c>
      <c r="J14" s="111" t="s">
        <v>2905</v>
      </c>
      <c r="K14" s="106" t="str">
        <f t="shared" si="1"/>
        <v>Update</v>
      </c>
      <c r="L14" s="108" t="s">
        <v>1231</v>
      </c>
      <c r="M14" s="109">
        <v>45833.0</v>
      </c>
      <c r="N14" s="109">
        <v>45834.0</v>
      </c>
      <c r="O14" s="110"/>
      <c r="P14" s="304" t="s">
        <v>2928</v>
      </c>
      <c r="Q14" s="108" t="s">
        <v>2929</v>
      </c>
      <c r="R14" s="290" t="s">
        <v>2930</v>
      </c>
      <c r="S14" s="112" t="s">
        <v>33</v>
      </c>
      <c r="T14" s="113">
        <v>45833.0</v>
      </c>
      <c r="U14" s="114" t="str">
        <f>IF(V14="","No AIS",VLOOKUP(V14,'Voyage days'!$A$3:$B$1480,2,FALSE))</f>
        <v>AG</v>
      </c>
      <c r="V14" s="115" t="str">
        <f>IF(VLOOKUP(A14,'1) Kpler'!$E$2:$P$1000,8, FALSE)="","",VLOOKUP(A14,'1) Kpler'!$E$2:$P$1000,8, FALSE))</f>
        <v>Fujairah</v>
      </c>
      <c r="W14" s="116">
        <f>IF(VLOOKUP(A14,'1) Kpler'!$E$2:$P$1000,9,FALSE)="","",VLOOKUP(A14,'1) Kpler'!$E$2:$P$1000,9,FALSE))</f>
        <v>46132.625</v>
      </c>
      <c r="X14" s="115" t="str">
        <f>VLOOKUP(A14,'1) Kpler'!$E$2:$I$1000,4,FALSE)</f>
        <v>ballast</v>
      </c>
      <c r="Y14" s="117" t="str">
        <f t="shared" si="2"/>
        <v>04-05 Jul</v>
      </c>
      <c r="Z14" s="120" t="str">
        <f t="shared" si="3"/>
        <v>04-05 Jul</v>
      </c>
      <c r="AA14" s="121">
        <f>IFERROR($M14+VLOOKUP($L14,'Voyage days'!$F$38:$H$89,3,FALSE),"")</f>
        <v>45842</v>
      </c>
      <c r="AB14" s="121">
        <f>IFERROR(N14+VLOOKUP($L14,'Voyage days'!$F$38:$H$89,3,FALSE),"")</f>
        <v>45843</v>
      </c>
      <c r="AC14" s="120" t="str">
        <f t="shared" si="4"/>
        <v/>
      </c>
      <c r="AD14" s="121" t="str">
        <f>IFERROR($M14+VLOOKUP($L14,'Voyage days'!$F$94:$H$193,3,FALSE),"")</f>
        <v/>
      </c>
      <c r="AE14" s="121" t="str">
        <f>IFERROR($N14+VLOOKUP($L14,'Voyage days'!$F$94:$H$193,3,FALSE),"")</f>
        <v/>
      </c>
      <c r="AF14" s="120" t="str">
        <f t="shared" si="5"/>
        <v>31-01 Aug</v>
      </c>
      <c r="AG14" s="121">
        <f>IFERROR($M14+VLOOKUP($L14,'Voyage days'!$F$203:$H$256,3,FALSE),"")</f>
        <v>45869</v>
      </c>
      <c r="AH14" s="121">
        <f>IFERROR($N14+VLOOKUP($L14,'Voyage days'!$F$203:$H$256,3,FALSE),"")</f>
        <v>45870</v>
      </c>
      <c r="AI14" s="120" t="str">
        <f t="shared" si="6"/>
        <v>16-17 Jul</v>
      </c>
      <c r="AJ14" s="121">
        <f>IFERROR($M14+VLOOKUP($L14,'Voyage days'!$F$294:$H$377,3,FALSE),"")</f>
        <v>45854</v>
      </c>
      <c r="AK14" s="121">
        <f>IFERROR($N14+VLOOKUP($L14,'Voyage days'!$F$294:$H$377,3,FALSE),"")</f>
        <v>45855</v>
      </c>
      <c r="AL14" s="120" t="str">
        <f t="shared" si="7"/>
        <v>23-24 Jul</v>
      </c>
      <c r="AM14" s="121">
        <f>IFERROR($M14+VLOOKUP($L14,'Voyage days'!$F$382:$H$446,3,FALSE),"")</f>
        <v>45861</v>
      </c>
      <c r="AN14" s="121">
        <f>IFERROR($N14+VLOOKUP($L14,'Voyage days'!$F$382:$H$446,3,FALSE),"")</f>
        <v>45862</v>
      </c>
      <c r="AO14" s="120" t="str">
        <f t="shared" si="8"/>
        <v>25-26 Jun</v>
      </c>
      <c r="AP14" s="121">
        <f>IFERROR($M14+VLOOKUP($L14,'Voyage days'!$F$483:$H$538,3,FALSE),"")</f>
        <v>45833</v>
      </c>
      <c r="AQ14" s="121">
        <f>IFERROR($N14+VLOOKUP($L14,'Voyage days'!$F$483:$H$538,3,FALSE),"")</f>
        <v>45834</v>
      </c>
      <c r="AR14" s="120" t="str">
        <f t="shared" si="9"/>
        <v/>
      </c>
      <c r="AS14" s="121" t="str">
        <f>IFERROR($M14+VLOOKUP($L14,'Voyage days'!$F$540:$H$613,3,FALSE),"")</f>
        <v/>
      </c>
      <c r="AT14" s="121" t="str">
        <f>IFERROR($N14+VLOOKUP($L14,'Voyage days'!$F$540:$H$613,3,FALSE),"")</f>
        <v/>
      </c>
      <c r="AU14" s="120" t="str">
        <f t="shared" si="10"/>
        <v/>
      </c>
      <c r="AV14" s="121" t="str">
        <f>IFERROR($M14+VLOOKUP($L14,'Voyage days'!$L$483:$N$535,3,FALSE),"")</f>
        <v/>
      </c>
      <c r="AW14" s="121" t="str">
        <f>IFERROR($N14+VLOOKUP($L14,'Voyage days'!$L$483:$N$535,3,FALSE),"")</f>
        <v/>
      </c>
      <c r="AX14" s="120" t="str">
        <f t="shared" si="11"/>
        <v/>
      </c>
      <c r="AY14" s="122" t="str">
        <f>IFERROR($M14+VLOOKUP($L14,'Voyage days'!$F$620:$H$646,3,FALSE),"")</f>
        <v/>
      </c>
      <c r="AZ14" s="122" t="str">
        <f>IFERROR($N14+VLOOKUP($L14,'Voyage days'!$F$620:$H$646,3,FALSE),"")</f>
        <v/>
      </c>
      <c r="BA14" s="120" t="str">
        <f t="shared" si="12"/>
        <v/>
      </c>
      <c r="BB14" s="123" t="str">
        <f>IFERROR($M14+VLOOKUP($L14,'Voyage days'!$F$702:$H$727,3,FALSE),"")</f>
        <v/>
      </c>
      <c r="BC14" s="120" t="str">
        <f t="shared" si="13"/>
        <v>02-03 Aug</v>
      </c>
      <c r="BD14" s="122">
        <f>IFERROR($M14+VLOOKUP($L14,'Voyage days'!$F$807:$H$878,3,FALSE),"")</f>
        <v>45871</v>
      </c>
      <c r="BE14" s="122">
        <f>IFERROR($N14+VLOOKUP($L14,'Voyage days'!$F$807:$H$878,3,FALSE),"")</f>
        <v>45872</v>
      </c>
      <c r="BF14" s="609"/>
      <c r="BG14" s="609"/>
      <c r="BH14" s="609"/>
      <c r="BI14" s="609"/>
      <c r="BJ14" s="609"/>
      <c r="BK14" s="609"/>
      <c r="BL14" s="609"/>
      <c r="BM14" s="609"/>
    </row>
    <row r="15" ht="15.75" customHeight="1">
      <c r="A15" s="27" t="s">
        <v>349</v>
      </c>
      <c r="B15" s="1002">
        <v>40323.0</v>
      </c>
      <c r="C15" s="1018">
        <v>82521.0</v>
      </c>
      <c r="D15" s="603" t="s">
        <v>1362</v>
      </c>
      <c r="E15" s="103"/>
      <c r="F15" s="1019">
        <v>45789.0</v>
      </c>
      <c r="G15" s="605" t="s">
        <v>1611</v>
      </c>
      <c r="H15" s="103"/>
      <c r="I15" s="290" t="s">
        <v>1362</v>
      </c>
      <c r="J15" s="111" t="s">
        <v>2931</v>
      </c>
      <c r="K15" s="336" t="str">
        <f t="shared" si="1"/>
        <v>NO AIS</v>
      </c>
      <c r="L15" s="108" t="s">
        <v>1031</v>
      </c>
      <c r="M15" s="109">
        <v>45835.0</v>
      </c>
      <c r="N15" s="109">
        <v>45837.0</v>
      </c>
      <c r="O15" s="191"/>
      <c r="P15" s="1020" t="s">
        <v>2932</v>
      </c>
      <c r="Q15" s="187" t="s">
        <v>2933</v>
      </c>
      <c r="R15" s="185"/>
      <c r="S15" s="112" t="s">
        <v>33</v>
      </c>
      <c r="T15" s="113">
        <v>45833.0</v>
      </c>
      <c r="U15" s="114" t="str">
        <f>IF(V15="","No AIS",VLOOKUP(V15,'Voyage days'!$A$3:$B$1480,2,FALSE))</f>
        <v>No AIS</v>
      </c>
      <c r="V15" s="115" t="str">
        <f>IF(VLOOKUP(A15,'1) Kpler'!$E$2:$P$1000,8, FALSE)="","",VLOOKUP(A15,'1) Kpler'!$E$2:$P$1000,8, FALSE))</f>
        <v/>
      </c>
      <c r="W15" s="116" t="str">
        <f>IF(VLOOKUP(A15,'1) Kpler'!$E$2:$P$1000,9,FALSE)="","",VLOOKUP(A15,'1) Kpler'!$E$2:$P$1000,9,FALSE))</f>
        <v/>
      </c>
      <c r="X15" s="115" t="str">
        <f>VLOOKUP(A15,'1) Kpler'!$E$2:$I$1000,4,FALSE)</f>
        <v>ballast</v>
      </c>
      <c r="Y15" s="160" t="str">
        <f>AG15</f>
        <v>27-29 Jun</v>
      </c>
      <c r="Z15" s="120" t="str">
        <f>AJ15</f>
        <v/>
      </c>
      <c r="AA15" s="120" t="str">
        <f>AM15</f>
        <v/>
      </c>
      <c r="AB15" s="120" t="str">
        <f>AP15</f>
        <v/>
      </c>
      <c r="AC15" s="120" t="str">
        <f>AS15</f>
        <v/>
      </c>
      <c r="AD15" s="120" t="str">
        <f>BB15</f>
        <v/>
      </c>
      <c r="AE15" s="120" t="str">
        <f>AY15</f>
        <v>16-18 Jul</v>
      </c>
      <c r="AF15" s="1021" t="str">
        <f>#REF!</f>
        <v>#REF!</v>
      </c>
      <c r="AG15" s="120" t="str">
        <f>IF(AH15="","",TEXT(AH15,"dd")&amp;"-"&amp;TEXT(AI15,"dd mmm"))</f>
        <v>27-29 Jun</v>
      </c>
      <c r="AH15" s="121">
        <f>IFERROR($M15+VLOOKUP($L15,'Voyage days'!$F$38:$H$89,3,FALSE),"")</f>
        <v>45835</v>
      </c>
      <c r="AI15" s="121">
        <f>IFERROR(N15+VLOOKUP($L15,'Voyage days'!$F$38:$H$89,3,FALSE),"")</f>
        <v>45837</v>
      </c>
      <c r="AJ15" s="120" t="str">
        <f>IF(AK15="","",TEXT(AK15,"dd")&amp;"-"&amp;TEXT(AL15,"dd mmm"))</f>
        <v/>
      </c>
      <c r="AK15" s="121" t="str">
        <f>IFERROR($M15+VLOOKUP($L15,'Voyage days'!$F$94:$H$193,3,FALSE),"")</f>
        <v/>
      </c>
      <c r="AL15" s="121" t="str">
        <f>IFERROR($N15+VLOOKUP($L15,'Voyage days'!$F$94:$H$193,3,FALSE),"")</f>
        <v/>
      </c>
      <c r="AM15" s="120" t="str">
        <f>IF(AN15="","",TEXT(AN15,"dd")&amp;"-"&amp;TEXT(AO15,"dd mmm"))</f>
        <v/>
      </c>
      <c r="AN15" s="121" t="str">
        <f>IFERROR($M15+VLOOKUP($L15,'Voyage days'!$F$203:$H$256,3,FALSE),"")</f>
        <v/>
      </c>
      <c r="AO15" s="121" t="str">
        <f>IFERROR($N15+VLOOKUP($L15,'Voyage days'!$F$203:$H$256,3,FALSE),"")</f>
        <v/>
      </c>
      <c r="AP15" s="120" t="str">
        <f>IF(AQ15="","",TEXT(AQ15,"dd")&amp;"-"&amp;TEXT(AR15,"dd mmm"))</f>
        <v/>
      </c>
      <c r="AQ15" s="121" t="str">
        <f>IFERROR($M15+VLOOKUP($L15,'Voyage days'!$F$294:$H$377,3,FALSE),"")</f>
        <v/>
      </c>
      <c r="AR15" s="121" t="str">
        <f>IFERROR($N15+VLOOKUP($L15,'Voyage days'!$F$294:$H$377,3,FALSE),"")</f>
        <v/>
      </c>
      <c r="AS15" s="120" t="str">
        <f>IF(AT15="","",TEXT(AT15,"dd")&amp;"-"&amp;TEXT(AU15,"dd mmm"))</f>
        <v/>
      </c>
      <c r="AT15" s="121" t="str">
        <f>IFERROR($M15+VLOOKUP($L15,'Voyage days'!$F$382:$H$446,3,FALSE),"")</f>
        <v/>
      </c>
      <c r="AU15" s="121" t="str">
        <f>IFERROR($N15+VLOOKUP($L15,'Voyage days'!$F$382:$H$446,3,FALSE),"")</f>
        <v/>
      </c>
      <c r="AV15" s="120" t="str">
        <f>IF(AW15="","",TEXT(AW15,"dd")&amp;"-"&amp;TEXT(AX15,"dd mmm"))</f>
        <v/>
      </c>
      <c r="AW15" s="121" t="str">
        <f>IFERROR($M15+VLOOKUP($L15,'Voyage days'!$F$483:$H$538,3,FALSE),"")</f>
        <v/>
      </c>
      <c r="AX15" s="121" t="str">
        <f>IFERROR($N15+VLOOKUP($L15,'Voyage days'!$F$483:$H$538,3,FALSE),"")</f>
        <v/>
      </c>
      <c r="AY15" s="163" t="str">
        <f>IF(AZ15="","",TEXT(AZ15,"dd")&amp;"-"&amp;TEXT(BA15,"dd mmm"))</f>
        <v>16-18 Jul</v>
      </c>
      <c r="AZ15" s="122">
        <f>IFERROR($M15+VLOOKUP($L15,'Voyage days'!$F$540:$H$613,3,FALSE),"")</f>
        <v>45854</v>
      </c>
      <c r="BA15" s="121">
        <f>IFERROR($N15+VLOOKUP($L15,'Voyage days'!$F$540:$H$613,3,FALSE),"")</f>
        <v>45856</v>
      </c>
      <c r="BB15" s="1022" t="str">
        <f>IF(BC15="","",TEXT(BC15,"dd")&amp;"-"&amp;TEXT(BD15,"dd mmm"))</f>
        <v/>
      </c>
      <c r="BC15" s="121" t="str">
        <f>IFERROR($M15+VLOOKUP($L15,'Voyage days'!$L$483:$N$535,3,FALSE),"")</f>
        <v/>
      </c>
      <c r="BD15" s="122" t="str">
        <f>IFERROR($N15+VLOOKUP($L15,'Voyage days'!$L$483:$N$535,3,FALSE),"")</f>
        <v/>
      </c>
      <c r="BE15" s="163" t="str">
        <f>IF(#REF!="","",TEXT(#REF!,"dd")&amp;"-"&amp;TEXT(#REF!,"dd mmm"))</f>
        <v>#REF!</v>
      </c>
      <c r="BF15" s="50"/>
      <c r="BG15" s="50"/>
      <c r="BH15" s="50"/>
      <c r="BI15" s="50"/>
      <c r="BJ15" s="50"/>
      <c r="BK15" s="50"/>
      <c r="BL15" s="50"/>
      <c r="BM15" s="50"/>
    </row>
    <row r="16" ht="16.5" customHeight="1">
      <c r="A16" s="147" t="s">
        <v>435</v>
      </c>
      <c r="B16" s="1002">
        <v>40323.0</v>
      </c>
      <c r="C16" s="148">
        <v>84597.0</v>
      </c>
      <c r="D16" s="603" t="s">
        <v>1362</v>
      </c>
      <c r="E16" s="103"/>
      <c r="F16" s="604"/>
      <c r="G16" s="605">
        <v>45992.0</v>
      </c>
      <c r="H16" s="103"/>
      <c r="I16" s="185" t="s">
        <v>1362</v>
      </c>
      <c r="J16" s="185" t="s">
        <v>2905</v>
      </c>
      <c r="K16" s="336" t="str">
        <f t="shared" si="1"/>
        <v>NO AIS</v>
      </c>
      <c r="L16" s="108" t="s">
        <v>1085</v>
      </c>
      <c r="M16" s="109">
        <v>45833.0</v>
      </c>
      <c r="N16" s="109">
        <v>45835.0</v>
      </c>
      <c r="O16" s="110"/>
      <c r="P16" s="185"/>
      <c r="Q16" s="603"/>
      <c r="R16" s="108" t="s">
        <v>2934</v>
      </c>
      <c r="S16" s="112" t="s">
        <v>33</v>
      </c>
      <c r="T16" s="113">
        <v>45833.0</v>
      </c>
      <c r="U16" s="114" t="str">
        <f>IF(V16="","No AIS",VLOOKUP(V16,'Voyage days'!$A$3:$B$1480,2,FALSE))</f>
        <v>No AIS</v>
      </c>
      <c r="V16" s="115" t="str">
        <f>IF(VLOOKUP(A16,'1) Kpler'!$E$2:$P$1000,8, FALSE)="","",VLOOKUP(A16,'1) Kpler'!$E$2:$P$1000,8, FALSE))</f>
        <v/>
      </c>
      <c r="W16" s="116" t="str">
        <f>IF(VLOOKUP(A16,'1) Kpler'!$E$2:$P$1000,9,FALSE)="","",VLOOKUP(A16,'1) Kpler'!$E$2:$P$1000,9,FALSE))</f>
        <v/>
      </c>
      <c r="X16" s="115" t="str">
        <f>VLOOKUP(A16,'1) Kpler'!$E$2:$I$1000,4,FALSE)</f>
        <v>ballast</v>
      </c>
      <c r="Y16" s="160" t="str">
        <f t="shared" ref="Y16:Y25" si="14">Z16</f>
        <v>30-02 Jul</v>
      </c>
      <c r="Z16" s="160" t="str">
        <f t="shared" ref="Z16:Z25" si="15">IF(AA16="","",TEXT(AA16,"dd")&amp;"-"&amp;TEXT(AB16,"dd mmm"))</f>
        <v>30-02 Jul</v>
      </c>
      <c r="AA16" s="607">
        <f>IFERROR($M16+VLOOKUP($L16,'Voyage days'!$F$38:$H$89,3,FALSE),"")</f>
        <v>45838</v>
      </c>
      <c r="AB16" s="607">
        <f>IFERROR(N16+VLOOKUP($L16,'Voyage days'!$F$38:$H$89,3,FALSE),"")</f>
        <v>45840</v>
      </c>
      <c r="AC16" s="160" t="str">
        <f t="shared" ref="AC16:AC25" si="16">IF(AD16="","",TEXT(AD16,"dd")&amp;"-"&amp;TEXT(AE16,"dd mmm"))</f>
        <v/>
      </c>
      <c r="AD16" s="607" t="str">
        <f>IFERROR($M16+VLOOKUP($L16,'Voyage days'!$F$94:$H$193,3,FALSE),"")</f>
        <v/>
      </c>
      <c r="AE16" s="608" t="str">
        <f>IFERROR($N16+VLOOKUP($L16,'Voyage days'!$F$94:$H$193,3,FALSE),"")</f>
        <v/>
      </c>
      <c r="AF16" s="441" t="str">
        <f t="shared" ref="AF16:AF25" si="17">IF(AG16="","",TEXT(AG16,"dd")&amp;"-"&amp;TEXT(AH16,"dd mmm"))</f>
        <v>27-29 Jul</v>
      </c>
      <c r="AG16" s="121">
        <f>IFERROR($M16+VLOOKUP($L16,'Voyage days'!$F$203:$H$256,3,FALSE),"")</f>
        <v>45865</v>
      </c>
      <c r="AH16" s="121">
        <f>IFERROR($N16+VLOOKUP($L16,'Voyage days'!$F$203:$H$256,3,FALSE),"")</f>
        <v>45867</v>
      </c>
      <c r="AI16" s="120" t="str">
        <f t="shared" ref="AI16:AI25" si="18">IF(AJ16="","",TEXT(AJ16,"dd")&amp;"-"&amp;TEXT(AK16,"dd mmm"))</f>
        <v>14-16 Jul</v>
      </c>
      <c r="AJ16" s="121">
        <f>IFERROR($M16+VLOOKUP($L16,'Voyage days'!$F$294:$H$377,3,FALSE),"")</f>
        <v>45852</v>
      </c>
      <c r="AK16" s="121">
        <f>IFERROR($N16+VLOOKUP($L16,'Voyage days'!$F$294:$H$377,3,FALSE),"")</f>
        <v>45854</v>
      </c>
      <c r="AL16" s="120" t="str">
        <f t="shared" ref="AL16:AL25" si="19">IF(AM16="","",TEXT(AM16,"dd")&amp;"-"&amp;TEXT(AN16,"dd mmm"))</f>
        <v>08-10 Jul</v>
      </c>
      <c r="AM16" s="121">
        <f>IFERROR($M16+VLOOKUP($L16,'Voyage days'!$F$382:$H$446,3,FALSE),"")</f>
        <v>45846</v>
      </c>
      <c r="AN16" s="121">
        <f>IFERROR($N16+VLOOKUP($L16,'Voyage days'!$F$382:$H$446,3,FALSE),"")</f>
        <v>45848</v>
      </c>
      <c r="AO16" s="120" t="str">
        <f t="shared" ref="AO16:AO25" si="20">IF(AP16="","",TEXT(AP16,"dd")&amp;"-"&amp;TEXT(AQ16,"dd mmm"))</f>
        <v/>
      </c>
      <c r="AP16" s="121" t="str">
        <f>IFERROR($M16+VLOOKUP($L16,'Voyage days'!$F$483:$H$538,3,FALSE),"")</f>
        <v/>
      </c>
      <c r="AQ16" s="121" t="str">
        <f>IFERROR($N16+VLOOKUP($L16,'Voyage days'!$F$483:$H$538,3,FALSE),"")</f>
        <v/>
      </c>
      <c r="AR16" s="120" t="str">
        <f t="shared" ref="AR16:AR25" si="21">IF(AS16="","",TEXT(AS16,"dd")&amp;"-"&amp;TEXT(AT16,"dd mmm"))</f>
        <v/>
      </c>
      <c r="AS16" s="121" t="str">
        <f>IFERROR($M16+VLOOKUP($L16,'Voyage days'!$F$540:$H$613,3,FALSE),"")</f>
        <v/>
      </c>
      <c r="AT16" s="121" t="str">
        <f>IFERROR($N16+VLOOKUP($L16,'Voyage days'!$F$540:$H$613,3,FALSE),"")</f>
        <v/>
      </c>
      <c r="AU16" s="120" t="str">
        <f t="shared" ref="AU16:AU25" si="22">IF(AV16="","",TEXT(AV16,"dd")&amp;"-"&amp;TEXT(AW16,"dd mmm"))</f>
        <v/>
      </c>
      <c r="AV16" s="121" t="str">
        <f>IFERROR($M16+VLOOKUP($L16,'Voyage days'!$L$483:$N$535,3,FALSE),"")</f>
        <v/>
      </c>
      <c r="AW16" s="121" t="str">
        <f>IFERROR($N16+VLOOKUP($L16,'Voyage days'!$L$483:$N$535,3,FALSE),"")</f>
        <v/>
      </c>
      <c r="AX16" s="120" t="str">
        <f t="shared" ref="AX16:AX25" si="23">IF(AY16="","",TEXT(AY16,"dd")&amp;"-"&amp;TEXT(AZ16,"dd mmm"))</f>
        <v/>
      </c>
      <c r="AY16" s="121" t="str">
        <f>IFERROR($M16+VLOOKUP($L16,'Voyage days'!$F$620:$H$646,3,FALSE),"")</f>
        <v/>
      </c>
      <c r="AZ16" s="121" t="str">
        <f>IFERROR($N16+VLOOKUP($L16,'Voyage days'!$F$620:$H$646,3,FALSE),"")</f>
        <v/>
      </c>
      <c r="BA16" s="120" t="str">
        <f t="shared" ref="BA16:BA25" si="24">IF(BB16="","",TEXT(BB16,"dd")&amp;"-"&amp;TEXT(BE16,"dd mmm"))</f>
        <v/>
      </c>
      <c r="BB16" s="1023" t="str">
        <f>IFERROR($M16+VLOOKUP($L16,'Voyage days'!$F$702:$H$727,3,FALSE),"")</f>
        <v/>
      </c>
      <c r="BC16" s="120" t="str">
        <f t="shared" ref="BC16:BC25" si="25">IF(BD16="","",TEXT(BD16,"dd")&amp;"-"&amp;TEXT(BE16,"dd mmm"))</f>
        <v>30-01 Aug</v>
      </c>
      <c r="BD16" s="121">
        <f>IFERROR($M16+VLOOKUP($L16,'Voyage days'!$F$807:$H$878,3,FALSE),"")</f>
        <v>45868</v>
      </c>
      <c r="BE16" s="121">
        <f>IFERROR($N16+VLOOKUP($L16,'Voyage days'!$F$807:$H$878,3,FALSE),"")</f>
        <v>45870</v>
      </c>
      <c r="BF16" s="609"/>
      <c r="BG16" s="609"/>
      <c r="BH16" s="609"/>
      <c r="BI16" s="609"/>
      <c r="BJ16" s="609"/>
      <c r="BK16" s="609"/>
      <c r="BL16" s="609"/>
      <c r="BM16" s="609"/>
    </row>
    <row r="17" ht="15.75" customHeight="1">
      <c r="A17" s="606" t="s">
        <v>498</v>
      </c>
      <c r="B17" s="1002">
        <v>39539.0</v>
      </c>
      <c r="C17" s="25">
        <v>82000.0</v>
      </c>
      <c r="D17" s="603" t="s">
        <v>1362</v>
      </c>
      <c r="E17" s="103" t="s">
        <v>689</v>
      </c>
      <c r="F17" s="604"/>
      <c r="G17" s="605" t="s">
        <v>2907</v>
      </c>
      <c r="H17" s="111"/>
      <c r="I17" s="603" t="s">
        <v>1362</v>
      </c>
      <c r="J17" s="111" t="s">
        <v>2935</v>
      </c>
      <c r="K17" s="336" t="str">
        <f t="shared" si="1"/>
        <v>Update</v>
      </c>
      <c r="L17" s="108" t="s">
        <v>1085</v>
      </c>
      <c r="M17" s="109">
        <v>45833.0</v>
      </c>
      <c r="N17" s="109">
        <v>45835.0</v>
      </c>
      <c r="O17" s="110"/>
      <c r="P17" s="108"/>
      <c r="Q17" s="185"/>
      <c r="R17" s="108" t="s">
        <v>2936</v>
      </c>
      <c r="S17" s="112" t="s">
        <v>33</v>
      </c>
      <c r="T17" s="113">
        <v>45833.0</v>
      </c>
      <c r="U17" s="114" t="str">
        <f>IF(V17="","No AIS",VLOOKUP(V17,'Voyage days'!$A$3:$B$1480,2,FALSE))</f>
        <v>AG</v>
      </c>
      <c r="V17" s="115" t="str">
        <f>IF(VLOOKUP(A17,'1) Kpler'!$E$2:$P$1000,8, FALSE)="","",VLOOKUP(A17,'1) Kpler'!$E$2:$P$1000,8, FALSE))</f>
        <v>Ruwais Refinery</v>
      </c>
      <c r="W17" s="116">
        <f>IF(VLOOKUP(A17,'1) Kpler'!$E$2:$P$1000,9,FALSE)="","",VLOOKUP(A17,'1) Kpler'!$E$2:$P$1000,9,FALSE))</f>
        <v>46133.52083</v>
      </c>
      <c r="X17" s="115" t="str">
        <f>VLOOKUP(A17,'1) Kpler'!$E$2:$I$1000,4,FALSE)</f>
        <v>ballast</v>
      </c>
      <c r="Y17" s="117" t="str">
        <f t="shared" si="14"/>
        <v>30-02 Jul</v>
      </c>
      <c r="Z17" s="120" t="str">
        <f t="shared" si="15"/>
        <v>30-02 Jul</v>
      </c>
      <c r="AA17" s="121">
        <f>IFERROR($M17+VLOOKUP($L17,'Voyage days'!$F$38:$H$89,3,FALSE),"")</f>
        <v>45838</v>
      </c>
      <c r="AB17" s="121">
        <f>IFERROR(N17+VLOOKUP($L17,'Voyage days'!$F$38:$H$89,3,FALSE),"")</f>
        <v>45840</v>
      </c>
      <c r="AC17" s="120" t="str">
        <f t="shared" si="16"/>
        <v/>
      </c>
      <c r="AD17" s="121" t="str">
        <f>IFERROR($M17+VLOOKUP($L17,'Voyage days'!$F$94:$H$193,3,FALSE),"")</f>
        <v/>
      </c>
      <c r="AE17" s="121" t="str">
        <f>IFERROR($N17+VLOOKUP($L17,'Voyage days'!$F$94:$H$193,3,FALSE),"")</f>
        <v/>
      </c>
      <c r="AF17" s="120" t="str">
        <f t="shared" si="17"/>
        <v>27-29 Jul</v>
      </c>
      <c r="AG17" s="121">
        <f>IFERROR($M17+VLOOKUP($L17,'Voyage days'!$F$203:$H$256,3,FALSE),"")</f>
        <v>45865</v>
      </c>
      <c r="AH17" s="121">
        <f>IFERROR($N17+VLOOKUP($L17,'Voyage days'!$F$203:$H$256,3,FALSE),"")</f>
        <v>45867</v>
      </c>
      <c r="AI17" s="120" t="str">
        <f t="shared" si="18"/>
        <v>14-16 Jul</v>
      </c>
      <c r="AJ17" s="121">
        <f>IFERROR($M17+VLOOKUP($L17,'Voyage days'!$F$294:$H$377,3,FALSE),"")</f>
        <v>45852</v>
      </c>
      <c r="AK17" s="121">
        <f>IFERROR($N17+VLOOKUP($L17,'Voyage days'!$F$294:$H$377,3,FALSE),"")</f>
        <v>45854</v>
      </c>
      <c r="AL17" s="120" t="str">
        <f t="shared" si="19"/>
        <v>08-10 Jul</v>
      </c>
      <c r="AM17" s="121">
        <f>IFERROR($M17+VLOOKUP($L17,'Voyage days'!$F$382:$H$446,3,FALSE),"")</f>
        <v>45846</v>
      </c>
      <c r="AN17" s="121">
        <f>IFERROR($N17+VLOOKUP($L17,'Voyage days'!$F$382:$H$446,3,FALSE),"")</f>
        <v>45848</v>
      </c>
      <c r="AO17" s="120" t="str">
        <f t="shared" si="20"/>
        <v/>
      </c>
      <c r="AP17" s="121" t="str">
        <f>IFERROR($M17+VLOOKUP($L17,'Voyage days'!$F$483:$H$538,3,FALSE),"")</f>
        <v/>
      </c>
      <c r="AQ17" s="121" t="str">
        <f>IFERROR($N17+VLOOKUP($L17,'Voyage days'!$F$483:$H$538,3,FALSE),"")</f>
        <v/>
      </c>
      <c r="AR17" s="120" t="str">
        <f t="shared" si="21"/>
        <v/>
      </c>
      <c r="AS17" s="121" t="str">
        <f>IFERROR($M17+VLOOKUP($L17,'Voyage days'!$F$540:$H$613,3,FALSE),"")</f>
        <v/>
      </c>
      <c r="AT17" s="121" t="str">
        <f>IFERROR($N17+VLOOKUP($L17,'Voyage days'!$F$540:$H$613,3,FALSE),"")</f>
        <v/>
      </c>
      <c r="AU17" s="120" t="str">
        <f t="shared" si="22"/>
        <v/>
      </c>
      <c r="AV17" s="121" t="str">
        <f>IFERROR($M17+VLOOKUP($L17,'Voyage days'!$L$483:$N$535,3,FALSE),"")</f>
        <v/>
      </c>
      <c r="AW17" s="121" t="str">
        <f>IFERROR($N17+VLOOKUP($L17,'Voyage days'!$L$483:$N$535,3,FALSE),"")</f>
        <v/>
      </c>
      <c r="AX17" s="120" t="str">
        <f t="shared" si="23"/>
        <v/>
      </c>
      <c r="AY17" s="122" t="str">
        <f>IFERROR($M17+VLOOKUP($L17,'Voyage days'!$F$620:$H$646,3,FALSE),"")</f>
        <v/>
      </c>
      <c r="AZ17" s="122" t="str">
        <f>IFERROR($N17+VLOOKUP($L17,'Voyage days'!$F$620:$H$646,3,FALSE),"")</f>
        <v/>
      </c>
      <c r="BA17" s="120" t="str">
        <f t="shared" si="24"/>
        <v/>
      </c>
      <c r="BB17" s="123" t="str">
        <f>IFERROR($M17+VLOOKUP($L17,'Voyage days'!$F$702:$H$727,3,FALSE),"")</f>
        <v/>
      </c>
      <c r="BC17" s="120" t="str">
        <f t="shared" si="25"/>
        <v>30-01 Aug</v>
      </c>
      <c r="BD17" s="122">
        <f>IFERROR($M17+VLOOKUP($L17,'Voyage days'!$F$807:$H$878,3,FALSE),"")</f>
        <v>45868</v>
      </c>
      <c r="BE17" s="122">
        <f>IFERROR($N17+VLOOKUP($L17,'Voyage days'!$F$807:$H$878,3,FALSE),"")</f>
        <v>45870</v>
      </c>
      <c r="BF17" s="609"/>
      <c r="BG17" s="609"/>
      <c r="BH17" s="609"/>
      <c r="BI17" s="609"/>
      <c r="BJ17" s="609"/>
      <c r="BK17" s="609"/>
      <c r="BL17" s="609"/>
      <c r="BM17" s="609"/>
    </row>
    <row r="18">
      <c r="A18" s="1024" t="s">
        <v>499</v>
      </c>
      <c r="B18" s="1002">
        <v>40323.0</v>
      </c>
      <c r="C18" s="25">
        <v>80701.0</v>
      </c>
      <c r="D18" s="1025" t="s">
        <v>1362</v>
      </c>
      <c r="E18" s="409"/>
      <c r="F18" s="1026">
        <v>44276.0</v>
      </c>
      <c r="G18" s="1027">
        <v>46023.0</v>
      </c>
      <c r="H18" s="409"/>
      <c r="I18" s="1025" t="s">
        <v>1362</v>
      </c>
      <c r="J18" s="1028" t="s">
        <v>2937</v>
      </c>
      <c r="K18" s="456" t="str">
        <f t="shared" si="1"/>
        <v>Update</v>
      </c>
      <c r="L18" s="211" t="s">
        <v>1085</v>
      </c>
      <c r="M18" s="254">
        <v>45835.0</v>
      </c>
      <c r="N18" s="254">
        <v>45837.0</v>
      </c>
      <c r="O18" s="1029"/>
      <c r="P18" s="493" t="s">
        <v>2938</v>
      </c>
      <c r="Q18" s="1028"/>
      <c r="R18" s="1030" t="s">
        <v>2939</v>
      </c>
      <c r="S18" s="227" t="s">
        <v>33</v>
      </c>
      <c r="T18" s="176">
        <v>45833.0</v>
      </c>
      <c r="U18" s="216" t="str">
        <f>IF(V18="","No AIS",VLOOKUP(V18,'Voyage days'!$A$3:$B$1480,2,FALSE))</f>
        <v>AG</v>
      </c>
      <c r="V18" s="217" t="str">
        <f>IF(VLOOKUP(A18,'1) Kpler'!$E$2:$P$1000,8, FALSE)="","",VLOOKUP(A18,'1) Kpler'!$E$2:$P$1000,8, FALSE))</f>
        <v>Qatar</v>
      </c>
      <c r="W18" s="218">
        <f>IF(VLOOKUP(A18,'1) Kpler'!$E$2:$P$1000,9,FALSE)="","",VLOOKUP(A18,'1) Kpler'!$E$2:$P$1000,9,FALSE))</f>
        <v>46133.375</v>
      </c>
      <c r="X18" s="217" t="str">
        <f>VLOOKUP(A18,'1) Kpler'!$E$2:$I$1000,4,FALSE)</f>
        <v>ballast</v>
      </c>
      <c r="Y18" s="414" t="str">
        <f t="shared" si="14"/>
        <v>02-04 Jul</v>
      </c>
      <c r="Z18" s="120" t="str">
        <f t="shared" si="15"/>
        <v>02-04 Jul</v>
      </c>
      <c r="AA18" s="121">
        <f>IFERROR($M18+VLOOKUP($L18,'Voyage days'!$F$38:$H$89,3,FALSE),"")</f>
        <v>45840</v>
      </c>
      <c r="AB18" s="121">
        <f>IFERROR(N18+VLOOKUP($L18,'Voyage days'!$F$38:$H$89,3,FALSE),"")</f>
        <v>45842</v>
      </c>
      <c r="AC18" s="120" t="str">
        <f t="shared" si="16"/>
        <v/>
      </c>
      <c r="AD18" s="121" t="str">
        <f>IFERROR($M18+VLOOKUP($L18,'Voyage days'!$F$94:$H$193,3,FALSE),"")</f>
        <v/>
      </c>
      <c r="AE18" s="121" t="str">
        <f>IFERROR($N18+VLOOKUP($L18,'Voyage days'!$F$94:$H$193,3,FALSE),"")</f>
        <v/>
      </c>
      <c r="AF18" s="120" t="str">
        <f t="shared" si="17"/>
        <v>29-31 Jul</v>
      </c>
      <c r="AG18" s="121">
        <f>IFERROR($M18+VLOOKUP($L18,'Voyage days'!$F$203:$H$256,3,FALSE),"")</f>
        <v>45867</v>
      </c>
      <c r="AH18" s="121">
        <f>IFERROR($N18+VLOOKUP($L18,'Voyage days'!$F$203:$H$256,3,FALSE),"")</f>
        <v>45869</v>
      </c>
      <c r="AI18" s="120" t="str">
        <f t="shared" si="18"/>
        <v>16-18 Jul</v>
      </c>
      <c r="AJ18" s="121">
        <f>IFERROR($M18+VLOOKUP($L18,'Voyage days'!$F$294:$H$377,3,FALSE),"")</f>
        <v>45854</v>
      </c>
      <c r="AK18" s="121">
        <f>IFERROR($N18+VLOOKUP($L18,'Voyage days'!$F$294:$H$377,3,FALSE),"")</f>
        <v>45856</v>
      </c>
      <c r="AL18" s="120" t="str">
        <f t="shared" si="19"/>
        <v>10-12 Jul</v>
      </c>
      <c r="AM18" s="121">
        <f>IFERROR($M18+VLOOKUP($L18,'Voyage days'!$F$382:$H$446,3,FALSE),"")</f>
        <v>45848</v>
      </c>
      <c r="AN18" s="121">
        <f>IFERROR($N18+VLOOKUP($L18,'Voyage days'!$F$382:$H$446,3,FALSE),"")</f>
        <v>45850</v>
      </c>
      <c r="AO18" s="120" t="str">
        <f t="shared" si="20"/>
        <v/>
      </c>
      <c r="AP18" s="121" t="str">
        <f>IFERROR($M18+VLOOKUP($L18,'Voyage days'!$F$483:$H$538,3,FALSE),"")</f>
        <v/>
      </c>
      <c r="AQ18" s="121" t="str">
        <f>IFERROR($N18+VLOOKUP($L18,'Voyage days'!$F$483:$H$538,3,FALSE),"")</f>
        <v/>
      </c>
      <c r="AR18" s="120" t="str">
        <f t="shared" si="21"/>
        <v/>
      </c>
      <c r="AS18" s="121" t="str">
        <f>IFERROR($M18+VLOOKUP($L18,'Voyage days'!$F$540:$H$613,3,FALSE),"")</f>
        <v/>
      </c>
      <c r="AT18" s="121" t="str">
        <f>IFERROR($N18+VLOOKUP($L18,'Voyage days'!$F$540:$H$613,3,FALSE),"")</f>
        <v/>
      </c>
      <c r="AU18" s="120" t="str">
        <f t="shared" si="22"/>
        <v/>
      </c>
      <c r="AV18" s="121" t="str">
        <f>IFERROR($M18+VLOOKUP($L18,'Voyage days'!$L$483:$N$535,3,FALSE),"")</f>
        <v/>
      </c>
      <c r="AW18" s="121" t="str">
        <f>IFERROR($N18+VLOOKUP($L18,'Voyage days'!$L$483:$N$535,3,FALSE),"")</f>
        <v/>
      </c>
      <c r="AX18" s="120" t="str">
        <f t="shared" si="23"/>
        <v/>
      </c>
      <c r="AY18" s="122" t="str">
        <f>IFERROR($M18+VLOOKUP($L18,'Voyage days'!$F$620:$H$646,3,FALSE),"")</f>
        <v/>
      </c>
      <c r="AZ18" s="122" t="str">
        <f>IFERROR($N18+VLOOKUP($L18,'Voyage days'!$F$620:$H$646,3,FALSE),"")</f>
        <v/>
      </c>
      <c r="BA18" s="120" t="str">
        <f t="shared" si="24"/>
        <v/>
      </c>
      <c r="BB18" s="123" t="str">
        <f>IFERROR($M18+VLOOKUP($L18,'Voyage days'!$F$702:$H$727,3,FALSE),"")</f>
        <v/>
      </c>
      <c r="BC18" s="120" t="str">
        <f t="shared" si="25"/>
        <v>01-03 Aug</v>
      </c>
      <c r="BD18" s="122">
        <f>IFERROR($M18+VLOOKUP($L18,'Voyage days'!$F$807:$H$878,3,FALSE),"")</f>
        <v>45870</v>
      </c>
      <c r="BE18" s="122">
        <f>IFERROR($N18+VLOOKUP($L18,'Voyage days'!$F$807:$H$878,3,FALSE),"")</f>
        <v>45872</v>
      </c>
      <c r="BF18" s="609"/>
      <c r="BG18" s="609"/>
      <c r="BH18" s="609"/>
      <c r="BI18" s="609"/>
      <c r="BJ18" s="609"/>
      <c r="BK18" s="609"/>
      <c r="BL18" s="609"/>
      <c r="BM18" s="609"/>
    </row>
    <row r="19">
      <c r="A19" s="1031" t="s">
        <v>45</v>
      </c>
      <c r="B19" s="1032">
        <v>40360.0</v>
      </c>
      <c r="C19" s="1033">
        <v>78908.0</v>
      </c>
      <c r="D19" s="1034" t="s">
        <v>1190</v>
      </c>
      <c r="E19" s="233"/>
      <c r="F19" s="1035"/>
      <c r="G19" s="1036">
        <v>46113.0</v>
      </c>
      <c r="H19" s="1037"/>
      <c r="I19" s="1034" t="s">
        <v>1190</v>
      </c>
      <c r="J19" s="1037" t="s">
        <v>2935</v>
      </c>
      <c r="K19" s="517" t="str">
        <f t="shared" si="1"/>
        <v>Update</v>
      </c>
      <c r="L19" s="235" t="s">
        <v>1031</v>
      </c>
      <c r="M19" s="238">
        <v>45834.0</v>
      </c>
      <c r="N19" s="238">
        <v>45835.0</v>
      </c>
      <c r="O19" s="1038"/>
      <c r="P19" s="235"/>
      <c r="Q19" s="291"/>
      <c r="R19" s="1039" t="s">
        <v>2940</v>
      </c>
      <c r="S19" s="292" t="s">
        <v>33</v>
      </c>
      <c r="T19" s="420">
        <v>45833.0</v>
      </c>
      <c r="U19" s="244" t="str">
        <f>IF(V19="","No AIS",VLOOKUP(V19,'Voyage days'!$A$3:$B$1480,2,FALSE))</f>
        <v>AG</v>
      </c>
      <c r="V19" s="244" t="str">
        <f>IF(VLOOKUP(A19,'1) Kpler'!$E$2:$P$1000,8, FALSE)="","",VLOOKUP(A19,'1) Kpler'!$E$2:$P$1000,8, FALSE))</f>
        <v>Advario Oman</v>
      </c>
      <c r="W19" s="245">
        <f>IF(VLOOKUP(A19,'1) Kpler'!$E$2:$P$1000,9,FALSE)="","",VLOOKUP(A19,'1) Kpler'!$E$2:$P$1000,9,FALSE))</f>
        <v>46134.45833</v>
      </c>
      <c r="X19" s="244" t="str">
        <f>VLOOKUP(A19,'1) Kpler'!$E$2:$I$1000,4,FALSE)</f>
        <v>ballast</v>
      </c>
      <c r="Y19" s="421" t="str">
        <f t="shared" si="14"/>
        <v>26-27 Jun</v>
      </c>
      <c r="Z19" s="249" t="str">
        <f t="shared" si="15"/>
        <v>26-27 Jun</v>
      </c>
      <c r="AA19" s="250">
        <f>IFERROR($M19+VLOOKUP($L19,'Voyage days'!$F$38:$H$89,3,FALSE),"")</f>
        <v>45834</v>
      </c>
      <c r="AB19" s="250">
        <f>IFERROR(N19+VLOOKUP($L19,'Voyage days'!$F$38:$H$89,3,FALSE),"")</f>
        <v>45835</v>
      </c>
      <c r="AC19" s="249" t="str">
        <f t="shared" si="16"/>
        <v/>
      </c>
      <c r="AD19" s="250" t="str">
        <f>IFERROR($M19+VLOOKUP($L19,'Voyage days'!$F$94:$H$193,3,FALSE),"")</f>
        <v/>
      </c>
      <c r="AE19" s="250" t="str">
        <f>IFERROR($N19+VLOOKUP($L19,'Voyage days'!$F$94:$H$193,3,FALSE),"")</f>
        <v/>
      </c>
      <c r="AF19" s="249" t="str">
        <f t="shared" si="17"/>
        <v/>
      </c>
      <c r="AG19" s="250" t="str">
        <f>IFERROR($M19+VLOOKUP($L19,'Voyage days'!$F$203:$H$256,3,FALSE),"")</f>
        <v/>
      </c>
      <c r="AH19" s="250" t="str">
        <f>IFERROR($N19+VLOOKUP($L19,'Voyage days'!$F$203:$H$256,3,FALSE),"")</f>
        <v/>
      </c>
      <c r="AI19" s="249" t="str">
        <f t="shared" si="18"/>
        <v/>
      </c>
      <c r="AJ19" s="250" t="str">
        <f>IFERROR($M19+VLOOKUP($L19,'Voyage days'!$F$294:$H$377,3,FALSE),"")</f>
        <v/>
      </c>
      <c r="AK19" s="250" t="str">
        <f>IFERROR($N19+VLOOKUP($L19,'Voyage days'!$F$294:$H$377,3,FALSE),"")</f>
        <v/>
      </c>
      <c r="AL19" s="249" t="str">
        <f t="shared" si="19"/>
        <v/>
      </c>
      <c r="AM19" s="250" t="str">
        <f>IFERROR($M19+VLOOKUP($L19,'Voyage days'!$F$382:$H$446,3,FALSE),"")</f>
        <v/>
      </c>
      <c r="AN19" s="250" t="str">
        <f>IFERROR($N19+VLOOKUP($L19,'Voyage days'!$F$382:$H$446,3,FALSE),"")</f>
        <v/>
      </c>
      <c r="AO19" s="249" t="str">
        <f t="shared" si="20"/>
        <v/>
      </c>
      <c r="AP19" s="250" t="str">
        <f>IFERROR($M19+VLOOKUP($L19,'Voyage days'!$F$483:$H$538,3,FALSE),"")</f>
        <v/>
      </c>
      <c r="AQ19" s="250" t="str">
        <f>IFERROR($N19+VLOOKUP($L19,'Voyage days'!$F$483:$H$538,3,FALSE),"")</f>
        <v/>
      </c>
      <c r="AR19" s="249" t="str">
        <f t="shared" si="21"/>
        <v>15-16 Jul</v>
      </c>
      <c r="AS19" s="250">
        <f>IFERROR($M19+VLOOKUP($L19,'Voyage days'!$F$540:$H$613,3,FALSE),"")</f>
        <v>45853</v>
      </c>
      <c r="AT19" s="250">
        <f>IFERROR($N19+VLOOKUP($L19,'Voyage days'!$F$540:$H$613,3,FALSE),"")</f>
        <v>45854</v>
      </c>
      <c r="AU19" s="249" t="str">
        <f t="shared" si="22"/>
        <v/>
      </c>
      <c r="AV19" s="250" t="str">
        <f>IFERROR($M19+VLOOKUP($L19,'Voyage days'!$L$483:$N$535,3,FALSE),"")</f>
        <v/>
      </c>
      <c r="AW19" s="250" t="str">
        <f>IFERROR($N19+VLOOKUP($L19,'Voyage days'!$L$483:$N$535,3,FALSE),"")</f>
        <v/>
      </c>
      <c r="AX19" s="249" t="str">
        <f t="shared" si="23"/>
        <v/>
      </c>
      <c r="AY19" s="250" t="str">
        <f>IFERROR($M19+VLOOKUP($L19,'Voyage days'!$F$620:$H$646,3,FALSE),"")</f>
        <v/>
      </c>
      <c r="AZ19" s="250" t="str">
        <f>IFERROR($N19+VLOOKUP($L19,'Voyage days'!$F$620:$H$646,3,FALSE),"")</f>
        <v/>
      </c>
      <c r="BA19" s="249" t="str">
        <f t="shared" si="24"/>
        <v/>
      </c>
      <c r="BB19" s="251" t="str">
        <f>IFERROR($M19+VLOOKUP($L19,'Voyage days'!$F$702:$H$727,3,FALSE),"")</f>
        <v/>
      </c>
      <c r="BC19" s="249" t="str">
        <f t="shared" si="25"/>
        <v>26-27 Jun</v>
      </c>
      <c r="BD19" s="250">
        <f>IFERROR($M19+VLOOKUP($L19,'Voyage days'!$F$807:$H$878,3,FALSE),"")</f>
        <v>45834</v>
      </c>
      <c r="BE19" s="250">
        <f>IFERROR($N19+VLOOKUP($L19,'Voyage days'!$F$807:$H$878,3,FALSE),"")</f>
        <v>45835</v>
      </c>
      <c r="BF19" s="609"/>
      <c r="BG19" s="609"/>
      <c r="BH19" s="609"/>
      <c r="BI19" s="609"/>
      <c r="BJ19" s="609"/>
      <c r="BK19" s="609"/>
      <c r="BL19" s="609"/>
      <c r="BM19" s="609"/>
    </row>
    <row r="20">
      <c r="A20" s="1016" t="s">
        <v>2941</v>
      </c>
      <c r="B20" s="1002">
        <v>39326.0</v>
      </c>
      <c r="C20" s="512">
        <v>82203.0</v>
      </c>
      <c r="D20" s="603" t="s">
        <v>1190</v>
      </c>
      <c r="E20" s="103"/>
      <c r="F20" s="604">
        <v>44550.0</v>
      </c>
      <c r="G20" s="1017">
        <v>46235.0</v>
      </c>
      <c r="H20" s="103"/>
      <c r="I20" s="1034" t="s">
        <v>1190</v>
      </c>
      <c r="J20" s="185" t="s">
        <v>2935</v>
      </c>
      <c r="K20" s="336" t="str">
        <f t="shared" si="1"/>
        <v>Update</v>
      </c>
      <c r="L20" s="108" t="s">
        <v>211</v>
      </c>
      <c r="M20" s="109">
        <v>45833.0</v>
      </c>
      <c r="N20" s="109">
        <v>45837.0</v>
      </c>
      <c r="O20" s="110"/>
      <c r="P20" s="108" t="s">
        <v>2942</v>
      </c>
      <c r="Q20" s="185"/>
      <c r="R20" s="108" t="s">
        <v>2943</v>
      </c>
      <c r="S20" s="112" t="s">
        <v>33</v>
      </c>
      <c r="T20" s="113">
        <v>45833.0</v>
      </c>
      <c r="U20" s="114" t="str">
        <f>IF(V20="","No AIS",VLOOKUP(V20,'Voyage days'!$A$3:$B$1480,2,FALSE))</f>
        <v>AG</v>
      </c>
      <c r="V20" s="115" t="str">
        <f>IF(VLOOKUP(A20,'1) Kpler'!$E$2:$P$1000,8, FALSE)="","",VLOOKUP(A20,'1) Kpler'!$E$2:$P$1000,8, FALSE))</f>
        <v>Ruwais Refinery</v>
      </c>
      <c r="W20" s="116">
        <f>IF(VLOOKUP(A20,'1) Kpler'!$E$2:$P$1000,9,FALSE)="","",VLOOKUP(A20,'1) Kpler'!$E$2:$P$1000,9,FALSE))</f>
        <v>46132.27153</v>
      </c>
      <c r="X20" s="115" t="str">
        <f>VLOOKUP(A20,'1) Kpler'!$E$2:$I$1000,4,FALSE)</f>
        <v>ballast</v>
      </c>
      <c r="Y20" s="160" t="str">
        <f t="shared" si="14"/>
        <v>30-04 Jul</v>
      </c>
      <c r="Z20" s="120" t="str">
        <f t="shared" si="15"/>
        <v>30-04 Jul</v>
      </c>
      <c r="AA20" s="121">
        <f>IFERROR($M20+VLOOKUP($L20,'Voyage days'!$F$38:$H$89,3,FALSE),"")</f>
        <v>45838</v>
      </c>
      <c r="AB20" s="121">
        <f>IFERROR(N20+VLOOKUP($L20,'Voyage days'!$F$38:$H$89,3,FALSE),"")</f>
        <v>45842</v>
      </c>
      <c r="AC20" s="120" t="str">
        <f t="shared" si="16"/>
        <v/>
      </c>
      <c r="AD20" s="121" t="str">
        <f>IFERROR($M20+VLOOKUP($L20,'Voyage days'!$F$94:$H$193,3,FALSE),"")</f>
        <v/>
      </c>
      <c r="AE20" s="121" t="str">
        <f>IFERROR($N20+VLOOKUP($L20,'Voyage days'!$F$94:$H$193,3,FALSE),"")</f>
        <v/>
      </c>
      <c r="AF20" s="120" t="str">
        <f t="shared" si="17"/>
        <v>26-30 Jul</v>
      </c>
      <c r="AG20" s="121">
        <f>IFERROR($M20+VLOOKUP($L20,'Voyage days'!$F$203:$H$256,3,FALSE),"")</f>
        <v>45864</v>
      </c>
      <c r="AH20" s="121">
        <f>IFERROR($N20+VLOOKUP($L20,'Voyage days'!$F$203:$H$256,3,FALSE),"")</f>
        <v>45868</v>
      </c>
      <c r="AI20" s="120" t="str">
        <f t="shared" si="18"/>
        <v>13-17 Jul</v>
      </c>
      <c r="AJ20" s="121">
        <f>IFERROR($M20+VLOOKUP($L20,'Voyage days'!$F$294:$H$377,3,FALSE),"")</f>
        <v>45851</v>
      </c>
      <c r="AK20" s="121">
        <f>IFERROR($N20+VLOOKUP($L20,'Voyage days'!$F$294:$H$377,3,FALSE),"")</f>
        <v>45855</v>
      </c>
      <c r="AL20" s="120" t="str">
        <f t="shared" si="19"/>
        <v>21-25 Jul</v>
      </c>
      <c r="AM20" s="121">
        <f>IFERROR($M20+VLOOKUP($L20,'Voyage days'!$F$382:$H$446,3,FALSE),"")</f>
        <v>45859</v>
      </c>
      <c r="AN20" s="121">
        <f>IFERROR($N20+VLOOKUP($L20,'Voyage days'!$F$382:$H$446,3,FALSE),"")</f>
        <v>45863</v>
      </c>
      <c r="AO20" s="120" t="str">
        <f t="shared" si="20"/>
        <v/>
      </c>
      <c r="AP20" s="121" t="str">
        <f>IFERROR($M20+VLOOKUP($L20,'Voyage days'!$F$483:$H$538,3,FALSE),"")</f>
        <v/>
      </c>
      <c r="AQ20" s="121" t="str">
        <f>IFERROR($N20+VLOOKUP($L20,'Voyage days'!$F$483:$H$538,3,FALSE),"")</f>
        <v/>
      </c>
      <c r="AR20" s="120" t="str">
        <f t="shared" si="21"/>
        <v/>
      </c>
      <c r="AS20" s="121" t="str">
        <f>IFERROR($M20+VLOOKUP($L20,'Voyage days'!$F$540:$H$613,3,FALSE),"")</f>
        <v/>
      </c>
      <c r="AT20" s="121" t="str">
        <f>IFERROR($N20+VLOOKUP($L20,'Voyage days'!$F$540:$H$613,3,FALSE),"")</f>
        <v/>
      </c>
      <c r="AU20" s="120" t="str">
        <f t="shared" si="22"/>
        <v/>
      </c>
      <c r="AV20" s="121" t="str">
        <f>IFERROR($M20+VLOOKUP($L20,'Voyage days'!$L$483:$N$535,3,FALSE),"")</f>
        <v/>
      </c>
      <c r="AW20" s="121" t="str">
        <f>IFERROR($N20+VLOOKUP($L20,'Voyage days'!$L$483:$N$535,3,FALSE),"")</f>
        <v/>
      </c>
      <c r="AX20" s="120" t="str">
        <f t="shared" si="23"/>
        <v/>
      </c>
      <c r="AY20" s="122" t="str">
        <f>IFERROR($M20+VLOOKUP($L20,'Voyage days'!$F$620:$H$646,3,FALSE),"")</f>
        <v/>
      </c>
      <c r="AZ20" s="122" t="str">
        <f>IFERROR($N20+VLOOKUP($L20,'Voyage days'!$F$620:$H$646,3,FALSE),"")</f>
        <v/>
      </c>
      <c r="BA20" s="120" t="str">
        <f t="shared" si="24"/>
        <v/>
      </c>
      <c r="BB20" s="123" t="str">
        <f>IFERROR($M20+VLOOKUP($L20,'Voyage days'!$F$702:$H$727,3,FALSE),"")</f>
        <v/>
      </c>
      <c r="BC20" s="120" t="str">
        <f t="shared" si="25"/>
        <v>07-11 Aug</v>
      </c>
      <c r="BD20" s="122">
        <f>IFERROR($M20+VLOOKUP($L20,'Voyage days'!$F$807:$H$878,3,FALSE),"")</f>
        <v>45876</v>
      </c>
      <c r="BE20" s="122">
        <f>IFERROR($N20+VLOOKUP($L20,'Voyage days'!$F$807:$H$878,3,FALSE),"")</f>
        <v>45880</v>
      </c>
      <c r="BF20" s="609"/>
      <c r="BG20" s="609"/>
      <c r="BH20" s="609"/>
      <c r="BI20" s="609"/>
      <c r="BJ20" s="609"/>
      <c r="BK20" s="609"/>
      <c r="BL20" s="609"/>
      <c r="BM20" s="609"/>
    </row>
    <row r="21" ht="15.75" customHeight="1">
      <c r="A21" s="606" t="s">
        <v>1390</v>
      </c>
      <c r="B21" s="1002">
        <v>40632.0</v>
      </c>
      <c r="C21" s="25">
        <v>80000.0</v>
      </c>
      <c r="D21" s="603" t="s">
        <v>1190</v>
      </c>
      <c r="E21" s="103"/>
      <c r="F21" s="604">
        <v>44136.0</v>
      </c>
      <c r="G21" s="605">
        <v>45748.0</v>
      </c>
      <c r="H21" s="111"/>
      <c r="I21" s="603" t="s">
        <v>1190</v>
      </c>
      <c r="J21" s="111"/>
      <c r="K21" s="336" t="str">
        <f t="shared" si="1"/>
        <v>NO AIS</v>
      </c>
      <c r="L21" s="108" t="s">
        <v>1085</v>
      </c>
      <c r="M21" s="109">
        <v>45836.0</v>
      </c>
      <c r="N21" s="109">
        <v>45837.0</v>
      </c>
      <c r="O21" s="110"/>
      <c r="P21" s="108"/>
      <c r="Q21" s="185"/>
      <c r="R21" s="108" t="s">
        <v>2944</v>
      </c>
      <c r="S21" s="112" t="s">
        <v>33</v>
      </c>
      <c r="T21" s="113">
        <v>45833.0</v>
      </c>
      <c r="U21" s="114" t="str">
        <f>IF(V21="","No AIS",VLOOKUP(V21,'Voyage days'!$A$3:$B$1480,2,FALSE))</f>
        <v>No AIS</v>
      </c>
      <c r="V21" s="115" t="str">
        <f>IF(VLOOKUP(A21,'1) Kpler'!$E$2:$P$1000,8, FALSE)="","",VLOOKUP(A21,'1) Kpler'!$E$2:$P$1000,8, FALSE))</f>
        <v/>
      </c>
      <c r="W21" s="116" t="str">
        <f>IF(VLOOKUP(A21,'1) Kpler'!$E$2:$P$1000,9,FALSE)="","",VLOOKUP(A21,'1) Kpler'!$E$2:$P$1000,9,FALSE))</f>
        <v/>
      </c>
      <c r="X21" s="115" t="str">
        <f>VLOOKUP(A21,'1) Kpler'!$E$2:$I$1000,4,FALSE)</f>
        <v>loaded</v>
      </c>
      <c r="Y21" s="117" t="str">
        <f t="shared" si="14"/>
        <v>03-04 Jul</v>
      </c>
      <c r="Z21" s="120" t="str">
        <f t="shared" si="15"/>
        <v>03-04 Jul</v>
      </c>
      <c r="AA21" s="121">
        <f>IFERROR($M21+VLOOKUP($L21,'Voyage days'!$F$38:$H$89,3,FALSE),"")</f>
        <v>45841</v>
      </c>
      <c r="AB21" s="121">
        <f>IFERROR(N21+VLOOKUP($L21,'Voyage days'!$F$38:$H$89,3,FALSE),"")</f>
        <v>45842</v>
      </c>
      <c r="AC21" s="120" t="str">
        <f t="shared" si="16"/>
        <v/>
      </c>
      <c r="AD21" s="121" t="str">
        <f>IFERROR($M21+VLOOKUP($L21,'Voyage days'!$F$94:$H$193,3,FALSE),"")</f>
        <v/>
      </c>
      <c r="AE21" s="121" t="str">
        <f>IFERROR($N21+VLOOKUP($L21,'Voyage days'!$F$94:$H$193,3,FALSE),"")</f>
        <v/>
      </c>
      <c r="AF21" s="120" t="str">
        <f t="shared" si="17"/>
        <v>30-31 Jul</v>
      </c>
      <c r="AG21" s="121">
        <f>IFERROR($M21+VLOOKUP($L21,'Voyage days'!$F$203:$H$256,3,FALSE),"")</f>
        <v>45868</v>
      </c>
      <c r="AH21" s="121">
        <f>IFERROR($N21+VLOOKUP($L21,'Voyage days'!$F$203:$H$256,3,FALSE),"")</f>
        <v>45869</v>
      </c>
      <c r="AI21" s="120" t="str">
        <f t="shared" si="18"/>
        <v>17-18 Jul</v>
      </c>
      <c r="AJ21" s="121">
        <f>IFERROR($M21+VLOOKUP($L21,'Voyage days'!$F$294:$H$377,3,FALSE),"")</f>
        <v>45855</v>
      </c>
      <c r="AK21" s="121">
        <f>IFERROR($N21+VLOOKUP($L21,'Voyage days'!$F$294:$H$377,3,FALSE),"")</f>
        <v>45856</v>
      </c>
      <c r="AL21" s="120" t="str">
        <f t="shared" si="19"/>
        <v>11-12 Jul</v>
      </c>
      <c r="AM21" s="121">
        <f>IFERROR($M21+VLOOKUP($L21,'Voyage days'!$F$382:$H$446,3,FALSE),"")</f>
        <v>45849</v>
      </c>
      <c r="AN21" s="121">
        <f>IFERROR($N21+VLOOKUP($L21,'Voyage days'!$F$382:$H$446,3,FALSE),"")</f>
        <v>45850</v>
      </c>
      <c r="AO21" s="120" t="str">
        <f t="shared" si="20"/>
        <v/>
      </c>
      <c r="AP21" s="121" t="str">
        <f>IFERROR($M21+VLOOKUP($L21,'Voyage days'!$F$483:$H$538,3,FALSE),"")</f>
        <v/>
      </c>
      <c r="AQ21" s="121" t="str">
        <f>IFERROR($N21+VLOOKUP($L21,'Voyage days'!$F$483:$H$538,3,FALSE),"")</f>
        <v/>
      </c>
      <c r="AR21" s="120" t="str">
        <f t="shared" si="21"/>
        <v/>
      </c>
      <c r="AS21" s="121" t="str">
        <f>IFERROR($M21+VLOOKUP($L21,'Voyage days'!$F$540:$H$613,3,FALSE),"")</f>
        <v/>
      </c>
      <c r="AT21" s="121" t="str">
        <f>IFERROR($N21+VLOOKUP($L21,'Voyage days'!$F$540:$H$613,3,FALSE),"")</f>
        <v/>
      </c>
      <c r="AU21" s="120" t="str">
        <f t="shared" si="22"/>
        <v/>
      </c>
      <c r="AV21" s="121" t="str">
        <f>IFERROR($M21+VLOOKUP($L21,'Voyage days'!$L$483:$N$535,3,FALSE),"")</f>
        <v/>
      </c>
      <c r="AW21" s="121" t="str">
        <f>IFERROR($N21+VLOOKUP($L21,'Voyage days'!$L$483:$N$535,3,FALSE),"")</f>
        <v/>
      </c>
      <c r="AX21" s="120" t="str">
        <f t="shared" si="23"/>
        <v/>
      </c>
      <c r="AY21" s="122" t="str">
        <f>IFERROR($M21+VLOOKUP($L21,'Voyage days'!$F$620:$H$646,3,FALSE),"")</f>
        <v/>
      </c>
      <c r="AZ21" s="122" t="str">
        <f>IFERROR($N21+VLOOKUP($L21,'Voyage days'!$F$620:$H$646,3,FALSE),"")</f>
        <v/>
      </c>
      <c r="BA21" s="120" t="str">
        <f t="shared" si="24"/>
        <v/>
      </c>
      <c r="BB21" s="123" t="str">
        <f>IFERROR($M21+VLOOKUP($L21,'Voyage days'!$F$702:$H$727,3,FALSE),"")</f>
        <v/>
      </c>
      <c r="BC21" s="120" t="str">
        <f t="shared" si="25"/>
        <v>02-03 Aug</v>
      </c>
      <c r="BD21" s="122">
        <f>IFERROR($M21+VLOOKUP($L21,'Voyage days'!$F$807:$H$878,3,FALSE),"")</f>
        <v>45871</v>
      </c>
      <c r="BE21" s="122">
        <f>IFERROR($N21+VLOOKUP($L21,'Voyage days'!$F$807:$H$878,3,FALSE),"")</f>
        <v>45872</v>
      </c>
      <c r="BF21" s="609"/>
      <c r="BG21" s="609"/>
      <c r="BH21" s="609"/>
      <c r="BI21" s="609"/>
      <c r="BJ21" s="609"/>
      <c r="BK21" s="609"/>
      <c r="BL21" s="609"/>
      <c r="BM21" s="609"/>
    </row>
    <row r="22">
      <c r="A22" s="1016" t="s">
        <v>369</v>
      </c>
      <c r="B22" s="1002">
        <v>40208.0</v>
      </c>
      <c r="C22" s="25">
        <v>80199.0</v>
      </c>
      <c r="D22" s="603" t="s">
        <v>1190</v>
      </c>
      <c r="E22" s="103" t="s">
        <v>689</v>
      </c>
      <c r="F22" s="604">
        <v>44063.0</v>
      </c>
      <c r="G22" s="605">
        <v>45717.0</v>
      </c>
      <c r="H22" s="103"/>
      <c r="I22" s="603" t="s">
        <v>1190</v>
      </c>
      <c r="J22" s="185" t="s">
        <v>2945</v>
      </c>
      <c r="K22" s="336" t="str">
        <f t="shared" si="1"/>
        <v>Update</v>
      </c>
      <c r="L22" s="108" t="s">
        <v>1231</v>
      </c>
      <c r="M22" s="109">
        <v>45835.0</v>
      </c>
      <c r="N22" s="109">
        <v>45837.0</v>
      </c>
      <c r="O22" s="110"/>
      <c r="P22" s="185"/>
      <c r="Q22" s="185"/>
      <c r="R22" s="108" t="s">
        <v>2946</v>
      </c>
      <c r="S22" s="112" t="s">
        <v>33</v>
      </c>
      <c r="T22" s="113">
        <v>45827.0</v>
      </c>
      <c r="U22" s="114" t="str">
        <f>IF(V22="","No AIS",VLOOKUP(V22,'Voyage days'!$A$3:$B$1480,2,FALSE))</f>
        <v>ECI + 5</v>
      </c>
      <c r="V22" s="115" t="str">
        <f>IF(VLOOKUP(A22,'1) Kpler'!$E$2:$P$1000,8, FALSE)="","",VLOOKUP(A22,'1) Kpler'!$E$2:$P$1000,8, FALSE))</f>
        <v>IOC Haldia Refinery</v>
      </c>
      <c r="W22" s="116">
        <f>IF(VLOOKUP(A22,'1) Kpler'!$E$2:$P$1000,9,FALSE)="","",VLOOKUP(A22,'1) Kpler'!$E$2:$P$1000,9,FALSE))</f>
        <v>46142.89583</v>
      </c>
      <c r="X22" s="115" t="str">
        <f>VLOOKUP(A22,'1) Kpler'!$E$2:$I$1000,4,FALSE)</f>
        <v>loaded</v>
      </c>
      <c r="Y22" s="160" t="str">
        <f t="shared" si="14"/>
        <v>06-08 Jul</v>
      </c>
      <c r="Z22" s="120" t="str">
        <f t="shared" si="15"/>
        <v>06-08 Jul</v>
      </c>
      <c r="AA22" s="121">
        <f>IFERROR($M22+VLOOKUP($L22,'Voyage days'!$F$38:$H$89,3,FALSE),"")</f>
        <v>45844</v>
      </c>
      <c r="AB22" s="121">
        <f>IFERROR(N22+VLOOKUP($L22,'Voyage days'!$F$38:$H$89,3,FALSE),"")</f>
        <v>45846</v>
      </c>
      <c r="AC22" s="120" t="str">
        <f t="shared" si="16"/>
        <v/>
      </c>
      <c r="AD22" s="121" t="str">
        <f>IFERROR($M22+VLOOKUP($L22,'Voyage days'!$F$94:$H$193,3,FALSE),"")</f>
        <v/>
      </c>
      <c r="AE22" s="121" t="str">
        <f>IFERROR($N22+VLOOKUP($L22,'Voyage days'!$F$94:$H$193,3,FALSE),"")</f>
        <v/>
      </c>
      <c r="AF22" s="120" t="str">
        <f t="shared" si="17"/>
        <v>02-04 Aug</v>
      </c>
      <c r="AG22" s="121">
        <f>IFERROR($M22+VLOOKUP($L22,'Voyage days'!$F$203:$H$256,3,FALSE),"")</f>
        <v>45871</v>
      </c>
      <c r="AH22" s="121">
        <f>IFERROR($N22+VLOOKUP($L22,'Voyage days'!$F$203:$H$256,3,FALSE),"")</f>
        <v>45873</v>
      </c>
      <c r="AI22" s="120" t="str">
        <f t="shared" si="18"/>
        <v>18-20 Jul</v>
      </c>
      <c r="AJ22" s="121">
        <f>IFERROR($M22+VLOOKUP($L22,'Voyage days'!$F$294:$H$377,3,FALSE),"")</f>
        <v>45856</v>
      </c>
      <c r="AK22" s="121">
        <f>IFERROR($N22+VLOOKUP($L22,'Voyage days'!$F$294:$H$377,3,FALSE),"")</f>
        <v>45858</v>
      </c>
      <c r="AL22" s="120" t="str">
        <f t="shared" si="19"/>
        <v>25-27 Jul</v>
      </c>
      <c r="AM22" s="121">
        <f>IFERROR($M22+VLOOKUP($L22,'Voyage days'!$F$382:$H$446,3,FALSE),"")</f>
        <v>45863</v>
      </c>
      <c r="AN22" s="121">
        <f>IFERROR($N22+VLOOKUP($L22,'Voyage days'!$F$382:$H$446,3,FALSE),"")</f>
        <v>45865</v>
      </c>
      <c r="AO22" s="120" t="str">
        <f t="shared" si="20"/>
        <v>27-29 Jun</v>
      </c>
      <c r="AP22" s="121">
        <f>IFERROR($M22+VLOOKUP($L22,'Voyage days'!$F$483:$H$538,3,FALSE),"")</f>
        <v>45835</v>
      </c>
      <c r="AQ22" s="121">
        <f>IFERROR($N22+VLOOKUP($L22,'Voyage days'!$F$483:$H$538,3,FALSE),"")</f>
        <v>45837</v>
      </c>
      <c r="AR22" s="120" t="str">
        <f t="shared" si="21"/>
        <v/>
      </c>
      <c r="AS22" s="121" t="str">
        <f>IFERROR($M22+VLOOKUP($L22,'Voyage days'!$F$540:$H$613,3,FALSE),"")</f>
        <v/>
      </c>
      <c r="AT22" s="121" t="str">
        <f>IFERROR($N22+VLOOKUP($L22,'Voyage days'!$F$540:$H$613,3,FALSE),"")</f>
        <v/>
      </c>
      <c r="AU22" s="120" t="str">
        <f t="shared" si="22"/>
        <v/>
      </c>
      <c r="AV22" s="121" t="str">
        <f>IFERROR($M22+VLOOKUP($L22,'Voyage days'!$L$483:$N$535,3,FALSE),"")</f>
        <v/>
      </c>
      <c r="AW22" s="121" t="str">
        <f>IFERROR($N22+VLOOKUP($L22,'Voyage days'!$L$483:$N$535,3,FALSE),"")</f>
        <v/>
      </c>
      <c r="AX22" s="120" t="str">
        <f t="shared" si="23"/>
        <v/>
      </c>
      <c r="AY22" s="122" t="str">
        <f>IFERROR($M22+VLOOKUP($L22,'Voyage days'!$F$620:$H$646,3,FALSE),"")</f>
        <v/>
      </c>
      <c r="AZ22" s="122" t="str">
        <f>IFERROR($N22+VLOOKUP($L22,'Voyage days'!$F$620:$H$646,3,FALSE),"")</f>
        <v/>
      </c>
      <c r="BA22" s="120" t="str">
        <f t="shared" si="24"/>
        <v/>
      </c>
      <c r="BB22" s="123" t="str">
        <f>IFERROR($M22+VLOOKUP($L22,'Voyage days'!$F$702:$H$727,3,FALSE),"")</f>
        <v/>
      </c>
      <c r="BC22" s="120" t="str">
        <f t="shared" si="25"/>
        <v>04-06 Aug</v>
      </c>
      <c r="BD22" s="122">
        <f>IFERROR($M22+VLOOKUP($L22,'Voyage days'!$F$807:$H$878,3,FALSE),"")</f>
        <v>45873</v>
      </c>
      <c r="BE22" s="122">
        <f>IFERROR($N22+VLOOKUP($L22,'Voyage days'!$F$807:$H$878,3,FALSE),"")</f>
        <v>45875</v>
      </c>
      <c r="BF22" s="609"/>
      <c r="BG22" s="609"/>
      <c r="BH22" s="609"/>
      <c r="BI22" s="609"/>
      <c r="BJ22" s="609"/>
      <c r="BK22" s="609"/>
      <c r="BL22" s="609"/>
      <c r="BM22" s="609"/>
    </row>
    <row r="23" ht="15.75" customHeight="1">
      <c r="A23" s="606" t="s">
        <v>392</v>
      </c>
      <c r="B23" s="1002">
        <v>39263.0</v>
      </c>
      <c r="C23" s="25">
        <v>83000.0</v>
      </c>
      <c r="D23" s="603" t="s">
        <v>1190</v>
      </c>
      <c r="E23" s="103" t="s">
        <v>666</v>
      </c>
      <c r="F23" s="604"/>
      <c r="G23" s="1017">
        <v>46143.0</v>
      </c>
      <c r="H23" s="111"/>
      <c r="I23" s="603" t="s">
        <v>1190</v>
      </c>
      <c r="J23" s="111"/>
      <c r="K23" s="106" t="str">
        <f t="shared" si="1"/>
        <v>Update</v>
      </c>
      <c r="L23" s="108" t="s">
        <v>1085</v>
      </c>
      <c r="M23" s="109">
        <v>45833.0</v>
      </c>
      <c r="N23" s="109">
        <v>45834.0</v>
      </c>
      <c r="O23" s="110"/>
      <c r="P23" s="108"/>
      <c r="Q23" s="185"/>
      <c r="R23" s="108" t="s">
        <v>2947</v>
      </c>
      <c r="S23" s="112" t="s">
        <v>33</v>
      </c>
      <c r="T23" s="113">
        <v>45833.0</v>
      </c>
      <c r="U23" s="114" t="str">
        <f>IF(V23="","No AIS",VLOOKUP(V23,'Voyage days'!$A$3:$B$1480,2,FALSE))</f>
        <v>ECI + 5</v>
      </c>
      <c r="V23" s="115" t="str">
        <f>IF(VLOOKUP(A23,'1) Kpler'!$E$2:$P$1000,8, FALSE)="","",VLOOKUP(A23,'1) Kpler'!$E$2:$P$1000,8, FALSE))</f>
        <v>IOC Haldia Refinery</v>
      </c>
      <c r="W23" s="116">
        <f>IF(VLOOKUP(A23,'1) Kpler'!$E$2:$P$1000,9,FALSE)="","",VLOOKUP(A23,'1) Kpler'!$E$2:$P$1000,9,FALSE))</f>
        <v>46132.25</v>
      </c>
      <c r="X23" s="115" t="str">
        <f>VLOOKUP(A23,'1) Kpler'!$E$2:$I$1000,4,FALSE)</f>
        <v>loaded</v>
      </c>
      <c r="Y23" s="117" t="str">
        <f t="shared" si="14"/>
        <v>30-01 Jul</v>
      </c>
      <c r="Z23" s="120" t="str">
        <f t="shared" si="15"/>
        <v>30-01 Jul</v>
      </c>
      <c r="AA23" s="121">
        <f>IFERROR($M23+VLOOKUP($L23,'Voyage days'!$F$38:$H$89,3,FALSE),"")</f>
        <v>45838</v>
      </c>
      <c r="AB23" s="121">
        <f>IFERROR(N23+VLOOKUP($L23,'Voyage days'!$F$38:$H$89,3,FALSE),"")</f>
        <v>45839</v>
      </c>
      <c r="AC23" s="120" t="str">
        <f t="shared" si="16"/>
        <v/>
      </c>
      <c r="AD23" s="121" t="str">
        <f>IFERROR($M23+VLOOKUP($L23,'Voyage days'!$F$94:$H$193,3,FALSE),"")</f>
        <v/>
      </c>
      <c r="AE23" s="121" t="str">
        <f>IFERROR($N23+VLOOKUP($L23,'Voyage days'!$F$94:$H$193,3,FALSE),"")</f>
        <v/>
      </c>
      <c r="AF23" s="120" t="str">
        <f t="shared" si="17"/>
        <v>27-28 Jul</v>
      </c>
      <c r="AG23" s="121">
        <f>IFERROR($M23+VLOOKUP($L23,'Voyage days'!$F$203:$H$256,3,FALSE),"")</f>
        <v>45865</v>
      </c>
      <c r="AH23" s="121">
        <f>IFERROR($N23+VLOOKUP($L23,'Voyage days'!$F$203:$H$256,3,FALSE),"")</f>
        <v>45866</v>
      </c>
      <c r="AI23" s="120" t="str">
        <f t="shared" si="18"/>
        <v>14-15 Jul</v>
      </c>
      <c r="AJ23" s="121">
        <f>IFERROR($M23+VLOOKUP($L23,'Voyage days'!$F$294:$H$377,3,FALSE),"")</f>
        <v>45852</v>
      </c>
      <c r="AK23" s="121">
        <f>IFERROR($N23+VLOOKUP($L23,'Voyage days'!$F$294:$H$377,3,FALSE),"")</f>
        <v>45853</v>
      </c>
      <c r="AL23" s="120" t="str">
        <f t="shared" si="19"/>
        <v>08-09 Jul</v>
      </c>
      <c r="AM23" s="121">
        <f>IFERROR($M23+VLOOKUP($L23,'Voyage days'!$F$382:$H$446,3,FALSE),"")</f>
        <v>45846</v>
      </c>
      <c r="AN23" s="121">
        <f>IFERROR($N23+VLOOKUP($L23,'Voyage days'!$F$382:$H$446,3,FALSE),"")</f>
        <v>45847</v>
      </c>
      <c r="AO23" s="120" t="str">
        <f t="shared" si="20"/>
        <v/>
      </c>
      <c r="AP23" s="121" t="str">
        <f>IFERROR($M23+VLOOKUP($L23,'Voyage days'!$F$483:$H$538,3,FALSE),"")</f>
        <v/>
      </c>
      <c r="AQ23" s="121" t="str">
        <f>IFERROR($N23+VLOOKUP($L23,'Voyage days'!$F$483:$H$538,3,FALSE),"")</f>
        <v/>
      </c>
      <c r="AR23" s="120" t="str">
        <f t="shared" si="21"/>
        <v/>
      </c>
      <c r="AS23" s="121" t="str">
        <f>IFERROR($M23+VLOOKUP($L23,'Voyage days'!$F$540:$H$613,3,FALSE),"")</f>
        <v/>
      </c>
      <c r="AT23" s="121" t="str">
        <f>IFERROR($N23+VLOOKUP($L23,'Voyage days'!$F$540:$H$613,3,FALSE),"")</f>
        <v/>
      </c>
      <c r="AU23" s="120" t="str">
        <f t="shared" si="22"/>
        <v/>
      </c>
      <c r="AV23" s="121" t="str">
        <f>IFERROR($M23+VLOOKUP($L23,'Voyage days'!$L$483:$N$535,3,FALSE),"")</f>
        <v/>
      </c>
      <c r="AW23" s="121" t="str">
        <f>IFERROR($N23+VLOOKUP($L23,'Voyage days'!$L$483:$N$535,3,FALSE),"")</f>
        <v/>
      </c>
      <c r="AX23" s="120" t="str">
        <f t="shared" si="23"/>
        <v/>
      </c>
      <c r="AY23" s="122" t="str">
        <f>IFERROR($M23+VLOOKUP($L23,'Voyage days'!$F$620:$H$646,3,FALSE),"")</f>
        <v/>
      </c>
      <c r="AZ23" s="122" t="str">
        <f>IFERROR($N23+VLOOKUP($L23,'Voyage days'!$F$620:$H$646,3,FALSE),"")</f>
        <v/>
      </c>
      <c r="BA23" s="120" t="str">
        <f t="shared" si="24"/>
        <v/>
      </c>
      <c r="BB23" s="123" t="str">
        <f>IFERROR($M23+VLOOKUP($L23,'Voyage days'!$F$702:$H$727,3,FALSE),"")</f>
        <v/>
      </c>
      <c r="BC23" s="120" t="str">
        <f t="shared" si="25"/>
        <v>30-31 Jul</v>
      </c>
      <c r="BD23" s="122">
        <f>IFERROR($M23+VLOOKUP($L23,'Voyage days'!$F$807:$H$878,3,FALSE),"")</f>
        <v>45868</v>
      </c>
      <c r="BE23" s="122">
        <f>IFERROR($N23+VLOOKUP($L23,'Voyage days'!$F$807:$H$878,3,FALSE),"")</f>
        <v>45869</v>
      </c>
      <c r="BF23" s="609"/>
      <c r="BG23" s="609"/>
      <c r="BH23" s="609"/>
      <c r="BI23" s="609"/>
      <c r="BJ23" s="609"/>
      <c r="BK23" s="609"/>
      <c r="BL23" s="609"/>
      <c r="BM23" s="609"/>
    </row>
    <row r="24">
      <c r="A24" s="1016" t="s">
        <v>457</v>
      </c>
      <c r="B24" s="1002">
        <v>37135.0</v>
      </c>
      <c r="C24" s="25">
        <v>81960.0</v>
      </c>
      <c r="D24" s="603" t="s">
        <v>1190</v>
      </c>
      <c r="E24" s="103" t="s">
        <v>666</v>
      </c>
      <c r="F24" s="604"/>
      <c r="G24" s="605">
        <v>46539.0</v>
      </c>
      <c r="H24" s="111"/>
      <c r="I24" s="603" t="s">
        <v>1190</v>
      </c>
      <c r="J24" s="111"/>
      <c r="K24" s="336" t="str">
        <f t="shared" si="1"/>
        <v>Update</v>
      </c>
      <c r="L24" s="108" t="s">
        <v>1031</v>
      </c>
      <c r="M24" s="109">
        <v>45834.0</v>
      </c>
      <c r="N24" s="109">
        <v>45835.0</v>
      </c>
      <c r="O24" s="110"/>
      <c r="P24" s="108"/>
      <c r="Q24" s="185"/>
      <c r="R24" s="108" t="s">
        <v>2948</v>
      </c>
      <c r="S24" s="112" t="s">
        <v>33</v>
      </c>
      <c r="T24" s="113">
        <v>45833.0</v>
      </c>
      <c r="U24" s="114" t="str">
        <f>IF(V24="","No AIS",VLOOKUP(V24,'Voyage days'!$A$3:$B$1480,2,FALSE))</f>
        <v>AG</v>
      </c>
      <c r="V24" s="115" t="str">
        <f>IF(VLOOKUP(A24,'1) Kpler'!$E$2:$P$1000,8, FALSE)="","",VLOOKUP(A24,'1) Kpler'!$E$2:$P$1000,8, FALSE))</f>
        <v>Oman</v>
      </c>
      <c r="W24" s="116">
        <f>IF(VLOOKUP(A24,'1) Kpler'!$E$2:$P$1000,9,FALSE)="","",VLOOKUP(A24,'1) Kpler'!$E$2:$P$1000,9,FALSE))</f>
        <v>46133.375</v>
      </c>
      <c r="X24" s="115" t="str">
        <f>VLOOKUP(A24,'1) Kpler'!$E$2:$I$1000,4,FALSE)</f>
        <v>ballast</v>
      </c>
      <c r="Y24" s="117" t="str">
        <f t="shared" si="14"/>
        <v>26-27 Jun</v>
      </c>
      <c r="Z24" s="120" t="str">
        <f t="shared" si="15"/>
        <v>26-27 Jun</v>
      </c>
      <c r="AA24" s="121">
        <f>IFERROR($M24+VLOOKUP($L24,'Voyage days'!$F$38:$H$89,3,FALSE),"")</f>
        <v>45834</v>
      </c>
      <c r="AB24" s="121">
        <f>IFERROR(N24+VLOOKUP($L24,'Voyage days'!$F$38:$H$89,3,FALSE),"")</f>
        <v>45835</v>
      </c>
      <c r="AC24" s="120" t="str">
        <f t="shared" si="16"/>
        <v/>
      </c>
      <c r="AD24" s="121" t="str">
        <f>IFERROR($M24+VLOOKUP($L24,'Voyage days'!$F$94:$H$193,3,FALSE),"")</f>
        <v/>
      </c>
      <c r="AE24" s="121" t="str">
        <f>IFERROR($N24+VLOOKUP($L24,'Voyage days'!$F$94:$H$193,3,FALSE),"")</f>
        <v/>
      </c>
      <c r="AF24" s="120" t="str">
        <f t="shared" si="17"/>
        <v/>
      </c>
      <c r="AG24" s="121" t="str">
        <f>IFERROR($M24+VLOOKUP($L24,'Voyage days'!$F$203:$H$256,3,FALSE),"")</f>
        <v/>
      </c>
      <c r="AH24" s="121" t="str">
        <f>IFERROR($N24+VLOOKUP($L24,'Voyage days'!$F$203:$H$256,3,FALSE),"")</f>
        <v/>
      </c>
      <c r="AI24" s="120" t="str">
        <f t="shared" si="18"/>
        <v/>
      </c>
      <c r="AJ24" s="121" t="str">
        <f>IFERROR($M24+VLOOKUP($L24,'Voyage days'!$F$294:$H$377,3,FALSE),"")</f>
        <v/>
      </c>
      <c r="AK24" s="121" t="str">
        <f>IFERROR($N24+VLOOKUP($L24,'Voyage days'!$F$294:$H$377,3,FALSE),"")</f>
        <v/>
      </c>
      <c r="AL24" s="120" t="str">
        <f t="shared" si="19"/>
        <v/>
      </c>
      <c r="AM24" s="121" t="str">
        <f>IFERROR($M24+VLOOKUP($L24,'Voyage days'!$F$382:$H$446,3,FALSE),"")</f>
        <v/>
      </c>
      <c r="AN24" s="121" t="str">
        <f>IFERROR($N24+VLOOKUP($L24,'Voyage days'!$F$382:$H$446,3,FALSE),"")</f>
        <v/>
      </c>
      <c r="AO24" s="120" t="str">
        <f t="shared" si="20"/>
        <v/>
      </c>
      <c r="AP24" s="121" t="str">
        <f>IFERROR($M24+VLOOKUP($L24,'Voyage days'!$F$483:$H$538,3,FALSE),"")</f>
        <v/>
      </c>
      <c r="AQ24" s="121" t="str">
        <f>IFERROR($N24+VLOOKUP($L24,'Voyage days'!$F$483:$H$538,3,FALSE),"")</f>
        <v/>
      </c>
      <c r="AR24" s="120" t="str">
        <f t="shared" si="21"/>
        <v>15-16 Jul</v>
      </c>
      <c r="AS24" s="121">
        <f>IFERROR($M24+VLOOKUP($L24,'Voyage days'!$F$540:$H$613,3,FALSE),"")</f>
        <v>45853</v>
      </c>
      <c r="AT24" s="121">
        <f>IFERROR($N24+VLOOKUP($L24,'Voyage days'!$F$540:$H$613,3,FALSE),"")</f>
        <v>45854</v>
      </c>
      <c r="AU24" s="120" t="str">
        <f t="shared" si="22"/>
        <v/>
      </c>
      <c r="AV24" s="121" t="str">
        <f>IFERROR($M24+VLOOKUP($L24,'Voyage days'!$L$483:$N$535,3,FALSE),"")</f>
        <v/>
      </c>
      <c r="AW24" s="121" t="str">
        <f>IFERROR($N24+VLOOKUP($L24,'Voyage days'!$L$483:$N$535,3,FALSE),"")</f>
        <v/>
      </c>
      <c r="AX24" s="120" t="str">
        <f t="shared" si="23"/>
        <v/>
      </c>
      <c r="AY24" s="122" t="str">
        <f>IFERROR($M24+VLOOKUP($L24,'Voyage days'!$F$620:$H$646,3,FALSE),"")</f>
        <v/>
      </c>
      <c r="AZ24" s="122" t="str">
        <f>IFERROR($N24+VLOOKUP($L24,'Voyage days'!$F$620:$H$646,3,FALSE),"")</f>
        <v/>
      </c>
      <c r="BA24" s="120" t="str">
        <f t="shared" si="24"/>
        <v/>
      </c>
      <c r="BB24" s="123" t="str">
        <f>IFERROR($M24+VLOOKUP($L24,'Voyage days'!$F$702:$H$727,3,FALSE),"")</f>
        <v/>
      </c>
      <c r="BC24" s="120" t="str">
        <f t="shared" si="25"/>
        <v>26-27 Jun</v>
      </c>
      <c r="BD24" s="122">
        <f>IFERROR($M24+VLOOKUP($L24,'Voyage days'!$F$807:$H$878,3,FALSE),"")</f>
        <v>45834</v>
      </c>
      <c r="BE24" s="122">
        <f>IFERROR($N24+VLOOKUP($L24,'Voyage days'!$F$807:$H$878,3,FALSE),"")</f>
        <v>45835</v>
      </c>
      <c r="BF24" s="609"/>
      <c r="BG24" s="609"/>
      <c r="BH24" s="609"/>
      <c r="BI24" s="609"/>
      <c r="BJ24" s="609"/>
      <c r="BK24" s="609"/>
      <c r="BL24" s="609"/>
      <c r="BM24" s="609"/>
    </row>
    <row r="25" ht="15.75" customHeight="1">
      <c r="A25" s="606" t="s">
        <v>466</v>
      </c>
      <c r="B25" s="1002">
        <v>38869.0</v>
      </c>
      <c r="C25" s="25">
        <v>83000.0</v>
      </c>
      <c r="D25" s="603" t="s">
        <v>1190</v>
      </c>
      <c r="E25" s="103" t="s">
        <v>666</v>
      </c>
      <c r="F25" s="604"/>
      <c r="G25" s="605">
        <v>45839.0</v>
      </c>
      <c r="H25" s="103"/>
      <c r="I25" s="603" t="s">
        <v>1190</v>
      </c>
      <c r="J25" s="185"/>
      <c r="K25" s="336" t="str">
        <f t="shared" si="1"/>
        <v>Update</v>
      </c>
      <c r="L25" s="108" t="s">
        <v>1231</v>
      </c>
      <c r="M25" s="109">
        <v>45833.0</v>
      </c>
      <c r="N25" s="109">
        <v>45834.0</v>
      </c>
      <c r="O25" s="110"/>
      <c r="P25" s="185"/>
      <c r="Q25" s="185"/>
      <c r="R25" s="108" t="s">
        <v>2949</v>
      </c>
      <c r="S25" s="112" t="s">
        <v>33</v>
      </c>
      <c r="T25" s="113">
        <v>45833.0</v>
      </c>
      <c r="U25" s="114" t="str">
        <f>IF(V25="","No AIS",VLOOKUP(V25,'Voyage days'!$A$3:$B$1480,2,FALSE))</f>
        <v>Indo + 4</v>
      </c>
      <c r="V25" s="115" t="str">
        <f>IF(VLOOKUP(A25,'1) Kpler'!$E$2:$P$1000,8, FALSE)="","",VLOOKUP(A25,'1) Kpler'!$E$2:$P$1000,8, FALSE))</f>
        <v>Oiltank. Merak</v>
      </c>
      <c r="W25" s="116">
        <f>IF(VLOOKUP(A25,'1) Kpler'!$E$2:$P$1000,9,FALSE)="","",VLOOKUP(A25,'1) Kpler'!$E$2:$P$1000,9,FALSE))</f>
        <v>46144.8125</v>
      </c>
      <c r="X25" s="115" t="str">
        <f>VLOOKUP(A25,'1) Kpler'!$E$2:$I$1000,4,FALSE)</f>
        <v>loaded</v>
      </c>
      <c r="Y25" s="160" t="str">
        <f t="shared" si="14"/>
        <v>04-05 Jul</v>
      </c>
      <c r="Z25" s="120" t="str">
        <f t="shared" si="15"/>
        <v>04-05 Jul</v>
      </c>
      <c r="AA25" s="121">
        <f>IFERROR($M25+VLOOKUP($L25,'Voyage days'!$F$38:$H$89,3,FALSE),"")</f>
        <v>45842</v>
      </c>
      <c r="AB25" s="121">
        <f>IFERROR(N25+VLOOKUP($L25,'Voyage days'!$F$38:$H$89,3,FALSE),"")</f>
        <v>45843</v>
      </c>
      <c r="AC25" s="120" t="str">
        <f t="shared" si="16"/>
        <v/>
      </c>
      <c r="AD25" s="121" t="str">
        <f>IFERROR($M25+VLOOKUP($L25,'Voyage days'!$F$94:$H$193,3,FALSE),"")</f>
        <v/>
      </c>
      <c r="AE25" s="121" t="str">
        <f>IFERROR($N25+VLOOKUP($L25,'Voyage days'!$F$94:$H$193,3,FALSE),"")</f>
        <v/>
      </c>
      <c r="AF25" s="120" t="str">
        <f t="shared" si="17"/>
        <v>31-01 Aug</v>
      </c>
      <c r="AG25" s="121">
        <f>IFERROR($M25+VLOOKUP($L25,'Voyage days'!$F$203:$H$256,3,FALSE),"")</f>
        <v>45869</v>
      </c>
      <c r="AH25" s="121">
        <f>IFERROR($N25+VLOOKUP($L25,'Voyage days'!$F$203:$H$256,3,FALSE),"")</f>
        <v>45870</v>
      </c>
      <c r="AI25" s="120" t="str">
        <f t="shared" si="18"/>
        <v>16-17 Jul</v>
      </c>
      <c r="AJ25" s="121">
        <f>IFERROR($M25+VLOOKUP($L25,'Voyage days'!$F$294:$H$377,3,FALSE),"")</f>
        <v>45854</v>
      </c>
      <c r="AK25" s="121">
        <f>IFERROR($N25+VLOOKUP($L25,'Voyage days'!$F$294:$H$377,3,FALSE),"")</f>
        <v>45855</v>
      </c>
      <c r="AL25" s="120" t="str">
        <f t="shared" si="19"/>
        <v>23-24 Jul</v>
      </c>
      <c r="AM25" s="121">
        <f>IFERROR($M25+VLOOKUP($L25,'Voyage days'!$F$382:$H$446,3,FALSE),"")</f>
        <v>45861</v>
      </c>
      <c r="AN25" s="121">
        <f>IFERROR($N25+VLOOKUP($L25,'Voyage days'!$F$382:$H$446,3,FALSE),"")</f>
        <v>45862</v>
      </c>
      <c r="AO25" s="120" t="str">
        <f t="shared" si="20"/>
        <v>25-26 Jun</v>
      </c>
      <c r="AP25" s="121">
        <f>IFERROR($M25+VLOOKUP($L25,'Voyage days'!$F$483:$H$538,3,FALSE),"")</f>
        <v>45833</v>
      </c>
      <c r="AQ25" s="121">
        <f>IFERROR($N25+VLOOKUP($L25,'Voyage days'!$F$483:$H$538,3,FALSE),"")</f>
        <v>45834</v>
      </c>
      <c r="AR25" s="120" t="str">
        <f t="shared" si="21"/>
        <v/>
      </c>
      <c r="AS25" s="121" t="str">
        <f>IFERROR($M25+VLOOKUP($L25,'Voyage days'!$F$540:$H$613,3,FALSE),"")</f>
        <v/>
      </c>
      <c r="AT25" s="121" t="str">
        <f>IFERROR($N25+VLOOKUP($L25,'Voyage days'!$F$540:$H$613,3,FALSE),"")</f>
        <v/>
      </c>
      <c r="AU25" s="120" t="str">
        <f t="shared" si="22"/>
        <v/>
      </c>
      <c r="AV25" s="121" t="str">
        <f>IFERROR($M25+VLOOKUP($L25,'Voyage days'!$L$483:$N$535,3,FALSE),"")</f>
        <v/>
      </c>
      <c r="AW25" s="121" t="str">
        <f>IFERROR($N25+VLOOKUP($L25,'Voyage days'!$L$483:$N$535,3,FALSE),"")</f>
        <v/>
      </c>
      <c r="AX25" s="120" t="str">
        <f t="shared" si="23"/>
        <v/>
      </c>
      <c r="AY25" s="122" t="str">
        <f>IFERROR($M25+VLOOKUP($L25,'Voyage days'!$F$620:$H$646,3,FALSE),"")</f>
        <v/>
      </c>
      <c r="AZ25" s="122" t="str">
        <f>IFERROR($N25+VLOOKUP($L25,'Voyage days'!$F$620:$H$646,3,FALSE),"")</f>
        <v/>
      </c>
      <c r="BA25" s="120" t="str">
        <f t="shared" si="24"/>
        <v/>
      </c>
      <c r="BB25" s="123" t="str">
        <f>IFERROR($M25+VLOOKUP($L25,'Voyage days'!$F$702:$H$727,3,FALSE),"")</f>
        <v/>
      </c>
      <c r="BC25" s="120" t="str">
        <f t="shared" si="25"/>
        <v>02-03 Aug</v>
      </c>
      <c r="BD25" s="122">
        <f>IFERROR($M25+VLOOKUP($L25,'Voyage days'!$F$807:$H$878,3,FALSE),"")</f>
        <v>45871</v>
      </c>
      <c r="BE25" s="122">
        <f>IFERROR($N25+VLOOKUP($L25,'Voyage days'!$F$807:$H$878,3,FALSE),"")</f>
        <v>45872</v>
      </c>
      <c r="BF25" s="609"/>
      <c r="BG25" s="609"/>
      <c r="BH25" s="609"/>
      <c r="BI25" s="609"/>
      <c r="BJ25" s="609"/>
      <c r="BK25" s="609"/>
      <c r="BL25" s="609"/>
      <c r="BM25" s="609"/>
    </row>
    <row r="27">
      <c r="A27" s="1016" t="s">
        <v>516</v>
      </c>
      <c r="B27" s="1002">
        <v>39437.0</v>
      </c>
      <c r="C27" s="25">
        <v>80000.0</v>
      </c>
      <c r="D27" s="603" t="s">
        <v>1190</v>
      </c>
      <c r="E27" s="103" t="s">
        <v>689</v>
      </c>
      <c r="F27" s="604"/>
      <c r="G27" s="605" t="s">
        <v>1611</v>
      </c>
      <c r="H27" s="103"/>
      <c r="I27" s="603" t="s">
        <v>1190</v>
      </c>
      <c r="J27" s="185" t="s">
        <v>2935</v>
      </c>
      <c r="K27" s="336" t="str">
        <f t="shared" ref="K27:K28" si="26">IF(W27="","NO AIS",IF((W27-M27-1)&gt;0,"Update",""))</f>
        <v>Update</v>
      </c>
      <c r="L27" s="108" t="s">
        <v>1231</v>
      </c>
      <c r="M27" s="109">
        <v>45841.0</v>
      </c>
      <c r="N27" s="109">
        <v>45843.0</v>
      </c>
      <c r="O27" s="110"/>
      <c r="P27" s="185"/>
      <c r="Q27" s="185"/>
      <c r="R27" s="108" t="s">
        <v>2950</v>
      </c>
      <c r="S27" s="112" t="s">
        <v>33</v>
      </c>
      <c r="T27" s="113">
        <v>45833.0</v>
      </c>
      <c r="U27" s="114" t="str">
        <f>IF(V27="","No AIS",VLOOKUP(V27,'Voyage days'!$A$3:$B$1480,2,FALSE))</f>
        <v>#N/A</v>
      </c>
      <c r="V27" s="115" t="str">
        <f>IF(VLOOKUP(A27,'1) Kpler'!$E$2:$P$1000,8, FALSE)="","",VLOOKUP(A27,'1) Kpler'!$E$2:$P$1000,8, FALSE))</f>
        <v>Porbandar</v>
      </c>
      <c r="W27" s="116">
        <f>IF(VLOOKUP(A27,'1) Kpler'!$E$2:$P$1000,9,FALSE)="","",VLOOKUP(A27,'1) Kpler'!$E$2:$P$1000,9,FALSE))</f>
        <v>46133.625</v>
      </c>
      <c r="X27" s="115" t="str">
        <f>VLOOKUP(A27,'1) Kpler'!$E$2:$I$1000,4,FALSE)</f>
        <v>ballast</v>
      </c>
      <c r="Y27" s="160" t="str">
        <f t="shared" ref="Y27:Y28" si="27">Z27</f>
        <v>12-14 Jul</v>
      </c>
      <c r="Z27" s="120" t="str">
        <f t="shared" ref="Z27:Z28" si="28">IF(AA27="","",TEXT(AA27,"dd")&amp;"-"&amp;TEXT(AB27,"dd mmm"))</f>
        <v>12-14 Jul</v>
      </c>
      <c r="AA27" s="121">
        <f>IFERROR($M27+VLOOKUP($L27,'Voyage days'!$F$38:$H$89,3,FALSE),"")</f>
        <v>45850</v>
      </c>
      <c r="AB27" s="121">
        <f>IFERROR(N27+VLOOKUP($L27,'Voyage days'!$F$38:$H$89,3,FALSE),"")</f>
        <v>45852</v>
      </c>
      <c r="AC27" s="120" t="str">
        <f t="shared" ref="AC27:AC28" si="29">IF(AD27="","",TEXT(AD27,"dd")&amp;"-"&amp;TEXT(AE27,"dd mmm"))</f>
        <v/>
      </c>
      <c r="AD27" s="121" t="str">
        <f>IFERROR($M27+VLOOKUP($L27,'Voyage days'!$F$94:$H$193,3,FALSE),"")</f>
        <v/>
      </c>
      <c r="AE27" s="121" t="str">
        <f>IFERROR($N27+VLOOKUP($L27,'Voyage days'!$F$94:$H$193,3,FALSE),"")</f>
        <v/>
      </c>
      <c r="AF27" s="120" t="str">
        <f t="shared" ref="AF27:AF28" si="30">IF(AG27="","",TEXT(AG27,"dd")&amp;"-"&amp;TEXT(AH27,"dd mmm"))</f>
        <v>08-10 Aug</v>
      </c>
      <c r="AG27" s="121">
        <f>IFERROR($M27+VLOOKUP($L27,'Voyage days'!$F$203:$H$256,3,FALSE),"")</f>
        <v>45877</v>
      </c>
      <c r="AH27" s="121">
        <f>IFERROR($N27+VLOOKUP($L27,'Voyage days'!$F$203:$H$256,3,FALSE),"")</f>
        <v>45879</v>
      </c>
      <c r="AI27" s="120" t="str">
        <f t="shared" ref="AI27:AI28" si="31">IF(AJ27="","",TEXT(AJ27,"dd")&amp;"-"&amp;TEXT(AK27,"dd mmm"))</f>
        <v>24-26 Jul</v>
      </c>
      <c r="AJ27" s="121">
        <f>IFERROR($M27+VLOOKUP($L27,'Voyage days'!$F$294:$H$377,3,FALSE),"")</f>
        <v>45862</v>
      </c>
      <c r="AK27" s="121">
        <f>IFERROR($N27+VLOOKUP($L27,'Voyage days'!$F$294:$H$377,3,FALSE),"")</f>
        <v>45864</v>
      </c>
      <c r="AL27" s="120" t="str">
        <f t="shared" ref="AL27:AL28" si="32">IF(AM27="","",TEXT(AM27,"dd")&amp;"-"&amp;TEXT(AN27,"dd mmm"))</f>
        <v>31-02 Aug</v>
      </c>
      <c r="AM27" s="121">
        <f>IFERROR($M27+VLOOKUP($L27,'Voyage days'!$F$382:$H$446,3,FALSE),"")</f>
        <v>45869</v>
      </c>
      <c r="AN27" s="121">
        <f>IFERROR($N27+VLOOKUP($L27,'Voyage days'!$F$382:$H$446,3,FALSE),"")</f>
        <v>45871</v>
      </c>
      <c r="AO27" s="120" t="str">
        <f t="shared" ref="AO27:AO28" si="33">IF(AP27="","",TEXT(AP27,"dd")&amp;"-"&amp;TEXT(AQ27,"dd mmm"))</f>
        <v>03-05 Jul</v>
      </c>
      <c r="AP27" s="121">
        <f>IFERROR($M27+VLOOKUP($L27,'Voyage days'!$F$483:$H$538,3,FALSE),"")</f>
        <v>45841</v>
      </c>
      <c r="AQ27" s="121">
        <f>IFERROR($N27+VLOOKUP($L27,'Voyage days'!$F$483:$H$538,3,FALSE),"")</f>
        <v>45843</v>
      </c>
      <c r="AR27" s="120" t="str">
        <f t="shared" ref="AR27:AR28" si="34">IF(AS27="","",TEXT(AS27,"dd")&amp;"-"&amp;TEXT(AT27,"dd mmm"))</f>
        <v/>
      </c>
      <c r="AS27" s="121" t="str">
        <f>IFERROR($M27+VLOOKUP($L27,'Voyage days'!$F$540:$H$613,3,FALSE),"")</f>
        <v/>
      </c>
      <c r="AT27" s="121" t="str">
        <f>IFERROR($N27+VLOOKUP($L27,'Voyage days'!$F$540:$H$613,3,FALSE),"")</f>
        <v/>
      </c>
      <c r="AU27" s="120" t="str">
        <f t="shared" ref="AU27:AU28" si="35">IF(AV27="","",TEXT(AV27,"dd")&amp;"-"&amp;TEXT(AW27,"dd mmm"))</f>
        <v/>
      </c>
      <c r="AV27" s="121" t="str">
        <f>IFERROR($M27+VLOOKUP($L27,'Voyage days'!$L$483:$N$535,3,FALSE),"")</f>
        <v/>
      </c>
      <c r="AW27" s="121" t="str">
        <f>IFERROR($N27+VLOOKUP($L27,'Voyage days'!$L$483:$N$535,3,FALSE),"")</f>
        <v/>
      </c>
      <c r="AX27" s="120" t="str">
        <f t="shared" ref="AX27:AX28" si="36">IF(AY27="","",TEXT(AY27,"dd")&amp;"-"&amp;TEXT(AZ27,"dd mmm"))</f>
        <v/>
      </c>
      <c r="AY27" s="122" t="str">
        <f>IFERROR($M27+VLOOKUP($L27,'Voyage days'!$F$620:$H$646,3,FALSE),"")</f>
        <v/>
      </c>
      <c r="AZ27" s="122" t="str">
        <f>IFERROR($N27+VLOOKUP($L27,'Voyage days'!$F$620:$H$646,3,FALSE),"")</f>
        <v/>
      </c>
      <c r="BA27" s="120" t="str">
        <f t="shared" ref="BA27:BA28" si="37">IF(BB27="","",TEXT(BB27,"dd")&amp;"-"&amp;TEXT(BE27,"dd mmm"))</f>
        <v/>
      </c>
      <c r="BB27" s="123" t="str">
        <f>IFERROR($M27+VLOOKUP($L27,'Voyage days'!$F$702:$H$727,3,FALSE),"")</f>
        <v/>
      </c>
      <c r="BC27" s="120" t="str">
        <f t="shared" ref="BC27:BC28" si="38">IF(BD27="","",TEXT(BD27,"dd")&amp;"-"&amp;TEXT(BE27,"dd mmm"))</f>
        <v>10-12 Aug</v>
      </c>
      <c r="BD27" s="122">
        <f>IFERROR($M27+VLOOKUP($L27,'Voyage days'!$F$807:$H$878,3,FALSE),"")</f>
        <v>45879</v>
      </c>
      <c r="BE27" s="122">
        <f>IFERROR($N27+VLOOKUP($L27,'Voyage days'!$F$807:$H$878,3,FALSE),"")</f>
        <v>45881</v>
      </c>
      <c r="BF27" s="609"/>
      <c r="BG27" s="609"/>
      <c r="BH27" s="609"/>
      <c r="BI27" s="609"/>
      <c r="BJ27" s="609"/>
      <c r="BK27" s="609"/>
      <c r="BL27" s="609"/>
      <c r="BM27" s="609"/>
    </row>
    <row r="28">
      <c r="A28" s="1016" t="s">
        <v>527</v>
      </c>
      <c r="B28" s="1040">
        <v>2008.0</v>
      </c>
      <c r="C28" s="25">
        <v>84597.0</v>
      </c>
      <c r="D28" s="603" t="s">
        <v>1687</v>
      </c>
      <c r="E28" s="103" t="s">
        <v>689</v>
      </c>
      <c r="F28" s="604"/>
      <c r="G28" s="1017">
        <v>46235.0</v>
      </c>
      <c r="H28" s="103"/>
      <c r="I28" s="603" t="s">
        <v>1190</v>
      </c>
      <c r="J28" s="185"/>
      <c r="K28" s="336" t="str">
        <f t="shared" si="26"/>
        <v>NO AIS</v>
      </c>
      <c r="L28" s="108" t="s">
        <v>211</v>
      </c>
      <c r="M28" s="109">
        <v>45834.0</v>
      </c>
      <c r="N28" s="109">
        <v>45836.0</v>
      </c>
      <c r="O28" s="110"/>
      <c r="P28" s="108" t="s">
        <v>2951</v>
      </c>
      <c r="Q28" s="185"/>
      <c r="R28" s="108" t="s">
        <v>2952</v>
      </c>
      <c r="S28" s="112" t="s">
        <v>33</v>
      </c>
      <c r="T28" s="113">
        <v>45833.0</v>
      </c>
      <c r="U28" s="114" t="str">
        <f>IF(V28="","No AIS",VLOOKUP(V28,'Voyage days'!$A$3:$B$1480,2,FALSE))</f>
        <v>No AIS</v>
      </c>
      <c r="V28" s="115" t="str">
        <f>IF(VLOOKUP(A28,'1) Kpler'!$E$2:$P$1000,8, FALSE)="","",VLOOKUP(A28,'1) Kpler'!$E$2:$P$1000,8, FALSE))</f>
        <v/>
      </c>
      <c r="W28" s="116" t="str">
        <f>IF(VLOOKUP(A28,'1) Kpler'!$E$2:$P$1000,9,FALSE)="","",VLOOKUP(A28,'1) Kpler'!$E$2:$P$1000,9,FALSE))</f>
        <v/>
      </c>
      <c r="X28" s="115" t="str">
        <f>VLOOKUP(A28,'1) Kpler'!$E$2:$I$1000,4,FALSE)</f>
        <v>floatingStorage</v>
      </c>
      <c r="Y28" s="160" t="str">
        <f t="shared" si="27"/>
        <v>01-03 Jul</v>
      </c>
      <c r="Z28" s="120" t="str">
        <f t="shared" si="28"/>
        <v>01-03 Jul</v>
      </c>
      <c r="AA28" s="121">
        <f>IFERROR($M28+VLOOKUP($L28,'Voyage days'!$F$38:$H$89,3,FALSE),"")</f>
        <v>45839</v>
      </c>
      <c r="AB28" s="121">
        <f>IFERROR(N28+VLOOKUP($L28,'Voyage days'!$F$38:$H$89,3,FALSE),"")</f>
        <v>45841</v>
      </c>
      <c r="AC28" s="120" t="str">
        <f t="shared" si="29"/>
        <v/>
      </c>
      <c r="AD28" s="121" t="str">
        <f>IFERROR($M28+VLOOKUP($L28,'Voyage days'!$F$94:$H$193,3,FALSE),"")</f>
        <v/>
      </c>
      <c r="AE28" s="121" t="str">
        <f>IFERROR($N28+VLOOKUP($L28,'Voyage days'!$F$94:$H$193,3,FALSE),"")</f>
        <v/>
      </c>
      <c r="AF28" s="120" t="str">
        <f t="shared" si="30"/>
        <v>27-29 Jul</v>
      </c>
      <c r="AG28" s="121">
        <f>IFERROR($M28+VLOOKUP($L28,'Voyage days'!$F$203:$H$256,3,FALSE),"")</f>
        <v>45865</v>
      </c>
      <c r="AH28" s="121">
        <f>IFERROR($N28+VLOOKUP($L28,'Voyage days'!$F$203:$H$256,3,FALSE),"")</f>
        <v>45867</v>
      </c>
      <c r="AI28" s="120" t="str">
        <f t="shared" si="31"/>
        <v>14-16 Jul</v>
      </c>
      <c r="AJ28" s="121">
        <f>IFERROR($M28+VLOOKUP($L28,'Voyage days'!$F$294:$H$377,3,FALSE),"")</f>
        <v>45852</v>
      </c>
      <c r="AK28" s="121">
        <f>IFERROR($N28+VLOOKUP($L28,'Voyage days'!$F$294:$H$377,3,FALSE),"")</f>
        <v>45854</v>
      </c>
      <c r="AL28" s="120" t="str">
        <f t="shared" si="32"/>
        <v>22-24 Jul</v>
      </c>
      <c r="AM28" s="121">
        <f>IFERROR($M28+VLOOKUP($L28,'Voyage days'!$F$382:$H$446,3,FALSE),"")</f>
        <v>45860</v>
      </c>
      <c r="AN28" s="121">
        <f>IFERROR($N28+VLOOKUP($L28,'Voyage days'!$F$382:$H$446,3,FALSE),"")</f>
        <v>45862</v>
      </c>
      <c r="AO28" s="120" t="str">
        <f t="shared" si="33"/>
        <v/>
      </c>
      <c r="AP28" s="121" t="str">
        <f>IFERROR($M28+VLOOKUP($L28,'Voyage days'!$F$483:$H$538,3,FALSE),"")</f>
        <v/>
      </c>
      <c r="AQ28" s="121" t="str">
        <f>IFERROR($N28+VLOOKUP($L28,'Voyage days'!$F$483:$H$538,3,FALSE),"")</f>
        <v/>
      </c>
      <c r="AR28" s="120" t="str">
        <f t="shared" si="34"/>
        <v/>
      </c>
      <c r="AS28" s="121" t="str">
        <f>IFERROR($M28+VLOOKUP($L28,'Voyage days'!$F$540:$H$613,3,FALSE),"")</f>
        <v/>
      </c>
      <c r="AT28" s="121" t="str">
        <f>IFERROR($N28+VLOOKUP($L28,'Voyage days'!$F$540:$H$613,3,FALSE),"")</f>
        <v/>
      </c>
      <c r="AU28" s="120" t="str">
        <f t="shared" si="35"/>
        <v/>
      </c>
      <c r="AV28" s="121" t="str">
        <f>IFERROR($M28+VLOOKUP($L28,'Voyage days'!$L$483:$N$535,3,FALSE),"")</f>
        <v/>
      </c>
      <c r="AW28" s="121" t="str">
        <f>IFERROR($N28+VLOOKUP($L28,'Voyage days'!$L$483:$N$535,3,FALSE),"")</f>
        <v/>
      </c>
      <c r="AX28" s="120" t="str">
        <f t="shared" si="36"/>
        <v/>
      </c>
      <c r="AY28" s="122" t="str">
        <f>IFERROR($M28+VLOOKUP($L28,'Voyage days'!$F$620:$H$646,3,FALSE),"")</f>
        <v/>
      </c>
      <c r="AZ28" s="122" t="str">
        <f>IFERROR($N28+VLOOKUP($L28,'Voyage days'!$F$620:$H$646,3,FALSE),"")</f>
        <v/>
      </c>
      <c r="BA28" s="120" t="str">
        <f t="shared" si="37"/>
        <v/>
      </c>
      <c r="BB28" s="123" t="str">
        <f>IFERROR($M28+VLOOKUP($L28,'Voyage days'!$F$702:$H$727,3,FALSE),"")</f>
        <v/>
      </c>
      <c r="BC28" s="120" t="str">
        <f t="shared" si="38"/>
        <v>08-10 Aug</v>
      </c>
      <c r="BD28" s="122">
        <f>IFERROR($M28+VLOOKUP($L28,'Voyage days'!$F$807:$H$878,3,FALSE),"")</f>
        <v>45877</v>
      </c>
      <c r="BE28" s="122">
        <f>IFERROR($N28+VLOOKUP($L28,'Voyage days'!$F$807:$H$878,3,FALSE),"")</f>
        <v>45879</v>
      </c>
      <c r="BF28" s="609"/>
      <c r="BG28" s="609"/>
      <c r="BH28" s="609"/>
      <c r="BI28" s="609"/>
      <c r="BJ28" s="609"/>
      <c r="BK28" s="609"/>
      <c r="BL28" s="609"/>
      <c r="BM28" s="609"/>
    </row>
    <row r="29" ht="15.75" customHeight="1">
      <c r="A29" s="342" t="s">
        <v>369</v>
      </c>
      <c r="B29" s="1002"/>
      <c r="C29" s="1041">
        <v>80200.0</v>
      </c>
      <c r="D29" s="1042" t="s">
        <v>1190</v>
      </c>
      <c r="E29" s="148"/>
      <c r="F29" s="341"/>
      <c r="G29" s="1043">
        <v>45839.0</v>
      </c>
      <c r="H29" s="341"/>
      <c r="I29" s="342" t="s">
        <v>2953</v>
      </c>
      <c r="J29" s="341"/>
      <c r="K29" s="148"/>
      <c r="L29" s="341"/>
      <c r="M29" s="341"/>
      <c r="N29" s="341"/>
      <c r="O29" s="341"/>
      <c r="P29" s="341"/>
      <c r="Q29" s="341"/>
      <c r="R29" s="341"/>
      <c r="S29" s="341"/>
      <c r="T29" s="341"/>
      <c r="U29" s="341"/>
      <c r="V29" s="341"/>
      <c r="W29" s="724"/>
      <c r="X29" s="452"/>
      <c r="Y29" s="341"/>
      <c r="Z29" s="341"/>
      <c r="AA29" s="341"/>
      <c r="AB29" s="341"/>
      <c r="AC29" s="341"/>
      <c r="AD29" s="341"/>
      <c r="AE29" s="341"/>
      <c r="AF29" s="148"/>
      <c r="AG29" s="341"/>
      <c r="AH29" s="341"/>
      <c r="AI29" s="341"/>
      <c r="AJ29" s="341"/>
      <c r="AK29" s="341"/>
      <c r="AL29" s="341"/>
      <c r="AM29" s="341"/>
      <c r="AN29" s="341"/>
      <c r="AO29" s="341"/>
      <c r="AP29" s="341"/>
      <c r="AQ29" s="341"/>
      <c r="AR29" s="341"/>
      <c r="AS29" s="341"/>
      <c r="AT29" s="341"/>
      <c r="AU29" s="341"/>
      <c r="AV29" s="341"/>
      <c r="AW29" s="341"/>
      <c r="AX29" s="341"/>
      <c r="AY29" s="341"/>
      <c r="AZ29" s="147"/>
      <c r="BA29" s="147"/>
      <c r="BB29" s="606"/>
      <c r="BC29" s="341"/>
      <c r="BD29" s="341"/>
      <c r="BE29" s="147"/>
      <c r="BF29" s="606"/>
      <c r="BG29" s="606"/>
      <c r="BH29" s="606"/>
      <c r="BI29" s="606"/>
      <c r="BJ29" s="606"/>
      <c r="BK29" s="606"/>
      <c r="BL29" s="606"/>
      <c r="BM29" s="606"/>
    </row>
    <row r="30" ht="15.75" customHeight="1">
      <c r="A30" s="883" t="s">
        <v>521</v>
      </c>
      <c r="B30" s="1044">
        <v>39902.0</v>
      </c>
      <c r="C30" s="1045">
        <v>82452.0</v>
      </c>
      <c r="D30" s="514" t="s">
        <v>1687</v>
      </c>
      <c r="E30" s="1046"/>
      <c r="F30" s="1047"/>
      <c r="G30" s="1048"/>
      <c r="H30" s="709" t="str">
        <f>if(iserror(G30-today()&lt;100),"",if(G30-today()&lt;100,"TC ending!",""))</f>
        <v>TC ending!</v>
      </c>
      <c r="I30" s="1049" t="s">
        <v>2954</v>
      </c>
      <c r="J30" s="1050" t="str">
        <f>IF(W30="","NO AIS",IF((W30-M30-1)&gt;0,"Update",""))</f>
        <v>Update</v>
      </c>
      <c r="K30" s="152"/>
      <c r="L30" s="1049" t="s">
        <v>663</v>
      </c>
      <c r="M30" s="238">
        <v>45945.0</v>
      </c>
      <c r="N30" s="276">
        <v>45946.0</v>
      </c>
      <c r="O30" s="1051"/>
      <c r="P30" s="1052" t="s">
        <v>2955</v>
      </c>
      <c r="Q30" s="1049"/>
      <c r="R30" s="153" t="s">
        <v>2956</v>
      </c>
      <c r="S30" s="1053" t="s">
        <v>33</v>
      </c>
      <c r="T30" s="1054">
        <v>45917.0</v>
      </c>
      <c r="U30" s="114" t="str">
        <f>IF(V30="","No AIS",VLOOKUP(V30,'Voyage days'!$A$3:$B$1480,2,FALSE))</f>
        <v>AG</v>
      </c>
      <c r="V30" s="114" t="str">
        <f>IF(VLOOKUP(A30,'1) Kpler'!$E$2:$P$1000,8, FALSE)="","",VLOOKUP(A30,'1) Kpler'!$E$2:$P$1000,8, FALSE))</f>
        <v>Ras Laffan Refinery</v>
      </c>
      <c r="W30" s="1055">
        <f>IF(VLOOKUP(A30,'1) Kpler'!$E$2:$P$1000,9,FALSE)="","",VLOOKUP(A30,'1) Kpler'!$E$2:$P$1000,9,FALSE))</f>
        <v>46133.6125</v>
      </c>
      <c r="X30" s="425" t="str">
        <f>VLOOKUP(A30,'1) Kpler'!$E$2:$I$1000,4,FALSE)</f>
        <v>ballast</v>
      </c>
      <c r="Y30" s="296" t="str">
        <f>AG30</f>
        <v>01-02 Nov</v>
      </c>
      <c r="Z30" s="296" t="str">
        <f>AJ30</f>
        <v>17-18 Nov</v>
      </c>
      <c r="AA30" s="296" t="str">
        <f>AM30</f>
        <v>28-29 Nov</v>
      </c>
      <c r="AB30" s="296" t="str">
        <f>AP30</f>
        <v>12-13 Nov</v>
      </c>
      <c r="AC30" s="296" t="str">
        <f>AS30</f>
        <v>19-20 Nov</v>
      </c>
      <c r="AD30" s="296" t="str">
        <f>BB30</f>
        <v/>
      </c>
      <c r="AE30" s="297" t="str">
        <f>AY30</f>
        <v>22-23 Oct</v>
      </c>
      <c r="AF30" s="119" t="str">
        <f>BJ30</f>
        <v>28-29 Nov</v>
      </c>
      <c r="AG30" s="163" t="str">
        <f>IF(AH30="","",TEXT(AH30,"dd")&amp;"-"&amp;TEXT(AI30,"dd mmm"))</f>
        <v>01-02 Nov</v>
      </c>
      <c r="AH30" s="122">
        <f>IFERROR($M30+VLOOKUP($L30,'Voyage days'!$F$38:$H$89,3,FALSE),"")</f>
        <v>45962</v>
      </c>
      <c r="AI30" s="122">
        <f>IFERROR(N30+VLOOKUP($L30,'Voyage days'!$F$38:$H$89,3,FALSE),"")</f>
        <v>45963</v>
      </c>
      <c r="AJ30" s="163" t="str">
        <f>IF(AK30="","",TEXT(AK30,"dd")&amp;"-"&amp;TEXT(AL30,"dd mmm"))</f>
        <v>17-18 Nov</v>
      </c>
      <c r="AK30" s="122">
        <f>IFERROR($M30+VLOOKUP($L30,'Voyage days'!$F$94:$H$193,3,FALSE),"")</f>
        <v>45978</v>
      </c>
      <c r="AL30" s="122">
        <f>IFERROR($N30+VLOOKUP($L30,'Voyage days'!$F$94:$H$193,3,FALSE),"")</f>
        <v>45979</v>
      </c>
      <c r="AM30" s="163" t="str">
        <f>IF(AN30="","",TEXT(AN30,"dd")&amp;"-"&amp;TEXT(AO30,"dd mmm"))</f>
        <v>28-29 Nov</v>
      </c>
      <c r="AN30" s="122">
        <f>IFERROR($M30+VLOOKUP($L30,'Voyage days'!$F$203:$H$256,3,FALSE),"")</f>
        <v>45989</v>
      </c>
      <c r="AO30" s="122">
        <f>IFERROR($N30+VLOOKUP($L30,'Voyage days'!$F$203:$H$256,3,FALSE),"")</f>
        <v>45990</v>
      </c>
      <c r="AP30" s="163" t="str">
        <f>IF(AQ30="","",TEXT(AQ30,"dd")&amp;"-"&amp;TEXT(AR30,"dd mmm"))</f>
        <v>12-13 Nov</v>
      </c>
      <c r="AQ30" s="122">
        <f>IFERROR($M30+VLOOKUP($L30,'Voyage days'!$F$294:$H$377,3,FALSE),"")</f>
        <v>45973</v>
      </c>
      <c r="AR30" s="122">
        <f>IFERROR($N30+VLOOKUP($L30,'Voyage days'!$F$294:$H$377,3,FALSE),"")</f>
        <v>45974</v>
      </c>
      <c r="AS30" s="163" t="str">
        <f>IF(AT30="","",TEXT(AT30,"dd")&amp;"-"&amp;TEXT(AU30,"dd mmm"))</f>
        <v>19-20 Nov</v>
      </c>
      <c r="AT30" s="122">
        <f>IFERROR($M30+VLOOKUP($L30,'Voyage days'!$F$382:$H$446,3,FALSE),"")</f>
        <v>45980</v>
      </c>
      <c r="AU30" s="122">
        <f>IFERROR($N30+VLOOKUP($L30,'Voyage days'!$F$382:$H$446,3,FALSE),"")</f>
        <v>45981</v>
      </c>
      <c r="AV30" s="163" t="str">
        <f>IF(AW30="","",TEXT(AW30,"dd")&amp;"-"&amp;TEXT(AX30,"dd mmm"))</f>
        <v>29-30 Oct</v>
      </c>
      <c r="AW30" s="122">
        <f>IFERROR($M30+VLOOKUP($L30,'Voyage days'!$F$483:$H$538,3,FALSE),"")</f>
        <v>45959</v>
      </c>
      <c r="AX30" s="122">
        <f>IFERROR($N30+VLOOKUP($L30,'Voyage days'!$F$483:$H$538,3,FALSE),"")</f>
        <v>45960</v>
      </c>
      <c r="AY30" s="163" t="str">
        <f>IF(AZ30="","",TEXT(AZ30,"dd")&amp;"-"&amp;TEXT(BA30,"dd mmm"))</f>
        <v>22-23 Oct</v>
      </c>
      <c r="AZ30" s="122">
        <f>IFERROR($M30+VLOOKUP($L30,'Voyage days'!$F$540:$H$613,3,FALSE),"")</f>
        <v>45952.25</v>
      </c>
      <c r="BA30" s="122">
        <f>IFERROR($N30+VLOOKUP($L30,'Voyage days'!$F$540:$H$613,3,FALSE),"")</f>
        <v>45953.25</v>
      </c>
      <c r="BB30" s="163" t="str">
        <f>IF(BC30="","",TEXT(BC30,"dd")&amp;"-"&amp;TEXT(BD30,"dd mmm"))</f>
        <v/>
      </c>
      <c r="BC30" s="122" t="str">
        <f>IFERROR($M30+VLOOKUP($L30,'Voyage days'!$L$483:$N$535,3,FALSE),"")</f>
        <v/>
      </c>
      <c r="BD30" s="122" t="str">
        <f>IFERROR($N30+VLOOKUP($L30,'Voyage days'!$L$483:$N$535,3,FALSE),"")</f>
        <v/>
      </c>
      <c r="BE30" s="163" t="str">
        <f>IF(BF30="","",TEXT(BF30,"dd")&amp;"-"&amp;TEXT(BG30,"dd mmm"))</f>
        <v>28-29 Oct</v>
      </c>
      <c r="BF30" s="122">
        <f>IFERROR($M30+VLOOKUP($L30,'Voyage days'!$F$620:$H$646,3,FALSE),"")</f>
        <v>45958</v>
      </c>
      <c r="BG30" s="122">
        <f>IFERROR($N30+VLOOKUP($L30,'Voyage days'!$F$620:$H$646,3,FALSE),"")</f>
        <v>45959</v>
      </c>
      <c r="BH30" s="163" t="str">
        <f>IF(BI30="","",TEXT(BI30,"dd")&amp;"-"&amp;TEXT(BL30,"dd mmm"))</f>
        <v>22-29 Nov</v>
      </c>
      <c r="BI30" s="123">
        <f>IFERROR($M30+VLOOKUP($L30,'Voyage days'!$F$702:$H$727,3,FALSE),"")</f>
        <v>45952.25</v>
      </c>
      <c r="BJ30" s="163" t="str">
        <f>IF(BK30="","",TEXT(BK30,"dd")&amp;"-"&amp;TEXT(BL30,"dd mmm"))</f>
        <v>28-29 Nov</v>
      </c>
      <c r="BK30" s="122">
        <f>IFERROR($M30+VLOOKUP($L30,'Voyage days'!$F$807:$H$878,3,FALSE),"")</f>
        <v>45989</v>
      </c>
      <c r="BL30" s="122">
        <f>IFERROR($N30+VLOOKUP($L30,'Voyage days'!$F$807:$H$878,3,FALSE),"")</f>
        <v>45990</v>
      </c>
      <c r="BM30" s="122">
        <f>IFERROR($N30+VLOOKUP($L30,'Voyage days'!$F$807:$K$878,6,FALSE),"")</f>
        <v>45964</v>
      </c>
    </row>
    <row r="31" ht="15.75" customHeight="1">
      <c r="A31" s="341"/>
      <c r="B31" s="1002"/>
      <c r="C31" s="1056"/>
      <c r="D31" s="488"/>
      <c r="E31" s="148"/>
      <c r="F31" s="341"/>
      <c r="G31" s="148"/>
      <c r="H31" s="341"/>
      <c r="I31" s="341"/>
      <c r="J31" s="341"/>
      <c r="K31" s="148"/>
      <c r="L31" s="341"/>
      <c r="M31" s="341"/>
      <c r="N31" s="341"/>
      <c r="O31" s="341"/>
      <c r="P31" s="341"/>
      <c r="Q31" s="341"/>
      <c r="R31" s="341"/>
      <c r="S31" s="341"/>
      <c r="T31" s="341"/>
      <c r="U31" s="341"/>
      <c r="V31" s="341"/>
      <c r="W31" s="724"/>
      <c r="X31" s="452"/>
      <c r="Y31" s="341"/>
      <c r="Z31" s="341"/>
      <c r="AA31" s="341"/>
      <c r="AB31" s="341"/>
      <c r="AC31" s="341"/>
      <c r="AD31" s="341"/>
      <c r="AE31" s="341"/>
      <c r="AF31" s="148"/>
      <c r="AG31" s="341"/>
      <c r="AH31" s="341"/>
      <c r="AI31" s="341"/>
      <c r="AJ31" s="341"/>
      <c r="AK31" s="341"/>
      <c r="AL31" s="341"/>
      <c r="AM31" s="341"/>
      <c r="AN31" s="341"/>
      <c r="AO31" s="341"/>
      <c r="AP31" s="341"/>
      <c r="AQ31" s="341"/>
      <c r="AR31" s="341"/>
      <c r="AS31" s="341"/>
      <c r="AT31" s="341"/>
      <c r="AU31" s="341"/>
      <c r="AV31" s="341"/>
      <c r="AW31" s="341"/>
      <c r="AX31" s="341"/>
      <c r="AY31" s="341"/>
      <c r="AZ31" s="147"/>
      <c r="BA31" s="147"/>
      <c r="BB31" s="606"/>
      <c r="BC31" s="341"/>
      <c r="BD31" s="341"/>
      <c r="BE31" s="147"/>
      <c r="BF31" s="606"/>
      <c r="BG31" s="606"/>
      <c r="BH31" s="606"/>
      <c r="BI31" s="606"/>
      <c r="BJ31" s="606"/>
      <c r="BK31" s="606"/>
      <c r="BL31" s="606"/>
      <c r="BM31" s="606"/>
    </row>
    <row r="32" ht="15.75" customHeight="1">
      <c r="A32" s="341"/>
      <c r="B32" s="341"/>
      <c r="C32" s="1056"/>
      <c r="D32" s="488"/>
      <c r="E32" s="148"/>
      <c r="F32" s="341"/>
      <c r="G32" s="148"/>
      <c r="H32" s="341"/>
      <c r="I32" s="341"/>
      <c r="J32" s="341"/>
      <c r="K32" s="148"/>
      <c r="L32" s="341"/>
      <c r="M32" s="341"/>
      <c r="N32" s="341"/>
      <c r="O32" s="341"/>
      <c r="P32" s="341"/>
      <c r="Q32" s="341"/>
      <c r="R32" s="341"/>
      <c r="S32" s="341"/>
      <c r="T32" s="341"/>
      <c r="U32" s="341"/>
      <c r="V32" s="341"/>
      <c r="W32" s="724"/>
      <c r="X32" s="452"/>
      <c r="Y32" s="341"/>
      <c r="Z32" s="341"/>
      <c r="AA32" s="341"/>
      <c r="AB32" s="341"/>
      <c r="AC32" s="341"/>
      <c r="AD32" s="341"/>
      <c r="AE32" s="341"/>
      <c r="AF32" s="148"/>
      <c r="AG32" s="341"/>
      <c r="AH32" s="341"/>
      <c r="AI32" s="341"/>
      <c r="AJ32" s="341"/>
      <c r="AK32" s="341"/>
      <c r="AL32" s="341"/>
      <c r="AM32" s="341"/>
      <c r="AN32" s="341"/>
      <c r="AO32" s="341"/>
      <c r="AP32" s="341"/>
      <c r="AQ32" s="341"/>
      <c r="AR32" s="341"/>
      <c r="AS32" s="341"/>
      <c r="AT32" s="341"/>
      <c r="AU32" s="341"/>
      <c r="AV32" s="341"/>
      <c r="AW32" s="341"/>
      <c r="AX32" s="341"/>
      <c r="AY32" s="341"/>
      <c r="AZ32" s="147"/>
      <c r="BA32" s="147"/>
      <c r="BB32" s="606"/>
      <c r="BC32" s="341"/>
      <c r="BD32" s="341"/>
      <c r="BE32" s="147"/>
      <c r="BF32" s="606"/>
      <c r="BG32" s="606"/>
      <c r="BH32" s="606"/>
      <c r="BI32" s="606"/>
      <c r="BJ32" s="606"/>
      <c r="BK32" s="606"/>
      <c r="BL32" s="606"/>
      <c r="BM32" s="606"/>
    </row>
    <row r="33" ht="15.75" customHeight="1">
      <c r="A33" s="341"/>
      <c r="B33" s="341"/>
      <c r="C33" s="1056"/>
      <c r="D33" s="488"/>
      <c r="E33" s="148"/>
      <c r="F33" s="341"/>
      <c r="G33" s="148"/>
      <c r="H33" s="341"/>
      <c r="I33" s="341"/>
      <c r="J33" s="341"/>
      <c r="K33" s="148"/>
      <c r="L33" s="341"/>
      <c r="M33" s="341"/>
      <c r="N33" s="341"/>
      <c r="O33" s="341"/>
      <c r="P33" s="341"/>
      <c r="Q33" s="341"/>
      <c r="R33" s="341"/>
      <c r="S33" s="341"/>
      <c r="T33" s="341"/>
      <c r="U33" s="341"/>
      <c r="V33" s="341"/>
      <c r="W33" s="724"/>
      <c r="X33" s="452"/>
      <c r="Y33" s="341"/>
      <c r="Z33" s="341"/>
      <c r="AA33" s="341"/>
      <c r="AB33" s="341"/>
      <c r="AC33" s="341"/>
      <c r="AD33" s="341"/>
      <c r="AE33" s="341"/>
      <c r="AF33" s="148"/>
      <c r="AG33" s="341"/>
      <c r="AH33" s="341"/>
      <c r="AI33" s="341"/>
      <c r="AJ33" s="341"/>
      <c r="AK33" s="341"/>
      <c r="AL33" s="341"/>
      <c r="AM33" s="341"/>
      <c r="AN33" s="341"/>
      <c r="AO33" s="341"/>
      <c r="AP33" s="341"/>
      <c r="AQ33" s="341"/>
      <c r="AR33" s="341"/>
      <c r="AS33" s="341"/>
      <c r="AT33" s="341"/>
      <c r="AU33" s="341"/>
      <c r="AV33" s="341"/>
      <c r="AW33" s="341"/>
      <c r="AX33" s="341"/>
      <c r="AY33" s="341"/>
      <c r="AZ33" s="147"/>
      <c r="BA33" s="147"/>
      <c r="BB33" s="606"/>
      <c r="BC33" s="341"/>
      <c r="BD33" s="341"/>
      <c r="BE33" s="147"/>
      <c r="BF33" s="606"/>
      <c r="BG33" s="606"/>
      <c r="BH33" s="606"/>
      <c r="BI33" s="606"/>
      <c r="BJ33" s="606"/>
      <c r="BK33" s="606"/>
      <c r="BL33" s="606"/>
      <c r="BM33" s="606"/>
    </row>
    <row r="34" ht="15.75" customHeight="1">
      <c r="A34" s="342" t="s">
        <v>2957</v>
      </c>
      <c r="B34" s="341"/>
      <c r="C34" s="1056"/>
      <c r="D34" s="488"/>
      <c r="E34" s="148"/>
      <c r="F34" s="341"/>
      <c r="G34" s="148"/>
      <c r="H34" s="341"/>
      <c r="I34" s="341"/>
      <c r="J34" s="341"/>
      <c r="K34" s="148"/>
      <c r="L34" s="341"/>
      <c r="M34" s="341"/>
      <c r="N34" s="341"/>
      <c r="O34" s="341"/>
      <c r="P34" s="341"/>
      <c r="Q34" s="341"/>
      <c r="R34" s="341"/>
      <c r="S34" s="341"/>
      <c r="T34" s="341"/>
      <c r="U34" s="488"/>
      <c r="V34" s="676"/>
      <c r="W34" s="724"/>
      <c r="X34" s="452"/>
      <c r="Y34" s="341"/>
      <c r="Z34" s="341"/>
      <c r="AA34" s="341"/>
      <c r="AB34" s="341"/>
      <c r="AC34" s="341"/>
      <c r="AD34" s="341"/>
      <c r="AE34" s="341"/>
      <c r="AF34" s="148"/>
      <c r="AG34" s="341"/>
      <c r="AH34" s="341"/>
      <c r="AI34" s="341"/>
      <c r="AJ34" s="341"/>
      <c r="AK34" s="341"/>
      <c r="AL34" s="341"/>
      <c r="AM34" s="341"/>
      <c r="AN34" s="341"/>
      <c r="AO34" s="341"/>
      <c r="AP34" s="341"/>
      <c r="AQ34" s="341"/>
      <c r="AR34" s="341"/>
      <c r="AS34" s="341"/>
      <c r="AT34" s="341"/>
      <c r="AU34" s="341"/>
      <c r="AV34" s="341"/>
      <c r="AW34" s="341"/>
      <c r="AX34" s="341"/>
      <c r="AY34" s="341"/>
      <c r="AZ34" s="147"/>
      <c r="BA34" s="147"/>
      <c r="BB34" s="606"/>
      <c r="BC34" s="341"/>
      <c r="BD34" s="341"/>
      <c r="BE34" s="147"/>
      <c r="BF34" s="606"/>
      <c r="BG34" s="606"/>
      <c r="BH34" s="606"/>
      <c r="BI34" s="606"/>
      <c r="BJ34" s="606"/>
      <c r="BK34" s="606"/>
      <c r="BL34" s="606"/>
      <c r="BM34" s="606"/>
    </row>
    <row r="35" ht="15.75" customHeight="1">
      <c r="A35" s="341"/>
      <c r="B35" s="341"/>
      <c r="C35" s="1056"/>
      <c r="D35" s="488"/>
      <c r="E35" s="148"/>
      <c r="F35" s="341"/>
      <c r="G35" s="148"/>
      <c r="H35" s="341"/>
      <c r="I35" s="341"/>
      <c r="J35" s="341"/>
      <c r="K35" s="148"/>
      <c r="L35" s="341"/>
      <c r="M35" s="341"/>
      <c r="N35" s="341"/>
      <c r="O35" s="341"/>
      <c r="P35" s="341"/>
      <c r="Q35" s="341"/>
      <c r="R35" s="341"/>
      <c r="S35" s="341"/>
      <c r="T35" s="341"/>
      <c r="U35" s="488"/>
      <c r="V35" s="676"/>
      <c r="W35" s="724"/>
      <c r="X35" s="452"/>
      <c r="Y35" s="341"/>
      <c r="Z35" s="341"/>
      <c r="AA35" s="341"/>
      <c r="AB35" s="341"/>
      <c r="AC35" s="341"/>
      <c r="AD35" s="341"/>
      <c r="AE35" s="341"/>
      <c r="AF35" s="148"/>
      <c r="AG35" s="341"/>
      <c r="AH35" s="341"/>
      <c r="AI35" s="341"/>
      <c r="AJ35" s="341"/>
      <c r="AK35" s="341"/>
      <c r="AL35" s="341"/>
      <c r="AM35" s="341"/>
      <c r="AN35" s="341"/>
      <c r="AO35" s="341"/>
      <c r="AP35" s="341"/>
      <c r="AQ35" s="341"/>
      <c r="AR35" s="341"/>
      <c r="AS35" s="341"/>
      <c r="AT35" s="341"/>
      <c r="AU35" s="341"/>
      <c r="AV35" s="341"/>
      <c r="AW35" s="341"/>
      <c r="AX35" s="341"/>
      <c r="AY35" s="341"/>
      <c r="AZ35" s="147"/>
      <c r="BA35" s="147"/>
      <c r="BB35" s="606"/>
      <c r="BC35" s="341"/>
      <c r="BD35" s="341"/>
      <c r="BE35" s="147"/>
      <c r="BF35" s="606"/>
      <c r="BG35" s="606"/>
      <c r="BH35" s="606"/>
      <c r="BI35" s="606"/>
      <c r="BJ35" s="606"/>
      <c r="BK35" s="606"/>
      <c r="BL35" s="606"/>
      <c r="BM35" s="606"/>
    </row>
    <row r="36" ht="15.75" customHeight="1">
      <c r="A36" s="341"/>
      <c r="B36" s="341"/>
      <c r="C36" s="1056"/>
      <c r="D36" s="488"/>
      <c r="E36" s="148"/>
      <c r="F36" s="341"/>
      <c r="G36" s="148"/>
      <c r="H36" s="341"/>
      <c r="I36" s="341"/>
      <c r="J36" s="341"/>
      <c r="K36" s="148"/>
      <c r="L36" s="341"/>
      <c r="M36" s="341"/>
      <c r="N36" s="341"/>
      <c r="O36" s="341"/>
      <c r="P36" s="341"/>
      <c r="Q36" s="341"/>
      <c r="R36" s="341"/>
      <c r="S36" s="341"/>
      <c r="T36" s="341"/>
      <c r="U36" s="488"/>
      <c r="V36" s="676"/>
      <c r="W36" s="724"/>
      <c r="X36" s="452"/>
      <c r="Y36" s="341"/>
      <c r="Z36" s="341"/>
      <c r="AA36" s="341"/>
      <c r="AB36" s="341"/>
      <c r="AC36" s="341"/>
      <c r="AD36" s="341"/>
      <c r="AE36" s="341"/>
      <c r="AF36" s="148"/>
      <c r="AG36" s="341"/>
      <c r="AH36" s="341"/>
      <c r="AI36" s="341"/>
      <c r="AJ36" s="341"/>
      <c r="AK36" s="341"/>
      <c r="AL36" s="341"/>
      <c r="AM36" s="341"/>
      <c r="AN36" s="341"/>
      <c r="AO36" s="341"/>
      <c r="AP36" s="341"/>
      <c r="AQ36" s="341"/>
      <c r="AR36" s="341"/>
      <c r="AS36" s="341"/>
      <c r="AT36" s="341"/>
      <c r="AU36" s="341"/>
      <c r="AV36" s="341"/>
      <c r="AW36" s="341"/>
      <c r="AX36" s="341"/>
      <c r="AY36" s="341"/>
      <c r="AZ36" s="147"/>
      <c r="BA36" s="147"/>
      <c r="BB36" s="606"/>
      <c r="BC36" s="341"/>
      <c r="BD36" s="341"/>
      <c r="BE36" s="147"/>
      <c r="BF36" s="606"/>
      <c r="BG36" s="606"/>
      <c r="BH36" s="606"/>
      <c r="BI36" s="606"/>
      <c r="BJ36" s="606"/>
      <c r="BK36" s="606"/>
      <c r="BL36" s="606"/>
      <c r="BM36" s="606"/>
    </row>
    <row r="37" ht="15.75" customHeight="1">
      <c r="A37" s="341"/>
      <c r="B37" s="341"/>
      <c r="C37" s="1056"/>
      <c r="D37" s="488"/>
      <c r="E37" s="148"/>
      <c r="F37" s="341"/>
      <c r="G37" s="148"/>
      <c r="H37" s="341"/>
      <c r="I37" s="341"/>
      <c r="J37" s="341"/>
      <c r="K37" s="148"/>
      <c r="L37" s="341"/>
      <c r="M37" s="341"/>
      <c r="N37" s="341"/>
      <c r="O37" s="341"/>
      <c r="P37" s="341"/>
      <c r="Q37" s="341"/>
      <c r="R37" s="341"/>
      <c r="S37" s="341"/>
      <c r="T37" s="341"/>
      <c r="U37" s="488"/>
      <c r="V37" s="676"/>
      <c r="W37" s="724"/>
      <c r="X37" s="452"/>
      <c r="Y37" s="341"/>
      <c r="Z37" s="341"/>
      <c r="AA37" s="341"/>
      <c r="AB37" s="341"/>
      <c r="AC37" s="341"/>
      <c r="AD37" s="341"/>
      <c r="AE37" s="341"/>
      <c r="AF37" s="148"/>
      <c r="AG37" s="341"/>
      <c r="AH37" s="341"/>
      <c r="AI37" s="341"/>
      <c r="AJ37" s="341"/>
      <c r="AK37" s="341"/>
      <c r="AL37" s="341"/>
      <c r="AM37" s="341"/>
      <c r="AN37" s="341"/>
      <c r="AO37" s="341"/>
      <c r="AP37" s="341"/>
      <c r="AQ37" s="341"/>
      <c r="AR37" s="341"/>
      <c r="AS37" s="341"/>
      <c r="AT37" s="341"/>
      <c r="AU37" s="341"/>
      <c r="AV37" s="341"/>
      <c r="AW37" s="341"/>
      <c r="AX37" s="341"/>
      <c r="AY37" s="341"/>
      <c r="AZ37" s="147"/>
      <c r="BA37" s="147"/>
      <c r="BB37" s="606"/>
      <c r="BC37" s="341"/>
      <c r="BD37" s="341"/>
      <c r="BE37" s="147"/>
      <c r="BF37" s="606"/>
      <c r="BG37" s="606"/>
      <c r="BH37" s="606"/>
      <c r="BI37" s="606"/>
      <c r="BJ37" s="606"/>
      <c r="BK37" s="606"/>
      <c r="BL37" s="606"/>
      <c r="BM37" s="606"/>
    </row>
    <row r="38" ht="15.75" customHeight="1">
      <c r="A38" s="341"/>
      <c r="B38" s="341"/>
      <c r="C38" s="1056"/>
      <c r="D38" s="488"/>
      <c r="E38" s="148"/>
      <c r="F38" s="341"/>
      <c r="G38" s="148"/>
      <c r="H38" s="341"/>
      <c r="I38" s="341"/>
      <c r="J38" s="341"/>
      <c r="K38" s="148"/>
      <c r="L38" s="341"/>
      <c r="M38" s="341"/>
      <c r="N38" s="341"/>
      <c r="O38" s="341"/>
      <c r="P38" s="341"/>
      <c r="Q38" s="341"/>
      <c r="R38" s="341"/>
      <c r="S38" s="341"/>
      <c r="T38" s="341"/>
      <c r="U38" s="488"/>
      <c r="V38" s="676"/>
      <c r="W38" s="724"/>
      <c r="X38" s="452"/>
      <c r="Y38" s="341"/>
      <c r="Z38" s="341"/>
      <c r="AA38" s="341"/>
      <c r="AB38" s="341"/>
      <c r="AC38" s="341"/>
      <c r="AD38" s="341"/>
      <c r="AE38" s="341"/>
      <c r="AF38" s="148"/>
      <c r="AG38" s="341"/>
      <c r="AH38" s="341"/>
      <c r="AI38" s="341"/>
      <c r="AJ38" s="341"/>
      <c r="AK38" s="341"/>
      <c r="AL38" s="341"/>
      <c r="AM38" s="341"/>
      <c r="AN38" s="341"/>
      <c r="AO38" s="341"/>
      <c r="AP38" s="341"/>
      <c r="AQ38" s="341"/>
      <c r="AR38" s="341"/>
      <c r="AS38" s="341"/>
      <c r="AT38" s="341"/>
      <c r="AU38" s="341"/>
      <c r="AV38" s="341"/>
      <c r="AW38" s="341"/>
      <c r="AX38" s="341"/>
      <c r="AY38" s="341"/>
      <c r="AZ38" s="147"/>
      <c r="BA38" s="147"/>
      <c r="BB38" s="606"/>
      <c r="BC38" s="341"/>
      <c r="BD38" s="341"/>
      <c r="BE38" s="147"/>
      <c r="BF38" s="606"/>
      <c r="BG38" s="606"/>
      <c r="BH38" s="606"/>
      <c r="BI38" s="606"/>
      <c r="BJ38" s="606"/>
      <c r="BK38" s="606"/>
      <c r="BL38" s="606"/>
      <c r="BM38" s="606"/>
    </row>
    <row r="39" ht="15.75" customHeight="1">
      <c r="A39" s="341"/>
      <c r="B39" s="341"/>
      <c r="C39" s="1056"/>
      <c r="D39" s="488"/>
      <c r="E39" s="148"/>
      <c r="F39" s="341"/>
      <c r="G39" s="148"/>
      <c r="H39" s="341"/>
      <c r="I39" s="341"/>
      <c r="J39" s="341"/>
      <c r="K39" s="148"/>
      <c r="L39" s="341"/>
      <c r="M39" s="341"/>
      <c r="N39" s="341"/>
      <c r="O39" s="341"/>
      <c r="P39" s="341"/>
      <c r="Q39" s="341"/>
      <c r="R39" s="341"/>
      <c r="S39" s="341"/>
      <c r="T39" s="341"/>
      <c r="U39" s="488"/>
      <c r="V39" s="676"/>
      <c r="W39" s="724"/>
      <c r="X39" s="452"/>
      <c r="Y39" s="341"/>
      <c r="Z39" s="341"/>
      <c r="AA39" s="341"/>
      <c r="AB39" s="341"/>
      <c r="AC39" s="341"/>
      <c r="AD39" s="341"/>
      <c r="AE39" s="341"/>
      <c r="AF39" s="148"/>
      <c r="AG39" s="341"/>
      <c r="AH39" s="341"/>
      <c r="AI39" s="341"/>
      <c r="AJ39" s="341"/>
      <c r="AK39" s="341"/>
      <c r="AL39" s="341"/>
      <c r="AM39" s="341"/>
      <c r="AN39" s="341"/>
      <c r="AO39" s="341"/>
      <c r="AP39" s="341"/>
      <c r="AQ39" s="341"/>
      <c r="AR39" s="341"/>
      <c r="AS39" s="341"/>
      <c r="AT39" s="341"/>
      <c r="AU39" s="341"/>
      <c r="AV39" s="341"/>
      <c r="AW39" s="341"/>
      <c r="AX39" s="341"/>
      <c r="AY39" s="341"/>
      <c r="AZ39" s="147"/>
      <c r="BA39" s="147"/>
      <c r="BB39" s="606"/>
      <c r="BC39" s="341"/>
      <c r="BD39" s="341"/>
      <c r="BE39" s="147"/>
      <c r="BF39" s="606"/>
      <c r="BG39" s="606"/>
      <c r="BH39" s="606"/>
      <c r="BI39" s="606"/>
      <c r="BJ39" s="606"/>
      <c r="BK39" s="606"/>
      <c r="BL39" s="606"/>
      <c r="BM39" s="606"/>
    </row>
    <row r="40" ht="15.75" customHeight="1">
      <c r="A40" s="341"/>
      <c r="B40" s="341"/>
      <c r="C40" s="1056"/>
      <c r="D40" s="488"/>
      <c r="E40" s="148"/>
      <c r="F40" s="341"/>
      <c r="G40" s="148"/>
      <c r="H40" s="341"/>
      <c r="I40" s="341"/>
      <c r="J40" s="341"/>
      <c r="K40" s="148"/>
      <c r="L40" s="341"/>
      <c r="M40" s="341"/>
      <c r="N40" s="341"/>
      <c r="O40" s="341"/>
      <c r="P40" s="341"/>
      <c r="Q40" s="341"/>
      <c r="R40" s="341"/>
      <c r="S40" s="341"/>
      <c r="T40" s="341"/>
      <c r="U40" s="488"/>
      <c r="V40" s="676"/>
      <c r="W40" s="724"/>
      <c r="X40" s="452"/>
      <c r="Y40" s="341"/>
      <c r="Z40" s="341"/>
      <c r="AA40" s="341"/>
      <c r="AB40" s="341"/>
      <c r="AC40" s="341"/>
      <c r="AD40" s="341"/>
      <c r="AE40" s="341"/>
      <c r="AF40" s="148"/>
      <c r="AG40" s="341"/>
      <c r="AH40" s="341"/>
      <c r="AI40" s="341"/>
      <c r="AJ40" s="341"/>
      <c r="AK40" s="341"/>
      <c r="AL40" s="341"/>
      <c r="AM40" s="341"/>
      <c r="AN40" s="341"/>
      <c r="AO40" s="341"/>
      <c r="AP40" s="341"/>
      <c r="AQ40" s="341"/>
      <c r="AR40" s="341"/>
      <c r="AS40" s="341"/>
      <c r="AT40" s="341"/>
      <c r="AU40" s="341"/>
      <c r="AV40" s="341"/>
      <c r="AW40" s="341"/>
      <c r="AX40" s="341"/>
      <c r="AY40" s="341"/>
      <c r="AZ40" s="147"/>
      <c r="BA40" s="147"/>
      <c r="BB40" s="606"/>
      <c r="BC40" s="341"/>
      <c r="BD40" s="341"/>
      <c r="BE40" s="147"/>
      <c r="BF40" s="606"/>
      <c r="BG40" s="606"/>
      <c r="BH40" s="606"/>
      <c r="BI40" s="606"/>
      <c r="BJ40" s="606"/>
      <c r="BK40" s="606"/>
      <c r="BL40" s="606"/>
      <c r="BM40" s="606"/>
    </row>
    <row r="41" ht="15.75" customHeight="1">
      <c r="A41" s="341"/>
      <c r="B41" s="341"/>
      <c r="C41" s="1056"/>
      <c r="D41" s="488"/>
      <c r="E41" s="148"/>
      <c r="F41" s="341"/>
      <c r="G41" s="148"/>
      <c r="H41" s="341"/>
      <c r="I41" s="341"/>
      <c r="J41" s="341"/>
      <c r="K41" s="148"/>
      <c r="L41" s="341"/>
      <c r="M41" s="341"/>
      <c r="N41" s="341"/>
      <c r="O41" s="341"/>
      <c r="P41" s="341"/>
      <c r="Q41" s="341"/>
      <c r="R41" s="341"/>
      <c r="S41" s="341"/>
      <c r="T41" s="341"/>
      <c r="U41" s="488"/>
      <c r="V41" s="676"/>
      <c r="W41" s="724"/>
      <c r="X41" s="452"/>
      <c r="Y41" s="341"/>
      <c r="Z41" s="341"/>
      <c r="AA41" s="341"/>
      <c r="AB41" s="341"/>
      <c r="AC41" s="341"/>
      <c r="AD41" s="341"/>
      <c r="AE41" s="341"/>
      <c r="AF41" s="148"/>
      <c r="AG41" s="341"/>
      <c r="AH41" s="341"/>
      <c r="AI41" s="341"/>
      <c r="AJ41" s="341"/>
      <c r="AK41" s="341"/>
      <c r="AL41" s="341"/>
      <c r="AM41" s="341"/>
      <c r="AN41" s="341"/>
      <c r="AO41" s="341"/>
      <c r="AP41" s="341"/>
      <c r="AQ41" s="341"/>
      <c r="AR41" s="341"/>
      <c r="AS41" s="341"/>
      <c r="AT41" s="341"/>
      <c r="AU41" s="341"/>
      <c r="AV41" s="341"/>
      <c r="AW41" s="341"/>
      <c r="AX41" s="341"/>
      <c r="AY41" s="341"/>
      <c r="AZ41" s="147"/>
      <c r="BA41" s="147"/>
      <c r="BB41" s="606"/>
      <c r="BC41" s="341"/>
      <c r="BD41" s="341"/>
      <c r="BE41" s="147"/>
      <c r="BF41" s="606"/>
      <c r="BG41" s="606"/>
      <c r="BH41" s="606"/>
      <c r="BI41" s="606"/>
      <c r="BJ41" s="606"/>
      <c r="BK41" s="606"/>
      <c r="BL41" s="606"/>
      <c r="BM41" s="606"/>
    </row>
    <row r="42" ht="15.75" customHeight="1">
      <c r="A42" s="341"/>
      <c r="B42" s="341"/>
      <c r="C42" s="1056"/>
      <c r="D42" s="488"/>
      <c r="E42" s="148"/>
      <c r="F42" s="341"/>
      <c r="G42" s="148"/>
      <c r="H42" s="341"/>
      <c r="I42" s="341"/>
      <c r="J42" s="341"/>
      <c r="K42" s="148"/>
      <c r="L42" s="341"/>
      <c r="M42" s="341"/>
      <c r="N42" s="341"/>
      <c r="O42" s="341"/>
      <c r="P42" s="341"/>
      <c r="Q42" s="341"/>
      <c r="R42" s="341"/>
      <c r="S42" s="341"/>
      <c r="T42" s="341"/>
      <c r="U42" s="488"/>
      <c r="V42" s="676"/>
      <c r="W42" s="724"/>
      <c r="X42" s="452"/>
      <c r="Y42" s="341"/>
      <c r="Z42" s="341"/>
      <c r="AA42" s="341"/>
      <c r="AB42" s="341"/>
      <c r="AC42" s="341"/>
      <c r="AD42" s="341"/>
      <c r="AE42" s="341"/>
      <c r="AF42" s="148"/>
      <c r="AG42" s="341"/>
      <c r="AH42" s="341"/>
      <c r="AI42" s="341"/>
      <c r="AJ42" s="341"/>
      <c r="AK42" s="341"/>
      <c r="AL42" s="341"/>
      <c r="AM42" s="341"/>
      <c r="AN42" s="341"/>
      <c r="AO42" s="341"/>
      <c r="AP42" s="341"/>
      <c r="AQ42" s="341"/>
      <c r="AR42" s="341"/>
      <c r="AS42" s="341"/>
      <c r="AT42" s="341"/>
      <c r="AU42" s="341"/>
      <c r="AV42" s="341"/>
      <c r="AW42" s="341"/>
      <c r="AX42" s="341"/>
      <c r="AY42" s="341"/>
      <c r="AZ42" s="147"/>
      <c r="BA42" s="147"/>
      <c r="BB42" s="606"/>
      <c r="BC42" s="341"/>
      <c r="BD42" s="341"/>
      <c r="BE42" s="147"/>
      <c r="BF42" s="606"/>
      <c r="BG42" s="606"/>
      <c r="BH42" s="606"/>
      <c r="BI42" s="606"/>
      <c r="BJ42" s="606"/>
      <c r="BK42" s="606"/>
      <c r="BL42" s="606"/>
      <c r="BM42" s="606"/>
    </row>
    <row r="43" ht="15.75" customHeight="1">
      <c r="A43" s="341"/>
      <c r="B43" s="341"/>
      <c r="C43" s="1056"/>
      <c r="D43" s="488"/>
      <c r="E43" s="148"/>
      <c r="F43" s="341"/>
      <c r="G43" s="148"/>
      <c r="H43" s="341"/>
      <c r="I43" s="341"/>
      <c r="J43" s="341"/>
      <c r="K43" s="148"/>
      <c r="L43" s="341"/>
      <c r="M43" s="341"/>
      <c r="N43" s="341"/>
      <c r="O43" s="341"/>
      <c r="P43" s="341"/>
      <c r="Q43" s="341"/>
      <c r="R43" s="341"/>
      <c r="S43" s="341"/>
      <c r="T43" s="341"/>
      <c r="U43" s="488"/>
      <c r="V43" s="676"/>
      <c r="W43" s="724"/>
      <c r="X43" s="452"/>
      <c r="Y43" s="341"/>
      <c r="Z43" s="341"/>
      <c r="AA43" s="341"/>
      <c r="AB43" s="341"/>
      <c r="AC43" s="341"/>
      <c r="AD43" s="341"/>
      <c r="AE43" s="341"/>
      <c r="AF43" s="148"/>
      <c r="AG43" s="341"/>
      <c r="AH43" s="341"/>
      <c r="AI43" s="341"/>
      <c r="AJ43" s="341"/>
      <c r="AK43" s="341"/>
      <c r="AL43" s="341"/>
      <c r="AM43" s="341"/>
      <c r="AN43" s="341"/>
      <c r="AO43" s="341"/>
      <c r="AP43" s="341"/>
      <c r="AQ43" s="341"/>
      <c r="AR43" s="341"/>
      <c r="AS43" s="341"/>
      <c r="AT43" s="341"/>
      <c r="AU43" s="341"/>
      <c r="AV43" s="341"/>
      <c r="AW43" s="341"/>
      <c r="AX43" s="341"/>
      <c r="AY43" s="341"/>
      <c r="AZ43" s="147"/>
      <c r="BA43" s="147"/>
      <c r="BB43" s="606"/>
      <c r="BC43" s="341"/>
      <c r="BD43" s="341"/>
      <c r="BE43" s="147"/>
      <c r="BF43" s="606"/>
      <c r="BG43" s="606"/>
      <c r="BH43" s="606"/>
      <c r="BI43" s="606"/>
      <c r="BJ43" s="606"/>
      <c r="BK43" s="606"/>
      <c r="BL43" s="606"/>
      <c r="BM43" s="606"/>
    </row>
    <row r="44" ht="15.75" customHeight="1">
      <c r="A44" s="341"/>
      <c r="B44" s="341"/>
      <c r="C44" s="1056"/>
      <c r="D44" s="488"/>
      <c r="E44" s="148"/>
      <c r="F44" s="341"/>
      <c r="G44" s="148"/>
      <c r="H44" s="341"/>
      <c r="I44" s="341"/>
      <c r="J44" s="341"/>
      <c r="K44" s="148"/>
      <c r="L44" s="341"/>
      <c r="M44" s="341"/>
      <c r="N44" s="341"/>
      <c r="O44" s="341"/>
      <c r="P44" s="341"/>
      <c r="Q44" s="341"/>
      <c r="R44" s="341"/>
      <c r="S44" s="341"/>
      <c r="T44" s="341"/>
      <c r="U44" s="488"/>
      <c r="V44" s="676"/>
      <c r="W44" s="724"/>
      <c r="X44" s="452"/>
      <c r="Y44" s="341"/>
      <c r="Z44" s="341"/>
      <c r="AA44" s="341"/>
      <c r="AB44" s="341"/>
      <c r="AC44" s="341"/>
      <c r="AD44" s="341"/>
      <c r="AE44" s="341"/>
      <c r="AF44" s="148"/>
      <c r="AG44" s="341"/>
      <c r="AH44" s="341"/>
      <c r="AI44" s="341"/>
      <c r="AJ44" s="341"/>
      <c r="AK44" s="341"/>
      <c r="AL44" s="341"/>
      <c r="AM44" s="341"/>
      <c r="AN44" s="341"/>
      <c r="AO44" s="341"/>
      <c r="AP44" s="341"/>
      <c r="AQ44" s="341"/>
      <c r="AR44" s="341"/>
      <c r="AS44" s="341"/>
      <c r="AT44" s="341"/>
      <c r="AU44" s="341"/>
      <c r="AV44" s="341"/>
      <c r="AW44" s="341"/>
      <c r="AX44" s="341"/>
      <c r="AY44" s="341"/>
      <c r="AZ44" s="147"/>
      <c r="BA44" s="147"/>
      <c r="BB44" s="606"/>
      <c r="BC44" s="341"/>
      <c r="BD44" s="341"/>
      <c r="BE44" s="147"/>
      <c r="BF44" s="606"/>
      <c r="BG44" s="606"/>
      <c r="BH44" s="606"/>
      <c r="BI44" s="606"/>
      <c r="BJ44" s="606"/>
      <c r="BK44" s="606"/>
      <c r="BL44" s="606"/>
      <c r="BM44" s="606"/>
    </row>
    <row r="45" ht="15.75" customHeight="1">
      <c r="A45" s="341"/>
      <c r="B45" s="341"/>
      <c r="C45" s="1056"/>
      <c r="D45" s="488"/>
      <c r="E45" s="148"/>
      <c r="F45" s="341"/>
      <c r="G45" s="148"/>
      <c r="H45" s="341"/>
      <c r="I45" s="341"/>
      <c r="J45" s="341"/>
      <c r="K45" s="148"/>
      <c r="L45" s="341"/>
      <c r="M45" s="341"/>
      <c r="N45" s="341"/>
      <c r="O45" s="341"/>
      <c r="P45" s="341"/>
      <c r="Q45" s="341"/>
      <c r="R45" s="341"/>
      <c r="S45" s="341"/>
      <c r="T45" s="341"/>
      <c r="U45" s="488"/>
      <c r="V45" s="676"/>
      <c r="W45" s="724"/>
      <c r="X45" s="452"/>
      <c r="Y45" s="341"/>
      <c r="Z45" s="341"/>
      <c r="AA45" s="341"/>
      <c r="AB45" s="341"/>
      <c r="AC45" s="341"/>
      <c r="AD45" s="341"/>
      <c r="AE45" s="341"/>
      <c r="AF45" s="148"/>
      <c r="AG45" s="341"/>
      <c r="AH45" s="341"/>
      <c r="AI45" s="341"/>
      <c r="AJ45" s="341"/>
      <c r="AK45" s="341"/>
      <c r="AL45" s="341"/>
      <c r="AM45" s="341"/>
      <c r="AN45" s="341"/>
      <c r="AO45" s="341"/>
      <c r="AP45" s="341"/>
      <c r="AQ45" s="341"/>
      <c r="AR45" s="341"/>
      <c r="AS45" s="341"/>
      <c r="AT45" s="341"/>
      <c r="AU45" s="341"/>
      <c r="AV45" s="341"/>
      <c r="AW45" s="341"/>
      <c r="AX45" s="341"/>
      <c r="AY45" s="341"/>
      <c r="AZ45" s="147"/>
      <c r="BA45" s="147"/>
      <c r="BB45" s="606"/>
      <c r="BC45" s="341"/>
      <c r="BD45" s="341"/>
      <c r="BE45" s="147"/>
      <c r="BF45" s="606"/>
      <c r="BG45" s="606"/>
      <c r="BH45" s="606"/>
      <c r="BI45" s="606"/>
      <c r="BJ45" s="606"/>
      <c r="BK45" s="606"/>
      <c r="BL45" s="606"/>
      <c r="BM45" s="606"/>
    </row>
    <row r="46" ht="15.75" customHeight="1">
      <c r="A46" s="341"/>
      <c r="B46" s="341"/>
      <c r="C46" s="1056"/>
      <c r="D46" s="488"/>
      <c r="E46" s="148"/>
      <c r="F46" s="341"/>
      <c r="G46" s="148"/>
      <c r="H46" s="341"/>
      <c r="I46" s="341"/>
      <c r="J46" s="341"/>
      <c r="K46" s="148"/>
      <c r="L46" s="341"/>
      <c r="M46" s="341"/>
      <c r="N46" s="341"/>
      <c r="O46" s="341"/>
      <c r="P46" s="341"/>
      <c r="Q46" s="341"/>
      <c r="R46" s="341"/>
      <c r="S46" s="341"/>
      <c r="T46" s="341"/>
      <c r="U46" s="488"/>
      <c r="V46" s="676"/>
      <c r="W46" s="724"/>
      <c r="X46" s="452"/>
      <c r="Y46" s="341"/>
      <c r="Z46" s="341"/>
      <c r="AA46" s="341"/>
      <c r="AB46" s="341"/>
      <c r="AC46" s="341"/>
      <c r="AD46" s="341"/>
      <c r="AE46" s="341"/>
      <c r="AF46" s="148"/>
      <c r="AG46" s="341"/>
      <c r="AH46" s="341"/>
      <c r="AI46" s="341"/>
      <c r="AJ46" s="341"/>
      <c r="AK46" s="341"/>
      <c r="AL46" s="341"/>
      <c r="AM46" s="341"/>
      <c r="AN46" s="341"/>
      <c r="AO46" s="341"/>
      <c r="AP46" s="341"/>
      <c r="AQ46" s="341"/>
      <c r="AR46" s="341"/>
      <c r="AS46" s="341"/>
      <c r="AT46" s="341"/>
      <c r="AU46" s="341"/>
      <c r="AV46" s="341"/>
      <c r="AW46" s="341"/>
      <c r="AX46" s="341"/>
      <c r="AY46" s="341"/>
      <c r="AZ46" s="147"/>
      <c r="BA46" s="147"/>
      <c r="BB46" s="606"/>
      <c r="BC46" s="341"/>
      <c r="BD46" s="341"/>
      <c r="BE46" s="147"/>
      <c r="BF46" s="606"/>
      <c r="BG46" s="606"/>
      <c r="BH46" s="606"/>
      <c r="BI46" s="606"/>
      <c r="BJ46" s="606"/>
      <c r="BK46" s="606"/>
      <c r="BL46" s="606"/>
      <c r="BM46" s="606"/>
    </row>
    <row r="47" ht="15.75" customHeight="1">
      <c r="A47" s="341"/>
      <c r="B47" s="341"/>
      <c r="C47" s="1056"/>
      <c r="D47" s="488"/>
      <c r="E47" s="148"/>
      <c r="F47" s="341"/>
      <c r="G47" s="148"/>
      <c r="H47" s="341"/>
      <c r="I47" s="341"/>
      <c r="J47" s="341"/>
      <c r="K47" s="148"/>
      <c r="L47" s="341"/>
      <c r="M47" s="341"/>
      <c r="N47" s="341"/>
      <c r="O47" s="341"/>
      <c r="P47" s="341"/>
      <c r="Q47" s="341"/>
      <c r="R47" s="341"/>
      <c r="S47" s="341"/>
      <c r="T47" s="341"/>
      <c r="U47" s="488"/>
      <c r="V47" s="676"/>
      <c r="W47" s="724"/>
      <c r="X47" s="452"/>
      <c r="Y47" s="341"/>
      <c r="Z47" s="341"/>
      <c r="AA47" s="341"/>
      <c r="AB47" s="341"/>
      <c r="AC47" s="341"/>
      <c r="AD47" s="341"/>
      <c r="AE47" s="341"/>
      <c r="AF47" s="148"/>
      <c r="AG47" s="341"/>
      <c r="AH47" s="341"/>
      <c r="AI47" s="341"/>
      <c r="AJ47" s="341"/>
      <c r="AK47" s="341"/>
      <c r="AL47" s="341"/>
      <c r="AM47" s="341"/>
      <c r="AN47" s="341"/>
      <c r="AO47" s="341"/>
      <c r="AP47" s="341"/>
      <c r="AQ47" s="341"/>
      <c r="AR47" s="341"/>
      <c r="AS47" s="341"/>
      <c r="AT47" s="341"/>
      <c r="AU47" s="341"/>
      <c r="AV47" s="341"/>
      <c r="AW47" s="341"/>
      <c r="AX47" s="341"/>
      <c r="AY47" s="341"/>
      <c r="AZ47" s="147"/>
      <c r="BA47" s="147"/>
      <c r="BB47" s="606"/>
      <c r="BC47" s="341"/>
      <c r="BD47" s="341"/>
      <c r="BE47" s="147"/>
      <c r="BF47" s="606"/>
      <c r="BG47" s="606"/>
      <c r="BH47" s="606"/>
      <c r="BI47" s="606"/>
      <c r="BJ47" s="606"/>
      <c r="BK47" s="606"/>
      <c r="BL47" s="606"/>
      <c r="BM47" s="606"/>
    </row>
    <row r="48" ht="15.75" customHeight="1">
      <c r="A48" s="341"/>
      <c r="B48" s="341"/>
      <c r="C48" s="1056"/>
      <c r="D48" s="488"/>
      <c r="E48" s="148"/>
      <c r="F48" s="341"/>
      <c r="G48" s="148"/>
      <c r="H48" s="341"/>
      <c r="I48" s="341"/>
      <c r="J48" s="341"/>
      <c r="K48" s="148"/>
      <c r="L48" s="341"/>
      <c r="M48" s="341"/>
      <c r="N48" s="341"/>
      <c r="O48" s="341"/>
      <c r="P48" s="341"/>
      <c r="Q48" s="341"/>
      <c r="R48" s="341"/>
      <c r="S48" s="341"/>
      <c r="T48" s="341"/>
      <c r="U48" s="488"/>
      <c r="V48" s="676"/>
      <c r="W48" s="724"/>
      <c r="X48" s="452"/>
      <c r="Y48" s="341"/>
      <c r="Z48" s="341"/>
      <c r="AA48" s="341"/>
      <c r="AB48" s="341"/>
      <c r="AC48" s="341"/>
      <c r="AD48" s="341"/>
      <c r="AE48" s="341"/>
      <c r="AF48" s="148"/>
      <c r="AG48" s="341"/>
      <c r="AH48" s="341"/>
      <c r="AI48" s="341"/>
      <c r="AJ48" s="341"/>
      <c r="AK48" s="341"/>
      <c r="AL48" s="341"/>
      <c r="AM48" s="341"/>
      <c r="AN48" s="341"/>
      <c r="AO48" s="341"/>
      <c r="AP48" s="341"/>
      <c r="AQ48" s="341"/>
      <c r="AR48" s="341"/>
      <c r="AS48" s="341"/>
      <c r="AT48" s="341"/>
      <c r="AU48" s="341"/>
      <c r="AV48" s="341"/>
      <c r="AW48" s="341"/>
      <c r="AX48" s="341"/>
      <c r="AY48" s="341"/>
      <c r="AZ48" s="147"/>
      <c r="BA48" s="147"/>
      <c r="BB48" s="606"/>
      <c r="BC48" s="341"/>
      <c r="BD48" s="341"/>
      <c r="BE48" s="147"/>
      <c r="BF48" s="606"/>
      <c r="BG48" s="606"/>
      <c r="BH48" s="606"/>
      <c r="BI48" s="606"/>
      <c r="BJ48" s="606"/>
      <c r="BK48" s="606"/>
      <c r="BL48" s="606"/>
      <c r="BM48" s="606"/>
    </row>
    <row r="49" ht="15.75" customHeight="1">
      <c r="A49" s="341"/>
      <c r="B49" s="341"/>
      <c r="C49" s="1056"/>
      <c r="D49" s="488"/>
      <c r="E49" s="148"/>
      <c r="F49" s="341"/>
      <c r="G49" s="148"/>
      <c r="H49" s="341"/>
      <c r="I49" s="341"/>
      <c r="J49" s="341"/>
      <c r="K49" s="148"/>
      <c r="L49" s="341"/>
      <c r="M49" s="341"/>
      <c r="N49" s="341"/>
      <c r="O49" s="341"/>
      <c r="P49" s="341"/>
      <c r="Q49" s="341"/>
      <c r="R49" s="341"/>
      <c r="S49" s="341"/>
      <c r="T49" s="341"/>
      <c r="U49" s="488"/>
      <c r="V49" s="676"/>
      <c r="W49" s="724"/>
      <c r="X49" s="452"/>
      <c r="Y49" s="341"/>
      <c r="Z49" s="341"/>
      <c r="AA49" s="341"/>
      <c r="AB49" s="341"/>
      <c r="AC49" s="341"/>
      <c r="AD49" s="341"/>
      <c r="AE49" s="341"/>
      <c r="AF49" s="148"/>
      <c r="AG49" s="341"/>
      <c r="AH49" s="341"/>
      <c r="AI49" s="341"/>
      <c r="AJ49" s="341"/>
      <c r="AK49" s="341"/>
      <c r="AL49" s="341"/>
      <c r="AM49" s="341"/>
      <c r="AN49" s="341"/>
      <c r="AO49" s="341"/>
      <c r="AP49" s="341"/>
      <c r="AQ49" s="341"/>
      <c r="AR49" s="341"/>
      <c r="AS49" s="341"/>
      <c r="AT49" s="341"/>
      <c r="AU49" s="341"/>
      <c r="AV49" s="341"/>
      <c r="AW49" s="341"/>
      <c r="AX49" s="341"/>
      <c r="AY49" s="341"/>
      <c r="AZ49" s="147"/>
      <c r="BA49" s="147"/>
      <c r="BB49" s="606"/>
      <c r="BC49" s="341"/>
      <c r="BD49" s="341"/>
      <c r="BE49" s="147"/>
      <c r="BF49" s="606"/>
      <c r="BG49" s="606"/>
      <c r="BH49" s="606"/>
      <c r="BI49" s="606"/>
      <c r="BJ49" s="606"/>
      <c r="BK49" s="606"/>
      <c r="BL49" s="606"/>
      <c r="BM49" s="606"/>
    </row>
    <row r="50" ht="15.75" customHeight="1">
      <c r="A50" s="341"/>
      <c r="B50" s="341"/>
      <c r="C50" s="1056"/>
      <c r="D50" s="488"/>
      <c r="E50" s="148"/>
      <c r="F50" s="341"/>
      <c r="G50" s="148"/>
      <c r="H50" s="341"/>
      <c r="I50" s="341"/>
      <c r="J50" s="341"/>
      <c r="K50" s="148"/>
      <c r="L50" s="341"/>
      <c r="M50" s="341"/>
      <c r="N50" s="341"/>
      <c r="O50" s="341"/>
      <c r="P50" s="341"/>
      <c r="Q50" s="341"/>
      <c r="R50" s="341"/>
      <c r="S50" s="341"/>
      <c r="T50" s="341"/>
      <c r="U50" s="488"/>
      <c r="V50" s="676"/>
      <c r="W50" s="724"/>
      <c r="X50" s="452"/>
      <c r="Y50" s="341"/>
      <c r="Z50" s="341"/>
      <c r="AA50" s="341"/>
      <c r="AB50" s="341"/>
      <c r="AC50" s="341"/>
      <c r="AD50" s="341"/>
      <c r="AE50" s="341"/>
      <c r="AF50" s="148"/>
      <c r="AG50" s="341"/>
      <c r="AH50" s="341"/>
      <c r="AI50" s="341"/>
      <c r="AJ50" s="341"/>
      <c r="AK50" s="341"/>
      <c r="AL50" s="341"/>
      <c r="AM50" s="341"/>
      <c r="AN50" s="341"/>
      <c r="AO50" s="341"/>
      <c r="AP50" s="341"/>
      <c r="AQ50" s="341"/>
      <c r="AR50" s="341"/>
      <c r="AS50" s="341"/>
      <c r="AT50" s="341"/>
      <c r="AU50" s="341"/>
      <c r="AV50" s="341"/>
      <c r="AW50" s="341"/>
      <c r="AX50" s="341"/>
      <c r="AY50" s="341"/>
      <c r="AZ50" s="147"/>
      <c r="BA50" s="147"/>
      <c r="BB50" s="606"/>
      <c r="BC50" s="341"/>
      <c r="BD50" s="341"/>
      <c r="BE50" s="147"/>
      <c r="BF50" s="606"/>
      <c r="BG50" s="606"/>
      <c r="BH50" s="606"/>
      <c r="BI50" s="606"/>
      <c r="BJ50" s="606"/>
      <c r="BK50" s="606"/>
      <c r="BL50" s="606"/>
      <c r="BM50" s="606"/>
    </row>
    <row r="51" ht="15.75" customHeight="1">
      <c r="A51" s="341"/>
      <c r="B51" s="341"/>
      <c r="C51" s="1056"/>
      <c r="D51" s="488"/>
      <c r="E51" s="148"/>
      <c r="F51" s="341"/>
      <c r="G51" s="148"/>
      <c r="H51" s="341"/>
      <c r="I51" s="341"/>
      <c r="J51" s="341"/>
      <c r="K51" s="148"/>
      <c r="L51" s="341"/>
      <c r="M51" s="341"/>
      <c r="N51" s="341"/>
      <c r="O51" s="341"/>
      <c r="P51" s="341"/>
      <c r="Q51" s="341"/>
      <c r="R51" s="341"/>
      <c r="S51" s="341"/>
      <c r="T51" s="341"/>
      <c r="U51" s="488"/>
      <c r="V51" s="676"/>
      <c r="W51" s="724"/>
      <c r="X51" s="452"/>
      <c r="Y51" s="341"/>
      <c r="Z51" s="341"/>
      <c r="AA51" s="341"/>
      <c r="AB51" s="341"/>
      <c r="AC51" s="341"/>
      <c r="AD51" s="341"/>
      <c r="AE51" s="341"/>
      <c r="AF51" s="148"/>
      <c r="AG51" s="341"/>
      <c r="AH51" s="341"/>
      <c r="AI51" s="341"/>
      <c r="AJ51" s="341"/>
      <c r="AK51" s="341"/>
      <c r="AL51" s="341"/>
      <c r="AM51" s="341"/>
      <c r="AN51" s="341"/>
      <c r="AO51" s="341"/>
      <c r="AP51" s="341"/>
      <c r="AQ51" s="341"/>
      <c r="AR51" s="341"/>
      <c r="AS51" s="341"/>
      <c r="AT51" s="341"/>
      <c r="AU51" s="341"/>
      <c r="AV51" s="341"/>
      <c r="AW51" s="341"/>
      <c r="AX51" s="341"/>
      <c r="AY51" s="341"/>
      <c r="AZ51" s="147"/>
      <c r="BA51" s="147"/>
      <c r="BB51" s="606"/>
      <c r="BC51" s="341"/>
      <c r="BD51" s="341"/>
      <c r="BE51" s="147"/>
      <c r="BF51" s="606"/>
      <c r="BG51" s="606"/>
      <c r="BH51" s="606"/>
      <c r="BI51" s="606"/>
      <c r="BJ51" s="606"/>
      <c r="BK51" s="606"/>
      <c r="BL51" s="606"/>
      <c r="BM51" s="606"/>
    </row>
    <row r="52" ht="15.75" customHeight="1">
      <c r="A52" s="341"/>
      <c r="B52" s="341"/>
      <c r="C52" s="1056"/>
      <c r="D52" s="488"/>
      <c r="E52" s="148"/>
      <c r="F52" s="341"/>
      <c r="G52" s="148"/>
      <c r="H52" s="341"/>
      <c r="I52" s="341"/>
      <c r="J52" s="341"/>
      <c r="K52" s="148"/>
      <c r="L52" s="341"/>
      <c r="M52" s="341"/>
      <c r="N52" s="341"/>
      <c r="O52" s="341"/>
      <c r="P52" s="341"/>
      <c r="Q52" s="341"/>
      <c r="R52" s="341"/>
      <c r="S52" s="341"/>
      <c r="T52" s="341"/>
      <c r="U52" s="488"/>
      <c r="V52" s="676"/>
      <c r="W52" s="724"/>
      <c r="X52" s="452"/>
      <c r="Y52" s="341"/>
      <c r="Z52" s="341"/>
      <c r="AA52" s="341"/>
      <c r="AB52" s="341"/>
      <c r="AC52" s="341"/>
      <c r="AD52" s="341"/>
      <c r="AE52" s="341"/>
      <c r="AF52" s="148"/>
      <c r="AG52" s="341"/>
      <c r="AH52" s="341"/>
      <c r="AI52" s="341"/>
      <c r="AJ52" s="341"/>
      <c r="AK52" s="341"/>
      <c r="AL52" s="341"/>
      <c r="AM52" s="341"/>
      <c r="AN52" s="341"/>
      <c r="AO52" s="341"/>
      <c r="AP52" s="341"/>
      <c r="AQ52" s="341"/>
      <c r="AR52" s="341"/>
      <c r="AS52" s="341"/>
      <c r="AT52" s="341"/>
      <c r="AU52" s="341"/>
      <c r="AV52" s="341"/>
      <c r="AW52" s="341"/>
      <c r="AX52" s="341"/>
      <c r="AY52" s="341"/>
      <c r="AZ52" s="147"/>
      <c r="BA52" s="147"/>
      <c r="BB52" s="606"/>
      <c r="BC52" s="341"/>
      <c r="BD52" s="341"/>
      <c r="BE52" s="147"/>
      <c r="BF52" s="606"/>
      <c r="BG52" s="606"/>
      <c r="BH52" s="606"/>
      <c r="BI52" s="606"/>
      <c r="BJ52" s="606"/>
      <c r="BK52" s="606"/>
      <c r="BL52" s="606"/>
      <c r="BM52" s="606"/>
    </row>
    <row r="53" ht="15.75" customHeight="1">
      <c r="A53" s="341"/>
      <c r="B53" s="341"/>
      <c r="C53" s="1056"/>
      <c r="D53" s="488"/>
      <c r="E53" s="148"/>
      <c r="F53" s="341"/>
      <c r="G53" s="148"/>
      <c r="H53" s="341"/>
      <c r="I53" s="341"/>
      <c r="J53" s="341"/>
      <c r="K53" s="148"/>
      <c r="L53" s="341"/>
      <c r="M53" s="341"/>
      <c r="N53" s="341"/>
      <c r="O53" s="341"/>
      <c r="P53" s="341"/>
      <c r="Q53" s="341"/>
      <c r="R53" s="341"/>
      <c r="S53" s="341"/>
      <c r="T53" s="341"/>
      <c r="U53" s="488"/>
      <c r="V53" s="676"/>
      <c r="W53" s="724"/>
      <c r="X53" s="452"/>
      <c r="Y53" s="341"/>
      <c r="Z53" s="341"/>
      <c r="AA53" s="341"/>
      <c r="AB53" s="341"/>
      <c r="AC53" s="341"/>
      <c r="AD53" s="341"/>
      <c r="AE53" s="341"/>
      <c r="AF53" s="148"/>
      <c r="AG53" s="341"/>
      <c r="AH53" s="341"/>
      <c r="AI53" s="341"/>
      <c r="AJ53" s="341"/>
      <c r="AK53" s="341"/>
      <c r="AL53" s="341"/>
      <c r="AM53" s="341"/>
      <c r="AN53" s="341"/>
      <c r="AO53" s="341"/>
      <c r="AP53" s="341"/>
      <c r="AQ53" s="341"/>
      <c r="AR53" s="341"/>
      <c r="AS53" s="341"/>
      <c r="AT53" s="341"/>
      <c r="AU53" s="341"/>
      <c r="AV53" s="341"/>
      <c r="AW53" s="341"/>
      <c r="AX53" s="341"/>
      <c r="AY53" s="341"/>
      <c r="AZ53" s="147"/>
      <c r="BA53" s="147"/>
      <c r="BB53" s="606"/>
      <c r="BC53" s="341"/>
      <c r="BD53" s="341"/>
      <c r="BE53" s="147"/>
      <c r="BF53" s="606"/>
      <c r="BG53" s="606"/>
      <c r="BH53" s="606"/>
      <c r="BI53" s="606"/>
      <c r="BJ53" s="606"/>
      <c r="BK53" s="606"/>
      <c r="BL53" s="606"/>
      <c r="BM53" s="606"/>
    </row>
    <row r="54" ht="15.75" customHeight="1">
      <c r="A54" s="341"/>
      <c r="B54" s="341"/>
      <c r="C54" s="1056"/>
      <c r="D54" s="488"/>
      <c r="E54" s="148"/>
      <c r="F54" s="341"/>
      <c r="G54" s="148"/>
      <c r="H54" s="341"/>
      <c r="I54" s="341"/>
      <c r="J54" s="341"/>
      <c r="K54" s="148"/>
      <c r="L54" s="341"/>
      <c r="M54" s="341"/>
      <c r="N54" s="341"/>
      <c r="O54" s="341"/>
      <c r="P54" s="341"/>
      <c r="Q54" s="341"/>
      <c r="R54" s="341"/>
      <c r="S54" s="341"/>
      <c r="T54" s="341"/>
      <c r="U54" s="488"/>
      <c r="V54" s="676"/>
      <c r="W54" s="724"/>
      <c r="X54" s="452"/>
      <c r="Y54" s="341"/>
      <c r="Z54" s="341"/>
      <c r="AA54" s="341"/>
      <c r="AB54" s="341"/>
      <c r="AC54" s="341"/>
      <c r="AD54" s="341"/>
      <c r="AE54" s="341"/>
      <c r="AF54" s="148"/>
      <c r="AG54" s="341"/>
      <c r="AH54" s="341"/>
      <c r="AI54" s="341"/>
      <c r="AJ54" s="341"/>
      <c r="AK54" s="341"/>
      <c r="AL54" s="341"/>
      <c r="AM54" s="341"/>
      <c r="AN54" s="341"/>
      <c r="AO54" s="341"/>
      <c r="AP54" s="341"/>
      <c r="AQ54" s="341"/>
      <c r="AR54" s="341"/>
      <c r="AS54" s="341"/>
      <c r="AT54" s="341"/>
      <c r="AU54" s="341"/>
      <c r="AV54" s="341"/>
      <c r="AW54" s="341"/>
      <c r="AX54" s="341"/>
      <c r="AY54" s="341"/>
      <c r="AZ54" s="147"/>
      <c r="BA54" s="147"/>
      <c r="BB54" s="606"/>
      <c r="BC54" s="341"/>
      <c r="BD54" s="341"/>
      <c r="BE54" s="147"/>
      <c r="BF54" s="606"/>
      <c r="BG54" s="606"/>
      <c r="BH54" s="606"/>
      <c r="BI54" s="606"/>
      <c r="BJ54" s="606"/>
      <c r="BK54" s="606"/>
      <c r="BL54" s="606"/>
      <c r="BM54" s="606"/>
    </row>
    <row r="55" ht="15.75" customHeight="1">
      <c r="A55" s="341"/>
      <c r="B55" s="341"/>
      <c r="C55" s="1056"/>
      <c r="D55" s="488"/>
      <c r="E55" s="148"/>
      <c r="F55" s="341"/>
      <c r="G55" s="148"/>
      <c r="H55" s="341"/>
      <c r="I55" s="341"/>
      <c r="J55" s="341"/>
      <c r="K55" s="148"/>
      <c r="L55" s="341"/>
      <c r="M55" s="341"/>
      <c r="N55" s="341"/>
      <c r="O55" s="341"/>
      <c r="P55" s="341"/>
      <c r="Q55" s="341"/>
      <c r="R55" s="341"/>
      <c r="S55" s="341"/>
      <c r="T55" s="341"/>
      <c r="U55" s="488"/>
      <c r="V55" s="676"/>
      <c r="W55" s="724"/>
      <c r="X55" s="452"/>
      <c r="Y55" s="341"/>
      <c r="Z55" s="341"/>
      <c r="AA55" s="341"/>
      <c r="AB55" s="341"/>
      <c r="AC55" s="341"/>
      <c r="AD55" s="341"/>
      <c r="AE55" s="341"/>
      <c r="AF55" s="148"/>
      <c r="AG55" s="341"/>
      <c r="AH55" s="341"/>
      <c r="AI55" s="341"/>
      <c r="AJ55" s="341"/>
      <c r="AK55" s="341"/>
      <c r="AL55" s="341"/>
      <c r="AM55" s="341"/>
      <c r="AN55" s="341"/>
      <c r="AO55" s="341"/>
      <c r="AP55" s="341"/>
      <c r="AQ55" s="341"/>
      <c r="AR55" s="341"/>
      <c r="AS55" s="341"/>
      <c r="AT55" s="341"/>
      <c r="AU55" s="341"/>
      <c r="AV55" s="341"/>
      <c r="AW55" s="341"/>
      <c r="AX55" s="341"/>
      <c r="AY55" s="341"/>
      <c r="AZ55" s="147"/>
      <c r="BA55" s="147"/>
      <c r="BB55" s="606"/>
      <c r="BC55" s="341"/>
      <c r="BD55" s="341"/>
      <c r="BE55" s="147"/>
      <c r="BF55" s="606"/>
      <c r="BG55" s="606"/>
      <c r="BH55" s="606"/>
      <c r="BI55" s="606"/>
      <c r="BJ55" s="606"/>
      <c r="BK55" s="606"/>
      <c r="BL55" s="606"/>
      <c r="BM55" s="606"/>
    </row>
    <row r="56" ht="15.75" customHeight="1">
      <c r="A56" s="341"/>
      <c r="B56" s="341"/>
      <c r="C56" s="1056"/>
      <c r="D56" s="488"/>
      <c r="E56" s="148"/>
      <c r="F56" s="341"/>
      <c r="G56" s="148"/>
      <c r="H56" s="341"/>
      <c r="I56" s="341"/>
      <c r="J56" s="341"/>
      <c r="K56" s="148"/>
      <c r="L56" s="341"/>
      <c r="M56" s="341"/>
      <c r="N56" s="341"/>
      <c r="O56" s="341"/>
      <c r="P56" s="341"/>
      <c r="Q56" s="341"/>
      <c r="R56" s="341"/>
      <c r="S56" s="341"/>
      <c r="T56" s="341"/>
      <c r="U56" s="488"/>
      <c r="V56" s="676"/>
      <c r="W56" s="724"/>
      <c r="X56" s="452"/>
      <c r="Y56" s="341"/>
      <c r="Z56" s="341"/>
      <c r="AA56" s="341"/>
      <c r="AB56" s="341"/>
      <c r="AC56" s="341"/>
      <c r="AD56" s="341"/>
      <c r="AE56" s="341"/>
      <c r="AF56" s="148"/>
      <c r="AG56" s="341"/>
      <c r="AH56" s="341"/>
      <c r="AI56" s="341"/>
      <c r="AJ56" s="341"/>
      <c r="AK56" s="341"/>
      <c r="AL56" s="341"/>
      <c r="AM56" s="341"/>
      <c r="AN56" s="341"/>
      <c r="AO56" s="341"/>
      <c r="AP56" s="341"/>
      <c r="AQ56" s="341"/>
      <c r="AR56" s="341"/>
      <c r="AS56" s="341"/>
      <c r="AT56" s="341"/>
      <c r="AU56" s="341"/>
      <c r="AV56" s="341"/>
      <c r="AW56" s="341"/>
      <c r="AX56" s="341"/>
      <c r="AY56" s="341"/>
      <c r="AZ56" s="147"/>
      <c r="BA56" s="147"/>
      <c r="BB56" s="606"/>
      <c r="BC56" s="341"/>
      <c r="BD56" s="341"/>
      <c r="BE56" s="147"/>
      <c r="BF56" s="606"/>
      <c r="BG56" s="606"/>
      <c r="BH56" s="606"/>
      <c r="BI56" s="606"/>
      <c r="BJ56" s="606"/>
      <c r="BK56" s="606"/>
      <c r="BL56" s="606"/>
      <c r="BM56" s="606"/>
    </row>
    <row r="57" ht="15.75" customHeight="1">
      <c r="A57" s="341"/>
      <c r="B57" s="341"/>
      <c r="C57" s="1056"/>
      <c r="D57" s="488"/>
      <c r="E57" s="148"/>
      <c r="F57" s="341"/>
      <c r="G57" s="148"/>
      <c r="H57" s="341"/>
      <c r="I57" s="341"/>
      <c r="J57" s="341"/>
      <c r="K57" s="148"/>
      <c r="L57" s="341"/>
      <c r="M57" s="341"/>
      <c r="N57" s="341"/>
      <c r="O57" s="341"/>
      <c r="P57" s="341"/>
      <c r="Q57" s="341"/>
      <c r="R57" s="341"/>
      <c r="S57" s="341"/>
      <c r="T57" s="341"/>
      <c r="U57" s="488"/>
      <c r="V57" s="676"/>
      <c r="W57" s="724"/>
      <c r="X57" s="452"/>
      <c r="Y57" s="341"/>
      <c r="Z57" s="341"/>
      <c r="AA57" s="341"/>
      <c r="AB57" s="341"/>
      <c r="AC57" s="341"/>
      <c r="AD57" s="341"/>
      <c r="AE57" s="341"/>
      <c r="AF57" s="148"/>
      <c r="AG57" s="341"/>
      <c r="AH57" s="341"/>
      <c r="AI57" s="341"/>
      <c r="AJ57" s="341"/>
      <c r="AK57" s="341"/>
      <c r="AL57" s="341"/>
      <c r="AM57" s="341"/>
      <c r="AN57" s="341"/>
      <c r="AO57" s="341"/>
      <c r="AP57" s="341"/>
      <c r="AQ57" s="341"/>
      <c r="AR57" s="341"/>
      <c r="AS57" s="341"/>
      <c r="AT57" s="341"/>
      <c r="AU57" s="341"/>
      <c r="AV57" s="341"/>
      <c r="AW57" s="341"/>
      <c r="AX57" s="341"/>
      <c r="AY57" s="341"/>
      <c r="AZ57" s="147"/>
      <c r="BA57" s="147"/>
      <c r="BB57" s="606"/>
      <c r="BC57" s="341"/>
      <c r="BD57" s="341"/>
      <c r="BE57" s="147"/>
      <c r="BF57" s="606"/>
      <c r="BG57" s="606"/>
      <c r="BH57" s="606"/>
      <c r="BI57" s="606"/>
      <c r="BJ57" s="606"/>
      <c r="BK57" s="606"/>
      <c r="BL57" s="606"/>
      <c r="BM57" s="606"/>
    </row>
    <row r="58" ht="15.75" customHeight="1">
      <c r="A58" s="341"/>
      <c r="B58" s="341"/>
      <c r="C58" s="1056"/>
      <c r="D58" s="488"/>
      <c r="E58" s="148"/>
      <c r="F58" s="341"/>
      <c r="G58" s="148"/>
      <c r="H58" s="341"/>
      <c r="I58" s="341"/>
      <c r="J58" s="341"/>
      <c r="K58" s="148"/>
      <c r="L58" s="341"/>
      <c r="M58" s="341"/>
      <c r="N58" s="341"/>
      <c r="O58" s="341"/>
      <c r="P58" s="341"/>
      <c r="Q58" s="341"/>
      <c r="R58" s="341"/>
      <c r="S58" s="341"/>
      <c r="T58" s="341"/>
      <c r="U58" s="147"/>
      <c r="V58" s="676"/>
      <c r="W58" s="452"/>
      <c r="X58" s="452"/>
      <c r="Y58" s="341"/>
      <c r="Z58" s="341"/>
      <c r="AA58" s="341"/>
      <c r="AB58" s="341"/>
      <c r="AC58" s="341"/>
      <c r="AD58" s="341"/>
      <c r="AE58" s="341"/>
      <c r="AF58" s="341"/>
      <c r="AG58" s="341"/>
      <c r="AH58" s="341"/>
      <c r="AI58" s="341"/>
      <c r="AJ58" s="341"/>
      <c r="AK58" s="341"/>
      <c r="AL58" s="341"/>
      <c r="AM58" s="341"/>
      <c r="AN58" s="341"/>
      <c r="AO58" s="341"/>
      <c r="AP58" s="341"/>
      <c r="AQ58" s="341"/>
      <c r="AR58" s="341"/>
      <c r="AS58" s="341"/>
      <c r="AT58" s="341"/>
      <c r="AU58" s="341"/>
      <c r="AV58" s="341"/>
      <c r="AW58" s="341"/>
      <c r="AX58" s="341"/>
      <c r="AY58" s="341"/>
      <c r="AZ58" s="147"/>
      <c r="BA58" s="147"/>
      <c r="BB58" s="606"/>
      <c r="BC58" s="341"/>
      <c r="BD58" s="341"/>
      <c r="BE58" s="147"/>
      <c r="BF58" s="606"/>
      <c r="BG58" s="606"/>
      <c r="BH58" s="606"/>
      <c r="BI58" s="606"/>
      <c r="BJ58" s="606"/>
      <c r="BK58" s="606"/>
      <c r="BL58" s="606"/>
      <c r="BM58" s="606"/>
    </row>
    <row r="59" ht="15.75" customHeight="1">
      <c r="A59" s="341"/>
      <c r="B59" s="341"/>
      <c r="C59" s="1056"/>
      <c r="D59" s="488"/>
      <c r="E59" s="148"/>
      <c r="F59" s="341"/>
      <c r="G59" s="148"/>
      <c r="H59" s="341"/>
      <c r="I59" s="341"/>
      <c r="J59" s="341"/>
      <c r="K59" s="148"/>
      <c r="L59" s="341"/>
      <c r="M59" s="341"/>
      <c r="N59" s="341"/>
      <c r="O59" s="341"/>
      <c r="P59" s="341"/>
      <c r="Q59" s="341"/>
      <c r="R59" s="341"/>
      <c r="S59" s="341"/>
      <c r="T59" s="341"/>
      <c r="U59" s="147"/>
      <c r="V59" s="676"/>
      <c r="W59" s="452"/>
      <c r="X59" s="452"/>
      <c r="Y59" s="341"/>
      <c r="Z59" s="341"/>
      <c r="AA59" s="341"/>
      <c r="AB59" s="341"/>
      <c r="AC59" s="341"/>
      <c r="AD59" s="341"/>
      <c r="AE59" s="341"/>
      <c r="AF59" s="341"/>
      <c r="AG59" s="341"/>
      <c r="AH59" s="341"/>
      <c r="AI59" s="341"/>
      <c r="AJ59" s="341"/>
      <c r="AK59" s="341"/>
      <c r="AL59" s="341"/>
      <c r="AM59" s="341"/>
      <c r="AN59" s="341"/>
      <c r="AO59" s="341"/>
      <c r="AP59" s="341"/>
      <c r="AQ59" s="341"/>
      <c r="AR59" s="341"/>
      <c r="AS59" s="341"/>
      <c r="AT59" s="341"/>
      <c r="AU59" s="341"/>
      <c r="AV59" s="341"/>
      <c r="AW59" s="341"/>
      <c r="AX59" s="341"/>
      <c r="AY59" s="341"/>
      <c r="AZ59" s="147"/>
      <c r="BA59" s="147"/>
      <c r="BB59" s="606"/>
      <c r="BC59" s="341"/>
      <c r="BD59" s="341"/>
      <c r="BE59" s="147"/>
      <c r="BF59" s="606"/>
      <c r="BG59" s="606"/>
      <c r="BH59" s="606"/>
      <c r="BI59" s="606"/>
      <c r="BJ59" s="606"/>
      <c r="BK59" s="606"/>
      <c r="BL59" s="606"/>
      <c r="BM59" s="606"/>
    </row>
    <row r="60" ht="15.75" customHeight="1">
      <c r="A60" s="341"/>
      <c r="B60" s="341"/>
      <c r="C60" s="1056"/>
      <c r="D60" s="488"/>
      <c r="E60" s="148"/>
      <c r="F60" s="341"/>
      <c r="G60" s="148"/>
      <c r="H60" s="341"/>
      <c r="I60" s="341"/>
      <c r="J60" s="341"/>
      <c r="K60" s="148"/>
      <c r="L60" s="341"/>
      <c r="M60" s="341"/>
      <c r="N60" s="341"/>
      <c r="O60" s="341"/>
      <c r="P60" s="341"/>
      <c r="Q60" s="341"/>
      <c r="R60" s="341"/>
      <c r="S60" s="341"/>
      <c r="T60" s="341"/>
      <c r="U60" s="147"/>
      <c r="V60" s="676"/>
      <c r="W60" s="452"/>
      <c r="X60" s="452"/>
      <c r="Y60" s="341"/>
      <c r="Z60" s="341"/>
      <c r="AA60" s="341"/>
      <c r="AB60" s="341"/>
      <c r="AC60" s="341"/>
      <c r="AD60" s="341"/>
      <c r="AE60" s="341"/>
      <c r="AF60" s="341"/>
      <c r="AG60" s="341"/>
      <c r="AH60" s="341"/>
      <c r="AI60" s="341"/>
      <c r="AJ60" s="341"/>
      <c r="AK60" s="341"/>
      <c r="AL60" s="341"/>
      <c r="AM60" s="341"/>
      <c r="AN60" s="341"/>
      <c r="AO60" s="341"/>
      <c r="AP60" s="341"/>
      <c r="AQ60" s="341"/>
      <c r="AR60" s="341"/>
      <c r="AS60" s="341"/>
      <c r="AT60" s="341"/>
      <c r="AU60" s="341"/>
      <c r="AV60" s="341"/>
      <c r="AW60" s="341"/>
      <c r="AX60" s="341"/>
      <c r="AY60" s="341"/>
      <c r="AZ60" s="147"/>
      <c r="BA60" s="147"/>
      <c r="BB60" s="606"/>
      <c r="BC60" s="341"/>
      <c r="BD60" s="341"/>
      <c r="BE60" s="147"/>
      <c r="BF60" s="606"/>
      <c r="BG60" s="606"/>
      <c r="BH60" s="606"/>
      <c r="BI60" s="606"/>
      <c r="BJ60" s="606"/>
      <c r="BK60" s="606"/>
      <c r="BL60" s="606"/>
      <c r="BM60" s="606"/>
    </row>
    <row r="61" ht="15.75" customHeight="1">
      <c r="A61" s="341"/>
      <c r="B61" s="341"/>
      <c r="C61" s="1056"/>
      <c r="D61" s="488"/>
      <c r="E61" s="148"/>
      <c r="F61" s="341"/>
      <c r="G61" s="148"/>
      <c r="H61" s="341"/>
      <c r="I61" s="341"/>
      <c r="J61" s="341"/>
      <c r="K61" s="148"/>
      <c r="L61" s="341"/>
      <c r="M61" s="341"/>
      <c r="N61" s="341"/>
      <c r="O61" s="341"/>
      <c r="P61" s="341"/>
      <c r="Q61" s="341"/>
      <c r="R61" s="341"/>
      <c r="S61" s="341"/>
      <c r="T61" s="341"/>
      <c r="U61" s="147"/>
      <c r="V61" s="676"/>
      <c r="W61" s="452"/>
      <c r="X61" s="452"/>
      <c r="Y61" s="341"/>
      <c r="Z61" s="341"/>
      <c r="AA61" s="341"/>
      <c r="AB61" s="341"/>
      <c r="AC61" s="341"/>
      <c r="AD61" s="341"/>
      <c r="AE61" s="341"/>
      <c r="AF61" s="341"/>
      <c r="AG61" s="341"/>
      <c r="AH61" s="341"/>
      <c r="AI61" s="341"/>
      <c r="AJ61" s="341"/>
      <c r="AK61" s="341"/>
      <c r="AL61" s="341"/>
      <c r="AM61" s="341"/>
      <c r="AN61" s="341"/>
      <c r="AO61" s="341"/>
      <c r="AP61" s="341"/>
      <c r="AQ61" s="341"/>
      <c r="AR61" s="341"/>
      <c r="AS61" s="341"/>
      <c r="AT61" s="341"/>
      <c r="AU61" s="341"/>
      <c r="AV61" s="341"/>
      <c r="AW61" s="341"/>
      <c r="AX61" s="341"/>
      <c r="AY61" s="341"/>
      <c r="AZ61" s="147"/>
      <c r="BA61" s="147"/>
      <c r="BB61" s="606"/>
      <c r="BC61" s="341"/>
      <c r="BD61" s="341"/>
      <c r="BE61" s="147"/>
      <c r="BF61" s="606"/>
      <c r="BG61" s="606"/>
      <c r="BH61" s="606"/>
      <c r="BI61" s="606"/>
      <c r="BJ61" s="606"/>
      <c r="BK61" s="606"/>
      <c r="BL61" s="606"/>
      <c r="BM61" s="606"/>
    </row>
    <row r="62" ht="15.75" customHeight="1">
      <c r="A62" s="341"/>
      <c r="B62" s="341"/>
      <c r="C62" s="1056"/>
      <c r="D62" s="488"/>
      <c r="E62" s="148"/>
      <c r="F62" s="341"/>
      <c r="G62" s="148"/>
      <c r="H62" s="341"/>
      <c r="I62" s="341"/>
      <c r="J62" s="341"/>
      <c r="K62" s="148"/>
      <c r="L62" s="341"/>
      <c r="M62" s="341"/>
      <c r="N62" s="341"/>
      <c r="O62" s="341"/>
      <c r="P62" s="341"/>
      <c r="Q62" s="341"/>
      <c r="R62" s="341"/>
      <c r="S62" s="341"/>
      <c r="T62" s="341"/>
      <c r="U62" s="147"/>
      <c r="V62" s="676"/>
      <c r="W62" s="452"/>
      <c r="X62" s="452"/>
      <c r="Y62" s="341"/>
      <c r="Z62" s="341"/>
      <c r="AA62" s="341"/>
      <c r="AB62" s="341"/>
      <c r="AC62" s="341"/>
      <c r="AD62" s="341"/>
      <c r="AE62" s="341"/>
      <c r="AF62" s="341"/>
      <c r="AG62" s="341"/>
      <c r="AH62" s="341"/>
      <c r="AI62" s="341"/>
      <c r="AJ62" s="341"/>
      <c r="AK62" s="341"/>
      <c r="AL62" s="341"/>
      <c r="AM62" s="341"/>
      <c r="AN62" s="341"/>
      <c r="AO62" s="341"/>
      <c r="AP62" s="341"/>
      <c r="AQ62" s="341"/>
      <c r="AR62" s="341"/>
      <c r="AS62" s="341"/>
      <c r="AT62" s="341"/>
      <c r="AU62" s="341"/>
      <c r="AV62" s="341"/>
      <c r="AW62" s="341"/>
      <c r="AX62" s="341"/>
      <c r="AY62" s="341"/>
      <c r="AZ62" s="147"/>
      <c r="BA62" s="147"/>
      <c r="BB62" s="606"/>
      <c r="BC62" s="341"/>
      <c r="BD62" s="341"/>
      <c r="BE62" s="147"/>
      <c r="BF62" s="606"/>
      <c r="BG62" s="606"/>
      <c r="BH62" s="606"/>
      <c r="BI62" s="606"/>
      <c r="BJ62" s="606"/>
      <c r="BK62" s="606"/>
      <c r="BL62" s="606"/>
      <c r="BM62" s="606"/>
    </row>
    <row r="63" ht="15.75" customHeight="1">
      <c r="A63" s="341"/>
      <c r="B63" s="341"/>
      <c r="C63" s="1056"/>
      <c r="D63" s="488"/>
      <c r="E63" s="148"/>
      <c r="F63" s="341"/>
      <c r="G63" s="148"/>
      <c r="H63" s="341"/>
      <c r="I63" s="341"/>
      <c r="J63" s="341"/>
      <c r="K63" s="148"/>
      <c r="L63" s="341"/>
      <c r="M63" s="341"/>
      <c r="N63" s="341"/>
      <c r="O63" s="341"/>
      <c r="P63" s="341"/>
      <c r="Q63" s="341"/>
      <c r="R63" s="341"/>
      <c r="S63" s="341"/>
      <c r="T63" s="341"/>
      <c r="U63" s="147"/>
      <c r="V63" s="676"/>
      <c r="W63" s="452"/>
      <c r="X63" s="452"/>
      <c r="Y63" s="341"/>
      <c r="Z63" s="341"/>
      <c r="AA63" s="341"/>
      <c r="AB63" s="341"/>
      <c r="AC63" s="341"/>
      <c r="AD63" s="341"/>
      <c r="AE63" s="341"/>
      <c r="AF63" s="341"/>
      <c r="AG63" s="341"/>
      <c r="AH63" s="341"/>
      <c r="AI63" s="341"/>
      <c r="AJ63" s="341"/>
      <c r="AK63" s="341"/>
      <c r="AL63" s="341"/>
      <c r="AM63" s="341"/>
      <c r="AN63" s="341"/>
      <c r="AO63" s="341"/>
      <c r="AP63" s="341"/>
      <c r="AQ63" s="341"/>
      <c r="AR63" s="341"/>
      <c r="AS63" s="341"/>
      <c r="AT63" s="341"/>
      <c r="AU63" s="341"/>
      <c r="AV63" s="341"/>
      <c r="AW63" s="341"/>
      <c r="AX63" s="341"/>
      <c r="AY63" s="341"/>
      <c r="AZ63" s="147"/>
      <c r="BA63" s="147"/>
      <c r="BB63" s="606"/>
      <c r="BC63" s="341"/>
      <c r="BD63" s="341"/>
      <c r="BE63" s="147"/>
      <c r="BF63" s="606"/>
      <c r="BG63" s="606"/>
      <c r="BH63" s="606"/>
      <c r="BI63" s="606"/>
      <c r="BJ63" s="606"/>
      <c r="BK63" s="606"/>
      <c r="BL63" s="606"/>
      <c r="BM63" s="606"/>
    </row>
    <row r="64" ht="15.75" customHeight="1">
      <c r="A64" s="341"/>
      <c r="B64" s="341"/>
      <c r="C64" s="1056"/>
      <c r="D64" s="488"/>
      <c r="E64" s="148"/>
      <c r="F64" s="341"/>
      <c r="G64" s="148"/>
      <c r="H64" s="341"/>
      <c r="I64" s="341"/>
      <c r="J64" s="341"/>
      <c r="K64" s="148"/>
      <c r="L64" s="341"/>
      <c r="M64" s="341"/>
      <c r="N64" s="341"/>
      <c r="O64" s="341"/>
      <c r="P64" s="341"/>
      <c r="Q64" s="341"/>
      <c r="R64" s="341"/>
      <c r="S64" s="341"/>
      <c r="T64" s="341"/>
      <c r="U64" s="147"/>
      <c r="V64" s="676"/>
      <c r="W64" s="452"/>
      <c r="X64" s="452"/>
      <c r="Y64" s="341"/>
      <c r="Z64" s="341"/>
      <c r="AA64" s="341"/>
      <c r="AB64" s="341"/>
      <c r="AC64" s="341"/>
      <c r="AD64" s="341"/>
      <c r="AE64" s="341"/>
      <c r="AF64" s="341"/>
      <c r="AG64" s="341"/>
      <c r="AH64" s="341"/>
      <c r="AI64" s="341"/>
      <c r="AJ64" s="341"/>
      <c r="AK64" s="341"/>
      <c r="AL64" s="341"/>
      <c r="AM64" s="341"/>
      <c r="AN64" s="341"/>
      <c r="AO64" s="341"/>
      <c r="AP64" s="341"/>
      <c r="AQ64" s="341"/>
      <c r="AR64" s="341"/>
      <c r="AS64" s="341"/>
      <c r="AT64" s="341"/>
      <c r="AU64" s="341"/>
      <c r="AV64" s="341"/>
      <c r="AW64" s="341"/>
      <c r="AX64" s="341"/>
      <c r="AY64" s="341"/>
      <c r="AZ64" s="147"/>
      <c r="BA64" s="147"/>
      <c r="BB64" s="606"/>
      <c r="BC64" s="341"/>
      <c r="BD64" s="341"/>
      <c r="BE64" s="147"/>
      <c r="BF64" s="606"/>
      <c r="BG64" s="606"/>
      <c r="BH64" s="606"/>
      <c r="BI64" s="606"/>
      <c r="BJ64" s="606"/>
      <c r="BK64" s="606"/>
      <c r="BL64" s="606"/>
      <c r="BM64" s="606"/>
    </row>
    <row r="65" ht="15.75" customHeight="1">
      <c r="A65" s="341"/>
      <c r="B65" s="341"/>
      <c r="C65" s="1056"/>
      <c r="D65" s="488"/>
      <c r="E65" s="148"/>
      <c r="F65" s="341"/>
      <c r="G65" s="148"/>
      <c r="H65" s="341"/>
      <c r="I65" s="341"/>
      <c r="J65" s="341"/>
      <c r="K65" s="148"/>
      <c r="L65" s="341"/>
      <c r="M65" s="341"/>
      <c r="N65" s="341"/>
      <c r="O65" s="341"/>
      <c r="P65" s="341"/>
      <c r="Q65" s="341"/>
      <c r="R65" s="341"/>
      <c r="S65" s="341"/>
      <c r="T65" s="341"/>
      <c r="U65" s="147"/>
      <c r="V65" s="676"/>
      <c r="W65" s="452"/>
      <c r="X65" s="452"/>
      <c r="Y65" s="341"/>
      <c r="Z65" s="341"/>
      <c r="AA65" s="341"/>
      <c r="AB65" s="341"/>
      <c r="AC65" s="341"/>
      <c r="AD65" s="341"/>
      <c r="AE65" s="341"/>
      <c r="AF65" s="341"/>
      <c r="AG65" s="341"/>
      <c r="AH65" s="341"/>
      <c r="AI65" s="341"/>
      <c r="AJ65" s="341"/>
      <c r="AK65" s="341"/>
      <c r="AL65" s="341"/>
      <c r="AM65" s="341"/>
      <c r="AN65" s="341"/>
      <c r="AO65" s="341"/>
      <c r="AP65" s="341"/>
      <c r="AQ65" s="341"/>
      <c r="AR65" s="341"/>
      <c r="AS65" s="341"/>
      <c r="AT65" s="341"/>
      <c r="AU65" s="341"/>
      <c r="AV65" s="341"/>
      <c r="AW65" s="341"/>
      <c r="AX65" s="341"/>
      <c r="AY65" s="341"/>
      <c r="AZ65" s="147"/>
      <c r="BA65" s="147"/>
      <c r="BB65" s="606"/>
      <c r="BC65" s="341"/>
      <c r="BD65" s="341"/>
      <c r="BE65" s="147"/>
      <c r="BF65" s="606"/>
      <c r="BG65" s="606"/>
      <c r="BH65" s="606"/>
      <c r="BI65" s="606"/>
      <c r="BJ65" s="606"/>
      <c r="BK65" s="606"/>
      <c r="BL65" s="606"/>
      <c r="BM65" s="606"/>
    </row>
    <row r="66" ht="15.75" customHeight="1">
      <c r="A66" s="341"/>
      <c r="B66" s="341"/>
      <c r="C66" s="1056"/>
      <c r="D66" s="488"/>
      <c r="E66" s="148"/>
      <c r="F66" s="341"/>
      <c r="G66" s="148"/>
      <c r="H66" s="341"/>
      <c r="I66" s="341"/>
      <c r="J66" s="341"/>
      <c r="K66" s="148"/>
      <c r="L66" s="341"/>
      <c r="M66" s="341"/>
      <c r="N66" s="341"/>
      <c r="O66" s="341"/>
      <c r="P66" s="341"/>
      <c r="Q66" s="341"/>
      <c r="R66" s="341"/>
      <c r="S66" s="341"/>
      <c r="T66" s="341"/>
      <c r="U66" s="147"/>
      <c r="V66" s="676"/>
      <c r="W66" s="452"/>
      <c r="X66" s="452"/>
      <c r="Y66" s="341"/>
      <c r="Z66" s="341"/>
      <c r="AA66" s="341"/>
      <c r="AB66" s="341"/>
      <c r="AC66" s="341"/>
      <c r="AD66" s="341"/>
      <c r="AE66" s="341"/>
      <c r="AF66" s="341"/>
      <c r="AG66" s="341"/>
      <c r="AH66" s="341"/>
      <c r="AI66" s="341"/>
      <c r="AJ66" s="341"/>
      <c r="AK66" s="341"/>
      <c r="AL66" s="341"/>
      <c r="AM66" s="341"/>
      <c r="AN66" s="341"/>
      <c r="AO66" s="341"/>
      <c r="AP66" s="341"/>
      <c r="AQ66" s="341"/>
      <c r="AR66" s="341"/>
      <c r="AS66" s="341"/>
      <c r="AT66" s="341"/>
      <c r="AU66" s="341"/>
      <c r="AV66" s="341"/>
      <c r="AW66" s="341"/>
      <c r="AX66" s="341"/>
      <c r="AY66" s="341"/>
      <c r="AZ66" s="147"/>
      <c r="BA66" s="147"/>
      <c r="BB66" s="606"/>
      <c r="BC66" s="341"/>
      <c r="BD66" s="341"/>
      <c r="BE66" s="147"/>
      <c r="BF66" s="606"/>
      <c r="BG66" s="606"/>
      <c r="BH66" s="606"/>
      <c r="BI66" s="606"/>
      <c r="BJ66" s="606"/>
      <c r="BK66" s="606"/>
      <c r="BL66" s="606"/>
      <c r="BM66" s="606"/>
    </row>
    <row r="67" ht="15.75" customHeight="1">
      <c r="A67" s="341"/>
      <c r="B67" s="341"/>
      <c r="C67" s="1056"/>
      <c r="D67" s="488"/>
      <c r="E67" s="148"/>
      <c r="F67" s="341"/>
      <c r="G67" s="148"/>
      <c r="H67" s="341"/>
      <c r="I67" s="341"/>
      <c r="J67" s="341"/>
      <c r="K67" s="148"/>
      <c r="L67" s="341"/>
      <c r="M67" s="341"/>
      <c r="N67" s="341"/>
      <c r="O67" s="341"/>
      <c r="P67" s="341"/>
      <c r="Q67" s="341"/>
      <c r="R67" s="341"/>
      <c r="S67" s="341"/>
      <c r="T67" s="341"/>
      <c r="U67" s="147"/>
      <c r="V67" s="676"/>
      <c r="W67" s="452"/>
      <c r="X67" s="452"/>
      <c r="Y67" s="341"/>
      <c r="Z67" s="341"/>
      <c r="AA67" s="341"/>
      <c r="AB67" s="341"/>
      <c r="AC67" s="341"/>
      <c r="AD67" s="341"/>
      <c r="AE67" s="341"/>
      <c r="AF67" s="341"/>
      <c r="AG67" s="341"/>
      <c r="AH67" s="341"/>
      <c r="AI67" s="341"/>
      <c r="AJ67" s="341"/>
      <c r="AK67" s="341"/>
      <c r="AL67" s="341"/>
      <c r="AM67" s="341"/>
      <c r="AN67" s="341"/>
      <c r="AO67" s="341"/>
      <c r="AP67" s="341"/>
      <c r="AQ67" s="341"/>
      <c r="AR67" s="341"/>
      <c r="AS67" s="341"/>
      <c r="AT67" s="341"/>
      <c r="AU67" s="341"/>
      <c r="AV67" s="341"/>
      <c r="AW67" s="341"/>
      <c r="AX67" s="341"/>
      <c r="AY67" s="341"/>
      <c r="AZ67" s="147"/>
      <c r="BA67" s="147"/>
      <c r="BB67" s="606"/>
      <c r="BC67" s="341"/>
      <c r="BD67" s="341"/>
      <c r="BE67" s="147"/>
      <c r="BF67" s="606"/>
      <c r="BG67" s="606"/>
      <c r="BH67" s="606"/>
      <c r="BI67" s="606"/>
      <c r="BJ67" s="606"/>
      <c r="BK67" s="606"/>
      <c r="BL67" s="606"/>
      <c r="BM67" s="606"/>
    </row>
    <row r="68" ht="15.75" customHeight="1">
      <c r="A68" s="341"/>
      <c r="B68" s="341"/>
      <c r="C68" s="1056"/>
      <c r="D68" s="488"/>
      <c r="E68" s="148"/>
      <c r="F68" s="341"/>
      <c r="G68" s="148"/>
      <c r="H68" s="341"/>
      <c r="I68" s="341"/>
      <c r="J68" s="341"/>
      <c r="K68" s="148"/>
      <c r="L68" s="341"/>
      <c r="M68" s="341"/>
      <c r="N68" s="341"/>
      <c r="O68" s="341"/>
      <c r="P68" s="341"/>
      <c r="Q68" s="341"/>
      <c r="R68" s="341"/>
      <c r="S68" s="341"/>
      <c r="T68" s="341"/>
      <c r="U68" s="147"/>
      <c r="V68" s="676"/>
      <c r="W68" s="452"/>
      <c r="X68" s="452"/>
      <c r="Y68" s="341"/>
      <c r="Z68" s="341"/>
      <c r="AA68" s="341"/>
      <c r="AB68" s="341"/>
      <c r="AC68" s="341"/>
      <c r="AD68" s="341"/>
      <c r="AE68" s="341"/>
      <c r="AF68" s="341"/>
      <c r="AG68" s="341"/>
      <c r="AH68" s="341"/>
      <c r="AI68" s="341"/>
      <c r="AJ68" s="341"/>
      <c r="AK68" s="341"/>
      <c r="AL68" s="341"/>
      <c r="AM68" s="341"/>
      <c r="AN68" s="341"/>
      <c r="AO68" s="341"/>
      <c r="AP68" s="341"/>
      <c r="AQ68" s="341"/>
      <c r="AR68" s="341"/>
      <c r="AS68" s="341"/>
      <c r="AT68" s="341"/>
      <c r="AU68" s="341"/>
      <c r="AV68" s="341"/>
      <c r="AW68" s="341"/>
      <c r="AX68" s="341"/>
      <c r="AY68" s="341"/>
      <c r="AZ68" s="147"/>
      <c r="BA68" s="147"/>
      <c r="BB68" s="606"/>
      <c r="BC68" s="341"/>
      <c r="BD68" s="341"/>
      <c r="BE68" s="147"/>
      <c r="BF68" s="606"/>
      <c r="BG68" s="606"/>
      <c r="BH68" s="606"/>
      <c r="BI68" s="606"/>
      <c r="BJ68" s="606"/>
      <c r="BK68" s="606"/>
      <c r="BL68" s="606"/>
      <c r="BM68" s="606"/>
    </row>
    <row r="69" ht="15.75" customHeight="1">
      <c r="A69" s="341"/>
      <c r="B69" s="341"/>
      <c r="C69" s="1056"/>
      <c r="D69" s="488"/>
      <c r="E69" s="148"/>
      <c r="F69" s="341"/>
      <c r="G69" s="148"/>
      <c r="H69" s="341"/>
      <c r="I69" s="341"/>
      <c r="J69" s="341"/>
      <c r="K69" s="148"/>
      <c r="L69" s="341"/>
      <c r="M69" s="341"/>
      <c r="N69" s="341"/>
      <c r="O69" s="341"/>
      <c r="P69" s="341"/>
      <c r="Q69" s="341"/>
      <c r="R69" s="341"/>
      <c r="S69" s="341"/>
      <c r="T69" s="341"/>
      <c r="U69" s="147"/>
      <c r="V69" s="676"/>
      <c r="W69" s="452"/>
      <c r="X69" s="452"/>
      <c r="Y69" s="341"/>
      <c r="Z69" s="341"/>
      <c r="AA69" s="341"/>
      <c r="AB69" s="341"/>
      <c r="AC69" s="341"/>
      <c r="AD69" s="341"/>
      <c r="AE69" s="341"/>
      <c r="AF69" s="341"/>
      <c r="AG69" s="341"/>
      <c r="AH69" s="341"/>
      <c r="AI69" s="341"/>
      <c r="AJ69" s="341"/>
      <c r="AK69" s="341"/>
      <c r="AL69" s="341"/>
      <c r="AM69" s="341"/>
      <c r="AN69" s="341"/>
      <c r="AO69" s="341"/>
      <c r="AP69" s="341"/>
      <c r="AQ69" s="341"/>
      <c r="AR69" s="341"/>
      <c r="AS69" s="341"/>
      <c r="AT69" s="341"/>
      <c r="AU69" s="341"/>
      <c r="AV69" s="341"/>
      <c r="AW69" s="341"/>
      <c r="AX69" s="341"/>
      <c r="AY69" s="341"/>
      <c r="AZ69" s="147"/>
      <c r="BA69" s="147"/>
      <c r="BB69" s="606"/>
      <c r="BC69" s="341"/>
      <c r="BD69" s="341"/>
      <c r="BE69" s="147"/>
      <c r="BF69" s="606"/>
      <c r="BG69" s="606"/>
      <c r="BH69" s="606"/>
      <c r="BI69" s="606"/>
      <c r="BJ69" s="606"/>
      <c r="BK69" s="606"/>
      <c r="BL69" s="606"/>
      <c r="BM69" s="606"/>
    </row>
    <row r="70" ht="15.75" customHeight="1">
      <c r="A70" s="341"/>
      <c r="B70" s="341"/>
      <c r="C70" s="1056"/>
      <c r="D70" s="488"/>
      <c r="E70" s="148"/>
      <c r="F70" s="341"/>
      <c r="G70" s="148"/>
      <c r="H70" s="341"/>
      <c r="I70" s="341"/>
      <c r="J70" s="546"/>
      <c r="K70" s="148"/>
      <c r="L70" s="341"/>
      <c r="M70" s="341"/>
      <c r="N70" s="341"/>
      <c r="O70" s="341"/>
      <c r="P70" s="341"/>
      <c r="Q70" s="341"/>
      <c r="R70" s="341"/>
      <c r="S70" s="341"/>
      <c r="T70" s="341"/>
      <c r="U70" s="147"/>
      <c r="V70" s="676"/>
      <c r="W70" s="452"/>
      <c r="X70" s="452"/>
      <c r="Y70" s="341"/>
      <c r="Z70" s="341"/>
      <c r="AA70" s="341"/>
      <c r="AB70" s="341"/>
      <c r="AC70" s="341"/>
      <c r="AD70" s="341"/>
      <c r="AE70" s="341"/>
      <c r="AF70" s="341"/>
      <c r="AG70" s="341"/>
      <c r="AH70" s="341"/>
      <c r="AI70" s="341"/>
      <c r="AJ70" s="341"/>
      <c r="AK70" s="341"/>
      <c r="AL70" s="341"/>
      <c r="AM70" s="341"/>
      <c r="AN70" s="341"/>
      <c r="AO70" s="341"/>
      <c r="AP70" s="341"/>
      <c r="AQ70" s="341"/>
      <c r="AR70" s="341"/>
      <c r="AS70" s="341"/>
      <c r="AT70" s="341"/>
      <c r="AU70" s="341"/>
      <c r="AV70" s="341"/>
      <c r="AW70" s="341"/>
      <c r="AX70" s="341"/>
      <c r="AY70" s="341"/>
      <c r="AZ70" s="147"/>
      <c r="BA70" s="147"/>
      <c r="BB70" s="606"/>
      <c r="BC70" s="341"/>
      <c r="BD70" s="341"/>
      <c r="BE70" s="147"/>
      <c r="BF70" s="606"/>
      <c r="BG70" s="606"/>
      <c r="BH70" s="606"/>
      <c r="BI70" s="606"/>
      <c r="BJ70" s="606"/>
      <c r="BK70" s="606"/>
      <c r="BL70" s="606"/>
      <c r="BM70" s="606"/>
    </row>
    <row r="71" ht="15.75" customHeight="1">
      <c r="A71" s="1057"/>
      <c r="B71" s="74"/>
      <c r="C71" s="1058"/>
      <c r="D71" s="74"/>
      <c r="E71" s="74"/>
      <c r="F71" s="74"/>
      <c r="G71" s="74"/>
      <c r="H71" s="74"/>
      <c r="I71" s="74"/>
      <c r="J71" s="74"/>
      <c r="K71" s="74"/>
      <c r="L71" s="74"/>
      <c r="M71" s="79"/>
      <c r="N71" s="79"/>
      <c r="O71" s="76"/>
      <c r="P71" s="74" t="s">
        <v>185</v>
      </c>
      <c r="Q71" s="74"/>
      <c r="R71" s="80"/>
      <c r="S71" s="76"/>
      <c r="T71" s="81"/>
      <c r="U71" s="82" t="s">
        <v>597</v>
      </c>
      <c r="V71" s="1059"/>
      <c r="W71" s="84"/>
      <c r="X71" s="84"/>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87"/>
      <c r="BC71" s="76"/>
      <c r="BD71" s="76"/>
      <c r="BE71" s="76"/>
      <c r="BF71" s="1060"/>
      <c r="BG71" s="1060"/>
      <c r="BH71" s="1060"/>
      <c r="BI71" s="1060"/>
      <c r="BJ71" s="1060"/>
      <c r="BK71" s="1060"/>
      <c r="BL71" s="1060"/>
      <c r="BM71" s="1060"/>
    </row>
    <row r="72" ht="15.75" customHeight="1">
      <c r="A72" s="88" t="s">
        <v>600</v>
      </c>
      <c r="B72" s="89" t="s">
        <v>601</v>
      </c>
      <c r="C72" s="1061" t="s">
        <v>602</v>
      </c>
      <c r="D72" s="78" t="s">
        <v>2891</v>
      </c>
      <c r="E72" s="94" t="s">
        <v>2892</v>
      </c>
      <c r="F72" s="93" t="s">
        <v>2893</v>
      </c>
      <c r="G72" s="93" t="s">
        <v>2894</v>
      </c>
      <c r="H72" s="93"/>
      <c r="I72" s="92" t="s">
        <v>607</v>
      </c>
      <c r="J72" s="88" t="s">
        <v>2895</v>
      </c>
      <c r="K72" s="93" t="s">
        <v>608</v>
      </c>
      <c r="L72" s="88" t="s">
        <v>610</v>
      </c>
      <c r="M72" s="88" t="s">
        <v>611</v>
      </c>
      <c r="N72" s="88" t="s">
        <v>612</v>
      </c>
      <c r="O72" s="94" t="s">
        <v>2896</v>
      </c>
      <c r="P72" s="88" t="s">
        <v>613</v>
      </c>
      <c r="Q72" s="88" t="s">
        <v>614</v>
      </c>
      <c r="R72" s="92" t="s">
        <v>2897</v>
      </c>
      <c r="S72" s="94" t="s">
        <v>616</v>
      </c>
      <c r="T72" s="95" t="s">
        <v>617</v>
      </c>
      <c r="U72" s="88" t="s">
        <v>618</v>
      </c>
      <c r="V72" s="88" t="s">
        <v>619</v>
      </c>
      <c r="W72" s="94" t="s">
        <v>27</v>
      </c>
      <c r="X72" s="94" t="s">
        <v>5</v>
      </c>
      <c r="Y72" s="96" t="s">
        <v>620</v>
      </c>
      <c r="Z72" s="98" t="s">
        <v>620</v>
      </c>
      <c r="AA72" s="93" t="s">
        <v>628</v>
      </c>
      <c r="AB72" s="93" t="s">
        <v>629</v>
      </c>
      <c r="AC72" s="98" t="s">
        <v>621</v>
      </c>
      <c r="AD72" s="93" t="s">
        <v>630</v>
      </c>
      <c r="AE72" s="93" t="s">
        <v>631</v>
      </c>
      <c r="AF72" s="98" t="s">
        <v>622</v>
      </c>
      <c r="AG72" s="93" t="s">
        <v>630</v>
      </c>
      <c r="AH72" s="93" t="s">
        <v>631</v>
      </c>
      <c r="AI72" s="98" t="s">
        <v>632</v>
      </c>
      <c r="AJ72" s="93" t="s">
        <v>633</v>
      </c>
      <c r="AK72" s="93" t="s">
        <v>634</v>
      </c>
      <c r="AL72" s="98" t="s">
        <v>635</v>
      </c>
      <c r="AM72" s="93" t="s">
        <v>636</v>
      </c>
      <c r="AN72" s="93" t="s">
        <v>636</v>
      </c>
      <c r="AO72" s="98" t="s">
        <v>637</v>
      </c>
      <c r="AP72" s="93" t="s">
        <v>638</v>
      </c>
      <c r="AQ72" s="93" t="s">
        <v>639</v>
      </c>
      <c r="AR72" s="98" t="s">
        <v>640</v>
      </c>
      <c r="AS72" s="93" t="s">
        <v>641</v>
      </c>
      <c r="AT72" s="93" t="s">
        <v>642</v>
      </c>
      <c r="AU72" s="98" t="s">
        <v>643</v>
      </c>
      <c r="AV72" s="93" t="s">
        <v>644</v>
      </c>
      <c r="AW72" s="93" t="s">
        <v>645</v>
      </c>
      <c r="AX72" s="98" t="s">
        <v>646</v>
      </c>
      <c r="AY72" s="93" t="s">
        <v>647</v>
      </c>
      <c r="AZ72" s="93" t="s">
        <v>648</v>
      </c>
      <c r="BA72" s="98" t="s">
        <v>649</v>
      </c>
      <c r="BB72" s="99" t="s">
        <v>649</v>
      </c>
      <c r="BC72" s="96" t="s">
        <v>627</v>
      </c>
      <c r="BD72" s="91" t="s">
        <v>650</v>
      </c>
      <c r="BE72" s="91" t="s">
        <v>651</v>
      </c>
      <c r="BF72" s="1000"/>
      <c r="BG72" s="1000"/>
      <c r="BH72" s="1000"/>
      <c r="BI72" s="1000"/>
      <c r="BJ72" s="1000"/>
      <c r="BK72" s="1000"/>
      <c r="BL72" s="1000"/>
      <c r="BM72" s="1000"/>
    </row>
    <row r="73" ht="15.75" customHeight="1">
      <c r="A73" s="1062" t="s">
        <v>54</v>
      </c>
      <c r="B73" s="476">
        <v>42460.0</v>
      </c>
      <c r="C73" s="1063">
        <v>83000.0</v>
      </c>
      <c r="D73" s="479" t="s">
        <v>1687</v>
      </c>
      <c r="E73" s="478"/>
      <c r="F73" s="1064">
        <v>44835.0</v>
      </c>
      <c r="G73" s="1065">
        <v>45717.0</v>
      </c>
      <c r="H73" s="1066"/>
      <c r="I73" s="1067" t="s">
        <v>2881</v>
      </c>
      <c r="J73" s="1068" t="s">
        <v>2912</v>
      </c>
      <c r="K73" s="1069" t="str">
        <f t="shared" ref="K73:K94" si="39">IF(W73="","NO AIS",IF((W73-M73-1)&gt;0,"Update",""))</f>
        <v>NO AIS</v>
      </c>
      <c r="L73" s="482" t="s">
        <v>656</v>
      </c>
      <c r="M73" s="1070">
        <v>45789.0</v>
      </c>
      <c r="N73" s="173">
        <v>45790.0</v>
      </c>
      <c r="O73" s="1071"/>
      <c r="P73" s="482" t="s">
        <v>2958</v>
      </c>
      <c r="Q73" s="484"/>
      <c r="R73" s="482" t="s">
        <v>2959</v>
      </c>
      <c r="S73" s="485" t="s">
        <v>33</v>
      </c>
      <c r="T73" s="486">
        <v>45781.0</v>
      </c>
      <c r="U73" s="177" t="str">
        <f>IF(V73="","No AIS",VLOOKUP(V73,'Voyage days'!$A$3:$B$1480,2,FALSE))</f>
        <v>No AIS</v>
      </c>
      <c r="V73" s="178" t="str">
        <f>IF(VLOOKUP(A73,'1) Kpler'!$E$2:$P$1000,8, FALSE)="","",VLOOKUP(A73,'1) Kpler'!$E$2:$P$1000,8, FALSE))</f>
        <v/>
      </c>
      <c r="W73" s="179" t="str">
        <f>IF(VLOOKUP(A73,'1) Kpler'!$E$2:$P$1000,9,FALSE)="","",VLOOKUP(A73,'1) Kpler'!$E$2:$P$1000,9,FALSE))</f>
        <v/>
      </c>
      <c r="X73" s="178" t="str">
        <f>VLOOKUP(A73,'1) Kpler'!$E$2:$I$1000,4,FALSE)</f>
        <v>loaded</v>
      </c>
      <c r="Y73" s="120" t="str">
        <f t="shared" ref="Y73:Y321" si="40">Z73</f>
        <v>30-31 May</v>
      </c>
      <c r="Z73" s="120" t="str">
        <f t="shared" ref="Z73:Z321" si="41">IF(AA73="","",TEXT(AA73,"dd")&amp;"-"&amp;TEXT(AB73,"dd mmm"))</f>
        <v>30-31 May</v>
      </c>
      <c r="AA73" s="121">
        <f>IFERROR($M73+VLOOKUP($L73,'Voyage days'!$F$38:$H$89,3,FALSE),"")</f>
        <v>45807</v>
      </c>
      <c r="AB73" s="121">
        <f>IFERROR(N73+VLOOKUP($L73,'Voyage days'!$F$38:$H$89,3,FALSE),"")</f>
        <v>45808</v>
      </c>
      <c r="AC73" s="120" t="str">
        <f t="shared" ref="AC73:AC393" si="42">IF(AD73="","",TEXT(AD73,"dd")&amp;"-"&amp;TEXT(AE73,"dd mmm"))</f>
        <v>12-13 Jun</v>
      </c>
      <c r="AD73" s="121">
        <f>IFERROR($M73+VLOOKUP($L73,'Voyage days'!$F$94:$H$193,3,FALSE),"")</f>
        <v>45820</v>
      </c>
      <c r="AE73" s="121">
        <f>IFERROR($N73+VLOOKUP($L73,'Voyage days'!$F$94:$H$193,3,FALSE),"")</f>
        <v>45821</v>
      </c>
      <c r="AF73" s="120" t="str">
        <f t="shared" ref="AF73:AF393" si="43">IF(AG73="","",TEXT(AG73,"dd")&amp;"-"&amp;TEXT(AH73,"dd mmm"))</f>
        <v>19-20 Jun</v>
      </c>
      <c r="AG73" s="121">
        <f>IFERROR($M73+VLOOKUP($L73,'Voyage days'!$F$203:$H$256,3,FALSE),"")</f>
        <v>45827</v>
      </c>
      <c r="AH73" s="121">
        <f>IFERROR($N73+VLOOKUP($L73,'Voyage days'!$F$203:$H$256,3,FALSE),"")</f>
        <v>45828</v>
      </c>
      <c r="AI73" s="120" t="str">
        <f t="shared" ref="AI73:AI393" si="44">IF(AJ73="","",TEXT(AJ73,"dd")&amp;"-"&amp;TEXT(AK73,"dd mmm"))</f>
        <v>11-12 Jun</v>
      </c>
      <c r="AJ73" s="121">
        <f>IFERROR($M73+VLOOKUP($L73,'Voyage days'!$F$294:$H$377,3,FALSE),"")</f>
        <v>45819</v>
      </c>
      <c r="AK73" s="121">
        <f>IFERROR($N73+VLOOKUP($L73,'Voyage days'!$F$294:$H$377,3,FALSE),"")</f>
        <v>45820</v>
      </c>
      <c r="AL73" s="120" t="str">
        <f t="shared" ref="AL73:AL393" si="45">IF(AM73="","",TEXT(AM73,"dd")&amp;"-"&amp;TEXT(AN73,"dd mmm"))</f>
        <v>17-18 Jun</v>
      </c>
      <c r="AM73" s="121">
        <f>IFERROR($M73+VLOOKUP($L73,'Voyage days'!$F$382:$H$446,3,FALSE),"")</f>
        <v>45825</v>
      </c>
      <c r="AN73" s="121">
        <f>IFERROR($N73+VLOOKUP($L73,'Voyage days'!$F$382:$H$446,3,FALSE),"")</f>
        <v>45826</v>
      </c>
      <c r="AO73" s="120" t="str">
        <f t="shared" ref="AO73:AO393" si="46">IF(AP73="","",TEXT(AP73,"dd")&amp;"-"&amp;TEXT(AQ73,"dd mmm"))</f>
        <v>25-26 May</v>
      </c>
      <c r="AP73" s="121">
        <f>IFERROR($M73+VLOOKUP($L73,'Voyage days'!$F$483:$H$538,3,FALSE),"")</f>
        <v>45802</v>
      </c>
      <c r="AQ73" s="121">
        <f>IFERROR($N73+VLOOKUP($L73,'Voyage days'!$F$483:$H$538,3,FALSE),"")</f>
        <v>45803</v>
      </c>
      <c r="AR73" s="120" t="str">
        <f t="shared" ref="AR73:AR393" si="47">IF(AS73="","",TEXT(AS73,"dd")&amp;"-"&amp;TEXT(AT73,"dd mmm"))</f>
        <v>20-21 May</v>
      </c>
      <c r="AS73" s="121">
        <f>IFERROR($M73+VLOOKUP($L73,'Voyage days'!$F$540:$H$613,3,FALSE),"")</f>
        <v>45797.25</v>
      </c>
      <c r="AT73" s="121">
        <f>IFERROR($N73+VLOOKUP($L73,'Voyage days'!$F$540:$H$613,3,FALSE),"")</f>
        <v>45798.25</v>
      </c>
      <c r="AU73" s="120" t="str">
        <f t="shared" ref="AU73:AU393" si="48">IF(AV73="","",TEXT(AV73,"dd")&amp;"-"&amp;TEXT(AW73,"dd mmm"))</f>
        <v/>
      </c>
      <c r="AV73" s="121" t="str">
        <f>IFERROR($M73+VLOOKUP($L73,'Voyage days'!$L$483:$N$535,3,FALSE),"")</f>
        <v/>
      </c>
      <c r="AW73" s="121" t="str">
        <f>IFERROR($N73+VLOOKUP($L73,'Voyage days'!$L$483:$N$535,3,FALSE),"")</f>
        <v/>
      </c>
      <c r="AX73" s="120" t="str">
        <f t="shared" ref="AX73:AX393" si="49">IF(AY73="","",TEXT(AY73,"dd")&amp;"-"&amp;TEXT(AZ73,"dd mmm"))</f>
        <v>23-24 May</v>
      </c>
      <c r="AY73" s="122">
        <f>IFERROR($M73+VLOOKUP($L73,'Voyage days'!$F$620:$H$646,3,FALSE),"")</f>
        <v>45800</v>
      </c>
      <c r="AZ73" s="122">
        <f>IFERROR($N73+VLOOKUP($L73,'Voyage days'!$F$620:$H$646,3,FALSE),"")</f>
        <v>45801</v>
      </c>
      <c r="BA73" s="120" t="str">
        <f t="shared" ref="BA73:BA393" si="50">IF(BB73="","",TEXT(BB73,"dd")&amp;"-"&amp;TEXT(BE73,"dd mmm"))</f>
        <v>20-28 Jun</v>
      </c>
      <c r="BB73" s="123">
        <f>IFERROR($M73+VLOOKUP($L73,'Voyage days'!$F$702:$H$727,3,FALSE),"")</f>
        <v>45797.25</v>
      </c>
      <c r="BC73" s="120" t="str">
        <f t="shared" ref="BC73:BC393" si="51">IF(BD73="","",TEXT(BD73,"dd")&amp;"-"&amp;TEXT(BE73,"dd mmm"))</f>
        <v>27-28 Jun</v>
      </c>
      <c r="BD73" s="122">
        <f>IFERROR($M73+VLOOKUP($L73,'Voyage days'!$F$807:$H$878,3,FALSE),"")</f>
        <v>45835</v>
      </c>
      <c r="BE73" s="122">
        <f>IFERROR($N73+VLOOKUP($L73,'Voyage days'!$F$807:$H$878,3,FALSE),"")</f>
        <v>45836</v>
      </c>
      <c r="BF73" s="609"/>
      <c r="BG73" s="609"/>
      <c r="BH73" s="609"/>
      <c r="BI73" s="609"/>
      <c r="BJ73" s="609"/>
      <c r="BK73" s="609"/>
      <c r="BL73" s="609"/>
      <c r="BM73" s="609"/>
    </row>
    <row r="74" ht="15.75" customHeight="1">
      <c r="A74" s="1072" t="s">
        <v>51</v>
      </c>
      <c r="B74" s="101">
        <v>41122.0</v>
      </c>
      <c r="C74" s="1073">
        <v>83000.0</v>
      </c>
      <c r="D74" s="1074" t="s">
        <v>1687</v>
      </c>
      <c r="E74" s="503"/>
      <c r="F74" s="1075">
        <v>43831.0</v>
      </c>
      <c r="G74" s="149" t="s">
        <v>2914</v>
      </c>
      <c r="H74" s="1076"/>
      <c r="I74" s="157" t="s">
        <v>667</v>
      </c>
      <c r="J74" s="405" t="s">
        <v>2912</v>
      </c>
      <c r="K74" s="470" t="str">
        <f t="shared" si="39"/>
        <v>Update</v>
      </c>
      <c r="L74" s="1077" t="s">
        <v>1714</v>
      </c>
      <c r="M74" s="1078">
        <v>45787.0</v>
      </c>
      <c r="N74" s="238">
        <v>45788.0</v>
      </c>
      <c r="O74" s="1079"/>
      <c r="P74" s="1080"/>
      <c r="Q74" s="1081"/>
      <c r="R74" s="322" t="s">
        <v>2960</v>
      </c>
      <c r="S74" s="256" t="s">
        <v>934</v>
      </c>
      <c r="T74" s="293">
        <v>45788.0</v>
      </c>
      <c r="U74" s="114" t="str">
        <f>IF(V74="","No AIS",VLOOKUP(V74,'Voyage days'!$A$3:$B$1480,2,FALSE))</f>
        <v>USG</v>
      </c>
      <c r="V74" s="114" t="str">
        <f>IF(VLOOKUP(A74,'1) Kpler'!$E$2:$P$1000,8, FALSE)="","",VLOOKUP(A74,'1) Kpler'!$E$2:$P$1000,8, FALSE))</f>
        <v>Freeport Texas</v>
      </c>
      <c r="W74" s="159">
        <f>IF(VLOOKUP(A74,'1) Kpler'!$E$2:$P$1000,9,FALSE)="","",VLOOKUP(A74,'1) Kpler'!$E$2:$P$1000,9,FALSE))</f>
        <v>46154.64583</v>
      </c>
      <c r="X74" s="114" t="str">
        <f>VLOOKUP(A74,'1) Kpler'!$E$2:$I$1000,4,FALSE)</f>
        <v>ballast</v>
      </c>
      <c r="Y74" s="296" t="str">
        <f t="shared" si="40"/>
        <v>31-01 Jun</v>
      </c>
      <c r="Z74" s="163" t="str">
        <f t="shared" si="41"/>
        <v>31-01 Jun</v>
      </c>
      <c r="AA74" s="122">
        <f>IFERROR($M74+VLOOKUP($L74,'Voyage days'!$F$38:$H$89,3,FALSE),"")</f>
        <v>45808</v>
      </c>
      <c r="AB74" s="122">
        <f>IFERROR(N74+VLOOKUP($L74,'Voyage days'!$F$38:$H$89,3,FALSE),"")</f>
        <v>45809</v>
      </c>
      <c r="AC74" s="163" t="str">
        <f t="shared" si="42"/>
        <v>10-11 Jun</v>
      </c>
      <c r="AD74" s="122">
        <f>IFERROR($M74+VLOOKUP($L74,'Voyage days'!$F$94:$H$193,3,FALSE),"")</f>
        <v>45818</v>
      </c>
      <c r="AE74" s="122">
        <f>IFERROR($N74+VLOOKUP($L74,'Voyage days'!$F$94:$H$193,3,FALSE),"")</f>
        <v>45819</v>
      </c>
      <c r="AF74" s="163" t="str">
        <f t="shared" si="43"/>
        <v>17-18 Jun</v>
      </c>
      <c r="AG74" s="122">
        <f>IFERROR($M74+VLOOKUP($L74,'Voyage days'!$F$203:$H$256,3,FALSE),"")</f>
        <v>45825</v>
      </c>
      <c r="AH74" s="122">
        <f>IFERROR($N74+VLOOKUP($L74,'Voyage days'!$F$203:$H$256,3,FALSE),"")</f>
        <v>45826</v>
      </c>
      <c r="AI74" s="163" t="str">
        <f t="shared" si="44"/>
        <v>06-07 Jun</v>
      </c>
      <c r="AJ74" s="122">
        <f>IFERROR($M74+VLOOKUP($L74,'Voyage days'!$F$294:$H$377,3,FALSE),"")</f>
        <v>45814</v>
      </c>
      <c r="AK74" s="122">
        <f>IFERROR($N74+VLOOKUP($L74,'Voyage days'!$F$294:$H$377,3,FALSE),"")</f>
        <v>45815</v>
      </c>
      <c r="AL74" s="163" t="str">
        <f t="shared" si="45"/>
        <v>10-11 Jun</v>
      </c>
      <c r="AM74" s="122">
        <f>IFERROR($M74+VLOOKUP($L74,'Voyage days'!$F$382:$H$446,3,FALSE),"")</f>
        <v>45818</v>
      </c>
      <c r="AN74" s="122">
        <f>IFERROR($N74+VLOOKUP($L74,'Voyage days'!$F$382:$H$446,3,FALSE),"")</f>
        <v>45819</v>
      </c>
      <c r="AO74" s="163" t="str">
        <f t="shared" si="46"/>
        <v>12-13 May</v>
      </c>
      <c r="AP74" s="122">
        <f>IFERROR($M74+VLOOKUP($L74,'Voyage days'!$F$483:$H$538,3,FALSE),"")</f>
        <v>45789</v>
      </c>
      <c r="AQ74" s="122">
        <f>IFERROR($N74+VLOOKUP($L74,'Voyage days'!$F$483:$H$538,3,FALSE),"")</f>
        <v>45790</v>
      </c>
      <c r="AR74" s="163" t="str">
        <f t="shared" si="47"/>
        <v>17-18 May</v>
      </c>
      <c r="AS74" s="122">
        <f>IFERROR($M74+VLOOKUP($L74,'Voyage days'!$F$540:$H$613,3,FALSE),"")</f>
        <v>45794</v>
      </c>
      <c r="AT74" s="122">
        <f>IFERROR($N74+VLOOKUP($L74,'Voyage days'!$F$540:$H$613,3,FALSE),"")</f>
        <v>45795</v>
      </c>
      <c r="AU74" s="163" t="str">
        <f t="shared" si="48"/>
        <v/>
      </c>
      <c r="AV74" s="122" t="str">
        <f>IFERROR($M74+VLOOKUP($L74,'Voyage days'!$L$483:$N$535,3,FALSE),"")</f>
        <v/>
      </c>
      <c r="AW74" s="122" t="str">
        <f>IFERROR($N74+VLOOKUP($L74,'Voyage days'!$L$483:$N$535,3,FALSE),"")</f>
        <v/>
      </c>
      <c r="AX74" s="163" t="str">
        <f t="shared" si="49"/>
        <v/>
      </c>
      <c r="AY74" s="122" t="str">
        <f>IFERROR($M74+VLOOKUP($L74,'Voyage days'!$F$620:$H$646,3,FALSE),"")</f>
        <v/>
      </c>
      <c r="AZ74" s="122" t="str">
        <f>IFERROR($N74+VLOOKUP($L74,'Voyage days'!$F$620:$H$646,3,FALSE),"")</f>
        <v/>
      </c>
      <c r="BA74" s="163" t="str">
        <f t="shared" si="50"/>
        <v>17-21 Jun</v>
      </c>
      <c r="BB74" s="123">
        <f>IFERROR($M74+VLOOKUP($L74,'Voyage days'!$F$702:$H$727,3,FALSE),"")</f>
        <v>45794</v>
      </c>
      <c r="BC74" s="163" t="str">
        <f t="shared" si="51"/>
        <v>20-21 Jun</v>
      </c>
      <c r="BD74" s="122">
        <f>IFERROR($M74+VLOOKUP($L74,'Voyage days'!$F$807:$H$878,3,FALSE),"")</f>
        <v>45828</v>
      </c>
      <c r="BE74" s="122">
        <f>IFERROR($N74+VLOOKUP($L74,'Voyage days'!$F$807:$H$878,3,FALSE),"")</f>
        <v>45829</v>
      </c>
      <c r="BF74" s="609"/>
      <c r="BG74" s="609"/>
      <c r="BH74" s="609"/>
      <c r="BI74" s="609"/>
      <c r="BJ74" s="609"/>
      <c r="BK74" s="609"/>
      <c r="BL74" s="609"/>
      <c r="BM74" s="609"/>
    </row>
    <row r="75">
      <c r="A75" s="100" t="s">
        <v>205</v>
      </c>
      <c r="B75" s="148">
        <v>2021.0</v>
      </c>
      <c r="C75" s="1045">
        <v>84000.0</v>
      </c>
      <c r="D75" s="104" t="s">
        <v>1687</v>
      </c>
      <c r="E75" s="103" t="s">
        <v>666</v>
      </c>
      <c r="F75" s="604"/>
      <c r="G75" s="605">
        <v>46266.0</v>
      </c>
      <c r="H75" s="604"/>
      <c r="I75" s="185" t="s">
        <v>667</v>
      </c>
      <c r="J75" s="111" t="s">
        <v>2912</v>
      </c>
      <c r="K75" s="336" t="str">
        <f t="shared" si="39"/>
        <v>Update</v>
      </c>
      <c r="L75" s="108" t="s">
        <v>680</v>
      </c>
      <c r="M75" s="109">
        <v>45792.0</v>
      </c>
      <c r="N75" s="109">
        <v>45793.0</v>
      </c>
      <c r="O75" s="110"/>
      <c r="P75" s="108"/>
      <c r="Q75" s="185"/>
      <c r="R75" s="185"/>
      <c r="S75" s="112" t="s">
        <v>659</v>
      </c>
      <c r="T75" s="113">
        <v>45784.0</v>
      </c>
      <c r="U75" s="114" t="str">
        <f>IF(V75="","No AIS",VLOOKUP(V75,'Voyage days'!$A$3:$B$1480,2,FALSE))</f>
        <v>+14 days to Far East</v>
      </c>
      <c r="V75" s="115" t="str">
        <f>IF(VLOOKUP(A75,'1) Kpler'!$E$2:$P$1000,8, FALSE)="","",VLOOKUP(A75,'1) Kpler'!$E$2:$P$1000,8, FALSE))</f>
        <v>RIPET</v>
      </c>
      <c r="W75" s="116">
        <f>IF(VLOOKUP(A75,'1) Kpler'!$E$2:$P$1000,9,FALSE)="","",VLOOKUP(A75,'1) Kpler'!$E$2:$P$1000,9,FALSE))</f>
        <v>46143.79167</v>
      </c>
      <c r="X75" s="115" t="str">
        <f>VLOOKUP(A75,'1) Kpler'!$E$2:$I$1000,4,FALSE)</f>
        <v>ballast</v>
      </c>
      <c r="Y75" s="160" t="str">
        <f t="shared" si="40"/>
        <v/>
      </c>
      <c r="Z75" s="120" t="str">
        <f t="shared" si="41"/>
        <v/>
      </c>
      <c r="AA75" s="121" t="str">
        <f>IFERROR($M75+VLOOKUP($L75,'Voyage days'!$F$38:$H$89,3,FALSE),"")</f>
        <v/>
      </c>
      <c r="AB75" s="121" t="str">
        <f>IFERROR(N75+VLOOKUP($L75,'Voyage days'!$F$38:$H$89,3,FALSE),"")</f>
        <v/>
      </c>
      <c r="AC75" s="120" t="str">
        <f t="shared" si="42"/>
        <v>15-16 May</v>
      </c>
      <c r="AD75" s="121">
        <f>IFERROR($M75+VLOOKUP($L75,'Voyage days'!$F$94:$H$193,3,FALSE),"")</f>
        <v>45792</v>
      </c>
      <c r="AE75" s="121">
        <f>IFERROR($N75+VLOOKUP($L75,'Voyage days'!$F$94:$H$193,3,FALSE),"")</f>
        <v>45793</v>
      </c>
      <c r="AF75" s="120" t="str">
        <f t="shared" si="43"/>
        <v>15-16 May</v>
      </c>
      <c r="AG75" s="121">
        <f>IFERROR($M75+VLOOKUP($L75,'Voyage days'!$F$203:$H$256,3,FALSE),"")</f>
        <v>45792</v>
      </c>
      <c r="AH75" s="121">
        <f>IFERROR($N75+VLOOKUP($L75,'Voyage days'!$F$203:$H$256,3,FALSE),"")</f>
        <v>45793</v>
      </c>
      <c r="AI75" s="120" t="str">
        <f t="shared" si="44"/>
        <v/>
      </c>
      <c r="AJ75" s="121" t="str">
        <f>IFERROR($M75+VLOOKUP($L75,'Voyage days'!$F$294:$H$377,3,FALSE),"")</f>
        <v/>
      </c>
      <c r="AK75" s="121" t="str">
        <f>IFERROR($N75+VLOOKUP($L75,'Voyage days'!$F$294:$H$377,3,FALSE),"")</f>
        <v/>
      </c>
      <c r="AL75" s="120" t="str">
        <f t="shared" si="45"/>
        <v>04-05 Jun</v>
      </c>
      <c r="AM75" s="121">
        <f>IFERROR($M75+VLOOKUP($L75,'Voyage days'!$F$382:$H$446,3,FALSE),"")</f>
        <v>45812</v>
      </c>
      <c r="AN75" s="121">
        <f>IFERROR($N75+VLOOKUP($L75,'Voyage days'!$F$382:$H$446,3,FALSE),"")</f>
        <v>45813</v>
      </c>
      <c r="AO75" s="120" t="str">
        <f t="shared" si="46"/>
        <v/>
      </c>
      <c r="AP75" s="121" t="str">
        <f>IFERROR($M75+VLOOKUP($L75,'Voyage days'!$F$483:$H$538,3,FALSE),"")</f>
        <v/>
      </c>
      <c r="AQ75" s="121" t="str">
        <f>IFERROR($N75+VLOOKUP($L75,'Voyage days'!$F$483:$H$538,3,FALSE),"")</f>
        <v/>
      </c>
      <c r="AR75" s="120" t="str">
        <f t="shared" si="47"/>
        <v/>
      </c>
      <c r="AS75" s="121" t="str">
        <f>IFERROR($M75+VLOOKUP($L75,'Voyage days'!$F$540:$H$613,3,FALSE),"")</f>
        <v/>
      </c>
      <c r="AT75" s="121" t="str">
        <f>IFERROR($N75+VLOOKUP($L75,'Voyage days'!$F$540:$H$613,3,FALSE),"")</f>
        <v/>
      </c>
      <c r="AU75" s="120" t="str">
        <f t="shared" si="48"/>
        <v/>
      </c>
      <c r="AV75" s="121" t="str">
        <f>IFERROR($M75+VLOOKUP($L75,'Voyage days'!$L$483:$N$535,3,FALSE),"")</f>
        <v/>
      </c>
      <c r="AW75" s="121" t="str">
        <f>IFERROR($N75+VLOOKUP($L75,'Voyage days'!$L$483:$N$535,3,FALSE),"")</f>
        <v/>
      </c>
      <c r="AX75" s="120" t="str">
        <f t="shared" si="49"/>
        <v/>
      </c>
      <c r="AY75" s="122" t="str">
        <f>IFERROR($M75+VLOOKUP($L75,'Voyage days'!$F$620:$H$646,3,FALSE),"")</f>
        <v/>
      </c>
      <c r="AZ75" s="122" t="str">
        <f>IFERROR($N75+VLOOKUP($L75,'Voyage days'!$F$620:$H$646,3,FALSE),"")</f>
        <v/>
      </c>
      <c r="BA75" s="120" t="str">
        <f t="shared" si="50"/>
        <v/>
      </c>
      <c r="BB75" s="123" t="str">
        <f>IFERROR($M75+VLOOKUP($L75,'Voyage days'!$F$702:$H$727,3,FALSE),"")</f>
        <v/>
      </c>
      <c r="BC75" s="120" t="str">
        <f t="shared" si="51"/>
        <v/>
      </c>
      <c r="BD75" s="122" t="str">
        <f>IFERROR($M75+VLOOKUP($L75,'Voyage days'!$F$807:$H$878,3,FALSE),"")</f>
        <v/>
      </c>
      <c r="BE75" s="122" t="str">
        <f>IFERROR($N75+VLOOKUP($L75,'Voyage days'!$F$807:$H$878,3,FALSE),"")</f>
        <v/>
      </c>
      <c r="BF75" s="609"/>
      <c r="BG75" s="609"/>
      <c r="BH75" s="609"/>
      <c r="BI75" s="609"/>
      <c r="BJ75" s="609"/>
      <c r="BK75" s="609"/>
      <c r="BL75" s="609"/>
      <c r="BM75" s="609"/>
    </row>
    <row r="76" ht="15.75" customHeight="1">
      <c r="A76" s="80" t="s">
        <v>210</v>
      </c>
      <c r="B76" s="101">
        <v>42938.0</v>
      </c>
      <c r="C76" s="1045">
        <v>82200.0</v>
      </c>
      <c r="D76" s="111" t="s">
        <v>1687</v>
      </c>
      <c r="E76" s="103"/>
      <c r="F76" s="604">
        <v>44743.0</v>
      </c>
      <c r="G76" s="605">
        <v>45992.0</v>
      </c>
      <c r="H76" s="111" t="s">
        <v>2900</v>
      </c>
      <c r="I76" s="185" t="s">
        <v>667</v>
      </c>
      <c r="J76" s="111" t="s">
        <v>2901</v>
      </c>
      <c r="K76" s="336" t="str">
        <f t="shared" si="39"/>
        <v>Update</v>
      </c>
      <c r="L76" s="108" t="s">
        <v>668</v>
      </c>
      <c r="M76" s="109">
        <v>45793.0</v>
      </c>
      <c r="N76" s="109">
        <v>45794.0</v>
      </c>
      <c r="O76" s="110"/>
      <c r="P76" s="108" t="s">
        <v>2961</v>
      </c>
      <c r="Q76" s="185"/>
      <c r="R76" s="108"/>
      <c r="S76" s="112" t="s">
        <v>934</v>
      </c>
      <c r="T76" s="113">
        <v>45786.0</v>
      </c>
      <c r="U76" s="114" t="str">
        <f>IF(V76="","No AIS",VLOOKUP(V76,'Voyage days'!$A$3:$B$1480,2,FALSE))</f>
        <v>Galle +2</v>
      </c>
      <c r="V76" s="115" t="str">
        <f>IF(VLOOKUP(A76,'1) Kpler'!$E$2:$P$1000,8, FALSE)="","",VLOOKUP(A76,'1) Kpler'!$E$2:$P$1000,8, FALSE))</f>
        <v>Galle</v>
      </c>
      <c r="W76" s="116">
        <f>IF(VLOOKUP(A76,'1) Kpler'!$E$2:$P$1000,9,FALSE)="","",VLOOKUP(A76,'1) Kpler'!$E$2:$P$1000,9,FALSE))</f>
        <v>46135.95833</v>
      </c>
      <c r="X76" s="115" t="str">
        <f>VLOOKUP(A76,'1) Kpler'!$E$2:$I$1000,4,FALSE)</f>
        <v>ballast</v>
      </c>
      <c r="Y76" s="117" t="str">
        <f t="shared" si="40"/>
        <v>03-04 Jun</v>
      </c>
      <c r="Z76" s="120" t="str">
        <f t="shared" si="41"/>
        <v>03-04 Jun</v>
      </c>
      <c r="AA76" s="121">
        <f>IFERROR($M76+VLOOKUP($L76,'Voyage days'!$F$38:$H$89,3,FALSE),"")</f>
        <v>45811</v>
      </c>
      <c r="AB76" s="121">
        <f>IFERROR(N76+VLOOKUP($L76,'Voyage days'!$F$38:$H$89,3,FALSE),"")</f>
        <v>45812</v>
      </c>
      <c r="AC76" s="120" t="str">
        <f t="shared" si="42"/>
        <v>17-18 Jun</v>
      </c>
      <c r="AD76" s="121">
        <f>IFERROR($M76+VLOOKUP($L76,'Voyage days'!$F$94:$H$193,3,FALSE),"")</f>
        <v>45825</v>
      </c>
      <c r="AE76" s="121">
        <f>IFERROR($N76+VLOOKUP($L76,'Voyage days'!$F$94:$H$193,3,FALSE),"")</f>
        <v>45826</v>
      </c>
      <c r="AF76" s="120" t="str">
        <f t="shared" si="43"/>
        <v>27-28 Jun</v>
      </c>
      <c r="AG76" s="121">
        <f>IFERROR($M76+VLOOKUP($L76,'Voyage days'!$F$203:$H$256,3,FALSE),"")</f>
        <v>45835</v>
      </c>
      <c r="AH76" s="121">
        <f>IFERROR($N76+VLOOKUP($L76,'Voyage days'!$F$203:$H$256,3,FALSE),"")</f>
        <v>45836</v>
      </c>
      <c r="AI76" s="120" t="str">
        <f t="shared" si="44"/>
        <v>15-16 Jun</v>
      </c>
      <c r="AJ76" s="121">
        <f>IFERROR($M76+VLOOKUP($L76,'Voyage days'!$F$294:$H$377,3,FALSE),"")</f>
        <v>45823</v>
      </c>
      <c r="AK76" s="121">
        <f>IFERROR($N76+VLOOKUP($L76,'Voyage days'!$F$294:$H$377,3,FALSE),"")</f>
        <v>45824</v>
      </c>
      <c r="AL76" s="120" t="str">
        <f t="shared" si="45"/>
        <v>21-22 Jun</v>
      </c>
      <c r="AM76" s="121">
        <f>IFERROR($M76+VLOOKUP($L76,'Voyage days'!$F$382:$H$446,3,FALSE),"")</f>
        <v>45829</v>
      </c>
      <c r="AN76" s="121">
        <f>IFERROR($N76+VLOOKUP($L76,'Voyage days'!$F$382:$H$446,3,FALSE),"")</f>
        <v>45830</v>
      </c>
      <c r="AO76" s="120" t="str">
        <f t="shared" si="46"/>
        <v>29-30 May</v>
      </c>
      <c r="AP76" s="121">
        <f>IFERROR($M76+VLOOKUP($L76,'Voyage days'!$F$483:$H$538,3,FALSE),"")</f>
        <v>45806</v>
      </c>
      <c r="AQ76" s="121">
        <f>IFERROR($N76+VLOOKUP($L76,'Voyage days'!$F$483:$H$538,3,FALSE),"")</f>
        <v>45807</v>
      </c>
      <c r="AR76" s="120" t="str">
        <f t="shared" si="47"/>
        <v>24-25 May</v>
      </c>
      <c r="AS76" s="121">
        <f>IFERROR($M76+VLOOKUP($L76,'Voyage days'!$F$540:$H$613,3,FALSE),"")</f>
        <v>45801.25</v>
      </c>
      <c r="AT76" s="121">
        <f>IFERROR($N76+VLOOKUP($L76,'Voyage days'!$F$540:$H$613,3,FALSE),"")</f>
        <v>45802.25</v>
      </c>
      <c r="AU76" s="120" t="str">
        <f t="shared" si="48"/>
        <v/>
      </c>
      <c r="AV76" s="121" t="str">
        <f>IFERROR($M76+VLOOKUP($L76,'Voyage days'!$L$483:$N$535,3,FALSE),"")</f>
        <v/>
      </c>
      <c r="AW76" s="121" t="str">
        <f>IFERROR($N76+VLOOKUP($L76,'Voyage days'!$L$483:$N$535,3,FALSE),"")</f>
        <v/>
      </c>
      <c r="AX76" s="120" t="str">
        <f t="shared" si="49"/>
        <v>27-28 May</v>
      </c>
      <c r="AY76" s="122">
        <f>IFERROR($M76+VLOOKUP($L76,'Voyage days'!$F$620:$H$646,3,FALSE),"")</f>
        <v>45804</v>
      </c>
      <c r="AZ76" s="122">
        <f>IFERROR($N76+VLOOKUP($L76,'Voyage days'!$F$620:$H$646,3,FALSE),"")</f>
        <v>45805</v>
      </c>
      <c r="BA76" s="120" t="str">
        <f t="shared" si="50"/>
        <v>24-02 Jul</v>
      </c>
      <c r="BB76" s="123">
        <f>IFERROR($M76+VLOOKUP($L76,'Voyage days'!$F$702:$H$727,3,FALSE),"")</f>
        <v>45801.25</v>
      </c>
      <c r="BC76" s="120" t="str">
        <f t="shared" si="51"/>
        <v>01-02 Jul</v>
      </c>
      <c r="BD76" s="122">
        <f>IFERROR($M76+VLOOKUP($L76,'Voyage days'!$F$807:$H$878,3,FALSE),"")</f>
        <v>45839</v>
      </c>
      <c r="BE76" s="122">
        <f>IFERROR($N76+VLOOKUP($L76,'Voyage days'!$F$807:$H$878,3,FALSE),"")</f>
        <v>45840</v>
      </c>
      <c r="BF76" s="609"/>
      <c r="BG76" s="609"/>
      <c r="BH76" s="609"/>
      <c r="BI76" s="609"/>
      <c r="BJ76" s="609"/>
      <c r="BK76" s="609"/>
      <c r="BL76" s="609"/>
      <c r="BM76" s="609"/>
    </row>
    <row r="77">
      <c r="A77" s="80" t="s">
        <v>270</v>
      </c>
      <c r="B77" s="183">
        <v>2024.0</v>
      </c>
      <c r="C77" s="1082">
        <v>86700.0</v>
      </c>
      <c r="D77" s="192" t="s">
        <v>1687</v>
      </c>
      <c r="E77" s="103" t="s">
        <v>666</v>
      </c>
      <c r="F77" s="604"/>
      <c r="G77" s="103" t="s">
        <v>2907</v>
      </c>
      <c r="H77" s="103"/>
      <c r="I77" s="185" t="s">
        <v>667</v>
      </c>
      <c r="J77" s="185"/>
      <c r="K77" s="336" t="str">
        <f t="shared" si="39"/>
        <v>Update</v>
      </c>
      <c r="L77" s="108" t="s">
        <v>668</v>
      </c>
      <c r="M77" s="109">
        <v>45817.0</v>
      </c>
      <c r="N77" s="109">
        <v>45819.0</v>
      </c>
      <c r="O77" s="110"/>
      <c r="P77" s="185"/>
      <c r="Q77" s="185"/>
      <c r="R77" s="603"/>
      <c r="S77" s="112" t="s">
        <v>2962</v>
      </c>
      <c r="T77" s="113">
        <v>45776.0</v>
      </c>
      <c r="U77" s="114" t="str">
        <f>IF(V77="","No AIS",VLOOKUP(V77,'Voyage days'!$A$3:$B$1480,2,FALSE))</f>
        <v>Japan + 6</v>
      </c>
      <c r="V77" s="115" t="str">
        <f>IF(VLOOKUP(A77,'1) Kpler'!$E$2:$P$1000,8, FALSE)="","",VLOOKUP(A77,'1) Kpler'!$E$2:$P$1000,8, FALSE))</f>
        <v>Nagoya</v>
      </c>
      <c r="W77" s="116">
        <f>IF(VLOOKUP(A77,'1) Kpler'!$E$2:$P$1000,9,FALSE)="","",VLOOKUP(A77,'1) Kpler'!$E$2:$P$1000,9,FALSE))</f>
        <v>46146.125</v>
      </c>
      <c r="X77" s="115" t="str">
        <f>VLOOKUP(A77,'1) Kpler'!$E$2:$I$1000,4,FALSE)</f>
        <v>loaded</v>
      </c>
      <c r="Y77" s="160" t="str">
        <f t="shared" si="40"/>
        <v>27-29 Jun</v>
      </c>
      <c r="Z77" s="120" t="str">
        <f t="shared" si="41"/>
        <v>27-29 Jun</v>
      </c>
      <c r="AA77" s="121">
        <f>IFERROR($M77+VLOOKUP($L77,'Voyage days'!$F$38:$H$89,3,FALSE),"")</f>
        <v>45835</v>
      </c>
      <c r="AB77" s="121">
        <f>IFERROR(N77+VLOOKUP($L77,'Voyage days'!$F$38:$H$89,3,FALSE),"")</f>
        <v>45837</v>
      </c>
      <c r="AC77" s="120" t="str">
        <f t="shared" si="42"/>
        <v>11-13 Jul</v>
      </c>
      <c r="AD77" s="121">
        <f>IFERROR($M77+VLOOKUP($L77,'Voyage days'!$F$94:$H$193,3,FALSE),"")</f>
        <v>45849</v>
      </c>
      <c r="AE77" s="121">
        <f>IFERROR($N77+VLOOKUP($L77,'Voyage days'!$F$94:$H$193,3,FALSE),"")</f>
        <v>45851</v>
      </c>
      <c r="AF77" s="120" t="str">
        <f t="shared" si="43"/>
        <v>21-23 Jul</v>
      </c>
      <c r="AG77" s="121">
        <f>IFERROR($M77+VLOOKUP($L77,'Voyage days'!$F$203:$H$256,3,FALSE),"")</f>
        <v>45859</v>
      </c>
      <c r="AH77" s="121">
        <f>IFERROR($N77+VLOOKUP($L77,'Voyage days'!$F$203:$H$256,3,FALSE),"")</f>
        <v>45861</v>
      </c>
      <c r="AI77" s="120" t="str">
        <f t="shared" si="44"/>
        <v>09-11 Jul</v>
      </c>
      <c r="AJ77" s="121">
        <f>IFERROR($M77+VLOOKUP($L77,'Voyage days'!$F$294:$H$377,3,FALSE),"")</f>
        <v>45847</v>
      </c>
      <c r="AK77" s="121">
        <f>IFERROR($N77+VLOOKUP($L77,'Voyage days'!$F$294:$H$377,3,FALSE),"")</f>
        <v>45849</v>
      </c>
      <c r="AL77" s="120" t="str">
        <f t="shared" si="45"/>
        <v>15-17 Jul</v>
      </c>
      <c r="AM77" s="121">
        <f>IFERROR($M77+VLOOKUP($L77,'Voyage days'!$F$382:$H$446,3,FALSE),"")</f>
        <v>45853</v>
      </c>
      <c r="AN77" s="121">
        <f>IFERROR($N77+VLOOKUP($L77,'Voyage days'!$F$382:$H$446,3,FALSE),"")</f>
        <v>45855</v>
      </c>
      <c r="AO77" s="120" t="str">
        <f t="shared" si="46"/>
        <v>22-24 Jun</v>
      </c>
      <c r="AP77" s="121">
        <f>IFERROR($M77+VLOOKUP($L77,'Voyage days'!$F$483:$H$538,3,FALSE),"")</f>
        <v>45830</v>
      </c>
      <c r="AQ77" s="121">
        <f>IFERROR($N77+VLOOKUP($L77,'Voyage days'!$F$483:$H$538,3,FALSE),"")</f>
        <v>45832</v>
      </c>
      <c r="AR77" s="120" t="str">
        <f t="shared" si="47"/>
        <v>17-19 Jun</v>
      </c>
      <c r="AS77" s="121">
        <f>IFERROR($M77+VLOOKUP($L77,'Voyage days'!$F$540:$H$613,3,FALSE),"")</f>
        <v>45825.25</v>
      </c>
      <c r="AT77" s="121">
        <f>IFERROR($N77+VLOOKUP($L77,'Voyage days'!$F$540:$H$613,3,FALSE),"")</f>
        <v>45827.25</v>
      </c>
      <c r="AU77" s="120" t="str">
        <f t="shared" si="48"/>
        <v/>
      </c>
      <c r="AV77" s="121" t="str">
        <f>IFERROR($M77+VLOOKUP($L77,'Voyage days'!$L$483:$N$535,3,FALSE),"")</f>
        <v/>
      </c>
      <c r="AW77" s="121" t="str">
        <f>IFERROR($N77+VLOOKUP($L77,'Voyage days'!$L$483:$N$535,3,FALSE),"")</f>
        <v/>
      </c>
      <c r="AX77" s="120" t="str">
        <f t="shared" si="49"/>
        <v>20-22 Jun</v>
      </c>
      <c r="AY77" s="122">
        <f>IFERROR($M77+VLOOKUP($L77,'Voyage days'!$F$620:$H$646,3,FALSE),"")</f>
        <v>45828</v>
      </c>
      <c r="AZ77" s="122">
        <f>IFERROR($N77+VLOOKUP($L77,'Voyage days'!$F$620:$H$646,3,FALSE),"")</f>
        <v>45830</v>
      </c>
      <c r="BA77" s="120" t="str">
        <f t="shared" si="50"/>
        <v>17-27 Jul</v>
      </c>
      <c r="BB77" s="123">
        <f>IFERROR($M77+VLOOKUP($L77,'Voyage days'!$F$702:$H$727,3,FALSE),"")</f>
        <v>45825.25</v>
      </c>
      <c r="BC77" s="120" t="str">
        <f t="shared" si="51"/>
        <v>25-27 Jul</v>
      </c>
      <c r="BD77" s="122">
        <f>IFERROR($M77+VLOOKUP($L77,'Voyage days'!$F$807:$H$878,3,FALSE),"")</f>
        <v>45863</v>
      </c>
      <c r="BE77" s="122">
        <f>IFERROR($N77+VLOOKUP($L77,'Voyage days'!$F$807:$H$878,3,FALSE),"")</f>
        <v>45865</v>
      </c>
      <c r="BF77" s="609"/>
      <c r="BG77" s="609"/>
      <c r="BH77" s="609"/>
      <c r="BI77" s="609"/>
      <c r="BJ77" s="609"/>
      <c r="BK77" s="609"/>
      <c r="BL77" s="609"/>
      <c r="BM77" s="609"/>
    </row>
    <row r="78">
      <c r="A78" s="80" t="s">
        <v>282</v>
      </c>
      <c r="B78" s="189">
        <v>37773.0</v>
      </c>
      <c r="C78" s="1083">
        <v>78934.0</v>
      </c>
      <c r="D78" s="104" t="s">
        <v>1687</v>
      </c>
      <c r="E78" s="103"/>
      <c r="F78" s="604">
        <v>44217.0</v>
      </c>
      <c r="G78" s="103" t="s">
        <v>2914</v>
      </c>
      <c r="H78" s="103"/>
      <c r="I78" s="185" t="s">
        <v>667</v>
      </c>
      <c r="J78" s="185" t="s">
        <v>2905</v>
      </c>
      <c r="K78" s="336" t="str">
        <f t="shared" si="39"/>
        <v>Update</v>
      </c>
      <c r="L78" s="108" t="s">
        <v>95</v>
      </c>
      <c r="M78" s="109">
        <v>45796.0</v>
      </c>
      <c r="N78" s="109">
        <v>45797.0</v>
      </c>
      <c r="O78" s="110"/>
      <c r="P78" s="185" t="s">
        <v>2963</v>
      </c>
      <c r="Q78" s="185"/>
      <c r="R78" s="603"/>
      <c r="S78" s="112" t="s">
        <v>2962</v>
      </c>
      <c r="T78" s="113">
        <v>45784.0</v>
      </c>
      <c r="U78" s="114" t="str">
        <f>IF(V78="","No AIS",VLOOKUP(V78,'Voyage days'!$A$3:$B$1480,2,FALSE))</f>
        <v>USG</v>
      </c>
      <c r="V78" s="115" t="str">
        <f>IF(VLOOKUP(A78,'1) Kpler'!$E$2:$P$1000,8, FALSE)="","",VLOOKUP(A78,'1) Kpler'!$E$2:$P$1000,8, FALSE))</f>
        <v>Houston</v>
      </c>
      <c r="W78" s="116">
        <f>IF(VLOOKUP(A78,'1) Kpler'!$E$2:$P$1000,9,FALSE)="","",VLOOKUP(A78,'1) Kpler'!$E$2:$P$1000,9,FALSE))</f>
        <v>46146.125</v>
      </c>
      <c r="X78" s="115" t="str">
        <f>VLOOKUP(A78,'1) Kpler'!$E$2:$I$1000,4,FALSE)</f>
        <v>ballast</v>
      </c>
      <c r="Y78" s="117" t="str">
        <f t="shared" si="40"/>
        <v/>
      </c>
      <c r="Z78" s="120" t="str">
        <f t="shared" si="41"/>
        <v/>
      </c>
      <c r="AA78" s="121" t="str">
        <f>IFERROR($M78+VLOOKUP($L78,'Voyage days'!$F$38:$H$89,3,FALSE),"")</f>
        <v/>
      </c>
      <c r="AB78" s="121" t="str">
        <f>IFERROR(N78+VLOOKUP($L78,'Voyage days'!$F$38:$H$89,3,FALSE),"")</f>
        <v/>
      </c>
      <c r="AC78" s="120" t="str">
        <f t="shared" si="42"/>
        <v/>
      </c>
      <c r="AD78" s="121" t="str">
        <f>IFERROR($M78+VLOOKUP($L78,'Voyage days'!$F$94:$H$193,3,FALSE),"")</f>
        <v/>
      </c>
      <c r="AE78" s="121" t="str">
        <f>IFERROR($N78+VLOOKUP($L78,'Voyage days'!$F$94:$H$193,3,FALSE),"")</f>
        <v/>
      </c>
      <c r="AF78" s="120" t="str">
        <f t="shared" si="43"/>
        <v/>
      </c>
      <c r="AG78" s="121" t="str">
        <f>IFERROR($M78+VLOOKUP($L78,'Voyage days'!$F$203:$H$256,3,FALSE),"")</f>
        <v/>
      </c>
      <c r="AH78" s="121" t="str">
        <f>IFERROR($N78+VLOOKUP($L78,'Voyage days'!$F$203:$H$256,3,FALSE),"")</f>
        <v/>
      </c>
      <c r="AI78" s="120" t="str">
        <f t="shared" si="44"/>
        <v/>
      </c>
      <c r="AJ78" s="121" t="str">
        <f>IFERROR($M78+VLOOKUP($L78,'Voyage days'!$F$294:$H$377,3,FALSE),"")</f>
        <v/>
      </c>
      <c r="AK78" s="121" t="str">
        <f>IFERROR($N78+VLOOKUP($L78,'Voyage days'!$F$294:$H$377,3,FALSE),"")</f>
        <v/>
      </c>
      <c r="AL78" s="120" t="str">
        <f t="shared" si="45"/>
        <v/>
      </c>
      <c r="AM78" s="121" t="str">
        <f>IFERROR($M78+VLOOKUP($L78,'Voyage days'!$F$382:$H$446,3,FALSE),"")</f>
        <v/>
      </c>
      <c r="AN78" s="121" t="str">
        <f>IFERROR($N78+VLOOKUP($L78,'Voyage days'!$F$382:$H$446,3,FALSE),"")</f>
        <v/>
      </c>
      <c r="AO78" s="120" t="str">
        <f t="shared" si="46"/>
        <v/>
      </c>
      <c r="AP78" s="121" t="str">
        <f>IFERROR($M78+VLOOKUP($L78,'Voyage days'!$F$483:$H$538,3,FALSE),"")</f>
        <v/>
      </c>
      <c r="AQ78" s="121" t="str">
        <f>IFERROR($N78+VLOOKUP($L78,'Voyage days'!$F$483:$H$538,3,FALSE),"")</f>
        <v/>
      </c>
      <c r="AR78" s="120" t="str">
        <f t="shared" si="47"/>
        <v/>
      </c>
      <c r="AS78" s="121" t="str">
        <f>IFERROR($M78+VLOOKUP($L78,'Voyage days'!$F$540:$H$613,3,FALSE),"")</f>
        <v/>
      </c>
      <c r="AT78" s="121" t="str">
        <f>IFERROR($N78+VLOOKUP($L78,'Voyage days'!$F$540:$H$613,3,FALSE),"")</f>
        <v/>
      </c>
      <c r="AU78" s="120" t="str">
        <f t="shared" si="48"/>
        <v/>
      </c>
      <c r="AV78" s="121" t="str">
        <f>IFERROR($M78+VLOOKUP($L78,'Voyage days'!$L$483:$N$535,3,FALSE),"")</f>
        <v/>
      </c>
      <c r="AW78" s="121" t="str">
        <f>IFERROR($N78+VLOOKUP($L78,'Voyage days'!$L$483:$N$535,3,FALSE),"")</f>
        <v/>
      </c>
      <c r="AX78" s="120" t="str">
        <f t="shared" si="49"/>
        <v/>
      </c>
      <c r="AY78" s="122" t="str">
        <f>IFERROR($M78+VLOOKUP($L78,'Voyage days'!$F$620:$H$646,3,FALSE),"")</f>
        <v/>
      </c>
      <c r="AZ78" s="122" t="str">
        <f>IFERROR($N78+VLOOKUP($L78,'Voyage days'!$F$620:$H$646,3,FALSE),"")</f>
        <v/>
      </c>
      <c r="BA78" s="120" t="str">
        <f t="shared" si="50"/>
        <v/>
      </c>
      <c r="BB78" s="123" t="str">
        <f>IFERROR($M78+VLOOKUP($L78,'Voyage days'!$F$702:$H$727,3,FALSE),"")</f>
        <v/>
      </c>
      <c r="BC78" s="120" t="str">
        <f t="shared" si="51"/>
        <v/>
      </c>
      <c r="BD78" s="122" t="str">
        <f>IFERROR($M78+VLOOKUP($L78,'Voyage days'!$F$807:$H$878,3,FALSE),"")</f>
        <v/>
      </c>
      <c r="BE78" s="122" t="str">
        <f>IFERROR($N78+VLOOKUP($L78,'Voyage days'!$F$807:$H$878,3,FALSE),"")</f>
        <v/>
      </c>
      <c r="BF78" s="609"/>
      <c r="BG78" s="609"/>
      <c r="BH78" s="609"/>
      <c r="BI78" s="609"/>
      <c r="BJ78" s="609"/>
      <c r="BK78" s="609"/>
      <c r="BL78" s="609"/>
      <c r="BM78" s="609"/>
    </row>
    <row r="79" ht="15.75" customHeight="1">
      <c r="A79" s="100" t="s">
        <v>409</v>
      </c>
      <c r="B79" s="189">
        <v>37895.0</v>
      </c>
      <c r="C79" s="1045">
        <v>82000.0</v>
      </c>
      <c r="D79" s="104" t="s">
        <v>2964</v>
      </c>
      <c r="E79" s="103"/>
      <c r="F79" s="604"/>
      <c r="G79" s="605">
        <v>46023.0</v>
      </c>
      <c r="H79" s="103"/>
      <c r="I79" s="185" t="s">
        <v>667</v>
      </c>
      <c r="J79" s="185" t="s">
        <v>2905</v>
      </c>
      <c r="K79" s="336" t="str">
        <f t="shared" si="39"/>
        <v>NO AIS</v>
      </c>
      <c r="L79" s="108" t="s">
        <v>703</v>
      </c>
      <c r="M79" s="109">
        <v>45808.0</v>
      </c>
      <c r="N79" s="109">
        <v>45809.0</v>
      </c>
      <c r="O79" s="110"/>
      <c r="P79" s="187"/>
      <c r="Q79" s="111"/>
      <c r="R79" s="108" t="s">
        <v>2965</v>
      </c>
      <c r="S79" s="112" t="s">
        <v>33</v>
      </c>
      <c r="T79" s="113">
        <v>45781.0</v>
      </c>
      <c r="U79" s="114" t="str">
        <f>IF(V79="","No AIS",VLOOKUP(V79,'Voyage days'!$A$3:$B$1480,2,FALSE))</f>
        <v>No AIS</v>
      </c>
      <c r="V79" s="115" t="str">
        <f>IF(VLOOKUP(A79,'1) Kpler'!$E$2:$P$1000,8, FALSE)="","",VLOOKUP(A79,'1) Kpler'!$E$2:$P$1000,8, FALSE))</f>
        <v/>
      </c>
      <c r="W79" s="116" t="str">
        <f>IF(VLOOKUP(A79,'1) Kpler'!$E$2:$P$1000,9,FALSE)="","",VLOOKUP(A79,'1) Kpler'!$E$2:$P$1000,9,FALSE))</f>
        <v/>
      </c>
      <c r="X79" s="115" t="str">
        <f>VLOOKUP(A79,'1) Kpler'!$E$2:$I$1000,4,FALSE)</f>
        <v>ballast</v>
      </c>
      <c r="Y79" s="160" t="str">
        <f t="shared" si="40"/>
        <v>15-16 Jun</v>
      </c>
      <c r="Z79" s="120" t="str">
        <f t="shared" si="41"/>
        <v>15-16 Jun</v>
      </c>
      <c r="AA79" s="121">
        <f>IFERROR($M79+VLOOKUP($L79,'Voyage days'!$F$38:$H$89,3,FALSE),"")</f>
        <v>45823</v>
      </c>
      <c r="AB79" s="121">
        <f>IFERROR(N79+VLOOKUP($L79,'Voyage days'!$F$38:$H$89,3,FALSE),"")</f>
        <v>45824</v>
      </c>
      <c r="AC79" s="120" t="str">
        <f t="shared" si="42"/>
        <v>07-08 Jul</v>
      </c>
      <c r="AD79" s="121">
        <f>IFERROR($M79+VLOOKUP($L79,'Voyage days'!$F$94:$H$193,3,FALSE),"")</f>
        <v>45845</v>
      </c>
      <c r="AE79" s="121">
        <f>IFERROR($N79+VLOOKUP($L79,'Voyage days'!$F$94:$H$193,3,FALSE),"")</f>
        <v>45846</v>
      </c>
      <c r="AF79" s="120" t="str">
        <f t="shared" si="43"/>
        <v>12-13 Jul</v>
      </c>
      <c r="AG79" s="121">
        <f>IFERROR($M79+VLOOKUP($L79,'Voyage days'!$F$203:$H$256,3,FALSE),"")</f>
        <v>45850</v>
      </c>
      <c r="AH79" s="121">
        <f>IFERROR($N79+VLOOKUP($L79,'Voyage days'!$F$203:$H$256,3,FALSE),"")</f>
        <v>45851</v>
      </c>
      <c r="AI79" s="120" t="str">
        <f t="shared" si="44"/>
        <v>26-27 Jun</v>
      </c>
      <c r="AJ79" s="121">
        <f>IFERROR($M79+VLOOKUP($L79,'Voyage days'!$F$294:$H$377,3,FALSE),"")</f>
        <v>45834</v>
      </c>
      <c r="AK79" s="121">
        <f>IFERROR($N79+VLOOKUP($L79,'Voyage days'!$F$294:$H$377,3,FALSE),"")</f>
        <v>45835</v>
      </c>
      <c r="AL79" s="120" t="str">
        <f t="shared" si="45"/>
        <v>03-04 Jul</v>
      </c>
      <c r="AM79" s="121">
        <f>IFERROR($M79+VLOOKUP($L79,'Voyage days'!$F$382:$H$446,3,FALSE),"")</f>
        <v>45841</v>
      </c>
      <c r="AN79" s="121">
        <f>IFERROR($N79+VLOOKUP($L79,'Voyage days'!$F$382:$H$446,3,FALSE),"")</f>
        <v>45842</v>
      </c>
      <c r="AO79" s="120" t="str">
        <f t="shared" si="46"/>
        <v>14-15 Jun</v>
      </c>
      <c r="AP79" s="121">
        <f>IFERROR($M79+VLOOKUP($L79,'Voyage days'!$F$483:$H$538,3,FALSE),"")</f>
        <v>45822</v>
      </c>
      <c r="AQ79" s="121">
        <f>IFERROR($N79+VLOOKUP($L79,'Voyage days'!$F$483:$H$538,3,FALSE),"")</f>
        <v>45823</v>
      </c>
      <c r="AR79" s="120" t="str">
        <f t="shared" si="47"/>
        <v>06-07 Jun</v>
      </c>
      <c r="AS79" s="121">
        <f>IFERROR($M79+VLOOKUP($L79,'Voyage days'!$F$540:$H$613,3,FALSE),"")</f>
        <v>45814.75</v>
      </c>
      <c r="AT79" s="121">
        <f>IFERROR($N79+VLOOKUP($L79,'Voyage days'!$F$540:$H$613,3,FALSE),"")</f>
        <v>45815.75</v>
      </c>
      <c r="AU79" s="120" t="str">
        <f t="shared" si="48"/>
        <v/>
      </c>
      <c r="AV79" s="121" t="str">
        <f>IFERROR($M79+VLOOKUP($L79,'Voyage days'!$L$483:$N$535,3,FALSE),"")</f>
        <v/>
      </c>
      <c r="AW79" s="121" t="str">
        <f>IFERROR($N79+VLOOKUP($L79,'Voyage days'!$L$483:$N$535,3,FALSE),"")</f>
        <v/>
      </c>
      <c r="AX79" s="120" t="str">
        <f t="shared" si="49"/>
        <v/>
      </c>
      <c r="AY79" s="122" t="str">
        <f>IFERROR($M79+VLOOKUP($L79,'Voyage days'!$F$620:$H$646,3,FALSE),"")</f>
        <v/>
      </c>
      <c r="AZ79" s="122" t="str">
        <f>IFERROR($N79+VLOOKUP($L79,'Voyage days'!$F$620:$H$646,3,FALSE),"")</f>
        <v/>
      </c>
      <c r="BA79" s="120" t="str">
        <f t="shared" si="50"/>
        <v>06-13 Jul</v>
      </c>
      <c r="BB79" s="123">
        <f>IFERROR($M79+VLOOKUP($L79,'Voyage days'!$F$702:$H$727,3,FALSE),"")</f>
        <v>45814.75</v>
      </c>
      <c r="BC79" s="120" t="str">
        <f t="shared" si="51"/>
        <v>12-13 Jul</v>
      </c>
      <c r="BD79" s="122">
        <f>IFERROR($M79+VLOOKUP($L79,'Voyage days'!$F$807:$H$878,3,FALSE),"")</f>
        <v>45850</v>
      </c>
      <c r="BE79" s="122">
        <f>IFERROR($N79+VLOOKUP($L79,'Voyage days'!$F$807:$H$878,3,FALSE),"")</f>
        <v>45851</v>
      </c>
      <c r="BF79" s="609"/>
      <c r="BG79" s="609"/>
      <c r="BH79" s="609"/>
      <c r="BI79" s="609"/>
      <c r="BJ79" s="609"/>
      <c r="BK79" s="609"/>
      <c r="BL79" s="609"/>
      <c r="BM79" s="609"/>
    </row>
    <row r="80">
      <c r="A80" s="100" t="s">
        <v>412</v>
      </c>
      <c r="B80" s="194">
        <v>43435.0</v>
      </c>
      <c r="C80" s="1082">
        <v>83000.0</v>
      </c>
      <c r="D80" s="111" t="s">
        <v>1687</v>
      </c>
      <c r="E80" s="111"/>
      <c r="F80" s="1084">
        <v>44531.0</v>
      </c>
      <c r="G80" s="195" t="s">
        <v>2907</v>
      </c>
      <c r="H80" s="1084"/>
      <c r="I80" s="111" t="s">
        <v>667</v>
      </c>
      <c r="J80" s="111" t="s">
        <v>2905</v>
      </c>
      <c r="K80" s="336" t="str">
        <f t="shared" si="39"/>
        <v>Update</v>
      </c>
      <c r="L80" s="187" t="s">
        <v>656</v>
      </c>
      <c r="M80" s="109">
        <v>45801.0</v>
      </c>
      <c r="N80" s="109">
        <v>45802.0</v>
      </c>
      <c r="O80" s="191"/>
      <c r="P80" s="185"/>
      <c r="Q80" s="395"/>
      <c r="R80" s="104"/>
      <c r="S80" s="112" t="s">
        <v>659</v>
      </c>
      <c r="T80" s="113">
        <v>45775.0</v>
      </c>
      <c r="U80" s="114" t="str">
        <f>IF(V80="","No AIS",VLOOKUP(V80,'Voyage days'!$A$3:$B$1480,2,FALSE))</f>
        <v>Panama</v>
      </c>
      <c r="V80" s="115" t="str">
        <f>IF(VLOOKUP(A80,'1) Kpler'!$E$2:$P$1000,8, FALSE)="","",VLOOKUP(A80,'1) Kpler'!$E$2:$P$1000,8, FALSE))</f>
        <v>Panama Canal</v>
      </c>
      <c r="W80" s="116">
        <f>IF(VLOOKUP(A80,'1) Kpler'!$E$2:$P$1000,9,FALSE)="","",VLOOKUP(A80,'1) Kpler'!$E$2:$P$1000,9,FALSE))</f>
        <v>46136.875</v>
      </c>
      <c r="X80" s="115" t="str">
        <f>VLOOKUP(A80,'1) Kpler'!$E$2:$I$1000,4,FALSE)</f>
        <v>loaded</v>
      </c>
      <c r="Y80" s="117" t="str">
        <f t="shared" si="40"/>
        <v>11-12 Jun</v>
      </c>
      <c r="Z80" s="120" t="str">
        <f t="shared" si="41"/>
        <v>11-12 Jun</v>
      </c>
      <c r="AA80" s="121">
        <f>IFERROR($M80+VLOOKUP($L80,'Voyage days'!$F$38:$H$89,3,FALSE),"")</f>
        <v>45819</v>
      </c>
      <c r="AB80" s="121">
        <f>IFERROR(N80+VLOOKUP($L80,'Voyage days'!$F$38:$H$89,3,FALSE),"")</f>
        <v>45820</v>
      </c>
      <c r="AC80" s="120" t="str">
        <f t="shared" si="42"/>
        <v>24-25 Jun</v>
      </c>
      <c r="AD80" s="121">
        <f>IFERROR($M80+VLOOKUP($L80,'Voyage days'!$F$94:$H$193,3,FALSE),"")</f>
        <v>45832</v>
      </c>
      <c r="AE80" s="121">
        <f>IFERROR($N80+VLOOKUP($L80,'Voyage days'!$F$94:$H$193,3,FALSE),"")</f>
        <v>45833</v>
      </c>
      <c r="AF80" s="120" t="str">
        <f t="shared" si="43"/>
        <v>01-02 Jul</v>
      </c>
      <c r="AG80" s="121">
        <f>IFERROR($M80+VLOOKUP($L80,'Voyage days'!$F$203:$H$256,3,FALSE),"")</f>
        <v>45839</v>
      </c>
      <c r="AH80" s="121">
        <f>IFERROR($N80+VLOOKUP($L80,'Voyage days'!$F$203:$H$256,3,FALSE),"")</f>
        <v>45840</v>
      </c>
      <c r="AI80" s="120" t="str">
        <f t="shared" si="44"/>
        <v>23-24 Jun</v>
      </c>
      <c r="AJ80" s="121">
        <f>IFERROR($M80+VLOOKUP($L80,'Voyage days'!$F$294:$H$377,3,FALSE),"")</f>
        <v>45831</v>
      </c>
      <c r="AK80" s="121">
        <f>IFERROR($N80+VLOOKUP($L80,'Voyage days'!$F$294:$H$377,3,FALSE),"")</f>
        <v>45832</v>
      </c>
      <c r="AL80" s="120" t="str">
        <f t="shared" si="45"/>
        <v>29-30 Jun</v>
      </c>
      <c r="AM80" s="121">
        <f>IFERROR($M80+VLOOKUP($L80,'Voyage days'!$F$382:$H$446,3,FALSE),"")</f>
        <v>45837</v>
      </c>
      <c r="AN80" s="121">
        <f>IFERROR($N80+VLOOKUP($L80,'Voyage days'!$F$382:$H$446,3,FALSE),"")</f>
        <v>45838</v>
      </c>
      <c r="AO80" s="120" t="str">
        <f t="shared" si="46"/>
        <v>06-07 Jun</v>
      </c>
      <c r="AP80" s="121">
        <f>IFERROR($M80+VLOOKUP($L80,'Voyage days'!$F$483:$H$538,3,FALSE),"")</f>
        <v>45814</v>
      </c>
      <c r="AQ80" s="121">
        <f>IFERROR($N80+VLOOKUP($L80,'Voyage days'!$F$483:$H$538,3,FALSE),"")</f>
        <v>45815</v>
      </c>
      <c r="AR80" s="120" t="str">
        <f t="shared" si="47"/>
        <v>01-02 Jun</v>
      </c>
      <c r="AS80" s="121">
        <f>IFERROR($M80+VLOOKUP($L80,'Voyage days'!$F$540:$H$613,3,FALSE),"")</f>
        <v>45809.25</v>
      </c>
      <c r="AT80" s="121">
        <f>IFERROR($N80+VLOOKUP($L80,'Voyage days'!$F$540:$H$613,3,FALSE),"")</f>
        <v>45810.25</v>
      </c>
      <c r="AU80" s="120" t="str">
        <f t="shared" si="48"/>
        <v/>
      </c>
      <c r="AV80" s="121" t="str">
        <f>IFERROR($M80+VLOOKUP($L80,'Voyage days'!$L$483:$N$535,3,FALSE),"")</f>
        <v/>
      </c>
      <c r="AW80" s="121" t="str">
        <f>IFERROR($N80+VLOOKUP($L80,'Voyage days'!$L$483:$N$535,3,FALSE),"")</f>
        <v/>
      </c>
      <c r="AX80" s="120" t="str">
        <f t="shared" si="49"/>
        <v>04-05 Jun</v>
      </c>
      <c r="AY80" s="122">
        <f>IFERROR($M80+VLOOKUP($L80,'Voyage days'!$F$620:$H$646,3,FALSE),"")</f>
        <v>45812</v>
      </c>
      <c r="AZ80" s="122">
        <f>IFERROR($N80+VLOOKUP($L80,'Voyage days'!$F$620:$H$646,3,FALSE),"")</f>
        <v>45813</v>
      </c>
      <c r="BA80" s="120" t="str">
        <f t="shared" si="50"/>
        <v>01-10 Jul</v>
      </c>
      <c r="BB80" s="123">
        <f>IFERROR($M80+VLOOKUP($L80,'Voyage days'!$F$702:$H$727,3,FALSE),"")</f>
        <v>45809.25</v>
      </c>
      <c r="BC80" s="120" t="str">
        <f t="shared" si="51"/>
        <v>09-10 Jul</v>
      </c>
      <c r="BD80" s="122">
        <f>IFERROR($M80+VLOOKUP($L80,'Voyage days'!$F$807:$H$878,3,FALSE),"")</f>
        <v>45847</v>
      </c>
      <c r="BE80" s="122">
        <f>IFERROR($N80+VLOOKUP($L80,'Voyage days'!$F$807:$H$878,3,FALSE),"")</f>
        <v>45848</v>
      </c>
      <c r="BF80" s="609"/>
      <c r="BG80" s="609"/>
      <c r="BH80" s="609"/>
      <c r="BI80" s="609"/>
      <c r="BJ80" s="609"/>
      <c r="BK80" s="609"/>
      <c r="BL80" s="609"/>
      <c r="BM80" s="609"/>
    </row>
    <row r="81">
      <c r="A81" s="100" t="s">
        <v>413</v>
      </c>
      <c r="B81" s="101">
        <v>42853.0</v>
      </c>
      <c r="C81" s="1045">
        <v>83000.0</v>
      </c>
      <c r="D81" s="104" t="s">
        <v>1687</v>
      </c>
      <c r="E81" s="103"/>
      <c r="F81" s="604">
        <v>44652.0</v>
      </c>
      <c r="G81" s="605">
        <v>45838.0</v>
      </c>
      <c r="H81" s="103"/>
      <c r="I81" s="111" t="s">
        <v>667</v>
      </c>
      <c r="J81" s="111"/>
      <c r="K81" s="336" t="str">
        <f t="shared" si="39"/>
        <v>Update</v>
      </c>
      <c r="L81" s="108" t="s">
        <v>680</v>
      </c>
      <c r="M81" s="109">
        <v>45787.0</v>
      </c>
      <c r="N81" s="109">
        <v>45788.0</v>
      </c>
      <c r="O81" s="110"/>
      <c r="P81" s="111"/>
      <c r="Q81" s="340"/>
      <c r="R81" s="108" t="s">
        <v>2966</v>
      </c>
      <c r="S81" s="112" t="s">
        <v>2962</v>
      </c>
      <c r="T81" s="113">
        <v>45784.0</v>
      </c>
      <c r="U81" s="114" t="str">
        <f>IF(V81="","No AIS",VLOOKUP(V81,'Voyage days'!$A$3:$B$1480,2,FALSE))</f>
        <v>USG</v>
      </c>
      <c r="V81" s="115" t="str">
        <f>IF(VLOOKUP(A81,'1) Kpler'!$E$2:$P$1000,8, FALSE)="","",VLOOKUP(A81,'1) Kpler'!$E$2:$P$1000,8, FALSE))</f>
        <v>Energy Transfer Nederland</v>
      </c>
      <c r="W81" s="116">
        <f>IF(VLOOKUP(A81,'1) Kpler'!$E$2:$P$1000,9,FALSE)="","",VLOOKUP(A81,'1) Kpler'!$E$2:$P$1000,9,FALSE))</f>
        <v>46145.625</v>
      </c>
      <c r="X81" s="115" t="str">
        <f>VLOOKUP(A81,'1) Kpler'!$E$2:$I$1000,4,FALSE)</f>
        <v>ballast</v>
      </c>
      <c r="Y81" s="160" t="str">
        <f t="shared" si="40"/>
        <v/>
      </c>
      <c r="Z81" s="120" t="str">
        <f t="shared" si="41"/>
        <v/>
      </c>
      <c r="AA81" s="121" t="str">
        <f>IFERROR($M81+VLOOKUP($L81,'Voyage days'!$F$38:$H$89,3,FALSE),"")</f>
        <v/>
      </c>
      <c r="AB81" s="121" t="str">
        <f>IFERROR(N81+VLOOKUP($L81,'Voyage days'!$F$38:$H$89,3,FALSE),"")</f>
        <v/>
      </c>
      <c r="AC81" s="120" t="str">
        <f t="shared" si="42"/>
        <v>10-11 May</v>
      </c>
      <c r="AD81" s="121">
        <f>IFERROR($M81+VLOOKUP($L81,'Voyage days'!$F$94:$H$193,3,FALSE),"")</f>
        <v>45787</v>
      </c>
      <c r="AE81" s="121">
        <f>IFERROR($N81+VLOOKUP($L81,'Voyage days'!$F$94:$H$193,3,FALSE),"")</f>
        <v>45788</v>
      </c>
      <c r="AF81" s="120" t="str">
        <f t="shared" si="43"/>
        <v>10-11 May</v>
      </c>
      <c r="AG81" s="121">
        <f>IFERROR($M81+VLOOKUP($L81,'Voyage days'!$F$203:$H$256,3,FALSE),"")</f>
        <v>45787</v>
      </c>
      <c r="AH81" s="121">
        <f>IFERROR($N81+VLOOKUP($L81,'Voyage days'!$F$203:$H$256,3,FALSE),"")</f>
        <v>45788</v>
      </c>
      <c r="AI81" s="120" t="str">
        <f t="shared" si="44"/>
        <v/>
      </c>
      <c r="AJ81" s="121" t="str">
        <f>IFERROR($M81+VLOOKUP($L81,'Voyage days'!$F$294:$H$377,3,FALSE),"")</f>
        <v/>
      </c>
      <c r="AK81" s="121" t="str">
        <f>IFERROR($N81+VLOOKUP($L81,'Voyage days'!$F$294:$H$377,3,FALSE),"")</f>
        <v/>
      </c>
      <c r="AL81" s="120" t="str">
        <f t="shared" si="45"/>
        <v>30-31 May</v>
      </c>
      <c r="AM81" s="121">
        <f>IFERROR($M81+VLOOKUP($L81,'Voyage days'!$F$382:$H$446,3,FALSE),"")</f>
        <v>45807</v>
      </c>
      <c r="AN81" s="121">
        <f>IFERROR($N81+VLOOKUP($L81,'Voyage days'!$F$382:$H$446,3,FALSE),"")</f>
        <v>45808</v>
      </c>
      <c r="AO81" s="120" t="str">
        <f t="shared" si="46"/>
        <v/>
      </c>
      <c r="AP81" s="121" t="str">
        <f>IFERROR($M81+VLOOKUP($L81,'Voyage days'!$F$483:$H$538,3,FALSE),"")</f>
        <v/>
      </c>
      <c r="AQ81" s="121" t="str">
        <f>IFERROR($N81+VLOOKUP($L81,'Voyage days'!$F$483:$H$538,3,FALSE),"")</f>
        <v/>
      </c>
      <c r="AR81" s="120" t="str">
        <f t="shared" si="47"/>
        <v/>
      </c>
      <c r="AS81" s="121" t="str">
        <f>IFERROR($M81+VLOOKUP($L81,'Voyage days'!$F$540:$H$613,3,FALSE),"")</f>
        <v/>
      </c>
      <c r="AT81" s="121" t="str">
        <f>IFERROR($N81+VLOOKUP($L81,'Voyage days'!$F$540:$H$613,3,FALSE),"")</f>
        <v/>
      </c>
      <c r="AU81" s="120" t="str">
        <f t="shared" si="48"/>
        <v/>
      </c>
      <c r="AV81" s="121" t="str">
        <f>IFERROR($M81+VLOOKUP($L81,'Voyage days'!$L$483:$N$535,3,FALSE),"")</f>
        <v/>
      </c>
      <c r="AW81" s="121" t="str">
        <f>IFERROR($N81+VLOOKUP($L81,'Voyage days'!$L$483:$N$535,3,FALSE),"")</f>
        <v/>
      </c>
      <c r="AX81" s="120" t="str">
        <f t="shared" si="49"/>
        <v/>
      </c>
      <c r="AY81" s="122" t="str">
        <f>IFERROR($M81+VLOOKUP($L81,'Voyage days'!$F$620:$H$646,3,FALSE),"")</f>
        <v/>
      </c>
      <c r="AZ81" s="122" t="str">
        <f>IFERROR($N81+VLOOKUP($L81,'Voyage days'!$F$620:$H$646,3,FALSE),"")</f>
        <v/>
      </c>
      <c r="BA81" s="120" t="str">
        <f t="shared" si="50"/>
        <v/>
      </c>
      <c r="BB81" s="123" t="str">
        <f>IFERROR($M81+VLOOKUP($L81,'Voyage days'!$F$702:$H$727,3,FALSE),"")</f>
        <v/>
      </c>
      <c r="BC81" s="120" t="str">
        <f t="shared" si="51"/>
        <v/>
      </c>
      <c r="BD81" s="122" t="str">
        <f>IFERROR($M81+VLOOKUP($L81,'Voyage days'!$F$807:$H$878,3,FALSE),"")</f>
        <v/>
      </c>
      <c r="BE81" s="122" t="str">
        <f>IFERROR($N81+VLOOKUP($L81,'Voyage days'!$F$807:$H$878,3,FALSE),"")</f>
        <v/>
      </c>
      <c r="BF81" s="609"/>
      <c r="BG81" s="609"/>
      <c r="BH81" s="609"/>
      <c r="BI81" s="609"/>
      <c r="BJ81" s="609"/>
      <c r="BK81" s="609"/>
      <c r="BL81" s="609"/>
      <c r="BM81" s="609"/>
    </row>
    <row r="82" ht="15.75" customHeight="1">
      <c r="A82" s="100" t="s">
        <v>414</v>
      </c>
      <c r="B82" s="101">
        <v>42370.0</v>
      </c>
      <c r="C82" s="1045">
        <v>83000.0</v>
      </c>
      <c r="D82" s="104" t="s">
        <v>1687</v>
      </c>
      <c r="E82" s="103"/>
      <c r="F82" s="604">
        <v>44217.0</v>
      </c>
      <c r="G82" s="1085">
        <v>45992.0</v>
      </c>
      <c r="H82" s="103"/>
      <c r="I82" s="185" t="s">
        <v>667</v>
      </c>
      <c r="J82" s="111" t="s">
        <v>2905</v>
      </c>
      <c r="K82" s="336" t="str">
        <f t="shared" si="39"/>
        <v>Update</v>
      </c>
      <c r="L82" s="108" t="s">
        <v>680</v>
      </c>
      <c r="M82" s="109">
        <v>45816.0</v>
      </c>
      <c r="N82" s="1086">
        <v>45817.0</v>
      </c>
      <c r="O82" s="191"/>
      <c r="P82" s="111"/>
      <c r="Q82" s="111"/>
      <c r="R82" s="192" t="s">
        <v>2967</v>
      </c>
      <c r="S82" s="112" t="s">
        <v>934</v>
      </c>
      <c r="T82" s="113">
        <v>45788.0</v>
      </c>
      <c r="U82" s="114" t="str">
        <f>IF(V82="","No AIS",VLOOKUP(V82,'Voyage days'!$A$3:$B$1480,2,FALSE))</f>
        <v>Japan + 6</v>
      </c>
      <c r="V82" s="115" t="str">
        <f>IF(VLOOKUP(A82,'1) Kpler'!$E$2:$P$1000,8, FALSE)="","",VLOOKUP(A82,'1) Kpler'!$E$2:$P$1000,8, FALSE))</f>
        <v>Chiba</v>
      </c>
      <c r="W82" s="116">
        <f>IF(VLOOKUP(A82,'1) Kpler'!$E$2:$P$1000,9,FALSE)="","",VLOOKUP(A82,'1) Kpler'!$E$2:$P$1000,9,FALSE))</f>
        <v>46133.35417</v>
      </c>
      <c r="X82" s="115" t="str">
        <f>VLOOKUP(A82,'1) Kpler'!$E$2:$I$1000,4,FALSE)</f>
        <v>loaded</v>
      </c>
      <c r="Y82" s="117" t="str">
        <f t="shared" si="40"/>
        <v/>
      </c>
      <c r="Z82" s="120" t="str">
        <f t="shared" si="41"/>
        <v/>
      </c>
      <c r="AA82" s="121" t="str">
        <f>IFERROR($M82+VLOOKUP($L82,'Voyage days'!$F$38:$H$89,3,FALSE),"")</f>
        <v/>
      </c>
      <c r="AB82" s="121" t="str">
        <f>IFERROR(N82+VLOOKUP($L82,'Voyage days'!$F$38:$H$89,3,FALSE),"")</f>
        <v/>
      </c>
      <c r="AC82" s="120" t="str">
        <f t="shared" si="42"/>
        <v>08-09 Jun</v>
      </c>
      <c r="AD82" s="121">
        <f>IFERROR($M82+VLOOKUP($L82,'Voyage days'!$F$94:$H$193,3,FALSE),"")</f>
        <v>45816</v>
      </c>
      <c r="AE82" s="121">
        <f>IFERROR($N82+VLOOKUP($L82,'Voyage days'!$F$94:$H$193,3,FALSE),"")</f>
        <v>45817</v>
      </c>
      <c r="AF82" s="120" t="str">
        <f t="shared" si="43"/>
        <v>08-09 Jun</v>
      </c>
      <c r="AG82" s="121">
        <f>IFERROR($M82+VLOOKUP($L82,'Voyage days'!$F$203:$H$256,3,FALSE),"")</f>
        <v>45816</v>
      </c>
      <c r="AH82" s="121">
        <f>IFERROR($N82+VLOOKUP($L82,'Voyage days'!$F$203:$H$256,3,FALSE),"")</f>
        <v>45817</v>
      </c>
      <c r="AI82" s="120" t="str">
        <f t="shared" si="44"/>
        <v/>
      </c>
      <c r="AJ82" s="121" t="str">
        <f>IFERROR($M82+VLOOKUP($L82,'Voyage days'!$F$294:$H$377,3,FALSE),"")</f>
        <v/>
      </c>
      <c r="AK82" s="121" t="str">
        <f>IFERROR($N82+VLOOKUP($L82,'Voyage days'!$F$294:$H$377,3,FALSE),"")</f>
        <v/>
      </c>
      <c r="AL82" s="120" t="str">
        <f t="shared" si="45"/>
        <v>28-29 Jun</v>
      </c>
      <c r="AM82" s="121">
        <f>IFERROR($M82+VLOOKUP($L82,'Voyage days'!$F$382:$H$446,3,FALSE),"")</f>
        <v>45836</v>
      </c>
      <c r="AN82" s="121">
        <f>IFERROR($N82+VLOOKUP($L82,'Voyage days'!$F$382:$H$446,3,FALSE),"")</f>
        <v>45837</v>
      </c>
      <c r="AO82" s="120" t="str">
        <f t="shared" si="46"/>
        <v/>
      </c>
      <c r="AP82" s="121" t="str">
        <f>IFERROR($M82+VLOOKUP($L82,'Voyage days'!$F$483:$H$538,3,FALSE),"")</f>
        <v/>
      </c>
      <c r="AQ82" s="121" t="str">
        <f>IFERROR($N82+VLOOKUP($L82,'Voyage days'!$F$483:$H$538,3,FALSE),"")</f>
        <v/>
      </c>
      <c r="AR82" s="120" t="str">
        <f t="shared" si="47"/>
        <v/>
      </c>
      <c r="AS82" s="121" t="str">
        <f>IFERROR($M82+VLOOKUP($L82,'Voyage days'!$F$540:$H$613,3,FALSE),"")</f>
        <v/>
      </c>
      <c r="AT82" s="121" t="str">
        <f>IFERROR($N82+VLOOKUP($L82,'Voyage days'!$F$540:$H$613,3,FALSE),"")</f>
        <v/>
      </c>
      <c r="AU82" s="120" t="str">
        <f t="shared" si="48"/>
        <v/>
      </c>
      <c r="AV82" s="121" t="str">
        <f>IFERROR($M82+VLOOKUP($L82,'Voyage days'!$L$483:$N$535,3,FALSE),"")</f>
        <v/>
      </c>
      <c r="AW82" s="121" t="str">
        <f>IFERROR($N82+VLOOKUP($L82,'Voyage days'!$L$483:$N$535,3,FALSE),"")</f>
        <v/>
      </c>
      <c r="AX82" s="120" t="str">
        <f t="shared" si="49"/>
        <v/>
      </c>
      <c r="AY82" s="122" t="str">
        <f>IFERROR($M82+VLOOKUP($L82,'Voyage days'!$F$620:$H$646,3,FALSE),"")</f>
        <v/>
      </c>
      <c r="AZ82" s="122" t="str">
        <f>IFERROR($N82+VLOOKUP($L82,'Voyage days'!$F$620:$H$646,3,FALSE),"")</f>
        <v/>
      </c>
      <c r="BA82" s="120" t="str">
        <f t="shared" si="50"/>
        <v/>
      </c>
      <c r="BB82" s="123" t="str">
        <f>IFERROR($M82+VLOOKUP($L82,'Voyage days'!$F$702:$H$727,3,FALSE),"")</f>
        <v/>
      </c>
      <c r="BC82" s="120" t="str">
        <f t="shared" si="51"/>
        <v/>
      </c>
      <c r="BD82" s="122" t="str">
        <f>IFERROR($M82+VLOOKUP($L82,'Voyage days'!$F$807:$H$878,3,FALSE),"")</f>
        <v/>
      </c>
      <c r="BE82" s="122" t="str">
        <f>IFERROR($N82+VLOOKUP($L82,'Voyage days'!$F$807:$H$878,3,FALSE),"")</f>
        <v/>
      </c>
      <c r="BF82" s="609"/>
      <c r="BG82" s="609"/>
      <c r="BH82" s="609"/>
      <c r="BI82" s="609"/>
      <c r="BJ82" s="609"/>
      <c r="BK82" s="609"/>
      <c r="BL82" s="609"/>
      <c r="BM82" s="609"/>
    </row>
    <row r="83" ht="15.75" customHeight="1">
      <c r="A83" s="100" t="s">
        <v>417</v>
      </c>
      <c r="B83" s="189">
        <v>37981.0</v>
      </c>
      <c r="C83" s="1083">
        <v>78908.0</v>
      </c>
      <c r="D83" s="104" t="s">
        <v>1687</v>
      </c>
      <c r="E83" s="103"/>
      <c r="F83" s="604"/>
      <c r="G83" s="1085">
        <v>45992.0</v>
      </c>
      <c r="H83" s="103"/>
      <c r="I83" s="185" t="s">
        <v>667</v>
      </c>
      <c r="J83" s="111" t="s">
        <v>2905</v>
      </c>
      <c r="K83" s="336" t="str">
        <f t="shared" si="39"/>
        <v>Update</v>
      </c>
      <c r="L83" s="108" t="s">
        <v>668</v>
      </c>
      <c r="M83" s="109">
        <v>45803.0</v>
      </c>
      <c r="N83" s="109">
        <v>45804.0</v>
      </c>
      <c r="O83" s="110"/>
      <c r="P83" s="111"/>
      <c r="Q83" s="111"/>
      <c r="R83" s="185"/>
      <c r="S83" s="112" t="s">
        <v>659</v>
      </c>
      <c r="T83" s="113">
        <v>45775.0</v>
      </c>
      <c r="U83" s="114" t="str">
        <f>IF(V83="","No AIS",VLOOKUP(V83,'Voyage days'!$A$3:$B$1480,2,FALSE))</f>
        <v>Indo + 4</v>
      </c>
      <c r="V83" s="115" t="str">
        <f>IF(VLOOKUP(A83,'1) Kpler'!$E$2:$P$1000,8, FALSE)="","",VLOOKUP(A83,'1) Kpler'!$E$2:$P$1000,8, FALSE))</f>
        <v>Pupuk Ammonia</v>
      </c>
      <c r="W83" s="116">
        <f>IF(VLOOKUP(A83,'1) Kpler'!$E$2:$P$1000,9,FALSE)="","",VLOOKUP(A83,'1) Kpler'!$E$2:$P$1000,9,FALSE))</f>
        <v>46166.125</v>
      </c>
      <c r="X83" s="115" t="str">
        <f>VLOOKUP(A83,'1) Kpler'!$E$2:$I$1000,4,FALSE)</f>
        <v>loaded</v>
      </c>
      <c r="Y83" s="160" t="str">
        <f t="shared" si="40"/>
        <v>13-14 Jun</v>
      </c>
      <c r="Z83" s="120" t="str">
        <f t="shared" si="41"/>
        <v>13-14 Jun</v>
      </c>
      <c r="AA83" s="121">
        <f>IFERROR($M83+VLOOKUP($L83,'Voyage days'!$F$38:$H$89,3,FALSE),"")</f>
        <v>45821</v>
      </c>
      <c r="AB83" s="121">
        <f>IFERROR(N83+VLOOKUP($L83,'Voyage days'!$F$38:$H$89,3,FALSE),"")</f>
        <v>45822</v>
      </c>
      <c r="AC83" s="120" t="str">
        <f t="shared" si="42"/>
        <v>27-28 Jun</v>
      </c>
      <c r="AD83" s="121">
        <f>IFERROR($M83+VLOOKUP($L83,'Voyage days'!$F$94:$H$193,3,FALSE),"")</f>
        <v>45835</v>
      </c>
      <c r="AE83" s="121">
        <f>IFERROR($N83+VLOOKUP($L83,'Voyage days'!$F$94:$H$193,3,FALSE),"")</f>
        <v>45836</v>
      </c>
      <c r="AF83" s="120" t="str">
        <f t="shared" si="43"/>
        <v>07-08 Jul</v>
      </c>
      <c r="AG83" s="121">
        <f>IFERROR($M83+VLOOKUP($L83,'Voyage days'!$F$203:$H$256,3,FALSE),"")</f>
        <v>45845</v>
      </c>
      <c r="AH83" s="121">
        <f>IFERROR($N83+VLOOKUP($L83,'Voyage days'!$F$203:$H$256,3,FALSE),"")</f>
        <v>45846</v>
      </c>
      <c r="AI83" s="120" t="str">
        <f t="shared" si="44"/>
        <v>25-26 Jun</v>
      </c>
      <c r="AJ83" s="121">
        <f>IFERROR($M83+VLOOKUP($L83,'Voyage days'!$F$294:$H$377,3,FALSE),"")</f>
        <v>45833</v>
      </c>
      <c r="AK83" s="121">
        <f>IFERROR($N83+VLOOKUP($L83,'Voyage days'!$F$294:$H$377,3,FALSE),"")</f>
        <v>45834</v>
      </c>
      <c r="AL83" s="120" t="str">
        <f t="shared" si="45"/>
        <v>01-02 Jul</v>
      </c>
      <c r="AM83" s="121">
        <f>IFERROR($M83+VLOOKUP($L83,'Voyage days'!$F$382:$H$446,3,FALSE),"")</f>
        <v>45839</v>
      </c>
      <c r="AN83" s="121">
        <f>IFERROR($N83+VLOOKUP($L83,'Voyage days'!$F$382:$H$446,3,FALSE),"")</f>
        <v>45840</v>
      </c>
      <c r="AO83" s="120" t="str">
        <f t="shared" si="46"/>
        <v>08-09 Jun</v>
      </c>
      <c r="AP83" s="121">
        <f>IFERROR($M83+VLOOKUP($L83,'Voyage days'!$F$483:$H$538,3,FALSE),"")</f>
        <v>45816</v>
      </c>
      <c r="AQ83" s="121">
        <f>IFERROR($N83+VLOOKUP($L83,'Voyage days'!$F$483:$H$538,3,FALSE),"")</f>
        <v>45817</v>
      </c>
      <c r="AR83" s="120" t="str">
        <f t="shared" si="47"/>
        <v>03-04 Jun</v>
      </c>
      <c r="AS83" s="121">
        <f>IFERROR($M83+VLOOKUP($L83,'Voyage days'!$F$540:$H$613,3,FALSE),"")</f>
        <v>45811.25</v>
      </c>
      <c r="AT83" s="121">
        <f>IFERROR($N83+VLOOKUP($L83,'Voyage days'!$F$540:$H$613,3,FALSE),"")</f>
        <v>45812.25</v>
      </c>
      <c r="AU83" s="120" t="str">
        <f t="shared" si="48"/>
        <v/>
      </c>
      <c r="AV83" s="121" t="str">
        <f>IFERROR($M83+VLOOKUP($L83,'Voyage days'!$L$483:$N$535,3,FALSE),"")</f>
        <v/>
      </c>
      <c r="AW83" s="121" t="str">
        <f>IFERROR($N83+VLOOKUP($L83,'Voyage days'!$L$483:$N$535,3,FALSE),"")</f>
        <v/>
      </c>
      <c r="AX83" s="120" t="str">
        <f t="shared" si="49"/>
        <v>06-07 Jun</v>
      </c>
      <c r="AY83" s="122">
        <f>IFERROR($M83+VLOOKUP($L83,'Voyage days'!$F$620:$H$646,3,FALSE),"")</f>
        <v>45814</v>
      </c>
      <c r="AZ83" s="122">
        <f>IFERROR($N83+VLOOKUP($L83,'Voyage days'!$F$620:$H$646,3,FALSE),"")</f>
        <v>45815</v>
      </c>
      <c r="BA83" s="120" t="str">
        <f t="shared" si="50"/>
        <v>03-12 Jul</v>
      </c>
      <c r="BB83" s="123">
        <f>IFERROR($M83+VLOOKUP($L83,'Voyage days'!$F$702:$H$727,3,FALSE),"")</f>
        <v>45811.25</v>
      </c>
      <c r="BC83" s="120" t="str">
        <f t="shared" si="51"/>
        <v>11-12 Jul</v>
      </c>
      <c r="BD83" s="122">
        <f>IFERROR($M83+VLOOKUP($L83,'Voyage days'!$F$807:$H$878,3,FALSE),"")</f>
        <v>45849</v>
      </c>
      <c r="BE83" s="122">
        <f>IFERROR($N83+VLOOKUP($L83,'Voyage days'!$F$807:$H$878,3,FALSE),"")</f>
        <v>45850</v>
      </c>
      <c r="BF83" s="609"/>
      <c r="BG83" s="609"/>
      <c r="BH83" s="609"/>
      <c r="BI83" s="609"/>
      <c r="BJ83" s="609"/>
      <c r="BK83" s="609"/>
      <c r="BL83" s="609"/>
      <c r="BM83" s="609"/>
    </row>
    <row r="84" ht="15.75" customHeight="1">
      <c r="A84" s="80" t="s">
        <v>419</v>
      </c>
      <c r="B84" s="148">
        <v>2024.0</v>
      </c>
      <c r="C84" s="1045">
        <v>86700.0</v>
      </c>
      <c r="D84" s="104"/>
      <c r="E84" s="103"/>
      <c r="F84" s="604"/>
      <c r="G84" s="605"/>
      <c r="H84" s="103"/>
      <c r="I84" s="185" t="s">
        <v>667</v>
      </c>
      <c r="J84" s="111"/>
      <c r="K84" s="336" t="str">
        <f t="shared" si="39"/>
        <v>NO AIS</v>
      </c>
      <c r="L84" s="199" t="s">
        <v>720</v>
      </c>
      <c r="M84" s="109">
        <v>45802.0</v>
      </c>
      <c r="N84" s="109">
        <v>45803.0</v>
      </c>
      <c r="O84" s="110"/>
      <c r="P84" s="185"/>
      <c r="Q84" s="185"/>
      <c r="R84" s="185"/>
      <c r="S84" s="112" t="s">
        <v>934</v>
      </c>
      <c r="T84" s="113">
        <v>45781.0</v>
      </c>
      <c r="U84" s="114" t="str">
        <f>IF(V84="","No AIS",VLOOKUP(V84,'Voyage days'!$A$3:$B$1480,2,FALSE))</f>
        <v>No AIS</v>
      </c>
      <c r="V84" s="115" t="str">
        <f>IF(VLOOKUP(A84,'1) Kpler'!$E$2:$P$1000,8, FALSE)="","",VLOOKUP(A84,'1) Kpler'!$E$2:$P$1000,8, FALSE))</f>
        <v/>
      </c>
      <c r="W84" s="116" t="str">
        <f>IF(VLOOKUP(A84,'1) Kpler'!$E$2:$P$1000,9,FALSE)="","",VLOOKUP(A84,'1) Kpler'!$E$2:$P$1000,9,FALSE))</f>
        <v/>
      </c>
      <c r="X84" s="115" t="str">
        <f>VLOOKUP(A84,'1) Kpler'!$E$2:$I$1000,4,FALSE)</f>
        <v>ballast</v>
      </c>
      <c r="Y84" s="117" t="str">
        <f t="shared" si="40"/>
        <v>12-13 Jun</v>
      </c>
      <c r="Z84" s="120" t="str">
        <f t="shared" si="41"/>
        <v>12-13 Jun</v>
      </c>
      <c r="AA84" s="121">
        <f>IFERROR($M84+VLOOKUP($L84,'Voyage days'!$F$38:$H$89,3,FALSE),"")</f>
        <v>45820</v>
      </c>
      <c r="AB84" s="121">
        <f>IFERROR(N84+VLOOKUP($L84,'Voyage days'!$F$38:$H$89,3,FALSE),"")</f>
        <v>45821</v>
      </c>
      <c r="AC84" s="120" t="str">
        <f t="shared" si="42"/>
        <v>28-29 Jun</v>
      </c>
      <c r="AD84" s="121">
        <f>IFERROR($M84+VLOOKUP($L84,'Voyage days'!$F$94:$H$193,3,FALSE),"")</f>
        <v>45836</v>
      </c>
      <c r="AE84" s="121">
        <f>IFERROR($N84+VLOOKUP($L84,'Voyage days'!$F$94:$H$193,3,FALSE),"")</f>
        <v>45837</v>
      </c>
      <c r="AF84" s="120" t="str">
        <f t="shared" si="43"/>
        <v>05-06 Jul</v>
      </c>
      <c r="AG84" s="121">
        <f>IFERROR($M84+VLOOKUP($L84,'Voyage days'!$F$203:$H$256,3,FALSE),"")</f>
        <v>45843</v>
      </c>
      <c r="AH84" s="121">
        <f>IFERROR($N84+VLOOKUP($L84,'Voyage days'!$F$203:$H$256,3,FALSE),"")</f>
        <v>45844</v>
      </c>
      <c r="AI84" s="120" t="str">
        <f t="shared" si="44"/>
        <v>23-24 Jun</v>
      </c>
      <c r="AJ84" s="121">
        <f>IFERROR($M84+VLOOKUP($L84,'Voyage days'!$F$294:$H$377,3,FALSE),"")</f>
        <v>45831</v>
      </c>
      <c r="AK84" s="121">
        <f>IFERROR($N84+VLOOKUP($L84,'Voyage days'!$F$294:$H$377,3,FALSE),"")</f>
        <v>45832</v>
      </c>
      <c r="AL84" s="120" t="str">
        <f t="shared" si="45"/>
        <v>29-30 Jun</v>
      </c>
      <c r="AM84" s="121">
        <f>IFERROR($M84+VLOOKUP($L84,'Voyage days'!$F$382:$H$446,3,FALSE),"")</f>
        <v>45837</v>
      </c>
      <c r="AN84" s="121">
        <f>IFERROR($N84+VLOOKUP($L84,'Voyage days'!$F$382:$H$446,3,FALSE),"")</f>
        <v>45838</v>
      </c>
      <c r="AO84" s="120" t="str">
        <f t="shared" si="46"/>
        <v>08-09 Jun</v>
      </c>
      <c r="AP84" s="121">
        <f>IFERROR($M84+VLOOKUP($L84,'Voyage days'!$F$483:$H$538,3,FALSE),"")</f>
        <v>45816</v>
      </c>
      <c r="AQ84" s="121">
        <f>IFERROR($N84+VLOOKUP($L84,'Voyage days'!$F$483:$H$538,3,FALSE),"")</f>
        <v>45817</v>
      </c>
      <c r="AR84" s="120" t="str">
        <f t="shared" si="47"/>
        <v>02-03 Jun</v>
      </c>
      <c r="AS84" s="121">
        <f>IFERROR($M84+VLOOKUP($L84,'Voyage days'!$F$540:$H$613,3,FALSE),"")</f>
        <v>45810</v>
      </c>
      <c r="AT84" s="121">
        <f>IFERROR($N84+VLOOKUP($L84,'Voyage days'!$F$540:$H$613,3,FALSE),"")</f>
        <v>45811</v>
      </c>
      <c r="AU84" s="120" t="str">
        <f t="shared" si="48"/>
        <v/>
      </c>
      <c r="AV84" s="121" t="str">
        <f>IFERROR($M84+VLOOKUP($L84,'Voyage days'!$L$483:$N$535,3,FALSE),"")</f>
        <v/>
      </c>
      <c r="AW84" s="121" t="str">
        <f>IFERROR($N84+VLOOKUP($L84,'Voyage days'!$L$483:$N$535,3,FALSE),"")</f>
        <v/>
      </c>
      <c r="AX84" s="120" t="str">
        <f t="shared" si="49"/>
        <v>05-06 Jun</v>
      </c>
      <c r="AY84" s="122">
        <f>IFERROR($M84+VLOOKUP($L84,'Voyage days'!$F$620:$H$646,3,FALSE),"")</f>
        <v>45813</v>
      </c>
      <c r="AZ84" s="122">
        <f>IFERROR($N84+VLOOKUP($L84,'Voyage days'!$F$620:$H$646,3,FALSE),"")</f>
        <v>45814</v>
      </c>
      <c r="BA84" s="120" t="str">
        <f t="shared" si="50"/>
        <v>02-10 Jul</v>
      </c>
      <c r="BB84" s="123">
        <f>IFERROR($M84+VLOOKUP($L84,'Voyage days'!$F$702:$H$727,3,FALSE),"")</f>
        <v>45810</v>
      </c>
      <c r="BC84" s="120" t="str">
        <f t="shared" si="51"/>
        <v>09-10 Jul</v>
      </c>
      <c r="BD84" s="122">
        <f>IFERROR($M84+VLOOKUP($L84,'Voyage days'!$F$807:$H$878,3,FALSE),"")</f>
        <v>45847</v>
      </c>
      <c r="BE84" s="122">
        <f>IFERROR($N84+VLOOKUP($L84,'Voyage days'!$F$807:$H$878,3,FALSE),"")</f>
        <v>45848</v>
      </c>
      <c r="BF84" s="609"/>
      <c r="BG84" s="609"/>
      <c r="BH84" s="609"/>
      <c r="BI84" s="609"/>
      <c r="BJ84" s="609"/>
      <c r="BK84" s="609"/>
      <c r="BL84" s="609"/>
      <c r="BM84" s="609"/>
    </row>
    <row r="85" ht="15.75" customHeight="1">
      <c r="A85" s="80" t="s">
        <v>421</v>
      </c>
      <c r="B85" s="148">
        <v>2019.0</v>
      </c>
      <c r="C85" s="1045">
        <v>83000.0</v>
      </c>
      <c r="D85" s="104" t="s">
        <v>1687</v>
      </c>
      <c r="E85" s="103" t="s">
        <v>689</v>
      </c>
      <c r="F85" s="604"/>
      <c r="G85" s="605">
        <v>45992.0</v>
      </c>
      <c r="H85" s="103"/>
      <c r="I85" s="185" t="s">
        <v>667</v>
      </c>
      <c r="J85" s="111" t="s">
        <v>2918</v>
      </c>
      <c r="K85" s="336" t="str">
        <f t="shared" si="39"/>
        <v>Update</v>
      </c>
      <c r="L85" s="199" t="s">
        <v>680</v>
      </c>
      <c r="M85" s="109">
        <v>45815.0</v>
      </c>
      <c r="N85" s="109">
        <v>45816.0</v>
      </c>
      <c r="O85" s="191"/>
      <c r="P85" s="185"/>
      <c r="Q85" s="108" t="s">
        <v>2968</v>
      </c>
      <c r="R85" s="108"/>
      <c r="S85" s="112" t="s">
        <v>2962</v>
      </c>
      <c r="T85" s="113">
        <v>45785.0</v>
      </c>
      <c r="U85" s="114" t="str">
        <f>IF(V85="","No AIS",VLOOKUP(V85,'Voyage days'!$A$3:$B$1480,2,FALSE))</f>
        <v>East China + 4</v>
      </c>
      <c r="V85" s="115" t="str">
        <f>IF(VLOOKUP(A85,'1) Kpler'!$E$2:$P$1000,8, FALSE)="","",VLOOKUP(A85,'1) Kpler'!$E$2:$P$1000,8, FALSE))</f>
        <v>Taixing</v>
      </c>
      <c r="W85" s="116">
        <f>IF(VLOOKUP(A85,'1) Kpler'!$E$2:$P$1000,9,FALSE)="","",VLOOKUP(A85,'1) Kpler'!$E$2:$P$1000,9,FALSE))</f>
        <v>46143.5</v>
      </c>
      <c r="X85" s="115" t="str">
        <f>VLOOKUP(A85,'1) Kpler'!$E$2:$I$1000,4,FALSE)</f>
        <v>loaded</v>
      </c>
      <c r="Y85" s="160" t="str">
        <f t="shared" si="40"/>
        <v/>
      </c>
      <c r="Z85" s="120" t="str">
        <f t="shared" si="41"/>
        <v/>
      </c>
      <c r="AA85" s="121" t="str">
        <f>IFERROR($M85+VLOOKUP($L85,'Voyage days'!$F$38:$H$89,3,FALSE),"")</f>
        <v/>
      </c>
      <c r="AB85" s="121" t="str">
        <f>IFERROR(N85+VLOOKUP($L85,'Voyage days'!$F$38:$H$89,3,FALSE),"")</f>
        <v/>
      </c>
      <c r="AC85" s="120" t="str">
        <f t="shared" si="42"/>
        <v>07-08 Jun</v>
      </c>
      <c r="AD85" s="121">
        <f>IFERROR($M85+VLOOKUP($L85,'Voyage days'!$F$94:$H$193,3,FALSE),"")</f>
        <v>45815</v>
      </c>
      <c r="AE85" s="121">
        <f>IFERROR($N85+VLOOKUP($L85,'Voyage days'!$F$94:$H$193,3,FALSE),"")</f>
        <v>45816</v>
      </c>
      <c r="AF85" s="120" t="str">
        <f t="shared" si="43"/>
        <v>07-08 Jun</v>
      </c>
      <c r="AG85" s="121">
        <f>IFERROR($M85+VLOOKUP($L85,'Voyage days'!$F$203:$H$256,3,FALSE),"")</f>
        <v>45815</v>
      </c>
      <c r="AH85" s="121">
        <f>IFERROR($N85+VLOOKUP($L85,'Voyage days'!$F$203:$H$256,3,FALSE),"")</f>
        <v>45816</v>
      </c>
      <c r="AI85" s="120" t="str">
        <f t="shared" si="44"/>
        <v/>
      </c>
      <c r="AJ85" s="121" t="str">
        <f>IFERROR($M85+VLOOKUP($L85,'Voyage days'!$F$294:$H$377,3,FALSE),"")</f>
        <v/>
      </c>
      <c r="AK85" s="121" t="str">
        <f>IFERROR($N85+VLOOKUP($L85,'Voyage days'!$F$294:$H$377,3,FALSE),"")</f>
        <v/>
      </c>
      <c r="AL85" s="120" t="str">
        <f t="shared" si="45"/>
        <v>27-28 Jun</v>
      </c>
      <c r="AM85" s="121">
        <f>IFERROR($M85+VLOOKUP($L85,'Voyage days'!$F$382:$H$446,3,FALSE),"")</f>
        <v>45835</v>
      </c>
      <c r="AN85" s="121">
        <f>IFERROR($N85+VLOOKUP($L85,'Voyage days'!$F$382:$H$446,3,FALSE),"")</f>
        <v>45836</v>
      </c>
      <c r="AO85" s="120" t="str">
        <f t="shared" si="46"/>
        <v/>
      </c>
      <c r="AP85" s="121" t="str">
        <f>IFERROR($M85+VLOOKUP($L85,'Voyage days'!$F$483:$H$538,3,FALSE),"")</f>
        <v/>
      </c>
      <c r="AQ85" s="121" t="str">
        <f>IFERROR($N85+VLOOKUP($L85,'Voyage days'!$F$483:$H$538,3,FALSE),"")</f>
        <v/>
      </c>
      <c r="AR85" s="120" t="str">
        <f t="shared" si="47"/>
        <v/>
      </c>
      <c r="AS85" s="121" t="str">
        <f>IFERROR($M85+VLOOKUP($L85,'Voyage days'!$F$540:$H$613,3,FALSE),"")</f>
        <v/>
      </c>
      <c r="AT85" s="121" t="str">
        <f>IFERROR($N85+VLOOKUP($L85,'Voyage days'!$F$540:$H$613,3,FALSE),"")</f>
        <v/>
      </c>
      <c r="AU85" s="120" t="str">
        <f t="shared" si="48"/>
        <v/>
      </c>
      <c r="AV85" s="121" t="str">
        <f>IFERROR($M85+VLOOKUP($L85,'Voyage days'!$L$483:$N$535,3,FALSE),"")</f>
        <v/>
      </c>
      <c r="AW85" s="121" t="str">
        <f>IFERROR($N85+VLOOKUP($L85,'Voyage days'!$L$483:$N$535,3,FALSE),"")</f>
        <v/>
      </c>
      <c r="AX85" s="120" t="str">
        <f t="shared" si="49"/>
        <v/>
      </c>
      <c r="AY85" s="122" t="str">
        <f>IFERROR($M85+VLOOKUP($L85,'Voyage days'!$F$620:$H$646,3,FALSE),"")</f>
        <v/>
      </c>
      <c r="AZ85" s="122" t="str">
        <f>IFERROR($N85+VLOOKUP($L85,'Voyage days'!$F$620:$H$646,3,FALSE),"")</f>
        <v/>
      </c>
      <c r="BA85" s="120" t="str">
        <f t="shared" si="50"/>
        <v/>
      </c>
      <c r="BB85" s="123" t="str">
        <f>IFERROR($M85+VLOOKUP($L85,'Voyage days'!$F$702:$H$727,3,FALSE),"")</f>
        <v/>
      </c>
      <c r="BC85" s="120" t="str">
        <f t="shared" si="51"/>
        <v/>
      </c>
      <c r="BD85" s="122" t="str">
        <f>IFERROR($M85+VLOOKUP($L85,'Voyage days'!$F$807:$H$878,3,FALSE),"")</f>
        <v/>
      </c>
      <c r="BE85" s="122" t="str">
        <f>IFERROR($N85+VLOOKUP($L85,'Voyage days'!$F$807:$H$878,3,FALSE),"")</f>
        <v/>
      </c>
      <c r="BF85" s="609"/>
      <c r="BG85" s="609"/>
      <c r="BH85" s="609"/>
      <c r="BI85" s="609"/>
      <c r="BJ85" s="609"/>
      <c r="BK85" s="609"/>
      <c r="BL85" s="609"/>
      <c r="BM85" s="609"/>
    </row>
    <row r="86" ht="15.75" customHeight="1">
      <c r="A86" s="100" t="s">
        <v>425</v>
      </c>
      <c r="B86" s="101">
        <v>39783.0</v>
      </c>
      <c r="C86" s="1083">
        <v>78000.0</v>
      </c>
      <c r="D86" s="104" t="s">
        <v>1687</v>
      </c>
      <c r="E86" s="103"/>
      <c r="F86" s="604">
        <v>44166.0</v>
      </c>
      <c r="G86" s="1085">
        <v>45992.0</v>
      </c>
      <c r="H86" s="103"/>
      <c r="I86" s="185" t="s">
        <v>667</v>
      </c>
      <c r="J86" s="111" t="s">
        <v>2905</v>
      </c>
      <c r="K86" s="336" t="str">
        <f t="shared" si="39"/>
        <v>Update</v>
      </c>
      <c r="L86" s="108" t="s">
        <v>95</v>
      </c>
      <c r="M86" s="109">
        <v>45790.0</v>
      </c>
      <c r="N86" s="109">
        <v>45791.0</v>
      </c>
      <c r="O86" s="255"/>
      <c r="P86" s="185"/>
      <c r="Q86" s="187" t="s">
        <v>2969</v>
      </c>
      <c r="R86" s="185"/>
      <c r="S86" s="112" t="s">
        <v>2962</v>
      </c>
      <c r="T86" s="113">
        <v>45785.0</v>
      </c>
      <c r="U86" s="114" t="str">
        <f>IF(V86="","No AIS",VLOOKUP(V86,'Voyage days'!$A$3:$B$1480,2,FALSE))</f>
        <v>USG</v>
      </c>
      <c r="V86" s="115" t="str">
        <f>IF(VLOOKUP(A86,'1) Kpler'!$E$2:$P$1000,8, FALSE)="","",VLOOKUP(A86,'1) Kpler'!$E$2:$P$1000,8, FALSE))</f>
        <v>Houston</v>
      </c>
      <c r="W86" s="116">
        <f>IF(VLOOKUP(A86,'1) Kpler'!$E$2:$P$1000,9,FALSE)="","",VLOOKUP(A86,'1) Kpler'!$E$2:$P$1000,9,FALSE))</f>
        <v>46163.83333</v>
      </c>
      <c r="X86" s="115" t="str">
        <f>VLOOKUP(A86,'1) Kpler'!$E$2:$I$1000,4,FALSE)</f>
        <v>ballast</v>
      </c>
      <c r="Y86" s="117" t="str">
        <f t="shared" si="40"/>
        <v/>
      </c>
      <c r="Z86" s="120" t="str">
        <f t="shared" si="41"/>
        <v/>
      </c>
      <c r="AA86" s="121" t="str">
        <f>IFERROR($M86+VLOOKUP($L86,'Voyage days'!$F$38:$H$89,3,FALSE),"")</f>
        <v/>
      </c>
      <c r="AB86" s="121" t="str">
        <f>IFERROR(N86+VLOOKUP($L86,'Voyage days'!$F$38:$H$89,3,FALSE),"")</f>
        <v/>
      </c>
      <c r="AC86" s="120" t="str">
        <f t="shared" si="42"/>
        <v/>
      </c>
      <c r="AD86" s="121" t="str">
        <f>IFERROR($M86+VLOOKUP($L86,'Voyage days'!$F$94:$H$193,3,FALSE),"")</f>
        <v/>
      </c>
      <c r="AE86" s="121" t="str">
        <f>IFERROR($N86+VLOOKUP($L86,'Voyage days'!$F$94:$H$193,3,FALSE),"")</f>
        <v/>
      </c>
      <c r="AF86" s="120" t="str">
        <f t="shared" si="43"/>
        <v/>
      </c>
      <c r="AG86" s="121" t="str">
        <f>IFERROR($M86+VLOOKUP($L86,'Voyage days'!$F$203:$H$256,3,FALSE),"")</f>
        <v/>
      </c>
      <c r="AH86" s="121" t="str">
        <f>IFERROR($N86+VLOOKUP($L86,'Voyage days'!$F$203:$H$256,3,FALSE),"")</f>
        <v/>
      </c>
      <c r="AI86" s="120" t="str">
        <f t="shared" si="44"/>
        <v/>
      </c>
      <c r="AJ86" s="121" t="str">
        <f>IFERROR($M86+VLOOKUP($L86,'Voyage days'!$F$294:$H$377,3,FALSE),"")</f>
        <v/>
      </c>
      <c r="AK86" s="121" t="str">
        <f>IFERROR($N86+VLOOKUP($L86,'Voyage days'!$F$294:$H$377,3,FALSE),"")</f>
        <v/>
      </c>
      <c r="AL86" s="120" t="str">
        <f t="shared" si="45"/>
        <v/>
      </c>
      <c r="AM86" s="121" t="str">
        <f>IFERROR($M86+VLOOKUP($L86,'Voyage days'!$F$382:$H$446,3,FALSE),"")</f>
        <v/>
      </c>
      <c r="AN86" s="121" t="str">
        <f>IFERROR($N86+VLOOKUP($L86,'Voyage days'!$F$382:$H$446,3,FALSE),"")</f>
        <v/>
      </c>
      <c r="AO86" s="120" t="str">
        <f t="shared" si="46"/>
        <v/>
      </c>
      <c r="AP86" s="121" t="str">
        <f>IFERROR($M86+VLOOKUP($L86,'Voyage days'!$F$483:$H$538,3,FALSE),"")</f>
        <v/>
      </c>
      <c r="AQ86" s="121" t="str">
        <f>IFERROR($N86+VLOOKUP($L86,'Voyage days'!$F$483:$H$538,3,FALSE),"")</f>
        <v/>
      </c>
      <c r="AR86" s="120" t="str">
        <f t="shared" si="47"/>
        <v/>
      </c>
      <c r="AS86" s="121" t="str">
        <f>IFERROR($M86+VLOOKUP($L86,'Voyage days'!$F$540:$H$613,3,FALSE),"")</f>
        <v/>
      </c>
      <c r="AT86" s="121" t="str">
        <f>IFERROR($N86+VLOOKUP($L86,'Voyage days'!$F$540:$H$613,3,FALSE),"")</f>
        <v/>
      </c>
      <c r="AU86" s="120" t="str">
        <f t="shared" si="48"/>
        <v/>
      </c>
      <c r="AV86" s="121" t="str">
        <f>IFERROR($M86+VLOOKUP($L86,'Voyage days'!$L$483:$N$535,3,FALSE),"")</f>
        <v/>
      </c>
      <c r="AW86" s="121" t="str">
        <f>IFERROR($N86+VLOOKUP($L86,'Voyage days'!$L$483:$N$535,3,FALSE),"")</f>
        <v/>
      </c>
      <c r="AX86" s="120" t="str">
        <f t="shared" si="49"/>
        <v/>
      </c>
      <c r="AY86" s="122" t="str">
        <f>IFERROR($M86+VLOOKUP($L86,'Voyage days'!$F$620:$H$646,3,FALSE),"")</f>
        <v/>
      </c>
      <c r="AZ86" s="122" t="str">
        <f>IFERROR($N86+VLOOKUP($L86,'Voyage days'!$F$620:$H$646,3,FALSE),"")</f>
        <v/>
      </c>
      <c r="BA86" s="120" t="str">
        <f t="shared" si="50"/>
        <v/>
      </c>
      <c r="BB86" s="123" t="str">
        <f>IFERROR($M86+VLOOKUP($L86,'Voyage days'!$F$702:$H$727,3,FALSE),"")</f>
        <v/>
      </c>
      <c r="BC86" s="120" t="str">
        <f t="shared" si="51"/>
        <v/>
      </c>
      <c r="BD86" s="122" t="str">
        <f>IFERROR($M86+VLOOKUP($L86,'Voyage days'!$F$807:$H$878,3,FALSE),"")</f>
        <v/>
      </c>
      <c r="BE86" s="122" t="str">
        <f>IFERROR($N86+VLOOKUP($L86,'Voyage days'!$F$807:$H$878,3,FALSE),"")</f>
        <v/>
      </c>
      <c r="BF86" s="609"/>
      <c r="BG86" s="609"/>
      <c r="BH86" s="609"/>
      <c r="BI86" s="609"/>
      <c r="BJ86" s="609"/>
      <c r="BK86" s="609"/>
      <c r="BL86" s="609"/>
      <c r="BM86" s="609"/>
    </row>
    <row r="87" ht="15.75" customHeight="1">
      <c r="A87" s="100" t="s">
        <v>431</v>
      </c>
      <c r="B87" s="189">
        <v>37681.0</v>
      </c>
      <c r="C87" s="1083">
        <v>78945.0</v>
      </c>
      <c r="D87" s="104" t="s">
        <v>1687</v>
      </c>
      <c r="E87" s="103"/>
      <c r="F87" s="604"/>
      <c r="G87" s="1085">
        <v>45992.0</v>
      </c>
      <c r="H87" s="103"/>
      <c r="I87" s="185" t="s">
        <v>667</v>
      </c>
      <c r="J87" s="111" t="s">
        <v>2905</v>
      </c>
      <c r="K87" s="336" t="str">
        <f t="shared" si="39"/>
        <v>Update</v>
      </c>
      <c r="L87" s="108" t="s">
        <v>668</v>
      </c>
      <c r="M87" s="109">
        <v>45797.0</v>
      </c>
      <c r="N87" s="109">
        <v>45799.0</v>
      </c>
      <c r="O87" s="334"/>
      <c r="P87" s="108"/>
      <c r="Q87" s="111"/>
      <c r="R87" s="185"/>
      <c r="S87" s="112" t="s">
        <v>934</v>
      </c>
      <c r="T87" s="113">
        <v>45781.0</v>
      </c>
      <c r="U87" s="114" t="str">
        <f>IF(V87="","No AIS",VLOOKUP(V87,'Voyage days'!$A$3:$B$1480,2,FALSE))</f>
        <v>#N/A</v>
      </c>
      <c r="V87" s="115" t="str">
        <f>IF(VLOOKUP(A87,'1) Kpler'!$E$2:$P$1000,8, FALSE)="","",VLOOKUP(A87,'1) Kpler'!$E$2:$P$1000,8, FALSE))</f>
        <v>Targa</v>
      </c>
      <c r="W87" s="116">
        <f>IF(VLOOKUP(A87,'1) Kpler'!$E$2:$P$1000,9,FALSE)="","",VLOOKUP(A87,'1) Kpler'!$E$2:$P$1000,9,FALSE))</f>
        <v>46133.125</v>
      </c>
      <c r="X87" s="115" t="str">
        <f>VLOOKUP(A87,'1) Kpler'!$E$2:$I$1000,4,FALSE)</f>
        <v>ballast</v>
      </c>
      <c r="Y87" s="160" t="str">
        <f t="shared" si="40"/>
        <v>07-09 Jun</v>
      </c>
      <c r="Z87" s="120" t="str">
        <f t="shared" si="41"/>
        <v>07-09 Jun</v>
      </c>
      <c r="AA87" s="121">
        <f>IFERROR($M87+VLOOKUP($L87,'Voyage days'!$F$38:$H$89,3,FALSE),"")</f>
        <v>45815</v>
      </c>
      <c r="AB87" s="121">
        <f>IFERROR(N87+VLOOKUP($L87,'Voyage days'!$F$38:$H$89,3,FALSE),"")</f>
        <v>45817</v>
      </c>
      <c r="AC87" s="120" t="str">
        <f t="shared" si="42"/>
        <v>21-23 Jun</v>
      </c>
      <c r="AD87" s="121">
        <f>IFERROR($M87+VLOOKUP($L87,'Voyage days'!$F$94:$H$193,3,FALSE),"")</f>
        <v>45829</v>
      </c>
      <c r="AE87" s="121">
        <f>IFERROR($N87+VLOOKUP($L87,'Voyage days'!$F$94:$H$193,3,FALSE),"")</f>
        <v>45831</v>
      </c>
      <c r="AF87" s="120" t="str">
        <f t="shared" si="43"/>
        <v>01-03 Jul</v>
      </c>
      <c r="AG87" s="121">
        <f>IFERROR($M87+VLOOKUP($L87,'Voyage days'!$F$203:$H$256,3,FALSE),"")</f>
        <v>45839</v>
      </c>
      <c r="AH87" s="121">
        <f>IFERROR($N87+VLOOKUP($L87,'Voyage days'!$F$203:$H$256,3,FALSE),"")</f>
        <v>45841</v>
      </c>
      <c r="AI87" s="120" t="str">
        <f t="shared" si="44"/>
        <v>19-21 Jun</v>
      </c>
      <c r="AJ87" s="121">
        <f>IFERROR($M87+VLOOKUP($L87,'Voyage days'!$F$294:$H$377,3,FALSE),"")</f>
        <v>45827</v>
      </c>
      <c r="AK87" s="121">
        <f>IFERROR($N87+VLOOKUP($L87,'Voyage days'!$F$294:$H$377,3,FALSE),"")</f>
        <v>45829</v>
      </c>
      <c r="AL87" s="120" t="str">
        <f t="shared" si="45"/>
        <v>25-27 Jun</v>
      </c>
      <c r="AM87" s="121">
        <f>IFERROR($M87+VLOOKUP($L87,'Voyage days'!$F$382:$H$446,3,FALSE),"")</f>
        <v>45833</v>
      </c>
      <c r="AN87" s="121">
        <f>IFERROR($N87+VLOOKUP($L87,'Voyage days'!$F$382:$H$446,3,FALSE),"")</f>
        <v>45835</v>
      </c>
      <c r="AO87" s="120" t="str">
        <f t="shared" si="46"/>
        <v>02-04 Jun</v>
      </c>
      <c r="AP87" s="121">
        <f>IFERROR($M87+VLOOKUP($L87,'Voyage days'!$F$483:$H$538,3,FALSE),"")</f>
        <v>45810</v>
      </c>
      <c r="AQ87" s="121">
        <f>IFERROR($N87+VLOOKUP($L87,'Voyage days'!$F$483:$H$538,3,FALSE),"")</f>
        <v>45812</v>
      </c>
      <c r="AR87" s="120" t="str">
        <f t="shared" si="47"/>
        <v>28-30 May</v>
      </c>
      <c r="AS87" s="121">
        <f>IFERROR($M87+VLOOKUP($L87,'Voyage days'!$F$540:$H$613,3,FALSE),"")</f>
        <v>45805.25</v>
      </c>
      <c r="AT87" s="121">
        <f>IFERROR($N87+VLOOKUP($L87,'Voyage days'!$F$540:$H$613,3,FALSE),"")</f>
        <v>45807.25</v>
      </c>
      <c r="AU87" s="120" t="str">
        <f t="shared" si="48"/>
        <v/>
      </c>
      <c r="AV87" s="121" t="str">
        <f>IFERROR($M87+VLOOKUP($L87,'Voyage days'!$L$483:$N$535,3,FALSE),"")</f>
        <v/>
      </c>
      <c r="AW87" s="121" t="str">
        <f>IFERROR($N87+VLOOKUP($L87,'Voyage days'!$L$483:$N$535,3,FALSE),"")</f>
        <v/>
      </c>
      <c r="AX87" s="120" t="str">
        <f t="shared" si="49"/>
        <v>31-02 Jun</v>
      </c>
      <c r="AY87" s="122">
        <f>IFERROR($M87+VLOOKUP($L87,'Voyage days'!$F$620:$H$646,3,FALSE),"")</f>
        <v>45808</v>
      </c>
      <c r="AZ87" s="122">
        <f>IFERROR($N87+VLOOKUP($L87,'Voyage days'!$F$620:$H$646,3,FALSE),"")</f>
        <v>45810</v>
      </c>
      <c r="BA87" s="120" t="str">
        <f t="shared" si="50"/>
        <v>28-07 Jul</v>
      </c>
      <c r="BB87" s="123">
        <f>IFERROR($M87+VLOOKUP($L87,'Voyage days'!$F$702:$H$727,3,FALSE),"")</f>
        <v>45805.25</v>
      </c>
      <c r="BC87" s="120" t="str">
        <f t="shared" si="51"/>
        <v>05-07 Jul</v>
      </c>
      <c r="BD87" s="122">
        <f>IFERROR($M87+VLOOKUP($L87,'Voyage days'!$F$807:$H$878,3,FALSE),"")</f>
        <v>45843</v>
      </c>
      <c r="BE87" s="122">
        <f>IFERROR($N87+VLOOKUP($L87,'Voyage days'!$F$807:$H$878,3,FALSE),"")</f>
        <v>45845</v>
      </c>
      <c r="BF87" s="609"/>
      <c r="BG87" s="609"/>
      <c r="BH87" s="609"/>
      <c r="BI87" s="609"/>
      <c r="BJ87" s="609"/>
      <c r="BK87" s="609"/>
      <c r="BL87" s="609"/>
      <c r="BM87" s="609"/>
    </row>
    <row r="88" ht="15.75" customHeight="1">
      <c r="A88" s="100" t="s">
        <v>437</v>
      </c>
      <c r="B88" s="101">
        <v>43556.0</v>
      </c>
      <c r="C88" s="1045">
        <v>82200.0</v>
      </c>
      <c r="D88" s="104" t="s">
        <v>1687</v>
      </c>
      <c r="E88" s="103"/>
      <c r="F88" s="604"/>
      <c r="G88" s="605">
        <v>45658.0</v>
      </c>
      <c r="H88" s="604"/>
      <c r="I88" s="185" t="s">
        <v>667</v>
      </c>
      <c r="J88" s="111" t="s">
        <v>2918</v>
      </c>
      <c r="K88" s="336" t="str">
        <f t="shared" si="39"/>
        <v>Update</v>
      </c>
      <c r="L88" s="108" t="s">
        <v>680</v>
      </c>
      <c r="M88" s="109">
        <v>45802.0</v>
      </c>
      <c r="N88" s="109">
        <v>45803.0</v>
      </c>
      <c r="O88" s="110"/>
      <c r="P88" s="192" t="s">
        <v>2970</v>
      </c>
      <c r="Q88" s="185"/>
      <c r="R88" s="108" t="s">
        <v>2971</v>
      </c>
      <c r="S88" s="112" t="s">
        <v>659</v>
      </c>
      <c r="T88" s="113">
        <v>45775.0</v>
      </c>
      <c r="U88" s="114" t="str">
        <f>IF(V88="","No AIS",VLOOKUP(V88,'Voyage days'!$A$3:$B$1480,2,FALSE))</f>
        <v>Korea + 4</v>
      </c>
      <c r="V88" s="115" t="str">
        <f>IF(VLOOKUP(A88,'1) Kpler'!$E$2:$P$1000,8, FALSE)="","",VLOOKUP(A88,'1) Kpler'!$E$2:$P$1000,8, FALSE))</f>
        <v>Ulsan</v>
      </c>
      <c r="W88" s="116">
        <f>IF(VLOOKUP(A88,'1) Kpler'!$E$2:$P$1000,9,FALSE)="","",VLOOKUP(A88,'1) Kpler'!$E$2:$P$1000,9,FALSE))</f>
        <v>46142.04167</v>
      </c>
      <c r="X88" s="115" t="str">
        <f>VLOOKUP(A88,'1) Kpler'!$E$2:$I$1000,4,FALSE)</f>
        <v>loaded</v>
      </c>
      <c r="Y88" s="117" t="str">
        <f t="shared" si="40"/>
        <v/>
      </c>
      <c r="Z88" s="120" t="str">
        <f t="shared" si="41"/>
        <v/>
      </c>
      <c r="AA88" s="121" t="str">
        <f>IFERROR($M88+VLOOKUP($L88,'Voyage days'!$F$38:$H$89,3,FALSE),"")</f>
        <v/>
      </c>
      <c r="AB88" s="121" t="str">
        <f>IFERROR(N88+VLOOKUP($L88,'Voyage days'!$F$38:$H$89,3,FALSE),"")</f>
        <v/>
      </c>
      <c r="AC88" s="120" t="str">
        <f t="shared" si="42"/>
        <v>25-26 May</v>
      </c>
      <c r="AD88" s="121">
        <f>IFERROR($M88+VLOOKUP($L88,'Voyage days'!$F$94:$H$193,3,FALSE),"")</f>
        <v>45802</v>
      </c>
      <c r="AE88" s="121">
        <f>IFERROR($N88+VLOOKUP($L88,'Voyage days'!$F$94:$H$193,3,FALSE),"")</f>
        <v>45803</v>
      </c>
      <c r="AF88" s="120" t="str">
        <f t="shared" si="43"/>
        <v>25-26 May</v>
      </c>
      <c r="AG88" s="121">
        <f>IFERROR($M88+VLOOKUP($L88,'Voyage days'!$F$203:$H$256,3,FALSE),"")</f>
        <v>45802</v>
      </c>
      <c r="AH88" s="121">
        <f>IFERROR($N88+VLOOKUP($L88,'Voyage days'!$F$203:$H$256,3,FALSE),"")</f>
        <v>45803</v>
      </c>
      <c r="AI88" s="120" t="str">
        <f t="shared" si="44"/>
        <v/>
      </c>
      <c r="AJ88" s="121" t="str">
        <f>IFERROR($M88+VLOOKUP($L88,'Voyage days'!$F$294:$H$377,3,FALSE),"")</f>
        <v/>
      </c>
      <c r="AK88" s="121" t="str">
        <f>IFERROR($N88+VLOOKUP($L88,'Voyage days'!$F$294:$H$377,3,FALSE),"")</f>
        <v/>
      </c>
      <c r="AL88" s="120" t="str">
        <f t="shared" si="45"/>
        <v>14-15 Jun</v>
      </c>
      <c r="AM88" s="121">
        <f>IFERROR($M88+VLOOKUP($L88,'Voyage days'!$F$382:$H$446,3,FALSE),"")</f>
        <v>45822</v>
      </c>
      <c r="AN88" s="121">
        <f>IFERROR($N88+VLOOKUP($L88,'Voyage days'!$F$382:$H$446,3,FALSE),"")</f>
        <v>45823</v>
      </c>
      <c r="AO88" s="120" t="str">
        <f t="shared" si="46"/>
        <v/>
      </c>
      <c r="AP88" s="121" t="str">
        <f>IFERROR($M88+VLOOKUP($L88,'Voyage days'!$F$483:$H$538,3,FALSE),"")</f>
        <v/>
      </c>
      <c r="AQ88" s="121" t="str">
        <f>IFERROR($N88+VLOOKUP($L88,'Voyage days'!$F$483:$H$538,3,FALSE),"")</f>
        <v/>
      </c>
      <c r="AR88" s="120" t="str">
        <f t="shared" si="47"/>
        <v/>
      </c>
      <c r="AS88" s="121" t="str">
        <f>IFERROR($M88+VLOOKUP($L88,'Voyage days'!$F$540:$H$613,3,FALSE),"")</f>
        <v/>
      </c>
      <c r="AT88" s="121" t="str">
        <f>IFERROR($N88+VLOOKUP($L88,'Voyage days'!$F$540:$H$613,3,FALSE),"")</f>
        <v/>
      </c>
      <c r="AU88" s="120" t="str">
        <f t="shared" si="48"/>
        <v/>
      </c>
      <c r="AV88" s="121" t="str">
        <f>IFERROR($M88+VLOOKUP($L88,'Voyage days'!$L$483:$N$535,3,FALSE),"")</f>
        <v/>
      </c>
      <c r="AW88" s="121" t="str">
        <f>IFERROR($N88+VLOOKUP($L88,'Voyage days'!$L$483:$N$535,3,FALSE),"")</f>
        <v/>
      </c>
      <c r="AX88" s="120" t="str">
        <f t="shared" si="49"/>
        <v/>
      </c>
      <c r="AY88" s="122" t="str">
        <f>IFERROR($M88+VLOOKUP($L88,'Voyage days'!$F$620:$H$646,3,FALSE),"")</f>
        <v/>
      </c>
      <c r="AZ88" s="122" t="str">
        <f>IFERROR($N88+VLOOKUP($L88,'Voyage days'!$F$620:$H$646,3,FALSE),"")</f>
        <v/>
      </c>
      <c r="BA88" s="120" t="str">
        <f t="shared" si="50"/>
        <v/>
      </c>
      <c r="BB88" s="123" t="str">
        <f>IFERROR($M88+VLOOKUP($L88,'Voyage days'!$F$702:$H$727,3,FALSE),"")</f>
        <v/>
      </c>
      <c r="BC88" s="120" t="str">
        <f t="shared" si="51"/>
        <v/>
      </c>
      <c r="BD88" s="122" t="str">
        <f>IFERROR($M88+VLOOKUP($L88,'Voyage days'!$F$807:$H$878,3,FALSE),"")</f>
        <v/>
      </c>
      <c r="BE88" s="122" t="str">
        <f>IFERROR($N88+VLOOKUP($L88,'Voyage days'!$F$807:$H$878,3,FALSE),"")</f>
        <v/>
      </c>
      <c r="BF88" s="609"/>
      <c r="BG88" s="609"/>
      <c r="BH88" s="609"/>
      <c r="BI88" s="609"/>
      <c r="BJ88" s="609"/>
      <c r="BK88" s="609"/>
      <c r="BL88" s="609"/>
      <c r="BM88" s="609"/>
    </row>
    <row r="89" ht="15.75" customHeight="1">
      <c r="A89" s="100" t="s">
        <v>456</v>
      </c>
      <c r="B89" s="101">
        <v>41275.0</v>
      </c>
      <c r="C89" s="1045">
        <v>80000.0</v>
      </c>
      <c r="D89" s="104" t="s">
        <v>1687</v>
      </c>
      <c r="E89" s="103"/>
      <c r="F89" s="604"/>
      <c r="G89" s="605">
        <v>45658.0</v>
      </c>
      <c r="H89" s="103"/>
      <c r="I89" s="185" t="s">
        <v>667</v>
      </c>
      <c r="J89" s="111" t="s">
        <v>2918</v>
      </c>
      <c r="K89" s="336" t="str">
        <f t="shared" si="39"/>
        <v>Update</v>
      </c>
      <c r="L89" s="108" t="s">
        <v>1031</v>
      </c>
      <c r="M89" s="109">
        <v>45807.0</v>
      </c>
      <c r="N89" s="109">
        <v>45808.0</v>
      </c>
      <c r="O89" s="110"/>
      <c r="P89" s="108"/>
      <c r="Q89" s="108"/>
      <c r="R89" s="108" t="s">
        <v>2972</v>
      </c>
      <c r="S89" s="112" t="s">
        <v>934</v>
      </c>
      <c r="T89" s="113">
        <v>45786.0</v>
      </c>
      <c r="U89" s="114" t="str">
        <f>IF(V89="","No AIS",VLOOKUP(V89,'Voyage days'!$A$3:$B$1480,2,FALSE))</f>
        <v>Cape (as proxy)</v>
      </c>
      <c r="V89" s="115" t="str">
        <f>IF(VLOOKUP(A89,'1) Kpler'!$E$2:$P$1000,8, FALSE)="","",VLOOKUP(A89,'1) Kpler'!$E$2:$P$1000,8, FALSE))</f>
        <v>Port Elizabeth</v>
      </c>
      <c r="W89" s="116">
        <f>IF(VLOOKUP(A89,'1) Kpler'!$E$2:$P$1000,9,FALSE)="","",VLOOKUP(A89,'1) Kpler'!$E$2:$P$1000,9,FALSE))</f>
        <v>46133.29167</v>
      </c>
      <c r="X89" s="115" t="str">
        <f>VLOOKUP(A89,'1) Kpler'!$E$2:$I$1000,4,FALSE)</f>
        <v>ballast</v>
      </c>
      <c r="Y89" s="160" t="str">
        <f t="shared" si="40"/>
        <v>30-31 May</v>
      </c>
      <c r="Z89" s="120" t="str">
        <f t="shared" si="41"/>
        <v>30-31 May</v>
      </c>
      <c r="AA89" s="121">
        <f>IFERROR($M89+VLOOKUP($L89,'Voyage days'!$F$38:$H$89,3,FALSE),"")</f>
        <v>45807</v>
      </c>
      <c r="AB89" s="121">
        <f>IFERROR(N89+VLOOKUP($L89,'Voyage days'!$F$38:$H$89,3,FALSE),"")</f>
        <v>45808</v>
      </c>
      <c r="AC89" s="120" t="str">
        <f t="shared" si="42"/>
        <v/>
      </c>
      <c r="AD89" s="121" t="str">
        <f>IFERROR($M89+VLOOKUP($L89,'Voyage days'!$F$94:$H$193,3,FALSE),"")</f>
        <v/>
      </c>
      <c r="AE89" s="121" t="str">
        <f>IFERROR($N89+VLOOKUP($L89,'Voyage days'!$F$94:$H$193,3,FALSE),"")</f>
        <v/>
      </c>
      <c r="AF89" s="120" t="str">
        <f t="shared" si="43"/>
        <v/>
      </c>
      <c r="AG89" s="121" t="str">
        <f>IFERROR($M89+VLOOKUP($L89,'Voyage days'!$F$203:$H$256,3,FALSE),"")</f>
        <v/>
      </c>
      <c r="AH89" s="121" t="str">
        <f>IFERROR($N89+VLOOKUP($L89,'Voyage days'!$F$203:$H$256,3,FALSE),"")</f>
        <v/>
      </c>
      <c r="AI89" s="120" t="str">
        <f t="shared" si="44"/>
        <v/>
      </c>
      <c r="AJ89" s="121" t="str">
        <f>IFERROR($M89+VLOOKUP($L89,'Voyage days'!$F$294:$H$377,3,FALSE),"")</f>
        <v/>
      </c>
      <c r="AK89" s="121" t="str">
        <f>IFERROR($N89+VLOOKUP($L89,'Voyage days'!$F$294:$H$377,3,FALSE),"")</f>
        <v/>
      </c>
      <c r="AL89" s="120" t="str">
        <f t="shared" si="45"/>
        <v/>
      </c>
      <c r="AM89" s="121" t="str">
        <f>IFERROR($M89+VLOOKUP($L89,'Voyage days'!$F$382:$H$446,3,FALSE),"")</f>
        <v/>
      </c>
      <c r="AN89" s="121" t="str">
        <f>IFERROR($N89+VLOOKUP($L89,'Voyage days'!$F$382:$H$446,3,FALSE),"")</f>
        <v/>
      </c>
      <c r="AO89" s="120" t="str">
        <f t="shared" si="46"/>
        <v/>
      </c>
      <c r="AP89" s="121" t="str">
        <f>IFERROR($M89+VLOOKUP($L89,'Voyage days'!$F$483:$H$538,3,FALSE),"")</f>
        <v/>
      </c>
      <c r="AQ89" s="121" t="str">
        <f>IFERROR($N89+VLOOKUP($L89,'Voyage days'!$F$483:$H$538,3,FALSE),"")</f>
        <v/>
      </c>
      <c r="AR89" s="120" t="str">
        <f t="shared" si="47"/>
        <v>18-19 Jun</v>
      </c>
      <c r="AS89" s="121">
        <f>IFERROR($M89+VLOOKUP($L89,'Voyage days'!$F$540:$H$613,3,FALSE),"")</f>
        <v>45826</v>
      </c>
      <c r="AT89" s="121">
        <f>IFERROR($N89+VLOOKUP($L89,'Voyage days'!$F$540:$H$613,3,FALSE),"")</f>
        <v>45827</v>
      </c>
      <c r="AU89" s="120" t="str">
        <f t="shared" si="48"/>
        <v/>
      </c>
      <c r="AV89" s="121" t="str">
        <f>IFERROR($M89+VLOOKUP($L89,'Voyage days'!$L$483:$N$535,3,FALSE),"")</f>
        <v/>
      </c>
      <c r="AW89" s="121" t="str">
        <f>IFERROR($N89+VLOOKUP($L89,'Voyage days'!$L$483:$N$535,3,FALSE),"")</f>
        <v/>
      </c>
      <c r="AX89" s="120" t="str">
        <f t="shared" si="49"/>
        <v/>
      </c>
      <c r="AY89" s="122" t="str">
        <f>IFERROR($M89+VLOOKUP($L89,'Voyage days'!$F$620:$H$646,3,FALSE),"")</f>
        <v/>
      </c>
      <c r="AZ89" s="122" t="str">
        <f>IFERROR($N89+VLOOKUP($L89,'Voyage days'!$F$620:$H$646,3,FALSE),"")</f>
        <v/>
      </c>
      <c r="BA89" s="120" t="str">
        <f t="shared" si="50"/>
        <v/>
      </c>
      <c r="BB89" s="123" t="str">
        <f>IFERROR($M89+VLOOKUP($L89,'Voyage days'!$F$702:$H$727,3,FALSE),"")</f>
        <v/>
      </c>
      <c r="BC89" s="120" t="str">
        <f t="shared" si="51"/>
        <v>30-31 May</v>
      </c>
      <c r="BD89" s="122">
        <f>IFERROR($M89+VLOOKUP($L89,'Voyage days'!$F$807:$H$878,3,FALSE),"")</f>
        <v>45807</v>
      </c>
      <c r="BE89" s="122">
        <f>IFERROR($N89+VLOOKUP($L89,'Voyage days'!$F$807:$H$878,3,FALSE),"")</f>
        <v>45808</v>
      </c>
      <c r="BF89" s="609"/>
      <c r="BG89" s="609"/>
      <c r="BH89" s="609"/>
      <c r="BI89" s="609"/>
      <c r="BJ89" s="609"/>
      <c r="BK89" s="609"/>
      <c r="BL89" s="609"/>
      <c r="BM89" s="609"/>
    </row>
    <row r="90" ht="15.75" customHeight="1">
      <c r="A90" s="1087" t="s">
        <v>485</v>
      </c>
      <c r="B90" s="1088">
        <v>42936.0</v>
      </c>
      <c r="C90" s="1089">
        <v>78700.0</v>
      </c>
      <c r="D90" s="312" t="s">
        <v>1687</v>
      </c>
      <c r="E90" s="312"/>
      <c r="F90" s="1090"/>
      <c r="G90" s="1011">
        <v>45931.0</v>
      </c>
      <c r="H90" s="167"/>
      <c r="I90" s="312" t="s">
        <v>667</v>
      </c>
      <c r="J90" s="312" t="s">
        <v>1080</v>
      </c>
      <c r="K90" s="469" t="str">
        <f t="shared" si="39"/>
        <v>Update</v>
      </c>
      <c r="L90" s="320" t="s">
        <v>680</v>
      </c>
      <c r="M90" s="173">
        <v>45820.0</v>
      </c>
      <c r="N90" s="173">
        <v>45821.0</v>
      </c>
      <c r="O90" s="284"/>
      <c r="P90" s="320"/>
      <c r="Q90" s="320" t="s">
        <v>2973</v>
      </c>
      <c r="R90" s="463"/>
      <c r="S90" s="175" t="s">
        <v>2962</v>
      </c>
      <c r="T90" s="176">
        <v>45785.0</v>
      </c>
      <c r="U90" s="177" t="str">
        <f>IF(V90="","No AIS",VLOOKUP(V90,'Voyage days'!$A$3:$B$1480,2,FALSE))</f>
        <v>Panama</v>
      </c>
      <c r="V90" s="178" t="str">
        <f>IF(VLOOKUP(A90,'1) Kpler'!$E$2:$P$1000,8, FALSE)="","",VLOOKUP(A90,'1) Kpler'!$E$2:$P$1000,8, FALSE))</f>
        <v>Panama Canal</v>
      </c>
      <c r="W90" s="179">
        <f>IF(VLOOKUP(A90,'1) Kpler'!$E$2:$P$1000,9,FALSE)="","",VLOOKUP(A90,'1) Kpler'!$E$2:$P$1000,9,FALSE))</f>
        <v>46151.5</v>
      </c>
      <c r="X90" s="178" t="str">
        <f>VLOOKUP(A90,'1) Kpler'!$E$2:$I$1000,4,FALSE)</f>
        <v>ballast</v>
      </c>
      <c r="Y90" s="180" t="str">
        <f t="shared" si="40"/>
        <v/>
      </c>
      <c r="Z90" s="120" t="str">
        <f t="shared" si="41"/>
        <v/>
      </c>
      <c r="AA90" s="121" t="str">
        <f>IFERROR($M90+VLOOKUP($L90,'Voyage days'!$F$38:$H$89,3,FALSE),"")</f>
        <v/>
      </c>
      <c r="AB90" s="121" t="str">
        <f>IFERROR(N90+VLOOKUP($L90,'Voyage days'!$F$38:$H$89,3,FALSE),"")</f>
        <v/>
      </c>
      <c r="AC90" s="120" t="str">
        <f t="shared" si="42"/>
        <v>12-13 Jun</v>
      </c>
      <c r="AD90" s="121">
        <f>IFERROR($M90+VLOOKUP($L90,'Voyage days'!$F$94:$H$193,3,FALSE),"")</f>
        <v>45820</v>
      </c>
      <c r="AE90" s="121">
        <f>IFERROR($N90+VLOOKUP($L90,'Voyage days'!$F$94:$H$193,3,FALSE),"")</f>
        <v>45821</v>
      </c>
      <c r="AF90" s="120" t="str">
        <f t="shared" si="43"/>
        <v>12-13 Jun</v>
      </c>
      <c r="AG90" s="121">
        <f>IFERROR($M90+VLOOKUP($L90,'Voyage days'!$F$203:$H$256,3,FALSE),"")</f>
        <v>45820</v>
      </c>
      <c r="AH90" s="121">
        <f>IFERROR($N90+VLOOKUP($L90,'Voyage days'!$F$203:$H$256,3,FALSE),"")</f>
        <v>45821</v>
      </c>
      <c r="AI90" s="120" t="str">
        <f t="shared" si="44"/>
        <v/>
      </c>
      <c r="AJ90" s="121" t="str">
        <f>IFERROR($M90+VLOOKUP($L90,'Voyage days'!$F$294:$H$377,3,FALSE),"")</f>
        <v/>
      </c>
      <c r="AK90" s="121" t="str">
        <f>IFERROR($N90+VLOOKUP($L90,'Voyage days'!$F$294:$H$377,3,FALSE),"")</f>
        <v/>
      </c>
      <c r="AL90" s="120" t="str">
        <f t="shared" si="45"/>
        <v>02-03 Jul</v>
      </c>
      <c r="AM90" s="121">
        <f>IFERROR($M90+VLOOKUP($L90,'Voyage days'!$F$382:$H$446,3,FALSE),"")</f>
        <v>45840</v>
      </c>
      <c r="AN90" s="121">
        <f>IFERROR($N90+VLOOKUP($L90,'Voyage days'!$F$382:$H$446,3,FALSE),"")</f>
        <v>45841</v>
      </c>
      <c r="AO90" s="120" t="str">
        <f t="shared" si="46"/>
        <v/>
      </c>
      <c r="AP90" s="121" t="str">
        <f>IFERROR($M90+VLOOKUP($L90,'Voyage days'!$F$483:$H$538,3,FALSE),"")</f>
        <v/>
      </c>
      <c r="AQ90" s="121" t="str">
        <f>IFERROR($N90+VLOOKUP($L90,'Voyage days'!$F$483:$H$538,3,FALSE),"")</f>
        <v/>
      </c>
      <c r="AR90" s="120" t="str">
        <f t="shared" si="47"/>
        <v/>
      </c>
      <c r="AS90" s="121" t="str">
        <f>IFERROR($M90+VLOOKUP($L90,'Voyage days'!$F$540:$H$613,3,FALSE),"")</f>
        <v/>
      </c>
      <c r="AT90" s="121" t="str">
        <f>IFERROR($N90+VLOOKUP($L90,'Voyage days'!$F$540:$H$613,3,FALSE),"")</f>
        <v/>
      </c>
      <c r="AU90" s="120" t="str">
        <f t="shared" si="48"/>
        <v/>
      </c>
      <c r="AV90" s="121" t="str">
        <f>IFERROR($M90+VLOOKUP($L90,'Voyage days'!$L$483:$N$535,3,FALSE),"")</f>
        <v/>
      </c>
      <c r="AW90" s="121" t="str">
        <f>IFERROR($N90+VLOOKUP($L90,'Voyage days'!$L$483:$N$535,3,FALSE),"")</f>
        <v/>
      </c>
      <c r="AX90" s="120" t="str">
        <f t="shared" si="49"/>
        <v/>
      </c>
      <c r="AY90" s="122" t="str">
        <f>IFERROR($M90+VLOOKUP($L90,'Voyage days'!$F$620:$H$646,3,FALSE),"")</f>
        <v/>
      </c>
      <c r="AZ90" s="122" t="str">
        <f>IFERROR($N90+VLOOKUP($L90,'Voyage days'!$F$620:$H$646,3,FALSE),"")</f>
        <v/>
      </c>
      <c r="BA90" s="120" t="str">
        <f t="shared" si="50"/>
        <v/>
      </c>
      <c r="BB90" s="123" t="str">
        <f>IFERROR($M90+VLOOKUP($L90,'Voyage days'!$F$702:$H$727,3,FALSE),"")</f>
        <v/>
      </c>
      <c r="BC90" s="120" t="str">
        <f t="shared" si="51"/>
        <v/>
      </c>
      <c r="BD90" s="122" t="str">
        <f>IFERROR($M90+VLOOKUP($L90,'Voyage days'!$F$807:$H$878,3,FALSE),"")</f>
        <v/>
      </c>
      <c r="BE90" s="122" t="str">
        <f>IFERROR($N90+VLOOKUP($L90,'Voyage days'!$F$807:$H$878,3,FALSE),"")</f>
        <v/>
      </c>
      <c r="BF90" s="609"/>
      <c r="BG90" s="609"/>
      <c r="BH90" s="609"/>
      <c r="BI90" s="609"/>
      <c r="BJ90" s="609"/>
      <c r="BK90" s="609"/>
      <c r="BL90" s="609"/>
      <c r="BM90" s="609"/>
    </row>
    <row r="91" ht="15.75" customHeight="1">
      <c r="A91" s="404" t="s">
        <v>25</v>
      </c>
      <c r="B91" s="148">
        <v>2008.0</v>
      </c>
      <c r="C91" s="1045">
        <v>84000.0</v>
      </c>
      <c r="D91" s="150"/>
      <c r="E91" s="149"/>
      <c r="F91" s="1014"/>
      <c r="G91" s="1015"/>
      <c r="H91" s="556"/>
      <c r="I91" s="1091" t="s">
        <v>707</v>
      </c>
      <c r="J91" s="1092"/>
      <c r="K91" s="470" t="str">
        <f t="shared" si="39"/>
        <v>NO AIS</v>
      </c>
      <c r="L91" s="153" t="s">
        <v>703</v>
      </c>
      <c r="M91" s="276">
        <v>45804.0</v>
      </c>
      <c r="N91" s="276">
        <v>45805.0</v>
      </c>
      <c r="O91" s="155"/>
      <c r="P91" s="150"/>
      <c r="Q91" s="1093"/>
      <c r="R91" s="153" t="s">
        <v>2974</v>
      </c>
      <c r="S91" s="331" t="s">
        <v>934</v>
      </c>
      <c r="T91" s="293">
        <v>45786.0</v>
      </c>
      <c r="U91" s="114" t="str">
        <f>IF(V91="","No AIS",VLOOKUP(V91,'Voyage days'!$A$3:$B$1480,2,FALSE))</f>
        <v>No AIS</v>
      </c>
      <c r="V91" s="114" t="str">
        <f>IF(VLOOKUP(A91,'1) Kpler'!$E$2:$P$1000,8, FALSE)="","",VLOOKUP(A91,'1) Kpler'!$E$2:$P$1000,8, FALSE))</f>
        <v/>
      </c>
      <c r="W91" s="159" t="str">
        <f>IF(VLOOKUP(A91,'1) Kpler'!$E$2:$P$1000,9,FALSE)="","",VLOOKUP(A91,'1) Kpler'!$E$2:$P$1000,9,FALSE))</f>
        <v/>
      </c>
      <c r="X91" s="114" t="str">
        <f>VLOOKUP(A91,'1) Kpler'!$E$2:$I$1000,4,FALSE)</f>
        <v>ballast</v>
      </c>
      <c r="Y91" s="272" t="str">
        <f t="shared" si="40"/>
        <v>11-12 Jun</v>
      </c>
      <c r="Z91" s="163" t="str">
        <f t="shared" si="41"/>
        <v>11-12 Jun</v>
      </c>
      <c r="AA91" s="122">
        <f>IFERROR($M91+VLOOKUP($L91,'Voyage days'!$F$38:$H$89,3,FALSE),"")</f>
        <v>45819</v>
      </c>
      <c r="AB91" s="122">
        <f>IFERROR(N91+VLOOKUP($L91,'Voyage days'!$F$38:$H$89,3,FALSE),"")</f>
        <v>45820</v>
      </c>
      <c r="AC91" s="163" t="str">
        <f t="shared" si="42"/>
        <v>03-04 Jul</v>
      </c>
      <c r="AD91" s="122">
        <f>IFERROR($M91+VLOOKUP($L91,'Voyage days'!$F$94:$H$193,3,FALSE),"")</f>
        <v>45841</v>
      </c>
      <c r="AE91" s="122">
        <f>IFERROR($N91+VLOOKUP($L91,'Voyage days'!$F$94:$H$193,3,FALSE),"")</f>
        <v>45842</v>
      </c>
      <c r="AF91" s="163" t="str">
        <f t="shared" si="43"/>
        <v>08-09 Jul</v>
      </c>
      <c r="AG91" s="122">
        <f>IFERROR($M91+VLOOKUP($L91,'Voyage days'!$F$203:$H$256,3,FALSE),"")</f>
        <v>45846</v>
      </c>
      <c r="AH91" s="122">
        <f>IFERROR($N91+VLOOKUP($L91,'Voyage days'!$F$203:$H$256,3,FALSE),"")</f>
        <v>45847</v>
      </c>
      <c r="AI91" s="163" t="str">
        <f t="shared" si="44"/>
        <v>22-23 Jun</v>
      </c>
      <c r="AJ91" s="122">
        <f>IFERROR($M91+VLOOKUP($L91,'Voyage days'!$F$294:$H$377,3,FALSE),"")</f>
        <v>45830</v>
      </c>
      <c r="AK91" s="122">
        <f>IFERROR($N91+VLOOKUP($L91,'Voyage days'!$F$294:$H$377,3,FALSE),"")</f>
        <v>45831</v>
      </c>
      <c r="AL91" s="163" t="str">
        <f t="shared" si="45"/>
        <v>29-30 Jun</v>
      </c>
      <c r="AM91" s="122">
        <f>IFERROR($M91+VLOOKUP($L91,'Voyage days'!$F$382:$H$446,3,FALSE),"")</f>
        <v>45837</v>
      </c>
      <c r="AN91" s="122">
        <f>IFERROR($N91+VLOOKUP($L91,'Voyage days'!$F$382:$H$446,3,FALSE),"")</f>
        <v>45838</v>
      </c>
      <c r="AO91" s="163" t="str">
        <f t="shared" si="46"/>
        <v>10-11 Jun</v>
      </c>
      <c r="AP91" s="122">
        <f>IFERROR($M91+VLOOKUP($L91,'Voyage days'!$F$483:$H$538,3,FALSE),"")</f>
        <v>45818</v>
      </c>
      <c r="AQ91" s="122">
        <f>IFERROR($N91+VLOOKUP($L91,'Voyage days'!$F$483:$H$538,3,FALSE),"")</f>
        <v>45819</v>
      </c>
      <c r="AR91" s="163" t="str">
        <f t="shared" si="47"/>
        <v>02-03 Jun</v>
      </c>
      <c r="AS91" s="122">
        <f>IFERROR($M91+VLOOKUP($L91,'Voyage days'!$F$540:$H$613,3,FALSE),"")</f>
        <v>45810.75</v>
      </c>
      <c r="AT91" s="122">
        <f>IFERROR($N91+VLOOKUP($L91,'Voyage days'!$F$540:$H$613,3,FALSE),"")</f>
        <v>45811.75</v>
      </c>
      <c r="AU91" s="163" t="str">
        <f t="shared" si="48"/>
        <v/>
      </c>
      <c r="AV91" s="122" t="str">
        <f>IFERROR($M91+VLOOKUP($L91,'Voyage days'!$L$483:$N$535,3,FALSE),"")</f>
        <v/>
      </c>
      <c r="AW91" s="122" t="str">
        <f>IFERROR($N91+VLOOKUP($L91,'Voyage days'!$L$483:$N$535,3,FALSE),"")</f>
        <v/>
      </c>
      <c r="AX91" s="163" t="str">
        <f t="shared" si="49"/>
        <v/>
      </c>
      <c r="AY91" s="122" t="str">
        <f>IFERROR($M91+VLOOKUP($L91,'Voyage days'!$F$620:$H$646,3,FALSE),"")</f>
        <v/>
      </c>
      <c r="AZ91" s="122" t="str">
        <f>IFERROR($N91+VLOOKUP($L91,'Voyage days'!$F$620:$H$646,3,FALSE),"")</f>
        <v/>
      </c>
      <c r="BA91" s="163" t="str">
        <f t="shared" si="50"/>
        <v>02-09 Jul</v>
      </c>
      <c r="BB91" s="123">
        <f>IFERROR($M91+VLOOKUP($L91,'Voyage days'!$F$702:$H$727,3,FALSE),"")</f>
        <v>45810.75</v>
      </c>
      <c r="BC91" s="163" t="str">
        <f t="shared" si="51"/>
        <v>08-09 Jul</v>
      </c>
      <c r="BD91" s="122">
        <f>IFERROR($M91+VLOOKUP($L91,'Voyage days'!$F$807:$H$878,3,FALSE),"")</f>
        <v>45846</v>
      </c>
      <c r="BE91" s="122">
        <f>IFERROR($N91+VLOOKUP($L91,'Voyage days'!$F$807:$H$878,3,FALSE),"")</f>
        <v>45847</v>
      </c>
      <c r="BF91" s="609"/>
      <c r="BG91" s="609"/>
      <c r="BH91" s="609"/>
      <c r="BI91" s="609"/>
      <c r="BJ91" s="609"/>
      <c r="BK91" s="609"/>
      <c r="BL91" s="609"/>
      <c r="BM91" s="609"/>
    </row>
    <row r="92" ht="15.75" customHeight="1">
      <c r="A92" s="147" t="s">
        <v>87</v>
      </c>
      <c r="B92" s="148">
        <v>2006.0</v>
      </c>
      <c r="C92" s="1045">
        <v>82244.0</v>
      </c>
      <c r="D92" s="104" t="s">
        <v>1687</v>
      </c>
      <c r="E92" s="103"/>
      <c r="F92" s="604"/>
      <c r="G92" s="605"/>
      <c r="H92" s="103"/>
      <c r="I92" s="185" t="s">
        <v>707</v>
      </c>
      <c r="J92" s="111" t="s">
        <v>2935</v>
      </c>
      <c r="K92" s="336" t="str">
        <f t="shared" si="39"/>
        <v>Update</v>
      </c>
      <c r="L92" s="108" t="s">
        <v>663</v>
      </c>
      <c r="M92" s="109">
        <v>45799.0</v>
      </c>
      <c r="N92" s="109">
        <v>45802.0</v>
      </c>
      <c r="O92" s="334"/>
      <c r="P92" s="1094"/>
      <c r="Q92" s="185"/>
      <c r="R92" s="108"/>
      <c r="S92" s="331" t="s">
        <v>934</v>
      </c>
      <c r="T92" s="113">
        <v>45783.0</v>
      </c>
      <c r="U92" s="114" t="str">
        <f>IF(V92="","No AIS",VLOOKUP(V92,'Voyage days'!$A$3:$B$1480,2,FALSE))</f>
        <v>USG</v>
      </c>
      <c r="V92" s="115" t="str">
        <f>IF(VLOOKUP(A92,'1) Kpler'!$E$2:$P$1000,8, FALSE)="","",VLOOKUP(A92,'1) Kpler'!$E$2:$P$1000,8, FALSE))</f>
        <v>Houston</v>
      </c>
      <c r="W92" s="116">
        <f>IF(VLOOKUP(A92,'1) Kpler'!$E$2:$P$1000,9,FALSE)="","",VLOOKUP(A92,'1) Kpler'!$E$2:$P$1000,9,FALSE))</f>
        <v>46144.5</v>
      </c>
      <c r="X92" s="115" t="str">
        <f>VLOOKUP(A92,'1) Kpler'!$E$2:$I$1000,4,FALSE)</f>
        <v>ballast</v>
      </c>
      <c r="Y92" s="117" t="str">
        <f t="shared" si="40"/>
        <v>08-11 Jun</v>
      </c>
      <c r="Z92" s="120" t="str">
        <f t="shared" si="41"/>
        <v>08-11 Jun</v>
      </c>
      <c r="AA92" s="121">
        <f>IFERROR($M92+VLOOKUP($L92,'Voyage days'!$F$38:$H$89,3,FALSE),"")</f>
        <v>45816</v>
      </c>
      <c r="AB92" s="121">
        <f>IFERROR(N92+VLOOKUP($L92,'Voyage days'!$F$38:$H$89,3,FALSE),"")</f>
        <v>45819</v>
      </c>
      <c r="AC92" s="120" t="str">
        <f t="shared" si="42"/>
        <v>24-27 Jun</v>
      </c>
      <c r="AD92" s="121">
        <f>IFERROR($M92+VLOOKUP($L92,'Voyage days'!$F$94:$H$193,3,FALSE),"")</f>
        <v>45832</v>
      </c>
      <c r="AE92" s="121">
        <f>IFERROR($N92+VLOOKUP($L92,'Voyage days'!$F$94:$H$193,3,FALSE),"")</f>
        <v>45835</v>
      </c>
      <c r="AF92" s="120" t="str">
        <f t="shared" si="43"/>
        <v>05-08 Jul</v>
      </c>
      <c r="AG92" s="121">
        <f>IFERROR($M92+VLOOKUP($L92,'Voyage days'!$F$203:$H$256,3,FALSE),"")</f>
        <v>45843</v>
      </c>
      <c r="AH92" s="121">
        <f>IFERROR($N92+VLOOKUP($L92,'Voyage days'!$F$203:$H$256,3,FALSE),"")</f>
        <v>45846</v>
      </c>
      <c r="AI92" s="120" t="str">
        <f t="shared" si="44"/>
        <v>19-22 Jun</v>
      </c>
      <c r="AJ92" s="121">
        <f>IFERROR($M92+VLOOKUP($L92,'Voyage days'!$F$294:$H$377,3,FALSE),"")</f>
        <v>45827</v>
      </c>
      <c r="AK92" s="121">
        <f>IFERROR($N92+VLOOKUP($L92,'Voyage days'!$F$294:$H$377,3,FALSE),"")</f>
        <v>45830</v>
      </c>
      <c r="AL92" s="120" t="str">
        <f t="shared" si="45"/>
        <v>26-29 Jun</v>
      </c>
      <c r="AM92" s="121">
        <f>IFERROR($M92+VLOOKUP($L92,'Voyage days'!$F$382:$H$446,3,FALSE),"")</f>
        <v>45834</v>
      </c>
      <c r="AN92" s="121">
        <f>IFERROR($N92+VLOOKUP($L92,'Voyage days'!$F$382:$H$446,3,FALSE),"")</f>
        <v>45837</v>
      </c>
      <c r="AO92" s="120" t="str">
        <f t="shared" si="46"/>
        <v>05-08 Jun</v>
      </c>
      <c r="AP92" s="121">
        <f>IFERROR($M92+VLOOKUP($L92,'Voyage days'!$F$483:$H$538,3,FALSE),"")</f>
        <v>45813</v>
      </c>
      <c r="AQ92" s="121">
        <f>IFERROR($N92+VLOOKUP($L92,'Voyage days'!$F$483:$H$538,3,FALSE),"")</f>
        <v>45816</v>
      </c>
      <c r="AR92" s="120" t="str">
        <f t="shared" si="47"/>
        <v>29-01 Jun</v>
      </c>
      <c r="AS92" s="121">
        <f>IFERROR($M92+VLOOKUP($L92,'Voyage days'!$F$540:$H$613,3,FALSE),"")</f>
        <v>45806.25</v>
      </c>
      <c r="AT92" s="121">
        <f>IFERROR($N92+VLOOKUP($L92,'Voyage days'!$F$540:$H$613,3,FALSE),"")</f>
        <v>45809.25</v>
      </c>
      <c r="AU92" s="120" t="str">
        <f t="shared" si="48"/>
        <v/>
      </c>
      <c r="AV92" s="121" t="str">
        <f>IFERROR($M92+VLOOKUP($L92,'Voyage days'!$L$483:$N$535,3,FALSE),"")</f>
        <v/>
      </c>
      <c r="AW92" s="121" t="str">
        <f>IFERROR($N92+VLOOKUP($L92,'Voyage days'!$L$483:$N$535,3,FALSE),"")</f>
        <v/>
      </c>
      <c r="AX92" s="120" t="str">
        <f t="shared" si="49"/>
        <v>04-07 Jun</v>
      </c>
      <c r="AY92" s="122">
        <f>IFERROR($M92+VLOOKUP($L92,'Voyage days'!$F$620:$H$646,3,FALSE),"")</f>
        <v>45812</v>
      </c>
      <c r="AZ92" s="122">
        <f>IFERROR($N92+VLOOKUP($L92,'Voyage days'!$F$620:$H$646,3,FALSE),"")</f>
        <v>45815</v>
      </c>
      <c r="BA92" s="120" t="str">
        <f t="shared" si="50"/>
        <v>29-08 Jul</v>
      </c>
      <c r="BB92" s="123">
        <f>IFERROR($M92+VLOOKUP($L92,'Voyage days'!$F$702:$H$727,3,FALSE),"")</f>
        <v>45806.25</v>
      </c>
      <c r="BC92" s="120" t="str">
        <f t="shared" si="51"/>
        <v>05-08 Jul</v>
      </c>
      <c r="BD92" s="122">
        <f>IFERROR($M92+VLOOKUP($L92,'Voyage days'!$F$807:$H$878,3,FALSE),"")</f>
        <v>45843</v>
      </c>
      <c r="BE92" s="122">
        <f>IFERROR($N92+VLOOKUP($L92,'Voyage days'!$F$807:$H$878,3,FALSE),"")</f>
        <v>45846</v>
      </c>
      <c r="BF92" s="609"/>
      <c r="BG92" s="609"/>
      <c r="BH92" s="609"/>
      <c r="BI92" s="609"/>
      <c r="BJ92" s="609"/>
      <c r="BK92" s="609"/>
      <c r="BL92" s="609"/>
      <c r="BM92" s="609"/>
    </row>
    <row r="93" ht="15.75" customHeight="1">
      <c r="A93" s="147" t="s">
        <v>88</v>
      </c>
      <c r="B93" s="148">
        <v>2006.0</v>
      </c>
      <c r="C93" s="1045">
        <v>82252.0</v>
      </c>
      <c r="D93" s="104" t="s">
        <v>1687</v>
      </c>
      <c r="E93" s="103"/>
      <c r="F93" s="604">
        <v>44550.0</v>
      </c>
      <c r="G93" s="605"/>
      <c r="H93" s="103"/>
      <c r="I93" s="185" t="s">
        <v>707</v>
      </c>
      <c r="J93" s="111" t="s">
        <v>2935</v>
      </c>
      <c r="K93" s="336" t="str">
        <f t="shared" si="39"/>
        <v>Update</v>
      </c>
      <c r="L93" s="108" t="s">
        <v>1031</v>
      </c>
      <c r="M93" s="109">
        <v>45789.0</v>
      </c>
      <c r="N93" s="109">
        <v>45790.0</v>
      </c>
      <c r="O93" s="334"/>
      <c r="P93" s="1094"/>
      <c r="Q93" s="185"/>
      <c r="R93" s="108" t="s">
        <v>2975</v>
      </c>
      <c r="S93" s="331" t="s">
        <v>934</v>
      </c>
      <c r="T93" s="113">
        <v>45783.0</v>
      </c>
      <c r="U93" s="114" t="str">
        <f>IF(V93="","No AIS",VLOOKUP(V93,'Voyage days'!$A$3:$B$1480,2,FALSE))</f>
        <v>Cape (as proxy)</v>
      </c>
      <c r="V93" s="115" t="str">
        <f>IF(VLOOKUP(A93,'1) Kpler'!$E$2:$P$1000,8, FALSE)="","",VLOOKUP(A93,'1) Kpler'!$E$2:$P$1000,8, FALSE))</f>
        <v>Port Elizabeth</v>
      </c>
      <c r="W93" s="116">
        <f>IF(VLOOKUP(A93,'1) Kpler'!$E$2:$P$1000,9,FALSE)="","",VLOOKUP(A93,'1) Kpler'!$E$2:$P$1000,9,FALSE))</f>
        <v>46135.83333</v>
      </c>
      <c r="X93" s="115" t="str">
        <f>VLOOKUP(A93,'1) Kpler'!$E$2:$I$1000,4,FALSE)</f>
        <v>ballast</v>
      </c>
      <c r="Y93" s="160" t="str">
        <f t="shared" si="40"/>
        <v>12-13 May</v>
      </c>
      <c r="Z93" s="120" t="str">
        <f t="shared" si="41"/>
        <v>12-13 May</v>
      </c>
      <c r="AA93" s="121">
        <f>IFERROR($M93+VLOOKUP($L93,'Voyage days'!$F$38:$H$89,3,FALSE),"")</f>
        <v>45789</v>
      </c>
      <c r="AB93" s="121">
        <f>IFERROR(N93+VLOOKUP($L93,'Voyage days'!$F$38:$H$89,3,FALSE),"")</f>
        <v>45790</v>
      </c>
      <c r="AC93" s="120" t="str">
        <f t="shared" si="42"/>
        <v/>
      </c>
      <c r="AD93" s="121" t="str">
        <f>IFERROR($M93+VLOOKUP($L93,'Voyage days'!$F$94:$H$193,3,FALSE),"")</f>
        <v/>
      </c>
      <c r="AE93" s="121" t="str">
        <f>IFERROR($N93+VLOOKUP($L93,'Voyage days'!$F$94:$H$193,3,FALSE),"")</f>
        <v/>
      </c>
      <c r="AF93" s="120" t="str">
        <f t="shared" si="43"/>
        <v/>
      </c>
      <c r="AG93" s="121" t="str">
        <f>IFERROR($M93+VLOOKUP($L93,'Voyage days'!$F$203:$H$256,3,FALSE),"")</f>
        <v/>
      </c>
      <c r="AH93" s="121" t="str">
        <f>IFERROR($N93+VLOOKUP($L93,'Voyage days'!$F$203:$H$256,3,FALSE),"")</f>
        <v/>
      </c>
      <c r="AI93" s="120" t="str">
        <f t="shared" si="44"/>
        <v/>
      </c>
      <c r="AJ93" s="121" t="str">
        <f>IFERROR($M93+VLOOKUP($L93,'Voyage days'!$F$294:$H$377,3,FALSE),"")</f>
        <v/>
      </c>
      <c r="AK93" s="121" t="str">
        <f>IFERROR($N93+VLOOKUP($L93,'Voyage days'!$F$294:$H$377,3,FALSE),"")</f>
        <v/>
      </c>
      <c r="AL93" s="120" t="str">
        <f t="shared" si="45"/>
        <v/>
      </c>
      <c r="AM93" s="121" t="str">
        <f>IFERROR($M93+VLOOKUP($L93,'Voyage days'!$F$382:$H$446,3,FALSE),"")</f>
        <v/>
      </c>
      <c r="AN93" s="121" t="str">
        <f>IFERROR($N93+VLOOKUP($L93,'Voyage days'!$F$382:$H$446,3,FALSE),"")</f>
        <v/>
      </c>
      <c r="AO93" s="120" t="str">
        <f t="shared" si="46"/>
        <v/>
      </c>
      <c r="AP93" s="121" t="str">
        <f>IFERROR($M93+VLOOKUP($L93,'Voyage days'!$F$483:$H$538,3,FALSE),"")</f>
        <v/>
      </c>
      <c r="AQ93" s="121" t="str">
        <f>IFERROR($N93+VLOOKUP($L93,'Voyage days'!$F$483:$H$538,3,FALSE),"")</f>
        <v/>
      </c>
      <c r="AR93" s="120" t="str">
        <f t="shared" si="47"/>
        <v>31-01 Jun</v>
      </c>
      <c r="AS93" s="121">
        <f>IFERROR($M93+VLOOKUP($L93,'Voyage days'!$F$540:$H$613,3,FALSE),"")</f>
        <v>45808</v>
      </c>
      <c r="AT93" s="121">
        <f>IFERROR($N93+VLOOKUP($L93,'Voyage days'!$F$540:$H$613,3,FALSE),"")</f>
        <v>45809</v>
      </c>
      <c r="AU93" s="120" t="str">
        <f t="shared" si="48"/>
        <v/>
      </c>
      <c r="AV93" s="121" t="str">
        <f>IFERROR($M93+VLOOKUP($L93,'Voyage days'!$L$483:$N$535,3,FALSE),"")</f>
        <v/>
      </c>
      <c r="AW93" s="121" t="str">
        <f>IFERROR($N93+VLOOKUP($L93,'Voyage days'!$L$483:$N$535,3,FALSE),"")</f>
        <v/>
      </c>
      <c r="AX93" s="120" t="str">
        <f t="shared" si="49"/>
        <v/>
      </c>
      <c r="AY93" s="122" t="str">
        <f>IFERROR($M93+VLOOKUP($L93,'Voyage days'!$F$620:$H$646,3,FALSE),"")</f>
        <v/>
      </c>
      <c r="AZ93" s="122" t="str">
        <f>IFERROR($N93+VLOOKUP($L93,'Voyage days'!$F$620:$H$646,3,FALSE),"")</f>
        <v/>
      </c>
      <c r="BA93" s="120" t="str">
        <f t="shared" si="50"/>
        <v/>
      </c>
      <c r="BB93" s="123" t="str">
        <f>IFERROR($M93+VLOOKUP($L93,'Voyage days'!$F$702:$H$727,3,FALSE),"")</f>
        <v/>
      </c>
      <c r="BC93" s="120" t="str">
        <f t="shared" si="51"/>
        <v>12-13 May</v>
      </c>
      <c r="BD93" s="122">
        <f>IFERROR($M93+VLOOKUP($L93,'Voyage days'!$F$807:$H$878,3,FALSE),"")</f>
        <v>45789</v>
      </c>
      <c r="BE93" s="122">
        <f>IFERROR($N93+VLOOKUP($L93,'Voyage days'!$F$807:$H$878,3,FALSE),"")</f>
        <v>45790</v>
      </c>
      <c r="BF93" s="609"/>
      <c r="BG93" s="609"/>
      <c r="BH93" s="609"/>
      <c r="BI93" s="609"/>
      <c r="BJ93" s="609"/>
      <c r="BK93" s="609"/>
      <c r="BL93" s="609"/>
      <c r="BM93" s="609"/>
    </row>
    <row r="94" ht="15.75" customHeight="1">
      <c r="A94" s="147" t="s">
        <v>712</v>
      </c>
      <c r="B94" s="148">
        <v>2019.0</v>
      </c>
      <c r="C94" s="1045">
        <v>83000.0</v>
      </c>
      <c r="D94" s="104" t="s">
        <v>1687</v>
      </c>
      <c r="E94" s="103" t="s">
        <v>689</v>
      </c>
      <c r="F94" s="604"/>
      <c r="G94" s="605" t="s">
        <v>2907</v>
      </c>
      <c r="H94" s="103"/>
      <c r="I94" s="185" t="s">
        <v>707</v>
      </c>
      <c r="J94" s="111" t="s">
        <v>2935</v>
      </c>
      <c r="K94" s="336" t="str">
        <f t="shared" si="39"/>
        <v>Update</v>
      </c>
      <c r="L94" s="108" t="s">
        <v>1031</v>
      </c>
      <c r="M94" s="109">
        <v>45789.0</v>
      </c>
      <c r="N94" s="109">
        <v>45790.0</v>
      </c>
      <c r="O94" s="334"/>
      <c r="P94" s="1094"/>
      <c r="Q94" s="185"/>
      <c r="R94" s="108" t="s">
        <v>2976</v>
      </c>
      <c r="S94" s="331" t="s">
        <v>934</v>
      </c>
      <c r="T94" s="113">
        <v>45783.0</v>
      </c>
      <c r="U94" s="114" t="str">
        <f>IF(V94="","No AIS",VLOOKUP(V94,'Voyage days'!$A$3:$B$1480,2,FALSE))</f>
        <v>Panama</v>
      </c>
      <c r="V94" s="115" t="str">
        <f>IF(VLOOKUP(A94,'1) Kpler'!$E$2:$P$1000,8, FALSE)="","",VLOOKUP(A94,'1) Kpler'!$E$2:$P$1000,8, FALSE))</f>
        <v>Panama Canal</v>
      </c>
      <c r="W94" s="116">
        <f>IF(VLOOKUP(A94,'1) Kpler'!$E$2:$P$1000,9,FALSE)="","",VLOOKUP(A94,'1) Kpler'!$E$2:$P$1000,9,FALSE))</f>
        <v>46133.5</v>
      </c>
      <c r="X94" s="115" t="str">
        <f>VLOOKUP(A94,'1) Kpler'!$E$2:$I$1000,4,FALSE)</f>
        <v>loaded</v>
      </c>
      <c r="Y94" s="117" t="str">
        <f t="shared" si="40"/>
        <v>12-13 May</v>
      </c>
      <c r="Z94" s="120" t="str">
        <f t="shared" si="41"/>
        <v>12-13 May</v>
      </c>
      <c r="AA94" s="121">
        <f>IFERROR($M94+VLOOKUP($L94,'Voyage days'!$F$38:$H$89,3,FALSE),"")</f>
        <v>45789</v>
      </c>
      <c r="AB94" s="121">
        <f>IFERROR(N94+VLOOKUP($L94,'Voyage days'!$F$38:$H$89,3,FALSE),"")</f>
        <v>45790</v>
      </c>
      <c r="AC94" s="120" t="str">
        <f t="shared" si="42"/>
        <v/>
      </c>
      <c r="AD94" s="121" t="str">
        <f>IFERROR($M94+VLOOKUP($L94,'Voyage days'!$F$94:$H$193,3,FALSE),"")</f>
        <v/>
      </c>
      <c r="AE94" s="121" t="str">
        <f>IFERROR($N94+VLOOKUP($L94,'Voyage days'!$F$94:$H$193,3,FALSE),"")</f>
        <v/>
      </c>
      <c r="AF94" s="120" t="str">
        <f t="shared" si="43"/>
        <v/>
      </c>
      <c r="AG94" s="121" t="str">
        <f>IFERROR($M94+VLOOKUP($L94,'Voyage days'!$F$203:$H$256,3,FALSE),"")</f>
        <v/>
      </c>
      <c r="AH94" s="121" t="str">
        <f>IFERROR($N94+VLOOKUP($L94,'Voyage days'!$F$203:$H$256,3,FALSE),"")</f>
        <v/>
      </c>
      <c r="AI94" s="120" t="str">
        <f t="shared" si="44"/>
        <v/>
      </c>
      <c r="AJ94" s="121" t="str">
        <f>IFERROR($M94+VLOOKUP($L94,'Voyage days'!$F$294:$H$377,3,FALSE),"")</f>
        <v/>
      </c>
      <c r="AK94" s="121" t="str">
        <f>IFERROR($N94+VLOOKUP($L94,'Voyage days'!$F$294:$H$377,3,FALSE),"")</f>
        <v/>
      </c>
      <c r="AL94" s="120" t="str">
        <f t="shared" si="45"/>
        <v/>
      </c>
      <c r="AM94" s="121" t="str">
        <f>IFERROR($M94+VLOOKUP($L94,'Voyage days'!$F$382:$H$446,3,FALSE),"")</f>
        <v/>
      </c>
      <c r="AN94" s="121" t="str">
        <f>IFERROR($N94+VLOOKUP($L94,'Voyage days'!$F$382:$H$446,3,FALSE),"")</f>
        <v/>
      </c>
      <c r="AO94" s="120" t="str">
        <f t="shared" si="46"/>
        <v/>
      </c>
      <c r="AP94" s="121" t="str">
        <f>IFERROR($M94+VLOOKUP($L94,'Voyage days'!$F$483:$H$538,3,FALSE),"")</f>
        <v/>
      </c>
      <c r="AQ94" s="121" t="str">
        <f>IFERROR($N94+VLOOKUP($L94,'Voyage days'!$F$483:$H$538,3,FALSE),"")</f>
        <v/>
      </c>
      <c r="AR94" s="120" t="str">
        <f t="shared" si="47"/>
        <v>31-01 Jun</v>
      </c>
      <c r="AS94" s="121">
        <f>IFERROR($M94+VLOOKUP($L94,'Voyage days'!$F$540:$H$613,3,FALSE),"")</f>
        <v>45808</v>
      </c>
      <c r="AT94" s="121">
        <f>IFERROR($N94+VLOOKUP($L94,'Voyage days'!$F$540:$H$613,3,FALSE),"")</f>
        <v>45809</v>
      </c>
      <c r="AU94" s="120" t="str">
        <f t="shared" si="48"/>
        <v/>
      </c>
      <c r="AV94" s="121" t="str">
        <f>IFERROR($M94+VLOOKUP($L94,'Voyage days'!$L$483:$N$535,3,FALSE),"")</f>
        <v/>
      </c>
      <c r="AW94" s="121" t="str">
        <f>IFERROR($N94+VLOOKUP($L94,'Voyage days'!$L$483:$N$535,3,FALSE),"")</f>
        <v/>
      </c>
      <c r="AX94" s="120" t="str">
        <f t="shared" si="49"/>
        <v/>
      </c>
      <c r="AY94" s="122" t="str">
        <f>IFERROR($M94+VLOOKUP($L94,'Voyage days'!$F$620:$H$646,3,FALSE),"")</f>
        <v/>
      </c>
      <c r="AZ94" s="122" t="str">
        <f>IFERROR($N94+VLOOKUP($L94,'Voyage days'!$F$620:$H$646,3,FALSE),"")</f>
        <v/>
      </c>
      <c r="BA94" s="120" t="str">
        <f t="shared" si="50"/>
        <v/>
      </c>
      <c r="BB94" s="123" t="str">
        <f>IFERROR($M94+VLOOKUP($L94,'Voyage days'!$F$702:$H$727,3,FALSE),"")</f>
        <v/>
      </c>
      <c r="BC94" s="120" t="str">
        <f t="shared" si="51"/>
        <v>12-13 May</v>
      </c>
      <c r="BD94" s="122">
        <f>IFERROR($M94+VLOOKUP($L94,'Voyage days'!$F$807:$H$878,3,FALSE),"")</f>
        <v>45789</v>
      </c>
      <c r="BE94" s="122">
        <f>IFERROR($N94+VLOOKUP($L94,'Voyage days'!$F$807:$H$878,3,FALSE),"")</f>
        <v>45790</v>
      </c>
      <c r="BF94" s="609"/>
      <c r="BG94" s="609"/>
      <c r="BH94" s="609"/>
      <c r="BI94" s="609"/>
      <c r="BJ94" s="609"/>
      <c r="BK94" s="609"/>
      <c r="BL94" s="609"/>
      <c r="BM94" s="609"/>
    </row>
    <row r="95" ht="14.25" customHeight="1">
      <c r="A95" s="1095" t="s">
        <v>585</v>
      </c>
      <c r="B95" s="280">
        <v>2025.0</v>
      </c>
      <c r="C95" s="1096">
        <v>88000.0</v>
      </c>
      <c r="D95" s="168"/>
      <c r="E95" s="223"/>
      <c r="F95" s="1010"/>
      <c r="G95" s="1011"/>
      <c r="H95" s="223"/>
      <c r="I95" s="172" t="s">
        <v>707</v>
      </c>
      <c r="J95" s="312"/>
      <c r="K95" s="469"/>
      <c r="L95" s="172" t="s">
        <v>680</v>
      </c>
      <c r="M95" s="173"/>
      <c r="N95" s="173"/>
      <c r="O95" s="433"/>
      <c r="P95" s="357" t="s">
        <v>2977</v>
      </c>
      <c r="Q95" s="463"/>
      <c r="R95" s="172"/>
      <c r="S95" s="1097" t="s">
        <v>934</v>
      </c>
      <c r="T95" s="176">
        <v>45783.0</v>
      </c>
      <c r="U95" s="177" t="str">
        <f>IF(V95="","No AIS",VLOOKUP(V95,'Voyage days'!$A$3:$B$1480,2,FALSE))</f>
        <v>USG</v>
      </c>
      <c r="V95" s="178" t="str">
        <f>IF(VLOOKUP(A95,'1) Kpler'!$E$2:$P$1000,8, FALSE)="","",VLOOKUP(A95,'1) Kpler'!$E$2:$P$1000,8, FALSE))</f>
        <v>PADD 3</v>
      </c>
      <c r="W95" s="179">
        <f>IF(VLOOKUP(A95,'1) Kpler'!$E$2:$P$1000,9,FALSE)="","",VLOOKUP(A95,'1) Kpler'!$E$2:$P$1000,9,FALSE))</f>
        <v>46150</v>
      </c>
      <c r="X95" s="178" t="str">
        <f>VLOOKUP(A95,'1) Kpler'!$E$2:$I$1000,4,FALSE)</f>
        <v>ballast</v>
      </c>
      <c r="Y95" s="120" t="str">
        <f t="shared" si="40"/>
        <v/>
      </c>
      <c r="Z95" s="120" t="str">
        <f t="shared" si="41"/>
        <v/>
      </c>
      <c r="AA95" s="121" t="str">
        <f>IFERROR($M95+VLOOKUP($L95,'Voyage days'!$F$38:$H$89,3,FALSE),"")</f>
        <v/>
      </c>
      <c r="AB95" s="121" t="str">
        <f>IFERROR(N95+VLOOKUP($L95,'Voyage days'!$F$38:$H$89,3,FALSE),"")</f>
        <v/>
      </c>
      <c r="AC95" s="120" t="str">
        <f t="shared" si="42"/>
        <v>30-30 Dec</v>
      </c>
      <c r="AD95" s="121">
        <f>IFERROR($M95+VLOOKUP($L95,'Voyage days'!$F$94:$H$193,3,FALSE),"")</f>
        <v>0</v>
      </c>
      <c r="AE95" s="121">
        <f>IFERROR($N95+VLOOKUP($L95,'Voyage days'!$F$94:$H$193,3,FALSE),"")</f>
        <v>0</v>
      </c>
      <c r="AF95" s="120" t="str">
        <f t="shared" si="43"/>
        <v>30-30 Dec</v>
      </c>
      <c r="AG95" s="121">
        <f>IFERROR($M95+VLOOKUP($L95,'Voyage days'!$F$203:$H$256,3,FALSE),"")</f>
        <v>0</v>
      </c>
      <c r="AH95" s="121">
        <f>IFERROR($N95+VLOOKUP($L95,'Voyage days'!$F$203:$H$256,3,FALSE),"")</f>
        <v>0</v>
      </c>
      <c r="AI95" s="120" t="str">
        <f t="shared" si="44"/>
        <v/>
      </c>
      <c r="AJ95" s="121" t="str">
        <f>IFERROR($M95+VLOOKUP($L95,'Voyage days'!$F$294:$H$377,3,FALSE),"")</f>
        <v/>
      </c>
      <c r="AK95" s="121" t="str">
        <f>IFERROR($N95+VLOOKUP($L95,'Voyage days'!$F$294:$H$377,3,FALSE),"")</f>
        <v/>
      </c>
      <c r="AL95" s="120" t="str">
        <f t="shared" si="45"/>
        <v>19-19 Jan</v>
      </c>
      <c r="AM95" s="121">
        <f>IFERROR($M95+VLOOKUP($L95,'Voyage days'!$F$382:$H$446,3,FALSE),"")</f>
        <v>20</v>
      </c>
      <c r="AN95" s="121">
        <f>IFERROR($N95+VLOOKUP($L95,'Voyage days'!$F$382:$H$446,3,FALSE),"")</f>
        <v>20</v>
      </c>
      <c r="AO95" s="120" t="str">
        <f t="shared" si="46"/>
        <v/>
      </c>
      <c r="AP95" s="121" t="str">
        <f>IFERROR($M95+VLOOKUP($L95,'Voyage days'!$F$483:$H$538,3,FALSE),"")</f>
        <v/>
      </c>
      <c r="AQ95" s="121" t="str">
        <f>IFERROR($N95+VLOOKUP($L95,'Voyage days'!$F$483:$H$538,3,FALSE),"")</f>
        <v/>
      </c>
      <c r="AR95" s="120" t="str">
        <f t="shared" si="47"/>
        <v/>
      </c>
      <c r="AS95" s="121" t="str">
        <f>IFERROR($M95+VLOOKUP($L95,'Voyage days'!$F$540:$H$613,3,FALSE),"")</f>
        <v/>
      </c>
      <c r="AT95" s="121" t="str">
        <f>IFERROR($N95+VLOOKUP($L95,'Voyage days'!$F$540:$H$613,3,FALSE),"")</f>
        <v/>
      </c>
      <c r="AU95" s="120" t="str">
        <f t="shared" si="48"/>
        <v/>
      </c>
      <c r="AV95" s="121" t="str">
        <f>IFERROR($M95+VLOOKUP($L95,'Voyage days'!$L$483:$N$535,3,FALSE),"")</f>
        <v/>
      </c>
      <c r="AW95" s="121" t="str">
        <f>IFERROR($N95+VLOOKUP($L95,'Voyage days'!$L$483:$N$535,3,FALSE),"")</f>
        <v/>
      </c>
      <c r="AX95" s="120" t="str">
        <f t="shared" si="49"/>
        <v/>
      </c>
      <c r="AY95" s="122" t="str">
        <f>IFERROR($M95+VLOOKUP($L95,'Voyage days'!$F$620:$H$646,3,FALSE),"")</f>
        <v/>
      </c>
      <c r="AZ95" s="122" t="str">
        <f>IFERROR($N95+VLOOKUP($L95,'Voyage days'!$F$620:$H$646,3,FALSE),"")</f>
        <v/>
      </c>
      <c r="BA95" s="120" t="str">
        <f t="shared" si="50"/>
        <v/>
      </c>
      <c r="BB95" s="123" t="str">
        <f>IFERROR($M95+VLOOKUP($L95,'Voyage days'!$F$702:$H$727,3,FALSE),"")</f>
        <v/>
      </c>
      <c r="BC95" s="120" t="str">
        <f t="shared" si="51"/>
        <v/>
      </c>
      <c r="BD95" s="122" t="str">
        <f>IFERROR($M95+VLOOKUP($L95,'Voyage days'!$F$807:$H$878,3,FALSE),"")</f>
        <v/>
      </c>
      <c r="BE95" s="122" t="str">
        <f>IFERROR($N95+VLOOKUP($L95,'Voyage days'!$F$807:$H$878,3,FALSE),"")</f>
        <v/>
      </c>
      <c r="BF95" s="609"/>
      <c r="BG95" s="609"/>
      <c r="BH95" s="609"/>
      <c r="BI95" s="609"/>
      <c r="BJ95" s="609"/>
      <c r="BK95" s="609"/>
      <c r="BL95" s="609"/>
      <c r="BM95" s="609"/>
    </row>
    <row r="96" ht="14.25" customHeight="1">
      <c r="A96" s="287" t="s">
        <v>78</v>
      </c>
      <c r="B96" s="288">
        <v>40298.0</v>
      </c>
      <c r="C96" s="1098">
        <v>83270.0</v>
      </c>
      <c r="D96" s="234" t="s">
        <v>1687</v>
      </c>
      <c r="E96" s="233"/>
      <c r="F96" s="1035">
        <v>43971.0</v>
      </c>
      <c r="G96" s="233" t="s">
        <v>1611</v>
      </c>
      <c r="H96" s="233"/>
      <c r="I96" s="291" t="s">
        <v>727</v>
      </c>
      <c r="J96" s="291" t="s">
        <v>2931</v>
      </c>
      <c r="K96" s="517" t="str">
        <f t="shared" ref="K96:K272" si="52">IF(W96="","NO AIS",IF((W96-M96-1)&gt;0,"Update",""))</f>
        <v>NO AIS</v>
      </c>
      <c r="L96" s="235" t="s">
        <v>745</v>
      </c>
      <c r="M96" s="238">
        <v>45792.0</v>
      </c>
      <c r="N96" s="238">
        <v>45797.0</v>
      </c>
      <c r="O96" s="1099"/>
      <c r="P96" s="1100" t="s">
        <v>2978</v>
      </c>
      <c r="Q96" s="291"/>
      <c r="R96" s="235" t="s">
        <v>2979</v>
      </c>
      <c r="S96" s="292" t="s">
        <v>934</v>
      </c>
      <c r="T96" s="420">
        <v>45776.0</v>
      </c>
      <c r="U96" s="114" t="str">
        <f>IF(V96="","No AIS",VLOOKUP(V96,'Voyage days'!$A$3:$B$1480,2,FALSE))</f>
        <v>No AIS</v>
      </c>
      <c r="V96" s="244" t="str">
        <f>IF(VLOOKUP(A96,'1) Kpler'!$E$2:$P$1000,8, FALSE)="","",VLOOKUP(A96,'1) Kpler'!$E$2:$P$1000,8, FALSE))</f>
        <v/>
      </c>
      <c r="W96" s="245" t="str">
        <f>IF(VLOOKUP(A96,'1) Kpler'!$E$2:$P$1000,9,FALSE)="","",VLOOKUP(A96,'1) Kpler'!$E$2:$P$1000,9,FALSE))</f>
        <v/>
      </c>
      <c r="X96" s="244" t="str">
        <f>VLOOKUP(A96,'1) Kpler'!$E$2:$I$1000,4,FALSE)</f>
        <v>ballast</v>
      </c>
      <c r="Y96" s="296" t="str">
        <f t="shared" si="40"/>
        <v>24-29 May</v>
      </c>
      <c r="Z96" s="249" t="str">
        <f t="shared" si="41"/>
        <v>24-29 May</v>
      </c>
      <c r="AA96" s="250">
        <f>IFERROR($M96+VLOOKUP($L96,'Voyage days'!$F$38:$H$89,3,FALSE),"")</f>
        <v>45801</v>
      </c>
      <c r="AB96" s="250">
        <f>IFERROR(N96+VLOOKUP($L96,'Voyage days'!$F$38:$H$89,3,FALSE),"")</f>
        <v>45806</v>
      </c>
      <c r="AC96" s="249" t="str">
        <f t="shared" si="42"/>
        <v>02-07 Jun</v>
      </c>
      <c r="AD96" s="250">
        <f>IFERROR($M96+VLOOKUP($L96,'Voyage days'!$F$94:$H$193,3,FALSE),"")</f>
        <v>45810</v>
      </c>
      <c r="AE96" s="250">
        <f>IFERROR($N96+VLOOKUP($L96,'Voyage days'!$F$94:$H$193,3,FALSE),"")</f>
        <v>45815</v>
      </c>
      <c r="AF96" s="249" t="str">
        <f t="shared" si="43"/>
        <v>05-10 Jun</v>
      </c>
      <c r="AG96" s="250">
        <f>IFERROR($M96+VLOOKUP($L96,'Voyage days'!$F$203:$H$256,3,FALSE),"")</f>
        <v>45813</v>
      </c>
      <c r="AH96" s="250">
        <f>IFERROR($N96+VLOOKUP($L96,'Voyage days'!$F$203:$H$256,3,FALSE),"")</f>
        <v>45818</v>
      </c>
      <c r="AI96" s="249" t="str">
        <f t="shared" si="44"/>
        <v>30-04 Jun</v>
      </c>
      <c r="AJ96" s="250">
        <f>IFERROR($M96+VLOOKUP($L96,'Voyage days'!$F$294:$H$377,3,FALSE),"")</f>
        <v>45807</v>
      </c>
      <c r="AK96" s="250">
        <f>IFERROR($N96+VLOOKUP($L96,'Voyage days'!$F$294:$H$377,3,FALSE),"")</f>
        <v>45812</v>
      </c>
      <c r="AL96" s="249" t="str">
        <f t="shared" si="45"/>
        <v>23-28 May</v>
      </c>
      <c r="AM96" s="250">
        <f>IFERROR($M96+VLOOKUP($L96,'Voyage days'!$F$382:$H$446,3,FALSE),"")</f>
        <v>45800</v>
      </c>
      <c r="AN96" s="250">
        <f>IFERROR($N96+VLOOKUP($L96,'Voyage days'!$F$382:$H$446,3,FALSE),"")</f>
        <v>45805</v>
      </c>
      <c r="AO96" s="249" t="str">
        <f t="shared" si="46"/>
        <v/>
      </c>
      <c r="AP96" s="250" t="str">
        <f>IFERROR($M96+VLOOKUP($L96,'Voyage days'!$F$483:$H$538,3,FALSE),"")</f>
        <v/>
      </c>
      <c r="AQ96" s="250" t="str">
        <f>IFERROR($N96+VLOOKUP($L96,'Voyage days'!$F$483:$H$538,3,FALSE),"")</f>
        <v/>
      </c>
      <c r="AR96" s="249" t="str">
        <f t="shared" si="47"/>
        <v/>
      </c>
      <c r="AS96" s="250" t="str">
        <f>IFERROR($M96+VLOOKUP($L96,'Voyage days'!$F$540:$H$613,3,FALSE),"")</f>
        <v/>
      </c>
      <c r="AT96" s="250" t="str">
        <f>IFERROR($N96+VLOOKUP($L96,'Voyage days'!$F$540:$H$613,3,FALSE),"")</f>
        <v/>
      </c>
      <c r="AU96" s="249" t="str">
        <f t="shared" si="48"/>
        <v/>
      </c>
      <c r="AV96" s="250" t="str">
        <f>IFERROR($M96+VLOOKUP($L96,'Voyage days'!$L$483:$N$535,3,FALSE),"")</f>
        <v/>
      </c>
      <c r="AW96" s="250" t="str">
        <f>IFERROR($N96+VLOOKUP($L96,'Voyage days'!$L$483:$N$535,3,FALSE),"")</f>
        <v/>
      </c>
      <c r="AX96" s="249" t="str">
        <f t="shared" si="49"/>
        <v/>
      </c>
      <c r="AY96" s="250" t="str">
        <f>IFERROR($M96+VLOOKUP($L96,'Voyage days'!$F$620:$H$646,3,FALSE),"")</f>
        <v/>
      </c>
      <c r="AZ96" s="250" t="str">
        <f>IFERROR($N96+VLOOKUP($L96,'Voyage days'!$F$620:$H$646,3,FALSE),"")</f>
        <v/>
      </c>
      <c r="BA96" s="249" t="str">
        <f t="shared" si="50"/>
        <v/>
      </c>
      <c r="BB96" s="251" t="str">
        <f>IFERROR($M96+VLOOKUP($L96,'Voyage days'!$F$702:$H$727,3,FALSE),"")</f>
        <v/>
      </c>
      <c r="BC96" s="163" t="str">
        <f t="shared" si="51"/>
        <v>16-21 May</v>
      </c>
      <c r="BD96" s="122">
        <f>IFERROR($M96+VLOOKUP($L96,'Voyage days'!$F$807:$H$878,3,FALSE),"")</f>
        <v>45793.5</v>
      </c>
      <c r="BE96" s="122">
        <f>IFERROR($N96+VLOOKUP($L96,'Voyage days'!$F$807:$H$878,3,FALSE),"")</f>
        <v>45798.5</v>
      </c>
      <c r="BF96" s="609"/>
      <c r="BG96" s="609"/>
      <c r="BH96" s="609"/>
      <c r="BI96" s="609"/>
      <c r="BJ96" s="609"/>
      <c r="BK96" s="609"/>
      <c r="BL96" s="609"/>
      <c r="BM96" s="609"/>
    </row>
    <row r="97" ht="15.75" customHeight="1">
      <c r="A97" s="147" t="s">
        <v>364</v>
      </c>
      <c r="B97" s="148">
        <v>2016.0</v>
      </c>
      <c r="C97" s="1045">
        <v>84000.0</v>
      </c>
      <c r="D97" s="104" t="s">
        <v>1687</v>
      </c>
      <c r="E97" s="103"/>
      <c r="F97" s="604">
        <v>44276.0</v>
      </c>
      <c r="G97" s="605" t="s">
        <v>2980</v>
      </c>
      <c r="H97" s="103"/>
      <c r="I97" s="185" t="s">
        <v>727</v>
      </c>
      <c r="J97" s="111" t="s">
        <v>2937</v>
      </c>
      <c r="K97" s="336" t="str">
        <f t="shared" si="52"/>
        <v>Update</v>
      </c>
      <c r="L97" s="108" t="s">
        <v>745</v>
      </c>
      <c r="M97" s="109">
        <v>45782.0</v>
      </c>
      <c r="N97" s="109">
        <v>45787.0</v>
      </c>
      <c r="O97" s="334"/>
      <c r="P97" s="1094" t="s">
        <v>2978</v>
      </c>
      <c r="Q97" s="185"/>
      <c r="R97" s="108"/>
      <c r="S97" s="112" t="s">
        <v>2962</v>
      </c>
      <c r="T97" s="113">
        <v>45779.0</v>
      </c>
      <c r="U97" s="114" t="str">
        <f>IF(V97="","No AIS",VLOOKUP(V97,'Voyage days'!$A$3:$B$1480,2,FALSE))</f>
        <v>USG</v>
      </c>
      <c r="V97" s="115" t="str">
        <f>IF(VLOOKUP(A97,'1) Kpler'!$E$2:$P$1000,8, FALSE)="","",VLOOKUP(A97,'1) Kpler'!$E$2:$P$1000,8, FALSE))</f>
        <v>Houston</v>
      </c>
      <c r="W97" s="116">
        <f>IF(VLOOKUP(A97,'1) Kpler'!$E$2:$P$1000,9,FALSE)="","",VLOOKUP(A97,'1) Kpler'!$E$2:$P$1000,9,FALSE))</f>
        <v>46136.70833</v>
      </c>
      <c r="X97" s="115" t="str">
        <f>VLOOKUP(A97,'1) Kpler'!$E$2:$I$1000,4,FALSE)</f>
        <v>ballast</v>
      </c>
      <c r="Y97" s="160" t="str">
        <f t="shared" si="40"/>
        <v>14-19 May</v>
      </c>
      <c r="Z97" s="120" t="str">
        <f t="shared" si="41"/>
        <v>14-19 May</v>
      </c>
      <c r="AA97" s="121">
        <f>IFERROR($M97+VLOOKUP($L97,'Voyage days'!$F$38:$H$89,3,FALSE),"")</f>
        <v>45791</v>
      </c>
      <c r="AB97" s="121">
        <f>IFERROR(N97+VLOOKUP($L97,'Voyage days'!$F$38:$H$89,3,FALSE),"")</f>
        <v>45796</v>
      </c>
      <c r="AC97" s="120" t="str">
        <f t="shared" si="42"/>
        <v>23-28 May</v>
      </c>
      <c r="AD97" s="121">
        <f>IFERROR($M97+VLOOKUP($L97,'Voyage days'!$F$94:$H$193,3,FALSE),"")</f>
        <v>45800</v>
      </c>
      <c r="AE97" s="121">
        <f>IFERROR($N97+VLOOKUP($L97,'Voyage days'!$F$94:$H$193,3,FALSE),"")</f>
        <v>45805</v>
      </c>
      <c r="AF97" s="120" t="str">
        <f t="shared" si="43"/>
        <v>26-31 May</v>
      </c>
      <c r="AG97" s="121">
        <f>IFERROR($M97+VLOOKUP($L97,'Voyage days'!$F$203:$H$256,3,FALSE),"")</f>
        <v>45803</v>
      </c>
      <c r="AH97" s="121">
        <f>IFERROR($N97+VLOOKUP($L97,'Voyage days'!$F$203:$H$256,3,FALSE),"")</f>
        <v>45808</v>
      </c>
      <c r="AI97" s="120" t="str">
        <f t="shared" si="44"/>
        <v>20-25 May</v>
      </c>
      <c r="AJ97" s="121">
        <f>IFERROR($M97+VLOOKUP($L97,'Voyage days'!$F$294:$H$377,3,FALSE),"")</f>
        <v>45797</v>
      </c>
      <c r="AK97" s="121">
        <f>IFERROR($N97+VLOOKUP($L97,'Voyage days'!$F$294:$H$377,3,FALSE),"")</f>
        <v>45802</v>
      </c>
      <c r="AL97" s="120" t="str">
        <f t="shared" si="45"/>
        <v>13-18 May</v>
      </c>
      <c r="AM97" s="121">
        <f>IFERROR($M97+VLOOKUP($L97,'Voyage days'!$F$382:$H$446,3,FALSE),"")</f>
        <v>45790</v>
      </c>
      <c r="AN97" s="121">
        <f>IFERROR($N97+VLOOKUP($L97,'Voyage days'!$F$382:$H$446,3,FALSE),"")</f>
        <v>45795</v>
      </c>
      <c r="AO97" s="120" t="str">
        <f t="shared" si="46"/>
        <v/>
      </c>
      <c r="AP97" s="121" t="str">
        <f>IFERROR($M97+VLOOKUP($L97,'Voyage days'!$F$483:$H$538,3,FALSE),"")</f>
        <v/>
      </c>
      <c r="AQ97" s="121" t="str">
        <f>IFERROR($N97+VLOOKUP($L97,'Voyage days'!$F$483:$H$538,3,FALSE),"")</f>
        <v/>
      </c>
      <c r="AR97" s="120" t="str">
        <f t="shared" si="47"/>
        <v/>
      </c>
      <c r="AS97" s="121" t="str">
        <f>IFERROR($M97+VLOOKUP($L97,'Voyage days'!$F$540:$H$613,3,FALSE),"")</f>
        <v/>
      </c>
      <c r="AT97" s="121" t="str">
        <f>IFERROR($N97+VLOOKUP($L97,'Voyage days'!$F$540:$H$613,3,FALSE),"")</f>
        <v/>
      </c>
      <c r="AU97" s="120" t="str">
        <f t="shared" si="48"/>
        <v/>
      </c>
      <c r="AV97" s="121" t="str">
        <f>IFERROR($M97+VLOOKUP($L97,'Voyage days'!$L$483:$N$535,3,FALSE),"")</f>
        <v/>
      </c>
      <c r="AW97" s="121" t="str">
        <f>IFERROR($N97+VLOOKUP($L97,'Voyage days'!$L$483:$N$535,3,FALSE),"")</f>
        <v/>
      </c>
      <c r="AX97" s="120" t="str">
        <f t="shared" si="49"/>
        <v/>
      </c>
      <c r="AY97" s="122" t="str">
        <f>IFERROR($M97+VLOOKUP($L97,'Voyage days'!$F$620:$H$646,3,FALSE),"")</f>
        <v/>
      </c>
      <c r="AZ97" s="122" t="str">
        <f>IFERROR($N97+VLOOKUP($L97,'Voyage days'!$F$620:$H$646,3,FALSE),"")</f>
        <v/>
      </c>
      <c r="BA97" s="120" t="str">
        <f t="shared" si="50"/>
        <v/>
      </c>
      <c r="BB97" s="123" t="str">
        <f>IFERROR($M97+VLOOKUP($L97,'Voyage days'!$F$702:$H$727,3,FALSE),"")</f>
        <v/>
      </c>
      <c r="BC97" s="120" t="str">
        <f t="shared" si="51"/>
        <v>06-11 May</v>
      </c>
      <c r="BD97" s="122">
        <f>IFERROR($M97+VLOOKUP($L97,'Voyage days'!$F$807:$H$878,3,FALSE),"")</f>
        <v>45783.5</v>
      </c>
      <c r="BE97" s="122">
        <f>IFERROR($N97+VLOOKUP($L97,'Voyage days'!$F$807:$H$878,3,FALSE),"")</f>
        <v>45788.5</v>
      </c>
      <c r="BF97" s="609"/>
      <c r="BG97" s="609"/>
      <c r="BH97" s="609"/>
      <c r="BI97" s="609"/>
      <c r="BJ97" s="609"/>
      <c r="BK97" s="609"/>
      <c r="BL97" s="609"/>
      <c r="BM97" s="609"/>
    </row>
    <row r="98" ht="15.75" customHeight="1">
      <c r="A98" s="674" t="s">
        <v>571</v>
      </c>
      <c r="B98" s="165">
        <v>2020.0</v>
      </c>
      <c r="C98" s="1101">
        <v>84000.0</v>
      </c>
      <c r="D98" s="168" t="s">
        <v>2981</v>
      </c>
      <c r="E98" s="223" t="s">
        <v>689</v>
      </c>
      <c r="F98" s="1010"/>
      <c r="G98" s="1011">
        <v>46661.0</v>
      </c>
      <c r="H98" s="223"/>
      <c r="I98" s="463" t="s">
        <v>727</v>
      </c>
      <c r="J98" s="312" t="s">
        <v>1624</v>
      </c>
      <c r="K98" s="469" t="str">
        <f t="shared" si="52"/>
        <v>Update</v>
      </c>
      <c r="L98" s="172" t="s">
        <v>745</v>
      </c>
      <c r="M98" s="173">
        <v>45787.0</v>
      </c>
      <c r="N98" s="1070">
        <v>45792.0</v>
      </c>
      <c r="O98" s="433"/>
      <c r="P98" s="1102" t="s">
        <v>2982</v>
      </c>
      <c r="Q98" s="463"/>
      <c r="R98" s="172"/>
      <c r="S98" s="175" t="s">
        <v>33</v>
      </c>
      <c r="T98" s="176">
        <v>45781.0</v>
      </c>
      <c r="U98" s="177" t="str">
        <f>IF(V98="","No AIS",VLOOKUP(V98,'Voyage days'!$A$3:$B$1480,2,FALSE))</f>
        <v>ECI + 5</v>
      </c>
      <c r="V98" s="178" t="str">
        <f>IF(VLOOKUP(A98,'1) Kpler'!$E$2:$P$1000,8, FALSE)="","",VLOOKUP(A98,'1) Kpler'!$E$2:$P$1000,8, FALSE))</f>
        <v>Ennore Port</v>
      </c>
      <c r="W98" s="179">
        <f>IF(VLOOKUP(A98,'1) Kpler'!$E$2:$P$1000,9,FALSE)="","",VLOOKUP(A98,'1) Kpler'!$E$2:$P$1000,9,FALSE))</f>
        <v>46162.00069</v>
      </c>
      <c r="X98" s="178" t="str">
        <f>VLOOKUP(A98,'1) Kpler'!$E$2:$I$1000,4,FALSE)</f>
        <v>loaded</v>
      </c>
      <c r="Y98" s="180" t="str">
        <f t="shared" si="40"/>
        <v>19-24 May</v>
      </c>
      <c r="Z98" s="120" t="str">
        <f t="shared" si="41"/>
        <v>19-24 May</v>
      </c>
      <c r="AA98" s="121">
        <f>IFERROR($M98+VLOOKUP($L98,'Voyage days'!$F$38:$H$89,3,FALSE),"")</f>
        <v>45796</v>
      </c>
      <c r="AB98" s="121">
        <f>IFERROR(N98+VLOOKUP($L98,'Voyage days'!$F$38:$H$89,3,FALSE),"")</f>
        <v>45801</v>
      </c>
      <c r="AC98" s="120" t="str">
        <f t="shared" si="42"/>
        <v>28-02 Jun</v>
      </c>
      <c r="AD98" s="121">
        <f>IFERROR($M98+VLOOKUP($L98,'Voyage days'!$F$94:$H$193,3,FALSE),"")</f>
        <v>45805</v>
      </c>
      <c r="AE98" s="121">
        <f>IFERROR($N98+VLOOKUP($L98,'Voyage days'!$F$94:$H$193,3,FALSE),"")</f>
        <v>45810</v>
      </c>
      <c r="AF98" s="120" t="str">
        <f t="shared" si="43"/>
        <v>31-05 Jun</v>
      </c>
      <c r="AG98" s="121">
        <f>IFERROR($M98+VLOOKUP($L98,'Voyage days'!$F$203:$H$256,3,FALSE),"")</f>
        <v>45808</v>
      </c>
      <c r="AH98" s="121">
        <f>IFERROR($N98+VLOOKUP($L98,'Voyage days'!$F$203:$H$256,3,FALSE),"")</f>
        <v>45813</v>
      </c>
      <c r="AI98" s="120" t="str">
        <f t="shared" si="44"/>
        <v>25-30 May</v>
      </c>
      <c r="AJ98" s="121">
        <f>IFERROR($M98+VLOOKUP($L98,'Voyage days'!$F$294:$H$377,3,FALSE),"")</f>
        <v>45802</v>
      </c>
      <c r="AK98" s="121">
        <f>IFERROR($N98+VLOOKUP($L98,'Voyage days'!$F$294:$H$377,3,FALSE),"")</f>
        <v>45807</v>
      </c>
      <c r="AL98" s="120" t="str">
        <f t="shared" si="45"/>
        <v>18-23 May</v>
      </c>
      <c r="AM98" s="121">
        <f>IFERROR($M98+VLOOKUP($L98,'Voyage days'!$F$382:$H$446,3,FALSE),"")</f>
        <v>45795</v>
      </c>
      <c r="AN98" s="121">
        <f>IFERROR($N98+VLOOKUP($L98,'Voyage days'!$F$382:$H$446,3,FALSE),"")</f>
        <v>45800</v>
      </c>
      <c r="AO98" s="120" t="str">
        <f t="shared" si="46"/>
        <v/>
      </c>
      <c r="AP98" s="121" t="str">
        <f>IFERROR($M98+VLOOKUP($L98,'Voyage days'!$F$483:$H$538,3,FALSE),"")</f>
        <v/>
      </c>
      <c r="AQ98" s="121" t="str">
        <f>IFERROR($N98+VLOOKUP($L98,'Voyage days'!$F$483:$H$538,3,FALSE),"")</f>
        <v/>
      </c>
      <c r="AR98" s="120" t="str">
        <f t="shared" si="47"/>
        <v/>
      </c>
      <c r="AS98" s="121" t="str">
        <f>IFERROR($M98+VLOOKUP($L98,'Voyage days'!$F$540:$H$613,3,FALSE),"")</f>
        <v/>
      </c>
      <c r="AT98" s="121" t="str">
        <f>IFERROR($N98+VLOOKUP($L98,'Voyage days'!$F$540:$H$613,3,FALSE),"")</f>
        <v/>
      </c>
      <c r="AU98" s="120" t="str">
        <f t="shared" si="48"/>
        <v/>
      </c>
      <c r="AV98" s="121" t="str">
        <f>IFERROR($M98+VLOOKUP($L98,'Voyage days'!$L$483:$N$535,3,FALSE),"")</f>
        <v/>
      </c>
      <c r="AW98" s="121" t="str">
        <f>IFERROR($N98+VLOOKUP($L98,'Voyage days'!$L$483:$N$535,3,FALSE),"")</f>
        <v/>
      </c>
      <c r="AX98" s="120" t="str">
        <f t="shared" si="49"/>
        <v/>
      </c>
      <c r="AY98" s="122" t="str">
        <f>IFERROR($M98+VLOOKUP($L98,'Voyage days'!$F$620:$H$646,3,FALSE),"")</f>
        <v/>
      </c>
      <c r="AZ98" s="122" t="str">
        <f>IFERROR($N98+VLOOKUP($L98,'Voyage days'!$F$620:$H$646,3,FALSE),"")</f>
        <v/>
      </c>
      <c r="BA98" s="120" t="str">
        <f t="shared" si="50"/>
        <v/>
      </c>
      <c r="BB98" s="123" t="str">
        <f>IFERROR($M98+VLOOKUP($L98,'Voyage days'!$F$702:$H$727,3,FALSE),"")</f>
        <v/>
      </c>
      <c r="BC98" s="120" t="str">
        <f t="shared" si="51"/>
        <v>11-16 May</v>
      </c>
      <c r="BD98" s="122">
        <f>IFERROR($M98+VLOOKUP($L98,'Voyage days'!$F$807:$H$878,3,FALSE),"")</f>
        <v>45788.5</v>
      </c>
      <c r="BE98" s="122">
        <f>IFERROR($N98+VLOOKUP($L98,'Voyage days'!$F$807:$H$878,3,FALSE),"")</f>
        <v>45793.5</v>
      </c>
      <c r="BF98" s="609"/>
      <c r="BG98" s="609"/>
      <c r="BH98" s="609"/>
      <c r="BI98" s="609"/>
      <c r="BJ98" s="609"/>
      <c r="BK98" s="609"/>
      <c r="BL98" s="609"/>
      <c r="BM98" s="609"/>
    </row>
    <row r="99" ht="15.75" customHeight="1">
      <c r="A99" s="546" t="s">
        <v>2983</v>
      </c>
      <c r="B99" s="165">
        <v>2016.0</v>
      </c>
      <c r="C99" s="1101">
        <v>83000.0</v>
      </c>
      <c r="D99" s="282" t="s">
        <v>1687</v>
      </c>
      <c r="E99" s="374"/>
      <c r="F99" s="1103">
        <v>44287.0</v>
      </c>
      <c r="G99" s="1104"/>
      <c r="H99" s="374"/>
      <c r="I99" s="597" t="s">
        <v>748</v>
      </c>
      <c r="J99" s="597" t="s">
        <v>2984</v>
      </c>
      <c r="K99" s="481" t="str">
        <f t="shared" si="52"/>
        <v>#N/A</v>
      </c>
      <c r="L99" s="285" t="s">
        <v>680</v>
      </c>
      <c r="M99" s="283">
        <v>45801.0</v>
      </c>
      <c r="N99" s="283">
        <v>45802.0</v>
      </c>
      <c r="O99" s="584"/>
      <c r="P99" s="285"/>
      <c r="Q99" s="597"/>
      <c r="R99" s="285" t="s">
        <v>2985</v>
      </c>
      <c r="S99" s="358" t="s">
        <v>33</v>
      </c>
      <c r="T99" s="369">
        <v>45781.0</v>
      </c>
      <c r="U99" s="177" t="str">
        <f>IF(V99="","No AIS",VLOOKUP(V99,'Voyage days'!$A$3:$B$1480,2,FALSE))</f>
        <v>#N/A</v>
      </c>
      <c r="V99" s="177" t="str">
        <f>IF(VLOOKUP(A99,'1) Kpler'!$E$2:$P$1000,8, FALSE)="","",VLOOKUP(A99,'1) Kpler'!$E$2:$P$1000,8, FALSE))</f>
        <v>#N/A</v>
      </c>
      <c r="W99" s="370" t="str">
        <f>IF(VLOOKUP(A99,'1) Kpler'!$E$2:$P$1000,9,FALSE)="","",VLOOKUP(A99,'1) Kpler'!$E$2:$P$1000,9,FALSE))</f>
        <v>#N/A</v>
      </c>
      <c r="X99" s="177" t="str">
        <f>VLOOKUP(A99,'1) Kpler'!$E$2:$I$1000,4,FALSE)</f>
        <v>#N/A</v>
      </c>
      <c r="Y99" s="163" t="str">
        <f t="shared" si="40"/>
        <v/>
      </c>
      <c r="Z99" s="163" t="str">
        <f t="shared" si="41"/>
        <v/>
      </c>
      <c r="AA99" s="122" t="str">
        <f>IFERROR($M99+VLOOKUP($L99,'Voyage days'!$F$38:$H$89,3,FALSE),"")</f>
        <v/>
      </c>
      <c r="AB99" s="122" t="str">
        <f>IFERROR(N99+VLOOKUP($L99,'Voyage days'!$F$38:$H$89,3,FALSE),"")</f>
        <v/>
      </c>
      <c r="AC99" s="163" t="str">
        <f t="shared" si="42"/>
        <v>24-25 May</v>
      </c>
      <c r="AD99" s="122">
        <f>IFERROR($M99+VLOOKUP($L99,'Voyage days'!$F$94:$H$193,3,FALSE),"")</f>
        <v>45801</v>
      </c>
      <c r="AE99" s="122">
        <f>IFERROR($N99+VLOOKUP($L99,'Voyage days'!$F$94:$H$193,3,FALSE),"")</f>
        <v>45802</v>
      </c>
      <c r="AF99" s="163" t="str">
        <f t="shared" si="43"/>
        <v>24-25 May</v>
      </c>
      <c r="AG99" s="122">
        <f>IFERROR($M99+VLOOKUP($L99,'Voyage days'!$F$203:$H$256,3,FALSE),"")</f>
        <v>45801</v>
      </c>
      <c r="AH99" s="122">
        <f>IFERROR($N99+VLOOKUP($L99,'Voyage days'!$F$203:$H$256,3,FALSE),"")</f>
        <v>45802</v>
      </c>
      <c r="AI99" s="163" t="str">
        <f t="shared" si="44"/>
        <v/>
      </c>
      <c r="AJ99" s="122" t="str">
        <f>IFERROR($M99+VLOOKUP($L99,'Voyage days'!$F$294:$H$377,3,FALSE),"")</f>
        <v/>
      </c>
      <c r="AK99" s="122" t="str">
        <f>IFERROR($N99+VLOOKUP($L99,'Voyage days'!$F$294:$H$377,3,FALSE),"")</f>
        <v/>
      </c>
      <c r="AL99" s="163" t="str">
        <f t="shared" si="45"/>
        <v>13-14 Jun</v>
      </c>
      <c r="AM99" s="122">
        <f>IFERROR($M99+VLOOKUP($L99,'Voyage days'!$F$382:$H$446,3,FALSE),"")</f>
        <v>45821</v>
      </c>
      <c r="AN99" s="122">
        <f>IFERROR($N99+VLOOKUP($L99,'Voyage days'!$F$382:$H$446,3,FALSE),"")</f>
        <v>45822</v>
      </c>
      <c r="AO99" s="163" t="str">
        <f t="shared" si="46"/>
        <v/>
      </c>
      <c r="AP99" s="122" t="str">
        <f>IFERROR($M99+VLOOKUP($L99,'Voyage days'!$F$483:$H$538,3,FALSE),"")</f>
        <v/>
      </c>
      <c r="AQ99" s="122" t="str">
        <f>IFERROR($N99+VLOOKUP($L99,'Voyage days'!$F$483:$H$538,3,FALSE),"")</f>
        <v/>
      </c>
      <c r="AR99" s="163" t="str">
        <f t="shared" si="47"/>
        <v/>
      </c>
      <c r="AS99" s="122" t="str">
        <f>IFERROR($M99+VLOOKUP($L99,'Voyage days'!$F$540:$H$613,3,FALSE),"")</f>
        <v/>
      </c>
      <c r="AT99" s="122" t="str">
        <f>IFERROR($N99+VLOOKUP($L99,'Voyage days'!$F$540:$H$613,3,FALSE),"")</f>
        <v/>
      </c>
      <c r="AU99" s="163" t="str">
        <f t="shared" si="48"/>
        <v/>
      </c>
      <c r="AV99" s="122" t="str">
        <f>IFERROR($M99+VLOOKUP($L99,'Voyage days'!$L$483:$N$535,3,FALSE),"")</f>
        <v/>
      </c>
      <c r="AW99" s="122" t="str">
        <f>IFERROR($N99+VLOOKUP($L99,'Voyage days'!$L$483:$N$535,3,FALSE),"")</f>
        <v/>
      </c>
      <c r="AX99" s="163" t="str">
        <f t="shared" si="49"/>
        <v/>
      </c>
      <c r="AY99" s="122" t="str">
        <f>IFERROR($M99+VLOOKUP($L99,'Voyage days'!$F$620:$H$646,3,FALSE),"")</f>
        <v/>
      </c>
      <c r="AZ99" s="122" t="str">
        <f>IFERROR($N99+VLOOKUP($L99,'Voyage days'!$F$620:$H$646,3,FALSE),"")</f>
        <v/>
      </c>
      <c r="BA99" s="163" t="str">
        <f t="shared" si="50"/>
        <v/>
      </c>
      <c r="BB99" s="123" t="str">
        <f>IFERROR($M99+VLOOKUP($L99,'Voyage days'!$F$702:$H$727,3,FALSE),"")</f>
        <v/>
      </c>
      <c r="BC99" s="163" t="str">
        <f t="shared" si="51"/>
        <v/>
      </c>
      <c r="BD99" s="122" t="str">
        <f>IFERROR($M99+VLOOKUP($L99,'Voyage days'!$F$807:$H$878,3,FALSE),"")</f>
        <v/>
      </c>
      <c r="BE99" s="122" t="str">
        <f>IFERROR($N99+VLOOKUP($L99,'Voyage days'!$F$807:$H$878,3,FALSE),"")</f>
        <v/>
      </c>
      <c r="BF99" s="609"/>
      <c r="BG99" s="609"/>
      <c r="BH99" s="609"/>
      <c r="BI99" s="609"/>
      <c r="BJ99" s="609"/>
      <c r="BK99" s="609"/>
      <c r="BL99" s="609"/>
      <c r="BM99" s="609"/>
    </row>
    <row r="100" ht="15.75" customHeight="1">
      <c r="A100" s="515" t="s">
        <v>300</v>
      </c>
      <c r="B100" s="231">
        <v>2016.0</v>
      </c>
      <c r="C100" s="1098">
        <v>83000.0</v>
      </c>
      <c r="D100" s="234" t="s">
        <v>1687</v>
      </c>
      <c r="E100" s="233"/>
      <c r="F100" s="1035"/>
      <c r="G100" s="1105">
        <v>45839.0</v>
      </c>
      <c r="H100" s="233"/>
      <c r="I100" s="291" t="s">
        <v>754</v>
      </c>
      <c r="J100" s="291" t="s">
        <v>942</v>
      </c>
      <c r="K100" s="470" t="str">
        <f t="shared" si="52"/>
        <v>Update</v>
      </c>
      <c r="L100" s="687" t="s">
        <v>95</v>
      </c>
      <c r="M100" s="238">
        <v>45806.0</v>
      </c>
      <c r="N100" s="238">
        <v>45817.0</v>
      </c>
      <c r="O100" s="1038"/>
      <c r="P100" s="1106" t="s">
        <v>2986</v>
      </c>
      <c r="Q100" s="235" t="s">
        <v>2987</v>
      </c>
      <c r="R100" s="235" t="s">
        <v>2988</v>
      </c>
      <c r="S100" s="292" t="s">
        <v>934</v>
      </c>
      <c r="T100" s="293">
        <v>45788.0</v>
      </c>
      <c r="U100" s="114" t="str">
        <f>IF(V100="","No AIS",VLOOKUP(V100,'Voyage days'!$A$3:$B$1480,2,FALSE))</f>
        <v>Vietnam + 3</v>
      </c>
      <c r="V100" s="114" t="str">
        <f>IF(VLOOKUP(A100,'1) Kpler'!$E$2:$P$1000,8, FALSE)="","",VLOOKUP(A100,'1) Kpler'!$E$2:$P$1000,8, FALSE))</f>
        <v>PV Vung Tau</v>
      </c>
      <c r="W100" s="159">
        <f>IF(VLOOKUP(A100,'1) Kpler'!$E$2:$P$1000,9,FALSE)="","",VLOOKUP(A100,'1) Kpler'!$E$2:$P$1000,9,FALSE))</f>
        <v>46162.625</v>
      </c>
      <c r="X100" s="114" t="str">
        <f>VLOOKUP(A100,'1) Kpler'!$E$2:$I$1000,4,FALSE)</f>
        <v>loaded</v>
      </c>
      <c r="Y100" s="296" t="str">
        <f t="shared" si="40"/>
        <v/>
      </c>
      <c r="Z100" s="163" t="str">
        <f t="shared" si="41"/>
        <v/>
      </c>
      <c r="AA100" s="122" t="str">
        <f>IFERROR($M100+VLOOKUP($L100,'Voyage days'!$F$38:$H$89,3,FALSE),"")</f>
        <v/>
      </c>
      <c r="AB100" s="122" t="str">
        <f>IFERROR(N100+VLOOKUP($L100,'Voyage days'!$F$38:$H$89,3,FALSE),"")</f>
        <v/>
      </c>
      <c r="AC100" s="163" t="str">
        <f t="shared" si="42"/>
        <v/>
      </c>
      <c r="AD100" s="122" t="str">
        <f>IFERROR($M100+VLOOKUP($L100,'Voyage days'!$F$94:$H$193,3,FALSE),"")</f>
        <v/>
      </c>
      <c r="AE100" s="122" t="str">
        <f>IFERROR($N100+VLOOKUP($L100,'Voyage days'!$F$94:$H$193,3,FALSE),"")</f>
        <v/>
      </c>
      <c r="AF100" s="163" t="str">
        <f t="shared" si="43"/>
        <v/>
      </c>
      <c r="AG100" s="122" t="str">
        <f>IFERROR($M100+VLOOKUP($L100,'Voyage days'!$F$203:$H$256,3,FALSE),"")</f>
        <v/>
      </c>
      <c r="AH100" s="122" t="str">
        <f>IFERROR($N100+VLOOKUP($L100,'Voyage days'!$F$203:$H$256,3,FALSE),"")</f>
        <v/>
      </c>
      <c r="AI100" s="163" t="str">
        <f t="shared" si="44"/>
        <v/>
      </c>
      <c r="AJ100" s="122" t="str">
        <f>IFERROR($M100+VLOOKUP($L100,'Voyage days'!$F$294:$H$377,3,FALSE),"")</f>
        <v/>
      </c>
      <c r="AK100" s="122" t="str">
        <f>IFERROR($N100+VLOOKUP($L100,'Voyage days'!$F$294:$H$377,3,FALSE),"")</f>
        <v/>
      </c>
      <c r="AL100" s="163" t="str">
        <f t="shared" si="45"/>
        <v/>
      </c>
      <c r="AM100" s="122" t="str">
        <f>IFERROR($M100+VLOOKUP($L100,'Voyage days'!$F$382:$H$446,3,FALSE),"")</f>
        <v/>
      </c>
      <c r="AN100" s="122" t="str">
        <f>IFERROR($N100+VLOOKUP($L100,'Voyage days'!$F$382:$H$446,3,FALSE),"")</f>
        <v/>
      </c>
      <c r="AO100" s="163" t="str">
        <f t="shared" si="46"/>
        <v/>
      </c>
      <c r="AP100" s="122" t="str">
        <f>IFERROR($M100+VLOOKUP($L100,'Voyage days'!$F$483:$H$538,3,FALSE),"")</f>
        <v/>
      </c>
      <c r="AQ100" s="122" t="str">
        <f>IFERROR($N100+VLOOKUP($L100,'Voyage days'!$F$483:$H$538,3,FALSE),"")</f>
        <v/>
      </c>
      <c r="AR100" s="163" t="str">
        <f t="shared" si="47"/>
        <v/>
      </c>
      <c r="AS100" s="122" t="str">
        <f>IFERROR($M100+VLOOKUP($L100,'Voyage days'!$F$540:$H$613,3,FALSE),"")</f>
        <v/>
      </c>
      <c r="AT100" s="122" t="str">
        <f>IFERROR($N100+VLOOKUP($L100,'Voyage days'!$F$540:$H$613,3,FALSE),"")</f>
        <v/>
      </c>
      <c r="AU100" s="163" t="str">
        <f t="shared" si="48"/>
        <v/>
      </c>
      <c r="AV100" s="122" t="str">
        <f>IFERROR($M100+VLOOKUP($L100,'Voyage days'!$L$483:$N$535,3,FALSE),"")</f>
        <v/>
      </c>
      <c r="AW100" s="122" t="str">
        <f>IFERROR($N100+VLOOKUP($L100,'Voyage days'!$L$483:$N$535,3,FALSE),"")</f>
        <v/>
      </c>
      <c r="AX100" s="163" t="str">
        <f t="shared" si="49"/>
        <v/>
      </c>
      <c r="AY100" s="122" t="str">
        <f>IFERROR($M100+VLOOKUP($L100,'Voyage days'!$F$620:$H$646,3,FALSE),"")</f>
        <v/>
      </c>
      <c r="AZ100" s="122" t="str">
        <f>IFERROR($N100+VLOOKUP($L100,'Voyage days'!$F$620:$H$646,3,FALSE),"")</f>
        <v/>
      </c>
      <c r="BA100" s="163" t="str">
        <f t="shared" si="50"/>
        <v/>
      </c>
      <c r="BB100" s="123" t="str">
        <f>IFERROR($M100+VLOOKUP($L100,'Voyage days'!$F$702:$H$727,3,FALSE),"")</f>
        <v/>
      </c>
      <c r="BC100" s="163" t="str">
        <f t="shared" si="51"/>
        <v/>
      </c>
      <c r="BD100" s="122" t="str">
        <f>IFERROR($M100+VLOOKUP($L100,'Voyage days'!$F$807:$H$878,3,FALSE),"")</f>
        <v/>
      </c>
      <c r="BE100" s="122" t="str">
        <f>IFERROR($N100+VLOOKUP($L100,'Voyage days'!$F$807:$H$878,3,FALSE),"")</f>
        <v/>
      </c>
      <c r="BF100" s="609"/>
      <c r="BG100" s="609"/>
      <c r="BH100" s="609"/>
      <c r="BI100" s="609"/>
      <c r="BJ100" s="609"/>
      <c r="BK100" s="609"/>
      <c r="BL100" s="609"/>
      <c r="BM100" s="609"/>
    </row>
    <row r="101" ht="15.75" customHeight="1">
      <c r="A101" s="147" t="s">
        <v>329</v>
      </c>
      <c r="B101" s="148">
        <v>2017.0</v>
      </c>
      <c r="C101" s="1045">
        <v>84000.0</v>
      </c>
      <c r="D101" s="104" t="s">
        <v>2964</v>
      </c>
      <c r="E101" s="103"/>
      <c r="F101" s="604">
        <v>43971.0</v>
      </c>
      <c r="G101" s="605">
        <v>46569.0</v>
      </c>
      <c r="H101" s="103"/>
      <c r="I101" s="185" t="s">
        <v>754</v>
      </c>
      <c r="J101" s="111" t="s">
        <v>1326</v>
      </c>
      <c r="K101" s="336" t="str">
        <f t="shared" si="52"/>
        <v>NO AIS</v>
      </c>
      <c r="L101" s="108" t="s">
        <v>680</v>
      </c>
      <c r="M101" s="109">
        <v>45800.0</v>
      </c>
      <c r="N101" s="109">
        <v>45801.0</v>
      </c>
      <c r="O101" s="334"/>
      <c r="P101" s="1094"/>
      <c r="Q101" s="185"/>
      <c r="R101" s="108" t="s">
        <v>2989</v>
      </c>
      <c r="S101" s="331" t="s">
        <v>934</v>
      </c>
      <c r="T101" s="113">
        <v>45774.0</v>
      </c>
      <c r="U101" s="114" t="str">
        <f>IF(V101="","No AIS",VLOOKUP(V101,'Voyage days'!$A$3:$B$1480,2,FALSE))</f>
        <v>No AIS</v>
      </c>
      <c r="V101" s="115" t="str">
        <f>IF(VLOOKUP(A101,'1) Kpler'!$E$2:$P$1000,8, FALSE)="","",VLOOKUP(A101,'1) Kpler'!$E$2:$P$1000,8, FALSE))</f>
        <v/>
      </c>
      <c r="W101" s="116" t="str">
        <f>IF(VLOOKUP(A101,'1) Kpler'!$E$2:$P$1000,9,FALSE)="","",VLOOKUP(A101,'1) Kpler'!$E$2:$P$1000,9,FALSE))</f>
        <v/>
      </c>
      <c r="X101" s="115" t="str">
        <f>VLOOKUP(A101,'1) Kpler'!$E$2:$I$1000,4,FALSE)</f>
        <v>ballast</v>
      </c>
      <c r="Y101" s="160" t="str">
        <f t="shared" si="40"/>
        <v/>
      </c>
      <c r="Z101" s="120" t="str">
        <f t="shared" si="41"/>
        <v/>
      </c>
      <c r="AA101" s="121" t="str">
        <f>IFERROR($M101+VLOOKUP($L101,'Voyage days'!$F$38:$H$89,3,FALSE),"")</f>
        <v/>
      </c>
      <c r="AB101" s="121" t="str">
        <f>IFERROR(N101+VLOOKUP($L101,'Voyage days'!$F$38:$H$89,3,FALSE),"")</f>
        <v/>
      </c>
      <c r="AC101" s="120" t="str">
        <f t="shared" si="42"/>
        <v>23-24 May</v>
      </c>
      <c r="AD101" s="121">
        <f>IFERROR($M101+VLOOKUP($L101,'Voyage days'!$F$94:$H$193,3,FALSE),"")</f>
        <v>45800</v>
      </c>
      <c r="AE101" s="121">
        <f>IFERROR($N101+VLOOKUP($L101,'Voyage days'!$F$94:$H$193,3,FALSE),"")</f>
        <v>45801</v>
      </c>
      <c r="AF101" s="120" t="str">
        <f t="shared" si="43"/>
        <v>23-24 May</v>
      </c>
      <c r="AG101" s="121">
        <f>IFERROR($M101+VLOOKUP($L101,'Voyage days'!$F$203:$H$256,3,FALSE),"")</f>
        <v>45800</v>
      </c>
      <c r="AH101" s="121">
        <f>IFERROR($N101+VLOOKUP($L101,'Voyage days'!$F$203:$H$256,3,FALSE),"")</f>
        <v>45801</v>
      </c>
      <c r="AI101" s="120" t="str">
        <f t="shared" si="44"/>
        <v/>
      </c>
      <c r="AJ101" s="121" t="str">
        <f>IFERROR($M101+VLOOKUP($L101,'Voyage days'!$F$294:$H$377,3,FALSE),"")</f>
        <v/>
      </c>
      <c r="AK101" s="121" t="str">
        <f>IFERROR($N101+VLOOKUP($L101,'Voyage days'!$F$294:$H$377,3,FALSE),"")</f>
        <v/>
      </c>
      <c r="AL101" s="120" t="str">
        <f t="shared" si="45"/>
        <v>12-13 Jun</v>
      </c>
      <c r="AM101" s="121">
        <f>IFERROR($M101+VLOOKUP($L101,'Voyage days'!$F$382:$H$446,3,FALSE),"")</f>
        <v>45820</v>
      </c>
      <c r="AN101" s="121">
        <f>IFERROR($N101+VLOOKUP($L101,'Voyage days'!$F$382:$H$446,3,FALSE),"")</f>
        <v>45821</v>
      </c>
      <c r="AO101" s="120" t="str">
        <f t="shared" si="46"/>
        <v/>
      </c>
      <c r="AP101" s="121" t="str">
        <f>IFERROR($M101+VLOOKUP($L101,'Voyage days'!$F$483:$H$538,3,FALSE),"")</f>
        <v/>
      </c>
      <c r="AQ101" s="121" t="str">
        <f>IFERROR($N101+VLOOKUP($L101,'Voyage days'!$F$483:$H$538,3,FALSE),"")</f>
        <v/>
      </c>
      <c r="AR101" s="120" t="str">
        <f t="shared" si="47"/>
        <v/>
      </c>
      <c r="AS101" s="121" t="str">
        <f>IFERROR($M101+VLOOKUP($L101,'Voyage days'!$F$540:$H$613,3,FALSE),"")</f>
        <v/>
      </c>
      <c r="AT101" s="121" t="str">
        <f>IFERROR($N101+VLOOKUP($L101,'Voyage days'!$F$540:$H$613,3,FALSE),"")</f>
        <v/>
      </c>
      <c r="AU101" s="120" t="str">
        <f t="shared" si="48"/>
        <v/>
      </c>
      <c r="AV101" s="121" t="str">
        <f>IFERROR($M101+VLOOKUP($L101,'Voyage days'!$L$483:$N$535,3,FALSE),"")</f>
        <v/>
      </c>
      <c r="AW101" s="121" t="str">
        <f>IFERROR($N101+VLOOKUP($L101,'Voyage days'!$L$483:$N$535,3,FALSE),"")</f>
        <v/>
      </c>
      <c r="AX101" s="120" t="str">
        <f t="shared" si="49"/>
        <v/>
      </c>
      <c r="AY101" s="122" t="str">
        <f>IFERROR($M101+VLOOKUP($L101,'Voyage days'!$F$620:$H$646,3,FALSE),"")</f>
        <v/>
      </c>
      <c r="AZ101" s="122" t="str">
        <f>IFERROR($N101+VLOOKUP($L101,'Voyage days'!$F$620:$H$646,3,FALSE),"")</f>
        <v/>
      </c>
      <c r="BA101" s="120" t="str">
        <f t="shared" si="50"/>
        <v/>
      </c>
      <c r="BB101" s="123" t="str">
        <f>IFERROR($M101+VLOOKUP($L101,'Voyage days'!$F$702:$H$727,3,FALSE),"")</f>
        <v/>
      </c>
      <c r="BC101" s="120" t="str">
        <f t="shared" si="51"/>
        <v/>
      </c>
      <c r="BD101" s="122" t="str">
        <f>IFERROR($M101+VLOOKUP($L101,'Voyage days'!$F$807:$H$878,3,FALSE),"")</f>
        <v/>
      </c>
      <c r="BE101" s="122" t="str">
        <f>IFERROR($N101+VLOOKUP($L101,'Voyage days'!$F$807:$H$878,3,FALSE),"")</f>
        <v/>
      </c>
      <c r="BF101" s="609"/>
      <c r="BG101" s="609"/>
      <c r="BH101" s="609"/>
      <c r="BI101" s="609"/>
      <c r="BJ101" s="609"/>
      <c r="BK101" s="609"/>
      <c r="BL101" s="609"/>
      <c r="BM101" s="609"/>
    </row>
    <row r="102" ht="15.75" customHeight="1">
      <c r="A102" s="674" t="s">
        <v>2990</v>
      </c>
      <c r="B102" s="165">
        <v>41393.0</v>
      </c>
      <c r="C102" s="1101">
        <v>82000.0</v>
      </c>
      <c r="D102" s="168" t="s">
        <v>1687</v>
      </c>
      <c r="E102" s="223" t="s">
        <v>689</v>
      </c>
      <c r="F102" s="1010"/>
      <c r="G102" s="1011">
        <v>46143.0</v>
      </c>
      <c r="H102" s="223"/>
      <c r="I102" s="463" t="s">
        <v>754</v>
      </c>
      <c r="J102" s="312" t="s">
        <v>1080</v>
      </c>
      <c r="K102" s="469" t="str">
        <f t="shared" si="52"/>
        <v>#N/A</v>
      </c>
      <c r="L102" s="172" t="s">
        <v>663</v>
      </c>
      <c r="M102" s="173">
        <v>45799.0</v>
      </c>
      <c r="N102" s="173">
        <v>45800.0</v>
      </c>
      <c r="O102" s="433"/>
      <c r="P102" s="1102" t="s">
        <v>2991</v>
      </c>
      <c r="Q102" s="463" t="s">
        <v>2992</v>
      </c>
      <c r="R102" s="172"/>
      <c r="S102" s="175" t="s">
        <v>2993</v>
      </c>
      <c r="T102" s="176">
        <v>45785.0</v>
      </c>
      <c r="U102" s="177" t="str">
        <f>IF(V102="","No AIS",VLOOKUP(V102,'Voyage days'!$A$3:$B$1480,2,FALSE))</f>
        <v>#N/A</v>
      </c>
      <c r="V102" s="178" t="str">
        <f>IF(VLOOKUP(A102,'1) Kpler'!$E$2:$P$1000,8, FALSE)="","",VLOOKUP(A102,'1) Kpler'!$E$2:$P$1000,8, FALSE))</f>
        <v>#N/A</v>
      </c>
      <c r="W102" s="179" t="str">
        <f>IF(VLOOKUP(A102,'1) Kpler'!$E$2:$P$1000,9,FALSE)="","",VLOOKUP(A102,'1) Kpler'!$E$2:$P$1000,9,FALSE))</f>
        <v>#N/A</v>
      </c>
      <c r="X102" s="178" t="str">
        <f>VLOOKUP(A102,'1) Kpler'!$E$2:$I$1000,4,FALSE)</f>
        <v>#N/A</v>
      </c>
      <c r="Y102" s="120" t="str">
        <f t="shared" si="40"/>
        <v>08-09 Jun</v>
      </c>
      <c r="Z102" s="120" t="str">
        <f t="shared" si="41"/>
        <v>08-09 Jun</v>
      </c>
      <c r="AA102" s="121">
        <f>IFERROR($M102+VLOOKUP($L102,'Voyage days'!$F$38:$H$89,3,FALSE),"")</f>
        <v>45816</v>
      </c>
      <c r="AB102" s="121">
        <f>IFERROR(N102+VLOOKUP($L102,'Voyage days'!$F$38:$H$89,3,FALSE),"")</f>
        <v>45817</v>
      </c>
      <c r="AC102" s="120" t="str">
        <f t="shared" si="42"/>
        <v>24-25 Jun</v>
      </c>
      <c r="AD102" s="121">
        <f>IFERROR($M102+VLOOKUP($L102,'Voyage days'!$F$94:$H$193,3,FALSE),"")</f>
        <v>45832</v>
      </c>
      <c r="AE102" s="121">
        <f>IFERROR($N102+VLOOKUP($L102,'Voyage days'!$F$94:$H$193,3,FALSE),"")</f>
        <v>45833</v>
      </c>
      <c r="AF102" s="120" t="str">
        <f t="shared" si="43"/>
        <v>05-06 Jul</v>
      </c>
      <c r="AG102" s="121">
        <f>IFERROR($M102+VLOOKUP($L102,'Voyage days'!$F$203:$H$256,3,FALSE),"")</f>
        <v>45843</v>
      </c>
      <c r="AH102" s="121">
        <f>IFERROR($N102+VLOOKUP($L102,'Voyage days'!$F$203:$H$256,3,FALSE),"")</f>
        <v>45844</v>
      </c>
      <c r="AI102" s="120" t="str">
        <f t="shared" si="44"/>
        <v>19-20 Jun</v>
      </c>
      <c r="AJ102" s="121">
        <f>IFERROR($M102+VLOOKUP($L102,'Voyage days'!$F$294:$H$377,3,FALSE),"")</f>
        <v>45827</v>
      </c>
      <c r="AK102" s="121">
        <f>IFERROR($N102+VLOOKUP($L102,'Voyage days'!$F$294:$H$377,3,FALSE),"")</f>
        <v>45828</v>
      </c>
      <c r="AL102" s="120" t="str">
        <f t="shared" si="45"/>
        <v>26-27 Jun</v>
      </c>
      <c r="AM102" s="121">
        <f>IFERROR($M102+VLOOKUP($L102,'Voyage days'!$F$382:$H$446,3,FALSE),"")</f>
        <v>45834</v>
      </c>
      <c r="AN102" s="121">
        <f>IFERROR($N102+VLOOKUP($L102,'Voyage days'!$F$382:$H$446,3,FALSE),"")</f>
        <v>45835</v>
      </c>
      <c r="AO102" s="120" t="str">
        <f t="shared" si="46"/>
        <v>05-06 Jun</v>
      </c>
      <c r="AP102" s="121">
        <f>IFERROR($M102+VLOOKUP($L102,'Voyage days'!$F$483:$H$538,3,FALSE),"")</f>
        <v>45813</v>
      </c>
      <c r="AQ102" s="121">
        <f>IFERROR($N102+VLOOKUP($L102,'Voyage days'!$F$483:$H$538,3,FALSE),"")</f>
        <v>45814</v>
      </c>
      <c r="AR102" s="120" t="str">
        <f t="shared" si="47"/>
        <v>29-30 May</v>
      </c>
      <c r="AS102" s="121">
        <f>IFERROR($M102+VLOOKUP($L102,'Voyage days'!$F$540:$H$613,3,FALSE),"")</f>
        <v>45806.25</v>
      </c>
      <c r="AT102" s="121">
        <f>IFERROR($N102+VLOOKUP($L102,'Voyage days'!$F$540:$H$613,3,FALSE),"")</f>
        <v>45807.25</v>
      </c>
      <c r="AU102" s="120" t="str">
        <f t="shared" si="48"/>
        <v/>
      </c>
      <c r="AV102" s="121" t="str">
        <f>IFERROR($M102+VLOOKUP($L102,'Voyage days'!$L$483:$N$535,3,FALSE),"")</f>
        <v/>
      </c>
      <c r="AW102" s="121" t="str">
        <f>IFERROR($N102+VLOOKUP($L102,'Voyage days'!$L$483:$N$535,3,FALSE),"")</f>
        <v/>
      </c>
      <c r="AX102" s="120" t="str">
        <f t="shared" si="49"/>
        <v>04-05 Jun</v>
      </c>
      <c r="AY102" s="122">
        <f>IFERROR($M102+VLOOKUP($L102,'Voyage days'!$F$620:$H$646,3,FALSE),"")</f>
        <v>45812</v>
      </c>
      <c r="AZ102" s="122">
        <f>IFERROR($N102+VLOOKUP($L102,'Voyage days'!$F$620:$H$646,3,FALSE),"")</f>
        <v>45813</v>
      </c>
      <c r="BA102" s="120" t="str">
        <f t="shared" si="50"/>
        <v>29-06 Jul</v>
      </c>
      <c r="BB102" s="123">
        <f>IFERROR($M102+VLOOKUP($L102,'Voyage days'!$F$702:$H$727,3,FALSE),"")</f>
        <v>45806.25</v>
      </c>
      <c r="BC102" s="120" t="str">
        <f t="shared" si="51"/>
        <v>05-06 Jul</v>
      </c>
      <c r="BD102" s="122">
        <f>IFERROR($M102+VLOOKUP($L102,'Voyage days'!$F$807:$H$878,3,FALSE),"")</f>
        <v>45843</v>
      </c>
      <c r="BE102" s="122">
        <f>IFERROR($N102+VLOOKUP($L102,'Voyage days'!$F$807:$H$878,3,FALSE),"")</f>
        <v>45844</v>
      </c>
      <c r="BF102" s="609"/>
      <c r="BG102" s="609"/>
      <c r="BH102" s="609"/>
      <c r="BI102" s="609"/>
      <c r="BJ102" s="609"/>
      <c r="BK102" s="609"/>
      <c r="BL102" s="609"/>
      <c r="BM102" s="609"/>
    </row>
    <row r="103" ht="15.75" customHeight="1">
      <c r="A103" s="147" t="s">
        <v>84</v>
      </c>
      <c r="B103" s="148">
        <v>2024.0</v>
      </c>
      <c r="C103" s="1045">
        <v>91000.0</v>
      </c>
      <c r="D103" s="150" t="s">
        <v>1687</v>
      </c>
      <c r="E103" s="149" t="s">
        <v>666</v>
      </c>
      <c r="F103" s="1014"/>
      <c r="G103" s="1015"/>
      <c r="H103" s="149"/>
      <c r="I103" s="611" t="s">
        <v>761</v>
      </c>
      <c r="J103" s="536"/>
      <c r="K103" s="470" t="str">
        <f t="shared" si="52"/>
        <v>Update</v>
      </c>
      <c r="L103" s="153" t="s">
        <v>773</v>
      </c>
      <c r="M103" s="276">
        <v>45793.0</v>
      </c>
      <c r="N103" s="276">
        <v>45795.0</v>
      </c>
      <c r="O103" s="431"/>
      <c r="P103" s="1091" t="s">
        <v>2994</v>
      </c>
      <c r="Q103" s="157" t="s">
        <v>2995</v>
      </c>
      <c r="R103" s="153"/>
      <c r="S103" s="256" t="s">
        <v>33</v>
      </c>
      <c r="T103" s="293">
        <v>45781.0</v>
      </c>
      <c r="U103" s="114" t="str">
        <f>IF(V103="","No AIS",VLOOKUP(V103,'Voyage days'!$A$3:$B$1480,2,FALSE))</f>
        <v>USG</v>
      </c>
      <c r="V103" s="114" t="str">
        <f>IF(VLOOKUP(A103,'1) Kpler'!$E$2:$P$1000,8, FALSE)="","",VLOOKUP(A103,'1) Kpler'!$E$2:$P$1000,8, FALSE))</f>
        <v>Energy Transfer Nederland</v>
      </c>
      <c r="W103" s="159">
        <f>IF(VLOOKUP(A103,'1) Kpler'!$E$2:$P$1000,9,FALSE)="","",VLOOKUP(A103,'1) Kpler'!$E$2:$P$1000,9,FALSE))</f>
        <v>46143.66667</v>
      </c>
      <c r="X103" s="114" t="str">
        <f>VLOOKUP(A103,'1) Kpler'!$E$2:$I$1000,4,FALSE)</f>
        <v>ballast</v>
      </c>
      <c r="Y103" s="296" t="str">
        <f t="shared" si="40"/>
        <v/>
      </c>
      <c r="Z103" s="163" t="str">
        <f t="shared" si="41"/>
        <v/>
      </c>
      <c r="AA103" s="122" t="str">
        <f>IFERROR($M103+VLOOKUP($L103,'Voyage days'!$F$38:$H$89,3,FALSE),"")</f>
        <v/>
      </c>
      <c r="AB103" s="122" t="str">
        <f>IFERROR(N103+VLOOKUP($L103,'Voyage days'!$F$38:$H$89,3,FALSE),"")</f>
        <v/>
      </c>
      <c r="AC103" s="163" t="str">
        <f t="shared" si="42"/>
        <v>30-01 Jun</v>
      </c>
      <c r="AD103" s="122">
        <f>IFERROR($M103+VLOOKUP($L103,'Voyage days'!$F$94:$H$193,3,FALSE),"")</f>
        <v>45807</v>
      </c>
      <c r="AE103" s="122">
        <f>IFERROR($N103+VLOOKUP($L103,'Voyage days'!$F$94:$H$193,3,FALSE),"")</f>
        <v>45809</v>
      </c>
      <c r="AF103" s="163" t="str">
        <f t="shared" si="43"/>
        <v>31-02 Jun</v>
      </c>
      <c r="AG103" s="122">
        <f>IFERROR($M103+VLOOKUP($L103,'Voyage days'!$F$203:$H$256,3,FALSE),"")</f>
        <v>45808</v>
      </c>
      <c r="AH103" s="122">
        <f>IFERROR($N103+VLOOKUP($L103,'Voyage days'!$F$203:$H$256,3,FALSE),"")</f>
        <v>45810</v>
      </c>
      <c r="AI103" s="163" t="str">
        <f t="shared" si="44"/>
        <v>27-29 May</v>
      </c>
      <c r="AJ103" s="122">
        <f>IFERROR($M103+VLOOKUP($L103,'Voyage days'!$F$294:$H$377,3,FALSE),"")</f>
        <v>45804</v>
      </c>
      <c r="AK103" s="122">
        <f>IFERROR($N103+VLOOKUP($L103,'Voyage days'!$F$294:$H$377,3,FALSE),"")</f>
        <v>45806</v>
      </c>
      <c r="AL103" s="163" t="str">
        <f t="shared" si="45"/>
        <v>18-20 May</v>
      </c>
      <c r="AM103" s="122">
        <f>IFERROR($M103+VLOOKUP($L103,'Voyage days'!$F$382:$H$446,3,FALSE),"")</f>
        <v>45795</v>
      </c>
      <c r="AN103" s="122">
        <f>IFERROR($N103+VLOOKUP($L103,'Voyage days'!$F$382:$H$446,3,FALSE),"")</f>
        <v>45797</v>
      </c>
      <c r="AO103" s="163" t="str">
        <f t="shared" si="46"/>
        <v/>
      </c>
      <c r="AP103" s="122" t="str">
        <f>IFERROR($M103+VLOOKUP($L103,'Voyage days'!$F$483:$H$538,3,FALSE),"")</f>
        <v/>
      </c>
      <c r="AQ103" s="122" t="str">
        <f>IFERROR($N103+VLOOKUP($L103,'Voyage days'!$F$483:$H$538,3,FALSE),"")</f>
        <v/>
      </c>
      <c r="AR103" s="163" t="str">
        <f t="shared" si="47"/>
        <v/>
      </c>
      <c r="AS103" s="122" t="str">
        <f>IFERROR($M103+VLOOKUP($L103,'Voyage days'!$F$540:$H$613,3,FALSE),"")</f>
        <v/>
      </c>
      <c r="AT103" s="122" t="str">
        <f>IFERROR($N103+VLOOKUP($L103,'Voyage days'!$F$540:$H$613,3,FALSE),"")</f>
        <v/>
      </c>
      <c r="AU103" s="163" t="str">
        <f t="shared" si="48"/>
        <v/>
      </c>
      <c r="AV103" s="122" t="str">
        <f>IFERROR($M103+VLOOKUP($L103,'Voyage days'!$L$483:$N$535,3,FALSE),"")</f>
        <v/>
      </c>
      <c r="AW103" s="122" t="str">
        <f>IFERROR($N103+VLOOKUP($L103,'Voyage days'!$L$483:$N$535,3,FALSE),"")</f>
        <v/>
      </c>
      <c r="AX103" s="163" t="str">
        <f t="shared" si="49"/>
        <v/>
      </c>
      <c r="AY103" s="122" t="str">
        <f>IFERROR($M103+VLOOKUP($L103,'Voyage days'!$F$620:$H$646,3,FALSE),"")</f>
        <v/>
      </c>
      <c r="AZ103" s="122" t="str">
        <f>IFERROR($N103+VLOOKUP($L103,'Voyage days'!$F$620:$H$646,3,FALSE),"")</f>
        <v/>
      </c>
      <c r="BA103" s="163" t="str">
        <f t="shared" si="50"/>
        <v/>
      </c>
      <c r="BB103" s="123" t="str">
        <f>IFERROR($M103+VLOOKUP($L103,'Voyage days'!$F$702:$H$727,3,FALSE),"")</f>
        <v/>
      </c>
      <c r="BC103" s="163" t="str">
        <f t="shared" si="51"/>
        <v>30-01 Jun</v>
      </c>
      <c r="BD103" s="122">
        <f>IFERROR($M103+VLOOKUP($L103,'Voyage days'!$F$807:$H$878,3,FALSE),"")</f>
        <v>45807</v>
      </c>
      <c r="BE103" s="122">
        <f>IFERROR($N103+VLOOKUP($L103,'Voyage days'!$F$807:$H$878,3,FALSE),"")</f>
        <v>45809</v>
      </c>
      <c r="BF103" s="609"/>
      <c r="BG103" s="609"/>
      <c r="BH103" s="609"/>
      <c r="BI103" s="609"/>
      <c r="BJ103" s="609"/>
      <c r="BK103" s="609"/>
      <c r="BL103" s="609"/>
      <c r="BM103" s="609"/>
    </row>
    <row r="104">
      <c r="A104" s="147" t="s">
        <v>2996</v>
      </c>
      <c r="B104" s="101">
        <v>39479.0</v>
      </c>
      <c r="C104" s="1045">
        <v>82383.0</v>
      </c>
      <c r="D104" s="192" t="s">
        <v>2997</v>
      </c>
      <c r="E104" s="103" t="s">
        <v>689</v>
      </c>
      <c r="F104" s="604"/>
      <c r="G104" s="103" t="s">
        <v>1611</v>
      </c>
      <c r="H104" s="604"/>
      <c r="I104" s="299" t="s">
        <v>761</v>
      </c>
      <c r="J104" s="111" t="s">
        <v>2935</v>
      </c>
      <c r="K104" s="336" t="str">
        <f t="shared" si="52"/>
        <v>#N/A</v>
      </c>
      <c r="L104" s="185" t="s">
        <v>745</v>
      </c>
      <c r="M104" s="109">
        <v>45792.0</v>
      </c>
      <c r="N104" s="109">
        <v>45797.0</v>
      </c>
      <c r="O104" s="110"/>
      <c r="P104" s="104" t="s">
        <v>2998</v>
      </c>
      <c r="Q104" s="185"/>
      <c r="R104" s="185" t="s">
        <v>2999</v>
      </c>
      <c r="S104" s="112" t="s">
        <v>934</v>
      </c>
      <c r="T104" s="113">
        <v>45788.0</v>
      </c>
      <c r="U104" s="114" t="str">
        <f>IF(V104="","No AIS",VLOOKUP(V104,'Voyage days'!$A$3:$B$1480,2,FALSE))</f>
        <v>#N/A</v>
      </c>
      <c r="V104" s="115" t="str">
        <f>IF(VLOOKUP(A104,'1) Kpler'!$E$2:$P$1000,8, FALSE)="","",VLOOKUP(A104,'1) Kpler'!$E$2:$P$1000,8, FALSE))</f>
        <v>#N/A</v>
      </c>
      <c r="W104" s="116" t="str">
        <f>IF(VLOOKUP(A104,'1) Kpler'!$E$2:$P$1000,9,FALSE)="","",VLOOKUP(A104,'1) Kpler'!$E$2:$P$1000,9,FALSE))</f>
        <v>#N/A</v>
      </c>
      <c r="X104" s="115" t="str">
        <f>VLOOKUP(A104,'1) Kpler'!$E$2:$I$1000,4,FALSE)</f>
        <v>#N/A</v>
      </c>
      <c r="Y104" s="160" t="str">
        <f t="shared" si="40"/>
        <v>24-29 May</v>
      </c>
      <c r="Z104" s="120" t="str">
        <f t="shared" si="41"/>
        <v>24-29 May</v>
      </c>
      <c r="AA104" s="121">
        <f>IFERROR($M104+VLOOKUP($L104,'Voyage days'!$F$38:$H$89,3,FALSE),"")</f>
        <v>45801</v>
      </c>
      <c r="AB104" s="121">
        <f>IFERROR(N104+VLOOKUP($L104,'Voyage days'!$F$38:$H$89,3,FALSE),"")</f>
        <v>45806</v>
      </c>
      <c r="AC104" s="120" t="str">
        <f t="shared" si="42"/>
        <v>02-07 Jun</v>
      </c>
      <c r="AD104" s="121">
        <f>IFERROR($M104+VLOOKUP($L104,'Voyage days'!$F$94:$H$193,3,FALSE),"")</f>
        <v>45810</v>
      </c>
      <c r="AE104" s="121">
        <f>IFERROR($N104+VLOOKUP($L104,'Voyage days'!$F$94:$H$193,3,FALSE),"")</f>
        <v>45815</v>
      </c>
      <c r="AF104" s="120" t="str">
        <f t="shared" si="43"/>
        <v>05-10 Jun</v>
      </c>
      <c r="AG104" s="121">
        <f>IFERROR($M104+VLOOKUP($L104,'Voyage days'!$F$203:$H$256,3,FALSE),"")</f>
        <v>45813</v>
      </c>
      <c r="AH104" s="121">
        <f>IFERROR($N104+VLOOKUP($L104,'Voyage days'!$F$203:$H$256,3,FALSE),"")</f>
        <v>45818</v>
      </c>
      <c r="AI104" s="120" t="str">
        <f t="shared" si="44"/>
        <v>30-04 Jun</v>
      </c>
      <c r="AJ104" s="121">
        <f>IFERROR($M104+VLOOKUP($L104,'Voyage days'!$F$294:$H$377,3,FALSE),"")</f>
        <v>45807</v>
      </c>
      <c r="AK104" s="121">
        <f>IFERROR($N104+VLOOKUP($L104,'Voyage days'!$F$294:$H$377,3,FALSE),"")</f>
        <v>45812</v>
      </c>
      <c r="AL104" s="120" t="str">
        <f t="shared" si="45"/>
        <v>23-28 May</v>
      </c>
      <c r="AM104" s="121">
        <f>IFERROR($M104+VLOOKUP($L104,'Voyage days'!$F$382:$H$446,3,FALSE),"")</f>
        <v>45800</v>
      </c>
      <c r="AN104" s="121">
        <f>IFERROR($N104+VLOOKUP($L104,'Voyage days'!$F$382:$H$446,3,FALSE),"")</f>
        <v>45805</v>
      </c>
      <c r="AO104" s="120" t="str">
        <f t="shared" si="46"/>
        <v/>
      </c>
      <c r="AP104" s="121" t="str">
        <f>IFERROR($M104+VLOOKUP($L104,'Voyage days'!$F$483:$H$538,3,FALSE),"")</f>
        <v/>
      </c>
      <c r="AQ104" s="121" t="str">
        <f>IFERROR($N104+VLOOKUP($L104,'Voyage days'!$F$483:$H$538,3,FALSE),"")</f>
        <v/>
      </c>
      <c r="AR104" s="120" t="str">
        <f t="shared" si="47"/>
        <v/>
      </c>
      <c r="AS104" s="121" t="str">
        <f>IFERROR($M104+VLOOKUP($L104,'Voyage days'!$F$540:$H$613,3,FALSE),"")</f>
        <v/>
      </c>
      <c r="AT104" s="121" t="str">
        <f>IFERROR($N104+VLOOKUP($L104,'Voyage days'!$F$540:$H$613,3,FALSE),"")</f>
        <v/>
      </c>
      <c r="AU104" s="120" t="str">
        <f t="shared" si="48"/>
        <v/>
      </c>
      <c r="AV104" s="121" t="str">
        <f>IFERROR($M104+VLOOKUP($L104,'Voyage days'!$L$483:$N$535,3,FALSE),"")</f>
        <v/>
      </c>
      <c r="AW104" s="121" t="str">
        <f>IFERROR($N104+VLOOKUP($L104,'Voyage days'!$L$483:$N$535,3,FALSE),"")</f>
        <v/>
      </c>
      <c r="AX104" s="120" t="str">
        <f t="shared" si="49"/>
        <v/>
      </c>
      <c r="AY104" s="122" t="str">
        <f>IFERROR($M104+VLOOKUP($L104,'Voyage days'!$F$620:$H$646,3,FALSE),"")</f>
        <v/>
      </c>
      <c r="AZ104" s="122" t="str">
        <f>IFERROR($N104+VLOOKUP($L104,'Voyage days'!$F$620:$H$646,3,FALSE),"")</f>
        <v/>
      </c>
      <c r="BA104" s="120" t="str">
        <f t="shared" si="50"/>
        <v/>
      </c>
      <c r="BB104" s="123" t="str">
        <f>IFERROR($M104+VLOOKUP($L104,'Voyage days'!$F$702:$H$727,3,FALSE),"")</f>
        <v/>
      </c>
      <c r="BC104" s="120" t="str">
        <f t="shared" si="51"/>
        <v>16-21 May</v>
      </c>
      <c r="BD104" s="122">
        <f>IFERROR($M104+VLOOKUP($L104,'Voyage days'!$F$807:$H$878,3,FALSE),"")</f>
        <v>45793.5</v>
      </c>
      <c r="BE104" s="122">
        <f>IFERROR($N104+VLOOKUP($L104,'Voyage days'!$F$807:$H$878,3,FALSE),"")</f>
        <v>45798.5</v>
      </c>
      <c r="BF104" s="609"/>
      <c r="BG104" s="609"/>
      <c r="BH104" s="609"/>
      <c r="BI104" s="609"/>
      <c r="BJ104" s="609"/>
      <c r="BK104" s="609"/>
      <c r="BL104" s="609"/>
      <c r="BM104" s="609"/>
    </row>
    <row r="105">
      <c r="A105" s="80" t="s">
        <v>161</v>
      </c>
      <c r="B105" s="101">
        <v>42353.0</v>
      </c>
      <c r="C105" s="1045">
        <v>84000.0</v>
      </c>
      <c r="D105" s="104" t="s">
        <v>1687</v>
      </c>
      <c r="E105" s="103" t="s">
        <v>689</v>
      </c>
      <c r="F105" s="604">
        <v>44166.0</v>
      </c>
      <c r="G105" s="605">
        <v>45809.0</v>
      </c>
      <c r="H105" s="103"/>
      <c r="I105" s="299" t="s">
        <v>761</v>
      </c>
      <c r="J105" s="111" t="s">
        <v>2945</v>
      </c>
      <c r="K105" s="336" t="str">
        <f t="shared" si="52"/>
        <v>Update</v>
      </c>
      <c r="L105" s="108" t="s">
        <v>680</v>
      </c>
      <c r="M105" s="109">
        <v>45794.0</v>
      </c>
      <c r="N105" s="109">
        <v>45795.0</v>
      </c>
      <c r="O105" s="110"/>
      <c r="P105" s="196"/>
      <c r="Q105" s="333"/>
      <c r="R105" s="185"/>
      <c r="S105" s="256" t="s">
        <v>33</v>
      </c>
      <c r="T105" s="293">
        <v>45781.0</v>
      </c>
      <c r="U105" s="114" t="str">
        <f>IF(V105="","No AIS",VLOOKUP(V105,'Voyage days'!$A$3:$B$1480,2,FALSE))</f>
        <v>East Med</v>
      </c>
      <c r="V105" s="115" t="str">
        <f>IF(VLOOKUP(A105,'1) Kpler'!$E$2:$P$1000,8, FALSE)="","",VLOOKUP(A105,'1) Kpler'!$E$2:$P$1000,8, FALSE))</f>
        <v>Valletta</v>
      </c>
      <c r="W105" s="116">
        <f>IF(VLOOKUP(A105,'1) Kpler'!$E$2:$P$1000,9,FALSE)="","",VLOOKUP(A105,'1) Kpler'!$E$2:$P$1000,9,FALSE))</f>
        <v>46136.875</v>
      </c>
      <c r="X105" s="115" t="str">
        <f>VLOOKUP(A105,'1) Kpler'!$E$2:$I$1000,4,FALSE)</f>
        <v>loaded</v>
      </c>
      <c r="Y105" s="117" t="str">
        <f t="shared" si="40"/>
        <v/>
      </c>
      <c r="Z105" s="120" t="str">
        <f t="shared" si="41"/>
        <v/>
      </c>
      <c r="AA105" s="121" t="str">
        <f>IFERROR($M105+VLOOKUP($L105,'Voyage days'!$F$38:$H$89,3,FALSE),"")</f>
        <v/>
      </c>
      <c r="AB105" s="121" t="str">
        <f>IFERROR(N105+VLOOKUP($L105,'Voyage days'!$F$38:$H$89,3,FALSE),"")</f>
        <v/>
      </c>
      <c r="AC105" s="120" t="str">
        <f t="shared" si="42"/>
        <v>17-18 May</v>
      </c>
      <c r="AD105" s="121">
        <f>IFERROR($M105+VLOOKUP($L105,'Voyage days'!$F$94:$H$193,3,FALSE),"")</f>
        <v>45794</v>
      </c>
      <c r="AE105" s="121">
        <f>IFERROR($N105+VLOOKUP($L105,'Voyage days'!$F$94:$H$193,3,FALSE),"")</f>
        <v>45795</v>
      </c>
      <c r="AF105" s="120" t="str">
        <f t="shared" si="43"/>
        <v>17-18 May</v>
      </c>
      <c r="AG105" s="121">
        <f>IFERROR($M105+VLOOKUP($L105,'Voyage days'!$F$203:$H$256,3,FALSE),"")</f>
        <v>45794</v>
      </c>
      <c r="AH105" s="121">
        <f>IFERROR($N105+VLOOKUP($L105,'Voyage days'!$F$203:$H$256,3,FALSE),"")</f>
        <v>45795</v>
      </c>
      <c r="AI105" s="120" t="str">
        <f t="shared" si="44"/>
        <v/>
      </c>
      <c r="AJ105" s="121" t="str">
        <f>IFERROR($M105+VLOOKUP($L105,'Voyage days'!$F$294:$H$377,3,FALSE),"")</f>
        <v/>
      </c>
      <c r="AK105" s="121" t="str">
        <f>IFERROR($N105+VLOOKUP($L105,'Voyage days'!$F$294:$H$377,3,FALSE),"")</f>
        <v/>
      </c>
      <c r="AL105" s="120" t="str">
        <f t="shared" si="45"/>
        <v>06-07 Jun</v>
      </c>
      <c r="AM105" s="121">
        <f>IFERROR($M105+VLOOKUP($L105,'Voyage days'!$F$382:$H$446,3,FALSE),"")</f>
        <v>45814</v>
      </c>
      <c r="AN105" s="121">
        <f>IFERROR($N105+VLOOKUP($L105,'Voyage days'!$F$382:$H$446,3,FALSE),"")</f>
        <v>45815</v>
      </c>
      <c r="AO105" s="120" t="str">
        <f t="shared" si="46"/>
        <v/>
      </c>
      <c r="AP105" s="121" t="str">
        <f>IFERROR($M105+VLOOKUP($L105,'Voyage days'!$F$483:$H$538,3,FALSE),"")</f>
        <v/>
      </c>
      <c r="AQ105" s="121" t="str">
        <f>IFERROR($N105+VLOOKUP($L105,'Voyage days'!$F$483:$H$538,3,FALSE),"")</f>
        <v/>
      </c>
      <c r="AR105" s="120" t="str">
        <f t="shared" si="47"/>
        <v/>
      </c>
      <c r="AS105" s="121" t="str">
        <f>IFERROR($M105+VLOOKUP($L105,'Voyage days'!$F$540:$H$613,3,FALSE),"")</f>
        <v/>
      </c>
      <c r="AT105" s="121" t="str">
        <f>IFERROR($N105+VLOOKUP($L105,'Voyage days'!$F$540:$H$613,3,FALSE),"")</f>
        <v/>
      </c>
      <c r="AU105" s="120" t="str">
        <f t="shared" si="48"/>
        <v/>
      </c>
      <c r="AV105" s="121" t="str">
        <f>IFERROR($M105+VLOOKUP($L105,'Voyage days'!$L$483:$N$535,3,FALSE),"")</f>
        <v/>
      </c>
      <c r="AW105" s="121" t="str">
        <f>IFERROR($N105+VLOOKUP($L105,'Voyage days'!$L$483:$N$535,3,FALSE),"")</f>
        <v/>
      </c>
      <c r="AX105" s="120" t="str">
        <f t="shared" si="49"/>
        <v/>
      </c>
      <c r="AY105" s="122" t="str">
        <f>IFERROR($M105+VLOOKUP($L105,'Voyage days'!$F$620:$H$646,3,FALSE),"")</f>
        <v/>
      </c>
      <c r="AZ105" s="122" t="str">
        <f>IFERROR($N105+VLOOKUP($L105,'Voyage days'!$F$620:$H$646,3,FALSE),"")</f>
        <v/>
      </c>
      <c r="BA105" s="120" t="str">
        <f t="shared" si="50"/>
        <v/>
      </c>
      <c r="BB105" s="123" t="str">
        <f>IFERROR($M105+VLOOKUP($L105,'Voyage days'!$F$702:$H$727,3,FALSE),"")</f>
        <v/>
      </c>
      <c r="BC105" s="120" t="str">
        <f t="shared" si="51"/>
        <v/>
      </c>
      <c r="BD105" s="122" t="str">
        <f>IFERROR($M105+VLOOKUP($L105,'Voyage days'!$F$807:$H$878,3,FALSE),"")</f>
        <v/>
      </c>
      <c r="BE105" s="122" t="str">
        <f>IFERROR($N105+VLOOKUP($L105,'Voyage days'!$F$807:$H$878,3,FALSE),"")</f>
        <v/>
      </c>
      <c r="BF105" s="609"/>
      <c r="BG105" s="609"/>
      <c r="BH105" s="609"/>
      <c r="BI105" s="609"/>
      <c r="BJ105" s="609"/>
      <c r="BK105" s="609"/>
      <c r="BL105" s="609"/>
      <c r="BM105" s="609"/>
    </row>
    <row r="106" ht="15.75" customHeight="1">
      <c r="A106" s="80" t="s">
        <v>200</v>
      </c>
      <c r="B106" s="101">
        <v>42171.0</v>
      </c>
      <c r="C106" s="1045">
        <v>84000.0</v>
      </c>
      <c r="D106" s="104" t="s">
        <v>1687</v>
      </c>
      <c r="E106" s="103" t="s">
        <v>689</v>
      </c>
      <c r="F106" s="604">
        <v>44063.0</v>
      </c>
      <c r="G106" s="605">
        <v>45717.0</v>
      </c>
      <c r="H106" s="103"/>
      <c r="I106" s="299" t="s">
        <v>761</v>
      </c>
      <c r="J106" s="111" t="s">
        <v>2945</v>
      </c>
      <c r="K106" s="336" t="str">
        <f t="shared" si="52"/>
        <v>Update</v>
      </c>
      <c r="L106" s="108" t="s">
        <v>668</v>
      </c>
      <c r="M106" s="109">
        <v>45807.0</v>
      </c>
      <c r="N106" s="109">
        <v>45813.0</v>
      </c>
      <c r="O106" s="110"/>
      <c r="P106" s="108" t="s">
        <v>3000</v>
      </c>
      <c r="Q106" s="185"/>
      <c r="R106" s="185"/>
      <c r="S106" s="256" t="s">
        <v>33</v>
      </c>
      <c r="T106" s="293">
        <v>45781.0</v>
      </c>
      <c r="U106" s="114" t="str">
        <f>IF(V106="","No AIS",VLOOKUP(V106,'Voyage days'!$A$3:$B$1480,2,FALSE))</f>
        <v>Panama</v>
      </c>
      <c r="V106" s="115" t="str">
        <f>IF(VLOOKUP(A106,'1) Kpler'!$E$2:$P$1000,8, FALSE)="","",VLOOKUP(A106,'1) Kpler'!$E$2:$P$1000,8, FALSE))</f>
        <v>Panama Canal</v>
      </c>
      <c r="W106" s="116">
        <f>IF(VLOOKUP(A106,'1) Kpler'!$E$2:$P$1000,9,FALSE)="","",VLOOKUP(A106,'1) Kpler'!$E$2:$P$1000,9,FALSE))</f>
        <v>46150.625</v>
      </c>
      <c r="X106" s="115" t="str">
        <f>VLOOKUP(A106,'1) Kpler'!$E$2:$I$1000,4,FALSE)</f>
        <v>ballast</v>
      </c>
      <c r="Y106" s="160" t="str">
        <f t="shared" si="40"/>
        <v>17-23 Jun</v>
      </c>
      <c r="Z106" s="120" t="str">
        <f t="shared" si="41"/>
        <v>17-23 Jun</v>
      </c>
      <c r="AA106" s="121">
        <f>IFERROR($M106+VLOOKUP($L106,'Voyage days'!$F$38:$H$89,3,FALSE),"")</f>
        <v>45825</v>
      </c>
      <c r="AB106" s="121">
        <f>IFERROR(N106+VLOOKUP($L106,'Voyage days'!$F$38:$H$89,3,FALSE),"")</f>
        <v>45831</v>
      </c>
      <c r="AC106" s="120" t="str">
        <f t="shared" si="42"/>
        <v>01-07 Jul</v>
      </c>
      <c r="AD106" s="121">
        <f>IFERROR($M106+VLOOKUP($L106,'Voyage days'!$F$94:$H$193,3,FALSE),"")</f>
        <v>45839</v>
      </c>
      <c r="AE106" s="121">
        <f>IFERROR($N106+VLOOKUP($L106,'Voyage days'!$F$94:$H$193,3,FALSE),"")</f>
        <v>45845</v>
      </c>
      <c r="AF106" s="120" t="str">
        <f t="shared" si="43"/>
        <v>11-17 Jul</v>
      </c>
      <c r="AG106" s="121">
        <f>IFERROR($M106+VLOOKUP($L106,'Voyage days'!$F$203:$H$256,3,FALSE),"")</f>
        <v>45849</v>
      </c>
      <c r="AH106" s="121">
        <f>IFERROR($N106+VLOOKUP($L106,'Voyage days'!$F$203:$H$256,3,FALSE),"")</f>
        <v>45855</v>
      </c>
      <c r="AI106" s="120" t="str">
        <f t="shared" si="44"/>
        <v>29-05 Jul</v>
      </c>
      <c r="AJ106" s="121">
        <f>IFERROR($M106+VLOOKUP($L106,'Voyage days'!$F$294:$H$377,3,FALSE),"")</f>
        <v>45837</v>
      </c>
      <c r="AK106" s="121">
        <f>IFERROR($N106+VLOOKUP($L106,'Voyage days'!$F$294:$H$377,3,FALSE),"")</f>
        <v>45843</v>
      </c>
      <c r="AL106" s="120" t="str">
        <f t="shared" si="45"/>
        <v>05-11 Jul</v>
      </c>
      <c r="AM106" s="121">
        <f>IFERROR($M106+VLOOKUP($L106,'Voyage days'!$F$382:$H$446,3,FALSE),"")</f>
        <v>45843</v>
      </c>
      <c r="AN106" s="121">
        <f>IFERROR($N106+VLOOKUP($L106,'Voyage days'!$F$382:$H$446,3,FALSE),"")</f>
        <v>45849</v>
      </c>
      <c r="AO106" s="120" t="str">
        <f t="shared" si="46"/>
        <v>12-18 Jun</v>
      </c>
      <c r="AP106" s="121">
        <f>IFERROR($M106+VLOOKUP($L106,'Voyage days'!$F$483:$H$538,3,FALSE),"")</f>
        <v>45820</v>
      </c>
      <c r="AQ106" s="121">
        <f>IFERROR($N106+VLOOKUP($L106,'Voyage days'!$F$483:$H$538,3,FALSE),"")</f>
        <v>45826</v>
      </c>
      <c r="AR106" s="120" t="str">
        <f t="shared" si="47"/>
        <v>07-13 Jun</v>
      </c>
      <c r="AS106" s="121">
        <f>IFERROR($M106+VLOOKUP($L106,'Voyage days'!$F$540:$H$613,3,FALSE),"")</f>
        <v>45815.25</v>
      </c>
      <c r="AT106" s="121">
        <f>IFERROR($N106+VLOOKUP($L106,'Voyage days'!$F$540:$H$613,3,FALSE),"")</f>
        <v>45821.25</v>
      </c>
      <c r="AU106" s="120" t="str">
        <f t="shared" si="48"/>
        <v/>
      </c>
      <c r="AV106" s="121" t="str">
        <f>IFERROR($M106+VLOOKUP($L106,'Voyage days'!$L$483:$N$535,3,FALSE),"")</f>
        <v/>
      </c>
      <c r="AW106" s="121" t="str">
        <f>IFERROR($N106+VLOOKUP($L106,'Voyage days'!$L$483:$N$535,3,FALSE),"")</f>
        <v/>
      </c>
      <c r="AX106" s="120" t="str">
        <f t="shared" si="49"/>
        <v>10-16 Jun</v>
      </c>
      <c r="AY106" s="122">
        <f>IFERROR($M106+VLOOKUP($L106,'Voyage days'!$F$620:$H$646,3,FALSE),"")</f>
        <v>45818</v>
      </c>
      <c r="AZ106" s="122">
        <f>IFERROR($N106+VLOOKUP($L106,'Voyage days'!$F$620:$H$646,3,FALSE),"")</f>
        <v>45824</v>
      </c>
      <c r="BA106" s="120" t="str">
        <f t="shared" si="50"/>
        <v>07-21 Jul</v>
      </c>
      <c r="BB106" s="123">
        <f>IFERROR($M106+VLOOKUP($L106,'Voyage days'!$F$702:$H$727,3,FALSE),"")</f>
        <v>45815.25</v>
      </c>
      <c r="BC106" s="120" t="str">
        <f t="shared" si="51"/>
        <v>15-21 Jul</v>
      </c>
      <c r="BD106" s="122">
        <f>IFERROR($M106+VLOOKUP($L106,'Voyage days'!$F$807:$H$878,3,FALSE),"")</f>
        <v>45853</v>
      </c>
      <c r="BE106" s="122">
        <f>IFERROR($N106+VLOOKUP($L106,'Voyage days'!$F$807:$H$878,3,FALSE),"")</f>
        <v>45859</v>
      </c>
      <c r="BF106" s="609"/>
      <c r="BG106" s="609"/>
      <c r="BH106" s="609"/>
      <c r="BI106" s="609"/>
      <c r="BJ106" s="609"/>
      <c r="BK106" s="609"/>
      <c r="BL106" s="609"/>
      <c r="BM106" s="609"/>
    </row>
    <row r="107" ht="15.75" customHeight="1">
      <c r="A107" s="80" t="s">
        <v>207</v>
      </c>
      <c r="B107" s="148">
        <v>2022.0</v>
      </c>
      <c r="C107" s="1045">
        <v>84000.0</v>
      </c>
      <c r="D107" s="104" t="s">
        <v>1687</v>
      </c>
      <c r="E107" s="103" t="s">
        <v>666</v>
      </c>
      <c r="F107" s="604"/>
      <c r="G107" s="605">
        <v>46539.0</v>
      </c>
      <c r="H107" s="103"/>
      <c r="I107" s="299" t="s">
        <v>761</v>
      </c>
      <c r="J107" s="185"/>
      <c r="K107" s="336" t="str">
        <f t="shared" si="52"/>
        <v>Update</v>
      </c>
      <c r="L107" s="108" t="s">
        <v>773</v>
      </c>
      <c r="M107" s="109">
        <v>45805.0</v>
      </c>
      <c r="N107" s="337">
        <v>45807.0</v>
      </c>
      <c r="O107" s="334"/>
      <c r="P107" s="104"/>
      <c r="Q107" s="185"/>
      <c r="R107" s="108" t="s">
        <v>3001</v>
      </c>
      <c r="S107" s="256" t="s">
        <v>934</v>
      </c>
      <c r="T107" s="293">
        <v>45788.0</v>
      </c>
      <c r="U107" s="114" t="str">
        <f>IF(V107="","No AIS",VLOOKUP(V107,'Voyage days'!$A$3:$B$1480,2,FALSE))</f>
        <v>Port Louis</v>
      </c>
      <c r="V107" s="115" t="str">
        <f>IF(VLOOKUP(A107,'1) Kpler'!$E$2:$P$1000,8, FALSE)="","",VLOOKUP(A107,'1) Kpler'!$E$2:$P$1000,8, FALSE))</f>
        <v>Port Louis</v>
      </c>
      <c r="W107" s="116">
        <f>IF(VLOOKUP(A107,'1) Kpler'!$E$2:$P$1000,9,FALSE)="","",VLOOKUP(A107,'1) Kpler'!$E$2:$P$1000,9,FALSE))</f>
        <v>46134.375</v>
      </c>
      <c r="X107" s="115" t="str">
        <f>VLOOKUP(A107,'1) Kpler'!$E$2:$I$1000,4,FALSE)</f>
        <v>loaded</v>
      </c>
      <c r="Y107" s="117" t="str">
        <f t="shared" si="40"/>
        <v/>
      </c>
      <c r="Z107" s="120" t="str">
        <f t="shared" si="41"/>
        <v/>
      </c>
      <c r="AA107" s="121" t="str">
        <f>IFERROR($M107+VLOOKUP($L107,'Voyage days'!$F$38:$H$89,3,FALSE),"")</f>
        <v/>
      </c>
      <c r="AB107" s="121" t="str">
        <f>IFERROR(N107+VLOOKUP($L107,'Voyage days'!$F$38:$H$89,3,FALSE),"")</f>
        <v/>
      </c>
      <c r="AC107" s="120" t="str">
        <f t="shared" si="42"/>
        <v>11-13 Jun</v>
      </c>
      <c r="AD107" s="121">
        <f>IFERROR($M107+VLOOKUP($L107,'Voyage days'!$F$94:$H$193,3,FALSE),"")</f>
        <v>45819</v>
      </c>
      <c r="AE107" s="121">
        <f>IFERROR($N107+VLOOKUP($L107,'Voyage days'!$F$94:$H$193,3,FALSE),"")</f>
        <v>45821</v>
      </c>
      <c r="AF107" s="120" t="str">
        <f t="shared" si="43"/>
        <v>12-14 Jun</v>
      </c>
      <c r="AG107" s="121">
        <f>IFERROR($M107+VLOOKUP($L107,'Voyage days'!$F$203:$H$256,3,FALSE),"")</f>
        <v>45820</v>
      </c>
      <c r="AH107" s="121">
        <f>IFERROR($N107+VLOOKUP($L107,'Voyage days'!$F$203:$H$256,3,FALSE),"")</f>
        <v>45822</v>
      </c>
      <c r="AI107" s="120" t="str">
        <f t="shared" si="44"/>
        <v>08-10 Jun</v>
      </c>
      <c r="AJ107" s="121">
        <f>IFERROR($M107+VLOOKUP($L107,'Voyage days'!$F$294:$H$377,3,FALSE),"")</f>
        <v>45816</v>
      </c>
      <c r="AK107" s="121">
        <f>IFERROR($N107+VLOOKUP($L107,'Voyage days'!$F$294:$H$377,3,FALSE),"")</f>
        <v>45818</v>
      </c>
      <c r="AL107" s="120" t="str">
        <f t="shared" si="45"/>
        <v>30-01 Jun</v>
      </c>
      <c r="AM107" s="121">
        <f>IFERROR($M107+VLOOKUP($L107,'Voyage days'!$F$382:$H$446,3,FALSE),"")</f>
        <v>45807</v>
      </c>
      <c r="AN107" s="121">
        <f>IFERROR($N107+VLOOKUP($L107,'Voyage days'!$F$382:$H$446,3,FALSE),"")</f>
        <v>45809</v>
      </c>
      <c r="AO107" s="120" t="str">
        <f t="shared" si="46"/>
        <v/>
      </c>
      <c r="AP107" s="121" t="str">
        <f>IFERROR($M107+VLOOKUP($L107,'Voyage days'!$F$483:$H$538,3,FALSE),"")</f>
        <v/>
      </c>
      <c r="AQ107" s="121" t="str">
        <f>IFERROR($N107+VLOOKUP($L107,'Voyage days'!$F$483:$H$538,3,FALSE),"")</f>
        <v/>
      </c>
      <c r="AR107" s="120" t="str">
        <f t="shared" si="47"/>
        <v/>
      </c>
      <c r="AS107" s="121" t="str">
        <f>IFERROR($M107+VLOOKUP($L107,'Voyage days'!$F$540:$H$613,3,FALSE),"")</f>
        <v/>
      </c>
      <c r="AT107" s="121" t="str">
        <f>IFERROR($N107+VLOOKUP($L107,'Voyage days'!$F$540:$H$613,3,FALSE),"")</f>
        <v/>
      </c>
      <c r="AU107" s="120" t="str">
        <f t="shared" si="48"/>
        <v/>
      </c>
      <c r="AV107" s="121" t="str">
        <f>IFERROR($M107+VLOOKUP($L107,'Voyage days'!$L$483:$N$535,3,FALSE),"")</f>
        <v/>
      </c>
      <c r="AW107" s="121" t="str">
        <f>IFERROR($N107+VLOOKUP($L107,'Voyage days'!$L$483:$N$535,3,FALSE),"")</f>
        <v/>
      </c>
      <c r="AX107" s="120" t="str">
        <f t="shared" si="49"/>
        <v/>
      </c>
      <c r="AY107" s="122" t="str">
        <f>IFERROR($M107+VLOOKUP($L107,'Voyage days'!$F$620:$H$646,3,FALSE),"")</f>
        <v/>
      </c>
      <c r="AZ107" s="122" t="str">
        <f>IFERROR($N107+VLOOKUP($L107,'Voyage days'!$F$620:$H$646,3,FALSE),"")</f>
        <v/>
      </c>
      <c r="BA107" s="120" t="str">
        <f t="shared" si="50"/>
        <v/>
      </c>
      <c r="BB107" s="123" t="str">
        <f>IFERROR($M107+VLOOKUP($L107,'Voyage days'!$F$702:$H$727,3,FALSE),"")</f>
        <v/>
      </c>
      <c r="BC107" s="120" t="str">
        <f t="shared" si="51"/>
        <v>11-13 Jun</v>
      </c>
      <c r="BD107" s="122">
        <f>IFERROR($M107+VLOOKUP($L107,'Voyage days'!$F$807:$H$878,3,FALSE),"")</f>
        <v>45819</v>
      </c>
      <c r="BE107" s="122">
        <f>IFERROR($N107+VLOOKUP($L107,'Voyage days'!$F$807:$H$878,3,FALSE),"")</f>
        <v>45821</v>
      </c>
      <c r="BF107" s="609"/>
      <c r="BG107" s="609"/>
      <c r="BH107" s="609"/>
      <c r="BI107" s="609"/>
      <c r="BJ107" s="609"/>
      <c r="BK107" s="609"/>
      <c r="BL107" s="609"/>
      <c r="BM107" s="609"/>
    </row>
    <row r="108" ht="15.75" customHeight="1">
      <c r="A108" s="100" t="s">
        <v>216</v>
      </c>
      <c r="B108" s="148">
        <v>2023.0</v>
      </c>
      <c r="C108" s="1045">
        <v>91000.0</v>
      </c>
      <c r="D108" s="104" t="s">
        <v>1687</v>
      </c>
      <c r="E108" s="103" t="s">
        <v>666</v>
      </c>
      <c r="F108" s="604"/>
      <c r="G108" s="605">
        <v>45839.0</v>
      </c>
      <c r="H108" s="103"/>
      <c r="I108" s="299" t="s">
        <v>761</v>
      </c>
      <c r="J108" s="111"/>
      <c r="K108" s="336" t="str">
        <f t="shared" si="52"/>
        <v>Update</v>
      </c>
      <c r="L108" s="1107" t="s">
        <v>680</v>
      </c>
      <c r="M108" s="109">
        <v>45793.0</v>
      </c>
      <c r="N108" s="109">
        <v>45794.0</v>
      </c>
      <c r="O108" s="110"/>
      <c r="P108" s="333"/>
      <c r="Q108" s="1108"/>
      <c r="R108" s="185"/>
      <c r="S108" s="256" t="s">
        <v>33</v>
      </c>
      <c r="T108" s="293">
        <v>45781.0</v>
      </c>
      <c r="U108" s="114" t="str">
        <f>IF(V108="","No AIS",VLOOKUP(V108,'Voyage days'!$A$3:$B$1480,2,FALSE))</f>
        <v>Japan + 6</v>
      </c>
      <c r="V108" s="115" t="str">
        <f>IF(VLOOKUP(A108,'1) Kpler'!$E$2:$P$1000,8, FALSE)="","",VLOOKUP(A108,'1) Kpler'!$E$2:$P$1000,8, FALSE))</f>
        <v>Chiba</v>
      </c>
      <c r="W108" s="116">
        <f>IF(VLOOKUP(A108,'1) Kpler'!$E$2:$P$1000,9,FALSE)="","",VLOOKUP(A108,'1) Kpler'!$E$2:$P$1000,9,FALSE))</f>
        <v>46152.75</v>
      </c>
      <c r="X108" s="115" t="str">
        <f>VLOOKUP(A108,'1) Kpler'!$E$2:$I$1000,4,FALSE)</f>
        <v>loaded</v>
      </c>
      <c r="Y108" s="160" t="str">
        <f t="shared" si="40"/>
        <v/>
      </c>
      <c r="Z108" s="120" t="str">
        <f t="shared" si="41"/>
        <v/>
      </c>
      <c r="AA108" s="121" t="str">
        <f>IFERROR($M108+VLOOKUP($L108,'Voyage days'!$F$38:$H$89,3,FALSE),"")</f>
        <v/>
      </c>
      <c r="AB108" s="121" t="str">
        <f>IFERROR(N108+VLOOKUP($L108,'Voyage days'!$F$38:$H$89,3,FALSE),"")</f>
        <v/>
      </c>
      <c r="AC108" s="120" t="str">
        <f t="shared" si="42"/>
        <v>16-17 May</v>
      </c>
      <c r="AD108" s="121">
        <f>IFERROR($M108+VLOOKUP($L108,'Voyage days'!$F$94:$H$193,3,FALSE),"")</f>
        <v>45793</v>
      </c>
      <c r="AE108" s="121">
        <f>IFERROR($N108+VLOOKUP($L108,'Voyage days'!$F$94:$H$193,3,FALSE),"")</f>
        <v>45794</v>
      </c>
      <c r="AF108" s="120" t="str">
        <f t="shared" si="43"/>
        <v>16-17 May</v>
      </c>
      <c r="AG108" s="121">
        <f>IFERROR($M108+VLOOKUP($L108,'Voyage days'!$F$203:$H$256,3,FALSE),"")</f>
        <v>45793</v>
      </c>
      <c r="AH108" s="121">
        <f>IFERROR($N108+VLOOKUP($L108,'Voyage days'!$F$203:$H$256,3,FALSE),"")</f>
        <v>45794</v>
      </c>
      <c r="AI108" s="120" t="str">
        <f t="shared" si="44"/>
        <v/>
      </c>
      <c r="AJ108" s="121" t="str">
        <f>IFERROR($M108+VLOOKUP($L108,'Voyage days'!$F$294:$H$377,3,FALSE),"")</f>
        <v/>
      </c>
      <c r="AK108" s="121" t="str">
        <f>IFERROR($N108+VLOOKUP($L108,'Voyage days'!$F$294:$H$377,3,FALSE),"")</f>
        <v/>
      </c>
      <c r="AL108" s="120" t="str">
        <f t="shared" si="45"/>
        <v>05-06 Jun</v>
      </c>
      <c r="AM108" s="121">
        <f>IFERROR($M108+VLOOKUP($L108,'Voyage days'!$F$382:$H$446,3,FALSE),"")</f>
        <v>45813</v>
      </c>
      <c r="AN108" s="121">
        <f>IFERROR($N108+VLOOKUP($L108,'Voyage days'!$F$382:$H$446,3,FALSE),"")</f>
        <v>45814</v>
      </c>
      <c r="AO108" s="120" t="str">
        <f t="shared" si="46"/>
        <v/>
      </c>
      <c r="AP108" s="121" t="str">
        <f>IFERROR($M108+VLOOKUP($L108,'Voyage days'!$F$483:$H$538,3,FALSE),"")</f>
        <v/>
      </c>
      <c r="AQ108" s="121" t="str">
        <f>IFERROR($N108+VLOOKUP($L108,'Voyage days'!$F$483:$H$538,3,FALSE),"")</f>
        <v/>
      </c>
      <c r="AR108" s="120" t="str">
        <f t="shared" si="47"/>
        <v/>
      </c>
      <c r="AS108" s="121" t="str">
        <f>IFERROR($M108+VLOOKUP($L108,'Voyage days'!$F$540:$H$613,3,FALSE),"")</f>
        <v/>
      </c>
      <c r="AT108" s="121" t="str">
        <f>IFERROR($N108+VLOOKUP($L108,'Voyage days'!$F$540:$H$613,3,FALSE),"")</f>
        <v/>
      </c>
      <c r="AU108" s="120" t="str">
        <f t="shared" si="48"/>
        <v/>
      </c>
      <c r="AV108" s="121" t="str">
        <f>IFERROR($M108+VLOOKUP($L108,'Voyage days'!$L$483:$N$535,3,FALSE),"")</f>
        <v/>
      </c>
      <c r="AW108" s="121" t="str">
        <f>IFERROR($N108+VLOOKUP($L108,'Voyage days'!$L$483:$N$535,3,FALSE),"")</f>
        <v/>
      </c>
      <c r="AX108" s="120" t="str">
        <f t="shared" si="49"/>
        <v/>
      </c>
      <c r="AY108" s="122" t="str">
        <f>IFERROR($M108+VLOOKUP($L108,'Voyage days'!$F$620:$H$646,3,FALSE),"")</f>
        <v/>
      </c>
      <c r="AZ108" s="122" t="str">
        <f>IFERROR($N108+VLOOKUP($L108,'Voyage days'!$F$620:$H$646,3,FALSE),"")</f>
        <v/>
      </c>
      <c r="BA108" s="120" t="str">
        <f t="shared" si="50"/>
        <v/>
      </c>
      <c r="BB108" s="123" t="str">
        <f>IFERROR($M108+VLOOKUP($L108,'Voyage days'!$F$702:$H$727,3,FALSE),"")</f>
        <v/>
      </c>
      <c r="BC108" s="120" t="str">
        <f t="shared" si="51"/>
        <v/>
      </c>
      <c r="BD108" s="122" t="str">
        <f>IFERROR($M108+VLOOKUP($L108,'Voyage days'!$F$807:$H$878,3,FALSE),"")</f>
        <v/>
      </c>
      <c r="BE108" s="122" t="str">
        <f>IFERROR($N108+VLOOKUP($L108,'Voyage days'!$F$807:$H$878,3,FALSE),"")</f>
        <v/>
      </c>
      <c r="BF108" s="609"/>
      <c r="BG108" s="609"/>
      <c r="BH108" s="609"/>
      <c r="BI108" s="609"/>
      <c r="BJ108" s="609"/>
      <c r="BK108" s="609"/>
      <c r="BL108" s="609"/>
      <c r="BM108" s="609"/>
    </row>
    <row r="109" ht="15.75" customHeight="1">
      <c r="A109" s="80" t="s">
        <v>244</v>
      </c>
      <c r="B109" s="101">
        <v>43570.0</v>
      </c>
      <c r="C109" s="1045">
        <v>83000.0</v>
      </c>
      <c r="D109" s="104" t="s">
        <v>1687</v>
      </c>
      <c r="E109" s="103" t="s">
        <v>689</v>
      </c>
      <c r="F109" s="604"/>
      <c r="G109" s="605">
        <v>45717.0</v>
      </c>
      <c r="H109" s="103"/>
      <c r="I109" s="299" t="s">
        <v>761</v>
      </c>
      <c r="J109" s="185" t="s">
        <v>3002</v>
      </c>
      <c r="K109" s="336" t="str">
        <f t="shared" si="52"/>
        <v>NO AIS</v>
      </c>
      <c r="L109" s="108" t="s">
        <v>755</v>
      </c>
      <c r="M109" s="109">
        <v>45798.0</v>
      </c>
      <c r="N109" s="337">
        <v>45799.0</v>
      </c>
      <c r="O109" s="334"/>
      <c r="P109" s="104"/>
      <c r="Q109" s="185"/>
      <c r="R109" s="185"/>
      <c r="S109" s="256" t="s">
        <v>33</v>
      </c>
      <c r="T109" s="293">
        <v>45781.0</v>
      </c>
      <c r="U109" s="114" t="str">
        <f>IF(V109="","No AIS",VLOOKUP(V109,'Voyage days'!$A$3:$B$1480,2,FALSE))</f>
        <v>No AIS</v>
      </c>
      <c r="V109" s="115" t="str">
        <f>IF(VLOOKUP(A109,'1) Kpler'!$E$2:$P$1000,8, FALSE)="","",VLOOKUP(A109,'1) Kpler'!$E$2:$P$1000,8, FALSE))</f>
        <v/>
      </c>
      <c r="W109" s="116" t="str">
        <f>IF(VLOOKUP(A109,'1) Kpler'!$E$2:$P$1000,9,FALSE)="","",VLOOKUP(A109,'1) Kpler'!$E$2:$P$1000,9,FALSE))</f>
        <v/>
      </c>
      <c r="X109" s="115" t="str">
        <f>VLOOKUP(A109,'1) Kpler'!$E$2:$I$1000,4,FALSE)</f>
        <v>loaded</v>
      </c>
      <c r="Y109" s="117" t="str">
        <f t="shared" si="40"/>
        <v>01-02 Jun</v>
      </c>
      <c r="Z109" s="120" t="str">
        <f t="shared" si="41"/>
        <v>01-02 Jun</v>
      </c>
      <c r="AA109" s="121">
        <f>IFERROR($M109+VLOOKUP($L109,'Voyage days'!$F$38:$H$89,3,FALSE),"")</f>
        <v>45809</v>
      </c>
      <c r="AB109" s="121">
        <f>IFERROR(N109+VLOOKUP($L109,'Voyage days'!$F$38:$H$89,3,FALSE),"")</f>
        <v>45810</v>
      </c>
      <c r="AC109" s="120" t="str">
        <f t="shared" si="42"/>
        <v>29-30 Jun</v>
      </c>
      <c r="AD109" s="121">
        <f>IFERROR($M109+VLOOKUP($L109,'Voyage days'!$F$94:$H$193,3,FALSE),"")</f>
        <v>45837</v>
      </c>
      <c r="AE109" s="121">
        <f>IFERROR($N109+VLOOKUP($L109,'Voyage days'!$F$94:$H$193,3,FALSE),"")</f>
        <v>45838</v>
      </c>
      <c r="AF109" s="120" t="str">
        <f t="shared" si="43"/>
        <v>27-28 Jun</v>
      </c>
      <c r="AG109" s="121">
        <f>IFERROR($M109+VLOOKUP($L109,'Voyage days'!$F$203:$H$256,3,FALSE),"")</f>
        <v>45835</v>
      </c>
      <c r="AH109" s="121">
        <f>IFERROR($N109+VLOOKUP($L109,'Voyage days'!$F$203:$H$256,3,FALSE),"")</f>
        <v>45836</v>
      </c>
      <c r="AI109" s="120" t="str">
        <f t="shared" si="44"/>
        <v>10-11 Jun</v>
      </c>
      <c r="AJ109" s="121">
        <f>IFERROR($M109+VLOOKUP($L109,'Voyage days'!$F$294:$H$377,3,FALSE),"")</f>
        <v>45818</v>
      </c>
      <c r="AK109" s="121">
        <f>IFERROR($N109+VLOOKUP($L109,'Voyage days'!$F$294:$H$377,3,FALSE),"")</f>
        <v>45819</v>
      </c>
      <c r="AL109" s="120" t="str">
        <f t="shared" si="45"/>
        <v>19-20 Jun</v>
      </c>
      <c r="AM109" s="121">
        <f>IFERROR($M109+VLOOKUP($L109,'Voyage days'!$F$382:$H$446,3,FALSE),"")</f>
        <v>45827</v>
      </c>
      <c r="AN109" s="121">
        <f>IFERROR($N109+VLOOKUP($L109,'Voyage days'!$F$382:$H$446,3,FALSE),"")</f>
        <v>45828</v>
      </c>
      <c r="AO109" s="120" t="str">
        <f t="shared" si="46"/>
        <v>30-31 May</v>
      </c>
      <c r="AP109" s="121">
        <f>IFERROR($M109+VLOOKUP($L109,'Voyage days'!$F$483:$H$538,3,FALSE),"")</f>
        <v>45807</v>
      </c>
      <c r="AQ109" s="121">
        <f>IFERROR($N109+VLOOKUP($L109,'Voyage days'!$F$483:$H$538,3,FALSE),"")</f>
        <v>45808</v>
      </c>
      <c r="AR109" s="120" t="str">
        <f t="shared" si="47"/>
        <v>25-26 May</v>
      </c>
      <c r="AS109" s="121">
        <f>IFERROR($M109+VLOOKUP($L109,'Voyage days'!$F$540:$H$613,3,FALSE),"")</f>
        <v>45802</v>
      </c>
      <c r="AT109" s="121">
        <f>IFERROR($N109+VLOOKUP($L109,'Voyage days'!$F$540:$H$613,3,FALSE),"")</f>
        <v>45803</v>
      </c>
      <c r="AU109" s="120" t="str">
        <f t="shared" si="48"/>
        <v/>
      </c>
      <c r="AV109" s="121" t="str">
        <f>IFERROR($M109+VLOOKUP($L109,'Voyage days'!$L$483:$N$535,3,FALSE),"")</f>
        <v/>
      </c>
      <c r="AW109" s="121" t="str">
        <f>IFERROR($N109+VLOOKUP($L109,'Voyage days'!$L$483:$N$535,3,FALSE),"")</f>
        <v/>
      </c>
      <c r="AX109" s="120" t="str">
        <f t="shared" si="49"/>
        <v/>
      </c>
      <c r="AY109" s="122" t="str">
        <f>IFERROR($M109+VLOOKUP($L109,'Voyage days'!$F$620:$H$646,3,FALSE),"")</f>
        <v/>
      </c>
      <c r="AZ109" s="122" t="str">
        <f>IFERROR($N109+VLOOKUP($L109,'Voyage days'!$F$620:$H$646,3,FALSE),"")</f>
        <v/>
      </c>
      <c r="BA109" s="120" t="str">
        <f t="shared" si="50"/>
        <v>29-28 Jun</v>
      </c>
      <c r="BB109" s="123">
        <f>IFERROR($M109+VLOOKUP($L109,'Voyage days'!$F$702:$H$727,3,FALSE),"")</f>
        <v>45806</v>
      </c>
      <c r="BC109" s="120" t="str">
        <f t="shared" si="51"/>
        <v>27-28 Jun</v>
      </c>
      <c r="BD109" s="122">
        <f>IFERROR($M109+VLOOKUP($L109,'Voyage days'!$F$807:$H$878,3,FALSE),"")</f>
        <v>45835</v>
      </c>
      <c r="BE109" s="122">
        <f>IFERROR($N109+VLOOKUP($L109,'Voyage days'!$F$807:$H$878,3,FALSE),"")</f>
        <v>45836</v>
      </c>
      <c r="BF109" s="609"/>
      <c r="BG109" s="609"/>
      <c r="BH109" s="609"/>
      <c r="BI109" s="609"/>
      <c r="BJ109" s="609"/>
      <c r="BK109" s="609"/>
      <c r="BL109" s="609"/>
      <c r="BM109" s="609"/>
    </row>
    <row r="110" ht="15.75" customHeight="1">
      <c r="A110" s="298" t="s">
        <v>274</v>
      </c>
      <c r="B110" s="148">
        <v>2021.0</v>
      </c>
      <c r="C110" s="1045">
        <v>84000.0</v>
      </c>
      <c r="D110" s="104" t="s">
        <v>1687</v>
      </c>
      <c r="E110" s="103" t="s">
        <v>689</v>
      </c>
      <c r="F110" s="604"/>
      <c r="G110" s="605">
        <v>46784.0</v>
      </c>
      <c r="H110" s="604"/>
      <c r="I110" s="299" t="s">
        <v>761</v>
      </c>
      <c r="J110" s="111"/>
      <c r="K110" s="336" t="str">
        <f t="shared" si="52"/>
        <v>Update</v>
      </c>
      <c r="L110" s="185" t="s">
        <v>680</v>
      </c>
      <c r="M110" s="109">
        <v>45791.0</v>
      </c>
      <c r="N110" s="109">
        <v>45792.0</v>
      </c>
      <c r="O110" s="110"/>
      <c r="P110" s="104"/>
      <c r="Q110" s="185"/>
      <c r="R110" s="185"/>
      <c r="S110" s="256" t="s">
        <v>33</v>
      </c>
      <c r="T110" s="293">
        <v>45781.0</v>
      </c>
      <c r="U110" s="114" t="str">
        <f>IF(V110="","No AIS",VLOOKUP(V110,'Voyage days'!$A$3:$B$1480,2,FALSE))</f>
        <v>USG</v>
      </c>
      <c r="V110" s="115" t="str">
        <f>IF(VLOOKUP(A110,'1) Kpler'!$E$2:$P$1000,8, FALSE)="","",VLOOKUP(A110,'1) Kpler'!$E$2:$P$1000,8, FALSE))</f>
        <v>Energy Transfer Nederland</v>
      </c>
      <c r="W110" s="116">
        <f>IF(VLOOKUP(A110,'1) Kpler'!$E$2:$P$1000,9,FALSE)="","",VLOOKUP(A110,'1) Kpler'!$E$2:$P$1000,9,FALSE))</f>
        <v>46133.79167</v>
      </c>
      <c r="X110" s="115" t="str">
        <f>VLOOKUP(A110,'1) Kpler'!$E$2:$I$1000,4,FALSE)</f>
        <v>ballast</v>
      </c>
      <c r="Y110" s="160" t="str">
        <f t="shared" si="40"/>
        <v/>
      </c>
      <c r="Z110" s="120" t="str">
        <f t="shared" si="41"/>
        <v/>
      </c>
      <c r="AA110" s="121" t="str">
        <f>IFERROR($M110+VLOOKUP($L110,'Voyage days'!$F$38:$H$89,3,FALSE),"")</f>
        <v/>
      </c>
      <c r="AB110" s="121" t="str">
        <f>IFERROR(N110+VLOOKUP($L110,'Voyage days'!$F$38:$H$89,3,FALSE),"")</f>
        <v/>
      </c>
      <c r="AC110" s="120" t="str">
        <f t="shared" si="42"/>
        <v>14-15 May</v>
      </c>
      <c r="AD110" s="121">
        <f>IFERROR($M110+VLOOKUP($L110,'Voyage days'!$F$94:$H$193,3,FALSE),"")</f>
        <v>45791</v>
      </c>
      <c r="AE110" s="121">
        <f>IFERROR($N110+VLOOKUP($L110,'Voyage days'!$F$94:$H$193,3,FALSE),"")</f>
        <v>45792</v>
      </c>
      <c r="AF110" s="120" t="str">
        <f t="shared" si="43"/>
        <v>14-15 May</v>
      </c>
      <c r="AG110" s="121">
        <f>IFERROR($M110+VLOOKUP($L110,'Voyage days'!$F$203:$H$256,3,FALSE),"")</f>
        <v>45791</v>
      </c>
      <c r="AH110" s="121">
        <f>IFERROR($N110+VLOOKUP($L110,'Voyage days'!$F$203:$H$256,3,FALSE),"")</f>
        <v>45792</v>
      </c>
      <c r="AI110" s="120" t="str">
        <f t="shared" si="44"/>
        <v/>
      </c>
      <c r="AJ110" s="121" t="str">
        <f>IFERROR($M110+VLOOKUP($L110,'Voyage days'!$F$294:$H$377,3,FALSE),"")</f>
        <v/>
      </c>
      <c r="AK110" s="121" t="str">
        <f>IFERROR($N110+VLOOKUP($L110,'Voyage days'!$F$294:$H$377,3,FALSE),"")</f>
        <v/>
      </c>
      <c r="AL110" s="120" t="str">
        <f t="shared" si="45"/>
        <v>03-04 Jun</v>
      </c>
      <c r="AM110" s="121">
        <f>IFERROR($M110+VLOOKUP($L110,'Voyage days'!$F$382:$H$446,3,FALSE),"")</f>
        <v>45811</v>
      </c>
      <c r="AN110" s="121">
        <f>IFERROR($N110+VLOOKUP($L110,'Voyage days'!$F$382:$H$446,3,FALSE),"")</f>
        <v>45812</v>
      </c>
      <c r="AO110" s="120" t="str">
        <f t="shared" si="46"/>
        <v/>
      </c>
      <c r="AP110" s="121" t="str">
        <f>IFERROR($M110+VLOOKUP($L110,'Voyage days'!$F$483:$H$538,3,FALSE),"")</f>
        <v/>
      </c>
      <c r="AQ110" s="121" t="str">
        <f>IFERROR($N110+VLOOKUP($L110,'Voyage days'!$F$483:$H$538,3,FALSE),"")</f>
        <v/>
      </c>
      <c r="AR110" s="120" t="str">
        <f t="shared" si="47"/>
        <v/>
      </c>
      <c r="AS110" s="121" t="str">
        <f>IFERROR($M110+VLOOKUP($L110,'Voyage days'!$F$540:$H$613,3,FALSE),"")</f>
        <v/>
      </c>
      <c r="AT110" s="121" t="str">
        <f>IFERROR($N110+VLOOKUP($L110,'Voyage days'!$F$540:$H$613,3,FALSE),"")</f>
        <v/>
      </c>
      <c r="AU110" s="120" t="str">
        <f t="shared" si="48"/>
        <v/>
      </c>
      <c r="AV110" s="121" t="str">
        <f>IFERROR($M110+VLOOKUP($L110,'Voyage days'!$L$483:$N$535,3,FALSE),"")</f>
        <v/>
      </c>
      <c r="AW110" s="121" t="str">
        <f>IFERROR($N110+VLOOKUP($L110,'Voyage days'!$L$483:$N$535,3,FALSE),"")</f>
        <v/>
      </c>
      <c r="AX110" s="120" t="str">
        <f t="shared" si="49"/>
        <v/>
      </c>
      <c r="AY110" s="122" t="str">
        <f>IFERROR($M110+VLOOKUP($L110,'Voyage days'!$F$620:$H$646,3,FALSE),"")</f>
        <v/>
      </c>
      <c r="AZ110" s="122" t="str">
        <f>IFERROR($N110+VLOOKUP($L110,'Voyage days'!$F$620:$H$646,3,FALSE),"")</f>
        <v/>
      </c>
      <c r="BA110" s="120" t="str">
        <f t="shared" si="50"/>
        <v/>
      </c>
      <c r="BB110" s="123" t="str">
        <f>IFERROR($M110+VLOOKUP($L110,'Voyage days'!$F$702:$H$727,3,FALSE),"")</f>
        <v/>
      </c>
      <c r="BC110" s="120" t="str">
        <f t="shared" si="51"/>
        <v/>
      </c>
      <c r="BD110" s="122" t="str">
        <f>IFERROR($M110+VLOOKUP($L110,'Voyage days'!$F$807:$H$878,3,FALSE),"")</f>
        <v/>
      </c>
      <c r="BE110" s="122" t="str">
        <f>IFERROR($N110+VLOOKUP($L110,'Voyage days'!$F$807:$H$878,3,FALSE),"")</f>
        <v/>
      </c>
      <c r="BF110" s="609"/>
      <c r="BG110" s="609"/>
      <c r="BH110" s="609"/>
      <c r="BI110" s="609"/>
      <c r="BJ110" s="609"/>
      <c r="BK110" s="609"/>
      <c r="BL110" s="609"/>
      <c r="BM110" s="609"/>
    </row>
    <row r="111" ht="15.75" customHeight="1">
      <c r="A111" s="338" t="s">
        <v>276</v>
      </c>
      <c r="B111" s="148">
        <v>2021.0</v>
      </c>
      <c r="C111" s="1045">
        <v>84000.0</v>
      </c>
      <c r="D111" s="104" t="s">
        <v>3003</v>
      </c>
      <c r="E111" s="103" t="s">
        <v>689</v>
      </c>
      <c r="F111" s="1109"/>
      <c r="G111" s="605">
        <v>46113.0</v>
      </c>
      <c r="H111" s="604"/>
      <c r="I111" s="299" t="s">
        <v>761</v>
      </c>
      <c r="J111" s="185"/>
      <c r="K111" s="336" t="str">
        <f t="shared" si="52"/>
        <v>Update</v>
      </c>
      <c r="L111" s="108" t="s">
        <v>720</v>
      </c>
      <c r="M111" s="109">
        <v>45787.0</v>
      </c>
      <c r="N111" s="109">
        <v>45789.0</v>
      </c>
      <c r="O111" s="110"/>
      <c r="P111" s="185"/>
      <c r="Q111" s="185"/>
      <c r="R111" s="185"/>
      <c r="S111" s="256" t="s">
        <v>33</v>
      </c>
      <c r="T111" s="293">
        <v>45781.0</v>
      </c>
      <c r="U111" s="114" t="str">
        <f>IF(V111="","No AIS",VLOOKUP(V111,'Voyage days'!$A$3:$B$1480,2,FALSE))</f>
        <v>Suez + 7</v>
      </c>
      <c r="V111" s="115" t="str">
        <f>IF(VLOOKUP(A111,'1) Kpler'!$E$2:$P$1000,8, FALSE)="","",VLOOKUP(A111,'1) Kpler'!$E$2:$P$1000,8, FALSE))</f>
        <v>Port Said</v>
      </c>
      <c r="W111" s="116">
        <f>IF(VLOOKUP(A111,'1) Kpler'!$E$2:$P$1000,9,FALSE)="","",VLOOKUP(A111,'1) Kpler'!$E$2:$P$1000,9,FALSE))</f>
        <v>46142.16667</v>
      </c>
      <c r="X111" s="115" t="str">
        <f>VLOOKUP(A111,'1) Kpler'!$E$2:$I$1000,4,FALSE)</f>
        <v>loaded</v>
      </c>
      <c r="Y111" s="117" t="str">
        <f t="shared" si="40"/>
        <v>28-30 May</v>
      </c>
      <c r="Z111" s="120" t="str">
        <f t="shared" si="41"/>
        <v>28-30 May</v>
      </c>
      <c r="AA111" s="121">
        <f>IFERROR($M111+VLOOKUP($L111,'Voyage days'!$F$38:$H$89,3,FALSE),"")</f>
        <v>45805</v>
      </c>
      <c r="AB111" s="121">
        <f>IFERROR(N111+VLOOKUP($L111,'Voyage days'!$F$38:$H$89,3,FALSE),"")</f>
        <v>45807</v>
      </c>
      <c r="AC111" s="120" t="str">
        <f t="shared" si="42"/>
        <v>13-15 Jun</v>
      </c>
      <c r="AD111" s="121">
        <f>IFERROR($M111+VLOOKUP($L111,'Voyage days'!$F$94:$H$193,3,FALSE),"")</f>
        <v>45821</v>
      </c>
      <c r="AE111" s="121">
        <f>IFERROR($N111+VLOOKUP($L111,'Voyage days'!$F$94:$H$193,3,FALSE),"")</f>
        <v>45823</v>
      </c>
      <c r="AF111" s="120" t="str">
        <f t="shared" si="43"/>
        <v>20-22 Jun</v>
      </c>
      <c r="AG111" s="121">
        <f>IFERROR($M111+VLOOKUP($L111,'Voyage days'!$F$203:$H$256,3,FALSE),"")</f>
        <v>45828</v>
      </c>
      <c r="AH111" s="121">
        <f>IFERROR($N111+VLOOKUP($L111,'Voyage days'!$F$203:$H$256,3,FALSE),"")</f>
        <v>45830</v>
      </c>
      <c r="AI111" s="120" t="str">
        <f t="shared" si="44"/>
        <v>08-10 Jun</v>
      </c>
      <c r="AJ111" s="121">
        <f>IFERROR($M111+VLOOKUP($L111,'Voyage days'!$F$294:$H$377,3,FALSE),"")</f>
        <v>45816</v>
      </c>
      <c r="AK111" s="121">
        <f>IFERROR($N111+VLOOKUP($L111,'Voyage days'!$F$294:$H$377,3,FALSE),"")</f>
        <v>45818</v>
      </c>
      <c r="AL111" s="120" t="str">
        <f t="shared" si="45"/>
        <v>14-16 Jun</v>
      </c>
      <c r="AM111" s="121">
        <f>IFERROR($M111+VLOOKUP($L111,'Voyage days'!$F$382:$H$446,3,FALSE),"")</f>
        <v>45822</v>
      </c>
      <c r="AN111" s="121">
        <f>IFERROR($N111+VLOOKUP($L111,'Voyage days'!$F$382:$H$446,3,FALSE),"")</f>
        <v>45824</v>
      </c>
      <c r="AO111" s="120" t="str">
        <f t="shared" si="46"/>
        <v>24-26 May</v>
      </c>
      <c r="AP111" s="121">
        <f>IFERROR($M111+VLOOKUP($L111,'Voyage days'!$F$483:$H$538,3,FALSE),"")</f>
        <v>45801</v>
      </c>
      <c r="AQ111" s="121">
        <f>IFERROR($N111+VLOOKUP($L111,'Voyage days'!$F$483:$H$538,3,FALSE),"")</f>
        <v>45803</v>
      </c>
      <c r="AR111" s="120" t="str">
        <f t="shared" si="47"/>
        <v>18-20 May</v>
      </c>
      <c r="AS111" s="121">
        <f>IFERROR($M111+VLOOKUP($L111,'Voyage days'!$F$540:$H$613,3,FALSE),"")</f>
        <v>45795</v>
      </c>
      <c r="AT111" s="121">
        <f>IFERROR($N111+VLOOKUP($L111,'Voyage days'!$F$540:$H$613,3,FALSE),"")</f>
        <v>45797</v>
      </c>
      <c r="AU111" s="120" t="str">
        <f t="shared" si="48"/>
        <v/>
      </c>
      <c r="AV111" s="121" t="str">
        <f>IFERROR($M111+VLOOKUP($L111,'Voyage days'!$L$483:$N$535,3,FALSE),"")</f>
        <v/>
      </c>
      <c r="AW111" s="121" t="str">
        <f>IFERROR($N111+VLOOKUP($L111,'Voyage days'!$L$483:$N$535,3,FALSE),"")</f>
        <v/>
      </c>
      <c r="AX111" s="120" t="str">
        <f t="shared" si="49"/>
        <v>21-23 May</v>
      </c>
      <c r="AY111" s="122">
        <f>IFERROR($M111+VLOOKUP($L111,'Voyage days'!$F$620:$H$646,3,FALSE),"")</f>
        <v>45798</v>
      </c>
      <c r="AZ111" s="122">
        <f>IFERROR($N111+VLOOKUP($L111,'Voyage days'!$F$620:$H$646,3,FALSE),"")</f>
        <v>45800</v>
      </c>
      <c r="BA111" s="120" t="str">
        <f t="shared" si="50"/>
        <v>18-26 Jun</v>
      </c>
      <c r="BB111" s="123">
        <f>IFERROR($M111+VLOOKUP($L111,'Voyage days'!$F$702:$H$727,3,FALSE),"")</f>
        <v>45795</v>
      </c>
      <c r="BC111" s="120" t="str">
        <f t="shared" si="51"/>
        <v>24-26 Jun</v>
      </c>
      <c r="BD111" s="122">
        <f>IFERROR($M111+VLOOKUP($L111,'Voyage days'!$F$807:$H$878,3,FALSE),"")</f>
        <v>45832</v>
      </c>
      <c r="BE111" s="122">
        <f>IFERROR($N111+VLOOKUP($L111,'Voyage days'!$F$807:$H$878,3,FALSE),"")</f>
        <v>45834</v>
      </c>
      <c r="BF111" s="609"/>
      <c r="BG111" s="609"/>
      <c r="BH111" s="609"/>
      <c r="BI111" s="609"/>
      <c r="BJ111" s="609"/>
      <c r="BK111" s="609"/>
      <c r="BL111" s="609"/>
      <c r="BM111" s="609"/>
    </row>
    <row r="112" ht="15.75" customHeight="1">
      <c r="A112" s="100" t="s">
        <v>291</v>
      </c>
      <c r="B112" s="148">
        <v>2024.0</v>
      </c>
      <c r="C112" s="1045">
        <v>87000.0</v>
      </c>
      <c r="D112" s="104"/>
      <c r="E112" s="103" t="s">
        <v>666</v>
      </c>
      <c r="F112" s="604"/>
      <c r="G112" s="103">
        <v>2029.0</v>
      </c>
      <c r="H112" s="103"/>
      <c r="I112" s="299" t="s">
        <v>761</v>
      </c>
      <c r="J112" s="185"/>
      <c r="K112" s="336" t="str">
        <f t="shared" si="52"/>
        <v>Update</v>
      </c>
      <c r="L112" s="199" t="s">
        <v>755</v>
      </c>
      <c r="M112" s="109">
        <v>45792.0</v>
      </c>
      <c r="N112" s="109">
        <v>45797.0</v>
      </c>
      <c r="O112" s="110"/>
      <c r="P112" s="686" t="s">
        <v>3004</v>
      </c>
      <c r="Q112" s="340"/>
      <c r="R112" s="185"/>
      <c r="S112" s="256" t="s">
        <v>33</v>
      </c>
      <c r="T112" s="293">
        <v>45781.0</v>
      </c>
      <c r="U112" s="114" t="str">
        <f>IF(V112="","No AIS",VLOOKUP(V112,'Voyage days'!$A$3:$B$1480,2,FALSE))</f>
        <v>USG</v>
      </c>
      <c r="V112" s="115" t="str">
        <f>IF(VLOOKUP(A112,'1) Kpler'!$E$2:$P$1000,8, FALSE)="","",VLOOKUP(A112,'1) Kpler'!$E$2:$P$1000,8, FALSE))</f>
        <v>Houston</v>
      </c>
      <c r="W112" s="116">
        <f>IF(VLOOKUP(A112,'1) Kpler'!$E$2:$P$1000,9,FALSE)="","",VLOOKUP(A112,'1) Kpler'!$E$2:$P$1000,9,FALSE))</f>
        <v>46137.00069</v>
      </c>
      <c r="X112" s="115" t="str">
        <f>VLOOKUP(A112,'1) Kpler'!$E$2:$I$1000,4,FALSE)</f>
        <v>ballast</v>
      </c>
      <c r="Y112" s="160" t="str">
        <f t="shared" si="40"/>
        <v>26-31 May</v>
      </c>
      <c r="Z112" s="120" t="str">
        <f t="shared" si="41"/>
        <v>26-31 May</v>
      </c>
      <c r="AA112" s="121">
        <f>IFERROR($M112+VLOOKUP($L112,'Voyage days'!$F$38:$H$89,3,FALSE),"")</f>
        <v>45803</v>
      </c>
      <c r="AB112" s="121">
        <f>IFERROR(N112+VLOOKUP($L112,'Voyage days'!$F$38:$H$89,3,FALSE),"")</f>
        <v>45808</v>
      </c>
      <c r="AC112" s="120" t="str">
        <f t="shared" si="42"/>
        <v>23-28 Jun</v>
      </c>
      <c r="AD112" s="121">
        <f>IFERROR($M112+VLOOKUP($L112,'Voyage days'!$F$94:$H$193,3,FALSE),"")</f>
        <v>45831</v>
      </c>
      <c r="AE112" s="121">
        <f>IFERROR($N112+VLOOKUP($L112,'Voyage days'!$F$94:$H$193,3,FALSE),"")</f>
        <v>45836</v>
      </c>
      <c r="AF112" s="120" t="str">
        <f t="shared" si="43"/>
        <v>21-26 Jun</v>
      </c>
      <c r="AG112" s="121">
        <f>IFERROR($M112+VLOOKUP($L112,'Voyage days'!$F$203:$H$256,3,FALSE),"")</f>
        <v>45829</v>
      </c>
      <c r="AH112" s="121">
        <f>IFERROR($N112+VLOOKUP($L112,'Voyage days'!$F$203:$H$256,3,FALSE),"")</f>
        <v>45834</v>
      </c>
      <c r="AI112" s="120" t="str">
        <f t="shared" si="44"/>
        <v>04-09 Jun</v>
      </c>
      <c r="AJ112" s="121">
        <f>IFERROR($M112+VLOOKUP($L112,'Voyage days'!$F$294:$H$377,3,FALSE),"")</f>
        <v>45812</v>
      </c>
      <c r="AK112" s="121">
        <f>IFERROR($N112+VLOOKUP($L112,'Voyage days'!$F$294:$H$377,3,FALSE),"")</f>
        <v>45817</v>
      </c>
      <c r="AL112" s="120" t="str">
        <f t="shared" si="45"/>
        <v>13-18 Jun</v>
      </c>
      <c r="AM112" s="121">
        <f>IFERROR($M112+VLOOKUP($L112,'Voyage days'!$F$382:$H$446,3,FALSE),"")</f>
        <v>45821</v>
      </c>
      <c r="AN112" s="121">
        <f>IFERROR($N112+VLOOKUP($L112,'Voyage days'!$F$382:$H$446,3,FALSE),"")</f>
        <v>45826</v>
      </c>
      <c r="AO112" s="120" t="str">
        <f t="shared" si="46"/>
        <v>24-29 May</v>
      </c>
      <c r="AP112" s="121">
        <f>IFERROR($M112+VLOOKUP($L112,'Voyage days'!$F$483:$H$538,3,FALSE),"")</f>
        <v>45801</v>
      </c>
      <c r="AQ112" s="121">
        <f>IFERROR($N112+VLOOKUP($L112,'Voyage days'!$F$483:$H$538,3,FALSE),"")</f>
        <v>45806</v>
      </c>
      <c r="AR112" s="120" t="str">
        <f t="shared" si="47"/>
        <v>19-24 May</v>
      </c>
      <c r="AS112" s="121">
        <f>IFERROR($M112+VLOOKUP($L112,'Voyage days'!$F$540:$H$613,3,FALSE),"")</f>
        <v>45796</v>
      </c>
      <c r="AT112" s="121">
        <f>IFERROR($N112+VLOOKUP($L112,'Voyage days'!$F$540:$H$613,3,FALSE),"")</f>
        <v>45801</v>
      </c>
      <c r="AU112" s="120" t="str">
        <f t="shared" si="48"/>
        <v/>
      </c>
      <c r="AV112" s="121" t="str">
        <f>IFERROR($M112+VLOOKUP($L112,'Voyage days'!$L$483:$N$535,3,FALSE),"")</f>
        <v/>
      </c>
      <c r="AW112" s="121" t="str">
        <f>IFERROR($N112+VLOOKUP($L112,'Voyage days'!$L$483:$N$535,3,FALSE),"")</f>
        <v/>
      </c>
      <c r="AX112" s="120" t="str">
        <f t="shared" si="49"/>
        <v/>
      </c>
      <c r="AY112" s="122" t="str">
        <f>IFERROR($M112+VLOOKUP($L112,'Voyage days'!$F$620:$H$646,3,FALSE),"")</f>
        <v/>
      </c>
      <c r="AZ112" s="122" t="str">
        <f>IFERROR($N112+VLOOKUP($L112,'Voyage days'!$F$620:$H$646,3,FALSE),"")</f>
        <v/>
      </c>
      <c r="BA112" s="120" t="str">
        <f t="shared" si="50"/>
        <v>23-26 Jun</v>
      </c>
      <c r="BB112" s="123">
        <f>IFERROR($M112+VLOOKUP($L112,'Voyage days'!$F$702:$H$727,3,FALSE),"")</f>
        <v>45800</v>
      </c>
      <c r="BC112" s="120" t="str">
        <f t="shared" si="51"/>
        <v>21-26 Jun</v>
      </c>
      <c r="BD112" s="122">
        <f>IFERROR($M112+VLOOKUP($L112,'Voyage days'!$F$807:$H$878,3,FALSE),"")</f>
        <v>45829</v>
      </c>
      <c r="BE112" s="122">
        <f>IFERROR($N112+VLOOKUP($L112,'Voyage days'!$F$807:$H$878,3,FALSE),"")</f>
        <v>45834</v>
      </c>
      <c r="BF112" s="609"/>
      <c r="BG112" s="609"/>
      <c r="BH112" s="609"/>
      <c r="BI112" s="609"/>
      <c r="BJ112" s="609"/>
      <c r="BK112" s="609"/>
      <c r="BL112" s="609"/>
      <c r="BM112" s="609"/>
    </row>
    <row r="113" ht="15.75" customHeight="1">
      <c r="A113" s="338" t="s">
        <v>290</v>
      </c>
      <c r="B113" s="183">
        <v>2021.0</v>
      </c>
      <c r="C113" s="1045">
        <v>84000.0</v>
      </c>
      <c r="D113" s="104"/>
      <c r="E113" s="103" t="s">
        <v>689</v>
      </c>
      <c r="F113" s="604"/>
      <c r="G113" s="605">
        <v>46082.0</v>
      </c>
      <c r="H113" s="604"/>
      <c r="I113" s="299" t="s">
        <v>761</v>
      </c>
      <c r="J113" s="185"/>
      <c r="K113" s="336" t="str">
        <f t="shared" si="52"/>
        <v>Update</v>
      </c>
      <c r="L113" s="108" t="s">
        <v>745</v>
      </c>
      <c r="M113" s="109">
        <v>45790.0</v>
      </c>
      <c r="N113" s="109">
        <v>45795.0</v>
      </c>
      <c r="O113" s="334"/>
      <c r="P113" s="450"/>
      <c r="Q113" s="185"/>
      <c r="R113" s="185"/>
      <c r="S113" s="256" t="s">
        <v>33</v>
      </c>
      <c r="T113" s="293">
        <v>45781.0</v>
      </c>
      <c r="U113" s="114" t="str">
        <f>IF(V113="","No AIS",VLOOKUP(V113,'Voyage days'!$A$3:$B$1480,2,FALSE))</f>
        <v>Port Louis</v>
      </c>
      <c r="V113" s="115" t="str">
        <f>IF(VLOOKUP(A113,'1) Kpler'!$E$2:$P$1000,8, FALSE)="","",VLOOKUP(A113,'1) Kpler'!$E$2:$P$1000,8, FALSE))</f>
        <v>Port Louis</v>
      </c>
      <c r="W113" s="116">
        <f>IF(VLOOKUP(A113,'1) Kpler'!$E$2:$P$1000,9,FALSE)="","",VLOOKUP(A113,'1) Kpler'!$E$2:$P$1000,9,FALSE))</f>
        <v>46132.70833</v>
      </c>
      <c r="X113" s="115" t="str">
        <f>VLOOKUP(A113,'1) Kpler'!$E$2:$I$1000,4,FALSE)</f>
        <v>ballast</v>
      </c>
      <c r="Y113" s="117" t="str">
        <f t="shared" si="40"/>
        <v>22-27 May</v>
      </c>
      <c r="Z113" s="120" t="str">
        <f t="shared" si="41"/>
        <v>22-27 May</v>
      </c>
      <c r="AA113" s="121">
        <f>IFERROR($M113+VLOOKUP($L113,'Voyage days'!$F$38:$H$89,3,FALSE),"")</f>
        <v>45799</v>
      </c>
      <c r="AB113" s="121">
        <f>IFERROR(N113+VLOOKUP($L113,'Voyage days'!$F$38:$H$89,3,FALSE),"")</f>
        <v>45804</v>
      </c>
      <c r="AC113" s="120" t="str">
        <f t="shared" si="42"/>
        <v>31-05 Jun</v>
      </c>
      <c r="AD113" s="121">
        <f>IFERROR($M113+VLOOKUP($L113,'Voyage days'!$F$94:$H$193,3,FALSE),"")</f>
        <v>45808</v>
      </c>
      <c r="AE113" s="121">
        <f>IFERROR($N113+VLOOKUP($L113,'Voyage days'!$F$94:$H$193,3,FALSE),"")</f>
        <v>45813</v>
      </c>
      <c r="AF113" s="120" t="str">
        <f t="shared" si="43"/>
        <v>03-08 Jun</v>
      </c>
      <c r="AG113" s="121">
        <f>IFERROR($M113+VLOOKUP($L113,'Voyage days'!$F$203:$H$256,3,FALSE),"")</f>
        <v>45811</v>
      </c>
      <c r="AH113" s="121">
        <f>IFERROR($N113+VLOOKUP($L113,'Voyage days'!$F$203:$H$256,3,FALSE),"")</f>
        <v>45816</v>
      </c>
      <c r="AI113" s="120" t="str">
        <f t="shared" si="44"/>
        <v>28-02 Jun</v>
      </c>
      <c r="AJ113" s="121">
        <f>IFERROR($M113+VLOOKUP($L113,'Voyage days'!$F$294:$H$377,3,FALSE),"")</f>
        <v>45805</v>
      </c>
      <c r="AK113" s="121">
        <f>IFERROR($N113+VLOOKUP($L113,'Voyage days'!$F$294:$H$377,3,FALSE),"")</f>
        <v>45810</v>
      </c>
      <c r="AL113" s="120" t="str">
        <f t="shared" si="45"/>
        <v>21-26 May</v>
      </c>
      <c r="AM113" s="121">
        <f>IFERROR($M113+VLOOKUP($L113,'Voyage days'!$F$382:$H$446,3,FALSE),"")</f>
        <v>45798</v>
      </c>
      <c r="AN113" s="121">
        <f>IFERROR($N113+VLOOKUP($L113,'Voyage days'!$F$382:$H$446,3,FALSE),"")</f>
        <v>45803</v>
      </c>
      <c r="AO113" s="120" t="str">
        <f t="shared" si="46"/>
        <v/>
      </c>
      <c r="AP113" s="121" t="str">
        <f>IFERROR($M113+VLOOKUP($L113,'Voyage days'!$F$483:$H$538,3,FALSE),"")</f>
        <v/>
      </c>
      <c r="AQ113" s="121" t="str">
        <f>IFERROR($N113+VLOOKUP($L113,'Voyage days'!$F$483:$H$538,3,FALSE),"")</f>
        <v/>
      </c>
      <c r="AR113" s="120" t="str">
        <f t="shared" si="47"/>
        <v/>
      </c>
      <c r="AS113" s="121" t="str">
        <f>IFERROR($M113+VLOOKUP($L113,'Voyage days'!$F$540:$H$613,3,FALSE),"")</f>
        <v/>
      </c>
      <c r="AT113" s="121" t="str">
        <f>IFERROR($N113+VLOOKUP($L113,'Voyage days'!$F$540:$H$613,3,FALSE),"")</f>
        <v/>
      </c>
      <c r="AU113" s="120" t="str">
        <f t="shared" si="48"/>
        <v/>
      </c>
      <c r="AV113" s="121" t="str">
        <f>IFERROR($M113+VLOOKUP($L113,'Voyage days'!$L$483:$N$535,3,FALSE),"")</f>
        <v/>
      </c>
      <c r="AW113" s="121" t="str">
        <f>IFERROR($N113+VLOOKUP($L113,'Voyage days'!$L$483:$N$535,3,FALSE),"")</f>
        <v/>
      </c>
      <c r="AX113" s="120" t="str">
        <f t="shared" si="49"/>
        <v/>
      </c>
      <c r="AY113" s="122" t="str">
        <f>IFERROR($M113+VLOOKUP($L113,'Voyage days'!$F$620:$H$646,3,FALSE),"")</f>
        <v/>
      </c>
      <c r="AZ113" s="122" t="str">
        <f>IFERROR($N113+VLOOKUP($L113,'Voyage days'!$F$620:$H$646,3,FALSE),"")</f>
        <v/>
      </c>
      <c r="BA113" s="120" t="str">
        <f t="shared" si="50"/>
        <v/>
      </c>
      <c r="BB113" s="123" t="str">
        <f>IFERROR($M113+VLOOKUP($L113,'Voyage days'!$F$702:$H$727,3,FALSE),"")</f>
        <v/>
      </c>
      <c r="BC113" s="120" t="str">
        <f t="shared" si="51"/>
        <v>14-19 May</v>
      </c>
      <c r="BD113" s="122">
        <f>IFERROR($M113+VLOOKUP($L113,'Voyage days'!$F$807:$H$878,3,FALSE),"")</f>
        <v>45791.5</v>
      </c>
      <c r="BE113" s="122">
        <f>IFERROR($N113+VLOOKUP($L113,'Voyage days'!$F$807:$H$878,3,FALSE),"")</f>
        <v>45796.5</v>
      </c>
      <c r="BF113" s="609"/>
      <c r="BG113" s="609"/>
      <c r="BH113" s="609"/>
      <c r="BI113" s="609"/>
      <c r="BJ113" s="609"/>
      <c r="BK113" s="609"/>
      <c r="BL113" s="609"/>
      <c r="BM113" s="609"/>
    </row>
    <row r="114" ht="15.75" customHeight="1">
      <c r="A114" s="338" t="s">
        <v>293</v>
      </c>
      <c r="B114" s="183">
        <v>2021.0</v>
      </c>
      <c r="C114" s="1045">
        <v>84000.0</v>
      </c>
      <c r="D114" s="104"/>
      <c r="E114" s="103" t="s">
        <v>689</v>
      </c>
      <c r="F114" s="604"/>
      <c r="G114" s="605">
        <v>47027.0</v>
      </c>
      <c r="H114" s="604"/>
      <c r="I114" s="299" t="s">
        <v>761</v>
      </c>
      <c r="J114" s="185"/>
      <c r="K114" s="336" t="str">
        <f t="shared" si="52"/>
        <v>Update</v>
      </c>
      <c r="L114" s="108" t="s">
        <v>656</v>
      </c>
      <c r="M114" s="109">
        <v>45818.0</v>
      </c>
      <c r="N114" s="109">
        <v>45821.0</v>
      </c>
      <c r="O114" s="334"/>
      <c r="P114" s="450"/>
      <c r="Q114" s="185"/>
      <c r="R114" s="108" t="s">
        <v>3001</v>
      </c>
      <c r="S114" s="256" t="s">
        <v>934</v>
      </c>
      <c r="T114" s="293">
        <v>45785.0</v>
      </c>
      <c r="U114" s="114" t="str">
        <f>IF(V114="","No AIS",VLOOKUP(V114,'Voyage days'!$A$3:$B$1480,2,FALSE))</f>
        <v>Port Louis</v>
      </c>
      <c r="V114" s="115" t="str">
        <f>IF(VLOOKUP(A114,'1) Kpler'!$E$2:$P$1000,8, FALSE)="","",VLOOKUP(A114,'1) Kpler'!$E$2:$P$1000,8, FALSE))</f>
        <v>Port Louis</v>
      </c>
      <c r="W114" s="116">
        <f>IF(VLOOKUP(A114,'1) Kpler'!$E$2:$P$1000,9,FALSE)="","",VLOOKUP(A114,'1) Kpler'!$E$2:$P$1000,9,FALSE))</f>
        <v>46132.33333</v>
      </c>
      <c r="X114" s="115" t="str">
        <f>VLOOKUP(A114,'1) Kpler'!$E$2:$I$1000,4,FALSE)</f>
        <v>ballast</v>
      </c>
      <c r="Y114" s="160" t="str">
        <f t="shared" si="40"/>
        <v>28-01 Jul</v>
      </c>
      <c r="Z114" s="120" t="str">
        <f t="shared" si="41"/>
        <v>28-01 Jul</v>
      </c>
      <c r="AA114" s="121">
        <f>IFERROR($M114+VLOOKUP($L114,'Voyage days'!$F$38:$H$89,3,FALSE),"")</f>
        <v>45836</v>
      </c>
      <c r="AB114" s="121">
        <f>IFERROR(N114+VLOOKUP($L114,'Voyage days'!$F$38:$H$89,3,FALSE),"")</f>
        <v>45839</v>
      </c>
      <c r="AC114" s="120" t="str">
        <f t="shared" si="42"/>
        <v>11-14 Jul</v>
      </c>
      <c r="AD114" s="121">
        <f>IFERROR($M114+VLOOKUP($L114,'Voyage days'!$F$94:$H$193,3,FALSE),"")</f>
        <v>45849</v>
      </c>
      <c r="AE114" s="121">
        <f>IFERROR($N114+VLOOKUP($L114,'Voyage days'!$F$94:$H$193,3,FALSE),"")</f>
        <v>45852</v>
      </c>
      <c r="AF114" s="120" t="str">
        <f t="shared" si="43"/>
        <v>18-21 Jul</v>
      </c>
      <c r="AG114" s="121">
        <f>IFERROR($M114+VLOOKUP($L114,'Voyage days'!$F$203:$H$256,3,FALSE),"")</f>
        <v>45856</v>
      </c>
      <c r="AH114" s="121">
        <f>IFERROR($N114+VLOOKUP($L114,'Voyage days'!$F$203:$H$256,3,FALSE),"")</f>
        <v>45859</v>
      </c>
      <c r="AI114" s="120" t="str">
        <f t="shared" si="44"/>
        <v>10-13 Jul</v>
      </c>
      <c r="AJ114" s="121">
        <f>IFERROR($M114+VLOOKUP($L114,'Voyage days'!$F$294:$H$377,3,FALSE),"")</f>
        <v>45848</v>
      </c>
      <c r="AK114" s="121">
        <f>IFERROR($N114+VLOOKUP($L114,'Voyage days'!$F$294:$H$377,3,FALSE),"")</f>
        <v>45851</v>
      </c>
      <c r="AL114" s="120" t="str">
        <f t="shared" si="45"/>
        <v>16-19 Jul</v>
      </c>
      <c r="AM114" s="121">
        <f>IFERROR($M114+VLOOKUP($L114,'Voyage days'!$F$382:$H$446,3,FALSE),"")</f>
        <v>45854</v>
      </c>
      <c r="AN114" s="121">
        <f>IFERROR($N114+VLOOKUP($L114,'Voyage days'!$F$382:$H$446,3,FALSE),"")</f>
        <v>45857</v>
      </c>
      <c r="AO114" s="120" t="str">
        <f t="shared" si="46"/>
        <v>23-26 Jun</v>
      </c>
      <c r="AP114" s="121">
        <f>IFERROR($M114+VLOOKUP($L114,'Voyage days'!$F$483:$H$538,3,FALSE),"")</f>
        <v>45831</v>
      </c>
      <c r="AQ114" s="121">
        <f>IFERROR($N114+VLOOKUP($L114,'Voyage days'!$F$483:$H$538,3,FALSE),"")</f>
        <v>45834</v>
      </c>
      <c r="AR114" s="120" t="str">
        <f t="shared" si="47"/>
        <v>18-21 Jun</v>
      </c>
      <c r="AS114" s="121">
        <f>IFERROR($M114+VLOOKUP($L114,'Voyage days'!$F$540:$H$613,3,FALSE),"")</f>
        <v>45826.25</v>
      </c>
      <c r="AT114" s="121">
        <f>IFERROR($N114+VLOOKUP($L114,'Voyage days'!$F$540:$H$613,3,FALSE),"")</f>
        <v>45829.25</v>
      </c>
      <c r="AU114" s="120" t="str">
        <f t="shared" si="48"/>
        <v/>
      </c>
      <c r="AV114" s="121" t="str">
        <f>IFERROR($M114+VLOOKUP($L114,'Voyage days'!$L$483:$N$535,3,FALSE),"")</f>
        <v/>
      </c>
      <c r="AW114" s="121" t="str">
        <f>IFERROR($N114+VLOOKUP($L114,'Voyage days'!$L$483:$N$535,3,FALSE),"")</f>
        <v/>
      </c>
      <c r="AX114" s="120" t="str">
        <f t="shared" si="49"/>
        <v>21-24 Jun</v>
      </c>
      <c r="AY114" s="122">
        <f>IFERROR($M114+VLOOKUP($L114,'Voyage days'!$F$620:$H$646,3,FALSE),"")</f>
        <v>45829</v>
      </c>
      <c r="AZ114" s="122">
        <f>IFERROR($N114+VLOOKUP($L114,'Voyage days'!$F$620:$H$646,3,FALSE),"")</f>
        <v>45832</v>
      </c>
      <c r="BA114" s="120" t="str">
        <f t="shared" si="50"/>
        <v>18-29 Jul</v>
      </c>
      <c r="BB114" s="123">
        <f>IFERROR($M114+VLOOKUP($L114,'Voyage days'!$F$702:$H$727,3,FALSE),"")</f>
        <v>45826.25</v>
      </c>
      <c r="BC114" s="120" t="str">
        <f t="shared" si="51"/>
        <v>26-29 Jul</v>
      </c>
      <c r="BD114" s="122">
        <f>IFERROR($M114+VLOOKUP($L114,'Voyage days'!$F$807:$H$878,3,FALSE),"")</f>
        <v>45864</v>
      </c>
      <c r="BE114" s="122">
        <f>IFERROR($N114+VLOOKUP($L114,'Voyage days'!$F$807:$H$878,3,FALSE),"")</f>
        <v>45867</v>
      </c>
      <c r="BF114" s="609"/>
      <c r="BG114" s="609"/>
      <c r="BH114" s="609"/>
      <c r="BI114" s="609"/>
      <c r="BJ114" s="609"/>
      <c r="BK114" s="609"/>
      <c r="BL114" s="609"/>
      <c r="BM114" s="609"/>
    </row>
    <row r="115" ht="15.75" customHeight="1">
      <c r="A115" s="338" t="s">
        <v>296</v>
      </c>
      <c r="B115" s="183">
        <v>2023.0</v>
      </c>
      <c r="C115" s="1045">
        <v>84000.0</v>
      </c>
      <c r="D115" s="104" t="s">
        <v>1687</v>
      </c>
      <c r="E115" s="103" t="s">
        <v>666</v>
      </c>
      <c r="F115" s="604">
        <v>44287.0</v>
      </c>
      <c r="G115" s="1110">
        <v>46813.0</v>
      </c>
      <c r="H115" s="103"/>
      <c r="I115" s="299" t="s">
        <v>761</v>
      </c>
      <c r="J115" s="185" t="s">
        <v>2984</v>
      </c>
      <c r="K115" s="336" t="str">
        <f t="shared" si="52"/>
        <v>NO AIS</v>
      </c>
      <c r="L115" s="108" t="s">
        <v>680</v>
      </c>
      <c r="M115" s="109">
        <v>45789.0</v>
      </c>
      <c r="N115" s="109">
        <v>45788.0</v>
      </c>
      <c r="O115" s="110"/>
      <c r="P115" s="185"/>
      <c r="Q115" s="185"/>
      <c r="R115" s="108" t="s">
        <v>3005</v>
      </c>
      <c r="S115" s="256" t="s">
        <v>934</v>
      </c>
      <c r="T115" s="293">
        <v>45788.0</v>
      </c>
      <c r="U115" s="114" t="str">
        <f>IF(V115="","No AIS",VLOOKUP(V115,'Voyage days'!$A$3:$B$1480,2,FALSE))</f>
        <v>No AIS</v>
      </c>
      <c r="V115" s="115" t="str">
        <f>IF(VLOOKUP(A115,'1) Kpler'!$E$2:$P$1000,8, FALSE)="","",VLOOKUP(A115,'1) Kpler'!$E$2:$P$1000,8, FALSE))</f>
        <v/>
      </c>
      <c r="W115" s="116" t="str">
        <f>IF(VLOOKUP(A115,'1) Kpler'!$E$2:$P$1000,9,FALSE)="","",VLOOKUP(A115,'1) Kpler'!$E$2:$P$1000,9,FALSE))</f>
        <v/>
      </c>
      <c r="X115" s="115" t="str">
        <f>VLOOKUP(A115,'1) Kpler'!$E$2:$I$1000,4,FALSE)</f>
        <v>loaded</v>
      </c>
      <c r="Y115" s="117" t="str">
        <f t="shared" si="40"/>
        <v/>
      </c>
      <c r="Z115" s="120" t="str">
        <f t="shared" si="41"/>
        <v/>
      </c>
      <c r="AA115" s="121" t="str">
        <f>IFERROR($M115+VLOOKUP($L115,'Voyage days'!$F$38:$H$89,3,FALSE),"")</f>
        <v/>
      </c>
      <c r="AB115" s="121" t="str">
        <f>IFERROR(N115+VLOOKUP($L115,'Voyage days'!$F$38:$H$89,3,FALSE),"")</f>
        <v/>
      </c>
      <c r="AC115" s="120" t="str">
        <f t="shared" si="42"/>
        <v>12-11 May</v>
      </c>
      <c r="AD115" s="121">
        <f>IFERROR($M115+VLOOKUP($L115,'Voyage days'!$F$94:$H$193,3,FALSE),"")</f>
        <v>45789</v>
      </c>
      <c r="AE115" s="121">
        <f>IFERROR($N115+VLOOKUP($L115,'Voyage days'!$F$94:$H$193,3,FALSE),"")</f>
        <v>45788</v>
      </c>
      <c r="AF115" s="120" t="str">
        <f t="shared" si="43"/>
        <v>12-11 May</v>
      </c>
      <c r="AG115" s="121">
        <f>IFERROR($M115+VLOOKUP($L115,'Voyage days'!$F$203:$H$256,3,FALSE),"")</f>
        <v>45789</v>
      </c>
      <c r="AH115" s="121">
        <f>IFERROR($N115+VLOOKUP($L115,'Voyage days'!$F$203:$H$256,3,FALSE),"")</f>
        <v>45788</v>
      </c>
      <c r="AI115" s="120" t="str">
        <f t="shared" si="44"/>
        <v/>
      </c>
      <c r="AJ115" s="121" t="str">
        <f>IFERROR($M115+VLOOKUP($L115,'Voyage days'!$F$294:$H$377,3,FALSE),"")</f>
        <v/>
      </c>
      <c r="AK115" s="121" t="str">
        <f>IFERROR($N115+VLOOKUP($L115,'Voyage days'!$F$294:$H$377,3,FALSE),"")</f>
        <v/>
      </c>
      <c r="AL115" s="120" t="str">
        <f t="shared" si="45"/>
        <v>01-31 May</v>
      </c>
      <c r="AM115" s="121">
        <f>IFERROR($M115+VLOOKUP($L115,'Voyage days'!$F$382:$H$446,3,FALSE),"")</f>
        <v>45809</v>
      </c>
      <c r="AN115" s="121">
        <f>IFERROR($N115+VLOOKUP($L115,'Voyage days'!$F$382:$H$446,3,FALSE),"")</f>
        <v>45808</v>
      </c>
      <c r="AO115" s="120" t="str">
        <f t="shared" si="46"/>
        <v/>
      </c>
      <c r="AP115" s="121" t="str">
        <f>IFERROR($M115+VLOOKUP($L115,'Voyage days'!$F$483:$H$538,3,FALSE),"")</f>
        <v/>
      </c>
      <c r="AQ115" s="121" t="str">
        <f>IFERROR($N115+VLOOKUP($L115,'Voyage days'!$F$483:$H$538,3,FALSE),"")</f>
        <v/>
      </c>
      <c r="AR115" s="120" t="str">
        <f t="shared" si="47"/>
        <v/>
      </c>
      <c r="AS115" s="121" t="str">
        <f>IFERROR($M115+VLOOKUP($L115,'Voyage days'!$F$540:$H$613,3,FALSE),"")</f>
        <v/>
      </c>
      <c r="AT115" s="121" t="str">
        <f>IFERROR($N115+VLOOKUP($L115,'Voyage days'!$F$540:$H$613,3,FALSE),"")</f>
        <v/>
      </c>
      <c r="AU115" s="120" t="str">
        <f t="shared" si="48"/>
        <v/>
      </c>
      <c r="AV115" s="121" t="str">
        <f>IFERROR($M115+VLOOKUP($L115,'Voyage days'!$L$483:$N$535,3,FALSE),"")</f>
        <v/>
      </c>
      <c r="AW115" s="121" t="str">
        <f>IFERROR($N115+VLOOKUP($L115,'Voyage days'!$L$483:$N$535,3,FALSE),"")</f>
        <v/>
      </c>
      <c r="AX115" s="120" t="str">
        <f t="shared" si="49"/>
        <v/>
      </c>
      <c r="AY115" s="122" t="str">
        <f>IFERROR($M115+VLOOKUP($L115,'Voyage days'!$F$620:$H$646,3,FALSE),"")</f>
        <v/>
      </c>
      <c r="AZ115" s="122" t="str">
        <f>IFERROR($N115+VLOOKUP($L115,'Voyage days'!$F$620:$H$646,3,FALSE),"")</f>
        <v/>
      </c>
      <c r="BA115" s="120" t="str">
        <f t="shared" si="50"/>
        <v/>
      </c>
      <c r="BB115" s="123" t="str">
        <f>IFERROR($M115+VLOOKUP($L115,'Voyage days'!$F$702:$H$727,3,FALSE),"")</f>
        <v/>
      </c>
      <c r="BC115" s="120" t="str">
        <f t="shared" si="51"/>
        <v/>
      </c>
      <c r="BD115" s="122" t="str">
        <f>IFERROR($M115+VLOOKUP($L115,'Voyage days'!$F$807:$H$878,3,FALSE),"")</f>
        <v/>
      </c>
      <c r="BE115" s="122" t="str">
        <f>IFERROR($N115+VLOOKUP($L115,'Voyage days'!$F$807:$H$878,3,FALSE),"")</f>
        <v/>
      </c>
      <c r="BF115" s="609"/>
      <c r="BG115" s="609"/>
      <c r="BH115" s="609"/>
      <c r="BI115" s="609"/>
      <c r="BJ115" s="609"/>
      <c r="BK115" s="609"/>
      <c r="BL115" s="609"/>
      <c r="BM115" s="609"/>
    </row>
    <row r="116" ht="15.75" customHeight="1">
      <c r="A116" s="298" t="s">
        <v>297</v>
      </c>
      <c r="B116" s="148">
        <v>2023.0</v>
      </c>
      <c r="C116" s="1045">
        <v>86000.0</v>
      </c>
      <c r="D116" s="104"/>
      <c r="E116" s="103" t="s">
        <v>666</v>
      </c>
      <c r="F116" s="103"/>
      <c r="G116" s="605">
        <v>46905.0</v>
      </c>
      <c r="H116" s="604"/>
      <c r="I116" s="299" t="s">
        <v>761</v>
      </c>
      <c r="J116" s="111"/>
      <c r="K116" s="336" t="str">
        <f t="shared" si="52"/>
        <v>Update</v>
      </c>
      <c r="L116" s="108" t="s">
        <v>680</v>
      </c>
      <c r="M116" s="109">
        <v>45789.0</v>
      </c>
      <c r="N116" s="109">
        <v>45790.0</v>
      </c>
      <c r="O116" s="110"/>
      <c r="P116" s="185"/>
      <c r="Q116" s="185"/>
      <c r="R116" s="108" t="s">
        <v>3006</v>
      </c>
      <c r="S116" s="256" t="s">
        <v>934</v>
      </c>
      <c r="T116" s="293">
        <v>45788.0</v>
      </c>
      <c r="U116" s="114" t="str">
        <f>IF(V116="","No AIS",VLOOKUP(V116,'Voyage days'!$A$3:$B$1480,2,FALSE))</f>
        <v>Korea+3/+1 bunkers</v>
      </c>
      <c r="V116" s="115" t="str">
        <f>IF(VLOOKUP(A116,'1) Kpler'!$E$2:$P$1000,8, FALSE)="","",VLOOKUP(A116,'1) Kpler'!$E$2:$P$1000,8, FALSE))</f>
        <v>Yeosu</v>
      </c>
      <c r="W116" s="116">
        <f>IF(VLOOKUP(A116,'1) Kpler'!$E$2:$P$1000,9,FALSE)="","",VLOOKUP(A116,'1) Kpler'!$E$2:$P$1000,9,FALSE))</f>
        <v>46150.33333</v>
      </c>
      <c r="X116" s="115" t="str">
        <f>VLOOKUP(A116,'1) Kpler'!$E$2:$I$1000,4,FALSE)</f>
        <v>ballast</v>
      </c>
      <c r="Y116" s="160" t="str">
        <f t="shared" si="40"/>
        <v/>
      </c>
      <c r="Z116" s="120" t="str">
        <f t="shared" si="41"/>
        <v/>
      </c>
      <c r="AA116" s="121" t="str">
        <f>IFERROR($M116+VLOOKUP($L116,'Voyage days'!$F$38:$H$89,3,FALSE),"")</f>
        <v/>
      </c>
      <c r="AB116" s="121" t="str">
        <f>IFERROR(N116+VLOOKUP($L116,'Voyage days'!$F$38:$H$89,3,FALSE),"")</f>
        <v/>
      </c>
      <c r="AC116" s="120" t="str">
        <f t="shared" si="42"/>
        <v>12-13 May</v>
      </c>
      <c r="AD116" s="121">
        <f>IFERROR($M116+VLOOKUP($L116,'Voyage days'!$F$94:$H$193,3,FALSE),"")</f>
        <v>45789</v>
      </c>
      <c r="AE116" s="121">
        <f>IFERROR($N116+VLOOKUP($L116,'Voyage days'!$F$94:$H$193,3,FALSE),"")</f>
        <v>45790</v>
      </c>
      <c r="AF116" s="120" t="str">
        <f t="shared" si="43"/>
        <v>12-13 May</v>
      </c>
      <c r="AG116" s="121">
        <f>IFERROR($M116+VLOOKUP($L116,'Voyage days'!$F$203:$H$256,3,FALSE),"")</f>
        <v>45789</v>
      </c>
      <c r="AH116" s="121">
        <f>IFERROR($N116+VLOOKUP($L116,'Voyage days'!$F$203:$H$256,3,FALSE),"")</f>
        <v>45790</v>
      </c>
      <c r="AI116" s="120" t="str">
        <f t="shared" si="44"/>
        <v/>
      </c>
      <c r="AJ116" s="121" t="str">
        <f>IFERROR($M116+VLOOKUP($L116,'Voyage days'!$F$294:$H$377,3,FALSE),"")</f>
        <v/>
      </c>
      <c r="AK116" s="121" t="str">
        <f>IFERROR($N116+VLOOKUP($L116,'Voyage days'!$F$294:$H$377,3,FALSE),"")</f>
        <v/>
      </c>
      <c r="AL116" s="120" t="str">
        <f t="shared" si="45"/>
        <v>01-02 Jun</v>
      </c>
      <c r="AM116" s="121">
        <f>IFERROR($M116+VLOOKUP($L116,'Voyage days'!$F$382:$H$446,3,FALSE),"")</f>
        <v>45809</v>
      </c>
      <c r="AN116" s="121">
        <f>IFERROR($N116+VLOOKUP($L116,'Voyage days'!$F$382:$H$446,3,FALSE),"")</f>
        <v>45810</v>
      </c>
      <c r="AO116" s="120" t="str">
        <f t="shared" si="46"/>
        <v/>
      </c>
      <c r="AP116" s="121" t="str">
        <f>IFERROR($M116+VLOOKUP($L116,'Voyage days'!$F$483:$H$538,3,FALSE),"")</f>
        <v/>
      </c>
      <c r="AQ116" s="121" t="str">
        <f>IFERROR($N116+VLOOKUP($L116,'Voyage days'!$F$483:$H$538,3,FALSE),"")</f>
        <v/>
      </c>
      <c r="AR116" s="120" t="str">
        <f t="shared" si="47"/>
        <v/>
      </c>
      <c r="AS116" s="121" t="str">
        <f>IFERROR($M116+VLOOKUP($L116,'Voyage days'!$F$540:$H$613,3,FALSE),"")</f>
        <v/>
      </c>
      <c r="AT116" s="121" t="str">
        <f>IFERROR($N116+VLOOKUP($L116,'Voyage days'!$F$540:$H$613,3,FALSE),"")</f>
        <v/>
      </c>
      <c r="AU116" s="120" t="str">
        <f t="shared" si="48"/>
        <v/>
      </c>
      <c r="AV116" s="121" t="str">
        <f>IFERROR($M116+VLOOKUP($L116,'Voyage days'!$L$483:$N$535,3,FALSE),"")</f>
        <v/>
      </c>
      <c r="AW116" s="121" t="str">
        <f>IFERROR($N116+VLOOKUP($L116,'Voyage days'!$L$483:$N$535,3,FALSE),"")</f>
        <v/>
      </c>
      <c r="AX116" s="120" t="str">
        <f t="shared" si="49"/>
        <v/>
      </c>
      <c r="AY116" s="122" t="str">
        <f>IFERROR($M116+VLOOKUP($L116,'Voyage days'!$F$620:$H$646,3,FALSE),"")</f>
        <v/>
      </c>
      <c r="AZ116" s="122" t="str">
        <f>IFERROR($N116+VLOOKUP($L116,'Voyage days'!$F$620:$H$646,3,FALSE),"")</f>
        <v/>
      </c>
      <c r="BA116" s="120" t="str">
        <f t="shared" si="50"/>
        <v/>
      </c>
      <c r="BB116" s="123" t="str">
        <f>IFERROR($M116+VLOOKUP($L116,'Voyage days'!$F$702:$H$727,3,FALSE),"")</f>
        <v/>
      </c>
      <c r="BC116" s="120" t="str">
        <f t="shared" si="51"/>
        <v/>
      </c>
      <c r="BD116" s="122" t="str">
        <f>IFERROR($M116+VLOOKUP($L116,'Voyage days'!$F$807:$H$878,3,FALSE),"")</f>
        <v/>
      </c>
      <c r="BE116" s="122" t="str">
        <f>IFERROR($N116+VLOOKUP($L116,'Voyage days'!$F$807:$H$878,3,FALSE),"")</f>
        <v/>
      </c>
      <c r="BF116" s="609"/>
      <c r="BG116" s="609"/>
      <c r="BH116" s="609"/>
      <c r="BI116" s="609"/>
      <c r="BJ116" s="609"/>
      <c r="BK116" s="609"/>
      <c r="BL116" s="609"/>
      <c r="BM116" s="609"/>
    </row>
    <row r="117" ht="15.75" customHeight="1">
      <c r="A117" s="80" t="s">
        <v>793</v>
      </c>
      <c r="B117" s="148">
        <v>2023.0</v>
      </c>
      <c r="C117" s="1045">
        <v>91000.0</v>
      </c>
      <c r="D117" s="104"/>
      <c r="E117" s="103" t="s">
        <v>666</v>
      </c>
      <c r="F117" s="604"/>
      <c r="G117" s="1085">
        <v>46905.0</v>
      </c>
      <c r="H117" s="103"/>
      <c r="I117" s="299" t="s">
        <v>761</v>
      </c>
      <c r="J117" s="111"/>
      <c r="K117" s="336" t="str">
        <f t="shared" si="52"/>
        <v>Update</v>
      </c>
      <c r="L117" s="185" t="s">
        <v>680</v>
      </c>
      <c r="M117" s="109">
        <v>45800.0</v>
      </c>
      <c r="N117" s="109">
        <v>45801.0</v>
      </c>
      <c r="O117" s="110"/>
      <c r="P117" s="185"/>
      <c r="Q117" s="185"/>
      <c r="R117" s="108" t="s">
        <v>3007</v>
      </c>
      <c r="S117" s="256" t="s">
        <v>934</v>
      </c>
      <c r="T117" s="293">
        <v>45788.0</v>
      </c>
      <c r="U117" s="114" t="str">
        <f>IF(V117="","No AIS",VLOOKUP(V117,'Voyage days'!$A$3:$B$1480,2,FALSE))</f>
        <v>USG</v>
      </c>
      <c r="V117" s="115" t="str">
        <f>IF(VLOOKUP(A117,'1) Kpler'!$E$2:$P$1000,8, FALSE)="","",VLOOKUP(A117,'1) Kpler'!$E$2:$P$1000,8, FALSE))</f>
        <v>Energy Transfer Nederland</v>
      </c>
      <c r="W117" s="116">
        <f>IF(VLOOKUP(A117,'1) Kpler'!$E$2:$P$1000,9,FALSE)="","",VLOOKUP(A117,'1) Kpler'!$E$2:$P$1000,9,FALSE))</f>
        <v>46134.00069</v>
      </c>
      <c r="X117" s="115" t="str">
        <f>VLOOKUP(A117,'1) Kpler'!$E$2:$I$1000,4,FALSE)</f>
        <v>ballast</v>
      </c>
      <c r="Y117" s="117" t="str">
        <f t="shared" si="40"/>
        <v/>
      </c>
      <c r="Z117" s="120" t="str">
        <f t="shared" si="41"/>
        <v/>
      </c>
      <c r="AA117" s="121" t="str">
        <f>IFERROR($M117+VLOOKUP($L117,'Voyage days'!$F$38:$H$89,3,FALSE),"")</f>
        <v/>
      </c>
      <c r="AB117" s="121" t="str">
        <f>IFERROR(N117+VLOOKUP($L117,'Voyage days'!$F$38:$H$89,3,FALSE),"")</f>
        <v/>
      </c>
      <c r="AC117" s="120" t="str">
        <f t="shared" si="42"/>
        <v>23-24 May</v>
      </c>
      <c r="AD117" s="121">
        <f>IFERROR($M117+VLOOKUP($L117,'Voyage days'!$F$94:$H$193,3,FALSE),"")</f>
        <v>45800</v>
      </c>
      <c r="AE117" s="121">
        <f>IFERROR($N117+VLOOKUP($L117,'Voyage days'!$F$94:$H$193,3,FALSE),"")</f>
        <v>45801</v>
      </c>
      <c r="AF117" s="120" t="str">
        <f t="shared" si="43"/>
        <v>23-24 May</v>
      </c>
      <c r="AG117" s="121">
        <f>IFERROR($M117+VLOOKUP($L117,'Voyage days'!$F$203:$H$256,3,FALSE),"")</f>
        <v>45800</v>
      </c>
      <c r="AH117" s="121">
        <f>IFERROR($N117+VLOOKUP($L117,'Voyage days'!$F$203:$H$256,3,FALSE),"")</f>
        <v>45801</v>
      </c>
      <c r="AI117" s="120" t="str">
        <f t="shared" si="44"/>
        <v/>
      </c>
      <c r="AJ117" s="121" t="str">
        <f>IFERROR($M117+VLOOKUP($L117,'Voyage days'!$F$294:$H$377,3,FALSE),"")</f>
        <v/>
      </c>
      <c r="AK117" s="121" t="str">
        <f>IFERROR($N117+VLOOKUP($L117,'Voyage days'!$F$294:$H$377,3,FALSE),"")</f>
        <v/>
      </c>
      <c r="AL117" s="120" t="str">
        <f t="shared" si="45"/>
        <v>12-13 Jun</v>
      </c>
      <c r="AM117" s="121">
        <f>IFERROR($M117+VLOOKUP($L117,'Voyage days'!$F$382:$H$446,3,FALSE),"")</f>
        <v>45820</v>
      </c>
      <c r="AN117" s="121">
        <f>IFERROR($N117+VLOOKUP($L117,'Voyage days'!$F$382:$H$446,3,FALSE),"")</f>
        <v>45821</v>
      </c>
      <c r="AO117" s="120" t="str">
        <f t="shared" si="46"/>
        <v/>
      </c>
      <c r="AP117" s="121" t="str">
        <f>IFERROR($M117+VLOOKUP($L117,'Voyage days'!$F$483:$H$538,3,FALSE),"")</f>
        <v/>
      </c>
      <c r="AQ117" s="121" t="str">
        <f>IFERROR($N117+VLOOKUP($L117,'Voyage days'!$F$483:$H$538,3,FALSE),"")</f>
        <v/>
      </c>
      <c r="AR117" s="120" t="str">
        <f t="shared" si="47"/>
        <v/>
      </c>
      <c r="AS117" s="121" t="str">
        <f>IFERROR($M117+VLOOKUP($L117,'Voyage days'!$F$540:$H$613,3,FALSE),"")</f>
        <v/>
      </c>
      <c r="AT117" s="121" t="str">
        <f>IFERROR($N117+VLOOKUP($L117,'Voyage days'!$F$540:$H$613,3,FALSE),"")</f>
        <v/>
      </c>
      <c r="AU117" s="120" t="str">
        <f t="shared" si="48"/>
        <v/>
      </c>
      <c r="AV117" s="121" t="str">
        <f>IFERROR($M117+VLOOKUP($L117,'Voyage days'!$L$483:$N$535,3,FALSE),"")</f>
        <v/>
      </c>
      <c r="AW117" s="121" t="str">
        <f>IFERROR($N117+VLOOKUP($L117,'Voyage days'!$L$483:$N$535,3,FALSE),"")</f>
        <v/>
      </c>
      <c r="AX117" s="120" t="str">
        <f t="shared" si="49"/>
        <v/>
      </c>
      <c r="AY117" s="122" t="str">
        <f>IFERROR($M117+VLOOKUP($L117,'Voyage days'!$F$620:$H$646,3,FALSE),"")</f>
        <v/>
      </c>
      <c r="AZ117" s="122" t="str">
        <f>IFERROR($N117+VLOOKUP($L117,'Voyage days'!$F$620:$H$646,3,FALSE),"")</f>
        <v/>
      </c>
      <c r="BA117" s="120" t="str">
        <f t="shared" si="50"/>
        <v/>
      </c>
      <c r="BB117" s="123" t="str">
        <f>IFERROR($M117+VLOOKUP($L117,'Voyage days'!$F$702:$H$727,3,FALSE),"")</f>
        <v/>
      </c>
      <c r="BC117" s="120" t="str">
        <f t="shared" si="51"/>
        <v/>
      </c>
      <c r="BD117" s="122" t="str">
        <f>IFERROR($M117+VLOOKUP($L117,'Voyage days'!$F$807:$H$878,3,FALSE),"")</f>
        <v/>
      </c>
      <c r="BE117" s="122" t="str">
        <f>IFERROR($N117+VLOOKUP($L117,'Voyage days'!$F$807:$H$878,3,FALSE),"")</f>
        <v/>
      </c>
      <c r="BF117" s="609"/>
      <c r="BG117" s="609"/>
      <c r="BH117" s="609"/>
      <c r="BI117" s="609"/>
      <c r="BJ117" s="609"/>
      <c r="BK117" s="609"/>
      <c r="BL117" s="609"/>
      <c r="BM117" s="609"/>
    </row>
    <row r="118" ht="15.75" customHeight="1">
      <c r="A118" s="80" t="s">
        <v>410</v>
      </c>
      <c r="B118" s="148">
        <v>2023.0</v>
      </c>
      <c r="C118" s="1045">
        <v>91000.0</v>
      </c>
      <c r="D118" s="104"/>
      <c r="E118" s="103" t="s">
        <v>666</v>
      </c>
      <c r="F118" s="1109"/>
      <c r="G118" s="605">
        <v>45748.0</v>
      </c>
      <c r="H118" s="103"/>
      <c r="I118" s="299" t="s">
        <v>761</v>
      </c>
      <c r="J118" s="185"/>
      <c r="K118" s="336" t="str">
        <f t="shared" si="52"/>
        <v>Update</v>
      </c>
      <c r="L118" s="108" t="s">
        <v>745</v>
      </c>
      <c r="M118" s="109">
        <v>45815.0</v>
      </c>
      <c r="N118" s="109">
        <v>45818.0</v>
      </c>
      <c r="O118" s="110"/>
      <c r="P118" s="185"/>
      <c r="Q118" s="185"/>
      <c r="R118" s="108" t="s">
        <v>3008</v>
      </c>
      <c r="S118" s="112" t="s">
        <v>934</v>
      </c>
      <c r="T118" s="113">
        <v>45782.0</v>
      </c>
      <c r="U118" s="114" t="str">
        <f>IF(V118="","No AIS",VLOOKUP(V118,'Voyage days'!$A$3:$B$1480,2,FALSE))</f>
        <v>Suez + 7</v>
      </c>
      <c r="V118" s="115" t="str">
        <f>IF(VLOOKUP(A118,'1) Kpler'!$E$2:$P$1000,8, FALSE)="","",VLOOKUP(A118,'1) Kpler'!$E$2:$P$1000,8, FALSE))</f>
        <v>Port Said</v>
      </c>
      <c r="W118" s="116">
        <f>IF(VLOOKUP(A118,'1) Kpler'!$E$2:$P$1000,9,FALSE)="","",VLOOKUP(A118,'1) Kpler'!$E$2:$P$1000,9,FALSE))</f>
        <v>46132.625</v>
      </c>
      <c r="X118" s="115" t="str">
        <f>VLOOKUP(A118,'1) Kpler'!$E$2:$I$1000,4,FALSE)</f>
        <v>loaded</v>
      </c>
      <c r="Y118" s="160" t="str">
        <f t="shared" si="40"/>
        <v>16-19 Jun</v>
      </c>
      <c r="Z118" s="120" t="str">
        <f t="shared" si="41"/>
        <v>16-19 Jun</v>
      </c>
      <c r="AA118" s="121">
        <f>IFERROR($M118+VLOOKUP($L118,'Voyage days'!$F$38:$H$89,3,FALSE),"")</f>
        <v>45824</v>
      </c>
      <c r="AB118" s="121">
        <f>IFERROR(N118+VLOOKUP($L118,'Voyage days'!$F$38:$H$89,3,FALSE),"")</f>
        <v>45827</v>
      </c>
      <c r="AC118" s="120" t="str">
        <f t="shared" si="42"/>
        <v>25-28 Jun</v>
      </c>
      <c r="AD118" s="121">
        <f>IFERROR($M118+VLOOKUP($L118,'Voyage days'!$F$94:$H$193,3,FALSE),"")</f>
        <v>45833</v>
      </c>
      <c r="AE118" s="121">
        <f>IFERROR($N118+VLOOKUP($L118,'Voyage days'!$F$94:$H$193,3,FALSE),"")</f>
        <v>45836</v>
      </c>
      <c r="AF118" s="120" t="str">
        <f t="shared" si="43"/>
        <v>28-01 Jul</v>
      </c>
      <c r="AG118" s="121">
        <f>IFERROR($M118+VLOOKUP($L118,'Voyage days'!$F$203:$H$256,3,FALSE),"")</f>
        <v>45836</v>
      </c>
      <c r="AH118" s="121">
        <f>IFERROR($N118+VLOOKUP($L118,'Voyage days'!$F$203:$H$256,3,FALSE),"")</f>
        <v>45839</v>
      </c>
      <c r="AI118" s="120" t="str">
        <f t="shared" si="44"/>
        <v>22-25 Jun</v>
      </c>
      <c r="AJ118" s="121">
        <f>IFERROR($M118+VLOOKUP($L118,'Voyage days'!$F$294:$H$377,3,FALSE),"")</f>
        <v>45830</v>
      </c>
      <c r="AK118" s="121">
        <f>IFERROR($N118+VLOOKUP($L118,'Voyage days'!$F$294:$H$377,3,FALSE),"")</f>
        <v>45833</v>
      </c>
      <c r="AL118" s="120" t="str">
        <f t="shared" si="45"/>
        <v>15-18 Jun</v>
      </c>
      <c r="AM118" s="121">
        <f>IFERROR($M118+VLOOKUP($L118,'Voyage days'!$F$382:$H$446,3,FALSE),"")</f>
        <v>45823</v>
      </c>
      <c r="AN118" s="121">
        <f>IFERROR($N118+VLOOKUP($L118,'Voyage days'!$F$382:$H$446,3,FALSE),"")</f>
        <v>45826</v>
      </c>
      <c r="AO118" s="120" t="str">
        <f t="shared" si="46"/>
        <v/>
      </c>
      <c r="AP118" s="121" t="str">
        <f>IFERROR($M118+VLOOKUP($L118,'Voyage days'!$F$483:$H$538,3,FALSE),"")</f>
        <v/>
      </c>
      <c r="AQ118" s="121" t="str">
        <f>IFERROR($N118+VLOOKUP($L118,'Voyage days'!$F$483:$H$538,3,FALSE),"")</f>
        <v/>
      </c>
      <c r="AR118" s="120" t="str">
        <f t="shared" si="47"/>
        <v/>
      </c>
      <c r="AS118" s="121" t="str">
        <f>IFERROR($M118+VLOOKUP($L118,'Voyage days'!$F$540:$H$613,3,FALSE),"")</f>
        <v/>
      </c>
      <c r="AT118" s="121" t="str">
        <f>IFERROR($N118+VLOOKUP($L118,'Voyage days'!$F$540:$H$613,3,FALSE),"")</f>
        <v/>
      </c>
      <c r="AU118" s="120" t="str">
        <f t="shared" si="48"/>
        <v/>
      </c>
      <c r="AV118" s="121" t="str">
        <f>IFERROR($M118+VLOOKUP($L118,'Voyage days'!$L$483:$N$535,3,FALSE),"")</f>
        <v/>
      </c>
      <c r="AW118" s="121" t="str">
        <f>IFERROR($N118+VLOOKUP($L118,'Voyage days'!$L$483:$N$535,3,FALSE),"")</f>
        <v/>
      </c>
      <c r="AX118" s="120" t="str">
        <f t="shared" si="49"/>
        <v/>
      </c>
      <c r="AY118" s="122" t="str">
        <f>IFERROR($M118+VLOOKUP($L118,'Voyage days'!$F$620:$H$646,3,FALSE),"")</f>
        <v/>
      </c>
      <c r="AZ118" s="122" t="str">
        <f>IFERROR($N118+VLOOKUP($L118,'Voyage days'!$F$620:$H$646,3,FALSE),"")</f>
        <v/>
      </c>
      <c r="BA118" s="120" t="str">
        <f t="shared" si="50"/>
        <v/>
      </c>
      <c r="BB118" s="123" t="str">
        <f>IFERROR($M118+VLOOKUP($L118,'Voyage days'!$F$702:$H$727,3,FALSE),"")</f>
        <v/>
      </c>
      <c r="BC118" s="120" t="str">
        <f t="shared" si="51"/>
        <v>08-11 Jun</v>
      </c>
      <c r="BD118" s="122">
        <f>IFERROR($M118+VLOOKUP($L118,'Voyage days'!$F$807:$H$878,3,FALSE),"")</f>
        <v>45816.5</v>
      </c>
      <c r="BE118" s="122">
        <f>IFERROR($N118+VLOOKUP($L118,'Voyage days'!$F$807:$H$878,3,FALSE),"")</f>
        <v>45819.5</v>
      </c>
      <c r="BF118" s="609"/>
      <c r="BG118" s="609"/>
      <c r="BH118" s="609"/>
      <c r="BI118" s="609"/>
      <c r="BJ118" s="609"/>
      <c r="BK118" s="609"/>
      <c r="BL118" s="609"/>
      <c r="BM118" s="609"/>
    </row>
    <row r="119" ht="15.75" customHeight="1">
      <c r="A119" s="80" t="s">
        <v>411</v>
      </c>
      <c r="B119" s="148">
        <v>2023.0</v>
      </c>
      <c r="C119" s="1045">
        <v>84000.0</v>
      </c>
      <c r="D119" s="104" t="s">
        <v>1687</v>
      </c>
      <c r="E119" s="103" t="s">
        <v>666</v>
      </c>
      <c r="F119" s="604"/>
      <c r="G119" s="605">
        <v>45658.0</v>
      </c>
      <c r="H119" s="103"/>
      <c r="I119" s="299" t="s">
        <v>761</v>
      </c>
      <c r="J119" s="111"/>
      <c r="K119" s="336" t="str">
        <f t="shared" si="52"/>
        <v>Update</v>
      </c>
      <c r="L119" s="108" t="s">
        <v>745</v>
      </c>
      <c r="M119" s="109">
        <v>45791.0</v>
      </c>
      <c r="N119" s="109">
        <v>45796.0</v>
      </c>
      <c r="O119" s="110"/>
      <c r="P119" s="104"/>
      <c r="Q119" s="185"/>
      <c r="R119" s="185"/>
      <c r="S119" s="112" t="s">
        <v>3009</v>
      </c>
      <c r="T119" s="113">
        <v>45781.0</v>
      </c>
      <c r="U119" s="114" t="str">
        <f>IF(V119="","No AIS",VLOOKUP(V119,'Voyage days'!$A$3:$B$1480,2,FALSE))</f>
        <v>Panama</v>
      </c>
      <c r="V119" s="115" t="str">
        <f>IF(VLOOKUP(A119,'1) Kpler'!$E$2:$P$1000,8, FALSE)="","",VLOOKUP(A119,'1) Kpler'!$E$2:$P$1000,8, FALSE))</f>
        <v>Panama Canal</v>
      </c>
      <c r="W119" s="116">
        <f>IF(VLOOKUP(A119,'1) Kpler'!$E$2:$P$1000,9,FALSE)="","",VLOOKUP(A119,'1) Kpler'!$E$2:$P$1000,9,FALSE))</f>
        <v>46145.70833</v>
      </c>
      <c r="X119" s="115" t="str">
        <f>VLOOKUP(A119,'1) Kpler'!$E$2:$I$1000,4,FALSE)</f>
        <v>ballast</v>
      </c>
      <c r="Y119" s="117" t="str">
        <f t="shared" si="40"/>
        <v>23-28 May</v>
      </c>
      <c r="Z119" s="120" t="str">
        <f t="shared" si="41"/>
        <v>23-28 May</v>
      </c>
      <c r="AA119" s="121">
        <f>IFERROR($M119+VLOOKUP($L119,'Voyage days'!$F$38:$H$89,3,FALSE),"")</f>
        <v>45800</v>
      </c>
      <c r="AB119" s="121">
        <f>IFERROR(N119+VLOOKUP($L119,'Voyage days'!$F$38:$H$89,3,FALSE),"")</f>
        <v>45805</v>
      </c>
      <c r="AC119" s="120" t="str">
        <f t="shared" si="42"/>
        <v>01-06 Jun</v>
      </c>
      <c r="AD119" s="121">
        <f>IFERROR($M119+VLOOKUP($L119,'Voyage days'!$F$94:$H$193,3,FALSE),"")</f>
        <v>45809</v>
      </c>
      <c r="AE119" s="121">
        <f>IFERROR($N119+VLOOKUP($L119,'Voyage days'!$F$94:$H$193,3,FALSE),"")</f>
        <v>45814</v>
      </c>
      <c r="AF119" s="120" t="str">
        <f t="shared" si="43"/>
        <v>04-09 Jun</v>
      </c>
      <c r="AG119" s="121">
        <f>IFERROR($M119+VLOOKUP($L119,'Voyage days'!$F$203:$H$256,3,FALSE),"")</f>
        <v>45812</v>
      </c>
      <c r="AH119" s="121">
        <f>IFERROR($N119+VLOOKUP($L119,'Voyage days'!$F$203:$H$256,3,FALSE),"")</f>
        <v>45817</v>
      </c>
      <c r="AI119" s="120" t="str">
        <f t="shared" si="44"/>
        <v>29-03 Jun</v>
      </c>
      <c r="AJ119" s="121">
        <f>IFERROR($M119+VLOOKUP($L119,'Voyage days'!$F$294:$H$377,3,FALSE),"")</f>
        <v>45806</v>
      </c>
      <c r="AK119" s="121">
        <f>IFERROR($N119+VLOOKUP($L119,'Voyage days'!$F$294:$H$377,3,FALSE),"")</f>
        <v>45811</v>
      </c>
      <c r="AL119" s="120" t="str">
        <f t="shared" si="45"/>
        <v>22-27 May</v>
      </c>
      <c r="AM119" s="121">
        <f>IFERROR($M119+VLOOKUP($L119,'Voyage days'!$F$382:$H$446,3,FALSE),"")</f>
        <v>45799</v>
      </c>
      <c r="AN119" s="121">
        <f>IFERROR($N119+VLOOKUP($L119,'Voyage days'!$F$382:$H$446,3,FALSE),"")</f>
        <v>45804</v>
      </c>
      <c r="AO119" s="120" t="str">
        <f t="shared" si="46"/>
        <v/>
      </c>
      <c r="AP119" s="121" t="str">
        <f>IFERROR($M119+VLOOKUP($L119,'Voyage days'!$F$483:$H$538,3,FALSE),"")</f>
        <v/>
      </c>
      <c r="AQ119" s="121" t="str">
        <f>IFERROR($N119+VLOOKUP($L119,'Voyage days'!$F$483:$H$538,3,FALSE),"")</f>
        <v/>
      </c>
      <c r="AR119" s="120" t="str">
        <f t="shared" si="47"/>
        <v/>
      </c>
      <c r="AS119" s="121" t="str">
        <f>IFERROR($M119+VLOOKUP($L119,'Voyage days'!$F$540:$H$613,3,FALSE),"")</f>
        <v/>
      </c>
      <c r="AT119" s="121" t="str">
        <f>IFERROR($N119+VLOOKUP($L119,'Voyage days'!$F$540:$H$613,3,FALSE),"")</f>
        <v/>
      </c>
      <c r="AU119" s="120" t="str">
        <f t="shared" si="48"/>
        <v/>
      </c>
      <c r="AV119" s="121" t="str">
        <f>IFERROR($M119+VLOOKUP($L119,'Voyage days'!$L$483:$N$535,3,FALSE),"")</f>
        <v/>
      </c>
      <c r="AW119" s="121" t="str">
        <f>IFERROR($N119+VLOOKUP($L119,'Voyage days'!$L$483:$N$535,3,FALSE),"")</f>
        <v/>
      </c>
      <c r="AX119" s="120" t="str">
        <f t="shared" si="49"/>
        <v/>
      </c>
      <c r="AY119" s="122" t="str">
        <f>IFERROR($M119+VLOOKUP($L119,'Voyage days'!$F$620:$H$646,3,FALSE),"")</f>
        <v/>
      </c>
      <c r="AZ119" s="122" t="str">
        <f>IFERROR($N119+VLOOKUP($L119,'Voyage days'!$F$620:$H$646,3,FALSE),"")</f>
        <v/>
      </c>
      <c r="BA119" s="120" t="str">
        <f t="shared" si="50"/>
        <v/>
      </c>
      <c r="BB119" s="123" t="str">
        <f>IFERROR($M119+VLOOKUP($L119,'Voyage days'!$F$702:$H$727,3,FALSE),"")</f>
        <v/>
      </c>
      <c r="BC119" s="120" t="str">
        <f t="shared" si="51"/>
        <v>15-20 May</v>
      </c>
      <c r="BD119" s="122">
        <f>IFERROR($M119+VLOOKUP($L119,'Voyage days'!$F$807:$H$878,3,FALSE),"")</f>
        <v>45792.5</v>
      </c>
      <c r="BE119" s="122">
        <f>IFERROR($N119+VLOOKUP($L119,'Voyage days'!$F$807:$H$878,3,FALSE),"")</f>
        <v>45797.5</v>
      </c>
      <c r="BF119" s="609"/>
      <c r="BG119" s="609"/>
      <c r="BH119" s="609"/>
      <c r="BI119" s="609"/>
      <c r="BJ119" s="609"/>
      <c r="BK119" s="609"/>
      <c r="BL119" s="609"/>
      <c r="BM119" s="609"/>
    </row>
    <row r="120" ht="15.75" customHeight="1">
      <c r="A120" s="338" t="s">
        <v>426</v>
      </c>
      <c r="B120" s="148">
        <v>2023.0</v>
      </c>
      <c r="C120" s="1045">
        <v>86000.0</v>
      </c>
      <c r="D120" s="104"/>
      <c r="E120" s="103" t="s">
        <v>666</v>
      </c>
      <c r="F120" s="604"/>
      <c r="G120" s="605">
        <v>48731.0</v>
      </c>
      <c r="H120" s="103"/>
      <c r="I120" s="299" t="s">
        <v>761</v>
      </c>
      <c r="J120" s="111"/>
      <c r="K120" s="336" t="str">
        <f t="shared" si="52"/>
        <v>Update</v>
      </c>
      <c r="L120" s="108" t="s">
        <v>656</v>
      </c>
      <c r="M120" s="109">
        <v>45808.0</v>
      </c>
      <c r="N120" s="109">
        <v>45812.0</v>
      </c>
      <c r="O120" s="110" t="s">
        <v>70</v>
      </c>
      <c r="P120" s="104"/>
      <c r="Q120" s="185"/>
      <c r="R120" s="185"/>
      <c r="S120" s="112" t="s">
        <v>3009</v>
      </c>
      <c r="T120" s="113">
        <v>45781.0</v>
      </c>
      <c r="U120" s="114" t="str">
        <f>IF(V120="","No AIS",VLOOKUP(V120,'Voyage days'!$A$3:$B$1480,2,FALSE))</f>
        <v>Suez + 7</v>
      </c>
      <c r="V120" s="115" t="str">
        <f>IF(VLOOKUP(A120,'1) Kpler'!$E$2:$P$1000,8, FALSE)="","",VLOOKUP(A120,'1) Kpler'!$E$2:$P$1000,8, FALSE))</f>
        <v>Suez Canal</v>
      </c>
      <c r="W120" s="116">
        <f>IF(VLOOKUP(A120,'1) Kpler'!$E$2:$P$1000,9,FALSE)="","",VLOOKUP(A120,'1) Kpler'!$E$2:$P$1000,9,FALSE))</f>
        <v>46145.95833</v>
      </c>
      <c r="X120" s="115" t="str">
        <f>VLOOKUP(A120,'1) Kpler'!$E$2:$I$1000,4,FALSE)</f>
        <v>loaded</v>
      </c>
      <c r="Y120" s="160" t="str">
        <f t="shared" si="40"/>
        <v>18-22 Jun</v>
      </c>
      <c r="Z120" s="120" t="str">
        <f t="shared" si="41"/>
        <v>18-22 Jun</v>
      </c>
      <c r="AA120" s="121">
        <f>IFERROR($M120+VLOOKUP($L120,'Voyage days'!$F$38:$H$89,3,FALSE),"")</f>
        <v>45826</v>
      </c>
      <c r="AB120" s="121">
        <f>IFERROR(N120+VLOOKUP($L120,'Voyage days'!$F$38:$H$89,3,FALSE),"")</f>
        <v>45830</v>
      </c>
      <c r="AC120" s="120" t="str">
        <f t="shared" si="42"/>
        <v>01-05 Jul</v>
      </c>
      <c r="AD120" s="121">
        <f>IFERROR($M120+VLOOKUP($L120,'Voyage days'!$F$94:$H$193,3,FALSE),"")</f>
        <v>45839</v>
      </c>
      <c r="AE120" s="121">
        <f>IFERROR($N120+VLOOKUP($L120,'Voyage days'!$F$94:$H$193,3,FALSE),"")</f>
        <v>45843</v>
      </c>
      <c r="AF120" s="120" t="str">
        <f t="shared" si="43"/>
        <v>08-12 Jul</v>
      </c>
      <c r="AG120" s="121">
        <f>IFERROR($M120+VLOOKUP($L120,'Voyage days'!$F$203:$H$256,3,FALSE),"")</f>
        <v>45846</v>
      </c>
      <c r="AH120" s="121">
        <f>IFERROR($N120+VLOOKUP($L120,'Voyage days'!$F$203:$H$256,3,FALSE),"")</f>
        <v>45850</v>
      </c>
      <c r="AI120" s="120" t="str">
        <f t="shared" si="44"/>
        <v>30-04 Jul</v>
      </c>
      <c r="AJ120" s="121">
        <f>IFERROR($M120+VLOOKUP($L120,'Voyage days'!$F$294:$H$377,3,FALSE),"")</f>
        <v>45838</v>
      </c>
      <c r="AK120" s="121">
        <f>IFERROR($N120+VLOOKUP($L120,'Voyage days'!$F$294:$H$377,3,FALSE),"")</f>
        <v>45842</v>
      </c>
      <c r="AL120" s="120" t="str">
        <f t="shared" si="45"/>
        <v>06-10 Jul</v>
      </c>
      <c r="AM120" s="121">
        <f>IFERROR($M120+VLOOKUP($L120,'Voyage days'!$F$382:$H$446,3,FALSE),"")</f>
        <v>45844</v>
      </c>
      <c r="AN120" s="121">
        <f>IFERROR($N120+VLOOKUP($L120,'Voyage days'!$F$382:$H$446,3,FALSE),"")</f>
        <v>45848</v>
      </c>
      <c r="AO120" s="120" t="str">
        <f t="shared" si="46"/>
        <v>13-17 Jun</v>
      </c>
      <c r="AP120" s="121">
        <f>IFERROR($M120+VLOOKUP($L120,'Voyage days'!$F$483:$H$538,3,FALSE),"")</f>
        <v>45821</v>
      </c>
      <c r="AQ120" s="121">
        <f>IFERROR($N120+VLOOKUP($L120,'Voyage days'!$F$483:$H$538,3,FALSE),"")</f>
        <v>45825</v>
      </c>
      <c r="AR120" s="120" t="str">
        <f t="shared" si="47"/>
        <v>08-12 Jun</v>
      </c>
      <c r="AS120" s="121">
        <f>IFERROR($M120+VLOOKUP($L120,'Voyage days'!$F$540:$H$613,3,FALSE),"")</f>
        <v>45816.25</v>
      </c>
      <c r="AT120" s="121">
        <f>IFERROR($N120+VLOOKUP($L120,'Voyage days'!$F$540:$H$613,3,FALSE),"")</f>
        <v>45820.25</v>
      </c>
      <c r="AU120" s="120" t="str">
        <f t="shared" si="48"/>
        <v/>
      </c>
      <c r="AV120" s="121" t="str">
        <f>IFERROR($M120+VLOOKUP($L120,'Voyage days'!$L$483:$N$535,3,FALSE),"")</f>
        <v/>
      </c>
      <c r="AW120" s="121" t="str">
        <f>IFERROR($N120+VLOOKUP($L120,'Voyage days'!$L$483:$N$535,3,FALSE),"")</f>
        <v/>
      </c>
      <c r="AX120" s="120" t="str">
        <f t="shared" si="49"/>
        <v>11-15 Jun</v>
      </c>
      <c r="AY120" s="122">
        <f>IFERROR($M120+VLOOKUP($L120,'Voyage days'!$F$620:$H$646,3,FALSE),"")</f>
        <v>45819</v>
      </c>
      <c r="AZ120" s="122">
        <f>IFERROR($N120+VLOOKUP($L120,'Voyage days'!$F$620:$H$646,3,FALSE),"")</f>
        <v>45823</v>
      </c>
      <c r="BA120" s="120" t="str">
        <f t="shared" si="50"/>
        <v>08-20 Jul</v>
      </c>
      <c r="BB120" s="123">
        <f>IFERROR($M120+VLOOKUP($L120,'Voyage days'!$F$702:$H$727,3,FALSE),"")</f>
        <v>45816.25</v>
      </c>
      <c r="BC120" s="120" t="str">
        <f t="shared" si="51"/>
        <v>16-20 Jul</v>
      </c>
      <c r="BD120" s="122">
        <f>IFERROR($M120+VLOOKUP($L120,'Voyage days'!$F$807:$H$878,3,FALSE),"")</f>
        <v>45854</v>
      </c>
      <c r="BE120" s="122">
        <f>IFERROR($N120+VLOOKUP($L120,'Voyage days'!$F$807:$H$878,3,FALSE),"")</f>
        <v>45858</v>
      </c>
      <c r="BF120" s="609"/>
      <c r="BG120" s="609"/>
      <c r="BH120" s="609"/>
      <c r="BI120" s="609"/>
      <c r="BJ120" s="609"/>
      <c r="BK120" s="609"/>
      <c r="BL120" s="609"/>
      <c r="BM120" s="609"/>
    </row>
    <row r="121" ht="15.75" customHeight="1">
      <c r="A121" s="80" t="s">
        <v>430</v>
      </c>
      <c r="B121" s="148">
        <v>2022.0</v>
      </c>
      <c r="C121" s="1045">
        <v>84000.0</v>
      </c>
      <c r="D121" s="104" t="s">
        <v>1687</v>
      </c>
      <c r="E121" s="103" t="s">
        <v>666</v>
      </c>
      <c r="F121" s="604"/>
      <c r="G121" s="605">
        <v>45901.0</v>
      </c>
      <c r="H121" s="103"/>
      <c r="I121" s="299" t="s">
        <v>761</v>
      </c>
      <c r="J121" s="111"/>
      <c r="K121" s="336" t="str">
        <f t="shared" si="52"/>
        <v>Update</v>
      </c>
      <c r="L121" s="108" t="s">
        <v>680</v>
      </c>
      <c r="M121" s="109">
        <v>45790.0</v>
      </c>
      <c r="N121" s="109">
        <v>45791.0</v>
      </c>
      <c r="O121" s="110"/>
      <c r="P121" s="104"/>
      <c r="Q121" s="185"/>
      <c r="R121" s="108" t="s">
        <v>3010</v>
      </c>
      <c r="S121" s="112" t="s">
        <v>934</v>
      </c>
      <c r="T121" s="113">
        <v>45782.0</v>
      </c>
      <c r="U121" s="114" t="str">
        <f>IF(V121="","No AIS",VLOOKUP(V121,'Voyage days'!$A$3:$B$1480,2,FALSE))</f>
        <v>USG</v>
      </c>
      <c r="V121" s="115" t="str">
        <f>IF(VLOOKUP(A121,'1) Kpler'!$E$2:$P$1000,8, FALSE)="","",VLOOKUP(A121,'1) Kpler'!$E$2:$P$1000,8, FALSE))</f>
        <v>Houston</v>
      </c>
      <c r="W121" s="116">
        <f>IF(VLOOKUP(A121,'1) Kpler'!$E$2:$P$1000,9,FALSE)="","",VLOOKUP(A121,'1) Kpler'!$E$2:$P$1000,9,FALSE))</f>
        <v>46131.83333</v>
      </c>
      <c r="X121" s="115" t="str">
        <f>VLOOKUP(A121,'1) Kpler'!$E$2:$I$1000,4,FALSE)</f>
        <v>ballast</v>
      </c>
      <c r="Y121" s="117" t="str">
        <f t="shared" si="40"/>
        <v/>
      </c>
      <c r="Z121" s="120" t="str">
        <f t="shared" si="41"/>
        <v/>
      </c>
      <c r="AA121" s="121" t="str">
        <f>IFERROR($M121+VLOOKUP($L121,'Voyage days'!$F$38:$H$89,3,FALSE),"")</f>
        <v/>
      </c>
      <c r="AB121" s="121" t="str">
        <f>IFERROR(N121+VLOOKUP($L121,'Voyage days'!$F$38:$H$89,3,FALSE),"")</f>
        <v/>
      </c>
      <c r="AC121" s="120" t="str">
        <f t="shared" si="42"/>
        <v>13-14 May</v>
      </c>
      <c r="AD121" s="121">
        <f>IFERROR($M121+VLOOKUP($L121,'Voyage days'!$F$94:$H$193,3,FALSE),"")</f>
        <v>45790</v>
      </c>
      <c r="AE121" s="121">
        <f>IFERROR($N121+VLOOKUP($L121,'Voyage days'!$F$94:$H$193,3,FALSE),"")</f>
        <v>45791</v>
      </c>
      <c r="AF121" s="120" t="str">
        <f t="shared" si="43"/>
        <v>13-14 May</v>
      </c>
      <c r="AG121" s="121">
        <f>IFERROR($M121+VLOOKUP($L121,'Voyage days'!$F$203:$H$256,3,FALSE),"")</f>
        <v>45790</v>
      </c>
      <c r="AH121" s="121">
        <f>IFERROR($N121+VLOOKUP($L121,'Voyage days'!$F$203:$H$256,3,FALSE),"")</f>
        <v>45791</v>
      </c>
      <c r="AI121" s="120" t="str">
        <f t="shared" si="44"/>
        <v/>
      </c>
      <c r="AJ121" s="121" t="str">
        <f>IFERROR($M121+VLOOKUP($L121,'Voyage days'!$F$294:$H$377,3,FALSE),"")</f>
        <v/>
      </c>
      <c r="AK121" s="121" t="str">
        <f>IFERROR($N121+VLOOKUP($L121,'Voyage days'!$F$294:$H$377,3,FALSE),"")</f>
        <v/>
      </c>
      <c r="AL121" s="120" t="str">
        <f t="shared" si="45"/>
        <v>02-03 Jun</v>
      </c>
      <c r="AM121" s="121">
        <f>IFERROR($M121+VLOOKUP($L121,'Voyage days'!$F$382:$H$446,3,FALSE),"")</f>
        <v>45810</v>
      </c>
      <c r="AN121" s="121">
        <f>IFERROR($N121+VLOOKUP($L121,'Voyage days'!$F$382:$H$446,3,FALSE),"")</f>
        <v>45811</v>
      </c>
      <c r="AO121" s="120" t="str">
        <f t="shared" si="46"/>
        <v/>
      </c>
      <c r="AP121" s="121" t="str">
        <f>IFERROR($M121+VLOOKUP($L121,'Voyage days'!$F$483:$H$538,3,FALSE),"")</f>
        <v/>
      </c>
      <c r="AQ121" s="121" t="str">
        <f>IFERROR($N121+VLOOKUP($L121,'Voyage days'!$F$483:$H$538,3,FALSE),"")</f>
        <v/>
      </c>
      <c r="AR121" s="120" t="str">
        <f t="shared" si="47"/>
        <v/>
      </c>
      <c r="AS121" s="121" t="str">
        <f>IFERROR($M121+VLOOKUP($L121,'Voyage days'!$F$540:$H$613,3,FALSE),"")</f>
        <v/>
      </c>
      <c r="AT121" s="121" t="str">
        <f>IFERROR($N121+VLOOKUP($L121,'Voyage days'!$F$540:$H$613,3,FALSE),"")</f>
        <v/>
      </c>
      <c r="AU121" s="120" t="str">
        <f t="shared" si="48"/>
        <v/>
      </c>
      <c r="AV121" s="121" t="str">
        <f>IFERROR($M121+VLOOKUP($L121,'Voyage days'!$L$483:$N$535,3,FALSE),"")</f>
        <v/>
      </c>
      <c r="AW121" s="121" t="str">
        <f>IFERROR($N121+VLOOKUP($L121,'Voyage days'!$L$483:$N$535,3,FALSE),"")</f>
        <v/>
      </c>
      <c r="AX121" s="120" t="str">
        <f t="shared" si="49"/>
        <v/>
      </c>
      <c r="AY121" s="122" t="str">
        <f>IFERROR($M121+VLOOKUP($L121,'Voyage days'!$F$620:$H$646,3,FALSE),"")</f>
        <v/>
      </c>
      <c r="AZ121" s="122" t="str">
        <f>IFERROR($N121+VLOOKUP($L121,'Voyage days'!$F$620:$H$646,3,FALSE),"")</f>
        <v/>
      </c>
      <c r="BA121" s="120" t="str">
        <f t="shared" si="50"/>
        <v/>
      </c>
      <c r="BB121" s="123" t="str">
        <f>IFERROR($M121+VLOOKUP($L121,'Voyage days'!$F$702:$H$727,3,FALSE),"")</f>
        <v/>
      </c>
      <c r="BC121" s="120" t="str">
        <f t="shared" si="51"/>
        <v/>
      </c>
      <c r="BD121" s="122" t="str">
        <f>IFERROR($M121+VLOOKUP($L121,'Voyage days'!$F$807:$H$878,3,FALSE),"")</f>
        <v/>
      </c>
      <c r="BE121" s="122" t="str">
        <f>IFERROR($N121+VLOOKUP($L121,'Voyage days'!$F$807:$H$878,3,FALSE),"")</f>
        <v/>
      </c>
      <c r="BF121" s="609"/>
      <c r="BG121" s="609"/>
      <c r="BH121" s="609"/>
      <c r="BI121" s="609"/>
      <c r="BJ121" s="609"/>
      <c r="BK121" s="609"/>
      <c r="BL121" s="609"/>
      <c r="BM121" s="609"/>
    </row>
    <row r="122" ht="15.75" customHeight="1">
      <c r="A122" s="338" t="s">
        <v>462</v>
      </c>
      <c r="B122" s="148">
        <v>2023.0</v>
      </c>
      <c r="C122" s="1045">
        <v>86000.0</v>
      </c>
      <c r="D122" s="104"/>
      <c r="E122" s="103" t="s">
        <v>666</v>
      </c>
      <c r="F122" s="604"/>
      <c r="G122" s="605"/>
      <c r="H122" s="103"/>
      <c r="I122" s="299" t="s">
        <v>761</v>
      </c>
      <c r="J122" s="111"/>
      <c r="K122" s="336" t="str">
        <f t="shared" si="52"/>
        <v>Update</v>
      </c>
      <c r="L122" s="108" t="s">
        <v>680</v>
      </c>
      <c r="M122" s="109">
        <v>45810.0</v>
      </c>
      <c r="N122" s="109">
        <v>45811.0</v>
      </c>
      <c r="O122" s="110"/>
      <c r="P122" s="185"/>
      <c r="Q122" s="185"/>
      <c r="R122" s="108" t="s">
        <v>3011</v>
      </c>
      <c r="S122" s="112" t="s">
        <v>3009</v>
      </c>
      <c r="T122" s="113">
        <v>45781.0</v>
      </c>
      <c r="U122" s="114" t="str">
        <f>IF(V122="","No AIS",VLOOKUP(V122,'Voyage days'!$A$3:$B$1480,2,FALSE))</f>
        <v>Panama</v>
      </c>
      <c r="V122" s="115" t="str">
        <f>IF(VLOOKUP(A122,'1) Kpler'!$E$2:$P$1000,8, FALSE)="","",VLOOKUP(A122,'1) Kpler'!$E$2:$P$1000,8, FALSE))</f>
        <v>Panama Canal</v>
      </c>
      <c r="W122" s="116">
        <f>IF(VLOOKUP(A122,'1) Kpler'!$E$2:$P$1000,9,FALSE)="","",VLOOKUP(A122,'1) Kpler'!$E$2:$P$1000,9,FALSE))</f>
        <v>46133.5</v>
      </c>
      <c r="X122" s="115" t="str">
        <f>VLOOKUP(A122,'1) Kpler'!$E$2:$I$1000,4,FALSE)</f>
        <v>ballast</v>
      </c>
      <c r="Y122" s="160" t="str">
        <f t="shared" si="40"/>
        <v/>
      </c>
      <c r="Z122" s="120" t="str">
        <f t="shared" si="41"/>
        <v/>
      </c>
      <c r="AA122" s="121" t="str">
        <f>IFERROR($M122+VLOOKUP($L122,'Voyage days'!$F$38:$H$89,3,FALSE),"")</f>
        <v/>
      </c>
      <c r="AB122" s="121" t="str">
        <f>IFERROR(N122+VLOOKUP($L122,'Voyage days'!$F$38:$H$89,3,FALSE),"")</f>
        <v/>
      </c>
      <c r="AC122" s="120" t="str">
        <f t="shared" si="42"/>
        <v>02-03 Jun</v>
      </c>
      <c r="AD122" s="121">
        <f>IFERROR($M122+VLOOKUP($L122,'Voyage days'!$F$94:$H$193,3,FALSE),"")</f>
        <v>45810</v>
      </c>
      <c r="AE122" s="121">
        <f>IFERROR($N122+VLOOKUP($L122,'Voyage days'!$F$94:$H$193,3,FALSE),"")</f>
        <v>45811</v>
      </c>
      <c r="AF122" s="120" t="str">
        <f t="shared" si="43"/>
        <v>02-03 Jun</v>
      </c>
      <c r="AG122" s="121">
        <f>IFERROR($M122+VLOOKUP($L122,'Voyage days'!$F$203:$H$256,3,FALSE),"")</f>
        <v>45810</v>
      </c>
      <c r="AH122" s="121">
        <f>IFERROR($N122+VLOOKUP($L122,'Voyage days'!$F$203:$H$256,3,FALSE),"")</f>
        <v>45811</v>
      </c>
      <c r="AI122" s="120" t="str">
        <f t="shared" si="44"/>
        <v/>
      </c>
      <c r="AJ122" s="121" t="str">
        <f>IFERROR($M122+VLOOKUP($L122,'Voyage days'!$F$294:$H$377,3,FALSE),"")</f>
        <v/>
      </c>
      <c r="AK122" s="121" t="str">
        <f>IFERROR($N122+VLOOKUP($L122,'Voyage days'!$F$294:$H$377,3,FALSE),"")</f>
        <v/>
      </c>
      <c r="AL122" s="120" t="str">
        <f t="shared" si="45"/>
        <v>22-23 Jun</v>
      </c>
      <c r="AM122" s="121">
        <f>IFERROR($M122+VLOOKUP($L122,'Voyage days'!$F$382:$H$446,3,FALSE),"")</f>
        <v>45830</v>
      </c>
      <c r="AN122" s="121">
        <f>IFERROR($N122+VLOOKUP($L122,'Voyage days'!$F$382:$H$446,3,FALSE),"")</f>
        <v>45831</v>
      </c>
      <c r="AO122" s="120" t="str">
        <f t="shared" si="46"/>
        <v/>
      </c>
      <c r="AP122" s="121" t="str">
        <f>IFERROR($M122+VLOOKUP($L122,'Voyage days'!$F$483:$H$538,3,FALSE),"")</f>
        <v/>
      </c>
      <c r="AQ122" s="121" t="str">
        <f>IFERROR($N122+VLOOKUP($L122,'Voyage days'!$F$483:$H$538,3,FALSE),"")</f>
        <v/>
      </c>
      <c r="AR122" s="120" t="str">
        <f t="shared" si="47"/>
        <v/>
      </c>
      <c r="AS122" s="121" t="str">
        <f>IFERROR($M122+VLOOKUP($L122,'Voyage days'!$F$540:$H$613,3,FALSE),"")</f>
        <v/>
      </c>
      <c r="AT122" s="121" t="str">
        <f>IFERROR($N122+VLOOKUP($L122,'Voyage days'!$F$540:$H$613,3,FALSE),"")</f>
        <v/>
      </c>
      <c r="AU122" s="120" t="str">
        <f t="shared" si="48"/>
        <v/>
      </c>
      <c r="AV122" s="121" t="str">
        <f>IFERROR($M122+VLOOKUP($L122,'Voyage days'!$L$483:$N$535,3,FALSE),"")</f>
        <v/>
      </c>
      <c r="AW122" s="121" t="str">
        <f>IFERROR($N122+VLOOKUP($L122,'Voyage days'!$L$483:$N$535,3,FALSE),"")</f>
        <v/>
      </c>
      <c r="AX122" s="120" t="str">
        <f t="shared" si="49"/>
        <v/>
      </c>
      <c r="AY122" s="122" t="str">
        <f>IFERROR($M122+VLOOKUP($L122,'Voyage days'!$F$620:$H$646,3,FALSE),"")</f>
        <v/>
      </c>
      <c r="AZ122" s="122" t="str">
        <f>IFERROR($N122+VLOOKUP($L122,'Voyage days'!$F$620:$H$646,3,FALSE),"")</f>
        <v/>
      </c>
      <c r="BA122" s="120" t="str">
        <f t="shared" si="50"/>
        <v/>
      </c>
      <c r="BB122" s="123" t="str">
        <f>IFERROR($M122+VLOOKUP($L122,'Voyage days'!$F$702:$H$727,3,FALSE),"")</f>
        <v/>
      </c>
      <c r="BC122" s="120" t="str">
        <f t="shared" si="51"/>
        <v/>
      </c>
      <c r="BD122" s="122" t="str">
        <f>IFERROR($M122+VLOOKUP($L122,'Voyage days'!$F$807:$H$878,3,FALSE),"")</f>
        <v/>
      </c>
      <c r="BE122" s="122" t="str">
        <f>IFERROR($N122+VLOOKUP($L122,'Voyage days'!$F$807:$H$878,3,FALSE),"")</f>
        <v/>
      </c>
      <c r="BF122" s="609"/>
      <c r="BG122" s="609"/>
      <c r="BH122" s="609"/>
      <c r="BI122" s="609"/>
      <c r="BJ122" s="609"/>
      <c r="BK122" s="609"/>
      <c r="BL122" s="609"/>
      <c r="BM122" s="609"/>
    </row>
    <row r="123" ht="15.75" customHeight="1">
      <c r="A123" s="341" t="s">
        <v>377</v>
      </c>
      <c r="B123" s="148">
        <v>2023.0</v>
      </c>
      <c r="C123" s="1045">
        <v>91000.0</v>
      </c>
      <c r="D123" s="104"/>
      <c r="E123" s="103" t="s">
        <v>666</v>
      </c>
      <c r="F123" s="604"/>
      <c r="G123" s="605"/>
      <c r="H123" s="103"/>
      <c r="I123" s="299" t="s">
        <v>761</v>
      </c>
      <c r="J123" s="111"/>
      <c r="K123" s="336" t="str">
        <f t="shared" si="52"/>
        <v>Update</v>
      </c>
      <c r="L123" s="108" t="s">
        <v>755</v>
      </c>
      <c r="M123" s="109">
        <v>45799.0</v>
      </c>
      <c r="N123" s="109">
        <v>45800.0</v>
      </c>
      <c r="O123" s="334"/>
      <c r="P123" s="185"/>
      <c r="Q123" s="108" t="s">
        <v>3012</v>
      </c>
      <c r="R123" s="185"/>
      <c r="S123" s="112" t="s">
        <v>934</v>
      </c>
      <c r="T123" s="113">
        <v>45771.0</v>
      </c>
      <c r="U123" s="114" t="str">
        <f>IF(V123="","No AIS",VLOOKUP(V123,'Voyage days'!$A$3:$B$1480,2,FALSE))</f>
        <v>Eu + 4</v>
      </c>
      <c r="V123" s="115" t="str">
        <f>IF(VLOOKUP(A123,'1) Kpler'!$E$2:$P$1000,8, FALSE)="","",VLOOKUP(A123,'1) Kpler'!$E$2:$P$1000,8, FALSE))</f>
        <v>Horizon Tangier Terminal</v>
      </c>
      <c r="W123" s="116">
        <f>IF(VLOOKUP(A123,'1) Kpler'!$E$2:$P$1000,9,FALSE)="","",VLOOKUP(A123,'1) Kpler'!$E$2:$P$1000,9,FALSE))</f>
        <v>46144.00069</v>
      </c>
      <c r="X123" s="115" t="str">
        <f>VLOOKUP(A123,'1) Kpler'!$E$2:$I$1000,4,FALSE)</f>
        <v>loaded</v>
      </c>
      <c r="Y123" s="117" t="str">
        <f t="shared" si="40"/>
        <v>02-03 Jun</v>
      </c>
      <c r="Z123" s="120" t="str">
        <f t="shared" si="41"/>
        <v>02-03 Jun</v>
      </c>
      <c r="AA123" s="121">
        <f>IFERROR($M123+VLOOKUP($L123,'Voyage days'!$F$38:$H$89,3,FALSE),"")</f>
        <v>45810</v>
      </c>
      <c r="AB123" s="121">
        <f>IFERROR(N123+VLOOKUP($L123,'Voyage days'!$F$38:$H$89,3,FALSE),"")</f>
        <v>45811</v>
      </c>
      <c r="AC123" s="120" t="str">
        <f t="shared" si="42"/>
        <v>30-01 Jul</v>
      </c>
      <c r="AD123" s="121">
        <f>IFERROR($M123+VLOOKUP($L123,'Voyage days'!$F$94:$H$193,3,FALSE),"")</f>
        <v>45838</v>
      </c>
      <c r="AE123" s="121">
        <f>IFERROR($N123+VLOOKUP($L123,'Voyage days'!$F$94:$H$193,3,FALSE),"")</f>
        <v>45839</v>
      </c>
      <c r="AF123" s="120" t="str">
        <f t="shared" si="43"/>
        <v>28-29 Jun</v>
      </c>
      <c r="AG123" s="121">
        <f>IFERROR($M123+VLOOKUP($L123,'Voyage days'!$F$203:$H$256,3,FALSE),"")</f>
        <v>45836</v>
      </c>
      <c r="AH123" s="121">
        <f>IFERROR($N123+VLOOKUP($L123,'Voyage days'!$F$203:$H$256,3,FALSE),"")</f>
        <v>45837</v>
      </c>
      <c r="AI123" s="120" t="str">
        <f t="shared" si="44"/>
        <v>11-12 Jun</v>
      </c>
      <c r="AJ123" s="121">
        <f>IFERROR($M123+VLOOKUP($L123,'Voyage days'!$F$294:$H$377,3,FALSE),"")</f>
        <v>45819</v>
      </c>
      <c r="AK123" s="121">
        <f>IFERROR($N123+VLOOKUP($L123,'Voyage days'!$F$294:$H$377,3,FALSE),"")</f>
        <v>45820</v>
      </c>
      <c r="AL123" s="120" t="str">
        <f t="shared" si="45"/>
        <v>20-21 Jun</v>
      </c>
      <c r="AM123" s="121">
        <f>IFERROR($M123+VLOOKUP($L123,'Voyage days'!$F$382:$H$446,3,FALSE),"")</f>
        <v>45828</v>
      </c>
      <c r="AN123" s="121">
        <f>IFERROR($N123+VLOOKUP($L123,'Voyage days'!$F$382:$H$446,3,FALSE),"")</f>
        <v>45829</v>
      </c>
      <c r="AO123" s="120" t="str">
        <f t="shared" si="46"/>
        <v>31-01 Jun</v>
      </c>
      <c r="AP123" s="121">
        <f>IFERROR($M123+VLOOKUP($L123,'Voyage days'!$F$483:$H$538,3,FALSE),"")</f>
        <v>45808</v>
      </c>
      <c r="AQ123" s="121">
        <f>IFERROR($N123+VLOOKUP($L123,'Voyage days'!$F$483:$H$538,3,FALSE),"")</f>
        <v>45809</v>
      </c>
      <c r="AR123" s="120" t="str">
        <f t="shared" si="47"/>
        <v>26-27 May</v>
      </c>
      <c r="AS123" s="121">
        <f>IFERROR($M123+VLOOKUP($L123,'Voyage days'!$F$540:$H$613,3,FALSE),"")</f>
        <v>45803</v>
      </c>
      <c r="AT123" s="121">
        <f>IFERROR($N123+VLOOKUP($L123,'Voyage days'!$F$540:$H$613,3,FALSE),"")</f>
        <v>45804</v>
      </c>
      <c r="AU123" s="120" t="str">
        <f t="shared" si="48"/>
        <v/>
      </c>
      <c r="AV123" s="121" t="str">
        <f>IFERROR($M123+VLOOKUP($L123,'Voyage days'!$L$483:$N$535,3,FALSE),"")</f>
        <v/>
      </c>
      <c r="AW123" s="121" t="str">
        <f>IFERROR($N123+VLOOKUP($L123,'Voyage days'!$L$483:$N$535,3,FALSE),"")</f>
        <v/>
      </c>
      <c r="AX123" s="120" t="str">
        <f t="shared" si="49"/>
        <v/>
      </c>
      <c r="AY123" s="122" t="str">
        <f>IFERROR($M123+VLOOKUP($L123,'Voyage days'!$F$620:$H$646,3,FALSE),"")</f>
        <v/>
      </c>
      <c r="AZ123" s="122" t="str">
        <f>IFERROR($N123+VLOOKUP($L123,'Voyage days'!$F$620:$H$646,3,FALSE),"")</f>
        <v/>
      </c>
      <c r="BA123" s="120" t="str">
        <f t="shared" si="50"/>
        <v>30-29 Jun</v>
      </c>
      <c r="BB123" s="123">
        <f>IFERROR($M123+VLOOKUP($L123,'Voyage days'!$F$702:$H$727,3,FALSE),"")</f>
        <v>45807</v>
      </c>
      <c r="BC123" s="120" t="str">
        <f t="shared" si="51"/>
        <v>28-29 Jun</v>
      </c>
      <c r="BD123" s="122">
        <f>IFERROR($M123+VLOOKUP($L123,'Voyage days'!$F$807:$H$878,3,FALSE),"")</f>
        <v>45836</v>
      </c>
      <c r="BE123" s="122">
        <f>IFERROR($N123+VLOOKUP($L123,'Voyage days'!$F$807:$H$878,3,FALSE),"")</f>
        <v>45837</v>
      </c>
      <c r="BF123" s="609"/>
      <c r="BG123" s="609"/>
      <c r="BH123" s="609"/>
      <c r="BI123" s="609"/>
      <c r="BJ123" s="609"/>
      <c r="BK123" s="609"/>
      <c r="BL123" s="609"/>
      <c r="BM123" s="609"/>
    </row>
    <row r="124" ht="15.75" customHeight="1">
      <c r="A124" s="147" t="s">
        <v>490</v>
      </c>
      <c r="B124" s="343">
        <v>2024.0</v>
      </c>
      <c r="C124" s="1111">
        <v>91000.0</v>
      </c>
      <c r="D124" s="347" t="s">
        <v>3013</v>
      </c>
      <c r="E124" s="348" t="s">
        <v>666</v>
      </c>
      <c r="F124" s="1112"/>
      <c r="G124" s="1113"/>
      <c r="H124" s="1112"/>
      <c r="I124" s="299" t="s">
        <v>761</v>
      </c>
      <c r="J124" s="1114"/>
      <c r="K124" s="336" t="str">
        <f t="shared" si="52"/>
        <v>NO AIS</v>
      </c>
      <c r="L124" s="347" t="s">
        <v>745</v>
      </c>
      <c r="M124" s="109">
        <v>45792.0</v>
      </c>
      <c r="N124" s="109">
        <v>45797.0</v>
      </c>
      <c r="O124" s="1114"/>
      <c r="P124" s="1114"/>
      <c r="Q124" s="111"/>
      <c r="R124" s="1115" t="s">
        <v>3014</v>
      </c>
      <c r="S124" s="112" t="s">
        <v>934</v>
      </c>
      <c r="T124" s="113">
        <v>45788.0</v>
      </c>
      <c r="U124" s="114" t="str">
        <f>IF(V124="","No AIS",VLOOKUP(V124,'Voyage days'!$A$3:$B$1480,2,FALSE))</f>
        <v>No AIS</v>
      </c>
      <c r="V124" s="115" t="str">
        <f>IF(VLOOKUP(A124,'1) Kpler'!$E$2:$P$1000,8, FALSE)="","",VLOOKUP(A124,'1) Kpler'!$E$2:$P$1000,8, FALSE))</f>
        <v/>
      </c>
      <c r="W124" s="116" t="str">
        <f>IF(VLOOKUP(A124,'1) Kpler'!$E$2:$P$1000,9,FALSE)="","",VLOOKUP(A124,'1) Kpler'!$E$2:$P$1000,9,FALSE))</f>
        <v/>
      </c>
      <c r="X124" s="115" t="str">
        <f>VLOOKUP(A124,'1) Kpler'!$E$2:$I$1000,4,FALSE)</f>
        <v>loaded</v>
      </c>
      <c r="Y124" s="160" t="str">
        <f t="shared" si="40"/>
        <v>24-29 May</v>
      </c>
      <c r="Z124" s="120" t="str">
        <f t="shared" si="41"/>
        <v>24-29 May</v>
      </c>
      <c r="AA124" s="121">
        <f>IFERROR($M124+VLOOKUP($L124,'Voyage days'!$F$38:$H$89,3,FALSE),"")</f>
        <v>45801</v>
      </c>
      <c r="AB124" s="121">
        <f>IFERROR(N124+VLOOKUP($L124,'Voyage days'!$F$38:$H$89,3,FALSE),"")</f>
        <v>45806</v>
      </c>
      <c r="AC124" s="120" t="str">
        <f t="shared" si="42"/>
        <v>02-07 Jun</v>
      </c>
      <c r="AD124" s="121">
        <f>IFERROR($M124+VLOOKUP($L124,'Voyage days'!$F$94:$H$193,3,FALSE),"")</f>
        <v>45810</v>
      </c>
      <c r="AE124" s="121">
        <f>IFERROR($N124+VLOOKUP($L124,'Voyage days'!$F$94:$H$193,3,FALSE),"")</f>
        <v>45815</v>
      </c>
      <c r="AF124" s="120" t="str">
        <f t="shared" si="43"/>
        <v>05-10 Jun</v>
      </c>
      <c r="AG124" s="121">
        <f>IFERROR($M124+VLOOKUP($L124,'Voyage days'!$F$203:$H$256,3,FALSE),"")</f>
        <v>45813</v>
      </c>
      <c r="AH124" s="121">
        <f>IFERROR($N124+VLOOKUP($L124,'Voyage days'!$F$203:$H$256,3,FALSE),"")</f>
        <v>45818</v>
      </c>
      <c r="AI124" s="120" t="str">
        <f t="shared" si="44"/>
        <v>30-04 Jun</v>
      </c>
      <c r="AJ124" s="121">
        <f>IFERROR($M124+VLOOKUP($L124,'Voyage days'!$F$294:$H$377,3,FALSE),"")</f>
        <v>45807</v>
      </c>
      <c r="AK124" s="121">
        <f>IFERROR($N124+VLOOKUP($L124,'Voyage days'!$F$294:$H$377,3,FALSE),"")</f>
        <v>45812</v>
      </c>
      <c r="AL124" s="120" t="str">
        <f t="shared" si="45"/>
        <v>23-28 May</v>
      </c>
      <c r="AM124" s="121">
        <f>IFERROR($M124+VLOOKUP($L124,'Voyage days'!$F$382:$H$446,3,FALSE),"")</f>
        <v>45800</v>
      </c>
      <c r="AN124" s="121">
        <f>IFERROR($N124+VLOOKUP($L124,'Voyage days'!$F$382:$H$446,3,FALSE),"")</f>
        <v>45805</v>
      </c>
      <c r="AO124" s="120" t="str">
        <f t="shared" si="46"/>
        <v/>
      </c>
      <c r="AP124" s="121" t="str">
        <f>IFERROR($M124+VLOOKUP($L124,'Voyage days'!$F$483:$H$538,3,FALSE),"")</f>
        <v/>
      </c>
      <c r="AQ124" s="121" t="str">
        <f>IFERROR($N124+VLOOKUP($L124,'Voyage days'!$F$483:$H$538,3,FALSE),"")</f>
        <v/>
      </c>
      <c r="AR124" s="120" t="str">
        <f t="shared" si="47"/>
        <v/>
      </c>
      <c r="AS124" s="121" t="str">
        <f>IFERROR($M124+VLOOKUP($L124,'Voyage days'!$F$540:$H$613,3,FALSE),"")</f>
        <v/>
      </c>
      <c r="AT124" s="121" t="str">
        <f>IFERROR($N124+VLOOKUP($L124,'Voyage days'!$F$540:$H$613,3,FALSE),"")</f>
        <v/>
      </c>
      <c r="AU124" s="120" t="str">
        <f t="shared" si="48"/>
        <v/>
      </c>
      <c r="AV124" s="121" t="str">
        <f>IFERROR($M124+VLOOKUP($L124,'Voyage days'!$L$483:$N$535,3,FALSE),"")</f>
        <v/>
      </c>
      <c r="AW124" s="121" t="str">
        <f>IFERROR($N124+VLOOKUP($L124,'Voyage days'!$L$483:$N$535,3,FALSE),"")</f>
        <v/>
      </c>
      <c r="AX124" s="120" t="str">
        <f t="shared" si="49"/>
        <v/>
      </c>
      <c r="AY124" s="122" t="str">
        <f>IFERROR($M124+VLOOKUP($L124,'Voyage days'!$F$620:$H$646,3,FALSE),"")</f>
        <v/>
      </c>
      <c r="AZ124" s="122" t="str">
        <f>IFERROR($N124+VLOOKUP($L124,'Voyage days'!$F$620:$H$646,3,FALSE),"")</f>
        <v/>
      </c>
      <c r="BA124" s="120" t="str">
        <f t="shared" si="50"/>
        <v/>
      </c>
      <c r="BB124" s="123" t="str">
        <f>IFERROR($M124+VLOOKUP($L124,'Voyage days'!$F$702:$H$727,3,FALSE),"")</f>
        <v/>
      </c>
      <c r="BC124" s="120" t="str">
        <f t="shared" si="51"/>
        <v>16-21 May</v>
      </c>
      <c r="BD124" s="122">
        <f>IFERROR($M124+VLOOKUP($L124,'Voyage days'!$F$807:$H$878,3,FALSE),"")</f>
        <v>45793.5</v>
      </c>
      <c r="BE124" s="122">
        <f>IFERROR($N124+VLOOKUP($L124,'Voyage days'!$F$807:$H$878,3,FALSE),"")</f>
        <v>45798.5</v>
      </c>
      <c r="BF124" s="609"/>
      <c r="BG124" s="609"/>
      <c r="BH124" s="609"/>
      <c r="BI124" s="609"/>
      <c r="BJ124" s="609"/>
      <c r="BK124" s="609"/>
      <c r="BL124" s="609"/>
      <c r="BM124" s="609"/>
    </row>
    <row r="125" ht="15.75" customHeight="1">
      <c r="A125" s="164" t="s">
        <v>582</v>
      </c>
      <c r="B125" s="222">
        <v>39508.0</v>
      </c>
      <c r="C125" s="1101">
        <v>78500.0</v>
      </c>
      <c r="D125" s="168" t="s">
        <v>1687</v>
      </c>
      <c r="E125" s="223" t="s">
        <v>689</v>
      </c>
      <c r="F125" s="1010">
        <v>44094.0</v>
      </c>
      <c r="G125" s="1011">
        <v>46327.0</v>
      </c>
      <c r="H125" s="223"/>
      <c r="I125" s="614" t="s">
        <v>761</v>
      </c>
      <c r="J125" s="312" t="s">
        <v>1080</v>
      </c>
      <c r="K125" s="469" t="str">
        <f t="shared" si="52"/>
        <v>Update</v>
      </c>
      <c r="L125" s="172" t="s">
        <v>1031</v>
      </c>
      <c r="M125" s="173">
        <v>45788.0</v>
      </c>
      <c r="N125" s="173">
        <v>45789.0</v>
      </c>
      <c r="O125" s="284"/>
      <c r="P125" s="463"/>
      <c r="Q125" s="463"/>
      <c r="R125" s="172" t="s">
        <v>3015</v>
      </c>
      <c r="S125" s="112" t="s">
        <v>934</v>
      </c>
      <c r="T125" s="113">
        <v>45788.0</v>
      </c>
      <c r="U125" s="177" t="str">
        <f>IF(V125="","No AIS",VLOOKUP(V125,'Voyage days'!$A$3:$B$1480,2,FALSE))</f>
        <v>Singapore</v>
      </c>
      <c r="V125" s="178" t="str">
        <f>IF(VLOOKUP(A125,'1) Kpler'!$E$2:$P$1000,8, FALSE)="","",VLOOKUP(A125,'1) Kpler'!$E$2:$P$1000,8, FALSE))</f>
        <v>Singapore</v>
      </c>
      <c r="W125" s="179">
        <f>IF(VLOOKUP(A125,'1) Kpler'!$E$2:$P$1000,9,FALSE)="","",VLOOKUP(A125,'1) Kpler'!$E$2:$P$1000,9,FALSE))</f>
        <v>46142.00069</v>
      </c>
      <c r="X125" s="178" t="str">
        <f>VLOOKUP(A125,'1) Kpler'!$E$2:$I$1000,4,FALSE)</f>
        <v>loaded</v>
      </c>
      <c r="Y125" s="180" t="str">
        <f t="shared" si="40"/>
        <v>11-12 May</v>
      </c>
      <c r="Z125" s="120" t="str">
        <f t="shared" si="41"/>
        <v>11-12 May</v>
      </c>
      <c r="AA125" s="121">
        <f>IFERROR($M125+VLOOKUP($L125,'Voyage days'!$F$38:$H$89,3,FALSE),"")</f>
        <v>45788</v>
      </c>
      <c r="AB125" s="121">
        <f>IFERROR(N125+VLOOKUP($L125,'Voyage days'!$F$38:$H$89,3,FALSE),"")</f>
        <v>45789</v>
      </c>
      <c r="AC125" s="120" t="str">
        <f t="shared" si="42"/>
        <v/>
      </c>
      <c r="AD125" s="121" t="str">
        <f>IFERROR($M125+VLOOKUP($L125,'Voyage days'!$F$94:$H$193,3,FALSE),"")</f>
        <v/>
      </c>
      <c r="AE125" s="121" t="str">
        <f>IFERROR($N125+VLOOKUP($L125,'Voyage days'!$F$94:$H$193,3,FALSE),"")</f>
        <v/>
      </c>
      <c r="AF125" s="120" t="str">
        <f t="shared" si="43"/>
        <v/>
      </c>
      <c r="AG125" s="121" t="str">
        <f>IFERROR($M125+VLOOKUP($L125,'Voyage days'!$F$203:$H$256,3,FALSE),"")</f>
        <v/>
      </c>
      <c r="AH125" s="121" t="str">
        <f>IFERROR($N125+VLOOKUP($L125,'Voyage days'!$F$203:$H$256,3,FALSE),"")</f>
        <v/>
      </c>
      <c r="AI125" s="120" t="str">
        <f t="shared" si="44"/>
        <v/>
      </c>
      <c r="AJ125" s="121" t="str">
        <f>IFERROR($M125+VLOOKUP($L125,'Voyage days'!$F$294:$H$377,3,FALSE),"")</f>
        <v/>
      </c>
      <c r="AK125" s="121" t="str">
        <f>IFERROR($N125+VLOOKUP($L125,'Voyage days'!$F$294:$H$377,3,FALSE),"")</f>
        <v/>
      </c>
      <c r="AL125" s="120" t="str">
        <f t="shared" si="45"/>
        <v/>
      </c>
      <c r="AM125" s="121" t="str">
        <f>IFERROR($M125+VLOOKUP($L125,'Voyage days'!$F$382:$H$446,3,FALSE),"")</f>
        <v/>
      </c>
      <c r="AN125" s="121" t="str">
        <f>IFERROR($N125+VLOOKUP($L125,'Voyage days'!$F$382:$H$446,3,FALSE),"")</f>
        <v/>
      </c>
      <c r="AO125" s="120" t="str">
        <f t="shared" si="46"/>
        <v/>
      </c>
      <c r="AP125" s="121" t="str">
        <f>IFERROR($M125+VLOOKUP($L125,'Voyage days'!$F$483:$H$538,3,FALSE),"")</f>
        <v/>
      </c>
      <c r="AQ125" s="121" t="str">
        <f>IFERROR($N125+VLOOKUP($L125,'Voyage days'!$F$483:$H$538,3,FALSE),"")</f>
        <v/>
      </c>
      <c r="AR125" s="120" t="str">
        <f t="shared" si="47"/>
        <v>30-31 May</v>
      </c>
      <c r="AS125" s="121">
        <f>IFERROR($M125+VLOOKUP($L125,'Voyage days'!$F$540:$H$613,3,FALSE),"")</f>
        <v>45807</v>
      </c>
      <c r="AT125" s="121">
        <f>IFERROR($N125+VLOOKUP($L125,'Voyage days'!$F$540:$H$613,3,FALSE),"")</f>
        <v>45808</v>
      </c>
      <c r="AU125" s="120" t="str">
        <f t="shared" si="48"/>
        <v/>
      </c>
      <c r="AV125" s="121" t="str">
        <f>IFERROR($M125+VLOOKUP($L125,'Voyage days'!$L$483:$N$535,3,FALSE),"")</f>
        <v/>
      </c>
      <c r="AW125" s="121" t="str">
        <f>IFERROR($N125+VLOOKUP($L125,'Voyage days'!$L$483:$N$535,3,FALSE),"")</f>
        <v/>
      </c>
      <c r="AX125" s="120" t="str">
        <f t="shared" si="49"/>
        <v/>
      </c>
      <c r="AY125" s="122" t="str">
        <f>IFERROR($M125+VLOOKUP($L125,'Voyage days'!$F$620:$H$646,3,FALSE),"")</f>
        <v/>
      </c>
      <c r="AZ125" s="122" t="str">
        <f>IFERROR($N125+VLOOKUP($L125,'Voyage days'!$F$620:$H$646,3,FALSE),"")</f>
        <v/>
      </c>
      <c r="BA125" s="120" t="str">
        <f t="shared" si="50"/>
        <v/>
      </c>
      <c r="BB125" s="123" t="str">
        <f>IFERROR($M125+VLOOKUP($L125,'Voyage days'!$F$702:$H$727,3,FALSE),"")</f>
        <v/>
      </c>
      <c r="BC125" s="120" t="str">
        <f t="shared" si="51"/>
        <v>11-12 May</v>
      </c>
      <c r="BD125" s="122">
        <f>IFERROR($M125+VLOOKUP($L125,'Voyage days'!$F$807:$H$878,3,FALSE),"")</f>
        <v>45788</v>
      </c>
      <c r="BE125" s="122">
        <f>IFERROR($N125+VLOOKUP($L125,'Voyage days'!$F$807:$H$878,3,FALSE),"")</f>
        <v>45789</v>
      </c>
      <c r="BF125" s="609"/>
      <c r="BG125" s="609"/>
      <c r="BH125" s="609"/>
      <c r="BI125" s="609"/>
      <c r="BJ125" s="609"/>
      <c r="BK125" s="609"/>
      <c r="BL125" s="609"/>
      <c r="BM125" s="609"/>
    </row>
    <row r="126">
      <c r="A126" s="359" t="s">
        <v>471</v>
      </c>
      <c r="B126" s="360">
        <v>2023.0</v>
      </c>
      <c r="C126" s="1089">
        <v>91000.0</v>
      </c>
      <c r="D126" s="368" t="s">
        <v>1687</v>
      </c>
      <c r="E126" s="361" t="s">
        <v>666</v>
      </c>
      <c r="F126" s="1116"/>
      <c r="G126" s="1117">
        <v>46813.0</v>
      </c>
      <c r="H126" s="361"/>
      <c r="I126" s="363" t="s">
        <v>818</v>
      </c>
      <c r="J126" s="368"/>
      <c r="K126" s="481" t="str">
        <f t="shared" si="52"/>
        <v>Update</v>
      </c>
      <c r="L126" s="366" t="s">
        <v>680</v>
      </c>
      <c r="M126" s="367">
        <v>45788.0</v>
      </c>
      <c r="N126" s="367">
        <v>45789.0</v>
      </c>
      <c r="O126" s="368"/>
      <c r="P126" s="368"/>
      <c r="Q126" s="368"/>
      <c r="R126" s="285" t="s">
        <v>3016</v>
      </c>
      <c r="S126" s="358" t="s">
        <v>934</v>
      </c>
      <c r="T126" s="369">
        <v>45775.0</v>
      </c>
      <c r="U126" s="177" t="str">
        <f>IF(V126="","No AIS",VLOOKUP(V126,'Voyage days'!$A$3:$B$1480,2,FALSE))</f>
        <v>USG</v>
      </c>
      <c r="V126" s="177" t="str">
        <f>IF(VLOOKUP(A126,'1) Kpler'!$E$2:$P$1000,8, FALSE)="","",VLOOKUP(A126,'1) Kpler'!$E$2:$P$1000,8, FALSE))</f>
        <v>Energy Transfer Nederland</v>
      </c>
      <c r="W126" s="370">
        <f>IF(VLOOKUP(A126,'1) Kpler'!$E$2:$P$1000,9,FALSE)="","",VLOOKUP(A126,'1) Kpler'!$E$2:$P$1000,9,FALSE))</f>
        <v>46140.00069</v>
      </c>
      <c r="X126" s="177" t="str">
        <f>VLOOKUP(A126,'1) Kpler'!$E$2:$I$1000,4,FALSE)</f>
        <v>ballast</v>
      </c>
      <c r="Y126" s="163" t="str">
        <f t="shared" si="40"/>
        <v/>
      </c>
      <c r="Z126" s="163" t="str">
        <f t="shared" si="41"/>
        <v/>
      </c>
      <c r="AA126" s="122" t="str">
        <f>IFERROR($M126+VLOOKUP($L126,'Voyage days'!$F$38:$H$89,3,FALSE),"")</f>
        <v/>
      </c>
      <c r="AB126" s="122" t="str">
        <f>IFERROR(N126+VLOOKUP($L126,'Voyage days'!$F$38:$H$89,3,FALSE),"")</f>
        <v/>
      </c>
      <c r="AC126" s="163" t="str">
        <f t="shared" si="42"/>
        <v>11-12 May</v>
      </c>
      <c r="AD126" s="122">
        <f>IFERROR($M126+VLOOKUP($L126,'Voyage days'!$F$94:$H$193,3,FALSE),"")</f>
        <v>45788</v>
      </c>
      <c r="AE126" s="122">
        <f>IFERROR($N126+VLOOKUP($L126,'Voyage days'!$F$94:$H$193,3,FALSE),"")</f>
        <v>45789</v>
      </c>
      <c r="AF126" s="163" t="str">
        <f t="shared" si="43"/>
        <v>11-12 May</v>
      </c>
      <c r="AG126" s="122">
        <f>IFERROR($M126+VLOOKUP($L126,'Voyage days'!$F$203:$H$256,3,FALSE),"")</f>
        <v>45788</v>
      </c>
      <c r="AH126" s="122">
        <f>IFERROR($N126+VLOOKUP($L126,'Voyage days'!$F$203:$H$256,3,FALSE),"")</f>
        <v>45789</v>
      </c>
      <c r="AI126" s="163" t="str">
        <f t="shared" si="44"/>
        <v/>
      </c>
      <c r="AJ126" s="122" t="str">
        <f>IFERROR($M126+VLOOKUP($L126,'Voyage days'!$F$294:$H$377,3,FALSE),"")</f>
        <v/>
      </c>
      <c r="AK126" s="122" t="str">
        <f>IFERROR($N126+VLOOKUP($L126,'Voyage days'!$F$294:$H$377,3,FALSE),"")</f>
        <v/>
      </c>
      <c r="AL126" s="163" t="str">
        <f t="shared" si="45"/>
        <v>31-01 Jun</v>
      </c>
      <c r="AM126" s="122">
        <f>IFERROR($M126+VLOOKUP($L126,'Voyage days'!$F$382:$H$446,3,FALSE),"")</f>
        <v>45808</v>
      </c>
      <c r="AN126" s="122">
        <f>IFERROR($N126+VLOOKUP($L126,'Voyage days'!$F$382:$H$446,3,FALSE),"")</f>
        <v>45809</v>
      </c>
      <c r="AO126" s="163" t="str">
        <f t="shared" si="46"/>
        <v/>
      </c>
      <c r="AP126" s="122" t="str">
        <f>IFERROR($M126+VLOOKUP($L126,'Voyage days'!$F$483:$H$538,3,FALSE),"")</f>
        <v/>
      </c>
      <c r="AQ126" s="122" t="str">
        <f>IFERROR($N126+VLOOKUP($L126,'Voyage days'!$F$483:$H$538,3,FALSE),"")</f>
        <v/>
      </c>
      <c r="AR126" s="163" t="str">
        <f t="shared" si="47"/>
        <v/>
      </c>
      <c r="AS126" s="122" t="str">
        <f>IFERROR($M126+VLOOKUP($L126,'Voyage days'!$F$540:$H$613,3,FALSE),"")</f>
        <v/>
      </c>
      <c r="AT126" s="122" t="str">
        <f>IFERROR($N126+VLOOKUP($L126,'Voyage days'!$F$540:$H$613,3,FALSE),"")</f>
        <v/>
      </c>
      <c r="AU126" s="163" t="str">
        <f t="shared" si="48"/>
        <v/>
      </c>
      <c r="AV126" s="122" t="str">
        <f>IFERROR($M126+VLOOKUP($L126,'Voyage days'!$L$483:$N$535,3,FALSE),"")</f>
        <v/>
      </c>
      <c r="AW126" s="122" t="str">
        <f>IFERROR($N126+VLOOKUP($L126,'Voyage days'!$L$483:$N$535,3,FALSE),"")</f>
        <v/>
      </c>
      <c r="AX126" s="163" t="str">
        <f t="shared" si="49"/>
        <v/>
      </c>
      <c r="AY126" s="122" t="str">
        <f>IFERROR($M126+VLOOKUP($L126,'Voyage days'!$F$620:$H$646,3,FALSE),"")</f>
        <v/>
      </c>
      <c r="AZ126" s="122" t="str">
        <f>IFERROR($N126+VLOOKUP($L126,'Voyage days'!$F$620:$H$646,3,FALSE),"")</f>
        <v/>
      </c>
      <c r="BA126" s="163" t="str">
        <f t="shared" si="50"/>
        <v/>
      </c>
      <c r="BB126" s="123" t="str">
        <f>IFERROR($M126+VLOOKUP($L126,'Voyage days'!$F$702:$H$727,3,FALSE),"")</f>
        <v/>
      </c>
      <c r="BC126" s="163" t="str">
        <f t="shared" si="51"/>
        <v/>
      </c>
      <c r="BD126" s="122" t="str">
        <f>IFERROR($M126+VLOOKUP($L126,'Voyage days'!$F$807:$H$878,3,FALSE),"")</f>
        <v/>
      </c>
      <c r="BE126" s="122" t="str">
        <f>IFERROR($N126+VLOOKUP($L126,'Voyage days'!$F$807:$H$878,3,FALSE),"")</f>
        <v/>
      </c>
      <c r="BF126" s="609"/>
      <c r="BG126" s="609"/>
      <c r="BH126" s="609"/>
      <c r="BI126" s="609"/>
      <c r="BJ126" s="609"/>
      <c r="BK126" s="609"/>
      <c r="BL126" s="609"/>
      <c r="BM126" s="609"/>
    </row>
    <row r="127">
      <c r="A127" s="230" t="s">
        <v>827</v>
      </c>
      <c r="B127" s="288">
        <v>42741.0</v>
      </c>
      <c r="C127" s="1098">
        <v>84000.0</v>
      </c>
      <c r="D127" s="234" t="s">
        <v>1687</v>
      </c>
      <c r="E127" s="233"/>
      <c r="F127" s="1035">
        <v>44562.0</v>
      </c>
      <c r="G127" s="1105">
        <v>45658.0</v>
      </c>
      <c r="H127" s="1118"/>
      <c r="I127" s="291" t="s">
        <v>822</v>
      </c>
      <c r="J127" s="536"/>
      <c r="K127" s="517" t="str">
        <f t="shared" si="52"/>
        <v>Update</v>
      </c>
      <c r="L127" s="317" t="s">
        <v>773</v>
      </c>
      <c r="M127" s="276">
        <v>45801.0</v>
      </c>
      <c r="N127" s="276">
        <v>45802.0</v>
      </c>
      <c r="O127" s="155"/>
      <c r="P127" s="157"/>
      <c r="Q127" s="317"/>
      <c r="R127" s="153" t="s">
        <v>3017</v>
      </c>
      <c r="S127" s="256" t="s">
        <v>934</v>
      </c>
      <c r="T127" s="293">
        <v>45788.0</v>
      </c>
      <c r="U127" s="114" t="str">
        <f>IF(V127="","No AIS",VLOOKUP(V127,'Voyage days'!$A$3:$B$1480,2,FALSE))</f>
        <v>USG</v>
      </c>
      <c r="V127" s="114" t="str">
        <f>IF(VLOOKUP(A127,'1) Kpler'!$E$2:$P$1000,8, FALSE)="","",VLOOKUP(A127,'1) Kpler'!$E$2:$P$1000,8, FALSE))</f>
        <v>Energy Transfer Marcus Hook</v>
      </c>
      <c r="W127" s="159">
        <f>IF(VLOOKUP(A127,'1) Kpler'!$E$2:$P$1000,9,FALSE)="","",VLOOKUP(A127,'1) Kpler'!$E$2:$P$1000,9,FALSE))</f>
        <v>46137.58333</v>
      </c>
      <c r="X127" s="114" t="str">
        <f>VLOOKUP(A127,'1) Kpler'!$E$2:$I$1000,4,FALSE)</f>
        <v>ballast</v>
      </c>
      <c r="Y127" s="296" t="str">
        <f t="shared" si="40"/>
        <v/>
      </c>
      <c r="Z127" s="163" t="str">
        <f t="shared" si="41"/>
        <v/>
      </c>
      <c r="AA127" s="122" t="str">
        <f>IFERROR($M127+VLOOKUP($L127,'Voyage days'!$F$38:$H$89,3,FALSE),"")</f>
        <v/>
      </c>
      <c r="AB127" s="122" t="str">
        <f>IFERROR(N127+VLOOKUP($L127,'Voyage days'!$F$38:$H$89,3,FALSE),"")</f>
        <v/>
      </c>
      <c r="AC127" s="163" t="str">
        <f t="shared" si="42"/>
        <v>07-08 Jun</v>
      </c>
      <c r="AD127" s="122">
        <f>IFERROR($M127+VLOOKUP($L127,'Voyage days'!$F$94:$H$193,3,FALSE),"")</f>
        <v>45815</v>
      </c>
      <c r="AE127" s="122">
        <f>IFERROR($N127+VLOOKUP($L127,'Voyage days'!$F$94:$H$193,3,FALSE),"")</f>
        <v>45816</v>
      </c>
      <c r="AF127" s="163" t="str">
        <f t="shared" si="43"/>
        <v>08-09 Jun</v>
      </c>
      <c r="AG127" s="122">
        <f>IFERROR($M127+VLOOKUP($L127,'Voyage days'!$F$203:$H$256,3,FALSE),"")</f>
        <v>45816</v>
      </c>
      <c r="AH127" s="122">
        <f>IFERROR($N127+VLOOKUP($L127,'Voyage days'!$F$203:$H$256,3,FALSE),"")</f>
        <v>45817</v>
      </c>
      <c r="AI127" s="163" t="str">
        <f t="shared" si="44"/>
        <v>04-05 Jun</v>
      </c>
      <c r="AJ127" s="122">
        <f>IFERROR($M127+VLOOKUP($L127,'Voyage days'!$F$294:$H$377,3,FALSE),"")</f>
        <v>45812</v>
      </c>
      <c r="AK127" s="122">
        <f>IFERROR($N127+VLOOKUP($L127,'Voyage days'!$F$294:$H$377,3,FALSE),"")</f>
        <v>45813</v>
      </c>
      <c r="AL127" s="163" t="str">
        <f t="shared" si="45"/>
        <v>26-27 May</v>
      </c>
      <c r="AM127" s="122">
        <f>IFERROR($M127+VLOOKUP($L127,'Voyage days'!$F$382:$H$446,3,FALSE),"")</f>
        <v>45803</v>
      </c>
      <c r="AN127" s="122">
        <f>IFERROR($N127+VLOOKUP($L127,'Voyage days'!$F$382:$H$446,3,FALSE),"")</f>
        <v>45804</v>
      </c>
      <c r="AO127" s="163" t="str">
        <f t="shared" si="46"/>
        <v/>
      </c>
      <c r="AP127" s="122" t="str">
        <f>IFERROR($M127+VLOOKUP($L127,'Voyage days'!$F$483:$H$538,3,FALSE),"")</f>
        <v/>
      </c>
      <c r="AQ127" s="122" t="str">
        <f>IFERROR($N127+VLOOKUP($L127,'Voyage days'!$F$483:$H$538,3,FALSE),"")</f>
        <v/>
      </c>
      <c r="AR127" s="163" t="str">
        <f t="shared" si="47"/>
        <v/>
      </c>
      <c r="AS127" s="122" t="str">
        <f>IFERROR($M127+VLOOKUP($L127,'Voyage days'!$F$540:$H$613,3,FALSE),"")</f>
        <v/>
      </c>
      <c r="AT127" s="122" t="str">
        <f>IFERROR($N127+VLOOKUP($L127,'Voyage days'!$F$540:$H$613,3,FALSE),"")</f>
        <v/>
      </c>
      <c r="AU127" s="163" t="str">
        <f t="shared" si="48"/>
        <v/>
      </c>
      <c r="AV127" s="122" t="str">
        <f>IFERROR($M127+VLOOKUP($L127,'Voyage days'!$L$483:$N$535,3,FALSE),"")</f>
        <v/>
      </c>
      <c r="AW127" s="122" t="str">
        <f>IFERROR($N127+VLOOKUP($L127,'Voyage days'!$L$483:$N$535,3,FALSE),"")</f>
        <v/>
      </c>
      <c r="AX127" s="163" t="str">
        <f t="shared" si="49"/>
        <v/>
      </c>
      <c r="AY127" s="122" t="str">
        <f>IFERROR($M127+VLOOKUP($L127,'Voyage days'!$F$620:$H$646,3,FALSE),"")</f>
        <v/>
      </c>
      <c r="AZ127" s="122" t="str">
        <f>IFERROR($N127+VLOOKUP($L127,'Voyage days'!$F$620:$H$646,3,FALSE),"")</f>
        <v/>
      </c>
      <c r="BA127" s="163" t="str">
        <f t="shared" si="50"/>
        <v/>
      </c>
      <c r="BB127" s="123" t="str">
        <f>IFERROR($M127+VLOOKUP($L127,'Voyage days'!$F$702:$H$727,3,FALSE),"")</f>
        <v/>
      </c>
      <c r="BC127" s="163" t="str">
        <f t="shared" si="51"/>
        <v>07-08 Jun</v>
      </c>
      <c r="BD127" s="122">
        <f>IFERROR($M127+VLOOKUP($L127,'Voyage days'!$F$807:$H$878,3,FALSE),"")</f>
        <v>45815</v>
      </c>
      <c r="BE127" s="122">
        <f>IFERROR($N127+VLOOKUP($L127,'Voyage days'!$F$807:$H$878,3,FALSE),"")</f>
        <v>45816</v>
      </c>
      <c r="BF127" s="609"/>
      <c r="BG127" s="609"/>
      <c r="BH127" s="609"/>
      <c r="BI127" s="609"/>
      <c r="BJ127" s="609"/>
      <c r="BK127" s="609"/>
      <c r="BL127" s="609"/>
      <c r="BM127" s="609"/>
    </row>
    <row r="128">
      <c r="A128" s="674" t="s">
        <v>821</v>
      </c>
      <c r="B128" s="222">
        <v>41960.0</v>
      </c>
      <c r="C128" s="1101">
        <v>84000.0</v>
      </c>
      <c r="D128" s="168" t="s">
        <v>1687</v>
      </c>
      <c r="E128" s="223" t="s">
        <v>689</v>
      </c>
      <c r="F128" s="1010">
        <v>43831.0</v>
      </c>
      <c r="G128" s="1011">
        <v>46784.0</v>
      </c>
      <c r="H128" s="223"/>
      <c r="I128" s="463" t="s">
        <v>822</v>
      </c>
      <c r="J128" s="312" t="s">
        <v>2935</v>
      </c>
      <c r="K128" s="469" t="str">
        <f t="shared" si="52"/>
        <v>NO AIS</v>
      </c>
      <c r="L128" s="172" t="s">
        <v>1369</v>
      </c>
      <c r="M128" s="173">
        <v>45811.0</v>
      </c>
      <c r="N128" s="173">
        <v>45813.0</v>
      </c>
      <c r="O128" s="174"/>
      <c r="P128" s="312"/>
      <c r="Q128" s="320"/>
      <c r="R128" s="172" t="s">
        <v>3018</v>
      </c>
      <c r="S128" s="175" t="s">
        <v>934</v>
      </c>
      <c r="T128" s="369">
        <v>45788.0</v>
      </c>
      <c r="U128" s="177" t="str">
        <f>IF(V128="","No AIS",VLOOKUP(V128,'Voyage days'!$A$3:$B$1480,2,FALSE))</f>
        <v>No AIS</v>
      </c>
      <c r="V128" s="178" t="str">
        <f>IF(VLOOKUP(A128,'1) Kpler'!$E$2:$P$1000,8, FALSE)="","",VLOOKUP(A128,'1) Kpler'!$E$2:$P$1000,8, FALSE))</f>
        <v/>
      </c>
      <c r="W128" s="179" t="str">
        <f>IF(VLOOKUP(A128,'1) Kpler'!$E$2:$P$1000,9,FALSE)="","",VLOOKUP(A128,'1) Kpler'!$E$2:$P$1000,9,FALSE))</f>
        <v/>
      </c>
      <c r="X128" s="178" t="str">
        <f>VLOOKUP(A128,'1) Kpler'!$E$2:$I$1000,4,FALSE)</f>
        <v>loaded</v>
      </c>
      <c r="Y128" s="120" t="str">
        <f t="shared" si="40"/>
        <v>16-18 Jun</v>
      </c>
      <c r="Z128" s="120" t="str">
        <f t="shared" si="41"/>
        <v>16-18 Jun</v>
      </c>
      <c r="AA128" s="121">
        <f>IFERROR($M128+VLOOKUP($L128,'Voyage days'!$F$38:$H$89,3,FALSE),"")</f>
        <v>45824</v>
      </c>
      <c r="AB128" s="121">
        <f>IFERROR(N128+VLOOKUP($L128,'Voyage days'!$F$38:$H$89,3,FALSE),"")</f>
        <v>45826</v>
      </c>
      <c r="AC128" s="120" t="str">
        <f t="shared" si="42"/>
        <v>07-09 Jul</v>
      </c>
      <c r="AD128" s="121">
        <f>IFERROR($M128+VLOOKUP($L128,'Voyage days'!$F$94:$H$193,3,FALSE),"")</f>
        <v>45845</v>
      </c>
      <c r="AE128" s="121">
        <f>IFERROR($N128+VLOOKUP($L128,'Voyage days'!$F$94:$H$193,3,FALSE),"")</f>
        <v>45847</v>
      </c>
      <c r="AF128" s="120" t="str">
        <f t="shared" si="43"/>
        <v>13-15 Jul</v>
      </c>
      <c r="AG128" s="121">
        <f>IFERROR($M128+VLOOKUP($L128,'Voyage days'!$F$203:$H$256,3,FALSE),"")</f>
        <v>45851</v>
      </c>
      <c r="AH128" s="121">
        <f>IFERROR($N128+VLOOKUP($L128,'Voyage days'!$F$203:$H$256,3,FALSE),"")</f>
        <v>45853</v>
      </c>
      <c r="AI128" s="120" t="str">
        <f t="shared" si="44"/>
        <v>25-27 Jun</v>
      </c>
      <c r="AJ128" s="121">
        <f>IFERROR($M128+VLOOKUP($L128,'Voyage days'!$F$294:$H$377,3,FALSE),"")</f>
        <v>45833</v>
      </c>
      <c r="AK128" s="121">
        <f>IFERROR($N128+VLOOKUP($L128,'Voyage days'!$F$294:$H$377,3,FALSE),"")</f>
        <v>45835</v>
      </c>
      <c r="AL128" s="120" t="str">
        <f t="shared" si="45"/>
        <v>04-06 Jul</v>
      </c>
      <c r="AM128" s="121">
        <f>IFERROR($M128+VLOOKUP($L128,'Voyage days'!$F$382:$H$446,3,FALSE),"")</f>
        <v>45842</v>
      </c>
      <c r="AN128" s="121">
        <f>IFERROR($N128+VLOOKUP($L128,'Voyage days'!$F$382:$H$446,3,FALSE),"")</f>
        <v>45844</v>
      </c>
      <c r="AO128" s="120" t="str">
        <f t="shared" si="46"/>
        <v>16-18 Jun</v>
      </c>
      <c r="AP128" s="121">
        <f>IFERROR($M128+VLOOKUP($L128,'Voyage days'!$F$483:$H$538,3,FALSE),"")</f>
        <v>45824</v>
      </c>
      <c r="AQ128" s="121">
        <f>IFERROR($N128+VLOOKUP($L128,'Voyage days'!$F$483:$H$538,3,FALSE),"")</f>
        <v>45826</v>
      </c>
      <c r="AR128" s="120" t="str">
        <f t="shared" si="47"/>
        <v>09-11 Jun</v>
      </c>
      <c r="AS128" s="121">
        <f>IFERROR($M128+VLOOKUP($L128,'Voyage days'!$F$540:$H$613,3,FALSE),"")</f>
        <v>45817.75</v>
      </c>
      <c r="AT128" s="121">
        <f>IFERROR($N128+VLOOKUP($L128,'Voyage days'!$F$540:$H$613,3,FALSE),"")</f>
        <v>45819.75</v>
      </c>
      <c r="AU128" s="120" t="str">
        <f t="shared" si="48"/>
        <v/>
      </c>
      <c r="AV128" s="121" t="str">
        <f>IFERROR($M128+VLOOKUP($L128,'Voyage days'!$L$483:$N$535,3,FALSE),"")</f>
        <v/>
      </c>
      <c r="AW128" s="121" t="str">
        <f>IFERROR($N128+VLOOKUP($L128,'Voyage days'!$L$483:$N$535,3,FALSE),"")</f>
        <v/>
      </c>
      <c r="AX128" s="120" t="str">
        <f t="shared" si="49"/>
        <v/>
      </c>
      <c r="AY128" s="122" t="str">
        <f>IFERROR($M128+VLOOKUP($L128,'Voyage days'!$F$620:$H$646,3,FALSE),"")</f>
        <v/>
      </c>
      <c r="AZ128" s="122" t="str">
        <f>IFERROR($N128+VLOOKUP($L128,'Voyage days'!$F$620:$H$646,3,FALSE),"")</f>
        <v/>
      </c>
      <c r="BA128" s="120" t="str">
        <f t="shared" si="50"/>
        <v>09-16 Jul</v>
      </c>
      <c r="BB128" s="123">
        <f>IFERROR($M128+VLOOKUP($L128,'Voyage days'!$F$702:$H$727,3,FALSE),"")</f>
        <v>45817.75</v>
      </c>
      <c r="BC128" s="120" t="str">
        <f t="shared" si="51"/>
        <v>14-16 Jul</v>
      </c>
      <c r="BD128" s="122">
        <f>IFERROR($M128+VLOOKUP($L128,'Voyage days'!$F$807:$H$878,3,FALSE),"")</f>
        <v>45852</v>
      </c>
      <c r="BE128" s="122">
        <f>IFERROR($N128+VLOOKUP($L128,'Voyage days'!$F$807:$H$878,3,FALSE),"")</f>
        <v>45854</v>
      </c>
      <c r="BF128" s="609"/>
      <c r="BG128" s="609"/>
      <c r="BH128" s="609"/>
      <c r="BI128" s="609"/>
      <c r="BJ128" s="609"/>
      <c r="BK128" s="609"/>
      <c r="BL128" s="609"/>
      <c r="BM128" s="609"/>
    </row>
    <row r="129" ht="15.75" customHeight="1">
      <c r="A129" s="375" t="s">
        <v>288</v>
      </c>
      <c r="B129" s="148">
        <v>2021.0</v>
      </c>
      <c r="C129" s="1045">
        <v>84000.0</v>
      </c>
      <c r="D129" s="150" t="s">
        <v>1687</v>
      </c>
      <c r="E129" s="149" t="s">
        <v>689</v>
      </c>
      <c r="F129" s="149"/>
      <c r="G129" s="1015">
        <v>46023.0</v>
      </c>
      <c r="H129" s="149"/>
      <c r="I129" s="153" t="s">
        <v>830</v>
      </c>
      <c r="J129" s="536" t="s">
        <v>3019</v>
      </c>
      <c r="K129" s="470" t="str">
        <f t="shared" si="52"/>
        <v>Update</v>
      </c>
      <c r="L129" s="153" t="s">
        <v>656</v>
      </c>
      <c r="M129" s="238">
        <v>45804.0</v>
      </c>
      <c r="N129" s="238">
        <v>45806.0</v>
      </c>
      <c r="O129" s="155"/>
      <c r="P129" s="1119"/>
      <c r="Q129" s="536"/>
      <c r="R129" s="153" t="s">
        <v>3020</v>
      </c>
      <c r="S129" s="256" t="s">
        <v>2962</v>
      </c>
      <c r="T129" s="293">
        <v>45784.0</v>
      </c>
      <c r="U129" s="114" t="str">
        <f>IF(V129="","No AIS",VLOOKUP(V129,'Voyage days'!$A$3:$B$1480,2,FALSE))</f>
        <v>Vietnam + 3</v>
      </c>
      <c r="V129" s="114" t="str">
        <f>IF(VLOOKUP(A129,'1) Kpler'!$E$2:$P$1000,8, FALSE)="","",VLOOKUP(A129,'1) Kpler'!$E$2:$P$1000,8, FALSE))</f>
        <v>PV Vung Tau</v>
      </c>
      <c r="W129" s="159">
        <f>IF(VLOOKUP(A129,'1) Kpler'!$E$2:$P$1000,9,FALSE)="","",VLOOKUP(A129,'1) Kpler'!$E$2:$P$1000,9,FALSE))</f>
        <v>46133.45833</v>
      </c>
      <c r="X129" s="114" t="str">
        <f>VLOOKUP(A129,'1) Kpler'!$E$2:$I$1000,4,FALSE)</f>
        <v>loaded</v>
      </c>
      <c r="Y129" s="296" t="str">
        <f t="shared" si="40"/>
        <v>14-16 Jun</v>
      </c>
      <c r="Z129" s="163" t="str">
        <f t="shared" si="41"/>
        <v>14-16 Jun</v>
      </c>
      <c r="AA129" s="122">
        <f>IFERROR($M129+VLOOKUP($L129,'Voyage days'!$F$38:$H$89,3,FALSE),"")</f>
        <v>45822</v>
      </c>
      <c r="AB129" s="122">
        <f>IFERROR(N129+VLOOKUP($L129,'Voyage days'!$F$38:$H$89,3,FALSE),"")</f>
        <v>45824</v>
      </c>
      <c r="AC129" s="163" t="str">
        <f t="shared" si="42"/>
        <v>27-29 Jun</v>
      </c>
      <c r="AD129" s="122">
        <f>IFERROR($M129+VLOOKUP($L129,'Voyage days'!$F$94:$H$193,3,FALSE),"")</f>
        <v>45835</v>
      </c>
      <c r="AE129" s="122">
        <f>IFERROR($N129+VLOOKUP($L129,'Voyage days'!$F$94:$H$193,3,FALSE),"")</f>
        <v>45837</v>
      </c>
      <c r="AF129" s="163" t="str">
        <f t="shared" si="43"/>
        <v>04-06 Jul</v>
      </c>
      <c r="AG129" s="122">
        <f>IFERROR($M129+VLOOKUP($L129,'Voyage days'!$F$203:$H$256,3,FALSE),"")</f>
        <v>45842</v>
      </c>
      <c r="AH129" s="122">
        <f>IFERROR($N129+VLOOKUP($L129,'Voyage days'!$F$203:$H$256,3,FALSE),"")</f>
        <v>45844</v>
      </c>
      <c r="AI129" s="163" t="str">
        <f t="shared" si="44"/>
        <v>26-28 Jun</v>
      </c>
      <c r="AJ129" s="122">
        <f>IFERROR($M129+VLOOKUP($L129,'Voyage days'!$F$294:$H$377,3,FALSE),"")</f>
        <v>45834</v>
      </c>
      <c r="AK129" s="122">
        <f>IFERROR($N129+VLOOKUP($L129,'Voyage days'!$F$294:$H$377,3,FALSE),"")</f>
        <v>45836</v>
      </c>
      <c r="AL129" s="163" t="str">
        <f t="shared" si="45"/>
        <v>02-04 Jul</v>
      </c>
      <c r="AM129" s="122">
        <f>IFERROR($M129+VLOOKUP($L129,'Voyage days'!$F$382:$H$446,3,FALSE),"")</f>
        <v>45840</v>
      </c>
      <c r="AN129" s="122">
        <f>IFERROR($N129+VLOOKUP($L129,'Voyage days'!$F$382:$H$446,3,FALSE),"")</f>
        <v>45842</v>
      </c>
      <c r="AO129" s="163" t="str">
        <f t="shared" si="46"/>
        <v>09-11 Jun</v>
      </c>
      <c r="AP129" s="122">
        <f>IFERROR($M129+VLOOKUP($L129,'Voyage days'!$F$483:$H$538,3,FALSE),"")</f>
        <v>45817</v>
      </c>
      <c r="AQ129" s="122">
        <f>IFERROR($N129+VLOOKUP($L129,'Voyage days'!$F$483:$H$538,3,FALSE),"")</f>
        <v>45819</v>
      </c>
      <c r="AR129" s="163" t="str">
        <f t="shared" si="47"/>
        <v>04-06 Jun</v>
      </c>
      <c r="AS129" s="122">
        <f>IFERROR($M129+VLOOKUP($L129,'Voyage days'!$F$540:$H$613,3,FALSE),"")</f>
        <v>45812.25</v>
      </c>
      <c r="AT129" s="122">
        <f>IFERROR($N129+VLOOKUP($L129,'Voyage days'!$F$540:$H$613,3,FALSE),"")</f>
        <v>45814.25</v>
      </c>
      <c r="AU129" s="163" t="str">
        <f t="shared" si="48"/>
        <v/>
      </c>
      <c r="AV129" s="122" t="str">
        <f>IFERROR($M129+VLOOKUP($L129,'Voyage days'!$L$483:$N$535,3,FALSE),"")</f>
        <v/>
      </c>
      <c r="AW129" s="122" t="str">
        <f>IFERROR($N129+VLOOKUP($L129,'Voyage days'!$L$483:$N$535,3,FALSE),"")</f>
        <v/>
      </c>
      <c r="AX129" s="163" t="str">
        <f t="shared" si="49"/>
        <v>07-09 Jun</v>
      </c>
      <c r="AY129" s="122">
        <f>IFERROR($M129+VLOOKUP($L129,'Voyage days'!$F$620:$H$646,3,FALSE),"")</f>
        <v>45815</v>
      </c>
      <c r="AZ129" s="122">
        <f>IFERROR($N129+VLOOKUP($L129,'Voyage days'!$F$620:$H$646,3,FALSE),"")</f>
        <v>45817</v>
      </c>
      <c r="BA129" s="163" t="str">
        <f t="shared" si="50"/>
        <v>04-14 Jul</v>
      </c>
      <c r="BB129" s="123">
        <f>IFERROR($M129+VLOOKUP($L129,'Voyage days'!$F$702:$H$727,3,FALSE),"")</f>
        <v>45812.25</v>
      </c>
      <c r="BC129" s="163" t="str">
        <f t="shared" si="51"/>
        <v>12-14 Jul</v>
      </c>
      <c r="BD129" s="122">
        <f>IFERROR($M129+VLOOKUP($L129,'Voyage days'!$F$807:$H$878,3,FALSE),"")</f>
        <v>45850</v>
      </c>
      <c r="BE129" s="122">
        <f>IFERROR($N129+VLOOKUP($L129,'Voyage days'!$F$807:$H$878,3,FALSE),"")</f>
        <v>45852</v>
      </c>
      <c r="BF129" s="609"/>
      <c r="BG129" s="609"/>
      <c r="BH129" s="609"/>
      <c r="BI129" s="609"/>
      <c r="BJ129" s="609"/>
      <c r="BK129" s="609"/>
      <c r="BL129" s="609"/>
      <c r="BM129" s="609"/>
    </row>
    <row r="130">
      <c r="A130" s="461" t="s">
        <v>184</v>
      </c>
      <c r="B130" s="222">
        <v>43657.0</v>
      </c>
      <c r="C130" s="1101">
        <v>80000.0</v>
      </c>
      <c r="D130" s="168" t="s">
        <v>1687</v>
      </c>
      <c r="E130" s="223" t="s">
        <v>689</v>
      </c>
      <c r="F130" s="1010"/>
      <c r="G130" s="1011"/>
      <c r="H130" s="223"/>
      <c r="I130" s="463" t="s">
        <v>830</v>
      </c>
      <c r="J130" s="463" t="s">
        <v>1554</v>
      </c>
      <c r="K130" s="469" t="str">
        <f t="shared" si="52"/>
        <v>Update</v>
      </c>
      <c r="L130" s="172" t="s">
        <v>755</v>
      </c>
      <c r="M130" s="173">
        <v>45798.0</v>
      </c>
      <c r="N130" s="173">
        <v>45802.0</v>
      </c>
      <c r="O130" s="174"/>
      <c r="P130" s="172" t="s">
        <v>3021</v>
      </c>
      <c r="Q130" s="463"/>
      <c r="R130" s="172" t="s">
        <v>3022</v>
      </c>
      <c r="S130" s="175" t="s">
        <v>2962</v>
      </c>
      <c r="T130" s="369">
        <v>45784.0</v>
      </c>
      <c r="U130" s="177" t="str">
        <f>IF(V130="","No AIS",VLOOKUP(V130,'Voyage days'!$A$3:$B$1480,2,FALSE))</f>
        <v>USG</v>
      </c>
      <c r="V130" s="178" t="str">
        <f>IF(VLOOKUP(A130,'1) Kpler'!$E$2:$P$1000,8, FALSE)="","",VLOOKUP(A130,'1) Kpler'!$E$2:$P$1000,8, FALSE))</f>
        <v>Houston</v>
      </c>
      <c r="W130" s="179">
        <f>IF(VLOOKUP(A130,'1) Kpler'!$E$2:$P$1000,9,FALSE)="","",VLOOKUP(A130,'1) Kpler'!$E$2:$P$1000,9,FALSE))</f>
        <v>46132.5</v>
      </c>
      <c r="X130" s="178" t="str">
        <f>VLOOKUP(A130,'1) Kpler'!$E$2:$I$1000,4,FALSE)</f>
        <v>ballast</v>
      </c>
      <c r="Y130" s="160" t="str">
        <f t="shared" si="40"/>
        <v>01-05 Jun</v>
      </c>
      <c r="Z130" s="120" t="str">
        <f t="shared" si="41"/>
        <v>01-05 Jun</v>
      </c>
      <c r="AA130" s="121">
        <f>IFERROR($M130+VLOOKUP($L130,'Voyage days'!$F$38:$H$89,3,FALSE),"")</f>
        <v>45809</v>
      </c>
      <c r="AB130" s="121">
        <f>IFERROR(N130+VLOOKUP($L130,'Voyage days'!$F$38:$H$89,3,FALSE),"")</f>
        <v>45813</v>
      </c>
      <c r="AC130" s="120" t="str">
        <f t="shared" si="42"/>
        <v>29-03 Jul</v>
      </c>
      <c r="AD130" s="121">
        <f>IFERROR($M130+VLOOKUP($L130,'Voyage days'!$F$94:$H$193,3,FALSE),"")</f>
        <v>45837</v>
      </c>
      <c r="AE130" s="121">
        <f>IFERROR($N130+VLOOKUP($L130,'Voyage days'!$F$94:$H$193,3,FALSE),"")</f>
        <v>45841</v>
      </c>
      <c r="AF130" s="120" t="str">
        <f t="shared" si="43"/>
        <v>27-01 Jul</v>
      </c>
      <c r="AG130" s="121">
        <f>IFERROR($M130+VLOOKUP($L130,'Voyage days'!$F$203:$H$256,3,FALSE),"")</f>
        <v>45835</v>
      </c>
      <c r="AH130" s="121">
        <f>IFERROR($N130+VLOOKUP($L130,'Voyage days'!$F$203:$H$256,3,FALSE),"")</f>
        <v>45839</v>
      </c>
      <c r="AI130" s="120" t="str">
        <f t="shared" si="44"/>
        <v>10-14 Jun</v>
      </c>
      <c r="AJ130" s="121">
        <f>IFERROR($M130+VLOOKUP($L130,'Voyage days'!$F$294:$H$377,3,FALSE),"")</f>
        <v>45818</v>
      </c>
      <c r="AK130" s="121">
        <f>IFERROR($N130+VLOOKUP($L130,'Voyage days'!$F$294:$H$377,3,FALSE),"")</f>
        <v>45822</v>
      </c>
      <c r="AL130" s="120" t="str">
        <f t="shared" si="45"/>
        <v>19-23 Jun</v>
      </c>
      <c r="AM130" s="121">
        <f>IFERROR($M130+VLOOKUP($L130,'Voyage days'!$F$382:$H$446,3,FALSE),"")</f>
        <v>45827</v>
      </c>
      <c r="AN130" s="121">
        <f>IFERROR($N130+VLOOKUP($L130,'Voyage days'!$F$382:$H$446,3,FALSE),"")</f>
        <v>45831</v>
      </c>
      <c r="AO130" s="120" t="str">
        <f t="shared" si="46"/>
        <v>30-03 Jun</v>
      </c>
      <c r="AP130" s="121">
        <f>IFERROR($M130+VLOOKUP($L130,'Voyage days'!$F$483:$H$538,3,FALSE),"")</f>
        <v>45807</v>
      </c>
      <c r="AQ130" s="121">
        <f>IFERROR($N130+VLOOKUP($L130,'Voyage days'!$F$483:$H$538,3,FALSE),"")</f>
        <v>45811</v>
      </c>
      <c r="AR130" s="120" t="str">
        <f t="shared" si="47"/>
        <v>25-29 May</v>
      </c>
      <c r="AS130" s="121">
        <f>IFERROR($M130+VLOOKUP($L130,'Voyage days'!$F$540:$H$613,3,FALSE),"")</f>
        <v>45802</v>
      </c>
      <c r="AT130" s="121">
        <f>IFERROR($N130+VLOOKUP($L130,'Voyage days'!$F$540:$H$613,3,FALSE),"")</f>
        <v>45806</v>
      </c>
      <c r="AU130" s="120" t="str">
        <f t="shared" si="48"/>
        <v/>
      </c>
      <c r="AV130" s="121" t="str">
        <f>IFERROR($M130+VLOOKUP($L130,'Voyage days'!$L$483:$N$535,3,FALSE),"")</f>
        <v/>
      </c>
      <c r="AW130" s="121" t="str">
        <f>IFERROR($N130+VLOOKUP($L130,'Voyage days'!$L$483:$N$535,3,FALSE),"")</f>
        <v/>
      </c>
      <c r="AX130" s="120" t="str">
        <f t="shared" si="49"/>
        <v/>
      </c>
      <c r="AY130" s="122" t="str">
        <f>IFERROR($M130+VLOOKUP($L130,'Voyage days'!$F$620:$H$646,3,FALSE),"")</f>
        <v/>
      </c>
      <c r="AZ130" s="122" t="str">
        <f>IFERROR($N130+VLOOKUP($L130,'Voyage days'!$F$620:$H$646,3,FALSE),"")</f>
        <v/>
      </c>
      <c r="BA130" s="120" t="str">
        <f t="shared" si="50"/>
        <v>29-01 Jul</v>
      </c>
      <c r="BB130" s="123">
        <f>IFERROR($M130+VLOOKUP($L130,'Voyage days'!$F$702:$H$727,3,FALSE),"")</f>
        <v>45806</v>
      </c>
      <c r="BC130" s="120" t="str">
        <f t="shared" si="51"/>
        <v>27-01 Jul</v>
      </c>
      <c r="BD130" s="122">
        <f>IFERROR($M130+VLOOKUP($L130,'Voyage days'!$F$807:$H$878,3,FALSE),"")</f>
        <v>45835</v>
      </c>
      <c r="BE130" s="122">
        <f>IFERROR($N130+VLOOKUP($L130,'Voyage days'!$F$807:$H$878,3,FALSE),"")</f>
        <v>45839</v>
      </c>
      <c r="BF130" s="609"/>
      <c r="BG130" s="609"/>
      <c r="BH130" s="609"/>
      <c r="BI130" s="609"/>
      <c r="BJ130" s="609"/>
      <c r="BK130" s="609"/>
      <c r="BL130" s="609"/>
      <c r="BM130" s="609"/>
    </row>
    <row r="131" ht="15.75" customHeight="1">
      <c r="A131" s="375" t="s">
        <v>357</v>
      </c>
      <c r="B131" s="148">
        <v>2020.0</v>
      </c>
      <c r="C131" s="1045">
        <v>80000.0</v>
      </c>
      <c r="D131" s="150" t="s">
        <v>1687</v>
      </c>
      <c r="E131" s="149" t="s">
        <v>689</v>
      </c>
      <c r="F131" s="1014"/>
      <c r="G131" s="1015">
        <v>45748.0</v>
      </c>
      <c r="H131" s="149"/>
      <c r="I131" s="611" t="s">
        <v>837</v>
      </c>
      <c r="J131" s="536"/>
      <c r="K131" s="470" t="str">
        <f t="shared" si="52"/>
        <v>Update</v>
      </c>
      <c r="L131" s="153" t="s">
        <v>680</v>
      </c>
      <c r="M131" s="276">
        <v>45807.0</v>
      </c>
      <c r="N131" s="276">
        <v>45808.0</v>
      </c>
      <c r="O131" s="155"/>
      <c r="P131" s="317"/>
      <c r="Q131" s="157"/>
      <c r="R131" s="153" t="s">
        <v>3023</v>
      </c>
      <c r="S131" s="256" t="s">
        <v>2962</v>
      </c>
      <c r="T131" s="293">
        <v>45784.0</v>
      </c>
      <c r="U131" s="114" t="str">
        <f>IF(V131="","No AIS",VLOOKUP(V131,'Voyage days'!$A$3:$B$1480,2,FALSE))</f>
        <v>Eu + 4</v>
      </c>
      <c r="V131" s="114" t="str">
        <f>IF(VLOOKUP(A131,'1) Kpler'!$E$2:$P$1000,8, FALSE)="","",VLOOKUP(A131,'1) Kpler'!$E$2:$P$1000,8, FALSE))</f>
        <v>Antwerp</v>
      </c>
      <c r="W131" s="159">
        <f>IF(VLOOKUP(A131,'1) Kpler'!$E$2:$P$1000,9,FALSE)="","",VLOOKUP(A131,'1) Kpler'!$E$2:$P$1000,9,FALSE))</f>
        <v>46131.79167</v>
      </c>
      <c r="X131" s="114" t="str">
        <f>VLOOKUP(A131,'1) Kpler'!$E$2:$I$1000,4,FALSE)</f>
        <v>loaded</v>
      </c>
      <c r="Y131" s="117" t="str">
        <f t="shared" si="40"/>
        <v/>
      </c>
      <c r="Z131" s="163" t="str">
        <f t="shared" si="41"/>
        <v/>
      </c>
      <c r="AA131" s="122" t="str">
        <f>IFERROR($M131+VLOOKUP($L131,'Voyage days'!$F$38:$H$89,3,FALSE),"")</f>
        <v/>
      </c>
      <c r="AB131" s="122" t="str">
        <f>IFERROR(N131+VLOOKUP($L131,'Voyage days'!$F$38:$H$89,3,FALSE),"")</f>
        <v/>
      </c>
      <c r="AC131" s="163" t="str">
        <f t="shared" si="42"/>
        <v>30-31 May</v>
      </c>
      <c r="AD131" s="122">
        <f>IFERROR($M131+VLOOKUP($L131,'Voyage days'!$F$94:$H$193,3,FALSE),"")</f>
        <v>45807</v>
      </c>
      <c r="AE131" s="122">
        <f>IFERROR($N131+VLOOKUP($L131,'Voyage days'!$F$94:$H$193,3,FALSE),"")</f>
        <v>45808</v>
      </c>
      <c r="AF131" s="163" t="str">
        <f t="shared" si="43"/>
        <v>30-31 May</v>
      </c>
      <c r="AG131" s="122">
        <f>IFERROR($M131+VLOOKUP($L131,'Voyage days'!$F$203:$H$256,3,FALSE),"")</f>
        <v>45807</v>
      </c>
      <c r="AH131" s="122">
        <f>IFERROR($N131+VLOOKUP($L131,'Voyage days'!$F$203:$H$256,3,FALSE),"")</f>
        <v>45808</v>
      </c>
      <c r="AI131" s="163" t="str">
        <f t="shared" si="44"/>
        <v/>
      </c>
      <c r="AJ131" s="122" t="str">
        <f>IFERROR($M131+VLOOKUP($L131,'Voyage days'!$F$294:$H$377,3,FALSE),"")</f>
        <v/>
      </c>
      <c r="AK131" s="122" t="str">
        <f>IFERROR($N131+VLOOKUP($L131,'Voyage days'!$F$294:$H$377,3,FALSE),"")</f>
        <v/>
      </c>
      <c r="AL131" s="163" t="str">
        <f t="shared" si="45"/>
        <v>19-20 Jun</v>
      </c>
      <c r="AM131" s="122">
        <f>IFERROR($M131+VLOOKUP($L131,'Voyage days'!$F$382:$H$446,3,FALSE),"")</f>
        <v>45827</v>
      </c>
      <c r="AN131" s="122">
        <f>IFERROR($N131+VLOOKUP($L131,'Voyage days'!$F$382:$H$446,3,FALSE),"")</f>
        <v>45828</v>
      </c>
      <c r="AO131" s="163" t="str">
        <f t="shared" si="46"/>
        <v/>
      </c>
      <c r="AP131" s="122" t="str">
        <f>IFERROR($M131+VLOOKUP($L131,'Voyage days'!$F$483:$H$538,3,FALSE),"")</f>
        <v/>
      </c>
      <c r="AQ131" s="122" t="str">
        <f>IFERROR($N131+VLOOKUP($L131,'Voyage days'!$F$483:$H$538,3,FALSE),"")</f>
        <v/>
      </c>
      <c r="AR131" s="163" t="str">
        <f t="shared" si="47"/>
        <v/>
      </c>
      <c r="AS131" s="122" t="str">
        <f>IFERROR($M131+VLOOKUP($L131,'Voyage days'!$F$540:$H$613,3,FALSE),"")</f>
        <v/>
      </c>
      <c r="AT131" s="122" t="str">
        <f>IFERROR($N131+VLOOKUP($L131,'Voyage days'!$F$540:$H$613,3,FALSE),"")</f>
        <v/>
      </c>
      <c r="AU131" s="163" t="str">
        <f t="shared" si="48"/>
        <v/>
      </c>
      <c r="AV131" s="122" t="str">
        <f>IFERROR($M131+VLOOKUP($L131,'Voyage days'!$L$483:$N$535,3,FALSE),"")</f>
        <v/>
      </c>
      <c r="AW131" s="122" t="str">
        <f>IFERROR($N131+VLOOKUP($L131,'Voyage days'!$L$483:$N$535,3,FALSE),"")</f>
        <v/>
      </c>
      <c r="AX131" s="163" t="str">
        <f t="shared" si="49"/>
        <v/>
      </c>
      <c r="AY131" s="122" t="str">
        <f>IFERROR($M131+VLOOKUP($L131,'Voyage days'!$F$620:$H$646,3,FALSE),"")</f>
        <v/>
      </c>
      <c r="AZ131" s="122" t="str">
        <f>IFERROR($N131+VLOOKUP($L131,'Voyage days'!$F$620:$H$646,3,FALSE),"")</f>
        <v/>
      </c>
      <c r="BA131" s="163" t="str">
        <f t="shared" si="50"/>
        <v/>
      </c>
      <c r="BB131" s="123" t="str">
        <f>IFERROR($M131+VLOOKUP($L131,'Voyage days'!$F$702:$H$727,3,FALSE),"")</f>
        <v/>
      </c>
      <c r="BC131" s="120" t="str">
        <f t="shared" si="51"/>
        <v/>
      </c>
      <c r="BD131" s="122" t="str">
        <f>IFERROR($M131+VLOOKUP($L131,'Voyage days'!$F$807:$H$878,3,FALSE),"")</f>
        <v/>
      </c>
      <c r="BE131" s="122" t="str">
        <f>IFERROR($N131+VLOOKUP($L131,'Voyage days'!$F$807:$H$878,3,FALSE),"")</f>
        <v/>
      </c>
      <c r="BF131" s="609"/>
      <c r="BG131" s="609"/>
      <c r="BH131" s="609"/>
      <c r="BI131" s="609"/>
      <c r="BJ131" s="609"/>
      <c r="BK131" s="609"/>
      <c r="BL131" s="609"/>
      <c r="BM131" s="609"/>
    </row>
    <row r="132" ht="15.75" customHeight="1">
      <c r="A132" s="80" t="s">
        <v>360</v>
      </c>
      <c r="B132" s="101">
        <v>42291.0</v>
      </c>
      <c r="C132" s="1045">
        <v>84000.0</v>
      </c>
      <c r="D132" s="104" t="s">
        <v>1687</v>
      </c>
      <c r="E132" s="103"/>
      <c r="F132" s="604">
        <v>44136.0</v>
      </c>
      <c r="G132" s="605">
        <v>45748.0</v>
      </c>
      <c r="H132" s="103"/>
      <c r="I132" s="299" t="s">
        <v>837</v>
      </c>
      <c r="J132" s="111"/>
      <c r="K132" s="336" t="str">
        <f t="shared" si="52"/>
        <v>Update</v>
      </c>
      <c r="L132" s="108" t="s">
        <v>758</v>
      </c>
      <c r="M132" s="337">
        <v>45794.0</v>
      </c>
      <c r="N132" s="109">
        <v>45795.0</v>
      </c>
      <c r="O132" s="110"/>
      <c r="P132" s="108"/>
      <c r="Q132" s="111"/>
      <c r="R132" s="108" t="s">
        <v>3024</v>
      </c>
      <c r="S132" s="112" t="s">
        <v>2962</v>
      </c>
      <c r="T132" s="188">
        <v>45784.0</v>
      </c>
      <c r="U132" s="114" t="str">
        <f>IF(V132="","No AIS",VLOOKUP(V132,'Voyage days'!$A$3:$B$1480,2,FALSE))</f>
        <v>WAF</v>
      </c>
      <c r="V132" s="115" t="str">
        <f>IF(VLOOKUP(A132,'1) Kpler'!$E$2:$P$1000,8, FALSE)="","",VLOOKUP(A132,'1) Kpler'!$E$2:$P$1000,8, FALSE))</f>
        <v>Escravos Offshore Terminal</v>
      </c>
      <c r="W132" s="116">
        <f>IF(VLOOKUP(A132,'1) Kpler'!$E$2:$P$1000,9,FALSE)="","",VLOOKUP(A132,'1) Kpler'!$E$2:$P$1000,9,FALSE))</f>
        <v>46153.95833</v>
      </c>
      <c r="X132" s="115" t="str">
        <f>VLOOKUP(A132,'1) Kpler'!$E$2:$I$1000,4,FALSE)</f>
        <v>ballast</v>
      </c>
      <c r="Y132" s="160" t="str">
        <f t="shared" si="40"/>
        <v/>
      </c>
      <c r="Z132" s="120" t="str">
        <f t="shared" si="41"/>
        <v/>
      </c>
      <c r="AA132" s="121" t="str">
        <f>IFERROR($M132+VLOOKUP($L132,'Voyage days'!$F$38:$H$89,3,FALSE),"")</f>
        <v/>
      </c>
      <c r="AB132" s="121" t="str">
        <f>IFERROR(N132+VLOOKUP($L132,'Voyage days'!$F$38:$H$89,3,FALSE),"")</f>
        <v/>
      </c>
      <c r="AC132" s="120" t="str">
        <f t="shared" si="42"/>
        <v/>
      </c>
      <c r="AD132" s="121" t="str">
        <f>IFERROR($M132+VLOOKUP($L132,'Voyage days'!$F$94:$H$193,3,FALSE),"")</f>
        <v/>
      </c>
      <c r="AE132" s="121" t="str">
        <f>IFERROR($N132+VLOOKUP($L132,'Voyage days'!$F$94:$H$193,3,FALSE),"")</f>
        <v/>
      </c>
      <c r="AF132" s="120" t="str">
        <f t="shared" si="43"/>
        <v/>
      </c>
      <c r="AG132" s="121" t="str">
        <f>IFERROR($M132+VLOOKUP($L132,'Voyage days'!$F$203:$H$256,3,FALSE),"")</f>
        <v/>
      </c>
      <c r="AH132" s="121" t="str">
        <f>IFERROR($N132+VLOOKUP($L132,'Voyage days'!$F$203:$H$256,3,FALSE),"")</f>
        <v/>
      </c>
      <c r="AI132" s="120" t="str">
        <f t="shared" si="44"/>
        <v>17-18 May</v>
      </c>
      <c r="AJ132" s="121">
        <f>IFERROR($M132+VLOOKUP($L132,'Voyage days'!$F$294:$H$377,3,FALSE),"")</f>
        <v>45794</v>
      </c>
      <c r="AK132" s="121">
        <f>IFERROR($N132+VLOOKUP($L132,'Voyage days'!$F$294:$H$377,3,FALSE),"")</f>
        <v>45795</v>
      </c>
      <c r="AL132" s="120" t="str">
        <f t="shared" si="45"/>
        <v/>
      </c>
      <c r="AM132" s="121" t="str">
        <f>IFERROR($M132+VLOOKUP($L132,'Voyage days'!$F$382:$H$446,3,FALSE),"")</f>
        <v/>
      </c>
      <c r="AN132" s="121" t="str">
        <f>IFERROR($N132+VLOOKUP($L132,'Voyage days'!$F$382:$H$446,3,FALSE),"")</f>
        <v/>
      </c>
      <c r="AO132" s="120" t="str">
        <f t="shared" si="46"/>
        <v/>
      </c>
      <c r="AP132" s="121" t="str">
        <f>IFERROR($M132+VLOOKUP($L132,'Voyage days'!$F$483:$H$538,3,FALSE),"")</f>
        <v/>
      </c>
      <c r="AQ132" s="121" t="str">
        <f>IFERROR($N132+VLOOKUP($L132,'Voyage days'!$F$483:$H$538,3,FALSE),"")</f>
        <v/>
      </c>
      <c r="AR132" s="120" t="str">
        <f t="shared" si="47"/>
        <v/>
      </c>
      <c r="AS132" s="121" t="str">
        <f>IFERROR($M132+VLOOKUP($L132,'Voyage days'!$F$540:$H$613,3,FALSE),"")</f>
        <v/>
      </c>
      <c r="AT132" s="121" t="str">
        <f>IFERROR($N132+VLOOKUP($L132,'Voyage days'!$F$540:$H$613,3,FALSE),"")</f>
        <v/>
      </c>
      <c r="AU132" s="120" t="str">
        <f t="shared" si="48"/>
        <v/>
      </c>
      <c r="AV132" s="121" t="str">
        <f>IFERROR($M132+VLOOKUP($L132,'Voyage days'!$L$483:$N$535,3,FALSE),"")</f>
        <v/>
      </c>
      <c r="AW132" s="121" t="str">
        <f>IFERROR($N132+VLOOKUP($L132,'Voyage days'!$L$483:$N$535,3,FALSE),"")</f>
        <v/>
      </c>
      <c r="AX132" s="120" t="str">
        <f t="shared" si="49"/>
        <v/>
      </c>
      <c r="AY132" s="122" t="str">
        <f>IFERROR($M132+VLOOKUP($L132,'Voyage days'!$F$620:$H$646,3,FALSE),"")</f>
        <v/>
      </c>
      <c r="AZ132" s="122" t="str">
        <f>IFERROR($N132+VLOOKUP($L132,'Voyage days'!$F$620:$H$646,3,FALSE),"")</f>
        <v/>
      </c>
      <c r="BA132" s="120" t="str">
        <f t="shared" si="50"/>
        <v/>
      </c>
      <c r="BB132" s="123" t="str">
        <f>IFERROR($M132+VLOOKUP($L132,'Voyage days'!$F$702:$H$727,3,FALSE),"")</f>
        <v/>
      </c>
      <c r="BC132" s="120" t="str">
        <f t="shared" si="51"/>
        <v/>
      </c>
      <c r="BD132" s="122" t="str">
        <f>IFERROR($M132+VLOOKUP($L132,'Voyage days'!$F$807:$H$878,3,FALSE),"")</f>
        <v/>
      </c>
      <c r="BE132" s="122" t="str">
        <f>IFERROR($N132+VLOOKUP($L132,'Voyage days'!$F$807:$H$878,3,FALSE),"")</f>
        <v/>
      </c>
      <c r="BF132" s="609"/>
      <c r="BG132" s="609"/>
      <c r="BH132" s="609"/>
      <c r="BI132" s="609"/>
      <c r="BJ132" s="609"/>
      <c r="BK132" s="609"/>
      <c r="BL132" s="609"/>
      <c r="BM132" s="609"/>
    </row>
    <row r="133">
      <c r="A133" s="338" t="s">
        <v>365</v>
      </c>
      <c r="B133" s="101">
        <v>42291.0</v>
      </c>
      <c r="C133" s="1045">
        <v>80000.0</v>
      </c>
      <c r="D133" s="104" t="s">
        <v>1687</v>
      </c>
      <c r="E133" s="103" t="s">
        <v>689</v>
      </c>
      <c r="F133" s="604"/>
      <c r="G133" s="605">
        <v>45778.0</v>
      </c>
      <c r="H133" s="103"/>
      <c r="I133" s="299" t="s">
        <v>837</v>
      </c>
      <c r="J133" s="111"/>
      <c r="K133" s="336" t="str">
        <f t="shared" si="52"/>
        <v>Update</v>
      </c>
      <c r="L133" s="108" t="s">
        <v>765</v>
      </c>
      <c r="M133" s="109">
        <v>45815.0</v>
      </c>
      <c r="N133" s="109">
        <v>45816.0</v>
      </c>
      <c r="O133" s="110"/>
      <c r="P133" s="185"/>
      <c r="Q133" s="111"/>
      <c r="R133" s="108" t="s">
        <v>3025</v>
      </c>
      <c r="S133" s="112" t="s">
        <v>2962</v>
      </c>
      <c r="T133" s="113">
        <v>45784.0</v>
      </c>
      <c r="U133" s="114" t="str">
        <f>IF(V133="","No AIS",VLOOKUP(V133,'Voyage days'!$A$3:$B$1480,2,FALSE))</f>
        <v>USG</v>
      </c>
      <c r="V133" s="115" t="str">
        <f>IF(VLOOKUP(A133,'1) Kpler'!$E$2:$P$1000,8, FALSE)="","",VLOOKUP(A133,'1) Kpler'!$E$2:$P$1000,8, FALSE))</f>
        <v>Houston</v>
      </c>
      <c r="W133" s="116">
        <f>IF(VLOOKUP(A133,'1) Kpler'!$E$2:$P$1000,9,FALSE)="","",VLOOKUP(A133,'1) Kpler'!$E$2:$P$1000,9,FALSE))</f>
        <v>46155.04167</v>
      </c>
      <c r="X133" s="115" t="str">
        <f>VLOOKUP(A133,'1) Kpler'!$E$2:$I$1000,4,FALSE)</f>
        <v>ballast</v>
      </c>
      <c r="Y133" s="117" t="str">
        <f t="shared" si="40"/>
        <v/>
      </c>
      <c r="Z133" s="120" t="str">
        <f t="shared" si="41"/>
        <v/>
      </c>
      <c r="AA133" s="121" t="str">
        <f>IFERROR($M133+VLOOKUP($L133,'Voyage days'!$F$38:$H$89,3,FALSE),"")</f>
        <v/>
      </c>
      <c r="AB133" s="121" t="str">
        <f>IFERROR(N133+VLOOKUP($L133,'Voyage days'!$F$38:$H$89,3,FALSE),"")</f>
        <v/>
      </c>
      <c r="AC133" s="120" t="str">
        <f t="shared" si="42"/>
        <v/>
      </c>
      <c r="AD133" s="121" t="str">
        <f>IFERROR($M133+VLOOKUP($L133,'Voyage days'!$F$94:$H$193,3,FALSE),"")</f>
        <v/>
      </c>
      <c r="AE133" s="121" t="str">
        <f>IFERROR($N133+VLOOKUP($L133,'Voyage days'!$F$94:$H$193,3,FALSE),"")</f>
        <v/>
      </c>
      <c r="AF133" s="120" t="str">
        <f t="shared" si="43"/>
        <v/>
      </c>
      <c r="AG133" s="121" t="str">
        <f>IFERROR($M133+VLOOKUP($L133,'Voyage days'!$F$203:$H$256,3,FALSE),"")</f>
        <v/>
      </c>
      <c r="AH133" s="121" t="str">
        <f>IFERROR($N133+VLOOKUP($L133,'Voyage days'!$F$203:$H$256,3,FALSE),"")</f>
        <v/>
      </c>
      <c r="AI133" s="120" t="str">
        <f t="shared" si="44"/>
        <v/>
      </c>
      <c r="AJ133" s="121" t="str">
        <f>IFERROR($M133+VLOOKUP($L133,'Voyage days'!$F$294:$H$377,3,FALSE),"")</f>
        <v/>
      </c>
      <c r="AK133" s="121" t="str">
        <f>IFERROR($N133+VLOOKUP($L133,'Voyage days'!$F$294:$H$377,3,FALSE),"")</f>
        <v/>
      </c>
      <c r="AL133" s="120" t="str">
        <f t="shared" si="45"/>
        <v/>
      </c>
      <c r="AM133" s="121" t="str">
        <f>IFERROR($M133+VLOOKUP($L133,'Voyage days'!$F$382:$H$446,3,FALSE),"")</f>
        <v/>
      </c>
      <c r="AN133" s="121" t="str">
        <f>IFERROR($N133+VLOOKUP($L133,'Voyage days'!$F$382:$H$446,3,FALSE),"")</f>
        <v/>
      </c>
      <c r="AO133" s="120" t="str">
        <f t="shared" si="46"/>
        <v/>
      </c>
      <c r="AP133" s="121" t="str">
        <f>IFERROR($M133+VLOOKUP($L133,'Voyage days'!$F$483:$H$538,3,FALSE),"")</f>
        <v/>
      </c>
      <c r="AQ133" s="121" t="str">
        <f>IFERROR($N133+VLOOKUP($L133,'Voyage days'!$F$483:$H$538,3,FALSE),"")</f>
        <v/>
      </c>
      <c r="AR133" s="120" t="str">
        <f t="shared" si="47"/>
        <v/>
      </c>
      <c r="AS133" s="121" t="str">
        <f>IFERROR($M133+VLOOKUP($L133,'Voyage days'!$F$540:$H$613,3,FALSE),"")</f>
        <v/>
      </c>
      <c r="AT133" s="121" t="str">
        <f>IFERROR($N133+VLOOKUP($L133,'Voyage days'!$F$540:$H$613,3,FALSE),"")</f>
        <v/>
      </c>
      <c r="AU133" s="120" t="str">
        <f t="shared" si="48"/>
        <v/>
      </c>
      <c r="AV133" s="121" t="str">
        <f>IFERROR($M133+VLOOKUP($L133,'Voyage days'!$L$483:$N$535,3,FALSE),"")</f>
        <v/>
      </c>
      <c r="AW133" s="121" t="str">
        <f>IFERROR($N133+VLOOKUP($L133,'Voyage days'!$L$483:$N$535,3,FALSE),"")</f>
        <v/>
      </c>
      <c r="AX133" s="120" t="str">
        <f t="shared" si="49"/>
        <v/>
      </c>
      <c r="AY133" s="122" t="str">
        <f>IFERROR($M133+VLOOKUP($L133,'Voyage days'!$F$620:$H$646,3,FALSE),"")</f>
        <v/>
      </c>
      <c r="AZ133" s="122" t="str">
        <f>IFERROR($N133+VLOOKUP($L133,'Voyage days'!$F$620:$H$646,3,FALSE),"")</f>
        <v/>
      </c>
      <c r="BA133" s="120" t="str">
        <f t="shared" si="50"/>
        <v/>
      </c>
      <c r="BB133" s="123" t="str">
        <f>IFERROR($M133+VLOOKUP($L133,'Voyage days'!$F$702:$H$727,3,FALSE),"")</f>
        <v/>
      </c>
      <c r="BC133" s="120" t="str">
        <f t="shared" si="51"/>
        <v/>
      </c>
      <c r="BD133" s="122" t="str">
        <f>IFERROR($M133+VLOOKUP($L133,'Voyage days'!$F$807:$H$878,3,FALSE),"")</f>
        <v/>
      </c>
      <c r="BE133" s="122" t="str">
        <f>IFERROR($N133+VLOOKUP($L133,'Voyage days'!$F$807:$H$878,3,FALSE),"")</f>
        <v/>
      </c>
      <c r="BF133" s="609"/>
      <c r="BG133" s="609"/>
      <c r="BH133" s="609"/>
      <c r="BI133" s="609"/>
      <c r="BJ133" s="609"/>
      <c r="BK133" s="609"/>
      <c r="BL133" s="609"/>
      <c r="BM133" s="609"/>
    </row>
    <row r="134">
      <c r="A134" s="406" t="s">
        <v>408</v>
      </c>
      <c r="B134" s="148">
        <v>2024.0</v>
      </c>
      <c r="C134" s="1045">
        <v>89000.0</v>
      </c>
      <c r="D134" s="104" t="s">
        <v>1687</v>
      </c>
      <c r="E134" s="103" t="s">
        <v>666</v>
      </c>
      <c r="F134" s="604"/>
      <c r="G134" s="1110"/>
      <c r="H134" s="103"/>
      <c r="I134" s="299" t="s">
        <v>837</v>
      </c>
      <c r="J134" s="185"/>
      <c r="K134" s="336" t="str">
        <f t="shared" si="52"/>
        <v>Update</v>
      </c>
      <c r="L134" s="108" t="s">
        <v>680</v>
      </c>
      <c r="M134" s="109">
        <v>45818.0</v>
      </c>
      <c r="N134" s="109">
        <v>45823.0</v>
      </c>
      <c r="O134" s="110"/>
      <c r="P134" s="108"/>
      <c r="Q134" s="1120"/>
      <c r="R134" s="395" t="s">
        <v>3026</v>
      </c>
      <c r="S134" s="112" t="s">
        <v>2962</v>
      </c>
      <c r="T134" s="113">
        <v>45785.0</v>
      </c>
      <c r="U134" s="114" t="str">
        <f>IF(V134="","No AIS",VLOOKUP(V134,'Voyage days'!$A$3:$B$1480,2,FALSE))</f>
        <v>Japan + 6</v>
      </c>
      <c r="V134" s="115" t="str">
        <f>IF(VLOOKUP(A134,'1) Kpler'!$E$2:$P$1000,8, FALSE)="","",VLOOKUP(A134,'1) Kpler'!$E$2:$P$1000,8, FALSE))</f>
        <v>Chiba</v>
      </c>
      <c r="W134" s="116">
        <f>IF(VLOOKUP(A134,'1) Kpler'!$E$2:$P$1000,9,FALSE)="","",VLOOKUP(A134,'1) Kpler'!$E$2:$P$1000,9,FALSE))</f>
        <v>46140.29167</v>
      </c>
      <c r="X134" s="115" t="str">
        <f>VLOOKUP(A134,'1) Kpler'!$E$2:$I$1000,4,FALSE)</f>
        <v>loaded</v>
      </c>
      <c r="Y134" s="160" t="str">
        <f t="shared" si="40"/>
        <v/>
      </c>
      <c r="Z134" s="120" t="str">
        <f t="shared" si="41"/>
        <v/>
      </c>
      <c r="AA134" s="121" t="str">
        <f>IFERROR($M134+VLOOKUP($L134,'Voyage days'!$F$38:$H$89,3,FALSE),"")</f>
        <v/>
      </c>
      <c r="AB134" s="121" t="str">
        <f>IFERROR(N134+VLOOKUP($L134,'Voyage days'!$F$38:$H$89,3,FALSE),"")</f>
        <v/>
      </c>
      <c r="AC134" s="120" t="str">
        <f t="shared" si="42"/>
        <v>10-15 Jun</v>
      </c>
      <c r="AD134" s="121">
        <f>IFERROR($M134+VLOOKUP($L134,'Voyage days'!$F$94:$H$193,3,FALSE),"")</f>
        <v>45818</v>
      </c>
      <c r="AE134" s="121">
        <f>IFERROR($N134+VLOOKUP($L134,'Voyage days'!$F$94:$H$193,3,FALSE),"")</f>
        <v>45823</v>
      </c>
      <c r="AF134" s="120" t="str">
        <f t="shared" si="43"/>
        <v>10-15 Jun</v>
      </c>
      <c r="AG134" s="121">
        <f>IFERROR($M134+VLOOKUP($L134,'Voyage days'!$F$203:$H$256,3,FALSE),"")</f>
        <v>45818</v>
      </c>
      <c r="AH134" s="121">
        <f>IFERROR($N134+VLOOKUP($L134,'Voyage days'!$F$203:$H$256,3,FALSE),"")</f>
        <v>45823</v>
      </c>
      <c r="AI134" s="120" t="str">
        <f t="shared" si="44"/>
        <v/>
      </c>
      <c r="AJ134" s="121" t="str">
        <f>IFERROR($M134+VLOOKUP($L134,'Voyage days'!$F$294:$H$377,3,FALSE),"")</f>
        <v/>
      </c>
      <c r="AK134" s="121" t="str">
        <f>IFERROR($N134+VLOOKUP($L134,'Voyage days'!$F$294:$H$377,3,FALSE),"")</f>
        <v/>
      </c>
      <c r="AL134" s="120" t="str">
        <f t="shared" si="45"/>
        <v>30-05 Jul</v>
      </c>
      <c r="AM134" s="121">
        <f>IFERROR($M134+VLOOKUP($L134,'Voyage days'!$F$382:$H$446,3,FALSE),"")</f>
        <v>45838</v>
      </c>
      <c r="AN134" s="121">
        <f>IFERROR($N134+VLOOKUP($L134,'Voyage days'!$F$382:$H$446,3,FALSE),"")</f>
        <v>45843</v>
      </c>
      <c r="AO134" s="120" t="str">
        <f t="shared" si="46"/>
        <v/>
      </c>
      <c r="AP134" s="121" t="str">
        <f>IFERROR($M134+VLOOKUP($L134,'Voyage days'!$F$483:$H$538,3,FALSE),"")</f>
        <v/>
      </c>
      <c r="AQ134" s="121" t="str">
        <f>IFERROR($N134+VLOOKUP($L134,'Voyage days'!$F$483:$H$538,3,FALSE),"")</f>
        <v/>
      </c>
      <c r="AR134" s="120" t="str">
        <f t="shared" si="47"/>
        <v/>
      </c>
      <c r="AS134" s="121" t="str">
        <f>IFERROR($M134+VLOOKUP($L134,'Voyage days'!$F$540:$H$613,3,FALSE),"")</f>
        <v/>
      </c>
      <c r="AT134" s="121" t="str">
        <f>IFERROR($N134+VLOOKUP($L134,'Voyage days'!$F$540:$H$613,3,FALSE),"")</f>
        <v/>
      </c>
      <c r="AU134" s="120" t="str">
        <f t="shared" si="48"/>
        <v/>
      </c>
      <c r="AV134" s="121" t="str">
        <f>IFERROR($M134+VLOOKUP($L134,'Voyage days'!$L$483:$N$535,3,FALSE),"")</f>
        <v/>
      </c>
      <c r="AW134" s="121" t="str">
        <f>IFERROR($N134+VLOOKUP($L134,'Voyage days'!$L$483:$N$535,3,FALSE),"")</f>
        <v/>
      </c>
      <c r="AX134" s="120" t="str">
        <f t="shared" si="49"/>
        <v/>
      </c>
      <c r="AY134" s="122" t="str">
        <f>IFERROR($M134+VLOOKUP($L134,'Voyage days'!$F$620:$H$646,3,FALSE),"")</f>
        <v/>
      </c>
      <c r="AZ134" s="122" t="str">
        <f>IFERROR($N134+VLOOKUP($L134,'Voyage days'!$F$620:$H$646,3,FALSE),"")</f>
        <v/>
      </c>
      <c r="BA134" s="120" t="str">
        <f t="shared" si="50"/>
        <v/>
      </c>
      <c r="BB134" s="123" t="str">
        <f>IFERROR($M134+VLOOKUP($L134,'Voyage days'!$F$702:$H$727,3,FALSE),"")</f>
        <v/>
      </c>
      <c r="BC134" s="120" t="str">
        <f t="shared" si="51"/>
        <v/>
      </c>
      <c r="BD134" s="122" t="str">
        <f>IFERROR($M134+VLOOKUP($L134,'Voyage days'!$F$807:$H$878,3,FALSE),"")</f>
        <v/>
      </c>
      <c r="BE134" s="122" t="str">
        <f>IFERROR($N134+VLOOKUP($L134,'Voyage days'!$F$807:$H$878,3,FALSE),"")</f>
        <v/>
      </c>
      <c r="BF134" s="609"/>
      <c r="BG134" s="609"/>
      <c r="BH134" s="609"/>
      <c r="BI134" s="609"/>
      <c r="BJ134" s="609"/>
      <c r="BK134" s="609"/>
      <c r="BL134" s="609"/>
      <c r="BM134" s="609"/>
    </row>
    <row r="135" ht="15.0" customHeight="1">
      <c r="A135" s="338" t="s">
        <v>511</v>
      </c>
      <c r="B135" s="148">
        <v>2021.0</v>
      </c>
      <c r="C135" s="1045">
        <v>84000.0</v>
      </c>
      <c r="D135" s="104" t="s">
        <v>1687</v>
      </c>
      <c r="E135" s="103" t="s">
        <v>689</v>
      </c>
      <c r="F135" s="604"/>
      <c r="G135" s="605">
        <v>46296.0</v>
      </c>
      <c r="H135" s="604"/>
      <c r="I135" s="299" t="s">
        <v>837</v>
      </c>
      <c r="J135" s="340"/>
      <c r="K135" s="336" t="str">
        <f t="shared" si="52"/>
        <v>Update</v>
      </c>
      <c r="L135" s="349" t="s">
        <v>668</v>
      </c>
      <c r="M135" s="109">
        <v>45812.0</v>
      </c>
      <c r="N135" s="1121">
        <v>45814.0</v>
      </c>
      <c r="O135" s="110"/>
      <c r="P135" s="185"/>
      <c r="Q135" s="111"/>
      <c r="R135" s="185"/>
      <c r="S135" s="112" t="s">
        <v>2962</v>
      </c>
      <c r="T135" s="113">
        <v>45784.0</v>
      </c>
      <c r="U135" s="114" t="str">
        <f>IF(V135="","No AIS",VLOOKUP(V135,'Voyage days'!$A$3:$B$1480,2,FALSE))</f>
        <v>USG</v>
      </c>
      <c r="V135" s="115" t="str">
        <f>IF(VLOOKUP(A135,'1) Kpler'!$E$2:$P$1000,8, FALSE)="","",VLOOKUP(A135,'1) Kpler'!$E$2:$P$1000,8, FALSE))</f>
        <v>Houston</v>
      </c>
      <c r="W135" s="116">
        <f>IF(VLOOKUP(A135,'1) Kpler'!$E$2:$P$1000,9,FALSE)="","",VLOOKUP(A135,'1) Kpler'!$E$2:$P$1000,9,FALSE))</f>
        <v>46136.5</v>
      </c>
      <c r="X135" s="115" t="str">
        <f>VLOOKUP(A135,'1) Kpler'!$E$2:$I$1000,4,FALSE)</f>
        <v>ballast</v>
      </c>
      <c r="Y135" s="117" t="str">
        <f t="shared" si="40"/>
        <v>22-24 Jun</v>
      </c>
      <c r="Z135" s="120" t="str">
        <f t="shared" si="41"/>
        <v>22-24 Jun</v>
      </c>
      <c r="AA135" s="121">
        <f>IFERROR($M135+VLOOKUP($L135,'Voyage days'!$F$38:$H$89,3,FALSE),"")</f>
        <v>45830</v>
      </c>
      <c r="AB135" s="121">
        <f>IFERROR(N135+VLOOKUP($L135,'Voyage days'!$F$38:$H$89,3,FALSE),"")</f>
        <v>45832</v>
      </c>
      <c r="AC135" s="120" t="str">
        <f t="shared" si="42"/>
        <v>06-08 Jul</v>
      </c>
      <c r="AD135" s="121">
        <f>IFERROR($M135+VLOOKUP($L135,'Voyage days'!$F$94:$H$193,3,FALSE),"")</f>
        <v>45844</v>
      </c>
      <c r="AE135" s="121">
        <f>IFERROR($N135+VLOOKUP($L135,'Voyage days'!$F$94:$H$193,3,FALSE),"")</f>
        <v>45846</v>
      </c>
      <c r="AF135" s="120" t="str">
        <f t="shared" si="43"/>
        <v>16-18 Jul</v>
      </c>
      <c r="AG135" s="121">
        <f>IFERROR($M135+VLOOKUP($L135,'Voyage days'!$F$203:$H$256,3,FALSE),"")</f>
        <v>45854</v>
      </c>
      <c r="AH135" s="121">
        <f>IFERROR($N135+VLOOKUP($L135,'Voyage days'!$F$203:$H$256,3,FALSE),"")</f>
        <v>45856</v>
      </c>
      <c r="AI135" s="120" t="str">
        <f t="shared" si="44"/>
        <v>04-06 Jul</v>
      </c>
      <c r="AJ135" s="121">
        <f>IFERROR($M135+VLOOKUP($L135,'Voyage days'!$F$294:$H$377,3,FALSE),"")</f>
        <v>45842</v>
      </c>
      <c r="AK135" s="121">
        <f>IFERROR($N135+VLOOKUP($L135,'Voyage days'!$F$294:$H$377,3,FALSE),"")</f>
        <v>45844</v>
      </c>
      <c r="AL135" s="120" t="str">
        <f t="shared" si="45"/>
        <v>10-12 Jul</v>
      </c>
      <c r="AM135" s="121">
        <f>IFERROR($M135+VLOOKUP($L135,'Voyage days'!$F$382:$H$446,3,FALSE),"")</f>
        <v>45848</v>
      </c>
      <c r="AN135" s="121">
        <f>IFERROR($N135+VLOOKUP($L135,'Voyage days'!$F$382:$H$446,3,FALSE),"")</f>
        <v>45850</v>
      </c>
      <c r="AO135" s="120" t="str">
        <f t="shared" si="46"/>
        <v>17-19 Jun</v>
      </c>
      <c r="AP135" s="121">
        <f>IFERROR($M135+VLOOKUP($L135,'Voyage days'!$F$483:$H$538,3,FALSE),"")</f>
        <v>45825</v>
      </c>
      <c r="AQ135" s="121">
        <f>IFERROR($N135+VLOOKUP($L135,'Voyage days'!$F$483:$H$538,3,FALSE),"")</f>
        <v>45827</v>
      </c>
      <c r="AR135" s="120" t="str">
        <f t="shared" si="47"/>
        <v>12-14 Jun</v>
      </c>
      <c r="AS135" s="121">
        <f>IFERROR($M135+VLOOKUP($L135,'Voyage days'!$F$540:$H$613,3,FALSE),"")</f>
        <v>45820.25</v>
      </c>
      <c r="AT135" s="121">
        <f>IFERROR($N135+VLOOKUP($L135,'Voyage days'!$F$540:$H$613,3,FALSE),"")</f>
        <v>45822.25</v>
      </c>
      <c r="AU135" s="120" t="str">
        <f t="shared" si="48"/>
        <v/>
      </c>
      <c r="AV135" s="121" t="str">
        <f>IFERROR($M135+VLOOKUP($L135,'Voyage days'!$L$483:$N$535,3,FALSE),"")</f>
        <v/>
      </c>
      <c r="AW135" s="121" t="str">
        <f>IFERROR($N135+VLOOKUP($L135,'Voyage days'!$L$483:$N$535,3,FALSE),"")</f>
        <v/>
      </c>
      <c r="AX135" s="120" t="str">
        <f t="shared" si="49"/>
        <v>15-17 Jun</v>
      </c>
      <c r="AY135" s="122">
        <f>IFERROR($M135+VLOOKUP($L135,'Voyage days'!$F$620:$H$646,3,FALSE),"")</f>
        <v>45823</v>
      </c>
      <c r="AZ135" s="122">
        <f>IFERROR($N135+VLOOKUP($L135,'Voyage days'!$F$620:$H$646,3,FALSE),"")</f>
        <v>45825</v>
      </c>
      <c r="BA135" s="120" t="str">
        <f t="shared" si="50"/>
        <v>12-22 Jul</v>
      </c>
      <c r="BB135" s="123">
        <f>IFERROR($M135+VLOOKUP($L135,'Voyage days'!$F$702:$H$727,3,FALSE),"")</f>
        <v>45820.25</v>
      </c>
      <c r="BC135" s="120" t="str">
        <f t="shared" si="51"/>
        <v>20-22 Jul</v>
      </c>
      <c r="BD135" s="122">
        <f>IFERROR($M135+VLOOKUP($L135,'Voyage days'!$F$807:$H$878,3,FALSE),"")</f>
        <v>45858</v>
      </c>
      <c r="BE135" s="122">
        <f>IFERROR($N135+VLOOKUP($L135,'Voyage days'!$F$807:$H$878,3,FALSE),"")</f>
        <v>45860</v>
      </c>
      <c r="BF135" s="609"/>
      <c r="BG135" s="609"/>
      <c r="BH135" s="609"/>
      <c r="BI135" s="609"/>
      <c r="BJ135" s="609"/>
      <c r="BK135" s="609"/>
      <c r="BL135" s="609"/>
      <c r="BM135" s="609"/>
    </row>
    <row r="136" ht="15.75" customHeight="1">
      <c r="A136" s="80" t="s">
        <v>514</v>
      </c>
      <c r="B136" s="202">
        <v>2020.0</v>
      </c>
      <c r="C136" s="1045">
        <v>84000.0</v>
      </c>
      <c r="D136" s="104" t="s">
        <v>1687</v>
      </c>
      <c r="E136" s="103" t="s">
        <v>689</v>
      </c>
      <c r="F136" s="604"/>
      <c r="G136" s="605">
        <v>45658.0</v>
      </c>
      <c r="H136" s="103"/>
      <c r="I136" s="303" t="s">
        <v>837</v>
      </c>
      <c r="J136" s="111" t="s">
        <v>1080</v>
      </c>
      <c r="K136" s="336" t="str">
        <f t="shared" si="52"/>
        <v>Update</v>
      </c>
      <c r="L136" s="108" t="s">
        <v>758</v>
      </c>
      <c r="M136" s="109">
        <v>45813.0</v>
      </c>
      <c r="N136" s="109">
        <v>45818.0</v>
      </c>
      <c r="O136" s="110"/>
      <c r="P136" s="108" t="s">
        <v>3027</v>
      </c>
      <c r="Q136" s="187"/>
      <c r="R136" s="187" t="s">
        <v>3028</v>
      </c>
      <c r="S136" s="112" t="s">
        <v>2962</v>
      </c>
      <c r="T136" s="188">
        <v>45785.0</v>
      </c>
      <c r="U136" s="114" t="str">
        <f>IF(V136="","No AIS",VLOOKUP(V136,'Voyage days'!$A$3:$B$1480,2,FALSE))</f>
        <v>ECI + 5</v>
      </c>
      <c r="V136" s="115" t="str">
        <f>IF(VLOOKUP(A136,'1) Kpler'!$E$2:$P$1000,8, FALSE)="","",VLOOKUP(A136,'1) Kpler'!$E$2:$P$1000,8, FALSE))</f>
        <v>Ennore Port</v>
      </c>
      <c r="W136" s="116">
        <f>IF(VLOOKUP(A136,'1) Kpler'!$E$2:$P$1000,9,FALSE)="","",VLOOKUP(A136,'1) Kpler'!$E$2:$P$1000,9,FALSE))</f>
        <v>46133.1875</v>
      </c>
      <c r="X136" s="115" t="str">
        <f>VLOOKUP(A136,'1) Kpler'!$E$2:$I$1000,4,FALSE)</f>
        <v>loaded</v>
      </c>
      <c r="Y136" s="160" t="str">
        <f t="shared" si="40"/>
        <v/>
      </c>
      <c r="Z136" s="120" t="str">
        <f t="shared" si="41"/>
        <v/>
      </c>
      <c r="AA136" s="121" t="str">
        <f>IFERROR($M136+VLOOKUP($L136,'Voyage days'!$F$38:$H$89,3,FALSE),"")</f>
        <v/>
      </c>
      <c r="AB136" s="121" t="str">
        <f>IFERROR(N136+VLOOKUP($L136,'Voyage days'!$F$38:$H$89,3,FALSE),"")</f>
        <v/>
      </c>
      <c r="AC136" s="120" t="str">
        <f t="shared" si="42"/>
        <v/>
      </c>
      <c r="AD136" s="121" t="str">
        <f>IFERROR($M136+VLOOKUP($L136,'Voyage days'!$F$94:$H$193,3,FALSE),"")</f>
        <v/>
      </c>
      <c r="AE136" s="121" t="str">
        <f>IFERROR($N136+VLOOKUP($L136,'Voyage days'!$F$94:$H$193,3,FALSE),"")</f>
        <v/>
      </c>
      <c r="AF136" s="120" t="str">
        <f t="shared" si="43"/>
        <v/>
      </c>
      <c r="AG136" s="121" t="str">
        <f>IFERROR($M136+VLOOKUP($L136,'Voyage days'!$F$203:$H$256,3,FALSE),"")</f>
        <v/>
      </c>
      <c r="AH136" s="121" t="str">
        <f>IFERROR($N136+VLOOKUP($L136,'Voyage days'!$F$203:$H$256,3,FALSE),"")</f>
        <v/>
      </c>
      <c r="AI136" s="120" t="str">
        <f t="shared" si="44"/>
        <v>05-10 Jun</v>
      </c>
      <c r="AJ136" s="121">
        <f>IFERROR($M136+VLOOKUP($L136,'Voyage days'!$F$294:$H$377,3,FALSE),"")</f>
        <v>45813</v>
      </c>
      <c r="AK136" s="121">
        <f>IFERROR($N136+VLOOKUP($L136,'Voyage days'!$F$294:$H$377,3,FALSE),"")</f>
        <v>45818</v>
      </c>
      <c r="AL136" s="120" t="str">
        <f t="shared" si="45"/>
        <v/>
      </c>
      <c r="AM136" s="121" t="str">
        <f>IFERROR($M136+VLOOKUP($L136,'Voyage days'!$F$382:$H$446,3,FALSE),"")</f>
        <v/>
      </c>
      <c r="AN136" s="121" t="str">
        <f>IFERROR($N136+VLOOKUP($L136,'Voyage days'!$F$382:$H$446,3,FALSE),"")</f>
        <v/>
      </c>
      <c r="AO136" s="120" t="str">
        <f t="shared" si="46"/>
        <v/>
      </c>
      <c r="AP136" s="121" t="str">
        <f>IFERROR($M136+VLOOKUP($L136,'Voyage days'!$F$483:$H$538,3,FALSE),"")</f>
        <v/>
      </c>
      <c r="AQ136" s="121" t="str">
        <f>IFERROR($N136+VLOOKUP($L136,'Voyage days'!$F$483:$H$538,3,FALSE),"")</f>
        <v/>
      </c>
      <c r="AR136" s="120" t="str">
        <f t="shared" si="47"/>
        <v/>
      </c>
      <c r="AS136" s="121" t="str">
        <f>IFERROR($M136+VLOOKUP($L136,'Voyage days'!$F$540:$H$613,3,FALSE),"")</f>
        <v/>
      </c>
      <c r="AT136" s="121" t="str">
        <f>IFERROR($N136+VLOOKUP($L136,'Voyage days'!$F$540:$H$613,3,FALSE),"")</f>
        <v/>
      </c>
      <c r="AU136" s="120" t="str">
        <f t="shared" si="48"/>
        <v/>
      </c>
      <c r="AV136" s="121" t="str">
        <f>IFERROR($M136+VLOOKUP($L136,'Voyage days'!$L$483:$N$535,3,FALSE),"")</f>
        <v/>
      </c>
      <c r="AW136" s="121" t="str">
        <f>IFERROR($N136+VLOOKUP($L136,'Voyage days'!$L$483:$N$535,3,FALSE),"")</f>
        <v/>
      </c>
      <c r="AX136" s="120" t="str">
        <f t="shared" si="49"/>
        <v/>
      </c>
      <c r="AY136" s="122" t="str">
        <f>IFERROR($M136+VLOOKUP($L136,'Voyage days'!$F$620:$H$646,3,FALSE),"")</f>
        <v/>
      </c>
      <c r="AZ136" s="122" t="str">
        <f>IFERROR($N136+VLOOKUP($L136,'Voyage days'!$F$620:$H$646,3,FALSE),"")</f>
        <v/>
      </c>
      <c r="BA136" s="120" t="str">
        <f t="shared" si="50"/>
        <v/>
      </c>
      <c r="BB136" s="123" t="str">
        <f>IFERROR($M136+VLOOKUP($L136,'Voyage days'!$F$702:$H$727,3,FALSE),"")</f>
        <v/>
      </c>
      <c r="BC136" s="120" t="str">
        <f t="shared" si="51"/>
        <v/>
      </c>
      <c r="BD136" s="122" t="str">
        <f>IFERROR($M136+VLOOKUP($L136,'Voyage days'!$F$807:$H$878,3,FALSE),"")</f>
        <v/>
      </c>
      <c r="BE136" s="122" t="str">
        <f>IFERROR($N136+VLOOKUP($L136,'Voyage days'!$F$807:$H$878,3,FALSE),"")</f>
        <v/>
      </c>
      <c r="BF136" s="609"/>
      <c r="BG136" s="609"/>
      <c r="BH136" s="609"/>
      <c r="BI136" s="609"/>
      <c r="BJ136" s="609"/>
      <c r="BK136" s="609"/>
      <c r="BL136" s="609"/>
      <c r="BM136" s="609"/>
    </row>
    <row r="137">
      <c r="A137" s="396" t="s">
        <v>578</v>
      </c>
      <c r="B137" s="165">
        <v>2021.0</v>
      </c>
      <c r="C137" s="1101">
        <v>84000.0</v>
      </c>
      <c r="D137" s="168" t="s">
        <v>1687</v>
      </c>
      <c r="E137" s="223" t="s">
        <v>689</v>
      </c>
      <c r="F137" s="1010"/>
      <c r="G137" s="1011">
        <v>46204.0</v>
      </c>
      <c r="H137" s="1010"/>
      <c r="I137" s="614" t="s">
        <v>837</v>
      </c>
      <c r="J137" s="312"/>
      <c r="K137" s="469" t="str">
        <f t="shared" si="52"/>
        <v>Update</v>
      </c>
      <c r="L137" s="172" t="s">
        <v>656</v>
      </c>
      <c r="M137" s="173">
        <v>45818.0</v>
      </c>
      <c r="N137" s="173">
        <v>45820.0</v>
      </c>
      <c r="O137" s="174"/>
      <c r="P137" s="312"/>
      <c r="Q137" s="312"/>
      <c r="R137" s="172" t="s">
        <v>3029</v>
      </c>
      <c r="S137" s="175" t="s">
        <v>934</v>
      </c>
      <c r="T137" s="176">
        <v>45785.0</v>
      </c>
      <c r="U137" s="177" t="str">
        <f>IF(V137="","No AIS",VLOOKUP(V137,'Voyage days'!$A$3:$B$1480,2,FALSE))</f>
        <v>Singapore</v>
      </c>
      <c r="V137" s="178" t="str">
        <f>IF(VLOOKUP(A137,'1) Kpler'!$E$2:$P$1000,8, FALSE)="","",VLOOKUP(A137,'1) Kpler'!$E$2:$P$1000,8, FALSE))</f>
        <v>Singapore</v>
      </c>
      <c r="W137" s="179">
        <f>IF(VLOOKUP(A137,'1) Kpler'!$E$2:$P$1000,9,FALSE)="","",VLOOKUP(A137,'1) Kpler'!$E$2:$P$1000,9,FALSE))</f>
        <v>46133.5</v>
      </c>
      <c r="X137" s="178" t="str">
        <f>VLOOKUP(A137,'1) Kpler'!$E$2:$I$1000,4,FALSE)</f>
        <v>loaded</v>
      </c>
      <c r="Y137" s="180" t="str">
        <f t="shared" si="40"/>
        <v>28-30 Jun</v>
      </c>
      <c r="Z137" s="120" t="str">
        <f t="shared" si="41"/>
        <v>28-30 Jun</v>
      </c>
      <c r="AA137" s="121">
        <f>IFERROR($M137+VLOOKUP($L137,'Voyage days'!$F$38:$H$89,3,FALSE),"")</f>
        <v>45836</v>
      </c>
      <c r="AB137" s="121">
        <f>IFERROR(N137+VLOOKUP($L137,'Voyage days'!$F$38:$H$89,3,FALSE),"")</f>
        <v>45838</v>
      </c>
      <c r="AC137" s="120" t="str">
        <f t="shared" si="42"/>
        <v>11-13 Jul</v>
      </c>
      <c r="AD137" s="121">
        <f>IFERROR($M137+VLOOKUP($L137,'Voyage days'!$F$94:$H$193,3,FALSE),"")</f>
        <v>45849</v>
      </c>
      <c r="AE137" s="121">
        <f>IFERROR($N137+VLOOKUP($L137,'Voyage days'!$F$94:$H$193,3,FALSE),"")</f>
        <v>45851</v>
      </c>
      <c r="AF137" s="120" t="str">
        <f t="shared" si="43"/>
        <v>18-20 Jul</v>
      </c>
      <c r="AG137" s="121">
        <f>IFERROR($M137+VLOOKUP($L137,'Voyage days'!$F$203:$H$256,3,FALSE),"")</f>
        <v>45856</v>
      </c>
      <c r="AH137" s="121">
        <f>IFERROR($N137+VLOOKUP($L137,'Voyage days'!$F$203:$H$256,3,FALSE),"")</f>
        <v>45858</v>
      </c>
      <c r="AI137" s="120" t="str">
        <f t="shared" si="44"/>
        <v>10-12 Jul</v>
      </c>
      <c r="AJ137" s="121">
        <f>IFERROR($M137+VLOOKUP($L137,'Voyage days'!$F$294:$H$377,3,FALSE),"")</f>
        <v>45848</v>
      </c>
      <c r="AK137" s="121">
        <f>IFERROR($N137+VLOOKUP($L137,'Voyage days'!$F$294:$H$377,3,FALSE),"")</f>
        <v>45850</v>
      </c>
      <c r="AL137" s="120" t="str">
        <f t="shared" si="45"/>
        <v>16-18 Jul</v>
      </c>
      <c r="AM137" s="121">
        <f>IFERROR($M137+VLOOKUP($L137,'Voyage days'!$F$382:$H$446,3,FALSE),"")</f>
        <v>45854</v>
      </c>
      <c r="AN137" s="121">
        <f>IFERROR($N137+VLOOKUP($L137,'Voyage days'!$F$382:$H$446,3,FALSE),"")</f>
        <v>45856</v>
      </c>
      <c r="AO137" s="120" t="str">
        <f t="shared" si="46"/>
        <v>23-25 Jun</v>
      </c>
      <c r="AP137" s="121">
        <f>IFERROR($M137+VLOOKUP($L137,'Voyage days'!$F$483:$H$538,3,FALSE),"")</f>
        <v>45831</v>
      </c>
      <c r="AQ137" s="121">
        <f>IFERROR($N137+VLOOKUP($L137,'Voyage days'!$F$483:$H$538,3,FALSE),"")</f>
        <v>45833</v>
      </c>
      <c r="AR137" s="120" t="str">
        <f t="shared" si="47"/>
        <v>18-20 Jun</v>
      </c>
      <c r="AS137" s="121">
        <f>IFERROR($M137+VLOOKUP($L137,'Voyage days'!$F$540:$H$613,3,FALSE),"")</f>
        <v>45826.25</v>
      </c>
      <c r="AT137" s="121">
        <f>IFERROR($N137+VLOOKUP($L137,'Voyage days'!$F$540:$H$613,3,FALSE),"")</f>
        <v>45828.25</v>
      </c>
      <c r="AU137" s="120" t="str">
        <f t="shared" si="48"/>
        <v/>
      </c>
      <c r="AV137" s="121" t="str">
        <f>IFERROR($M137+VLOOKUP($L137,'Voyage days'!$L$483:$N$535,3,FALSE),"")</f>
        <v/>
      </c>
      <c r="AW137" s="121" t="str">
        <f>IFERROR($N137+VLOOKUP($L137,'Voyage days'!$L$483:$N$535,3,FALSE),"")</f>
        <v/>
      </c>
      <c r="AX137" s="120" t="str">
        <f t="shared" si="49"/>
        <v>21-23 Jun</v>
      </c>
      <c r="AY137" s="122">
        <f>IFERROR($M137+VLOOKUP($L137,'Voyage days'!$F$620:$H$646,3,FALSE),"")</f>
        <v>45829</v>
      </c>
      <c r="AZ137" s="122">
        <f>IFERROR($N137+VLOOKUP($L137,'Voyage days'!$F$620:$H$646,3,FALSE),"")</f>
        <v>45831</v>
      </c>
      <c r="BA137" s="120" t="str">
        <f t="shared" si="50"/>
        <v>18-28 Jul</v>
      </c>
      <c r="BB137" s="123">
        <f>IFERROR($M137+VLOOKUP($L137,'Voyage days'!$F$702:$H$727,3,FALSE),"")</f>
        <v>45826.25</v>
      </c>
      <c r="BC137" s="120" t="str">
        <f t="shared" si="51"/>
        <v>26-28 Jul</v>
      </c>
      <c r="BD137" s="122">
        <f>IFERROR($M137+VLOOKUP($L137,'Voyage days'!$F$807:$H$878,3,FALSE),"")</f>
        <v>45864</v>
      </c>
      <c r="BE137" s="122">
        <f>IFERROR($N137+VLOOKUP($L137,'Voyage days'!$F$807:$H$878,3,FALSE),"")</f>
        <v>45866</v>
      </c>
      <c r="BF137" s="609"/>
      <c r="BG137" s="609"/>
      <c r="BH137" s="609"/>
      <c r="BI137" s="609"/>
      <c r="BJ137" s="609"/>
      <c r="BK137" s="609"/>
      <c r="BL137" s="609"/>
      <c r="BM137" s="609"/>
    </row>
    <row r="138" ht="15.75" customHeight="1">
      <c r="A138" s="711" t="s">
        <v>3030</v>
      </c>
      <c r="B138" s="1122">
        <v>38439.0</v>
      </c>
      <c r="C138" s="1123">
        <v>78908.0</v>
      </c>
      <c r="D138" s="1068" t="s">
        <v>1687</v>
      </c>
      <c r="E138" s="1068"/>
      <c r="F138" s="1124">
        <v>44032.0</v>
      </c>
      <c r="G138" s="1125" t="s">
        <v>1611</v>
      </c>
      <c r="H138" s="478"/>
      <c r="I138" s="1126" t="s">
        <v>3031</v>
      </c>
      <c r="J138" s="1068" t="s">
        <v>2935</v>
      </c>
      <c r="K138" s="1069" t="str">
        <f t="shared" si="52"/>
        <v>#N/A</v>
      </c>
      <c r="L138" s="1127" t="s">
        <v>1693</v>
      </c>
      <c r="M138" s="367">
        <v>45787.0</v>
      </c>
      <c r="N138" s="367">
        <v>45789.0</v>
      </c>
      <c r="O138" s="666" t="s">
        <v>699</v>
      </c>
      <c r="P138" s="482" t="s">
        <v>3032</v>
      </c>
      <c r="Q138" s="1127" t="s">
        <v>3033</v>
      </c>
      <c r="R138" s="484"/>
      <c r="S138" s="485" t="s">
        <v>934</v>
      </c>
      <c r="T138" s="486">
        <v>45782.0</v>
      </c>
      <c r="U138" s="177" t="str">
        <f>IF(V138="","No AIS",VLOOKUP(V138,'Voyage days'!$A$3:$B$1480,2,FALSE))</f>
        <v>#N/A</v>
      </c>
      <c r="V138" s="177" t="str">
        <f>IF(VLOOKUP(A138,'1) Kpler'!$E$2:$P$1000,8, FALSE)="","",VLOOKUP(A138,'1) Kpler'!$E$2:$P$1000,8, FALSE))</f>
        <v>#N/A</v>
      </c>
      <c r="W138" s="370" t="str">
        <f>IF(VLOOKUP(A138,'1) Kpler'!$E$2:$P$1000,9,FALSE)="","",VLOOKUP(A138,'1) Kpler'!$E$2:$P$1000,9,FALSE))</f>
        <v>#N/A</v>
      </c>
      <c r="X138" s="177" t="str">
        <f>VLOOKUP(A138,'1) Kpler'!$E$2:$I$1000,4,FALSE)</f>
        <v>#N/A</v>
      </c>
      <c r="Y138" s="163" t="str">
        <f t="shared" si="40"/>
        <v>10-12 May</v>
      </c>
      <c r="Z138" s="163" t="str">
        <f t="shared" si="41"/>
        <v>10-12 May</v>
      </c>
      <c r="AA138" s="122">
        <f>IFERROR($M138+VLOOKUP($L138,'Voyage days'!$F$38:$H$89,3,FALSE),"")</f>
        <v>45787</v>
      </c>
      <c r="AB138" s="122">
        <f>IFERROR(N138+VLOOKUP($L138,'Voyage days'!$F$38:$H$89,3,FALSE),"")</f>
        <v>45789</v>
      </c>
      <c r="AC138" s="163" t="str">
        <f t="shared" si="42"/>
        <v/>
      </c>
      <c r="AD138" s="122" t="str">
        <f>IFERROR($M138+VLOOKUP($L138,'Voyage days'!$F$94:$H$193,3,FALSE),"")</f>
        <v/>
      </c>
      <c r="AE138" s="122" t="str">
        <f>IFERROR($N138+VLOOKUP($L138,'Voyage days'!$F$94:$H$193,3,FALSE),"")</f>
        <v/>
      </c>
      <c r="AF138" s="163" t="str">
        <f t="shared" si="43"/>
        <v>04-06 Jun</v>
      </c>
      <c r="AG138" s="122">
        <f>IFERROR($M138+VLOOKUP($L138,'Voyage days'!$F$203:$H$256,3,FALSE),"")</f>
        <v>45812</v>
      </c>
      <c r="AH138" s="122">
        <f>IFERROR($N138+VLOOKUP($L138,'Voyage days'!$F$203:$H$256,3,FALSE),"")</f>
        <v>45814</v>
      </c>
      <c r="AI138" s="163" t="str">
        <f t="shared" si="44"/>
        <v>22-24 May</v>
      </c>
      <c r="AJ138" s="122">
        <f>IFERROR($M138+VLOOKUP($L138,'Voyage days'!$F$294:$H$377,3,FALSE),"")</f>
        <v>45799</v>
      </c>
      <c r="AK138" s="122">
        <f>IFERROR($N138+VLOOKUP($L138,'Voyage days'!$F$294:$H$377,3,FALSE),"")</f>
        <v>45801</v>
      </c>
      <c r="AL138" s="163" t="str">
        <f t="shared" si="45"/>
        <v/>
      </c>
      <c r="AM138" s="122" t="str">
        <f>IFERROR($M138+VLOOKUP($L138,'Voyage days'!$F$382:$H$446,3,FALSE),"")</f>
        <v/>
      </c>
      <c r="AN138" s="122" t="str">
        <f>IFERROR($N138+VLOOKUP($L138,'Voyage days'!$F$382:$H$446,3,FALSE),"")</f>
        <v/>
      </c>
      <c r="AO138" s="163" t="str">
        <f t="shared" si="46"/>
        <v/>
      </c>
      <c r="AP138" s="122" t="str">
        <f>IFERROR($M138+VLOOKUP($L138,'Voyage days'!$F$483:$H$538,3,FALSE),"")</f>
        <v/>
      </c>
      <c r="AQ138" s="122" t="str">
        <f>IFERROR($N138+VLOOKUP($L138,'Voyage days'!$F$483:$H$538,3,FALSE),"")</f>
        <v/>
      </c>
      <c r="AR138" s="163" t="str">
        <f t="shared" si="47"/>
        <v/>
      </c>
      <c r="AS138" s="122" t="str">
        <f>IFERROR($M138+VLOOKUP($L138,'Voyage days'!$F$540:$H$613,3,FALSE),"")</f>
        <v/>
      </c>
      <c r="AT138" s="122" t="str">
        <f>IFERROR($N138+VLOOKUP($L138,'Voyage days'!$F$540:$H$613,3,FALSE),"")</f>
        <v/>
      </c>
      <c r="AU138" s="163" t="str">
        <f t="shared" si="48"/>
        <v/>
      </c>
      <c r="AV138" s="122" t="str">
        <f>IFERROR($M138+VLOOKUP($L138,'Voyage days'!$L$483:$N$535,3,FALSE),"")</f>
        <v/>
      </c>
      <c r="AW138" s="122" t="str">
        <f>IFERROR($N138+VLOOKUP($L138,'Voyage days'!$L$483:$N$535,3,FALSE),"")</f>
        <v/>
      </c>
      <c r="AX138" s="163" t="str">
        <f t="shared" si="49"/>
        <v/>
      </c>
      <c r="AY138" s="122" t="str">
        <f>IFERROR($M138+VLOOKUP($L138,'Voyage days'!$F$620:$H$646,3,FALSE),"")</f>
        <v/>
      </c>
      <c r="AZ138" s="122" t="str">
        <f>IFERROR($N138+VLOOKUP($L138,'Voyage days'!$F$620:$H$646,3,FALSE),"")</f>
        <v/>
      </c>
      <c r="BA138" s="163" t="str">
        <f t="shared" si="50"/>
        <v/>
      </c>
      <c r="BB138" s="123" t="str">
        <f>IFERROR($M138+VLOOKUP($L138,'Voyage days'!$F$702:$H$727,3,FALSE),"")</f>
        <v/>
      </c>
      <c r="BC138" s="163" t="str">
        <f t="shared" si="51"/>
        <v>14-16 Jun</v>
      </c>
      <c r="BD138" s="122">
        <f>IFERROR($M138+VLOOKUP($L138,'Voyage days'!$F$807:$H$878,3,FALSE),"")</f>
        <v>45822</v>
      </c>
      <c r="BE138" s="122">
        <f>IFERROR($N138+VLOOKUP($L138,'Voyage days'!$F$807:$H$878,3,FALSE),"")</f>
        <v>45824</v>
      </c>
      <c r="BF138" s="609"/>
      <c r="BG138" s="609"/>
      <c r="BH138" s="609"/>
      <c r="BI138" s="609"/>
      <c r="BJ138" s="609"/>
      <c r="BK138" s="609"/>
      <c r="BL138" s="609"/>
      <c r="BM138" s="609"/>
    </row>
    <row r="139" ht="15.75" customHeight="1">
      <c r="A139" s="274" t="s">
        <v>310</v>
      </c>
      <c r="B139" s="148">
        <v>2020.0</v>
      </c>
      <c r="C139" s="1045">
        <v>84000.0</v>
      </c>
      <c r="D139" s="150" t="s">
        <v>1687</v>
      </c>
      <c r="E139" s="149" t="s">
        <v>689</v>
      </c>
      <c r="F139" s="1128"/>
      <c r="G139" s="149" t="s">
        <v>2907</v>
      </c>
      <c r="H139" s="149"/>
      <c r="I139" s="157" t="s">
        <v>863</v>
      </c>
      <c r="J139" s="157"/>
      <c r="K139" s="517" t="str">
        <f t="shared" si="52"/>
        <v>Update</v>
      </c>
      <c r="L139" s="153" t="s">
        <v>1031</v>
      </c>
      <c r="M139" s="276">
        <v>45799.0</v>
      </c>
      <c r="N139" s="276">
        <v>45800.0</v>
      </c>
      <c r="O139" s="277"/>
      <c r="P139" s="153"/>
      <c r="Q139" s="157"/>
      <c r="R139" s="108" t="s">
        <v>3034</v>
      </c>
      <c r="S139" s="400" t="s">
        <v>934</v>
      </c>
      <c r="T139" s="420">
        <v>45785.0</v>
      </c>
      <c r="U139" s="114" t="str">
        <f>IF(V139="","No AIS",VLOOKUP(V139,'Voyage days'!$A$3:$B$1480,2,FALSE))</f>
        <v>USG</v>
      </c>
      <c r="V139" s="114" t="str">
        <f>IF(VLOOKUP(A139,'1) Kpler'!$E$2:$P$1000,8, FALSE)="","",VLOOKUP(A139,'1) Kpler'!$E$2:$P$1000,8, FALSE))</f>
        <v>Houston</v>
      </c>
      <c r="W139" s="159">
        <f>IF(VLOOKUP(A139,'1) Kpler'!$E$2:$P$1000,9,FALSE)="","",VLOOKUP(A139,'1) Kpler'!$E$2:$P$1000,9,FALSE))</f>
        <v>46142.79167</v>
      </c>
      <c r="X139" s="114" t="str">
        <f>VLOOKUP(A139,'1) Kpler'!$E$2:$I$1000,4,FALSE)</f>
        <v>ballast</v>
      </c>
      <c r="Y139" s="296" t="str">
        <f t="shared" si="40"/>
        <v>22-23 May</v>
      </c>
      <c r="Z139" s="163" t="str">
        <f t="shared" si="41"/>
        <v>22-23 May</v>
      </c>
      <c r="AA139" s="122">
        <f>IFERROR($M139+VLOOKUP($L139,'Voyage days'!$F$38:$H$89,3,FALSE),"")</f>
        <v>45799</v>
      </c>
      <c r="AB139" s="122">
        <f>IFERROR(N139+VLOOKUP($L139,'Voyage days'!$F$38:$H$89,3,FALSE),"")</f>
        <v>45800</v>
      </c>
      <c r="AC139" s="163" t="str">
        <f t="shared" si="42"/>
        <v/>
      </c>
      <c r="AD139" s="122" t="str">
        <f>IFERROR($M139+VLOOKUP($L139,'Voyage days'!$F$94:$H$193,3,FALSE),"")</f>
        <v/>
      </c>
      <c r="AE139" s="122" t="str">
        <f>IFERROR($N139+VLOOKUP($L139,'Voyage days'!$F$94:$H$193,3,FALSE),"")</f>
        <v/>
      </c>
      <c r="AF139" s="163" t="str">
        <f t="shared" si="43"/>
        <v/>
      </c>
      <c r="AG139" s="122" t="str">
        <f>IFERROR($M139+VLOOKUP($L139,'Voyage days'!$F$203:$H$256,3,FALSE),"")</f>
        <v/>
      </c>
      <c r="AH139" s="122" t="str">
        <f>IFERROR($N139+VLOOKUP($L139,'Voyage days'!$F$203:$H$256,3,FALSE),"")</f>
        <v/>
      </c>
      <c r="AI139" s="163" t="str">
        <f t="shared" si="44"/>
        <v/>
      </c>
      <c r="AJ139" s="122" t="str">
        <f>IFERROR($M139+VLOOKUP($L139,'Voyage days'!$F$294:$H$377,3,FALSE),"")</f>
        <v/>
      </c>
      <c r="AK139" s="122" t="str">
        <f>IFERROR($N139+VLOOKUP($L139,'Voyage days'!$F$294:$H$377,3,FALSE),"")</f>
        <v/>
      </c>
      <c r="AL139" s="163" t="str">
        <f t="shared" si="45"/>
        <v/>
      </c>
      <c r="AM139" s="122" t="str">
        <f>IFERROR($M139+VLOOKUP($L139,'Voyage days'!$F$382:$H$446,3,FALSE),"")</f>
        <v/>
      </c>
      <c r="AN139" s="122" t="str">
        <f>IFERROR($N139+VLOOKUP($L139,'Voyage days'!$F$382:$H$446,3,FALSE),"")</f>
        <v/>
      </c>
      <c r="AO139" s="163" t="str">
        <f t="shared" si="46"/>
        <v/>
      </c>
      <c r="AP139" s="122" t="str">
        <f>IFERROR($M139+VLOOKUP($L139,'Voyage days'!$F$483:$H$538,3,FALSE),"")</f>
        <v/>
      </c>
      <c r="AQ139" s="122" t="str">
        <f>IFERROR($N139+VLOOKUP($L139,'Voyage days'!$F$483:$H$538,3,FALSE),"")</f>
        <v/>
      </c>
      <c r="AR139" s="163" t="str">
        <f t="shared" si="47"/>
        <v>10-11 Jun</v>
      </c>
      <c r="AS139" s="122">
        <f>IFERROR($M139+VLOOKUP($L139,'Voyage days'!$F$540:$H$613,3,FALSE),"")</f>
        <v>45818</v>
      </c>
      <c r="AT139" s="122">
        <f>IFERROR($N139+VLOOKUP($L139,'Voyage days'!$F$540:$H$613,3,FALSE),"")</f>
        <v>45819</v>
      </c>
      <c r="AU139" s="163" t="str">
        <f t="shared" si="48"/>
        <v/>
      </c>
      <c r="AV139" s="122" t="str">
        <f>IFERROR($M139+VLOOKUP($L139,'Voyage days'!$L$483:$N$535,3,FALSE),"")</f>
        <v/>
      </c>
      <c r="AW139" s="122" t="str">
        <f>IFERROR($N139+VLOOKUP($L139,'Voyage days'!$L$483:$N$535,3,FALSE),"")</f>
        <v/>
      </c>
      <c r="AX139" s="163" t="str">
        <f t="shared" si="49"/>
        <v/>
      </c>
      <c r="AY139" s="122" t="str">
        <f>IFERROR($M139+VLOOKUP($L139,'Voyage days'!$F$620:$H$646,3,FALSE),"")</f>
        <v/>
      </c>
      <c r="AZ139" s="122" t="str">
        <f>IFERROR($N139+VLOOKUP($L139,'Voyage days'!$F$620:$H$646,3,FALSE),"")</f>
        <v/>
      </c>
      <c r="BA139" s="163" t="str">
        <f t="shared" si="50"/>
        <v/>
      </c>
      <c r="BB139" s="123" t="str">
        <f>IFERROR($M139+VLOOKUP($L139,'Voyage days'!$F$702:$H$727,3,FALSE),"")</f>
        <v/>
      </c>
      <c r="BC139" s="163" t="str">
        <f t="shared" si="51"/>
        <v>22-23 May</v>
      </c>
      <c r="BD139" s="122">
        <f>IFERROR($M139+VLOOKUP($L139,'Voyage days'!$F$807:$H$878,3,FALSE),"")</f>
        <v>45799</v>
      </c>
      <c r="BE139" s="122">
        <f>IFERROR($N139+VLOOKUP($L139,'Voyage days'!$F$807:$H$878,3,FALSE),"")</f>
        <v>45800</v>
      </c>
      <c r="BF139" s="609"/>
      <c r="BG139" s="609"/>
      <c r="BH139" s="609"/>
      <c r="BI139" s="609"/>
      <c r="BJ139" s="609"/>
      <c r="BK139" s="609"/>
      <c r="BL139" s="609"/>
      <c r="BM139" s="609"/>
    </row>
    <row r="140" ht="14.25" customHeight="1">
      <c r="A140" s="80" t="s">
        <v>275</v>
      </c>
      <c r="B140" s="101">
        <v>41645.0</v>
      </c>
      <c r="C140" s="1045">
        <v>84000.0</v>
      </c>
      <c r="D140" s="192" t="s">
        <v>3035</v>
      </c>
      <c r="E140" s="103"/>
      <c r="F140" s="604"/>
      <c r="G140" s="605">
        <v>46388.0</v>
      </c>
      <c r="H140" s="604"/>
      <c r="I140" s="185" t="s">
        <v>863</v>
      </c>
      <c r="J140" s="185" t="s">
        <v>70</v>
      </c>
      <c r="K140" s="336" t="str">
        <f t="shared" si="52"/>
        <v>Update</v>
      </c>
      <c r="L140" s="108" t="s">
        <v>95</v>
      </c>
      <c r="M140" s="109">
        <v>45795.0</v>
      </c>
      <c r="N140" s="109">
        <v>45797.0</v>
      </c>
      <c r="O140" s="1129"/>
      <c r="P140" s="111"/>
      <c r="Q140" s="185"/>
      <c r="R140" s="108" t="s">
        <v>3036</v>
      </c>
      <c r="S140" s="112" t="s">
        <v>659</v>
      </c>
      <c r="T140" s="113">
        <v>45781.0</v>
      </c>
      <c r="U140" s="114" t="str">
        <f>IF(V140="","No AIS",VLOOKUP(V140,'Voyage days'!$A$3:$B$1480,2,FALSE))</f>
        <v>Indo + 4</v>
      </c>
      <c r="V140" s="115" t="str">
        <f>IF(VLOOKUP(A140,'1) Kpler'!$E$2:$P$1000,8, FALSE)="","",VLOOKUP(A140,'1) Kpler'!$E$2:$P$1000,8, FALSE))</f>
        <v>Oiltank. Merak</v>
      </c>
      <c r="W140" s="116">
        <f>IF(VLOOKUP(A140,'1) Kpler'!$E$2:$P$1000,9,FALSE)="","",VLOOKUP(A140,'1) Kpler'!$E$2:$P$1000,9,FALSE))</f>
        <v>46158.16667</v>
      </c>
      <c r="X140" s="115" t="str">
        <f>VLOOKUP(A140,'1) Kpler'!$E$2:$I$1000,4,FALSE)</f>
        <v>loaded</v>
      </c>
      <c r="Y140" s="160" t="str">
        <f t="shared" si="40"/>
        <v/>
      </c>
      <c r="Z140" s="120" t="str">
        <f t="shared" si="41"/>
        <v/>
      </c>
      <c r="AA140" s="121" t="str">
        <f>IFERROR($M140+VLOOKUP($L140,'Voyage days'!$F$38:$H$89,3,FALSE),"")</f>
        <v/>
      </c>
      <c r="AB140" s="121" t="str">
        <f>IFERROR(N140+VLOOKUP($L140,'Voyage days'!$F$38:$H$89,3,FALSE),"")</f>
        <v/>
      </c>
      <c r="AC140" s="120" t="str">
        <f t="shared" si="42"/>
        <v/>
      </c>
      <c r="AD140" s="121" t="str">
        <f>IFERROR($M140+VLOOKUP($L140,'Voyage days'!$F$94:$H$193,3,FALSE),"")</f>
        <v/>
      </c>
      <c r="AE140" s="121" t="str">
        <f>IFERROR($N140+VLOOKUP($L140,'Voyage days'!$F$94:$H$193,3,FALSE),"")</f>
        <v/>
      </c>
      <c r="AF140" s="120" t="str">
        <f t="shared" si="43"/>
        <v/>
      </c>
      <c r="AG140" s="121" t="str">
        <f>IFERROR($M140+VLOOKUP($L140,'Voyage days'!$F$203:$H$256,3,FALSE),"")</f>
        <v/>
      </c>
      <c r="AH140" s="121" t="str">
        <f>IFERROR($N140+VLOOKUP($L140,'Voyage days'!$F$203:$H$256,3,FALSE),"")</f>
        <v/>
      </c>
      <c r="AI140" s="120" t="str">
        <f t="shared" si="44"/>
        <v/>
      </c>
      <c r="AJ140" s="121" t="str">
        <f>IFERROR($M140+VLOOKUP($L140,'Voyage days'!$F$294:$H$377,3,FALSE),"")</f>
        <v/>
      </c>
      <c r="AK140" s="121" t="str">
        <f>IFERROR($N140+VLOOKUP($L140,'Voyage days'!$F$294:$H$377,3,FALSE),"")</f>
        <v/>
      </c>
      <c r="AL140" s="120" t="str">
        <f t="shared" si="45"/>
        <v/>
      </c>
      <c r="AM140" s="121" t="str">
        <f>IFERROR($M140+VLOOKUP($L140,'Voyage days'!$F$382:$H$446,3,FALSE),"")</f>
        <v/>
      </c>
      <c r="AN140" s="121" t="str">
        <f>IFERROR($N140+VLOOKUP($L140,'Voyage days'!$F$382:$H$446,3,FALSE),"")</f>
        <v/>
      </c>
      <c r="AO140" s="120" t="str">
        <f t="shared" si="46"/>
        <v/>
      </c>
      <c r="AP140" s="121" t="str">
        <f>IFERROR($M140+VLOOKUP($L140,'Voyage days'!$F$483:$H$538,3,FALSE),"")</f>
        <v/>
      </c>
      <c r="AQ140" s="121" t="str">
        <f>IFERROR($N140+VLOOKUP($L140,'Voyage days'!$F$483:$H$538,3,FALSE),"")</f>
        <v/>
      </c>
      <c r="AR140" s="120" t="str">
        <f t="shared" si="47"/>
        <v/>
      </c>
      <c r="AS140" s="121" t="str">
        <f>IFERROR($M140+VLOOKUP($L140,'Voyage days'!$F$540:$H$613,3,FALSE),"")</f>
        <v/>
      </c>
      <c r="AT140" s="121" t="str">
        <f>IFERROR($N140+VLOOKUP($L140,'Voyage days'!$F$540:$H$613,3,FALSE),"")</f>
        <v/>
      </c>
      <c r="AU140" s="120" t="str">
        <f t="shared" si="48"/>
        <v/>
      </c>
      <c r="AV140" s="121" t="str">
        <f>IFERROR($M140+VLOOKUP($L140,'Voyage days'!$L$483:$N$535,3,FALSE),"")</f>
        <v/>
      </c>
      <c r="AW140" s="121" t="str">
        <f>IFERROR($N140+VLOOKUP($L140,'Voyage days'!$L$483:$N$535,3,FALSE),"")</f>
        <v/>
      </c>
      <c r="AX140" s="120" t="str">
        <f t="shared" si="49"/>
        <v/>
      </c>
      <c r="AY140" s="122" t="str">
        <f>IFERROR($M140+VLOOKUP($L140,'Voyage days'!$F$620:$H$646,3,FALSE),"")</f>
        <v/>
      </c>
      <c r="AZ140" s="122" t="str">
        <f>IFERROR($N140+VLOOKUP($L140,'Voyage days'!$F$620:$H$646,3,FALSE),"")</f>
        <v/>
      </c>
      <c r="BA140" s="120" t="str">
        <f t="shared" si="50"/>
        <v/>
      </c>
      <c r="BB140" s="123" t="str">
        <f>IFERROR($M140+VLOOKUP($L140,'Voyage days'!$F$702:$H$727,3,FALSE),"")</f>
        <v/>
      </c>
      <c r="BC140" s="120" t="str">
        <f t="shared" si="51"/>
        <v/>
      </c>
      <c r="BD140" s="122" t="str">
        <f>IFERROR($M140+VLOOKUP($L140,'Voyage days'!$F$807:$H$878,3,FALSE),"")</f>
        <v/>
      </c>
      <c r="BE140" s="122" t="str">
        <f>IFERROR($N140+VLOOKUP($L140,'Voyage days'!$F$807:$H$878,3,FALSE),"")</f>
        <v/>
      </c>
      <c r="BF140" s="609"/>
      <c r="BG140" s="609"/>
      <c r="BH140" s="609"/>
      <c r="BI140" s="609"/>
      <c r="BJ140" s="609"/>
      <c r="BK140" s="609"/>
      <c r="BL140" s="609"/>
      <c r="BM140" s="609"/>
    </row>
    <row r="141" ht="15.75" customHeight="1">
      <c r="A141" s="147" t="s">
        <v>272</v>
      </c>
      <c r="B141" s="101">
        <v>43102.0</v>
      </c>
      <c r="C141" s="1045">
        <v>85000.0</v>
      </c>
      <c r="D141" s="104" t="s">
        <v>1687</v>
      </c>
      <c r="E141" s="103" t="s">
        <v>666</v>
      </c>
      <c r="F141" s="604"/>
      <c r="G141" s="605">
        <v>46478.0</v>
      </c>
      <c r="H141" s="103"/>
      <c r="I141" s="111" t="s">
        <v>863</v>
      </c>
      <c r="J141" s="111" t="s">
        <v>2984</v>
      </c>
      <c r="K141" s="336" t="str">
        <f t="shared" si="52"/>
        <v>Update</v>
      </c>
      <c r="L141" s="108" t="s">
        <v>2463</v>
      </c>
      <c r="M141" s="109">
        <v>45791.0</v>
      </c>
      <c r="N141" s="109">
        <v>45792.0</v>
      </c>
      <c r="O141" s="110"/>
      <c r="P141" s="108"/>
      <c r="Q141" s="185"/>
      <c r="R141" s="108" t="s">
        <v>3037</v>
      </c>
      <c r="S141" s="112" t="s">
        <v>33</v>
      </c>
      <c r="T141" s="113">
        <v>45781.0</v>
      </c>
      <c r="U141" s="114" t="str">
        <f>IF(V141="","No AIS",VLOOKUP(V141,'Voyage days'!$A$3:$B$1480,2,FALSE))</f>
        <v>USG</v>
      </c>
      <c r="V141" s="115" t="str">
        <f>IF(VLOOKUP(A141,'1) Kpler'!$E$2:$P$1000,8, FALSE)="","",VLOOKUP(A141,'1) Kpler'!$E$2:$P$1000,8, FALSE))</f>
        <v>Houston</v>
      </c>
      <c r="W141" s="116">
        <f>IF(VLOOKUP(A141,'1) Kpler'!$E$2:$P$1000,9,FALSE)="","",VLOOKUP(A141,'1) Kpler'!$E$2:$P$1000,9,FALSE))</f>
        <v>46134.33333</v>
      </c>
      <c r="X141" s="115" t="str">
        <f>VLOOKUP(A141,'1) Kpler'!$E$2:$I$1000,4,FALSE)</f>
        <v>ballast</v>
      </c>
      <c r="Y141" s="117" t="str">
        <f t="shared" si="40"/>
        <v/>
      </c>
      <c r="Z141" s="120" t="str">
        <f t="shared" si="41"/>
        <v/>
      </c>
      <c r="AA141" s="121" t="str">
        <f>IFERROR($M141+VLOOKUP($L141,'Voyage days'!$F$38:$H$89,3,FALSE),"")</f>
        <v/>
      </c>
      <c r="AB141" s="121" t="str">
        <f>IFERROR(N141+VLOOKUP($L141,'Voyage days'!$F$38:$H$89,3,FALSE),"")</f>
        <v/>
      </c>
      <c r="AC141" s="120" t="str">
        <f t="shared" si="42"/>
        <v/>
      </c>
      <c r="AD141" s="121" t="str">
        <f>IFERROR($M141+VLOOKUP($L141,'Voyage days'!$F$94:$H$193,3,FALSE),"")</f>
        <v/>
      </c>
      <c r="AE141" s="121" t="str">
        <f>IFERROR($N141+VLOOKUP($L141,'Voyage days'!$F$94:$H$193,3,FALSE),"")</f>
        <v/>
      </c>
      <c r="AF141" s="120" t="str">
        <f t="shared" si="43"/>
        <v/>
      </c>
      <c r="AG141" s="121" t="str">
        <f>IFERROR($M141+VLOOKUP($L141,'Voyage days'!$F$203:$H$256,3,FALSE),"")</f>
        <v/>
      </c>
      <c r="AH141" s="121" t="str">
        <f>IFERROR($N141+VLOOKUP($L141,'Voyage days'!$F$203:$H$256,3,FALSE),"")</f>
        <v/>
      </c>
      <c r="AI141" s="120" t="str">
        <f t="shared" si="44"/>
        <v/>
      </c>
      <c r="AJ141" s="121" t="str">
        <f>IFERROR($M141+VLOOKUP($L141,'Voyage days'!$F$294:$H$377,3,FALSE),"")</f>
        <v/>
      </c>
      <c r="AK141" s="121" t="str">
        <f>IFERROR($N141+VLOOKUP($L141,'Voyage days'!$F$294:$H$377,3,FALSE),"")</f>
        <v/>
      </c>
      <c r="AL141" s="120" t="str">
        <f t="shared" si="45"/>
        <v/>
      </c>
      <c r="AM141" s="121" t="str">
        <f>IFERROR($M141+VLOOKUP($L141,'Voyage days'!$F$382:$H$446,3,FALSE),"")</f>
        <v/>
      </c>
      <c r="AN141" s="121" t="str">
        <f>IFERROR($N141+VLOOKUP($L141,'Voyage days'!$F$382:$H$446,3,FALSE),"")</f>
        <v/>
      </c>
      <c r="AO141" s="120" t="str">
        <f t="shared" si="46"/>
        <v/>
      </c>
      <c r="AP141" s="121" t="str">
        <f>IFERROR($M141+VLOOKUP($L141,'Voyage days'!$F$483:$H$538,3,FALSE),"")</f>
        <v/>
      </c>
      <c r="AQ141" s="121" t="str">
        <f>IFERROR($N141+VLOOKUP($L141,'Voyage days'!$F$483:$H$538,3,FALSE),"")</f>
        <v/>
      </c>
      <c r="AR141" s="120" t="str">
        <f t="shared" si="47"/>
        <v/>
      </c>
      <c r="AS141" s="121" t="str">
        <f>IFERROR($M141+VLOOKUP($L141,'Voyage days'!$F$540:$H$613,3,FALSE),"")</f>
        <v/>
      </c>
      <c r="AT141" s="121" t="str">
        <f>IFERROR($N141+VLOOKUP($L141,'Voyage days'!$F$540:$H$613,3,FALSE),"")</f>
        <v/>
      </c>
      <c r="AU141" s="120" t="str">
        <f t="shared" si="48"/>
        <v/>
      </c>
      <c r="AV141" s="121" t="str">
        <f>IFERROR($M141+VLOOKUP($L141,'Voyage days'!$L$483:$N$535,3,FALSE),"")</f>
        <v/>
      </c>
      <c r="AW141" s="121" t="str">
        <f>IFERROR($N141+VLOOKUP($L141,'Voyage days'!$L$483:$N$535,3,FALSE),"")</f>
        <v/>
      </c>
      <c r="AX141" s="120" t="str">
        <f t="shared" si="49"/>
        <v/>
      </c>
      <c r="AY141" s="122" t="str">
        <f>IFERROR($M141+VLOOKUP($L141,'Voyage days'!$F$620:$H$646,3,FALSE),"")</f>
        <v/>
      </c>
      <c r="AZ141" s="122" t="str">
        <f>IFERROR($N141+VLOOKUP($L141,'Voyage days'!$F$620:$H$646,3,FALSE),"")</f>
        <v/>
      </c>
      <c r="BA141" s="120" t="str">
        <f t="shared" si="50"/>
        <v/>
      </c>
      <c r="BB141" s="123" t="str">
        <f>IFERROR($M141+VLOOKUP($L141,'Voyage days'!$F$702:$H$727,3,FALSE),"")</f>
        <v/>
      </c>
      <c r="BC141" s="120" t="str">
        <f t="shared" si="51"/>
        <v/>
      </c>
      <c r="BD141" s="122" t="str">
        <f>IFERROR($M141+VLOOKUP($L141,'Voyage days'!$F$807:$H$878,3,FALSE),"")</f>
        <v/>
      </c>
      <c r="BE141" s="122" t="str">
        <f>IFERROR($N141+VLOOKUP($L141,'Voyage days'!$F$807:$H$878,3,FALSE),"")</f>
        <v/>
      </c>
      <c r="BF141" s="609"/>
      <c r="BG141" s="609"/>
      <c r="BH141" s="609"/>
      <c r="BI141" s="609"/>
      <c r="BJ141" s="609"/>
      <c r="BK141" s="609"/>
      <c r="BL141" s="609"/>
      <c r="BM141" s="609"/>
    </row>
    <row r="142" ht="15.75" customHeight="1">
      <c r="A142" s="100" t="s">
        <v>320</v>
      </c>
      <c r="B142" s="101">
        <v>41883.0</v>
      </c>
      <c r="C142" s="1045">
        <v>84000.0</v>
      </c>
      <c r="D142" s="104" t="s">
        <v>1687</v>
      </c>
      <c r="E142" s="103" t="s">
        <v>689</v>
      </c>
      <c r="F142" s="604">
        <v>43788.0</v>
      </c>
      <c r="G142" s="605">
        <v>47362.0</v>
      </c>
      <c r="H142" s="604"/>
      <c r="I142" s="185" t="s">
        <v>863</v>
      </c>
      <c r="J142" s="185" t="s">
        <v>863</v>
      </c>
      <c r="K142" s="336" t="str">
        <f t="shared" si="52"/>
        <v>Update</v>
      </c>
      <c r="L142" s="108" t="s">
        <v>680</v>
      </c>
      <c r="M142" s="109">
        <v>45817.0</v>
      </c>
      <c r="N142" s="109">
        <v>45819.0</v>
      </c>
      <c r="O142" s="334"/>
      <c r="P142" s="108"/>
      <c r="Q142" s="185"/>
      <c r="R142" s="108" t="s">
        <v>3038</v>
      </c>
      <c r="S142" s="112" t="s">
        <v>934</v>
      </c>
      <c r="T142" s="113">
        <v>45779.0</v>
      </c>
      <c r="U142" s="114" t="str">
        <f>IF(V142="","No AIS",VLOOKUP(V142,'Voyage days'!$A$3:$B$1480,2,FALSE))</f>
        <v>USG</v>
      </c>
      <c r="V142" s="115" t="str">
        <f>IF(VLOOKUP(A142,'1) Kpler'!$E$2:$P$1000,8, FALSE)="","",VLOOKUP(A142,'1) Kpler'!$E$2:$P$1000,8, FALSE))</f>
        <v>Bay Area Houston</v>
      </c>
      <c r="W142" s="116">
        <f>IF(VLOOKUP(A142,'1) Kpler'!$E$2:$P$1000,9,FALSE)="","",VLOOKUP(A142,'1) Kpler'!$E$2:$P$1000,9,FALSE))</f>
        <v>46149.41667</v>
      </c>
      <c r="X142" s="115" t="str">
        <f>VLOOKUP(A142,'1) Kpler'!$E$2:$I$1000,4,FALSE)</f>
        <v>ballast</v>
      </c>
      <c r="Y142" s="160" t="str">
        <f t="shared" si="40"/>
        <v/>
      </c>
      <c r="Z142" s="120" t="str">
        <f t="shared" si="41"/>
        <v/>
      </c>
      <c r="AA142" s="121" t="str">
        <f>IFERROR($M142+VLOOKUP($L142,'Voyage days'!$F$38:$H$89,3,FALSE),"")</f>
        <v/>
      </c>
      <c r="AB142" s="121" t="str">
        <f>IFERROR(N142+VLOOKUP($L142,'Voyage days'!$F$38:$H$89,3,FALSE),"")</f>
        <v/>
      </c>
      <c r="AC142" s="120" t="str">
        <f t="shared" si="42"/>
        <v>09-11 Jun</v>
      </c>
      <c r="AD142" s="121">
        <f>IFERROR($M142+VLOOKUP($L142,'Voyage days'!$F$94:$H$193,3,FALSE),"")</f>
        <v>45817</v>
      </c>
      <c r="AE142" s="121">
        <f>IFERROR($N142+VLOOKUP($L142,'Voyage days'!$F$94:$H$193,3,FALSE),"")</f>
        <v>45819</v>
      </c>
      <c r="AF142" s="120" t="str">
        <f t="shared" si="43"/>
        <v>09-11 Jun</v>
      </c>
      <c r="AG142" s="121">
        <f>IFERROR($M142+VLOOKUP($L142,'Voyage days'!$F$203:$H$256,3,FALSE),"")</f>
        <v>45817</v>
      </c>
      <c r="AH142" s="121">
        <f>IFERROR($N142+VLOOKUP($L142,'Voyage days'!$F$203:$H$256,3,FALSE),"")</f>
        <v>45819</v>
      </c>
      <c r="AI142" s="120" t="str">
        <f t="shared" si="44"/>
        <v/>
      </c>
      <c r="AJ142" s="121" t="str">
        <f>IFERROR($M142+VLOOKUP($L142,'Voyage days'!$F$294:$H$377,3,FALSE),"")</f>
        <v/>
      </c>
      <c r="AK142" s="121" t="str">
        <f>IFERROR($N142+VLOOKUP($L142,'Voyage days'!$F$294:$H$377,3,FALSE),"")</f>
        <v/>
      </c>
      <c r="AL142" s="120" t="str">
        <f t="shared" si="45"/>
        <v>29-01 Jul</v>
      </c>
      <c r="AM142" s="121">
        <f>IFERROR($M142+VLOOKUP($L142,'Voyage days'!$F$382:$H$446,3,FALSE),"")</f>
        <v>45837</v>
      </c>
      <c r="AN142" s="121">
        <f>IFERROR($N142+VLOOKUP($L142,'Voyage days'!$F$382:$H$446,3,FALSE),"")</f>
        <v>45839</v>
      </c>
      <c r="AO142" s="120" t="str">
        <f t="shared" si="46"/>
        <v/>
      </c>
      <c r="AP142" s="121" t="str">
        <f>IFERROR($M142+VLOOKUP($L142,'Voyage days'!$F$483:$H$538,3,FALSE),"")</f>
        <v/>
      </c>
      <c r="AQ142" s="121" t="str">
        <f>IFERROR($N142+VLOOKUP($L142,'Voyage days'!$F$483:$H$538,3,FALSE),"")</f>
        <v/>
      </c>
      <c r="AR142" s="120" t="str">
        <f t="shared" si="47"/>
        <v/>
      </c>
      <c r="AS142" s="121" t="str">
        <f>IFERROR($M142+VLOOKUP($L142,'Voyage days'!$F$540:$H$613,3,FALSE),"")</f>
        <v/>
      </c>
      <c r="AT142" s="121" t="str">
        <f>IFERROR($N142+VLOOKUP($L142,'Voyage days'!$F$540:$H$613,3,FALSE),"")</f>
        <v/>
      </c>
      <c r="AU142" s="120" t="str">
        <f t="shared" si="48"/>
        <v/>
      </c>
      <c r="AV142" s="121" t="str">
        <f>IFERROR($M142+VLOOKUP($L142,'Voyage days'!$L$483:$N$535,3,FALSE),"")</f>
        <v/>
      </c>
      <c r="AW142" s="121" t="str">
        <f>IFERROR($N142+VLOOKUP($L142,'Voyage days'!$L$483:$N$535,3,FALSE),"")</f>
        <v/>
      </c>
      <c r="AX142" s="120" t="str">
        <f t="shared" si="49"/>
        <v/>
      </c>
      <c r="AY142" s="122" t="str">
        <f>IFERROR($M142+VLOOKUP($L142,'Voyage days'!$F$620:$H$646,3,FALSE),"")</f>
        <v/>
      </c>
      <c r="AZ142" s="122" t="str">
        <f>IFERROR($N142+VLOOKUP($L142,'Voyage days'!$F$620:$H$646,3,FALSE),"")</f>
        <v/>
      </c>
      <c r="BA142" s="120" t="str">
        <f t="shared" si="50"/>
        <v/>
      </c>
      <c r="BB142" s="123" t="str">
        <f>IFERROR($M142+VLOOKUP($L142,'Voyage days'!$F$702:$H$727,3,FALSE),"")</f>
        <v/>
      </c>
      <c r="BC142" s="120" t="str">
        <f t="shared" si="51"/>
        <v/>
      </c>
      <c r="BD142" s="122" t="str">
        <f>IFERROR($M142+VLOOKUP($L142,'Voyage days'!$F$807:$H$878,3,FALSE),"")</f>
        <v/>
      </c>
      <c r="BE142" s="122" t="str">
        <f>IFERROR($N142+VLOOKUP($L142,'Voyage days'!$F$807:$H$878,3,FALSE),"")</f>
        <v/>
      </c>
      <c r="BF142" s="609"/>
      <c r="BG142" s="609"/>
      <c r="BH142" s="609"/>
      <c r="BI142" s="609"/>
      <c r="BJ142" s="609"/>
      <c r="BK142" s="609"/>
      <c r="BL142" s="609"/>
      <c r="BM142" s="609"/>
    </row>
    <row r="143" ht="15.75" customHeight="1">
      <c r="A143" s="80" t="s">
        <v>872</v>
      </c>
      <c r="B143" s="148">
        <v>2020.0</v>
      </c>
      <c r="C143" s="1045">
        <v>84700.0</v>
      </c>
      <c r="D143" s="104" t="s">
        <v>1687</v>
      </c>
      <c r="E143" s="103" t="s">
        <v>689</v>
      </c>
      <c r="F143" s="1109"/>
      <c r="G143" s="605">
        <v>46631.0</v>
      </c>
      <c r="H143" s="103"/>
      <c r="I143" s="185" t="s">
        <v>863</v>
      </c>
      <c r="J143" s="185"/>
      <c r="K143" s="336" t="str">
        <f t="shared" si="52"/>
        <v>Update</v>
      </c>
      <c r="L143" s="108" t="s">
        <v>680</v>
      </c>
      <c r="M143" s="109">
        <v>45818.0</v>
      </c>
      <c r="N143" s="109">
        <v>45820.0</v>
      </c>
      <c r="O143" s="403"/>
      <c r="P143" s="187" t="s">
        <v>3039</v>
      </c>
      <c r="Q143" s="1115"/>
      <c r="R143" s="108" t="s">
        <v>3040</v>
      </c>
      <c r="S143" s="112" t="s">
        <v>2993</v>
      </c>
      <c r="T143" s="113">
        <v>45785.0</v>
      </c>
      <c r="U143" s="114" t="str">
        <f>IF(V143="","No AIS",VLOOKUP(V143,'Voyage days'!$A$3:$B$1480,2,FALSE))</f>
        <v>Panama</v>
      </c>
      <c r="V143" s="115" t="str">
        <f>IF(VLOOKUP(A143,'1) Kpler'!$E$2:$P$1000,8, FALSE)="","",VLOOKUP(A143,'1) Kpler'!$E$2:$P$1000,8, FALSE))</f>
        <v>Panama Canal</v>
      </c>
      <c r="W143" s="116">
        <f>IF(VLOOKUP(A143,'1) Kpler'!$E$2:$P$1000,9,FALSE)="","",VLOOKUP(A143,'1) Kpler'!$E$2:$P$1000,9,FALSE))</f>
        <v>46134.91667</v>
      </c>
      <c r="X143" s="115" t="str">
        <f>VLOOKUP(A143,'1) Kpler'!$E$2:$I$1000,4,FALSE)</f>
        <v>loaded</v>
      </c>
      <c r="Y143" s="117" t="str">
        <f t="shared" si="40"/>
        <v/>
      </c>
      <c r="Z143" s="120" t="str">
        <f t="shared" si="41"/>
        <v/>
      </c>
      <c r="AA143" s="121" t="str">
        <f>IFERROR($M143+VLOOKUP($L143,'Voyage days'!$F$38:$H$89,3,FALSE),"")</f>
        <v/>
      </c>
      <c r="AB143" s="121" t="str">
        <f>IFERROR(N143+VLOOKUP($L143,'Voyage days'!$F$38:$H$89,3,FALSE),"")</f>
        <v/>
      </c>
      <c r="AC143" s="120" t="str">
        <f t="shared" si="42"/>
        <v>10-12 Jun</v>
      </c>
      <c r="AD143" s="121">
        <f>IFERROR($M143+VLOOKUP($L143,'Voyage days'!$F$94:$H$193,3,FALSE),"")</f>
        <v>45818</v>
      </c>
      <c r="AE143" s="121">
        <f>IFERROR($N143+VLOOKUP($L143,'Voyage days'!$F$94:$H$193,3,FALSE),"")</f>
        <v>45820</v>
      </c>
      <c r="AF143" s="120" t="str">
        <f t="shared" si="43"/>
        <v>10-12 Jun</v>
      </c>
      <c r="AG143" s="121">
        <f>IFERROR($M143+VLOOKUP($L143,'Voyage days'!$F$203:$H$256,3,FALSE),"")</f>
        <v>45818</v>
      </c>
      <c r="AH143" s="121">
        <f>IFERROR($N143+VLOOKUP($L143,'Voyage days'!$F$203:$H$256,3,FALSE),"")</f>
        <v>45820</v>
      </c>
      <c r="AI143" s="120" t="str">
        <f t="shared" si="44"/>
        <v/>
      </c>
      <c r="AJ143" s="121" t="str">
        <f>IFERROR($M143+VLOOKUP($L143,'Voyage days'!$F$294:$H$377,3,FALSE),"")</f>
        <v/>
      </c>
      <c r="AK143" s="121" t="str">
        <f>IFERROR($N143+VLOOKUP($L143,'Voyage days'!$F$294:$H$377,3,FALSE),"")</f>
        <v/>
      </c>
      <c r="AL143" s="120" t="str">
        <f t="shared" si="45"/>
        <v>30-02 Jul</v>
      </c>
      <c r="AM143" s="121">
        <f>IFERROR($M143+VLOOKUP($L143,'Voyage days'!$F$382:$H$446,3,FALSE),"")</f>
        <v>45838</v>
      </c>
      <c r="AN143" s="121">
        <f>IFERROR($N143+VLOOKUP($L143,'Voyage days'!$F$382:$H$446,3,FALSE),"")</f>
        <v>45840</v>
      </c>
      <c r="AO143" s="120" t="str">
        <f t="shared" si="46"/>
        <v/>
      </c>
      <c r="AP143" s="121" t="str">
        <f>IFERROR($M143+VLOOKUP($L143,'Voyage days'!$F$483:$H$538,3,FALSE),"")</f>
        <v/>
      </c>
      <c r="AQ143" s="121" t="str">
        <f>IFERROR($N143+VLOOKUP($L143,'Voyage days'!$F$483:$H$538,3,FALSE),"")</f>
        <v/>
      </c>
      <c r="AR143" s="120" t="str">
        <f t="shared" si="47"/>
        <v/>
      </c>
      <c r="AS143" s="121" t="str">
        <f>IFERROR($M143+VLOOKUP($L143,'Voyage days'!$F$540:$H$613,3,FALSE),"")</f>
        <v/>
      </c>
      <c r="AT143" s="121" t="str">
        <f>IFERROR($N143+VLOOKUP($L143,'Voyage days'!$F$540:$H$613,3,FALSE),"")</f>
        <v/>
      </c>
      <c r="AU143" s="120" t="str">
        <f t="shared" si="48"/>
        <v/>
      </c>
      <c r="AV143" s="121" t="str">
        <f>IFERROR($M143+VLOOKUP($L143,'Voyage days'!$L$483:$N$535,3,FALSE),"")</f>
        <v/>
      </c>
      <c r="AW143" s="121" t="str">
        <f>IFERROR($N143+VLOOKUP($L143,'Voyage days'!$L$483:$N$535,3,FALSE),"")</f>
        <v/>
      </c>
      <c r="AX143" s="120" t="str">
        <f t="shared" si="49"/>
        <v/>
      </c>
      <c r="AY143" s="122" t="str">
        <f>IFERROR($M143+VLOOKUP($L143,'Voyage days'!$F$620:$H$646,3,FALSE),"")</f>
        <v/>
      </c>
      <c r="AZ143" s="122" t="str">
        <f>IFERROR($N143+VLOOKUP($L143,'Voyage days'!$F$620:$H$646,3,FALSE),"")</f>
        <v/>
      </c>
      <c r="BA143" s="120" t="str">
        <f t="shared" si="50"/>
        <v/>
      </c>
      <c r="BB143" s="123" t="str">
        <f>IFERROR($M143+VLOOKUP($L143,'Voyage days'!$F$702:$H$727,3,FALSE),"")</f>
        <v/>
      </c>
      <c r="BC143" s="120" t="str">
        <f t="shared" si="51"/>
        <v/>
      </c>
      <c r="BD143" s="122" t="str">
        <f>IFERROR($M143+VLOOKUP($L143,'Voyage days'!$F$807:$H$878,3,FALSE),"")</f>
        <v/>
      </c>
      <c r="BE143" s="122" t="str">
        <f>IFERROR($N143+VLOOKUP($L143,'Voyage days'!$F$807:$H$878,3,FALSE),"")</f>
        <v/>
      </c>
      <c r="BF143" s="609"/>
      <c r="BG143" s="609"/>
      <c r="BH143" s="609"/>
      <c r="BI143" s="609"/>
      <c r="BJ143" s="609"/>
      <c r="BK143" s="609"/>
      <c r="BL143" s="609"/>
      <c r="BM143" s="609"/>
    </row>
    <row r="144" ht="15.75" customHeight="1">
      <c r="A144" s="396" t="s">
        <v>875</v>
      </c>
      <c r="B144" s="165">
        <v>2023.0</v>
      </c>
      <c r="C144" s="1101">
        <v>86000.0</v>
      </c>
      <c r="D144" s="168" t="s">
        <v>1687</v>
      </c>
      <c r="E144" s="223" t="s">
        <v>666</v>
      </c>
      <c r="F144" s="223"/>
      <c r="G144" s="1011">
        <v>47635.0</v>
      </c>
      <c r="H144" s="223"/>
      <c r="I144" s="463" t="s">
        <v>863</v>
      </c>
      <c r="J144" s="312"/>
      <c r="K144" s="469" t="str">
        <f t="shared" si="52"/>
        <v>Update</v>
      </c>
      <c r="L144" s="319" t="s">
        <v>656</v>
      </c>
      <c r="M144" s="173">
        <v>45821.0</v>
      </c>
      <c r="N144" s="173">
        <v>45823.0</v>
      </c>
      <c r="O144" s="174"/>
      <c r="P144" s="463"/>
      <c r="Q144" s="312"/>
      <c r="R144" s="172" t="s">
        <v>3041</v>
      </c>
      <c r="S144" s="175" t="s">
        <v>934</v>
      </c>
      <c r="T144" s="176">
        <v>45783.0</v>
      </c>
      <c r="U144" s="177" t="str">
        <f>IF(V144="","No AIS",VLOOKUP(V144,'Voyage days'!$A$3:$B$1480,2,FALSE))</f>
        <v>Japan + 6</v>
      </c>
      <c r="V144" s="178" t="str">
        <f>IF(VLOOKUP(A144,'1) Kpler'!$E$2:$P$1000,8, FALSE)="","",VLOOKUP(A144,'1) Kpler'!$E$2:$P$1000,8, FALSE))</f>
        <v>Chiba</v>
      </c>
      <c r="W144" s="179">
        <f>IF(VLOOKUP(A144,'1) Kpler'!$E$2:$P$1000,9,FALSE)="","",VLOOKUP(A144,'1) Kpler'!$E$2:$P$1000,9,FALSE))</f>
        <v>46153.875</v>
      </c>
      <c r="X144" s="178" t="str">
        <f>VLOOKUP(A144,'1) Kpler'!$E$2:$I$1000,4,FALSE)</f>
        <v>loaded</v>
      </c>
      <c r="Y144" s="120" t="str">
        <f t="shared" si="40"/>
        <v>01-03 Jul</v>
      </c>
      <c r="Z144" s="120" t="str">
        <f t="shared" si="41"/>
        <v>01-03 Jul</v>
      </c>
      <c r="AA144" s="121">
        <f>IFERROR($M144+VLOOKUP($L144,'Voyage days'!$F$38:$H$89,3,FALSE),"")</f>
        <v>45839</v>
      </c>
      <c r="AB144" s="121">
        <f>IFERROR(N144+VLOOKUP($L144,'Voyage days'!$F$38:$H$89,3,FALSE),"")</f>
        <v>45841</v>
      </c>
      <c r="AC144" s="120" t="str">
        <f t="shared" si="42"/>
        <v>14-16 Jul</v>
      </c>
      <c r="AD144" s="121">
        <f>IFERROR($M144+VLOOKUP($L144,'Voyage days'!$F$94:$H$193,3,FALSE),"")</f>
        <v>45852</v>
      </c>
      <c r="AE144" s="121">
        <f>IFERROR($N144+VLOOKUP($L144,'Voyage days'!$F$94:$H$193,3,FALSE),"")</f>
        <v>45854</v>
      </c>
      <c r="AF144" s="120" t="str">
        <f t="shared" si="43"/>
        <v>21-23 Jul</v>
      </c>
      <c r="AG144" s="121">
        <f>IFERROR($M144+VLOOKUP($L144,'Voyage days'!$F$203:$H$256,3,FALSE),"")</f>
        <v>45859</v>
      </c>
      <c r="AH144" s="121">
        <f>IFERROR($N144+VLOOKUP($L144,'Voyage days'!$F$203:$H$256,3,FALSE),"")</f>
        <v>45861</v>
      </c>
      <c r="AI144" s="120" t="str">
        <f t="shared" si="44"/>
        <v>13-15 Jul</v>
      </c>
      <c r="AJ144" s="121">
        <f>IFERROR($M144+VLOOKUP($L144,'Voyage days'!$F$294:$H$377,3,FALSE),"")</f>
        <v>45851</v>
      </c>
      <c r="AK144" s="121">
        <f>IFERROR($N144+VLOOKUP($L144,'Voyage days'!$F$294:$H$377,3,FALSE),"")</f>
        <v>45853</v>
      </c>
      <c r="AL144" s="120" t="str">
        <f t="shared" si="45"/>
        <v>19-21 Jul</v>
      </c>
      <c r="AM144" s="121">
        <f>IFERROR($M144+VLOOKUP($L144,'Voyage days'!$F$382:$H$446,3,FALSE),"")</f>
        <v>45857</v>
      </c>
      <c r="AN144" s="121">
        <f>IFERROR($N144+VLOOKUP($L144,'Voyage days'!$F$382:$H$446,3,FALSE),"")</f>
        <v>45859</v>
      </c>
      <c r="AO144" s="120" t="str">
        <f t="shared" si="46"/>
        <v>26-28 Jun</v>
      </c>
      <c r="AP144" s="121">
        <f>IFERROR($M144+VLOOKUP($L144,'Voyage days'!$F$483:$H$538,3,FALSE),"")</f>
        <v>45834</v>
      </c>
      <c r="AQ144" s="121">
        <f>IFERROR($N144+VLOOKUP($L144,'Voyage days'!$F$483:$H$538,3,FALSE),"")</f>
        <v>45836</v>
      </c>
      <c r="AR144" s="120" t="str">
        <f t="shared" si="47"/>
        <v>21-23 Jun</v>
      </c>
      <c r="AS144" s="121">
        <f>IFERROR($M144+VLOOKUP($L144,'Voyage days'!$F$540:$H$613,3,FALSE),"")</f>
        <v>45829.25</v>
      </c>
      <c r="AT144" s="121">
        <f>IFERROR($N144+VLOOKUP($L144,'Voyage days'!$F$540:$H$613,3,FALSE),"")</f>
        <v>45831.25</v>
      </c>
      <c r="AU144" s="120" t="str">
        <f t="shared" si="48"/>
        <v/>
      </c>
      <c r="AV144" s="121" t="str">
        <f>IFERROR($M144+VLOOKUP($L144,'Voyage days'!$L$483:$N$535,3,FALSE),"")</f>
        <v/>
      </c>
      <c r="AW144" s="121" t="str">
        <f>IFERROR($N144+VLOOKUP($L144,'Voyage days'!$L$483:$N$535,3,FALSE),"")</f>
        <v/>
      </c>
      <c r="AX144" s="120" t="str">
        <f t="shared" si="49"/>
        <v>24-26 Jun</v>
      </c>
      <c r="AY144" s="122">
        <f>IFERROR($M144+VLOOKUP($L144,'Voyage days'!$F$620:$H$646,3,FALSE),"")</f>
        <v>45832</v>
      </c>
      <c r="AZ144" s="122">
        <f>IFERROR($N144+VLOOKUP($L144,'Voyage days'!$F$620:$H$646,3,FALSE),"")</f>
        <v>45834</v>
      </c>
      <c r="BA144" s="120" t="str">
        <f t="shared" si="50"/>
        <v>21-31 Jul</v>
      </c>
      <c r="BB144" s="123">
        <f>IFERROR($M144+VLOOKUP($L144,'Voyage days'!$F$702:$H$727,3,FALSE),"")</f>
        <v>45829.25</v>
      </c>
      <c r="BC144" s="120" t="str">
        <f t="shared" si="51"/>
        <v>29-31 Jul</v>
      </c>
      <c r="BD144" s="122">
        <f>IFERROR($M144+VLOOKUP($L144,'Voyage days'!$F$807:$H$878,3,FALSE),"")</f>
        <v>45867</v>
      </c>
      <c r="BE144" s="122">
        <f>IFERROR($N144+VLOOKUP($L144,'Voyage days'!$F$807:$H$878,3,FALSE),"")</f>
        <v>45869</v>
      </c>
      <c r="BF144" s="609"/>
      <c r="BG144" s="609"/>
      <c r="BH144" s="609"/>
      <c r="BI144" s="609"/>
      <c r="BJ144" s="609"/>
      <c r="BK144" s="609"/>
      <c r="BL144" s="609"/>
      <c r="BM144" s="609"/>
    </row>
    <row r="145" ht="15.75" customHeight="1">
      <c r="A145" s="375" t="s">
        <v>338</v>
      </c>
      <c r="B145" s="148">
        <v>2023.0</v>
      </c>
      <c r="C145" s="1045">
        <v>86000.0</v>
      </c>
      <c r="D145" s="150"/>
      <c r="E145" s="149" t="s">
        <v>666</v>
      </c>
      <c r="F145" s="1014"/>
      <c r="G145" s="1015" t="s">
        <v>3042</v>
      </c>
      <c r="H145" s="149"/>
      <c r="I145" s="157" t="s">
        <v>878</v>
      </c>
      <c r="J145" s="536"/>
      <c r="K145" s="470" t="str">
        <f t="shared" si="52"/>
        <v>Update</v>
      </c>
      <c r="L145" s="153" t="s">
        <v>680</v>
      </c>
      <c r="M145" s="238">
        <v>45790.0</v>
      </c>
      <c r="N145" s="238">
        <v>45792.0</v>
      </c>
      <c r="O145" s="431"/>
      <c r="P145" s="157"/>
      <c r="Q145" s="157"/>
      <c r="R145" s="153" t="s">
        <v>3043</v>
      </c>
      <c r="S145" s="256" t="s">
        <v>2962</v>
      </c>
      <c r="T145" s="293">
        <v>45778.0</v>
      </c>
      <c r="U145" s="114" t="str">
        <f>IF(V145="","No AIS",VLOOKUP(V145,'Voyage days'!$A$3:$B$1480,2,FALSE))</f>
        <v>East China + 4</v>
      </c>
      <c r="V145" s="114" t="str">
        <f>IF(VLOOKUP(A145,'1) Kpler'!$E$2:$P$1000,8, FALSE)="","",VLOOKUP(A145,'1) Kpler'!$E$2:$P$1000,8, FALSE))</f>
        <v>Jinshan Caojing</v>
      </c>
      <c r="W145" s="159">
        <f>IF(VLOOKUP(A145,'1) Kpler'!$E$2:$P$1000,9,FALSE)="","",VLOOKUP(A145,'1) Kpler'!$E$2:$P$1000,9,FALSE))</f>
        <v>46133.5</v>
      </c>
      <c r="X145" s="114" t="str">
        <f>VLOOKUP(A145,'1) Kpler'!$E$2:$I$1000,4,FALSE)</f>
        <v>ballast</v>
      </c>
      <c r="Y145" s="296" t="str">
        <f t="shared" si="40"/>
        <v/>
      </c>
      <c r="Z145" s="163" t="str">
        <f t="shared" si="41"/>
        <v/>
      </c>
      <c r="AA145" s="122" t="str">
        <f>IFERROR($M145+VLOOKUP($L145,'Voyage days'!$F$38:$H$89,3,FALSE),"")</f>
        <v/>
      </c>
      <c r="AB145" s="122" t="str">
        <f>IFERROR(N145+VLOOKUP($L145,'Voyage days'!$F$38:$H$89,3,FALSE),"")</f>
        <v/>
      </c>
      <c r="AC145" s="163" t="str">
        <f t="shared" si="42"/>
        <v>13-15 May</v>
      </c>
      <c r="AD145" s="122">
        <f>IFERROR($M145+VLOOKUP($L145,'Voyage days'!$F$94:$H$193,3,FALSE),"")</f>
        <v>45790</v>
      </c>
      <c r="AE145" s="122">
        <f>IFERROR($N145+VLOOKUP($L145,'Voyage days'!$F$94:$H$193,3,FALSE),"")</f>
        <v>45792</v>
      </c>
      <c r="AF145" s="163" t="str">
        <f t="shared" si="43"/>
        <v>13-15 May</v>
      </c>
      <c r="AG145" s="122">
        <f>IFERROR($M145+VLOOKUP($L145,'Voyage days'!$F$203:$H$256,3,FALSE),"")</f>
        <v>45790</v>
      </c>
      <c r="AH145" s="122">
        <f>IFERROR($N145+VLOOKUP($L145,'Voyage days'!$F$203:$H$256,3,FALSE),"")</f>
        <v>45792</v>
      </c>
      <c r="AI145" s="163" t="str">
        <f t="shared" si="44"/>
        <v/>
      </c>
      <c r="AJ145" s="122" t="str">
        <f>IFERROR($M145+VLOOKUP($L145,'Voyage days'!$F$294:$H$377,3,FALSE),"")</f>
        <v/>
      </c>
      <c r="AK145" s="122" t="str">
        <f>IFERROR($N145+VLOOKUP($L145,'Voyage days'!$F$294:$H$377,3,FALSE),"")</f>
        <v/>
      </c>
      <c r="AL145" s="163" t="str">
        <f t="shared" si="45"/>
        <v>02-04 Jun</v>
      </c>
      <c r="AM145" s="122">
        <f>IFERROR($M145+VLOOKUP($L145,'Voyage days'!$F$382:$H$446,3,FALSE),"")</f>
        <v>45810</v>
      </c>
      <c r="AN145" s="122">
        <f>IFERROR($N145+VLOOKUP($L145,'Voyage days'!$F$382:$H$446,3,FALSE),"")</f>
        <v>45812</v>
      </c>
      <c r="AO145" s="163" t="str">
        <f t="shared" si="46"/>
        <v/>
      </c>
      <c r="AP145" s="122" t="str">
        <f>IFERROR($M145+VLOOKUP($L145,'Voyage days'!$F$483:$H$538,3,FALSE),"")</f>
        <v/>
      </c>
      <c r="AQ145" s="122" t="str">
        <f>IFERROR($N145+VLOOKUP($L145,'Voyage days'!$F$483:$H$538,3,FALSE),"")</f>
        <v/>
      </c>
      <c r="AR145" s="163" t="str">
        <f t="shared" si="47"/>
        <v/>
      </c>
      <c r="AS145" s="122" t="str">
        <f>IFERROR($M145+VLOOKUP($L145,'Voyage days'!$F$540:$H$613,3,FALSE),"")</f>
        <v/>
      </c>
      <c r="AT145" s="122" t="str">
        <f>IFERROR($N145+VLOOKUP($L145,'Voyage days'!$F$540:$H$613,3,FALSE),"")</f>
        <v/>
      </c>
      <c r="AU145" s="163" t="str">
        <f t="shared" si="48"/>
        <v/>
      </c>
      <c r="AV145" s="122" t="str">
        <f>IFERROR($M145+VLOOKUP($L145,'Voyage days'!$L$483:$N$535,3,FALSE),"")</f>
        <v/>
      </c>
      <c r="AW145" s="122" t="str">
        <f>IFERROR($N145+VLOOKUP($L145,'Voyage days'!$L$483:$N$535,3,FALSE),"")</f>
        <v/>
      </c>
      <c r="AX145" s="163" t="str">
        <f t="shared" si="49"/>
        <v/>
      </c>
      <c r="AY145" s="122" t="str">
        <f>IFERROR($M145+VLOOKUP($L145,'Voyage days'!$F$620:$H$646,3,FALSE),"")</f>
        <v/>
      </c>
      <c r="AZ145" s="122" t="str">
        <f>IFERROR($N145+VLOOKUP($L145,'Voyage days'!$F$620:$H$646,3,FALSE),"")</f>
        <v/>
      </c>
      <c r="BA145" s="163" t="str">
        <f t="shared" si="50"/>
        <v/>
      </c>
      <c r="BB145" s="123" t="str">
        <f>IFERROR($M145+VLOOKUP($L145,'Voyage days'!$F$702:$H$727,3,FALSE),"")</f>
        <v/>
      </c>
      <c r="BC145" s="163" t="str">
        <f t="shared" si="51"/>
        <v/>
      </c>
      <c r="BD145" s="122" t="str">
        <f>IFERROR($M145+VLOOKUP($L145,'Voyage days'!$F$807:$H$878,3,FALSE),"")</f>
        <v/>
      </c>
      <c r="BE145" s="122" t="str">
        <f>IFERROR($N145+VLOOKUP($L145,'Voyage days'!$F$807:$H$878,3,FALSE),"")</f>
        <v/>
      </c>
      <c r="BF145" s="609"/>
      <c r="BG145" s="609"/>
      <c r="BH145" s="609"/>
      <c r="BI145" s="609"/>
      <c r="BJ145" s="609"/>
      <c r="BK145" s="609"/>
      <c r="BL145" s="609"/>
      <c r="BM145" s="609"/>
    </row>
    <row r="146" ht="15.75" customHeight="1">
      <c r="A146" s="80" t="s">
        <v>235</v>
      </c>
      <c r="B146" s="148">
        <v>2020.0</v>
      </c>
      <c r="C146" s="1045">
        <v>83000.0</v>
      </c>
      <c r="D146" s="104" t="s">
        <v>1687</v>
      </c>
      <c r="E146" s="103" t="s">
        <v>689</v>
      </c>
      <c r="F146" s="1109"/>
      <c r="G146" s="605">
        <v>47635.0</v>
      </c>
      <c r="H146" s="103"/>
      <c r="I146" s="185" t="s">
        <v>878</v>
      </c>
      <c r="J146" s="185" t="s">
        <v>3044</v>
      </c>
      <c r="K146" s="336" t="str">
        <f t="shared" si="52"/>
        <v>Update</v>
      </c>
      <c r="L146" s="108" t="s">
        <v>668</v>
      </c>
      <c r="M146" s="109">
        <v>45792.0</v>
      </c>
      <c r="N146" s="109">
        <v>45794.0</v>
      </c>
      <c r="O146" s="110"/>
      <c r="P146" s="333"/>
      <c r="Q146" s="185"/>
      <c r="R146" s="104"/>
      <c r="S146" s="112" t="s">
        <v>934</v>
      </c>
      <c r="T146" s="113">
        <v>45781.0</v>
      </c>
      <c r="U146" s="114" t="str">
        <f>IF(V146="","No AIS",VLOOKUP(V146,'Voyage days'!$A$3:$B$1480,2,FALSE))</f>
        <v>Panama</v>
      </c>
      <c r="V146" s="115" t="str">
        <f>IF(VLOOKUP(A146,'1) Kpler'!$E$2:$P$1000,8, FALSE)="","",VLOOKUP(A146,'1) Kpler'!$E$2:$P$1000,8, FALSE))</f>
        <v>Panama Canal</v>
      </c>
      <c r="W146" s="116">
        <f>IF(VLOOKUP(A146,'1) Kpler'!$E$2:$P$1000,9,FALSE)="","",VLOOKUP(A146,'1) Kpler'!$E$2:$P$1000,9,FALSE))</f>
        <v>46136.64792</v>
      </c>
      <c r="X146" s="115" t="str">
        <f>VLOOKUP(A146,'1) Kpler'!$E$2:$I$1000,4,FALSE)</f>
        <v>loaded</v>
      </c>
      <c r="Y146" s="160" t="str">
        <f t="shared" si="40"/>
        <v>02-04 Jun</v>
      </c>
      <c r="Z146" s="120" t="str">
        <f t="shared" si="41"/>
        <v>02-04 Jun</v>
      </c>
      <c r="AA146" s="121">
        <f>IFERROR($M146+VLOOKUP($L146,'Voyage days'!$F$38:$H$89,3,FALSE),"")</f>
        <v>45810</v>
      </c>
      <c r="AB146" s="121">
        <f>IFERROR(N146+VLOOKUP($L146,'Voyage days'!$F$38:$H$89,3,FALSE),"")</f>
        <v>45812</v>
      </c>
      <c r="AC146" s="120" t="str">
        <f t="shared" si="42"/>
        <v>16-18 Jun</v>
      </c>
      <c r="AD146" s="121">
        <f>IFERROR($M146+VLOOKUP($L146,'Voyage days'!$F$94:$H$193,3,FALSE),"")</f>
        <v>45824</v>
      </c>
      <c r="AE146" s="121">
        <f>IFERROR($N146+VLOOKUP($L146,'Voyage days'!$F$94:$H$193,3,FALSE),"")</f>
        <v>45826</v>
      </c>
      <c r="AF146" s="120" t="str">
        <f t="shared" si="43"/>
        <v>26-28 Jun</v>
      </c>
      <c r="AG146" s="121">
        <f>IFERROR($M146+VLOOKUP($L146,'Voyage days'!$F$203:$H$256,3,FALSE),"")</f>
        <v>45834</v>
      </c>
      <c r="AH146" s="121">
        <f>IFERROR($N146+VLOOKUP($L146,'Voyage days'!$F$203:$H$256,3,FALSE),"")</f>
        <v>45836</v>
      </c>
      <c r="AI146" s="120" t="str">
        <f t="shared" si="44"/>
        <v>14-16 Jun</v>
      </c>
      <c r="AJ146" s="121">
        <f>IFERROR($M146+VLOOKUP($L146,'Voyage days'!$F$294:$H$377,3,FALSE),"")</f>
        <v>45822</v>
      </c>
      <c r="AK146" s="121">
        <f>IFERROR($N146+VLOOKUP($L146,'Voyage days'!$F$294:$H$377,3,FALSE),"")</f>
        <v>45824</v>
      </c>
      <c r="AL146" s="120" t="str">
        <f t="shared" si="45"/>
        <v>20-22 Jun</v>
      </c>
      <c r="AM146" s="121">
        <f>IFERROR($M146+VLOOKUP($L146,'Voyage days'!$F$382:$H$446,3,FALSE),"")</f>
        <v>45828</v>
      </c>
      <c r="AN146" s="121">
        <f>IFERROR($N146+VLOOKUP($L146,'Voyage days'!$F$382:$H$446,3,FALSE),"")</f>
        <v>45830</v>
      </c>
      <c r="AO146" s="120" t="str">
        <f t="shared" si="46"/>
        <v>28-30 May</v>
      </c>
      <c r="AP146" s="121">
        <f>IFERROR($M146+VLOOKUP($L146,'Voyage days'!$F$483:$H$538,3,FALSE),"")</f>
        <v>45805</v>
      </c>
      <c r="AQ146" s="121">
        <f>IFERROR($N146+VLOOKUP($L146,'Voyage days'!$F$483:$H$538,3,FALSE),"")</f>
        <v>45807</v>
      </c>
      <c r="AR146" s="120" t="str">
        <f t="shared" si="47"/>
        <v>23-25 May</v>
      </c>
      <c r="AS146" s="121">
        <f>IFERROR($M146+VLOOKUP($L146,'Voyage days'!$F$540:$H$613,3,FALSE),"")</f>
        <v>45800.25</v>
      </c>
      <c r="AT146" s="121">
        <f>IFERROR($N146+VLOOKUP($L146,'Voyage days'!$F$540:$H$613,3,FALSE),"")</f>
        <v>45802.25</v>
      </c>
      <c r="AU146" s="120" t="str">
        <f t="shared" si="48"/>
        <v/>
      </c>
      <c r="AV146" s="121" t="str">
        <f>IFERROR($M146+VLOOKUP($L146,'Voyage days'!$L$483:$N$535,3,FALSE),"")</f>
        <v/>
      </c>
      <c r="AW146" s="121" t="str">
        <f>IFERROR($N146+VLOOKUP($L146,'Voyage days'!$L$483:$N$535,3,FALSE),"")</f>
        <v/>
      </c>
      <c r="AX146" s="120" t="str">
        <f t="shared" si="49"/>
        <v>26-28 May</v>
      </c>
      <c r="AY146" s="122">
        <f>IFERROR($M146+VLOOKUP($L146,'Voyage days'!$F$620:$H$646,3,FALSE),"")</f>
        <v>45803</v>
      </c>
      <c r="AZ146" s="122">
        <f>IFERROR($N146+VLOOKUP($L146,'Voyage days'!$F$620:$H$646,3,FALSE),"")</f>
        <v>45805</v>
      </c>
      <c r="BA146" s="120" t="str">
        <f t="shared" si="50"/>
        <v>23-02 Jul</v>
      </c>
      <c r="BB146" s="123">
        <f>IFERROR($M146+VLOOKUP($L146,'Voyage days'!$F$702:$H$727,3,FALSE),"")</f>
        <v>45800.25</v>
      </c>
      <c r="BC146" s="120" t="str">
        <f t="shared" si="51"/>
        <v>30-02 Jul</v>
      </c>
      <c r="BD146" s="122">
        <f>IFERROR($M146+VLOOKUP($L146,'Voyage days'!$F$807:$H$878,3,FALSE),"")</f>
        <v>45838</v>
      </c>
      <c r="BE146" s="122">
        <f>IFERROR($N146+VLOOKUP($L146,'Voyage days'!$F$807:$H$878,3,FALSE),"")</f>
        <v>45840</v>
      </c>
      <c r="BF146" s="609"/>
      <c r="BG146" s="609"/>
      <c r="BH146" s="609"/>
      <c r="BI146" s="609"/>
      <c r="BJ146" s="609"/>
      <c r="BK146" s="609"/>
      <c r="BL146" s="609"/>
      <c r="BM146" s="609"/>
    </row>
    <row r="147" ht="15.75" customHeight="1">
      <c r="A147" s="298" t="s">
        <v>340</v>
      </c>
      <c r="B147" s="148">
        <v>2021.0</v>
      </c>
      <c r="C147" s="1045">
        <v>84000.0</v>
      </c>
      <c r="D147" s="104" t="s">
        <v>1687</v>
      </c>
      <c r="E147" s="103" t="s">
        <v>689</v>
      </c>
      <c r="F147" s="604"/>
      <c r="G147" s="605">
        <v>46174.0</v>
      </c>
      <c r="H147" s="1130"/>
      <c r="I147" s="185" t="s">
        <v>878</v>
      </c>
      <c r="J147" s="111" t="s">
        <v>3045</v>
      </c>
      <c r="K147" s="336" t="str">
        <f t="shared" si="52"/>
        <v>Update</v>
      </c>
      <c r="L147" s="108" t="s">
        <v>680</v>
      </c>
      <c r="M147" s="109">
        <v>45798.0</v>
      </c>
      <c r="N147" s="109">
        <v>45799.0</v>
      </c>
      <c r="O147" s="110"/>
      <c r="P147" s="185"/>
      <c r="Q147" s="686"/>
      <c r="R147" s="108" t="s">
        <v>3046</v>
      </c>
      <c r="S147" s="112" t="s">
        <v>2962</v>
      </c>
      <c r="T147" s="113">
        <v>45778.0</v>
      </c>
      <c r="U147" s="114" t="str">
        <f>IF(V147="","No AIS",VLOOKUP(V147,'Voyage days'!$A$3:$B$1480,2,FALSE))</f>
        <v>Panama</v>
      </c>
      <c r="V147" s="115" t="str">
        <f>IF(VLOOKUP(A147,'1) Kpler'!$E$2:$P$1000,8, FALSE)="","",VLOOKUP(A147,'1) Kpler'!$E$2:$P$1000,8, FALSE))</f>
        <v>Panama</v>
      </c>
      <c r="W147" s="116">
        <f>IF(VLOOKUP(A147,'1) Kpler'!$E$2:$P$1000,9,FALSE)="","",VLOOKUP(A147,'1) Kpler'!$E$2:$P$1000,9,FALSE))</f>
        <v>46136.95833</v>
      </c>
      <c r="X147" s="115" t="str">
        <f>VLOOKUP(A147,'1) Kpler'!$E$2:$I$1000,4,FALSE)</f>
        <v>loaded</v>
      </c>
      <c r="Y147" s="117" t="str">
        <f t="shared" si="40"/>
        <v/>
      </c>
      <c r="Z147" s="120" t="str">
        <f t="shared" si="41"/>
        <v/>
      </c>
      <c r="AA147" s="121" t="str">
        <f>IFERROR($M147+VLOOKUP($L147,'Voyage days'!$F$38:$H$89,3,FALSE),"")</f>
        <v/>
      </c>
      <c r="AB147" s="121" t="str">
        <f>IFERROR(N147+VLOOKUP($L147,'Voyage days'!$F$38:$H$89,3,FALSE),"")</f>
        <v/>
      </c>
      <c r="AC147" s="120" t="str">
        <f t="shared" si="42"/>
        <v>21-22 May</v>
      </c>
      <c r="AD147" s="121">
        <f>IFERROR($M147+VLOOKUP($L147,'Voyage days'!$F$94:$H$193,3,FALSE),"")</f>
        <v>45798</v>
      </c>
      <c r="AE147" s="121">
        <f>IFERROR($N147+VLOOKUP($L147,'Voyage days'!$F$94:$H$193,3,FALSE),"")</f>
        <v>45799</v>
      </c>
      <c r="AF147" s="120" t="str">
        <f t="shared" si="43"/>
        <v>21-22 May</v>
      </c>
      <c r="AG147" s="121">
        <f>IFERROR($M147+VLOOKUP($L147,'Voyage days'!$F$203:$H$256,3,FALSE),"")</f>
        <v>45798</v>
      </c>
      <c r="AH147" s="121">
        <f>IFERROR($N147+VLOOKUP($L147,'Voyage days'!$F$203:$H$256,3,FALSE),"")</f>
        <v>45799</v>
      </c>
      <c r="AI147" s="120" t="str">
        <f t="shared" si="44"/>
        <v/>
      </c>
      <c r="AJ147" s="121" t="str">
        <f>IFERROR($M147+VLOOKUP($L147,'Voyage days'!$F$294:$H$377,3,FALSE),"")</f>
        <v/>
      </c>
      <c r="AK147" s="121" t="str">
        <f>IFERROR($N147+VLOOKUP($L147,'Voyage days'!$F$294:$H$377,3,FALSE),"")</f>
        <v/>
      </c>
      <c r="AL147" s="120" t="str">
        <f t="shared" si="45"/>
        <v>10-11 Jun</v>
      </c>
      <c r="AM147" s="121">
        <f>IFERROR($M147+VLOOKUP($L147,'Voyage days'!$F$382:$H$446,3,FALSE),"")</f>
        <v>45818</v>
      </c>
      <c r="AN147" s="121">
        <f>IFERROR($N147+VLOOKUP($L147,'Voyage days'!$F$382:$H$446,3,FALSE),"")</f>
        <v>45819</v>
      </c>
      <c r="AO147" s="120" t="str">
        <f t="shared" si="46"/>
        <v/>
      </c>
      <c r="AP147" s="121" t="str">
        <f>IFERROR($M147+VLOOKUP($L147,'Voyage days'!$F$483:$H$538,3,FALSE),"")</f>
        <v/>
      </c>
      <c r="AQ147" s="121" t="str">
        <f>IFERROR($N147+VLOOKUP($L147,'Voyage days'!$F$483:$H$538,3,FALSE),"")</f>
        <v/>
      </c>
      <c r="AR147" s="120" t="str">
        <f t="shared" si="47"/>
        <v/>
      </c>
      <c r="AS147" s="121" t="str">
        <f>IFERROR($M147+VLOOKUP($L147,'Voyage days'!$F$540:$H$613,3,FALSE),"")</f>
        <v/>
      </c>
      <c r="AT147" s="121" t="str">
        <f>IFERROR($N147+VLOOKUP($L147,'Voyage days'!$F$540:$H$613,3,FALSE),"")</f>
        <v/>
      </c>
      <c r="AU147" s="120" t="str">
        <f t="shared" si="48"/>
        <v/>
      </c>
      <c r="AV147" s="121" t="str">
        <f>IFERROR($M147+VLOOKUP($L147,'Voyage days'!$L$483:$N$535,3,FALSE),"")</f>
        <v/>
      </c>
      <c r="AW147" s="121" t="str">
        <f>IFERROR($N147+VLOOKUP($L147,'Voyage days'!$L$483:$N$535,3,FALSE),"")</f>
        <v/>
      </c>
      <c r="AX147" s="120" t="str">
        <f t="shared" si="49"/>
        <v/>
      </c>
      <c r="AY147" s="122" t="str">
        <f>IFERROR($M147+VLOOKUP($L147,'Voyage days'!$F$620:$H$646,3,FALSE),"")</f>
        <v/>
      </c>
      <c r="AZ147" s="122" t="str">
        <f>IFERROR($N147+VLOOKUP($L147,'Voyage days'!$F$620:$H$646,3,FALSE),"")</f>
        <v/>
      </c>
      <c r="BA147" s="120" t="str">
        <f t="shared" si="50"/>
        <v/>
      </c>
      <c r="BB147" s="123" t="str">
        <f>IFERROR($M147+VLOOKUP($L147,'Voyage days'!$F$702:$H$727,3,FALSE),"")</f>
        <v/>
      </c>
      <c r="BC147" s="120" t="str">
        <f t="shared" si="51"/>
        <v/>
      </c>
      <c r="BD147" s="122" t="str">
        <f>IFERROR($M147+VLOOKUP($L147,'Voyage days'!$F$807:$H$878,3,FALSE),"")</f>
        <v/>
      </c>
      <c r="BE147" s="122" t="str">
        <f>IFERROR($N147+VLOOKUP($L147,'Voyage days'!$F$807:$H$878,3,FALSE),"")</f>
        <v/>
      </c>
      <c r="BF147" s="609"/>
      <c r="BG147" s="609"/>
      <c r="BH147" s="609"/>
      <c r="BI147" s="609"/>
      <c r="BJ147" s="609"/>
      <c r="BK147" s="609"/>
      <c r="BL147" s="609"/>
      <c r="BM147" s="609"/>
    </row>
    <row r="148" ht="15.75" customHeight="1">
      <c r="A148" s="80" t="s">
        <v>230</v>
      </c>
      <c r="B148" s="148">
        <v>2023.0</v>
      </c>
      <c r="C148" s="1045">
        <v>86700.0</v>
      </c>
      <c r="D148" s="104"/>
      <c r="E148" s="103"/>
      <c r="F148" s="604"/>
      <c r="G148" s="103" t="s">
        <v>3047</v>
      </c>
      <c r="H148" s="103"/>
      <c r="I148" s="185" t="s">
        <v>878</v>
      </c>
      <c r="J148" s="604"/>
      <c r="K148" s="336" t="str">
        <f t="shared" si="52"/>
        <v>Update</v>
      </c>
      <c r="L148" s="108" t="s">
        <v>703</v>
      </c>
      <c r="M148" s="109">
        <v>45789.0</v>
      </c>
      <c r="N148" s="109">
        <v>45791.0</v>
      </c>
      <c r="O148" s="255" t="s">
        <v>699</v>
      </c>
      <c r="P148" s="1028"/>
      <c r="Q148" s="185"/>
      <c r="R148" s="185"/>
      <c r="S148" s="112" t="s">
        <v>934</v>
      </c>
      <c r="T148" s="113">
        <v>45786.0</v>
      </c>
      <c r="U148" s="114" t="str">
        <f>IF(V148="","No AIS",VLOOKUP(V148,'Voyage days'!$A$3:$B$1480,2,FALSE))</f>
        <v>Panama</v>
      </c>
      <c r="V148" s="115" t="str">
        <f>IF(VLOOKUP(A148,'1) Kpler'!$E$2:$P$1000,8, FALSE)="","",VLOOKUP(A148,'1) Kpler'!$E$2:$P$1000,8, FALSE))</f>
        <v>Panama Canal</v>
      </c>
      <c r="W148" s="116">
        <f>IF(VLOOKUP(A148,'1) Kpler'!$E$2:$P$1000,9,FALSE)="","",VLOOKUP(A148,'1) Kpler'!$E$2:$P$1000,9,FALSE))</f>
        <v>46133.66667</v>
      </c>
      <c r="X148" s="115" t="str">
        <f>VLOOKUP(A148,'1) Kpler'!$E$2:$I$1000,4,FALSE)</f>
        <v>loaded</v>
      </c>
      <c r="Y148" s="160" t="str">
        <f t="shared" si="40"/>
        <v>27-29 May</v>
      </c>
      <c r="Z148" s="120" t="str">
        <f t="shared" si="41"/>
        <v>27-29 May</v>
      </c>
      <c r="AA148" s="121">
        <f>IFERROR($M148+VLOOKUP($L148,'Voyage days'!$F$38:$H$89,3,FALSE),"")</f>
        <v>45804</v>
      </c>
      <c r="AB148" s="121">
        <f>IFERROR(N148+VLOOKUP($L148,'Voyage days'!$F$38:$H$89,3,FALSE),"")</f>
        <v>45806</v>
      </c>
      <c r="AC148" s="120" t="str">
        <f t="shared" si="42"/>
        <v>18-20 Jun</v>
      </c>
      <c r="AD148" s="121">
        <f>IFERROR($M148+VLOOKUP($L148,'Voyage days'!$F$94:$H$193,3,FALSE),"")</f>
        <v>45826</v>
      </c>
      <c r="AE148" s="121">
        <f>IFERROR($N148+VLOOKUP($L148,'Voyage days'!$F$94:$H$193,3,FALSE),"")</f>
        <v>45828</v>
      </c>
      <c r="AF148" s="120" t="str">
        <f t="shared" si="43"/>
        <v>23-25 Jun</v>
      </c>
      <c r="AG148" s="121">
        <f>IFERROR($M148+VLOOKUP($L148,'Voyage days'!$F$203:$H$256,3,FALSE),"")</f>
        <v>45831</v>
      </c>
      <c r="AH148" s="121">
        <f>IFERROR($N148+VLOOKUP($L148,'Voyage days'!$F$203:$H$256,3,FALSE),"")</f>
        <v>45833</v>
      </c>
      <c r="AI148" s="120" t="str">
        <f t="shared" si="44"/>
        <v>07-09 Jun</v>
      </c>
      <c r="AJ148" s="121">
        <f>IFERROR($M148+VLOOKUP($L148,'Voyage days'!$F$294:$H$377,3,FALSE),"")</f>
        <v>45815</v>
      </c>
      <c r="AK148" s="121">
        <f>IFERROR($N148+VLOOKUP($L148,'Voyage days'!$F$294:$H$377,3,FALSE),"")</f>
        <v>45817</v>
      </c>
      <c r="AL148" s="120" t="str">
        <f t="shared" si="45"/>
        <v>14-16 Jun</v>
      </c>
      <c r="AM148" s="121">
        <f>IFERROR($M148+VLOOKUP($L148,'Voyage days'!$F$382:$H$446,3,FALSE),"")</f>
        <v>45822</v>
      </c>
      <c r="AN148" s="121">
        <f>IFERROR($N148+VLOOKUP($L148,'Voyage days'!$F$382:$H$446,3,FALSE),"")</f>
        <v>45824</v>
      </c>
      <c r="AO148" s="120" t="str">
        <f t="shared" si="46"/>
        <v>26-28 May</v>
      </c>
      <c r="AP148" s="121">
        <f>IFERROR($M148+VLOOKUP($L148,'Voyage days'!$F$483:$H$538,3,FALSE),"")</f>
        <v>45803</v>
      </c>
      <c r="AQ148" s="121">
        <f>IFERROR($N148+VLOOKUP($L148,'Voyage days'!$F$483:$H$538,3,FALSE),"")</f>
        <v>45805</v>
      </c>
      <c r="AR148" s="120" t="str">
        <f t="shared" si="47"/>
        <v>18-20 May</v>
      </c>
      <c r="AS148" s="121">
        <f>IFERROR($M148+VLOOKUP($L148,'Voyage days'!$F$540:$H$613,3,FALSE),"")</f>
        <v>45795.75</v>
      </c>
      <c r="AT148" s="121">
        <f>IFERROR($N148+VLOOKUP($L148,'Voyage days'!$F$540:$H$613,3,FALSE),"")</f>
        <v>45797.75</v>
      </c>
      <c r="AU148" s="120" t="str">
        <f t="shared" si="48"/>
        <v/>
      </c>
      <c r="AV148" s="121" t="str">
        <f>IFERROR($M148+VLOOKUP($L148,'Voyage days'!$L$483:$N$535,3,FALSE),"")</f>
        <v/>
      </c>
      <c r="AW148" s="121" t="str">
        <f>IFERROR($N148+VLOOKUP($L148,'Voyage days'!$L$483:$N$535,3,FALSE),"")</f>
        <v/>
      </c>
      <c r="AX148" s="120" t="str">
        <f t="shared" si="49"/>
        <v/>
      </c>
      <c r="AY148" s="122" t="str">
        <f>IFERROR($M148+VLOOKUP($L148,'Voyage days'!$F$620:$H$646,3,FALSE),"")</f>
        <v/>
      </c>
      <c r="AZ148" s="122" t="str">
        <f>IFERROR($N148+VLOOKUP($L148,'Voyage days'!$F$620:$H$646,3,FALSE),"")</f>
        <v/>
      </c>
      <c r="BA148" s="120" t="str">
        <f t="shared" si="50"/>
        <v>18-25 Jun</v>
      </c>
      <c r="BB148" s="123">
        <f>IFERROR($M148+VLOOKUP($L148,'Voyage days'!$F$702:$H$727,3,FALSE),"")</f>
        <v>45795.75</v>
      </c>
      <c r="BC148" s="120" t="str">
        <f t="shared" si="51"/>
        <v>23-25 Jun</v>
      </c>
      <c r="BD148" s="122">
        <f>IFERROR($M148+VLOOKUP($L148,'Voyage days'!$F$807:$H$878,3,FALSE),"")</f>
        <v>45831</v>
      </c>
      <c r="BE148" s="122">
        <f>IFERROR($N148+VLOOKUP($L148,'Voyage days'!$F$807:$H$878,3,FALSE),"")</f>
        <v>45833</v>
      </c>
      <c r="BF148" s="609"/>
      <c r="BG148" s="609"/>
      <c r="BH148" s="609"/>
      <c r="BI148" s="609"/>
      <c r="BJ148" s="609"/>
      <c r="BK148" s="609"/>
      <c r="BL148" s="609"/>
      <c r="BM148" s="609"/>
    </row>
    <row r="149" ht="15.75" customHeight="1">
      <c r="A149" s="80" t="s">
        <v>560</v>
      </c>
      <c r="B149" s="148">
        <v>2024.0</v>
      </c>
      <c r="C149" s="1045">
        <v>86000.0</v>
      </c>
      <c r="D149" s="104"/>
      <c r="E149" s="103" t="s">
        <v>666</v>
      </c>
      <c r="F149" s="604"/>
      <c r="G149" s="103"/>
      <c r="H149" s="103"/>
      <c r="I149" s="185" t="s">
        <v>878</v>
      </c>
      <c r="J149" s="604"/>
      <c r="K149" s="336" t="str">
        <f t="shared" si="52"/>
        <v>Update</v>
      </c>
      <c r="L149" s="108" t="s">
        <v>2463</v>
      </c>
      <c r="M149" s="109">
        <v>45806.0</v>
      </c>
      <c r="N149" s="337">
        <v>45808.0</v>
      </c>
      <c r="O149" s="1131"/>
      <c r="P149" s="108" t="s">
        <v>3048</v>
      </c>
      <c r="Q149" s="401"/>
      <c r="R149" s="108" t="s">
        <v>3049</v>
      </c>
      <c r="S149" s="112" t="s">
        <v>934</v>
      </c>
      <c r="T149" s="113">
        <v>45781.0</v>
      </c>
      <c r="U149" s="114" t="str">
        <f>IF(V149="","No AIS",VLOOKUP(V149,'Voyage days'!$A$3:$B$1480,2,FALSE))</f>
        <v>East Med</v>
      </c>
      <c r="V149" s="115" t="str">
        <f>IF(VLOOKUP(A149,'1) Kpler'!$E$2:$P$1000,8, FALSE)="","",VLOOKUP(A149,'1) Kpler'!$E$2:$P$1000,8, FALSE))</f>
        <v>Gibraltar</v>
      </c>
      <c r="W149" s="116">
        <f>IF(VLOOKUP(A149,'1) Kpler'!$E$2:$P$1000,9,FALSE)="","",VLOOKUP(A149,'1) Kpler'!$E$2:$P$1000,9,FALSE))</f>
        <v>46135.5</v>
      </c>
      <c r="X149" s="115" t="str">
        <f>VLOOKUP(A149,'1) Kpler'!$E$2:$I$1000,4,FALSE)</f>
        <v>ballast</v>
      </c>
      <c r="Y149" s="117" t="str">
        <f t="shared" si="40"/>
        <v/>
      </c>
      <c r="Z149" s="120" t="str">
        <f t="shared" si="41"/>
        <v/>
      </c>
      <c r="AA149" s="121" t="str">
        <f>IFERROR($M149+VLOOKUP($L149,'Voyage days'!$F$38:$H$89,3,FALSE),"")</f>
        <v/>
      </c>
      <c r="AB149" s="121" t="str">
        <f>IFERROR(N149+VLOOKUP($L149,'Voyage days'!$F$38:$H$89,3,FALSE),"")</f>
        <v/>
      </c>
      <c r="AC149" s="120" t="str">
        <f t="shared" si="42"/>
        <v/>
      </c>
      <c r="AD149" s="121" t="str">
        <f>IFERROR($M149+VLOOKUP($L149,'Voyage days'!$F$94:$H$193,3,FALSE),"")</f>
        <v/>
      </c>
      <c r="AE149" s="121" t="str">
        <f>IFERROR($N149+VLOOKUP($L149,'Voyage days'!$F$94:$H$193,3,FALSE),"")</f>
        <v/>
      </c>
      <c r="AF149" s="120" t="str">
        <f t="shared" si="43"/>
        <v/>
      </c>
      <c r="AG149" s="121" t="str">
        <f>IFERROR($M149+VLOOKUP($L149,'Voyage days'!$F$203:$H$256,3,FALSE),"")</f>
        <v/>
      </c>
      <c r="AH149" s="121" t="str">
        <f>IFERROR($N149+VLOOKUP($L149,'Voyage days'!$F$203:$H$256,3,FALSE),"")</f>
        <v/>
      </c>
      <c r="AI149" s="120" t="str">
        <f t="shared" si="44"/>
        <v/>
      </c>
      <c r="AJ149" s="121" t="str">
        <f>IFERROR($M149+VLOOKUP($L149,'Voyage days'!$F$294:$H$377,3,FALSE),"")</f>
        <v/>
      </c>
      <c r="AK149" s="121" t="str">
        <f>IFERROR($N149+VLOOKUP($L149,'Voyage days'!$F$294:$H$377,3,FALSE),"")</f>
        <v/>
      </c>
      <c r="AL149" s="120" t="str">
        <f t="shared" si="45"/>
        <v/>
      </c>
      <c r="AM149" s="121" t="str">
        <f>IFERROR($M149+VLOOKUP($L149,'Voyage days'!$F$382:$H$446,3,FALSE),"")</f>
        <v/>
      </c>
      <c r="AN149" s="121" t="str">
        <f>IFERROR($N149+VLOOKUP($L149,'Voyage days'!$F$382:$H$446,3,FALSE),"")</f>
        <v/>
      </c>
      <c r="AO149" s="120" t="str">
        <f t="shared" si="46"/>
        <v/>
      </c>
      <c r="AP149" s="121" t="str">
        <f>IFERROR($M149+VLOOKUP($L149,'Voyage days'!$F$483:$H$538,3,FALSE),"")</f>
        <v/>
      </c>
      <c r="AQ149" s="121" t="str">
        <f>IFERROR($N149+VLOOKUP($L149,'Voyage days'!$F$483:$H$538,3,FALSE),"")</f>
        <v/>
      </c>
      <c r="AR149" s="120" t="str">
        <f t="shared" si="47"/>
        <v/>
      </c>
      <c r="AS149" s="121" t="str">
        <f>IFERROR($M149+VLOOKUP($L149,'Voyage days'!$F$540:$H$613,3,FALSE),"")</f>
        <v/>
      </c>
      <c r="AT149" s="121" t="str">
        <f>IFERROR($N149+VLOOKUP($L149,'Voyage days'!$F$540:$H$613,3,FALSE),"")</f>
        <v/>
      </c>
      <c r="AU149" s="120" t="str">
        <f t="shared" si="48"/>
        <v/>
      </c>
      <c r="AV149" s="121" t="str">
        <f>IFERROR($M149+VLOOKUP($L149,'Voyage days'!$L$483:$N$535,3,FALSE),"")</f>
        <v/>
      </c>
      <c r="AW149" s="121" t="str">
        <f>IFERROR($N149+VLOOKUP($L149,'Voyage days'!$L$483:$N$535,3,FALSE),"")</f>
        <v/>
      </c>
      <c r="AX149" s="120" t="str">
        <f t="shared" si="49"/>
        <v/>
      </c>
      <c r="AY149" s="122" t="str">
        <f>IFERROR($M149+VLOOKUP($L149,'Voyage days'!$F$620:$H$646,3,FALSE),"")</f>
        <v/>
      </c>
      <c r="AZ149" s="122" t="str">
        <f>IFERROR($N149+VLOOKUP($L149,'Voyage days'!$F$620:$H$646,3,FALSE),"")</f>
        <v/>
      </c>
      <c r="BA149" s="120" t="str">
        <f t="shared" si="50"/>
        <v/>
      </c>
      <c r="BB149" s="123" t="str">
        <f>IFERROR($M149+VLOOKUP($L149,'Voyage days'!$F$702:$H$727,3,FALSE),"")</f>
        <v/>
      </c>
      <c r="BC149" s="120" t="str">
        <f t="shared" si="51"/>
        <v/>
      </c>
      <c r="BD149" s="122" t="str">
        <f>IFERROR($M149+VLOOKUP($L149,'Voyage days'!$F$807:$H$878,3,FALSE),"")</f>
        <v/>
      </c>
      <c r="BE149" s="122" t="str">
        <f>IFERROR($N149+VLOOKUP($L149,'Voyage days'!$F$807:$H$878,3,FALSE),"")</f>
        <v/>
      </c>
      <c r="BF149" s="609"/>
      <c r="BG149" s="609"/>
      <c r="BH149" s="609"/>
      <c r="BI149" s="609"/>
      <c r="BJ149" s="609"/>
      <c r="BK149" s="609"/>
      <c r="BL149" s="609"/>
      <c r="BM149" s="609"/>
    </row>
    <row r="150" ht="15.75" customHeight="1">
      <c r="A150" s="396" t="s">
        <v>337</v>
      </c>
      <c r="B150" s="280">
        <v>2016.0</v>
      </c>
      <c r="C150" s="1101">
        <v>83000.0</v>
      </c>
      <c r="D150" s="168" t="s">
        <v>1687</v>
      </c>
      <c r="E150" s="223" t="s">
        <v>689</v>
      </c>
      <c r="F150" s="1010"/>
      <c r="G150" s="223">
        <v>45717.0</v>
      </c>
      <c r="H150" s="223"/>
      <c r="I150" s="463" t="s">
        <v>878</v>
      </c>
      <c r="J150" s="1010" t="s">
        <v>3045</v>
      </c>
      <c r="K150" s="469" t="str">
        <f t="shared" si="52"/>
        <v>Update</v>
      </c>
      <c r="L150" s="172" t="s">
        <v>1327</v>
      </c>
      <c r="M150" s="173">
        <v>45791.0</v>
      </c>
      <c r="N150" s="173">
        <v>45792.0</v>
      </c>
      <c r="O150" s="433"/>
      <c r="P150" s="285" t="s">
        <v>3050</v>
      </c>
      <c r="Q150" s="463"/>
      <c r="R150" s="172" t="s">
        <v>3051</v>
      </c>
      <c r="S150" s="175" t="s">
        <v>934</v>
      </c>
      <c r="T150" s="176">
        <v>45783.0</v>
      </c>
      <c r="U150" s="177" t="str">
        <f>IF(V150="","No AIS",VLOOKUP(V150,'Voyage days'!$A$3:$B$1480,2,FALSE))</f>
        <v>Panama</v>
      </c>
      <c r="V150" s="178" t="str">
        <f>IF(VLOOKUP(A150,'1) Kpler'!$E$2:$P$1000,8, FALSE)="","",VLOOKUP(A150,'1) Kpler'!$E$2:$P$1000,8, FALSE))</f>
        <v>Panama Canal</v>
      </c>
      <c r="W150" s="179">
        <f>IF(VLOOKUP(A150,'1) Kpler'!$E$2:$P$1000,9,FALSE)="","",VLOOKUP(A150,'1) Kpler'!$E$2:$P$1000,9,FALSE))</f>
        <v>46137.125</v>
      </c>
      <c r="X150" s="178" t="str">
        <f>VLOOKUP(A150,'1) Kpler'!$E$2:$I$1000,4,FALSE)</f>
        <v>ballast</v>
      </c>
      <c r="Y150" s="120" t="str">
        <f t="shared" si="40"/>
        <v>29-30 May</v>
      </c>
      <c r="Z150" s="120" t="str">
        <f t="shared" si="41"/>
        <v>29-30 May</v>
      </c>
      <c r="AA150" s="121">
        <f>IFERROR($M150+VLOOKUP($L150,'Voyage days'!$F$38:$H$89,3,FALSE),"")</f>
        <v>45806</v>
      </c>
      <c r="AB150" s="121">
        <f>IFERROR(N150+VLOOKUP($L150,'Voyage days'!$F$38:$H$89,3,FALSE),"")</f>
        <v>45807</v>
      </c>
      <c r="AC150" s="120" t="str">
        <f t="shared" si="42"/>
        <v>20-21 Jun</v>
      </c>
      <c r="AD150" s="121">
        <f>IFERROR($M150+VLOOKUP($L150,'Voyage days'!$F$94:$H$193,3,FALSE),"")</f>
        <v>45828</v>
      </c>
      <c r="AE150" s="121">
        <f>IFERROR($N150+VLOOKUP($L150,'Voyage days'!$F$94:$H$193,3,FALSE),"")</f>
        <v>45829</v>
      </c>
      <c r="AF150" s="120" t="str">
        <f t="shared" si="43"/>
        <v>21-22 Jun</v>
      </c>
      <c r="AG150" s="121">
        <f>IFERROR($M150+VLOOKUP($L150,'Voyage days'!$F$203:$H$256,3,FALSE),"")</f>
        <v>45829</v>
      </c>
      <c r="AH150" s="121">
        <f>IFERROR($N150+VLOOKUP($L150,'Voyage days'!$F$203:$H$256,3,FALSE),"")</f>
        <v>45830</v>
      </c>
      <c r="AI150" s="120" t="str">
        <f t="shared" si="44"/>
        <v>09-10 Jun</v>
      </c>
      <c r="AJ150" s="121">
        <f>IFERROR($M150+VLOOKUP($L150,'Voyage days'!$F$294:$H$377,3,FALSE),"")</f>
        <v>45817</v>
      </c>
      <c r="AK150" s="121">
        <f>IFERROR($N150+VLOOKUP($L150,'Voyage days'!$F$294:$H$377,3,FALSE),"")</f>
        <v>45818</v>
      </c>
      <c r="AL150" s="120" t="str">
        <f t="shared" si="45"/>
        <v>15-16 Jun</v>
      </c>
      <c r="AM150" s="121">
        <f>IFERROR($M150+VLOOKUP($L150,'Voyage days'!$F$382:$H$446,3,FALSE),"")</f>
        <v>45823</v>
      </c>
      <c r="AN150" s="121">
        <f>IFERROR($N150+VLOOKUP($L150,'Voyage days'!$F$382:$H$446,3,FALSE),"")</f>
        <v>45824</v>
      </c>
      <c r="AO150" s="120" t="str">
        <f t="shared" si="46"/>
        <v>30-31 May</v>
      </c>
      <c r="AP150" s="121">
        <f>IFERROR($M150+VLOOKUP($L150,'Voyage days'!$F$483:$H$538,3,FALSE),"")</f>
        <v>45807</v>
      </c>
      <c r="AQ150" s="121">
        <f>IFERROR($N150+VLOOKUP($L150,'Voyage days'!$F$483:$H$538,3,FALSE),"")</f>
        <v>45808</v>
      </c>
      <c r="AR150" s="120" t="str">
        <f t="shared" si="47"/>
        <v>19-20 May</v>
      </c>
      <c r="AS150" s="121">
        <f>IFERROR($M150+VLOOKUP($L150,'Voyage days'!$F$540:$H$613,3,FALSE),"")</f>
        <v>45796.25</v>
      </c>
      <c r="AT150" s="121">
        <f>IFERROR($N150+VLOOKUP($L150,'Voyage days'!$F$540:$H$613,3,FALSE),"")</f>
        <v>45797.25</v>
      </c>
      <c r="AU150" s="120" t="str">
        <f t="shared" si="48"/>
        <v/>
      </c>
      <c r="AV150" s="121" t="str">
        <f>IFERROR($M150+VLOOKUP($L150,'Voyage days'!$L$483:$N$535,3,FALSE),"")</f>
        <v/>
      </c>
      <c r="AW150" s="121" t="str">
        <f>IFERROR($N150+VLOOKUP($L150,'Voyage days'!$L$483:$N$535,3,FALSE),"")</f>
        <v/>
      </c>
      <c r="AX150" s="120" t="str">
        <f t="shared" si="49"/>
        <v>29-30 May</v>
      </c>
      <c r="AY150" s="122">
        <f>IFERROR($M150+VLOOKUP($L150,'Voyage days'!$F$620:$H$646,3,FALSE),"")</f>
        <v>45806</v>
      </c>
      <c r="AZ150" s="122">
        <f>IFERROR($N150+VLOOKUP($L150,'Voyage days'!$F$620:$H$646,3,FALSE),"")</f>
        <v>45807</v>
      </c>
      <c r="BA150" s="120" t="str">
        <f t="shared" si="50"/>
        <v>19-26 Jun</v>
      </c>
      <c r="BB150" s="123">
        <f>IFERROR($M150+VLOOKUP($L150,'Voyage days'!$F$702:$H$727,3,FALSE),"")</f>
        <v>45796.25</v>
      </c>
      <c r="BC150" s="120" t="str">
        <f t="shared" si="51"/>
        <v>25-26 Jun</v>
      </c>
      <c r="BD150" s="122">
        <f>IFERROR($M150+VLOOKUP($L150,'Voyage days'!$F$807:$H$878,3,FALSE),"")</f>
        <v>45833</v>
      </c>
      <c r="BE150" s="122">
        <f>IFERROR($N150+VLOOKUP($L150,'Voyage days'!$F$807:$H$878,3,FALSE),"")</f>
        <v>45834</v>
      </c>
      <c r="BF150" s="609"/>
      <c r="BG150" s="609"/>
      <c r="BH150" s="609"/>
      <c r="BI150" s="609"/>
      <c r="BJ150" s="609"/>
      <c r="BK150" s="609"/>
      <c r="BL150" s="609"/>
      <c r="BM150" s="609"/>
    </row>
    <row r="151" ht="15.75" customHeight="1">
      <c r="A151" s="404" t="s">
        <v>317</v>
      </c>
      <c r="B151" s="101">
        <v>42825.0</v>
      </c>
      <c r="C151" s="1045">
        <v>83000.0</v>
      </c>
      <c r="D151" s="150" t="s">
        <v>1687</v>
      </c>
      <c r="E151" s="149"/>
      <c r="F151" s="1132"/>
      <c r="G151" s="1015">
        <v>45717.0</v>
      </c>
      <c r="H151" s="275"/>
      <c r="I151" s="1133" t="s">
        <v>893</v>
      </c>
      <c r="J151" s="536" t="s">
        <v>3045</v>
      </c>
      <c r="K151" s="470" t="str">
        <f t="shared" si="52"/>
        <v>Update</v>
      </c>
      <c r="L151" s="153" t="s">
        <v>773</v>
      </c>
      <c r="M151" s="276">
        <v>45802.0</v>
      </c>
      <c r="N151" s="276">
        <v>45805.0</v>
      </c>
      <c r="O151" s="431"/>
      <c r="P151" s="153" t="s">
        <v>3052</v>
      </c>
      <c r="Q151" s="405"/>
      <c r="R151" s="153"/>
      <c r="S151" s="256" t="s">
        <v>934</v>
      </c>
      <c r="T151" s="293">
        <v>45786.0</v>
      </c>
      <c r="U151" s="114" t="str">
        <f>IF(V151="","No AIS",VLOOKUP(V151,'Voyage days'!$A$3:$B$1480,2,FALSE))</f>
        <v>Eu + 4</v>
      </c>
      <c r="V151" s="114" t="str">
        <f>IF(VLOOKUP(A151,'1) Kpler'!$E$2:$P$1000,8, FALSE)="","",VLOOKUP(A151,'1) Kpler'!$E$2:$P$1000,8, FALSE))</f>
        <v>Stenungsund</v>
      </c>
      <c r="W151" s="159">
        <f>IF(VLOOKUP(A151,'1) Kpler'!$E$2:$P$1000,9,FALSE)="","",VLOOKUP(A151,'1) Kpler'!$E$2:$P$1000,9,FALSE))</f>
        <v>46138.5</v>
      </c>
      <c r="X151" s="114" t="str">
        <f>VLOOKUP(A151,'1) Kpler'!$E$2:$I$1000,4,FALSE)</f>
        <v>loaded</v>
      </c>
      <c r="Y151" s="296" t="str">
        <f t="shared" si="40"/>
        <v/>
      </c>
      <c r="Z151" s="163" t="str">
        <f t="shared" si="41"/>
        <v/>
      </c>
      <c r="AA151" s="122" t="str">
        <f>IFERROR($M151+VLOOKUP($L151,'Voyage days'!$F$38:$H$89,3,FALSE),"")</f>
        <v/>
      </c>
      <c r="AB151" s="122" t="str">
        <f>IFERROR(N151+VLOOKUP($L151,'Voyage days'!$F$38:$H$89,3,FALSE),"")</f>
        <v/>
      </c>
      <c r="AC151" s="163" t="str">
        <f t="shared" si="42"/>
        <v>08-11 Jun</v>
      </c>
      <c r="AD151" s="122">
        <f>IFERROR($M151+VLOOKUP($L151,'Voyage days'!$F$94:$H$193,3,FALSE),"")</f>
        <v>45816</v>
      </c>
      <c r="AE151" s="122">
        <f>IFERROR($N151+VLOOKUP($L151,'Voyage days'!$F$94:$H$193,3,FALSE),"")</f>
        <v>45819</v>
      </c>
      <c r="AF151" s="163" t="str">
        <f t="shared" si="43"/>
        <v>09-12 Jun</v>
      </c>
      <c r="AG151" s="122">
        <f>IFERROR($M151+VLOOKUP($L151,'Voyage days'!$F$203:$H$256,3,FALSE),"")</f>
        <v>45817</v>
      </c>
      <c r="AH151" s="122">
        <f>IFERROR($N151+VLOOKUP($L151,'Voyage days'!$F$203:$H$256,3,FALSE),"")</f>
        <v>45820</v>
      </c>
      <c r="AI151" s="163" t="str">
        <f t="shared" si="44"/>
        <v>05-08 Jun</v>
      </c>
      <c r="AJ151" s="122">
        <f>IFERROR($M151+VLOOKUP($L151,'Voyage days'!$F$294:$H$377,3,FALSE),"")</f>
        <v>45813</v>
      </c>
      <c r="AK151" s="122">
        <f>IFERROR($N151+VLOOKUP($L151,'Voyage days'!$F$294:$H$377,3,FALSE),"")</f>
        <v>45816</v>
      </c>
      <c r="AL151" s="163" t="str">
        <f t="shared" si="45"/>
        <v>27-30 May</v>
      </c>
      <c r="AM151" s="122">
        <f>IFERROR($M151+VLOOKUP($L151,'Voyage days'!$F$382:$H$446,3,FALSE),"")</f>
        <v>45804</v>
      </c>
      <c r="AN151" s="122">
        <f>IFERROR($N151+VLOOKUP($L151,'Voyage days'!$F$382:$H$446,3,FALSE),"")</f>
        <v>45807</v>
      </c>
      <c r="AO151" s="163" t="str">
        <f t="shared" si="46"/>
        <v/>
      </c>
      <c r="AP151" s="122" t="str">
        <f>IFERROR($M151+VLOOKUP($L151,'Voyage days'!$F$483:$H$538,3,FALSE),"")</f>
        <v/>
      </c>
      <c r="AQ151" s="122" t="str">
        <f>IFERROR($N151+VLOOKUP($L151,'Voyage days'!$F$483:$H$538,3,FALSE),"")</f>
        <v/>
      </c>
      <c r="AR151" s="163" t="str">
        <f t="shared" si="47"/>
        <v/>
      </c>
      <c r="AS151" s="122" t="str">
        <f>IFERROR($M151+VLOOKUP($L151,'Voyage days'!$F$540:$H$613,3,FALSE),"")</f>
        <v/>
      </c>
      <c r="AT151" s="122" t="str">
        <f>IFERROR($N151+VLOOKUP($L151,'Voyage days'!$F$540:$H$613,3,FALSE),"")</f>
        <v/>
      </c>
      <c r="AU151" s="163" t="str">
        <f t="shared" si="48"/>
        <v/>
      </c>
      <c r="AV151" s="122" t="str">
        <f>IFERROR($M151+VLOOKUP($L151,'Voyage days'!$L$483:$N$535,3,FALSE),"")</f>
        <v/>
      </c>
      <c r="AW151" s="122" t="str">
        <f>IFERROR($N151+VLOOKUP($L151,'Voyage days'!$L$483:$N$535,3,FALSE),"")</f>
        <v/>
      </c>
      <c r="AX151" s="163" t="str">
        <f t="shared" si="49"/>
        <v/>
      </c>
      <c r="AY151" s="122" t="str">
        <f>IFERROR($M151+VLOOKUP($L151,'Voyage days'!$F$620:$H$646,3,FALSE),"")</f>
        <v/>
      </c>
      <c r="AZ151" s="122" t="str">
        <f>IFERROR($N151+VLOOKUP($L151,'Voyage days'!$F$620:$H$646,3,FALSE),"")</f>
        <v/>
      </c>
      <c r="BA151" s="163" t="str">
        <f t="shared" si="50"/>
        <v/>
      </c>
      <c r="BB151" s="123" t="str">
        <f>IFERROR($M151+VLOOKUP($L151,'Voyage days'!$F$702:$H$727,3,FALSE),"")</f>
        <v/>
      </c>
      <c r="BC151" s="163" t="str">
        <f t="shared" si="51"/>
        <v>08-11 Jun</v>
      </c>
      <c r="BD151" s="122">
        <f>IFERROR($M151+VLOOKUP($L151,'Voyage days'!$F$807:$H$878,3,FALSE),"")</f>
        <v>45816</v>
      </c>
      <c r="BE151" s="122">
        <f>IFERROR($N151+VLOOKUP($L151,'Voyage days'!$F$807:$H$878,3,FALSE),"")</f>
        <v>45819</v>
      </c>
      <c r="BF151" s="609"/>
      <c r="BG151" s="609"/>
      <c r="BH151" s="609"/>
      <c r="BI151" s="609"/>
      <c r="BJ151" s="609"/>
      <c r="BK151" s="609"/>
      <c r="BL151" s="609"/>
      <c r="BM151" s="609"/>
    </row>
    <row r="152" ht="15.75" customHeight="1">
      <c r="A152" s="100" t="s">
        <v>896</v>
      </c>
      <c r="B152" s="101">
        <v>43617.0</v>
      </c>
      <c r="C152" s="1045">
        <v>82200.0</v>
      </c>
      <c r="D152" s="104" t="s">
        <v>1687</v>
      </c>
      <c r="E152" s="103" t="s">
        <v>689</v>
      </c>
      <c r="F152" s="604"/>
      <c r="G152" s="605">
        <v>46174.0</v>
      </c>
      <c r="H152" s="103"/>
      <c r="I152" s="299" t="s">
        <v>893</v>
      </c>
      <c r="J152" s="111" t="s">
        <v>3053</v>
      </c>
      <c r="K152" s="336" t="str">
        <f t="shared" si="52"/>
        <v>Update</v>
      </c>
      <c r="L152" s="108" t="s">
        <v>773</v>
      </c>
      <c r="M152" s="109">
        <v>45800.0</v>
      </c>
      <c r="N152" s="109">
        <v>45802.0</v>
      </c>
      <c r="O152" s="110"/>
      <c r="P152" s="185" t="s">
        <v>3054</v>
      </c>
      <c r="Q152" s="111"/>
      <c r="R152" s="108" t="s">
        <v>3055</v>
      </c>
      <c r="S152" s="112" t="s">
        <v>934</v>
      </c>
      <c r="T152" s="113">
        <v>45786.0</v>
      </c>
      <c r="U152" s="114" t="str">
        <f>IF(V152="","No AIS",VLOOKUP(V152,'Voyage days'!$A$3:$B$1480,2,FALSE))</f>
        <v>Eu + 4</v>
      </c>
      <c r="V152" s="216" t="str">
        <f>IF(VLOOKUP(A152,'1) Kpler'!$E$2:$P$1000,8, FALSE)="","",VLOOKUP(A152,'1) Kpler'!$E$2:$P$1000,8, FALSE))</f>
        <v>Vlissingen</v>
      </c>
      <c r="W152" s="424">
        <f>IF(VLOOKUP(A152,'1) Kpler'!$E$2:$P$1000,9,FALSE)="","",VLOOKUP(A152,'1) Kpler'!$E$2:$P$1000,9,FALSE))</f>
        <v>46134.03819</v>
      </c>
      <c r="X152" s="425" t="str">
        <f>VLOOKUP(A152,'1) Kpler'!$E$2:$I$1000,4,FALSE)</f>
        <v>loaded</v>
      </c>
      <c r="Y152" s="160" t="str">
        <f t="shared" si="40"/>
        <v/>
      </c>
      <c r="Z152" s="120" t="str">
        <f t="shared" si="41"/>
        <v/>
      </c>
      <c r="AA152" s="121" t="str">
        <f>IFERROR($M152+VLOOKUP($L152,'Voyage days'!$F$38:$H$89,3,FALSE),"")</f>
        <v/>
      </c>
      <c r="AB152" s="121" t="str">
        <f>IFERROR(N152+VLOOKUP($L152,'Voyage days'!$F$38:$H$89,3,FALSE),"")</f>
        <v/>
      </c>
      <c r="AC152" s="120" t="str">
        <f t="shared" si="42"/>
        <v>06-08 Jun</v>
      </c>
      <c r="AD152" s="121">
        <f>IFERROR($M152+VLOOKUP($L152,'Voyage days'!$F$94:$H$193,3,FALSE),"")</f>
        <v>45814</v>
      </c>
      <c r="AE152" s="121">
        <f>IFERROR($N152+VLOOKUP($L152,'Voyage days'!$F$94:$H$193,3,FALSE),"")</f>
        <v>45816</v>
      </c>
      <c r="AF152" s="120" t="str">
        <f t="shared" si="43"/>
        <v>07-09 Jun</v>
      </c>
      <c r="AG152" s="121">
        <f>IFERROR($M152+VLOOKUP($L152,'Voyage days'!$F$203:$H$256,3,FALSE),"")</f>
        <v>45815</v>
      </c>
      <c r="AH152" s="121">
        <f>IFERROR($N152+VLOOKUP($L152,'Voyage days'!$F$203:$H$256,3,FALSE),"")</f>
        <v>45817</v>
      </c>
      <c r="AI152" s="120" t="str">
        <f t="shared" si="44"/>
        <v>03-05 Jun</v>
      </c>
      <c r="AJ152" s="121">
        <f>IFERROR($M152+VLOOKUP($L152,'Voyage days'!$F$294:$H$377,3,FALSE),"")</f>
        <v>45811</v>
      </c>
      <c r="AK152" s="121">
        <f>IFERROR($N152+VLOOKUP($L152,'Voyage days'!$F$294:$H$377,3,FALSE),"")</f>
        <v>45813</v>
      </c>
      <c r="AL152" s="120" t="str">
        <f t="shared" si="45"/>
        <v>25-27 May</v>
      </c>
      <c r="AM152" s="121">
        <f>IFERROR($M152+VLOOKUP($L152,'Voyage days'!$F$382:$H$446,3,FALSE),"")</f>
        <v>45802</v>
      </c>
      <c r="AN152" s="121">
        <f>IFERROR($N152+VLOOKUP($L152,'Voyage days'!$F$382:$H$446,3,FALSE),"")</f>
        <v>45804</v>
      </c>
      <c r="AO152" s="120" t="str">
        <f t="shared" si="46"/>
        <v/>
      </c>
      <c r="AP152" s="121" t="str">
        <f>IFERROR($M152+VLOOKUP($L152,'Voyage days'!$F$483:$H$538,3,FALSE),"")</f>
        <v/>
      </c>
      <c r="AQ152" s="121" t="str">
        <f>IFERROR($N152+VLOOKUP($L152,'Voyage days'!$F$483:$H$538,3,FALSE),"")</f>
        <v/>
      </c>
      <c r="AR152" s="120" t="str">
        <f t="shared" si="47"/>
        <v/>
      </c>
      <c r="AS152" s="121" t="str">
        <f>IFERROR($M152+VLOOKUP($L152,'Voyage days'!$F$540:$H$613,3,FALSE),"")</f>
        <v/>
      </c>
      <c r="AT152" s="121" t="str">
        <f>IFERROR($N152+VLOOKUP($L152,'Voyage days'!$F$540:$H$613,3,FALSE),"")</f>
        <v/>
      </c>
      <c r="AU152" s="120" t="str">
        <f t="shared" si="48"/>
        <v/>
      </c>
      <c r="AV152" s="121" t="str">
        <f>IFERROR($M152+VLOOKUP($L152,'Voyage days'!$L$483:$N$535,3,FALSE),"")</f>
        <v/>
      </c>
      <c r="AW152" s="121" t="str">
        <f>IFERROR($N152+VLOOKUP($L152,'Voyage days'!$L$483:$N$535,3,FALSE),"")</f>
        <v/>
      </c>
      <c r="AX152" s="120" t="str">
        <f t="shared" si="49"/>
        <v/>
      </c>
      <c r="AY152" s="122" t="str">
        <f>IFERROR($M152+VLOOKUP($L152,'Voyage days'!$F$620:$H$646,3,FALSE),"")</f>
        <v/>
      </c>
      <c r="AZ152" s="122" t="str">
        <f>IFERROR($N152+VLOOKUP($L152,'Voyage days'!$F$620:$H$646,3,FALSE),"")</f>
        <v/>
      </c>
      <c r="BA152" s="120" t="str">
        <f t="shared" si="50"/>
        <v/>
      </c>
      <c r="BB152" s="123" t="str">
        <f>IFERROR($M152+VLOOKUP($L152,'Voyage days'!$F$702:$H$727,3,FALSE),"")</f>
        <v/>
      </c>
      <c r="BC152" s="120" t="str">
        <f t="shared" si="51"/>
        <v>06-08 Jun</v>
      </c>
      <c r="BD152" s="122">
        <f>IFERROR($M152+VLOOKUP($L152,'Voyage days'!$F$807:$H$878,3,FALSE),"")</f>
        <v>45814</v>
      </c>
      <c r="BE152" s="122">
        <f>IFERROR($N152+VLOOKUP($L152,'Voyage days'!$F$807:$H$878,3,FALSE),"")</f>
        <v>45816</v>
      </c>
      <c r="BF152" s="609"/>
      <c r="BG152" s="609"/>
      <c r="BH152" s="609"/>
      <c r="BI152" s="609"/>
      <c r="BJ152" s="609"/>
      <c r="BK152" s="609"/>
      <c r="BL152" s="609"/>
      <c r="BM152" s="609"/>
    </row>
    <row r="153" ht="15.75" customHeight="1">
      <c r="A153" s="1134" t="s">
        <v>1548</v>
      </c>
      <c r="B153" s="222">
        <v>42217.0</v>
      </c>
      <c r="C153" s="1101">
        <v>84000.0</v>
      </c>
      <c r="D153" s="282" t="s">
        <v>1687</v>
      </c>
      <c r="E153" s="374"/>
      <c r="F153" s="1103"/>
      <c r="G153" s="374" t="s">
        <v>2907</v>
      </c>
      <c r="H153" s="1103"/>
      <c r="I153" s="591" t="s">
        <v>893</v>
      </c>
      <c r="J153" s="597" t="s">
        <v>1610</v>
      </c>
      <c r="K153" s="481" t="str">
        <f t="shared" si="52"/>
        <v>Update</v>
      </c>
      <c r="L153" s="285" t="s">
        <v>1171</v>
      </c>
      <c r="M153" s="173">
        <v>45794.0</v>
      </c>
      <c r="N153" s="173">
        <v>45795.0</v>
      </c>
      <c r="O153" s="596"/>
      <c r="P153" s="368" t="s">
        <v>3056</v>
      </c>
      <c r="Q153" s="597"/>
      <c r="R153" s="285" t="s">
        <v>3057</v>
      </c>
      <c r="S153" s="358" t="s">
        <v>934</v>
      </c>
      <c r="T153" s="369">
        <v>45774.0</v>
      </c>
      <c r="U153" s="177" t="str">
        <f>IF(V153="","No AIS",VLOOKUP(V153,'Voyage days'!$A$3:$B$1480,2,FALSE))</f>
        <v>USG</v>
      </c>
      <c r="V153" s="177" t="str">
        <f>IF(VLOOKUP(A153,'1) Kpler'!$E$2:$P$1000,8, FALSE)="","",VLOOKUP(A153,'1) Kpler'!$E$2:$P$1000,8, FALSE))</f>
        <v>Energy Transfer Marcus Hook</v>
      </c>
      <c r="W153" s="370">
        <f>IF(VLOOKUP(A153,'1) Kpler'!$E$2:$P$1000,9,FALSE)="","",VLOOKUP(A153,'1) Kpler'!$E$2:$P$1000,9,FALSE))</f>
        <v>46132.25</v>
      </c>
      <c r="X153" s="177" t="str">
        <f>VLOOKUP(A153,'1) Kpler'!$E$2:$I$1000,4,FALSE)</f>
        <v>ballast</v>
      </c>
      <c r="Y153" s="180" t="str">
        <f t="shared" si="40"/>
        <v>10-11 Jun</v>
      </c>
      <c r="Z153" s="120" t="str">
        <f t="shared" si="41"/>
        <v>10-11 Jun</v>
      </c>
      <c r="AA153" s="121">
        <f>IFERROR($M153+VLOOKUP($L153,'Voyage days'!$F$38:$H$89,3,FALSE),"")</f>
        <v>45818</v>
      </c>
      <c r="AB153" s="121">
        <f>IFERROR(N153+VLOOKUP($L153,'Voyage days'!$F$38:$H$89,3,FALSE),"")</f>
        <v>45819</v>
      </c>
      <c r="AC153" s="120" t="str">
        <f t="shared" si="42"/>
        <v/>
      </c>
      <c r="AD153" s="121" t="str">
        <f>IFERROR($M153+VLOOKUP($L153,'Voyage days'!$F$94:$H$193,3,FALSE),"")</f>
        <v/>
      </c>
      <c r="AE153" s="121" t="str">
        <f>IFERROR($N153+VLOOKUP($L153,'Voyage days'!$F$94:$H$193,3,FALSE),"")</f>
        <v/>
      </c>
      <c r="AF153" s="120" t="str">
        <f t="shared" si="43"/>
        <v/>
      </c>
      <c r="AG153" s="121" t="str">
        <f>IFERROR($M153+VLOOKUP($L153,'Voyage days'!$F$203:$H$256,3,FALSE),"")</f>
        <v/>
      </c>
      <c r="AH153" s="121" t="str">
        <f>IFERROR($N153+VLOOKUP($L153,'Voyage days'!$F$203:$H$256,3,FALSE),"")</f>
        <v/>
      </c>
      <c r="AI153" s="120" t="str">
        <f t="shared" si="44"/>
        <v>17-18 May</v>
      </c>
      <c r="AJ153" s="121">
        <f>IFERROR($M153+VLOOKUP($L153,'Voyage days'!$F$294:$H$377,3,FALSE),"")</f>
        <v>45794</v>
      </c>
      <c r="AK153" s="121">
        <f>IFERROR($N153+VLOOKUP($L153,'Voyage days'!$F$294:$H$377,3,FALSE),"")</f>
        <v>45795</v>
      </c>
      <c r="AL153" s="120" t="str">
        <f t="shared" si="45"/>
        <v>27-28 May</v>
      </c>
      <c r="AM153" s="121">
        <f>IFERROR($M153+VLOOKUP($L153,'Voyage days'!$F$382:$H$446,3,FALSE),"")</f>
        <v>45804</v>
      </c>
      <c r="AN153" s="121">
        <f>IFERROR($N153+VLOOKUP($L153,'Voyage days'!$F$382:$H$446,3,FALSE),"")</f>
        <v>45805</v>
      </c>
      <c r="AO153" s="120" t="str">
        <f t="shared" si="46"/>
        <v/>
      </c>
      <c r="AP153" s="121" t="str">
        <f>IFERROR($M153+VLOOKUP($L153,'Voyage days'!$F$483:$H$538,3,FALSE),"")</f>
        <v/>
      </c>
      <c r="AQ153" s="121" t="str">
        <f>IFERROR($N153+VLOOKUP($L153,'Voyage days'!$F$483:$H$538,3,FALSE),"")</f>
        <v/>
      </c>
      <c r="AR153" s="120" t="str">
        <f t="shared" si="47"/>
        <v/>
      </c>
      <c r="AS153" s="121" t="str">
        <f>IFERROR($M153+VLOOKUP($L153,'Voyage days'!$F$540:$H$613,3,FALSE),"")</f>
        <v/>
      </c>
      <c r="AT153" s="121" t="str">
        <f>IFERROR($N153+VLOOKUP($L153,'Voyage days'!$F$540:$H$613,3,FALSE),"")</f>
        <v/>
      </c>
      <c r="AU153" s="120" t="str">
        <f t="shared" si="48"/>
        <v/>
      </c>
      <c r="AV153" s="121" t="str">
        <f>IFERROR($M153+VLOOKUP($L153,'Voyage days'!$L$483:$N$535,3,FALSE),"")</f>
        <v/>
      </c>
      <c r="AW153" s="121" t="str">
        <f>IFERROR($N153+VLOOKUP($L153,'Voyage days'!$L$483:$N$535,3,FALSE),"")</f>
        <v/>
      </c>
      <c r="AX153" s="120" t="str">
        <f t="shared" si="49"/>
        <v/>
      </c>
      <c r="AY153" s="122" t="str">
        <f>IFERROR($M153+VLOOKUP($L153,'Voyage days'!$F$620:$H$646,3,FALSE),"")</f>
        <v/>
      </c>
      <c r="AZ153" s="122" t="str">
        <f>IFERROR($N153+VLOOKUP($L153,'Voyage days'!$F$620:$H$646,3,FALSE),"")</f>
        <v/>
      </c>
      <c r="BA153" s="120" t="str">
        <f t="shared" si="50"/>
        <v/>
      </c>
      <c r="BB153" s="123" t="str">
        <f>IFERROR($M153+VLOOKUP($L153,'Voyage days'!$F$702:$H$727,3,FALSE),"")</f>
        <v/>
      </c>
      <c r="BC153" s="120" t="str">
        <f t="shared" si="51"/>
        <v/>
      </c>
      <c r="BD153" s="122" t="str">
        <f>IFERROR($M153+VLOOKUP($L153,'Voyage days'!$F$807:$H$878,3,FALSE),"")</f>
        <v/>
      </c>
      <c r="BE153" s="122" t="str">
        <f>IFERROR($N153+VLOOKUP($L153,'Voyage days'!$F$807:$H$878,3,FALSE),"")</f>
        <v/>
      </c>
      <c r="BF153" s="609"/>
      <c r="BG153" s="609"/>
      <c r="BH153" s="609"/>
      <c r="BI153" s="609"/>
      <c r="BJ153" s="609"/>
      <c r="BK153" s="609"/>
      <c r="BL153" s="609"/>
      <c r="BM153" s="609"/>
    </row>
    <row r="154" ht="15.75" customHeight="1">
      <c r="A154" s="404" t="s">
        <v>155</v>
      </c>
      <c r="B154" s="148">
        <v>2022.0</v>
      </c>
      <c r="C154" s="1045">
        <v>84000.0</v>
      </c>
      <c r="D154" s="150" t="s">
        <v>1687</v>
      </c>
      <c r="E154" s="149" t="s">
        <v>666</v>
      </c>
      <c r="F154" s="1014"/>
      <c r="G154" s="149" t="s">
        <v>2907</v>
      </c>
      <c r="H154" s="149"/>
      <c r="I154" s="611" t="s">
        <v>901</v>
      </c>
      <c r="J154" s="536"/>
      <c r="K154" s="470" t="str">
        <f t="shared" si="52"/>
        <v>Update</v>
      </c>
      <c r="L154" s="153" t="s">
        <v>656</v>
      </c>
      <c r="M154" s="238">
        <v>45811.0</v>
      </c>
      <c r="N154" s="238">
        <v>45813.0</v>
      </c>
      <c r="O154" s="431"/>
      <c r="P154" s="157"/>
      <c r="Q154" s="157"/>
      <c r="R154" s="153" t="s">
        <v>3058</v>
      </c>
      <c r="S154" s="256" t="s">
        <v>934</v>
      </c>
      <c r="T154" s="293">
        <v>45779.0</v>
      </c>
      <c r="U154" s="114" t="str">
        <f>IF(V154="","No AIS",VLOOKUP(V154,'Voyage days'!$A$3:$B$1480,2,FALSE))</f>
        <v>Panama</v>
      </c>
      <c r="V154" s="114" t="str">
        <f>IF(VLOOKUP(A154,'1) Kpler'!$E$2:$P$1000,8, FALSE)="","",VLOOKUP(A154,'1) Kpler'!$E$2:$P$1000,8, FALSE))</f>
        <v>Panama Canal</v>
      </c>
      <c r="W154" s="159">
        <f>IF(VLOOKUP(A154,'1) Kpler'!$E$2:$P$1000,9,FALSE)="","",VLOOKUP(A154,'1) Kpler'!$E$2:$P$1000,9,FALSE))</f>
        <v>46136.95833</v>
      </c>
      <c r="X154" s="114" t="str">
        <f>VLOOKUP(A154,'1) Kpler'!$E$2:$I$1000,4,FALSE)</f>
        <v>ballast</v>
      </c>
      <c r="Y154" s="272" t="str">
        <f t="shared" si="40"/>
        <v>21-23 Jun</v>
      </c>
      <c r="Z154" s="163" t="str">
        <f t="shared" si="41"/>
        <v>21-23 Jun</v>
      </c>
      <c r="AA154" s="122">
        <f>IFERROR($M154+VLOOKUP($L154,'Voyage days'!$F$38:$H$89,3,FALSE),"")</f>
        <v>45829</v>
      </c>
      <c r="AB154" s="122">
        <f>IFERROR(N154+VLOOKUP($L154,'Voyage days'!$F$38:$H$89,3,FALSE),"")</f>
        <v>45831</v>
      </c>
      <c r="AC154" s="163" t="str">
        <f t="shared" si="42"/>
        <v>04-06 Jul</v>
      </c>
      <c r="AD154" s="122">
        <f>IFERROR($M154+VLOOKUP($L154,'Voyage days'!$F$94:$H$193,3,FALSE),"")</f>
        <v>45842</v>
      </c>
      <c r="AE154" s="122">
        <f>IFERROR($N154+VLOOKUP($L154,'Voyage days'!$F$94:$H$193,3,FALSE),"")</f>
        <v>45844</v>
      </c>
      <c r="AF154" s="163" t="str">
        <f t="shared" si="43"/>
        <v>11-13 Jul</v>
      </c>
      <c r="AG154" s="122">
        <f>IFERROR($M154+VLOOKUP($L154,'Voyage days'!$F$203:$H$256,3,FALSE),"")</f>
        <v>45849</v>
      </c>
      <c r="AH154" s="122">
        <f>IFERROR($N154+VLOOKUP($L154,'Voyage days'!$F$203:$H$256,3,FALSE),"")</f>
        <v>45851</v>
      </c>
      <c r="AI154" s="163" t="str">
        <f t="shared" si="44"/>
        <v>03-05 Jul</v>
      </c>
      <c r="AJ154" s="122">
        <f>IFERROR($M154+VLOOKUP($L154,'Voyage days'!$F$294:$H$377,3,FALSE),"")</f>
        <v>45841</v>
      </c>
      <c r="AK154" s="122">
        <f>IFERROR($N154+VLOOKUP($L154,'Voyage days'!$F$294:$H$377,3,FALSE),"")</f>
        <v>45843</v>
      </c>
      <c r="AL154" s="163" t="str">
        <f t="shared" si="45"/>
        <v>09-11 Jul</v>
      </c>
      <c r="AM154" s="122">
        <f>IFERROR($M154+VLOOKUP($L154,'Voyage days'!$F$382:$H$446,3,FALSE),"")</f>
        <v>45847</v>
      </c>
      <c r="AN154" s="122">
        <f>IFERROR($N154+VLOOKUP($L154,'Voyage days'!$F$382:$H$446,3,FALSE),"")</f>
        <v>45849</v>
      </c>
      <c r="AO154" s="163" t="str">
        <f t="shared" si="46"/>
        <v>16-18 Jun</v>
      </c>
      <c r="AP154" s="122">
        <f>IFERROR($M154+VLOOKUP($L154,'Voyage days'!$F$483:$H$538,3,FALSE),"")</f>
        <v>45824</v>
      </c>
      <c r="AQ154" s="122">
        <f>IFERROR($N154+VLOOKUP($L154,'Voyage days'!$F$483:$H$538,3,FALSE),"")</f>
        <v>45826</v>
      </c>
      <c r="AR154" s="163" t="str">
        <f t="shared" si="47"/>
        <v>11-13 Jun</v>
      </c>
      <c r="AS154" s="122">
        <f>IFERROR($M154+VLOOKUP($L154,'Voyage days'!$F$540:$H$613,3,FALSE),"")</f>
        <v>45819.25</v>
      </c>
      <c r="AT154" s="122">
        <f>IFERROR($N154+VLOOKUP($L154,'Voyage days'!$F$540:$H$613,3,FALSE),"")</f>
        <v>45821.25</v>
      </c>
      <c r="AU154" s="163" t="str">
        <f t="shared" si="48"/>
        <v/>
      </c>
      <c r="AV154" s="122" t="str">
        <f>IFERROR($M154+VLOOKUP($L154,'Voyage days'!$L$483:$N$535,3,FALSE),"")</f>
        <v/>
      </c>
      <c r="AW154" s="122" t="str">
        <f>IFERROR($N154+VLOOKUP($L154,'Voyage days'!$L$483:$N$535,3,FALSE),"")</f>
        <v/>
      </c>
      <c r="AX154" s="163" t="str">
        <f t="shared" si="49"/>
        <v>14-16 Jun</v>
      </c>
      <c r="AY154" s="122">
        <f>IFERROR($M154+VLOOKUP($L154,'Voyage days'!$F$620:$H$646,3,FALSE),"")</f>
        <v>45822</v>
      </c>
      <c r="AZ154" s="122">
        <f>IFERROR($N154+VLOOKUP($L154,'Voyage days'!$F$620:$H$646,3,FALSE),"")</f>
        <v>45824</v>
      </c>
      <c r="BA154" s="163" t="str">
        <f t="shared" si="50"/>
        <v>11-21 Jul</v>
      </c>
      <c r="BB154" s="123">
        <f>IFERROR($M154+VLOOKUP($L154,'Voyage days'!$F$702:$H$727,3,FALSE),"")</f>
        <v>45819.25</v>
      </c>
      <c r="BC154" s="163" t="str">
        <f t="shared" si="51"/>
        <v>19-21 Jul</v>
      </c>
      <c r="BD154" s="122">
        <f>IFERROR($M154+VLOOKUP($L154,'Voyage days'!$F$807:$H$878,3,FALSE),"")</f>
        <v>45857</v>
      </c>
      <c r="BE154" s="122">
        <f>IFERROR($N154+VLOOKUP($L154,'Voyage days'!$F$807:$H$878,3,FALSE),"")</f>
        <v>45859</v>
      </c>
      <c r="BF154" s="609"/>
      <c r="BG154" s="609"/>
      <c r="BH154" s="609"/>
      <c r="BI154" s="609"/>
      <c r="BJ154" s="609"/>
      <c r="BK154" s="609"/>
      <c r="BL154" s="609"/>
      <c r="BM154" s="609"/>
    </row>
    <row r="155" ht="15.75" customHeight="1">
      <c r="A155" s="100" t="s">
        <v>177</v>
      </c>
      <c r="B155" s="101">
        <v>41635.0</v>
      </c>
      <c r="C155" s="1045">
        <v>84000.0</v>
      </c>
      <c r="D155" s="104" t="s">
        <v>1687</v>
      </c>
      <c r="E155" s="103" t="s">
        <v>689</v>
      </c>
      <c r="F155" s="604"/>
      <c r="G155" s="605">
        <v>45777.0</v>
      </c>
      <c r="H155" s="103"/>
      <c r="I155" s="299" t="s">
        <v>901</v>
      </c>
      <c r="J155" s="111" t="s">
        <v>1554</v>
      </c>
      <c r="K155" s="336" t="str">
        <f t="shared" si="52"/>
        <v>NO AIS</v>
      </c>
      <c r="L155" s="199" t="s">
        <v>680</v>
      </c>
      <c r="M155" s="109">
        <v>45797.0</v>
      </c>
      <c r="N155" s="109">
        <v>45799.0</v>
      </c>
      <c r="O155" s="334"/>
      <c r="P155" s="185"/>
      <c r="Q155" s="185"/>
      <c r="R155" s="108" t="s">
        <v>3059</v>
      </c>
      <c r="S155" s="112" t="s">
        <v>934</v>
      </c>
      <c r="T155" s="113">
        <v>45778.0</v>
      </c>
      <c r="U155" s="114" t="str">
        <f>IF(V155="","No AIS",VLOOKUP(V155,'Voyage days'!$A$3:$B$1480,2,FALSE))</f>
        <v>No AIS</v>
      </c>
      <c r="V155" s="115" t="str">
        <f>IF(VLOOKUP(A155,'1) Kpler'!$E$2:$P$1000,8, FALSE)="","",VLOOKUP(A155,'1) Kpler'!$E$2:$P$1000,8, FALSE))</f>
        <v/>
      </c>
      <c r="W155" s="116" t="str">
        <f>IF(VLOOKUP(A155,'1) Kpler'!$E$2:$P$1000,9,FALSE)="","",VLOOKUP(A155,'1) Kpler'!$E$2:$P$1000,9,FALSE))</f>
        <v/>
      </c>
      <c r="X155" s="115" t="str">
        <f>VLOOKUP(A155,'1) Kpler'!$E$2:$I$1000,4,FALSE)</f>
        <v>loaded</v>
      </c>
      <c r="Y155" s="117" t="str">
        <f t="shared" si="40"/>
        <v/>
      </c>
      <c r="Z155" s="120" t="str">
        <f t="shared" si="41"/>
        <v/>
      </c>
      <c r="AA155" s="121" t="str">
        <f>IFERROR($M155+VLOOKUP($L155,'Voyage days'!$F$38:$H$89,3,FALSE),"")</f>
        <v/>
      </c>
      <c r="AB155" s="121" t="str">
        <f>IFERROR(N155+VLOOKUP($L155,'Voyage days'!$F$38:$H$89,3,FALSE),"")</f>
        <v/>
      </c>
      <c r="AC155" s="120" t="str">
        <f t="shared" si="42"/>
        <v>20-22 May</v>
      </c>
      <c r="AD155" s="121">
        <f>IFERROR($M155+VLOOKUP($L155,'Voyage days'!$F$94:$H$193,3,FALSE),"")</f>
        <v>45797</v>
      </c>
      <c r="AE155" s="121">
        <f>IFERROR($N155+VLOOKUP($L155,'Voyage days'!$F$94:$H$193,3,FALSE),"")</f>
        <v>45799</v>
      </c>
      <c r="AF155" s="120" t="str">
        <f t="shared" si="43"/>
        <v>20-22 May</v>
      </c>
      <c r="AG155" s="121">
        <f>IFERROR($M155+VLOOKUP($L155,'Voyage days'!$F$203:$H$256,3,FALSE),"")</f>
        <v>45797</v>
      </c>
      <c r="AH155" s="121">
        <f>IFERROR($N155+VLOOKUP($L155,'Voyage days'!$F$203:$H$256,3,FALSE),"")</f>
        <v>45799</v>
      </c>
      <c r="AI155" s="120" t="str">
        <f t="shared" si="44"/>
        <v/>
      </c>
      <c r="AJ155" s="121" t="str">
        <f>IFERROR($M155+VLOOKUP($L155,'Voyage days'!$F$294:$H$377,3,FALSE),"")</f>
        <v/>
      </c>
      <c r="AK155" s="121" t="str">
        <f>IFERROR($N155+VLOOKUP($L155,'Voyage days'!$F$294:$H$377,3,FALSE),"")</f>
        <v/>
      </c>
      <c r="AL155" s="120" t="str">
        <f t="shared" si="45"/>
        <v>09-11 Jun</v>
      </c>
      <c r="AM155" s="121">
        <f>IFERROR($M155+VLOOKUP($L155,'Voyage days'!$F$382:$H$446,3,FALSE),"")</f>
        <v>45817</v>
      </c>
      <c r="AN155" s="121">
        <f>IFERROR($N155+VLOOKUP($L155,'Voyage days'!$F$382:$H$446,3,FALSE),"")</f>
        <v>45819</v>
      </c>
      <c r="AO155" s="120" t="str">
        <f t="shared" si="46"/>
        <v/>
      </c>
      <c r="AP155" s="121" t="str">
        <f>IFERROR($M155+VLOOKUP($L155,'Voyage days'!$F$483:$H$538,3,FALSE),"")</f>
        <v/>
      </c>
      <c r="AQ155" s="121" t="str">
        <f>IFERROR($N155+VLOOKUP($L155,'Voyage days'!$F$483:$H$538,3,FALSE),"")</f>
        <v/>
      </c>
      <c r="AR155" s="120" t="str">
        <f t="shared" si="47"/>
        <v/>
      </c>
      <c r="AS155" s="121" t="str">
        <f>IFERROR($M155+VLOOKUP($L155,'Voyage days'!$F$540:$H$613,3,FALSE),"")</f>
        <v/>
      </c>
      <c r="AT155" s="121" t="str">
        <f>IFERROR($N155+VLOOKUP($L155,'Voyage days'!$F$540:$H$613,3,FALSE),"")</f>
        <v/>
      </c>
      <c r="AU155" s="120" t="str">
        <f t="shared" si="48"/>
        <v/>
      </c>
      <c r="AV155" s="121" t="str">
        <f>IFERROR($M155+VLOOKUP($L155,'Voyage days'!$L$483:$N$535,3,FALSE),"")</f>
        <v/>
      </c>
      <c r="AW155" s="121" t="str">
        <f>IFERROR($N155+VLOOKUP($L155,'Voyage days'!$L$483:$N$535,3,FALSE),"")</f>
        <v/>
      </c>
      <c r="AX155" s="120" t="str">
        <f t="shared" si="49"/>
        <v/>
      </c>
      <c r="AY155" s="122" t="str">
        <f>IFERROR($M155+VLOOKUP($L155,'Voyage days'!$F$620:$H$646,3,FALSE),"")</f>
        <v/>
      </c>
      <c r="AZ155" s="122" t="str">
        <f>IFERROR($N155+VLOOKUP($L155,'Voyage days'!$F$620:$H$646,3,FALSE),"")</f>
        <v/>
      </c>
      <c r="BA155" s="120" t="str">
        <f t="shared" si="50"/>
        <v/>
      </c>
      <c r="BB155" s="123" t="str">
        <f>IFERROR($M155+VLOOKUP($L155,'Voyage days'!$F$702:$H$727,3,FALSE),"")</f>
        <v/>
      </c>
      <c r="BC155" s="120" t="str">
        <f t="shared" si="51"/>
        <v/>
      </c>
      <c r="BD155" s="122" t="str">
        <f>IFERROR($M155+VLOOKUP($L155,'Voyage days'!$F$807:$H$878,3,FALSE),"")</f>
        <v/>
      </c>
      <c r="BE155" s="122" t="str">
        <f>IFERROR($N155+VLOOKUP($L155,'Voyage days'!$F$807:$H$878,3,FALSE),"")</f>
        <v/>
      </c>
      <c r="BF155" s="609"/>
      <c r="BG155" s="609"/>
      <c r="BH155" s="609"/>
      <c r="BI155" s="609"/>
      <c r="BJ155" s="609"/>
      <c r="BK155" s="609"/>
      <c r="BL155" s="609"/>
      <c r="BM155" s="609"/>
    </row>
    <row r="156" ht="15.75" customHeight="1">
      <c r="A156" s="80" t="s">
        <v>204</v>
      </c>
      <c r="B156" s="148">
        <v>2020.0</v>
      </c>
      <c r="C156" s="1045">
        <v>82000.0</v>
      </c>
      <c r="D156" s="104" t="s">
        <v>1687</v>
      </c>
      <c r="E156" s="103" t="s">
        <v>689</v>
      </c>
      <c r="F156" s="604"/>
      <c r="G156" s="605">
        <v>45717.0</v>
      </c>
      <c r="H156" s="103"/>
      <c r="I156" s="299" t="s">
        <v>901</v>
      </c>
      <c r="J156" s="111"/>
      <c r="K156" s="336" t="str">
        <f t="shared" si="52"/>
        <v>Update</v>
      </c>
      <c r="L156" s="108" t="s">
        <v>765</v>
      </c>
      <c r="M156" s="109">
        <v>45800.0</v>
      </c>
      <c r="N156" s="109">
        <v>45801.0</v>
      </c>
      <c r="O156" s="334"/>
      <c r="P156" s="108"/>
      <c r="Q156" s="185"/>
      <c r="R156" s="185"/>
      <c r="S156" s="112" t="s">
        <v>33</v>
      </c>
      <c r="T156" s="113">
        <v>45772.0</v>
      </c>
      <c r="U156" s="114" t="str">
        <f>IF(V156="","No AIS",VLOOKUP(V156,'Voyage days'!$A$3:$B$1480,2,FALSE))</f>
        <v>Panama</v>
      </c>
      <c r="V156" s="115" t="str">
        <f>IF(VLOOKUP(A156,'1) Kpler'!$E$2:$P$1000,8, FALSE)="","",VLOOKUP(A156,'1) Kpler'!$E$2:$P$1000,8, FALSE))</f>
        <v>Panama Canal</v>
      </c>
      <c r="W156" s="116">
        <f>IF(VLOOKUP(A156,'1) Kpler'!$E$2:$P$1000,9,FALSE)="","",VLOOKUP(A156,'1) Kpler'!$E$2:$P$1000,9,FALSE))</f>
        <v>46134.00069</v>
      </c>
      <c r="X156" s="115" t="str">
        <f>VLOOKUP(A156,'1) Kpler'!$E$2:$I$1000,4,FALSE)</f>
        <v>ballast</v>
      </c>
      <c r="Y156" s="160" t="str">
        <f t="shared" si="40"/>
        <v/>
      </c>
      <c r="Z156" s="120" t="str">
        <f t="shared" si="41"/>
        <v/>
      </c>
      <c r="AA156" s="121" t="str">
        <f>IFERROR($M156+VLOOKUP($L156,'Voyage days'!$F$38:$H$89,3,FALSE),"")</f>
        <v/>
      </c>
      <c r="AB156" s="121" t="str">
        <f>IFERROR(N156+VLOOKUP($L156,'Voyage days'!$F$38:$H$89,3,FALSE),"")</f>
        <v/>
      </c>
      <c r="AC156" s="120" t="str">
        <f t="shared" si="42"/>
        <v/>
      </c>
      <c r="AD156" s="121" t="str">
        <f>IFERROR($M156+VLOOKUP($L156,'Voyage days'!$F$94:$H$193,3,FALSE),"")</f>
        <v/>
      </c>
      <c r="AE156" s="121" t="str">
        <f>IFERROR($N156+VLOOKUP($L156,'Voyage days'!$F$94:$H$193,3,FALSE),"")</f>
        <v/>
      </c>
      <c r="AF156" s="120" t="str">
        <f t="shared" si="43"/>
        <v/>
      </c>
      <c r="AG156" s="121" t="str">
        <f>IFERROR($M156+VLOOKUP($L156,'Voyage days'!$F$203:$H$256,3,FALSE),"")</f>
        <v/>
      </c>
      <c r="AH156" s="121" t="str">
        <f>IFERROR($N156+VLOOKUP($L156,'Voyage days'!$F$203:$H$256,3,FALSE),"")</f>
        <v/>
      </c>
      <c r="AI156" s="120" t="str">
        <f t="shared" si="44"/>
        <v/>
      </c>
      <c r="AJ156" s="121" t="str">
        <f>IFERROR($M156+VLOOKUP($L156,'Voyage days'!$F$294:$H$377,3,FALSE),"")</f>
        <v/>
      </c>
      <c r="AK156" s="121" t="str">
        <f>IFERROR($N156+VLOOKUP($L156,'Voyage days'!$F$294:$H$377,3,FALSE),"")</f>
        <v/>
      </c>
      <c r="AL156" s="120" t="str">
        <f t="shared" si="45"/>
        <v/>
      </c>
      <c r="AM156" s="121" t="str">
        <f>IFERROR($M156+VLOOKUP($L156,'Voyage days'!$F$382:$H$446,3,FALSE),"")</f>
        <v/>
      </c>
      <c r="AN156" s="121" t="str">
        <f>IFERROR($N156+VLOOKUP($L156,'Voyage days'!$F$382:$H$446,3,FALSE),"")</f>
        <v/>
      </c>
      <c r="AO156" s="120" t="str">
        <f t="shared" si="46"/>
        <v/>
      </c>
      <c r="AP156" s="121" t="str">
        <f>IFERROR($M156+VLOOKUP($L156,'Voyage days'!$F$483:$H$538,3,FALSE),"")</f>
        <v/>
      </c>
      <c r="AQ156" s="121" t="str">
        <f>IFERROR($N156+VLOOKUP($L156,'Voyage days'!$F$483:$H$538,3,FALSE),"")</f>
        <v/>
      </c>
      <c r="AR156" s="120" t="str">
        <f t="shared" si="47"/>
        <v/>
      </c>
      <c r="AS156" s="121" t="str">
        <f>IFERROR($M156+VLOOKUP($L156,'Voyage days'!$F$540:$H$613,3,FALSE),"")</f>
        <v/>
      </c>
      <c r="AT156" s="121" t="str">
        <f>IFERROR($N156+VLOOKUP($L156,'Voyage days'!$F$540:$H$613,3,FALSE),"")</f>
        <v/>
      </c>
      <c r="AU156" s="120" t="str">
        <f t="shared" si="48"/>
        <v/>
      </c>
      <c r="AV156" s="121" t="str">
        <f>IFERROR($M156+VLOOKUP($L156,'Voyage days'!$L$483:$N$535,3,FALSE),"")</f>
        <v/>
      </c>
      <c r="AW156" s="121" t="str">
        <f>IFERROR($N156+VLOOKUP($L156,'Voyage days'!$L$483:$N$535,3,FALSE),"")</f>
        <v/>
      </c>
      <c r="AX156" s="120" t="str">
        <f t="shared" si="49"/>
        <v/>
      </c>
      <c r="AY156" s="122" t="str">
        <f>IFERROR($M156+VLOOKUP($L156,'Voyage days'!$F$620:$H$646,3,FALSE),"")</f>
        <v/>
      </c>
      <c r="AZ156" s="122" t="str">
        <f>IFERROR($N156+VLOOKUP($L156,'Voyage days'!$F$620:$H$646,3,FALSE),"")</f>
        <v/>
      </c>
      <c r="BA156" s="120" t="str">
        <f t="shared" si="50"/>
        <v/>
      </c>
      <c r="BB156" s="123" t="str">
        <f>IFERROR($M156+VLOOKUP($L156,'Voyage days'!$F$702:$H$727,3,FALSE),"")</f>
        <v/>
      </c>
      <c r="BC156" s="120" t="str">
        <f t="shared" si="51"/>
        <v/>
      </c>
      <c r="BD156" s="122" t="str">
        <f>IFERROR($M156+VLOOKUP($L156,'Voyage days'!$F$807:$H$878,3,FALSE),"")</f>
        <v/>
      </c>
      <c r="BE156" s="122" t="str">
        <f>IFERROR($N156+VLOOKUP($L156,'Voyage days'!$F$807:$H$878,3,FALSE),"")</f>
        <v/>
      </c>
      <c r="BF156" s="609"/>
      <c r="BG156" s="609"/>
      <c r="BH156" s="609"/>
      <c r="BI156" s="609"/>
      <c r="BJ156" s="609"/>
      <c r="BK156" s="609"/>
      <c r="BL156" s="609"/>
      <c r="BM156" s="609"/>
    </row>
    <row r="157" ht="15.75" customHeight="1">
      <c r="A157" s="80" t="s">
        <v>212</v>
      </c>
      <c r="B157" s="101">
        <v>41579.0</v>
      </c>
      <c r="C157" s="1045">
        <v>82200.0</v>
      </c>
      <c r="D157" s="104" t="s">
        <v>1687</v>
      </c>
      <c r="E157" s="103" t="s">
        <v>689</v>
      </c>
      <c r="F157" s="604">
        <v>43344.0</v>
      </c>
      <c r="G157" s="605">
        <v>45717.0</v>
      </c>
      <c r="H157" s="103"/>
      <c r="I157" s="299" t="s">
        <v>901</v>
      </c>
      <c r="J157" s="111" t="s">
        <v>968</v>
      </c>
      <c r="K157" s="336" t="str">
        <f t="shared" si="52"/>
        <v>Update</v>
      </c>
      <c r="L157" s="108" t="s">
        <v>680</v>
      </c>
      <c r="M157" s="109">
        <v>45789.0</v>
      </c>
      <c r="N157" s="109">
        <v>45790.0</v>
      </c>
      <c r="O157" s="334"/>
      <c r="P157" s="185"/>
      <c r="Q157" s="185"/>
      <c r="R157" s="108" t="s">
        <v>3060</v>
      </c>
      <c r="S157" s="112" t="s">
        <v>934</v>
      </c>
      <c r="T157" s="113">
        <v>45786.0</v>
      </c>
      <c r="U157" s="114" t="str">
        <f>IF(V157="","No AIS",VLOOKUP(V157,'Voyage days'!$A$3:$B$1480,2,FALSE))</f>
        <v>Port Louis</v>
      </c>
      <c r="V157" s="115" t="str">
        <f>IF(VLOOKUP(A157,'1) Kpler'!$E$2:$P$1000,8, FALSE)="","",VLOOKUP(A157,'1) Kpler'!$E$2:$P$1000,8, FALSE))</f>
        <v>Port Louis</v>
      </c>
      <c r="W157" s="116">
        <f>IF(VLOOKUP(A157,'1) Kpler'!$E$2:$P$1000,9,FALSE)="","",VLOOKUP(A157,'1) Kpler'!$E$2:$P$1000,9,FALSE))</f>
        <v>46155.58333</v>
      </c>
      <c r="X157" s="115" t="str">
        <f>VLOOKUP(A157,'1) Kpler'!$E$2:$I$1000,4,FALSE)</f>
        <v>loaded</v>
      </c>
      <c r="Y157" s="117" t="str">
        <f t="shared" si="40"/>
        <v/>
      </c>
      <c r="Z157" s="120" t="str">
        <f t="shared" si="41"/>
        <v/>
      </c>
      <c r="AA157" s="121" t="str">
        <f>IFERROR($M157+VLOOKUP($L157,'Voyage days'!$F$38:$H$89,3,FALSE),"")</f>
        <v/>
      </c>
      <c r="AB157" s="121" t="str">
        <f>IFERROR(N157+VLOOKUP($L157,'Voyage days'!$F$38:$H$89,3,FALSE),"")</f>
        <v/>
      </c>
      <c r="AC157" s="120" t="str">
        <f t="shared" si="42"/>
        <v>12-13 May</v>
      </c>
      <c r="AD157" s="121">
        <f>IFERROR($M157+VLOOKUP($L157,'Voyage days'!$F$94:$H$193,3,FALSE),"")</f>
        <v>45789</v>
      </c>
      <c r="AE157" s="121">
        <f>IFERROR($N157+VLOOKUP($L157,'Voyage days'!$F$94:$H$193,3,FALSE),"")</f>
        <v>45790</v>
      </c>
      <c r="AF157" s="120" t="str">
        <f t="shared" si="43"/>
        <v>12-13 May</v>
      </c>
      <c r="AG157" s="121">
        <f>IFERROR($M157+VLOOKUP($L157,'Voyage days'!$F$203:$H$256,3,FALSE),"")</f>
        <v>45789</v>
      </c>
      <c r="AH157" s="121">
        <f>IFERROR($N157+VLOOKUP($L157,'Voyage days'!$F$203:$H$256,3,FALSE),"")</f>
        <v>45790</v>
      </c>
      <c r="AI157" s="120" t="str">
        <f t="shared" si="44"/>
        <v/>
      </c>
      <c r="AJ157" s="121" t="str">
        <f>IFERROR($M157+VLOOKUP($L157,'Voyage days'!$F$294:$H$377,3,FALSE),"")</f>
        <v/>
      </c>
      <c r="AK157" s="121" t="str">
        <f>IFERROR($N157+VLOOKUP($L157,'Voyage days'!$F$294:$H$377,3,FALSE),"")</f>
        <v/>
      </c>
      <c r="AL157" s="120" t="str">
        <f t="shared" si="45"/>
        <v>01-02 Jun</v>
      </c>
      <c r="AM157" s="121">
        <f>IFERROR($M157+VLOOKUP($L157,'Voyage days'!$F$382:$H$446,3,FALSE),"")</f>
        <v>45809</v>
      </c>
      <c r="AN157" s="121">
        <f>IFERROR($N157+VLOOKUP($L157,'Voyage days'!$F$382:$H$446,3,FALSE),"")</f>
        <v>45810</v>
      </c>
      <c r="AO157" s="120" t="str">
        <f t="shared" si="46"/>
        <v/>
      </c>
      <c r="AP157" s="121" t="str">
        <f>IFERROR($M157+VLOOKUP($L157,'Voyage days'!$F$483:$H$538,3,FALSE),"")</f>
        <v/>
      </c>
      <c r="AQ157" s="121" t="str">
        <f>IFERROR($N157+VLOOKUP($L157,'Voyage days'!$F$483:$H$538,3,FALSE),"")</f>
        <v/>
      </c>
      <c r="AR157" s="120" t="str">
        <f t="shared" si="47"/>
        <v/>
      </c>
      <c r="AS157" s="121" t="str">
        <f>IFERROR($M157+VLOOKUP($L157,'Voyage days'!$F$540:$H$613,3,FALSE),"")</f>
        <v/>
      </c>
      <c r="AT157" s="121" t="str">
        <f>IFERROR($N157+VLOOKUP($L157,'Voyage days'!$F$540:$H$613,3,FALSE),"")</f>
        <v/>
      </c>
      <c r="AU157" s="120" t="str">
        <f t="shared" si="48"/>
        <v/>
      </c>
      <c r="AV157" s="121" t="str">
        <f>IFERROR($M157+VLOOKUP($L157,'Voyage days'!$L$483:$N$535,3,FALSE),"")</f>
        <v/>
      </c>
      <c r="AW157" s="121" t="str">
        <f>IFERROR($N157+VLOOKUP($L157,'Voyage days'!$L$483:$N$535,3,FALSE),"")</f>
        <v/>
      </c>
      <c r="AX157" s="120" t="str">
        <f t="shared" si="49"/>
        <v/>
      </c>
      <c r="AY157" s="122" t="str">
        <f>IFERROR($M157+VLOOKUP($L157,'Voyage days'!$F$620:$H$646,3,FALSE),"")</f>
        <v/>
      </c>
      <c r="AZ157" s="122" t="str">
        <f>IFERROR($N157+VLOOKUP($L157,'Voyage days'!$F$620:$H$646,3,FALSE),"")</f>
        <v/>
      </c>
      <c r="BA157" s="120" t="str">
        <f t="shared" si="50"/>
        <v/>
      </c>
      <c r="BB157" s="123" t="str">
        <f>IFERROR($M157+VLOOKUP($L157,'Voyage days'!$F$702:$H$727,3,FALSE),"")</f>
        <v/>
      </c>
      <c r="BC157" s="120" t="str">
        <f t="shared" si="51"/>
        <v/>
      </c>
      <c r="BD157" s="122" t="str">
        <f>IFERROR($M157+VLOOKUP($L157,'Voyage days'!$F$807:$H$878,3,FALSE),"")</f>
        <v/>
      </c>
      <c r="BE157" s="122" t="str">
        <f>IFERROR($N157+VLOOKUP($L157,'Voyage days'!$F$807:$H$878,3,FALSE),"")</f>
        <v/>
      </c>
      <c r="BF157" s="609"/>
      <c r="BG157" s="609"/>
      <c r="BH157" s="609"/>
      <c r="BI157" s="609"/>
      <c r="BJ157" s="609"/>
      <c r="BK157" s="609"/>
      <c r="BL157" s="609"/>
      <c r="BM157" s="609"/>
    </row>
    <row r="158" ht="15.75" customHeight="1">
      <c r="A158" s="341" t="s">
        <v>213</v>
      </c>
      <c r="B158" s="148">
        <v>2022.0</v>
      </c>
      <c r="C158" s="1045">
        <v>84000.0</v>
      </c>
      <c r="D158" s="104" t="s">
        <v>1687</v>
      </c>
      <c r="E158" s="103" t="s">
        <v>666</v>
      </c>
      <c r="F158" s="604"/>
      <c r="G158" s="103" t="s">
        <v>2907</v>
      </c>
      <c r="H158" s="103"/>
      <c r="I158" s="299" t="s">
        <v>901</v>
      </c>
      <c r="J158" s="185"/>
      <c r="K158" s="336" t="str">
        <f t="shared" si="52"/>
        <v>Update</v>
      </c>
      <c r="L158" s="108" t="s">
        <v>720</v>
      </c>
      <c r="M158" s="109">
        <v>45797.0</v>
      </c>
      <c r="N158" s="109">
        <v>45799.0</v>
      </c>
      <c r="O158" s="110"/>
      <c r="P158" s="185"/>
      <c r="Q158" s="185"/>
      <c r="R158" s="108" t="s">
        <v>3061</v>
      </c>
      <c r="S158" s="112" t="s">
        <v>33</v>
      </c>
      <c r="T158" s="113">
        <v>45772.0</v>
      </c>
      <c r="U158" s="114" t="str">
        <f>IF(V158="","No AIS",VLOOKUP(V158,'Voyage days'!$A$3:$B$1480,2,FALSE))</f>
        <v>Panama</v>
      </c>
      <c r="V158" s="115" t="str">
        <f>IF(VLOOKUP(A158,'1) Kpler'!$E$2:$P$1000,8, FALSE)="","",VLOOKUP(A158,'1) Kpler'!$E$2:$P$1000,8, FALSE))</f>
        <v>Panama Canal</v>
      </c>
      <c r="W158" s="116">
        <f>IF(VLOOKUP(A158,'1) Kpler'!$E$2:$P$1000,9,FALSE)="","",VLOOKUP(A158,'1) Kpler'!$E$2:$P$1000,9,FALSE))</f>
        <v>46133.375</v>
      </c>
      <c r="X158" s="115" t="str">
        <f>VLOOKUP(A158,'1) Kpler'!$E$2:$I$1000,4,FALSE)</f>
        <v>loaded</v>
      </c>
      <c r="Y158" s="160" t="str">
        <f t="shared" si="40"/>
        <v>07-09 Jun</v>
      </c>
      <c r="Z158" s="120" t="str">
        <f t="shared" si="41"/>
        <v>07-09 Jun</v>
      </c>
      <c r="AA158" s="121">
        <f>IFERROR($M158+VLOOKUP($L158,'Voyage days'!$F$38:$H$89,3,FALSE),"")</f>
        <v>45815</v>
      </c>
      <c r="AB158" s="121">
        <f>IFERROR(N158+VLOOKUP($L158,'Voyage days'!$F$38:$H$89,3,FALSE),"")</f>
        <v>45817</v>
      </c>
      <c r="AC158" s="120" t="str">
        <f t="shared" si="42"/>
        <v>23-25 Jun</v>
      </c>
      <c r="AD158" s="121">
        <f>IFERROR($M158+VLOOKUP($L158,'Voyage days'!$F$94:$H$193,3,FALSE),"")</f>
        <v>45831</v>
      </c>
      <c r="AE158" s="121">
        <f>IFERROR($N158+VLOOKUP($L158,'Voyage days'!$F$94:$H$193,3,FALSE),"")</f>
        <v>45833</v>
      </c>
      <c r="AF158" s="120" t="str">
        <f t="shared" si="43"/>
        <v>30-02 Jul</v>
      </c>
      <c r="AG158" s="121">
        <f>IFERROR($M158+VLOOKUP($L158,'Voyage days'!$F$203:$H$256,3,FALSE),"")</f>
        <v>45838</v>
      </c>
      <c r="AH158" s="121">
        <f>IFERROR($N158+VLOOKUP($L158,'Voyage days'!$F$203:$H$256,3,FALSE),"")</f>
        <v>45840</v>
      </c>
      <c r="AI158" s="120" t="str">
        <f t="shared" si="44"/>
        <v>18-20 Jun</v>
      </c>
      <c r="AJ158" s="121">
        <f>IFERROR($M158+VLOOKUP($L158,'Voyage days'!$F$294:$H$377,3,FALSE),"")</f>
        <v>45826</v>
      </c>
      <c r="AK158" s="121">
        <f>IFERROR($N158+VLOOKUP($L158,'Voyage days'!$F$294:$H$377,3,FALSE),"")</f>
        <v>45828</v>
      </c>
      <c r="AL158" s="120" t="str">
        <f t="shared" si="45"/>
        <v>24-26 Jun</v>
      </c>
      <c r="AM158" s="121">
        <f>IFERROR($M158+VLOOKUP($L158,'Voyage days'!$F$382:$H$446,3,FALSE),"")</f>
        <v>45832</v>
      </c>
      <c r="AN158" s="121">
        <f>IFERROR($N158+VLOOKUP($L158,'Voyage days'!$F$382:$H$446,3,FALSE),"")</f>
        <v>45834</v>
      </c>
      <c r="AO158" s="120" t="str">
        <f t="shared" si="46"/>
        <v>03-05 Jun</v>
      </c>
      <c r="AP158" s="121">
        <f>IFERROR($M158+VLOOKUP($L158,'Voyage days'!$F$483:$H$538,3,FALSE),"")</f>
        <v>45811</v>
      </c>
      <c r="AQ158" s="121">
        <f>IFERROR($N158+VLOOKUP($L158,'Voyage days'!$F$483:$H$538,3,FALSE),"")</f>
        <v>45813</v>
      </c>
      <c r="AR158" s="120" t="str">
        <f t="shared" si="47"/>
        <v>28-30 May</v>
      </c>
      <c r="AS158" s="121">
        <f>IFERROR($M158+VLOOKUP($L158,'Voyage days'!$F$540:$H$613,3,FALSE),"")</f>
        <v>45805</v>
      </c>
      <c r="AT158" s="121">
        <f>IFERROR($N158+VLOOKUP($L158,'Voyage days'!$F$540:$H$613,3,FALSE),"")</f>
        <v>45807</v>
      </c>
      <c r="AU158" s="120" t="str">
        <f t="shared" si="48"/>
        <v/>
      </c>
      <c r="AV158" s="121" t="str">
        <f>IFERROR($M158+VLOOKUP($L158,'Voyage days'!$L$483:$N$535,3,FALSE),"")</f>
        <v/>
      </c>
      <c r="AW158" s="121" t="str">
        <f>IFERROR($N158+VLOOKUP($L158,'Voyage days'!$L$483:$N$535,3,FALSE),"")</f>
        <v/>
      </c>
      <c r="AX158" s="120" t="str">
        <f t="shared" si="49"/>
        <v>31-02 Jun</v>
      </c>
      <c r="AY158" s="122">
        <f>IFERROR($M158+VLOOKUP($L158,'Voyage days'!$F$620:$H$646,3,FALSE),"")</f>
        <v>45808</v>
      </c>
      <c r="AZ158" s="122">
        <f>IFERROR($N158+VLOOKUP($L158,'Voyage days'!$F$620:$H$646,3,FALSE),"")</f>
        <v>45810</v>
      </c>
      <c r="BA158" s="120" t="str">
        <f t="shared" si="50"/>
        <v>28-06 Jul</v>
      </c>
      <c r="BB158" s="123">
        <f>IFERROR($M158+VLOOKUP($L158,'Voyage days'!$F$702:$H$727,3,FALSE),"")</f>
        <v>45805</v>
      </c>
      <c r="BC158" s="120" t="str">
        <f t="shared" si="51"/>
        <v>04-06 Jul</v>
      </c>
      <c r="BD158" s="122">
        <f>IFERROR($M158+VLOOKUP($L158,'Voyage days'!$F$807:$H$878,3,FALSE),"")</f>
        <v>45842</v>
      </c>
      <c r="BE158" s="122">
        <f>IFERROR($N158+VLOOKUP($L158,'Voyage days'!$F$807:$H$878,3,FALSE),"")</f>
        <v>45844</v>
      </c>
      <c r="BF158" s="609"/>
      <c r="BG158" s="609"/>
      <c r="BH158" s="609"/>
      <c r="BI158" s="609"/>
      <c r="BJ158" s="609"/>
      <c r="BK158" s="609"/>
      <c r="BL158" s="609"/>
      <c r="BM158" s="609"/>
    </row>
    <row r="159" ht="15.75" customHeight="1">
      <c r="A159" s="80" t="s">
        <v>238</v>
      </c>
      <c r="B159" s="148">
        <v>2021.0</v>
      </c>
      <c r="C159" s="1045">
        <v>86000.0</v>
      </c>
      <c r="D159" s="104" t="s">
        <v>1687</v>
      </c>
      <c r="E159" s="103" t="s">
        <v>666</v>
      </c>
      <c r="F159" s="604"/>
      <c r="G159" s="103" t="s">
        <v>2907</v>
      </c>
      <c r="H159" s="103"/>
      <c r="I159" s="299" t="s">
        <v>901</v>
      </c>
      <c r="J159" s="185"/>
      <c r="K159" s="336" t="str">
        <f t="shared" si="52"/>
        <v>Update</v>
      </c>
      <c r="L159" s="108" t="s">
        <v>663</v>
      </c>
      <c r="M159" s="109">
        <v>45789.0</v>
      </c>
      <c r="N159" s="109">
        <v>45791.0</v>
      </c>
      <c r="O159" s="110"/>
      <c r="P159" s="185"/>
      <c r="Q159" s="185"/>
      <c r="R159" s="185"/>
      <c r="S159" s="112" t="s">
        <v>33</v>
      </c>
      <c r="T159" s="113">
        <v>45772.0</v>
      </c>
      <c r="U159" s="114" t="str">
        <f>IF(V159="","No AIS",VLOOKUP(V159,'Voyage days'!$A$3:$B$1480,2,FALSE))</f>
        <v>USG</v>
      </c>
      <c r="V159" s="115" t="str">
        <f>IF(VLOOKUP(A159,'1) Kpler'!$E$2:$P$1000,8, FALSE)="","",VLOOKUP(A159,'1) Kpler'!$E$2:$P$1000,8, FALSE))</f>
        <v>Houston</v>
      </c>
      <c r="W159" s="116">
        <f>IF(VLOOKUP(A159,'1) Kpler'!$E$2:$P$1000,9,FALSE)="","",VLOOKUP(A159,'1) Kpler'!$E$2:$P$1000,9,FALSE))</f>
        <v>46132.5</v>
      </c>
      <c r="X159" s="115" t="str">
        <f>VLOOKUP(A159,'1) Kpler'!$E$2:$I$1000,4,FALSE)</f>
        <v>ballast</v>
      </c>
      <c r="Y159" s="117" t="str">
        <f t="shared" si="40"/>
        <v>29-31 May</v>
      </c>
      <c r="Z159" s="120" t="str">
        <f t="shared" si="41"/>
        <v>29-31 May</v>
      </c>
      <c r="AA159" s="121">
        <f>IFERROR($M159+VLOOKUP($L159,'Voyage days'!$F$38:$H$89,3,FALSE),"")</f>
        <v>45806</v>
      </c>
      <c r="AB159" s="121">
        <f>IFERROR(N159+VLOOKUP($L159,'Voyage days'!$F$38:$H$89,3,FALSE),"")</f>
        <v>45808</v>
      </c>
      <c r="AC159" s="120" t="str">
        <f t="shared" si="42"/>
        <v>14-16 Jun</v>
      </c>
      <c r="AD159" s="121">
        <f>IFERROR($M159+VLOOKUP($L159,'Voyage days'!$F$94:$H$193,3,FALSE),"")</f>
        <v>45822</v>
      </c>
      <c r="AE159" s="121">
        <f>IFERROR($N159+VLOOKUP($L159,'Voyage days'!$F$94:$H$193,3,FALSE),"")</f>
        <v>45824</v>
      </c>
      <c r="AF159" s="120" t="str">
        <f t="shared" si="43"/>
        <v>25-27 Jun</v>
      </c>
      <c r="AG159" s="121">
        <f>IFERROR($M159+VLOOKUP($L159,'Voyage days'!$F$203:$H$256,3,FALSE),"")</f>
        <v>45833</v>
      </c>
      <c r="AH159" s="121">
        <f>IFERROR($N159+VLOOKUP($L159,'Voyage days'!$F$203:$H$256,3,FALSE),"")</f>
        <v>45835</v>
      </c>
      <c r="AI159" s="120" t="str">
        <f t="shared" si="44"/>
        <v>09-11 Jun</v>
      </c>
      <c r="AJ159" s="121">
        <f>IFERROR($M159+VLOOKUP($L159,'Voyage days'!$F$294:$H$377,3,FALSE),"")</f>
        <v>45817</v>
      </c>
      <c r="AK159" s="121">
        <f>IFERROR($N159+VLOOKUP($L159,'Voyage days'!$F$294:$H$377,3,FALSE),"")</f>
        <v>45819</v>
      </c>
      <c r="AL159" s="120" t="str">
        <f t="shared" si="45"/>
        <v>16-18 Jun</v>
      </c>
      <c r="AM159" s="121">
        <f>IFERROR($M159+VLOOKUP($L159,'Voyage days'!$F$382:$H$446,3,FALSE),"")</f>
        <v>45824</v>
      </c>
      <c r="AN159" s="121">
        <f>IFERROR($N159+VLOOKUP($L159,'Voyage days'!$F$382:$H$446,3,FALSE),"")</f>
        <v>45826</v>
      </c>
      <c r="AO159" s="120" t="str">
        <f t="shared" si="46"/>
        <v>26-28 May</v>
      </c>
      <c r="AP159" s="121">
        <f>IFERROR($M159+VLOOKUP($L159,'Voyage days'!$F$483:$H$538,3,FALSE),"")</f>
        <v>45803</v>
      </c>
      <c r="AQ159" s="121">
        <f>IFERROR($N159+VLOOKUP($L159,'Voyage days'!$F$483:$H$538,3,FALSE),"")</f>
        <v>45805</v>
      </c>
      <c r="AR159" s="120" t="str">
        <f t="shared" si="47"/>
        <v>19-21 May</v>
      </c>
      <c r="AS159" s="121">
        <f>IFERROR($M159+VLOOKUP($L159,'Voyage days'!$F$540:$H$613,3,FALSE),"")</f>
        <v>45796.25</v>
      </c>
      <c r="AT159" s="121">
        <f>IFERROR($N159+VLOOKUP($L159,'Voyage days'!$F$540:$H$613,3,FALSE),"")</f>
        <v>45798.25</v>
      </c>
      <c r="AU159" s="120" t="str">
        <f t="shared" si="48"/>
        <v/>
      </c>
      <c r="AV159" s="121" t="str">
        <f>IFERROR($M159+VLOOKUP($L159,'Voyage days'!$L$483:$N$535,3,FALSE),"")</f>
        <v/>
      </c>
      <c r="AW159" s="121" t="str">
        <f>IFERROR($N159+VLOOKUP($L159,'Voyage days'!$L$483:$N$535,3,FALSE),"")</f>
        <v/>
      </c>
      <c r="AX159" s="120" t="str">
        <f t="shared" si="49"/>
        <v>25-27 May</v>
      </c>
      <c r="AY159" s="122">
        <f>IFERROR($M159+VLOOKUP($L159,'Voyage days'!$F$620:$H$646,3,FALSE),"")</f>
        <v>45802</v>
      </c>
      <c r="AZ159" s="122">
        <f>IFERROR($N159+VLOOKUP($L159,'Voyage days'!$F$620:$H$646,3,FALSE),"")</f>
        <v>45804</v>
      </c>
      <c r="BA159" s="120" t="str">
        <f t="shared" si="50"/>
        <v>19-27 Jun</v>
      </c>
      <c r="BB159" s="123">
        <f>IFERROR($M159+VLOOKUP($L159,'Voyage days'!$F$702:$H$727,3,FALSE),"")</f>
        <v>45796.25</v>
      </c>
      <c r="BC159" s="120" t="str">
        <f t="shared" si="51"/>
        <v>25-27 Jun</v>
      </c>
      <c r="BD159" s="122">
        <f>IFERROR($M159+VLOOKUP($L159,'Voyage days'!$F$807:$H$878,3,FALSE),"")</f>
        <v>45833</v>
      </c>
      <c r="BE159" s="122">
        <f>IFERROR($N159+VLOOKUP($L159,'Voyage days'!$F$807:$H$878,3,FALSE),"")</f>
        <v>45835</v>
      </c>
      <c r="BF159" s="609"/>
      <c r="BG159" s="609"/>
      <c r="BH159" s="609"/>
      <c r="BI159" s="609"/>
      <c r="BJ159" s="609"/>
      <c r="BK159" s="609"/>
      <c r="BL159" s="609"/>
      <c r="BM159" s="609"/>
    </row>
    <row r="160" ht="15.75" customHeight="1">
      <c r="A160" s="80" t="s">
        <v>239</v>
      </c>
      <c r="B160" s="148">
        <v>2021.0</v>
      </c>
      <c r="C160" s="1045">
        <v>86000.0</v>
      </c>
      <c r="D160" s="104" t="s">
        <v>1687</v>
      </c>
      <c r="E160" s="103" t="s">
        <v>666</v>
      </c>
      <c r="F160" s="103" t="s">
        <v>3062</v>
      </c>
      <c r="G160" s="103" t="s">
        <v>2907</v>
      </c>
      <c r="H160" s="103"/>
      <c r="I160" s="299" t="s">
        <v>901</v>
      </c>
      <c r="J160" s="185"/>
      <c r="K160" s="336" t="str">
        <f t="shared" si="52"/>
        <v>Update</v>
      </c>
      <c r="L160" s="108" t="s">
        <v>773</v>
      </c>
      <c r="M160" s="109">
        <v>45805.0</v>
      </c>
      <c r="N160" s="109">
        <v>45807.0</v>
      </c>
      <c r="O160" s="110"/>
      <c r="P160" s="185"/>
      <c r="Q160" s="185"/>
      <c r="R160" s="108" t="s">
        <v>3063</v>
      </c>
      <c r="S160" s="112" t="s">
        <v>934</v>
      </c>
      <c r="T160" s="113">
        <v>45785.0</v>
      </c>
      <c r="U160" s="114" t="str">
        <f>IF(V160="","No AIS",VLOOKUP(V160,'Voyage days'!$A$3:$B$1480,2,FALSE))</f>
        <v>Port Louis</v>
      </c>
      <c r="V160" s="115" t="str">
        <f>IF(VLOOKUP(A160,'1) Kpler'!$E$2:$P$1000,8, FALSE)="","",VLOOKUP(A160,'1) Kpler'!$E$2:$P$1000,8, FALSE))</f>
        <v>Port Louis</v>
      </c>
      <c r="W160" s="116">
        <f>IF(VLOOKUP(A160,'1) Kpler'!$E$2:$P$1000,9,FALSE)="","",VLOOKUP(A160,'1) Kpler'!$E$2:$P$1000,9,FALSE))</f>
        <v>46150.58333</v>
      </c>
      <c r="X160" s="115" t="str">
        <f>VLOOKUP(A160,'1) Kpler'!$E$2:$I$1000,4,FALSE)</f>
        <v>loaded</v>
      </c>
      <c r="Y160" s="160" t="str">
        <f t="shared" si="40"/>
        <v/>
      </c>
      <c r="Z160" s="120" t="str">
        <f t="shared" si="41"/>
        <v/>
      </c>
      <c r="AA160" s="121" t="str">
        <f>IFERROR($M160+VLOOKUP($L160,'Voyage days'!$F$38:$H$89,3,FALSE),"")</f>
        <v/>
      </c>
      <c r="AB160" s="121" t="str">
        <f>IFERROR(N160+VLOOKUP($L160,'Voyage days'!$F$38:$H$89,3,FALSE),"")</f>
        <v/>
      </c>
      <c r="AC160" s="120" t="str">
        <f t="shared" si="42"/>
        <v>11-13 Jun</v>
      </c>
      <c r="AD160" s="121">
        <f>IFERROR($M160+VLOOKUP($L160,'Voyage days'!$F$94:$H$193,3,FALSE),"")</f>
        <v>45819</v>
      </c>
      <c r="AE160" s="121">
        <f>IFERROR($N160+VLOOKUP($L160,'Voyage days'!$F$94:$H$193,3,FALSE),"")</f>
        <v>45821</v>
      </c>
      <c r="AF160" s="120" t="str">
        <f t="shared" si="43"/>
        <v>12-14 Jun</v>
      </c>
      <c r="AG160" s="121">
        <f>IFERROR($M160+VLOOKUP($L160,'Voyage days'!$F$203:$H$256,3,FALSE),"")</f>
        <v>45820</v>
      </c>
      <c r="AH160" s="121">
        <f>IFERROR($N160+VLOOKUP($L160,'Voyage days'!$F$203:$H$256,3,FALSE),"")</f>
        <v>45822</v>
      </c>
      <c r="AI160" s="120" t="str">
        <f t="shared" si="44"/>
        <v>08-10 Jun</v>
      </c>
      <c r="AJ160" s="121">
        <f>IFERROR($M160+VLOOKUP($L160,'Voyage days'!$F$294:$H$377,3,FALSE),"")</f>
        <v>45816</v>
      </c>
      <c r="AK160" s="121">
        <f>IFERROR($N160+VLOOKUP($L160,'Voyage days'!$F$294:$H$377,3,FALSE),"")</f>
        <v>45818</v>
      </c>
      <c r="AL160" s="120" t="str">
        <f t="shared" si="45"/>
        <v>30-01 Jun</v>
      </c>
      <c r="AM160" s="121">
        <f>IFERROR($M160+VLOOKUP($L160,'Voyage days'!$F$382:$H$446,3,FALSE),"")</f>
        <v>45807</v>
      </c>
      <c r="AN160" s="121">
        <f>IFERROR($N160+VLOOKUP($L160,'Voyage days'!$F$382:$H$446,3,FALSE),"")</f>
        <v>45809</v>
      </c>
      <c r="AO160" s="120" t="str">
        <f t="shared" si="46"/>
        <v/>
      </c>
      <c r="AP160" s="121" t="str">
        <f>IFERROR($M160+VLOOKUP($L160,'Voyage days'!$F$483:$H$538,3,FALSE),"")</f>
        <v/>
      </c>
      <c r="AQ160" s="121" t="str">
        <f>IFERROR($N160+VLOOKUP($L160,'Voyage days'!$F$483:$H$538,3,FALSE),"")</f>
        <v/>
      </c>
      <c r="AR160" s="120" t="str">
        <f t="shared" si="47"/>
        <v/>
      </c>
      <c r="AS160" s="121" t="str">
        <f>IFERROR($M160+VLOOKUP($L160,'Voyage days'!$F$540:$H$613,3,FALSE),"")</f>
        <v/>
      </c>
      <c r="AT160" s="121" t="str">
        <f>IFERROR($N160+VLOOKUP($L160,'Voyage days'!$F$540:$H$613,3,FALSE),"")</f>
        <v/>
      </c>
      <c r="AU160" s="120" t="str">
        <f t="shared" si="48"/>
        <v/>
      </c>
      <c r="AV160" s="121" t="str">
        <f>IFERROR($M160+VLOOKUP($L160,'Voyage days'!$L$483:$N$535,3,FALSE),"")</f>
        <v/>
      </c>
      <c r="AW160" s="121" t="str">
        <f>IFERROR($N160+VLOOKUP($L160,'Voyage days'!$L$483:$N$535,3,FALSE),"")</f>
        <v/>
      </c>
      <c r="AX160" s="120" t="str">
        <f t="shared" si="49"/>
        <v/>
      </c>
      <c r="AY160" s="122" t="str">
        <f>IFERROR($M160+VLOOKUP($L160,'Voyage days'!$F$620:$H$646,3,FALSE),"")</f>
        <v/>
      </c>
      <c r="AZ160" s="122" t="str">
        <f>IFERROR($N160+VLOOKUP($L160,'Voyage days'!$F$620:$H$646,3,FALSE),"")</f>
        <v/>
      </c>
      <c r="BA160" s="120" t="str">
        <f t="shared" si="50"/>
        <v/>
      </c>
      <c r="BB160" s="123" t="str">
        <f>IFERROR($M160+VLOOKUP($L160,'Voyage days'!$F$702:$H$727,3,FALSE),"")</f>
        <v/>
      </c>
      <c r="BC160" s="120" t="str">
        <f t="shared" si="51"/>
        <v>11-13 Jun</v>
      </c>
      <c r="BD160" s="122">
        <f>IFERROR($M160+VLOOKUP($L160,'Voyage days'!$F$807:$H$878,3,FALSE),"")</f>
        <v>45819</v>
      </c>
      <c r="BE160" s="122">
        <f>IFERROR($N160+VLOOKUP($L160,'Voyage days'!$F$807:$H$878,3,FALSE),"")</f>
        <v>45821</v>
      </c>
      <c r="BF160" s="609"/>
      <c r="BG160" s="609"/>
      <c r="BH160" s="609"/>
      <c r="BI160" s="609"/>
      <c r="BJ160" s="609"/>
      <c r="BK160" s="609"/>
      <c r="BL160" s="609"/>
      <c r="BM160" s="609"/>
    </row>
    <row r="161" ht="15.75" customHeight="1">
      <c r="A161" s="80" t="s">
        <v>518</v>
      </c>
      <c r="B161" s="101">
        <v>43831.0</v>
      </c>
      <c r="C161" s="1045">
        <v>84000.0</v>
      </c>
      <c r="D161" s="104" t="s">
        <v>1687</v>
      </c>
      <c r="E161" s="103" t="s">
        <v>689</v>
      </c>
      <c r="F161" s="604"/>
      <c r="G161" s="605">
        <v>45839.0</v>
      </c>
      <c r="H161" s="103"/>
      <c r="I161" s="299" t="s">
        <v>901</v>
      </c>
      <c r="J161" s="185"/>
      <c r="K161" s="336" t="str">
        <f t="shared" si="52"/>
        <v>Update</v>
      </c>
      <c r="L161" s="108" t="s">
        <v>663</v>
      </c>
      <c r="M161" s="109">
        <v>45807.0</v>
      </c>
      <c r="N161" s="109">
        <v>45749.0</v>
      </c>
      <c r="O161" s="110"/>
      <c r="P161" s="185"/>
      <c r="Q161" s="111"/>
      <c r="R161" s="108" t="s">
        <v>3064</v>
      </c>
      <c r="S161" s="112" t="s">
        <v>934</v>
      </c>
      <c r="T161" s="113">
        <v>45774.0</v>
      </c>
      <c r="U161" s="114" t="str">
        <f>IF(V161="","No AIS",VLOOKUP(V161,'Voyage days'!$A$3:$B$1480,2,FALSE))</f>
        <v>Panama</v>
      </c>
      <c r="V161" s="115" t="str">
        <f>IF(VLOOKUP(A161,'1) Kpler'!$E$2:$P$1000,8, FALSE)="","",VLOOKUP(A161,'1) Kpler'!$E$2:$P$1000,8, FALSE))</f>
        <v>Panama Canal</v>
      </c>
      <c r="W161" s="116">
        <f>IF(VLOOKUP(A161,'1) Kpler'!$E$2:$P$1000,9,FALSE)="","",VLOOKUP(A161,'1) Kpler'!$E$2:$P$1000,9,FALSE))</f>
        <v>46148.70833</v>
      </c>
      <c r="X161" s="115" t="str">
        <f>VLOOKUP(A161,'1) Kpler'!$E$2:$I$1000,4,FALSE)</f>
        <v>ballast</v>
      </c>
      <c r="Y161" s="117" t="str">
        <f t="shared" si="40"/>
        <v>16-19 Apr</v>
      </c>
      <c r="Z161" s="120" t="str">
        <f t="shared" si="41"/>
        <v>16-19 Apr</v>
      </c>
      <c r="AA161" s="121">
        <f>IFERROR($M161+VLOOKUP($L161,'Voyage days'!$F$38:$H$89,3,FALSE),"")</f>
        <v>45824</v>
      </c>
      <c r="AB161" s="121">
        <f>IFERROR(N161+VLOOKUP($L161,'Voyage days'!$F$38:$H$89,3,FALSE),"")</f>
        <v>45766</v>
      </c>
      <c r="AC161" s="120" t="str">
        <f t="shared" si="42"/>
        <v>02-05 May</v>
      </c>
      <c r="AD161" s="121">
        <f>IFERROR($M161+VLOOKUP($L161,'Voyage days'!$F$94:$H$193,3,FALSE),"")</f>
        <v>45840</v>
      </c>
      <c r="AE161" s="121">
        <f>IFERROR($N161+VLOOKUP($L161,'Voyage days'!$F$94:$H$193,3,FALSE),"")</f>
        <v>45782</v>
      </c>
      <c r="AF161" s="120" t="str">
        <f t="shared" si="43"/>
        <v>13-16 May</v>
      </c>
      <c r="AG161" s="121">
        <f>IFERROR($M161+VLOOKUP($L161,'Voyage days'!$F$203:$H$256,3,FALSE),"")</f>
        <v>45851</v>
      </c>
      <c r="AH161" s="121">
        <f>IFERROR($N161+VLOOKUP($L161,'Voyage days'!$F$203:$H$256,3,FALSE),"")</f>
        <v>45793</v>
      </c>
      <c r="AI161" s="120" t="str">
        <f t="shared" si="44"/>
        <v>27-30 Apr</v>
      </c>
      <c r="AJ161" s="121">
        <f>IFERROR($M161+VLOOKUP($L161,'Voyage days'!$F$294:$H$377,3,FALSE),"")</f>
        <v>45835</v>
      </c>
      <c r="AK161" s="121">
        <f>IFERROR($N161+VLOOKUP($L161,'Voyage days'!$F$294:$H$377,3,FALSE),"")</f>
        <v>45777</v>
      </c>
      <c r="AL161" s="120" t="str">
        <f t="shared" si="45"/>
        <v>04-07 May</v>
      </c>
      <c r="AM161" s="121">
        <f>IFERROR($M161+VLOOKUP($L161,'Voyage days'!$F$382:$H$446,3,FALSE),"")</f>
        <v>45842</v>
      </c>
      <c r="AN161" s="121">
        <f>IFERROR($N161+VLOOKUP($L161,'Voyage days'!$F$382:$H$446,3,FALSE),"")</f>
        <v>45784</v>
      </c>
      <c r="AO161" s="120" t="str">
        <f t="shared" si="46"/>
        <v>13-16 Apr</v>
      </c>
      <c r="AP161" s="121">
        <f>IFERROR($M161+VLOOKUP($L161,'Voyage days'!$F$483:$H$538,3,FALSE),"")</f>
        <v>45821</v>
      </c>
      <c r="AQ161" s="121">
        <f>IFERROR($N161+VLOOKUP($L161,'Voyage days'!$F$483:$H$538,3,FALSE),"")</f>
        <v>45763</v>
      </c>
      <c r="AR161" s="120" t="str">
        <f t="shared" si="47"/>
        <v>06-09 Apr</v>
      </c>
      <c r="AS161" s="121">
        <f>IFERROR($M161+VLOOKUP($L161,'Voyage days'!$F$540:$H$613,3,FALSE),"")</f>
        <v>45814.25</v>
      </c>
      <c r="AT161" s="121">
        <f>IFERROR($N161+VLOOKUP($L161,'Voyage days'!$F$540:$H$613,3,FALSE),"")</f>
        <v>45756.25</v>
      </c>
      <c r="AU161" s="120" t="str">
        <f t="shared" si="48"/>
        <v/>
      </c>
      <c r="AV161" s="121" t="str">
        <f>IFERROR($M161+VLOOKUP($L161,'Voyage days'!$L$483:$N$535,3,FALSE),"")</f>
        <v/>
      </c>
      <c r="AW161" s="121" t="str">
        <f>IFERROR($N161+VLOOKUP($L161,'Voyage days'!$L$483:$N$535,3,FALSE),"")</f>
        <v/>
      </c>
      <c r="AX161" s="120" t="str">
        <f t="shared" si="49"/>
        <v>12-15 Apr</v>
      </c>
      <c r="AY161" s="122">
        <f>IFERROR($M161+VLOOKUP($L161,'Voyage days'!$F$620:$H$646,3,FALSE),"")</f>
        <v>45820</v>
      </c>
      <c r="AZ161" s="122">
        <f>IFERROR($N161+VLOOKUP($L161,'Voyage days'!$F$620:$H$646,3,FALSE),"")</f>
        <v>45762</v>
      </c>
      <c r="BA161" s="120" t="str">
        <f t="shared" si="50"/>
        <v>06-16 May</v>
      </c>
      <c r="BB161" s="123">
        <f>IFERROR($M161+VLOOKUP($L161,'Voyage days'!$F$702:$H$727,3,FALSE),"")</f>
        <v>45814.25</v>
      </c>
      <c r="BC161" s="120" t="str">
        <f t="shared" si="51"/>
        <v>13-16 May</v>
      </c>
      <c r="BD161" s="122">
        <f>IFERROR($M161+VLOOKUP($L161,'Voyage days'!$F$807:$H$878,3,FALSE),"")</f>
        <v>45851</v>
      </c>
      <c r="BE161" s="122">
        <f>IFERROR($N161+VLOOKUP($L161,'Voyage days'!$F$807:$H$878,3,FALSE),"")</f>
        <v>45793</v>
      </c>
      <c r="BF161" s="609"/>
      <c r="BG161" s="609"/>
      <c r="BH161" s="609"/>
      <c r="BI161" s="609"/>
      <c r="BJ161" s="609"/>
      <c r="BK161" s="609"/>
      <c r="BL161" s="609"/>
      <c r="BM161" s="609"/>
    </row>
    <row r="162" ht="15.75" customHeight="1">
      <c r="A162" s="164" t="s">
        <v>523</v>
      </c>
      <c r="B162" s="222">
        <v>41275.0</v>
      </c>
      <c r="C162" s="1101">
        <v>83000.0</v>
      </c>
      <c r="D162" s="168" t="s">
        <v>1687</v>
      </c>
      <c r="E162" s="223"/>
      <c r="F162" s="1010"/>
      <c r="G162" s="1011">
        <v>45658.0</v>
      </c>
      <c r="H162" s="1135"/>
      <c r="I162" s="614" t="s">
        <v>901</v>
      </c>
      <c r="J162" s="463" t="s">
        <v>2918</v>
      </c>
      <c r="K162" s="469" t="str">
        <f t="shared" si="52"/>
        <v>Update</v>
      </c>
      <c r="L162" s="172" t="s">
        <v>680</v>
      </c>
      <c r="M162" s="173">
        <v>45789.0</v>
      </c>
      <c r="N162" s="173">
        <v>45790.0</v>
      </c>
      <c r="O162" s="433" t="s">
        <v>70</v>
      </c>
      <c r="P162" s="463"/>
      <c r="Q162" s="463"/>
      <c r="R162" s="172" t="s">
        <v>1394</v>
      </c>
      <c r="S162" s="175" t="s">
        <v>934</v>
      </c>
      <c r="T162" s="176">
        <v>45788.0</v>
      </c>
      <c r="U162" s="177" t="str">
        <f>IF(V162="","No AIS",VLOOKUP(V162,'Voyage days'!$A$3:$B$1480,2,FALSE))</f>
        <v>Panama</v>
      </c>
      <c r="V162" s="178" t="str">
        <f>IF(VLOOKUP(A162,'1) Kpler'!$E$2:$P$1000,8, FALSE)="","",VLOOKUP(A162,'1) Kpler'!$E$2:$P$1000,8, FALSE))</f>
        <v>Panama Canal</v>
      </c>
      <c r="W162" s="179">
        <f>IF(VLOOKUP(A162,'1) Kpler'!$E$2:$P$1000,9,FALSE)="","",VLOOKUP(A162,'1) Kpler'!$E$2:$P$1000,9,FALSE))</f>
        <v>46141.91667</v>
      </c>
      <c r="X162" s="178" t="str">
        <f>VLOOKUP(A162,'1) Kpler'!$E$2:$I$1000,4,FALSE)</f>
        <v>ballast</v>
      </c>
      <c r="Y162" s="120" t="str">
        <f t="shared" si="40"/>
        <v/>
      </c>
      <c r="Z162" s="120" t="str">
        <f t="shared" si="41"/>
        <v/>
      </c>
      <c r="AA162" s="121" t="str">
        <f>IFERROR($M162+VLOOKUP($L162,'Voyage days'!$F$38:$H$89,3,FALSE),"")</f>
        <v/>
      </c>
      <c r="AB162" s="121" t="str">
        <f>IFERROR(N162+VLOOKUP($L162,'Voyage days'!$F$38:$H$89,3,FALSE),"")</f>
        <v/>
      </c>
      <c r="AC162" s="120" t="str">
        <f t="shared" si="42"/>
        <v>12-13 May</v>
      </c>
      <c r="AD162" s="121">
        <f>IFERROR($M162+VLOOKUP($L162,'Voyage days'!$F$94:$H$193,3,FALSE),"")</f>
        <v>45789</v>
      </c>
      <c r="AE162" s="121">
        <f>IFERROR($N162+VLOOKUP($L162,'Voyage days'!$F$94:$H$193,3,FALSE),"")</f>
        <v>45790</v>
      </c>
      <c r="AF162" s="120" t="str">
        <f t="shared" si="43"/>
        <v>12-13 May</v>
      </c>
      <c r="AG162" s="121">
        <f>IFERROR($M162+VLOOKUP($L162,'Voyage days'!$F$203:$H$256,3,FALSE),"")</f>
        <v>45789</v>
      </c>
      <c r="AH162" s="121">
        <f>IFERROR($N162+VLOOKUP($L162,'Voyage days'!$F$203:$H$256,3,FALSE),"")</f>
        <v>45790</v>
      </c>
      <c r="AI162" s="120" t="str">
        <f t="shared" si="44"/>
        <v/>
      </c>
      <c r="AJ162" s="121" t="str">
        <f>IFERROR($M162+VLOOKUP($L162,'Voyage days'!$F$294:$H$377,3,FALSE),"")</f>
        <v/>
      </c>
      <c r="AK162" s="121" t="str">
        <f>IFERROR($N162+VLOOKUP($L162,'Voyage days'!$F$294:$H$377,3,FALSE),"")</f>
        <v/>
      </c>
      <c r="AL162" s="120" t="str">
        <f t="shared" si="45"/>
        <v>01-02 Jun</v>
      </c>
      <c r="AM162" s="121">
        <f>IFERROR($M162+VLOOKUP($L162,'Voyage days'!$F$382:$H$446,3,FALSE),"")</f>
        <v>45809</v>
      </c>
      <c r="AN162" s="121">
        <f>IFERROR($N162+VLOOKUP($L162,'Voyage days'!$F$382:$H$446,3,FALSE),"")</f>
        <v>45810</v>
      </c>
      <c r="AO162" s="120" t="str">
        <f t="shared" si="46"/>
        <v/>
      </c>
      <c r="AP162" s="121" t="str">
        <f>IFERROR($M162+VLOOKUP($L162,'Voyage days'!$F$483:$H$538,3,FALSE),"")</f>
        <v/>
      </c>
      <c r="AQ162" s="121" t="str">
        <f>IFERROR($N162+VLOOKUP($L162,'Voyage days'!$F$483:$H$538,3,FALSE),"")</f>
        <v/>
      </c>
      <c r="AR162" s="120" t="str">
        <f t="shared" si="47"/>
        <v/>
      </c>
      <c r="AS162" s="121" t="str">
        <f>IFERROR($M162+VLOOKUP($L162,'Voyage days'!$F$540:$H$613,3,FALSE),"")</f>
        <v/>
      </c>
      <c r="AT162" s="121" t="str">
        <f>IFERROR($N162+VLOOKUP($L162,'Voyage days'!$F$540:$H$613,3,FALSE),"")</f>
        <v/>
      </c>
      <c r="AU162" s="120" t="str">
        <f t="shared" si="48"/>
        <v/>
      </c>
      <c r="AV162" s="121" t="str">
        <f>IFERROR($M162+VLOOKUP($L162,'Voyage days'!$L$483:$N$535,3,FALSE),"")</f>
        <v/>
      </c>
      <c r="AW162" s="121" t="str">
        <f>IFERROR($N162+VLOOKUP($L162,'Voyage days'!$L$483:$N$535,3,FALSE),"")</f>
        <v/>
      </c>
      <c r="AX162" s="120" t="str">
        <f t="shared" si="49"/>
        <v/>
      </c>
      <c r="AY162" s="122" t="str">
        <f>IFERROR($M162+VLOOKUP($L162,'Voyage days'!$F$620:$H$646,3,FALSE),"")</f>
        <v/>
      </c>
      <c r="AZ162" s="122" t="str">
        <f>IFERROR($N162+VLOOKUP($L162,'Voyage days'!$F$620:$H$646,3,FALSE),"")</f>
        <v/>
      </c>
      <c r="BA162" s="120" t="str">
        <f t="shared" si="50"/>
        <v/>
      </c>
      <c r="BB162" s="123" t="str">
        <f>IFERROR($M162+VLOOKUP($L162,'Voyage days'!$F$702:$H$727,3,FALSE),"")</f>
        <v/>
      </c>
      <c r="BC162" s="120" t="str">
        <f t="shared" si="51"/>
        <v/>
      </c>
      <c r="BD162" s="122" t="str">
        <f>IFERROR($M162+VLOOKUP($L162,'Voyage days'!$F$807:$H$878,3,FALSE),"")</f>
        <v/>
      </c>
      <c r="BE162" s="122" t="str">
        <f>IFERROR($N162+VLOOKUP($L162,'Voyage days'!$F$807:$H$878,3,FALSE),"")</f>
        <v/>
      </c>
      <c r="BF162" s="609"/>
      <c r="BG162" s="609"/>
      <c r="BH162" s="609"/>
      <c r="BI162" s="609"/>
      <c r="BJ162" s="609"/>
      <c r="BK162" s="609"/>
      <c r="BL162" s="609"/>
      <c r="BM162" s="609"/>
    </row>
    <row r="163" ht="15.75" customHeight="1">
      <c r="A163" s="230" t="s">
        <v>94</v>
      </c>
      <c r="B163" s="231">
        <v>2023.0</v>
      </c>
      <c r="C163" s="1098">
        <v>91000.0</v>
      </c>
      <c r="D163" s="234"/>
      <c r="E163" s="233" t="s">
        <v>666</v>
      </c>
      <c r="F163" s="1035"/>
      <c r="G163" s="1105"/>
      <c r="H163" s="1037"/>
      <c r="I163" s="291" t="s">
        <v>919</v>
      </c>
      <c r="J163" s="1037"/>
      <c r="K163" s="470" t="str">
        <f t="shared" si="52"/>
        <v>Update</v>
      </c>
      <c r="L163" s="235" t="s">
        <v>1714</v>
      </c>
      <c r="M163" s="276">
        <v>45797.0</v>
      </c>
      <c r="N163" s="276">
        <v>45798.0</v>
      </c>
      <c r="O163" s="155"/>
      <c r="P163" s="1136"/>
      <c r="Q163" s="278"/>
      <c r="R163" s="235" t="s">
        <v>3065</v>
      </c>
      <c r="S163" s="292" t="s">
        <v>934</v>
      </c>
      <c r="T163" s="420">
        <v>45785.0</v>
      </c>
      <c r="U163" s="114" t="str">
        <f>IF(V163="","No AIS",VLOOKUP(V163,'Voyage days'!$A$3:$B$1480,2,FALSE))</f>
        <v>Singapore</v>
      </c>
      <c r="V163" s="114" t="str">
        <f>IF(VLOOKUP(A163,'1) Kpler'!$E$2:$P$1000,8, FALSE)="","",VLOOKUP(A163,'1) Kpler'!$E$2:$P$1000,8, FALSE))</f>
        <v>Singapore</v>
      </c>
      <c r="W163" s="159">
        <f>IF(VLOOKUP(A163,'1) Kpler'!$E$2:$P$1000,9,FALSE)="","",VLOOKUP(A163,'1) Kpler'!$E$2:$P$1000,9,FALSE))</f>
        <v>46133.66667</v>
      </c>
      <c r="X163" s="114" t="str">
        <f>VLOOKUP(A163,'1) Kpler'!$E$2:$I$1000,4,FALSE)</f>
        <v>ballast</v>
      </c>
      <c r="Y163" s="296" t="str">
        <f t="shared" si="40"/>
        <v>10-11 Jun</v>
      </c>
      <c r="Z163" s="163" t="str">
        <f t="shared" si="41"/>
        <v>10-11 Jun</v>
      </c>
      <c r="AA163" s="122">
        <f>IFERROR($M163+VLOOKUP($L163,'Voyage days'!$F$38:$H$89,3,FALSE),"")</f>
        <v>45818</v>
      </c>
      <c r="AB163" s="122">
        <f>IFERROR(N163+VLOOKUP($L163,'Voyage days'!$F$38:$H$89,3,FALSE),"")</f>
        <v>45819</v>
      </c>
      <c r="AC163" s="163" t="str">
        <f t="shared" si="42"/>
        <v>20-21 Jun</v>
      </c>
      <c r="AD163" s="122">
        <f>IFERROR($M163+VLOOKUP($L163,'Voyage days'!$F$94:$H$193,3,FALSE),"")</f>
        <v>45828</v>
      </c>
      <c r="AE163" s="122">
        <f>IFERROR($N163+VLOOKUP($L163,'Voyage days'!$F$94:$H$193,3,FALSE),"")</f>
        <v>45829</v>
      </c>
      <c r="AF163" s="163" t="str">
        <f t="shared" si="43"/>
        <v>27-28 Jun</v>
      </c>
      <c r="AG163" s="122">
        <f>IFERROR($M163+VLOOKUP($L163,'Voyage days'!$F$203:$H$256,3,FALSE),"")</f>
        <v>45835</v>
      </c>
      <c r="AH163" s="122">
        <f>IFERROR($N163+VLOOKUP($L163,'Voyage days'!$F$203:$H$256,3,FALSE),"")</f>
        <v>45836</v>
      </c>
      <c r="AI163" s="163" t="str">
        <f t="shared" si="44"/>
        <v>16-17 Jun</v>
      </c>
      <c r="AJ163" s="122">
        <f>IFERROR($M163+VLOOKUP($L163,'Voyage days'!$F$294:$H$377,3,FALSE),"")</f>
        <v>45824</v>
      </c>
      <c r="AK163" s="122">
        <f>IFERROR($N163+VLOOKUP($L163,'Voyage days'!$F$294:$H$377,3,FALSE),"")</f>
        <v>45825</v>
      </c>
      <c r="AL163" s="163" t="str">
        <f t="shared" si="45"/>
        <v>20-21 Jun</v>
      </c>
      <c r="AM163" s="122">
        <f>IFERROR($M163+VLOOKUP($L163,'Voyage days'!$F$382:$H$446,3,FALSE),"")</f>
        <v>45828</v>
      </c>
      <c r="AN163" s="122">
        <f>IFERROR($N163+VLOOKUP($L163,'Voyage days'!$F$382:$H$446,3,FALSE),"")</f>
        <v>45829</v>
      </c>
      <c r="AO163" s="163" t="str">
        <f t="shared" si="46"/>
        <v>22-23 May</v>
      </c>
      <c r="AP163" s="122">
        <f>IFERROR($M163+VLOOKUP($L163,'Voyage days'!$F$483:$H$538,3,FALSE),"")</f>
        <v>45799</v>
      </c>
      <c r="AQ163" s="122">
        <f>IFERROR($N163+VLOOKUP($L163,'Voyage days'!$F$483:$H$538,3,FALSE),"")</f>
        <v>45800</v>
      </c>
      <c r="AR163" s="163" t="str">
        <f t="shared" si="47"/>
        <v>27-28 May</v>
      </c>
      <c r="AS163" s="122">
        <f>IFERROR($M163+VLOOKUP($L163,'Voyage days'!$F$540:$H$613,3,FALSE),"")</f>
        <v>45804</v>
      </c>
      <c r="AT163" s="122">
        <f>IFERROR($N163+VLOOKUP($L163,'Voyage days'!$F$540:$H$613,3,FALSE),"")</f>
        <v>45805</v>
      </c>
      <c r="AU163" s="163" t="str">
        <f t="shared" si="48"/>
        <v/>
      </c>
      <c r="AV163" s="122" t="str">
        <f>IFERROR($M163+VLOOKUP($L163,'Voyage days'!$L$483:$N$535,3,FALSE),"")</f>
        <v/>
      </c>
      <c r="AW163" s="122" t="str">
        <f>IFERROR($N163+VLOOKUP($L163,'Voyage days'!$L$483:$N$535,3,FALSE),"")</f>
        <v/>
      </c>
      <c r="AX163" s="163" t="str">
        <f t="shared" si="49"/>
        <v/>
      </c>
      <c r="AY163" s="122" t="str">
        <f>IFERROR($M163+VLOOKUP($L163,'Voyage days'!$F$620:$H$646,3,FALSE),"")</f>
        <v/>
      </c>
      <c r="AZ163" s="122" t="str">
        <f>IFERROR($N163+VLOOKUP($L163,'Voyage days'!$F$620:$H$646,3,FALSE),"")</f>
        <v/>
      </c>
      <c r="BA163" s="163" t="str">
        <f t="shared" si="50"/>
        <v>27-01 Jul</v>
      </c>
      <c r="BB163" s="123">
        <f>IFERROR($M163+VLOOKUP($L163,'Voyage days'!$F$702:$H$727,3,FALSE),"")</f>
        <v>45804</v>
      </c>
      <c r="BC163" s="163" t="str">
        <f t="shared" si="51"/>
        <v>30-01 Jul</v>
      </c>
      <c r="BD163" s="122">
        <f>IFERROR($M163+VLOOKUP($L163,'Voyage days'!$F$807:$H$878,3,FALSE),"")</f>
        <v>45838</v>
      </c>
      <c r="BE163" s="122">
        <f>IFERROR($N163+VLOOKUP($L163,'Voyage days'!$F$807:$H$878,3,FALSE),"")</f>
        <v>45839</v>
      </c>
      <c r="BF163" s="609"/>
      <c r="BG163" s="609"/>
      <c r="BH163" s="609"/>
      <c r="BI163" s="609"/>
      <c r="BJ163" s="609"/>
      <c r="BK163" s="609"/>
      <c r="BL163" s="609"/>
      <c r="BM163" s="609"/>
    </row>
    <row r="164" ht="15.0" customHeight="1">
      <c r="A164" s="341" t="s">
        <v>922</v>
      </c>
      <c r="B164" s="101">
        <v>42674.0</v>
      </c>
      <c r="C164" s="1045">
        <v>84000.0</v>
      </c>
      <c r="D164" s="104" t="s">
        <v>1687</v>
      </c>
      <c r="E164" s="103" t="s">
        <v>666</v>
      </c>
      <c r="F164" s="1137">
        <v>44470.0</v>
      </c>
      <c r="G164" s="103" t="s">
        <v>1611</v>
      </c>
      <c r="H164" s="1130"/>
      <c r="I164" s="185" t="s">
        <v>919</v>
      </c>
      <c r="J164" s="111" t="s">
        <v>2935</v>
      </c>
      <c r="K164" s="336" t="str">
        <f t="shared" si="52"/>
        <v>Update</v>
      </c>
      <c r="L164" s="108" t="s">
        <v>680</v>
      </c>
      <c r="M164" s="109">
        <v>45821.0</v>
      </c>
      <c r="N164" s="109">
        <v>45822.0</v>
      </c>
      <c r="O164" s="191"/>
      <c r="P164" s="108"/>
      <c r="Q164" s="153"/>
      <c r="R164" s="153" t="s">
        <v>3066</v>
      </c>
      <c r="S164" s="112" t="s">
        <v>934</v>
      </c>
      <c r="T164" s="113">
        <v>45785.0</v>
      </c>
      <c r="U164" s="114" t="str">
        <f>IF(V164="","No AIS",VLOOKUP(V164,'Voyage days'!$A$3:$B$1480,2,FALSE))</f>
        <v>Indo + 4 (STS)</v>
      </c>
      <c r="V164" s="115" t="str">
        <f>IF(VLOOKUP(A164,'1) Kpler'!$E$2:$P$1000,8, FALSE)="","",VLOOKUP(A164,'1) Kpler'!$E$2:$P$1000,8, FALSE))</f>
        <v>Kalbut</v>
      </c>
      <c r="W164" s="116">
        <f>IF(VLOOKUP(A164,'1) Kpler'!$E$2:$P$1000,9,FALSE)="","",VLOOKUP(A164,'1) Kpler'!$E$2:$P$1000,9,FALSE))</f>
        <v>46148.20833</v>
      </c>
      <c r="X164" s="115" t="str">
        <f>VLOOKUP(A164,'1) Kpler'!$E$2:$I$1000,4,FALSE)</f>
        <v>loaded</v>
      </c>
      <c r="Y164" s="160" t="str">
        <f t="shared" si="40"/>
        <v/>
      </c>
      <c r="Z164" s="120" t="str">
        <f t="shared" si="41"/>
        <v/>
      </c>
      <c r="AA164" s="121" t="str">
        <f>IFERROR($M164+VLOOKUP($L164,'Voyage days'!$F$38:$H$89,3,FALSE),"")</f>
        <v/>
      </c>
      <c r="AB164" s="121" t="str">
        <f>IFERROR(N164+VLOOKUP($L164,'Voyage days'!$F$38:$H$89,3,FALSE),"")</f>
        <v/>
      </c>
      <c r="AC164" s="120" t="str">
        <f t="shared" si="42"/>
        <v>13-14 Jun</v>
      </c>
      <c r="AD164" s="121">
        <f>IFERROR($M164+VLOOKUP($L164,'Voyage days'!$F$94:$H$193,3,FALSE),"")</f>
        <v>45821</v>
      </c>
      <c r="AE164" s="121">
        <f>IFERROR($N164+VLOOKUP($L164,'Voyage days'!$F$94:$H$193,3,FALSE),"")</f>
        <v>45822</v>
      </c>
      <c r="AF164" s="120" t="str">
        <f t="shared" si="43"/>
        <v>13-14 Jun</v>
      </c>
      <c r="AG164" s="121">
        <f>IFERROR($M164+VLOOKUP($L164,'Voyage days'!$F$203:$H$256,3,FALSE),"")</f>
        <v>45821</v>
      </c>
      <c r="AH164" s="121">
        <f>IFERROR($N164+VLOOKUP($L164,'Voyage days'!$F$203:$H$256,3,FALSE),"")</f>
        <v>45822</v>
      </c>
      <c r="AI164" s="120" t="str">
        <f t="shared" si="44"/>
        <v/>
      </c>
      <c r="AJ164" s="121" t="str">
        <f>IFERROR($M164+VLOOKUP($L164,'Voyage days'!$F$294:$H$377,3,FALSE),"")</f>
        <v/>
      </c>
      <c r="AK164" s="121" t="str">
        <f>IFERROR($N164+VLOOKUP($L164,'Voyage days'!$F$294:$H$377,3,FALSE),"")</f>
        <v/>
      </c>
      <c r="AL164" s="120" t="str">
        <f t="shared" si="45"/>
        <v>03-04 Jul</v>
      </c>
      <c r="AM164" s="121">
        <f>IFERROR($M164+VLOOKUP($L164,'Voyage days'!$F$382:$H$446,3,FALSE),"")</f>
        <v>45841</v>
      </c>
      <c r="AN164" s="121">
        <f>IFERROR($N164+VLOOKUP($L164,'Voyage days'!$F$382:$H$446,3,FALSE),"")</f>
        <v>45842</v>
      </c>
      <c r="AO164" s="120" t="str">
        <f t="shared" si="46"/>
        <v/>
      </c>
      <c r="AP164" s="121" t="str">
        <f>IFERROR($M164+VLOOKUP($L164,'Voyage days'!$F$483:$H$538,3,FALSE),"")</f>
        <v/>
      </c>
      <c r="AQ164" s="121" t="str">
        <f>IFERROR($N164+VLOOKUP($L164,'Voyage days'!$F$483:$H$538,3,FALSE),"")</f>
        <v/>
      </c>
      <c r="AR164" s="120" t="str">
        <f t="shared" si="47"/>
        <v/>
      </c>
      <c r="AS164" s="121" t="str">
        <f>IFERROR($M164+VLOOKUP($L164,'Voyage days'!$F$540:$H$613,3,FALSE),"")</f>
        <v/>
      </c>
      <c r="AT164" s="121" t="str">
        <f>IFERROR($N164+VLOOKUP($L164,'Voyage days'!$F$540:$H$613,3,FALSE),"")</f>
        <v/>
      </c>
      <c r="AU164" s="120" t="str">
        <f t="shared" si="48"/>
        <v/>
      </c>
      <c r="AV164" s="121" t="str">
        <f>IFERROR($M164+VLOOKUP($L164,'Voyage days'!$L$483:$N$535,3,FALSE),"")</f>
        <v/>
      </c>
      <c r="AW164" s="121" t="str">
        <f>IFERROR($N164+VLOOKUP($L164,'Voyage days'!$L$483:$N$535,3,FALSE),"")</f>
        <v/>
      </c>
      <c r="AX164" s="120" t="str">
        <f t="shared" si="49"/>
        <v/>
      </c>
      <c r="AY164" s="122" t="str">
        <f>IFERROR($M164+VLOOKUP($L164,'Voyage days'!$F$620:$H$646,3,FALSE),"")</f>
        <v/>
      </c>
      <c r="AZ164" s="122" t="str">
        <f>IFERROR($N164+VLOOKUP($L164,'Voyage days'!$F$620:$H$646,3,FALSE),"")</f>
        <v/>
      </c>
      <c r="BA164" s="120" t="str">
        <f t="shared" si="50"/>
        <v/>
      </c>
      <c r="BB164" s="123" t="str">
        <f>IFERROR($M164+VLOOKUP($L164,'Voyage days'!$F$702:$H$727,3,FALSE),"")</f>
        <v/>
      </c>
      <c r="BC164" s="120" t="str">
        <f t="shared" si="51"/>
        <v/>
      </c>
      <c r="BD164" s="122" t="str">
        <f>IFERROR($M164+VLOOKUP($L164,'Voyage days'!$F$807:$H$878,3,FALSE),"")</f>
        <v/>
      </c>
      <c r="BE164" s="122" t="str">
        <f>IFERROR($N164+VLOOKUP($L164,'Voyage days'!$F$807:$H$878,3,FALSE),"")</f>
        <v/>
      </c>
      <c r="BF164" s="609"/>
      <c r="BG164" s="609"/>
      <c r="BH164" s="609"/>
      <c r="BI164" s="609"/>
      <c r="BJ164" s="609"/>
      <c r="BK164" s="609"/>
      <c r="BL164" s="609"/>
      <c r="BM164" s="609"/>
    </row>
    <row r="165" ht="15.75" customHeight="1">
      <c r="A165" s="100" t="s">
        <v>925</v>
      </c>
      <c r="B165" s="101">
        <v>42741.0</v>
      </c>
      <c r="C165" s="1045">
        <v>84000.0</v>
      </c>
      <c r="D165" s="104" t="s">
        <v>1687</v>
      </c>
      <c r="E165" s="103" t="s">
        <v>666</v>
      </c>
      <c r="F165" s="604"/>
      <c r="G165" s="103" t="s">
        <v>1611</v>
      </c>
      <c r="H165" s="1138"/>
      <c r="I165" s="185" t="s">
        <v>919</v>
      </c>
      <c r="J165" s="111" t="s">
        <v>2935</v>
      </c>
      <c r="K165" s="336" t="str">
        <f t="shared" si="52"/>
        <v>Update</v>
      </c>
      <c r="L165" s="108" t="s">
        <v>1231</v>
      </c>
      <c r="M165" s="1139">
        <v>45804.0</v>
      </c>
      <c r="N165" s="109">
        <v>45806.0</v>
      </c>
      <c r="O165" s="110"/>
      <c r="P165" s="185"/>
      <c r="Q165" s="185"/>
      <c r="R165" s="185"/>
      <c r="S165" s="112" t="s">
        <v>2962</v>
      </c>
      <c r="T165" s="113">
        <v>45784.0</v>
      </c>
      <c r="U165" s="114" t="str">
        <f>IF(V165="","No AIS",VLOOKUP(V165,'Voyage days'!$A$3:$B$1480,2,FALSE))</f>
        <v>USG</v>
      </c>
      <c r="V165" s="115" t="str">
        <f>IF(VLOOKUP(A165,'1) Kpler'!$E$2:$P$1000,8, FALSE)="","",VLOOKUP(A165,'1) Kpler'!$E$2:$P$1000,8, FALSE))</f>
        <v>Energy Transfer Nederland</v>
      </c>
      <c r="W165" s="116">
        <f>IF(VLOOKUP(A165,'1) Kpler'!$E$2:$P$1000,9,FALSE)="","",VLOOKUP(A165,'1) Kpler'!$E$2:$P$1000,9,FALSE))</f>
        <v>46138.375</v>
      </c>
      <c r="X165" s="115" t="str">
        <f>VLOOKUP(A165,'1) Kpler'!$E$2:$I$1000,4,FALSE)</f>
        <v>ballast</v>
      </c>
      <c r="Y165" s="117" t="str">
        <f t="shared" si="40"/>
        <v>05-07 Jun</v>
      </c>
      <c r="Z165" s="120" t="str">
        <f t="shared" si="41"/>
        <v>05-07 Jun</v>
      </c>
      <c r="AA165" s="121">
        <f>IFERROR($M165+VLOOKUP($L165,'Voyage days'!$F$38:$H$89,3,FALSE),"")</f>
        <v>45813</v>
      </c>
      <c r="AB165" s="121">
        <f>IFERROR(N165+VLOOKUP($L165,'Voyage days'!$F$38:$H$89,3,FALSE),"")</f>
        <v>45815</v>
      </c>
      <c r="AC165" s="120" t="str">
        <f t="shared" si="42"/>
        <v/>
      </c>
      <c r="AD165" s="121" t="str">
        <f>IFERROR($M165+VLOOKUP($L165,'Voyage days'!$F$94:$H$193,3,FALSE),"")</f>
        <v/>
      </c>
      <c r="AE165" s="121" t="str">
        <f>IFERROR($N165+VLOOKUP($L165,'Voyage days'!$F$94:$H$193,3,FALSE),"")</f>
        <v/>
      </c>
      <c r="AF165" s="120" t="str">
        <f t="shared" si="43"/>
        <v>02-04 Jul</v>
      </c>
      <c r="AG165" s="121">
        <f>IFERROR($M165+VLOOKUP($L165,'Voyage days'!$F$203:$H$256,3,FALSE),"")</f>
        <v>45840</v>
      </c>
      <c r="AH165" s="121">
        <f>IFERROR($N165+VLOOKUP($L165,'Voyage days'!$F$203:$H$256,3,FALSE),"")</f>
        <v>45842</v>
      </c>
      <c r="AI165" s="120" t="str">
        <f t="shared" si="44"/>
        <v>17-19 Jun</v>
      </c>
      <c r="AJ165" s="121">
        <f>IFERROR($M165+VLOOKUP($L165,'Voyage days'!$F$294:$H$377,3,FALSE),"")</f>
        <v>45825</v>
      </c>
      <c r="AK165" s="121">
        <f>IFERROR($N165+VLOOKUP($L165,'Voyage days'!$F$294:$H$377,3,FALSE),"")</f>
        <v>45827</v>
      </c>
      <c r="AL165" s="120" t="str">
        <f t="shared" si="45"/>
        <v>24-26 Jun</v>
      </c>
      <c r="AM165" s="121">
        <f>IFERROR($M165+VLOOKUP($L165,'Voyage days'!$F$382:$H$446,3,FALSE),"")</f>
        <v>45832</v>
      </c>
      <c r="AN165" s="121">
        <f>IFERROR($N165+VLOOKUP($L165,'Voyage days'!$F$382:$H$446,3,FALSE),"")</f>
        <v>45834</v>
      </c>
      <c r="AO165" s="120" t="str">
        <f t="shared" si="46"/>
        <v>27-29 May</v>
      </c>
      <c r="AP165" s="121">
        <f>IFERROR($M165+VLOOKUP($L165,'Voyage days'!$F$483:$H$538,3,FALSE),"")</f>
        <v>45804</v>
      </c>
      <c r="AQ165" s="121">
        <f>IFERROR($N165+VLOOKUP($L165,'Voyage days'!$F$483:$H$538,3,FALSE),"")</f>
        <v>45806</v>
      </c>
      <c r="AR165" s="120" t="str">
        <f t="shared" si="47"/>
        <v/>
      </c>
      <c r="AS165" s="121" t="str">
        <f>IFERROR($M165+VLOOKUP($L165,'Voyage days'!$F$540:$H$613,3,FALSE),"")</f>
        <v/>
      </c>
      <c r="AT165" s="121" t="str">
        <f>IFERROR($N165+VLOOKUP($L165,'Voyage days'!$F$540:$H$613,3,FALSE),"")</f>
        <v/>
      </c>
      <c r="AU165" s="120" t="str">
        <f t="shared" si="48"/>
        <v/>
      </c>
      <c r="AV165" s="121" t="str">
        <f>IFERROR($M165+VLOOKUP($L165,'Voyage days'!$L$483:$N$535,3,FALSE),"")</f>
        <v/>
      </c>
      <c r="AW165" s="121" t="str">
        <f>IFERROR($N165+VLOOKUP($L165,'Voyage days'!$L$483:$N$535,3,FALSE),"")</f>
        <v/>
      </c>
      <c r="AX165" s="120" t="str">
        <f t="shared" si="49"/>
        <v/>
      </c>
      <c r="AY165" s="122" t="str">
        <f>IFERROR($M165+VLOOKUP($L165,'Voyage days'!$F$620:$H$646,3,FALSE),"")</f>
        <v/>
      </c>
      <c r="AZ165" s="122" t="str">
        <f>IFERROR($N165+VLOOKUP($L165,'Voyage days'!$F$620:$H$646,3,FALSE),"")</f>
        <v/>
      </c>
      <c r="BA165" s="120" t="str">
        <f t="shared" si="50"/>
        <v/>
      </c>
      <c r="BB165" s="123" t="str">
        <f>IFERROR($M165+VLOOKUP($L165,'Voyage days'!$F$702:$H$727,3,FALSE),"")</f>
        <v/>
      </c>
      <c r="BC165" s="120" t="str">
        <f t="shared" si="51"/>
        <v>04-06 Jul</v>
      </c>
      <c r="BD165" s="122">
        <f>IFERROR($M165+VLOOKUP($L165,'Voyage days'!$F$807:$H$878,3,FALSE),"")</f>
        <v>45842</v>
      </c>
      <c r="BE165" s="122">
        <f>IFERROR($N165+VLOOKUP($L165,'Voyage days'!$F$807:$H$878,3,FALSE),"")</f>
        <v>45844</v>
      </c>
      <c r="BF165" s="609"/>
      <c r="BG165" s="609"/>
      <c r="BH165" s="609"/>
      <c r="BI165" s="609"/>
      <c r="BJ165" s="609"/>
      <c r="BK165" s="609"/>
      <c r="BL165" s="609"/>
      <c r="BM165" s="609"/>
    </row>
    <row r="166" ht="16.5" customHeight="1">
      <c r="A166" s="100" t="s">
        <v>3067</v>
      </c>
      <c r="B166" s="101">
        <v>42326.0</v>
      </c>
      <c r="C166" s="1045">
        <v>84000.0</v>
      </c>
      <c r="D166" s="104" t="s">
        <v>1687</v>
      </c>
      <c r="E166" s="103"/>
      <c r="F166" s="604">
        <v>44185.0</v>
      </c>
      <c r="G166" s="605">
        <v>46419.0</v>
      </c>
      <c r="H166" s="103"/>
      <c r="I166" s="185" t="s">
        <v>919</v>
      </c>
      <c r="J166" s="111" t="s">
        <v>1080</v>
      </c>
      <c r="K166" s="336" t="str">
        <f t="shared" si="52"/>
        <v>#N/A</v>
      </c>
      <c r="L166" s="108" t="s">
        <v>1031</v>
      </c>
      <c r="M166" s="337">
        <v>45802.0</v>
      </c>
      <c r="N166" s="337">
        <v>45803.0</v>
      </c>
      <c r="O166" s="191"/>
      <c r="P166" s="108"/>
      <c r="Q166" s="153"/>
      <c r="R166" s="153" t="s">
        <v>3068</v>
      </c>
      <c r="S166" s="112" t="s">
        <v>934</v>
      </c>
      <c r="T166" s="113">
        <v>45785.0</v>
      </c>
      <c r="U166" s="114" t="str">
        <f>IF(V166="","No AIS",VLOOKUP(V166,'Voyage days'!$A$3:$B$1480,2,FALSE))</f>
        <v>#N/A</v>
      </c>
      <c r="V166" s="115" t="str">
        <f>IF(VLOOKUP(A166,'1) Kpler'!$E$2:$P$1000,8, FALSE)="","",VLOOKUP(A166,'1) Kpler'!$E$2:$P$1000,8, FALSE))</f>
        <v>#N/A</v>
      </c>
      <c r="W166" s="116" t="str">
        <f>IF(VLOOKUP(A166,'1) Kpler'!$E$2:$P$1000,9,FALSE)="","",VLOOKUP(A166,'1) Kpler'!$E$2:$P$1000,9,FALSE))</f>
        <v>#N/A</v>
      </c>
      <c r="X166" s="115" t="str">
        <f>VLOOKUP(A166,'1) Kpler'!$E$2:$I$1000,4,FALSE)</f>
        <v>#N/A</v>
      </c>
      <c r="Y166" s="160" t="str">
        <f t="shared" si="40"/>
        <v>25-26 May</v>
      </c>
      <c r="Z166" s="120" t="str">
        <f t="shared" si="41"/>
        <v>25-26 May</v>
      </c>
      <c r="AA166" s="121">
        <f>IFERROR($M166+VLOOKUP($L166,'Voyage days'!$F$38:$H$89,3,FALSE),"")</f>
        <v>45802</v>
      </c>
      <c r="AB166" s="121">
        <f>IFERROR(N166+VLOOKUP($L166,'Voyage days'!$F$38:$H$89,3,FALSE),"")</f>
        <v>45803</v>
      </c>
      <c r="AC166" s="120" t="str">
        <f t="shared" si="42"/>
        <v/>
      </c>
      <c r="AD166" s="121" t="str">
        <f>IFERROR($M166+VLOOKUP($L166,'Voyage days'!$F$94:$H$193,3,FALSE),"")</f>
        <v/>
      </c>
      <c r="AE166" s="121" t="str">
        <f>IFERROR($N166+VLOOKUP($L166,'Voyage days'!$F$94:$H$193,3,FALSE),"")</f>
        <v/>
      </c>
      <c r="AF166" s="120" t="str">
        <f t="shared" si="43"/>
        <v/>
      </c>
      <c r="AG166" s="121" t="str">
        <f>IFERROR($M166+VLOOKUP($L166,'Voyage days'!$F$203:$H$256,3,FALSE),"")</f>
        <v/>
      </c>
      <c r="AH166" s="121" t="str">
        <f>IFERROR($N166+VLOOKUP($L166,'Voyage days'!$F$203:$H$256,3,FALSE),"")</f>
        <v/>
      </c>
      <c r="AI166" s="120" t="str">
        <f t="shared" si="44"/>
        <v/>
      </c>
      <c r="AJ166" s="121" t="str">
        <f>IFERROR($M166+VLOOKUP($L166,'Voyage days'!$F$294:$H$377,3,FALSE),"")</f>
        <v/>
      </c>
      <c r="AK166" s="121" t="str">
        <f>IFERROR($N166+VLOOKUP($L166,'Voyage days'!$F$294:$H$377,3,FALSE),"")</f>
        <v/>
      </c>
      <c r="AL166" s="120" t="str">
        <f t="shared" si="45"/>
        <v/>
      </c>
      <c r="AM166" s="121" t="str">
        <f>IFERROR($M166+VLOOKUP($L166,'Voyage days'!$F$382:$H$446,3,FALSE),"")</f>
        <v/>
      </c>
      <c r="AN166" s="121" t="str">
        <f>IFERROR($N166+VLOOKUP($L166,'Voyage days'!$F$382:$H$446,3,FALSE),"")</f>
        <v/>
      </c>
      <c r="AO166" s="120" t="str">
        <f t="shared" si="46"/>
        <v/>
      </c>
      <c r="AP166" s="121" t="str">
        <f>IFERROR($M166+VLOOKUP($L166,'Voyage days'!$F$483:$H$538,3,FALSE),"")</f>
        <v/>
      </c>
      <c r="AQ166" s="121" t="str">
        <f>IFERROR($N166+VLOOKUP($L166,'Voyage days'!$F$483:$H$538,3,FALSE),"")</f>
        <v/>
      </c>
      <c r="AR166" s="120" t="str">
        <f t="shared" si="47"/>
        <v>13-14 Jun</v>
      </c>
      <c r="AS166" s="121">
        <f>IFERROR($M166+VLOOKUP($L166,'Voyage days'!$F$540:$H$613,3,FALSE),"")</f>
        <v>45821</v>
      </c>
      <c r="AT166" s="121">
        <f>IFERROR($N166+VLOOKUP($L166,'Voyage days'!$F$540:$H$613,3,FALSE),"")</f>
        <v>45822</v>
      </c>
      <c r="AU166" s="120" t="str">
        <f t="shared" si="48"/>
        <v/>
      </c>
      <c r="AV166" s="121" t="str">
        <f>IFERROR($M166+VLOOKUP($L166,'Voyage days'!$L$483:$N$535,3,FALSE),"")</f>
        <v/>
      </c>
      <c r="AW166" s="121" t="str">
        <f>IFERROR($N166+VLOOKUP($L166,'Voyage days'!$L$483:$N$535,3,FALSE),"")</f>
        <v/>
      </c>
      <c r="AX166" s="120" t="str">
        <f t="shared" si="49"/>
        <v/>
      </c>
      <c r="AY166" s="122" t="str">
        <f>IFERROR($M166+VLOOKUP($L166,'Voyage days'!$F$620:$H$646,3,FALSE),"")</f>
        <v/>
      </c>
      <c r="AZ166" s="122" t="str">
        <f>IFERROR($N166+VLOOKUP($L166,'Voyage days'!$F$620:$H$646,3,FALSE),"")</f>
        <v/>
      </c>
      <c r="BA166" s="120" t="str">
        <f t="shared" si="50"/>
        <v/>
      </c>
      <c r="BB166" s="123" t="str">
        <f>IFERROR($M166+VLOOKUP($L166,'Voyage days'!$F$702:$H$727,3,FALSE),"")</f>
        <v/>
      </c>
      <c r="BC166" s="120" t="str">
        <f t="shared" si="51"/>
        <v>25-26 May</v>
      </c>
      <c r="BD166" s="122">
        <f>IFERROR($M166+VLOOKUP($L166,'Voyage days'!$F$807:$H$878,3,FALSE),"")</f>
        <v>45802</v>
      </c>
      <c r="BE166" s="122">
        <f>IFERROR($N166+VLOOKUP($L166,'Voyage days'!$F$807:$H$878,3,FALSE),"")</f>
        <v>45803</v>
      </c>
      <c r="BF166" s="609"/>
      <c r="BG166" s="609"/>
      <c r="BH166" s="609"/>
      <c r="BI166" s="609"/>
      <c r="BJ166" s="609"/>
      <c r="BK166" s="609"/>
      <c r="BL166" s="609"/>
      <c r="BM166" s="609"/>
    </row>
    <row r="167" ht="15.75" customHeight="1">
      <c r="A167" s="80" t="s">
        <v>497</v>
      </c>
      <c r="B167" s="148">
        <v>2023.0</v>
      </c>
      <c r="C167" s="1045">
        <v>87000.0</v>
      </c>
      <c r="D167" s="104"/>
      <c r="E167" s="103"/>
      <c r="F167" s="604"/>
      <c r="G167" s="605"/>
      <c r="H167" s="103"/>
      <c r="I167" s="185" t="s">
        <v>919</v>
      </c>
      <c r="J167" s="111"/>
      <c r="K167" s="336" t="str">
        <f t="shared" si="52"/>
        <v>Update</v>
      </c>
      <c r="L167" s="108" t="s">
        <v>720</v>
      </c>
      <c r="M167" s="109">
        <v>45791.0</v>
      </c>
      <c r="N167" s="1139">
        <v>45793.0</v>
      </c>
      <c r="O167" s="110"/>
      <c r="P167" s="185"/>
      <c r="Q167" s="1140"/>
      <c r="R167" s="104"/>
      <c r="S167" s="112" t="s">
        <v>2962</v>
      </c>
      <c r="T167" s="113">
        <v>45784.0</v>
      </c>
      <c r="U167" s="114" t="str">
        <f>IF(V167="","No AIS",VLOOKUP(V167,'Voyage days'!$A$3:$B$1480,2,FALSE))</f>
        <v>Panama</v>
      </c>
      <c r="V167" s="115" t="str">
        <f>IF(VLOOKUP(A167,'1) Kpler'!$E$2:$P$1000,8, FALSE)="","",VLOOKUP(A167,'1) Kpler'!$E$2:$P$1000,8, FALSE))</f>
        <v>Panama Canal</v>
      </c>
      <c r="W167" s="116">
        <f>IF(VLOOKUP(A167,'1) Kpler'!$E$2:$P$1000,9,FALSE)="","",VLOOKUP(A167,'1) Kpler'!$E$2:$P$1000,9,FALSE))</f>
        <v>46132.48681</v>
      </c>
      <c r="X167" s="115" t="str">
        <f>VLOOKUP(A167,'1) Kpler'!$E$2:$I$1000,4,FALSE)</f>
        <v>ballast</v>
      </c>
      <c r="Y167" s="117" t="str">
        <f t="shared" si="40"/>
        <v>01-03 Jun</v>
      </c>
      <c r="Z167" s="120" t="str">
        <f t="shared" si="41"/>
        <v>01-03 Jun</v>
      </c>
      <c r="AA167" s="121">
        <f>IFERROR($M167+VLOOKUP($L167,'Voyage days'!$F$38:$H$89,3,FALSE),"")</f>
        <v>45809</v>
      </c>
      <c r="AB167" s="121">
        <f>IFERROR(N167+VLOOKUP($L167,'Voyage days'!$F$38:$H$89,3,FALSE),"")</f>
        <v>45811</v>
      </c>
      <c r="AC167" s="120" t="str">
        <f t="shared" si="42"/>
        <v>17-19 Jun</v>
      </c>
      <c r="AD167" s="121">
        <f>IFERROR($M167+VLOOKUP($L167,'Voyage days'!$F$94:$H$193,3,FALSE),"")</f>
        <v>45825</v>
      </c>
      <c r="AE167" s="121">
        <f>IFERROR($N167+VLOOKUP($L167,'Voyage days'!$F$94:$H$193,3,FALSE),"")</f>
        <v>45827</v>
      </c>
      <c r="AF167" s="120" t="str">
        <f t="shared" si="43"/>
        <v>24-26 Jun</v>
      </c>
      <c r="AG167" s="121">
        <f>IFERROR($M167+VLOOKUP($L167,'Voyage days'!$F$203:$H$256,3,FALSE),"")</f>
        <v>45832</v>
      </c>
      <c r="AH167" s="121">
        <f>IFERROR($N167+VLOOKUP($L167,'Voyage days'!$F$203:$H$256,3,FALSE),"")</f>
        <v>45834</v>
      </c>
      <c r="AI167" s="120" t="str">
        <f t="shared" si="44"/>
        <v>12-14 Jun</v>
      </c>
      <c r="AJ167" s="121">
        <f>IFERROR($M167+VLOOKUP($L167,'Voyage days'!$F$294:$H$377,3,FALSE),"")</f>
        <v>45820</v>
      </c>
      <c r="AK167" s="121">
        <f>IFERROR($N167+VLOOKUP($L167,'Voyage days'!$F$294:$H$377,3,FALSE),"")</f>
        <v>45822</v>
      </c>
      <c r="AL167" s="120" t="str">
        <f t="shared" si="45"/>
        <v>18-20 Jun</v>
      </c>
      <c r="AM167" s="121">
        <f>IFERROR($M167+VLOOKUP($L167,'Voyage days'!$F$382:$H$446,3,FALSE),"")</f>
        <v>45826</v>
      </c>
      <c r="AN167" s="121">
        <f>IFERROR($N167+VLOOKUP($L167,'Voyage days'!$F$382:$H$446,3,FALSE),"")</f>
        <v>45828</v>
      </c>
      <c r="AO167" s="120" t="str">
        <f t="shared" si="46"/>
        <v>28-30 May</v>
      </c>
      <c r="AP167" s="121">
        <f>IFERROR($M167+VLOOKUP($L167,'Voyage days'!$F$483:$H$538,3,FALSE),"")</f>
        <v>45805</v>
      </c>
      <c r="AQ167" s="121">
        <f>IFERROR($N167+VLOOKUP($L167,'Voyage days'!$F$483:$H$538,3,FALSE),"")</f>
        <v>45807</v>
      </c>
      <c r="AR167" s="120" t="str">
        <f t="shared" si="47"/>
        <v>22-24 May</v>
      </c>
      <c r="AS167" s="121">
        <f>IFERROR($M167+VLOOKUP($L167,'Voyage days'!$F$540:$H$613,3,FALSE),"")</f>
        <v>45799</v>
      </c>
      <c r="AT167" s="121">
        <f>IFERROR($N167+VLOOKUP($L167,'Voyage days'!$F$540:$H$613,3,FALSE),"")</f>
        <v>45801</v>
      </c>
      <c r="AU167" s="120" t="str">
        <f t="shared" si="48"/>
        <v/>
      </c>
      <c r="AV167" s="121" t="str">
        <f>IFERROR($M167+VLOOKUP($L167,'Voyage days'!$L$483:$N$535,3,FALSE),"")</f>
        <v/>
      </c>
      <c r="AW167" s="121" t="str">
        <f>IFERROR($N167+VLOOKUP($L167,'Voyage days'!$L$483:$N$535,3,FALSE),"")</f>
        <v/>
      </c>
      <c r="AX167" s="120" t="str">
        <f t="shared" si="49"/>
        <v>25-27 May</v>
      </c>
      <c r="AY167" s="122">
        <f>IFERROR($M167+VLOOKUP($L167,'Voyage days'!$F$620:$H$646,3,FALSE),"")</f>
        <v>45802</v>
      </c>
      <c r="AZ167" s="122">
        <f>IFERROR($N167+VLOOKUP($L167,'Voyage days'!$F$620:$H$646,3,FALSE),"")</f>
        <v>45804</v>
      </c>
      <c r="BA167" s="120" t="str">
        <f t="shared" si="50"/>
        <v>22-30 Jun</v>
      </c>
      <c r="BB167" s="123">
        <f>IFERROR($M167+VLOOKUP($L167,'Voyage days'!$F$702:$H$727,3,FALSE),"")</f>
        <v>45799</v>
      </c>
      <c r="BC167" s="120" t="str">
        <f t="shared" si="51"/>
        <v>28-30 Jun</v>
      </c>
      <c r="BD167" s="122">
        <f>IFERROR($M167+VLOOKUP($L167,'Voyage days'!$F$807:$H$878,3,FALSE),"")</f>
        <v>45836</v>
      </c>
      <c r="BE167" s="122">
        <f>IFERROR($N167+VLOOKUP($L167,'Voyage days'!$F$807:$H$878,3,FALSE),"")</f>
        <v>45838</v>
      </c>
      <c r="BF167" s="609"/>
      <c r="BG167" s="609"/>
      <c r="BH167" s="609"/>
      <c r="BI167" s="609"/>
      <c r="BJ167" s="609"/>
      <c r="BK167" s="609"/>
      <c r="BL167" s="609"/>
      <c r="BM167" s="609"/>
    </row>
    <row r="168" ht="15.75" customHeight="1">
      <c r="A168" s="674" t="s">
        <v>559</v>
      </c>
      <c r="B168" s="222">
        <v>42552.0</v>
      </c>
      <c r="C168" s="1101">
        <v>84000.0</v>
      </c>
      <c r="D168" s="377" t="s">
        <v>3069</v>
      </c>
      <c r="E168" s="223"/>
      <c r="F168" s="1010"/>
      <c r="G168" s="223" t="s">
        <v>1611</v>
      </c>
      <c r="H168" s="223"/>
      <c r="I168" s="463" t="s">
        <v>919</v>
      </c>
      <c r="J168" s="312" t="s">
        <v>1610</v>
      </c>
      <c r="K168" s="469" t="str">
        <f t="shared" si="52"/>
        <v>Update</v>
      </c>
      <c r="L168" s="172" t="s">
        <v>755</v>
      </c>
      <c r="M168" s="173">
        <v>45832.0</v>
      </c>
      <c r="N168" s="173">
        <v>45833.0</v>
      </c>
      <c r="O168" s="174"/>
      <c r="P168" s="312"/>
      <c r="Q168" s="172"/>
      <c r="R168" s="172" t="s">
        <v>3070</v>
      </c>
      <c r="S168" s="175" t="s">
        <v>2962</v>
      </c>
      <c r="T168" s="176">
        <v>45784.0</v>
      </c>
      <c r="U168" s="177" t="str">
        <f>IF(V168="","No AIS",VLOOKUP(V168,'Voyage days'!$A$3:$B$1480,2,FALSE))</f>
        <v>USG</v>
      </c>
      <c r="V168" s="178" t="str">
        <f>IF(VLOOKUP(A168,'1) Kpler'!$E$2:$P$1000,8, FALSE)="","",VLOOKUP(A168,'1) Kpler'!$E$2:$P$1000,8, FALSE))</f>
        <v>Freeport Texas</v>
      </c>
      <c r="W168" s="179">
        <f>IF(VLOOKUP(A168,'1) Kpler'!$E$2:$P$1000,9,FALSE)="","",VLOOKUP(A168,'1) Kpler'!$E$2:$P$1000,9,FALSE))</f>
        <v>46132.04167</v>
      </c>
      <c r="X168" s="178" t="str">
        <f>VLOOKUP(A168,'1) Kpler'!$E$2:$I$1000,4,FALSE)</f>
        <v>ballast</v>
      </c>
      <c r="Y168" s="120" t="str">
        <f t="shared" si="40"/>
        <v>05-06 Jul</v>
      </c>
      <c r="Z168" s="120" t="str">
        <f t="shared" si="41"/>
        <v>05-06 Jul</v>
      </c>
      <c r="AA168" s="121">
        <f>IFERROR($M168+VLOOKUP($L168,'Voyage days'!$F$38:$H$89,3,FALSE),"")</f>
        <v>45843</v>
      </c>
      <c r="AB168" s="121">
        <f>IFERROR(N168+VLOOKUP($L168,'Voyage days'!$F$38:$H$89,3,FALSE),"")</f>
        <v>45844</v>
      </c>
      <c r="AC168" s="120" t="str">
        <f t="shared" si="42"/>
        <v>02-03 Aug</v>
      </c>
      <c r="AD168" s="121">
        <f>IFERROR($M168+VLOOKUP($L168,'Voyage days'!$F$94:$H$193,3,FALSE),"")</f>
        <v>45871</v>
      </c>
      <c r="AE168" s="121">
        <f>IFERROR($N168+VLOOKUP($L168,'Voyage days'!$F$94:$H$193,3,FALSE),"")</f>
        <v>45872</v>
      </c>
      <c r="AF168" s="120" t="str">
        <f t="shared" si="43"/>
        <v>31-01 Aug</v>
      </c>
      <c r="AG168" s="121">
        <f>IFERROR($M168+VLOOKUP($L168,'Voyage days'!$F$203:$H$256,3,FALSE),"")</f>
        <v>45869</v>
      </c>
      <c r="AH168" s="121">
        <f>IFERROR($N168+VLOOKUP($L168,'Voyage days'!$F$203:$H$256,3,FALSE),"")</f>
        <v>45870</v>
      </c>
      <c r="AI168" s="120" t="str">
        <f t="shared" si="44"/>
        <v>14-15 Jul</v>
      </c>
      <c r="AJ168" s="121">
        <f>IFERROR($M168+VLOOKUP($L168,'Voyage days'!$F$294:$H$377,3,FALSE),"")</f>
        <v>45852</v>
      </c>
      <c r="AK168" s="121">
        <f>IFERROR($N168+VLOOKUP($L168,'Voyage days'!$F$294:$H$377,3,FALSE),"")</f>
        <v>45853</v>
      </c>
      <c r="AL168" s="120" t="str">
        <f t="shared" si="45"/>
        <v>23-24 Jul</v>
      </c>
      <c r="AM168" s="121">
        <f>IFERROR($M168+VLOOKUP($L168,'Voyage days'!$F$382:$H$446,3,FALSE),"")</f>
        <v>45861</v>
      </c>
      <c r="AN168" s="121">
        <f>IFERROR($N168+VLOOKUP($L168,'Voyage days'!$F$382:$H$446,3,FALSE),"")</f>
        <v>45862</v>
      </c>
      <c r="AO168" s="120" t="str">
        <f t="shared" si="46"/>
        <v>03-04 Jul</v>
      </c>
      <c r="AP168" s="121">
        <f>IFERROR($M168+VLOOKUP($L168,'Voyage days'!$F$483:$H$538,3,FALSE),"")</f>
        <v>45841</v>
      </c>
      <c r="AQ168" s="121">
        <f>IFERROR($N168+VLOOKUP($L168,'Voyage days'!$F$483:$H$538,3,FALSE),"")</f>
        <v>45842</v>
      </c>
      <c r="AR168" s="120" t="str">
        <f t="shared" si="47"/>
        <v>28-29 Jun</v>
      </c>
      <c r="AS168" s="121">
        <f>IFERROR($M168+VLOOKUP($L168,'Voyage days'!$F$540:$H$613,3,FALSE),"")</f>
        <v>45836</v>
      </c>
      <c r="AT168" s="121">
        <f>IFERROR($N168+VLOOKUP($L168,'Voyage days'!$F$540:$H$613,3,FALSE),"")</f>
        <v>45837</v>
      </c>
      <c r="AU168" s="120" t="str">
        <f t="shared" si="48"/>
        <v/>
      </c>
      <c r="AV168" s="121" t="str">
        <f>IFERROR($M168+VLOOKUP($L168,'Voyage days'!$L$483:$N$535,3,FALSE),"")</f>
        <v/>
      </c>
      <c r="AW168" s="121" t="str">
        <f>IFERROR($N168+VLOOKUP($L168,'Voyage days'!$L$483:$N$535,3,FALSE),"")</f>
        <v/>
      </c>
      <c r="AX168" s="120" t="str">
        <f t="shared" si="49"/>
        <v/>
      </c>
      <c r="AY168" s="122" t="str">
        <f>IFERROR($M168+VLOOKUP($L168,'Voyage days'!$F$620:$H$646,3,FALSE),"")</f>
        <v/>
      </c>
      <c r="AZ168" s="122" t="str">
        <f>IFERROR($N168+VLOOKUP($L168,'Voyage days'!$F$620:$H$646,3,FALSE),"")</f>
        <v/>
      </c>
      <c r="BA168" s="120" t="str">
        <f t="shared" si="50"/>
        <v>02-01 Aug</v>
      </c>
      <c r="BB168" s="123">
        <f>IFERROR($M168+VLOOKUP($L168,'Voyage days'!$F$702:$H$727,3,FALSE),"")</f>
        <v>45840</v>
      </c>
      <c r="BC168" s="120" t="str">
        <f t="shared" si="51"/>
        <v>31-01 Aug</v>
      </c>
      <c r="BD168" s="122">
        <f>IFERROR($M168+VLOOKUP($L168,'Voyage days'!$F$807:$H$878,3,FALSE),"")</f>
        <v>45869</v>
      </c>
      <c r="BE168" s="122">
        <f>IFERROR($N168+VLOOKUP($L168,'Voyage days'!$F$807:$H$878,3,FALSE),"")</f>
        <v>45870</v>
      </c>
      <c r="BF168" s="609"/>
      <c r="BG168" s="609"/>
      <c r="BH168" s="609"/>
      <c r="BI168" s="609"/>
      <c r="BJ168" s="609"/>
      <c r="BK168" s="609"/>
      <c r="BL168" s="609"/>
      <c r="BM168" s="609"/>
    </row>
    <row r="169" ht="15.75" customHeight="1">
      <c r="A169" s="375" t="s">
        <v>61</v>
      </c>
      <c r="B169" s="101">
        <v>39814.0</v>
      </c>
      <c r="C169" s="1045">
        <v>75000.0</v>
      </c>
      <c r="D169" s="150" t="s">
        <v>1687</v>
      </c>
      <c r="E169" s="149" t="s">
        <v>689</v>
      </c>
      <c r="F169" s="1014"/>
      <c r="G169" s="1015">
        <v>47818.0</v>
      </c>
      <c r="H169" s="149"/>
      <c r="I169" s="611" t="s">
        <v>942</v>
      </c>
      <c r="J169" s="157"/>
      <c r="K169" s="517" t="str">
        <f t="shared" si="52"/>
        <v>NO AIS</v>
      </c>
      <c r="L169" s="316" t="s">
        <v>951</v>
      </c>
      <c r="M169" s="238">
        <v>45797.0</v>
      </c>
      <c r="N169" s="238">
        <v>45802.0</v>
      </c>
      <c r="O169" s="155"/>
      <c r="P169" s="157"/>
      <c r="Q169" s="157"/>
      <c r="R169" s="157"/>
      <c r="S169" s="256" t="s">
        <v>2962</v>
      </c>
      <c r="T169" s="420">
        <v>45778.0</v>
      </c>
      <c r="U169" s="114" t="str">
        <f>IF(V169="","No AIS",VLOOKUP(V169,'Voyage days'!$A$3:$B$1480,2,FALSE))</f>
        <v>No AIS</v>
      </c>
      <c r="V169" s="114" t="str">
        <f>IF(VLOOKUP(A169,'1) Kpler'!$E$2:$P$1000,8, FALSE)="","",VLOOKUP(A169,'1) Kpler'!$E$2:$P$1000,8, FALSE))</f>
        <v/>
      </c>
      <c r="W169" s="159" t="str">
        <f>IF(VLOOKUP(A169,'1) Kpler'!$E$2:$P$1000,9,FALSE)="","",VLOOKUP(A169,'1) Kpler'!$E$2:$P$1000,9,FALSE))</f>
        <v/>
      </c>
      <c r="X169" s="114" t="str">
        <f>VLOOKUP(A169,'1) Kpler'!$E$2:$I$1000,4,FALSE)</f>
        <v>loaded</v>
      </c>
      <c r="Y169" s="296" t="str">
        <f t="shared" si="40"/>
        <v>29-03 Jun</v>
      </c>
      <c r="Z169" s="163" t="str">
        <f t="shared" si="41"/>
        <v>29-03 Jun</v>
      </c>
      <c r="AA169" s="122">
        <f>IFERROR($M169+VLOOKUP($L169,'Voyage days'!$F$38:$H$89,3,FALSE),"")</f>
        <v>45806</v>
      </c>
      <c r="AB169" s="122">
        <f>IFERROR(N169+VLOOKUP($L169,'Voyage days'!$F$38:$H$89,3,FALSE),"")</f>
        <v>45811</v>
      </c>
      <c r="AC169" s="163" t="str">
        <f t="shared" si="42"/>
        <v>07-12 Jul</v>
      </c>
      <c r="AD169" s="122">
        <f>IFERROR($M169+VLOOKUP($L169,'Voyage days'!$F$94:$H$193,3,FALSE),"")</f>
        <v>45845</v>
      </c>
      <c r="AE169" s="122">
        <f>IFERROR($N169+VLOOKUP($L169,'Voyage days'!$F$94:$H$193,3,FALSE),"")</f>
        <v>45850</v>
      </c>
      <c r="AF169" s="163" t="str">
        <f t="shared" si="43"/>
        <v>16-21 Jun</v>
      </c>
      <c r="AG169" s="122">
        <f>IFERROR($M169+VLOOKUP($L169,'Voyage days'!$F$203:$H$256,3,FALSE),"")</f>
        <v>45824</v>
      </c>
      <c r="AH169" s="122">
        <f>IFERROR($N169+VLOOKUP($L169,'Voyage days'!$F$203:$H$256,3,FALSE),"")</f>
        <v>45829</v>
      </c>
      <c r="AI169" s="163" t="str">
        <f t="shared" si="44"/>
        <v>03-08 Jun</v>
      </c>
      <c r="AJ169" s="122">
        <f>IFERROR($M169+VLOOKUP($L169,'Voyage days'!$F$294:$H$377,3,FALSE),"")</f>
        <v>45811</v>
      </c>
      <c r="AK169" s="122">
        <f>IFERROR($N169+VLOOKUP($L169,'Voyage days'!$F$294:$H$377,3,FALSE),"")</f>
        <v>45816</v>
      </c>
      <c r="AL169" s="163" t="str">
        <f t="shared" si="45"/>
        <v>04-09 Jun</v>
      </c>
      <c r="AM169" s="122">
        <f>IFERROR($M169+VLOOKUP($L169,'Voyage days'!$F$382:$H$446,3,FALSE),"")</f>
        <v>45812</v>
      </c>
      <c r="AN169" s="122">
        <f>IFERROR($N169+VLOOKUP($L169,'Voyage days'!$F$382:$H$446,3,FALSE),"")</f>
        <v>45817</v>
      </c>
      <c r="AO169" s="163" t="str">
        <f t="shared" si="46"/>
        <v>06-11 Jun</v>
      </c>
      <c r="AP169" s="122">
        <f>IFERROR($M169+VLOOKUP($L169,'Voyage days'!$F$483:$H$538,3,FALSE),"")</f>
        <v>45814</v>
      </c>
      <c r="AQ169" s="122">
        <f>IFERROR($N169+VLOOKUP($L169,'Voyage days'!$F$483:$H$538,3,FALSE),"")</f>
        <v>45819</v>
      </c>
      <c r="AR169" s="163" t="str">
        <f t="shared" si="47"/>
        <v>04-09 Jun</v>
      </c>
      <c r="AS169" s="122">
        <f>IFERROR($M169+VLOOKUP($L169,'Voyage days'!$F$540:$H$613,3,FALSE),"")</f>
        <v>45812</v>
      </c>
      <c r="AT169" s="122">
        <f>IFERROR($N169+VLOOKUP($L169,'Voyage days'!$F$540:$H$613,3,FALSE),"")</f>
        <v>45817</v>
      </c>
      <c r="AU169" s="163" t="str">
        <f t="shared" si="48"/>
        <v/>
      </c>
      <c r="AV169" s="122" t="str">
        <f>IFERROR($M169+VLOOKUP($L169,'Voyage days'!$L$483:$N$535,3,FALSE),"")</f>
        <v/>
      </c>
      <c r="AW169" s="122" t="str">
        <f>IFERROR($N169+VLOOKUP($L169,'Voyage days'!$L$483:$N$535,3,FALSE),"")</f>
        <v/>
      </c>
      <c r="AX169" s="163" t="str">
        <f t="shared" si="49"/>
        <v/>
      </c>
      <c r="AY169" s="122" t="str">
        <f>IFERROR($M169+VLOOKUP($L169,'Voyage days'!$F$620:$H$646,3,FALSE),"")</f>
        <v/>
      </c>
      <c r="AZ169" s="122" t="str">
        <f>IFERROR($N169+VLOOKUP($L169,'Voyage days'!$F$620:$H$646,3,FALSE),"")</f>
        <v/>
      </c>
      <c r="BA169" s="163" t="str">
        <f t="shared" si="50"/>
        <v>04-25 May</v>
      </c>
      <c r="BB169" s="123">
        <f>IFERROR($M169+VLOOKUP($L169,'Voyage days'!$F$702:$H$727,3,FALSE),"")</f>
        <v>45812</v>
      </c>
      <c r="BC169" s="163" t="str">
        <f t="shared" si="51"/>
        <v>20-25 May</v>
      </c>
      <c r="BD169" s="122">
        <f>IFERROR($M169+VLOOKUP($L169,'Voyage days'!$F$807:$H$878,3,FALSE),"")</f>
        <v>45797</v>
      </c>
      <c r="BE169" s="122">
        <f>IFERROR($N169+VLOOKUP($L169,'Voyage days'!$F$807:$H$878,3,FALSE),"")</f>
        <v>45802</v>
      </c>
      <c r="BF169" s="609"/>
      <c r="BG169" s="609"/>
      <c r="BH169" s="609"/>
      <c r="BI169" s="609"/>
      <c r="BJ169" s="609"/>
      <c r="BK169" s="609"/>
      <c r="BL169" s="609"/>
      <c r="BM169" s="609"/>
    </row>
    <row r="170" ht="15.75" customHeight="1">
      <c r="A170" s="80" t="s">
        <v>242</v>
      </c>
      <c r="B170" s="148">
        <v>2022.0</v>
      </c>
      <c r="C170" s="1045">
        <v>90000.0</v>
      </c>
      <c r="D170" s="104" t="s">
        <v>1687</v>
      </c>
      <c r="E170" s="103" t="s">
        <v>666</v>
      </c>
      <c r="F170" s="604"/>
      <c r="G170" s="103"/>
      <c r="H170" s="604"/>
      <c r="I170" s="299" t="s">
        <v>942</v>
      </c>
      <c r="J170" s="185"/>
      <c r="K170" s="336" t="str">
        <f t="shared" si="52"/>
        <v>Update</v>
      </c>
      <c r="L170" s="108" t="s">
        <v>656</v>
      </c>
      <c r="M170" s="109">
        <v>45809.0</v>
      </c>
      <c r="N170" s="109">
        <v>45811.0</v>
      </c>
      <c r="O170" s="334"/>
      <c r="P170" s="185"/>
      <c r="Q170" s="185"/>
      <c r="R170" s="104"/>
      <c r="S170" s="112" t="s">
        <v>2962</v>
      </c>
      <c r="T170" s="113">
        <v>45778.0</v>
      </c>
      <c r="U170" s="114" t="str">
        <f>IF(V170="","No AIS",VLOOKUP(V170,'Voyage days'!$A$3:$B$1480,2,FALSE))</f>
        <v>India?/SG-JP?</v>
      </c>
      <c r="V170" s="115" t="str">
        <f>IF(VLOOKUP(A170,'1) Kpler'!$E$2:$P$1000,8, FALSE)="","",VLOOKUP(A170,'1) Kpler'!$E$2:$P$1000,8, FALSE))</f>
        <v>Eastern Asia</v>
      </c>
      <c r="W170" s="116">
        <f>IF(VLOOKUP(A170,'1) Kpler'!$E$2:$P$1000,9,FALSE)="","",VLOOKUP(A170,'1) Kpler'!$E$2:$P$1000,9,FALSE))</f>
        <v>46132.46389</v>
      </c>
      <c r="X170" s="115" t="str">
        <f>VLOOKUP(A170,'1) Kpler'!$E$2:$I$1000,4,FALSE)</f>
        <v>loaded</v>
      </c>
      <c r="Y170" s="160" t="str">
        <f t="shared" si="40"/>
        <v>19-21 Jun</v>
      </c>
      <c r="Z170" s="120" t="str">
        <f t="shared" si="41"/>
        <v>19-21 Jun</v>
      </c>
      <c r="AA170" s="121">
        <f>IFERROR($M170+VLOOKUP($L170,'Voyage days'!$F$38:$H$89,3,FALSE),"")</f>
        <v>45827</v>
      </c>
      <c r="AB170" s="121">
        <f>IFERROR(N170+VLOOKUP($L170,'Voyage days'!$F$38:$H$89,3,FALSE),"")</f>
        <v>45829</v>
      </c>
      <c r="AC170" s="120" t="str">
        <f t="shared" si="42"/>
        <v>02-04 Jul</v>
      </c>
      <c r="AD170" s="121">
        <f>IFERROR($M170+VLOOKUP($L170,'Voyage days'!$F$94:$H$193,3,FALSE),"")</f>
        <v>45840</v>
      </c>
      <c r="AE170" s="121">
        <f>IFERROR($N170+VLOOKUP($L170,'Voyage days'!$F$94:$H$193,3,FALSE),"")</f>
        <v>45842</v>
      </c>
      <c r="AF170" s="120" t="str">
        <f t="shared" si="43"/>
        <v>09-11 Jul</v>
      </c>
      <c r="AG170" s="121">
        <f>IFERROR($M170+VLOOKUP($L170,'Voyage days'!$F$203:$H$256,3,FALSE),"")</f>
        <v>45847</v>
      </c>
      <c r="AH170" s="121">
        <f>IFERROR($N170+VLOOKUP($L170,'Voyage days'!$F$203:$H$256,3,FALSE),"")</f>
        <v>45849</v>
      </c>
      <c r="AI170" s="120" t="str">
        <f t="shared" si="44"/>
        <v>01-03 Jul</v>
      </c>
      <c r="AJ170" s="121">
        <f>IFERROR($M170+VLOOKUP($L170,'Voyage days'!$F$294:$H$377,3,FALSE),"")</f>
        <v>45839</v>
      </c>
      <c r="AK170" s="121">
        <f>IFERROR($N170+VLOOKUP($L170,'Voyage days'!$F$294:$H$377,3,FALSE),"")</f>
        <v>45841</v>
      </c>
      <c r="AL170" s="120" t="str">
        <f t="shared" si="45"/>
        <v>07-09 Jul</v>
      </c>
      <c r="AM170" s="121">
        <f>IFERROR($M170+VLOOKUP($L170,'Voyage days'!$F$382:$H$446,3,FALSE),"")</f>
        <v>45845</v>
      </c>
      <c r="AN170" s="121">
        <f>IFERROR($N170+VLOOKUP($L170,'Voyage days'!$F$382:$H$446,3,FALSE),"")</f>
        <v>45847</v>
      </c>
      <c r="AO170" s="120" t="str">
        <f t="shared" si="46"/>
        <v>14-16 Jun</v>
      </c>
      <c r="AP170" s="121">
        <f>IFERROR($M170+VLOOKUP($L170,'Voyage days'!$F$483:$H$538,3,FALSE),"")</f>
        <v>45822</v>
      </c>
      <c r="AQ170" s="121">
        <f>IFERROR($N170+VLOOKUP($L170,'Voyage days'!$F$483:$H$538,3,FALSE),"")</f>
        <v>45824</v>
      </c>
      <c r="AR170" s="120" t="str">
        <f t="shared" si="47"/>
        <v>09-11 Jun</v>
      </c>
      <c r="AS170" s="121">
        <f>IFERROR($M170+VLOOKUP($L170,'Voyage days'!$F$540:$H$613,3,FALSE),"")</f>
        <v>45817.25</v>
      </c>
      <c r="AT170" s="121">
        <f>IFERROR($N170+VLOOKUP($L170,'Voyage days'!$F$540:$H$613,3,FALSE),"")</f>
        <v>45819.25</v>
      </c>
      <c r="AU170" s="120" t="str">
        <f t="shared" si="48"/>
        <v/>
      </c>
      <c r="AV170" s="121" t="str">
        <f>IFERROR($M170+VLOOKUP($L170,'Voyage days'!$L$483:$N$535,3,FALSE),"")</f>
        <v/>
      </c>
      <c r="AW170" s="121" t="str">
        <f>IFERROR($N170+VLOOKUP($L170,'Voyage days'!$L$483:$N$535,3,FALSE),"")</f>
        <v/>
      </c>
      <c r="AX170" s="120" t="str">
        <f t="shared" si="49"/>
        <v>12-14 Jun</v>
      </c>
      <c r="AY170" s="122">
        <f>IFERROR($M170+VLOOKUP($L170,'Voyage days'!$F$620:$H$646,3,FALSE),"")</f>
        <v>45820</v>
      </c>
      <c r="AZ170" s="122">
        <f>IFERROR($N170+VLOOKUP($L170,'Voyage days'!$F$620:$H$646,3,FALSE),"")</f>
        <v>45822</v>
      </c>
      <c r="BA170" s="120" t="str">
        <f t="shared" si="50"/>
        <v>09-19 Jul</v>
      </c>
      <c r="BB170" s="123">
        <f>IFERROR($M170+VLOOKUP($L170,'Voyage days'!$F$702:$H$727,3,FALSE),"")</f>
        <v>45817.25</v>
      </c>
      <c r="BC170" s="120" t="str">
        <f t="shared" si="51"/>
        <v>17-19 Jul</v>
      </c>
      <c r="BD170" s="122">
        <f>IFERROR($M170+VLOOKUP($L170,'Voyage days'!$F$807:$H$878,3,FALSE),"")</f>
        <v>45855</v>
      </c>
      <c r="BE170" s="122">
        <f>IFERROR($N170+VLOOKUP($L170,'Voyage days'!$F$807:$H$878,3,FALSE),"")</f>
        <v>45857</v>
      </c>
      <c r="BF170" s="609"/>
      <c r="BG170" s="609"/>
      <c r="BH170" s="609"/>
      <c r="BI170" s="609"/>
      <c r="BJ170" s="609"/>
      <c r="BK170" s="609"/>
      <c r="BL170" s="609"/>
      <c r="BM170" s="609"/>
    </row>
    <row r="171" ht="15.75" customHeight="1">
      <c r="A171" s="80" t="s">
        <v>394</v>
      </c>
      <c r="B171" s="148">
        <v>2022.0</v>
      </c>
      <c r="C171" s="1045">
        <v>90000.0</v>
      </c>
      <c r="D171" s="104" t="s">
        <v>1687</v>
      </c>
      <c r="E171" s="103" t="s">
        <v>666</v>
      </c>
      <c r="F171" s="604"/>
      <c r="G171" s="103"/>
      <c r="H171" s="604"/>
      <c r="I171" s="299" t="s">
        <v>942</v>
      </c>
      <c r="J171" s="185"/>
      <c r="K171" s="336" t="str">
        <f t="shared" si="52"/>
        <v>NO AIS</v>
      </c>
      <c r="L171" s="108" t="s">
        <v>951</v>
      </c>
      <c r="M171" s="109">
        <v>45810.0</v>
      </c>
      <c r="N171" s="109">
        <v>45815.0</v>
      </c>
      <c r="O171" s="334"/>
      <c r="P171" s="185"/>
      <c r="Q171" s="185"/>
      <c r="R171" s="185"/>
      <c r="S171" s="112" t="s">
        <v>2962</v>
      </c>
      <c r="T171" s="113">
        <v>45778.0</v>
      </c>
      <c r="U171" s="114" t="str">
        <f>IF(V171="","No AIS",VLOOKUP(V171,'Voyage days'!$A$3:$B$1480,2,FALSE))</f>
        <v>No AIS</v>
      </c>
      <c r="V171" s="115" t="str">
        <f>IF(VLOOKUP(A171,'1) Kpler'!$E$2:$P$1000,8, FALSE)="","",VLOOKUP(A171,'1) Kpler'!$E$2:$P$1000,8, FALSE))</f>
        <v/>
      </c>
      <c r="W171" s="116" t="str">
        <f>IF(VLOOKUP(A171,'1) Kpler'!$E$2:$P$1000,9,FALSE)="","",VLOOKUP(A171,'1) Kpler'!$E$2:$P$1000,9,FALSE))</f>
        <v/>
      </c>
      <c r="X171" s="115" t="str">
        <f>VLOOKUP(A171,'1) Kpler'!$E$2:$I$1000,4,FALSE)</f>
        <v>loaded</v>
      </c>
      <c r="Y171" s="117" t="str">
        <f t="shared" si="40"/>
        <v>11-16 Jun</v>
      </c>
      <c r="Z171" s="120" t="str">
        <f t="shared" si="41"/>
        <v>11-16 Jun</v>
      </c>
      <c r="AA171" s="121">
        <f>IFERROR($M171+VLOOKUP($L171,'Voyage days'!$F$38:$H$89,3,FALSE),"")</f>
        <v>45819</v>
      </c>
      <c r="AB171" s="121">
        <f>IFERROR(N171+VLOOKUP($L171,'Voyage days'!$F$38:$H$89,3,FALSE),"")</f>
        <v>45824</v>
      </c>
      <c r="AC171" s="120" t="str">
        <f t="shared" si="42"/>
        <v>20-25 Jul</v>
      </c>
      <c r="AD171" s="121">
        <f>IFERROR($M171+VLOOKUP($L171,'Voyage days'!$F$94:$H$193,3,FALSE),"")</f>
        <v>45858</v>
      </c>
      <c r="AE171" s="121">
        <f>IFERROR($N171+VLOOKUP($L171,'Voyage days'!$F$94:$H$193,3,FALSE),"")</f>
        <v>45863</v>
      </c>
      <c r="AF171" s="120" t="str">
        <f t="shared" si="43"/>
        <v>29-04 Jul</v>
      </c>
      <c r="AG171" s="121">
        <f>IFERROR($M171+VLOOKUP($L171,'Voyage days'!$F$203:$H$256,3,FALSE),"")</f>
        <v>45837</v>
      </c>
      <c r="AH171" s="121">
        <f>IFERROR($N171+VLOOKUP($L171,'Voyage days'!$F$203:$H$256,3,FALSE),"")</f>
        <v>45842</v>
      </c>
      <c r="AI171" s="120" t="str">
        <f t="shared" si="44"/>
        <v>16-21 Jun</v>
      </c>
      <c r="AJ171" s="121">
        <f>IFERROR($M171+VLOOKUP($L171,'Voyage days'!$F$294:$H$377,3,FALSE),"")</f>
        <v>45824</v>
      </c>
      <c r="AK171" s="121">
        <f>IFERROR($N171+VLOOKUP($L171,'Voyage days'!$F$294:$H$377,3,FALSE),"")</f>
        <v>45829</v>
      </c>
      <c r="AL171" s="120" t="str">
        <f t="shared" si="45"/>
        <v>17-22 Jun</v>
      </c>
      <c r="AM171" s="121">
        <f>IFERROR($M171+VLOOKUP($L171,'Voyage days'!$F$382:$H$446,3,FALSE),"")</f>
        <v>45825</v>
      </c>
      <c r="AN171" s="121">
        <f>IFERROR($N171+VLOOKUP($L171,'Voyage days'!$F$382:$H$446,3,FALSE),"")</f>
        <v>45830</v>
      </c>
      <c r="AO171" s="120" t="str">
        <f t="shared" si="46"/>
        <v>19-24 Jun</v>
      </c>
      <c r="AP171" s="121">
        <f>IFERROR($M171+VLOOKUP($L171,'Voyage days'!$F$483:$H$538,3,FALSE),"")</f>
        <v>45827</v>
      </c>
      <c r="AQ171" s="121">
        <f>IFERROR($N171+VLOOKUP($L171,'Voyage days'!$F$483:$H$538,3,FALSE),"")</f>
        <v>45832</v>
      </c>
      <c r="AR171" s="120" t="str">
        <f t="shared" si="47"/>
        <v>17-22 Jun</v>
      </c>
      <c r="AS171" s="121">
        <f>IFERROR($M171+VLOOKUP($L171,'Voyage days'!$F$540:$H$613,3,FALSE),"")</f>
        <v>45825</v>
      </c>
      <c r="AT171" s="121">
        <f>IFERROR($N171+VLOOKUP($L171,'Voyage days'!$F$540:$H$613,3,FALSE),"")</f>
        <v>45830</v>
      </c>
      <c r="AU171" s="120" t="str">
        <f t="shared" si="48"/>
        <v/>
      </c>
      <c r="AV171" s="121" t="str">
        <f>IFERROR($M171+VLOOKUP($L171,'Voyage days'!$L$483:$N$535,3,FALSE),"")</f>
        <v/>
      </c>
      <c r="AW171" s="121" t="str">
        <f>IFERROR($N171+VLOOKUP($L171,'Voyage days'!$L$483:$N$535,3,FALSE),"")</f>
        <v/>
      </c>
      <c r="AX171" s="120" t="str">
        <f t="shared" si="49"/>
        <v/>
      </c>
      <c r="AY171" s="122" t="str">
        <f>IFERROR($M171+VLOOKUP($L171,'Voyage days'!$F$620:$H$646,3,FALSE),"")</f>
        <v/>
      </c>
      <c r="AZ171" s="122" t="str">
        <f>IFERROR($N171+VLOOKUP($L171,'Voyage days'!$F$620:$H$646,3,FALSE),"")</f>
        <v/>
      </c>
      <c r="BA171" s="120" t="str">
        <f t="shared" si="50"/>
        <v>17-07 Jun</v>
      </c>
      <c r="BB171" s="123">
        <f>IFERROR($M171+VLOOKUP($L171,'Voyage days'!$F$702:$H$727,3,FALSE),"")</f>
        <v>45825</v>
      </c>
      <c r="BC171" s="120" t="str">
        <f t="shared" si="51"/>
        <v>02-07 Jun</v>
      </c>
      <c r="BD171" s="122">
        <f>IFERROR($M171+VLOOKUP($L171,'Voyage days'!$F$807:$H$878,3,FALSE),"")</f>
        <v>45810</v>
      </c>
      <c r="BE171" s="122">
        <f>IFERROR($N171+VLOOKUP($L171,'Voyage days'!$F$807:$H$878,3,FALSE),"")</f>
        <v>45815</v>
      </c>
      <c r="BF171" s="609"/>
      <c r="BG171" s="609"/>
      <c r="BH171" s="609"/>
      <c r="BI171" s="609"/>
      <c r="BJ171" s="609"/>
      <c r="BK171" s="609"/>
      <c r="BL171" s="609"/>
      <c r="BM171" s="609"/>
    </row>
    <row r="172" ht="15.75" customHeight="1">
      <c r="A172" s="80" t="s">
        <v>452</v>
      </c>
      <c r="B172" s="148">
        <v>2024.0</v>
      </c>
      <c r="C172" s="1045">
        <v>88000.0</v>
      </c>
      <c r="D172" s="185" t="s">
        <v>1687</v>
      </c>
      <c r="E172" s="103" t="s">
        <v>666</v>
      </c>
      <c r="F172" s="604"/>
      <c r="G172" s="605">
        <v>46631.0</v>
      </c>
      <c r="H172" s="195"/>
      <c r="I172" s="299" t="s">
        <v>942</v>
      </c>
      <c r="J172" s="111"/>
      <c r="K172" s="336" t="str">
        <f t="shared" si="52"/>
        <v>NO AIS</v>
      </c>
      <c r="L172" s="108" t="s">
        <v>663</v>
      </c>
      <c r="M172" s="109">
        <v>45809.0</v>
      </c>
      <c r="N172" s="109">
        <v>45810.0</v>
      </c>
      <c r="O172" s="111"/>
      <c r="P172" s="187"/>
      <c r="Q172" s="111"/>
      <c r="R172" s="108" t="s">
        <v>3071</v>
      </c>
      <c r="S172" s="112" t="s">
        <v>33</v>
      </c>
      <c r="T172" s="113">
        <v>45781.0</v>
      </c>
      <c r="U172" s="114" t="str">
        <f>IF(V172="","No AIS",VLOOKUP(V172,'Voyage days'!$A$3:$B$1480,2,FALSE))</f>
        <v>No AIS</v>
      </c>
      <c r="V172" s="115" t="str">
        <f>IF(VLOOKUP(A172,'1) Kpler'!$E$2:$P$1000,8, FALSE)="","",VLOOKUP(A172,'1) Kpler'!$E$2:$P$1000,8, FALSE))</f>
        <v/>
      </c>
      <c r="W172" s="116" t="str">
        <f>IF(VLOOKUP(A172,'1) Kpler'!$E$2:$P$1000,9,FALSE)="","",VLOOKUP(A172,'1) Kpler'!$E$2:$P$1000,9,FALSE))</f>
        <v/>
      </c>
      <c r="X172" s="115" t="str">
        <f>VLOOKUP(A172,'1) Kpler'!$E$2:$I$1000,4,FALSE)</f>
        <v>ballast</v>
      </c>
      <c r="Y172" s="160" t="str">
        <f t="shared" si="40"/>
        <v>18-19 Jun</v>
      </c>
      <c r="Z172" s="120" t="str">
        <f t="shared" si="41"/>
        <v>18-19 Jun</v>
      </c>
      <c r="AA172" s="121">
        <f>IFERROR($M172+VLOOKUP($L172,'Voyage days'!$F$38:$H$89,3,FALSE),"")</f>
        <v>45826</v>
      </c>
      <c r="AB172" s="121">
        <f>IFERROR(N172+VLOOKUP($L172,'Voyage days'!$F$38:$H$89,3,FALSE),"")</f>
        <v>45827</v>
      </c>
      <c r="AC172" s="120" t="str">
        <f t="shared" si="42"/>
        <v>04-05 Jul</v>
      </c>
      <c r="AD172" s="121">
        <f>IFERROR($M172+VLOOKUP($L172,'Voyage days'!$F$94:$H$193,3,FALSE),"")</f>
        <v>45842</v>
      </c>
      <c r="AE172" s="121">
        <f>IFERROR($N172+VLOOKUP($L172,'Voyage days'!$F$94:$H$193,3,FALSE),"")</f>
        <v>45843</v>
      </c>
      <c r="AF172" s="120" t="str">
        <f t="shared" si="43"/>
        <v>15-16 Jul</v>
      </c>
      <c r="AG172" s="121">
        <f>IFERROR($M172+VLOOKUP($L172,'Voyage days'!$F$203:$H$256,3,FALSE),"")</f>
        <v>45853</v>
      </c>
      <c r="AH172" s="121">
        <f>IFERROR($N172+VLOOKUP($L172,'Voyage days'!$F$203:$H$256,3,FALSE),"")</f>
        <v>45854</v>
      </c>
      <c r="AI172" s="120" t="str">
        <f t="shared" si="44"/>
        <v>29-30 Jun</v>
      </c>
      <c r="AJ172" s="121">
        <f>IFERROR($M172+VLOOKUP($L172,'Voyage days'!$F$294:$H$377,3,FALSE),"")</f>
        <v>45837</v>
      </c>
      <c r="AK172" s="121">
        <f>IFERROR($N172+VLOOKUP($L172,'Voyage days'!$F$294:$H$377,3,FALSE),"")</f>
        <v>45838</v>
      </c>
      <c r="AL172" s="120" t="str">
        <f t="shared" si="45"/>
        <v>06-07 Jul</v>
      </c>
      <c r="AM172" s="121">
        <f>IFERROR($M172+VLOOKUP($L172,'Voyage days'!$F$382:$H$446,3,FALSE),"")</f>
        <v>45844</v>
      </c>
      <c r="AN172" s="121">
        <f>IFERROR($N172+VLOOKUP($L172,'Voyage days'!$F$382:$H$446,3,FALSE),"")</f>
        <v>45845</v>
      </c>
      <c r="AO172" s="120" t="str">
        <f t="shared" si="46"/>
        <v>15-16 Jun</v>
      </c>
      <c r="AP172" s="121">
        <f>IFERROR($M172+VLOOKUP($L172,'Voyage days'!$F$483:$H$538,3,FALSE),"")</f>
        <v>45823</v>
      </c>
      <c r="AQ172" s="121">
        <f>IFERROR($N172+VLOOKUP($L172,'Voyage days'!$F$483:$H$538,3,FALSE),"")</f>
        <v>45824</v>
      </c>
      <c r="AR172" s="120" t="str">
        <f t="shared" si="47"/>
        <v>08-09 Jun</v>
      </c>
      <c r="AS172" s="121">
        <f>IFERROR($M172+VLOOKUP($L172,'Voyage days'!$F$540:$H$613,3,FALSE),"")</f>
        <v>45816.25</v>
      </c>
      <c r="AT172" s="121">
        <f>IFERROR($N172+VLOOKUP($L172,'Voyage days'!$F$540:$H$613,3,FALSE),"")</f>
        <v>45817.25</v>
      </c>
      <c r="AU172" s="120" t="str">
        <f t="shared" si="48"/>
        <v/>
      </c>
      <c r="AV172" s="121" t="str">
        <f>IFERROR($M172+VLOOKUP($L172,'Voyage days'!$L$483:$N$535,3,FALSE),"")</f>
        <v/>
      </c>
      <c r="AW172" s="121" t="str">
        <f>IFERROR($N172+VLOOKUP($L172,'Voyage days'!$L$483:$N$535,3,FALSE),"")</f>
        <v/>
      </c>
      <c r="AX172" s="120" t="str">
        <f t="shared" si="49"/>
        <v>14-15 Jun</v>
      </c>
      <c r="AY172" s="122">
        <f>IFERROR($M172+VLOOKUP($L172,'Voyage days'!$F$620:$H$646,3,FALSE),"")</f>
        <v>45822</v>
      </c>
      <c r="AZ172" s="122">
        <f>IFERROR($N172+VLOOKUP($L172,'Voyage days'!$F$620:$H$646,3,FALSE),"")</f>
        <v>45823</v>
      </c>
      <c r="BA172" s="120" t="str">
        <f t="shared" si="50"/>
        <v>08-16 Jul</v>
      </c>
      <c r="BB172" s="123">
        <f>IFERROR($M172+VLOOKUP($L172,'Voyage days'!$F$702:$H$727,3,FALSE),"")</f>
        <v>45816.25</v>
      </c>
      <c r="BC172" s="120" t="str">
        <f t="shared" si="51"/>
        <v>15-16 Jul</v>
      </c>
      <c r="BD172" s="122">
        <f>IFERROR($M172+VLOOKUP($L172,'Voyage days'!$F$807:$H$878,3,FALSE),"")</f>
        <v>45853</v>
      </c>
      <c r="BE172" s="122">
        <f>IFERROR($N172+VLOOKUP($L172,'Voyage days'!$F$807:$H$878,3,FALSE),"")</f>
        <v>45854</v>
      </c>
      <c r="BF172" s="609"/>
      <c r="BG172" s="609"/>
      <c r="BH172" s="609"/>
      <c r="BI172" s="609"/>
      <c r="BJ172" s="609"/>
      <c r="BK172" s="609"/>
      <c r="BL172" s="609"/>
      <c r="BM172" s="609"/>
    </row>
    <row r="173" ht="15.75" customHeight="1">
      <c r="A173" s="164" t="s">
        <v>502</v>
      </c>
      <c r="B173" s="222">
        <v>42459.0</v>
      </c>
      <c r="C173" s="1101">
        <v>84000.0</v>
      </c>
      <c r="D173" s="463" t="s">
        <v>1687</v>
      </c>
      <c r="E173" s="312"/>
      <c r="F173" s="1010">
        <v>44276.0</v>
      </c>
      <c r="G173" s="223" t="s">
        <v>1611</v>
      </c>
      <c r="H173" s="167"/>
      <c r="I173" s="614" t="s">
        <v>942</v>
      </c>
      <c r="J173" s="312" t="s">
        <v>942</v>
      </c>
      <c r="K173" s="469" t="str">
        <f t="shared" si="52"/>
        <v>NO AIS</v>
      </c>
      <c r="L173" s="172" t="s">
        <v>951</v>
      </c>
      <c r="M173" s="173">
        <v>45782.0</v>
      </c>
      <c r="N173" s="173">
        <v>45787.0</v>
      </c>
      <c r="O173" s="312"/>
      <c r="P173" s="320" t="s">
        <v>3072</v>
      </c>
      <c r="Q173" s="320" t="s">
        <v>3073</v>
      </c>
      <c r="R173" s="463"/>
      <c r="S173" s="175" t="s">
        <v>2962</v>
      </c>
      <c r="T173" s="176">
        <v>45778.0</v>
      </c>
      <c r="U173" s="177" t="str">
        <f>IF(V173="","No AIS",VLOOKUP(V173,'Voyage days'!$A$3:$B$1480,2,FALSE))</f>
        <v>No AIS</v>
      </c>
      <c r="V173" s="178" t="str">
        <f>IF(VLOOKUP(A173,'1) Kpler'!$E$2:$P$1000,8, FALSE)="","",VLOOKUP(A173,'1) Kpler'!$E$2:$P$1000,8, FALSE))</f>
        <v/>
      </c>
      <c r="W173" s="179" t="str">
        <f>IF(VLOOKUP(A173,'1) Kpler'!$E$2:$P$1000,9,FALSE)="","",VLOOKUP(A173,'1) Kpler'!$E$2:$P$1000,9,FALSE))</f>
        <v/>
      </c>
      <c r="X173" s="178" t="str">
        <f>VLOOKUP(A173,'1) Kpler'!$E$2:$I$1000,4,FALSE)</f>
        <v>ballast</v>
      </c>
      <c r="Y173" s="180" t="str">
        <f t="shared" si="40"/>
        <v>14-19 May</v>
      </c>
      <c r="Z173" s="120" t="str">
        <f t="shared" si="41"/>
        <v>14-19 May</v>
      </c>
      <c r="AA173" s="121">
        <f>IFERROR($M173+VLOOKUP($L173,'Voyage days'!$F$38:$H$89,3,FALSE),"")</f>
        <v>45791</v>
      </c>
      <c r="AB173" s="121">
        <f>IFERROR(N173+VLOOKUP($L173,'Voyage days'!$F$38:$H$89,3,FALSE),"")</f>
        <v>45796</v>
      </c>
      <c r="AC173" s="120" t="str">
        <f t="shared" si="42"/>
        <v>22-27 Jun</v>
      </c>
      <c r="AD173" s="121">
        <f>IFERROR($M173+VLOOKUP($L173,'Voyage days'!$F$94:$H$193,3,FALSE),"")</f>
        <v>45830</v>
      </c>
      <c r="AE173" s="121">
        <f>IFERROR($N173+VLOOKUP($L173,'Voyage days'!$F$94:$H$193,3,FALSE),"")</f>
        <v>45835</v>
      </c>
      <c r="AF173" s="120" t="str">
        <f t="shared" si="43"/>
        <v>01-06 Jun</v>
      </c>
      <c r="AG173" s="121">
        <f>IFERROR($M173+VLOOKUP($L173,'Voyage days'!$F$203:$H$256,3,FALSE),"")</f>
        <v>45809</v>
      </c>
      <c r="AH173" s="121">
        <f>IFERROR($N173+VLOOKUP($L173,'Voyage days'!$F$203:$H$256,3,FALSE),"")</f>
        <v>45814</v>
      </c>
      <c r="AI173" s="120" t="str">
        <f t="shared" si="44"/>
        <v>19-24 May</v>
      </c>
      <c r="AJ173" s="121">
        <f>IFERROR($M173+VLOOKUP($L173,'Voyage days'!$F$294:$H$377,3,FALSE),"")</f>
        <v>45796</v>
      </c>
      <c r="AK173" s="121">
        <f>IFERROR($N173+VLOOKUP($L173,'Voyage days'!$F$294:$H$377,3,FALSE),"")</f>
        <v>45801</v>
      </c>
      <c r="AL173" s="120" t="str">
        <f t="shared" si="45"/>
        <v>20-25 May</v>
      </c>
      <c r="AM173" s="121">
        <f>IFERROR($M173+VLOOKUP($L173,'Voyage days'!$F$382:$H$446,3,FALSE),"")</f>
        <v>45797</v>
      </c>
      <c r="AN173" s="121">
        <f>IFERROR($N173+VLOOKUP($L173,'Voyage days'!$F$382:$H$446,3,FALSE),"")</f>
        <v>45802</v>
      </c>
      <c r="AO173" s="120" t="str">
        <f t="shared" si="46"/>
        <v>22-27 May</v>
      </c>
      <c r="AP173" s="121">
        <f>IFERROR($M173+VLOOKUP($L173,'Voyage days'!$F$483:$H$538,3,FALSE),"")</f>
        <v>45799</v>
      </c>
      <c r="AQ173" s="121">
        <f>IFERROR($N173+VLOOKUP($L173,'Voyage days'!$F$483:$H$538,3,FALSE),"")</f>
        <v>45804</v>
      </c>
      <c r="AR173" s="120" t="str">
        <f t="shared" si="47"/>
        <v>20-25 May</v>
      </c>
      <c r="AS173" s="121">
        <f>IFERROR($M173+VLOOKUP($L173,'Voyage days'!$F$540:$H$613,3,FALSE),"")</f>
        <v>45797</v>
      </c>
      <c r="AT173" s="121">
        <f>IFERROR($N173+VLOOKUP($L173,'Voyage days'!$F$540:$H$613,3,FALSE),"")</f>
        <v>45802</v>
      </c>
      <c r="AU173" s="120" t="str">
        <f t="shared" si="48"/>
        <v/>
      </c>
      <c r="AV173" s="121" t="str">
        <f>IFERROR($M173+VLOOKUP($L173,'Voyage days'!$L$483:$N$535,3,FALSE),"")</f>
        <v/>
      </c>
      <c r="AW173" s="121" t="str">
        <f>IFERROR($N173+VLOOKUP($L173,'Voyage days'!$L$483:$N$535,3,FALSE),"")</f>
        <v/>
      </c>
      <c r="AX173" s="120" t="str">
        <f t="shared" si="49"/>
        <v/>
      </c>
      <c r="AY173" s="122" t="str">
        <f>IFERROR($M173+VLOOKUP($L173,'Voyage days'!$F$620:$H$646,3,FALSE),"")</f>
        <v/>
      </c>
      <c r="AZ173" s="122" t="str">
        <f>IFERROR($N173+VLOOKUP($L173,'Voyage days'!$F$620:$H$646,3,FALSE),"")</f>
        <v/>
      </c>
      <c r="BA173" s="120" t="str">
        <f t="shared" si="50"/>
        <v>20-10 May</v>
      </c>
      <c r="BB173" s="123">
        <f>IFERROR($M173+VLOOKUP($L173,'Voyage days'!$F$702:$H$727,3,FALSE),"")</f>
        <v>45797</v>
      </c>
      <c r="BC173" s="120" t="str">
        <f t="shared" si="51"/>
        <v>05-10 May</v>
      </c>
      <c r="BD173" s="122">
        <f>IFERROR($M173+VLOOKUP($L173,'Voyage days'!$F$807:$H$878,3,FALSE),"")</f>
        <v>45782</v>
      </c>
      <c r="BE173" s="122">
        <f>IFERROR($N173+VLOOKUP($L173,'Voyage days'!$F$807:$H$878,3,FALSE),"")</f>
        <v>45787</v>
      </c>
      <c r="BF173" s="609"/>
      <c r="BG173" s="609"/>
      <c r="BH173" s="609"/>
      <c r="BI173" s="609"/>
      <c r="BJ173" s="609"/>
      <c r="BK173" s="609"/>
      <c r="BL173" s="609"/>
      <c r="BM173" s="609"/>
    </row>
    <row r="174" ht="15.75" customHeight="1">
      <c r="A174" s="404" t="s">
        <v>178</v>
      </c>
      <c r="B174" s="101">
        <v>41481.0</v>
      </c>
      <c r="C174" s="1045">
        <v>84000.0</v>
      </c>
      <c r="D174" s="150" t="s">
        <v>1687</v>
      </c>
      <c r="E174" s="149" t="s">
        <v>689</v>
      </c>
      <c r="F174" s="1014"/>
      <c r="G174" s="149" t="s">
        <v>1611</v>
      </c>
      <c r="H174" s="149"/>
      <c r="I174" s="157" t="s">
        <v>956</v>
      </c>
      <c r="J174" s="536" t="s">
        <v>3074</v>
      </c>
      <c r="K174" s="470" t="str">
        <f t="shared" si="52"/>
        <v>Update</v>
      </c>
      <c r="L174" s="153" t="s">
        <v>95</v>
      </c>
      <c r="M174" s="276">
        <v>45788.0</v>
      </c>
      <c r="N174" s="276">
        <v>45789.0</v>
      </c>
      <c r="O174" s="155"/>
      <c r="P174" s="1141"/>
      <c r="Q174" s="1141"/>
      <c r="R174" s="157"/>
      <c r="S174" s="256" t="s">
        <v>934</v>
      </c>
      <c r="T174" s="420">
        <v>45782.0</v>
      </c>
      <c r="U174" s="114" t="str">
        <f>IF(V174="","No AIS",VLOOKUP(V174,'Voyage days'!$A$3:$B$1480,2,FALSE))</f>
        <v>Panama</v>
      </c>
      <c r="V174" s="114" t="str">
        <f>IF(VLOOKUP(A174,'1) Kpler'!$E$2:$P$1000,8, FALSE)="","",VLOOKUP(A174,'1) Kpler'!$E$2:$P$1000,8, FALSE))</f>
        <v>Panama Canal</v>
      </c>
      <c r="W174" s="159">
        <f>IF(VLOOKUP(A174,'1) Kpler'!$E$2:$P$1000,9,FALSE)="","",VLOOKUP(A174,'1) Kpler'!$E$2:$P$1000,9,FALSE))</f>
        <v>46134.75</v>
      </c>
      <c r="X174" s="114" t="str">
        <f>VLOOKUP(A174,'1) Kpler'!$E$2:$I$1000,4,FALSE)</f>
        <v>ballast</v>
      </c>
      <c r="Y174" s="272" t="str">
        <f t="shared" si="40"/>
        <v/>
      </c>
      <c r="Z174" s="163" t="str">
        <f t="shared" si="41"/>
        <v/>
      </c>
      <c r="AA174" s="122" t="str">
        <f>IFERROR($M174+VLOOKUP($L174,'Voyage days'!$F$38:$H$89,3,FALSE),"")</f>
        <v/>
      </c>
      <c r="AB174" s="122" t="str">
        <f>IFERROR(N174+VLOOKUP($L174,'Voyage days'!$F$38:$H$89,3,FALSE),"")</f>
        <v/>
      </c>
      <c r="AC174" s="163" t="str">
        <f t="shared" si="42"/>
        <v/>
      </c>
      <c r="AD174" s="122" t="str">
        <f>IFERROR($M174+VLOOKUP($L174,'Voyage days'!$F$94:$H$193,3,FALSE),"")</f>
        <v/>
      </c>
      <c r="AE174" s="122" t="str">
        <f>IFERROR($N174+VLOOKUP($L174,'Voyage days'!$F$94:$H$193,3,FALSE),"")</f>
        <v/>
      </c>
      <c r="AF174" s="163" t="str">
        <f t="shared" si="43"/>
        <v/>
      </c>
      <c r="AG174" s="122" t="str">
        <f>IFERROR($M174+VLOOKUP($L174,'Voyage days'!$F$203:$H$256,3,FALSE),"")</f>
        <v/>
      </c>
      <c r="AH174" s="122" t="str">
        <f>IFERROR($N174+VLOOKUP($L174,'Voyage days'!$F$203:$H$256,3,FALSE),"")</f>
        <v/>
      </c>
      <c r="AI174" s="163" t="str">
        <f t="shared" si="44"/>
        <v/>
      </c>
      <c r="AJ174" s="122" t="str">
        <f>IFERROR($M174+VLOOKUP($L174,'Voyage days'!$F$294:$H$377,3,FALSE),"")</f>
        <v/>
      </c>
      <c r="AK174" s="122" t="str">
        <f>IFERROR($N174+VLOOKUP($L174,'Voyage days'!$F$294:$H$377,3,FALSE),"")</f>
        <v/>
      </c>
      <c r="AL174" s="163" t="str">
        <f t="shared" si="45"/>
        <v/>
      </c>
      <c r="AM174" s="122" t="str">
        <f>IFERROR($M174+VLOOKUP($L174,'Voyage days'!$F$382:$H$446,3,FALSE),"")</f>
        <v/>
      </c>
      <c r="AN174" s="122" t="str">
        <f>IFERROR($N174+VLOOKUP($L174,'Voyage days'!$F$382:$H$446,3,FALSE),"")</f>
        <v/>
      </c>
      <c r="AO174" s="163" t="str">
        <f t="shared" si="46"/>
        <v/>
      </c>
      <c r="AP174" s="122" t="str">
        <f>IFERROR($M174+VLOOKUP($L174,'Voyage days'!$F$483:$H$538,3,FALSE),"")</f>
        <v/>
      </c>
      <c r="AQ174" s="122" t="str">
        <f>IFERROR($N174+VLOOKUP($L174,'Voyage days'!$F$483:$H$538,3,FALSE),"")</f>
        <v/>
      </c>
      <c r="AR174" s="163" t="str">
        <f t="shared" si="47"/>
        <v/>
      </c>
      <c r="AS174" s="122" t="str">
        <f>IFERROR($M174+VLOOKUP($L174,'Voyage days'!$F$540:$H$613,3,FALSE),"")</f>
        <v/>
      </c>
      <c r="AT174" s="122" t="str">
        <f>IFERROR($N174+VLOOKUP($L174,'Voyage days'!$F$540:$H$613,3,FALSE),"")</f>
        <v/>
      </c>
      <c r="AU174" s="163" t="str">
        <f t="shared" si="48"/>
        <v/>
      </c>
      <c r="AV174" s="122" t="str">
        <f>IFERROR($M174+VLOOKUP($L174,'Voyage days'!$L$483:$N$535,3,FALSE),"")</f>
        <v/>
      </c>
      <c r="AW174" s="122" t="str">
        <f>IFERROR($N174+VLOOKUP($L174,'Voyage days'!$L$483:$N$535,3,FALSE),"")</f>
        <v/>
      </c>
      <c r="AX174" s="163" t="str">
        <f t="shared" si="49"/>
        <v/>
      </c>
      <c r="AY174" s="122" t="str">
        <f>IFERROR($M174+VLOOKUP($L174,'Voyage days'!$F$620:$H$646,3,FALSE),"")</f>
        <v/>
      </c>
      <c r="AZ174" s="122" t="str">
        <f>IFERROR($N174+VLOOKUP($L174,'Voyage days'!$F$620:$H$646,3,FALSE),"")</f>
        <v/>
      </c>
      <c r="BA174" s="163" t="str">
        <f t="shared" si="50"/>
        <v/>
      </c>
      <c r="BB174" s="123" t="str">
        <f>IFERROR($M174+VLOOKUP($L174,'Voyage days'!$F$702:$H$727,3,FALSE),"")</f>
        <v/>
      </c>
      <c r="BC174" s="163" t="str">
        <f t="shared" si="51"/>
        <v/>
      </c>
      <c r="BD174" s="122" t="str">
        <f>IFERROR($M174+VLOOKUP($L174,'Voyage days'!$F$807:$H$878,3,FALSE),"")</f>
        <v/>
      </c>
      <c r="BE174" s="122" t="str">
        <f>IFERROR($N174+VLOOKUP($L174,'Voyage days'!$F$807:$H$878,3,FALSE),"")</f>
        <v/>
      </c>
      <c r="BF174" s="609"/>
      <c r="BG174" s="609"/>
      <c r="BH174" s="609"/>
      <c r="BI174" s="609"/>
      <c r="BJ174" s="609"/>
      <c r="BK174" s="609"/>
      <c r="BL174" s="609"/>
      <c r="BM174" s="609"/>
    </row>
    <row r="175" ht="15.75" customHeight="1">
      <c r="A175" s="1142" t="s">
        <v>501</v>
      </c>
      <c r="B175" s="542">
        <v>43123.0</v>
      </c>
      <c r="C175" s="1045">
        <v>78700.0</v>
      </c>
      <c r="D175" s="1143" t="s">
        <v>1687</v>
      </c>
      <c r="E175" s="1144" t="s">
        <v>689</v>
      </c>
      <c r="F175" s="1145"/>
      <c r="G175" s="1144" t="s">
        <v>1611</v>
      </c>
      <c r="H175" s="1144"/>
      <c r="I175" s="185" t="s">
        <v>956</v>
      </c>
      <c r="J175" s="686" t="s">
        <v>1080</v>
      </c>
      <c r="K175" s="336" t="str">
        <f t="shared" si="52"/>
        <v>Update</v>
      </c>
      <c r="L175" s="1094" t="s">
        <v>680</v>
      </c>
      <c r="M175" s="109">
        <v>45787.0</v>
      </c>
      <c r="N175" s="109">
        <v>45788.0</v>
      </c>
      <c r="O175" s="1146"/>
      <c r="P175" s="187"/>
      <c r="Q175" s="686"/>
      <c r="R175" s="108" t="s">
        <v>3075</v>
      </c>
      <c r="S175" s="1147" t="s">
        <v>934</v>
      </c>
      <c r="T175" s="113">
        <v>45786.0</v>
      </c>
      <c r="U175" s="114" t="str">
        <f>IF(V175="","No AIS",VLOOKUP(V175,'Voyage days'!$A$3:$B$1480,2,FALSE))</f>
        <v>Panama</v>
      </c>
      <c r="V175" s="115" t="str">
        <f>IF(VLOOKUP(A175,'1) Kpler'!$E$2:$P$1000,8, FALSE)="","",VLOOKUP(A175,'1) Kpler'!$E$2:$P$1000,8, FALSE))</f>
        <v>Panama Canal</v>
      </c>
      <c r="W175" s="116">
        <f>IF(VLOOKUP(A175,'1) Kpler'!$E$2:$P$1000,9,FALSE)="","",VLOOKUP(A175,'1) Kpler'!$E$2:$P$1000,9,FALSE))</f>
        <v>46140.625</v>
      </c>
      <c r="X175" s="115" t="str">
        <f>VLOOKUP(A175,'1) Kpler'!$E$2:$I$1000,4,FALSE)</f>
        <v>ballast</v>
      </c>
      <c r="Y175" s="117" t="str">
        <f t="shared" si="40"/>
        <v/>
      </c>
      <c r="Z175" s="120" t="str">
        <f t="shared" si="41"/>
        <v/>
      </c>
      <c r="AA175" s="121" t="str">
        <f>IFERROR($M175+VLOOKUP($L175,'Voyage days'!$F$38:$H$89,3,FALSE),"")</f>
        <v/>
      </c>
      <c r="AB175" s="121" t="str">
        <f>IFERROR(N175+VLOOKUP($L175,'Voyage days'!$F$38:$H$89,3,FALSE),"")</f>
        <v/>
      </c>
      <c r="AC175" s="120" t="str">
        <f t="shared" si="42"/>
        <v>10-11 May</v>
      </c>
      <c r="AD175" s="121">
        <f>IFERROR($M175+VLOOKUP($L175,'Voyage days'!$F$94:$H$193,3,FALSE),"")</f>
        <v>45787</v>
      </c>
      <c r="AE175" s="121">
        <f>IFERROR($N175+VLOOKUP($L175,'Voyage days'!$F$94:$H$193,3,FALSE),"")</f>
        <v>45788</v>
      </c>
      <c r="AF175" s="120" t="str">
        <f t="shared" si="43"/>
        <v>10-11 May</v>
      </c>
      <c r="AG175" s="121">
        <f>IFERROR($M175+VLOOKUP($L175,'Voyage days'!$F$203:$H$256,3,FALSE),"")</f>
        <v>45787</v>
      </c>
      <c r="AH175" s="121">
        <f>IFERROR($N175+VLOOKUP($L175,'Voyage days'!$F$203:$H$256,3,FALSE),"")</f>
        <v>45788</v>
      </c>
      <c r="AI175" s="120" t="str">
        <f t="shared" si="44"/>
        <v/>
      </c>
      <c r="AJ175" s="121" t="str">
        <f>IFERROR($M175+VLOOKUP($L175,'Voyage days'!$F$294:$H$377,3,FALSE),"")</f>
        <v/>
      </c>
      <c r="AK175" s="121" t="str">
        <f>IFERROR($N175+VLOOKUP($L175,'Voyage days'!$F$294:$H$377,3,FALSE),"")</f>
        <v/>
      </c>
      <c r="AL175" s="120" t="str">
        <f t="shared" si="45"/>
        <v>30-31 May</v>
      </c>
      <c r="AM175" s="121">
        <f>IFERROR($M175+VLOOKUP($L175,'Voyage days'!$F$382:$H$446,3,FALSE),"")</f>
        <v>45807</v>
      </c>
      <c r="AN175" s="121">
        <f>IFERROR($N175+VLOOKUP($L175,'Voyage days'!$F$382:$H$446,3,FALSE),"")</f>
        <v>45808</v>
      </c>
      <c r="AO175" s="120" t="str">
        <f t="shared" si="46"/>
        <v/>
      </c>
      <c r="AP175" s="121" t="str">
        <f>IFERROR($M175+VLOOKUP($L175,'Voyage days'!$F$483:$H$538,3,FALSE),"")</f>
        <v/>
      </c>
      <c r="AQ175" s="121" t="str">
        <f>IFERROR($N175+VLOOKUP($L175,'Voyage days'!$F$483:$H$538,3,FALSE),"")</f>
        <v/>
      </c>
      <c r="AR175" s="120" t="str">
        <f t="shared" si="47"/>
        <v/>
      </c>
      <c r="AS175" s="121" t="str">
        <f>IFERROR($M175+VLOOKUP($L175,'Voyage days'!$F$540:$H$613,3,FALSE),"")</f>
        <v/>
      </c>
      <c r="AT175" s="121" t="str">
        <f>IFERROR($N175+VLOOKUP($L175,'Voyage days'!$F$540:$H$613,3,FALSE),"")</f>
        <v/>
      </c>
      <c r="AU175" s="120" t="str">
        <f t="shared" si="48"/>
        <v/>
      </c>
      <c r="AV175" s="121" t="str">
        <f>IFERROR($M175+VLOOKUP($L175,'Voyage days'!$L$483:$N$535,3,FALSE),"")</f>
        <v/>
      </c>
      <c r="AW175" s="121" t="str">
        <f>IFERROR($N175+VLOOKUP($L175,'Voyage days'!$L$483:$N$535,3,FALSE),"")</f>
        <v/>
      </c>
      <c r="AX175" s="120" t="str">
        <f t="shared" si="49"/>
        <v/>
      </c>
      <c r="AY175" s="122" t="str">
        <f>IFERROR($M175+VLOOKUP($L175,'Voyage days'!$F$620:$H$646,3,FALSE),"")</f>
        <v/>
      </c>
      <c r="AZ175" s="122" t="str">
        <f>IFERROR($N175+VLOOKUP($L175,'Voyage days'!$F$620:$H$646,3,FALSE),"")</f>
        <v/>
      </c>
      <c r="BA175" s="120" t="str">
        <f t="shared" si="50"/>
        <v/>
      </c>
      <c r="BB175" s="123" t="str">
        <f>IFERROR($M175+VLOOKUP($L175,'Voyage days'!$F$702:$H$727,3,FALSE),"")</f>
        <v/>
      </c>
      <c r="BC175" s="120" t="str">
        <f t="shared" si="51"/>
        <v/>
      </c>
      <c r="BD175" s="122" t="str">
        <f>IFERROR($M175+VLOOKUP($L175,'Voyage days'!$F$807:$H$878,3,FALSE),"")</f>
        <v/>
      </c>
      <c r="BE175" s="122" t="str">
        <f>IFERROR($N175+VLOOKUP($L175,'Voyage days'!$F$807:$H$878,3,FALSE),"")</f>
        <v/>
      </c>
      <c r="BF175" s="609"/>
      <c r="BG175" s="609"/>
      <c r="BH175" s="609"/>
      <c r="BI175" s="609"/>
      <c r="BJ175" s="609"/>
      <c r="BK175" s="609"/>
      <c r="BL175" s="609"/>
      <c r="BM175" s="609"/>
    </row>
    <row r="176" ht="15.75" customHeight="1">
      <c r="A176" s="80" t="s">
        <v>415</v>
      </c>
      <c r="B176" s="148">
        <v>2022.0</v>
      </c>
      <c r="C176" s="1045">
        <v>91000.0</v>
      </c>
      <c r="D176" s="104"/>
      <c r="E176" s="103" t="s">
        <v>666</v>
      </c>
      <c r="F176" s="604"/>
      <c r="G176" s="605">
        <v>45931.0</v>
      </c>
      <c r="H176" s="103"/>
      <c r="I176" s="185" t="s">
        <v>956</v>
      </c>
      <c r="J176" s="111"/>
      <c r="K176" s="336" t="str">
        <f t="shared" si="52"/>
        <v>Update</v>
      </c>
      <c r="L176" s="108" t="s">
        <v>680</v>
      </c>
      <c r="M176" s="109">
        <v>45811.0</v>
      </c>
      <c r="N176" s="109">
        <v>45813.0</v>
      </c>
      <c r="O176" s="110"/>
      <c r="P176" s="185"/>
      <c r="Q176" s="185"/>
      <c r="R176" s="108" t="s">
        <v>3076</v>
      </c>
      <c r="S176" s="112" t="s">
        <v>33</v>
      </c>
      <c r="T176" s="113">
        <v>45781.0</v>
      </c>
      <c r="U176" s="114" t="str">
        <f>IF(V176="","No AIS",VLOOKUP(V176,'Voyage days'!$A$3:$B$1480,2,FALSE))</f>
        <v>Port Louis</v>
      </c>
      <c r="V176" s="115" t="str">
        <f>IF(VLOOKUP(A176,'1) Kpler'!$E$2:$P$1000,8, FALSE)="","",VLOOKUP(A176,'1) Kpler'!$E$2:$P$1000,8, FALSE))</f>
        <v>Port Louis</v>
      </c>
      <c r="W176" s="116">
        <f>IF(VLOOKUP(A176,'1) Kpler'!$E$2:$P$1000,9,FALSE)="","",VLOOKUP(A176,'1) Kpler'!$E$2:$P$1000,9,FALSE))</f>
        <v>46151.20833</v>
      </c>
      <c r="X176" s="115" t="str">
        <f>VLOOKUP(A176,'1) Kpler'!$E$2:$I$1000,4,FALSE)</f>
        <v>loaded</v>
      </c>
      <c r="Y176" s="160" t="str">
        <f t="shared" si="40"/>
        <v/>
      </c>
      <c r="Z176" s="120" t="str">
        <f t="shared" si="41"/>
        <v/>
      </c>
      <c r="AA176" s="121" t="str">
        <f>IFERROR($M176+VLOOKUP($L176,'Voyage days'!$F$38:$H$89,3,FALSE),"")</f>
        <v/>
      </c>
      <c r="AB176" s="121" t="str">
        <f>IFERROR(N176+VLOOKUP($L176,'Voyage days'!$F$38:$H$89,3,FALSE),"")</f>
        <v/>
      </c>
      <c r="AC176" s="120" t="str">
        <f t="shared" si="42"/>
        <v>03-05 Jun</v>
      </c>
      <c r="AD176" s="121">
        <f>IFERROR($M176+VLOOKUP($L176,'Voyage days'!$F$94:$H$193,3,FALSE),"")</f>
        <v>45811</v>
      </c>
      <c r="AE176" s="121">
        <f>IFERROR($N176+VLOOKUP($L176,'Voyage days'!$F$94:$H$193,3,FALSE),"")</f>
        <v>45813</v>
      </c>
      <c r="AF176" s="120" t="str">
        <f t="shared" si="43"/>
        <v>03-05 Jun</v>
      </c>
      <c r="AG176" s="121">
        <f>IFERROR($M176+VLOOKUP($L176,'Voyage days'!$F$203:$H$256,3,FALSE),"")</f>
        <v>45811</v>
      </c>
      <c r="AH176" s="121">
        <f>IFERROR($N176+VLOOKUP($L176,'Voyage days'!$F$203:$H$256,3,FALSE),"")</f>
        <v>45813</v>
      </c>
      <c r="AI176" s="120" t="str">
        <f t="shared" si="44"/>
        <v/>
      </c>
      <c r="AJ176" s="121" t="str">
        <f>IFERROR($M176+VLOOKUP($L176,'Voyage days'!$F$294:$H$377,3,FALSE),"")</f>
        <v/>
      </c>
      <c r="AK176" s="121" t="str">
        <f>IFERROR($N176+VLOOKUP($L176,'Voyage days'!$F$294:$H$377,3,FALSE),"")</f>
        <v/>
      </c>
      <c r="AL176" s="120" t="str">
        <f t="shared" si="45"/>
        <v>23-25 Jun</v>
      </c>
      <c r="AM176" s="121">
        <f>IFERROR($M176+VLOOKUP($L176,'Voyage days'!$F$382:$H$446,3,FALSE),"")</f>
        <v>45831</v>
      </c>
      <c r="AN176" s="121">
        <f>IFERROR($N176+VLOOKUP($L176,'Voyage days'!$F$382:$H$446,3,FALSE),"")</f>
        <v>45833</v>
      </c>
      <c r="AO176" s="120" t="str">
        <f t="shared" si="46"/>
        <v/>
      </c>
      <c r="AP176" s="121" t="str">
        <f>IFERROR($M176+VLOOKUP($L176,'Voyage days'!$F$483:$H$538,3,FALSE),"")</f>
        <v/>
      </c>
      <c r="AQ176" s="121" t="str">
        <f>IFERROR($N176+VLOOKUP($L176,'Voyage days'!$F$483:$H$538,3,FALSE),"")</f>
        <v/>
      </c>
      <c r="AR176" s="120" t="str">
        <f t="shared" si="47"/>
        <v/>
      </c>
      <c r="AS176" s="121" t="str">
        <f>IFERROR($M176+VLOOKUP($L176,'Voyage days'!$F$540:$H$613,3,FALSE),"")</f>
        <v/>
      </c>
      <c r="AT176" s="121" t="str">
        <f>IFERROR($N176+VLOOKUP($L176,'Voyage days'!$F$540:$H$613,3,FALSE),"")</f>
        <v/>
      </c>
      <c r="AU176" s="120" t="str">
        <f t="shared" si="48"/>
        <v/>
      </c>
      <c r="AV176" s="121" t="str">
        <f>IFERROR($M176+VLOOKUP($L176,'Voyage days'!$L$483:$N$535,3,FALSE),"")</f>
        <v/>
      </c>
      <c r="AW176" s="121" t="str">
        <f>IFERROR($N176+VLOOKUP($L176,'Voyage days'!$L$483:$N$535,3,FALSE),"")</f>
        <v/>
      </c>
      <c r="AX176" s="120" t="str">
        <f t="shared" si="49"/>
        <v/>
      </c>
      <c r="AY176" s="122" t="str">
        <f>IFERROR($M176+VLOOKUP($L176,'Voyage days'!$F$620:$H$646,3,FALSE),"")</f>
        <v/>
      </c>
      <c r="AZ176" s="122" t="str">
        <f>IFERROR($N176+VLOOKUP($L176,'Voyage days'!$F$620:$H$646,3,FALSE),"")</f>
        <v/>
      </c>
      <c r="BA176" s="120" t="str">
        <f t="shared" si="50"/>
        <v/>
      </c>
      <c r="BB176" s="123" t="str">
        <f>IFERROR($M176+VLOOKUP($L176,'Voyage days'!$F$702:$H$727,3,FALSE),"")</f>
        <v/>
      </c>
      <c r="BC176" s="120" t="str">
        <f t="shared" si="51"/>
        <v/>
      </c>
      <c r="BD176" s="122" t="str">
        <f>IFERROR($M176+VLOOKUP($L176,'Voyage days'!$F$807:$H$878,3,FALSE),"")</f>
        <v/>
      </c>
      <c r="BE176" s="122" t="str">
        <f>IFERROR($N176+VLOOKUP($L176,'Voyage days'!$F$807:$H$878,3,FALSE),"")</f>
        <v/>
      </c>
      <c r="BF176" s="609"/>
      <c r="BG176" s="609"/>
      <c r="BH176" s="609"/>
      <c r="BI176" s="609"/>
      <c r="BJ176" s="609"/>
      <c r="BK176" s="609"/>
      <c r="BL176" s="609"/>
      <c r="BM176" s="609"/>
    </row>
    <row r="177" ht="15.75" customHeight="1">
      <c r="A177" s="80" t="s">
        <v>444</v>
      </c>
      <c r="B177" s="148">
        <v>2023.0</v>
      </c>
      <c r="C177" s="1148">
        <v>91000.0</v>
      </c>
      <c r="D177" s="104"/>
      <c r="E177" s="103" t="s">
        <v>666</v>
      </c>
      <c r="F177" s="604"/>
      <c r="G177" s="605">
        <v>46054.0</v>
      </c>
      <c r="H177" s="103"/>
      <c r="I177" s="185" t="s">
        <v>956</v>
      </c>
      <c r="J177" s="111"/>
      <c r="K177" s="336" t="str">
        <f t="shared" si="52"/>
        <v>Update</v>
      </c>
      <c r="L177" s="108" t="s">
        <v>668</v>
      </c>
      <c r="M177" s="109">
        <v>45797.0</v>
      </c>
      <c r="N177" s="109">
        <v>45799.0</v>
      </c>
      <c r="O177" s="110"/>
      <c r="P177" s="185"/>
      <c r="Q177" s="185"/>
      <c r="R177" s="185"/>
      <c r="S177" s="112" t="s">
        <v>2962</v>
      </c>
      <c r="T177" s="113">
        <v>45778.0</v>
      </c>
      <c r="U177" s="114" t="str">
        <f>IF(V177="","No AIS",VLOOKUP(V177,'Voyage days'!$A$3:$B$1480,2,FALSE))</f>
        <v>Taiwan + 2</v>
      </c>
      <c r="V177" s="115" t="str">
        <f>IF(VLOOKUP(A177,'1) Kpler'!$E$2:$P$1000,8, FALSE)="","",VLOOKUP(A177,'1) Kpler'!$E$2:$P$1000,8, FALSE))</f>
        <v>Mailiao</v>
      </c>
      <c r="W177" s="116">
        <f>IF(VLOOKUP(A177,'1) Kpler'!$E$2:$P$1000,9,FALSE)="","",VLOOKUP(A177,'1) Kpler'!$E$2:$P$1000,9,FALSE))</f>
        <v>46132.79167</v>
      </c>
      <c r="X177" s="115" t="str">
        <f>VLOOKUP(A177,'1) Kpler'!$E$2:$I$1000,4,FALSE)</f>
        <v>loaded</v>
      </c>
      <c r="Y177" s="117" t="str">
        <f t="shared" si="40"/>
        <v>07-09 Jun</v>
      </c>
      <c r="Z177" s="120" t="str">
        <f t="shared" si="41"/>
        <v>07-09 Jun</v>
      </c>
      <c r="AA177" s="121">
        <f>IFERROR($M177+VLOOKUP($L177,'Voyage days'!$F$38:$H$89,3,FALSE),"")</f>
        <v>45815</v>
      </c>
      <c r="AB177" s="121">
        <f>IFERROR(N177+VLOOKUP($L177,'Voyage days'!$F$38:$H$89,3,FALSE),"")</f>
        <v>45817</v>
      </c>
      <c r="AC177" s="120" t="str">
        <f t="shared" si="42"/>
        <v>21-23 Jun</v>
      </c>
      <c r="AD177" s="121">
        <f>IFERROR($M177+VLOOKUP($L177,'Voyage days'!$F$94:$H$193,3,FALSE),"")</f>
        <v>45829</v>
      </c>
      <c r="AE177" s="121">
        <f>IFERROR($N177+VLOOKUP($L177,'Voyage days'!$F$94:$H$193,3,FALSE),"")</f>
        <v>45831</v>
      </c>
      <c r="AF177" s="120" t="str">
        <f t="shared" si="43"/>
        <v>01-03 Jul</v>
      </c>
      <c r="AG177" s="121">
        <f>IFERROR($M177+VLOOKUP($L177,'Voyage days'!$F$203:$H$256,3,FALSE),"")</f>
        <v>45839</v>
      </c>
      <c r="AH177" s="121">
        <f>IFERROR($N177+VLOOKUP($L177,'Voyage days'!$F$203:$H$256,3,FALSE),"")</f>
        <v>45841</v>
      </c>
      <c r="AI177" s="120" t="str">
        <f t="shared" si="44"/>
        <v>19-21 Jun</v>
      </c>
      <c r="AJ177" s="121">
        <f>IFERROR($M177+VLOOKUP($L177,'Voyage days'!$F$294:$H$377,3,FALSE),"")</f>
        <v>45827</v>
      </c>
      <c r="AK177" s="121">
        <f>IFERROR($N177+VLOOKUP($L177,'Voyage days'!$F$294:$H$377,3,FALSE),"")</f>
        <v>45829</v>
      </c>
      <c r="AL177" s="120" t="str">
        <f t="shared" si="45"/>
        <v>25-27 Jun</v>
      </c>
      <c r="AM177" s="121">
        <f>IFERROR($M177+VLOOKUP($L177,'Voyage days'!$F$382:$H$446,3,FALSE),"")</f>
        <v>45833</v>
      </c>
      <c r="AN177" s="121">
        <f>IFERROR($N177+VLOOKUP($L177,'Voyage days'!$F$382:$H$446,3,FALSE),"")</f>
        <v>45835</v>
      </c>
      <c r="AO177" s="120" t="str">
        <f t="shared" si="46"/>
        <v>02-04 Jun</v>
      </c>
      <c r="AP177" s="121">
        <f>IFERROR($M177+VLOOKUP($L177,'Voyage days'!$F$483:$H$538,3,FALSE),"")</f>
        <v>45810</v>
      </c>
      <c r="AQ177" s="121">
        <f>IFERROR($N177+VLOOKUP($L177,'Voyage days'!$F$483:$H$538,3,FALSE),"")</f>
        <v>45812</v>
      </c>
      <c r="AR177" s="120" t="str">
        <f t="shared" si="47"/>
        <v>28-30 May</v>
      </c>
      <c r="AS177" s="121">
        <f>IFERROR($M177+VLOOKUP($L177,'Voyage days'!$F$540:$H$613,3,FALSE),"")</f>
        <v>45805.25</v>
      </c>
      <c r="AT177" s="121">
        <f>IFERROR($N177+VLOOKUP($L177,'Voyage days'!$F$540:$H$613,3,FALSE),"")</f>
        <v>45807.25</v>
      </c>
      <c r="AU177" s="120" t="str">
        <f t="shared" si="48"/>
        <v/>
      </c>
      <c r="AV177" s="121" t="str">
        <f>IFERROR($M177+VLOOKUP($L177,'Voyage days'!$L$483:$N$535,3,FALSE),"")</f>
        <v/>
      </c>
      <c r="AW177" s="121" t="str">
        <f>IFERROR($N177+VLOOKUP($L177,'Voyage days'!$L$483:$N$535,3,FALSE),"")</f>
        <v/>
      </c>
      <c r="AX177" s="120" t="str">
        <f t="shared" si="49"/>
        <v>31-02 Jun</v>
      </c>
      <c r="AY177" s="122">
        <f>IFERROR($M177+VLOOKUP($L177,'Voyage days'!$F$620:$H$646,3,FALSE),"")</f>
        <v>45808</v>
      </c>
      <c r="AZ177" s="122">
        <f>IFERROR($N177+VLOOKUP($L177,'Voyage days'!$F$620:$H$646,3,FALSE),"")</f>
        <v>45810</v>
      </c>
      <c r="BA177" s="120" t="str">
        <f t="shared" si="50"/>
        <v>28-07 Jul</v>
      </c>
      <c r="BB177" s="123">
        <f>IFERROR($M177+VLOOKUP($L177,'Voyage days'!$F$702:$H$727,3,FALSE),"")</f>
        <v>45805.25</v>
      </c>
      <c r="BC177" s="120" t="str">
        <f t="shared" si="51"/>
        <v>05-07 Jul</v>
      </c>
      <c r="BD177" s="122">
        <f>IFERROR($M177+VLOOKUP($L177,'Voyage days'!$F$807:$H$878,3,FALSE),"")</f>
        <v>45843</v>
      </c>
      <c r="BE177" s="122">
        <f>IFERROR($N177+VLOOKUP($L177,'Voyage days'!$F$807:$H$878,3,FALSE),"")</f>
        <v>45845</v>
      </c>
      <c r="BF177" s="609"/>
      <c r="BG177" s="609"/>
      <c r="BH177" s="609"/>
      <c r="BI177" s="609"/>
      <c r="BJ177" s="609"/>
      <c r="BK177" s="609"/>
      <c r="BL177" s="609"/>
      <c r="BM177" s="609"/>
    </row>
    <row r="178" ht="15.75" customHeight="1">
      <c r="A178" s="406" t="s">
        <v>574</v>
      </c>
      <c r="B178" s="101">
        <v>43039.0</v>
      </c>
      <c r="C178" s="1045">
        <v>78700.0</v>
      </c>
      <c r="D178" s="104" t="s">
        <v>1687</v>
      </c>
      <c r="E178" s="103"/>
      <c r="F178" s="604">
        <v>44105.0</v>
      </c>
      <c r="G178" s="605">
        <v>46692.0</v>
      </c>
      <c r="H178" s="103"/>
      <c r="I178" s="185" t="s">
        <v>956</v>
      </c>
      <c r="J178" s="185" t="s">
        <v>3077</v>
      </c>
      <c r="K178" s="336" t="str">
        <f t="shared" si="52"/>
        <v>Update</v>
      </c>
      <c r="L178" s="199" t="s">
        <v>656</v>
      </c>
      <c r="M178" s="109">
        <v>45809.0</v>
      </c>
      <c r="N178" s="109">
        <v>45813.0</v>
      </c>
      <c r="O178" s="110"/>
      <c r="P178" s="185"/>
      <c r="Q178" s="185"/>
      <c r="R178" s="108" t="s">
        <v>3078</v>
      </c>
      <c r="S178" s="112" t="s">
        <v>934</v>
      </c>
      <c r="T178" s="113">
        <v>45779.0</v>
      </c>
      <c r="U178" s="114" t="str">
        <f>IF(V178="","No AIS",VLOOKUP(V178,'Voyage days'!$A$3:$B$1480,2,FALSE))</f>
        <v>North China +4</v>
      </c>
      <c r="V178" s="115" t="str">
        <f>IF(VLOOKUP(A178,'1) Kpler'!$E$2:$P$1000,8, FALSE)="","",VLOOKUP(A178,'1) Kpler'!$E$2:$P$1000,8, FALSE))</f>
        <v>Qingdao Huangdao</v>
      </c>
      <c r="W178" s="116">
        <f>IF(VLOOKUP(A178,'1) Kpler'!$E$2:$P$1000,9,FALSE)="","",VLOOKUP(A178,'1) Kpler'!$E$2:$P$1000,9,FALSE))</f>
        <v>46148.45833</v>
      </c>
      <c r="X178" s="115" t="str">
        <f>VLOOKUP(A178,'1) Kpler'!$E$2:$I$1000,4,FALSE)</f>
        <v>loaded</v>
      </c>
      <c r="Y178" s="160" t="str">
        <f t="shared" si="40"/>
        <v>19-23 Jun</v>
      </c>
      <c r="Z178" s="120" t="str">
        <f t="shared" si="41"/>
        <v>19-23 Jun</v>
      </c>
      <c r="AA178" s="121">
        <f>IFERROR($M178+VLOOKUP($L178,'Voyage days'!$F$38:$H$89,3,FALSE),"")</f>
        <v>45827</v>
      </c>
      <c r="AB178" s="121">
        <f>IFERROR(N178+VLOOKUP($L178,'Voyage days'!$F$38:$H$89,3,FALSE),"")</f>
        <v>45831</v>
      </c>
      <c r="AC178" s="120" t="str">
        <f t="shared" si="42"/>
        <v>02-06 Jul</v>
      </c>
      <c r="AD178" s="121">
        <f>IFERROR($M178+VLOOKUP($L178,'Voyage days'!$F$94:$H$193,3,FALSE),"")</f>
        <v>45840</v>
      </c>
      <c r="AE178" s="121">
        <f>IFERROR($N178+VLOOKUP($L178,'Voyage days'!$F$94:$H$193,3,FALSE),"")</f>
        <v>45844</v>
      </c>
      <c r="AF178" s="120" t="str">
        <f t="shared" si="43"/>
        <v>09-13 Jul</v>
      </c>
      <c r="AG178" s="121">
        <f>IFERROR($M178+VLOOKUP($L178,'Voyage days'!$F$203:$H$256,3,FALSE),"")</f>
        <v>45847</v>
      </c>
      <c r="AH178" s="121">
        <f>IFERROR($N178+VLOOKUP($L178,'Voyage days'!$F$203:$H$256,3,FALSE),"")</f>
        <v>45851</v>
      </c>
      <c r="AI178" s="120" t="str">
        <f t="shared" si="44"/>
        <v>01-05 Jul</v>
      </c>
      <c r="AJ178" s="121">
        <f>IFERROR($M178+VLOOKUP($L178,'Voyage days'!$F$294:$H$377,3,FALSE),"")</f>
        <v>45839</v>
      </c>
      <c r="AK178" s="121">
        <f>IFERROR($N178+VLOOKUP($L178,'Voyage days'!$F$294:$H$377,3,FALSE),"")</f>
        <v>45843</v>
      </c>
      <c r="AL178" s="120" t="str">
        <f t="shared" si="45"/>
        <v>07-11 Jul</v>
      </c>
      <c r="AM178" s="121">
        <f>IFERROR($M178+VLOOKUP($L178,'Voyage days'!$F$382:$H$446,3,FALSE),"")</f>
        <v>45845</v>
      </c>
      <c r="AN178" s="121">
        <f>IFERROR($N178+VLOOKUP($L178,'Voyage days'!$F$382:$H$446,3,FALSE),"")</f>
        <v>45849</v>
      </c>
      <c r="AO178" s="120" t="str">
        <f t="shared" si="46"/>
        <v>14-18 Jun</v>
      </c>
      <c r="AP178" s="121">
        <f>IFERROR($M178+VLOOKUP($L178,'Voyage days'!$F$483:$H$538,3,FALSE),"")</f>
        <v>45822</v>
      </c>
      <c r="AQ178" s="121">
        <f>IFERROR($N178+VLOOKUP($L178,'Voyage days'!$F$483:$H$538,3,FALSE),"")</f>
        <v>45826</v>
      </c>
      <c r="AR178" s="120" t="str">
        <f t="shared" si="47"/>
        <v>09-13 Jun</v>
      </c>
      <c r="AS178" s="121">
        <f>IFERROR($M178+VLOOKUP($L178,'Voyage days'!$F$540:$H$613,3,FALSE),"")</f>
        <v>45817.25</v>
      </c>
      <c r="AT178" s="121">
        <f>IFERROR($N178+VLOOKUP($L178,'Voyage days'!$F$540:$H$613,3,FALSE),"")</f>
        <v>45821.25</v>
      </c>
      <c r="AU178" s="120" t="str">
        <f t="shared" si="48"/>
        <v/>
      </c>
      <c r="AV178" s="121" t="str">
        <f>IFERROR($M178+VLOOKUP($L178,'Voyage days'!$L$483:$N$535,3,FALSE),"")</f>
        <v/>
      </c>
      <c r="AW178" s="121" t="str">
        <f>IFERROR($N178+VLOOKUP($L178,'Voyage days'!$L$483:$N$535,3,FALSE),"")</f>
        <v/>
      </c>
      <c r="AX178" s="120" t="str">
        <f t="shared" si="49"/>
        <v>12-16 Jun</v>
      </c>
      <c r="AY178" s="122">
        <f>IFERROR($M178+VLOOKUP($L178,'Voyage days'!$F$620:$H$646,3,FALSE),"")</f>
        <v>45820</v>
      </c>
      <c r="AZ178" s="122">
        <f>IFERROR($N178+VLOOKUP($L178,'Voyage days'!$F$620:$H$646,3,FALSE),"")</f>
        <v>45824</v>
      </c>
      <c r="BA178" s="120" t="str">
        <f t="shared" si="50"/>
        <v>09-21 Jul</v>
      </c>
      <c r="BB178" s="123">
        <f>IFERROR($M178+VLOOKUP($L178,'Voyage days'!$F$702:$H$727,3,FALSE),"")</f>
        <v>45817.25</v>
      </c>
      <c r="BC178" s="120" t="str">
        <f t="shared" si="51"/>
        <v>17-21 Jul</v>
      </c>
      <c r="BD178" s="122">
        <f>IFERROR($M178+VLOOKUP($L178,'Voyage days'!$F$807:$H$878,3,FALSE),"")</f>
        <v>45855</v>
      </c>
      <c r="BE178" s="122">
        <f>IFERROR($N178+VLOOKUP($L178,'Voyage days'!$F$807:$H$878,3,FALSE),"")</f>
        <v>45859</v>
      </c>
      <c r="BF178" s="609"/>
      <c r="BG178" s="609"/>
      <c r="BH178" s="609"/>
      <c r="BI178" s="609"/>
      <c r="BJ178" s="609"/>
      <c r="BK178" s="609"/>
      <c r="BL178" s="609"/>
      <c r="BM178" s="609"/>
    </row>
    <row r="179" ht="15.75" customHeight="1">
      <c r="A179" s="461" t="s">
        <v>572</v>
      </c>
      <c r="B179" s="222">
        <v>43104.0</v>
      </c>
      <c r="C179" s="1101">
        <v>78700.0</v>
      </c>
      <c r="D179" s="168" t="s">
        <v>1687</v>
      </c>
      <c r="E179" s="223"/>
      <c r="F179" s="1010">
        <v>44197.0</v>
      </c>
      <c r="G179" s="1011">
        <v>46753.0</v>
      </c>
      <c r="H179" s="223"/>
      <c r="I179" s="463" t="s">
        <v>956</v>
      </c>
      <c r="J179" s="312" t="s">
        <v>3077</v>
      </c>
      <c r="K179" s="469" t="str">
        <f t="shared" si="52"/>
        <v>Update</v>
      </c>
      <c r="L179" s="463" t="s">
        <v>680</v>
      </c>
      <c r="M179" s="173">
        <v>45786.0</v>
      </c>
      <c r="N179" s="583">
        <v>45787.0</v>
      </c>
      <c r="O179" s="174"/>
      <c r="P179" s="463"/>
      <c r="Q179" s="463"/>
      <c r="R179" s="172" t="s">
        <v>3079</v>
      </c>
      <c r="S179" s="175" t="s">
        <v>934</v>
      </c>
      <c r="T179" s="176">
        <v>45779.0</v>
      </c>
      <c r="U179" s="177" t="str">
        <f>IF(V179="","No AIS",VLOOKUP(V179,'Voyage days'!$A$3:$B$1480,2,FALSE))</f>
        <v>USG</v>
      </c>
      <c r="V179" s="178" t="str">
        <f>IF(VLOOKUP(A179,'1) Kpler'!$E$2:$P$1000,8, FALSE)="","",VLOOKUP(A179,'1) Kpler'!$E$2:$P$1000,8, FALSE))</f>
        <v>Houston</v>
      </c>
      <c r="W179" s="179">
        <f>IF(VLOOKUP(A179,'1) Kpler'!$E$2:$P$1000,9,FALSE)="","",VLOOKUP(A179,'1) Kpler'!$E$2:$P$1000,9,FALSE))</f>
        <v>46137.70833</v>
      </c>
      <c r="X179" s="178" t="str">
        <f>VLOOKUP(A179,'1) Kpler'!$E$2:$I$1000,4,FALSE)</f>
        <v>ballast</v>
      </c>
      <c r="Y179" s="180" t="str">
        <f t="shared" si="40"/>
        <v/>
      </c>
      <c r="Z179" s="120" t="str">
        <f t="shared" si="41"/>
        <v/>
      </c>
      <c r="AA179" s="121" t="str">
        <f>IFERROR($M179+VLOOKUP($L179,'Voyage days'!$F$38:$H$89,3,FALSE),"")</f>
        <v/>
      </c>
      <c r="AB179" s="121" t="str">
        <f>IFERROR(N179+VLOOKUP($L179,'Voyage days'!$F$38:$H$89,3,FALSE),"")</f>
        <v/>
      </c>
      <c r="AC179" s="120" t="str">
        <f t="shared" si="42"/>
        <v>09-10 May</v>
      </c>
      <c r="AD179" s="121">
        <f>IFERROR($M179+VLOOKUP($L179,'Voyage days'!$F$94:$H$193,3,FALSE),"")</f>
        <v>45786</v>
      </c>
      <c r="AE179" s="121">
        <f>IFERROR($N179+VLOOKUP($L179,'Voyage days'!$F$94:$H$193,3,FALSE),"")</f>
        <v>45787</v>
      </c>
      <c r="AF179" s="120" t="str">
        <f t="shared" si="43"/>
        <v>09-10 May</v>
      </c>
      <c r="AG179" s="121">
        <f>IFERROR($M179+VLOOKUP($L179,'Voyage days'!$F$203:$H$256,3,FALSE),"")</f>
        <v>45786</v>
      </c>
      <c r="AH179" s="121">
        <f>IFERROR($N179+VLOOKUP($L179,'Voyage days'!$F$203:$H$256,3,FALSE),"")</f>
        <v>45787</v>
      </c>
      <c r="AI179" s="120" t="str">
        <f t="shared" si="44"/>
        <v/>
      </c>
      <c r="AJ179" s="121" t="str">
        <f>IFERROR($M179+VLOOKUP($L179,'Voyage days'!$F$294:$H$377,3,FALSE),"")</f>
        <v/>
      </c>
      <c r="AK179" s="121" t="str">
        <f>IFERROR($N179+VLOOKUP($L179,'Voyage days'!$F$294:$H$377,3,FALSE),"")</f>
        <v/>
      </c>
      <c r="AL179" s="120" t="str">
        <f t="shared" si="45"/>
        <v>29-30 May</v>
      </c>
      <c r="AM179" s="121">
        <f>IFERROR($M179+VLOOKUP($L179,'Voyage days'!$F$382:$H$446,3,FALSE),"")</f>
        <v>45806</v>
      </c>
      <c r="AN179" s="121">
        <f>IFERROR($N179+VLOOKUP($L179,'Voyage days'!$F$382:$H$446,3,FALSE),"")</f>
        <v>45807</v>
      </c>
      <c r="AO179" s="120" t="str">
        <f t="shared" si="46"/>
        <v/>
      </c>
      <c r="AP179" s="121" t="str">
        <f>IFERROR($M179+VLOOKUP($L179,'Voyage days'!$F$483:$H$538,3,FALSE),"")</f>
        <v/>
      </c>
      <c r="AQ179" s="121" t="str">
        <f>IFERROR($N179+VLOOKUP($L179,'Voyage days'!$F$483:$H$538,3,FALSE),"")</f>
        <v/>
      </c>
      <c r="AR179" s="120" t="str">
        <f t="shared" si="47"/>
        <v/>
      </c>
      <c r="AS179" s="121" t="str">
        <f>IFERROR($M179+VLOOKUP($L179,'Voyage days'!$F$540:$H$613,3,FALSE),"")</f>
        <v/>
      </c>
      <c r="AT179" s="121" t="str">
        <f>IFERROR($N179+VLOOKUP($L179,'Voyage days'!$F$540:$H$613,3,FALSE),"")</f>
        <v/>
      </c>
      <c r="AU179" s="120" t="str">
        <f t="shared" si="48"/>
        <v/>
      </c>
      <c r="AV179" s="121" t="str">
        <f>IFERROR($M179+VLOOKUP($L179,'Voyage days'!$L$483:$N$535,3,FALSE),"")</f>
        <v/>
      </c>
      <c r="AW179" s="121" t="str">
        <f>IFERROR($N179+VLOOKUP($L179,'Voyage days'!$L$483:$N$535,3,FALSE),"")</f>
        <v/>
      </c>
      <c r="AX179" s="120" t="str">
        <f t="shared" si="49"/>
        <v/>
      </c>
      <c r="AY179" s="122" t="str">
        <f>IFERROR($M179+VLOOKUP($L179,'Voyage days'!$F$620:$H$646,3,FALSE),"")</f>
        <v/>
      </c>
      <c r="AZ179" s="122" t="str">
        <f>IFERROR($N179+VLOOKUP($L179,'Voyage days'!$F$620:$H$646,3,FALSE),"")</f>
        <v/>
      </c>
      <c r="BA179" s="120" t="str">
        <f t="shared" si="50"/>
        <v/>
      </c>
      <c r="BB179" s="123" t="str">
        <f>IFERROR($M179+VLOOKUP($L179,'Voyage days'!$F$702:$H$727,3,FALSE),"")</f>
        <v/>
      </c>
      <c r="BC179" s="120" t="str">
        <f t="shared" si="51"/>
        <v/>
      </c>
      <c r="BD179" s="122" t="str">
        <f>IFERROR($M179+VLOOKUP($L179,'Voyage days'!$F$807:$H$878,3,FALSE),"")</f>
        <v/>
      </c>
      <c r="BE179" s="122" t="str">
        <f>IFERROR($N179+VLOOKUP($L179,'Voyage days'!$F$807:$H$878,3,FALSE),"")</f>
        <v/>
      </c>
      <c r="BF179" s="609"/>
      <c r="BG179" s="609"/>
      <c r="BH179" s="609"/>
      <c r="BI179" s="609"/>
      <c r="BJ179" s="609"/>
      <c r="BK179" s="609"/>
      <c r="BL179" s="609"/>
      <c r="BM179" s="609"/>
    </row>
    <row r="180" ht="15.75" customHeight="1">
      <c r="A180" s="274" t="s">
        <v>74</v>
      </c>
      <c r="B180" s="148">
        <v>2023.0</v>
      </c>
      <c r="C180" s="1148">
        <v>86700.0</v>
      </c>
      <c r="D180" s="150"/>
      <c r="E180" s="149" t="s">
        <v>666</v>
      </c>
      <c r="F180" s="1014"/>
      <c r="G180" s="1015" t="s">
        <v>2907</v>
      </c>
      <c r="H180" s="149"/>
      <c r="I180" s="157" t="s">
        <v>968</v>
      </c>
      <c r="J180" s="536"/>
      <c r="K180" s="470" t="str">
        <f t="shared" si="52"/>
        <v>Update</v>
      </c>
      <c r="L180" s="153" t="s">
        <v>656</v>
      </c>
      <c r="M180" s="238">
        <v>45810.0</v>
      </c>
      <c r="N180" s="238">
        <v>45813.0</v>
      </c>
      <c r="O180" s="155"/>
      <c r="P180" s="157"/>
      <c r="Q180" s="157"/>
      <c r="R180" s="153" t="s">
        <v>3080</v>
      </c>
      <c r="S180" s="256" t="s">
        <v>2962</v>
      </c>
      <c r="T180" s="293">
        <v>45778.0</v>
      </c>
      <c r="U180" s="114" t="str">
        <f>IF(V180="","No AIS",VLOOKUP(V180,'Voyage days'!$A$3:$B$1480,2,FALSE))</f>
        <v>+14 days to Far East</v>
      </c>
      <c r="V180" s="114" t="str">
        <f>IF(VLOOKUP(A180,'1) Kpler'!$E$2:$P$1000,8, FALSE)="","",VLOOKUP(A180,'1) Kpler'!$E$2:$P$1000,8, FALSE))</f>
        <v>RIPET</v>
      </c>
      <c r="W180" s="159">
        <f>IF(VLOOKUP(A180,'1) Kpler'!$E$2:$P$1000,9,FALSE)="","",VLOOKUP(A180,'1) Kpler'!$E$2:$P$1000,9,FALSE))</f>
        <v>46133.83333</v>
      </c>
      <c r="X180" s="114" t="str">
        <f>VLOOKUP(A180,'1) Kpler'!$E$2:$I$1000,4,FALSE)</f>
        <v>ballast</v>
      </c>
      <c r="Y180" s="272" t="str">
        <f t="shared" si="40"/>
        <v>20-23 Jun</v>
      </c>
      <c r="Z180" s="163" t="str">
        <f t="shared" si="41"/>
        <v>20-23 Jun</v>
      </c>
      <c r="AA180" s="122">
        <f>IFERROR($M180+VLOOKUP($L180,'Voyage days'!$F$38:$H$89,3,FALSE),"")</f>
        <v>45828</v>
      </c>
      <c r="AB180" s="122">
        <f>IFERROR(N180+VLOOKUP($L180,'Voyage days'!$F$38:$H$89,3,FALSE),"")</f>
        <v>45831</v>
      </c>
      <c r="AC180" s="163" t="str">
        <f t="shared" si="42"/>
        <v>03-06 Jul</v>
      </c>
      <c r="AD180" s="122">
        <f>IFERROR($M180+VLOOKUP($L180,'Voyage days'!$F$94:$H$193,3,FALSE),"")</f>
        <v>45841</v>
      </c>
      <c r="AE180" s="122">
        <f>IFERROR($N180+VLOOKUP($L180,'Voyage days'!$F$94:$H$193,3,FALSE),"")</f>
        <v>45844</v>
      </c>
      <c r="AF180" s="163" t="str">
        <f t="shared" si="43"/>
        <v>10-13 Jul</v>
      </c>
      <c r="AG180" s="122">
        <f>IFERROR($M180+VLOOKUP($L180,'Voyage days'!$F$203:$H$256,3,FALSE),"")</f>
        <v>45848</v>
      </c>
      <c r="AH180" s="122">
        <f>IFERROR($N180+VLOOKUP($L180,'Voyage days'!$F$203:$H$256,3,FALSE),"")</f>
        <v>45851</v>
      </c>
      <c r="AI180" s="163" t="str">
        <f t="shared" si="44"/>
        <v>02-05 Jul</v>
      </c>
      <c r="AJ180" s="122">
        <f>IFERROR($M180+VLOOKUP($L180,'Voyage days'!$F$294:$H$377,3,FALSE),"")</f>
        <v>45840</v>
      </c>
      <c r="AK180" s="122">
        <f>IFERROR($N180+VLOOKUP($L180,'Voyage days'!$F$294:$H$377,3,FALSE),"")</f>
        <v>45843</v>
      </c>
      <c r="AL180" s="163" t="str">
        <f t="shared" si="45"/>
        <v>08-11 Jul</v>
      </c>
      <c r="AM180" s="122">
        <f>IFERROR($M180+VLOOKUP($L180,'Voyage days'!$F$382:$H$446,3,FALSE),"")</f>
        <v>45846</v>
      </c>
      <c r="AN180" s="122">
        <f>IFERROR($N180+VLOOKUP($L180,'Voyage days'!$F$382:$H$446,3,FALSE),"")</f>
        <v>45849</v>
      </c>
      <c r="AO180" s="163" t="str">
        <f t="shared" si="46"/>
        <v>15-18 Jun</v>
      </c>
      <c r="AP180" s="122">
        <f>IFERROR($M180+VLOOKUP($L180,'Voyage days'!$F$483:$H$538,3,FALSE),"")</f>
        <v>45823</v>
      </c>
      <c r="AQ180" s="122">
        <f>IFERROR($N180+VLOOKUP($L180,'Voyage days'!$F$483:$H$538,3,FALSE),"")</f>
        <v>45826</v>
      </c>
      <c r="AR180" s="163" t="str">
        <f t="shared" si="47"/>
        <v>10-13 Jun</v>
      </c>
      <c r="AS180" s="122">
        <f>IFERROR($M180+VLOOKUP($L180,'Voyage days'!$F$540:$H$613,3,FALSE),"")</f>
        <v>45818.25</v>
      </c>
      <c r="AT180" s="122">
        <f>IFERROR($N180+VLOOKUP($L180,'Voyage days'!$F$540:$H$613,3,FALSE),"")</f>
        <v>45821.25</v>
      </c>
      <c r="AU180" s="163" t="str">
        <f t="shared" si="48"/>
        <v/>
      </c>
      <c r="AV180" s="122" t="str">
        <f>IFERROR($M180+VLOOKUP($L180,'Voyage days'!$L$483:$N$535,3,FALSE),"")</f>
        <v/>
      </c>
      <c r="AW180" s="122" t="str">
        <f>IFERROR($N180+VLOOKUP($L180,'Voyage days'!$L$483:$N$535,3,FALSE),"")</f>
        <v/>
      </c>
      <c r="AX180" s="163" t="str">
        <f t="shared" si="49"/>
        <v>13-16 Jun</v>
      </c>
      <c r="AY180" s="122">
        <f>IFERROR($M180+VLOOKUP($L180,'Voyage days'!$F$620:$H$646,3,FALSE),"")</f>
        <v>45821</v>
      </c>
      <c r="AZ180" s="122">
        <f>IFERROR($N180+VLOOKUP($L180,'Voyage days'!$F$620:$H$646,3,FALSE),"")</f>
        <v>45824</v>
      </c>
      <c r="BA180" s="163" t="str">
        <f t="shared" si="50"/>
        <v>10-21 Jul</v>
      </c>
      <c r="BB180" s="123">
        <f>IFERROR($M180+VLOOKUP($L180,'Voyage days'!$F$702:$H$727,3,FALSE),"")</f>
        <v>45818.25</v>
      </c>
      <c r="BC180" s="163" t="str">
        <f t="shared" si="51"/>
        <v>18-21 Jul</v>
      </c>
      <c r="BD180" s="122">
        <f>IFERROR($M180+VLOOKUP($L180,'Voyage days'!$F$807:$H$878,3,FALSE),"")</f>
        <v>45856</v>
      </c>
      <c r="BE180" s="122">
        <f>IFERROR($N180+VLOOKUP($L180,'Voyage days'!$F$807:$H$878,3,FALSE),"")</f>
        <v>45859</v>
      </c>
      <c r="BF180" s="609"/>
      <c r="BG180" s="609"/>
      <c r="BH180" s="609"/>
      <c r="BI180" s="609"/>
      <c r="BJ180" s="609"/>
      <c r="BK180" s="609"/>
      <c r="BL180" s="609"/>
      <c r="BM180" s="609"/>
    </row>
    <row r="181" ht="15.75" customHeight="1">
      <c r="A181" s="80" t="s">
        <v>971</v>
      </c>
      <c r="B181" s="148">
        <v>2024.0</v>
      </c>
      <c r="C181" s="1148">
        <v>87000.0</v>
      </c>
      <c r="D181" s="104"/>
      <c r="E181" s="103" t="s">
        <v>666</v>
      </c>
      <c r="F181" s="604"/>
      <c r="G181" s="605" t="s">
        <v>2907</v>
      </c>
      <c r="H181" s="103"/>
      <c r="I181" s="185" t="s">
        <v>968</v>
      </c>
      <c r="J181" s="111"/>
      <c r="K181" s="336" t="str">
        <f t="shared" si="52"/>
        <v>Update</v>
      </c>
      <c r="L181" s="108" t="s">
        <v>680</v>
      </c>
      <c r="M181" s="109">
        <v>45809.0</v>
      </c>
      <c r="N181" s="109">
        <v>45810.0</v>
      </c>
      <c r="O181" s="110"/>
      <c r="P181" s="185"/>
      <c r="Q181" s="108"/>
      <c r="R181" s="108" t="s">
        <v>3081</v>
      </c>
      <c r="S181" s="112" t="s">
        <v>33</v>
      </c>
      <c r="T181" s="113">
        <v>45781.0</v>
      </c>
      <c r="U181" s="114" t="str">
        <f>IF(V181="","No AIS",VLOOKUP(V181,'Voyage days'!$A$3:$B$1480,2,FALSE))</f>
        <v>USG</v>
      </c>
      <c r="V181" s="115" t="str">
        <f>IF(VLOOKUP(A181,'1) Kpler'!$E$2:$P$1000,8, FALSE)="","",VLOOKUP(A181,'1) Kpler'!$E$2:$P$1000,8, FALSE))</f>
        <v>Houston</v>
      </c>
      <c r="W181" s="116">
        <f>IF(VLOOKUP(A181,'1) Kpler'!$E$2:$P$1000,9,FALSE)="","",VLOOKUP(A181,'1) Kpler'!$E$2:$P$1000,9,FALSE))</f>
        <v>46137.29167</v>
      </c>
      <c r="X181" s="115" t="str">
        <f>VLOOKUP(A181,'1) Kpler'!$E$2:$I$1000,4,FALSE)</f>
        <v>ballast</v>
      </c>
      <c r="Y181" s="117" t="str">
        <f t="shared" si="40"/>
        <v/>
      </c>
      <c r="Z181" s="120" t="str">
        <f t="shared" si="41"/>
        <v/>
      </c>
      <c r="AA181" s="121" t="str">
        <f>IFERROR($M181+VLOOKUP($L181,'Voyage days'!$F$38:$H$89,3,FALSE),"")</f>
        <v/>
      </c>
      <c r="AB181" s="121" t="str">
        <f>IFERROR(N181+VLOOKUP($L181,'Voyage days'!$F$38:$H$89,3,FALSE),"")</f>
        <v/>
      </c>
      <c r="AC181" s="120" t="str">
        <f t="shared" si="42"/>
        <v>01-02 Jun</v>
      </c>
      <c r="AD181" s="121">
        <f>IFERROR($M181+VLOOKUP($L181,'Voyage days'!$F$94:$H$193,3,FALSE),"")</f>
        <v>45809</v>
      </c>
      <c r="AE181" s="121">
        <f>IFERROR($N181+VLOOKUP($L181,'Voyage days'!$F$94:$H$193,3,FALSE),"")</f>
        <v>45810</v>
      </c>
      <c r="AF181" s="120" t="str">
        <f t="shared" si="43"/>
        <v>01-02 Jun</v>
      </c>
      <c r="AG181" s="121">
        <f>IFERROR($M181+VLOOKUP($L181,'Voyage days'!$F$203:$H$256,3,FALSE),"")</f>
        <v>45809</v>
      </c>
      <c r="AH181" s="121">
        <f>IFERROR($N181+VLOOKUP($L181,'Voyage days'!$F$203:$H$256,3,FALSE),"")</f>
        <v>45810</v>
      </c>
      <c r="AI181" s="120" t="str">
        <f t="shared" si="44"/>
        <v/>
      </c>
      <c r="AJ181" s="121" t="str">
        <f>IFERROR($M181+VLOOKUP($L181,'Voyage days'!$F$294:$H$377,3,FALSE),"")</f>
        <v/>
      </c>
      <c r="AK181" s="121" t="str">
        <f>IFERROR($N181+VLOOKUP($L181,'Voyage days'!$F$294:$H$377,3,FALSE),"")</f>
        <v/>
      </c>
      <c r="AL181" s="120" t="str">
        <f t="shared" si="45"/>
        <v>21-22 Jun</v>
      </c>
      <c r="AM181" s="121">
        <f>IFERROR($M181+VLOOKUP($L181,'Voyage days'!$F$382:$H$446,3,FALSE),"")</f>
        <v>45829</v>
      </c>
      <c r="AN181" s="121">
        <f>IFERROR($N181+VLOOKUP($L181,'Voyage days'!$F$382:$H$446,3,FALSE),"")</f>
        <v>45830</v>
      </c>
      <c r="AO181" s="120" t="str">
        <f t="shared" si="46"/>
        <v/>
      </c>
      <c r="AP181" s="121" t="str">
        <f>IFERROR($M181+VLOOKUP($L181,'Voyage days'!$F$483:$H$538,3,FALSE),"")</f>
        <v/>
      </c>
      <c r="AQ181" s="121" t="str">
        <f>IFERROR($N181+VLOOKUP($L181,'Voyage days'!$F$483:$H$538,3,FALSE),"")</f>
        <v/>
      </c>
      <c r="AR181" s="120" t="str">
        <f t="shared" si="47"/>
        <v/>
      </c>
      <c r="AS181" s="121" t="str">
        <f>IFERROR($M181+VLOOKUP($L181,'Voyage days'!$F$540:$H$613,3,FALSE),"")</f>
        <v/>
      </c>
      <c r="AT181" s="121" t="str">
        <f>IFERROR($N181+VLOOKUP($L181,'Voyage days'!$F$540:$H$613,3,FALSE),"")</f>
        <v/>
      </c>
      <c r="AU181" s="120" t="str">
        <f t="shared" si="48"/>
        <v/>
      </c>
      <c r="AV181" s="121" t="str">
        <f>IFERROR($M181+VLOOKUP($L181,'Voyage days'!$L$483:$N$535,3,FALSE),"")</f>
        <v/>
      </c>
      <c r="AW181" s="121" t="str">
        <f>IFERROR($N181+VLOOKUP($L181,'Voyage days'!$L$483:$N$535,3,FALSE),"")</f>
        <v/>
      </c>
      <c r="AX181" s="120" t="str">
        <f t="shared" si="49"/>
        <v/>
      </c>
      <c r="AY181" s="122" t="str">
        <f>IFERROR($M181+VLOOKUP($L181,'Voyage days'!$F$620:$H$646,3,FALSE),"")</f>
        <v/>
      </c>
      <c r="AZ181" s="122" t="str">
        <f>IFERROR($N181+VLOOKUP($L181,'Voyage days'!$F$620:$H$646,3,FALSE),"")</f>
        <v/>
      </c>
      <c r="BA181" s="120" t="str">
        <f t="shared" si="50"/>
        <v/>
      </c>
      <c r="BB181" s="123" t="str">
        <f>IFERROR($M181+VLOOKUP($L181,'Voyage days'!$F$702:$H$727,3,FALSE),"")</f>
        <v/>
      </c>
      <c r="BC181" s="120" t="str">
        <f t="shared" si="51"/>
        <v/>
      </c>
      <c r="BD181" s="122" t="str">
        <f>IFERROR($M181+VLOOKUP($L181,'Voyage days'!$F$807:$H$878,3,FALSE),"")</f>
        <v/>
      </c>
      <c r="BE181" s="122" t="str">
        <f>IFERROR($N181+VLOOKUP($L181,'Voyage days'!$F$807:$H$878,3,FALSE),"")</f>
        <v/>
      </c>
      <c r="BF181" s="609"/>
      <c r="BG181" s="609"/>
      <c r="BH181" s="609"/>
      <c r="BI181" s="609"/>
      <c r="BJ181" s="609"/>
      <c r="BK181" s="609"/>
      <c r="BL181" s="609"/>
      <c r="BM181" s="609"/>
    </row>
    <row r="182" ht="15.75" customHeight="1">
      <c r="A182" s="80" t="s">
        <v>226</v>
      </c>
      <c r="B182" s="148">
        <v>2021.0</v>
      </c>
      <c r="C182" s="1148">
        <v>84000.0</v>
      </c>
      <c r="D182" s="104" t="s">
        <v>1687</v>
      </c>
      <c r="E182" s="103" t="s">
        <v>689</v>
      </c>
      <c r="F182" s="604"/>
      <c r="G182" s="605" t="s">
        <v>1611</v>
      </c>
      <c r="H182" s="103"/>
      <c r="I182" s="185" t="s">
        <v>968</v>
      </c>
      <c r="J182" s="111"/>
      <c r="K182" s="336" t="str">
        <f t="shared" si="52"/>
        <v>Update</v>
      </c>
      <c r="L182" s="108" t="s">
        <v>680</v>
      </c>
      <c r="M182" s="337">
        <v>45790.0</v>
      </c>
      <c r="N182" s="109">
        <v>45791.0</v>
      </c>
      <c r="O182" s="110"/>
      <c r="P182" s="185"/>
      <c r="Q182" s="185"/>
      <c r="R182" s="108" t="s">
        <v>3082</v>
      </c>
      <c r="S182" s="112" t="s">
        <v>934</v>
      </c>
      <c r="T182" s="113">
        <v>45788.0</v>
      </c>
      <c r="U182" s="114" t="str">
        <f>IF(V182="","No AIS",VLOOKUP(V182,'Voyage days'!$A$3:$B$1480,2,FALSE))</f>
        <v>Japan + 6</v>
      </c>
      <c r="V182" s="115" t="str">
        <f>IF(VLOOKUP(A182,'1) Kpler'!$E$2:$P$1000,8, FALSE)="","",VLOOKUP(A182,'1) Kpler'!$E$2:$P$1000,8, FALSE))</f>
        <v>Mizushima</v>
      </c>
      <c r="W182" s="116">
        <f>IF(VLOOKUP(A182,'1) Kpler'!$E$2:$P$1000,9,FALSE)="","",VLOOKUP(A182,'1) Kpler'!$E$2:$P$1000,9,FALSE))</f>
        <v>46133.28819</v>
      </c>
      <c r="X182" s="115" t="str">
        <f>VLOOKUP(A182,'1) Kpler'!$E$2:$I$1000,4,FALSE)</f>
        <v>loaded</v>
      </c>
      <c r="Y182" s="160" t="str">
        <f t="shared" si="40"/>
        <v/>
      </c>
      <c r="Z182" s="120" t="str">
        <f t="shared" si="41"/>
        <v/>
      </c>
      <c r="AA182" s="121" t="str">
        <f>IFERROR($M182+VLOOKUP($L182,'Voyage days'!$F$38:$H$89,3,FALSE),"")</f>
        <v/>
      </c>
      <c r="AB182" s="121" t="str">
        <f>IFERROR(N182+VLOOKUP($L182,'Voyage days'!$F$38:$H$89,3,FALSE),"")</f>
        <v/>
      </c>
      <c r="AC182" s="120" t="str">
        <f t="shared" si="42"/>
        <v>13-14 May</v>
      </c>
      <c r="AD182" s="121">
        <f>IFERROR($M182+VLOOKUP($L182,'Voyage days'!$F$94:$H$193,3,FALSE),"")</f>
        <v>45790</v>
      </c>
      <c r="AE182" s="121">
        <f>IFERROR($N182+VLOOKUP($L182,'Voyage days'!$F$94:$H$193,3,FALSE),"")</f>
        <v>45791</v>
      </c>
      <c r="AF182" s="120" t="str">
        <f t="shared" si="43"/>
        <v>13-14 May</v>
      </c>
      <c r="AG182" s="121">
        <f>IFERROR($M182+VLOOKUP($L182,'Voyage days'!$F$203:$H$256,3,FALSE),"")</f>
        <v>45790</v>
      </c>
      <c r="AH182" s="121">
        <f>IFERROR($N182+VLOOKUP($L182,'Voyage days'!$F$203:$H$256,3,FALSE),"")</f>
        <v>45791</v>
      </c>
      <c r="AI182" s="120" t="str">
        <f t="shared" si="44"/>
        <v/>
      </c>
      <c r="AJ182" s="121" t="str">
        <f>IFERROR($M182+VLOOKUP($L182,'Voyage days'!$F$294:$H$377,3,FALSE),"")</f>
        <v/>
      </c>
      <c r="AK182" s="121" t="str">
        <f>IFERROR($N182+VLOOKUP($L182,'Voyage days'!$F$294:$H$377,3,FALSE),"")</f>
        <v/>
      </c>
      <c r="AL182" s="120" t="str">
        <f t="shared" si="45"/>
        <v>02-03 Jun</v>
      </c>
      <c r="AM182" s="121">
        <f>IFERROR($M182+VLOOKUP($L182,'Voyage days'!$F$382:$H$446,3,FALSE),"")</f>
        <v>45810</v>
      </c>
      <c r="AN182" s="121">
        <f>IFERROR($N182+VLOOKUP($L182,'Voyage days'!$F$382:$H$446,3,FALSE),"")</f>
        <v>45811</v>
      </c>
      <c r="AO182" s="120" t="str">
        <f t="shared" si="46"/>
        <v/>
      </c>
      <c r="AP182" s="121" t="str">
        <f>IFERROR($M182+VLOOKUP($L182,'Voyage days'!$F$483:$H$538,3,FALSE),"")</f>
        <v/>
      </c>
      <c r="AQ182" s="121" t="str">
        <f>IFERROR($N182+VLOOKUP($L182,'Voyage days'!$F$483:$H$538,3,FALSE),"")</f>
        <v/>
      </c>
      <c r="AR182" s="120" t="str">
        <f t="shared" si="47"/>
        <v/>
      </c>
      <c r="AS182" s="121" t="str">
        <f>IFERROR($M182+VLOOKUP($L182,'Voyage days'!$F$540:$H$613,3,FALSE),"")</f>
        <v/>
      </c>
      <c r="AT182" s="121" t="str">
        <f>IFERROR($N182+VLOOKUP($L182,'Voyage days'!$F$540:$H$613,3,FALSE),"")</f>
        <v/>
      </c>
      <c r="AU182" s="120" t="str">
        <f t="shared" si="48"/>
        <v/>
      </c>
      <c r="AV182" s="121" t="str">
        <f>IFERROR($M182+VLOOKUP($L182,'Voyage days'!$L$483:$N$535,3,FALSE),"")</f>
        <v/>
      </c>
      <c r="AW182" s="121" t="str">
        <f>IFERROR($N182+VLOOKUP($L182,'Voyage days'!$L$483:$N$535,3,FALSE),"")</f>
        <v/>
      </c>
      <c r="AX182" s="120" t="str">
        <f t="shared" si="49"/>
        <v/>
      </c>
      <c r="AY182" s="122" t="str">
        <f>IFERROR($M182+VLOOKUP($L182,'Voyage days'!$F$620:$H$646,3,FALSE),"")</f>
        <v/>
      </c>
      <c r="AZ182" s="122" t="str">
        <f>IFERROR($N182+VLOOKUP($L182,'Voyage days'!$F$620:$H$646,3,FALSE),"")</f>
        <v/>
      </c>
      <c r="BA182" s="120" t="str">
        <f t="shared" si="50"/>
        <v/>
      </c>
      <c r="BB182" s="123" t="str">
        <f>IFERROR($M182+VLOOKUP($L182,'Voyage days'!$F$702:$H$727,3,FALSE),"")</f>
        <v/>
      </c>
      <c r="BC182" s="120" t="str">
        <f t="shared" si="51"/>
        <v/>
      </c>
      <c r="BD182" s="122" t="str">
        <f>IFERROR($M182+VLOOKUP($L182,'Voyage days'!$F$807:$H$878,3,FALSE),"")</f>
        <v/>
      </c>
      <c r="BE182" s="122" t="str">
        <f>IFERROR($N182+VLOOKUP($L182,'Voyage days'!$F$807:$H$878,3,FALSE),"")</f>
        <v/>
      </c>
      <c r="BF182" s="609"/>
      <c r="BG182" s="609"/>
      <c r="BH182" s="609"/>
      <c r="BI182" s="609"/>
      <c r="BJ182" s="609"/>
      <c r="BK182" s="609"/>
      <c r="BL182" s="609"/>
      <c r="BM182" s="609"/>
    </row>
    <row r="183" ht="15.75" customHeight="1">
      <c r="A183" s="80" t="s">
        <v>259</v>
      </c>
      <c r="B183" s="202">
        <v>2014.0</v>
      </c>
      <c r="C183" s="1149">
        <v>82400.0</v>
      </c>
      <c r="D183" s="104" t="s">
        <v>1687</v>
      </c>
      <c r="E183" s="103"/>
      <c r="F183" s="604">
        <v>43983.0</v>
      </c>
      <c r="G183" s="605">
        <v>45658.0</v>
      </c>
      <c r="H183" s="103"/>
      <c r="I183" s="185" t="s">
        <v>968</v>
      </c>
      <c r="J183" s="111" t="s">
        <v>994</v>
      </c>
      <c r="K183" s="336" t="str">
        <f t="shared" si="52"/>
        <v>Update</v>
      </c>
      <c r="L183" s="108" t="s">
        <v>773</v>
      </c>
      <c r="M183" s="109">
        <v>45796.0</v>
      </c>
      <c r="N183" s="109">
        <v>45798.0</v>
      </c>
      <c r="O183" s="110"/>
      <c r="P183" s="185"/>
      <c r="Q183" s="185"/>
      <c r="R183" s="185"/>
      <c r="S183" s="112" t="s">
        <v>2962</v>
      </c>
      <c r="T183" s="113">
        <v>45778.0</v>
      </c>
      <c r="U183" s="114" t="str">
        <f>IF(V183="","No AIS",VLOOKUP(V183,'Voyage days'!$A$3:$B$1480,2,FALSE))</f>
        <v>Korea + 4</v>
      </c>
      <c r="V183" s="115" t="str">
        <f>IF(VLOOKUP(A183,'1) Kpler'!$E$2:$P$1000,8, FALSE)="","",VLOOKUP(A183,'1) Kpler'!$E$2:$P$1000,8, FALSE))</f>
        <v>Ulsan</v>
      </c>
      <c r="W183" s="116">
        <f>IF(VLOOKUP(A183,'1) Kpler'!$E$2:$P$1000,9,FALSE)="","",VLOOKUP(A183,'1) Kpler'!$E$2:$P$1000,9,FALSE))</f>
        <v>46133.5</v>
      </c>
      <c r="X183" s="115" t="str">
        <f>VLOOKUP(A183,'1) Kpler'!$E$2:$I$1000,4,FALSE)</f>
        <v>ballast</v>
      </c>
      <c r="Y183" s="117" t="str">
        <f t="shared" si="40"/>
        <v/>
      </c>
      <c r="Z183" s="120" t="str">
        <f t="shared" si="41"/>
        <v/>
      </c>
      <c r="AA183" s="121" t="str">
        <f>IFERROR($M183+VLOOKUP($L183,'Voyage days'!$F$38:$H$89,3,FALSE),"")</f>
        <v/>
      </c>
      <c r="AB183" s="121" t="str">
        <f>IFERROR(N183+VLOOKUP($L183,'Voyage days'!$F$38:$H$89,3,FALSE),"")</f>
        <v/>
      </c>
      <c r="AC183" s="120" t="str">
        <f t="shared" si="42"/>
        <v>02-04 Jun</v>
      </c>
      <c r="AD183" s="121">
        <f>IFERROR($M183+VLOOKUP($L183,'Voyage days'!$F$94:$H$193,3,FALSE),"")</f>
        <v>45810</v>
      </c>
      <c r="AE183" s="121">
        <f>IFERROR($N183+VLOOKUP($L183,'Voyage days'!$F$94:$H$193,3,FALSE),"")</f>
        <v>45812</v>
      </c>
      <c r="AF183" s="120" t="str">
        <f t="shared" si="43"/>
        <v>03-05 Jun</v>
      </c>
      <c r="AG183" s="121">
        <f>IFERROR($M183+VLOOKUP($L183,'Voyage days'!$F$203:$H$256,3,FALSE),"")</f>
        <v>45811</v>
      </c>
      <c r="AH183" s="121">
        <f>IFERROR($N183+VLOOKUP($L183,'Voyage days'!$F$203:$H$256,3,FALSE),"")</f>
        <v>45813</v>
      </c>
      <c r="AI183" s="120" t="str">
        <f t="shared" si="44"/>
        <v>30-01 Jun</v>
      </c>
      <c r="AJ183" s="121">
        <f>IFERROR($M183+VLOOKUP($L183,'Voyage days'!$F$294:$H$377,3,FALSE),"")</f>
        <v>45807</v>
      </c>
      <c r="AK183" s="121">
        <f>IFERROR($N183+VLOOKUP($L183,'Voyage days'!$F$294:$H$377,3,FALSE),"")</f>
        <v>45809</v>
      </c>
      <c r="AL183" s="120" t="str">
        <f t="shared" si="45"/>
        <v>21-23 May</v>
      </c>
      <c r="AM183" s="121">
        <f>IFERROR($M183+VLOOKUP($L183,'Voyage days'!$F$382:$H$446,3,FALSE),"")</f>
        <v>45798</v>
      </c>
      <c r="AN183" s="121">
        <f>IFERROR($N183+VLOOKUP($L183,'Voyage days'!$F$382:$H$446,3,FALSE),"")</f>
        <v>45800</v>
      </c>
      <c r="AO183" s="120" t="str">
        <f t="shared" si="46"/>
        <v/>
      </c>
      <c r="AP183" s="121" t="str">
        <f>IFERROR($M183+VLOOKUP($L183,'Voyage days'!$F$483:$H$538,3,FALSE),"")</f>
        <v/>
      </c>
      <c r="AQ183" s="121" t="str">
        <f>IFERROR($N183+VLOOKUP($L183,'Voyage days'!$F$483:$H$538,3,FALSE),"")</f>
        <v/>
      </c>
      <c r="AR183" s="120" t="str">
        <f t="shared" si="47"/>
        <v/>
      </c>
      <c r="AS183" s="121" t="str">
        <f>IFERROR($M183+VLOOKUP($L183,'Voyage days'!$F$540:$H$613,3,FALSE),"")</f>
        <v/>
      </c>
      <c r="AT183" s="121" t="str">
        <f>IFERROR($N183+VLOOKUP($L183,'Voyage days'!$F$540:$H$613,3,FALSE),"")</f>
        <v/>
      </c>
      <c r="AU183" s="120" t="str">
        <f t="shared" si="48"/>
        <v/>
      </c>
      <c r="AV183" s="121" t="str">
        <f>IFERROR($M183+VLOOKUP($L183,'Voyage days'!$L$483:$N$535,3,FALSE),"")</f>
        <v/>
      </c>
      <c r="AW183" s="121" t="str">
        <f>IFERROR($N183+VLOOKUP($L183,'Voyage days'!$L$483:$N$535,3,FALSE),"")</f>
        <v/>
      </c>
      <c r="AX183" s="120" t="str">
        <f t="shared" si="49"/>
        <v/>
      </c>
      <c r="AY183" s="122" t="str">
        <f>IFERROR($M183+VLOOKUP($L183,'Voyage days'!$F$620:$H$646,3,FALSE),"")</f>
        <v/>
      </c>
      <c r="AZ183" s="122" t="str">
        <f>IFERROR($N183+VLOOKUP($L183,'Voyage days'!$F$620:$H$646,3,FALSE),"")</f>
        <v/>
      </c>
      <c r="BA183" s="120" t="str">
        <f t="shared" si="50"/>
        <v/>
      </c>
      <c r="BB183" s="123" t="str">
        <f>IFERROR($M183+VLOOKUP($L183,'Voyage days'!$F$702:$H$727,3,FALSE),"")</f>
        <v/>
      </c>
      <c r="BC183" s="120" t="str">
        <f t="shared" si="51"/>
        <v>02-04 Jun</v>
      </c>
      <c r="BD183" s="122">
        <f>IFERROR($M183+VLOOKUP($L183,'Voyage days'!$F$807:$H$878,3,FALSE),"")</f>
        <v>45810</v>
      </c>
      <c r="BE183" s="122">
        <f>IFERROR($N183+VLOOKUP($L183,'Voyage days'!$F$807:$H$878,3,FALSE),"")</f>
        <v>45812</v>
      </c>
      <c r="BF183" s="609"/>
      <c r="BG183" s="609"/>
      <c r="BH183" s="609"/>
      <c r="BI183" s="609"/>
      <c r="BJ183" s="609"/>
      <c r="BK183" s="609"/>
      <c r="BL183" s="609"/>
      <c r="BM183" s="609"/>
    </row>
    <row r="184" ht="15.75" customHeight="1">
      <c r="A184" s="80" t="s">
        <v>328</v>
      </c>
      <c r="B184" s="202">
        <v>2017.0</v>
      </c>
      <c r="C184" s="1148">
        <v>84000.0</v>
      </c>
      <c r="D184" s="104" t="s">
        <v>1687</v>
      </c>
      <c r="E184" s="103" t="s">
        <v>689</v>
      </c>
      <c r="F184" s="604">
        <v>44002.0</v>
      </c>
      <c r="G184" s="605">
        <v>45748.0</v>
      </c>
      <c r="H184" s="103"/>
      <c r="I184" s="185" t="s">
        <v>968</v>
      </c>
      <c r="J184" s="111" t="s">
        <v>3083</v>
      </c>
      <c r="K184" s="336" t="str">
        <f t="shared" si="52"/>
        <v>Update</v>
      </c>
      <c r="L184" s="108" t="s">
        <v>211</v>
      </c>
      <c r="M184" s="109">
        <v>45794.0</v>
      </c>
      <c r="N184" s="109">
        <v>45795.0</v>
      </c>
      <c r="O184" s="110"/>
      <c r="P184" s="185"/>
      <c r="Q184" s="108"/>
      <c r="R184" s="108" t="s">
        <v>3084</v>
      </c>
      <c r="S184" s="112" t="s">
        <v>934</v>
      </c>
      <c r="T184" s="113">
        <v>45785.0</v>
      </c>
      <c r="U184" s="114" t="str">
        <f>IF(V184="","No AIS",VLOOKUP(V184,'Voyage days'!$A$3:$B$1480,2,FALSE))</f>
        <v>Korea+3/+1 bunkers</v>
      </c>
      <c r="V184" s="115" t="str">
        <f>IF(VLOOKUP(A184,'1) Kpler'!$E$2:$P$1000,8, FALSE)="","",VLOOKUP(A184,'1) Kpler'!$E$2:$P$1000,8, FALSE))</f>
        <v>Yeosu</v>
      </c>
      <c r="W184" s="116">
        <f>IF(VLOOKUP(A184,'1) Kpler'!$E$2:$P$1000,9,FALSE)="","",VLOOKUP(A184,'1) Kpler'!$E$2:$P$1000,9,FALSE))</f>
        <v>46131.83333</v>
      </c>
      <c r="X184" s="115" t="str">
        <f>VLOOKUP(A184,'1) Kpler'!$E$2:$I$1000,4,FALSE)</f>
        <v>loaded</v>
      </c>
      <c r="Y184" s="160" t="str">
        <f t="shared" si="40"/>
        <v>22-23 May</v>
      </c>
      <c r="Z184" s="120" t="str">
        <f t="shared" si="41"/>
        <v>22-23 May</v>
      </c>
      <c r="AA184" s="121">
        <f>IFERROR($M184+VLOOKUP($L184,'Voyage days'!$F$38:$H$89,3,FALSE),"")</f>
        <v>45799</v>
      </c>
      <c r="AB184" s="121">
        <f>IFERROR(N184+VLOOKUP($L184,'Voyage days'!$F$38:$H$89,3,FALSE),"")</f>
        <v>45800</v>
      </c>
      <c r="AC184" s="120" t="str">
        <f t="shared" si="42"/>
        <v/>
      </c>
      <c r="AD184" s="121" t="str">
        <f>IFERROR($M184+VLOOKUP($L184,'Voyage days'!$F$94:$H$193,3,FALSE),"")</f>
        <v/>
      </c>
      <c r="AE184" s="121" t="str">
        <f>IFERROR($N184+VLOOKUP($L184,'Voyage days'!$F$94:$H$193,3,FALSE),"")</f>
        <v/>
      </c>
      <c r="AF184" s="120" t="str">
        <f t="shared" si="43"/>
        <v>17-18 Jun</v>
      </c>
      <c r="AG184" s="121">
        <f>IFERROR($M184+VLOOKUP($L184,'Voyage days'!$F$203:$H$256,3,FALSE),"")</f>
        <v>45825</v>
      </c>
      <c r="AH184" s="121">
        <f>IFERROR($N184+VLOOKUP($L184,'Voyage days'!$F$203:$H$256,3,FALSE),"")</f>
        <v>45826</v>
      </c>
      <c r="AI184" s="120" t="str">
        <f t="shared" si="44"/>
        <v>04-05 Jun</v>
      </c>
      <c r="AJ184" s="121">
        <f>IFERROR($M184+VLOOKUP($L184,'Voyage days'!$F$294:$H$377,3,FALSE),"")</f>
        <v>45812</v>
      </c>
      <c r="AK184" s="121">
        <f>IFERROR($N184+VLOOKUP($L184,'Voyage days'!$F$294:$H$377,3,FALSE),"")</f>
        <v>45813</v>
      </c>
      <c r="AL184" s="120" t="str">
        <f t="shared" si="45"/>
        <v>12-13 Jun</v>
      </c>
      <c r="AM184" s="121">
        <f>IFERROR($M184+VLOOKUP($L184,'Voyage days'!$F$382:$H$446,3,FALSE),"")</f>
        <v>45820</v>
      </c>
      <c r="AN184" s="121">
        <f>IFERROR($N184+VLOOKUP($L184,'Voyage days'!$F$382:$H$446,3,FALSE),"")</f>
        <v>45821</v>
      </c>
      <c r="AO184" s="120" t="str">
        <f t="shared" si="46"/>
        <v/>
      </c>
      <c r="AP184" s="121" t="str">
        <f>IFERROR($M184+VLOOKUP($L184,'Voyage days'!$F$483:$H$538,3,FALSE),"")</f>
        <v/>
      </c>
      <c r="AQ184" s="121" t="str">
        <f>IFERROR($N184+VLOOKUP($L184,'Voyage days'!$F$483:$H$538,3,FALSE),"")</f>
        <v/>
      </c>
      <c r="AR184" s="120" t="str">
        <f t="shared" si="47"/>
        <v/>
      </c>
      <c r="AS184" s="121" t="str">
        <f>IFERROR($M184+VLOOKUP($L184,'Voyage days'!$F$540:$H$613,3,FALSE),"")</f>
        <v/>
      </c>
      <c r="AT184" s="121" t="str">
        <f>IFERROR($N184+VLOOKUP($L184,'Voyage days'!$F$540:$H$613,3,FALSE),"")</f>
        <v/>
      </c>
      <c r="AU184" s="120" t="str">
        <f t="shared" si="48"/>
        <v/>
      </c>
      <c r="AV184" s="121" t="str">
        <f>IFERROR($M184+VLOOKUP($L184,'Voyage days'!$L$483:$N$535,3,FALSE),"")</f>
        <v/>
      </c>
      <c r="AW184" s="121" t="str">
        <f>IFERROR($N184+VLOOKUP($L184,'Voyage days'!$L$483:$N$535,3,FALSE),"")</f>
        <v/>
      </c>
      <c r="AX184" s="120" t="str">
        <f t="shared" si="49"/>
        <v/>
      </c>
      <c r="AY184" s="122" t="str">
        <f>IFERROR($M184+VLOOKUP($L184,'Voyage days'!$F$620:$H$646,3,FALSE),"")</f>
        <v/>
      </c>
      <c r="AZ184" s="122" t="str">
        <f>IFERROR($N184+VLOOKUP($L184,'Voyage days'!$F$620:$H$646,3,FALSE),"")</f>
        <v/>
      </c>
      <c r="BA184" s="120" t="str">
        <f t="shared" si="50"/>
        <v/>
      </c>
      <c r="BB184" s="123" t="str">
        <f>IFERROR($M184+VLOOKUP($L184,'Voyage days'!$F$702:$H$727,3,FALSE),"")</f>
        <v/>
      </c>
      <c r="BC184" s="120" t="str">
        <f t="shared" si="51"/>
        <v>29-30 Jun</v>
      </c>
      <c r="BD184" s="122">
        <f>IFERROR($M184+VLOOKUP($L184,'Voyage days'!$F$807:$H$878,3,FALSE),"")</f>
        <v>45837</v>
      </c>
      <c r="BE184" s="122">
        <f>IFERROR($N184+VLOOKUP($L184,'Voyage days'!$F$807:$H$878,3,FALSE),"")</f>
        <v>45838</v>
      </c>
      <c r="BF184" s="609"/>
      <c r="BG184" s="609"/>
      <c r="BH184" s="609"/>
      <c r="BI184" s="609"/>
      <c r="BJ184" s="609"/>
      <c r="BK184" s="609"/>
      <c r="BL184" s="609"/>
      <c r="BM184" s="609"/>
    </row>
    <row r="185" ht="14.25" customHeight="1">
      <c r="A185" s="80" t="s">
        <v>333</v>
      </c>
      <c r="B185" s="202">
        <v>2018.0</v>
      </c>
      <c r="C185" s="1148">
        <v>82200.0</v>
      </c>
      <c r="D185" s="104" t="s">
        <v>1687</v>
      </c>
      <c r="E185" s="103"/>
      <c r="F185" s="604"/>
      <c r="G185" s="605">
        <v>45962.0</v>
      </c>
      <c r="H185" s="103"/>
      <c r="I185" s="185" t="s">
        <v>968</v>
      </c>
      <c r="J185" s="111" t="s">
        <v>968</v>
      </c>
      <c r="K185" s="336" t="str">
        <f t="shared" si="52"/>
        <v>Update</v>
      </c>
      <c r="L185" s="108" t="s">
        <v>755</v>
      </c>
      <c r="M185" s="109">
        <v>45818.0</v>
      </c>
      <c r="N185" s="109">
        <v>45820.0</v>
      </c>
      <c r="O185" s="110"/>
      <c r="P185" s="108" t="s">
        <v>3085</v>
      </c>
      <c r="Q185" s="185"/>
      <c r="R185" s="185"/>
      <c r="S185" s="112" t="s">
        <v>2962</v>
      </c>
      <c r="T185" s="113">
        <v>45778.0</v>
      </c>
      <c r="U185" s="114" t="str">
        <f>IF(V185="","No AIS",VLOOKUP(V185,'Voyage days'!$A$3:$B$1480,2,FALSE))</f>
        <v>Japan + 6</v>
      </c>
      <c r="V185" s="115" t="str">
        <f>IF(VLOOKUP(A185,'1) Kpler'!$E$2:$P$1000,8, FALSE)="","",VLOOKUP(A185,'1) Kpler'!$E$2:$P$1000,8, FALSE))</f>
        <v>Nagoya</v>
      </c>
      <c r="W185" s="116">
        <f>IF(VLOOKUP(A185,'1) Kpler'!$E$2:$P$1000,9,FALSE)="","",VLOOKUP(A185,'1) Kpler'!$E$2:$P$1000,9,FALSE))</f>
        <v>46133.27083</v>
      </c>
      <c r="X185" s="115" t="str">
        <f>VLOOKUP(A185,'1) Kpler'!$E$2:$I$1000,4,FALSE)</f>
        <v>loaded</v>
      </c>
      <c r="Y185" s="117" t="str">
        <f t="shared" si="40"/>
        <v>21-23 Jun</v>
      </c>
      <c r="Z185" s="120" t="str">
        <f t="shared" si="41"/>
        <v>21-23 Jun</v>
      </c>
      <c r="AA185" s="121">
        <f>IFERROR($M185+VLOOKUP($L185,'Voyage days'!$F$38:$H$89,3,FALSE),"")</f>
        <v>45829</v>
      </c>
      <c r="AB185" s="121">
        <f>IFERROR(N185+VLOOKUP($L185,'Voyage days'!$F$38:$H$89,3,FALSE),"")</f>
        <v>45831</v>
      </c>
      <c r="AC185" s="120" t="str">
        <f t="shared" si="42"/>
        <v>19-21 Jul</v>
      </c>
      <c r="AD185" s="121">
        <f>IFERROR($M185+VLOOKUP($L185,'Voyage days'!$F$94:$H$193,3,FALSE),"")</f>
        <v>45857</v>
      </c>
      <c r="AE185" s="121">
        <f>IFERROR($N185+VLOOKUP($L185,'Voyage days'!$F$94:$H$193,3,FALSE),"")</f>
        <v>45859</v>
      </c>
      <c r="AF185" s="120" t="str">
        <f t="shared" si="43"/>
        <v>17-19 Jul</v>
      </c>
      <c r="AG185" s="121">
        <f>IFERROR($M185+VLOOKUP($L185,'Voyage days'!$F$203:$H$256,3,FALSE),"")</f>
        <v>45855</v>
      </c>
      <c r="AH185" s="121">
        <f>IFERROR($N185+VLOOKUP($L185,'Voyage days'!$F$203:$H$256,3,FALSE),"")</f>
        <v>45857</v>
      </c>
      <c r="AI185" s="120" t="str">
        <f t="shared" si="44"/>
        <v>30-02 Jul</v>
      </c>
      <c r="AJ185" s="121">
        <f>IFERROR($M185+VLOOKUP($L185,'Voyage days'!$F$294:$H$377,3,FALSE),"")</f>
        <v>45838</v>
      </c>
      <c r="AK185" s="121">
        <f>IFERROR($N185+VLOOKUP($L185,'Voyage days'!$F$294:$H$377,3,FALSE),"")</f>
        <v>45840</v>
      </c>
      <c r="AL185" s="120" t="str">
        <f t="shared" si="45"/>
        <v>09-11 Jul</v>
      </c>
      <c r="AM185" s="121">
        <f>IFERROR($M185+VLOOKUP($L185,'Voyage days'!$F$382:$H$446,3,FALSE),"")</f>
        <v>45847</v>
      </c>
      <c r="AN185" s="121">
        <f>IFERROR($N185+VLOOKUP($L185,'Voyage days'!$F$382:$H$446,3,FALSE),"")</f>
        <v>45849</v>
      </c>
      <c r="AO185" s="120" t="str">
        <f t="shared" si="46"/>
        <v>19-21 Jun</v>
      </c>
      <c r="AP185" s="121">
        <f>IFERROR($M185+VLOOKUP($L185,'Voyage days'!$F$483:$H$538,3,FALSE),"")</f>
        <v>45827</v>
      </c>
      <c r="AQ185" s="121">
        <f>IFERROR($N185+VLOOKUP($L185,'Voyage days'!$F$483:$H$538,3,FALSE),"")</f>
        <v>45829</v>
      </c>
      <c r="AR185" s="120" t="str">
        <f t="shared" si="47"/>
        <v>14-16 Jun</v>
      </c>
      <c r="AS185" s="121">
        <f>IFERROR($M185+VLOOKUP($L185,'Voyage days'!$F$540:$H$613,3,FALSE),"")</f>
        <v>45822</v>
      </c>
      <c r="AT185" s="121">
        <f>IFERROR($N185+VLOOKUP($L185,'Voyage days'!$F$540:$H$613,3,FALSE),"")</f>
        <v>45824</v>
      </c>
      <c r="AU185" s="120" t="str">
        <f t="shared" si="48"/>
        <v/>
      </c>
      <c r="AV185" s="121" t="str">
        <f>IFERROR($M185+VLOOKUP($L185,'Voyage days'!$L$483:$N$535,3,FALSE),"")</f>
        <v/>
      </c>
      <c r="AW185" s="121" t="str">
        <f>IFERROR($N185+VLOOKUP($L185,'Voyage days'!$L$483:$N$535,3,FALSE),"")</f>
        <v/>
      </c>
      <c r="AX185" s="120" t="str">
        <f t="shared" si="49"/>
        <v/>
      </c>
      <c r="AY185" s="122" t="str">
        <f>IFERROR($M185+VLOOKUP($L185,'Voyage days'!$F$620:$H$646,3,FALSE),"")</f>
        <v/>
      </c>
      <c r="AZ185" s="122" t="str">
        <f>IFERROR($N185+VLOOKUP($L185,'Voyage days'!$F$620:$H$646,3,FALSE),"")</f>
        <v/>
      </c>
      <c r="BA185" s="120" t="str">
        <f t="shared" si="50"/>
        <v>18-19 Jul</v>
      </c>
      <c r="BB185" s="123">
        <f>IFERROR($M185+VLOOKUP($L185,'Voyage days'!$F$702:$H$727,3,FALSE),"")</f>
        <v>45826</v>
      </c>
      <c r="BC185" s="120" t="str">
        <f t="shared" si="51"/>
        <v>17-19 Jul</v>
      </c>
      <c r="BD185" s="122">
        <f>IFERROR($M185+VLOOKUP($L185,'Voyage days'!$F$807:$H$878,3,FALSE),"")</f>
        <v>45855</v>
      </c>
      <c r="BE185" s="122">
        <f>IFERROR($N185+VLOOKUP($L185,'Voyage days'!$F$807:$H$878,3,FALSE),"")</f>
        <v>45857</v>
      </c>
      <c r="BF185" s="609"/>
      <c r="BG185" s="609"/>
      <c r="BH185" s="609"/>
      <c r="BI185" s="609"/>
      <c r="BJ185" s="609"/>
      <c r="BK185" s="609"/>
      <c r="BL185" s="609"/>
      <c r="BM185" s="609"/>
    </row>
    <row r="186" ht="15.75" customHeight="1">
      <c r="A186" s="80" t="s">
        <v>453</v>
      </c>
      <c r="B186" s="202">
        <v>2009.0</v>
      </c>
      <c r="C186" s="1149">
        <v>83300.0</v>
      </c>
      <c r="D186" s="104" t="s">
        <v>1687</v>
      </c>
      <c r="E186" s="103" t="s">
        <v>689</v>
      </c>
      <c r="F186" s="604"/>
      <c r="G186" s="605">
        <v>45992.0</v>
      </c>
      <c r="H186" s="103"/>
      <c r="I186" s="185" t="s">
        <v>968</v>
      </c>
      <c r="J186" s="111" t="s">
        <v>2945</v>
      </c>
      <c r="K186" s="336" t="str">
        <f t="shared" si="52"/>
        <v>NO AIS</v>
      </c>
      <c r="L186" s="108" t="s">
        <v>680</v>
      </c>
      <c r="M186" s="109">
        <v>45809.0</v>
      </c>
      <c r="N186" s="109">
        <v>45810.0</v>
      </c>
      <c r="O186" s="191"/>
      <c r="P186" s="108"/>
      <c r="Q186" s="108"/>
      <c r="R186" s="108" t="s">
        <v>3086</v>
      </c>
      <c r="S186" s="112" t="s">
        <v>934</v>
      </c>
      <c r="T186" s="113">
        <v>45781.0</v>
      </c>
      <c r="U186" s="114" t="str">
        <f>IF(V186="","No AIS",VLOOKUP(V186,'Voyage days'!$A$3:$B$1480,2,FALSE))</f>
        <v>No AIS</v>
      </c>
      <c r="V186" s="115" t="str">
        <f>IF(VLOOKUP(A186,'1) Kpler'!$E$2:$P$1000,8, FALSE)="","",VLOOKUP(A186,'1) Kpler'!$E$2:$P$1000,8, FALSE))</f>
        <v/>
      </c>
      <c r="W186" s="116" t="str">
        <f>IF(VLOOKUP(A186,'1) Kpler'!$E$2:$P$1000,9,FALSE)="","",VLOOKUP(A186,'1) Kpler'!$E$2:$P$1000,9,FALSE))</f>
        <v/>
      </c>
      <c r="X186" s="115" t="str">
        <f>VLOOKUP(A186,'1) Kpler'!$E$2:$I$1000,4,FALSE)</f>
        <v>loaded</v>
      </c>
      <c r="Y186" s="160" t="str">
        <f t="shared" si="40"/>
        <v/>
      </c>
      <c r="Z186" s="120" t="str">
        <f t="shared" si="41"/>
        <v/>
      </c>
      <c r="AA186" s="121" t="str">
        <f>IFERROR($M186+VLOOKUP($L186,'Voyage days'!$F$38:$H$89,3,FALSE),"")</f>
        <v/>
      </c>
      <c r="AB186" s="121" t="str">
        <f>IFERROR(N186+VLOOKUP($L186,'Voyage days'!$F$38:$H$89,3,FALSE),"")</f>
        <v/>
      </c>
      <c r="AC186" s="120" t="str">
        <f t="shared" si="42"/>
        <v>01-02 Jun</v>
      </c>
      <c r="AD186" s="121">
        <f>IFERROR($M186+VLOOKUP($L186,'Voyage days'!$F$94:$H$193,3,FALSE),"")</f>
        <v>45809</v>
      </c>
      <c r="AE186" s="121">
        <f>IFERROR($N186+VLOOKUP($L186,'Voyage days'!$F$94:$H$193,3,FALSE),"")</f>
        <v>45810</v>
      </c>
      <c r="AF186" s="120" t="str">
        <f t="shared" si="43"/>
        <v>01-02 Jun</v>
      </c>
      <c r="AG186" s="121">
        <f>IFERROR($M186+VLOOKUP($L186,'Voyage days'!$F$203:$H$256,3,FALSE),"")</f>
        <v>45809</v>
      </c>
      <c r="AH186" s="121">
        <f>IFERROR($N186+VLOOKUP($L186,'Voyage days'!$F$203:$H$256,3,FALSE),"")</f>
        <v>45810</v>
      </c>
      <c r="AI186" s="120" t="str">
        <f t="shared" si="44"/>
        <v/>
      </c>
      <c r="AJ186" s="121" t="str">
        <f>IFERROR($M186+VLOOKUP($L186,'Voyage days'!$F$294:$H$377,3,FALSE),"")</f>
        <v/>
      </c>
      <c r="AK186" s="121" t="str">
        <f>IFERROR($N186+VLOOKUP($L186,'Voyage days'!$F$294:$H$377,3,FALSE),"")</f>
        <v/>
      </c>
      <c r="AL186" s="120" t="str">
        <f t="shared" si="45"/>
        <v>21-22 Jun</v>
      </c>
      <c r="AM186" s="121">
        <f>IFERROR($M186+VLOOKUP($L186,'Voyage days'!$F$382:$H$446,3,FALSE),"")</f>
        <v>45829</v>
      </c>
      <c r="AN186" s="121">
        <f>IFERROR($N186+VLOOKUP($L186,'Voyage days'!$F$382:$H$446,3,FALSE),"")</f>
        <v>45830</v>
      </c>
      <c r="AO186" s="120" t="str">
        <f t="shared" si="46"/>
        <v/>
      </c>
      <c r="AP186" s="121" t="str">
        <f>IFERROR($M186+VLOOKUP($L186,'Voyage days'!$F$483:$H$538,3,FALSE),"")</f>
        <v/>
      </c>
      <c r="AQ186" s="121" t="str">
        <f>IFERROR($N186+VLOOKUP($L186,'Voyage days'!$F$483:$H$538,3,FALSE),"")</f>
        <v/>
      </c>
      <c r="AR186" s="120" t="str">
        <f t="shared" si="47"/>
        <v/>
      </c>
      <c r="AS186" s="121" t="str">
        <f>IFERROR($M186+VLOOKUP($L186,'Voyage days'!$F$540:$H$613,3,FALSE),"")</f>
        <v/>
      </c>
      <c r="AT186" s="121" t="str">
        <f>IFERROR($N186+VLOOKUP($L186,'Voyage days'!$F$540:$H$613,3,FALSE),"")</f>
        <v/>
      </c>
      <c r="AU186" s="120" t="str">
        <f t="shared" si="48"/>
        <v/>
      </c>
      <c r="AV186" s="121" t="str">
        <f>IFERROR($M186+VLOOKUP($L186,'Voyage days'!$L$483:$N$535,3,FALSE),"")</f>
        <v/>
      </c>
      <c r="AW186" s="121" t="str">
        <f>IFERROR($N186+VLOOKUP($L186,'Voyage days'!$L$483:$N$535,3,FALSE),"")</f>
        <v/>
      </c>
      <c r="AX186" s="120" t="str">
        <f t="shared" si="49"/>
        <v/>
      </c>
      <c r="AY186" s="122" t="str">
        <f>IFERROR($M186+VLOOKUP($L186,'Voyage days'!$F$620:$H$646,3,FALSE),"")</f>
        <v/>
      </c>
      <c r="AZ186" s="122" t="str">
        <f>IFERROR($N186+VLOOKUP($L186,'Voyage days'!$F$620:$H$646,3,FALSE),"")</f>
        <v/>
      </c>
      <c r="BA186" s="120" t="str">
        <f t="shared" si="50"/>
        <v/>
      </c>
      <c r="BB186" s="123" t="str">
        <f>IFERROR($M186+VLOOKUP($L186,'Voyage days'!$F$702:$H$727,3,FALSE),"")</f>
        <v/>
      </c>
      <c r="BC186" s="120" t="str">
        <f t="shared" si="51"/>
        <v/>
      </c>
      <c r="BD186" s="122" t="str">
        <f>IFERROR($M186+VLOOKUP($L186,'Voyage days'!$F$807:$H$878,3,FALSE),"")</f>
        <v/>
      </c>
      <c r="BE186" s="122" t="str">
        <f>IFERROR($N186+VLOOKUP($L186,'Voyage days'!$F$807:$H$878,3,FALSE),"")</f>
        <v/>
      </c>
      <c r="BF186" s="609"/>
      <c r="BG186" s="609"/>
      <c r="BH186" s="609"/>
      <c r="BI186" s="609"/>
      <c r="BJ186" s="609"/>
      <c r="BK186" s="609"/>
      <c r="BL186" s="609"/>
      <c r="BM186" s="609"/>
    </row>
    <row r="187" ht="15.0" customHeight="1">
      <c r="A187" s="80" t="s">
        <v>505</v>
      </c>
      <c r="B187" s="202">
        <v>2017.0</v>
      </c>
      <c r="C187" s="1148">
        <v>82200.0</v>
      </c>
      <c r="D187" s="104" t="s">
        <v>1687</v>
      </c>
      <c r="E187" s="103"/>
      <c r="F187" s="604"/>
      <c r="G187" s="605">
        <v>46905.0</v>
      </c>
      <c r="H187" s="103"/>
      <c r="I187" s="185" t="s">
        <v>968</v>
      </c>
      <c r="J187" s="111" t="s">
        <v>968</v>
      </c>
      <c r="K187" s="336" t="str">
        <f t="shared" si="52"/>
        <v>NO AIS</v>
      </c>
      <c r="L187" s="108" t="s">
        <v>680</v>
      </c>
      <c r="M187" s="109">
        <v>45828.0</v>
      </c>
      <c r="N187" s="337">
        <v>45829.0</v>
      </c>
      <c r="O187" s="110"/>
      <c r="P187" s="185"/>
      <c r="Q187" s="185"/>
      <c r="R187" s="108" t="s">
        <v>3087</v>
      </c>
      <c r="S187" s="112" t="s">
        <v>934</v>
      </c>
      <c r="T187" s="113">
        <v>45786.0</v>
      </c>
      <c r="U187" s="114" t="str">
        <f>IF(V187="","No AIS",VLOOKUP(V187,'Voyage days'!$A$3:$B$1480,2,FALSE))</f>
        <v>No AIS</v>
      </c>
      <c r="V187" s="115" t="str">
        <f>IF(VLOOKUP(A187,'1) Kpler'!$E$2:$P$1000,8, FALSE)="","",VLOOKUP(A187,'1) Kpler'!$E$2:$P$1000,8, FALSE))</f>
        <v/>
      </c>
      <c r="W187" s="116" t="str">
        <f>IF(VLOOKUP(A187,'1) Kpler'!$E$2:$P$1000,9,FALSE)="","",VLOOKUP(A187,'1) Kpler'!$E$2:$P$1000,9,FALSE))</f>
        <v/>
      </c>
      <c r="X187" s="115" t="str">
        <f>VLOOKUP(A187,'1) Kpler'!$E$2:$I$1000,4,FALSE)</f>
        <v>ballast</v>
      </c>
      <c r="Y187" s="117" t="str">
        <f t="shared" si="40"/>
        <v/>
      </c>
      <c r="Z187" s="120" t="str">
        <f t="shared" si="41"/>
        <v/>
      </c>
      <c r="AA187" s="121" t="str">
        <f>IFERROR($M187+VLOOKUP($L187,'Voyage days'!$F$38:$H$89,3,FALSE),"")</f>
        <v/>
      </c>
      <c r="AB187" s="121" t="str">
        <f>IFERROR(N187+VLOOKUP($L187,'Voyage days'!$F$38:$H$89,3,FALSE),"")</f>
        <v/>
      </c>
      <c r="AC187" s="120" t="str">
        <f t="shared" si="42"/>
        <v>20-21 Jun</v>
      </c>
      <c r="AD187" s="121">
        <f>IFERROR($M187+VLOOKUP($L187,'Voyage days'!$F$94:$H$193,3,FALSE),"")</f>
        <v>45828</v>
      </c>
      <c r="AE187" s="121">
        <f>IFERROR($N187+VLOOKUP($L187,'Voyage days'!$F$94:$H$193,3,FALSE),"")</f>
        <v>45829</v>
      </c>
      <c r="AF187" s="120" t="str">
        <f t="shared" si="43"/>
        <v>20-21 Jun</v>
      </c>
      <c r="AG187" s="121">
        <f>IFERROR($M187+VLOOKUP($L187,'Voyage days'!$F$203:$H$256,3,FALSE),"")</f>
        <v>45828</v>
      </c>
      <c r="AH187" s="121">
        <f>IFERROR($N187+VLOOKUP($L187,'Voyage days'!$F$203:$H$256,3,FALSE),"")</f>
        <v>45829</v>
      </c>
      <c r="AI187" s="120" t="str">
        <f t="shared" si="44"/>
        <v/>
      </c>
      <c r="AJ187" s="121" t="str">
        <f>IFERROR($M187+VLOOKUP($L187,'Voyage days'!$F$294:$H$377,3,FALSE),"")</f>
        <v/>
      </c>
      <c r="AK187" s="121" t="str">
        <f>IFERROR($N187+VLOOKUP($L187,'Voyage days'!$F$294:$H$377,3,FALSE),"")</f>
        <v/>
      </c>
      <c r="AL187" s="120" t="str">
        <f t="shared" si="45"/>
        <v>10-11 Jul</v>
      </c>
      <c r="AM187" s="121">
        <f>IFERROR($M187+VLOOKUP($L187,'Voyage days'!$F$382:$H$446,3,FALSE),"")</f>
        <v>45848</v>
      </c>
      <c r="AN187" s="121">
        <f>IFERROR($N187+VLOOKUP($L187,'Voyage days'!$F$382:$H$446,3,FALSE),"")</f>
        <v>45849</v>
      </c>
      <c r="AO187" s="120" t="str">
        <f t="shared" si="46"/>
        <v/>
      </c>
      <c r="AP187" s="121" t="str">
        <f>IFERROR($M187+VLOOKUP($L187,'Voyage days'!$F$483:$H$538,3,FALSE),"")</f>
        <v/>
      </c>
      <c r="AQ187" s="121" t="str">
        <f>IFERROR($N187+VLOOKUP($L187,'Voyage days'!$F$483:$H$538,3,FALSE),"")</f>
        <v/>
      </c>
      <c r="AR187" s="120" t="str">
        <f t="shared" si="47"/>
        <v/>
      </c>
      <c r="AS187" s="121" t="str">
        <f>IFERROR($M187+VLOOKUP($L187,'Voyage days'!$F$540:$H$613,3,FALSE),"")</f>
        <v/>
      </c>
      <c r="AT187" s="121" t="str">
        <f>IFERROR($N187+VLOOKUP($L187,'Voyage days'!$F$540:$H$613,3,FALSE),"")</f>
        <v/>
      </c>
      <c r="AU187" s="120" t="str">
        <f t="shared" si="48"/>
        <v/>
      </c>
      <c r="AV187" s="121" t="str">
        <f>IFERROR($M187+VLOOKUP($L187,'Voyage days'!$L$483:$N$535,3,FALSE),"")</f>
        <v/>
      </c>
      <c r="AW187" s="121" t="str">
        <f>IFERROR($N187+VLOOKUP($L187,'Voyage days'!$L$483:$N$535,3,FALSE),"")</f>
        <v/>
      </c>
      <c r="AX187" s="120" t="str">
        <f t="shared" si="49"/>
        <v/>
      </c>
      <c r="AY187" s="122" t="str">
        <f>IFERROR($M187+VLOOKUP($L187,'Voyage days'!$F$620:$H$646,3,FALSE),"")</f>
        <v/>
      </c>
      <c r="AZ187" s="122" t="str">
        <f>IFERROR($N187+VLOOKUP($L187,'Voyage days'!$F$620:$H$646,3,FALSE),"")</f>
        <v/>
      </c>
      <c r="BA187" s="120" t="str">
        <f t="shared" si="50"/>
        <v/>
      </c>
      <c r="BB187" s="123" t="str">
        <f>IFERROR($M187+VLOOKUP($L187,'Voyage days'!$F$702:$H$727,3,FALSE),"")</f>
        <v/>
      </c>
      <c r="BC187" s="120" t="str">
        <f t="shared" si="51"/>
        <v/>
      </c>
      <c r="BD187" s="122" t="str">
        <f>IFERROR($M187+VLOOKUP($L187,'Voyage days'!$F$807:$H$878,3,FALSE),"")</f>
        <v/>
      </c>
      <c r="BE187" s="122" t="str">
        <f>IFERROR($N187+VLOOKUP($L187,'Voyage days'!$F$807:$H$878,3,FALSE),"")</f>
        <v/>
      </c>
      <c r="BF187" s="609"/>
      <c r="BG187" s="609"/>
      <c r="BH187" s="609"/>
      <c r="BI187" s="609"/>
      <c r="BJ187" s="609"/>
      <c r="BK187" s="609"/>
      <c r="BL187" s="609"/>
      <c r="BM187" s="609"/>
    </row>
    <row r="188" ht="15.75" customHeight="1">
      <c r="A188" s="80" t="s">
        <v>506</v>
      </c>
      <c r="B188" s="202">
        <v>2019.0</v>
      </c>
      <c r="C188" s="1148">
        <v>82000.0</v>
      </c>
      <c r="D188" s="104" t="s">
        <v>1687</v>
      </c>
      <c r="E188" s="103" t="s">
        <v>689</v>
      </c>
      <c r="F188" s="604"/>
      <c r="G188" s="605">
        <v>46113.0</v>
      </c>
      <c r="H188" s="103"/>
      <c r="I188" s="185" t="s">
        <v>968</v>
      </c>
      <c r="J188" s="111" t="s">
        <v>3088</v>
      </c>
      <c r="K188" s="336" t="str">
        <f t="shared" si="52"/>
        <v>Update</v>
      </c>
      <c r="L188" s="108" t="s">
        <v>755</v>
      </c>
      <c r="M188" s="109">
        <v>45795.0</v>
      </c>
      <c r="N188" s="109">
        <v>45797.0</v>
      </c>
      <c r="O188" s="110"/>
      <c r="P188" s="108"/>
      <c r="Q188" s="185"/>
      <c r="R188" s="108" t="s">
        <v>3089</v>
      </c>
      <c r="S188" s="112" t="s">
        <v>934</v>
      </c>
      <c r="T188" s="113">
        <v>45782.0</v>
      </c>
      <c r="U188" s="114" t="str">
        <f>IF(V188="","No AIS",VLOOKUP(V188,'Voyage days'!$A$3:$B$1480,2,FALSE))</f>
        <v>USG</v>
      </c>
      <c r="V188" s="115" t="str">
        <f>IF(VLOOKUP(A188,'1) Kpler'!$E$2:$P$1000,8, FALSE)="","",VLOOKUP(A188,'1) Kpler'!$E$2:$P$1000,8, FALSE))</f>
        <v>Houston</v>
      </c>
      <c r="W188" s="116">
        <f>IF(VLOOKUP(A188,'1) Kpler'!$E$2:$P$1000,9,FALSE)="","",VLOOKUP(A188,'1) Kpler'!$E$2:$P$1000,9,FALSE))</f>
        <v>46148.20833</v>
      </c>
      <c r="X188" s="115" t="str">
        <f>VLOOKUP(A188,'1) Kpler'!$E$2:$I$1000,4,FALSE)</f>
        <v>ballast</v>
      </c>
      <c r="Y188" s="160" t="str">
        <f t="shared" si="40"/>
        <v>29-31 May</v>
      </c>
      <c r="Z188" s="120" t="str">
        <f t="shared" si="41"/>
        <v>29-31 May</v>
      </c>
      <c r="AA188" s="121">
        <f>IFERROR($M188+VLOOKUP($L188,'Voyage days'!$F$38:$H$89,3,FALSE),"")</f>
        <v>45806</v>
      </c>
      <c r="AB188" s="121">
        <f>IFERROR(N188+VLOOKUP($L188,'Voyage days'!$F$38:$H$89,3,FALSE),"")</f>
        <v>45808</v>
      </c>
      <c r="AC188" s="120" t="str">
        <f t="shared" si="42"/>
        <v>26-28 Jun</v>
      </c>
      <c r="AD188" s="121">
        <f>IFERROR($M188+VLOOKUP($L188,'Voyage days'!$F$94:$H$193,3,FALSE),"")</f>
        <v>45834</v>
      </c>
      <c r="AE188" s="121">
        <f>IFERROR($N188+VLOOKUP($L188,'Voyage days'!$F$94:$H$193,3,FALSE),"")</f>
        <v>45836</v>
      </c>
      <c r="AF188" s="120" t="str">
        <f t="shared" si="43"/>
        <v>24-26 Jun</v>
      </c>
      <c r="AG188" s="121">
        <f>IFERROR($M188+VLOOKUP($L188,'Voyage days'!$F$203:$H$256,3,FALSE),"")</f>
        <v>45832</v>
      </c>
      <c r="AH188" s="121">
        <f>IFERROR($N188+VLOOKUP($L188,'Voyage days'!$F$203:$H$256,3,FALSE),"")</f>
        <v>45834</v>
      </c>
      <c r="AI188" s="120" t="str">
        <f t="shared" si="44"/>
        <v>07-09 Jun</v>
      </c>
      <c r="AJ188" s="121">
        <f>IFERROR($M188+VLOOKUP($L188,'Voyage days'!$F$294:$H$377,3,FALSE),"")</f>
        <v>45815</v>
      </c>
      <c r="AK188" s="121">
        <f>IFERROR($N188+VLOOKUP($L188,'Voyage days'!$F$294:$H$377,3,FALSE),"")</f>
        <v>45817</v>
      </c>
      <c r="AL188" s="120" t="str">
        <f t="shared" si="45"/>
        <v>16-18 Jun</v>
      </c>
      <c r="AM188" s="121">
        <f>IFERROR($M188+VLOOKUP($L188,'Voyage days'!$F$382:$H$446,3,FALSE),"")</f>
        <v>45824</v>
      </c>
      <c r="AN188" s="121">
        <f>IFERROR($N188+VLOOKUP($L188,'Voyage days'!$F$382:$H$446,3,FALSE),"")</f>
        <v>45826</v>
      </c>
      <c r="AO188" s="120" t="str">
        <f t="shared" si="46"/>
        <v>27-29 May</v>
      </c>
      <c r="AP188" s="121">
        <f>IFERROR($M188+VLOOKUP($L188,'Voyage days'!$F$483:$H$538,3,FALSE),"")</f>
        <v>45804</v>
      </c>
      <c r="AQ188" s="121">
        <f>IFERROR($N188+VLOOKUP($L188,'Voyage days'!$F$483:$H$538,3,FALSE),"")</f>
        <v>45806</v>
      </c>
      <c r="AR188" s="120" t="str">
        <f t="shared" si="47"/>
        <v>22-24 May</v>
      </c>
      <c r="AS188" s="121">
        <f>IFERROR($M188+VLOOKUP($L188,'Voyage days'!$F$540:$H$613,3,FALSE),"")</f>
        <v>45799</v>
      </c>
      <c r="AT188" s="121">
        <f>IFERROR($N188+VLOOKUP($L188,'Voyage days'!$F$540:$H$613,3,FALSE),"")</f>
        <v>45801</v>
      </c>
      <c r="AU188" s="120" t="str">
        <f t="shared" si="48"/>
        <v/>
      </c>
      <c r="AV188" s="121" t="str">
        <f>IFERROR($M188+VLOOKUP($L188,'Voyage days'!$L$483:$N$535,3,FALSE),"")</f>
        <v/>
      </c>
      <c r="AW188" s="121" t="str">
        <f>IFERROR($N188+VLOOKUP($L188,'Voyage days'!$L$483:$N$535,3,FALSE),"")</f>
        <v/>
      </c>
      <c r="AX188" s="120" t="str">
        <f t="shared" si="49"/>
        <v/>
      </c>
      <c r="AY188" s="122" t="str">
        <f>IFERROR($M188+VLOOKUP($L188,'Voyage days'!$F$620:$H$646,3,FALSE),"")</f>
        <v/>
      </c>
      <c r="AZ188" s="122" t="str">
        <f>IFERROR($N188+VLOOKUP($L188,'Voyage days'!$F$620:$H$646,3,FALSE),"")</f>
        <v/>
      </c>
      <c r="BA188" s="120" t="str">
        <f t="shared" si="50"/>
        <v>26-26 Jun</v>
      </c>
      <c r="BB188" s="123">
        <f>IFERROR($M188+VLOOKUP($L188,'Voyage days'!$F$702:$H$727,3,FALSE),"")</f>
        <v>45803</v>
      </c>
      <c r="BC188" s="120" t="str">
        <f t="shared" si="51"/>
        <v>24-26 Jun</v>
      </c>
      <c r="BD188" s="122">
        <f>IFERROR($M188+VLOOKUP($L188,'Voyage days'!$F$807:$H$878,3,FALSE),"")</f>
        <v>45832</v>
      </c>
      <c r="BE188" s="122">
        <f>IFERROR($N188+VLOOKUP($L188,'Voyage days'!$F$807:$H$878,3,FALSE),"")</f>
        <v>45834</v>
      </c>
      <c r="BF188" s="609"/>
      <c r="BG188" s="609"/>
      <c r="BH188" s="609"/>
      <c r="BI188" s="609"/>
      <c r="BJ188" s="609"/>
      <c r="BK188" s="609"/>
      <c r="BL188" s="609"/>
      <c r="BM188" s="609"/>
    </row>
    <row r="189" ht="15.0" customHeight="1">
      <c r="A189" s="80" t="s">
        <v>543</v>
      </c>
      <c r="B189" s="202">
        <v>2008.0</v>
      </c>
      <c r="C189" s="1149">
        <v>80100.0</v>
      </c>
      <c r="D189" s="104" t="s">
        <v>1687</v>
      </c>
      <c r="E189" s="103"/>
      <c r="F189" s="604"/>
      <c r="G189" s="605">
        <v>45809.0</v>
      </c>
      <c r="H189" s="103"/>
      <c r="I189" s="185" t="s">
        <v>968</v>
      </c>
      <c r="J189" s="111" t="s">
        <v>968</v>
      </c>
      <c r="K189" s="336" t="str">
        <f t="shared" si="52"/>
        <v>Update</v>
      </c>
      <c r="L189" s="108" t="s">
        <v>656</v>
      </c>
      <c r="M189" s="109">
        <v>45809.0</v>
      </c>
      <c r="N189" s="109">
        <v>45811.0</v>
      </c>
      <c r="O189" s="110"/>
      <c r="P189" s="185"/>
      <c r="Q189" s="185"/>
      <c r="R189" s="185"/>
      <c r="S189" s="112" t="s">
        <v>2962</v>
      </c>
      <c r="T189" s="113">
        <v>45778.0</v>
      </c>
      <c r="U189" s="114" t="str">
        <f>IF(V189="","No AIS",VLOOKUP(V189,'Voyage days'!$A$3:$B$1480,2,FALSE))</f>
        <v>Indo + 4</v>
      </c>
      <c r="V189" s="115" t="str">
        <f>IF(VLOOKUP(A189,'1) Kpler'!$E$2:$P$1000,8, FALSE)="","",VLOOKUP(A189,'1) Kpler'!$E$2:$P$1000,8, FALSE))</f>
        <v>Pupuk Ammonia</v>
      </c>
      <c r="W189" s="116">
        <f>IF(VLOOKUP(A189,'1) Kpler'!$E$2:$P$1000,9,FALSE)="","",VLOOKUP(A189,'1) Kpler'!$E$2:$P$1000,9,FALSE))</f>
        <v>46157.58333</v>
      </c>
      <c r="X189" s="115" t="str">
        <f>VLOOKUP(A189,'1) Kpler'!$E$2:$I$1000,4,FALSE)</f>
        <v>loaded</v>
      </c>
      <c r="Y189" s="117" t="str">
        <f t="shared" si="40"/>
        <v>19-21 Jun</v>
      </c>
      <c r="Z189" s="120" t="str">
        <f t="shared" si="41"/>
        <v>19-21 Jun</v>
      </c>
      <c r="AA189" s="121">
        <f>IFERROR($M189+VLOOKUP($L189,'Voyage days'!$F$38:$H$89,3,FALSE),"")</f>
        <v>45827</v>
      </c>
      <c r="AB189" s="121">
        <f>IFERROR(N189+VLOOKUP($L189,'Voyage days'!$F$38:$H$89,3,FALSE),"")</f>
        <v>45829</v>
      </c>
      <c r="AC189" s="120" t="str">
        <f t="shared" si="42"/>
        <v>02-04 Jul</v>
      </c>
      <c r="AD189" s="121">
        <f>IFERROR($M189+VLOOKUP($L189,'Voyage days'!$F$94:$H$193,3,FALSE),"")</f>
        <v>45840</v>
      </c>
      <c r="AE189" s="121">
        <f>IFERROR($N189+VLOOKUP($L189,'Voyage days'!$F$94:$H$193,3,FALSE),"")</f>
        <v>45842</v>
      </c>
      <c r="AF189" s="120" t="str">
        <f t="shared" si="43"/>
        <v>09-11 Jul</v>
      </c>
      <c r="AG189" s="121">
        <f>IFERROR($M189+VLOOKUP($L189,'Voyage days'!$F$203:$H$256,3,FALSE),"")</f>
        <v>45847</v>
      </c>
      <c r="AH189" s="121">
        <f>IFERROR($N189+VLOOKUP($L189,'Voyage days'!$F$203:$H$256,3,FALSE),"")</f>
        <v>45849</v>
      </c>
      <c r="AI189" s="120" t="str">
        <f t="shared" si="44"/>
        <v>01-03 Jul</v>
      </c>
      <c r="AJ189" s="121">
        <f>IFERROR($M189+VLOOKUP($L189,'Voyage days'!$F$294:$H$377,3,FALSE),"")</f>
        <v>45839</v>
      </c>
      <c r="AK189" s="121">
        <f>IFERROR($N189+VLOOKUP($L189,'Voyage days'!$F$294:$H$377,3,FALSE),"")</f>
        <v>45841</v>
      </c>
      <c r="AL189" s="120" t="str">
        <f t="shared" si="45"/>
        <v>07-09 Jul</v>
      </c>
      <c r="AM189" s="121">
        <f>IFERROR($M189+VLOOKUP($L189,'Voyage days'!$F$382:$H$446,3,FALSE),"")</f>
        <v>45845</v>
      </c>
      <c r="AN189" s="121">
        <f>IFERROR($N189+VLOOKUP($L189,'Voyage days'!$F$382:$H$446,3,FALSE),"")</f>
        <v>45847</v>
      </c>
      <c r="AO189" s="120" t="str">
        <f t="shared" si="46"/>
        <v>14-16 Jun</v>
      </c>
      <c r="AP189" s="121">
        <f>IFERROR($M189+VLOOKUP($L189,'Voyage days'!$F$483:$H$538,3,FALSE),"")</f>
        <v>45822</v>
      </c>
      <c r="AQ189" s="121">
        <f>IFERROR($N189+VLOOKUP($L189,'Voyage days'!$F$483:$H$538,3,FALSE),"")</f>
        <v>45824</v>
      </c>
      <c r="AR189" s="120" t="str">
        <f t="shared" si="47"/>
        <v>09-11 Jun</v>
      </c>
      <c r="AS189" s="121">
        <f>IFERROR($M189+VLOOKUP($L189,'Voyage days'!$F$540:$H$613,3,FALSE),"")</f>
        <v>45817.25</v>
      </c>
      <c r="AT189" s="121">
        <f>IFERROR($N189+VLOOKUP($L189,'Voyage days'!$F$540:$H$613,3,FALSE),"")</f>
        <v>45819.25</v>
      </c>
      <c r="AU189" s="120" t="str">
        <f t="shared" si="48"/>
        <v/>
      </c>
      <c r="AV189" s="121" t="str">
        <f>IFERROR($M189+VLOOKUP($L189,'Voyage days'!$L$483:$N$535,3,FALSE),"")</f>
        <v/>
      </c>
      <c r="AW189" s="121" t="str">
        <f>IFERROR($N189+VLOOKUP($L189,'Voyage days'!$L$483:$N$535,3,FALSE),"")</f>
        <v/>
      </c>
      <c r="AX189" s="120" t="str">
        <f t="shared" si="49"/>
        <v>12-14 Jun</v>
      </c>
      <c r="AY189" s="122">
        <f>IFERROR($M189+VLOOKUP($L189,'Voyage days'!$F$620:$H$646,3,FALSE),"")</f>
        <v>45820</v>
      </c>
      <c r="AZ189" s="122">
        <f>IFERROR($N189+VLOOKUP($L189,'Voyage days'!$F$620:$H$646,3,FALSE),"")</f>
        <v>45822</v>
      </c>
      <c r="BA189" s="120" t="str">
        <f t="shared" si="50"/>
        <v>09-19 Jul</v>
      </c>
      <c r="BB189" s="123">
        <f>IFERROR($M189+VLOOKUP($L189,'Voyage days'!$F$702:$H$727,3,FALSE),"")</f>
        <v>45817.25</v>
      </c>
      <c r="BC189" s="120" t="str">
        <f t="shared" si="51"/>
        <v>17-19 Jul</v>
      </c>
      <c r="BD189" s="122">
        <f>IFERROR($M189+VLOOKUP($L189,'Voyage days'!$F$807:$H$878,3,FALSE),"")</f>
        <v>45855</v>
      </c>
      <c r="BE189" s="122">
        <f>IFERROR($N189+VLOOKUP($L189,'Voyage days'!$F$807:$H$878,3,FALSE),"")</f>
        <v>45857</v>
      </c>
      <c r="BF189" s="609"/>
      <c r="BG189" s="609"/>
      <c r="BH189" s="609"/>
      <c r="BI189" s="609"/>
      <c r="BJ189" s="609"/>
      <c r="BK189" s="609"/>
      <c r="BL189" s="609"/>
      <c r="BM189" s="609"/>
    </row>
    <row r="190" ht="15.75" customHeight="1">
      <c r="A190" s="164" t="s">
        <v>548</v>
      </c>
      <c r="B190" s="280">
        <v>2013.0</v>
      </c>
      <c r="C190" s="1150">
        <v>83300.0</v>
      </c>
      <c r="D190" s="168" t="s">
        <v>1687</v>
      </c>
      <c r="E190" s="223" t="s">
        <v>689</v>
      </c>
      <c r="F190" s="1010"/>
      <c r="G190" s="1011">
        <v>46113.0</v>
      </c>
      <c r="H190" s="223"/>
      <c r="I190" s="463" t="s">
        <v>968</v>
      </c>
      <c r="J190" s="312"/>
      <c r="K190" s="469" t="str">
        <f t="shared" si="52"/>
        <v>Update</v>
      </c>
      <c r="L190" s="172" t="s">
        <v>680</v>
      </c>
      <c r="M190" s="173">
        <v>45794.0</v>
      </c>
      <c r="N190" s="173">
        <v>45796.0</v>
      </c>
      <c r="O190" s="174"/>
      <c r="P190" s="463" t="s">
        <v>3090</v>
      </c>
      <c r="Q190" s="463"/>
      <c r="R190" s="172"/>
      <c r="S190" s="175" t="s">
        <v>2962</v>
      </c>
      <c r="T190" s="176">
        <v>45778.0</v>
      </c>
      <c r="U190" s="177" t="str">
        <f>IF(V190="","No AIS",VLOOKUP(V190,'Voyage days'!$A$3:$B$1480,2,FALSE))</f>
        <v>USG</v>
      </c>
      <c r="V190" s="178" t="str">
        <f>IF(VLOOKUP(A190,'1) Kpler'!$E$2:$P$1000,8, FALSE)="","",VLOOKUP(A190,'1) Kpler'!$E$2:$P$1000,8, FALSE))</f>
        <v>PADD 3</v>
      </c>
      <c r="W190" s="179">
        <f>IF(VLOOKUP(A190,'1) Kpler'!$E$2:$P$1000,9,FALSE)="","",VLOOKUP(A190,'1) Kpler'!$E$2:$P$1000,9,FALSE))</f>
        <v>46152</v>
      </c>
      <c r="X190" s="178" t="str">
        <f>VLOOKUP(A190,'1) Kpler'!$E$2:$I$1000,4,FALSE)</f>
        <v>ballast</v>
      </c>
      <c r="Y190" s="120" t="str">
        <f t="shared" si="40"/>
        <v/>
      </c>
      <c r="Z190" s="120" t="str">
        <f t="shared" si="41"/>
        <v/>
      </c>
      <c r="AA190" s="121" t="str">
        <f>IFERROR($M190+VLOOKUP($L190,'Voyage days'!$F$38:$H$89,3,FALSE),"")</f>
        <v/>
      </c>
      <c r="AB190" s="121" t="str">
        <f>IFERROR(N190+VLOOKUP($L190,'Voyage days'!$F$38:$H$89,3,FALSE),"")</f>
        <v/>
      </c>
      <c r="AC190" s="120" t="str">
        <f t="shared" si="42"/>
        <v>17-19 May</v>
      </c>
      <c r="AD190" s="121">
        <f>IFERROR($M190+VLOOKUP($L190,'Voyage days'!$F$94:$H$193,3,FALSE),"")</f>
        <v>45794</v>
      </c>
      <c r="AE190" s="121">
        <f>IFERROR($N190+VLOOKUP($L190,'Voyage days'!$F$94:$H$193,3,FALSE),"")</f>
        <v>45796</v>
      </c>
      <c r="AF190" s="120" t="str">
        <f t="shared" si="43"/>
        <v>17-19 May</v>
      </c>
      <c r="AG190" s="121">
        <f>IFERROR($M190+VLOOKUP($L190,'Voyage days'!$F$203:$H$256,3,FALSE),"")</f>
        <v>45794</v>
      </c>
      <c r="AH190" s="121">
        <f>IFERROR($N190+VLOOKUP($L190,'Voyage days'!$F$203:$H$256,3,FALSE),"")</f>
        <v>45796</v>
      </c>
      <c r="AI190" s="120" t="str">
        <f t="shared" si="44"/>
        <v/>
      </c>
      <c r="AJ190" s="121" t="str">
        <f>IFERROR($M190+VLOOKUP($L190,'Voyage days'!$F$294:$H$377,3,FALSE),"")</f>
        <v/>
      </c>
      <c r="AK190" s="121" t="str">
        <f>IFERROR($N190+VLOOKUP($L190,'Voyage days'!$F$294:$H$377,3,FALSE),"")</f>
        <v/>
      </c>
      <c r="AL190" s="120" t="str">
        <f t="shared" si="45"/>
        <v>06-08 Jun</v>
      </c>
      <c r="AM190" s="121">
        <f>IFERROR($M190+VLOOKUP($L190,'Voyage days'!$F$382:$H$446,3,FALSE),"")</f>
        <v>45814</v>
      </c>
      <c r="AN190" s="121">
        <f>IFERROR($N190+VLOOKUP($L190,'Voyage days'!$F$382:$H$446,3,FALSE),"")</f>
        <v>45816</v>
      </c>
      <c r="AO190" s="120" t="str">
        <f t="shared" si="46"/>
        <v/>
      </c>
      <c r="AP190" s="121" t="str">
        <f>IFERROR($M190+VLOOKUP($L190,'Voyage days'!$F$483:$H$538,3,FALSE),"")</f>
        <v/>
      </c>
      <c r="AQ190" s="121" t="str">
        <f>IFERROR($N190+VLOOKUP($L190,'Voyage days'!$F$483:$H$538,3,FALSE),"")</f>
        <v/>
      </c>
      <c r="AR190" s="120" t="str">
        <f t="shared" si="47"/>
        <v/>
      </c>
      <c r="AS190" s="121" t="str">
        <f>IFERROR($M190+VLOOKUP($L190,'Voyage days'!$F$540:$H$613,3,FALSE),"")</f>
        <v/>
      </c>
      <c r="AT190" s="121" t="str">
        <f>IFERROR($N190+VLOOKUP($L190,'Voyage days'!$F$540:$H$613,3,FALSE),"")</f>
        <v/>
      </c>
      <c r="AU190" s="120" t="str">
        <f t="shared" si="48"/>
        <v/>
      </c>
      <c r="AV190" s="121" t="str">
        <f>IFERROR($M190+VLOOKUP($L190,'Voyage days'!$L$483:$N$535,3,FALSE),"")</f>
        <v/>
      </c>
      <c r="AW190" s="121" t="str">
        <f>IFERROR($N190+VLOOKUP($L190,'Voyage days'!$L$483:$N$535,3,FALSE),"")</f>
        <v/>
      </c>
      <c r="AX190" s="120" t="str">
        <f t="shared" si="49"/>
        <v/>
      </c>
      <c r="AY190" s="122" t="str">
        <f>IFERROR($M190+VLOOKUP($L190,'Voyage days'!$F$620:$H$646,3,FALSE),"")</f>
        <v/>
      </c>
      <c r="AZ190" s="122" t="str">
        <f>IFERROR($N190+VLOOKUP($L190,'Voyage days'!$F$620:$H$646,3,FALSE),"")</f>
        <v/>
      </c>
      <c r="BA190" s="120" t="str">
        <f t="shared" si="50"/>
        <v/>
      </c>
      <c r="BB190" s="123" t="str">
        <f>IFERROR($M190+VLOOKUP($L190,'Voyage days'!$F$702:$H$727,3,FALSE),"")</f>
        <v/>
      </c>
      <c r="BC190" s="120" t="str">
        <f t="shared" si="51"/>
        <v/>
      </c>
      <c r="BD190" s="122" t="str">
        <f>IFERROR($M190+VLOOKUP($L190,'Voyage days'!$F$807:$H$878,3,FALSE),"")</f>
        <v/>
      </c>
      <c r="BE190" s="122" t="str">
        <f>IFERROR($N190+VLOOKUP($L190,'Voyage days'!$F$807:$H$878,3,FALSE),"")</f>
        <v/>
      </c>
      <c r="BF190" s="609"/>
      <c r="BG190" s="609"/>
      <c r="BH190" s="609"/>
      <c r="BI190" s="609"/>
      <c r="BJ190" s="609"/>
      <c r="BK190" s="609"/>
      <c r="BL190" s="609"/>
      <c r="BM190" s="609"/>
    </row>
    <row r="191" ht="15.75" customHeight="1">
      <c r="A191" s="404" t="s">
        <v>993</v>
      </c>
      <c r="B191" s="202">
        <v>2023.0</v>
      </c>
      <c r="C191" s="1045">
        <v>86700.0</v>
      </c>
      <c r="D191" s="150"/>
      <c r="E191" s="149" t="s">
        <v>666</v>
      </c>
      <c r="F191" s="1014"/>
      <c r="G191" s="1015"/>
      <c r="H191" s="149"/>
      <c r="I191" s="157" t="s">
        <v>994</v>
      </c>
      <c r="J191" s="536"/>
      <c r="K191" s="470" t="str">
        <f t="shared" si="52"/>
        <v>#N/A</v>
      </c>
      <c r="L191" s="153" t="s">
        <v>1231</v>
      </c>
      <c r="M191" s="276">
        <v>45807.0</v>
      </c>
      <c r="N191" s="276">
        <v>45808.0</v>
      </c>
      <c r="O191" s="155"/>
      <c r="P191" s="1151" t="s">
        <v>3091</v>
      </c>
      <c r="Q191" s="153"/>
      <c r="R191" s="153" t="s">
        <v>3092</v>
      </c>
      <c r="S191" s="256" t="s">
        <v>934</v>
      </c>
      <c r="T191" s="420">
        <v>45771.0</v>
      </c>
      <c r="U191" s="114" t="str">
        <f>IF(V191="","No AIS",VLOOKUP(V191,'Voyage days'!$A$3:$B$1480,2,FALSE))</f>
        <v>#N/A</v>
      </c>
      <c r="V191" s="216" t="str">
        <f>IF(VLOOKUP(A191,'1) Kpler'!$E$2:$P$1000,8, FALSE)="","",VLOOKUP(A191,'1) Kpler'!$E$2:$P$1000,8, FALSE))</f>
        <v>#N/A</v>
      </c>
      <c r="W191" s="501" t="str">
        <f>IF(VLOOKUP(A191,'1) Kpler'!$E$2:$P$1000,9,FALSE)="","",VLOOKUP(A191,'1) Kpler'!$E$2:$P$1000,9,FALSE))</f>
        <v>#N/A</v>
      </c>
      <c r="X191" s="216" t="str">
        <f>VLOOKUP(A191,'1) Kpler'!$E$2:$I$1000,4,FALSE)</f>
        <v>#N/A</v>
      </c>
      <c r="Y191" s="296" t="str">
        <f t="shared" si="40"/>
        <v>08-09 Jun</v>
      </c>
      <c r="Z191" s="163" t="str">
        <f t="shared" si="41"/>
        <v>08-09 Jun</v>
      </c>
      <c r="AA191" s="122">
        <f>IFERROR($M191+VLOOKUP($L191,'Voyage days'!$F$38:$H$89,3,FALSE),"")</f>
        <v>45816</v>
      </c>
      <c r="AB191" s="122">
        <f>IFERROR(N191+VLOOKUP($L191,'Voyage days'!$F$38:$H$89,3,FALSE),"")</f>
        <v>45817</v>
      </c>
      <c r="AC191" s="163" t="str">
        <f t="shared" si="42"/>
        <v/>
      </c>
      <c r="AD191" s="122" t="str">
        <f>IFERROR($M191+VLOOKUP($L191,'Voyage days'!$F$94:$H$193,3,FALSE),"")</f>
        <v/>
      </c>
      <c r="AE191" s="122" t="str">
        <f>IFERROR($N191+VLOOKUP($L191,'Voyage days'!$F$94:$H$193,3,FALSE),"")</f>
        <v/>
      </c>
      <c r="AF191" s="163" t="str">
        <f t="shared" si="43"/>
        <v>05-06 Jul</v>
      </c>
      <c r="AG191" s="122">
        <f>IFERROR($M191+VLOOKUP($L191,'Voyage days'!$F$203:$H$256,3,FALSE),"")</f>
        <v>45843</v>
      </c>
      <c r="AH191" s="122">
        <f>IFERROR($N191+VLOOKUP($L191,'Voyage days'!$F$203:$H$256,3,FALSE),"")</f>
        <v>45844</v>
      </c>
      <c r="AI191" s="163" t="str">
        <f t="shared" si="44"/>
        <v>20-21 Jun</v>
      </c>
      <c r="AJ191" s="122">
        <f>IFERROR($M191+VLOOKUP($L191,'Voyage days'!$F$294:$H$377,3,FALSE),"")</f>
        <v>45828</v>
      </c>
      <c r="AK191" s="122">
        <f>IFERROR($N191+VLOOKUP($L191,'Voyage days'!$F$294:$H$377,3,FALSE),"")</f>
        <v>45829</v>
      </c>
      <c r="AL191" s="163" t="str">
        <f t="shared" si="45"/>
        <v>27-28 Jun</v>
      </c>
      <c r="AM191" s="122">
        <f>IFERROR($M191+VLOOKUP($L191,'Voyage days'!$F$382:$H$446,3,FALSE),"")</f>
        <v>45835</v>
      </c>
      <c r="AN191" s="122">
        <f>IFERROR($N191+VLOOKUP($L191,'Voyage days'!$F$382:$H$446,3,FALSE),"")</f>
        <v>45836</v>
      </c>
      <c r="AO191" s="163" t="str">
        <f t="shared" si="46"/>
        <v>30-31 May</v>
      </c>
      <c r="AP191" s="122">
        <f>IFERROR($M191+VLOOKUP($L191,'Voyage days'!$F$483:$H$538,3,FALSE),"")</f>
        <v>45807</v>
      </c>
      <c r="AQ191" s="122">
        <f>IFERROR($N191+VLOOKUP($L191,'Voyage days'!$F$483:$H$538,3,FALSE),"")</f>
        <v>45808</v>
      </c>
      <c r="AR191" s="163" t="str">
        <f t="shared" si="47"/>
        <v/>
      </c>
      <c r="AS191" s="122" t="str">
        <f>IFERROR($M191+VLOOKUP($L191,'Voyage days'!$F$540:$H$613,3,FALSE),"")</f>
        <v/>
      </c>
      <c r="AT191" s="122" t="str">
        <f>IFERROR($N191+VLOOKUP($L191,'Voyage days'!$F$540:$H$613,3,FALSE),"")</f>
        <v/>
      </c>
      <c r="AU191" s="163" t="str">
        <f t="shared" si="48"/>
        <v/>
      </c>
      <c r="AV191" s="122" t="str">
        <f>IFERROR($M191+VLOOKUP($L191,'Voyage days'!$L$483:$N$535,3,FALSE),"")</f>
        <v/>
      </c>
      <c r="AW191" s="122" t="str">
        <f>IFERROR($N191+VLOOKUP($L191,'Voyage days'!$L$483:$N$535,3,FALSE),"")</f>
        <v/>
      </c>
      <c r="AX191" s="163" t="str">
        <f t="shared" si="49"/>
        <v/>
      </c>
      <c r="AY191" s="122" t="str">
        <f>IFERROR($M191+VLOOKUP($L191,'Voyage days'!$F$620:$H$646,3,FALSE),"")</f>
        <v/>
      </c>
      <c r="AZ191" s="122" t="str">
        <f>IFERROR($N191+VLOOKUP($L191,'Voyage days'!$F$620:$H$646,3,FALSE),"")</f>
        <v/>
      </c>
      <c r="BA191" s="163" t="str">
        <f t="shared" si="50"/>
        <v/>
      </c>
      <c r="BB191" s="123" t="str">
        <f>IFERROR($M191+VLOOKUP($L191,'Voyage days'!$F$702:$H$727,3,FALSE),"")</f>
        <v/>
      </c>
      <c r="BC191" s="163" t="str">
        <f t="shared" si="51"/>
        <v>07-08 Jul</v>
      </c>
      <c r="BD191" s="122">
        <f>IFERROR($M191+VLOOKUP($L191,'Voyage days'!$F$807:$H$878,3,FALSE),"")</f>
        <v>45845</v>
      </c>
      <c r="BE191" s="122">
        <f>IFERROR($N191+VLOOKUP($L191,'Voyage days'!$F$807:$H$878,3,FALSE),"")</f>
        <v>45846</v>
      </c>
      <c r="BF191" s="609"/>
      <c r="BG191" s="609"/>
      <c r="BH191" s="609"/>
      <c r="BI191" s="609"/>
      <c r="BJ191" s="609"/>
      <c r="BK191" s="609"/>
      <c r="BL191" s="609"/>
      <c r="BM191" s="609"/>
    </row>
    <row r="192" ht="15.75" customHeight="1">
      <c r="A192" s="404" t="s">
        <v>247</v>
      </c>
      <c r="B192" s="202">
        <v>2020.0</v>
      </c>
      <c r="C192" s="1045">
        <v>83000.0</v>
      </c>
      <c r="D192" s="150" t="s">
        <v>1687</v>
      </c>
      <c r="E192" s="149" t="s">
        <v>689</v>
      </c>
      <c r="F192" s="1014"/>
      <c r="G192" s="1015">
        <v>45717.0</v>
      </c>
      <c r="H192" s="149"/>
      <c r="I192" s="157" t="s">
        <v>994</v>
      </c>
      <c r="J192" s="536"/>
      <c r="K192" s="470" t="str">
        <f t="shared" si="52"/>
        <v>Update</v>
      </c>
      <c r="L192" s="153" t="s">
        <v>656</v>
      </c>
      <c r="M192" s="109">
        <v>45815.0</v>
      </c>
      <c r="N192" s="109">
        <v>45816.0</v>
      </c>
      <c r="O192" s="155"/>
      <c r="P192" s="157" t="s">
        <v>3093</v>
      </c>
      <c r="Q192" s="153"/>
      <c r="R192" s="153" t="s">
        <v>3094</v>
      </c>
      <c r="S192" s="256" t="s">
        <v>934</v>
      </c>
      <c r="T192" s="293">
        <v>45777.0</v>
      </c>
      <c r="U192" s="114" t="str">
        <f>IF(V192="","No AIS",VLOOKUP(V192,'Voyage days'!$A$3:$B$1480,2,FALSE))</f>
        <v>Indo + 4</v>
      </c>
      <c r="V192" s="114" t="str">
        <f>IF(VLOOKUP(A192,'1) Kpler'!$E$2:$P$1000,8, FALSE)="","",VLOOKUP(A192,'1) Kpler'!$E$2:$P$1000,8, FALSE))</f>
        <v>Oiltank. Merak</v>
      </c>
      <c r="W192" s="159">
        <f>IF(VLOOKUP(A192,'1) Kpler'!$E$2:$P$1000,9,FALSE)="","",VLOOKUP(A192,'1) Kpler'!$E$2:$P$1000,9,FALSE))</f>
        <v>46143.375</v>
      </c>
      <c r="X192" s="114" t="str">
        <f>VLOOKUP(A192,'1) Kpler'!$E$2:$I$1000,4,FALSE)</f>
        <v>loaded</v>
      </c>
      <c r="Y192" s="160" t="str">
        <f t="shared" si="40"/>
        <v>25-26 Jun</v>
      </c>
      <c r="Z192" s="120" t="str">
        <f t="shared" si="41"/>
        <v>25-26 Jun</v>
      </c>
      <c r="AA192" s="121">
        <f>IFERROR($M192+VLOOKUP($L192,'Voyage days'!$F$38:$H$89,3,FALSE),"")</f>
        <v>45833</v>
      </c>
      <c r="AB192" s="121">
        <f>IFERROR(N192+VLOOKUP($L192,'Voyage days'!$F$38:$H$89,3,FALSE),"")</f>
        <v>45834</v>
      </c>
      <c r="AC192" s="120" t="str">
        <f t="shared" si="42"/>
        <v>08-09 Jul</v>
      </c>
      <c r="AD192" s="121">
        <f>IFERROR($M192+VLOOKUP($L192,'Voyage days'!$F$94:$H$193,3,FALSE),"")</f>
        <v>45846</v>
      </c>
      <c r="AE192" s="121">
        <f>IFERROR($N192+VLOOKUP($L192,'Voyage days'!$F$94:$H$193,3,FALSE),"")</f>
        <v>45847</v>
      </c>
      <c r="AF192" s="120" t="str">
        <f t="shared" si="43"/>
        <v>15-16 Jul</v>
      </c>
      <c r="AG192" s="121">
        <f>IFERROR($M192+VLOOKUP($L192,'Voyage days'!$F$203:$H$256,3,FALSE),"")</f>
        <v>45853</v>
      </c>
      <c r="AH192" s="121">
        <f>IFERROR($N192+VLOOKUP($L192,'Voyage days'!$F$203:$H$256,3,FALSE),"")</f>
        <v>45854</v>
      </c>
      <c r="AI192" s="120" t="str">
        <f t="shared" si="44"/>
        <v>07-08 Jul</v>
      </c>
      <c r="AJ192" s="121">
        <f>IFERROR($M192+VLOOKUP($L192,'Voyage days'!$F$294:$H$377,3,FALSE),"")</f>
        <v>45845</v>
      </c>
      <c r="AK192" s="121">
        <f>IFERROR($N192+VLOOKUP($L192,'Voyage days'!$F$294:$H$377,3,FALSE),"")</f>
        <v>45846</v>
      </c>
      <c r="AL192" s="120" t="str">
        <f t="shared" si="45"/>
        <v>13-14 Jul</v>
      </c>
      <c r="AM192" s="121">
        <f>IFERROR($M192+VLOOKUP($L192,'Voyage days'!$F$382:$H$446,3,FALSE),"")</f>
        <v>45851</v>
      </c>
      <c r="AN192" s="121">
        <f>IFERROR($N192+VLOOKUP($L192,'Voyage days'!$F$382:$H$446,3,FALSE),"")</f>
        <v>45852</v>
      </c>
      <c r="AO192" s="120" t="str">
        <f t="shared" si="46"/>
        <v>20-21 Jun</v>
      </c>
      <c r="AP192" s="121">
        <f>IFERROR($M192+VLOOKUP($L192,'Voyage days'!$F$483:$H$538,3,FALSE),"")</f>
        <v>45828</v>
      </c>
      <c r="AQ192" s="121">
        <f>IFERROR($N192+VLOOKUP($L192,'Voyage days'!$F$483:$H$538,3,FALSE),"")</f>
        <v>45829</v>
      </c>
      <c r="AR192" s="120" t="str">
        <f t="shared" si="47"/>
        <v>15-16 Jun</v>
      </c>
      <c r="AS192" s="121">
        <f>IFERROR($M192+VLOOKUP($L192,'Voyage days'!$F$540:$H$613,3,FALSE),"")</f>
        <v>45823.25</v>
      </c>
      <c r="AT192" s="121">
        <f>IFERROR($N192+VLOOKUP($L192,'Voyage days'!$F$540:$H$613,3,FALSE),"")</f>
        <v>45824.25</v>
      </c>
      <c r="AU192" s="120" t="str">
        <f t="shared" si="48"/>
        <v/>
      </c>
      <c r="AV192" s="121" t="str">
        <f>IFERROR($M192+VLOOKUP($L192,'Voyage days'!$L$483:$N$535,3,FALSE),"")</f>
        <v/>
      </c>
      <c r="AW192" s="121" t="str">
        <f>IFERROR($N192+VLOOKUP($L192,'Voyage days'!$L$483:$N$535,3,FALSE),"")</f>
        <v/>
      </c>
      <c r="AX192" s="120" t="str">
        <f t="shared" si="49"/>
        <v>18-19 Jun</v>
      </c>
      <c r="AY192" s="122">
        <f>IFERROR($M192+VLOOKUP($L192,'Voyage days'!$F$620:$H$646,3,FALSE),"")</f>
        <v>45826</v>
      </c>
      <c r="AZ192" s="122">
        <f>IFERROR($N192+VLOOKUP($L192,'Voyage days'!$F$620:$H$646,3,FALSE),"")</f>
        <v>45827</v>
      </c>
      <c r="BA192" s="120" t="str">
        <f t="shared" si="50"/>
        <v>15-24 Jul</v>
      </c>
      <c r="BB192" s="123">
        <f>IFERROR($M192+VLOOKUP($L192,'Voyage days'!$F$702:$H$727,3,FALSE),"")</f>
        <v>45823.25</v>
      </c>
      <c r="BC192" s="120" t="str">
        <f t="shared" si="51"/>
        <v>23-24 Jul</v>
      </c>
      <c r="BD192" s="122">
        <f>IFERROR($M192+VLOOKUP($L192,'Voyage days'!$F$807:$H$878,3,FALSE),"")</f>
        <v>45861</v>
      </c>
      <c r="BE192" s="122">
        <f>IFERROR($N192+VLOOKUP($L192,'Voyage days'!$F$807:$H$878,3,FALSE),"")</f>
        <v>45862</v>
      </c>
      <c r="BF192" s="609"/>
      <c r="BG192" s="609"/>
      <c r="BH192" s="609"/>
      <c r="BI192" s="609"/>
      <c r="BJ192" s="609"/>
      <c r="BK192" s="609"/>
      <c r="BL192" s="609"/>
      <c r="BM192" s="609"/>
    </row>
    <row r="193" ht="15.75" customHeight="1">
      <c r="A193" s="404" t="s">
        <v>472</v>
      </c>
      <c r="B193" s="101">
        <v>42535.0</v>
      </c>
      <c r="C193" s="1045">
        <v>84000.0</v>
      </c>
      <c r="D193" s="150" t="s">
        <v>1687</v>
      </c>
      <c r="E193" s="149"/>
      <c r="F193" s="1014"/>
      <c r="G193" s="1015"/>
      <c r="H193" s="149"/>
      <c r="I193" s="157" t="s">
        <v>994</v>
      </c>
      <c r="J193" s="536" t="s">
        <v>3019</v>
      </c>
      <c r="K193" s="470" t="str">
        <f t="shared" si="52"/>
        <v>Update</v>
      </c>
      <c r="L193" s="153" t="s">
        <v>656</v>
      </c>
      <c r="M193" s="109">
        <v>45802.0</v>
      </c>
      <c r="N193" s="109">
        <v>45808.0</v>
      </c>
      <c r="O193" s="155"/>
      <c r="P193" s="157"/>
      <c r="Q193" s="153"/>
      <c r="R193" s="153" t="s">
        <v>3095</v>
      </c>
      <c r="S193" s="256" t="s">
        <v>934</v>
      </c>
      <c r="T193" s="293">
        <v>45771.0</v>
      </c>
      <c r="U193" s="114" t="str">
        <f>IF(V193="","No AIS",VLOOKUP(V193,'Voyage days'!$A$3:$B$1480,2,FALSE))</f>
        <v>Cape (as proxy)</v>
      </c>
      <c r="V193" s="114" t="str">
        <f>IF(VLOOKUP(A193,'1) Kpler'!$E$2:$P$1000,8, FALSE)="","",VLOOKUP(A193,'1) Kpler'!$E$2:$P$1000,8, FALSE))</f>
        <v>Port Elizabeth</v>
      </c>
      <c r="W193" s="159">
        <f>IF(VLOOKUP(A193,'1) Kpler'!$E$2:$P$1000,9,FALSE)="","",VLOOKUP(A193,'1) Kpler'!$E$2:$P$1000,9,FALSE))</f>
        <v>46133.5</v>
      </c>
      <c r="X193" s="114" t="str">
        <f>VLOOKUP(A193,'1) Kpler'!$E$2:$I$1000,4,FALSE)</f>
        <v>ballast</v>
      </c>
      <c r="Y193" s="117" t="str">
        <f t="shared" si="40"/>
        <v>12-18 Jun</v>
      </c>
      <c r="Z193" s="120" t="str">
        <f t="shared" si="41"/>
        <v>12-18 Jun</v>
      </c>
      <c r="AA193" s="121">
        <f>IFERROR($M193+VLOOKUP($L193,'Voyage days'!$F$38:$H$89,3,FALSE),"")</f>
        <v>45820</v>
      </c>
      <c r="AB193" s="121">
        <f>IFERROR(N193+VLOOKUP($L193,'Voyage days'!$F$38:$H$89,3,FALSE),"")</f>
        <v>45826</v>
      </c>
      <c r="AC193" s="120" t="str">
        <f t="shared" si="42"/>
        <v>25-01 Jul</v>
      </c>
      <c r="AD193" s="121">
        <f>IFERROR($M193+VLOOKUP($L193,'Voyage days'!$F$94:$H$193,3,FALSE),"")</f>
        <v>45833</v>
      </c>
      <c r="AE193" s="121">
        <f>IFERROR($N193+VLOOKUP($L193,'Voyage days'!$F$94:$H$193,3,FALSE),"")</f>
        <v>45839</v>
      </c>
      <c r="AF193" s="120" t="str">
        <f t="shared" si="43"/>
        <v>02-08 Jul</v>
      </c>
      <c r="AG193" s="121">
        <f>IFERROR($M193+VLOOKUP($L193,'Voyage days'!$F$203:$H$256,3,FALSE),"")</f>
        <v>45840</v>
      </c>
      <c r="AH193" s="121">
        <f>IFERROR($N193+VLOOKUP($L193,'Voyage days'!$F$203:$H$256,3,FALSE),"")</f>
        <v>45846</v>
      </c>
      <c r="AI193" s="120" t="str">
        <f t="shared" si="44"/>
        <v>24-30 Jun</v>
      </c>
      <c r="AJ193" s="121">
        <f>IFERROR($M193+VLOOKUP($L193,'Voyage days'!$F$294:$H$377,3,FALSE),"")</f>
        <v>45832</v>
      </c>
      <c r="AK193" s="121">
        <f>IFERROR($N193+VLOOKUP($L193,'Voyage days'!$F$294:$H$377,3,FALSE),"")</f>
        <v>45838</v>
      </c>
      <c r="AL193" s="120" t="str">
        <f t="shared" si="45"/>
        <v>30-06 Jul</v>
      </c>
      <c r="AM193" s="121">
        <f>IFERROR($M193+VLOOKUP($L193,'Voyage days'!$F$382:$H$446,3,FALSE),"")</f>
        <v>45838</v>
      </c>
      <c r="AN193" s="121">
        <f>IFERROR($N193+VLOOKUP($L193,'Voyage days'!$F$382:$H$446,3,FALSE),"")</f>
        <v>45844</v>
      </c>
      <c r="AO193" s="120" t="str">
        <f t="shared" si="46"/>
        <v>07-13 Jun</v>
      </c>
      <c r="AP193" s="121">
        <f>IFERROR($M193+VLOOKUP($L193,'Voyage days'!$F$483:$H$538,3,FALSE),"")</f>
        <v>45815</v>
      </c>
      <c r="AQ193" s="121">
        <f>IFERROR($N193+VLOOKUP($L193,'Voyage days'!$F$483:$H$538,3,FALSE),"")</f>
        <v>45821</v>
      </c>
      <c r="AR193" s="120" t="str">
        <f t="shared" si="47"/>
        <v>02-08 Jun</v>
      </c>
      <c r="AS193" s="121">
        <f>IFERROR($M193+VLOOKUP($L193,'Voyage days'!$F$540:$H$613,3,FALSE),"")</f>
        <v>45810.25</v>
      </c>
      <c r="AT193" s="121">
        <f>IFERROR($N193+VLOOKUP($L193,'Voyage days'!$F$540:$H$613,3,FALSE),"")</f>
        <v>45816.25</v>
      </c>
      <c r="AU193" s="120" t="str">
        <f t="shared" si="48"/>
        <v/>
      </c>
      <c r="AV193" s="121" t="str">
        <f>IFERROR($M193+VLOOKUP($L193,'Voyage days'!$L$483:$N$535,3,FALSE),"")</f>
        <v/>
      </c>
      <c r="AW193" s="121" t="str">
        <f>IFERROR($N193+VLOOKUP($L193,'Voyage days'!$L$483:$N$535,3,FALSE),"")</f>
        <v/>
      </c>
      <c r="AX193" s="120" t="str">
        <f t="shared" si="49"/>
        <v>05-11 Jun</v>
      </c>
      <c r="AY193" s="122">
        <f>IFERROR($M193+VLOOKUP($L193,'Voyage days'!$F$620:$H$646,3,FALSE),"")</f>
        <v>45813</v>
      </c>
      <c r="AZ193" s="122">
        <f>IFERROR($N193+VLOOKUP($L193,'Voyage days'!$F$620:$H$646,3,FALSE),"")</f>
        <v>45819</v>
      </c>
      <c r="BA193" s="120" t="str">
        <f t="shared" si="50"/>
        <v>02-16 Jul</v>
      </c>
      <c r="BB193" s="123">
        <f>IFERROR($M193+VLOOKUP($L193,'Voyage days'!$F$702:$H$727,3,FALSE),"")</f>
        <v>45810.25</v>
      </c>
      <c r="BC193" s="120" t="str">
        <f t="shared" si="51"/>
        <v>10-16 Jul</v>
      </c>
      <c r="BD193" s="122">
        <f>IFERROR($M193+VLOOKUP($L193,'Voyage days'!$F$807:$H$878,3,FALSE),"")</f>
        <v>45848</v>
      </c>
      <c r="BE193" s="122">
        <f>IFERROR($N193+VLOOKUP($L193,'Voyage days'!$F$807:$H$878,3,FALSE),"")</f>
        <v>45854</v>
      </c>
      <c r="BF193" s="609"/>
      <c r="BG193" s="609"/>
      <c r="BH193" s="609"/>
      <c r="BI193" s="609"/>
      <c r="BJ193" s="609"/>
      <c r="BK193" s="609"/>
      <c r="BL193" s="609"/>
      <c r="BM193" s="609"/>
    </row>
    <row r="194" ht="15.75" customHeight="1">
      <c r="A194" s="80" t="s">
        <v>496</v>
      </c>
      <c r="B194" s="148">
        <v>2020.0</v>
      </c>
      <c r="C194" s="1045">
        <v>82416.0</v>
      </c>
      <c r="D194" s="104" t="s">
        <v>1687</v>
      </c>
      <c r="E194" s="103" t="s">
        <v>689</v>
      </c>
      <c r="F194" s="604"/>
      <c r="G194" s="605">
        <v>45658.0</v>
      </c>
      <c r="H194" s="103"/>
      <c r="I194" s="185" t="s">
        <v>994</v>
      </c>
      <c r="J194" s="340"/>
      <c r="K194" s="336" t="str">
        <f t="shared" si="52"/>
        <v>Update</v>
      </c>
      <c r="L194" s="349" t="s">
        <v>656</v>
      </c>
      <c r="M194" s="109">
        <v>45813.0</v>
      </c>
      <c r="N194" s="109">
        <v>45818.0</v>
      </c>
      <c r="O194" s="110"/>
      <c r="P194" s="304"/>
      <c r="Q194" s="304"/>
      <c r="R194" s="108" t="s">
        <v>3096</v>
      </c>
      <c r="S194" s="112" t="s">
        <v>934</v>
      </c>
      <c r="T194" s="113">
        <v>45782.0</v>
      </c>
      <c r="U194" s="114" t="str">
        <f>IF(V194="","No AIS",VLOOKUP(V194,'Voyage days'!$A$3:$B$1480,2,FALSE))</f>
        <v>USG</v>
      </c>
      <c r="V194" s="115" t="str">
        <f>IF(VLOOKUP(A194,'1) Kpler'!$E$2:$P$1000,8, FALSE)="","",VLOOKUP(A194,'1) Kpler'!$E$2:$P$1000,8, FALSE))</f>
        <v>Houston</v>
      </c>
      <c r="W194" s="116">
        <f>IF(VLOOKUP(A194,'1) Kpler'!$E$2:$P$1000,9,FALSE)="","",VLOOKUP(A194,'1) Kpler'!$E$2:$P$1000,9,FALSE))</f>
        <v>46153.95833</v>
      </c>
      <c r="X194" s="115" t="str">
        <f>VLOOKUP(A194,'1) Kpler'!$E$2:$I$1000,4,FALSE)</f>
        <v>ballast</v>
      </c>
      <c r="Y194" s="160" t="str">
        <f t="shared" si="40"/>
        <v>23-28 Jun</v>
      </c>
      <c r="Z194" s="120" t="str">
        <f t="shared" si="41"/>
        <v>23-28 Jun</v>
      </c>
      <c r="AA194" s="121">
        <f>IFERROR($M194+VLOOKUP($L194,'Voyage days'!$F$38:$H$89,3,FALSE),"")</f>
        <v>45831</v>
      </c>
      <c r="AB194" s="121">
        <f>IFERROR(N194+VLOOKUP($L194,'Voyage days'!$F$38:$H$89,3,FALSE),"")</f>
        <v>45836</v>
      </c>
      <c r="AC194" s="120" t="str">
        <f t="shared" si="42"/>
        <v>06-11 Jul</v>
      </c>
      <c r="AD194" s="121">
        <f>IFERROR($M194+VLOOKUP($L194,'Voyage days'!$F$94:$H$193,3,FALSE),"")</f>
        <v>45844</v>
      </c>
      <c r="AE194" s="121">
        <f>IFERROR($N194+VLOOKUP($L194,'Voyage days'!$F$94:$H$193,3,FALSE),"")</f>
        <v>45849</v>
      </c>
      <c r="AF194" s="120" t="str">
        <f t="shared" si="43"/>
        <v>13-18 Jul</v>
      </c>
      <c r="AG194" s="121">
        <f>IFERROR($M194+VLOOKUP($L194,'Voyage days'!$F$203:$H$256,3,FALSE),"")</f>
        <v>45851</v>
      </c>
      <c r="AH194" s="121">
        <f>IFERROR($N194+VLOOKUP($L194,'Voyage days'!$F$203:$H$256,3,FALSE),"")</f>
        <v>45856</v>
      </c>
      <c r="AI194" s="120" t="str">
        <f t="shared" si="44"/>
        <v>05-10 Jul</v>
      </c>
      <c r="AJ194" s="121">
        <f>IFERROR($M194+VLOOKUP($L194,'Voyage days'!$F$294:$H$377,3,FALSE),"")</f>
        <v>45843</v>
      </c>
      <c r="AK194" s="121">
        <f>IFERROR($N194+VLOOKUP($L194,'Voyage days'!$F$294:$H$377,3,FALSE),"")</f>
        <v>45848</v>
      </c>
      <c r="AL194" s="120" t="str">
        <f t="shared" si="45"/>
        <v>11-16 Jul</v>
      </c>
      <c r="AM194" s="121">
        <f>IFERROR($M194+VLOOKUP($L194,'Voyage days'!$F$382:$H$446,3,FALSE),"")</f>
        <v>45849</v>
      </c>
      <c r="AN194" s="121">
        <f>IFERROR($N194+VLOOKUP($L194,'Voyage days'!$F$382:$H$446,3,FALSE),"")</f>
        <v>45854</v>
      </c>
      <c r="AO194" s="120" t="str">
        <f t="shared" si="46"/>
        <v>18-23 Jun</v>
      </c>
      <c r="AP194" s="121">
        <f>IFERROR($M194+VLOOKUP($L194,'Voyage days'!$F$483:$H$538,3,FALSE),"")</f>
        <v>45826</v>
      </c>
      <c r="AQ194" s="121">
        <f>IFERROR($N194+VLOOKUP($L194,'Voyage days'!$F$483:$H$538,3,FALSE),"")</f>
        <v>45831</v>
      </c>
      <c r="AR194" s="120" t="str">
        <f t="shared" si="47"/>
        <v>13-18 Jun</v>
      </c>
      <c r="AS194" s="121">
        <f>IFERROR($M194+VLOOKUP($L194,'Voyage days'!$F$540:$H$613,3,FALSE),"")</f>
        <v>45821.25</v>
      </c>
      <c r="AT194" s="121">
        <f>IFERROR($N194+VLOOKUP($L194,'Voyage days'!$F$540:$H$613,3,FALSE),"")</f>
        <v>45826.25</v>
      </c>
      <c r="AU194" s="120" t="str">
        <f t="shared" si="48"/>
        <v/>
      </c>
      <c r="AV194" s="121" t="str">
        <f>IFERROR($M194+VLOOKUP($L194,'Voyage days'!$L$483:$N$535,3,FALSE),"")</f>
        <v/>
      </c>
      <c r="AW194" s="121" t="str">
        <f>IFERROR($N194+VLOOKUP($L194,'Voyage days'!$L$483:$N$535,3,FALSE),"")</f>
        <v/>
      </c>
      <c r="AX194" s="120" t="str">
        <f t="shared" si="49"/>
        <v>16-21 Jun</v>
      </c>
      <c r="AY194" s="122">
        <f>IFERROR($M194+VLOOKUP($L194,'Voyage days'!$F$620:$H$646,3,FALSE),"")</f>
        <v>45824</v>
      </c>
      <c r="AZ194" s="122">
        <f>IFERROR($N194+VLOOKUP($L194,'Voyage days'!$F$620:$H$646,3,FALSE),"")</f>
        <v>45829</v>
      </c>
      <c r="BA194" s="120" t="str">
        <f t="shared" si="50"/>
        <v>13-26 Jul</v>
      </c>
      <c r="BB194" s="123">
        <f>IFERROR($M194+VLOOKUP($L194,'Voyage days'!$F$702:$H$727,3,FALSE),"")</f>
        <v>45821.25</v>
      </c>
      <c r="BC194" s="120" t="str">
        <f t="shared" si="51"/>
        <v>21-26 Jul</v>
      </c>
      <c r="BD194" s="122">
        <f>IFERROR($M194+VLOOKUP($L194,'Voyage days'!$F$807:$H$878,3,FALSE),"")</f>
        <v>45859</v>
      </c>
      <c r="BE194" s="122">
        <f>IFERROR($N194+VLOOKUP($L194,'Voyage days'!$F$807:$H$878,3,FALSE),"")</f>
        <v>45864</v>
      </c>
      <c r="BF194" s="609"/>
      <c r="BG194" s="609"/>
      <c r="BH194" s="609"/>
      <c r="BI194" s="609"/>
      <c r="BJ194" s="609"/>
      <c r="BK194" s="609"/>
      <c r="BL194" s="609"/>
      <c r="BM194" s="609"/>
    </row>
    <row r="195" ht="15.75" customHeight="1">
      <c r="A195" s="473" t="s">
        <v>532</v>
      </c>
      <c r="B195" s="222">
        <v>42485.0</v>
      </c>
      <c r="C195" s="1101">
        <v>84000.0</v>
      </c>
      <c r="D195" s="168" t="s">
        <v>1687</v>
      </c>
      <c r="E195" s="223"/>
      <c r="F195" s="1010"/>
      <c r="G195" s="223" t="s">
        <v>3097</v>
      </c>
      <c r="H195" s="223"/>
      <c r="I195" s="172" t="s">
        <v>994</v>
      </c>
      <c r="J195" s="312" t="s">
        <v>1080</v>
      </c>
      <c r="K195" s="469" t="str">
        <f t="shared" si="52"/>
        <v>Update</v>
      </c>
      <c r="L195" s="172" t="s">
        <v>1231</v>
      </c>
      <c r="M195" s="173">
        <v>45813.0</v>
      </c>
      <c r="N195" s="173">
        <v>45818.0</v>
      </c>
      <c r="O195" s="226"/>
      <c r="P195" s="377"/>
      <c r="Q195" s="172" t="s">
        <v>3098</v>
      </c>
      <c r="R195" s="1012" t="s">
        <v>3099</v>
      </c>
      <c r="S195" s="175" t="s">
        <v>934</v>
      </c>
      <c r="T195" s="176">
        <v>45771.0</v>
      </c>
      <c r="U195" s="177" t="str">
        <f>IF(V195="","No AIS",VLOOKUP(V195,'Voyage days'!$A$3:$B$1480,2,FALSE))</f>
        <v>Korea+3/+1 bunkers</v>
      </c>
      <c r="V195" s="178" t="str">
        <f>IF(VLOOKUP(A195,'1) Kpler'!$E$2:$P$1000,8, FALSE)="","",VLOOKUP(A195,'1) Kpler'!$E$2:$P$1000,8, FALSE))</f>
        <v>Yeosu</v>
      </c>
      <c r="W195" s="179">
        <f>IF(VLOOKUP(A195,'1) Kpler'!$E$2:$P$1000,9,FALSE)="","",VLOOKUP(A195,'1) Kpler'!$E$2:$P$1000,9,FALSE))</f>
        <v>46132.29167</v>
      </c>
      <c r="X195" s="178" t="str">
        <f>VLOOKUP(A195,'1) Kpler'!$E$2:$I$1000,4,FALSE)</f>
        <v>ballast</v>
      </c>
      <c r="Y195" s="180" t="str">
        <f t="shared" si="40"/>
        <v>14-19 Jun</v>
      </c>
      <c r="Z195" s="120" t="str">
        <f t="shared" si="41"/>
        <v>14-19 Jun</v>
      </c>
      <c r="AA195" s="121">
        <f>IFERROR($M195+VLOOKUP($L195,'Voyage days'!$F$38:$H$89,3,FALSE),"")</f>
        <v>45822</v>
      </c>
      <c r="AB195" s="121">
        <f>IFERROR(N195+VLOOKUP($L195,'Voyage days'!$F$38:$H$89,3,FALSE),"")</f>
        <v>45827</v>
      </c>
      <c r="AC195" s="120" t="str">
        <f t="shared" si="42"/>
        <v/>
      </c>
      <c r="AD195" s="121" t="str">
        <f>IFERROR($M195+VLOOKUP($L195,'Voyage days'!$F$94:$H$193,3,FALSE),"")</f>
        <v/>
      </c>
      <c r="AE195" s="121" t="str">
        <f>IFERROR($N195+VLOOKUP($L195,'Voyage days'!$F$94:$H$193,3,FALSE),"")</f>
        <v/>
      </c>
      <c r="AF195" s="120" t="str">
        <f t="shared" si="43"/>
        <v>11-16 Jul</v>
      </c>
      <c r="AG195" s="121">
        <f>IFERROR($M195+VLOOKUP($L195,'Voyage days'!$F$203:$H$256,3,FALSE),"")</f>
        <v>45849</v>
      </c>
      <c r="AH195" s="121">
        <f>IFERROR($N195+VLOOKUP($L195,'Voyage days'!$F$203:$H$256,3,FALSE),"")</f>
        <v>45854</v>
      </c>
      <c r="AI195" s="120" t="str">
        <f t="shared" si="44"/>
        <v>26-01 Jul</v>
      </c>
      <c r="AJ195" s="121">
        <f>IFERROR($M195+VLOOKUP($L195,'Voyage days'!$F$294:$H$377,3,FALSE),"")</f>
        <v>45834</v>
      </c>
      <c r="AK195" s="121">
        <f>IFERROR($N195+VLOOKUP($L195,'Voyage days'!$F$294:$H$377,3,FALSE),"")</f>
        <v>45839</v>
      </c>
      <c r="AL195" s="120" t="str">
        <f t="shared" si="45"/>
        <v>03-08 Jul</v>
      </c>
      <c r="AM195" s="121">
        <f>IFERROR($M195+VLOOKUP($L195,'Voyage days'!$F$382:$H$446,3,FALSE),"")</f>
        <v>45841</v>
      </c>
      <c r="AN195" s="121">
        <f>IFERROR($N195+VLOOKUP($L195,'Voyage days'!$F$382:$H$446,3,FALSE),"")</f>
        <v>45846</v>
      </c>
      <c r="AO195" s="120" t="str">
        <f t="shared" si="46"/>
        <v>05-10 Jun</v>
      </c>
      <c r="AP195" s="121">
        <f>IFERROR($M195+VLOOKUP($L195,'Voyage days'!$F$483:$H$538,3,FALSE),"")</f>
        <v>45813</v>
      </c>
      <c r="AQ195" s="121">
        <f>IFERROR($N195+VLOOKUP($L195,'Voyage days'!$F$483:$H$538,3,FALSE),"")</f>
        <v>45818</v>
      </c>
      <c r="AR195" s="120" t="str">
        <f t="shared" si="47"/>
        <v/>
      </c>
      <c r="AS195" s="121" t="str">
        <f>IFERROR($M195+VLOOKUP($L195,'Voyage days'!$F$540:$H$613,3,FALSE),"")</f>
        <v/>
      </c>
      <c r="AT195" s="121" t="str">
        <f>IFERROR($N195+VLOOKUP($L195,'Voyage days'!$F$540:$H$613,3,FALSE),"")</f>
        <v/>
      </c>
      <c r="AU195" s="120" t="str">
        <f t="shared" si="48"/>
        <v/>
      </c>
      <c r="AV195" s="121" t="str">
        <f>IFERROR($M195+VLOOKUP($L195,'Voyage days'!$L$483:$N$535,3,FALSE),"")</f>
        <v/>
      </c>
      <c r="AW195" s="121" t="str">
        <f>IFERROR($N195+VLOOKUP($L195,'Voyage days'!$L$483:$N$535,3,FALSE),"")</f>
        <v/>
      </c>
      <c r="AX195" s="120" t="str">
        <f t="shared" si="49"/>
        <v/>
      </c>
      <c r="AY195" s="122" t="str">
        <f>IFERROR($M195+VLOOKUP($L195,'Voyage days'!$F$620:$H$646,3,FALSE),"")</f>
        <v/>
      </c>
      <c r="AZ195" s="122" t="str">
        <f>IFERROR($N195+VLOOKUP($L195,'Voyage days'!$F$620:$H$646,3,FALSE),"")</f>
        <v/>
      </c>
      <c r="BA195" s="120" t="str">
        <f t="shared" si="50"/>
        <v/>
      </c>
      <c r="BB195" s="123" t="str">
        <f>IFERROR($M195+VLOOKUP($L195,'Voyage days'!$F$702:$H$727,3,FALSE),"")</f>
        <v/>
      </c>
      <c r="BC195" s="120" t="str">
        <f t="shared" si="51"/>
        <v>13-18 Jul</v>
      </c>
      <c r="BD195" s="122">
        <f>IFERROR($M195+VLOOKUP($L195,'Voyage days'!$F$807:$H$878,3,FALSE),"")</f>
        <v>45851</v>
      </c>
      <c r="BE195" s="122">
        <f>IFERROR($N195+VLOOKUP($L195,'Voyage days'!$F$807:$H$878,3,FALSE),"")</f>
        <v>45856</v>
      </c>
      <c r="BF195" s="609"/>
      <c r="BG195" s="609"/>
      <c r="BH195" s="609"/>
      <c r="BI195" s="609"/>
      <c r="BJ195" s="609"/>
      <c r="BK195" s="609"/>
      <c r="BL195" s="609"/>
      <c r="BM195" s="609"/>
    </row>
    <row r="196" ht="15.75" customHeight="1">
      <c r="A196" s="711" t="s">
        <v>1004</v>
      </c>
      <c r="B196" s="476">
        <v>42079.0</v>
      </c>
      <c r="C196" s="1063">
        <v>84000.0</v>
      </c>
      <c r="D196" s="479" t="s">
        <v>1687</v>
      </c>
      <c r="E196" s="478" t="s">
        <v>666</v>
      </c>
      <c r="F196" s="1152">
        <v>44063.0</v>
      </c>
      <c r="G196" s="1065">
        <v>45870.0</v>
      </c>
      <c r="H196" s="1064"/>
      <c r="I196" s="1153" t="s">
        <v>1005</v>
      </c>
      <c r="J196" s="1068" t="s">
        <v>2935</v>
      </c>
      <c r="K196" s="481" t="str">
        <f t="shared" si="52"/>
        <v>Update</v>
      </c>
      <c r="L196" s="482" t="s">
        <v>663</v>
      </c>
      <c r="M196" s="367">
        <v>45790.0</v>
      </c>
      <c r="N196" s="367">
        <v>45791.0</v>
      </c>
      <c r="O196" s="1071"/>
      <c r="P196" s="479"/>
      <c r="Q196" s="484"/>
      <c r="R196" s="484" t="s">
        <v>3100</v>
      </c>
      <c r="S196" s="485" t="s">
        <v>2962</v>
      </c>
      <c r="T196" s="486">
        <v>45784.0</v>
      </c>
      <c r="U196" s="177" t="str">
        <f>IF(V196="","No AIS",VLOOKUP(V196,'Voyage days'!$A$3:$B$1480,2,FALSE))</f>
        <v>USG</v>
      </c>
      <c r="V196" s="177" t="str">
        <f>IF(VLOOKUP(A196,'1) Kpler'!$E$2:$P$1000,8, FALSE)="","",VLOOKUP(A196,'1) Kpler'!$E$2:$P$1000,8, FALSE))</f>
        <v>Freeport Texas</v>
      </c>
      <c r="W196" s="370">
        <f>IF(VLOOKUP(A196,'1) Kpler'!$E$2:$P$1000,9,FALSE)="","",VLOOKUP(A196,'1) Kpler'!$E$2:$P$1000,9,FALSE))</f>
        <v>46132.125</v>
      </c>
      <c r="X196" s="177" t="str">
        <f>VLOOKUP(A196,'1) Kpler'!$E$2:$I$1000,4,FALSE)</f>
        <v>ballast</v>
      </c>
      <c r="Y196" s="163" t="str">
        <f t="shared" si="40"/>
        <v>30-31 May</v>
      </c>
      <c r="Z196" s="163" t="str">
        <f t="shared" si="41"/>
        <v>30-31 May</v>
      </c>
      <c r="AA196" s="122">
        <f>IFERROR($M196+VLOOKUP($L196,'Voyage days'!$F$38:$H$89,3,FALSE),"")</f>
        <v>45807</v>
      </c>
      <c r="AB196" s="122">
        <f>IFERROR(N196+VLOOKUP($L196,'Voyage days'!$F$38:$H$89,3,FALSE),"")</f>
        <v>45808</v>
      </c>
      <c r="AC196" s="163" t="str">
        <f t="shared" si="42"/>
        <v>15-16 Jun</v>
      </c>
      <c r="AD196" s="122">
        <f>IFERROR($M196+VLOOKUP($L196,'Voyage days'!$F$94:$H$193,3,FALSE),"")</f>
        <v>45823</v>
      </c>
      <c r="AE196" s="122">
        <f>IFERROR($N196+VLOOKUP($L196,'Voyage days'!$F$94:$H$193,3,FALSE),"")</f>
        <v>45824</v>
      </c>
      <c r="AF196" s="163" t="str">
        <f t="shared" si="43"/>
        <v>26-27 Jun</v>
      </c>
      <c r="AG196" s="122">
        <f>IFERROR($M196+VLOOKUP($L196,'Voyage days'!$F$203:$H$256,3,FALSE),"")</f>
        <v>45834</v>
      </c>
      <c r="AH196" s="122">
        <f>IFERROR($N196+VLOOKUP($L196,'Voyage days'!$F$203:$H$256,3,FALSE),"")</f>
        <v>45835</v>
      </c>
      <c r="AI196" s="163" t="str">
        <f t="shared" si="44"/>
        <v>10-11 Jun</v>
      </c>
      <c r="AJ196" s="122">
        <f>IFERROR($M196+VLOOKUP($L196,'Voyage days'!$F$294:$H$377,3,FALSE),"")</f>
        <v>45818</v>
      </c>
      <c r="AK196" s="122">
        <f>IFERROR($N196+VLOOKUP($L196,'Voyage days'!$F$294:$H$377,3,FALSE),"")</f>
        <v>45819</v>
      </c>
      <c r="AL196" s="163" t="str">
        <f t="shared" si="45"/>
        <v>17-18 Jun</v>
      </c>
      <c r="AM196" s="122">
        <f>IFERROR($M196+VLOOKUP($L196,'Voyage days'!$F$382:$H$446,3,FALSE),"")</f>
        <v>45825</v>
      </c>
      <c r="AN196" s="122">
        <f>IFERROR($N196+VLOOKUP($L196,'Voyage days'!$F$382:$H$446,3,FALSE),"")</f>
        <v>45826</v>
      </c>
      <c r="AO196" s="163" t="str">
        <f t="shared" si="46"/>
        <v>27-28 May</v>
      </c>
      <c r="AP196" s="122">
        <f>IFERROR($M196+VLOOKUP($L196,'Voyage days'!$F$483:$H$538,3,FALSE),"")</f>
        <v>45804</v>
      </c>
      <c r="AQ196" s="122">
        <f>IFERROR($N196+VLOOKUP($L196,'Voyage days'!$F$483:$H$538,3,FALSE),"")</f>
        <v>45805</v>
      </c>
      <c r="AR196" s="163" t="str">
        <f t="shared" si="47"/>
        <v>20-21 May</v>
      </c>
      <c r="AS196" s="122">
        <f>IFERROR($M196+VLOOKUP($L196,'Voyage days'!$F$540:$H$613,3,FALSE),"")</f>
        <v>45797.25</v>
      </c>
      <c r="AT196" s="122">
        <f>IFERROR($N196+VLOOKUP($L196,'Voyage days'!$F$540:$H$613,3,FALSE),"")</f>
        <v>45798.25</v>
      </c>
      <c r="AU196" s="163" t="str">
        <f t="shared" si="48"/>
        <v/>
      </c>
      <c r="AV196" s="122" t="str">
        <f>IFERROR($M196+VLOOKUP($L196,'Voyage days'!$L$483:$N$535,3,FALSE),"")</f>
        <v/>
      </c>
      <c r="AW196" s="122" t="str">
        <f>IFERROR($N196+VLOOKUP($L196,'Voyage days'!$L$483:$N$535,3,FALSE),"")</f>
        <v/>
      </c>
      <c r="AX196" s="163" t="str">
        <f t="shared" si="49"/>
        <v>26-27 May</v>
      </c>
      <c r="AY196" s="122">
        <f>IFERROR($M196+VLOOKUP($L196,'Voyage days'!$F$620:$H$646,3,FALSE),"")</f>
        <v>45803</v>
      </c>
      <c r="AZ196" s="122">
        <f>IFERROR($N196+VLOOKUP($L196,'Voyage days'!$F$620:$H$646,3,FALSE),"")</f>
        <v>45804</v>
      </c>
      <c r="BA196" s="163" t="str">
        <f t="shared" si="50"/>
        <v>20-27 Jun</v>
      </c>
      <c r="BB196" s="123">
        <f>IFERROR($M196+VLOOKUP($L196,'Voyage days'!$F$702:$H$727,3,FALSE),"")</f>
        <v>45797.25</v>
      </c>
      <c r="BC196" s="163" t="str">
        <f t="shared" si="51"/>
        <v>26-27 Jun</v>
      </c>
      <c r="BD196" s="122">
        <f>IFERROR($M196+VLOOKUP($L196,'Voyage days'!$F$807:$H$878,3,FALSE),"")</f>
        <v>45834</v>
      </c>
      <c r="BE196" s="122">
        <f>IFERROR($N196+VLOOKUP($L196,'Voyage days'!$F$807:$H$878,3,FALSE),"")</f>
        <v>45835</v>
      </c>
      <c r="BF196" s="609"/>
      <c r="BG196" s="609"/>
      <c r="BH196" s="609"/>
      <c r="BI196" s="609"/>
      <c r="BJ196" s="609"/>
      <c r="BK196" s="609"/>
      <c r="BL196" s="609"/>
      <c r="BM196" s="609"/>
    </row>
    <row r="197" ht="15.75" customHeight="1">
      <c r="A197" s="274" t="s">
        <v>279</v>
      </c>
      <c r="B197" s="148">
        <v>2020.0</v>
      </c>
      <c r="C197" s="1045">
        <v>84000.0</v>
      </c>
      <c r="D197" s="150" t="s">
        <v>1687</v>
      </c>
      <c r="E197" s="149" t="s">
        <v>689</v>
      </c>
      <c r="F197" s="1014">
        <v>45078.0</v>
      </c>
      <c r="G197" s="1015">
        <v>47362.0</v>
      </c>
      <c r="H197" s="149"/>
      <c r="I197" s="157" t="s">
        <v>1008</v>
      </c>
      <c r="J197" s="536"/>
      <c r="K197" s="517" t="str">
        <f t="shared" si="52"/>
        <v>Update</v>
      </c>
      <c r="L197" s="153" t="s">
        <v>656</v>
      </c>
      <c r="M197" s="276">
        <v>45797.0</v>
      </c>
      <c r="N197" s="276">
        <v>45798.0</v>
      </c>
      <c r="O197" s="431"/>
      <c r="P197" s="153" t="s">
        <v>3101</v>
      </c>
      <c r="Q197" s="157"/>
      <c r="R197" s="157"/>
      <c r="S197" s="256" t="s">
        <v>934</v>
      </c>
      <c r="T197" s="293">
        <v>45785.0</v>
      </c>
      <c r="U197" s="114" t="str">
        <f>IF(V197="","No AIS",VLOOKUP(V197,'Voyage days'!$A$3:$B$1480,2,FALSE))</f>
        <v>Cape (as proxy)</v>
      </c>
      <c r="V197" s="114" t="str">
        <f>IF(VLOOKUP(A197,'1) Kpler'!$E$2:$P$1000,8, FALSE)="","",VLOOKUP(A197,'1) Kpler'!$E$2:$P$1000,8, FALSE))</f>
        <v>Cape Town</v>
      </c>
      <c r="W197" s="159">
        <f>IF(VLOOKUP(A197,'1) Kpler'!$E$2:$P$1000,9,FALSE)="","",VLOOKUP(A197,'1) Kpler'!$E$2:$P$1000,9,FALSE))</f>
        <v>46137.75</v>
      </c>
      <c r="X197" s="114" t="str">
        <f>VLOOKUP(A197,'1) Kpler'!$E$2:$I$1000,4,FALSE)</f>
        <v>loaded</v>
      </c>
      <c r="Y197" s="296" t="str">
        <f t="shared" si="40"/>
        <v>07-08 Jun</v>
      </c>
      <c r="Z197" s="163" t="str">
        <f t="shared" si="41"/>
        <v>07-08 Jun</v>
      </c>
      <c r="AA197" s="122">
        <f>IFERROR($M197+VLOOKUP($L197,'Voyage days'!$F$38:$H$89,3,FALSE),"")</f>
        <v>45815</v>
      </c>
      <c r="AB197" s="122">
        <f>IFERROR(N197+VLOOKUP($L197,'Voyage days'!$F$38:$H$89,3,FALSE),"")</f>
        <v>45816</v>
      </c>
      <c r="AC197" s="163" t="str">
        <f t="shared" si="42"/>
        <v>20-21 Jun</v>
      </c>
      <c r="AD197" s="122">
        <f>IFERROR($M197+VLOOKUP($L197,'Voyage days'!$F$94:$H$193,3,FALSE),"")</f>
        <v>45828</v>
      </c>
      <c r="AE197" s="122">
        <f>IFERROR($N197+VLOOKUP($L197,'Voyage days'!$F$94:$H$193,3,FALSE),"")</f>
        <v>45829</v>
      </c>
      <c r="AF197" s="163" t="str">
        <f t="shared" si="43"/>
        <v>27-28 Jun</v>
      </c>
      <c r="AG197" s="122">
        <f>IFERROR($M197+VLOOKUP($L197,'Voyage days'!$F$203:$H$256,3,FALSE),"")</f>
        <v>45835</v>
      </c>
      <c r="AH197" s="122">
        <f>IFERROR($N197+VLOOKUP($L197,'Voyage days'!$F$203:$H$256,3,FALSE),"")</f>
        <v>45836</v>
      </c>
      <c r="AI197" s="163" t="str">
        <f t="shared" si="44"/>
        <v>19-20 Jun</v>
      </c>
      <c r="AJ197" s="122">
        <f>IFERROR($M197+VLOOKUP($L197,'Voyage days'!$F$294:$H$377,3,FALSE),"")</f>
        <v>45827</v>
      </c>
      <c r="AK197" s="122">
        <f>IFERROR($N197+VLOOKUP($L197,'Voyage days'!$F$294:$H$377,3,FALSE),"")</f>
        <v>45828</v>
      </c>
      <c r="AL197" s="163" t="str">
        <f t="shared" si="45"/>
        <v>25-26 Jun</v>
      </c>
      <c r="AM197" s="122">
        <f>IFERROR($M197+VLOOKUP($L197,'Voyage days'!$F$382:$H$446,3,FALSE),"")</f>
        <v>45833</v>
      </c>
      <c r="AN197" s="122">
        <f>IFERROR($N197+VLOOKUP($L197,'Voyage days'!$F$382:$H$446,3,FALSE),"")</f>
        <v>45834</v>
      </c>
      <c r="AO197" s="163" t="str">
        <f t="shared" si="46"/>
        <v>02-03 Jun</v>
      </c>
      <c r="AP197" s="122">
        <f>IFERROR($M197+VLOOKUP($L197,'Voyage days'!$F$483:$H$538,3,FALSE),"")</f>
        <v>45810</v>
      </c>
      <c r="AQ197" s="122">
        <f>IFERROR($N197+VLOOKUP($L197,'Voyage days'!$F$483:$H$538,3,FALSE),"")</f>
        <v>45811</v>
      </c>
      <c r="AR197" s="163" t="str">
        <f t="shared" si="47"/>
        <v>28-29 May</v>
      </c>
      <c r="AS197" s="122">
        <f>IFERROR($M197+VLOOKUP($L197,'Voyage days'!$F$540:$H$613,3,FALSE),"")</f>
        <v>45805.25</v>
      </c>
      <c r="AT197" s="122">
        <f>IFERROR($N197+VLOOKUP($L197,'Voyage days'!$F$540:$H$613,3,FALSE),"")</f>
        <v>45806.25</v>
      </c>
      <c r="AU197" s="163" t="str">
        <f t="shared" si="48"/>
        <v/>
      </c>
      <c r="AV197" s="122" t="str">
        <f>IFERROR($M197+VLOOKUP($L197,'Voyage days'!$L$483:$N$535,3,FALSE),"")</f>
        <v/>
      </c>
      <c r="AW197" s="122" t="str">
        <f>IFERROR($N197+VLOOKUP($L197,'Voyage days'!$L$483:$N$535,3,FALSE),"")</f>
        <v/>
      </c>
      <c r="AX197" s="163" t="str">
        <f t="shared" si="49"/>
        <v>31-01 Jun</v>
      </c>
      <c r="AY197" s="122">
        <f>IFERROR($M197+VLOOKUP($L197,'Voyage days'!$F$620:$H$646,3,FALSE),"")</f>
        <v>45808</v>
      </c>
      <c r="AZ197" s="122">
        <f>IFERROR($N197+VLOOKUP($L197,'Voyage days'!$F$620:$H$646,3,FALSE),"")</f>
        <v>45809</v>
      </c>
      <c r="BA197" s="163" t="str">
        <f t="shared" si="50"/>
        <v>28-06 Jul</v>
      </c>
      <c r="BB197" s="123">
        <f>IFERROR($M197+VLOOKUP($L197,'Voyage days'!$F$702:$H$727,3,FALSE),"")</f>
        <v>45805.25</v>
      </c>
      <c r="BC197" s="163" t="str">
        <f t="shared" si="51"/>
        <v>05-06 Jul</v>
      </c>
      <c r="BD197" s="122">
        <f>IFERROR($M197+VLOOKUP($L197,'Voyage days'!$F$807:$H$878,3,FALSE),"")</f>
        <v>45843</v>
      </c>
      <c r="BE197" s="122">
        <f>IFERROR($N197+VLOOKUP($L197,'Voyage days'!$F$807:$H$878,3,FALSE),"")</f>
        <v>45844</v>
      </c>
      <c r="BF197" s="609"/>
      <c r="BG197" s="609"/>
      <c r="BH197" s="609"/>
      <c r="BI197" s="609"/>
      <c r="BJ197" s="609"/>
      <c r="BK197" s="609"/>
      <c r="BL197" s="609"/>
      <c r="BM197" s="609"/>
    </row>
    <row r="198" ht="15.75" customHeight="1">
      <c r="A198" s="1154" t="s">
        <v>308</v>
      </c>
      <c r="B198" s="101">
        <v>44007.0</v>
      </c>
      <c r="C198" s="1045">
        <v>84000.0</v>
      </c>
      <c r="D198" s="104" t="s">
        <v>1687</v>
      </c>
      <c r="E198" s="103" t="s">
        <v>689</v>
      </c>
      <c r="F198" s="604"/>
      <c r="G198" s="605">
        <v>46419.0</v>
      </c>
      <c r="H198" s="111"/>
      <c r="I198" s="185" t="s">
        <v>1008</v>
      </c>
      <c r="J198" s="111" t="s">
        <v>2900</v>
      </c>
      <c r="K198" s="336" t="str">
        <f t="shared" si="52"/>
        <v>Update</v>
      </c>
      <c r="L198" s="108" t="s">
        <v>1031</v>
      </c>
      <c r="M198" s="109">
        <v>45788.0</v>
      </c>
      <c r="N198" s="109">
        <v>45789.0</v>
      </c>
      <c r="O198" s="110"/>
      <c r="P198" s="187" t="s">
        <v>3102</v>
      </c>
      <c r="Q198" s="108" t="s">
        <v>3103</v>
      </c>
      <c r="R198" s="185"/>
      <c r="S198" s="256" t="s">
        <v>2993</v>
      </c>
      <c r="T198" s="113">
        <v>45782.0</v>
      </c>
      <c r="U198" s="114" t="str">
        <f>IF(V198="","No AIS",VLOOKUP(V198,'Voyage days'!$A$3:$B$1480,2,FALSE))</f>
        <v>Panama</v>
      </c>
      <c r="V198" s="115" t="str">
        <f>IF(VLOOKUP(A198,'1) Kpler'!$E$2:$P$1000,8, FALSE)="","",VLOOKUP(A198,'1) Kpler'!$E$2:$P$1000,8, FALSE))</f>
        <v>Panama Canal</v>
      </c>
      <c r="W198" s="116">
        <f>IF(VLOOKUP(A198,'1) Kpler'!$E$2:$P$1000,9,FALSE)="","",VLOOKUP(A198,'1) Kpler'!$E$2:$P$1000,9,FALSE))</f>
        <v>46150.79167</v>
      </c>
      <c r="X198" s="115" t="str">
        <f>VLOOKUP(A198,'1) Kpler'!$E$2:$I$1000,4,FALSE)</f>
        <v>ballast</v>
      </c>
      <c r="Y198" s="160" t="str">
        <f t="shared" si="40"/>
        <v>11-12 May</v>
      </c>
      <c r="Z198" s="120" t="str">
        <f t="shared" si="41"/>
        <v>11-12 May</v>
      </c>
      <c r="AA198" s="121">
        <f>IFERROR($M198+VLOOKUP($L198,'Voyage days'!$F$38:$H$89,3,FALSE),"")</f>
        <v>45788</v>
      </c>
      <c r="AB198" s="121">
        <f>IFERROR(N198+VLOOKUP($L198,'Voyage days'!$F$38:$H$89,3,FALSE),"")</f>
        <v>45789</v>
      </c>
      <c r="AC198" s="120" t="str">
        <f t="shared" si="42"/>
        <v/>
      </c>
      <c r="AD198" s="121" t="str">
        <f>IFERROR($M198+VLOOKUP($L198,'Voyage days'!$F$94:$H$193,3,FALSE),"")</f>
        <v/>
      </c>
      <c r="AE198" s="121" t="str">
        <f>IFERROR($N198+VLOOKUP($L198,'Voyage days'!$F$94:$H$193,3,FALSE),"")</f>
        <v/>
      </c>
      <c r="AF198" s="120" t="str">
        <f t="shared" si="43"/>
        <v/>
      </c>
      <c r="AG198" s="121" t="str">
        <f>IFERROR($M198+VLOOKUP($L198,'Voyage days'!$F$203:$H$256,3,FALSE),"")</f>
        <v/>
      </c>
      <c r="AH198" s="121" t="str">
        <f>IFERROR($N198+VLOOKUP($L198,'Voyage days'!$F$203:$H$256,3,FALSE),"")</f>
        <v/>
      </c>
      <c r="AI198" s="120" t="str">
        <f t="shared" si="44"/>
        <v/>
      </c>
      <c r="AJ198" s="121" t="str">
        <f>IFERROR($M198+VLOOKUP($L198,'Voyage days'!$F$294:$H$377,3,FALSE),"")</f>
        <v/>
      </c>
      <c r="AK198" s="121" t="str">
        <f>IFERROR($N198+VLOOKUP($L198,'Voyage days'!$F$294:$H$377,3,FALSE),"")</f>
        <v/>
      </c>
      <c r="AL198" s="120" t="str">
        <f t="shared" si="45"/>
        <v/>
      </c>
      <c r="AM198" s="121" t="str">
        <f>IFERROR($M198+VLOOKUP($L198,'Voyage days'!$F$382:$H$446,3,FALSE),"")</f>
        <v/>
      </c>
      <c r="AN198" s="121" t="str">
        <f>IFERROR($N198+VLOOKUP($L198,'Voyage days'!$F$382:$H$446,3,FALSE),"")</f>
        <v/>
      </c>
      <c r="AO198" s="120" t="str">
        <f t="shared" si="46"/>
        <v/>
      </c>
      <c r="AP198" s="121" t="str">
        <f>IFERROR($M198+VLOOKUP($L198,'Voyage days'!$F$483:$H$538,3,FALSE),"")</f>
        <v/>
      </c>
      <c r="AQ198" s="121" t="str">
        <f>IFERROR($N198+VLOOKUP($L198,'Voyage days'!$F$483:$H$538,3,FALSE),"")</f>
        <v/>
      </c>
      <c r="AR198" s="120" t="str">
        <f t="shared" si="47"/>
        <v>30-31 May</v>
      </c>
      <c r="AS198" s="121">
        <f>IFERROR($M198+VLOOKUP($L198,'Voyage days'!$F$540:$H$613,3,FALSE),"")</f>
        <v>45807</v>
      </c>
      <c r="AT198" s="121">
        <f>IFERROR($N198+VLOOKUP($L198,'Voyage days'!$F$540:$H$613,3,FALSE),"")</f>
        <v>45808</v>
      </c>
      <c r="AU198" s="120" t="str">
        <f t="shared" si="48"/>
        <v/>
      </c>
      <c r="AV198" s="121" t="str">
        <f>IFERROR($M198+VLOOKUP($L198,'Voyage days'!$L$483:$N$535,3,FALSE),"")</f>
        <v/>
      </c>
      <c r="AW198" s="121" t="str">
        <f>IFERROR($N198+VLOOKUP($L198,'Voyage days'!$L$483:$N$535,3,FALSE),"")</f>
        <v/>
      </c>
      <c r="AX198" s="120" t="str">
        <f t="shared" si="49"/>
        <v/>
      </c>
      <c r="AY198" s="122" t="str">
        <f>IFERROR($M198+VLOOKUP($L198,'Voyage days'!$F$620:$H$646,3,FALSE),"")</f>
        <v/>
      </c>
      <c r="AZ198" s="122" t="str">
        <f>IFERROR($N198+VLOOKUP($L198,'Voyage days'!$F$620:$H$646,3,FALSE),"")</f>
        <v/>
      </c>
      <c r="BA198" s="120" t="str">
        <f t="shared" si="50"/>
        <v/>
      </c>
      <c r="BB198" s="123" t="str">
        <f>IFERROR($M198+VLOOKUP($L198,'Voyage days'!$F$702:$H$727,3,FALSE),"")</f>
        <v/>
      </c>
      <c r="BC198" s="120" t="str">
        <f t="shared" si="51"/>
        <v>11-12 May</v>
      </c>
      <c r="BD198" s="122">
        <f>IFERROR($M198+VLOOKUP($L198,'Voyage days'!$F$807:$H$878,3,FALSE),"")</f>
        <v>45788</v>
      </c>
      <c r="BE198" s="122">
        <f>IFERROR($N198+VLOOKUP($L198,'Voyage days'!$F$807:$H$878,3,FALSE),"")</f>
        <v>45789</v>
      </c>
      <c r="BF198" s="609"/>
      <c r="BG198" s="609"/>
      <c r="BH198" s="609"/>
      <c r="BI198" s="609"/>
      <c r="BJ198" s="609"/>
      <c r="BK198" s="609"/>
      <c r="BL198" s="609"/>
      <c r="BM198" s="609"/>
    </row>
    <row r="199" ht="15.0" customHeight="1">
      <c r="A199" s="100" t="s">
        <v>306</v>
      </c>
      <c r="B199" s="183">
        <v>2023.0</v>
      </c>
      <c r="C199" s="1082">
        <v>93000.0</v>
      </c>
      <c r="D199" s="111"/>
      <c r="E199" s="195" t="s">
        <v>666</v>
      </c>
      <c r="F199" s="1155"/>
      <c r="G199" s="1085">
        <v>45658.0</v>
      </c>
      <c r="H199" s="1130"/>
      <c r="I199" s="185" t="s">
        <v>1008</v>
      </c>
      <c r="J199" s="111"/>
      <c r="K199" s="106" t="str">
        <f t="shared" si="52"/>
        <v>Update</v>
      </c>
      <c r="L199" s="187" t="s">
        <v>680</v>
      </c>
      <c r="M199" s="109">
        <v>45805.0</v>
      </c>
      <c r="N199" s="109">
        <v>45807.0</v>
      </c>
      <c r="O199" s="1146" t="s">
        <v>709</v>
      </c>
      <c r="P199" s="187" t="s">
        <v>3104</v>
      </c>
      <c r="Q199" s="1156"/>
      <c r="R199" s="185"/>
      <c r="S199" s="256" t="s">
        <v>934</v>
      </c>
      <c r="T199" s="113">
        <v>45778.0</v>
      </c>
      <c r="U199" s="114" t="str">
        <f>IF(V199="","No AIS",VLOOKUP(V199,'Voyage days'!$A$3:$B$1480,2,FALSE))</f>
        <v>Panama</v>
      </c>
      <c r="V199" s="115" t="str">
        <f>IF(VLOOKUP(A199,'1) Kpler'!$E$2:$P$1000,8, FALSE)="","",VLOOKUP(A199,'1) Kpler'!$E$2:$P$1000,8, FALSE))</f>
        <v>Panama</v>
      </c>
      <c r="W199" s="116">
        <f>IF(VLOOKUP(A199,'1) Kpler'!$E$2:$P$1000,9,FALSE)="","",VLOOKUP(A199,'1) Kpler'!$E$2:$P$1000,9,FALSE))</f>
        <v>46131.875</v>
      </c>
      <c r="X199" s="115" t="str">
        <f>VLOOKUP(A199,'1) Kpler'!$E$2:$I$1000,4,FALSE)</f>
        <v>ballast</v>
      </c>
      <c r="Y199" s="117" t="str">
        <f t="shared" si="40"/>
        <v/>
      </c>
      <c r="Z199" s="120" t="str">
        <f t="shared" si="41"/>
        <v/>
      </c>
      <c r="AA199" s="121" t="str">
        <f>IFERROR($M199+VLOOKUP($L199,'Voyage days'!$F$38:$H$89,3,FALSE),"")</f>
        <v/>
      </c>
      <c r="AB199" s="121" t="str">
        <f>IFERROR(N199+VLOOKUP($L199,'Voyage days'!$F$38:$H$89,3,FALSE),"")</f>
        <v/>
      </c>
      <c r="AC199" s="120" t="str">
        <f t="shared" si="42"/>
        <v>28-30 May</v>
      </c>
      <c r="AD199" s="121">
        <f>IFERROR($M199+VLOOKUP($L199,'Voyage days'!$F$94:$H$193,3,FALSE),"")</f>
        <v>45805</v>
      </c>
      <c r="AE199" s="121">
        <f>IFERROR($N199+VLOOKUP($L199,'Voyage days'!$F$94:$H$193,3,FALSE),"")</f>
        <v>45807</v>
      </c>
      <c r="AF199" s="120" t="str">
        <f t="shared" si="43"/>
        <v>28-30 May</v>
      </c>
      <c r="AG199" s="121">
        <f>IFERROR($M199+VLOOKUP($L199,'Voyage days'!$F$203:$H$256,3,FALSE),"")</f>
        <v>45805</v>
      </c>
      <c r="AH199" s="121">
        <f>IFERROR($N199+VLOOKUP($L199,'Voyage days'!$F$203:$H$256,3,FALSE),"")</f>
        <v>45807</v>
      </c>
      <c r="AI199" s="120" t="str">
        <f t="shared" si="44"/>
        <v/>
      </c>
      <c r="AJ199" s="121" t="str">
        <f>IFERROR($M199+VLOOKUP($L199,'Voyage days'!$F$294:$H$377,3,FALSE),"")</f>
        <v/>
      </c>
      <c r="AK199" s="121" t="str">
        <f>IFERROR($N199+VLOOKUP($L199,'Voyage days'!$F$294:$H$377,3,FALSE),"")</f>
        <v/>
      </c>
      <c r="AL199" s="120" t="str">
        <f t="shared" si="45"/>
        <v>17-19 Jun</v>
      </c>
      <c r="AM199" s="121">
        <f>IFERROR($M199+VLOOKUP($L199,'Voyage days'!$F$382:$H$446,3,FALSE),"")</f>
        <v>45825</v>
      </c>
      <c r="AN199" s="121">
        <f>IFERROR($N199+VLOOKUP($L199,'Voyage days'!$F$382:$H$446,3,FALSE),"")</f>
        <v>45827</v>
      </c>
      <c r="AO199" s="120" t="str">
        <f t="shared" si="46"/>
        <v/>
      </c>
      <c r="AP199" s="121" t="str">
        <f>IFERROR($M199+VLOOKUP($L199,'Voyage days'!$F$483:$H$538,3,FALSE),"")</f>
        <v/>
      </c>
      <c r="AQ199" s="121" t="str">
        <f>IFERROR($N199+VLOOKUP($L199,'Voyage days'!$F$483:$H$538,3,FALSE),"")</f>
        <v/>
      </c>
      <c r="AR199" s="120" t="str">
        <f t="shared" si="47"/>
        <v/>
      </c>
      <c r="AS199" s="121" t="str">
        <f>IFERROR($M199+VLOOKUP($L199,'Voyage days'!$F$540:$H$613,3,FALSE),"")</f>
        <v/>
      </c>
      <c r="AT199" s="121" t="str">
        <f>IFERROR($N199+VLOOKUP($L199,'Voyage days'!$F$540:$H$613,3,FALSE),"")</f>
        <v/>
      </c>
      <c r="AU199" s="120" t="str">
        <f t="shared" si="48"/>
        <v/>
      </c>
      <c r="AV199" s="121" t="str">
        <f>IFERROR($M199+VLOOKUP($L199,'Voyage days'!$L$483:$N$535,3,FALSE),"")</f>
        <v/>
      </c>
      <c r="AW199" s="121" t="str">
        <f>IFERROR($N199+VLOOKUP($L199,'Voyage days'!$L$483:$N$535,3,FALSE),"")</f>
        <v/>
      </c>
      <c r="AX199" s="120" t="str">
        <f t="shared" si="49"/>
        <v/>
      </c>
      <c r="AY199" s="122" t="str">
        <f>IFERROR($M199+VLOOKUP($L199,'Voyage days'!$F$620:$H$646,3,FALSE),"")</f>
        <v/>
      </c>
      <c r="AZ199" s="122" t="str">
        <f>IFERROR($N199+VLOOKUP($L199,'Voyage days'!$F$620:$H$646,3,FALSE),"")</f>
        <v/>
      </c>
      <c r="BA199" s="120" t="str">
        <f t="shared" si="50"/>
        <v/>
      </c>
      <c r="BB199" s="123" t="str">
        <f>IFERROR($M199+VLOOKUP($L199,'Voyage days'!$F$702:$H$727,3,FALSE),"")</f>
        <v/>
      </c>
      <c r="BC199" s="120" t="str">
        <f t="shared" si="51"/>
        <v/>
      </c>
      <c r="BD199" s="122" t="str">
        <f>IFERROR($M199+VLOOKUP($L199,'Voyage days'!$F$807:$H$878,3,FALSE),"")</f>
        <v/>
      </c>
      <c r="BE199" s="122" t="str">
        <f>IFERROR($N199+VLOOKUP($L199,'Voyage days'!$F$807:$H$878,3,FALSE),"")</f>
        <v/>
      </c>
      <c r="BF199" s="609"/>
      <c r="BG199" s="609"/>
      <c r="BH199" s="609"/>
      <c r="BI199" s="609"/>
      <c r="BJ199" s="609"/>
      <c r="BK199" s="609"/>
      <c r="BL199" s="609"/>
      <c r="BM199" s="609"/>
    </row>
    <row r="200" ht="15.75" customHeight="1">
      <c r="A200" s="23" t="s">
        <v>334</v>
      </c>
      <c r="B200" s="148">
        <v>2013.0</v>
      </c>
      <c r="C200" s="1157">
        <v>82000.0</v>
      </c>
      <c r="D200" s="1158" t="s">
        <v>1687</v>
      </c>
      <c r="E200" s="1144"/>
      <c r="F200" s="23"/>
      <c r="G200" s="605">
        <v>46600.0</v>
      </c>
      <c r="H200" s="603"/>
      <c r="I200" s="185" t="s">
        <v>1008</v>
      </c>
      <c r="J200" s="1114" t="s">
        <v>1080</v>
      </c>
      <c r="K200" s="336" t="str">
        <f t="shared" si="52"/>
        <v>Update</v>
      </c>
      <c r="L200" s="108" t="s">
        <v>663</v>
      </c>
      <c r="M200" s="109">
        <v>45801.0</v>
      </c>
      <c r="N200" s="109">
        <v>45805.0</v>
      </c>
      <c r="O200" s="1159"/>
      <c r="P200" s="290" t="s">
        <v>3105</v>
      </c>
      <c r="Q200" s="111"/>
      <c r="R200" s="603"/>
      <c r="S200" s="256" t="s">
        <v>934</v>
      </c>
      <c r="T200" s="113">
        <v>45786.0</v>
      </c>
      <c r="U200" s="114" t="str">
        <f>IF(V200="","No AIS",VLOOKUP(V200,'Voyage days'!$A$3:$B$1480,2,FALSE))</f>
        <v>Korea + 4</v>
      </c>
      <c r="V200" s="115" t="str">
        <f>IF(VLOOKUP(A200,'1) Kpler'!$E$2:$P$1000,8, FALSE)="","",VLOOKUP(A200,'1) Kpler'!$E$2:$P$1000,8, FALSE))</f>
        <v>Total Daesan Hanwha Refinery</v>
      </c>
      <c r="W200" s="116">
        <f>IF(VLOOKUP(A200,'1) Kpler'!$E$2:$P$1000,9,FALSE)="","",VLOOKUP(A200,'1) Kpler'!$E$2:$P$1000,9,FALSE))</f>
        <v>46145.375</v>
      </c>
      <c r="X200" s="115" t="str">
        <f>VLOOKUP(A200,'1) Kpler'!$E$2:$I$1000,4,FALSE)</f>
        <v>loaded</v>
      </c>
      <c r="Y200" s="160" t="str">
        <f t="shared" si="40"/>
        <v>10-14 Jun</v>
      </c>
      <c r="Z200" s="120" t="str">
        <f t="shared" si="41"/>
        <v>10-14 Jun</v>
      </c>
      <c r="AA200" s="121">
        <f>IFERROR($M200+VLOOKUP($L200,'Voyage days'!$F$38:$H$89,3,FALSE),"")</f>
        <v>45818</v>
      </c>
      <c r="AB200" s="121">
        <f>IFERROR(N200+VLOOKUP($L200,'Voyage days'!$F$38:$H$89,3,FALSE),"")</f>
        <v>45822</v>
      </c>
      <c r="AC200" s="120" t="str">
        <f t="shared" si="42"/>
        <v>26-30 Jun</v>
      </c>
      <c r="AD200" s="121">
        <f>IFERROR($M200+VLOOKUP($L200,'Voyage days'!$F$94:$H$193,3,FALSE),"")</f>
        <v>45834</v>
      </c>
      <c r="AE200" s="121">
        <f>IFERROR($N200+VLOOKUP($L200,'Voyage days'!$F$94:$H$193,3,FALSE),"")</f>
        <v>45838</v>
      </c>
      <c r="AF200" s="120" t="str">
        <f t="shared" si="43"/>
        <v>07-11 Jul</v>
      </c>
      <c r="AG200" s="121">
        <f>IFERROR($M200+VLOOKUP($L200,'Voyage days'!$F$203:$H$256,3,FALSE),"")</f>
        <v>45845</v>
      </c>
      <c r="AH200" s="121">
        <f>IFERROR($N200+VLOOKUP($L200,'Voyage days'!$F$203:$H$256,3,FALSE),"")</f>
        <v>45849</v>
      </c>
      <c r="AI200" s="120" t="str">
        <f t="shared" si="44"/>
        <v>21-25 Jun</v>
      </c>
      <c r="AJ200" s="121">
        <f>IFERROR($M200+VLOOKUP($L200,'Voyage days'!$F$294:$H$377,3,FALSE),"")</f>
        <v>45829</v>
      </c>
      <c r="AK200" s="121">
        <f>IFERROR($N200+VLOOKUP($L200,'Voyage days'!$F$294:$H$377,3,FALSE),"")</f>
        <v>45833</v>
      </c>
      <c r="AL200" s="120" t="str">
        <f t="shared" si="45"/>
        <v>28-02 Jul</v>
      </c>
      <c r="AM200" s="121">
        <f>IFERROR($M200+VLOOKUP($L200,'Voyage days'!$F$382:$H$446,3,FALSE),"")</f>
        <v>45836</v>
      </c>
      <c r="AN200" s="121">
        <f>IFERROR($N200+VLOOKUP($L200,'Voyage days'!$F$382:$H$446,3,FALSE),"")</f>
        <v>45840</v>
      </c>
      <c r="AO200" s="120" t="str">
        <f t="shared" si="46"/>
        <v>07-11 Jun</v>
      </c>
      <c r="AP200" s="121">
        <f>IFERROR($M200+VLOOKUP($L200,'Voyage days'!$F$483:$H$538,3,FALSE),"")</f>
        <v>45815</v>
      </c>
      <c r="AQ200" s="121">
        <f>IFERROR($N200+VLOOKUP($L200,'Voyage days'!$F$483:$H$538,3,FALSE),"")</f>
        <v>45819</v>
      </c>
      <c r="AR200" s="120" t="str">
        <f t="shared" si="47"/>
        <v>31-04 Jun</v>
      </c>
      <c r="AS200" s="121">
        <f>IFERROR($M200+VLOOKUP($L200,'Voyage days'!$F$540:$H$613,3,FALSE),"")</f>
        <v>45808.25</v>
      </c>
      <c r="AT200" s="121">
        <f>IFERROR($N200+VLOOKUP($L200,'Voyage days'!$F$540:$H$613,3,FALSE),"")</f>
        <v>45812.25</v>
      </c>
      <c r="AU200" s="120" t="str">
        <f t="shared" si="48"/>
        <v/>
      </c>
      <c r="AV200" s="121" t="str">
        <f>IFERROR($M200+VLOOKUP($L200,'Voyage days'!$L$483:$N$535,3,FALSE),"")</f>
        <v/>
      </c>
      <c r="AW200" s="121" t="str">
        <f>IFERROR($N200+VLOOKUP($L200,'Voyage days'!$L$483:$N$535,3,FALSE),"")</f>
        <v/>
      </c>
      <c r="AX200" s="120" t="str">
        <f t="shared" si="49"/>
        <v>06-10 Jun</v>
      </c>
      <c r="AY200" s="122">
        <f>IFERROR($M200+VLOOKUP($L200,'Voyage days'!$F$620:$H$646,3,FALSE),"")</f>
        <v>45814</v>
      </c>
      <c r="AZ200" s="122">
        <f>IFERROR($N200+VLOOKUP($L200,'Voyage days'!$F$620:$H$646,3,FALSE),"")</f>
        <v>45818</v>
      </c>
      <c r="BA200" s="120" t="str">
        <f t="shared" si="50"/>
        <v>31-11 Jul</v>
      </c>
      <c r="BB200" s="123">
        <f>IFERROR($M200+VLOOKUP($L200,'Voyage days'!$F$702:$H$727,3,FALSE),"")</f>
        <v>45808.25</v>
      </c>
      <c r="BC200" s="120" t="str">
        <f t="shared" si="51"/>
        <v>07-11 Jul</v>
      </c>
      <c r="BD200" s="122">
        <f>IFERROR($M200+VLOOKUP($L200,'Voyage days'!$F$807:$H$878,3,FALSE),"")</f>
        <v>45845</v>
      </c>
      <c r="BE200" s="122">
        <f>IFERROR($N200+VLOOKUP($L200,'Voyage days'!$F$807:$H$878,3,FALSE),"")</f>
        <v>45849</v>
      </c>
      <c r="BF200" s="609"/>
      <c r="BG200" s="609"/>
      <c r="BH200" s="609"/>
      <c r="BI200" s="609"/>
      <c r="BJ200" s="609"/>
      <c r="BK200" s="609"/>
      <c r="BL200" s="609"/>
      <c r="BM200" s="609"/>
    </row>
    <row r="201">
      <c r="A201" s="80" t="s">
        <v>3106</v>
      </c>
      <c r="B201" s="101">
        <v>41361.0</v>
      </c>
      <c r="C201" s="1045">
        <v>82000.0</v>
      </c>
      <c r="D201" s="104" t="s">
        <v>1687</v>
      </c>
      <c r="E201" s="103" t="s">
        <v>689</v>
      </c>
      <c r="F201" s="604"/>
      <c r="G201" s="605">
        <v>46054.0</v>
      </c>
      <c r="H201" s="103"/>
      <c r="I201" s="108" t="s">
        <v>1008</v>
      </c>
      <c r="J201" s="185" t="s">
        <v>1080</v>
      </c>
      <c r="K201" s="336" t="str">
        <f t="shared" si="52"/>
        <v>#N/A</v>
      </c>
      <c r="L201" s="187" t="s">
        <v>656</v>
      </c>
      <c r="M201" s="109">
        <v>45818.0</v>
      </c>
      <c r="N201" s="109">
        <v>45820.0</v>
      </c>
      <c r="O201" s="110"/>
      <c r="P201" s="108" t="s">
        <v>3107</v>
      </c>
      <c r="Q201" s="185"/>
      <c r="R201" s="108" t="s">
        <v>3108</v>
      </c>
      <c r="S201" s="112" t="s">
        <v>934</v>
      </c>
      <c r="T201" s="113">
        <v>45786.0</v>
      </c>
      <c r="U201" s="114" t="str">
        <f>IF(V201="","No AIS",VLOOKUP(V201,'Voyage days'!$A$3:$B$1480,2,FALSE))</f>
        <v>#N/A</v>
      </c>
      <c r="V201" s="115" t="str">
        <f>IF(VLOOKUP(A201,'1) Kpler'!$E$2:$P$1000,8, FALSE)="","",VLOOKUP(A201,'1) Kpler'!$E$2:$P$1000,8, FALSE))</f>
        <v>#N/A</v>
      </c>
      <c r="W201" s="116" t="str">
        <f>IF(VLOOKUP(A201,'1) Kpler'!$E$2:$P$1000,9,FALSE)="","",VLOOKUP(A201,'1) Kpler'!$E$2:$P$1000,9,FALSE))</f>
        <v>#N/A</v>
      </c>
      <c r="X201" s="115" t="str">
        <f>VLOOKUP(A201,'1) Kpler'!$E$2:$I$1000,4,FALSE)</f>
        <v>#N/A</v>
      </c>
      <c r="Y201" s="117" t="str">
        <f t="shared" si="40"/>
        <v>28-30 Jun</v>
      </c>
      <c r="Z201" s="120" t="str">
        <f t="shared" si="41"/>
        <v>28-30 Jun</v>
      </c>
      <c r="AA201" s="121">
        <f>IFERROR($M201+VLOOKUP($L201,'Voyage days'!$F$38:$H$89,3,FALSE),"")</f>
        <v>45836</v>
      </c>
      <c r="AB201" s="121">
        <f>IFERROR(N201+VLOOKUP($L201,'Voyage days'!$F$38:$H$89,3,FALSE),"")</f>
        <v>45838</v>
      </c>
      <c r="AC201" s="120" t="str">
        <f t="shared" si="42"/>
        <v>11-13 Jul</v>
      </c>
      <c r="AD201" s="121">
        <f>IFERROR($M201+VLOOKUP($L201,'Voyage days'!$F$94:$H$193,3,FALSE),"")</f>
        <v>45849</v>
      </c>
      <c r="AE201" s="121">
        <f>IFERROR($N201+VLOOKUP($L201,'Voyage days'!$F$94:$H$193,3,FALSE),"")</f>
        <v>45851</v>
      </c>
      <c r="AF201" s="120" t="str">
        <f t="shared" si="43"/>
        <v>18-20 Jul</v>
      </c>
      <c r="AG201" s="121">
        <f>IFERROR($M201+VLOOKUP($L201,'Voyage days'!$F$203:$H$256,3,FALSE),"")</f>
        <v>45856</v>
      </c>
      <c r="AH201" s="121">
        <f>IFERROR($N201+VLOOKUP($L201,'Voyage days'!$F$203:$H$256,3,FALSE),"")</f>
        <v>45858</v>
      </c>
      <c r="AI201" s="120" t="str">
        <f t="shared" si="44"/>
        <v>10-12 Jul</v>
      </c>
      <c r="AJ201" s="121">
        <f>IFERROR($M201+VLOOKUP($L201,'Voyage days'!$F$294:$H$377,3,FALSE),"")</f>
        <v>45848</v>
      </c>
      <c r="AK201" s="121">
        <f>IFERROR($N201+VLOOKUP($L201,'Voyage days'!$F$294:$H$377,3,FALSE),"")</f>
        <v>45850</v>
      </c>
      <c r="AL201" s="120" t="str">
        <f t="shared" si="45"/>
        <v>16-18 Jul</v>
      </c>
      <c r="AM201" s="121">
        <f>IFERROR($M201+VLOOKUP($L201,'Voyage days'!$F$382:$H$446,3,FALSE),"")</f>
        <v>45854</v>
      </c>
      <c r="AN201" s="121">
        <f>IFERROR($N201+VLOOKUP($L201,'Voyage days'!$F$382:$H$446,3,FALSE),"")</f>
        <v>45856</v>
      </c>
      <c r="AO201" s="120" t="str">
        <f t="shared" si="46"/>
        <v>23-25 Jun</v>
      </c>
      <c r="AP201" s="121">
        <f>IFERROR($M201+VLOOKUP($L201,'Voyage days'!$F$483:$H$538,3,FALSE),"")</f>
        <v>45831</v>
      </c>
      <c r="AQ201" s="121">
        <f>IFERROR($N201+VLOOKUP($L201,'Voyage days'!$F$483:$H$538,3,FALSE),"")</f>
        <v>45833</v>
      </c>
      <c r="AR201" s="120" t="str">
        <f t="shared" si="47"/>
        <v>18-20 Jun</v>
      </c>
      <c r="AS201" s="121">
        <f>IFERROR($M201+VLOOKUP($L201,'Voyage days'!$F$540:$H$613,3,FALSE),"")</f>
        <v>45826.25</v>
      </c>
      <c r="AT201" s="121">
        <f>IFERROR($N201+VLOOKUP($L201,'Voyage days'!$F$540:$H$613,3,FALSE),"")</f>
        <v>45828.25</v>
      </c>
      <c r="AU201" s="120" t="str">
        <f t="shared" si="48"/>
        <v/>
      </c>
      <c r="AV201" s="121" t="str">
        <f>IFERROR($M201+VLOOKUP($L201,'Voyage days'!$L$483:$N$535,3,FALSE),"")</f>
        <v/>
      </c>
      <c r="AW201" s="121" t="str">
        <f>IFERROR($N201+VLOOKUP($L201,'Voyage days'!$L$483:$N$535,3,FALSE),"")</f>
        <v/>
      </c>
      <c r="AX201" s="120" t="str">
        <f t="shared" si="49"/>
        <v>21-23 Jun</v>
      </c>
      <c r="AY201" s="122">
        <f>IFERROR($M201+VLOOKUP($L201,'Voyage days'!$F$620:$H$646,3,FALSE),"")</f>
        <v>45829</v>
      </c>
      <c r="AZ201" s="122">
        <f>IFERROR($N201+VLOOKUP($L201,'Voyage days'!$F$620:$H$646,3,FALSE),"")</f>
        <v>45831</v>
      </c>
      <c r="BA201" s="120" t="str">
        <f t="shared" si="50"/>
        <v>18-28 Jul</v>
      </c>
      <c r="BB201" s="123">
        <f>IFERROR($M201+VLOOKUP($L201,'Voyage days'!$F$702:$H$727,3,FALSE),"")</f>
        <v>45826.25</v>
      </c>
      <c r="BC201" s="120" t="str">
        <f t="shared" si="51"/>
        <v>26-28 Jul</v>
      </c>
      <c r="BD201" s="122">
        <f>IFERROR($M201+VLOOKUP($L201,'Voyage days'!$F$807:$H$878,3,FALSE),"")</f>
        <v>45864</v>
      </c>
      <c r="BE201" s="122">
        <f>IFERROR($N201+VLOOKUP($L201,'Voyage days'!$F$807:$H$878,3,FALSE),"")</f>
        <v>45866</v>
      </c>
      <c r="BF201" s="609"/>
      <c r="BG201" s="609"/>
      <c r="BH201" s="609"/>
      <c r="BI201" s="609"/>
      <c r="BJ201" s="609"/>
      <c r="BK201" s="609"/>
      <c r="BL201" s="609"/>
      <c r="BM201" s="609"/>
    </row>
    <row r="202" ht="15.75" customHeight="1">
      <c r="A202" s="80" t="s">
        <v>513</v>
      </c>
      <c r="B202" s="148">
        <v>2020.0</v>
      </c>
      <c r="C202" s="1045">
        <v>84000.0</v>
      </c>
      <c r="D202" s="104" t="s">
        <v>1687</v>
      </c>
      <c r="E202" s="103" t="s">
        <v>689</v>
      </c>
      <c r="F202" s="604"/>
      <c r="G202" s="605">
        <v>45717.0</v>
      </c>
      <c r="H202" s="103"/>
      <c r="I202" s="185" t="s">
        <v>1008</v>
      </c>
      <c r="J202" s="111" t="s">
        <v>1080</v>
      </c>
      <c r="K202" s="336" t="str">
        <f t="shared" si="52"/>
        <v>Update</v>
      </c>
      <c r="L202" s="108" t="s">
        <v>1031</v>
      </c>
      <c r="M202" s="109">
        <v>45790.0</v>
      </c>
      <c r="N202" s="109">
        <v>45791.0</v>
      </c>
      <c r="O202" s="110"/>
      <c r="P202" s="111"/>
      <c r="Q202" s="187"/>
      <c r="R202" s="187" t="s">
        <v>3109</v>
      </c>
      <c r="S202" s="112" t="s">
        <v>33</v>
      </c>
      <c r="T202" s="113">
        <v>45781.0</v>
      </c>
      <c r="U202" s="114" t="str">
        <f>IF(V202="","No AIS",VLOOKUP(V202,'Voyage days'!$A$3:$B$1480,2,FALSE))</f>
        <v>Indo + 4</v>
      </c>
      <c r="V202" s="115" t="str">
        <f>IF(VLOOKUP(A202,'1) Kpler'!$E$2:$P$1000,8, FALSE)="","",VLOOKUP(A202,'1) Kpler'!$E$2:$P$1000,8, FALSE))</f>
        <v>Oiltank. Merak</v>
      </c>
      <c r="W202" s="116">
        <f>IF(VLOOKUP(A202,'1) Kpler'!$E$2:$P$1000,9,FALSE)="","",VLOOKUP(A202,'1) Kpler'!$E$2:$P$1000,9,FALSE))</f>
        <v>46141.75</v>
      </c>
      <c r="X202" s="115" t="str">
        <f>VLOOKUP(A202,'1) Kpler'!$E$2:$I$1000,4,FALSE)</f>
        <v>loaded</v>
      </c>
      <c r="Y202" s="160" t="str">
        <f t="shared" si="40"/>
        <v>13-14 May</v>
      </c>
      <c r="Z202" s="120" t="str">
        <f t="shared" si="41"/>
        <v>13-14 May</v>
      </c>
      <c r="AA202" s="121">
        <f>IFERROR($M202+VLOOKUP($L202,'Voyage days'!$F$38:$H$89,3,FALSE),"")</f>
        <v>45790</v>
      </c>
      <c r="AB202" s="121">
        <f>IFERROR(N202+VLOOKUP($L202,'Voyage days'!$F$38:$H$89,3,FALSE),"")</f>
        <v>45791</v>
      </c>
      <c r="AC202" s="120" t="str">
        <f t="shared" si="42"/>
        <v/>
      </c>
      <c r="AD202" s="121" t="str">
        <f>IFERROR($M202+VLOOKUP($L202,'Voyage days'!$F$94:$H$193,3,FALSE),"")</f>
        <v/>
      </c>
      <c r="AE202" s="121" t="str">
        <f>IFERROR($N202+VLOOKUP($L202,'Voyage days'!$F$94:$H$193,3,FALSE),"")</f>
        <v/>
      </c>
      <c r="AF202" s="120" t="str">
        <f t="shared" si="43"/>
        <v/>
      </c>
      <c r="AG202" s="121" t="str">
        <f>IFERROR($M202+VLOOKUP($L202,'Voyage days'!$F$203:$H$256,3,FALSE),"")</f>
        <v/>
      </c>
      <c r="AH202" s="121" t="str">
        <f>IFERROR($N202+VLOOKUP($L202,'Voyage days'!$F$203:$H$256,3,FALSE),"")</f>
        <v/>
      </c>
      <c r="AI202" s="120" t="str">
        <f t="shared" si="44"/>
        <v/>
      </c>
      <c r="AJ202" s="121" t="str">
        <f>IFERROR($M202+VLOOKUP($L202,'Voyage days'!$F$294:$H$377,3,FALSE),"")</f>
        <v/>
      </c>
      <c r="AK202" s="121" t="str">
        <f>IFERROR($N202+VLOOKUP($L202,'Voyage days'!$F$294:$H$377,3,FALSE),"")</f>
        <v/>
      </c>
      <c r="AL202" s="120" t="str">
        <f t="shared" si="45"/>
        <v/>
      </c>
      <c r="AM202" s="121" t="str">
        <f>IFERROR($M202+VLOOKUP($L202,'Voyage days'!$F$382:$H$446,3,FALSE),"")</f>
        <v/>
      </c>
      <c r="AN202" s="121" t="str">
        <f>IFERROR($N202+VLOOKUP($L202,'Voyage days'!$F$382:$H$446,3,FALSE),"")</f>
        <v/>
      </c>
      <c r="AO202" s="120" t="str">
        <f t="shared" si="46"/>
        <v/>
      </c>
      <c r="AP202" s="121" t="str">
        <f>IFERROR($M202+VLOOKUP($L202,'Voyage days'!$F$483:$H$538,3,FALSE),"")</f>
        <v/>
      </c>
      <c r="AQ202" s="121" t="str">
        <f>IFERROR($N202+VLOOKUP($L202,'Voyage days'!$F$483:$H$538,3,FALSE),"")</f>
        <v/>
      </c>
      <c r="AR202" s="120" t="str">
        <f t="shared" si="47"/>
        <v>01-02 Jun</v>
      </c>
      <c r="AS202" s="121">
        <f>IFERROR($M202+VLOOKUP($L202,'Voyage days'!$F$540:$H$613,3,FALSE),"")</f>
        <v>45809</v>
      </c>
      <c r="AT202" s="121">
        <f>IFERROR($N202+VLOOKUP($L202,'Voyage days'!$F$540:$H$613,3,FALSE),"")</f>
        <v>45810</v>
      </c>
      <c r="AU202" s="120" t="str">
        <f t="shared" si="48"/>
        <v/>
      </c>
      <c r="AV202" s="121" t="str">
        <f>IFERROR($M202+VLOOKUP($L202,'Voyage days'!$L$483:$N$535,3,FALSE),"")</f>
        <v/>
      </c>
      <c r="AW202" s="121" t="str">
        <f>IFERROR($N202+VLOOKUP($L202,'Voyage days'!$L$483:$N$535,3,FALSE),"")</f>
        <v/>
      </c>
      <c r="AX202" s="120" t="str">
        <f t="shared" si="49"/>
        <v/>
      </c>
      <c r="AY202" s="122" t="str">
        <f>IFERROR($M202+VLOOKUP($L202,'Voyage days'!$F$620:$H$646,3,FALSE),"")</f>
        <v/>
      </c>
      <c r="AZ202" s="122" t="str">
        <f>IFERROR($N202+VLOOKUP($L202,'Voyage days'!$F$620:$H$646,3,FALSE),"")</f>
        <v/>
      </c>
      <c r="BA202" s="120" t="str">
        <f t="shared" si="50"/>
        <v/>
      </c>
      <c r="BB202" s="123" t="str">
        <f>IFERROR($M202+VLOOKUP($L202,'Voyage days'!$F$702:$H$727,3,FALSE),"")</f>
        <v/>
      </c>
      <c r="BC202" s="120" t="str">
        <f t="shared" si="51"/>
        <v>13-14 May</v>
      </c>
      <c r="BD202" s="122">
        <f>IFERROR($M202+VLOOKUP($L202,'Voyage days'!$F$807:$H$878,3,FALSE),"")</f>
        <v>45790</v>
      </c>
      <c r="BE202" s="122">
        <f>IFERROR($N202+VLOOKUP($L202,'Voyage days'!$F$807:$H$878,3,FALSE),"")</f>
        <v>45791</v>
      </c>
      <c r="BF202" s="609"/>
      <c r="BG202" s="609"/>
      <c r="BH202" s="609"/>
      <c r="BI202" s="609"/>
      <c r="BJ202" s="609"/>
      <c r="BK202" s="609"/>
      <c r="BL202" s="609"/>
      <c r="BM202" s="609"/>
    </row>
    <row r="203" ht="15.75" customHeight="1">
      <c r="A203" s="80" t="s">
        <v>533</v>
      </c>
      <c r="B203" s="101">
        <v>42384.0</v>
      </c>
      <c r="C203" s="1045">
        <v>84000.0</v>
      </c>
      <c r="D203" s="104" t="s">
        <v>1687</v>
      </c>
      <c r="E203" s="103"/>
      <c r="F203" s="1109">
        <v>44307.0</v>
      </c>
      <c r="G203" s="605">
        <v>45809.0</v>
      </c>
      <c r="H203" s="103"/>
      <c r="I203" s="185" t="s">
        <v>1008</v>
      </c>
      <c r="J203" s="185" t="s">
        <v>942</v>
      </c>
      <c r="K203" s="336" t="str">
        <f t="shared" si="52"/>
        <v>Update</v>
      </c>
      <c r="L203" s="187" t="s">
        <v>680</v>
      </c>
      <c r="M203" s="109">
        <v>45783.0</v>
      </c>
      <c r="N203" s="109">
        <v>45784.0</v>
      </c>
      <c r="O203" s="110"/>
      <c r="P203" s="467" t="s">
        <v>3110</v>
      </c>
      <c r="Q203" s="108"/>
      <c r="R203" s="108" t="s">
        <v>3111</v>
      </c>
      <c r="S203" s="112" t="s">
        <v>33</v>
      </c>
      <c r="T203" s="113">
        <v>45781.0</v>
      </c>
      <c r="U203" s="114" t="str">
        <f>IF(V203="","No AIS",VLOOKUP(V203,'Voyage days'!$A$3:$B$1480,2,FALSE))</f>
        <v>USG</v>
      </c>
      <c r="V203" s="115" t="str">
        <f>IF(VLOOKUP(A203,'1) Kpler'!$E$2:$P$1000,8, FALSE)="","",VLOOKUP(A203,'1) Kpler'!$E$2:$P$1000,8, FALSE))</f>
        <v>Freeport Texas</v>
      </c>
      <c r="W203" s="116">
        <f>IF(VLOOKUP(A203,'1) Kpler'!$E$2:$P$1000,9,FALSE)="","",VLOOKUP(A203,'1) Kpler'!$E$2:$P$1000,9,FALSE))</f>
        <v>46150.625</v>
      </c>
      <c r="X203" s="115" t="str">
        <f>VLOOKUP(A203,'1) Kpler'!$E$2:$I$1000,4,FALSE)</f>
        <v>ballast</v>
      </c>
      <c r="Y203" s="117" t="str">
        <f t="shared" si="40"/>
        <v/>
      </c>
      <c r="Z203" s="120" t="str">
        <f t="shared" si="41"/>
        <v/>
      </c>
      <c r="AA203" s="121" t="str">
        <f>IFERROR($M203+VLOOKUP($L203,'Voyage days'!$F$38:$H$89,3,FALSE),"")</f>
        <v/>
      </c>
      <c r="AB203" s="121" t="str">
        <f>IFERROR(N203+VLOOKUP($L203,'Voyage days'!$F$38:$H$89,3,FALSE),"")</f>
        <v/>
      </c>
      <c r="AC203" s="120" t="str">
        <f t="shared" si="42"/>
        <v>06-07 May</v>
      </c>
      <c r="AD203" s="121">
        <f>IFERROR($M203+VLOOKUP($L203,'Voyage days'!$F$94:$H$193,3,FALSE),"")</f>
        <v>45783</v>
      </c>
      <c r="AE203" s="121">
        <f>IFERROR($N203+VLOOKUP($L203,'Voyage days'!$F$94:$H$193,3,FALSE),"")</f>
        <v>45784</v>
      </c>
      <c r="AF203" s="120" t="str">
        <f t="shared" si="43"/>
        <v>06-07 May</v>
      </c>
      <c r="AG203" s="121">
        <f>IFERROR($M203+VLOOKUP($L203,'Voyage days'!$F$203:$H$256,3,FALSE),"")</f>
        <v>45783</v>
      </c>
      <c r="AH203" s="121">
        <f>IFERROR($N203+VLOOKUP($L203,'Voyage days'!$F$203:$H$256,3,FALSE),"")</f>
        <v>45784</v>
      </c>
      <c r="AI203" s="120" t="str">
        <f t="shared" si="44"/>
        <v/>
      </c>
      <c r="AJ203" s="121" t="str">
        <f>IFERROR($M203+VLOOKUP($L203,'Voyage days'!$F$294:$H$377,3,FALSE),"")</f>
        <v/>
      </c>
      <c r="AK203" s="121" t="str">
        <f>IFERROR($N203+VLOOKUP($L203,'Voyage days'!$F$294:$H$377,3,FALSE),"")</f>
        <v/>
      </c>
      <c r="AL203" s="120" t="str">
        <f t="shared" si="45"/>
        <v>26-27 May</v>
      </c>
      <c r="AM203" s="121">
        <f>IFERROR($M203+VLOOKUP($L203,'Voyage days'!$F$382:$H$446,3,FALSE),"")</f>
        <v>45803</v>
      </c>
      <c r="AN203" s="121">
        <f>IFERROR($N203+VLOOKUP($L203,'Voyage days'!$F$382:$H$446,3,FALSE),"")</f>
        <v>45804</v>
      </c>
      <c r="AO203" s="120" t="str">
        <f t="shared" si="46"/>
        <v/>
      </c>
      <c r="AP203" s="121" t="str">
        <f>IFERROR($M203+VLOOKUP($L203,'Voyage days'!$F$483:$H$538,3,FALSE),"")</f>
        <v/>
      </c>
      <c r="AQ203" s="121" t="str">
        <f>IFERROR($N203+VLOOKUP($L203,'Voyage days'!$F$483:$H$538,3,FALSE),"")</f>
        <v/>
      </c>
      <c r="AR203" s="120" t="str">
        <f t="shared" si="47"/>
        <v/>
      </c>
      <c r="AS203" s="121" t="str">
        <f>IFERROR($M203+VLOOKUP($L203,'Voyage days'!$F$540:$H$613,3,FALSE),"")</f>
        <v/>
      </c>
      <c r="AT203" s="121" t="str">
        <f>IFERROR($N203+VLOOKUP($L203,'Voyage days'!$F$540:$H$613,3,FALSE),"")</f>
        <v/>
      </c>
      <c r="AU203" s="120" t="str">
        <f t="shared" si="48"/>
        <v/>
      </c>
      <c r="AV203" s="121" t="str">
        <f>IFERROR($M203+VLOOKUP($L203,'Voyage days'!$L$483:$N$535,3,FALSE),"")</f>
        <v/>
      </c>
      <c r="AW203" s="121" t="str">
        <f>IFERROR($N203+VLOOKUP($L203,'Voyage days'!$L$483:$N$535,3,FALSE),"")</f>
        <v/>
      </c>
      <c r="AX203" s="120" t="str">
        <f t="shared" si="49"/>
        <v/>
      </c>
      <c r="AY203" s="122" t="str">
        <f>IFERROR($M203+VLOOKUP($L203,'Voyage days'!$F$620:$H$646,3,FALSE),"")</f>
        <v/>
      </c>
      <c r="AZ203" s="122" t="str">
        <f>IFERROR($N203+VLOOKUP($L203,'Voyage days'!$F$620:$H$646,3,FALSE),"")</f>
        <v/>
      </c>
      <c r="BA203" s="120" t="str">
        <f t="shared" si="50"/>
        <v/>
      </c>
      <c r="BB203" s="123" t="str">
        <f>IFERROR($M203+VLOOKUP($L203,'Voyage days'!$F$702:$H$727,3,FALSE),"")</f>
        <v/>
      </c>
      <c r="BC203" s="120" t="str">
        <f t="shared" si="51"/>
        <v/>
      </c>
      <c r="BD203" s="122" t="str">
        <f>IFERROR($M203+VLOOKUP($L203,'Voyage days'!$F$807:$H$878,3,FALSE),"")</f>
        <v/>
      </c>
      <c r="BE203" s="122" t="str">
        <f>IFERROR($N203+VLOOKUP($L203,'Voyage days'!$F$807:$H$878,3,FALSE),"")</f>
        <v/>
      </c>
      <c r="BF203" s="609"/>
      <c r="BG203" s="609"/>
      <c r="BH203" s="609"/>
      <c r="BI203" s="609"/>
      <c r="BJ203" s="609"/>
      <c r="BK203" s="609"/>
      <c r="BL203" s="609"/>
      <c r="BM203" s="609"/>
    </row>
    <row r="204" ht="15.0" customHeight="1">
      <c r="A204" s="100" t="s">
        <v>550</v>
      </c>
      <c r="B204" s="101">
        <v>39722.0</v>
      </c>
      <c r="C204" s="1045">
        <v>80186.0</v>
      </c>
      <c r="D204" s="104" t="s">
        <v>1687</v>
      </c>
      <c r="E204" s="103"/>
      <c r="F204" s="604"/>
      <c r="G204" s="605">
        <v>45809.0</v>
      </c>
      <c r="H204" s="103"/>
      <c r="I204" s="185" t="s">
        <v>1008</v>
      </c>
      <c r="J204" s="111" t="s">
        <v>2918</v>
      </c>
      <c r="K204" s="336" t="str">
        <f t="shared" si="52"/>
        <v>Update</v>
      </c>
      <c r="L204" s="108" t="s">
        <v>680</v>
      </c>
      <c r="M204" s="109">
        <v>45809.0</v>
      </c>
      <c r="N204" s="109">
        <v>45810.0</v>
      </c>
      <c r="O204" s="255"/>
      <c r="P204" s="108" t="s">
        <v>3112</v>
      </c>
      <c r="Q204" s="108"/>
      <c r="R204" s="108" t="s">
        <v>3113</v>
      </c>
      <c r="S204" s="112" t="s">
        <v>934</v>
      </c>
      <c r="T204" s="113">
        <v>45783.0</v>
      </c>
      <c r="U204" s="114" t="str">
        <f>IF(V204="","No AIS",VLOOKUP(V204,'Voyage days'!$A$3:$B$1480,2,FALSE))</f>
        <v>USG</v>
      </c>
      <c r="V204" s="115" t="str">
        <f>IF(VLOOKUP(A204,'1) Kpler'!$E$2:$P$1000,8, FALSE)="","",VLOOKUP(A204,'1) Kpler'!$E$2:$P$1000,8, FALSE))</f>
        <v>USGC (US Gulf Coast)</v>
      </c>
      <c r="W204" s="116">
        <f>IF(VLOOKUP(A204,'1) Kpler'!$E$2:$P$1000,9,FALSE)="","",VLOOKUP(A204,'1) Kpler'!$E$2:$P$1000,9,FALSE))</f>
        <v>46132</v>
      </c>
      <c r="X204" s="115" t="str">
        <f>VLOOKUP(A204,'1) Kpler'!$E$2:$I$1000,4,FALSE)</f>
        <v>loaded</v>
      </c>
      <c r="Y204" s="160" t="str">
        <f t="shared" si="40"/>
        <v/>
      </c>
      <c r="Z204" s="120" t="str">
        <f t="shared" si="41"/>
        <v/>
      </c>
      <c r="AA204" s="121" t="str">
        <f>IFERROR($M204+VLOOKUP($L204,'Voyage days'!$F$38:$H$89,3,FALSE),"")</f>
        <v/>
      </c>
      <c r="AB204" s="121" t="str">
        <f>IFERROR(N204+VLOOKUP($L204,'Voyage days'!$F$38:$H$89,3,FALSE),"")</f>
        <v/>
      </c>
      <c r="AC204" s="120" t="str">
        <f t="shared" si="42"/>
        <v>01-02 Jun</v>
      </c>
      <c r="AD204" s="121">
        <f>IFERROR($M204+VLOOKUP($L204,'Voyage days'!$F$94:$H$193,3,FALSE),"")</f>
        <v>45809</v>
      </c>
      <c r="AE204" s="121">
        <f>IFERROR($N204+VLOOKUP($L204,'Voyage days'!$F$94:$H$193,3,FALSE),"")</f>
        <v>45810</v>
      </c>
      <c r="AF204" s="120" t="str">
        <f t="shared" si="43"/>
        <v>01-02 Jun</v>
      </c>
      <c r="AG204" s="121">
        <f>IFERROR($M204+VLOOKUP($L204,'Voyage days'!$F$203:$H$256,3,FALSE),"")</f>
        <v>45809</v>
      </c>
      <c r="AH204" s="121">
        <f>IFERROR($N204+VLOOKUP($L204,'Voyage days'!$F$203:$H$256,3,FALSE),"")</f>
        <v>45810</v>
      </c>
      <c r="AI204" s="120" t="str">
        <f t="shared" si="44"/>
        <v/>
      </c>
      <c r="AJ204" s="121" t="str">
        <f>IFERROR($M204+VLOOKUP($L204,'Voyage days'!$F$294:$H$377,3,FALSE),"")</f>
        <v/>
      </c>
      <c r="AK204" s="121" t="str">
        <f>IFERROR($N204+VLOOKUP($L204,'Voyage days'!$F$294:$H$377,3,FALSE),"")</f>
        <v/>
      </c>
      <c r="AL204" s="120" t="str">
        <f t="shared" si="45"/>
        <v>21-22 Jun</v>
      </c>
      <c r="AM204" s="121">
        <f>IFERROR($M204+VLOOKUP($L204,'Voyage days'!$F$382:$H$446,3,FALSE),"")</f>
        <v>45829</v>
      </c>
      <c r="AN204" s="121">
        <f>IFERROR($N204+VLOOKUP($L204,'Voyage days'!$F$382:$H$446,3,FALSE),"")</f>
        <v>45830</v>
      </c>
      <c r="AO204" s="120" t="str">
        <f t="shared" si="46"/>
        <v/>
      </c>
      <c r="AP204" s="121" t="str">
        <f>IFERROR($M204+VLOOKUP($L204,'Voyage days'!$F$483:$H$538,3,FALSE),"")</f>
        <v/>
      </c>
      <c r="AQ204" s="121" t="str">
        <f>IFERROR($N204+VLOOKUP($L204,'Voyage days'!$F$483:$H$538,3,FALSE),"")</f>
        <v/>
      </c>
      <c r="AR204" s="120" t="str">
        <f t="shared" si="47"/>
        <v/>
      </c>
      <c r="AS204" s="121" t="str">
        <f>IFERROR($M204+VLOOKUP($L204,'Voyage days'!$F$540:$H$613,3,FALSE),"")</f>
        <v/>
      </c>
      <c r="AT204" s="121" t="str">
        <f>IFERROR($N204+VLOOKUP($L204,'Voyage days'!$F$540:$H$613,3,FALSE),"")</f>
        <v/>
      </c>
      <c r="AU204" s="120" t="str">
        <f t="shared" si="48"/>
        <v/>
      </c>
      <c r="AV204" s="121" t="str">
        <f>IFERROR($M204+VLOOKUP($L204,'Voyage days'!$L$483:$N$535,3,FALSE),"")</f>
        <v/>
      </c>
      <c r="AW204" s="121" t="str">
        <f>IFERROR($N204+VLOOKUP($L204,'Voyage days'!$L$483:$N$535,3,FALSE),"")</f>
        <v/>
      </c>
      <c r="AX204" s="120" t="str">
        <f t="shared" si="49"/>
        <v/>
      </c>
      <c r="AY204" s="122" t="str">
        <f>IFERROR($M204+VLOOKUP($L204,'Voyage days'!$F$620:$H$646,3,FALSE),"")</f>
        <v/>
      </c>
      <c r="AZ204" s="122" t="str">
        <f>IFERROR($N204+VLOOKUP($L204,'Voyage days'!$F$620:$H$646,3,FALSE),"")</f>
        <v/>
      </c>
      <c r="BA204" s="120" t="str">
        <f t="shared" si="50"/>
        <v/>
      </c>
      <c r="BB204" s="123" t="str">
        <f>IFERROR($M204+VLOOKUP($L204,'Voyage days'!$F$702:$H$727,3,FALSE),"")</f>
        <v/>
      </c>
      <c r="BC204" s="120" t="str">
        <f t="shared" si="51"/>
        <v/>
      </c>
      <c r="BD204" s="122" t="str">
        <f>IFERROR($M204+VLOOKUP($L204,'Voyage days'!$F$807:$H$878,3,FALSE),"")</f>
        <v/>
      </c>
      <c r="BE204" s="122" t="str">
        <f>IFERROR($N204+VLOOKUP($L204,'Voyage days'!$F$807:$H$878,3,FALSE),"")</f>
        <v/>
      </c>
      <c r="BF204" s="609"/>
      <c r="BG204" s="609"/>
      <c r="BH204" s="609"/>
      <c r="BI204" s="609"/>
      <c r="BJ204" s="609"/>
      <c r="BK204" s="609"/>
      <c r="BL204" s="609"/>
      <c r="BM204" s="609"/>
    </row>
    <row r="205" ht="15.75" customHeight="1">
      <c r="A205" s="164" t="s">
        <v>567</v>
      </c>
      <c r="B205" s="165">
        <v>2020.0</v>
      </c>
      <c r="C205" s="1101">
        <v>84000.0</v>
      </c>
      <c r="D205" s="377" t="s">
        <v>3114</v>
      </c>
      <c r="E205" s="223" t="s">
        <v>689</v>
      </c>
      <c r="F205" s="1010"/>
      <c r="G205" s="1011">
        <v>46631.0</v>
      </c>
      <c r="H205" s="1135"/>
      <c r="I205" s="312" t="s">
        <v>1008</v>
      </c>
      <c r="J205" s="312" t="s">
        <v>1624</v>
      </c>
      <c r="K205" s="469" t="str">
        <f t="shared" si="52"/>
        <v>Update</v>
      </c>
      <c r="L205" s="172" t="s">
        <v>680</v>
      </c>
      <c r="M205" s="173">
        <v>45800.0</v>
      </c>
      <c r="N205" s="173">
        <v>45802.0</v>
      </c>
      <c r="O205" s="174"/>
      <c r="P205" s="312"/>
      <c r="Q205" s="168"/>
      <c r="R205" s="172" t="s">
        <v>3115</v>
      </c>
      <c r="S205" s="175" t="s">
        <v>934</v>
      </c>
      <c r="T205" s="176">
        <v>45769.0</v>
      </c>
      <c r="U205" s="177" t="str">
        <f>IF(V205="","No AIS",VLOOKUP(V205,'Voyage days'!$A$3:$B$1480,2,FALSE))</f>
        <v>Taiwan + 2</v>
      </c>
      <c r="V205" s="178" t="str">
        <f>IF(VLOOKUP(A205,'1) Kpler'!$E$2:$P$1000,8, FALSE)="","",VLOOKUP(A205,'1) Kpler'!$E$2:$P$1000,8, FALSE))</f>
        <v>Kaohsiung</v>
      </c>
      <c r="W205" s="179">
        <f>IF(VLOOKUP(A205,'1) Kpler'!$E$2:$P$1000,9,FALSE)="","",VLOOKUP(A205,'1) Kpler'!$E$2:$P$1000,9,FALSE))</f>
        <v>46133.125</v>
      </c>
      <c r="X205" s="178" t="str">
        <f>VLOOKUP(A205,'1) Kpler'!$E$2:$I$1000,4,FALSE)</f>
        <v>loaded</v>
      </c>
      <c r="Y205" s="180" t="str">
        <f t="shared" si="40"/>
        <v/>
      </c>
      <c r="Z205" s="120" t="str">
        <f t="shared" si="41"/>
        <v/>
      </c>
      <c r="AA205" s="121" t="str">
        <f>IFERROR($M205+VLOOKUP($L205,'Voyage days'!$F$38:$H$89,3,FALSE),"")</f>
        <v/>
      </c>
      <c r="AB205" s="121" t="str">
        <f>IFERROR(N205+VLOOKUP($L205,'Voyage days'!$F$38:$H$89,3,FALSE),"")</f>
        <v/>
      </c>
      <c r="AC205" s="120" t="str">
        <f t="shared" si="42"/>
        <v>23-25 May</v>
      </c>
      <c r="AD205" s="121">
        <f>IFERROR($M205+VLOOKUP($L205,'Voyage days'!$F$94:$H$193,3,FALSE),"")</f>
        <v>45800</v>
      </c>
      <c r="AE205" s="121">
        <f>IFERROR($N205+VLOOKUP($L205,'Voyage days'!$F$94:$H$193,3,FALSE),"")</f>
        <v>45802</v>
      </c>
      <c r="AF205" s="120" t="str">
        <f t="shared" si="43"/>
        <v>23-25 May</v>
      </c>
      <c r="AG205" s="121">
        <f>IFERROR($M205+VLOOKUP($L205,'Voyage days'!$F$203:$H$256,3,FALSE),"")</f>
        <v>45800</v>
      </c>
      <c r="AH205" s="121">
        <f>IFERROR($N205+VLOOKUP($L205,'Voyage days'!$F$203:$H$256,3,FALSE),"")</f>
        <v>45802</v>
      </c>
      <c r="AI205" s="120" t="str">
        <f t="shared" si="44"/>
        <v/>
      </c>
      <c r="AJ205" s="121" t="str">
        <f>IFERROR($M205+VLOOKUP($L205,'Voyage days'!$F$294:$H$377,3,FALSE),"")</f>
        <v/>
      </c>
      <c r="AK205" s="121" t="str">
        <f>IFERROR($N205+VLOOKUP($L205,'Voyage days'!$F$294:$H$377,3,FALSE),"")</f>
        <v/>
      </c>
      <c r="AL205" s="120" t="str">
        <f t="shared" si="45"/>
        <v>12-14 Jun</v>
      </c>
      <c r="AM205" s="121">
        <f>IFERROR($M205+VLOOKUP($L205,'Voyage days'!$F$382:$H$446,3,FALSE),"")</f>
        <v>45820</v>
      </c>
      <c r="AN205" s="121">
        <f>IFERROR($N205+VLOOKUP($L205,'Voyage days'!$F$382:$H$446,3,FALSE),"")</f>
        <v>45822</v>
      </c>
      <c r="AO205" s="120" t="str">
        <f t="shared" si="46"/>
        <v/>
      </c>
      <c r="AP205" s="121" t="str">
        <f>IFERROR($M205+VLOOKUP($L205,'Voyage days'!$F$483:$H$538,3,FALSE),"")</f>
        <v/>
      </c>
      <c r="AQ205" s="121" t="str">
        <f>IFERROR($N205+VLOOKUP($L205,'Voyage days'!$F$483:$H$538,3,FALSE),"")</f>
        <v/>
      </c>
      <c r="AR205" s="120" t="str">
        <f t="shared" si="47"/>
        <v/>
      </c>
      <c r="AS205" s="121" t="str">
        <f>IFERROR($M205+VLOOKUP($L205,'Voyage days'!$F$540:$H$613,3,FALSE),"")</f>
        <v/>
      </c>
      <c r="AT205" s="121" t="str">
        <f>IFERROR($N205+VLOOKUP($L205,'Voyage days'!$F$540:$H$613,3,FALSE),"")</f>
        <v/>
      </c>
      <c r="AU205" s="120" t="str">
        <f t="shared" si="48"/>
        <v/>
      </c>
      <c r="AV205" s="121" t="str">
        <f>IFERROR($M205+VLOOKUP($L205,'Voyage days'!$L$483:$N$535,3,FALSE),"")</f>
        <v/>
      </c>
      <c r="AW205" s="121" t="str">
        <f>IFERROR($N205+VLOOKUP($L205,'Voyage days'!$L$483:$N$535,3,FALSE),"")</f>
        <v/>
      </c>
      <c r="AX205" s="120" t="str">
        <f t="shared" si="49"/>
        <v/>
      </c>
      <c r="AY205" s="122" t="str">
        <f>IFERROR($M205+VLOOKUP($L205,'Voyage days'!$F$620:$H$646,3,FALSE),"")</f>
        <v/>
      </c>
      <c r="AZ205" s="122" t="str">
        <f>IFERROR($N205+VLOOKUP($L205,'Voyage days'!$F$620:$H$646,3,FALSE),"")</f>
        <v/>
      </c>
      <c r="BA205" s="120" t="str">
        <f t="shared" si="50"/>
        <v/>
      </c>
      <c r="BB205" s="123" t="str">
        <f>IFERROR($M205+VLOOKUP($L205,'Voyage days'!$F$702:$H$727,3,FALSE),"")</f>
        <v/>
      </c>
      <c r="BC205" s="120" t="str">
        <f t="shared" si="51"/>
        <v/>
      </c>
      <c r="BD205" s="122" t="str">
        <f>IFERROR($M205+VLOOKUP($L205,'Voyage days'!$F$807:$H$878,3,FALSE),"")</f>
        <v/>
      </c>
      <c r="BE205" s="122" t="str">
        <f>IFERROR($N205+VLOOKUP($L205,'Voyage days'!$F$807:$H$878,3,FALSE),"")</f>
        <v/>
      </c>
      <c r="BF205" s="609"/>
      <c r="BG205" s="609"/>
      <c r="BH205" s="609"/>
      <c r="BI205" s="609"/>
      <c r="BJ205" s="609"/>
      <c r="BK205" s="609"/>
      <c r="BL205" s="609"/>
      <c r="BM205" s="609"/>
    </row>
    <row r="206" ht="15.75" customHeight="1">
      <c r="A206" s="515" t="s">
        <v>434</v>
      </c>
      <c r="B206" s="288">
        <v>42197.0</v>
      </c>
      <c r="C206" s="1098">
        <v>84000.0</v>
      </c>
      <c r="D206" s="234" t="s">
        <v>1687</v>
      </c>
      <c r="E206" s="233"/>
      <c r="F206" s="1035"/>
      <c r="G206" s="233"/>
      <c r="H206" s="233"/>
      <c r="I206" s="291" t="s">
        <v>3116</v>
      </c>
      <c r="J206" s="1037"/>
      <c r="K206" s="517" t="str">
        <f t="shared" si="52"/>
        <v>Update</v>
      </c>
      <c r="L206" s="153" t="s">
        <v>703</v>
      </c>
      <c r="M206" s="677">
        <v>45809.0</v>
      </c>
      <c r="N206" s="589">
        <v>45813.0</v>
      </c>
      <c r="O206" s="519"/>
      <c r="P206" s="235" t="s">
        <v>3117</v>
      </c>
      <c r="Q206" s="240"/>
      <c r="R206" s="235" t="s">
        <v>3118</v>
      </c>
      <c r="S206" s="1160" t="s">
        <v>934</v>
      </c>
      <c r="T206" s="420">
        <v>45785.0</v>
      </c>
      <c r="U206" s="114" t="str">
        <f>IF(V206="","No AIS",VLOOKUP(V206,'Voyage days'!$A$3:$B$1480,2,FALSE))</f>
        <v>WCI + 5</v>
      </c>
      <c r="V206" s="114" t="str">
        <f>IF(VLOOKUP(A206,'1) Kpler'!$E$2:$P$1000,8, FALSE)="","",VLOOKUP(A206,'1) Kpler'!$E$2:$P$1000,8, FALSE))</f>
        <v>Mangalore</v>
      </c>
      <c r="W206" s="159">
        <f>IF(VLOOKUP(A206,'1) Kpler'!$E$2:$P$1000,9,FALSE)="","",VLOOKUP(A206,'1) Kpler'!$E$2:$P$1000,9,FALSE))</f>
        <v>46136.00069</v>
      </c>
      <c r="X206" s="114" t="str">
        <f>VLOOKUP(A206,'1) Kpler'!$E$2:$I$1000,4,FALSE)</f>
        <v>loaded</v>
      </c>
      <c r="Y206" s="272" t="str">
        <f t="shared" si="40"/>
        <v>16-20 Jun</v>
      </c>
      <c r="Z206" s="163" t="str">
        <f t="shared" si="41"/>
        <v>16-20 Jun</v>
      </c>
      <c r="AA206" s="122">
        <f>IFERROR($M206+VLOOKUP($L206,'Voyage days'!$F$38:$H$89,3,FALSE),"")</f>
        <v>45824</v>
      </c>
      <c r="AB206" s="122">
        <f>IFERROR(N206+VLOOKUP($L206,'Voyage days'!$F$38:$H$89,3,FALSE),"")</f>
        <v>45828</v>
      </c>
      <c r="AC206" s="163" t="str">
        <f t="shared" si="42"/>
        <v>08-12 Jul</v>
      </c>
      <c r="AD206" s="122">
        <f>IFERROR($M206+VLOOKUP($L206,'Voyage days'!$F$94:$H$193,3,FALSE),"")</f>
        <v>45846</v>
      </c>
      <c r="AE206" s="122">
        <f>IFERROR($N206+VLOOKUP($L206,'Voyage days'!$F$94:$H$193,3,FALSE),"")</f>
        <v>45850</v>
      </c>
      <c r="AF206" s="163" t="str">
        <f t="shared" si="43"/>
        <v>13-17 Jul</v>
      </c>
      <c r="AG206" s="122">
        <f>IFERROR($M206+VLOOKUP($L206,'Voyage days'!$F$203:$H$256,3,FALSE),"")</f>
        <v>45851</v>
      </c>
      <c r="AH206" s="122">
        <f>IFERROR($N206+VLOOKUP($L206,'Voyage days'!$F$203:$H$256,3,FALSE),"")</f>
        <v>45855</v>
      </c>
      <c r="AI206" s="163" t="str">
        <f t="shared" si="44"/>
        <v>27-01 Jul</v>
      </c>
      <c r="AJ206" s="122">
        <f>IFERROR($M206+VLOOKUP($L206,'Voyage days'!$F$294:$H$377,3,FALSE),"")</f>
        <v>45835</v>
      </c>
      <c r="AK206" s="122">
        <f>IFERROR($N206+VLOOKUP($L206,'Voyage days'!$F$294:$H$377,3,FALSE),"")</f>
        <v>45839</v>
      </c>
      <c r="AL206" s="163" t="str">
        <f t="shared" si="45"/>
        <v>04-08 Jul</v>
      </c>
      <c r="AM206" s="122">
        <f>IFERROR($M206+VLOOKUP($L206,'Voyage days'!$F$382:$H$446,3,FALSE),"")</f>
        <v>45842</v>
      </c>
      <c r="AN206" s="122">
        <f>IFERROR($N206+VLOOKUP($L206,'Voyage days'!$F$382:$H$446,3,FALSE),"")</f>
        <v>45846</v>
      </c>
      <c r="AO206" s="163" t="str">
        <f t="shared" si="46"/>
        <v>15-19 Jun</v>
      </c>
      <c r="AP206" s="122">
        <f>IFERROR($M206+VLOOKUP($L206,'Voyage days'!$F$483:$H$538,3,FALSE),"")</f>
        <v>45823</v>
      </c>
      <c r="AQ206" s="122">
        <f>IFERROR($N206+VLOOKUP($L206,'Voyage days'!$F$483:$H$538,3,FALSE),"")</f>
        <v>45827</v>
      </c>
      <c r="AR206" s="163" t="str">
        <f t="shared" si="47"/>
        <v>07-11 Jun</v>
      </c>
      <c r="AS206" s="122">
        <f>IFERROR($M206+VLOOKUP($L206,'Voyage days'!$F$540:$H$613,3,FALSE),"")</f>
        <v>45815.75</v>
      </c>
      <c r="AT206" s="122">
        <f>IFERROR($N206+VLOOKUP($L206,'Voyage days'!$F$540:$H$613,3,FALSE),"")</f>
        <v>45819.75</v>
      </c>
      <c r="AU206" s="163" t="str">
        <f t="shared" si="48"/>
        <v/>
      </c>
      <c r="AV206" s="122" t="str">
        <f>IFERROR($M206+VLOOKUP($L206,'Voyage days'!$L$483:$N$535,3,FALSE),"")</f>
        <v/>
      </c>
      <c r="AW206" s="122" t="str">
        <f>IFERROR($N206+VLOOKUP($L206,'Voyage days'!$L$483:$N$535,3,FALSE),"")</f>
        <v/>
      </c>
      <c r="AX206" s="163" t="str">
        <f t="shared" si="49"/>
        <v/>
      </c>
      <c r="AY206" s="122" t="str">
        <f>IFERROR($M206+VLOOKUP($L206,'Voyage days'!$F$620:$H$646,3,FALSE),"")</f>
        <v/>
      </c>
      <c r="AZ206" s="122" t="str">
        <f>IFERROR($N206+VLOOKUP($L206,'Voyage days'!$F$620:$H$646,3,FALSE),"")</f>
        <v/>
      </c>
      <c r="BA206" s="163" t="str">
        <f t="shared" si="50"/>
        <v>07-17 Jul</v>
      </c>
      <c r="BB206" s="123">
        <f>IFERROR($M206+VLOOKUP($L206,'Voyage days'!$F$702:$H$727,3,FALSE),"")</f>
        <v>45815.75</v>
      </c>
      <c r="BC206" s="163" t="str">
        <f t="shared" si="51"/>
        <v>13-17 Jul</v>
      </c>
      <c r="BD206" s="122">
        <f>IFERROR($M206+VLOOKUP($L206,'Voyage days'!$F$807:$H$878,3,FALSE),"")</f>
        <v>45851</v>
      </c>
      <c r="BE206" s="122">
        <f>IFERROR($N206+VLOOKUP($L206,'Voyage days'!$F$807:$H$878,3,FALSE),"")</f>
        <v>45855</v>
      </c>
      <c r="BF206" s="609"/>
      <c r="BG206" s="609"/>
      <c r="BH206" s="609"/>
      <c r="BI206" s="609"/>
      <c r="BJ206" s="609"/>
      <c r="BK206" s="609"/>
      <c r="BL206" s="609"/>
      <c r="BM206" s="609"/>
    </row>
    <row r="207" ht="15.75" customHeight="1">
      <c r="A207" s="164" t="s">
        <v>332</v>
      </c>
      <c r="B207" s="222">
        <v>43110.0</v>
      </c>
      <c r="C207" s="1101">
        <v>83000.0</v>
      </c>
      <c r="D207" s="168" t="s">
        <v>1687</v>
      </c>
      <c r="E207" s="223"/>
      <c r="F207" s="1010">
        <v>44217.0</v>
      </c>
      <c r="G207" s="223" t="s">
        <v>1611</v>
      </c>
      <c r="H207" s="223"/>
      <c r="I207" s="463" t="s">
        <v>3116</v>
      </c>
      <c r="J207" s="312" t="s">
        <v>3116</v>
      </c>
      <c r="K207" s="1161" t="str">
        <f t="shared" si="52"/>
        <v>Update</v>
      </c>
      <c r="L207" s="319" t="s">
        <v>1031</v>
      </c>
      <c r="M207" s="173">
        <v>45801.0</v>
      </c>
      <c r="N207" s="173">
        <v>45805.0</v>
      </c>
      <c r="O207" s="226"/>
      <c r="P207" s="675"/>
      <c r="Q207" s="172" t="s">
        <v>3119</v>
      </c>
      <c r="R207" s="172"/>
      <c r="S207" s="1162" t="s">
        <v>2962</v>
      </c>
      <c r="T207" s="176">
        <v>45784.0</v>
      </c>
      <c r="U207" s="177" t="str">
        <f>IF(V207="","No AIS",VLOOKUP(V207,'Voyage days'!$A$3:$B$1480,2,FALSE))</f>
        <v>South China + 4</v>
      </c>
      <c r="V207" s="178" t="str">
        <f>IF(VLOOKUP(A207,'1) Kpler'!$E$2:$P$1000,8, FALSE)="","",VLOOKUP(A207,'1) Kpler'!$E$2:$P$1000,8, FALSE))</f>
        <v>Guangzhou</v>
      </c>
      <c r="W207" s="179">
        <f>IF(VLOOKUP(A207,'1) Kpler'!$E$2:$P$1000,9,FALSE)="","",VLOOKUP(A207,'1) Kpler'!$E$2:$P$1000,9,FALSE))</f>
        <v>46144.16667</v>
      </c>
      <c r="X207" s="178" t="str">
        <f>VLOOKUP(A207,'1) Kpler'!$E$2:$I$1000,4,FALSE)</f>
        <v>floatingStorage</v>
      </c>
      <c r="Y207" s="180" t="str">
        <f t="shared" si="40"/>
        <v>24-28 May</v>
      </c>
      <c r="Z207" s="120" t="str">
        <f t="shared" si="41"/>
        <v>24-28 May</v>
      </c>
      <c r="AA207" s="121">
        <f>IFERROR($M207+VLOOKUP($L207,'Voyage days'!$F$38:$H$89,3,FALSE),"")</f>
        <v>45801</v>
      </c>
      <c r="AB207" s="121">
        <f>IFERROR(N207+VLOOKUP($L207,'Voyage days'!$F$38:$H$89,3,FALSE),"")</f>
        <v>45805</v>
      </c>
      <c r="AC207" s="120" t="str">
        <f t="shared" si="42"/>
        <v/>
      </c>
      <c r="AD207" s="121" t="str">
        <f>IFERROR($M207+VLOOKUP($L207,'Voyage days'!$F$94:$H$193,3,FALSE),"")</f>
        <v/>
      </c>
      <c r="AE207" s="121" t="str">
        <f>IFERROR($N207+VLOOKUP($L207,'Voyage days'!$F$94:$H$193,3,FALSE),"")</f>
        <v/>
      </c>
      <c r="AF207" s="120" t="str">
        <f t="shared" si="43"/>
        <v/>
      </c>
      <c r="AG207" s="121" t="str">
        <f>IFERROR($M207+VLOOKUP($L207,'Voyage days'!$F$203:$H$256,3,FALSE),"")</f>
        <v/>
      </c>
      <c r="AH207" s="121" t="str">
        <f>IFERROR($N207+VLOOKUP($L207,'Voyage days'!$F$203:$H$256,3,FALSE),"")</f>
        <v/>
      </c>
      <c r="AI207" s="120" t="str">
        <f t="shared" si="44"/>
        <v/>
      </c>
      <c r="AJ207" s="121" t="str">
        <f>IFERROR($M207+VLOOKUP($L207,'Voyage days'!$F$294:$H$377,3,FALSE),"")</f>
        <v/>
      </c>
      <c r="AK207" s="121" t="str">
        <f>IFERROR($N207+VLOOKUP($L207,'Voyage days'!$F$294:$H$377,3,FALSE),"")</f>
        <v/>
      </c>
      <c r="AL207" s="120" t="str">
        <f t="shared" si="45"/>
        <v/>
      </c>
      <c r="AM207" s="121" t="str">
        <f>IFERROR($M207+VLOOKUP($L207,'Voyage days'!$F$382:$H$446,3,FALSE),"")</f>
        <v/>
      </c>
      <c r="AN207" s="121" t="str">
        <f>IFERROR($N207+VLOOKUP($L207,'Voyage days'!$F$382:$H$446,3,FALSE),"")</f>
        <v/>
      </c>
      <c r="AO207" s="120" t="str">
        <f t="shared" si="46"/>
        <v/>
      </c>
      <c r="AP207" s="121" t="str">
        <f>IFERROR($M207+VLOOKUP($L207,'Voyage days'!$F$483:$H$538,3,FALSE),"")</f>
        <v/>
      </c>
      <c r="AQ207" s="121" t="str">
        <f>IFERROR($N207+VLOOKUP($L207,'Voyage days'!$F$483:$H$538,3,FALSE),"")</f>
        <v/>
      </c>
      <c r="AR207" s="120" t="str">
        <f t="shared" si="47"/>
        <v>12-16 Jun</v>
      </c>
      <c r="AS207" s="121">
        <f>IFERROR($M207+VLOOKUP($L207,'Voyage days'!$F$540:$H$613,3,FALSE),"")</f>
        <v>45820</v>
      </c>
      <c r="AT207" s="121">
        <f>IFERROR($N207+VLOOKUP($L207,'Voyage days'!$F$540:$H$613,3,FALSE),"")</f>
        <v>45824</v>
      </c>
      <c r="AU207" s="120" t="str">
        <f t="shared" si="48"/>
        <v/>
      </c>
      <c r="AV207" s="121" t="str">
        <f>IFERROR($M207+VLOOKUP($L207,'Voyage days'!$L$483:$N$535,3,FALSE),"")</f>
        <v/>
      </c>
      <c r="AW207" s="121" t="str">
        <f>IFERROR($N207+VLOOKUP($L207,'Voyage days'!$L$483:$N$535,3,FALSE),"")</f>
        <v/>
      </c>
      <c r="AX207" s="120" t="str">
        <f t="shared" si="49"/>
        <v/>
      </c>
      <c r="AY207" s="122" t="str">
        <f>IFERROR($M207+VLOOKUP($L207,'Voyage days'!$F$620:$H$646,3,FALSE),"")</f>
        <v/>
      </c>
      <c r="AZ207" s="122" t="str">
        <f>IFERROR($N207+VLOOKUP($L207,'Voyage days'!$F$620:$H$646,3,FALSE),"")</f>
        <v/>
      </c>
      <c r="BA207" s="120" t="str">
        <f t="shared" si="50"/>
        <v/>
      </c>
      <c r="BB207" s="123" t="str">
        <f>IFERROR($M207+VLOOKUP($L207,'Voyage days'!$F$702:$H$727,3,FALSE),"")</f>
        <v/>
      </c>
      <c r="BC207" s="120" t="str">
        <f t="shared" si="51"/>
        <v>24-28 May</v>
      </c>
      <c r="BD207" s="122">
        <f>IFERROR($M207+VLOOKUP($L207,'Voyage days'!$F$807:$H$878,3,FALSE),"")</f>
        <v>45801</v>
      </c>
      <c r="BE207" s="122">
        <f>IFERROR($N207+VLOOKUP($L207,'Voyage days'!$F$807:$H$878,3,FALSE),"")</f>
        <v>45805</v>
      </c>
      <c r="BF207" s="609"/>
      <c r="BG207" s="609"/>
      <c r="BH207" s="609"/>
      <c r="BI207" s="609"/>
      <c r="BJ207" s="609"/>
      <c r="BK207" s="609"/>
      <c r="BL207" s="609"/>
      <c r="BM207" s="609"/>
    </row>
    <row r="208" ht="15.75" customHeight="1">
      <c r="A208" s="274" t="s">
        <v>396</v>
      </c>
      <c r="B208" s="101">
        <v>42644.0</v>
      </c>
      <c r="C208" s="1082">
        <v>84000.0</v>
      </c>
      <c r="D208" s="150" t="s">
        <v>1687</v>
      </c>
      <c r="E208" s="149"/>
      <c r="F208" s="1014"/>
      <c r="G208" s="1015">
        <v>46296.0</v>
      </c>
      <c r="H208" s="149"/>
      <c r="I208" s="536" t="s">
        <v>1042</v>
      </c>
      <c r="J208" s="536" t="s">
        <v>1624</v>
      </c>
      <c r="K208" s="517" t="str">
        <f t="shared" si="52"/>
        <v>Update</v>
      </c>
      <c r="L208" s="153" t="s">
        <v>95</v>
      </c>
      <c r="M208" s="276">
        <v>45789.0</v>
      </c>
      <c r="N208" s="276">
        <v>45790.0</v>
      </c>
      <c r="O208" s="277" t="s">
        <v>709</v>
      </c>
      <c r="P208" s="153" t="s">
        <v>1531</v>
      </c>
      <c r="Q208" s="157"/>
      <c r="R208" s="157"/>
      <c r="S208" s="256" t="s">
        <v>934</v>
      </c>
      <c r="T208" s="1163">
        <v>45785.0</v>
      </c>
      <c r="U208" s="114" t="str">
        <f>IF(V208="","No AIS",VLOOKUP(V208,'Voyage days'!$A$3:$B$1480,2,FALSE))</f>
        <v>Galle +2</v>
      </c>
      <c r="V208" s="114" t="str">
        <f>IF(VLOOKUP(A208,'1) Kpler'!$E$2:$P$1000,8, FALSE)="","",VLOOKUP(A208,'1) Kpler'!$E$2:$P$1000,8, FALSE))</f>
        <v>India</v>
      </c>
      <c r="W208" s="159">
        <f>IF(VLOOKUP(A208,'1) Kpler'!$E$2:$P$1000,9,FALSE)="","",VLOOKUP(A208,'1) Kpler'!$E$2:$P$1000,9,FALSE))</f>
        <v>46164.33333</v>
      </c>
      <c r="X208" s="114" t="str">
        <f>VLOOKUP(A208,'1) Kpler'!$E$2:$I$1000,4,FALSE)</f>
        <v>loaded</v>
      </c>
      <c r="Y208" s="272" t="str">
        <f t="shared" si="40"/>
        <v/>
      </c>
      <c r="Z208" s="163" t="str">
        <f t="shared" si="41"/>
        <v/>
      </c>
      <c r="AA208" s="122" t="str">
        <f>IFERROR($M208+VLOOKUP($L208,'Voyage days'!$F$38:$H$89,3,FALSE),"")</f>
        <v/>
      </c>
      <c r="AB208" s="122" t="str">
        <f>IFERROR(N208+VLOOKUP($L208,'Voyage days'!$F$38:$H$89,3,FALSE),"")</f>
        <v/>
      </c>
      <c r="AC208" s="163" t="str">
        <f t="shared" si="42"/>
        <v/>
      </c>
      <c r="AD208" s="122" t="str">
        <f>IFERROR($M208+VLOOKUP($L208,'Voyage days'!$F$94:$H$193,3,FALSE),"")</f>
        <v/>
      </c>
      <c r="AE208" s="122" t="str">
        <f>IFERROR($N208+VLOOKUP($L208,'Voyage days'!$F$94:$H$193,3,FALSE),"")</f>
        <v/>
      </c>
      <c r="AF208" s="163" t="str">
        <f t="shared" si="43"/>
        <v/>
      </c>
      <c r="AG208" s="122" t="str">
        <f>IFERROR($M208+VLOOKUP($L208,'Voyage days'!$F$203:$H$256,3,FALSE),"")</f>
        <v/>
      </c>
      <c r="AH208" s="122" t="str">
        <f>IFERROR($N208+VLOOKUP($L208,'Voyage days'!$F$203:$H$256,3,FALSE),"")</f>
        <v/>
      </c>
      <c r="AI208" s="163" t="str">
        <f t="shared" si="44"/>
        <v/>
      </c>
      <c r="AJ208" s="122" t="str">
        <f>IFERROR($M208+VLOOKUP($L208,'Voyage days'!$F$294:$H$377,3,FALSE),"")</f>
        <v/>
      </c>
      <c r="AK208" s="122" t="str">
        <f>IFERROR($N208+VLOOKUP($L208,'Voyage days'!$F$294:$H$377,3,FALSE),"")</f>
        <v/>
      </c>
      <c r="AL208" s="163" t="str">
        <f t="shared" si="45"/>
        <v/>
      </c>
      <c r="AM208" s="122" t="str">
        <f>IFERROR($M208+VLOOKUP($L208,'Voyage days'!$F$382:$H$446,3,FALSE),"")</f>
        <v/>
      </c>
      <c r="AN208" s="122" t="str">
        <f>IFERROR($N208+VLOOKUP($L208,'Voyage days'!$F$382:$H$446,3,FALSE),"")</f>
        <v/>
      </c>
      <c r="AO208" s="163" t="str">
        <f t="shared" si="46"/>
        <v/>
      </c>
      <c r="AP208" s="122" t="str">
        <f>IFERROR($M208+VLOOKUP($L208,'Voyage days'!$F$483:$H$538,3,FALSE),"")</f>
        <v/>
      </c>
      <c r="AQ208" s="122" t="str">
        <f>IFERROR($N208+VLOOKUP($L208,'Voyage days'!$F$483:$H$538,3,FALSE),"")</f>
        <v/>
      </c>
      <c r="AR208" s="163" t="str">
        <f t="shared" si="47"/>
        <v/>
      </c>
      <c r="AS208" s="122" t="str">
        <f>IFERROR($M208+VLOOKUP($L208,'Voyage days'!$F$540:$H$613,3,FALSE),"")</f>
        <v/>
      </c>
      <c r="AT208" s="122" t="str">
        <f>IFERROR($N208+VLOOKUP($L208,'Voyage days'!$F$540:$H$613,3,FALSE),"")</f>
        <v/>
      </c>
      <c r="AU208" s="163" t="str">
        <f t="shared" si="48"/>
        <v/>
      </c>
      <c r="AV208" s="122" t="str">
        <f>IFERROR($M208+VLOOKUP($L208,'Voyage days'!$L$483:$N$535,3,FALSE),"")</f>
        <v/>
      </c>
      <c r="AW208" s="122" t="str">
        <f>IFERROR($N208+VLOOKUP($L208,'Voyage days'!$L$483:$N$535,3,FALSE),"")</f>
        <v/>
      </c>
      <c r="AX208" s="163" t="str">
        <f t="shared" si="49"/>
        <v/>
      </c>
      <c r="AY208" s="122" t="str">
        <f>IFERROR($M208+VLOOKUP($L208,'Voyage days'!$F$620:$H$646,3,FALSE),"")</f>
        <v/>
      </c>
      <c r="AZ208" s="122" t="str">
        <f>IFERROR($N208+VLOOKUP($L208,'Voyage days'!$F$620:$H$646,3,FALSE),"")</f>
        <v/>
      </c>
      <c r="BA208" s="163" t="str">
        <f t="shared" si="50"/>
        <v/>
      </c>
      <c r="BB208" s="123" t="str">
        <f>IFERROR($M208+VLOOKUP($L208,'Voyage days'!$F$702:$H$727,3,FALSE),"")</f>
        <v/>
      </c>
      <c r="BC208" s="163" t="str">
        <f t="shared" si="51"/>
        <v/>
      </c>
      <c r="BD208" s="122" t="str">
        <f>IFERROR($M208+VLOOKUP($L208,'Voyage days'!$F$807:$H$878,3,FALSE),"")</f>
        <v/>
      </c>
      <c r="BE208" s="122" t="str">
        <f>IFERROR($N208+VLOOKUP($L208,'Voyage days'!$F$807:$H$878,3,FALSE),"")</f>
        <v/>
      </c>
      <c r="BF208" s="609"/>
      <c r="BG208" s="609"/>
      <c r="BH208" s="609"/>
      <c r="BI208" s="609"/>
      <c r="BJ208" s="609"/>
      <c r="BK208" s="609"/>
      <c r="BL208" s="609"/>
      <c r="BM208" s="609"/>
    </row>
    <row r="209" ht="15.75" customHeight="1">
      <c r="A209" s="80" t="s">
        <v>478</v>
      </c>
      <c r="B209" s="101">
        <v>42538.0</v>
      </c>
      <c r="C209" s="1045">
        <v>84000.0</v>
      </c>
      <c r="D209" s="104" t="s">
        <v>1687</v>
      </c>
      <c r="E209" s="103"/>
      <c r="F209" s="604"/>
      <c r="G209" s="605">
        <v>46174.0</v>
      </c>
      <c r="H209" s="1130"/>
      <c r="I209" s="185" t="s">
        <v>1042</v>
      </c>
      <c r="J209" s="185" t="s">
        <v>1326</v>
      </c>
      <c r="K209" s="336" t="str">
        <f t="shared" si="52"/>
        <v>Update</v>
      </c>
      <c r="L209" s="108" t="s">
        <v>663</v>
      </c>
      <c r="M209" s="109">
        <v>45810.0</v>
      </c>
      <c r="N209" s="337">
        <v>45812.0</v>
      </c>
      <c r="O209" s="334"/>
      <c r="P209" s="526" t="s">
        <v>3120</v>
      </c>
      <c r="Q209" s="185"/>
      <c r="R209" s="108" t="s">
        <v>3121</v>
      </c>
      <c r="S209" s="112" t="s">
        <v>2962</v>
      </c>
      <c r="T209" s="113">
        <v>45784.0</v>
      </c>
      <c r="U209" s="114" t="str">
        <f>IF(V209="","No AIS",VLOOKUP(V209,'Voyage days'!$A$3:$B$1480,2,FALSE))</f>
        <v>Singapore</v>
      </c>
      <c r="V209" s="115" t="str">
        <f>IF(VLOOKUP(A209,'1) Kpler'!$E$2:$P$1000,8, FALSE)="","",VLOOKUP(A209,'1) Kpler'!$E$2:$P$1000,8, FALSE))</f>
        <v>Singapore</v>
      </c>
      <c r="W209" s="116">
        <f>IF(VLOOKUP(A209,'1) Kpler'!$E$2:$P$1000,9,FALSE)="","",VLOOKUP(A209,'1) Kpler'!$E$2:$P$1000,9,FALSE))</f>
        <v>46157.75</v>
      </c>
      <c r="X209" s="115" t="str">
        <f>VLOOKUP(A209,'1) Kpler'!$E$2:$I$1000,4,FALSE)</f>
        <v>loaded</v>
      </c>
      <c r="Y209" s="117" t="str">
        <f t="shared" si="40"/>
        <v>19-21 Jun</v>
      </c>
      <c r="Z209" s="120" t="str">
        <f t="shared" si="41"/>
        <v>19-21 Jun</v>
      </c>
      <c r="AA209" s="121">
        <f>IFERROR($M209+VLOOKUP($L209,'Voyage days'!$F$38:$H$89,3,FALSE),"")</f>
        <v>45827</v>
      </c>
      <c r="AB209" s="121">
        <f>IFERROR(N209+VLOOKUP($L209,'Voyage days'!$F$38:$H$89,3,FALSE),"")</f>
        <v>45829</v>
      </c>
      <c r="AC209" s="120" t="str">
        <f t="shared" si="42"/>
        <v>05-07 Jul</v>
      </c>
      <c r="AD209" s="121">
        <f>IFERROR($M209+VLOOKUP($L209,'Voyage days'!$F$94:$H$193,3,FALSE),"")</f>
        <v>45843</v>
      </c>
      <c r="AE209" s="121">
        <f>IFERROR($N209+VLOOKUP($L209,'Voyage days'!$F$94:$H$193,3,FALSE),"")</f>
        <v>45845</v>
      </c>
      <c r="AF209" s="120" t="str">
        <f t="shared" si="43"/>
        <v>16-18 Jul</v>
      </c>
      <c r="AG209" s="121">
        <f>IFERROR($M209+VLOOKUP($L209,'Voyage days'!$F$203:$H$256,3,FALSE),"")</f>
        <v>45854</v>
      </c>
      <c r="AH209" s="121">
        <f>IFERROR($N209+VLOOKUP($L209,'Voyage days'!$F$203:$H$256,3,FALSE),"")</f>
        <v>45856</v>
      </c>
      <c r="AI209" s="120" t="str">
        <f t="shared" si="44"/>
        <v>30-02 Jul</v>
      </c>
      <c r="AJ209" s="121">
        <f>IFERROR($M209+VLOOKUP($L209,'Voyage days'!$F$294:$H$377,3,FALSE),"")</f>
        <v>45838</v>
      </c>
      <c r="AK209" s="121">
        <f>IFERROR($N209+VLOOKUP($L209,'Voyage days'!$F$294:$H$377,3,FALSE),"")</f>
        <v>45840</v>
      </c>
      <c r="AL209" s="120" t="str">
        <f t="shared" si="45"/>
        <v>07-09 Jul</v>
      </c>
      <c r="AM209" s="121">
        <f>IFERROR($M209+VLOOKUP($L209,'Voyage days'!$F$382:$H$446,3,FALSE),"")</f>
        <v>45845</v>
      </c>
      <c r="AN209" s="121">
        <f>IFERROR($N209+VLOOKUP($L209,'Voyage days'!$F$382:$H$446,3,FALSE),"")</f>
        <v>45847</v>
      </c>
      <c r="AO209" s="120" t="str">
        <f t="shared" si="46"/>
        <v>16-18 Jun</v>
      </c>
      <c r="AP209" s="121">
        <f>IFERROR($M209+VLOOKUP($L209,'Voyage days'!$F$483:$H$538,3,FALSE),"")</f>
        <v>45824</v>
      </c>
      <c r="AQ209" s="121">
        <f>IFERROR($N209+VLOOKUP($L209,'Voyage days'!$F$483:$H$538,3,FALSE),"")</f>
        <v>45826</v>
      </c>
      <c r="AR209" s="120" t="str">
        <f t="shared" si="47"/>
        <v>09-11 Jun</v>
      </c>
      <c r="AS209" s="121">
        <f>IFERROR($M209+VLOOKUP($L209,'Voyage days'!$F$540:$H$613,3,FALSE),"")</f>
        <v>45817.25</v>
      </c>
      <c r="AT209" s="121">
        <f>IFERROR($N209+VLOOKUP($L209,'Voyage days'!$F$540:$H$613,3,FALSE),"")</f>
        <v>45819.25</v>
      </c>
      <c r="AU209" s="120" t="str">
        <f t="shared" si="48"/>
        <v/>
      </c>
      <c r="AV209" s="121" t="str">
        <f>IFERROR($M209+VLOOKUP($L209,'Voyage days'!$L$483:$N$535,3,FALSE),"")</f>
        <v/>
      </c>
      <c r="AW209" s="121" t="str">
        <f>IFERROR($N209+VLOOKUP($L209,'Voyage days'!$L$483:$N$535,3,FALSE),"")</f>
        <v/>
      </c>
      <c r="AX209" s="120" t="str">
        <f t="shared" si="49"/>
        <v>15-17 Jun</v>
      </c>
      <c r="AY209" s="122">
        <f>IFERROR($M209+VLOOKUP($L209,'Voyage days'!$F$620:$H$646,3,FALSE),"")</f>
        <v>45823</v>
      </c>
      <c r="AZ209" s="122">
        <f>IFERROR($N209+VLOOKUP($L209,'Voyage days'!$F$620:$H$646,3,FALSE),"")</f>
        <v>45825</v>
      </c>
      <c r="BA209" s="120" t="str">
        <f t="shared" si="50"/>
        <v>09-18 Jul</v>
      </c>
      <c r="BB209" s="123">
        <f>IFERROR($M209+VLOOKUP($L209,'Voyage days'!$F$702:$H$727,3,FALSE),"")</f>
        <v>45817.25</v>
      </c>
      <c r="BC209" s="120" t="str">
        <f t="shared" si="51"/>
        <v>16-18 Jul</v>
      </c>
      <c r="BD209" s="122">
        <f>IFERROR($M209+VLOOKUP($L209,'Voyage days'!$F$807:$H$878,3,FALSE),"")</f>
        <v>45854</v>
      </c>
      <c r="BE209" s="122">
        <f>IFERROR($N209+VLOOKUP($L209,'Voyage days'!$F$807:$H$878,3,FALSE),"")</f>
        <v>45856</v>
      </c>
      <c r="BF209" s="609"/>
      <c r="BG209" s="609"/>
      <c r="BH209" s="609"/>
      <c r="BI209" s="609"/>
      <c r="BJ209" s="609"/>
      <c r="BK209" s="609"/>
      <c r="BL209" s="609"/>
      <c r="BM209" s="609"/>
    </row>
    <row r="210" ht="15.75" customHeight="1">
      <c r="A210" s="80" t="s">
        <v>479</v>
      </c>
      <c r="B210" s="101">
        <v>42472.0</v>
      </c>
      <c r="C210" s="1045">
        <v>84000.0</v>
      </c>
      <c r="D210" s="104" t="s">
        <v>1687</v>
      </c>
      <c r="E210" s="103"/>
      <c r="F210" s="604"/>
      <c r="G210" s="605">
        <v>46113.0</v>
      </c>
      <c r="H210" s="1130"/>
      <c r="I210" s="111" t="s">
        <v>1042</v>
      </c>
      <c r="J210" s="111" t="s">
        <v>1326</v>
      </c>
      <c r="K210" s="106" t="str">
        <f t="shared" si="52"/>
        <v>Update</v>
      </c>
      <c r="L210" s="108" t="s">
        <v>663</v>
      </c>
      <c r="M210" s="109">
        <v>45805.0</v>
      </c>
      <c r="N210" s="109">
        <v>45806.0</v>
      </c>
      <c r="O210" s="255"/>
      <c r="P210" s="526" t="s">
        <v>3120</v>
      </c>
      <c r="Q210" s="111"/>
      <c r="R210" s="108" t="s">
        <v>3122</v>
      </c>
      <c r="S210" s="112" t="s">
        <v>934</v>
      </c>
      <c r="T210" s="113">
        <v>45786.0</v>
      </c>
      <c r="U210" s="114" t="str">
        <f>IF(V210="","No AIS",VLOOKUP(V210,'Voyage days'!$A$3:$B$1480,2,FALSE))</f>
        <v>USG</v>
      </c>
      <c r="V210" s="115" t="str">
        <f>IF(VLOOKUP(A210,'1) Kpler'!$E$2:$P$1000,8, FALSE)="","",VLOOKUP(A210,'1) Kpler'!$E$2:$P$1000,8, FALSE))</f>
        <v>Houston</v>
      </c>
      <c r="W210" s="116">
        <f>IF(VLOOKUP(A210,'1) Kpler'!$E$2:$P$1000,9,FALSE)="","",VLOOKUP(A210,'1) Kpler'!$E$2:$P$1000,9,FALSE))</f>
        <v>46136.04167</v>
      </c>
      <c r="X210" s="115" t="str">
        <f>VLOOKUP(A210,'1) Kpler'!$E$2:$I$1000,4,FALSE)</f>
        <v>ballast</v>
      </c>
      <c r="Y210" s="160" t="str">
        <f t="shared" si="40"/>
        <v>14-15 Jun</v>
      </c>
      <c r="Z210" s="120" t="str">
        <f t="shared" si="41"/>
        <v>14-15 Jun</v>
      </c>
      <c r="AA210" s="121">
        <f>IFERROR($M210+VLOOKUP($L210,'Voyage days'!$F$38:$H$89,3,FALSE),"")</f>
        <v>45822</v>
      </c>
      <c r="AB210" s="121">
        <f>IFERROR(N210+VLOOKUP($L210,'Voyage days'!$F$38:$H$89,3,FALSE),"")</f>
        <v>45823</v>
      </c>
      <c r="AC210" s="120" t="str">
        <f t="shared" si="42"/>
        <v>30-01 Jul</v>
      </c>
      <c r="AD210" s="121">
        <f>IFERROR($M210+VLOOKUP($L210,'Voyage days'!$F$94:$H$193,3,FALSE),"")</f>
        <v>45838</v>
      </c>
      <c r="AE210" s="121">
        <f>IFERROR($N210+VLOOKUP($L210,'Voyage days'!$F$94:$H$193,3,FALSE),"")</f>
        <v>45839</v>
      </c>
      <c r="AF210" s="120" t="str">
        <f t="shared" si="43"/>
        <v>11-12 Jul</v>
      </c>
      <c r="AG210" s="121">
        <f>IFERROR($M210+VLOOKUP($L210,'Voyage days'!$F$203:$H$256,3,FALSE),"")</f>
        <v>45849</v>
      </c>
      <c r="AH210" s="121">
        <f>IFERROR($N210+VLOOKUP($L210,'Voyage days'!$F$203:$H$256,3,FALSE),"")</f>
        <v>45850</v>
      </c>
      <c r="AI210" s="120" t="str">
        <f t="shared" si="44"/>
        <v>25-26 Jun</v>
      </c>
      <c r="AJ210" s="121">
        <f>IFERROR($M210+VLOOKUP($L210,'Voyage days'!$F$294:$H$377,3,FALSE),"")</f>
        <v>45833</v>
      </c>
      <c r="AK210" s="121">
        <f>IFERROR($N210+VLOOKUP($L210,'Voyage days'!$F$294:$H$377,3,FALSE),"")</f>
        <v>45834</v>
      </c>
      <c r="AL210" s="120" t="str">
        <f t="shared" si="45"/>
        <v>02-03 Jul</v>
      </c>
      <c r="AM210" s="121">
        <f>IFERROR($M210+VLOOKUP($L210,'Voyage days'!$F$382:$H$446,3,FALSE),"")</f>
        <v>45840</v>
      </c>
      <c r="AN210" s="121">
        <f>IFERROR($N210+VLOOKUP($L210,'Voyage days'!$F$382:$H$446,3,FALSE),"")</f>
        <v>45841</v>
      </c>
      <c r="AO210" s="120" t="str">
        <f t="shared" si="46"/>
        <v>11-12 Jun</v>
      </c>
      <c r="AP210" s="121">
        <f>IFERROR($M210+VLOOKUP($L210,'Voyage days'!$F$483:$H$538,3,FALSE),"")</f>
        <v>45819</v>
      </c>
      <c r="AQ210" s="121">
        <f>IFERROR($N210+VLOOKUP($L210,'Voyage days'!$F$483:$H$538,3,FALSE),"")</f>
        <v>45820</v>
      </c>
      <c r="AR210" s="120" t="str">
        <f t="shared" si="47"/>
        <v>04-05 Jun</v>
      </c>
      <c r="AS210" s="121">
        <f>IFERROR($M210+VLOOKUP($L210,'Voyage days'!$F$540:$H$613,3,FALSE),"")</f>
        <v>45812.25</v>
      </c>
      <c r="AT210" s="121">
        <f>IFERROR($N210+VLOOKUP($L210,'Voyage days'!$F$540:$H$613,3,FALSE),"")</f>
        <v>45813.25</v>
      </c>
      <c r="AU210" s="120" t="str">
        <f t="shared" si="48"/>
        <v/>
      </c>
      <c r="AV210" s="121" t="str">
        <f>IFERROR($M210+VLOOKUP($L210,'Voyage days'!$L$483:$N$535,3,FALSE),"")</f>
        <v/>
      </c>
      <c r="AW210" s="121" t="str">
        <f>IFERROR($N210+VLOOKUP($L210,'Voyage days'!$L$483:$N$535,3,FALSE),"")</f>
        <v/>
      </c>
      <c r="AX210" s="120" t="str">
        <f t="shared" si="49"/>
        <v>10-11 Jun</v>
      </c>
      <c r="AY210" s="122">
        <f>IFERROR($M210+VLOOKUP($L210,'Voyage days'!$F$620:$H$646,3,FALSE),"")</f>
        <v>45818</v>
      </c>
      <c r="AZ210" s="122">
        <f>IFERROR($N210+VLOOKUP($L210,'Voyage days'!$F$620:$H$646,3,FALSE),"")</f>
        <v>45819</v>
      </c>
      <c r="BA210" s="120" t="str">
        <f t="shared" si="50"/>
        <v>04-12 Jul</v>
      </c>
      <c r="BB210" s="123">
        <f>IFERROR($M210+VLOOKUP($L210,'Voyage days'!$F$702:$H$727,3,FALSE),"")</f>
        <v>45812.25</v>
      </c>
      <c r="BC210" s="120" t="str">
        <f t="shared" si="51"/>
        <v>11-12 Jul</v>
      </c>
      <c r="BD210" s="122">
        <f>IFERROR($M210+VLOOKUP($L210,'Voyage days'!$F$807:$H$878,3,FALSE),"")</f>
        <v>45849</v>
      </c>
      <c r="BE210" s="122">
        <f>IFERROR($N210+VLOOKUP($L210,'Voyage days'!$F$807:$H$878,3,FALSE),"")</f>
        <v>45850</v>
      </c>
      <c r="BF210" s="609"/>
      <c r="BG210" s="609"/>
      <c r="BH210" s="609"/>
      <c r="BI210" s="609"/>
      <c r="BJ210" s="609"/>
      <c r="BK210" s="609"/>
      <c r="BL210" s="609"/>
      <c r="BM210" s="609"/>
    </row>
    <row r="211" ht="15.75" customHeight="1">
      <c r="A211" s="80" t="s">
        <v>482</v>
      </c>
      <c r="B211" s="101">
        <v>42439.0</v>
      </c>
      <c r="C211" s="1045">
        <v>84000.0</v>
      </c>
      <c r="D211" s="104"/>
      <c r="E211" s="103"/>
      <c r="F211" s="604">
        <v>44337.0</v>
      </c>
      <c r="G211" s="605">
        <v>46082.0</v>
      </c>
      <c r="H211" s="1130"/>
      <c r="I211" s="111" t="s">
        <v>1042</v>
      </c>
      <c r="J211" s="111" t="s">
        <v>1326</v>
      </c>
      <c r="K211" s="336" t="str">
        <f t="shared" si="52"/>
        <v>Update</v>
      </c>
      <c r="L211" s="108" t="s">
        <v>1031</v>
      </c>
      <c r="M211" s="1139">
        <v>45793.0</v>
      </c>
      <c r="N211" s="109">
        <v>45795.0</v>
      </c>
      <c r="O211" s="110"/>
      <c r="P211" s="526" t="s">
        <v>3120</v>
      </c>
      <c r="Q211" s="333"/>
      <c r="R211" s="185"/>
      <c r="S211" s="112" t="s">
        <v>2962</v>
      </c>
      <c r="T211" s="113">
        <v>45783.0</v>
      </c>
      <c r="U211" s="114" t="str">
        <f>IF(V211="","No AIS",VLOOKUP(V211,'Voyage days'!$A$3:$B$1480,2,FALSE))</f>
        <v>Port Louis</v>
      </c>
      <c r="V211" s="115" t="str">
        <f>IF(VLOOKUP(A211,'1) Kpler'!$E$2:$P$1000,8, FALSE)="","",VLOOKUP(A211,'1) Kpler'!$E$2:$P$1000,8, FALSE))</f>
        <v>Port Louis</v>
      </c>
      <c r="W211" s="116">
        <f>IF(VLOOKUP(A211,'1) Kpler'!$E$2:$P$1000,9,FALSE)="","",VLOOKUP(A211,'1) Kpler'!$E$2:$P$1000,9,FALSE))</f>
        <v>46144.79167</v>
      </c>
      <c r="X211" s="115" t="str">
        <f>VLOOKUP(A211,'1) Kpler'!$E$2:$I$1000,4,FALSE)</f>
        <v>loaded</v>
      </c>
      <c r="Y211" s="117" t="str">
        <f t="shared" si="40"/>
        <v>16-18 May</v>
      </c>
      <c r="Z211" s="120" t="str">
        <f t="shared" si="41"/>
        <v>16-18 May</v>
      </c>
      <c r="AA211" s="121">
        <f>IFERROR($M211+VLOOKUP($L211,'Voyage days'!$F$38:$H$89,3,FALSE),"")</f>
        <v>45793</v>
      </c>
      <c r="AB211" s="121">
        <f>IFERROR(N211+VLOOKUP($L211,'Voyage days'!$F$38:$H$89,3,FALSE),"")</f>
        <v>45795</v>
      </c>
      <c r="AC211" s="120" t="str">
        <f t="shared" si="42"/>
        <v/>
      </c>
      <c r="AD211" s="121" t="str">
        <f>IFERROR($M211+VLOOKUP($L211,'Voyage days'!$F$94:$H$193,3,FALSE),"")</f>
        <v/>
      </c>
      <c r="AE211" s="121" t="str">
        <f>IFERROR($N211+VLOOKUP($L211,'Voyage days'!$F$94:$H$193,3,FALSE),"")</f>
        <v/>
      </c>
      <c r="AF211" s="120" t="str">
        <f t="shared" si="43"/>
        <v/>
      </c>
      <c r="AG211" s="121" t="str">
        <f>IFERROR($M211+VLOOKUP($L211,'Voyage days'!$F$203:$H$256,3,FALSE),"")</f>
        <v/>
      </c>
      <c r="AH211" s="121" t="str">
        <f>IFERROR($N211+VLOOKUP($L211,'Voyage days'!$F$203:$H$256,3,FALSE),"")</f>
        <v/>
      </c>
      <c r="AI211" s="120" t="str">
        <f t="shared" si="44"/>
        <v/>
      </c>
      <c r="AJ211" s="121" t="str">
        <f>IFERROR($M211+VLOOKUP($L211,'Voyage days'!$F$294:$H$377,3,FALSE),"")</f>
        <v/>
      </c>
      <c r="AK211" s="121" t="str">
        <f>IFERROR($N211+VLOOKUP($L211,'Voyage days'!$F$294:$H$377,3,FALSE),"")</f>
        <v/>
      </c>
      <c r="AL211" s="120" t="str">
        <f t="shared" si="45"/>
        <v/>
      </c>
      <c r="AM211" s="121" t="str">
        <f>IFERROR($M211+VLOOKUP($L211,'Voyage days'!$F$382:$H$446,3,FALSE),"")</f>
        <v/>
      </c>
      <c r="AN211" s="121" t="str">
        <f>IFERROR($N211+VLOOKUP($L211,'Voyage days'!$F$382:$H$446,3,FALSE),"")</f>
        <v/>
      </c>
      <c r="AO211" s="120" t="str">
        <f t="shared" si="46"/>
        <v/>
      </c>
      <c r="AP211" s="121" t="str">
        <f>IFERROR($M211+VLOOKUP($L211,'Voyage days'!$F$483:$H$538,3,FALSE),"")</f>
        <v/>
      </c>
      <c r="AQ211" s="121" t="str">
        <f>IFERROR($N211+VLOOKUP($L211,'Voyage days'!$F$483:$H$538,3,FALSE),"")</f>
        <v/>
      </c>
      <c r="AR211" s="120" t="str">
        <f t="shared" si="47"/>
        <v>04-06 Jun</v>
      </c>
      <c r="AS211" s="121">
        <f>IFERROR($M211+VLOOKUP($L211,'Voyage days'!$F$540:$H$613,3,FALSE),"")</f>
        <v>45812</v>
      </c>
      <c r="AT211" s="121">
        <f>IFERROR($N211+VLOOKUP($L211,'Voyage days'!$F$540:$H$613,3,FALSE),"")</f>
        <v>45814</v>
      </c>
      <c r="AU211" s="120" t="str">
        <f t="shared" si="48"/>
        <v/>
      </c>
      <c r="AV211" s="121" t="str">
        <f>IFERROR($M211+VLOOKUP($L211,'Voyage days'!$L$483:$N$535,3,FALSE),"")</f>
        <v/>
      </c>
      <c r="AW211" s="121" t="str">
        <f>IFERROR($N211+VLOOKUP($L211,'Voyage days'!$L$483:$N$535,3,FALSE),"")</f>
        <v/>
      </c>
      <c r="AX211" s="120" t="str">
        <f t="shared" si="49"/>
        <v/>
      </c>
      <c r="AY211" s="122" t="str">
        <f>IFERROR($M211+VLOOKUP($L211,'Voyage days'!$F$620:$H$646,3,FALSE),"")</f>
        <v/>
      </c>
      <c r="AZ211" s="122" t="str">
        <f>IFERROR($N211+VLOOKUP($L211,'Voyage days'!$F$620:$H$646,3,FALSE),"")</f>
        <v/>
      </c>
      <c r="BA211" s="120" t="str">
        <f t="shared" si="50"/>
        <v/>
      </c>
      <c r="BB211" s="123" t="str">
        <f>IFERROR($M211+VLOOKUP($L211,'Voyage days'!$F$702:$H$727,3,FALSE),"")</f>
        <v/>
      </c>
      <c r="BC211" s="120" t="str">
        <f t="shared" si="51"/>
        <v>16-18 May</v>
      </c>
      <c r="BD211" s="122">
        <f>IFERROR($M211+VLOOKUP($L211,'Voyage days'!$F$807:$H$878,3,FALSE),"")</f>
        <v>45793</v>
      </c>
      <c r="BE211" s="122">
        <f>IFERROR($N211+VLOOKUP($L211,'Voyage days'!$F$807:$H$878,3,FALSE),"")</f>
        <v>45795</v>
      </c>
      <c r="BF211" s="609"/>
      <c r="BG211" s="609"/>
      <c r="BH211" s="609"/>
      <c r="BI211" s="609"/>
      <c r="BJ211" s="609"/>
      <c r="BK211" s="609"/>
      <c r="BL211" s="609"/>
      <c r="BM211" s="609"/>
    </row>
    <row r="212" ht="15.75" customHeight="1">
      <c r="A212" s="100" t="s">
        <v>483</v>
      </c>
      <c r="B212" s="101">
        <v>42571.0</v>
      </c>
      <c r="C212" s="1045">
        <v>84000.0</v>
      </c>
      <c r="D212" s="104"/>
      <c r="E212" s="103"/>
      <c r="F212" s="604"/>
      <c r="G212" s="605">
        <v>46235.0</v>
      </c>
      <c r="H212" s="103"/>
      <c r="I212" s="111" t="s">
        <v>1042</v>
      </c>
      <c r="J212" s="111" t="s">
        <v>1326</v>
      </c>
      <c r="K212" s="336" t="str">
        <f t="shared" si="52"/>
        <v>Update</v>
      </c>
      <c r="L212" s="108" t="s">
        <v>663</v>
      </c>
      <c r="M212" s="109">
        <v>45807.0</v>
      </c>
      <c r="N212" s="109">
        <v>45748.0</v>
      </c>
      <c r="O212" s="334"/>
      <c r="P212" s="526" t="s">
        <v>3120</v>
      </c>
      <c r="Q212" s="185"/>
      <c r="R212" s="108"/>
      <c r="S212" s="112" t="s">
        <v>934</v>
      </c>
      <c r="T212" s="113">
        <v>45775.0</v>
      </c>
      <c r="U212" s="114" t="str">
        <f>IF(V212="","No AIS",VLOOKUP(V212,'Voyage days'!$A$3:$B$1480,2,FALSE))</f>
        <v>India?/SG-JP?</v>
      </c>
      <c r="V212" s="115" t="str">
        <f>IF(VLOOKUP(A212,'1) Kpler'!$E$2:$P$1000,8, FALSE)="","",VLOOKUP(A212,'1) Kpler'!$E$2:$P$1000,8, FALSE))</f>
        <v>Eastern Asia</v>
      </c>
      <c r="W212" s="116">
        <f>IF(VLOOKUP(A212,'1) Kpler'!$E$2:$P$1000,9,FALSE)="","",VLOOKUP(A212,'1) Kpler'!$E$2:$P$1000,9,FALSE))</f>
        <v>46168.56944</v>
      </c>
      <c r="X212" s="115" t="str">
        <f>VLOOKUP(A212,'1) Kpler'!$E$2:$I$1000,4,FALSE)</f>
        <v>loaded</v>
      </c>
      <c r="Y212" s="160" t="str">
        <f t="shared" si="40"/>
        <v>16-18 Apr</v>
      </c>
      <c r="Z212" s="120" t="str">
        <f t="shared" si="41"/>
        <v>16-18 Apr</v>
      </c>
      <c r="AA212" s="121">
        <f>IFERROR($M212+VLOOKUP($L212,'Voyage days'!$F$38:$H$89,3,FALSE),"")</f>
        <v>45824</v>
      </c>
      <c r="AB212" s="121">
        <f>IFERROR(N212+VLOOKUP($L212,'Voyage days'!$F$38:$H$89,3,FALSE),"")</f>
        <v>45765</v>
      </c>
      <c r="AC212" s="120" t="str">
        <f t="shared" si="42"/>
        <v>02-04 May</v>
      </c>
      <c r="AD212" s="121">
        <f>IFERROR($M212+VLOOKUP($L212,'Voyage days'!$F$94:$H$193,3,FALSE),"")</f>
        <v>45840</v>
      </c>
      <c r="AE212" s="121">
        <f>IFERROR($N212+VLOOKUP($L212,'Voyage days'!$F$94:$H$193,3,FALSE),"")</f>
        <v>45781</v>
      </c>
      <c r="AF212" s="120" t="str">
        <f t="shared" si="43"/>
        <v>13-15 May</v>
      </c>
      <c r="AG212" s="121">
        <f>IFERROR($M212+VLOOKUP($L212,'Voyage days'!$F$203:$H$256,3,FALSE),"")</f>
        <v>45851</v>
      </c>
      <c r="AH212" s="121">
        <f>IFERROR($N212+VLOOKUP($L212,'Voyage days'!$F$203:$H$256,3,FALSE),"")</f>
        <v>45792</v>
      </c>
      <c r="AI212" s="120" t="str">
        <f t="shared" si="44"/>
        <v>27-29 Apr</v>
      </c>
      <c r="AJ212" s="121">
        <f>IFERROR($M212+VLOOKUP($L212,'Voyage days'!$F$294:$H$377,3,FALSE),"")</f>
        <v>45835</v>
      </c>
      <c r="AK212" s="121">
        <f>IFERROR($N212+VLOOKUP($L212,'Voyage days'!$F$294:$H$377,3,FALSE),"")</f>
        <v>45776</v>
      </c>
      <c r="AL212" s="120" t="str">
        <f t="shared" si="45"/>
        <v>04-06 May</v>
      </c>
      <c r="AM212" s="121">
        <f>IFERROR($M212+VLOOKUP($L212,'Voyage days'!$F$382:$H$446,3,FALSE),"")</f>
        <v>45842</v>
      </c>
      <c r="AN212" s="121">
        <f>IFERROR($N212+VLOOKUP($L212,'Voyage days'!$F$382:$H$446,3,FALSE),"")</f>
        <v>45783</v>
      </c>
      <c r="AO212" s="120" t="str">
        <f t="shared" si="46"/>
        <v>13-15 Apr</v>
      </c>
      <c r="AP212" s="121">
        <f>IFERROR($M212+VLOOKUP($L212,'Voyage days'!$F$483:$H$538,3,FALSE),"")</f>
        <v>45821</v>
      </c>
      <c r="AQ212" s="121">
        <f>IFERROR($N212+VLOOKUP($L212,'Voyage days'!$F$483:$H$538,3,FALSE),"")</f>
        <v>45762</v>
      </c>
      <c r="AR212" s="120" t="str">
        <f t="shared" si="47"/>
        <v>06-08 Apr</v>
      </c>
      <c r="AS212" s="121">
        <f>IFERROR($M212+VLOOKUP($L212,'Voyage days'!$F$540:$H$613,3,FALSE),"")</f>
        <v>45814.25</v>
      </c>
      <c r="AT212" s="121">
        <f>IFERROR($N212+VLOOKUP($L212,'Voyage days'!$F$540:$H$613,3,FALSE),"")</f>
        <v>45755.25</v>
      </c>
      <c r="AU212" s="120" t="str">
        <f t="shared" si="48"/>
        <v/>
      </c>
      <c r="AV212" s="121" t="str">
        <f>IFERROR($M212+VLOOKUP($L212,'Voyage days'!$L$483:$N$535,3,FALSE),"")</f>
        <v/>
      </c>
      <c r="AW212" s="121" t="str">
        <f>IFERROR($N212+VLOOKUP($L212,'Voyage days'!$L$483:$N$535,3,FALSE),"")</f>
        <v/>
      </c>
      <c r="AX212" s="120" t="str">
        <f t="shared" si="49"/>
        <v>12-14 Apr</v>
      </c>
      <c r="AY212" s="122">
        <f>IFERROR($M212+VLOOKUP($L212,'Voyage days'!$F$620:$H$646,3,FALSE),"")</f>
        <v>45820</v>
      </c>
      <c r="AZ212" s="122">
        <f>IFERROR($N212+VLOOKUP($L212,'Voyage days'!$F$620:$H$646,3,FALSE),"")</f>
        <v>45761</v>
      </c>
      <c r="BA212" s="120" t="str">
        <f t="shared" si="50"/>
        <v>06-15 May</v>
      </c>
      <c r="BB212" s="123">
        <f>IFERROR($M212+VLOOKUP($L212,'Voyage days'!$F$702:$H$727,3,FALSE),"")</f>
        <v>45814.25</v>
      </c>
      <c r="BC212" s="120" t="str">
        <f t="shared" si="51"/>
        <v>13-15 May</v>
      </c>
      <c r="BD212" s="122">
        <f>IFERROR($M212+VLOOKUP($L212,'Voyage days'!$F$807:$H$878,3,FALSE),"")</f>
        <v>45851</v>
      </c>
      <c r="BE212" s="122">
        <f>IFERROR($N212+VLOOKUP($L212,'Voyage days'!$F$807:$H$878,3,FALSE),"")</f>
        <v>45792</v>
      </c>
      <c r="BF212" s="609"/>
      <c r="BG212" s="609"/>
      <c r="BH212" s="609"/>
      <c r="BI212" s="609"/>
      <c r="BJ212" s="609"/>
      <c r="BK212" s="609"/>
      <c r="BL212" s="609"/>
      <c r="BM212" s="609"/>
    </row>
    <row r="213" ht="15.0" customHeight="1">
      <c r="A213" s="80" t="s">
        <v>433</v>
      </c>
      <c r="B213" s="148">
        <v>2024.0</v>
      </c>
      <c r="C213" s="102">
        <v>93000.0</v>
      </c>
      <c r="D213" s="104"/>
      <c r="E213" s="103" t="s">
        <v>666</v>
      </c>
      <c r="F213" s="604"/>
      <c r="G213" s="605"/>
      <c r="H213" s="103"/>
      <c r="I213" s="111" t="s">
        <v>1042</v>
      </c>
      <c r="J213" s="111" t="s">
        <v>3123</v>
      </c>
      <c r="K213" s="336" t="str">
        <f t="shared" si="52"/>
        <v>Update</v>
      </c>
      <c r="L213" s="199" t="s">
        <v>680</v>
      </c>
      <c r="M213" s="109">
        <v>45801.0</v>
      </c>
      <c r="N213" s="109">
        <v>45803.0</v>
      </c>
      <c r="O213" s="110"/>
      <c r="P213" s="333"/>
      <c r="Q213" s="686"/>
      <c r="R213" s="108" t="s">
        <v>3124</v>
      </c>
      <c r="S213" s="112" t="s">
        <v>2962</v>
      </c>
      <c r="T213" s="113">
        <v>45783.0</v>
      </c>
      <c r="U213" s="114" t="str">
        <f>IF(V213="","No AIS",VLOOKUP(V213,'Voyage days'!$A$3:$B$1480,2,FALSE))</f>
        <v>USG</v>
      </c>
      <c r="V213" s="115" t="str">
        <f>IF(VLOOKUP(A213,'1) Kpler'!$E$2:$P$1000,8, FALSE)="","",VLOOKUP(A213,'1) Kpler'!$E$2:$P$1000,8, FALSE))</f>
        <v>Houston</v>
      </c>
      <c r="W213" s="116">
        <f>IF(VLOOKUP(A213,'1) Kpler'!$E$2:$P$1000,9,FALSE)="","",VLOOKUP(A213,'1) Kpler'!$E$2:$P$1000,9,FALSE))</f>
        <v>46163.625</v>
      </c>
      <c r="X213" s="115" t="str">
        <f>VLOOKUP(A213,'1) Kpler'!$E$2:$I$1000,4,FALSE)</f>
        <v>ballast</v>
      </c>
      <c r="Y213" s="117" t="str">
        <f t="shared" si="40"/>
        <v/>
      </c>
      <c r="Z213" s="120" t="str">
        <f t="shared" si="41"/>
        <v/>
      </c>
      <c r="AA213" s="121" t="str">
        <f>IFERROR($M213+VLOOKUP($L213,'Voyage days'!$F$38:$H$89,3,FALSE),"")</f>
        <v/>
      </c>
      <c r="AB213" s="121" t="str">
        <f>IFERROR(N213+VLOOKUP($L213,'Voyage days'!$F$38:$H$89,3,FALSE),"")</f>
        <v/>
      </c>
      <c r="AC213" s="120" t="str">
        <f t="shared" si="42"/>
        <v>24-26 May</v>
      </c>
      <c r="AD213" s="121">
        <f>IFERROR($M213+VLOOKUP($L213,'Voyage days'!$F$94:$H$193,3,FALSE),"")</f>
        <v>45801</v>
      </c>
      <c r="AE213" s="121">
        <f>IFERROR($N213+VLOOKUP($L213,'Voyage days'!$F$94:$H$193,3,FALSE),"")</f>
        <v>45803</v>
      </c>
      <c r="AF213" s="120" t="str">
        <f t="shared" si="43"/>
        <v>24-26 May</v>
      </c>
      <c r="AG213" s="121">
        <f>IFERROR($M213+VLOOKUP($L213,'Voyage days'!$F$203:$H$256,3,FALSE),"")</f>
        <v>45801</v>
      </c>
      <c r="AH213" s="121">
        <f>IFERROR($N213+VLOOKUP($L213,'Voyage days'!$F$203:$H$256,3,FALSE),"")</f>
        <v>45803</v>
      </c>
      <c r="AI213" s="120" t="str">
        <f t="shared" si="44"/>
        <v/>
      </c>
      <c r="AJ213" s="121" t="str">
        <f>IFERROR($M213+VLOOKUP($L213,'Voyage days'!$F$294:$H$377,3,FALSE),"")</f>
        <v/>
      </c>
      <c r="AK213" s="121" t="str">
        <f>IFERROR($N213+VLOOKUP($L213,'Voyage days'!$F$294:$H$377,3,FALSE),"")</f>
        <v/>
      </c>
      <c r="AL213" s="120" t="str">
        <f t="shared" si="45"/>
        <v>13-15 Jun</v>
      </c>
      <c r="AM213" s="121">
        <f>IFERROR($M213+VLOOKUP($L213,'Voyage days'!$F$382:$H$446,3,FALSE),"")</f>
        <v>45821</v>
      </c>
      <c r="AN213" s="121">
        <f>IFERROR($N213+VLOOKUP($L213,'Voyage days'!$F$382:$H$446,3,FALSE),"")</f>
        <v>45823</v>
      </c>
      <c r="AO213" s="120" t="str">
        <f t="shared" si="46"/>
        <v/>
      </c>
      <c r="AP213" s="121" t="str">
        <f>IFERROR($M213+VLOOKUP($L213,'Voyage days'!$F$483:$H$538,3,FALSE),"")</f>
        <v/>
      </c>
      <c r="AQ213" s="121" t="str">
        <f>IFERROR($N213+VLOOKUP($L213,'Voyage days'!$F$483:$H$538,3,FALSE),"")</f>
        <v/>
      </c>
      <c r="AR213" s="120" t="str">
        <f t="shared" si="47"/>
        <v/>
      </c>
      <c r="AS213" s="121" t="str">
        <f>IFERROR($M213+VLOOKUP($L213,'Voyage days'!$F$540:$H$613,3,FALSE),"")</f>
        <v/>
      </c>
      <c r="AT213" s="121" t="str">
        <f>IFERROR($N213+VLOOKUP($L213,'Voyage days'!$F$540:$H$613,3,FALSE),"")</f>
        <v/>
      </c>
      <c r="AU213" s="120" t="str">
        <f t="shared" si="48"/>
        <v/>
      </c>
      <c r="AV213" s="121" t="str">
        <f>IFERROR($M213+VLOOKUP($L213,'Voyage days'!$L$483:$N$535,3,FALSE),"")</f>
        <v/>
      </c>
      <c r="AW213" s="121" t="str">
        <f>IFERROR($N213+VLOOKUP($L213,'Voyage days'!$L$483:$N$535,3,FALSE),"")</f>
        <v/>
      </c>
      <c r="AX213" s="120" t="str">
        <f t="shared" si="49"/>
        <v/>
      </c>
      <c r="AY213" s="122" t="str">
        <f>IFERROR($M213+VLOOKUP($L213,'Voyage days'!$F$620:$H$646,3,FALSE),"")</f>
        <v/>
      </c>
      <c r="AZ213" s="122" t="str">
        <f>IFERROR($N213+VLOOKUP($L213,'Voyage days'!$F$620:$H$646,3,FALSE),"")</f>
        <v/>
      </c>
      <c r="BA213" s="120" t="str">
        <f t="shared" si="50"/>
        <v/>
      </c>
      <c r="BB213" s="123" t="str">
        <f>IFERROR($M213+VLOOKUP($L213,'Voyage days'!$F$702:$H$727,3,FALSE),"")</f>
        <v/>
      </c>
      <c r="BC213" s="120" t="str">
        <f t="shared" si="51"/>
        <v/>
      </c>
      <c r="BD213" s="122" t="str">
        <f>IFERROR($M213+VLOOKUP($L213,'Voyage days'!$F$807:$H$878,3,FALSE),"")</f>
        <v/>
      </c>
      <c r="BE213" s="122" t="str">
        <f>IFERROR($N213+VLOOKUP($L213,'Voyage days'!$F$807:$H$878,3,FALSE),"")</f>
        <v/>
      </c>
      <c r="BF213" s="609"/>
      <c r="BG213" s="609"/>
      <c r="BH213" s="609"/>
      <c r="BI213" s="609"/>
      <c r="BJ213" s="609"/>
      <c r="BK213" s="609"/>
      <c r="BL213" s="609"/>
      <c r="BM213" s="609"/>
    </row>
    <row r="214" ht="15.0" customHeight="1">
      <c r="A214" s="100" t="s">
        <v>436</v>
      </c>
      <c r="B214" s="148">
        <v>2023.0</v>
      </c>
      <c r="C214" s="1045">
        <v>93000.0</v>
      </c>
      <c r="D214" s="104"/>
      <c r="E214" s="103" t="s">
        <v>666</v>
      </c>
      <c r="F214" s="604"/>
      <c r="G214" s="605"/>
      <c r="H214" s="103"/>
      <c r="I214" s="111" t="s">
        <v>1042</v>
      </c>
      <c r="J214" s="111" t="s">
        <v>1326</v>
      </c>
      <c r="K214" s="336" t="str">
        <f t="shared" si="52"/>
        <v>Update</v>
      </c>
      <c r="L214" s="108" t="s">
        <v>680</v>
      </c>
      <c r="M214" s="109">
        <v>45792.0</v>
      </c>
      <c r="N214" s="109">
        <v>45793.0</v>
      </c>
      <c r="O214" s="255"/>
      <c r="P214" s="187" t="s">
        <v>3125</v>
      </c>
      <c r="Q214" s="185"/>
      <c r="R214" s="108" t="s">
        <v>3126</v>
      </c>
      <c r="S214" s="112" t="s">
        <v>934</v>
      </c>
      <c r="T214" s="113">
        <v>45786.0</v>
      </c>
      <c r="U214" s="114" t="str">
        <f>IF(V214="","No AIS",VLOOKUP(V214,'Voyage days'!$A$3:$B$1480,2,FALSE))</f>
        <v>USG</v>
      </c>
      <c r="V214" s="115" t="str">
        <f>IF(VLOOKUP(A214,'1) Kpler'!$E$2:$P$1000,8, FALSE)="","",VLOOKUP(A214,'1) Kpler'!$E$2:$P$1000,8, FALSE))</f>
        <v>Houston</v>
      </c>
      <c r="W214" s="116">
        <f>IF(VLOOKUP(A214,'1) Kpler'!$E$2:$P$1000,9,FALSE)="","",VLOOKUP(A214,'1) Kpler'!$E$2:$P$1000,9,FALSE))</f>
        <v>46135.75</v>
      </c>
      <c r="X214" s="115" t="str">
        <f>VLOOKUP(A214,'1) Kpler'!$E$2:$I$1000,4,FALSE)</f>
        <v>ballast</v>
      </c>
      <c r="Y214" s="117" t="str">
        <f t="shared" si="40"/>
        <v/>
      </c>
      <c r="Z214" s="120" t="str">
        <f t="shared" si="41"/>
        <v/>
      </c>
      <c r="AA214" s="121" t="str">
        <f>IFERROR($M214+VLOOKUP($L214,'Voyage days'!$F$38:$H$89,3,FALSE),"")</f>
        <v/>
      </c>
      <c r="AB214" s="121" t="str">
        <f>IFERROR(N214+VLOOKUP($L214,'Voyage days'!$F$38:$H$89,3,FALSE),"")</f>
        <v/>
      </c>
      <c r="AC214" s="120" t="str">
        <f t="shared" si="42"/>
        <v>15-16 May</v>
      </c>
      <c r="AD214" s="121">
        <f>IFERROR($M214+VLOOKUP($L214,'Voyage days'!$F$94:$H$193,3,FALSE),"")</f>
        <v>45792</v>
      </c>
      <c r="AE214" s="121">
        <f>IFERROR($N214+VLOOKUP($L214,'Voyage days'!$F$94:$H$193,3,FALSE),"")</f>
        <v>45793</v>
      </c>
      <c r="AF214" s="120" t="str">
        <f t="shared" si="43"/>
        <v>15-16 May</v>
      </c>
      <c r="AG214" s="121">
        <f>IFERROR($M214+VLOOKUP($L214,'Voyage days'!$F$203:$H$256,3,FALSE),"")</f>
        <v>45792</v>
      </c>
      <c r="AH214" s="121">
        <f>IFERROR($N214+VLOOKUP($L214,'Voyage days'!$F$203:$H$256,3,FALSE),"")</f>
        <v>45793</v>
      </c>
      <c r="AI214" s="120" t="str">
        <f t="shared" si="44"/>
        <v/>
      </c>
      <c r="AJ214" s="121" t="str">
        <f>IFERROR($M214+VLOOKUP($L214,'Voyage days'!$F$294:$H$377,3,FALSE),"")</f>
        <v/>
      </c>
      <c r="AK214" s="121" t="str">
        <f>IFERROR($N214+VLOOKUP($L214,'Voyage days'!$F$294:$H$377,3,FALSE),"")</f>
        <v/>
      </c>
      <c r="AL214" s="120" t="str">
        <f t="shared" si="45"/>
        <v>04-05 Jun</v>
      </c>
      <c r="AM214" s="121">
        <f>IFERROR($M214+VLOOKUP($L214,'Voyage days'!$F$382:$H$446,3,FALSE),"")</f>
        <v>45812</v>
      </c>
      <c r="AN214" s="121">
        <f>IFERROR($N214+VLOOKUP($L214,'Voyage days'!$F$382:$H$446,3,FALSE),"")</f>
        <v>45813</v>
      </c>
      <c r="AO214" s="120" t="str">
        <f t="shared" si="46"/>
        <v/>
      </c>
      <c r="AP214" s="121" t="str">
        <f>IFERROR($M214+VLOOKUP($L214,'Voyage days'!$F$483:$H$538,3,FALSE),"")</f>
        <v/>
      </c>
      <c r="AQ214" s="121" t="str">
        <f>IFERROR($N214+VLOOKUP($L214,'Voyage days'!$F$483:$H$538,3,FALSE),"")</f>
        <v/>
      </c>
      <c r="AR214" s="120" t="str">
        <f t="shared" si="47"/>
        <v/>
      </c>
      <c r="AS214" s="121" t="str">
        <f>IFERROR($M214+VLOOKUP($L214,'Voyage days'!$F$540:$H$613,3,FALSE),"")</f>
        <v/>
      </c>
      <c r="AT214" s="121" t="str">
        <f>IFERROR($N214+VLOOKUP($L214,'Voyage days'!$F$540:$H$613,3,FALSE),"")</f>
        <v/>
      </c>
      <c r="AU214" s="120" t="str">
        <f t="shared" si="48"/>
        <v/>
      </c>
      <c r="AV214" s="121" t="str">
        <f>IFERROR($M214+VLOOKUP($L214,'Voyage days'!$L$483:$N$535,3,FALSE),"")</f>
        <v/>
      </c>
      <c r="AW214" s="121" t="str">
        <f>IFERROR($N214+VLOOKUP($L214,'Voyage days'!$L$483:$N$535,3,FALSE),"")</f>
        <v/>
      </c>
      <c r="AX214" s="120" t="str">
        <f t="shared" si="49"/>
        <v/>
      </c>
      <c r="AY214" s="122" t="str">
        <f>IFERROR($M214+VLOOKUP($L214,'Voyage days'!$F$620:$H$646,3,FALSE),"")</f>
        <v/>
      </c>
      <c r="AZ214" s="122" t="str">
        <f>IFERROR($N214+VLOOKUP($L214,'Voyage days'!$F$620:$H$646,3,FALSE),"")</f>
        <v/>
      </c>
      <c r="BA214" s="120" t="str">
        <f t="shared" si="50"/>
        <v/>
      </c>
      <c r="BB214" s="123" t="str">
        <f>IFERROR($M214+VLOOKUP($L214,'Voyage days'!$F$702:$H$727,3,FALSE),"")</f>
        <v/>
      </c>
      <c r="BC214" s="120" t="str">
        <f t="shared" si="51"/>
        <v/>
      </c>
      <c r="BD214" s="122" t="str">
        <f>IFERROR($M214+VLOOKUP($L214,'Voyage days'!$F$807:$H$878,3,FALSE),"")</f>
        <v/>
      </c>
      <c r="BE214" s="122" t="str">
        <f>IFERROR($N214+VLOOKUP($L214,'Voyage days'!$F$807:$H$878,3,FALSE),"")</f>
        <v/>
      </c>
      <c r="BF214" s="609"/>
      <c r="BG214" s="609"/>
      <c r="BH214" s="609"/>
      <c r="BI214" s="609"/>
      <c r="BJ214" s="609"/>
      <c r="BK214" s="609"/>
      <c r="BL214" s="609"/>
      <c r="BM214" s="609"/>
    </row>
    <row r="215" ht="15.75" customHeight="1">
      <c r="A215" s="80" t="s">
        <v>526</v>
      </c>
      <c r="B215" s="101">
        <v>42517.0</v>
      </c>
      <c r="C215" s="1045">
        <v>84000.0</v>
      </c>
      <c r="D215" s="104"/>
      <c r="E215" s="103"/>
      <c r="F215" s="604"/>
      <c r="G215" s="605">
        <v>46235.0</v>
      </c>
      <c r="H215" s="103"/>
      <c r="I215" s="111" t="s">
        <v>1042</v>
      </c>
      <c r="J215" s="111" t="s">
        <v>1080</v>
      </c>
      <c r="K215" s="336" t="str">
        <f t="shared" si="52"/>
        <v>Update</v>
      </c>
      <c r="L215" s="108" t="s">
        <v>680</v>
      </c>
      <c r="M215" s="109">
        <v>45796.0</v>
      </c>
      <c r="N215" s="109">
        <v>45799.0</v>
      </c>
      <c r="O215" s="110"/>
      <c r="P215" s="111"/>
      <c r="Q215" s="185"/>
      <c r="R215" s="108" t="s">
        <v>3127</v>
      </c>
      <c r="S215" s="112" t="s">
        <v>934</v>
      </c>
      <c r="T215" s="113">
        <v>45781.0</v>
      </c>
      <c r="U215" s="114" t="str">
        <f>IF(V215="","No AIS",VLOOKUP(V215,'Voyage days'!$A$3:$B$1480,2,FALSE))</f>
        <v>Panama</v>
      </c>
      <c r="V215" s="115" t="str">
        <f>IF(VLOOKUP(A215,'1) Kpler'!$E$2:$P$1000,8, FALSE)="","",VLOOKUP(A215,'1) Kpler'!$E$2:$P$1000,8, FALSE))</f>
        <v>Panama Canal</v>
      </c>
      <c r="W215" s="116">
        <f>IF(VLOOKUP(A215,'1) Kpler'!$E$2:$P$1000,9,FALSE)="","",VLOOKUP(A215,'1) Kpler'!$E$2:$P$1000,9,FALSE))</f>
        <v>46137.54167</v>
      </c>
      <c r="X215" s="115" t="str">
        <f>VLOOKUP(A215,'1) Kpler'!$E$2:$I$1000,4,FALSE)</f>
        <v>ballast</v>
      </c>
      <c r="Y215" s="160" t="str">
        <f t="shared" si="40"/>
        <v/>
      </c>
      <c r="Z215" s="120" t="str">
        <f t="shared" si="41"/>
        <v/>
      </c>
      <c r="AA215" s="121" t="str">
        <f>IFERROR($M215+VLOOKUP($L215,'Voyage days'!$F$38:$H$89,3,FALSE),"")</f>
        <v/>
      </c>
      <c r="AB215" s="121" t="str">
        <f>IFERROR(N215+VLOOKUP($L215,'Voyage days'!$F$38:$H$89,3,FALSE),"")</f>
        <v/>
      </c>
      <c r="AC215" s="120" t="str">
        <f t="shared" si="42"/>
        <v>19-22 May</v>
      </c>
      <c r="AD215" s="121">
        <f>IFERROR($M215+VLOOKUP($L215,'Voyage days'!$F$94:$H$193,3,FALSE),"")</f>
        <v>45796</v>
      </c>
      <c r="AE215" s="121">
        <f>IFERROR($N215+VLOOKUP($L215,'Voyage days'!$F$94:$H$193,3,FALSE),"")</f>
        <v>45799</v>
      </c>
      <c r="AF215" s="120" t="str">
        <f t="shared" si="43"/>
        <v>19-22 May</v>
      </c>
      <c r="AG215" s="121">
        <f>IFERROR($M215+VLOOKUP($L215,'Voyage days'!$F$203:$H$256,3,FALSE),"")</f>
        <v>45796</v>
      </c>
      <c r="AH215" s="121">
        <f>IFERROR($N215+VLOOKUP($L215,'Voyage days'!$F$203:$H$256,3,FALSE),"")</f>
        <v>45799</v>
      </c>
      <c r="AI215" s="120" t="str">
        <f t="shared" si="44"/>
        <v/>
      </c>
      <c r="AJ215" s="121" t="str">
        <f>IFERROR($M215+VLOOKUP($L215,'Voyage days'!$F$294:$H$377,3,FALSE),"")</f>
        <v/>
      </c>
      <c r="AK215" s="121" t="str">
        <f>IFERROR($N215+VLOOKUP($L215,'Voyage days'!$F$294:$H$377,3,FALSE),"")</f>
        <v/>
      </c>
      <c r="AL215" s="120" t="str">
        <f t="shared" si="45"/>
        <v>08-11 Jun</v>
      </c>
      <c r="AM215" s="121">
        <f>IFERROR($M215+VLOOKUP($L215,'Voyage days'!$F$382:$H$446,3,FALSE),"")</f>
        <v>45816</v>
      </c>
      <c r="AN215" s="121">
        <f>IFERROR($N215+VLOOKUP($L215,'Voyage days'!$F$382:$H$446,3,FALSE),"")</f>
        <v>45819</v>
      </c>
      <c r="AO215" s="120" t="str">
        <f t="shared" si="46"/>
        <v/>
      </c>
      <c r="AP215" s="121" t="str">
        <f>IFERROR($M215+VLOOKUP($L215,'Voyage days'!$F$483:$H$538,3,FALSE),"")</f>
        <v/>
      </c>
      <c r="AQ215" s="121" t="str">
        <f>IFERROR($N215+VLOOKUP($L215,'Voyage days'!$F$483:$H$538,3,FALSE),"")</f>
        <v/>
      </c>
      <c r="AR215" s="120" t="str">
        <f t="shared" si="47"/>
        <v/>
      </c>
      <c r="AS215" s="121" t="str">
        <f>IFERROR($M215+VLOOKUP($L215,'Voyage days'!$F$540:$H$613,3,FALSE),"")</f>
        <v/>
      </c>
      <c r="AT215" s="121" t="str">
        <f>IFERROR($N215+VLOOKUP($L215,'Voyage days'!$F$540:$H$613,3,FALSE),"")</f>
        <v/>
      </c>
      <c r="AU215" s="120" t="str">
        <f t="shared" si="48"/>
        <v/>
      </c>
      <c r="AV215" s="121" t="str">
        <f>IFERROR($M215+VLOOKUP($L215,'Voyage days'!$L$483:$N$535,3,FALSE),"")</f>
        <v/>
      </c>
      <c r="AW215" s="121" t="str">
        <f>IFERROR($N215+VLOOKUP($L215,'Voyage days'!$L$483:$N$535,3,FALSE),"")</f>
        <v/>
      </c>
      <c r="AX215" s="120" t="str">
        <f t="shared" si="49"/>
        <v/>
      </c>
      <c r="AY215" s="122" t="str">
        <f>IFERROR($M215+VLOOKUP($L215,'Voyage days'!$F$620:$H$646,3,FALSE),"")</f>
        <v/>
      </c>
      <c r="AZ215" s="122" t="str">
        <f>IFERROR($N215+VLOOKUP($L215,'Voyage days'!$F$620:$H$646,3,FALSE),"")</f>
        <v/>
      </c>
      <c r="BA215" s="120" t="str">
        <f t="shared" si="50"/>
        <v/>
      </c>
      <c r="BB215" s="123" t="str">
        <f>IFERROR($M215+VLOOKUP($L215,'Voyage days'!$F$702:$H$727,3,FALSE),"")</f>
        <v/>
      </c>
      <c r="BC215" s="120" t="str">
        <f t="shared" si="51"/>
        <v/>
      </c>
      <c r="BD215" s="122" t="str">
        <f>IFERROR($M215+VLOOKUP($L215,'Voyage days'!$F$807:$H$878,3,FALSE),"")</f>
        <v/>
      </c>
      <c r="BE215" s="122" t="str">
        <f>IFERROR($N215+VLOOKUP($L215,'Voyage days'!$F$807:$H$878,3,FALSE),"")</f>
        <v/>
      </c>
      <c r="BF215" s="609"/>
      <c r="BG215" s="609"/>
      <c r="BH215" s="609"/>
      <c r="BI215" s="609"/>
      <c r="BJ215" s="609"/>
      <c r="BK215" s="609"/>
      <c r="BL215" s="609"/>
      <c r="BM215" s="609"/>
    </row>
    <row r="216" ht="15.0" customHeight="1">
      <c r="A216" s="80" t="s">
        <v>536</v>
      </c>
      <c r="B216" s="101">
        <v>42436.0</v>
      </c>
      <c r="C216" s="102">
        <v>84000.0</v>
      </c>
      <c r="D216" s="104"/>
      <c r="E216" s="103"/>
      <c r="F216" s="604">
        <v>44337.0</v>
      </c>
      <c r="G216" s="605">
        <v>46082.0</v>
      </c>
      <c r="H216" s="103"/>
      <c r="I216" s="111" t="s">
        <v>1042</v>
      </c>
      <c r="J216" s="111" t="s">
        <v>1080</v>
      </c>
      <c r="K216" s="336" t="str">
        <f t="shared" si="52"/>
        <v>Update</v>
      </c>
      <c r="L216" s="108" t="s">
        <v>680</v>
      </c>
      <c r="M216" s="109">
        <v>45804.0</v>
      </c>
      <c r="N216" s="109">
        <v>45807.0</v>
      </c>
      <c r="O216" s="110"/>
      <c r="P216" s="1164"/>
      <c r="Q216" s="686"/>
      <c r="R216" s="108" t="s">
        <v>3128</v>
      </c>
      <c r="S216" s="112" t="s">
        <v>934</v>
      </c>
      <c r="T216" s="113">
        <v>45775.0</v>
      </c>
      <c r="U216" s="114" t="str">
        <f>IF(V216="","No AIS",VLOOKUP(V216,'Voyage days'!$A$3:$B$1480,2,FALSE))</f>
        <v>East China + 4</v>
      </c>
      <c r="V216" s="115" t="str">
        <f>IF(VLOOKUP(A216,'1) Kpler'!$E$2:$P$1000,8, FALSE)="","",VLOOKUP(A216,'1) Kpler'!$E$2:$P$1000,8, FALSE))</f>
        <v>Zhangjiagang</v>
      </c>
      <c r="W216" s="116">
        <f>IF(VLOOKUP(A216,'1) Kpler'!$E$2:$P$1000,9,FALSE)="","",VLOOKUP(A216,'1) Kpler'!$E$2:$P$1000,9,FALSE))</f>
        <v>46141.5</v>
      </c>
      <c r="X216" s="115" t="str">
        <f>VLOOKUP(A216,'1) Kpler'!$E$2:$I$1000,4,FALSE)</f>
        <v>floatingStorage</v>
      </c>
      <c r="Y216" s="160" t="str">
        <f t="shared" si="40"/>
        <v/>
      </c>
      <c r="Z216" s="120" t="str">
        <f t="shared" si="41"/>
        <v/>
      </c>
      <c r="AA216" s="121" t="str">
        <f>IFERROR($M216+VLOOKUP($L216,'Voyage days'!$F$38:$H$89,3,FALSE),"")</f>
        <v/>
      </c>
      <c r="AB216" s="121" t="str">
        <f>IFERROR(N216+VLOOKUP($L216,'Voyage days'!$F$38:$H$89,3,FALSE),"")</f>
        <v/>
      </c>
      <c r="AC216" s="120" t="str">
        <f t="shared" si="42"/>
        <v>27-30 May</v>
      </c>
      <c r="AD216" s="121">
        <f>IFERROR($M216+VLOOKUP($L216,'Voyage days'!$F$94:$H$193,3,FALSE),"")</f>
        <v>45804</v>
      </c>
      <c r="AE216" s="121">
        <f>IFERROR($N216+VLOOKUP($L216,'Voyage days'!$F$94:$H$193,3,FALSE),"")</f>
        <v>45807</v>
      </c>
      <c r="AF216" s="120" t="str">
        <f t="shared" si="43"/>
        <v>27-30 May</v>
      </c>
      <c r="AG216" s="121">
        <f>IFERROR($M216+VLOOKUP($L216,'Voyage days'!$F$203:$H$256,3,FALSE),"")</f>
        <v>45804</v>
      </c>
      <c r="AH216" s="121">
        <f>IFERROR($N216+VLOOKUP($L216,'Voyage days'!$F$203:$H$256,3,FALSE),"")</f>
        <v>45807</v>
      </c>
      <c r="AI216" s="120" t="str">
        <f t="shared" si="44"/>
        <v/>
      </c>
      <c r="AJ216" s="121" t="str">
        <f>IFERROR($M216+VLOOKUP($L216,'Voyage days'!$F$294:$H$377,3,FALSE),"")</f>
        <v/>
      </c>
      <c r="AK216" s="121" t="str">
        <f>IFERROR($N216+VLOOKUP($L216,'Voyage days'!$F$294:$H$377,3,FALSE),"")</f>
        <v/>
      </c>
      <c r="AL216" s="120" t="str">
        <f t="shared" si="45"/>
        <v>16-19 Jun</v>
      </c>
      <c r="AM216" s="121">
        <f>IFERROR($M216+VLOOKUP($L216,'Voyage days'!$F$382:$H$446,3,FALSE),"")</f>
        <v>45824</v>
      </c>
      <c r="AN216" s="121">
        <f>IFERROR($N216+VLOOKUP($L216,'Voyage days'!$F$382:$H$446,3,FALSE),"")</f>
        <v>45827</v>
      </c>
      <c r="AO216" s="120" t="str">
        <f t="shared" si="46"/>
        <v/>
      </c>
      <c r="AP216" s="121" t="str">
        <f>IFERROR($M216+VLOOKUP($L216,'Voyage days'!$F$483:$H$538,3,FALSE),"")</f>
        <v/>
      </c>
      <c r="AQ216" s="121" t="str">
        <f>IFERROR($N216+VLOOKUP($L216,'Voyage days'!$F$483:$H$538,3,FALSE),"")</f>
        <v/>
      </c>
      <c r="AR216" s="120" t="str">
        <f t="shared" si="47"/>
        <v/>
      </c>
      <c r="AS216" s="121" t="str">
        <f>IFERROR($M216+VLOOKUP($L216,'Voyage days'!$F$540:$H$613,3,FALSE),"")</f>
        <v/>
      </c>
      <c r="AT216" s="121" t="str">
        <f>IFERROR($N216+VLOOKUP($L216,'Voyage days'!$F$540:$H$613,3,FALSE),"")</f>
        <v/>
      </c>
      <c r="AU216" s="120" t="str">
        <f t="shared" si="48"/>
        <v/>
      </c>
      <c r="AV216" s="121" t="str">
        <f>IFERROR($M216+VLOOKUP($L216,'Voyage days'!$L$483:$N$535,3,FALSE),"")</f>
        <v/>
      </c>
      <c r="AW216" s="121" t="str">
        <f>IFERROR($N216+VLOOKUP($L216,'Voyage days'!$L$483:$N$535,3,FALSE),"")</f>
        <v/>
      </c>
      <c r="AX216" s="120" t="str">
        <f t="shared" si="49"/>
        <v/>
      </c>
      <c r="AY216" s="122" t="str">
        <f>IFERROR($M216+VLOOKUP($L216,'Voyage days'!$F$620:$H$646,3,FALSE),"")</f>
        <v/>
      </c>
      <c r="AZ216" s="122" t="str">
        <f>IFERROR($N216+VLOOKUP($L216,'Voyage days'!$F$620:$H$646,3,FALSE),"")</f>
        <v/>
      </c>
      <c r="BA216" s="120" t="str">
        <f t="shared" si="50"/>
        <v/>
      </c>
      <c r="BB216" s="123" t="str">
        <f>IFERROR($M216+VLOOKUP($L216,'Voyage days'!$F$702:$H$727,3,FALSE),"")</f>
        <v/>
      </c>
      <c r="BC216" s="120" t="str">
        <f t="shared" si="51"/>
        <v/>
      </c>
      <c r="BD216" s="122" t="str">
        <f>IFERROR($M216+VLOOKUP($L216,'Voyage days'!$F$807:$H$878,3,FALSE),"")</f>
        <v/>
      </c>
      <c r="BE216" s="122" t="str">
        <f>IFERROR($N216+VLOOKUP($L216,'Voyage days'!$F$807:$H$878,3,FALSE),"")</f>
        <v/>
      </c>
      <c r="BF216" s="609"/>
      <c r="BG216" s="609"/>
      <c r="BH216" s="609"/>
      <c r="BI216" s="609"/>
      <c r="BJ216" s="609"/>
      <c r="BK216" s="609"/>
      <c r="BL216" s="609"/>
      <c r="BM216" s="609"/>
    </row>
    <row r="217" ht="15.0" customHeight="1">
      <c r="A217" s="164" t="s">
        <v>549</v>
      </c>
      <c r="B217" s="222">
        <v>42550.0</v>
      </c>
      <c r="C217" s="1101">
        <v>84000.0</v>
      </c>
      <c r="D217" s="168"/>
      <c r="E217" s="223"/>
      <c r="F217" s="1010"/>
      <c r="G217" s="1011">
        <v>46174.0</v>
      </c>
      <c r="H217" s="223"/>
      <c r="I217" s="312" t="s">
        <v>1042</v>
      </c>
      <c r="J217" s="312" t="s">
        <v>1080</v>
      </c>
      <c r="K217" s="469" t="str">
        <f t="shared" si="52"/>
        <v>Update</v>
      </c>
      <c r="L217" s="172" t="s">
        <v>1031</v>
      </c>
      <c r="M217" s="173">
        <v>45796.0</v>
      </c>
      <c r="N217" s="173">
        <v>45797.0</v>
      </c>
      <c r="O217" s="174"/>
      <c r="P217" s="532"/>
      <c r="Q217" s="312"/>
      <c r="R217" s="172" t="s">
        <v>3129</v>
      </c>
      <c r="S217" s="175" t="s">
        <v>33</v>
      </c>
      <c r="T217" s="176">
        <v>45781.0</v>
      </c>
      <c r="U217" s="177" t="str">
        <f>IF(V217="","No AIS",VLOOKUP(V217,'Voyage days'!$A$3:$B$1480,2,FALSE))</f>
        <v>India?/SG-JP?</v>
      </c>
      <c r="V217" s="178" t="str">
        <f>IF(VLOOKUP(A217,'1) Kpler'!$E$2:$P$1000,8, FALSE)="","",VLOOKUP(A217,'1) Kpler'!$E$2:$P$1000,8, FALSE))</f>
        <v>Eastern Asia</v>
      </c>
      <c r="W217" s="179">
        <f>IF(VLOOKUP(A217,'1) Kpler'!$E$2:$P$1000,9,FALSE)="","",VLOOKUP(A217,'1) Kpler'!$E$2:$P$1000,9,FALSE))</f>
        <v>46161.24514</v>
      </c>
      <c r="X217" s="178" t="str">
        <f>VLOOKUP(A217,'1) Kpler'!$E$2:$I$1000,4,FALSE)</f>
        <v>loaded</v>
      </c>
      <c r="Y217" s="180" t="str">
        <f t="shared" si="40"/>
        <v>19-20 May</v>
      </c>
      <c r="Z217" s="120" t="str">
        <f t="shared" si="41"/>
        <v>19-20 May</v>
      </c>
      <c r="AA217" s="121">
        <f>IFERROR($M217+VLOOKUP($L217,'Voyage days'!$F$38:$H$89,3,FALSE),"")</f>
        <v>45796</v>
      </c>
      <c r="AB217" s="121">
        <f>IFERROR(N217+VLOOKUP($L217,'Voyage days'!$F$38:$H$89,3,FALSE),"")</f>
        <v>45797</v>
      </c>
      <c r="AC217" s="120" t="str">
        <f t="shared" si="42"/>
        <v/>
      </c>
      <c r="AD217" s="121" t="str">
        <f>IFERROR($M217+VLOOKUP($L217,'Voyage days'!$F$94:$H$193,3,FALSE),"")</f>
        <v/>
      </c>
      <c r="AE217" s="121" t="str">
        <f>IFERROR($N217+VLOOKUP($L217,'Voyage days'!$F$94:$H$193,3,FALSE),"")</f>
        <v/>
      </c>
      <c r="AF217" s="120" t="str">
        <f t="shared" si="43"/>
        <v/>
      </c>
      <c r="AG217" s="121" t="str">
        <f>IFERROR($M217+VLOOKUP($L217,'Voyage days'!$F$203:$H$256,3,FALSE),"")</f>
        <v/>
      </c>
      <c r="AH217" s="121" t="str">
        <f>IFERROR($N217+VLOOKUP($L217,'Voyage days'!$F$203:$H$256,3,FALSE),"")</f>
        <v/>
      </c>
      <c r="AI217" s="120" t="str">
        <f t="shared" si="44"/>
        <v/>
      </c>
      <c r="AJ217" s="121" t="str">
        <f>IFERROR($M217+VLOOKUP($L217,'Voyage days'!$F$294:$H$377,3,FALSE),"")</f>
        <v/>
      </c>
      <c r="AK217" s="121" t="str">
        <f>IFERROR($N217+VLOOKUP($L217,'Voyage days'!$F$294:$H$377,3,FALSE),"")</f>
        <v/>
      </c>
      <c r="AL217" s="120" t="str">
        <f t="shared" si="45"/>
        <v/>
      </c>
      <c r="AM217" s="121" t="str">
        <f>IFERROR($M217+VLOOKUP($L217,'Voyage days'!$F$382:$H$446,3,FALSE),"")</f>
        <v/>
      </c>
      <c r="AN217" s="121" t="str">
        <f>IFERROR($N217+VLOOKUP($L217,'Voyage days'!$F$382:$H$446,3,FALSE),"")</f>
        <v/>
      </c>
      <c r="AO217" s="120" t="str">
        <f t="shared" si="46"/>
        <v/>
      </c>
      <c r="AP217" s="121" t="str">
        <f>IFERROR($M217+VLOOKUP($L217,'Voyage days'!$F$483:$H$538,3,FALSE),"")</f>
        <v/>
      </c>
      <c r="AQ217" s="121" t="str">
        <f>IFERROR($N217+VLOOKUP($L217,'Voyage days'!$F$483:$H$538,3,FALSE),"")</f>
        <v/>
      </c>
      <c r="AR217" s="120" t="str">
        <f t="shared" si="47"/>
        <v>07-08 Jun</v>
      </c>
      <c r="AS217" s="121">
        <f>IFERROR($M217+VLOOKUP($L217,'Voyage days'!$F$540:$H$613,3,FALSE),"")</f>
        <v>45815</v>
      </c>
      <c r="AT217" s="121">
        <f>IFERROR($N217+VLOOKUP($L217,'Voyage days'!$F$540:$H$613,3,FALSE),"")</f>
        <v>45816</v>
      </c>
      <c r="AU217" s="120" t="str">
        <f t="shared" si="48"/>
        <v/>
      </c>
      <c r="AV217" s="121" t="str">
        <f>IFERROR($M217+VLOOKUP($L217,'Voyage days'!$L$483:$N$535,3,FALSE),"")</f>
        <v/>
      </c>
      <c r="AW217" s="121" t="str">
        <f>IFERROR($N217+VLOOKUP($L217,'Voyage days'!$L$483:$N$535,3,FALSE),"")</f>
        <v/>
      </c>
      <c r="AX217" s="120" t="str">
        <f t="shared" si="49"/>
        <v/>
      </c>
      <c r="AY217" s="122" t="str">
        <f>IFERROR($M217+VLOOKUP($L217,'Voyage days'!$F$620:$H$646,3,FALSE),"")</f>
        <v/>
      </c>
      <c r="AZ217" s="122" t="str">
        <f>IFERROR($N217+VLOOKUP($L217,'Voyage days'!$F$620:$H$646,3,FALSE),"")</f>
        <v/>
      </c>
      <c r="BA217" s="120" t="str">
        <f t="shared" si="50"/>
        <v/>
      </c>
      <c r="BB217" s="123" t="str">
        <f>IFERROR($M217+VLOOKUP($L217,'Voyage days'!$F$702:$H$727,3,FALSE),"")</f>
        <v/>
      </c>
      <c r="BC217" s="120" t="str">
        <f t="shared" si="51"/>
        <v>19-20 May</v>
      </c>
      <c r="BD217" s="122">
        <f>IFERROR($M217+VLOOKUP($L217,'Voyage days'!$F$807:$H$878,3,FALSE),"")</f>
        <v>45796</v>
      </c>
      <c r="BE217" s="122">
        <f>IFERROR($N217+VLOOKUP($L217,'Voyage days'!$F$807:$H$878,3,FALSE),"")</f>
        <v>45797</v>
      </c>
      <c r="BF217" s="609"/>
      <c r="BG217" s="609"/>
      <c r="BH217" s="609"/>
      <c r="BI217" s="609"/>
      <c r="BJ217" s="609"/>
      <c r="BK217" s="609"/>
      <c r="BL217" s="609"/>
      <c r="BM217" s="609"/>
    </row>
    <row r="218">
      <c r="A218" s="375" t="s">
        <v>180</v>
      </c>
      <c r="B218" s="101">
        <v>42978.0</v>
      </c>
      <c r="C218" s="1045">
        <v>78700.0</v>
      </c>
      <c r="D218" s="150"/>
      <c r="E218" s="149" t="s">
        <v>689</v>
      </c>
      <c r="F218" s="1014">
        <v>43818.0</v>
      </c>
      <c r="G218" s="1015">
        <v>46631.0</v>
      </c>
      <c r="H218" s="149"/>
      <c r="I218" s="157" t="s">
        <v>1061</v>
      </c>
      <c r="J218" s="157" t="s">
        <v>1554</v>
      </c>
      <c r="K218" s="470" t="str">
        <f t="shared" si="52"/>
        <v>Update</v>
      </c>
      <c r="L218" s="153" t="s">
        <v>680</v>
      </c>
      <c r="M218" s="238">
        <v>45789.0</v>
      </c>
      <c r="N218" s="238">
        <v>45790.0</v>
      </c>
      <c r="O218" s="155"/>
      <c r="P218" s="157"/>
      <c r="Q218" s="157"/>
      <c r="R218" s="153" t="s">
        <v>3075</v>
      </c>
      <c r="S218" s="256" t="s">
        <v>934</v>
      </c>
      <c r="T218" s="420">
        <v>45788.0</v>
      </c>
      <c r="U218" s="114" t="str">
        <f>IF(V218="","No AIS",VLOOKUP(V218,'Voyage days'!$A$3:$B$1480,2,FALSE))</f>
        <v>USG</v>
      </c>
      <c r="V218" s="114" t="str">
        <f>IF(VLOOKUP(A218,'1) Kpler'!$E$2:$P$1000,8, FALSE)="","",VLOOKUP(A218,'1) Kpler'!$E$2:$P$1000,8, FALSE))</f>
        <v>Freeport Texas</v>
      </c>
      <c r="W218" s="159">
        <f>IF(VLOOKUP(A218,'1) Kpler'!$E$2:$P$1000,9,FALSE)="","",VLOOKUP(A218,'1) Kpler'!$E$2:$P$1000,9,FALSE))</f>
        <v>46139.95833</v>
      </c>
      <c r="X218" s="114" t="str">
        <f>VLOOKUP(A218,'1) Kpler'!$E$2:$I$1000,4,FALSE)</f>
        <v>ballast</v>
      </c>
      <c r="Y218" s="272" t="str">
        <f t="shared" si="40"/>
        <v/>
      </c>
      <c r="Z218" s="163" t="str">
        <f t="shared" si="41"/>
        <v/>
      </c>
      <c r="AA218" s="122" t="str">
        <f>IFERROR($M218+VLOOKUP($L218,'Voyage days'!$F$38:$H$89,3,FALSE),"")</f>
        <v/>
      </c>
      <c r="AB218" s="122" t="str">
        <f>IFERROR(N218+VLOOKUP($L218,'Voyage days'!$F$38:$H$89,3,FALSE),"")</f>
        <v/>
      </c>
      <c r="AC218" s="163" t="str">
        <f t="shared" si="42"/>
        <v>12-13 May</v>
      </c>
      <c r="AD218" s="122">
        <f>IFERROR($M218+VLOOKUP($L218,'Voyage days'!$F$94:$H$193,3,FALSE),"")</f>
        <v>45789</v>
      </c>
      <c r="AE218" s="122">
        <f>IFERROR($N218+VLOOKUP($L218,'Voyage days'!$F$94:$H$193,3,FALSE),"")</f>
        <v>45790</v>
      </c>
      <c r="AF218" s="163" t="str">
        <f t="shared" si="43"/>
        <v>12-13 May</v>
      </c>
      <c r="AG218" s="122">
        <f>IFERROR($M218+VLOOKUP($L218,'Voyage days'!$F$203:$H$256,3,FALSE),"")</f>
        <v>45789</v>
      </c>
      <c r="AH218" s="122">
        <f>IFERROR($N218+VLOOKUP($L218,'Voyage days'!$F$203:$H$256,3,FALSE),"")</f>
        <v>45790</v>
      </c>
      <c r="AI218" s="163" t="str">
        <f t="shared" si="44"/>
        <v/>
      </c>
      <c r="AJ218" s="122" t="str">
        <f>IFERROR($M218+VLOOKUP($L218,'Voyage days'!$F$294:$H$377,3,FALSE),"")</f>
        <v/>
      </c>
      <c r="AK218" s="122" t="str">
        <f>IFERROR($N218+VLOOKUP($L218,'Voyage days'!$F$294:$H$377,3,FALSE),"")</f>
        <v/>
      </c>
      <c r="AL218" s="163" t="str">
        <f t="shared" si="45"/>
        <v>01-02 Jun</v>
      </c>
      <c r="AM218" s="122">
        <f>IFERROR($M218+VLOOKUP($L218,'Voyage days'!$F$382:$H$446,3,FALSE),"")</f>
        <v>45809</v>
      </c>
      <c r="AN218" s="122">
        <f>IFERROR($N218+VLOOKUP($L218,'Voyage days'!$F$382:$H$446,3,FALSE),"")</f>
        <v>45810</v>
      </c>
      <c r="AO218" s="163" t="str">
        <f t="shared" si="46"/>
        <v/>
      </c>
      <c r="AP218" s="122" t="str">
        <f>IFERROR($M218+VLOOKUP($L218,'Voyage days'!$F$483:$H$538,3,FALSE),"")</f>
        <v/>
      </c>
      <c r="AQ218" s="122" t="str">
        <f>IFERROR($N218+VLOOKUP($L218,'Voyage days'!$F$483:$H$538,3,FALSE),"")</f>
        <v/>
      </c>
      <c r="AR218" s="163" t="str">
        <f t="shared" si="47"/>
        <v/>
      </c>
      <c r="AS218" s="122" t="str">
        <f>IFERROR($M218+VLOOKUP($L218,'Voyage days'!$F$540:$H$613,3,FALSE),"")</f>
        <v/>
      </c>
      <c r="AT218" s="122" t="str">
        <f>IFERROR($N218+VLOOKUP($L218,'Voyage days'!$F$540:$H$613,3,FALSE),"")</f>
        <v/>
      </c>
      <c r="AU218" s="163" t="str">
        <f t="shared" si="48"/>
        <v/>
      </c>
      <c r="AV218" s="122" t="str">
        <f>IFERROR($M218+VLOOKUP($L218,'Voyage days'!$L$483:$N$535,3,FALSE),"")</f>
        <v/>
      </c>
      <c r="AW218" s="122" t="str">
        <f>IFERROR($N218+VLOOKUP($L218,'Voyage days'!$L$483:$N$535,3,FALSE),"")</f>
        <v/>
      </c>
      <c r="AX218" s="163" t="str">
        <f t="shared" si="49"/>
        <v/>
      </c>
      <c r="AY218" s="122" t="str">
        <f>IFERROR($M218+VLOOKUP($L218,'Voyage days'!$F$620:$H$646,3,FALSE),"")</f>
        <v/>
      </c>
      <c r="AZ218" s="122" t="str">
        <f>IFERROR($N218+VLOOKUP($L218,'Voyage days'!$F$620:$H$646,3,FALSE),"")</f>
        <v/>
      </c>
      <c r="BA218" s="163" t="str">
        <f t="shared" si="50"/>
        <v/>
      </c>
      <c r="BB218" s="123" t="str">
        <f>IFERROR($M218+VLOOKUP($L218,'Voyage days'!$F$702:$H$727,3,FALSE),"")</f>
        <v/>
      </c>
      <c r="BC218" s="163" t="str">
        <f t="shared" si="51"/>
        <v/>
      </c>
      <c r="BD218" s="122" t="str">
        <f>IFERROR($M218+VLOOKUP($L218,'Voyage days'!$F$807:$H$878,3,FALSE),"")</f>
        <v/>
      </c>
      <c r="BE218" s="122" t="str">
        <f>IFERROR($N218+VLOOKUP($L218,'Voyage days'!$F$807:$H$878,3,FALSE),"")</f>
        <v/>
      </c>
      <c r="BF218" s="609"/>
      <c r="BG218" s="609"/>
      <c r="BH218" s="609"/>
      <c r="BI218" s="609"/>
      <c r="BJ218" s="609"/>
      <c r="BK218" s="609"/>
      <c r="BL218" s="609"/>
      <c r="BM218" s="609"/>
    </row>
    <row r="219" ht="15.75" customHeight="1">
      <c r="A219" s="396" t="s">
        <v>168</v>
      </c>
      <c r="B219" s="222">
        <v>42886.0</v>
      </c>
      <c r="C219" s="1101">
        <v>78700.0</v>
      </c>
      <c r="D219" s="168"/>
      <c r="E219" s="223" t="s">
        <v>689</v>
      </c>
      <c r="F219" s="1010">
        <v>43818.0</v>
      </c>
      <c r="G219" s="1011">
        <v>46539.0</v>
      </c>
      <c r="H219" s="223"/>
      <c r="I219" s="463" t="s">
        <v>1061</v>
      </c>
      <c r="J219" s="463" t="s">
        <v>1554</v>
      </c>
      <c r="K219" s="469" t="str">
        <f t="shared" si="52"/>
        <v>Update</v>
      </c>
      <c r="L219" s="172" t="s">
        <v>755</v>
      </c>
      <c r="M219" s="173">
        <v>45821.0</v>
      </c>
      <c r="N219" s="173">
        <v>45823.0</v>
      </c>
      <c r="O219" s="174"/>
      <c r="P219" s="312"/>
      <c r="Q219" s="532"/>
      <c r="R219" s="377" t="s">
        <v>3130</v>
      </c>
      <c r="S219" s="533" t="s">
        <v>2962</v>
      </c>
      <c r="T219" s="176">
        <v>45784.0</v>
      </c>
      <c r="U219" s="177" t="str">
        <f>IF(V219="","No AIS",VLOOKUP(V219,'Voyage days'!$A$3:$B$1480,2,FALSE))</f>
        <v>Korea + 4</v>
      </c>
      <c r="V219" s="178" t="str">
        <f>IF(VLOOKUP(A219,'1) Kpler'!$E$2:$P$1000,8, FALSE)="","",VLOOKUP(A219,'1) Kpler'!$E$2:$P$1000,8, FALSE))</f>
        <v>Total Daesan Hanwha Refinery</v>
      </c>
      <c r="W219" s="179">
        <f>IF(VLOOKUP(A219,'1) Kpler'!$E$2:$P$1000,9,FALSE)="","",VLOOKUP(A219,'1) Kpler'!$E$2:$P$1000,9,FALSE))</f>
        <v>46148.58333</v>
      </c>
      <c r="X219" s="178" t="str">
        <f>VLOOKUP(A219,'1) Kpler'!$E$2:$I$1000,4,FALSE)</f>
        <v>loaded</v>
      </c>
      <c r="Y219" s="180" t="str">
        <f t="shared" si="40"/>
        <v>24-26 Jun</v>
      </c>
      <c r="Z219" s="120" t="str">
        <f t="shared" si="41"/>
        <v>24-26 Jun</v>
      </c>
      <c r="AA219" s="121">
        <f>IFERROR($M219+VLOOKUP($L219,'Voyage days'!$F$38:$H$89,3,FALSE),"")</f>
        <v>45832</v>
      </c>
      <c r="AB219" s="121">
        <f>IFERROR(N219+VLOOKUP($L219,'Voyage days'!$F$38:$H$89,3,FALSE),"")</f>
        <v>45834</v>
      </c>
      <c r="AC219" s="120" t="str">
        <f t="shared" si="42"/>
        <v>22-24 Jul</v>
      </c>
      <c r="AD219" s="121">
        <f>IFERROR($M219+VLOOKUP($L219,'Voyage days'!$F$94:$H$193,3,FALSE),"")</f>
        <v>45860</v>
      </c>
      <c r="AE219" s="121">
        <f>IFERROR($N219+VLOOKUP($L219,'Voyage days'!$F$94:$H$193,3,FALSE),"")</f>
        <v>45862</v>
      </c>
      <c r="AF219" s="120" t="str">
        <f t="shared" si="43"/>
        <v>20-22 Jul</v>
      </c>
      <c r="AG219" s="121">
        <f>IFERROR($M219+VLOOKUP($L219,'Voyage days'!$F$203:$H$256,3,FALSE),"")</f>
        <v>45858</v>
      </c>
      <c r="AH219" s="121">
        <f>IFERROR($N219+VLOOKUP($L219,'Voyage days'!$F$203:$H$256,3,FALSE),"")</f>
        <v>45860</v>
      </c>
      <c r="AI219" s="120" t="str">
        <f t="shared" si="44"/>
        <v>03-05 Jul</v>
      </c>
      <c r="AJ219" s="121">
        <f>IFERROR($M219+VLOOKUP($L219,'Voyage days'!$F$294:$H$377,3,FALSE),"")</f>
        <v>45841</v>
      </c>
      <c r="AK219" s="121">
        <f>IFERROR($N219+VLOOKUP($L219,'Voyage days'!$F$294:$H$377,3,FALSE),"")</f>
        <v>45843</v>
      </c>
      <c r="AL219" s="120" t="str">
        <f t="shared" si="45"/>
        <v>12-14 Jul</v>
      </c>
      <c r="AM219" s="121">
        <f>IFERROR($M219+VLOOKUP($L219,'Voyage days'!$F$382:$H$446,3,FALSE),"")</f>
        <v>45850</v>
      </c>
      <c r="AN219" s="121">
        <f>IFERROR($N219+VLOOKUP($L219,'Voyage days'!$F$382:$H$446,3,FALSE),"")</f>
        <v>45852</v>
      </c>
      <c r="AO219" s="120" t="str">
        <f t="shared" si="46"/>
        <v>22-24 Jun</v>
      </c>
      <c r="AP219" s="121">
        <f>IFERROR($M219+VLOOKUP($L219,'Voyage days'!$F$483:$H$538,3,FALSE),"")</f>
        <v>45830</v>
      </c>
      <c r="AQ219" s="121">
        <f>IFERROR($N219+VLOOKUP($L219,'Voyage days'!$F$483:$H$538,3,FALSE),"")</f>
        <v>45832</v>
      </c>
      <c r="AR219" s="120" t="str">
        <f t="shared" si="47"/>
        <v>17-19 Jun</v>
      </c>
      <c r="AS219" s="121">
        <f>IFERROR($M219+VLOOKUP($L219,'Voyage days'!$F$540:$H$613,3,FALSE),"")</f>
        <v>45825</v>
      </c>
      <c r="AT219" s="121">
        <f>IFERROR($N219+VLOOKUP($L219,'Voyage days'!$F$540:$H$613,3,FALSE),"")</f>
        <v>45827</v>
      </c>
      <c r="AU219" s="120" t="str">
        <f t="shared" si="48"/>
        <v/>
      </c>
      <c r="AV219" s="121" t="str">
        <f>IFERROR($M219+VLOOKUP($L219,'Voyage days'!$L$483:$N$535,3,FALSE),"")</f>
        <v/>
      </c>
      <c r="AW219" s="121" t="str">
        <f>IFERROR($N219+VLOOKUP($L219,'Voyage days'!$L$483:$N$535,3,FALSE),"")</f>
        <v/>
      </c>
      <c r="AX219" s="120" t="str">
        <f t="shared" si="49"/>
        <v/>
      </c>
      <c r="AY219" s="122" t="str">
        <f>IFERROR($M219+VLOOKUP($L219,'Voyage days'!$F$620:$H$646,3,FALSE),"")</f>
        <v/>
      </c>
      <c r="AZ219" s="122" t="str">
        <f>IFERROR($N219+VLOOKUP($L219,'Voyage days'!$F$620:$H$646,3,FALSE),"")</f>
        <v/>
      </c>
      <c r="BA219" s="120" t="str">
        <f t="shared" si="50"/>
        <v>21-22 Jul</v>
      </c>
      <c r="BB219" s="123">
        <f>IFERROR($M219+VLOOKUP($L219,'Voyage days'!$F$702:$H$727,3,FALSE),"")</f>
        <v>45829</v>
      </c>
      <c r="BC219" s="120" t="str">
        <f t="shared" si="51"/>
        <v>20-22 Jul</v>
      </c>
      <c r="BD219" s="122">
        <f>IFERROR($M219+VLOOKUP($L219,'Voyage days'!$F$807:$H$878,3,FALSE),"")</f>
        <v>45858</v>
      </c>
      <c r="BE219" s="122">
        <f>IFERROR($N219+VLOOKUP($L219,'Voyage days'!$F$807:$H$878,3,FALSE),"")</f>
        <v>45860</v>
      </c>
      <c r="BF219" s="609"/>
      <c r="BG219" s="609"/>
      <c r="BH219" s="609"/>
      <c r="BI219" s="609"/>
      <c r="BJ219" s="609"/>
      <c r="BK219" s="609"/>
      <c r="BL219" s="609"/>
      <c r="BM219" s="609"/>
    </row>
    <row r="220" ht="15.75" customHeight="1">
      <c r="A220" s="341" t="s">
        <v>268</v>
      </c>
      <c r="B220" s="101">
        <v>39546.0</v>
      </c>
      <c r="C220" s="1045">
        <v>83783.0</v>
      </c>
      <c r="D220" s="150"/>
      <c r="E220" s="149"/>
      <c r="F220" s="1165">
        <v>43972.0</v>
      </c>
      <c r="G220" s="149" t="s">
        <v>1611</v>
      </c>
      <c r="H220" s="1014"/>
      <c r="I220" s="1166" t="s">
        <v>1066</v>
      </c>
      <c r="J220" s="536" t="s">
        <v>1066</v>
      </c>
      <c r="K220" s="517" t="str">
        <f t="shared" si="52"/>
        <v>Update</v>
      </c>
      <c r="L220" s="316" t="s">
        <v>95</v>
      </c>
      <c r="M220" s="276">
        <v>45788.0</v>
      </c>
      <c r="N220" s="276">
        <v>45789.0</v>
      </c>
      <c r="O220" s="431"/>
      <c r="P220" s="157"/>
      <c r="Q220" s="536"/>
      <c r="R220" s="157"/>
      <c r="S220" s="256" t="s">
        <v>934</v>
      </c>
      <c r="T220" s="293">
        <v>45788.0</v>
      </c>
      <c r="U220" s="114" t="str">
        <f>IF(V220="","No AIS",VLOOKUP(V220,'Voyage days'!$A$3:$B$1480,2,FALSE))</f>
        <v>Indo + 4 (STS)</v>
      </c>
      <c r="V220" s="114" t="str">
        <f>IF(VLOOKUP(A220,'1) Kpler'!$E$2:$P$1000,8, FALSE)="","",VLOOKUP(A220,'1) Kpler'!$E$2:$P$1000,8, FALSE))</f>
        <v>Balikpapan</v>
      </c>
      <c r="W220" s="159">
        <f>IF(VLOOKUP(A220,'1) Kpler'!$E$2:$P$1000,9,FALSE)="","",VLOOKUP(A220,'1) Kpler'!$E$2:$P$1000,9,FALSE))</f>
        <v>46134.625</v>
      </c>
      <c r="X220" s="114" t="str">
        <f>VLOOKUP(A220,'1) Kpler'!$E$2:$I$1000,4,FALSE)</f>
        <v>loaded</v>
      </c>
      <c r="Y220" s="272" t="str">
        <f t="shared" si="40"/>
        <v/>
      </c>
      <c r="Z220" s="163" t="str">
        <f t="shared" si="41"/>
        <v/>
      </c>
      <c r="AA220" s="122" t="str">
        <f>IFERROR($M220+VLOOKUP($L220,'Voyage days'!$F$38:$H$89,3,FALSE),"")</f>
        <v/>
      </c>
      <c r="AB220" s="122" t="str">
        <f>IFERROR(N220+VLOOKUP($L220,'Voyage days'!$F$38:$H$89,3,FALSE),"")</f>
        <v/>
      </c>
      <c r="AC220" s="163" t="str">
        <f t="shared" si="42"/>
        <v/>
      </c>
      <c r="AD220" s="122" t="str">
        <f>IFERROR($M220+VLOOKUP($L220,'Voyage days'!$F$94:$H$193,3,FALSE),"")</f>
        <v/>
      </c>
      <c r="AE220" s="122" t="str">
        <f>IFERROR($N220+VLOOKUP($L220,'Voyage days'!$F$94:$H$193,3,FALSE),"")</f>
        <v/>
      </c>
      <c r="AF220" s="163" t="str">
        <f t="shared" si="43"/>
        <v/>
      </c>
      <c r="AG220" s="122" t="str">
        <f>IFERROR($M220+VLOOKUP($L220,'Voyage days'!$F$203:$H$256,3,FALSE),"")</f>
        <v/>
      </c>
      <c r="AH220" s="122" t="str">
        <f>IFERROR($N220+VLOOKUP($L220,'Voyage days'!$F$203:$H$256,3,FALSE),"")</f>
        <v/>
      </c>
      <c r="AI220" s="163" t="str">
        <f t="shared" si="44"/>
        <v/>
      </c>
      <c r="AJ220" s="122" t="str">
        <f>IFERROR($M220+VLOOKUP($L220,'Voyage days'!$F$294:$H$377,3,FALSE),"")</f>
        <v/>
      </c>
      <c r="AK220" s="122" t="str">
        <f>IFERROR($N220+VLOOKUP($L220,'Voyage days'!$F$294:$H$377,3,FALSE),"")</f>
        <v/>
      </c>
      <c r="AL220" s="163" t="str">
        <f t="shared" si="45"/>
        <v/>
      </c>
      <c r="AM220" s="122" t="str">
        <f>IFERROR($M220+VLOOKUP($L220,'Voyage days'!$F$382:$H$446,3,FALSE),"")</f>
        <v/>
      </c>
      <c r="AN220" s="122" t="str">
        <f>IFERROR($N220+VLOOKUP($L220,'Voyage days'!$F$382:$H$446,3,FALSE),"")</f>
        <v/>
      </c>
      <c r="AO220" s="163" t="str">
        <f t="shared" si="46"/>
        <v/>
      </c>
      <c r="AP220" s="122" t="str">
        <f>IFERROR($M220+VLOOKUP($L220,'Voyage days'!$F$483:$H$538,3,FALSE),"")</f>
        <v/>
      </c>
      <c r="AQ220" s="122" t="str">
        <f>IFERROR($N220+VLOOKUP($L220,'Voyage days'!$F$483:$H$538,3,FALSE),"")</f>
        <v/>
      </c>
      <c r="AR220" s="163" t="str">
        <f t="shared" si="47"/>
        <v/>
      </c>
      <c r="AS220" s="122" t="str">
        <f>IFERROR($M220+VLOOKUP($L220,'Voyage days'!$F$540:$H$613,3,FALSE),"")</f>
        <v/>
      </c>
      <c r="AT220" s="122" t="str">
        <f>IFERROR($N220+VLOOKUP($L220,'Voyage days'!$F$540:$H$613,3,FALSE),"")</f>
        <v/>
      </c>
      <c r="AU220" s="163" t="str">
        <f t="shared" si="48"/>
        <v/>
      </c>
      <c r="AV220" s="122" t="str">
        <f>IFERROR($M220+VLOOKUP($L220,'Voyage days'!$L$483:$N$535,3,FALSE),"")</f>
        <v/>
      </c>
      <c r="AW220" s="122" t="str">
        <f>IFERROR($N220+VLOOKUP($L220,'Voyage days'!$L$483:$N$535,3,FALSE),"")</f>
        <v/>
      </c>
      <c r="AX220" s="163" t="str">
        <f t="shared" si="49"/>
        <v/>
      </c>
      <c r="AY220" s="122" t="str">
        <f>IFERROR($M220+VLOOKUP($L220,'Voyage days'!$F$620:$H$646,3,FALSE),"")</f>
        <v/>
      </c>
      <c r="AZ220" s="122" t="str">
        <f>IFERROR($N220+VLOOKUP($L220,'Voyage days'!$F$620:$H$646,3,FALSE),"")</f>
        <v/>
      </c>
      <c r="BA220" s="163" t="str">
        <f t="shared" si="50"/>
        <v/>
      </c>
      <c r="BB220" s="123" t="str">
        <f>IFERROR($M220+VLOOKUP($L220,'Voyage days'!$F$702:$H$727,3,FALSE),"")</f>
        <v/>
      </c>
      <c r="BC220" s="163" t="str">
        <f t="shared" si="51"/>
        <v/>
      </c>
      <c r="BD220" s="122" t="str">
        <f>IFERROR($M220+VLOOKUP($L220,'Voyage days'!$F$807:$H$878,3,FALSE),"")</f>
        <v/>
      </c>
      <c r="BE220" s="122" t="str">
        <f>IFERROR($N220+VLOOKUP($L220,'Voyage days'!$F$807:$H$878,3,FALSE),"")</f>
        <v/>
      </c>
      <c r="BF220" s="609"/>
      <c r="BG220" s="609"/>
      <c r="BH220" s="609"/>
      <c r="BI220" s="609"/>
      <c r="BJ220" s="609"/>
      <c r="BK220" s="609"/>
      <c r="BL220" s="609"/>
      <c r="BM220" s="609"/>
    </row>
    <row r="221" ht="15.75" customHeight="1">
      <c r="A221" s="341" t="s">
        <v>278</v>
      </c>
      <c r="B221" s="101">
        <v>39600.0</v>
      </c>
      <c r="C221" s="1045">
        <v>82000.0</v>
      </c>
      <c r="D221" s="104"/>
      <c r="E221" s="103"/>
      <c r="F221" s="604"/>
      <c r="G221" s="103" t="s">
        <v>3131</v>
      </c>
      <c r="H221" s="103"/>
      <c r="I221" s="545" t="s">
        <v>1066</v>
      </c>
      <c r="J221" s="111" t="s">
        <v>2935</v>
      </c>
      <c r="K221" s="336" t="str">
        <f t="shared" si="52"/>
        <v>NO AIS</v>
      </c>
      <c r="L221" s="108" t="s">
        <v>755</v>
      </c>
      <c r="M221" s="109">
        <v>45797.0</v>
      </c>
      <c r="N221" s="109">
        <v>45802.0</v>
      </c>
      <c r="O221" s="110"/>
      <c r="P221" s="1167" t="s">
        <v>3132</v>
      </c>
      <c r="Q221" s="333"/>
      <c r="R221" s="540" t="s">
        <v>1070</v>
      </c>
      <c r="S221" s="112" t="s">
        <v>934</v>
      </c>
      <c r="T221" s="113">
        <v>45785.0</v>
      </c>
      <c r="U221" s="114" t="str">
        <f>IF(V221="","No AIS",VLOOKUP(V221,'Voyage days'!$A$3:$B$1480,2,FALSE))</f>
        <v>No AIS</v>
      </c>
      <c r="V221" s="115" t="str">
        <f>IF(VLOOKUP(A221,'1) Kpler'!$E$2:$P$1000,8, FALSE)="","",VLOOKUP(A221,'1) Kpler'!$E$2:$P$1000,8, FALSE))</f>
        <v/>
      </c>
      <c r="W221" s="116" t="str">
        <f>IF(VLOOKUP(A221,'1) Kpler'!$E$2:$P$1000,9,FALSE)="","",VLOOKUP(A221,'1) Kpler'!$E$2:$P$1000,9,FALSE))</f>
        <v/>
      </c>
      <c r="X221" s="115" t="str">
        <f>VLOOKUP(A221,'1) Kpler'!$E$2:$I$1000,4,FALSE)</f>
        <v>floatingStorage</v>
      </c>
      <c r="Y221" s="117" t="str">
        <f t="shared" si="40"/>
        <v>31-05 Jun</v>
      </c>
      <c r="Z221" s="120" t="str">
        <f t="shared" si="41"/>
        <v>31-05 Jun</v>
      </c>
      <c r="AA221" s="121">
        <f>IFERROR($M221+VLOOKUP($L221,'Voyage days'!$F$38:$H$89,3,FALSE),"")</f>
        <v>45808</v>
      </c>
      <c r="AB221" s="121">
        <f>IFERROR(N221+VLOOKUP($L221,'Voyage days'!$F$38:$H$89,3,FALSE),"")</f>
        <v>45813</v>
      </c>
      <c r="AC221" s="120" t="str">
        <f t="shared" si="42"/>
        <v>28-03 Jul</v>
      </c>
      <c r="AD221" s="121">
        <f>IFERROR($M221+VLOOKUP($L221,'Voyage days'!$F$94:$H$193,3,FALSE),"")</f>
        <v>45836</v>
      </c>
      <c r="AE221" s="121">
        <f>IFERROR($N221+VLOOKUP($L221,'Voyage days'!$F$94:$H$193,3,FALSE),"")</f>
        <v>45841</v>
      </c>
      <c r="AF221" s="120" t="str">
        <f t="shared" si="43"/>
        <v>26-01 Jul</v>
      </c>
      <c r="AG221" s="121">
        <f>IFERROR($M221+VLOOKUP($L221,'Voyage days'!$F$203:$H$256,3,FALSE),"")</f>
        <v>45834</v>
      </c>
      <c r="AH221" s="121">
        <f>IFERROR($N221+VLOOKUP($L221,'Voyage days'!$F$203:$H$256,3,FALSE),"")</f>
        <v>45839</v>
      </c>
      <c r="AI221" s="120" t="str">
        <f t="shared" si="44"/>
        <v>09-14 Jun</v>
      </c>
      <c r="AJ221" s="121">
        <f>IFERROR($M221+VLOOKUP($L221,'Voyage days'!$F$294:$H$377,3,FALSE),"")</f>
        <v>45817</v>
      </c>
      <c r="AK221" s="121">
        <f>IFERROR($N221+VLOOKUP($L221,'Voyage days'!$F$294:$H$377,3,FALSE),"")</f>
        <v>45822</v>
      </c>
      <c r="AL221" s="120" t="str">
        <f t="shared" si="45"/>
        <v>18-23 Jun</v>
      </c>
      <c r="AM221" s="121">
        <f>IFERROR($M221+VLOOKUP($L221,'Voyage days'!$F$382:$H$446,3,FALSE),"")</f>
        <v>45826</v>
      </c>
      <c r="AN221" s="121">
        <f>IFERROR($N221+VLOOKUP($L221,'Voyage days'!$F$382:$H$446,3,FALSE),"")</f>
        <v>45831</v>
      </c>
      <c r="AO221" s="120" t="str">
        <f t="shared" si="46"/>
        <v>29-03 Jun</v>
      </c>
      <c r="AP221" s="121">
        <f>IFERROR($M221+VLOOKUP($L221,'Voyage days'!$F$483:$H$538,3,FALSE),"")</f>
        <v>45806</v>
      </c>
      <c r="AQ221" s="121">
        <f>IFERROR($N221+VLOOKUP($L221,'Voyage days'!$F$483:$H$538,3,FALSE),"")</f>
        <v>45811</v>
      </c>
      <c r="AR221" s="120" t="str">
        <f t="shared" si="47"/>
        <v>24-29 May</v>
      </c>
      <c r="AS221" s="121">
        <f>IFERROR($M221+VLOOKUP($L221,'Voyage days'!$F$540:$H$613,3,FALSE),"")</f>
        <v>45801</v>
      </c>
      <c r="AT221" s="121">
        <f>IFERROR($N221+VLOOKUP($L221,'Voyage days'!$F$540:$H$613,3,FALSE),"")</f>
        <v>45806</v>
      </c>
      <c r="AU221" s="120" t="str">
        <f t="shared" si="48"/>
        <v/>
      </c>
      <c r="AV221" s="121" t="str">
        <f>IFERROR($M221+VLOOKUP($L221,'Voyage days'!$L$483:$N$535,3,FALSE),"")</f>
        <v/>
      </c>
      <c r="AW221" s="121" t="str">
        <f>IFERROR($N221+VLOOKUP($L221,'Voyage days'!$L$483:$N$535,3,FALSE),"")</f>
        <v/>
      </c>
      <c r="AX221" s="120" t="str">
        <f t="shared" si="49"/>
        <v/>
      </c>
      <c r="AY221" s="122" t="str">
        <f>IFERROR($M221+VLOOKUP($L221,'Voyage days'!$F$620:$H$646,3,FALSE),"")</f>
        <v/>
      </c>
      <c r="AZ221" s="122" t="str">
        <f>IFERROR($N221+VLOOKUP($L221,'Voyage days'!$F$620:$H$646,3,FALSE),"")</f>
        <v/>
      </c>
      <c r="BA221" s="120" t="str">
        <f t="shared" si="50"/>
        <v>28-01 Jul</v>
      </c>
      <c r="BB221" s="123">
        <f>IFERROR($M221+VLOOKUP($L221,'Voyage days'!$F$702:$H$727,3,FALSE),"")</f>
        <v>45805</v>
      </c>
      <c r="BC221" s="120" t="str">
        <f t="shared" si="51"/>
        <v>26-01 Jul</v>
      </c>
      <c r="BD221" s="122">
        <f>IFERROR($M221+VLOOKUP($L221,'Voyage days'!$F$807:$H$878,3,FALSE),"")</f>
        <v>45834</v>
      </c>
      <c r="BE221" s="122">
        <f>IFERROR($N221+VLOOKUP($L221,'Voyage days'!$F$807:$H$878,3,FALSE),"")</f>
        <v>45839</v>
      </c>
      <c r="BF221" s="609"/>
      <c r="BG221" s="609"/>
      <c r="BH221" s="609"/>
      <c r="BI221" s="609"/>
      <c r="BJ221" s="609"/>
      <c r="BK221" s="609"/>
      <c r="BL221" s="609"/>
      <c r="BM221" s="609"/>
    </row>
    <row r="222" ht="15.75" customHeight="1">
      <c r="A222" s="341" t="s">
        <v>281</v>
      </c>
      <c r="B222" s="101">
        <v>39479.0</v>
      </c>
      <c r="C222" s="1045">
        <v>82000.0</v>
      </c>
      <c r="D222" s="104"/>
      <c r="E222" s="103"/>
      <c r="F222" s="604"/>
      <c r="G222" s="103" t="s">
        <v>1611</v>
      </c>
      <c r="H222" s="103"/>
      <c r="I222" s="545" t="s">
        <v>1066</v>
      </c>
      <c r="J222" s="111" t="s">
        <v>3133</v>
      </c>
      <c r="K222" s="336" t="str">
        <f t="shared" si="52"/>
        <v>Update</v>
      </c>
      <c r="L222" s="108" t="s">
        <v>680</v>
      </c>
      <c r="M222" s="109">
        <v>45822.0</v>
      </c>
      <c r="N222" s="109">
        <v>45823.0</v>
      </c>
      <c r="O222" s="334"/>
      <c r="P222" s="185"/>
      <c r="Q222" s="450"/>
      <c r="R222" s="197" t="s">
        <v>3134</v>
      </c>
      <c r="S222" s="112" t="s">
        <v>33</v>
      </c>
      <c r="T222" s="113">
        <v>45781.0</v>
      </c>
      <c r="U222" s="114" t="str">
        <f>IF(V222="","No AIS",VLOOKUP(V222,'Voyage days'!$A$3:$B$1480,2,FALSE))</f>
        <v>Cape (as proxy)</v>
      </c>
      <c r="V222" s="115" t="str">
        <f>IF(VLOOKUP(A222,'1) Kpler'!$E$2:$P$1000,8, FALSE)="","",VLOOKUP(A222,'1) Kpler'!$E$2:$P$1000,8, FALSE))</f>
        <v>Port Elizabeth</v>
      </c>
      <c r="W222" s="116">
        <f>IF(VLOOKUP(A222,'1) Kpler'!$E$2:$P$1000,9,FALSE)="","",VLOOKUP(A222,'1) Kpler'!$E$2:$P$1000,9,FALSE))</f>
        <v>46132.70417</v>
      </c>
      <c r="X222" s="115" t="str">
        <f>VLOOKUP(A222,'1) Kpler'!$E$2:$I$1000,4,FALSE)</f>
        <v>ballast</v>
      </c>
      <c r="Y222" s="160" t="str">
        <f t="shared" si="40"/>
        <v/>
      </c>
      <c r="Z222" s="120" t="str">
        <f t="shared" si="41"/>
        <v/>
      </c>
      <c r="AA222" s="121" t="str">
        <f>IFERROR($M222+VLOOKUP($L222,'Voyage days'!$F$38:$H$89,3,FALSE),"")</f>
        <v/>
      </c>
      <c r="AB222" s="121" t="str">
        <f>IFERROR(N222+VLOOKUP($L222,'Voyage days'!$F$38:$H$89,3,FALSE),"")</f>
        <v/>
      </c>
      <c r="AC222" s="120" t="str">
        <f t="shared" si="42"/>
        <v>14-15 Jun</v>
      </c>
      <c r="AD222" s="121">
        <f>IFERROR($M222+VLOOKUP($L222,'Voyage days'!$F$94:$H$193,3,FALSE),"")</f>
        <v>45822</v>
      </c>
      <c r="AE222" s="121">
        <f>IFERROR($N222+VLOOKUP($L222,'Voyage days'!$F$94:$H$193,3,FALSE),"")</f>
        <v>45823</v>
      </c>
      <c r="AF222" s="120" t="str">
        <f t="shared" si="43"/>
        <v>14-15 Jun</v>
      </c>
      <c r="AG222" s="121">
        <f>IFERROR($M222+VLOOKUP($L222,'Voyage days'!$F$203:$H$256,3,FALSE),"")</f>
        <v>45822</v>
      </c>
      <c r="AH222" s="121">
        <f>IFERROR($N222+VLOOKUP($L222,'Voyage days'!$F$203:$H$256,3,FALSE),"")</f>
        <v>45823</v>
      </c>
      <c r="AI222" s="120" t="str">
        <f t="shared" si="44"/>
        <v/>
      </c>
      <c r="AJ222" s="121" t="str">
        <f>IFERROR($M222+VLOOKUP($L222,'Voyage days'!$F$294:$H$377,3,FALSE),"")</f>
        <v/>
      </c>
      <c r="AK222" s="121" t="str">
        <f>IFERROR($N222+VLOOKUP($L222,'Voyage days'!$F$294:$H$377,3,FALSE),"")</f>
        <v/>
      </c>
      <c r="AL222" s="120" t="str">
        <f t="shared" si="45"/>
        <v>04-05 Jul</v>
      </c>
      <c r="AM222" s="121">
        <f>IFERROR($M222+VLOOKUP($L222,'Voyage days'!$F$382:$H$446,3,FALSE),"")</f>
        <v>45842</v>
      </c>
      <c r="AN222" s="121">
        <f>IFERROR($N222+VLOOKUP($L222,'Voyage days'!$F$382:$H$446,3,FALSE),"")</f>
        <v>45843</v>
      </c>
      <c r="AO222" s="120" t="str">
        <f t="shared" si="46"/>
        <v/>
      </c>
      <c r="AP222" s="121" t="str">
        <f>IFERROR($M222+VLOOKUP($L222,'Voyage days'!$F$483:$H$538,3,FALSE),"")</f>
        <v/>
      </c>
      <c r="AQ222" s="121" t="str">
        <f>IFERROR($N222+VLOOKUP($L222,'Voyage days'!$F$483:$H$538,3,FALSE),"")</f>
        <v/>
      </c>
      <c r="AR222" s="120" t="str">
        <f t="shared" si="47"/>
        <v/>
      </c>
      <c r="AS222" s="121" t="str">
        <f>IFERROR($M222+VLOOKUP($L222,'Voyage days'!$F$540:$H$613,3,FALSE),"")</f>
        <v/>
      </c>
      <c r="AT222" s="121" t="str">
        <f>IFERROR($N222+VLOOKUP($L222,'Voyage days'!$F$540:$H$613,3,FALSE),"")</f>
        <v/>
      </c>
      <c r="AU222" s="120" t="str">
        <f t="shared" si="48"/>
        <v/>
      </c>
      <c r="AV222" s="121" t="str">
        <f>IFERROR($M222+VLOOKUP($L222,'Voyage days'!$L$483:$N$535,3,FALSE),"")</f>
        <v/>
      </c>
      <c r="AW222" s="121" t="str">
        <f>IFERROR($N222+VLOOKUP($L222,'Voyage days'!$L$483:$N$535,3,FALSE),"")</f>
        <v/>
      </c>
      <c r="AX222" s="120" t="str">
        <f t="shared" si="49"/>
        <v/>
      </c>
      <c r="AY222" s="122" t="str">
        <f>IFERROR($M222+VLOOKUP($L222,'Voyage days'!$F$620:$H$646,3,FALSE),"")</f>
        <v/>
      </c>
      <c r="AZ222" s="122" t="str">
        <f>IFERROR($N222+VLOOKUP($L222,'Voyage days'!$F$620:$H$646,3,FALSE),"")</f>
        <v/>
      </c>
      <c r="BA222" s="120" t="str">
        <f t="shared" si="50"/>
        <v/>
      </c>
      <c r="BB222" s="123" t="str">
        <f>IFERROR($M222+VLOOKUP($L222,'Voyage days'!$F$702:$H$727,3,FALSE),"")</f>
        <v/>
      </c>
      <c r="BC222" s="120" t="str">
        <f t="shared" si="51"/>
        <v/>
      </c>
      <c r="BD222" s="122" t="str">
        <f>IFERROR($M222+VLOOKUP($L222,'Voyage days'!$F$807:$H$878,3,FALSE),"")</f>
        <v/>
      </c>
      <c r="BE222" s="122" t="str">
        <f>IFERROR($N222+VLOOKUP($L222,'Voyage days'!$F$807:$H$878,3,FALSE),"")</f>
        <v/>
      </c>
      <c r="BF222" s="609"/>
      <c r="BG222" s="609"/>
      <c r="BH222" s="609"/>
      <c r="BI222" s="609"/>
      <c r="BJ222" s="609"/>
      <c r="BK222" s="609"/>
      <c r="BL222" s="609"/>
      <c r="BM222" s="609"/>
    </row>
    <row r="223" ht="15.75" customHeight="1">
      <c r="A223" s="341" t="s">
        <v>287</v>
      </c>
      <c r="B223" s="542">
        <v>39692.0</v>
      </c>
      <c r="C223" s="1045">
        <v>82791.0</v>
      </c>
      <c r="D223" s="1168"/>
      <c r="E223" s="103"/>
      <c r="F223" s="604" t="s">
        <v>3135</v>
      </c>
      <c r="G223" s="605"/>
      <c r="H223" s="604"/>
      <c r="I223" s="545" t="s">
        <v>1066</v>
      </c>
      <c r="J223" s="111" t="s">
        <v>1066</v>
      </c>
      <c r="K223" s="336" t="str">
        <f t="shared" si="52"/>
        <v>NO AIS</v>
      </c>
      <c r="L223" s="108" t="s">
        <v>755</v>
      </c>
      <c r="M223" s="109">
        <v>45797.0</v>
      </c>
      <c r="N223" s="109">
        <v>45802.0</v>
      </c>
      <c r="O223" s="334"/>
      <c r="P223" s="1167" t="s">
        <v>3136</v>
      </c>
      <c r="Q223" s="111"/>
      <c r="R223" s="540" t="s">
        <v>1070</v>
      </c>
      <c r="S223" s="112" t="s">
        <v>934</v>
      </c>
      <c r="T223" s="113">
        <v>45748.0</v>
      </c>
      <c r="U223" s="114" t="str">
        <f>IF(V223="","No AIS",VLOOKUP(V223,'Voyage days'!$A$3:$B$1480,2,FALSE))</f>
        <v>No AIS</v>
      </c>
      <c r="V223" s="115" t="str">
        <f>IF(VLOOKUP(A223,'1) Kpler'!$E$2:$P$1000,8, FALSE)="","",VLOOKUP(A223,'1) Kpler'!$E$2:$P$1000,8, FALSE))</f>
        <v/>
      </c>
      <c r="W223" s="116" t="str">
        <f>IF(VLOOKUP(A223,'1) Kpler'!$E$2:$P$1000,9,FALSE)="","",VLOOKUP(A223,'1) Kpler'!$E$2:$P$1000,9,FALSE))</f>
        <v/>
      </c>
      <c r="X223" s="115" t="str">
        <f>VLOOKUP(A223,'1) Kpler'!$E$2:$I$1000,4,FALSE)</f>
        <v>ballast</v>
      </c>
      <c r="Y223" s="117" t="str">
        <f t="shared" si="40"/>
        <v>31-05 Jun</v>
      </c>
      <c r="Z223" s="120" t="str">
        <f t="shared" si="41"/>
        <v>31-05 Jun</v>
      </c>
      <c r="AA223" s="121">
        <f>IFERROR($M223+VLOOKUP($L223,'Voyage days'!$F$38:$H$89,3,FALSE),"")</f>
        <v>45808</v>
      </c>
      <c r="AB223" s="121">
        <f>IFERROR(N223+VLOOKUP($L223,'Voyage days'!$F$38:$H$89,3,FALSE),"")</f>
        <v>45813</v>
      </c>
      <c r="AC223" s="120" t="str">
        <f t="shared" si="42"/>
        <v>28-03 Jul</v>
      </c>
      <c r="AD223" s="121">
        <f>IFERROR($M223+VLOOKUP($L223,'Voyage days'!$F$94:$H$193,3,FALSE),"")</f>
        <v>45836</v>
      </c>
      <c r="AE223" s="121">
        <f>IFERROR($N223+VLOOKUP($L223,'Voyage days'!$F$94:$H$193,3,FALSE),"")</f>
        <v>45841</v>
      </c>
      <c r="AF223" s="120" t="str">
        <f t="shared" si="43"/>
        <v>26-01 Jul</v>
      </c>
      <c r="AG223" s="121">
        <f>IFERROR($M223+VLOOKUP($L223,'Voyage days'!$F$203:$H$256,3,FALSE),"")</f>
        <v>45834</v>
      </c>
      <c r="AH223" s="121">
        <f>IFERROR($N223+VLOOKUP($L223,'Voyage days'!$F$203:$H$256,3,FALSE),"")</f>
        <v>45839</v>
      </c>
      <c r="AI223" s="120" t="str">
        <f t="shared" si="44"/>
        <v>09-14 Jun</v>
      </c>
      <c r="AJ223" s="121">
        <f>IFERROR($M223+VLOOKUP($L223,'Voyage days'!$F$294:$H$377,3,FALSE),"")</f>
        <v>45817</v>
      </c>
      <c r="AK223" s="121">
        <f>IFERROR($N223+VLOOKUP($L223,'Voyage days'!$F$294:$H$377,3,FALSE),"")</f>
        <v>45822</v>
      </c>
      <c r="AL223" s="120" t="str">
        <f t="shared" si="45"/>
        <v>18-23 Jun</v>
      </c>
      <c r="AM223" s="121">
        <f>IFERROR($M223+VLOOKUP($L223,'Voyage days'!$F$382:$H$446,3,FALSE),"")</f>
        <v>45826</v>
      </c>
      <c r="AN223" s="121">
        <f>IFERROR($N223+VLOOKUP($L223,'Voyage days'!$F$382:$H$446,3,FALSE),"")</f>
        <v>45831</v>
      </c>
      <c r="AO223" s="120" t="str">
        <f t="shared" si="46"/>
        <v>29-03 Jun</v>
      </c>
      <c r="AP223" s="121">
        <f>IFERROR($M223+VLOOKUP($L223,'Voyage days'!$F$483:$H$538,3,FALSE),"")</f>
        <v>45806</v>
      </c>
      <c r="AQ223" s="121">
        <f>IFERROR($N223+VLOOKUP($L223,'Voyage days'!$F$483:$H$538,3,FALSE),"")</f>
        <v>45811</v>
      </c>
      <c r="AR223" s="120" t="str">
        <f t="shared" si="47"/>
        <v>24-29 May</v>
      </c>
      <c r="AS223" s="121">
        <f>IFERROR($M223+VLOOKUP($L223,'Voyage days'!$F$540:$H$613,3,FALSE),"")</f>
        <v>45801</v>
      </c>
      <c r="AT223" s="121">
        <f>IFERROR($N223+VLOOKUP($L223,'Voyage days'!$F$540:$H$613,3,FALSE),"")</f>
        <v>45806</v>
      </c>
      <c r="AU223" s="120" t="str">
        <f t="shared" si="48"/>
        <v/>
      </c>
      <c r="AV223" s="121" t="str">
        <f>IFERROR($M223+VLOOKUP($L223,'Voyage days'!$L$483:$N$535,3,FALSE),"")</f>
        <v/>
      </c>
      <c r="AW223" s="121" t="str">
        <f>IFERROR($N223+VLOOKUP($L223,'Voyage days'!$L$483:$N$535,3,FALSE),"")</f>
        <v/>
      </c>
      <c r="AX223" s="120" t="str">
        <f t="shared" si="49"/>
        <v/>
      </c>
      <c r="AY223" s="122" t="str">
        <f>IFERROR($M223+VLOOKUP($L223,'Voyage days'!$F$620:$H$646,3,FALSE),"")</f>
        <v/>
      </c>
      <c r="AZ223" s="122" t="str">
        <f>IFERROR($N223+VLOOKUP($L223,'Voyage days'!$F$620:$H$646,3,FALSE),"")</f>
        <v/>
      </c>
      <c r="BA223" s="120" t="str">
        <f t="shared" si="50"/>
        <v>28-01 Jul</v>
      </c>
      <c r="BB223" s="123">
        <f>IFERROR($M223+VLOOKUP($L223,'Voyage days'!$F$702:$H$727,3,FALSE),"")</f>
        <v>45805</v>
      </c>
      <c r="BC223" s="120" t="str">
        <f t="shared" si="51"/>
        <v>26-01 Jul</v>
      </c>
      <c r="BD223" s="122">
        <f>IFERROR($M223+VLOOKUP($L223,'Voyage days'!$F$807:$H$878,3,FALSE),"")</f>
        <v>45834</v>
      </c>
      <c r="BE223" s="122">
        <f>IFERROR($N223+VLOOKUP($L223,'Voyage days'!$F$807:$H$878,3,FALSE),"")</f>
        <v>45839</v>
      </c>
      <c r="BF223" s="609"/>
      <c r="BG223" s="609"/>
      <c r="BH223" s="609"/>
      <c r="BI223" s="609"/>
      <c r="BJ223" s="609"/>
      <c r="BK223" s="609"/>
      <c r="BL223" s="609"/>
      <c r="BM223" s="609"/>
    </row>
    <row r="224" ht="15.75" customHeight="1">
      <c r="A224" s="341" t="s">
        <v>395</v>
      </c>
      <c r="B224" s="194">
        <v>40422.0</v>
      </c>
      <c r="C224" s="1045">
        <v>80199.0</v>
      </c>
      <c r="D224" s="192" t="s">
        <v>3137</v>
      </c>
      <c r="E224" s="103"/>
      <c r="F224" s="604">
        <v>44276.0</v>
      </c>
      <c r="G224" s="103" t="s">
        <v>1611</v>
      </c>
      <c r="H224" s="1130"/>
      <c r="I224" s="545" t="s">
        <v>1066</v>
      </c>
      <c r="J224" s="185" t="s">
        <v>2984</v>
      </c>
      <c r="K224" s="336" t="str">
        <f t="shared" si="52"/>
        <v>Update</v>
      </c>
      <c r="L224" s="185" t="s">
        <v>755</v>
      </c>
      <c r="M224" s="109">
        <v>45787.0</v>
      </c>
      <c r="N224" s="109">
        <v>45792.0</v>
      </c>
      <c r="O224" s="110"/>
      <c r="P224" s="108" t="s">
        <v>3138</v>
      </c>
      <c r="Q224" s="111"/>
      <c r="R224" s="185" t="s">
        <v>3139</v>
      </c>
      <c r="S224" s="112" t="s">
        <v>934</v>
      </c>
      <c r="T224" s="113">
        <v>45782.0</v>
      </c>
      <c r="U224" s="114" t="str">
        <f>IF(V224="","No AIS",VLOOKUP(V224,'Voyage days'!$A$3:$B$1480,2,FALSE))</f>
        <v>Vietnam + 3</v>
      </c>
      <c r="V224" s="115" t="str">
        <f>IF(VLOOKUP(A224,'1) Kpler'!$E$2:$P$1000,8, FALSE)="","",VLOOKUP(A224,'1) Kpler'!$E$2:$P$1000,8, FALSE))</f>
        <v>PV Vung Tau</v>
      </c>
      <c r="W224" s="116">
        <f>IF(VLOOKUP(A224,'1) Kpler'!$E$2:$P$1000,9,FALSE)="","",VLOOKUP(A224,'1) Kpler'!$E$2:$P$1000,9,FALSE))</f>
        <v>46140.41667</v>
      </c>
      <c r="X224" s="115" t="str">
        <f>VLOOKUP(A224,'1) Kpler'!$E$2:$I$1000,4,FALSE)</f>
        <v>loaded</v>
      </c>
      <c r="Y224" s="160" t="str">
        <f t="shared" si="40"/>
        <v>21-26 May</v>
      </c>
      <c r="Z224" s="120" t="str">
        <f t="shared" si="41"/>
        <v>21-26 May</v>
      </c>
      <c r="AA224" s="121">
        <f>IFERROR($M224+VLOOKUP($L224,'Voyage days'!$F$38:$H$89,3,FALSE),"")</f>
        <v>45798</v>
      </c>
      <c r="AB224" s="121">
        <f>IFERROR(N224+VLOOKUP($L224,'Voyage days'!$F$38:$H$89,3,FALSE),"")</f>
        <v>45803</v>
      </c>
      <c r="AC224" s="120" t="str">
        <f t="shared" si="42"/>
        <v>18-23 Jun</v>
      </c>
      <c r="AD224" s="121">
        <f>IFERROR($M224+VLOOKUP($L224,'Voyage days'!$F$94:$H$193,3,FALSE),"")</f>
        <v>45826</v>
      </c>
      <c r="AE224" s="121">
        <f>IFERROR($N224+VLOOKUP($L224,'Voyage days'!$F$94:$H$193,3,FALSE),"")</f>
        <v>45831</v>
      </c>
      <c r="AF224" s="120" t="str">
        <f t="shared" si="43"/>
        <v>16-21 Jun</v>
      </c>
      <c r="AG224" s="121">
        <f>IFERROR($M224+VLOOKUP($L224,'Voyage days'!$F$203:$H$256,3,FALSE),"")</f>
        <v>45824</v>
      </c>
      <c r="AH224" s="121">
        <f>IFERROR($N224+VLOOKUP($L224,'Voyage days'!$F$203:$H$256,3,FALSE),"")</f>
        <v>45829</v>
      </c>
      <c r="AI224" s="120" t="str">
        <f t="shared" si="44"/>
        <v>30-04 Jun</v>
      </c>
      <c r="AJ224" s="121">
        <f>IFERROR($M224+VLOOKUP($L224,'Voyage days'!$F$294:$H$377,3,FALSE),"")</f>
        <v>45807</v>
      </c>
      <c r="AK224" s="121">
        <f>IFERROR($N224+VLOOKUP($L224,'Voyage days'!$F$294:$H$377,3,FALSE),"")</f>
        <v>45812</v>
      </c>
      <c r="AL224" s="120" t="str">
        <f t="shared" si="45"/>
        <v>08-13 Jun</v>
      </c>
      <c r="AM224" s="121">
        <f>IFERROR($M224+VLOOKUP($L224,'Voyage days'!$F$382:$H$446,3,FALSE),"")</f>
        <v>45816</v>
      </c>
      <c r="AN224" s="121">
        <f>IFERROR($N224+VLOOKUP($L224,'Voyage days'!$F$382:$H$446,3,FALSE),"")</f>
        <v>45821</v>
      </c>
      <c r="AO224" s="120" t="str">
        <f t="shared" si="46"/>
        <v>19-24 May</v>
      </c>
      <c r="AP224" s="121">
        <f>IFERROR($M224+VLOOKUP($L224,'Voyage days'!$F$483:$H$538,3,FALSE),"")</f>
        <v>45796</v>
      </c>
      <c r="AQ224" s="121">
        <f>IFERROR($N224+VLOOKUP($L224,'Voyage days'!$F$483:$H$538,3,FALSE),"")</f>
        <v>45801</v>
      </c>
      <c r="AR224" s="120" t="str">
        <f t="shared" si="47"/>
        <v>14-19 May</v>
      </c>
      <c r="AS224" s="121">
        <f>IFERROR($M224+VLOOKUP($L224,'Voyage days'!$F$540:$H$613,3,FALSE),"")</f>
        <v>45791</v>
      </c>
      <c r="AT224" s="121">
        <f>IFERROR($N224+VLOOKUP($L224,'Voyage days'!$F$540:$H$613,3,FALSE),"")</f>
        <v>45796</v>
      </c>
      <c r="AU224" s="120" t="str">
        <f t="shared" si="48"/>
        <v/>
      </c>
      <c r="AV224" s="121" t="str">
        <f>IFERROR($M224+VLOOKUP($L224,'Voyage days'!$L$483:$N$535,3,FALSE),"")</f>
        <v/>
      </c>
      <c r="AW224" s="121" t="str">
        <f>IFERROR($N224+VLOOKUP($L224,'Voyage days'!$L$483:$N$535,3,FALSE),"")</f>
        <v/>
      </c>
      <c r="AX224" s="120" t="str">
        <f t="shared" si="49"/>
        <v/>
      </c>
      <c r="AY224" s="122" t="str">
        <f>IFERROR($M224+VLOOKUP($L224,'Voyage days'!$F$620:$H$646,3,FALSE),"")</f>
        <v/>
      </c>
      <c r="AZ224" s="122" t="str">
        <f>IFERROR($N224+VLOOKUP($L224,'Voyage days'!$F$620:$H$646,3,FALSE),"")</f>
        <v/>
      </c>
      <c r="BA224" s="120" t="str">
        <f t="shared" si="50"/>
        <v>18-21 Jun</v>
      </c>
      <c r="BB224" s="123">
        <f>IFERROR($M224+VLOOKUP($L224,'Voyage days'!$F$702:$H$727,3,FALSE),"")</f>
        <v>45795</v>
      </c>
      <c r="BC224" s="120" t="str">
        <f t="shared" si="51"/>
        <v>16-21 Jun</v>
      </c>
      <c r="BD224" s="122">
        <f>IFERROR($M224+VLOOKUP($L224,'Voyage days'!$F$807:$H$878,3,FALSE),"")</f>
        <v>45824</v>
      </c>
      <c r="BE224" s="122">
        <f>IFERROR($N224+VLOOKUP($L224,'Voyage days'!$F$807:$H$878,3,FALSE),"")</f>
        <v>45829</v>
      </c>
      <c r="BF224" s="609"/>
      <c r="BG224" s="609"/>
      <c r="BH224" s="609"/>
      <c r="BI224" s="609"/>
      <c r="BJ224" s="609"/>
      <c r="BK224" s="609"/>
      <c r="BL224" s="609"/>
      <c r="BM224" s="609"/>
    </row>
    <row r="225" ht="15.75" customHeight="1">
      <c r="A225" s="147" t="s">
        <v>487</v>
      </c>
      <c r="B225" s="101">
        <v>41518.0</v>
      </c>
      <c r="C225" s="1045">
        <v>84000.0</v>
      </c>
      <c r="D225" s="104" t="s">
        <v>570</v>
      </c>
      <c r="E225" s="103"/>
      <c r="F225" s="604"/>
      <c r="G225" s="103" t="s">
        <v>1611</v>
      </c>
      <c r="H225" s="604"/>
      <c r="I225" s="545" t="s">
        <v>1066</v>
      </c>
      <c r="J225" s="111" t="s">
        <v>1066</v>
      </c>
      <c r="K225" s="336" t="str">
        <f t="shared" si="52"/>
        <v>Update</v>
      </c>
      <c r="L225" s="108" t="s">
        <v>755</v>
      </c>
      <c r="M225" s="109">
        <v>45796.0</v>
      </c>
      <c r="N225" s="109">
        <v>45798.0</v>
      </c>
      <c r="O225" s="334"/>
      <c r="P225" s="111"/>
      <c r="Q225" s="111"/>
      <c r="R225" s="108" t="s">
        <v>3140</v>
      </c>
      <c r="S225" s="112" t="s">
        <v>33</v>
      </c>
      <c r="T225" s="113">
        <v>45774.0</v>
      </c>
      <c r="U225" s="114" t="str">
        <f>IF(V225="","No AIS",VLOOKUP(V225,'Voyage days'!$A$3:$B$1480,2,FALSE))</f>
        <v>USG</v>
      </c>
      <c r="V225" s="115" t="str">
        <f>IF(VLOOKUP(A225,'1) Kpler'!$E$2:$P$1000,8, FALSE)="","",VLOOKUP(A225,'1) Kpler'!$E$2:$P$1000,8, FALSE))</f>
        <v>Freeport Texas</v>
      </c>
      <c r="W225" s="116">
        <f>IF(VLOOKUP(A225,'1) Kpler'!$E$2:$P$1000,9,FALSE)="","",VLOOKUP(A225,'1) Kpler'!$E$2:$P$1000,9,FALSE))</f>
        <v>46162.75</v>
      </c>
      <c r="X225" s="115" t="str">
        <f>VLOOKUP(A225,'1) Kpler'!$E$2:$I$1000,4,FALSE)</f>
        <v>ballast</v>
      </c>
      <c r="Y225" s="160" t="str">
        <f t="shared" si="40"/>
        <v>30-01 Jun</v>
      </c>
      <c r="Z225" s="120" t="str">
        <f t="shared" si="41"/>
        <v>30-01 Jun</v>
      </c>
      <c r="AA225" s="121">
        <f>IFERROR($M225+VLOOKUP($L225,'Voyage days'!$F$38:$H$89,3,FALSE),"")</f>
        <v>45807</v>
      </c>
      <c r="AB225" s="121">
        <f>IFERROR(N225+VLOOKUP($L225,'Voyage days'!$F$38:$H$89,3,FALSE),"")</f>
        <v>45809</v>
      </c>
      <c r="AC225" s="120" t="str">
        <f t="shared" si="42"/>
        <v>27-29 Jun</v>
      </c>
      <c r="AD225" s="121">
        <f>IFERROR($M225+VLOOKUP($L225,'Voyage days'!$F$94:$H$193,3,FALSE),"")</f>
        <v>45835</v>
      </c>
      <c r="AE225" s="121">
        <f>IFERROR($N225+VLOOKUP($L225,'Voyage days'!$F$94:$H$193,3,FALSE),"")</f>
        <v>45837</v>
      </c>
      <c r="AF225" s="120" t="str">
        <f t="shared" si="43"/>
        <v>25-27 Jun</v>
      </c>
      <c r="AG225" s="121">
        <f>IFERROR($M225+VLOOKUP($L225,'Voyage days'!$F$203:$H$256,3,FALSE),"")</f>
        <v>45833</v>
      </c>
      <c r="AH225" s="121">
        <f>IFERROR($N225+VLOOKUP($L225,'Voyage days'!$F$203:$H$256,3,FALSE),"")</f>
        <v>45835</v>
      </c>
      <c r="AI225" s="120" t="str">
        <f t="shared" si="44"/>
        <v>08-10 Jun</v>
      </c>
      <c r="AJ225" s="121">
        <f>IFERROR($M225+VLOOKUP($L225,'Voyage days'!$F$294:$H$377,3,FALSE),"")</f>
        <v>45816</v>
      </c>
      <c r="AK225" s="121">
        <f>IFERROR($N225+VLOOKUP($L225,'Voyage days'!$F$294:$H$377,3,FALSE),"")</f>
        <v>45818</v>
      </c>
      <c r="AL225" s="120" t="str">
        <f t="shared" si="45"/>
        <v>17-19 Jun</v>
      </c>
      <c r="AM225" s="121">
        <f>IFERROR($M225+VLOOKUP($L225,'Voyage days'!$F$382:$H$446,3,FALSE),"")</f>
        <v>45825</v>
      </c>
      <c r="AN225" s="121">
        <f>IFERROR($N225+VLOOKUP($L225,'Voyage days'!$F$382:$H$446,3,FALSE),"")</f>
        <v>45827</v>
      </c>
      <c r="AO225" s="120" t="str">
        <f t="shared" si="46"/>
        <v>28-30 May</v>
      </c>
      <c r="AP225" s="121">
        <f>IFERROR($M225+VLOOKUP($L225,'Voyage days'!$F$483:$H$538,3,FALSE),"")</f>
        <v>45805</v>
      </c>
      <c r="AQ225" s="121">
        <f>IFERROR($N225+VLOOKUP($L225,'Voyage days'!$F$483:$H$538,3,FALSE),"")</f>
        <v>45807</v>
      </c>
      <c r="AR225" s="120" t="str">
        <f t="shared" si="47"/>
        <v>23-25 May</v>
      </c>
      <c r="AS225" s="121">
        <f>IFERROR($M225+VLOOKUP($L225,'Voyage days'!$F$540:$H$613,3,FALSE),"")</f>
        <v>45800</v>
      </c>
      <c r="AT225" s="121">
        <f>IFERROR($N225+VLOOKUP($L225,'Voyage days'!$F$540:$H$613,3,FALSE),"")</f>
        <v>45802</v>
      </c>
      <c r="AU225" s="120" t="str">
        <f t="shared" si="48"/>
        <v/>
      </c>
      <c r="AV225" s="121" t="str">
        <f>IFERROR($M225+VLOOKUP($L225,'Voyage days'!$L$483:$N$535,3,FALSE),"")</f>
        <v/>
      </c>
      <c r="AW225" s="121" t="str">
        <f>IFERROR($N225+VLOOKUP($L225,'Voyage days'!$L$483:$N$535,3,FALSE),"")</f>
        <v/>
      </c>
      <c r="AX225" s="120" t="str">
        <f t="shared" si="49"/>
        <v/>
      </c>
      <c r="AY225" s="122" t="str">
        <f>IFERROR($M225+VLOOKUP($L225,'Voyage days'!$F$620:$H$646,3,FALSE),"")</f>
        <v/>
      </c>
      <c r="AZ225" s="122" t="str">
        <f>IFERROR($N225+VLOOKUP($L225,'Voyage days'!$F$620:$H$646,3,FALSE),"")</f>
        <v/>
      </c>
      <c r="BA225" s="120" t="str">
        <f t="shared" si="50"/>
        <v>27-27 Jun</v>
      </c>
      <c r="BB225" s="123">
        <f>IFERROR($M225+VLOOKUP($L225,'Voyage days'!$F$702:$H$727,3,FALSE),"")</f>
        <v>45804</v>
      </c>
      <c r="BC225" s="120" t="str">
        <f t="shared" si="51"/>
        <v>25-27 Jun</v>
      </c>
      <c r="BD225" s="122">
        <f>IFERROR($M225+VLOOKUP($L225,'Voyage days'!$F$807:$H$878,3,FALSE),"")</f>
        <v>45833</v>
      </c>
      <c r="BE225" s="122">
        <f>IFERROR($N225+VLOOKUP($L225,'Voyage days'!$F$807:$H$878,3,FALSE),"")</f>
        <v>45835</v>
      </c>
      <c r="BF225" s="609"/>
      <c r="BG225" s="609"/>
      <c r="BH225" s="609"/>
      <c r="BI225" s="609"/>
      <c r="BJ225" s="609"/>
      <c r="BK225" s="609"/>
      <c r="BL225" s="609"/>
      <c r="BM225" s="609"/>
    </row>
    <row r="226" ht="15.75" customHeight="1">
      <c r="A226" s="606" t="s">
        <v>488</v>
      </c>
      <c r="B226" s="542">
        <v>41773.0</v>
      </c>
      <c r="C226" s="1045">
        <v>84000.0</v>
      </c>
      <c r="D226" s="1143" t="s">
        <v>570</v>
      </c>
      <c r="E226" s="1144"/>
      <c r="F226" s="1145"/>
      <c r="G226" s="103" t="s">
        <v>1611</v>
      </c>
      <c r="H226" s="1145"/>
      <c r="I226" s="1169" t="s">
        <v>1066</v>
      </c>
      <c r="J226" s="340" t="s">
        <v>1066</v>
      </c>
      <c r="K226" s="336" t="str">
        <f t="shared" si="52"/>
        <v>Update</v>
      </c>
      <c r="L226" s="197" t="s">
        <v>755</v>
      </c>
      <c r="M226" s="109">
        <v>45792.0</v>
      </c>
      <c r="N226" s="109">
        <v>45793.0</v>
      </c>
      <c r="O226" s="334"/>
      <c r="P226" s="686"/>
      <c r="Q226" s="340"/>
      <c r="R226" s="1094"/>
      <c r="S226" s="112" t="s">
        <v>934</v>
      </c>
      <c r="T226" s="113">
        <v>45784.0</v>
      </c>
      <c r="U226" s="114" t="str">
        <f>IF(V226="","No AIS",VLOOKUP(V226,'Voyage days'!$A$3:$B$1480,2,FALSE))</f>
        <v>USG</v>
      </c>
      <c r="V226" s="115" t="str">
        <f>IF(VLOOKUP(A226,'1) Kpler'!$E$2:$P$1000,8, FALSE)="","",VLOOKUP(A226,'1) Kpler'!$E$2:$P$1000,8, FALSE))</f>
        <v>Freeport Texas</v>
      </c>
      <c r="W226" s="116">
        <f>IF(VLOOKUP(A226,'1) Kpler'!$E$2:$P$1000,9,FALSE)="","",VLOOKUP(A226,'1) Kpler'!$E$2:$P$1000,9,FALSE))</f>
        <v>46132.48681</v>
      </c>
      <c r="X226" s="115" t="str">
        <f>VLOOKUP(A226,'1) Kpler'!$E$2:$I$1000,4,FALSE)</f>
        <v>ballast</v>
      </c>
      <c r="Y226" s="117" t="str">
        <f t="shared" si="40"/>
        <v>26-27 May</v>
      </c>
      <c r="Z226" s="120" t="str">
        <f t="shared" si="41"/>
        <v>26-27 May</v>
      </c>
      <c r="AA226" s="121">
        <f>IFERROR($M226+VLOOKUP($L226,'Voyage days'!$F$38:$H$89,3,FALSE),"")</f>
        <v>45803</v>
      </c>
      <c r="AB226" s="121">
        <f>IFERROR(N226+VLOOKUP($L226,'Voyage days'!$F$38:$H$89,3,FALSE),"")</f>
        <v>45804</v>
      </c>
      <c r="AC226" s="120" t="str">
        <f t="shared" si="42"/>
        <v>23-24 Jun</v>
      </c>
      <c r="AD226" s="121">
        <f>IFERROR($M226+VLOOKUP($L226,'Voyage days'!$F$94:$H$193,3,FALSE),"")</f>
        <v>45831</v>
      </c>
      <c r="AE226" s="121">
        <f>IFERROR($N226+VLOOKUP($L226,'Voyage days'!$F$94:$H$193,3,FALSE),"")</f>
        <v>45832</v>
      </c>
      <c r="AF226" s="120" t="str">
        <f t="shared" si="43"/>
        <v>21-22 Jun</v>
      </c>
      <c r="AG226" s="121">
        <f>IFERROR($M226+VLOOKUP($L226,'Voyage days'!$F$203:$H$256,3,FALSE),"")</f>
        <v>45829</v>
      </c>
      <c r="AH226" s="121">
        <f>IFERROR($N226+VLOOKUP($L226,'Voyage days'!$F$203:$H$256,3,FALSE),"")</f>
        <v>45830</v>
      </c>
      <c r="AI226" s="120" t="str">
        <f t="shared" si="44"/>
        <v>04-05 Jun</v>
      </c>
      <c r="AJ226" s="121">
        <f>IFERROR($M226+VLOOKUP($L226,'Voyage days'!$F$294:$H$377,3,FALSE),"")</f>
        <v>45812</v>
      </c>
      <c r="AK226" s="121">
        <f>IFERROR($N226+VLOOKUP($L226,'Voyage days'!$F$294:$H$377,3,FALSE),"")</f>
        <v>45813</v>
      </c>
      <c r="AL226" s="120" t="str">
        <f t="shared" si="45"/>
        <v>13-14 Jun</v>
      </c>
      <c r="AM226" s="121">
        <f>IFERROR($M226+VLOOKUP($L226,'Voyage days'!$F$382:$H$446,3,FALSE),"")</f>
        <v>45821</v>
      </c>
      <c r="AN226" s="121">
        <f>IFERROR($N226+VLOOKUP($L226,'Voyage days'!$F$382:$H$446,3,FALSE),"")</f>
        <v>45822</v>
      </c>
      <c r="AO226" s="120" t="str">
        <f t="shared" si="46"/>
        <v>24-25 May</v>
      </c>
      <c r="AP226" s="121">
        <f>IFERROR($M226+VLOOKUP($L226,'Voyage days'!$F$483:$H$538,3,FALSE),"")</f>
        <v>45801</v>
      </c>
      <c r="AQ226" s="121">
        <f>IFERROR($N226+VLOOKUP($L226,'Voyage days'!$F$483:$H$538,3,FALSE),"")</f>
        <v>45802</v>
      </c>
      <c r="AR226" s="120" t="str">
        <f t="shared" si="47"/>
        <v>19-20 May</v>
      </c>
      <c r="AS226" s="121">
        <f>IFERROR($M226+VLOOKUP($L226,'Voyage days'!$F$540:$H$613,3,FALSE),"")</f>
        <v>45796</v>
      </c>
      <c r="AT226" s="121">
        <f>IFERROR($N226+VLOOKUP($L226,'Voyage days'!$F$540:$H$613,3,FALSE),"")</f>
        <v>45797</v>
      </c>
      <c r="AU226" s="120" t="str">
        <f t="shared" si="48"/>
        <v/>
      </c>
      <c r="AV226" s="121" t="str">
        <f>IFERROR($M226+VLOOKUP($L226,'Voyage days'!$L$483:$N$535,3,FALSE),"")</f>
        <v/>
      </c>
      <c r="AW226" s="121" t="str">
        <f>IFERROR($N226+VLOOKUP($L226,'Voyage days'!$L$483:$N$535,3,FALSE),"")</f>
        <v/>
      </c>
      <c r="AX226" s="120" t="str">
        <f t="shared" si="49"/>
        <v/>
      </c>
      <c r="AY226" s="122" t="str">
        <f>IFERROR($M226+VLOOKUP($L226,'Voyage days'!$F$620:$H$646,3,FALSE),"")</f>
        <v/>
      </c>
      <c r="AZ226" s="122" t="str">
        <f>IFERROR($N226+VLOOKUP($L226,'Voyage days'!$F$620:$H$646,3,FALSE),"")</f>
        <v/>
      </c>
      <c r="BA226" s="120" t="str">
        <f t="shared" si="50"/>
        <v>23-22 Jun</v>
      </c>
      <c r="BB226" s="123">
        <f>IFERROR($M226+VLOOKUP($L226,'Voyage days'!$F$702:$H$727,3,FALSE),"")</f>
        <v>45800</v>
      </c>
      <c r="BC226" s="120" t="str">
        <f t="shared" si="51"/>
        <v>21-22 Jun</v>
      </c>
      <c r="BD226" s="122">
        <f>IFERROR($M226+VLOOKUP($L226,'Voyage days'!$F$807:$H$878,3,FALSE),"")</f>
        <v>45829</v>
      </c>
      <c r="BE226" s="122">
        <f>IFERROR($N226+VLOOKUP($L226,'Voyage days'!$F$807:$H$878,3,FALSE),"")</f>
        <v>45830</v>
      </c>
      <c r="BF226" s="609"/>
      <c r="BG226" s="609"/>
      <c r="BH226" s="609"/>
      <c r="BI226" s="609"/>
      <c r="BJ226" s="609"/>
      <c r="BK226" s="609"/>
      <c r="BL226" s="609"/>
      <c r="BM226" s="609"/>
    </row>
    <row r="227" ht="15.75" customHeight="1">
      <c r="A227" s="100" t="s">
        <v>503</v>
      </c>
      <c r="B227" s="194">
        <v>37530.0</v>
      </c>
      <c r="C227" s="1045">
        <v>82200.0</v>
      </c>
      <c r="D227" s="104" t="s">
        <v>1687</v>
      </c>
      <c r="E227" s="103"/>
      <c r="F227" s="604"/>
      <c r="G227" s="605">
        <v>46692.0</v>
      </c>
      <c r="H227" s="604"/>
      <c r="I227" s="545" t="s">
        <v>1066</v>
      </c>
      <c r="J227" s="111" t="s">
        <v>3141</v>
      </c>
      <c r="K227" s="336" t="str">
        <f t="shared" si="52"/>
        <v>NO AIS</v>
      </c>
      <c r="L227" s="108" t="s">
        <v>680</v>
      </c>
      <c r="M227" s="109">
        <v>45812.0</v>
      </c>
      <c r="N227" s="109">
        <v>45813.0</v>
      </c>
      <c r="O227" s="334"/>
      <c r="P227" s="185"/>
      <c r="Q227" s="111"/>
      <c r="R227" s="108" t="s">
        <v>3142</v>
      </c>
      <c r="S227" s="112" t="s">
        <v>934</v>
      </c>
      <c r="T227" s="113">
        <v>45772.0</v>
      </c>
      <c r="U227" s="114" t="str">
        <f>IF(V227="","No AIS",VLOOKUP(V227,'Voyage days'!$A$3:$B$1480,2,FALSE))</f>
        <v>No AIS</v>
      </c>
      <c r="V227" s="115" t="str">
        <f>IF(VLOOKUP(A227,'1) Kpler'!$E$2:$P$1000,8, FALSE)="","",VLOOKUP(A227,'1) Kpler'!$E$2:$P$1000,8, FALSE))</f>
        <v/>
      </c>
      <c r="W227" s="116" t="str">
        <f>IF(VLOOKUP(A227,'1) Kpler'!$E$2:$P$1000,9,FALSE)="","",VLOOKUP(A227,'1) Kpler'!$E$2:$P$1000,9,FALSE))</f>
        <v/>
      </c>
      <c r="X227" s="115" t="str">
        <f>VLOOKUP(A227,'1) Kpler'!$E$2:$I$1000,4,FALSE)</f>
        <v>ballast</v>
      </c>
      <c r="Y227" s="160" t="str">
        <f t="shared" si="40"/>
        <v/>
      </c>
      <c r="Z227" s="120" t="str">
        <f t="shared" si="41"/>
        <v/>
      </c>
      <c r="AA227" s="121" t="str">
        <f>IFERROR($M227+VLOOKUP($L227,'Voyage days'!$F$38:$H$89,3,FALSE),"")</f>
        <v/>
      </c>
      <c r="AB227" s="121" t="str">
        <f>IFERROR(N227+VLOOKUP($L227,'Voyage days'!$F$38:$H$89,3,FALSE),"")</f>
        <v/>
      </c>
      <c r="AC227" s="120" t="str">
        <f t="shared" si="42"/>
        <v>04-05 Jun</v>
      </c>
      <c r="AD227" s="121">
        <f>IFERROR($M227+VLOOKUP($L227,'Voyage days'!$F$94:$H$193,3,FALSE),"")</f>
        <v>45812</v>
      </c>
      <c r="AE227" s="121">
        <f>IFERROR($N227+VLOOKUP($L227,'Voyage days'!$F$94:$H$193,3,FALSE),"")</f>
        <v>45813</v>
      </c>
      <c r="AF227" s="120" t="str">
        <f t="shared" si="43"/>
        <v>04-05 Jun</v>
      </c>
      <c r="AG227" s="121">
        <f>IFERROR($M227+VLOOKUP($L227,'Voyage days'!$F$203:$H$256,3,FALSE),"")</f>
        <v>45812</v>
      </c>
      <c r="AH227" s="121">
        <f>IFERROR($N227+VLOOKUP($L227,'Voyage days'!$F$203:$H$256,3,FALSE),"")</f>
        <v>45813</v>
      </c>
      <c r="AI227" s="120" t="str">
        <f t="shared" si="44"/>
        <v/>
      </c>
      <c r="AJ227" s="121" t="str">
        <f>IFERROR($M227+VLOOKUP($L227,'Voyage days'!$F$294:$H$377,3,FALSE),"")</f>
        <v/>
      </c>
      <c r="AK227" s="121" t="str">
        <f>IFERROR($N227+VLOOKUP($L227,'Voyage days'!$F$294:$H$377,3,FALSE),"")</f>
        <v/>
      </c>
      <c r="AL227" s="120" t="str">
        <f t="shared" si="45"/>
        <v>24-25 Jun</v>
      </c>
      <c r="AM227" s="121">
        <f>IFERROR($M227+VLOOKUP($L227,'Voyage days'!$F$382:$H$446,3,FALSE),"")</f>
        <v>45832</v>
      </c>
      <c r="AN227" s="121">
        <f>IFERROR($N227+VLOOKUP($L227,'Voyage days'!$F$382:$H$446,3,FALSE),"")</f>
        <v>45833</v>
      </c>
      <c r="AO227" s="120" t="str">
        <f t="shared" si="46"/>
        <v/>
      </c>
      <c r="AP227" s="121" t="str">
        <f>IFERROR($M227+VLOOKUP($L227,'Voyage days'!$F$483:$H$538,3,FALSE),"")</f>
        <v/>
      </c>
      <c r="AQ227" s="121" t="str">
        <f>IFERROR($N227+VLOOKUP($L227,'Voyage days'!$F$483:$H$538,3,FALSE),"")</f>
        <v/>
      </c>
      <c r="AR227" s="120" t="str">
        <f t="shared" si="47"/>
        <v/>
      </c>
      <c r="AS227" s="121" t="str">
        <f>IFERROR($M227+VLOOKUP($L227,'Voyage days'!$F$540:$H$613,3,FALSE),"")</f>
        <v/>
      </c>
      <c r="AT227" s="121" t="str">
        <f>IFERROR($N227+VLOOKUP($L227,'Voyage days'!$F$540:$H$613,3,FALSE),"")</f>
        <v/>
      </c>
      <c r="AU227" s="120" t="str">
        <f t="shared" si="48"/>
        <v/>
      </c>
      <c r="AV227" s="121" t="str">
        <f>IFERROR($M227+VLOOKUP($L227,'Voyage days'!$L$483:$N$535,3,FALSE),"")</f>
        <v/>
      </c>
      <c r="AW227" s="121" t="str">
        <f>IFERROR($N227+VLOOKUP($L227,'Voyage days'!$L$483:$N$535,3,FALSE),"")</f>
        <v/>
      </c>
      <c r="AX227" s="120" t="str">
        <f t="shared" si="49"/>
        <v/>
      </c>
      <c r="AY227" s="122" t="str">
        <f>IFERROR($M227+VLOOKUP($L227,'Voyage days'!$F$620:$H$646,3,FALSE),"")</f>
        <v/>
      </c>
      <c r="AZ227" s="122" t="str">
        <f>IFERROR($N227+VLOOKUP($L227,'Voyage days'!$F$620:$H$646,3,FALSE),"")</f>
        <v/>
      </c>
      <c r="BA227" s="120" t="str">
        <f t="shared" si="50"/>
        <v/>
      </c>
      <c r="BB227" s="123" t="str">
        <f>IFERROR($M227+VLOOKUP($L227,'Voyage days'!$F$702:$H$727,3,FALSE),"")</f>
        <v/>
      </c>
      <c r="BC227" s="120" t="str">
        <f t="shared" si="51"/>
        <v/>
      </c>
      <c r="BD227" s="122" t="str">
        <f>IFERROR($M227+VLOOKUP($L227,'Voyage days'!$F$807:$H$878,3,FALSE),"")</f>
        <v/>
      </c>
      <c r="BE227" s="122" t="str">
        <f>IFERROR($N227+VLOOKUP($L227,'Voyage days'!$F$807:$H$878,3,FALSE),"")</f>
        <v/>
      </c>
      <c r="BF227" s="609"/>
      <c r="BG227" s="609"/>
      <c r="BH227" s="609"/>
      <c r="BI227" s="609"/>
      <c r="BJ227" s="609"/>
      <c r="BK227" s="609"/>
      <c r="BL227" s="609"/>
      <c r="BM227" s="609"/>
    </row>
    <row r="228" ht="15.75" customHeight="1">
      <c r="A228" s="546" t="s">
        <v>575</v>
      </c>
      <c r="B228" s="222">
        <v>39539.0</v>
      </c>
      <c r="C228" s="1101">
        <v>82500.0</v>
      </c>
      <c r="D228" s="168" t="s">
        <v>1687</v>
      </c>
      <c r="E228" s="223" t="s">
        <v>689</v>
      </c>
      <c r="F228" s="1010">
        <v>43817.0</v>
      </c>
      <c r="G228" s="223" t="s">
        <v>2907</v>
      </c>
      <c r="H228" s="1010"/>
      <c r="I228" s="1170" t="s">
        <v>1066</v>
      </c>
      <c r="J228" s="312" t="s">
        <v>3141</v>
      </c>
      <c r="K228" s="469" t="str">
        <f t="shared" si="52"/>
        <v>Update</v>
      </c>
      <c r="L228" s="172" t="s">
        <v>755</v>
      </c>
      <c r="M228" s="173">
        <v>45813.0</v>
      </c>
      <c r="N228" s="173">
        <v>45814.0</v>
      </c>
      <c r="O228" s="433"/>
      <c r="P228" s="463"/>
      <c r="Q228" s="312"/>
      <c r="R228" s="172" t="s">
        <v>3143</v>
      </c>
      <c r="S228" s="175" t="s">
        <v>934</v>
      </c>
      <c r="T228" s="176">
        <v>45776.0</v>
      </c>
      <c r="U228" s="177" t="str">
        <f>IF(V228="","No AIS",VLOOKUP(V228,'Voyage days'!$A$3:$B$1480,2,FALSE))</f>
        <v>USG</v>
      </c>
      <c r="V228" s="178" t="str">
        <f>IF(VLOOKUP(A228,'1) Kpler'!$E$2:$P$1000,8, FALSE)="","",VLOOKUP(A228,'1) Kpler'!$E$2:$P$1000,8, FALSE))</f>
        <v>Freeport Texas</v>
      </c>
      <c r="W228" s="179">
        <f>IF(VLOOKUP(A228,'1) Kpler'!$E$2:$P$1000,9,FALSE)="","",VLOOKUP(A228,'1) Kpler'!$E$2:$P$1000,9,FALSE))</f>
        <v>46152.625</v>
      </c>
      <c r="X228" s="178" t="str">
        <f>VLOOKUP(A228,'1) Kpler'!$E$2:$I$1000,4,FALSE)</f>
        <v>ballast</v>
      </c>
      <c r="Y228" s="180" t="str">
        <f t="shared" si="40"/>
        <v>16-17 Jun</v>
      </c>
      <c r="Z228" s="120" t="str">
        <f t="shared" si="41"/>
        <v>16-17 Jun</v>
      </c>
      <c r="AA228" s="121">
        <f>IFERROR($M228+VLOOKUP($L228,'Voyage days'!$F$38:$H$89,3,FALSE),"")</f>
        <v>45824</v>
      </c>
      <c r="AB228" s="121">
        <f>IFERROR(N228+VLOOKUP($L228,'Voyage days'!$F$38:$H$89,3,FALSE),"")</f>
        <v>45825</v>
      </c>
      <c r="AC228" s="120" t="str">
        <f t="shared" si="42"/>
        <v>14-15 Jul</v>
      </c>
      <c r="AD228" s="121">
        <f>IFERROR($M228+VLOOKUP($L228,'Voyage days'!$F$94:$H$193,3,FALSE),"")</f>
        <v>45852</v>
      </c>
      <c r="AE228" s="121">
        <f>IFERROR($N228+VLOOKUP($L228,'Voyage days'!$F$94:$H$193,3,FALSE),"")</f>
        <v>45853</v>
      </c>
      <c r="AF228" s="120" t="str">
        <f t="shared" si="43"/>
        <v>12-13 Jul</v>
      </c>
      <c r="AG228" s="121">
        <f>IFERROR($M228+VLOOKUP($L228,'Voyage days'!$F$203:$H$256,3,FALSE),"")</f>
        <v>45850</v>
      </c>
      <c r="AH228" s="121">
        <f>IFERROR($N228+VLOOKUP($L228,'Voyage days'!$F$203:$H$256,3,FALSE),"")</f>
        <v>45851</v>
      </c>
      <c r="AI228" s="120" t="str">
        <f t="shared" si="44"/>
        <v>25-26 Jun</v>
      </c>
      <c r="AJ228" s="121">
        <f>IFERROR($M228+VLOOKUP($L228,'Voyage days'!$F$294:$H$377,3,FALSE),"")</f>
        <v>45833</v>
      </c>
      <c r="AK228" s="121">
        <f>IFERROR($N228+VLOOKUP($L228,'Voyage days'!$F$294:$H$377,3,FALSE),"")</f>
        <v>45834</v>
      </c>
      <c r="AL228" s="120" t="str">
        <f t="shared" si="45"/>
        <v>04-05 Jul</v>
      </c>
      <c r="AM228" s="121">
        <f>IFERROR($M228+VLOOKUP($L228,'Voyage days'!$F$382:$H$446,3,FALSE),"")</f>
        <v>45842</v>
      </c>
      <c r="AN228" s="121">
        <f>IFERROR($N228+VLOOKUP($L228,'Voyage days'!$F$382:$H$446,3,FALSE),"")</f>
        <v>45843</v>
      </c>
      <c r="AO228" s="120" t="str">
        <f t="shared" si="46"/>
        <v>14-15 Jun</v>
      </c>
      <c r="AP228" s="121">
        <f>IFERROR($M228+VLOOKUP($L228,'Voyage days'!$F$483:$H$538,3,FALSE),"")</f>
        <v>45822</v>
      </c>
      <c r="AQ228" s="121">
        <f>IFERROR($N228+VLOOKUP($L228,'Voyage days'!$F$483:$H$538,3,FALSE),"")</f>
        <v>45823</v>
      </c>
      <c r="AR228" s="120" t="str">
        <f t="shared" si="47"/>
        <v>09-10 Jun</v>
      </c>
      <c r="AS228" s="121">
        <f>IFERROR($M228+VLOOKUP($L228,'Voyage days'!$F$540:$H$613,3,FALSE),"")</f>
        <v>45817</v>
      </c>
      <c r="AT228" s="121">
        <f>IFERROR($N228+VLOOKUP($L228,'Voyage days'!$F$540:$H$613,3,FALSE),"")</f>
        <v>45818</v>
      </c>
      <c r="AU228" s="120" t="str">
        <f t="shared" si="48"/>
        <v/>
      </c>
      <c r="AV228" s="121" t="str">
        <f>IFERROR($M228+VLOOKUP($L228,'Voyage days'!$L$483:$N$535,3,FALSE),"")</f>
        <v/>
      </c>
      <c r="AW228" s="121" t="str">
        <f>IFERROR($N228+VLOOKUP($L228,'Voyage days'!$L$483:$N$535,3,FALSE),"")</f>
        <v/>
      </c>
      <c r="AX228" s="120" t="str">
        <f t="shared" si="49"/>
        <v/>
      </c>
      <c r="AY228" s="122" t="str">
        <f>IFERROR($M228+VLOOKUP($L228,'Voyage days'!$F$620:$H$646,3,FALSE),"")</f>
        <v/>
      </c>
      <c r="AZ228" s="122" t="str">
        <f>IFERROR($N228+VLOOKUP($L228,'Voyage days'!$F$620:$H$646,3,FALSE),"")</f>
        <v/>
      </c>
      <c r="BA228" s="120" t="str">
        <f t="shared" si="50"/>
        <v>13-13 Jul</v>
      </c>
      <c r="BB228" s="123">
        <f>IFERROR($M228+VLOOKUP($L228,'Voyage days'!$F$702:$H$727,3,FALSE),"")</f>
        <v>45821</v>
      </c>
      <c r="BC228" s="120" t="str">
        <f t="shared" si="51"/>
        <v>12-13 Jul</v>
      </c>
      <c r="BD228" s="122">
        <f>IFERROR($M228+VLOOKUP($L228,'Voyage days'!$F$807:$H$878,3,FALSE),"")</f>
        <v>45850</v>
      </c>
      <c r="BE228" s="122">
        <f>IFERROR($N228+VLOOKUP($L228,'Voyage days'!$F$807:$H$878,3,FALSE),"")</f>
        <v>45851</v>
      </c>
      <c r="BF228" s="609"/>
      <c r="BG228" s="609"/>
      <c r="BH228" s="609"/>
      <c r="BI228" s="609"/>
      <c r="BJ228" s="609"/>
      <c r="BK228" s="609"/>
      <c r="BL228" s="609"/>
      <c r="BM228" s="609"/>
    </row>
    <row r="229" ht="15.75" customHeight="1">
      <c r="A229" s="274" t="s">
        <v>354</v>
      </c>
      <c r="B229" s="441">
        <v>2023.0</v>
      </c>
      <c r="C229" s="1171">
        <v>93000.0</v>
      </c>
      <c r="D229" s="150"/>
      <c r="E229" s="149" t="s">
        <v>666</v>
      </c>
      <c r="F229" s="1014"/>
      <c r="G229" s="1015"/>
      <c r="H229" s="149"/>
      <c r="I229" s="157" t="s">
        <v>1080</v>
      </c>
      <c r="J229" s="157"/>
      <c r="K229" s="470" t="str">
        <f t="shared" si="52"/>
        <v>Update</v>
      </c>
      <c r="L229" s="153" t="s">
        <v>1231</v>
      </c>
      <c r="M229" s="238">
        <v>45814.0</v>
      </c>
      <c r="N229" s="238">
        <v>45816.0</v>
      </c>
      <c r="O229" s="155"/>
      <c r="P229" s="157"/>
      <c r="Q229" s="317"/>
      <c r="R229" s="153" t="s">
        <v>3144</v>
      </c>
      <c r="S229" s="256" t="s">
        <v>934</v>
      </c>
      <c r="T229" s="420">
        <v>45783.0</v>
      </c>
      <c r="U229" s="114" t="str">
        <f>IF(V229="","No AIS",VLOOKUP(V229,'Voyage days'!$A$3:$B$1480,2,FALSE))</f>
        <v>Japan + 6</v>
      </c>
      <c r="V229" s="114" t="str">
        <f>IF(VLOOKUP(A229,'1) Kpler'!$E$2:$P$1000,8, FALSE)="","",VLOOKUP(A229,'1) Kpler'!$E$2:$P$1000,8, FALSE))</f>
        <v>Imari</v>
      </c>
      <c r="W229" s="159">
        <f>IF(VLOOKUP(A229,'1) Kpler'!$E$2:$P$1000,9,FALSE)="","",VLOOKUP(A229,'1) Kpler'!$E$2:$P$1000,9,FALSE))</f>
        <v>46132.5</v>
      </c>
      <c r="X229" s="114" t="str">
        <f>VLOOKUP(A229,'1) Kpler'!$E$2:$I$1000,4,FALSE)</f>
        <v>loaded</v>
      </c>
      <c r="Y229" s="272" t="str">
        <f t="shared" si="40"/>
        <v>15-17 Jun</v>
      </c>
      <c r="Z229" s="163" t="str">
        <f t="shared" si="41"/>
        <v>15-17 Jun</v>
      </c>
      <c r="AA229" s="122">
        <f>IFERROR($M229+VLOOKUP($L229,'Voyage days'!$F$38:$H$89,3,FALSE),"")</f>
        <v>45823</v>
      </c>
      <c r="AB229" s="122">
        <f>IFERROR(N229+VLOOKUP($L229,'Voyage days'!$F$38:$H$89,3,FALSE),"")</f>
        <v>45825</v>
      </c>
      <c r="AC229" s="163" t="str">
        <f t="shared" si="42"/>
        <v/>
      </c>
      <c r="AD229" s="122" t="str">
        <f>IFERROR($M229+VLOOKUP($L229,'Voyage days'!$F$94:$H$193,3,FALSE),"")</f>
        <v/>
      </c>
      <c r="AE229" s="122" t="str">
        <f>IFERROR($N229+VLOOKUP($L229,'Voyage days'!$F$94:$H$193,3,FALSE),"")</f>
        <v/>
      </c>
      <c r="AF229" s="163" t="str">
        <f t="shared" si="43"/>
        <v>12-14 Jul</v>
      </c>
      <c r="AG229" s="122">
        <f>IFERROR($M229+VLOOKUP($L229,'Voyage days'!$F$203:$H$256,3,FALSE),"")</f>
        <v>45850</v>
      </c>
      <c r="AH229" s="122">
        <f>IFERROR($N229+VLOOKUP($L229,'Voyage days'!$F$203:$H$256,3,FALSE),"")</f>
        <v>45852</v>
      </c>
      <c r="AI229" s="163" t="str">
        <f t="shared" si="44"/>
        <v>27-29 Jun</v>
      </c>
      <c r="AJ229" s="122">
        <f>IFERROR($M229+VLOOKUP($L229,'Voyage days'!$F$294:$H$377,3,FALSE),"")</f>
        <v>45835</v>
      </c>
      <c r="AK229" s="122">
        <f>IFERROR($N229+VLOOKUP($L229,'Voyage days'!$F$294:$H$377,3,FALSE),"")</f>
        <v>45837</v>
      </c>
      <c r="AL229" s="163" t="str">
        <f t="shared" si="45"/>
        <v>04-06 Jul</v>
      </c>
      <c r="AM229" s="122">
        <f>IFERROR($M229+VLOOKUP($L229,'Voyage days'!$F$382:$H$446,3,FALSE),"")</f>
        <v>45842</v>
      </c>
      <c r="AN229" s="122">
        <f>IFERROR($N229+VLOOKUP($L229,'Voyage days'!$F$382:$H$446,3,FALSE),"")</f>
        <v>45844</v>
      </c>
      <c r="AO229" s="163" t="str">
        <f t="shared" si="46"/>
        <v>06-08 Jun</v>
      </c>
      <c r="AP229" s="122">
        <f>IFERROR($M229+VLOOKUP($L229,'Voyage days'!$F$483:$H$538,3,FALSE),"")</f>
        <v>45814</v>
      </c>
      <c r="AQ229" s="122">
        <f>IFERROR($N229+VLOOKUP($L229,'Voyage days'!$F$483:$H$538,3,FALSE),"")</f>
        <v>45816</v>
      </c>
      <c r="AR229" s="163" t="str">
        <f t="shared" si="47"/>
        <v/>
      </c>
      <c r="AS229" s="122" t="str">
        <f>IFERROR($M229+VLOOKUP($L229,'Voyage days'!$F$540:$H$613,3,FALSE),"")</f>
        <v/>
      </c>
      <c r="AT229" s="122" t="str">
        <f>IFERROR($N229+VLOOKUP($L229,'Voyage days'!$F$540:$H$613,3,FALSE),"")</f>
        <v/>
      </c>
      <c r="AU229" s="163" t="str">
        <f t="shared" si="48"/>
        <v/>
      </c>
      <c r="AV229" s="122" t="str">
        <f>IFERROR($M229+VLOOKUP($L229,'Voyage days'!$L$483:$N$535,3,FALSE),"")</f>
        <v/>
      </c>
      <c r="AW229" s="122" t="str">
        <f>IFERROR($N229+VLOOKUP($L229,'Voyage days'!$L$483:$N$535,3,FALSE),"")</f>
        <v/>
      </c>
      <c r="AX229" s="163" t="str">
        <f t="shared" si="49"/>
        <v/>
      </c>
      <c r="AY229" s="122" t="str">
        <f>IFERROR($M229+VLOOKUP($L229,'Voyage days'!$F$620:$H$646,3,FALSE),"")</f>
        <v/>
      </c>
      <c r="AZ229" s="122" t="str">
        <f>IFERROR($N229+VLOOKUP($L229,'Voyage days'!$F$620:$H$646,3,FALSE),"")</f>
        <v/>
      </c>
      <c r="BA229" s="163" t="str">
        <f t="shared" si="50"/>
        <v/>
      </c>
      <c r="BB229" s="123" t="str">
        <f>IFERROR($M229+VLOOKUP($L229,'Voyage days'!$F$702:$H$727,3,FALSE),"")</f>
        <v/>
      </c>
      <c r="BC229" s="163" t="str">
        <f t="shared" si="51"/>
        <v>14-16 Jul</v>
      </c>
      <c r="BD229" s="122">
        <f>IFERROR($M229+VLOOKUP($L229,'Voyage days'!$F$807:$H$878,3,FALSE),"")</f>
        <v>45852</v>
      </c>
      <c r="BE229" s="122">
        <f>IFERROR($N229+VLOOKUP($L229,'Voyage days'!$F$807:$H$878,3,FALSE),"")</f>
        <v>45854</v>
      </c>
      <c r="BF229" s="609"/>
      <c r="BG229" s="609"/>
      <c r="BH229" s="609"/>
      <c r="BI229" s="609"/>
      <c r="BJ229" s="609"/>
      <c r="BK229" s="609"/>
      <c r="BL229" s="609"/>
      <c r="BM229" s="609"/>
    </row>
    <row r="230" ht="15.75" customHeight="1">
      <c r="A230" s="80" t="s">
        <v>379</v>
      </c>
      <c r="B230" s="441">
        <v>2023.0</v>
      </c>
      <c r="C230" s="1171">
        <v>93000.0</v>
      </c>
      <c r="D230" s="104" t="s">
        <v>1687</v>
      </c>
      <c r="E230" s="103" t="s">
        <v>666</v>
      </c>
      <c r="F230" s="604"/>
      <c r="G230" s="605"/>
      <c r="H230" s="103"/>
      <c r="I230" s="185" t="s">
        <v>1080</v>
      </c>
      <c r="J230" s="185"/>
      <c r="K230" s="336" t="str">
        <f t="shared" si="52"/>
        <v>Update</v>
      </c>
      <c r="L230" s="108" t="s">
        <v>1171</v>
      </c>
      <c r="M230" s="109">
        <v>45810.0</v>
      </c>
      <c r="N230" s="109">
        <v>45811.0</v>
      </c>
      <c r="O230" s="110"/>
      <c r="P230" s="185"/>
      <c r="Q230" s="187"/>
      <c r="R230" s="108" t="s">
        <v>3145</v>
      </c>
      <c r="S230" s="112" t="s">
        <v>934</v>
      </c>
      <c r="T230" s="113">
        <v>45783.0</v>
      </c>
      <c r="U230" s="114" t="str">
        <f>IF(V230="","No AIS",VLOOKUP(V230,'Voyage days'!$A$3:$B$1480,2,FALSE))</f>
        <v>East China + 4</v>
      </c>
      <c r="V230" s="115" t="str">
        <f>IF(VLOOKUP(A230,'1) Kpler'!$E$2:$P$1000,8, FALSE)="","",VLOOKUP(A230,'1) Kpler'!$E$2:$P$1000,8, FALSE))</f>
        <v>Nanrong Petrochemical Terminal</v>
      </c>
      <c r="W230" s="116">
        <f>IF(VLOOKUP(A230,'1) Kpler'!$E$2:$P$1000,9,FALSE)="","",VLOOKUP(A230,'1) Kpler'!$E$2:$P$1000,9,FALSE))</f>
        <v>46146.41667</v>
      </c>
      <c r="X230" s="115" t="str">
        <f>VLOOKUP(A230,'1) Kpler'!$E$2:$I$1000,4,FALSE)</f>
        <v>loaded</v>
      </c>
      <c r="Y230" s="117" t="str">
        <f t="shared" si="40"/>
        <v>26-27 Jun</v>
      </c>
      <c r="Z230" s="120" t="str">
        <f t="shared" si="41"/>
        <v>26-27 Jun</v>
      </c>
      <c r="AA230" s="121">
        <f>IFERROR($M230+VLOOKUP($L230,'Voyage days'!$F$38:$H$89,3,FALSE),"")</f>
        <v>45834</v>
      </c>
      <c r="AB230" s="121">
        <f>IFERROR(N230+VLOOKUP($L230,'Voyage days'!$F$38:$H$89,3,FALSE),"")</f>
        <v>45835</v>
      </c>
      <c r="AC230" s="120" t="str">
        <f t="shared" si="42"/>
        <v/>
      </c>
      <c r="AD230" s="121" t="str">
        <f>IFERROR($M230+VLOOKUP($L230,'Voyage days'!$F$94:$H$193,3,FALSE),"")</f>
        <v/>
      </c>
      <c r="AE230" s="121" t="str">
        <f>IFERROR($N230+VLOOKUP($L230,'Voyage days'!$F$94:$H$193,3,FALSE),"")</f>
        <v/>
      </c>
      <c r="AF230" s="120" t="str">
        <f t="shared" si="43"/>
        <v/>
      </c>
      <c r="AG230" s="121" t="str">
        <f>IFERROR($M230+VLOOKUP($L230,'Voyage days'!$F$203:$H$256,3,FALSE),"")</f>
        <v/>
      </c>
      <c r="AH230" s="121" t="str">
        <f>IFERROR($N230+VLOOKUP($L230,'Voyage days'!$F$203:$H$256,3,FALSE),"")</f>
        <v/>
      </c>
      <c r="AI230" s="120" t="str">
        <f t="shared" si="44"/>
        <v>02-03 Jun</v>
      </c>
      <c r="AJ230" s="121">
        <f>IFERROR($M230+VLOOKUP($L230,'Voyage days'!$F$294:$H$377,3,FALSE),"")</f>
        <v>45810</v>
      </c>
      <c r="AK230" s="121">
        <f>IFERROR($N230+VLOOKUP($L230,'Voyage days'!$F$294:$H$377,3,FALSE),"")</f>
        <v>45811</v>
      </c>
      <c r="AL230" s="120" t="str">
        <f t="shared" si="45"/>
        <v>12-13 Jun</v>
      </c>
      <c r="AM230" s="121">
        <f>IFERROR($M230+VLOOKUP($L230,'Voyage days'!$F$382:$H$446,3,FALSE),"")</f>
        <v>45820</v>
      </c>
      <c r="AN230" s="121">
        <f>IFERROR($N230+VLOOKUP($L230,'Voyage days'!$F$382:$H$446,3,FALSE),"")</f>
        <v>45821</v>
      </c>
      <c r="AO230" s="120" t="str">
        <f t="shared" si="46"/>
        <v/>
      </c>
      <c r="AP230" s="121" t="str">
        <f>IFERROR($M230+VLOOKUP($L230,'Voyage days'!$F$483:$H$538,3,FALSE),"")</f>
        <v/>
      </c>
      <c r="AQ230" s="121" t="str">
        <f>IFERROR($N230+VLOOKUP($L230,'Voyage days'!$F$483:$H$538,3,FALSE),"")</f>
        <v/>
      </c>
      <c r="AR230" s="120" t="str">
        <f t="shared" si="47"/>
        <v/>
      </c>
      <c r="AS230" s="121" t="str">
        <f>IFERROR($M230+VLOOKUP($L230,'Voyage days'!$F$540:$H$613,3,FALSE),"")</f>
        <v/>
      </c>
      <c r="AT230" s="121" t="str">
        <f>IFERROR($N230+VLOOKUP($L230,'Voyage days'!$F$540:$H$613,3,FALSE),"")</f>
        <v/>
      </c>
      <c r="AU230" s="120" t="str">
        <f t="shared" si="48"/>
        <v/>
      </c>
      <c r="AV230" s="121" t="str">
        <f>IFERROR($M230+VLOOKUP($L230,'Voyage days'!$L$483:$N$535,3,FALSE),"")</f>
        <v/>
      </c>
      <c r="AW230" s="121" t="str">
        <f>IFERROR($N230+VLOOKUP($L230,'Voyage days'!$L$483:$N$535,3,FALSE),"")</f>
        <v/>
      </c>
      <c r="AX230" s="120" t="str">
        <f t="shared" si="49"/>
        <v/>
      </c>
      <c r="AY230" s="122" t="str">
        <f>IFERROR($M230+VLOOKUP($L230,'Voyage days'!$F$620:$H$646,3,FALSE),"")</f>
        <v/>
      </c>
      <c r="AZ230" s="122" t="str">
        <f>IFERROR($N230+VLOOKUP($L230,'Voyage days'!$F$620:$H$646,3,FALSE),"")</f>
        <v/>
      </c>
      <c r="BA230" s="120" t="str">
        <f t="shared" si="50"/>
        <v/>
      </c>
      <c r="BB230" s="123" t="str">
        <f>IFERROR($M230+VLOOKUP($L230,'Voyage days'!$F$702:$H$727,3,FALSE),"")</f>
        <v/>
      </c>
      <c r="BC230" s="120" t="str">
        <f t="shared" si="51"/>
        <v/>
      </c>
      <c r="BD230" s="122" t="str">
        <f>IFERROR($M230+VLOOKUP($L230,'Voyage days'!$F$807:$H$878,3,FALSE),"")</f>
        <v/>
      </c>
      <c r="BE230" s="122" t="str">
        <f>IFERROR($N230+VLOOKUP($L230,'Voyage days'!$F$807:$H$878,3,FALSE),"")</f>
        <v/>
      </c>
      <c r="BF230" s="609"/>
      <c r="BG230" s="609"/>
      <c r="BH230" s="609"/>
      <c r="BI230" s="609"/>
      <c r="BJ230" s="609"/>
      <c r="BK230" s="609"/>
      <c r="BL230" s="609"/>
      <c r="BM230" s="609"/>
    </row>
    <row r="231" ht="15.75" customHeight="1">
      <c r="A231" s="80" t="s">
        <v>381</v>
      </c>
      <c r="B231" s="441">
        <v>2023.0</v>
      </c>
      <c r="C231" s="1171">
        <v>93000.0</v>
      </c>
      <c r="D231" s="104"/>
      <c r="E231" s="103" t="s">
        <v>666</v>
      </c>
      <c r="F231" s="604"/>
      <c r="G231" s="103"/>
      <c r="H231" s="103"/>
      <c r="I231" s="185" t="s">
        <v>1080</v>
      </c>
      <c r="J231" s="185"/>
      <c r="K231" s="336" t="str">
        <f t="shared" si="52"/>
        <v>NO AIS</v>
      </c>
      <c r="L231" s="108" t="s">
        <v>680</v>
      </c>
      <c r="M231" s="109">
        <v>45802.0</v>
      </c>
      <c r="N231" s="109">
        <v>45804.0</v>
      </c>
      <c r="O231" s="110"/>
      <c r="P231" s="185"/>
      <c r="Q231" s="185"/>
      <c r="R231" s="185"/>
      <c r="S231" s="112" t="s">
        <v>934</v>
      </c>
      <c r="T231" s="113">
        <v>45775.0</v>
      </c>
      <c r="U231" s="114" t="str">
        <f>IF(V231="","No AIS",VLOOKUP(V231,'Voyage days'!$A$3:$B$1480,2,FALSE))</f>
        <v>No AIS</v>
      </c>
      <c r="V231" s="115" t="str">
        <f>IF(VLOOKUP(A231,'1) Kpler'!$E$2:$P$1000,8, FALSE)="","",VLOOKUP(A231,'1) Kpler'!$E$2:$P$1000,8, FALSE))</f>
        <v/>
      </c>
      <c r="W231" s="116" t="str">
        <f>IF(VLOOKUP(A231,'1) Kpler'!$E$2:$P$1000,9,FALSE)="","",VLOOKUP(A231,'1) Kpler'!$E$2:$P$1000,9,FALSE))</f>
        <v/>
      </c>
      <c r="X231" s="115" t="str">
        <f>VLOOKUP(A231,'1) Kpler'!$E$2:$I$1000,4,FALSE)</f>
        <v>ballast</v>
      </c>
      <c r="Y231" s="160" t="str">
        <f t="shared" si="40"/>
        <v/>
      </c>
      <c r="Z231" s="120" t="str">
        <f t="shared" si="41"/>
        <v/>
      </c>
      <c r="AA231" s="121" t="str">
        <f>IFERROR($M231+VLOOKUP($L231,'Voyage days'!$F$38:$H$89,3,FALSE),"")</f>
        <v/>
      </c>
      <c r="AB231" s="121" t="str">
        <f>IFERROR(N231+VLOOKUP($L231,'Voyage days'!$F$38:$H$89,3,FALSE),"")</f>
        <v/>
      </c>
      <c r="AC231" s="120" t="str">
        <f t="shared" si="42"/>
        <v>25-27 May</v>
      </c>
      <c r="AD231" s="121">
        <f>IFERROR($M231+VLOOKUP($L231,'Voyage days'!$F$94:$H$193,3,FALSE),"")</f>
        <v>45802</v>
      </c>
      <c r="AE231" s="121">
        <f>IFERROR($N231+VLOOKUP($L231,'Voyage days'!$F$94:$H$193,3,FALSE),"")</f>
        <v>45804</v>
      </c>
      <c r="AF231" s="120" t="str">
        <f t="shared" si="43"/>
        <v>25-27 May</v>
      </c>
      <c r="AG231" s="121">
        <f>IFERROR($M231+VLOOKUP($L231,'Voyage days'!$F$203:$H$256,3,FALSE),"")</f>
        <v>45802</v>
      </c>
      <c r="AH231" s="121">
        <f>IFERROR($N231+VLOOKUP($L231,'Voyage days'!$F$203:$H$256,3,FALSE),"")</f>
        <v>45804</v>
      </c>
      <c r="AI231" s="120" t="str">
        <f t="shared" si="44"/>
        <v/>
      </c>
      <c r="AJ231" s="121" t="str">
        <f>IFERROR($M231+VLOOKUP($L231,'Voyage days'!$F$294:$H$377,3,FALSE),"")</f>
        <v/>
      </c>
      <c r="AK231" s="121" t="str">
        <f>IFERROR($N231+VLOOKUP($L231,'Voyage days'!$F$294:$H$377,3,FALSE),"")</f>
        <v/>
      </c>
      <c r="AL231" s="120" t="str">
        <f t="shared" si="45"/>
        <v>14-16 Jun</v>
      </c>
      <c r="AM231" s="121">
        <f>IFERROR($M231+VLOOKUP($L231,'Voyage days'!$F$382:$H$446,3,FALSE),"")</f>
        <v>45822</v>
      </c>
      <c r="AN231" s="121">
        <f>IFERROR($N231+VLOOKUP($L231,'Voyage days'!$F$382:$H$446,3,FALSE),"")</f>
        <v>45824</v>
      </c>
      <c r="AO231" s="120" t="str">
        <f t="shared" si="46"/>
        <v/>
      </c>
      <c r="AP231" s="121" t="str">
        <f>IFERROR($M231+VLOOKUP($L231,'Voyage days'!$F$483:$H$538,3,FALSE),"")</f>
        <v/>
      </c>
      <c r="AQ231" s="121" t="str">
        <f>IFERROR($N231+VLOOKUP($L231,'Voyage days'!$F$483:$H$538,3,FALSE),"")</f>
        <v/>
      </c>
      <c r="AR231" s="120" t="str">
        <f t="shared" si="47"/>
        <v/>
      </c>
      <c r="AS231" s="121" t="str">
        <f>IFERROR($M231+VLOOKUP($L231,'Voyage days'!$F$540:$H$613,3,FALSE),"")</f>
        <v/>
      </c>
      <c r="AT231" s="121" t="str">
        <f>IFERROR($N231+VLOOKUP($L231,'Voyage days'!$F$540:$H$613,3,FALSE),"")</f>
        <v/>
      </c>
      <c r="AU231" s="120" t="str">
        <f t="shared" si="48"/>
        <v/>
      </c>
      <c r="AV231" s="121" t="str">
        <f>IFERROR($M231+VLOOKUP($L231,'Voyage days'!$L$483:$N$535,3,FALSE),"")</f>
        <v/>
      </c>
      <c r="AW231" s="121" t="str">
        <f>IFERROR($N231+VLOOKUP($L231,'Voyage days'!$L$483:$N$535,3,FALSE),"")</f>
        <v/>
      </c>
      <c r="AX231" s="120" t="str">
        <f t="shared" si="49"/>
        <v/>
      </c>
      <c r="AY231" s="122" t="str">
        <f>IFERROR($M231+VLOOKUP($L231,'Voyage days'!$F$620:$H$646,3,FALSE),"")</f>
        <v/>
      </c>
      <c r="AZ231" s="122" t="str">
        <f>IFERROR($N231+VLOOKUP($L231,'Voyage days'!$F$620:$H$646,3,FALSE),"")</f>
        <v/>
      </c>
      <c r="BA231" s="120" t="str">
        <f t="shared" si="50"/>
        <v/>
      </c>
      <c r="BB231" s="123" t="str">
        <f>IFERROR($M231+VLOOKUP($L231,'Voyage days'!$F$702:$H$727,3,FALSE),"")</f>
        <v/>
      </c>
      <c r="BC231" s="120" t="str">
        <f t="shared" si="51"/>
        <v/>
      </c>
      <c r="BD231" s="122" t="str">
        <f>IFERROR($M231+VLOOKUP($L231,'Voyage days'!$F$807:$H$878,3,FALSE),"")</f>
        <v/>
      </c>
      <c r="BE231" s="122" t="str">
        <f>IFERROR($N231+VLOOKUP($L231,'Voyage days'!$F$807:$H$878,3,FALSE),"")</f>
        <v/>
      </c>
      <c r="BF231" s="609"/>
      <c r="BG231" s="609"/>
      <c r="BH231" s="609"/>
      <c r="BI231" s="609"/>
      <c r="BJ231" s="609"/>
      <c r="BK231" s="609"/>
      <c r="BL231" s="609"/>
      <c r="BM231" s="609"/>
    </row>
    <row r="232" ht="15.75" customHeight="1">
      <c r="A232" s="80" t="s">
        <v>352</v>
      </c>
      <c r="B232" s="441">
        <v>2024.0</v>
      </c>
      <c r="C232" s="1171">
        <v>93000.0</v>
      </c>
      <c r="D232" s="104"/>
      <c r="E232" s="103" t="s">
        <v>666</v>
      </c>
      <c r="F232" s="604"/>
      <c r="G232" s="103"/>
      <c r="H232" s="103"/>
      <c r="I232" s="185" t="s">
        <v>1080</v>
      </c>
      <c r="J232" s="185"/>
      <c r="K232" s="336" t="str">
        <f t="shared" si="52"/>
        <v>Update</v>
      </c>
      <c r="L232" s="108" t="s">
        <v>680</v>
      </c>
      <c r="M232" s="109">
        <v>45791.0</v>
      </c>
      <c r="N232" s="109">
        <v>45792.0</v>
      </c>
      <c r="O232" s="110"/>
      <c r="P232" s="185"/>
      <c r="Q232" s="185"/>
      <c r="R232" s="108" t="s">
        <v>3146</v>
      </c>
      <c r="S232" s="112" t="s">
        <v>934</v>
      </c>
      <c r="T232" s="113">
        <v>45783.0</v>
      </c>
      <c r="U232" s="114" t="str">
        <f>IF(V232="","No AIS",VLOOKUP(V232,'Voyage days'!$A$3:$B$1480,2,FALSE))</f>
        <v>WCI + 5</v>
      </c>
      <c r="V232" s="217" t="str">
        <f>IF(VLOOKUP(A232,'1) Kpler'!$E$2:$P$1000,8, FALSE)="","",VLOOKUP(A232,'1) Kpler'!$E$2:$P$1000,8, FALSE))</f>
        <v>Mangalore</v>
      </c>
      <c r="W232" s="218">
        <f>IF(VLOOKUP(A232,'1) Kpler'!$E$2:$P$1000,9,FALSE)="","",VLOOKUP(A232,'1) Kpler'!$E$2:$P$1000,9,FALSE))</f>
        <v>46158.625</v>
      </c>
      <c r="X232" s="217" t="str">
        <f>VLOOKUP(A232,'1) Kpler'!$E$2:$I$1000,4,FALSE)</f>
        <v>loaded</v>
      </c>
      <c r="Y232" s="160" t="str">
        <f t="shared" si="40"/>
        <v/>
      </c>
      <c r="Z232" s="120" t="str">
        <f t="shared" si="41"/>
        <v/>
      </c>
      <c r="AA232" s="121" t="str">
        <f>IFERROR($M232+VLOOKUP($L232,'Voyage days'!$F$38:$H$89,3,FALSE),"")</f>
        <v/>
      </c>
      <c r="AB232" s="121" t="str">
        <f>IFERROR(N232+VLOOKUP($L232,'Voyage days'!$F$38:$H$89,3,FALSE),"")</f>
        <v/>
      </c>
      <c r="AC232" s="120" t="str">
        <f t="shared" si="42"/>
        <v>14-15 May</v>
      </c>
      <c r="AD232" s="121">
        <f>IFERROR($M232+VLOOKUP($L232,'Voyage days'!$F$94:$H$193,3,FALSE),"")</f>
        <v>45791</v>
      </c>
      <c r="AE232" s="121">
        <f>IFERROR($N232+VLOOKUP($L232,'Voyage days'!$F$94:$H$193,3,FALSE),"")</f>
        <v>45792</v>
      </c>
      <c r="AF232" s="120" t="str">
        <f t="shared" si="43"/>
        <v>14-15 May</v>
      </c>
      <c r="AG232" s="121">
        <f>IFERROR($M232+VLOOKUP($L232,'Voyage days'!$F$203:$H$256,3,FALSE),"")</f>
        <v>45791</v>
      </c>
      <c r="AH232" s="121">
        <f>IFERROR($N232+VLOOKUP($L232,'Voyage days'!$F$203:$H$256,3,FALSE),"")</f>
        <v>45792</v>
      </c>
      <c r="AI232" s="120" t="str">
        <f t="shared" si="44"/>
        <v/>
      </c>
      <c r="AJ232" s="121" t="str">
        <f>IFERROR($M232+VLOOKUP($L232,'Voyage days'!$F$294:$H$377,3,FALSE),"")</f>
        <v/>
      </c>
      <c r="AK232" s="121" t="str">
        <f>IFERROR($N232+VLOOKUP($L232,'Voyage days'!$F$294:$H$377,3,FALSE),"")</f>
        <v/>
      </c>
      <c r="AL232" s="120" t="str">
        <f t="shared" si="45"/>
        <v>03-04 Jun</v>
      </c>
      <c r="AM232" s="121">
        <f>IFERROR($M232+VLOOKUP($L232,'Voyage days'!$F$382:$H$446,3,FALSE),"")</f>
        <v>45811</v>
      </c>
      <c r="AN232" s="121">
        <f>IFERROR($N232+VLOOKUP($L232,'Voyage days'!$F$382:$H$446,3,FALSE),"")</f>
        <v>45812</v>
      </c>
      <c r="AO232" s="120" t="str">
        <f t="shared" si="46"/>
        <v/>
      </c>
      <c r="AP232" s="121" t="str">
        <f>IFERROR($M232+VLOOKUP($L232,'Voyage days'!$F$483:$H$538,3,FALSE),"")</f>
        <v/>
      </c>
      <c r="AQ232" s="121" t="str">
        <f>IFERROR($N232+VLOOKUP($L232,'Voyage days'!$F$483:$H$538,3,FALSE),"")</f>
        <v/>
      </c>
      <c r="AR232" s="120" t="str">
        <f t="shared" si="47"/>
        <v/>
      </c>
      <c r="AS232" s="121" t="str">
        <f>IFERROR($M232+VLOOKUP($L232,'Voyage days'!$F$540:$H$613,3,FALSE),"")</f>
        <v/>
      </c>
      <c r="AT232" s="121" t="str">
        <f>IFERROR($N232+VLOOKUP($L232,'Voyage days'!$F$540:$H$613,3,FALSE),"")</f>
        <v/>
      </c>
      <c r="AU232" s="120" t="str">
        <f t="shared" si="48"/>
        <v/>
      </c>
      <c r="AV232" s="121" t="str">
        <f>IFERROR($M232+VLOOKUP($L232,'Voyage days'!$L$483:$N$535,3,FALSE),"")</f>
        <v/>
      </c>
      <c r="AW232" s="121" t="str">
        <f>IFERROR($N232+VLOOKUP($L232,'Voyage days'!$L$483:$N$535,3,FALSE),"")</f>
        <v/>
      </c>
      <c r="AX232" s="120" t="str">
        <f t="shared" si="49"/>
        <v/>
      </c>
      <c r="AY232" s="122" t="str">
        <f>IFERROR($M232+VLOOKUP($L232,'Voyage days'!$F$620:$H$646,3,FALSE),"")</f>
        <v/>
      </c>
      <c r="AZ232" s="122" t="str">
        <f>IFERROR($N232+VLOOKUP($L232,'Voyage days'!$F$620:$H$646,3,FALSE),"")</f>
        <v/>
      </c>
      <c r="BA232" s="120" t="str">
        <f t="shared" si="50"/>
        <v/>
      </c>
      <c r="BB232" s="123" t="str">
        <f>IFERROR($M232+VLOOKUP($L232,'Voyage days'!$F$702:$H$727,3,FALSE),"")</f>
        <v/>
      </c>
      <c r="BC232" s="120" t="str">
        <f t="shared" si="51"/>
        <v/>
      </c>
      <c r="BD232" s="122" t="str">
        <f>IFERROR($M232+VLOOKUP($L232,'Voyage days'!$F$807:$H$878,3,FALSE),"")</f>
        <v/>
      </c>
      <c r="BE232" s="122" t="str">
        <f>IFERROR($N232+VLOOKUP($L232,'Voyage days'!$F$807:$H$878,3,FALSE),"")</f>
        <v/>
      </c>
      <c r="BF232" s="609"/>
      <c r="BG232" s="609"/>
      <c r="BH232" s="609"/>
      <c r="BI232" s="609"/>
      <c r="BJ232" s="609"/>
      <c r="BK232" s="609"/>
      <c r="BL232" s="609"/>
      <c r="BM232" s="609"/>
    </row>
    <row r="233" ht="15.75" customHeight="1">
      <c r="A233" s="80" t="s">
        <v>366</v>
      </c>
      <c r="B233" s="441">
        <v>2024.0</v>
      </c>
      <c r="C233" s="1171">
        <v>93000.0</v>
      </c>
      <c r="D233" s="104"/>
      <c r="E233" s="103" t="s">
        <v>666</v>
      </c>
      <c r="F233" s="604"/>
      <c r="G233" s="103"/>
      <c r="H233" s="103"/>
      <c r="I233" s="185" t="s">
        <v>1080</v>
      </c>
      <c r="J233" s="185"/>
      <c r="K233" s="336" t="str">
        <f t="shared" si="52"/>
        <v>Update</v>
      </c>
      <c r="L233" s="108" t="s">
        <v>765</v>
      </c>
      <c r="M233" s="109">
        <v>45802.0</v>
      </c>
      <c r="N233" s="109">
        <v>45807.0</v>
      </c>
      <c r="O233" s="191"/>
      <c r="P233" s="185"/>
      <c r="Q233" s="185"/>
      <c r="R233" s="185"/>
      <c r="S233" s="112" t="s">
        <v>2962</v>
      </c>
      <c r="T233" s="113">
        <v>45765.0</v>
      </c>
      <c r="U233" s="114" t="str">
        <f>IF(V233="","No AIS",VLOOKUP(V233,'Voyage days'!$A$3:$B$1480,2,FALSE))</f>
        <v>USG</v>
      </c>
      <c r="V233" s="217" t="str">
        <f>IF(VLOOKUP(A233,'1) Kpler'!$E$2:$P$1000,8, FALSE)="","",VLOOKUP(A233,'1) Kpler'!$E$2:$P$1000,8, FALSE))</f>
        <v>Houston</v>
      </c>
      <c r="W233" s="218">
        <f>IF(VLOOKUP(A233,'1) Kpler'!$E$2:$P$1000,9,FALSE)="","",VLOOKUP(A233,'1) Kpler'!$E$2:$P$1000,9,FALSE))</f>
        <v>46156.40694</v>
      </c>
      <c r="X233" s="217" t="str">
        <f>VLOOKUP(A233,'1) Kpler'!$E$2:$I$1000,4,FALSE)</f>
        <v>ballast</v>
      </c>
      <c r="Y233" s="117" t="str">
        <f t="shared" si="40"/>
        <v/>
      </c>
      <c r="Z233" s="120" t="str">
        <f t="shared" si="41"/>
        <v/>
      </c>
      <c r="AA233" s="121" t="str">
        <f>IFERROR($M233+VLOOKUP($L233,'Voyage days'!$F$38:$H$89,3,FALSE),"")</f>
        <v/>
      </c>
      <c r="AB233" s="121" t="str">
        <f>IFERROR(N233+VLOOKUP($L233,'Voyage days'!$F$38:$H$89,3,FALSE),"")</f>
        <v/>
      </c>
      <c r="AC233" s="120" t="str">
        <f t="shared" si="42"/>
        <v/>
      </c>
      <c r="AD233" s="121" t="str">
        <f>IFERROR($M233+VLOOKUP($L233,'Voyage days'!$F$94:$H$193,3,FALSE),"")</f>
        <v/>
      </c>
      <c r="AE233" s="121" t="str">
        <f>IFERROR($N233+VLOOKUP($L233,'Voyage days'!$F$94:$H$193,3,FALSE),"")</f>
        <v/>
      </c>
      <c r="AF233" s="120" t="str">
        <f t="shared" si="43"/>
        <v/>
      </c>
      <c r="AG233" s="121" t="str">
        <f>IFERROR($M233+VLOOKUP($L233,'Voyage days'!$F$203:$H$256,3,FALSE),"")</f>
        <v/>
      </c>
      <c r="AH233" s="121" t="str">
        <f>IFERROR($N233+VLOOKUP($L233,'Voyage days'!$F$203:$H$256,3,FALSE),"")</f>
        <v/>
      </c>
      <c r="AI233" s="120" t="str">
        <f t="shared" si="44"/>
        <v/>
      </c>
      <c r="AJ233" s="121" t="str">
        <f>IFERROR($M233+VLOOKUP($L233,'Voyage days'!$F$294:$H$377,3,FALSE),"")</f>
        <v/>
      </c>
      <c r="AK233" s="121" t="str">
        <f>IFERROR($N233+VLOOKUP($L233,'Voyage days'!$F$294:$H$377,3,FALSE),"")</f>
        <v/>
      </c>
      <c r="AL233" s="120" t="str">
        <f t="shared" si="45"/>
        <v/>
      </c>
      <c r="AM233" s="121" t="str">
        <f>IFERROR($M233+VLOOKUP($L233,'Voyage days'!$F$382:$H$446,3,FALSE),"")</f>
        <v/>
      </c>
      <c r="AN233" s="121" t="str">
        <f>IFERROR($N233+VLOOKUP($L233,'Voyage days'!$F$382:$H$446,3,FALSE),"")</f>
        <v/>
      </c>
      <c r="AO233" s="120" t="str">
        <f t="shared" si="46"/>
        <v/>
      </c>
      <c r="AP233" s="121" t="str">
        <f>IFERROR($M233+VLOOKUP($L233,'Voyage days'!$F$483:$H$538,3,FALSE),"")</f>
        <v/>
      </c>
      <c r="AQ233" s="121" t="str">
        <f>IFERROR($N233+VLOOKUP($L233,'Voyage days'!$F$483:$H$538,3,FALSE),"")</f>
        <v/>
      </c>
      <c r="AR233" s="120" t="str">
        <f t="shared" si="47"/>
        <v/>
      </c>
      <c r="AS233" s="121" t="str">
        <f>IFERROR($M233+VLOOKUP($L233,'Voyage days'!$F$540:$H$613,3,FALSE),"")</f>
        <v/>
      </c>
      <c r="AT233" s="121" t="str">
        <f>IFERROR($N233+VLOOKUP($L233,'Voyage days'!$F$540:$H$613,3,FALSE),"")</f>
        <v/>
      </c>
      <c r="AU233" s="120" t="str">
        <f t="shared" si="48"/>
        <v/>
      </c>
      <c r="AV233" s="121" t="str">
        <f>IFERROR($M233+VLOOKUP($L233,'Voyage days'!$L$483:$N$535,3,FALSE),"")</f>
        <v/>
      </c>
      <c r="AW233" s="121" t="str">
        <f>IFERROR($N233+VLOOKUP($L233,'Voyage days'!$L$483:$N$535,3,FALSE),"")</f>
        <v/>
      </c>
      <c r="AX233" s="120" t="str">
        <f t="shared" si="49"/>
        <v/>
      </c>
      <c r="AY233" s="122" t="str">
        <f>IFERROR($M233+VLOOKUP($L233,'Voyage days'!$F$620:$H$646,3,FALSE),"")</f>
        <v/>
      </c>
      <c r="AZ233" s="122" t="str">
        <f>IFERROR($N233+VLOOKUP($L233,'Voyage days'!$F$620:$H$646,3,FALSE),"")</f>
        <v/>
      </c>
      <c r="BA233" s="120" t="str">
        <f t="shared" si="50"/>
        <v/>
      </c>
      <c r="BB233" s="123" t="str">
        <f>IFERROR($M233+VLOOKUP($L233,'Voyage days'!$F$702:$H$727,3,FALSE),"")</f>
        <v/>
      </c>
      <c r="BC233" s="120" t="str">
        <f t="shared" si="51"/>
        <v/>
      </c>
      <c r="BD233" s="122" t="str">
        <f>IFERROR($M233+VLOOKUP($L233,'Voyage days'!$F$807:$H$878,3,FALSE),"")</f>
        <v/>
      </c>
      <c r="BE233" s="122" t="str">
        <f>IFERROR($N233+VLOOKUP($L233,'Voyage days'!$F$807:$H$878,3,FALSE),"")</f>
        <v/>
      </c>
      <c r="BF233" s="609"/>
      <c r="BG233" s="609"/>
      <c r="BH233" s="609"/>
      <c r="BI233" s="609"/>
      <c r="BJ233" s="609"/>
      <c r="BK233" s="609"/>
      <c r="BL233" s="609"/>
      <c r="BM233" s="609"/>
    </row>
    <row r="234" ht="15.75" customHeight="1">
      <c r="A234" s="1172" t="s">
        <v>512</v>
      </c>
      <c r="B234" s="442">
        <v>2020.0</v>
      </c>
      <c r="C234" s="1171">
        <v>84000.0</v>
      </c>
      <c r="D234" s="1168" t="s">
        <v>1687</v>
      </c>
      <c r="E234" s="543" t="s">
        <v>689</v>
      </c>
      <c r="F234" s="1168"/>
      <c r="G234" s="1173">
        <v>45689.0</v>
      </c>
      <c r="H234" s="1174"/>
      <c r="I234" s="108" t="s">
        <v>1080</v>
      </c>
      <c r="J234" s="603"/>
      <c r="K234" s="336" t="str">
        <f t="shared" si="52"/>
        <v>Update</v>
      </c>
      <c r="L234" s="1175" t="s">
        <v>680</v>
      </c>
      <c r="M234" s="109">
        <v>45794.0</v>
      </c>
      <c r="N234" s="109">
        <v>45796.0</v>
      </c>
      <c r="O234" s="191"/>
      <c r="P234" s="290"/>
      <c r="Q234" s="185"/>
      <c r="R234" s="349" t="s">
        <v>3147</v>
      </c>
      <c r="S234" s="1176" t="s">
        <v>2962</v>
      </c>
      <c r="T234" s="113">
        <v>45784.0</v>
      </c>
      <c r="U234" s="114" t="str">
        <f>IF(V234="","No AIS",VLOOKUP(V234,'Voyage days'!$A$3:$B$1480,2,FALSE))</f>
        <v>USG</v>
      </c>
      <c r="V234" s="115" t="str">
        <f>IF(VLOOKUP(A234,'1) Kpler'!$E$2:$P$1000,8, FALSE)="","",VLOOKUP(A234,'1) Kpler'!$E$2:$P$1000,8, FALSE))</f>
        <v>Energy Transfer Nederland</v>
      </c>
      <c r="W234" s="116">
        <f>IF(VLOOKUP(A234,'1) Kpler'!$E$2:$P$1000,9,FALSE)="","",VLOOKUP(A234,'1) Kpler'!$E$2:$P$1000,9,FALSE))</f>
        <v>46160.25</v>
      </c>
      <c r="X234" s="115" t="str">
        <f>VLOOKUP(A234,'1) Kpler'!$E$2:$I$1000,4,FALSE)</f>
        <v>ballast</v>
      </c>
      <c r="Y234" s="160" t="str">
        <f t="shared" si="40"/>
        <v/>
      </c>
      <c r="Z234" s="120" t="str">
        <f t="shared" si="41"/>
        <v/>
      </c>
      <c r="AA234" s="121" t="str">
        <f>IFERROR($M234+VLOOKUP($L234,'Voyage days'!$F$38:$H$89,3,FALSE),"")</f>
        <v/>
      </c>
      <c r="AB234" s="121" t="str">
        <f>IFERROR(N234+VLOOKUP($L234,'Voyage days'!$F$38:$H$89,3,FALSE),"")</f>
        <v/>
      </c>
      <c r="AC234" s="120" t="str">
        <f t="shared" si="42"/>
        <v>17-19 May</v>
      </c>
      <c r="AD234" s="121">
        <f>IFERROR($M234+VLOOKUP($L234,'Voyage days'!$F$94:$H$193,3,FALSE),"")</f>
        <v>45794</v>
      </c>
      <c r="AE234" s="121">
        <f>IFERROR($N234+VLOOKUP($L234,'Voyage days'!$F$94:$H$193,3,FALSE),"")</f>
        <v>45796</v>
      </c>
      <c r="AF234" s="120" t="str">
        <f t="shared" si="43"/>
        <v>17-19 May</v>
      </c>
      <c r="AG234" s="121">
        <f>IFERROR($M234+VLOOKUP($L234,'Voyage days'!$F$203:$H$256,3,FALSE),"")</f>
        <v>45794</v>
      </c>
      <c r="AH234" s="121">
        <f>IFERROR($N234+VLOOKUP($L234,'Voyage days'!$F$203:$H$256,3,FALSE),"")</f>
        <v>45796</v>
      </c>
      <c r="AI234" s="120" t="str">
        <f t="shared" si="44"/>
        <v/>
      </c>
      <c r="AJ234" s="121" t="str">
        <f>IFERROR($M234+VLOOKUP($L234,'Voyage days'!$F$294:$H$377,3,FALSE),"")</f>
        <v/>
      </c>
      <c r="AK234" s="121" t="str">
        <f>IFERROR($N234+VLOOKUP($L234,'Voyage days'!$F$294:$H$377,3,FALSE),"")</f>
        <v/>
      </c>
      <c r="AL234" s="120" t="str">
        <f t="shared" si="45"/>
        <v>06-08 Jun</v>
      </c>
      <c r="AM234" s="121">
        <f>IFERROR($M234+VLOOKUP($L234,'Voyage days'!$F$382:$H$446,3,FALSE),"")</f>
        <v>45814</v>
      </c>
      <c r="AN234" s="121">
        <f>IFERROR($N234+VLOOKUP($L234,'Voyage days'!$F$382:$H$446,3,FALSE),"")</f>
        <v>45816</v>
      </c>
      <c r="AO234" s="120" t="str">
        <f t="shared" si="46"/>
        <v/>
      </c>
      <c r="AP234" s="121" t="str">
        <f>IFERROR($M234+VLOOKUP($L234,'Voyage days'!$F$483:$H$538,3,FALSE),"")</f>
        <v/>
      </c>
      <c r="AQ234" s="121" t="str">
        <f>IFERROR($N234+VLOOKUP($L234,'Voyage days'!$F$483:$H$538,3,FALSE),"")</f>
        <v/>
      </c>
      <c r="AR234" s="120" t="str">
        <f t="shared" si="47"/>
        <v/>
      </c>
      <c r="AS234" s="121" t="str">
        <f>IFERROR($M234+VLOOKUP($L234,'Voyage days'!$F$540:$H$613,3,FALSE),"")</f>
        <v/>
      </c>
      <c r="AT234" s="121" t="str">
        <f>IFERROR($N234+VLOOKUP($L234,'Voyage days'!$F$540:$H$613,3,FALSE),"")</f>
        <v/>
      </c>
      <c r="AU234" s="120" t="str">
        <f t="shared" si="48"/>
        <v/>
      </c>
      <c r="AV234" s="121" t="str">
        <f>IFERROR($M234+VLOOKUP($L234,'Voyage days'!$L$483:$N$535,3,FALSE),"")</f>
        <v/>
      </c>
      <c r="AW234" s="121" t="str">
        <f>IFERROR($N234+VLOOKUP($L234,'Voyage days'!$L$483:$N$535,3,FALSE),"")</f>
        <v/>
      </c>
      <c r="AX234" s="120" t="str">
        <f t="shared" si="49"/>
        <v/>
      </c>
      <c r="AY234" s="122" t="str">
        <f>IFERROR($M234+VLOOKUP($L234,'Voyage days'!$F$620:$H$646,3,FALSE),"")</f>
        <v/>
      </c>
      <c r="AZ234" s="122" t="str">
        <f>IFERROR($N234+VLOOKUP($L234,'Voyage days'!$F$620:$H$646,3,FALSE),"")</f>
        <v/>
      </c>
      <c r="BA234" s="120" t="str">
        <f t="shared" si="50"/>
        <v/>
      </c>
      <c r="BB234" s="123" t="str">
        <f>IFERROR($M234+VLOOKUP($L234,'Voyage days'!$F$702:$H$727,3,FALSE),"")</f>
        <v/>
      </c>
      <c r="BC234" s="120" t="str">
        <f t="shared" si="51"/>
        <v/>
      </c>
      <c r="BD234" s="122" t="str">
        <f>IFERROR($M234+VLOOKUP($L234,'Voyage days'!$F$807:$H$878,3,FALSE),"")</f>
        <v/>
      </c>
      <c r="BE234" s="122" t="str">
        <f>IFERROR($N234+VLOOKUP($L234,'Voyage days'!$F$807:$H$878,3,FALSE),"")</f>
        <v/>
      </c>
      <c r="BF234" s="609"/>
      <c r="BG234" s="609"/>
      <c r="BH234" s="609"/>
      <c r="BI234" s="609"/>
      <c r="BJ234" s="609"/>
      <c r="BK234" s="609"/>
      <c r="BL234" s="609"/>
      <c r="BM234" s="609"/>
    </row>
    <row r="235" ht="15.75" customHeight="1">
      <c r="A235" s="458" t="s">
        <v>407</v>
      </c>
      <c r="B235" s="567">
        <v>2016.0</v>
      </c>
      <c r="C235" s="1177">
        <v>84000.0</v>
      </c>
      <c r="D235" s="168" t="s">
        <v>3148</v>
      </c>
      <c r="E235" s="223"/>
      <c r="F235" s="1010">
        <v>44276.0</v>
      </c>
      <c r="G235" s="223" t="s">
        <v>1611</v>
      </c>
      <c r="H235" s="223"/>
      <c r="I235" s="463" t="s">
        <v>1080</v>
      </c>
      <c r="J235" s="463" t="s">
        <v>1080</v>
      </c>
      <c r="K235" s="469" t="str">
        <f t="shared" si="52"/>
        <v>Update</v>
      </c>
      <c r="L235" s="172" t="s">
        <v>765</v>
      </c>
      <c r="M235" s="173">
        <v>45795.0</v>
      </c>
      <c r="N235" s="173">
        <v>45796.0</v>
      </c>
      <c r="O235" s="226" t="s">
        <v>709</v>
      </c>
      <c r="P235" s="172" t="s">
        <v>3149</v>
      </c>
      <c r="Q235" s="463"/>
      <c r="R235" s="172" t="s">
        <v>3150</v>
      </c>
      <c r="S235" s="175" t="s">
        <v>934</v>
      </c>
      <c r="T235" s="176">
        <v>45785.0</v>
      </c>
      <c r="U235" s="177" t="str">
        <f>IF(V235="","No AIS",VLOOKUP(V235,'Voyage days'!$A$3:$B$1480,2,FALSE))</f>
        <v>Eu + 4</v>
      </c>
      <c r="V235" s="177" t="str">
        <f>IF(VLOOKUP(A235,'1) Kpler'!$E$2:$P$1000,8, FALSE)="","",VLOOKUP(A235,'1) Kpler'!$E$2:$P$1000,8, FALSE))</f>
        <v>Antwerp</v>
      </c>
      <c r="W235" s="370">
        <f>IF(VLOOKUP(A235,'1) Kpler'!$E$2:$P$1000,9,FALSE)="","",VLOOKUP(A235,'1) Kpler'!$E$2:$P$1000,9,FALSE))</f>
        <v>46134.75</v>
      </c>
      <c r="X235" s="177" t="str">
        <f>VLOOKUP(A235,'1) Kpler'!$E$2:$I$1000,4,FALSE)</f>
        <v>loaded</v>
      </c>
      <c r="Y235" s="180" t="str">
        <f t="shared" si="40"/>
        <v/>
      </c>
      <c r="Z235" s="120" t="str">
        <f t="shared" si="41"/>
        <v/>
      </c>
      <c r="AA235" s="121" t="str">
        <f>IFERROR($M235+VLOOKUP($L235,'Voyage days'!$F$38:$H$89,3,FALSE),"")</f>
        <v/>
      </c>
      <c r="AB235" s="121" t="str">
        <f>IFERROR(N235+VLOOKUP($L235,'Voyage days'!$F$38:$H$89,3,FALSE),"")</f>
        <v/>
      </c>
      <c r="AC235" s="120" t="str">
        <f t="shared" si="42"/>
        <v/>
      </c>
      <c r="AD235" s="121" t="str">
        <f>IFERROR($M235+VLOOKUP($L235,'Voyage days'!$F$94:$H$193,3,FALSE),"")</f>
        <v/>
      </c>
      <c r="AE235" s="121" t="str">
        <f>IFERROR($N235+VLOOKUP($L235,'Voyage days'!$F$94:$H$193,3,FALSE),"")</f>
        <v/>
      </c>
      <c r="AF235" s="120" t="str">
        <f t="shared" si="43"/>
        <v/>
      </c>
      <c r="AG235" s="121" t="str">
        <f>IFERROR($M235+VLOOKUP($L235,'Voyage days'!$F$203:$H$256,3,FALSE),"")</f>
        <v/>
      </c>
      <c r="AH235" s="121" t="str">
        <f>IFERROR($N235+VLOOKUP($L235,'Voyage days'!$F$203:$H$256,3,FALSE),"")</f>
        <v/>
      </c>
      <c r="AI235" s="120" t="str">
        <f t="shared" si="44"/>
        <v/>
      </c>
      <c r="AJ235" s="121" t="str">
        <f>IFERROR($M235+VLOOKUP($L235,'Voyage days'!$F$294:$H$377,3,FALSE),"")</f>
        <v/>
      </c>
      <c r="AK235" s="121" t="str">
        <f>IFERROR($N235+VLOOKUP($L235,'Voyage days'!$F$294:$H$377,3,FALSE),"")</f>
        <v/>
      </c>
      <c r="AL235" s="120" t="str">
        <f t="shared" si="45"/>
        <v/>
      </c>
      <c r="AM235" s="121" t="str">
        <f>IFERROR($M235+VLOOKUP($L235,'Voyage days'!$F$382:$H$446,3,FALSE),"")</f>
        <v/>
      </c>
      <c r="AN235" s="121" t="str">
        <f>IFERROR($N235+VLOOKUP($L235,'Voyage days'!$F$382:$H$446,3,FALSE),"")</f>
        <v/>
      </c>
      <c r="AO235" s="120" t="str">
        <f t="shared" si="46"/>
        <v/>
      </c>
      <c r="AP235" s="121" t="str">
        <f>IFERROR($M235+VLOOKUP($L235,'Voyage days'!$F$483:$H$538,3,FALSE),"")</f>
        <v/>
      </c>
      <c r="AQ235" s="121" t="str">
        <f>IFERROR($N235+VLOOKUP($L235,'Voyage days'!$F$483:$H$538,3,FALSE),"")</f>
        <v/>
      </c>
      <c r="AR235" s="120" t="str">
        <f t="shared" si="47"/>
        <v/>
      </c>
      <c r="AS235" s="121" t="str">
        <f>IFERROR($M235+VLOOKUP($L235,'Voyage days'!$F$540:$H$613,3,FALSE),"")</f>
        <v/>
      </c>
      <c r="AT235" s="121" t="str">
        <f>IFERROR($N235+VLOOKUP($L235,'Voyage days'!$F$540:$H$613,3,FALSE),"")</f>
        <v/>
      </c>
      <c r="AU235" s="120" t="str">
        <f t="shared" si="48"/>
        <v/>
      </c>
      <c r="AV235" s="121" t="str">
        <f>IFERROR($M235+VLOOKUP($L235,'Voyage days'!$L$483:$N$535,3,FALSE),"")</f>
        <v/>
      </c>
      <c r="AW235" s="121" t="str">
        <f>IFERROR($N235+VLOOKUP($L235,'Voyage days'!$L$483:$N$535,3,FALSE),"")</f>
        <v/>
      </c>
      <c r="AX235" s="120" t="str">
        <f t="shared" si="49"/>
        <v/>
      </c>
      <c r="AY235" s="122" t="str">
        <f>IFERROR($M235+VLOOKUP($L235,'Voyage days'!$F$620:$H$646,3,FALSE),"")</f>
        <v/>
      </c>
      <c r="AZ235" s="122" t="str">
        <f>IFERROR($N235+VLOOKUP($L235,'Voyage days'!$F$620:$H$646,3,FALSE),"")</f>
        <v/>
      </c>
      <c r="BA235" s="120" t="str">
        <f t="shared" si="50"/>
        <v/>
      </c>
      <c r="BB235" s="123" t="str">
        <f>IFERROR($M235+VLOOKUP($L235,'Voyage days'!$F$702:$H$727,3,FALSE),"")</f>
        <v/>
      </c>
      <c r="BC235" s="120" t="str">
        <f t="shared" si="51"/>
        <v/>
      </c>
      <c r="BD235" s="122" t="str">
        <f>IFERROR($M235+VLOOKUP($L235,'Voyage days'!$F$807:$H$878,3,FALSE),"")</f>
        <v/>
      </c>
      <c r="BE235" s="122" t="str">
        <f>IFERROR($N235+VLOOKUP($L235,'Voyage days'!$F$807:$H$878,3,FALSE),"")</f>
        <v/>
      </c>
      <c r="BF235" s="609"/>
      <c r="BG235" s="609"/>
      <c r="BH235" s="609"/>
      <c r="BI235" s="609"/>
      <c r="BJ235" s="609"/>
      <c r="BK235" s="609"/>
      <c r="BL235" s="609"/>
      <c r="BM235" s="609"/>
    </row>
    <row r="236" ht="15.75" customHeight="1">
      <c r="A236" s="617" t="s">
        <v>1385</v>
      </c>
      <c r="B236" s="288">
        <v>42297.0</v>
      </c>
      <c r="C236" s="1098">
        <v>83000.0</v>
      </c>
      <c r="D236" s="234" t="s">
        <v>1687</v>
      </c>
      <c r="E236" s="233"/>
      <c r="F236" s="1035">
        <v>44185.0</v>
      </c>
      <c r="G236" s="233" t="s">
        <v>3151</v>
      </c>
      <c r="H236" s="233"/>
      <c r="I236" s="289" t="s">
        <v>1112</v>
      </c>
      <c r="J236" s="1037" t="s">
        <v>2937</v>
      </c>
      <c r="K236" s="517" t="str">
        <f t="shared" si="52"/>
        <v>Update</v>
      </c>
      <c r="L236" s="235" t="s">
        <v>680</v>
      </c>
      <c r="M236" s="677">
        <v>45789.0</v>
      </c>
      <c r="N236" s="238">
        <v>45790.0</v>
      </c>
      <c r="O236" s="1038"/>
      <c r="P236" s="157"/>
      <c r="Q236" s="291"/>
      <c r="R236" s="235" t="s">
        <v>3152</v>
      </c>
      <c r="S236" s="292" t="s">
        <v>934</v>
      </c>
      <c r="T236" s="420">
        <v>45783.0</v>
      </c>
      <c r="U236" s="114" t="str">
        <f>IF(V236="","No AIS",VLOOKUP(V236,'Voyage days'!$A$3:$B$1480,2,FALSE))</f>
        <v>USG</v>
      </c>
      <c r="V236" s="114" t="str">
        <f>IF(VLOOKUP(A236,'1) Kpler'!$E$2:$P$1000,8, FALSE)="","",VLOOKUP(A236,'1) Kpler'!$E$2:$P$1000,8, FALSE))</f>
        <v>Freeport Texas</v>
      </c>
      <c r="W236" s="159">
        <f>IF(VLOOKUP(A236,'1) Kpler'!$E$2:$P$1000,9,FALSE)="","",VLOOKUP(A236,'1) Kpler'!$E$2:$P$1000,9,FALSE))</f>
        <v>46131.875</v>
      </c>
      <c r="X236" s="114" t="str">
        <f>VLOOKUP(A236,'1) Kpler'!$E$2:$I$1000,4,FALSE)</f>
        <v>ballast</v>
      </c>
      <c r="Y236" s="272" t="str">
        <f t="shared" si="40"/>
        <v/>
      </c>
      <c r="Z236" s="163" t="str">
        <f t="shared" si="41"/>
        <v/>
      </c>
      <c r="AA236" s="122" t="str">
        <f>IFERROR($M236+VLOOKUP($L236,'Voyage days'!$F$38:$H$89,3,FALSE),"")</f>
        <v/>
      </c>
      <c r="AB236" s="122" t="str">
        <f>IFERROR(N236+VLOOKUP($L236,'Voyage days'!$F$38:$H$89,3,FALSE),"")</f>
        <v/>
      </c>
      <c r="AC236" s="163" t="str">
        <f t="shared" si="42"/>
        <v>12-13 May</v>
      </c>
      <c r="AD236" s="122">
        <f>IFERROR($M236+VLOOKUP($L236,'Voyage days'!$F$94:$H$193,3,FALSE),"")</f>
        <v>45789</v>
      </c>
      <c r="AE236" s="122">
        <f>IFERROR($N236+VLOOKUP($L236,'Voyage days'!$F$94:$H$193,3,FALSE),"")</f>
        <v>45790</v>
      </c>
      <c r="AF236" s="163" t="str">
        <f t="shared" si="43"/>
        <v>12-13 May</v>
      </c>
      <c r="AG236" s="122">
        <f>IFERROR($M236+VLOOKUP($L236,'Voyage days'!$F$203:$H$256,3,FALSE),"")</f>
        <v>45789</v>
      </c>
      <c r="AH236" s="122">
        <f>IFERROR($N236+VLOOKUP($L236,'Voyage days'!$F$203:$H$256,3,FALSE),"")</f>
        <v>45790</v>
      </c>
      <c r="AI236" s="163" t="str">
        <f t="shared" si="44"/>
        <v/>
      </c>
      <c r="AJ236" s="122" t="str">
        <f>IFERROR($M236+VLOOKUP($L236,'Voyage days'!$F$294:$H$377,3,FALSE),"")</f>
        <v/>
      </c>
      <c r="AK236" s="122" t="str">
        <f>IFERROR($N236+VLOOKUP($L236,'Voyage days'!$F$294:$H$377,3,FALSE),"")</f>
        <v/>
      </c>
      <c r="AL236" s="163" t="str">
        <f t="shared" si="45"/>
        <v>01-02 Jun</v>
      </c>
      <c r="AM236" s="122">
        <f>IFERROR($M236+VLOOKUP($L236,'Voyage days'!$F$382:$H$446,3,FALSE),"")</f>
        <v>45809</v>
      </c>
      <c r="AN236" s="122">
        <f>IFERROR($N236+VLOOKUP($L236,'Voyage days'!$F$382:$H$446,3,FALSE),"")</f>
        <v>45810</v>
      </c>
      <c r="AO236" s="163" t="str">
        <f t="shared" si="46"/>
        <v/>
      </c>
      <c r="AP236" s="122" t="str">
        <f>IFERROR($M236+VLOOKUP($L236,'Voyage days'!$F$483:$H$538,3,FALSE),"")</f>
        <v/>
      </c>
      <c r="AQ236" s="122" t="str">
        <f>IFERROR($N236+VLOOKUP($L236,'Voyage days'!$F$483:$H$538,3,FALSE),"")</f>
        <v/>
      </c>
      <c r="AR236" s="163" t="str">
        <f t="shared" si="47"/>
        <v/>
      </c>
      <c r="AS236" s="122" t="str">
        <f>IFERROR($M236+VLOOKUP($L236,'Voyage days'!$F$540:$H$613,3,FALSE),"")</f>
        <v/>
      </c>
      <c r="AT236" s="122" t="str">
        <f>IFERROR($N236+VLOOKUP($L236,'Voyage days'!$F$540:$H$613,3,FALSE),"")</f>
        <v/>
      </c>
      <c r="AU236" s="163" t="str">
        <f t="shared" si="48"/>
        <v/>
      </c>
      <c r="AV236" s="122" t="str">
        <f>IFERROR($M236+VLOOKUP($L236,'Voyage days'!$L$483:$N$535,3,FALSE),"")</f>
        <v/>
      </c>
      <c r="AW236" s="122" t="str">
        <f>IFERROR($N236+VLOOKUP($L236,'Voyage days'!$L$483:$N$535,3,FALSE),"")</f>
        <v/>
      </c>
      <c r="AX236" s="163" t="str">
        <f t="shared" si="49"/>
        <v/>
      </c>
      <c r="AY236" s="122" t="str">
        <f>IFERROR($M236+VLOOKUP($L236,'Voyage days'!$F$620:$H$646,3,FALSE),"")</f>
        <v/>
      </c>
      <c r="AZ236" s="122" t="str">
        <f>IFERROR($N236+VLOOKUP($L236,'Voyage days'!$F$620:$H$646,3,FALSE),"")</f>
        <v/>
      </c>
      <c r="BA236" s="163" t="str">
        <f t="shared" si="50"/>
        <v/>
      </c>
      <c r="BB236" s="123" t="str">
        <f>IFERROR($M236+VLOOKUP($L236,'Voyage days'!$F$702:$H$727,3,FALSE),"")</f>
        <v/>
      </c>
      <c r="BC236" s="163" t="str">
        <f t="shared" si="51"/>
        <v/>
      </c>
      <c r="BD236" s="122" t="str">
        <f>IFERROR($M236+VLOOKUP($L236,'Voyage days'!$F$807:$H$878,3,FALSE),"")</f>
        <v/>
      </c>
      <c r="BE236" s="122" t="str">
        <f>IFERROR($N236+VLOOKUP($L236,'Voyage days'!$F$807:$H$878,3,FALSE),"")</f>
        <v/>
      </c>
      <c r="BF236" s="609"/>
      <c r="BG236" s="609"/>
      <c r="BH236" s="609"/>
      <c r="BI236" s="609"/>
      <c r="BJ236" s="609"/>
      <c r="BK236" s="609"/>
      <c r="BL236" s="609"/>
      <c r="BM236" s="609"/>
    </row>
    <row r="237" ht="15.75" customHeight="1">
      <c r="A237" s="546" t="s">
        <v>538</v>
      </c>
      <c r="B237" s="165">
        <v>2016.0</v>
      </c>
      <c r="C237" s="1101">
        <v>84000.0</v>
      </c>
      <c r="D237" s="168"/>
      <c r="E237" s="223"/>
      <c r="F237" s="1010"/>
      <c r="G237" s="1011"/>
      <c r="H237" s="1178"/>
      <c r="I237" s="614" t="s">
        <v>1112</v>
      </c>
      <c r="J237" s="312"/>
      <c r="K237" s="469" t="str">
        <f t="shared" si="52"/>
        <v>Update</v>
      </c>
      <c r="L237" s="463" t="s">
        <v>1205</v>
      </c>
      <c r="M237" s="173"/>
      <c r="N237" s="173"/>
      <c r="O237" s="174"/>
      <c r="P237" s="463"/>
      <c r="Q237" s="463"/>
      <c r="R237" s="463" t="s">
        <v>3153</v>
      </c>
      <c r="S237" s="223"/>
      <c r="T237" s="1179"/>
      <c r="U237" s="177" t="str">
        <f>IF(V237="","No AIS",VLOOKUP(V237,'Voyage days'!$A$3:$B$1480,2,FALSE))</f>
        <v>South China + 4</v>
      </c>
      <c r="V237" s="178" t="str">
        <f>IF(VLOOKUP(A237,'1) Kpler'!$E$2:$P$1000,8, FALSE)="","",VLOOKUP(A237,'1) Kpler'!$E$2:$P$1000,8, FALSE))</f>
        <v>Sinopec Zhanjiang Dongxing Refinery</v>
      </c>
      <c r="W237" s="179">
        <f>IF(VLOOKUP(A237,'1) Kpler'!$E$2:$P$1000,9,FALSE)="","",VLOOKUP(A237,'1) Kpler'!$E$2:$P$1000,9,FALSE))</f>
        <v>46154.16667</v>
      </c>
      <c r="X237" s="178" t="str">
        <f>VLOOKUP(A237,'1) Kpler'!$E$2:$I$1000,4,FALSE)</f>
        <v>loaded</v>
      </c>
      <c r="Y237" s="180" t="str">
        <f t="shared" si="40"/>
        <v/>
      </c>
      <c r="Z237" s="120" t="str">
        <f t="shared" si="41"/>
        <v/>
      </c>
      <c r="AA237" s="121" t="str">
        <f>IFERROR($M237+VLOOKUP($L237,'Voyage days'!$F$38:$H$89,3,FALSE),"")</f>
        <v/>
      </c>
      <c r="AB237" s="121" t="str">
        <f>IFERROR(N237+VLOOKUP($L237,'Voyage days'!$F$38:$H$89,3,FALSE),"")</f>
        <v/>
      </c>
      <c r="AC237" s="120" t="str">
        <f t="shared" si="42"/>
        <v>11-11 Jan</v>
      </c>
      <c r="AD237" s="121">
        <f>IFERROR($M237+VLOOKUP($L237,'Voyage days'!$F$94:$H$193,3,FALSE),"")</f>
        <v>12</v>
      </c>
      <c r="AE237" s="121">
        <f>IFERROR($N237+VLOOKUP($L237,'Voyage days'!$F$94:$H$193,3,FALSE),"")</f>
        <v>12</v>
      </c>
      <c r="AF237" s="120" t="str">
        <f t="shared" si="43"/>
        <v>11-11 Jan</v>
      </c>
      <c r="AG237" s="121">
        <f>IFERROR($M237+VLOOKUP($L237,'Voyage days'!$F$203:$H$256,3,FALSE),"")</f>
        <v>12</v>
      </c>
      <c r="AH237" s="121">
        <f>IFERROR($N237+VLOOKUP($L237,'Voyage days'!$F$203:$H$256,3,FALSE),"")</f>
        <v>12</v>
      </c>
      <c r="AI237" s="120" t="str">
        <f t="shared" si="44"/>
        <v>06-06 Jan</v>
      </c>
      <c r="AJ237" s="121">
        <f>IFERROR($M237+VLOOKUP($L237,'Voyage days'!$F$294:$H$377,3,FALSE),"")</f>
        <v>7</v>
      </c>
      <c r="AK237" s="121">
        <f>IFERROR($N237+VLOOKUP($L237,'Voyage days'!$F$294:$H$377,3,FALSE),"")</f>
        <v>7</v>
      </c>
      <c r="AL237" s="120" t="str">
        <f t="shared" si="45"/>
        <v>09-09 Jan</v>
      </c>
      <c r="AM237" s="121">
        <f>IFERROR($M237+VLOOKUP($L237,'Voyage days'!$F$382:$H$446,3,FALSE),"")</f>
        <v>10</v>
      </c>
      <c r="AN237" s="121">
        <f>IFERROR($N237+VLOOKUP($L237,'Voyage days'!$F$382:$H$446,3,FALSE),"")</f>
        <v>10</v>
      </c>
      <c r="AO237" s="120" t="str">
        <f t="shared" si="46"/>
        <v/>
      </c>
      <c r="AP237" s="121" t="str">
        <f>IFERROR($M237+VLOOKUP($L237,'Voyage days'!$F$483:$H$538,3,FALSE),"")</f>
        <v/>
      </c>
      <c r="AQ237" s="121" t="str">
        <f>IFERROR($N237+VLOOKUP($L237,'Voyage days'!$F$483:$H$538,3,FALSE),"")</f>
        <v/>
      </c>
      <c r="AR237" s="120" t="str">
        <f t="shared" si="47"/>
        <v/>
      </c>
      <c r="AS237" s="121" t="str">
        <f>IFERROR($M237+VLOOKUP($L237,'Voyage days'!$F$540:$H$613,3,FALSE),"")</f>
        <v/>
      </c>
      <c r="AT237" s="121" t="str">
        <f>IFERROR($N237+VLOOKUP($L237,'Voyage days'!$F$540:$H$613,3,FALSE),"")</f>
        <v/>
      </c>
      <c r="AU237" s="120" t="str">
        <f t="shared" si="48"/>
        <v/>
      </c>
      <c r="AV237" s="121" t="str">
        <f>IFERROR($M237+VLOOKUP($L237,'Voyage days'!$L$483:$N$535,3,FALSE),"")</f>
        <v/>
      </c>
      <c r="AW237" s="121" t="str">
        <f>IFERROR($N237+VLOOKUP($L237,'Voyage days'!$L$483:$N$535,3,FALSE),"")</f>
        <v/>
      </c>
      <c r="AX237" s="120" t="str">
        <f t="shared" si="49"/>
        <v/>
      </c>
      <c r="AY237" s="122" t="str">
        <f>IFERROR($M237+VLOOKUP($L237,'Voyage days'!$F$620:$H$646,3,FALSE),"")</f>
        <v/>
      </c>
      <c r="AZ237" s="122" t="str">
        <f>IFERROR($N237+VLOOKUP($L237,'Voyage days'!$F$620:$H$646,3,FALSE),"")</f>
        <v/>
      </c>
      <c r="BA237" s="120" t="str">
        <f t="shared" si="50"/>
        <v/>
      </c>
      <c r="BB237" s="123" t="str">
        <f>IFERROR($M237+VLOOKUP($L237,'Voyage days'!$F$702:$H$727,3,FALSE),"")</f>
        <v/>
      </c>
      <c r="BC237" s="120" t="str">
        <f t="shared" si="51"/>
        <v/>
      </c>
      <c r="BD237" s="122" t="str">
        <f>IFERROR($M237+VLOOKUP($L237,'Voyage days'!$F$807:$H$878,3,FALSE),"")</f>
        <v/>
      </c>
      <c r="BE237" s="122" t="str">
        <f>IFERROR($N237+VLOOKUP($L237,'Voyage days'!$F$807:$H$878,3,FALSE),"")</f>
        <v/>
      </c>
      <c r="BF237" s="609"/>
      <c r="BG237" s="609"/>
      <c r="BH237" s="609"/>
      <c r="BI237" s="609"/>
      <c r="BJ237" s="609"/>
      <c r="BK237" s="609"/>
      <c r="BL237" s="609"/>
      <c r="BM237" s="609"/>
    </row>
    <row r="238" ht="15.75" customHeight="1">
      <c r="A238" s="147" t="s">
        <v>91</v>
      </c>
      <c r="B238" s="148">
        <v>2023.0</v>
      </c>
      <c r="C238" s="1045">
        <v>91000.0</v>
      </c>
      <c r="D238" s="150"/>
      <c r="E238" s="149"/>
      <c r="F238" s="1014"/>
      <c r="G238" s="1015"/>
      <c r="H238" s="536"/>
      <c r="I238" s="611" t="s">
        <v>1569</v>
      </c>
      <c r="J238" s="536"/>
      <c r="K238" s="470" t="str">
        <f t="shared" si="52"/>
        <v>Update</v>
      </c>
      <c r="L238" s="153" t="s">
        <v>963</v>
      </c>
      <c r="M238" s="276">
        <v>45798.0</v>
      </c>
      <c r="N238" s="276">
        <v>45799.0</v>
      </c>
      <c r="O238" s="155"/>
      <c r="P238" s="156" t="s">
        <v>3154</v>
      </c>
      <c r="Q238" s="157"/>
      <c r="R238" s="158" t="s">
        <v>3155</v>
      </c>
      <c r="S238" s="256" t="s">
        <v>934</v>
      </c>
      <c r="T238" s="293">
        <v>45783.0</v>
      </c>
      <c r="U238" s="114" t="str">
        <f>IF(V238="","No AIS",VLOOKUP(V238,'Voyage days'!$A$3:$B$1480,2,FALSE))</f>
        <v>+14 days to Far East</v>
      </c>
      <c r="V238" s="114" t="str">
        <f>IF(VLOOKUP(A238,'1) Kpler'!$E$2:$P$1000,8, FALSE)="","",VLOOKUP(A238,'1) Kpler'!$E$2:$P$1000,8, FALSE))</f>
        <v>RIPET</v>
      </c>
      <c r="W238" s="159">
        <f>IF(VLOOKUP(A238,'1) Kpler'!$E$2:$P$1000,9,FALSE)="","",VLOOKUP(A238,'1) Kpler'!$E$2:$P$1000,9,FALSE))</f>
        <v>46135.125</v>
      </c>
      <c r="X238" s="114" t="str">
        <f>VLOOKUP(A238,'1) Kpler'!$E$2:$I$1000,4,FALSE)</f>
        <v>ballast</v>
      </c>
      <c r="Y238" s="272" t="str">
        <f t="shared" si="40"/>
        <v>08-09 Jun</v>
      </c>
      <c r="Z238" s="163" t="str">
        <f t="shared" si="41"/>
        <v>08-09 Jun</v>
      </c>
      <c r="AA238" s="122">
        <f>IFERROR($M238+VLOOKUP($L238,'Voyage days'!$F$38:$H$89,3,FALSE),"")</f>
        <v>45816</v>
      </c>
      <c r="AB238" s="122">
        <f>IFERROR(N238+VLOOKUP($L238,'Voyage days'!$F$38:$H$89,3,FALSE),"")</f>
        <v>45817</v>
      </c>
      <c r="AC238" s="163" t="str">
        <f t="shared" si="42"/>
        <v>23-24 Jun</v>
      </c>
      <c r="AD238" s="122">
        <f>IFERROR($M238+VLOOKUP($L238,'Voyage days'!$F$94:$H$193,3,FALSE),"")</f>
        <v>45831</v>
      </c>
      <c r="AE238" s="122">
        <f>IFERROR($N238+VLOOKUP($L238,'Voyage days'!$F$94:$H$193,3,FALSE),"")</f>
        <v>45832</v>
      </c>
      <c r="AF238" s="163" t="str">
        <f t="shared" si="43"/>
        <v>02-03 Jul</v>
      </c>
      <c r="AG238" s="122">
        <f>IFERROR($M238+VLOOKUP($L238,'Voyage days'!$F$203:$H$256,3,FALSE),"")</f>
        <v>45840</v>
      </c>
      <c r="AH238" s="122">
        <f>IFERROR($N238+VLOOKUP($L238,'Voyage days'!$F$203:$H$256,3,FALSE),"")</f>
        <v>45841</v>
      </c>
      <c r="AI238" s="163" t="str">
        <f t="shared" si="44"/>
        <v>19-20 Jun</v>
      </c>
      <c r="AJ238" s="122">
        <f>IFERROR($M238+VLOOKUP($L238,'Voyage days'!$F$294:$H$377,3,FALSE),"")</f>
        <v>45827</v>
      </c>
      <c r="AK238" s="122">
        <f>IFERROR($N238+VLOOKUP($L238,'Voyage days'!$F$294:$H$377,3,FALSE),"")</f>
        <v>45828</v>
      </c>
      <c r="AL238" s="163" t="str">
        <f t="shared" si="45"/>
        <v>25-26 Jun</v>
      </c>
      <c r="AM238" s="122">
        <f>IFERROR($M238+VLOOKUP($L238,'Voyage days'!$F$382:$H$446,3,FALSE),"")</f>
        <v>45833</v>
      </c>
      <c r="AN238" s="122">
        <f>IFERROR($N238+VLOOKUP($L238,'Voyage days'!$F$382:$H$446,3,FALSE),"")</f>
        <v>45834</v>
      </c>
      <c r="AO238" s="163" t="str">
        <f t="shared" si="46"/>
        <v>05-06 Jun</v>
      </c>
      <c r="AP238" s="122">
        <f>IFERROR($M238+VLOOKUP($L238,'Voyage days'!$F$483:$H$538,3,FALSE),"")</f>
        <v>45813</v>
      </c>
      <c r="AQ238" s="122">
        <f>IFERROR($N238+VLOOKUP($L238,'Voyage days'!$F$483:$H$538,3,FALSE),"")</f>
        <v>45814</v>
      </c>
      <c r="AR238" s="163" t="str">
        <f t="shared" si="47"/>
        <v>30-31 May</v>
      </c>
      <c r="AS238" s="122">
        <f>IFERROR($M238+VLOOKUP($L238,'Voyage days'!$F$540:$H$613,3,FALSE),"")</f>
        <v>45807</v>
      </c>
      <c r="AT238" s="122">
        <f>IFERROR($N238+VLOOKUP($L238,'Voyage days'!$F$540:$H$613,3,FALSE),"")</f>
        <v>45808</v>
      </c>
      <c r="AU238" s="163" t="str">
        <f t="shared" si="48"/>
        <v/>
      </c>
      <c r="AV238" s="122" t="str">
        <f>IFERROR($M238+VLOOKUP($L238,'Voyage days'!$L$483:$N$535,3,FALSE),"")</f>
        <v/>
      </c>
      <c r="AW238" s="122" t="str">
        <f>IFERROR($N238+VLOOKUP($L238,'Voyage days'!$L$483:$N$535,3,FALSE),"")</f>
        <v/>
      </c>
      <c r="AX238" s="163" t="str">
        <f t="shared" si="49"/>
        <v>03-04 Jun</v>
      </c>
      <c r="AY238" s="122">
        <f>IFERROR($M238+VLOOKUP($L238,'Voyage days'!$F$620:$H$646,3,FALSE),"")</f>
        <v>45811</v>
      </c>
      <c r="AZ238" s="122">
        <f>IFERROR($N238+VLOOKUP($L238,'Voyage days'!$F$620:$H$646,3,FALSE),"")</f>
        <v>45812</v>
      </c>
      <c r="BA238" s="163" t="str">
        <f t="shared" si="50"/>
        <v>30-07 Jul</v>
      </c>
      <c r="BB238" s="123">
        <f>IFERROR($M238+VLOOKUP($L238,'Voyage days'!$F$702:$H$727,3,FALSE),"")</f>
        <v>45807</v>
      </c>
      <c r="BC238" s="163" t="str">
        <f t="shared" si="51"/>
        <v>06-07 Jul</v>
      </c>
      <c r="BD238" s="122">
        <f>IFERROR($M238+VLOOKUP($L238,'Voyage days'!$F$807:$H$878,3,FALSE),"")</f>
        <v>45844</v>
      </c>
      <c r="BE238" s="122">
        <f>IFERROR($N238+VLOOKUP($L238,'Voyage days'!$F$807:$H$878,3,FALSE),"")</f>
        <v>45845</v>
      </c>
      <c r="BF238" s="609"/>
      <c r="BG238" s="609"/>
      <c r="BH238" s="609"/>
      <c r="BI238" s="609"/>
      <c r="BJ238" s="609"/>
      <c r="BK238" s="609"/>
      <c r="BL238" s="609"/>
      <c r="BM238" s="609"/>
    </row>
    <row r="239" ht="15.75" customHeight="1">
      <c r="A239" s="164" t="s">
        <v>92</v>
      </c>
      <c r="B239" s="165">
        <v>2024.0</v>
      </c>
      <c r="C239" s="1101">
        <v>91000.0</v>
      </c>
      <c r="D239" s="312"/>
      <c r="E239" s="223"/>
      <c r="F239" s="1010"/>
      <c r="G239" s="1011"/>
      <c r="H239" s="312"/>
      <c r="I239" s="614" t="s">
        <v>1569</v>
      </c>
      <c r="J239" s="312"/>
      <c r="K239" s="469" t="str">
        <f t="shared" si="52"/>
        <v>Update</v>
      </c>
      <c r="L239" s="172" t="s">
        <v>656</v>
      </c>
      <c r="M239" s="173">
        <v>45809.0</v>
      </c>
      <c r="N239" s="173">
        <v>45813.0</v>
      </c>
      <c r="O239" s="174"/>
      <c r="P239" s="463"/>
      <c r="Q239" s="463"/>
      <c r="R239" s="172" t="s">
        <v>3156</v>
      </c>
      <c r="S239" s="175" t="s">
        <v>934</v>
      </c>
      <c r="T239" s="176">
        <v>45784.0</v>
      </c>
      <c r="U239" s="177" t="str">
        <f>IF(V239="","No AIS",VLOOKUP(V239,'Voyage days'!$A$3:$B$1480,2,FALSE))</f>
        <v>East China + 4</v>
      </c>
      <c r="V239" s="178" t="str">
        <f>IF(VLOOKUP(A239,'1) Kpler'!$E$2:$P$1000,8, FALSE)="","",VLOOKUP(A239,'1) Kpler'!$E$2:$P$1000,8, FALSE))</f>
        <v>Wenzhou</v>
      </c>
      <c r="W239" s="179">
        <f>IF(VLOOKUP(A239,'1) Kpler'!$E$2:$P$1000,9,FALSE)="","",VLOOKUP(A239,'1) Kpler'!$E$2:$P$1000,9,FALSE))</f>
        <v>46132.70833</v>
      </c>
      <c r="X239" s="178" t="str">
        <f>VLOOKUP(A239,'1) Kpler'!$E$2:$I$1000,4,FALSE)</f>
        <v>loaded</v>
      </c>
      <c r="Y239" s="180" t="str">
        <f t="shared" si="40"/>
        <v>19-23 Jun</v>
      </c>
      <c r="Z239" s="120" t="str">
        <f t="shared" si="41"/>
        <v>19-23 Jun</v>
      </c>
      <c r="AA239" s="121">
        <f>IFERROR($M239+VLOOKUP($L239,'Voyage days'!$F$38:$H$89,3,FALSE),"")</f>
        <v>45827</v>
      </c>
      <c r="AB239" s="121">
        <f>IFERROR(N239+VLOOKUP($L239,'Voyage days'!$F$38:$H$89,3,FALSE),"")</f>
        <v>45831</v>
      </c>
      <c r="AC239" s="120" t="str">
        <f t="shared" si="42"/>
        <v>02-06 Jul</v>
      </c>
      <c r="AD239" s="121">
        <f>IFERROR($M239+VLOOKUP($L239,'Voyage days'!$F$94:$H$193,3,FALSE),"")</f>
        <v>45840</v>
      </c>
      <c r="AE239" s="121">
        <f>IFERROR($N239+VLOOKUP($L239,'Voyage days'!$F$94:$H$193,3,FALSE),"")</f>
        <v>45844</v>
      </c>
      <c r="AF239" s="120" t="str">
        <f t="shared" si="43"/>
        <v>09-13 Jul</v>
      </c>
      <c r="AG239" s="121">
        <f>IFERROR($M239+VLOOKUP($L239,'Voyage days'!$F$203:$H$256,3,FALSE),"")</f>
        <v>45847</v>
      </c>
      <c r="AH239" s="121">
        <f>IFERROR($N239+VLOOKUP($L239,'Voyage days'!$F$203:$H$256,3,FALSE),"")</f>
        <v>45851</v>
      </c>
      <c r="AI239" s="120" t="str">
        <f t="shared" si="44"/>
        <v>01-05 Jul</v>
      </c>
      <c r="AJ239" s="121">
        <f>IFERROR($M239+VLOOKUP($L239,'Voyage days'!$F$294:$H$377,3,FALSE),"")</f>
        <v>45839</v>
      </c>
      <c r="AK239" s="121">
        <f>IFERROR($N239+VLOOKUP($L239,'Voyage days'!$F$294:$H$377,3,FALSE),"")</f>
        <v>45843</v>
      </c>
      <c r="AL239" s="120" t="str">
        <f t="shared" si="45"/>
        <v>07-11 Jul</v>
      </c>
      <c r="AM239" s="121">
        <f>IFERROR($M239+VLOOKUP($L239,'Voyage days'!$F$382:$H$446,3,FALSE),"")</f>
        <v>45845</v>
      </c>
      <c r="AN239" s="121">
        <f>IFERROR($N239+VLOOKUP($L239,'Voyage days'!$F$382:$H$446,3,FALSE),"")</f>
        <v>45849</v>
      </c>
      <c r="AO239" s="120" t="str">
        <f t="shared" si="46"/>
        <v>14-18 Jun</v>
      </c>
      <c r="AP239" s="121">
        <f>IFERROR($M239+VLOOKUP($L239,'Voyage days'!$F$483:$H$538,3,FALSE),"")</f>
        <v>45822</v>
      </c>
      <c r="AQ239" s="121">
        <f>IFERROR($N239+VLOOKUP($L239,'Voyage days'!$F$483:$H$538,3,FALSE),"")</f>
        <v>45826</v>
      </c>
      <c r="AR239" s="120" t="str">
        <f t="shared" si="47"/>
        <v>09-13 Jun</v>
      </c>
      <c r="AS239" s="121">
        <f>IFERROR($M239+VLOOKUP($L239,'Voyage days'!$F$540:$H$613,3,FALSE),"")</f>
        <v>45817.25</v>
      </c>
      <c r="AT239" s="121">
        <f>IFERROR($N239+VLOOKUP($L239,'Voyage days'!$F$540:$H$613,3,FALSE),"")</f>
        <v>45821.25</v>
      </c>
      <c r="AU239" s="120" t="str">
        <f t="shared" si="48"/>
        <v/>
      </c>
      <c r="AV239" s="121" t="str">
        <f>IFERROR($M239+VLOOKUP($L239,'Voyage days'!$L$483:$N$535,3,FALSE),"")</f>
        <v/>
      </c>
      <c r="AW239" s="121" t="str">
        <f>IFERROR($N239+VLOOKUP($L239,'Voyage days'!$L$483:$N$535,3,FALSE),"")</f>
        <v/>
      </c>
      <c r="AX239" s="120" t="str">
        <f t="shared" si="49"/>
        <v>12-16 Jun</v>
      </c>
      <c r="AY239" s="122">
        <f>IFERROR($M239+VLOOKUP($L239,'Voyage days'!$F$620:$H$646,3,FALSE),"")</f>
        <v>45820</v>
      </c>
      <c r="AZ239" s="122">
        <f>IFERROR($N239+VLOOKUP($L239,'Voyage days'!$F$620:$H$646,3,FALSE),"")</f>
        <v>45824</v>
      </c>
      <c r="BA239" s="120" t="str">
        <f t="shared" si="50"/>
        <v>09-21 Jul</v>
      </c>
      <c r="BB239" s="123">
        <f>IFERROR($M239+VLOOKUP($L239,'Voyage days'!$F$702:$H$727,3,FALSE),"")</f>
        <v>45817.25</v>
      </c>
      <c r="BC239" s="120" t="str">
        <f t="shared" si="51"/>
        <v>17-21 Jul</v>
      </c>
      <c r="BD239" s="122">
        <f>IFERROR($M239+VLOOKUP($L239,'Voyage days'!$F$807:$H$878,3,FALSE),"")</f>
        <v>45855</v>
      </c>
      <c r="BE239" s="122">
        <f>IFERROR($N239+VLOOKUP($L239,'Voyage days'!$F$807:$H$878,3,FALSE),"")</f>
        <v>45859</v>
      </c>
      <c r="BF239" s="609"/>
      <c r="BG239" s="609"/>
      <c r="BH239" s="609"/>
      <c r="BI239" s="609"/>
      <c r="BJ239" s="609"/>
      <c r="BK239" s="609"/>
      <c r="BL239" s="609"/>
      <c r="BM239" s="609"/>
    </row>
    <row r="240">
      <c r="A240" s="515" t="s">
        <v>294</v>
      </c>
      <c r="B240" s="231">
        <v>2022.0</v>
      </c>
      <c r="C240" s="1098">
        <v>91000.0</v>
      </c>
      <c r="D240" s="234" t="s">
        <v>1687</v>
      </c>
      <c r="E240" s="233" t="s">
        <v>666</v>
      </c>
      <c r="F240" s="1035"/>
      <c r="G240" s="1105">
        <v>46600.0</v>
      </c>
      <c r="H240" s="233"/>
      <c r="I240" s="291" t="s">
        <v>1116</v>
      </c>
      <c r="J240" s="291"/>
      <c r="K240" s="470" t="str">
        <f t="shared" si="52"/>
        <v>Update</v>
      </c>
      <c r="L240" s="235" t="s">
        <v>1369</v>
      </c>
      <c r="M240" s="238">
        <v>45800.0</v>
      </c>
      <c r="N240" s="238">
        <v>45802.0</v>
      </c>
      <c r="O240" s="1038"/>
      <c r="P240" s="291"/>
      <c r="Q240" s="235"/>
      <c r="R240" s="235" t="s">
        <v>3157</v>
      </c>
      <c r="S240" s="292" t="s">
        <v>934</v>
      </c>
      <c r="T240" s="293">
        <v>45788.0</v>
      </c>
      <c r="U240" s="114" t="str">
        <f>IF(V240="","No AIS",VLOOKUP(V240,'Voyage days'!$A$3:$B$1480,2,FALSE))</f>
        <v>USG</v>
      </c>
      <c r="V240" s="114" t="str">
        <f>IF(VLOOKUP(A240,'1) Kpler'!$E$2:$P$1000,8, FALSE)="","",VLOOKUP(A240,'1) Kpler'!$E$2:$P$1000,8, FALSE))</f>
        <v>Houston</v>
      </c>
      <c r="W240" s="159">
        <f>IF(VLOOKUP(A240,'1) Kpler'!$E$2:$P$1000,9,FALSE)="","",VLOOKUP(A240,'1) Kpler'!$E$2:$P$1000,9,FALSE))</f>
        <v>46151.83333</v>
      </c>
      <c r="X240" s="114" t="str">
        <f>VLOOKUP(A240,'1) Kpler'!$E$2:$I$1000,4,FALSE)</f>
        <v>ballast</v>
      </c>
      <c r="Y240" s="272" t="str">
        <f t="shared" si="40"/>
        <v>05-07 Jun</v>
      </c>
      <c r="Z240" s="163" t="str">
        <f t="shared" si="41"/>
        <v>05-07 Jun</v>
      </c>
      <c r="AA240" s="122">
        <f>IFERROR($M240+VLOOKUP($L240,'Voyage days'!$F$38:$H$89,3,FALSE),"")</f>
        <v>45813</v>
      </c>
      <c r="AB240" s="122">
        <f>IFERROR(N240+VLOOKUP($L240,'Voyage days'!$F$38:$H$89,3,FALSE),"")</f>
        <v>45815</v>
      </c>
      <c r="AC240" s="163" t="str">
        <f t="shared" si="42"/>
        <v>26-28 Jun</v>
      </c>
      <c r="AD240" s="122">
        <f>IFERROR($M240+VLOOKUP($L240,'Voyage days'!$F$94:$H$193,3,FALSE),"")</f>
        <v>45834</v>
      </c>
      <c r="AE240" s="122">
        <f>IFERROR($N240+VLOOKUP($L240,'Voyage days'!$F$94:$H$193,3,FALSE),"")</f>
        <v>45836</v>
      </c>
      <c r="AF240" s="163" t="str">
        <f t="shared" si="43"/>
        <v>02-04 Jul</v>
      </c>
      <c r="AG240" s="122">
        <f>IFERROR($M240+VLOOKUP($L240,'Voyage days'!$F$203:$H$256,3,FALSE),"")</f>
        <v>45840</v>
      </c>
      <c r="AH240" s="122">
        <f>IFERROR($N240+VLOOKUP($L240,'Voyage days'!$F$203:$H$256,3,FALSE),"")</f>
        <v>45842</v>
      </c>
      <c r="AI240" s="163" t="str">
        <f t="shared" si="44"/>
        <v>14-16 Jun</v>
      </c>
      <c r="AJ240" s="122">
        <f>IFERROR($M240+VLOOKUP($L240,'Voyage days'!$F$294:$H$377,3,FALSE),"")</f>
        <v>45822</v>
      </c>
      <c r="AK240" s="122">
        <f>IFERROR($N240+VLOOKUP($L240,'Voyage days'!$F$294:$H$377,3,FALSE),"")</f>
        <v>45824</v>
      </c>
      <c r="AL240" s="163" t="str">
        <f t="shared" si="45"/>
        <v>23-25 Jun</v>
      </c>
      <c r="AM240" s="122">
        <f>IFERROR($M240+VLOOKUP($L240,'Voyage days'!$F$382:$H$446,3,FALSE),"")</f>
        <v>45831</v>
      </c>
      <c r="AN240" s="122">
        <f>IFERROR($N240+VLOOKUP($L240,'Voyage days'!$F$382:$H$446,3,FALSE),"")</f>
        <v>45833</v>
      </c>
      <c r="AO240" s="163" t="str">
        <f t="shared" si="46"/>
        <v>05-07 Jun</v>
      </c>
      <c r="AP240" s="122">
        <f>IFERROR($M240+VLOOKUP($L240,'Voyage days'!$F$483:$H$538,3,FALSE),"")</f>
        <v>45813</v>
      </c>
      <c r="AQ240" s="122">
        <f>IFERROR($N240+VLOOKUP($L240,'Voyage days'!$F$483:$H$538,3,FALSE),"")</f>
        <v>45815</v>
      </c>
      <c r="AR240" s="163" t="str">
        <f t="shared" si="47"/>
        <v>29-31 May</v>
      </c>
      <c r="AS240" s="122">
        <f>IFERROR($M240+VLOOKUP($L240,'Voyage days'!$F$540:$H$613,3,FALSE),"")</f>
        <v>45806.75</v>
      </c>
      <c r="AT240" s="122">
        <f>IFERROR($N240+VLOOKUP($L240,'Voyage days'!$F$540:$H$613,3,FALSE),"")</f>
        <v>45808.75</v>
      </c>
      <c r="AU240" s="163" t="str">
        <f t="shared" si="48"/>
        <v/>
      </c>
      <c r="AV240" s="122" t="str">
        <f>IFERROR($M240+VLOOKUP($L240,'Voyage days'!$L$483:$N$535,3,FALSE),"")</f>
        <v/>
      </c>
      <c r="AW240" s="122" t="str">
        <f>IFERROR($N240+VLOOKUP($L240,'Voyage days'!$L$483:$N$535,3,FALSE),"")</f>
        <v/>
      </c>
      <c r="AX240" s="163" t="str">
        <f t="shared" si="49"/>
        <v/>
      </c>
      <c r="AY240" s="122" t="str">
        <f>IFERROR($M240+VLOOKUP($L240,'Voyage days'!$F$620:$H$646,3,FALSE),"")</f>
        <v/>
      </c>
      <c r="AZ240" s="122" t="str">
        <f>IFERROR($N240+VLOOKUP($L240,'Voyage days'!$F$620:$H$646,3,FALSE),"")</f>
        <v/>
      </c>
      <c r="BA240" s="163" t="str">
        <f t="shared" si="50"/>
        <v>29-05 Jul</v>
      </c>
      <c r="BB240" s="123">
        <f>IFERROR($M240+VLOOKUP($L240,'Voyage days'!$F$702:$H$727,3,FALSE),"")</f>
        <v>45806.75</v>
      </c>
      <c r="BC240" s="163" t="str">
        <f t="shared" si="51"/>
        <v>03-05 Jul</v>
      </c>
      <c r="BD240" s="122">
        <f>IFERROR($M240+VLOOKUP($L240,'Voyage days'!$F$807:$H$878,3,FALSE),"")</f>
        <v>45841</v>
      </c>
      <c r="BE240" s="122">
        <f>IFERROR($N240+VLOOKUP($L240,'Voyage days'!$F$807:$H$878,3,FALSE),"")</f>
        <v>45843</v>
      </c>
      <c r="BF240" s="609"/>
      <c r="BG240" s="609"/>
      <c r="BH240" s="609"/>
      <c r="BI240" s="609"/>
      <c r="BJ240" s="609"/>
      <c r="BK240" s="609"/>
      <c r="BL240" s="609"/>
      <c r="BM240" s="609"/>
    </row>
    <row r="241" ht="15.75" customHeight="1">
      <c r="A241" s="473" t="s">
        <v>311</v>
      </c>
      <c r="B241" s="222">
        <v>40961.0</v>
      </c>
      <c r="C241" s="1101">
        <v>78000.0</v>
      </c>
      <c r="D241" s="168" t="s">
        <v>1687</v>
      </c>
      <c r="E241" s="223" t="s">
        <v>689</v>
      </c>
      <c r="F241" s="223"/>
      <c r="G241" s="1011">
        <v>46082.0</v>
      </c>
      <c r="H241" s="1010"/>
      <c r="I241" s="463" t="s">
        <v>1116</v>
      </c>
      <c r="J241" s="312" t="s">
        <v>2900</v>
      </c>
      <c r="K241" s="469" t="str">
        <f t="shared" si="52"/>
        <v>Update</v>
      </c>
      <c r="L241" s="1180" t="s">
        <v>703</v>
      </c>
      <c r="M241" s="173">
        <v>45795.0</v>
      </c>
      <c r="N241" s="173">
        <v>45798.0</v>
      </c>
      <c r="O241" s="174"/>
      <c r="P241" s="172"/>
      <c r="Q241" s="172"/>
      <c r="R241" s="172" t="s">
        <v>3158</v>
      </c>
      <c r="S241" s="175" t="s">
        <v>33</v>
      </c>
      <c r="T241" s="176">
        <v>45781.0</v>
      </c>
      <c r="U241" s="177" t="str">
        <f>IF(V241="","No AIS",VLOOKUP(V241,'Voyage days'!$A$3:$B$1480,2,FALSE))</f>
        <v>USG</v>
      </c>
      <c r="V241" s="178" t="str">
        <f>IF(VLOOKUP(A241,'1) Kpler'!$E$2:$P$1000,8, FALSE)="","",VLOOKUP(A241,'1) Kpler'!$E$2:$P$1000,8, FALSE))</f>
        <v>Houston</v>
      </c>
      <c r="W241" s="179">
        <f>IF(VLOOKUP(A241,'1) Kpler'!$E$2:$P$1000,9,FALSE)="","",VLOOKUP(A241,'1) Kpler'!$E$2:$P$1000,9,FALSE))</f>
        <v>46144.25</v>
      </c>
      <c r="X241" s="178" t="str">
        <f>VLOOKUP(A241,'1) Kpler'!$E$2:$I$1000,4,FALSE)</f>
        <v>ballast</v>
      </c>
      <c r="Y241" s="180" t="str">
        <f t="shared" si="40"/>
        <v>02-05 Jun</v>
      </c>
      <c r="Z241" s="120" t="str">
        <f t="shared" si="41"/>
        <v>02-05 Jun</v>
      </c>
      <c r="AA241" s="121">
        <f>IFERROR($M241+VLOOKUP($L241,'Voyage days'!$F$38:$H$89,3,FALSE),"")</f>
        <v>45810</v>
      </c>
      <c r="AB241" s="121">
        <f>IFERROR(N241+VLOOKUP($L241,'Voyage days'!$F$38:$H$89,3,FALSE),"")</f>
        <v>45813</v>
      </c>
      <c r="AC241" s="120" t="str">
        <f t="shared" si="42"/>
        <v>24-27 Jun</v>
      </c>
      <c r="AD241" s="121">
        <f>IFERROR($M241+VLOOKUP($L241,'Voyage days'!$F$94:$H$193,3,FALSE),"")</f>
        <v>45832</v>
      </c>
      <c r="AE241" s="121">
        <f>IFERROR($N241+VLOOKUP($L241,'Voyage days'!$F$94:$H$193,3,FALSE),"")</f>
        <v>45835</v>
      </c>
      <c r="AF241" s="120" t="str">
        <f t="shared" si="43"/>
        <v>29-02 Jul</v>
      </c>
      <c r="AG241" s="121">
        <f>IFERROR($M241+VLOOKUP($L241,'Voyage days'!$F$203:$H$256,3,FALSE),"")</f>
        <v>45837</v>
      </c>
      <c r="AH241" s="121">
        <f>IFERROR($N241+VLOOKUP($L241,'Voyage days'!$F$203:$H$256,3,FALSE),"")</f>
        <v>45840</v>
      </c>
      <c r="AI241" s="120" t="str">
        <f t="shared" si="44"/>
        <v>13-16 Jun</v>
      </c>
      <c r="AJ241" s="121">
        <f>IFERROR($M241+VLOOKUP($L241,'Voyage days'!$F$294:$H$377,3,FALSE),"")</f>
        <v>45821</v>
      </c>
      <c r="AK241" s="121">
        <f>IFERROR($N241+VLOOKUP($L241,'Voyage days'!$F$294:$H$377,3,FALSE),"")</f>
        <v>45824</v>
      </c>
      <c r="AL241" s="120" t="str">
        <f t="shared" si="45"/>
        <v>20-23 Jun</v>
      </c>
      <c r="AM241" s="121">
        <f>IFERROR($M241+VLOOKUP($L241,'Voyage days'!$F$382:$H$446,3,FALSE),"")</f>
        <v>45828</v>
      </c>
      <c r="AN241" s="121">
        <f>IFERROR($N241+VLOOKUP($L241,'Voyage days'!$F$382:$H$446,3,FALSE),"")</f>
        <v>45831</v>
      </c>
      <c r="AO241" s="120" t="str">
        <f t="shared" si="46"/>
        <v>01-04 Jun</v>
      </c>
      <c r="AP241" s="121">
        <f>IFERROR($M241+VLOOKUP($L241,'Voyage days'!$F$483:$H$538,3,FALSE),"")</f>
        <v>45809</v>
      </c>
      <c r="AQ241" s="121">
        <f>IFERROR($N241+VLOOKUP($L241,'Voyage days'!$F$483:$H$538,3,FALSE),"")</f>
        <v>45812</v>
      </c>
      <c r="AR241" s="120" t="str">
        <f t="shared" si="47"/>
        <v>24-27 May</v>
      </c>
      <c r="AS241" s="121">
        <f>IFERROR($M241+VLOOKUP($L241,'Voyage days'!$F$540:$H$613,3,FALSE),"")</f>
        <v>45801.75</v>
      </c>
      <c r="AT241" s="121">
        <f>IFERROR($N241+VLOOKUP($L241,'Voyage days'!$F$540:$H$613,3,FALSE),"")</f>
        <v>45804.75</v>
      </c>
      <c r="AU241" s="120" t="str">
        <f t="shared" si="48"/>
        <v/>
      </c>
      <c r="AV241" s="121" t="str">
        <f>IFERROR($M241+VLOOKUP($L241,'Voyage days'!$L$483:$N$535,3,FALSE),"")</f>
        <v/>
      </c>
      <c r="AW241" s="121" t="str">
        <f>IFERROR($N241+VLOOKUP($L241,'Voyage days'!$L$483:$N$535,3,FALSE),"")</f>
        <v/>
      </c>
      <c r="AX241" s="120" t="str">
        <f t="shared" si="49"/>
        <v/>
      </c>
      <c r="AY241" s="122" t="str">
        <f>IFERROR($M241+VLOOKUP($L241,'Voyage days'!$F$620:$H$646,3,FALSE),"")</f>
        <v/>
      </c>
      <c r="AZ241" s="122" t="str">
        <f>IFERROR($N241+VLOOKUP($L241,'Voyage days'!$F$620:$H$646,3,FALSE),"")</f>
        <v/>
      </c>
      <c r="BA241" s="120" t="str">
        <f t="shared" si="50"/>
        <v>24-02 Jul</v>
      </c>
      <c r="BB241" s="123">
        <f>IFERROR($M241+VLOOKUP($L241,'Voyage days'!$F$702:$H$727,3,FALSE),"")</f>
        <v>45801.75</v>
      </c>
      <c r="BC241" s="120" t="str">
        <f t="shared" si="51"/>
        <v>29-02 Jul</v>
      </c>
      <c r="BD241" s="122">
        <f>IFERROR($M241+VLOOKUP($L241,'Voyage days'!$F$807:$H$878,3,FALSE),"")</f>
        <v>45837</v>
      </c>
      <c r="BE241" s="122">
        <f>IFERROR($N241+VLOOKUP($L241,'Voyage days'!$F$807:$H$878,3,FALSE),"")</f>
        <v>45840</v>
      </c>
      <c r="BF241" s="609"/>
      <c r="BG241" s="609"/>
      <c r="BH241" s="609"/>
      <c r="BI241" s="609"/>
      <c r="BJ241" s="609"/>
      <c r="BK241" s="609"/>
      <c r="BL241" s="609"/>
      <c r="BM241" s="609"/>
    </row>
    <row r="242" ht="15.75" customHeight="1">
      <c r="A242" s="359" t="s">
        <v>3159</v>
      </c>
      <c r="B242" s="222">
        <v>42429.0</v>
      </c>
      <c r="C242" s="1101">
        <v>84000.0</v>
      </c>
      <c r="D242" s="282" t="s">
        <v>1687</v>
      </c>
      <c r="E242" s="374"/>
      <c r="F242" s="1103">
        <v>46082.0</v>
      </c>
      <c r="G242" s="374" t="s">
        <v>3160</v>
      </c>
      <c r="H242" s="374"/>
      <c r="I242" s="363" t="s">
        <v>1625</v>
      </c>
      <c r="J242" s="368" t="s">
        <v>1080</v>
      </c>
      <c r="K242" s="1069" t="str">
        <f t="shared" si="52"/>
        <v>#N/A</v>
      </c>
      <c r="L242" s="285" t="s">
        <v>1231</v>
      </c>
      <c r="M242" s="367">
        <v>45809.0</v>
      </c>
      <c r="N242" s="367">
        <v>45813.0</v>
      </c>
      <c r="O242" s="1181"/>
      <c r="P242" s="482" t="s">
        <v>3161</v>
      </c>
      <c r="Q242" s="285"/>
      <c r="R242" s="285" t="s">
        <v>3162</v>
      </c>
      <c r="S242" s="358" t="s">
        <v>934</v>
      </c>
      <c r="T242" s="486">
        <v>45782.0</v>
      </c>
      <c r="U242" s="177" t="str">
        <f>IF(V242="","No AIS",VLOOKUP(V242,'Voyage days'!$A$3:$B$1480,2,FALSE))</f>
        <v>#N/A</v>
      </c>
      <c r="V242" s="177" t="str">
        <f>IF(VLOOKUP(A242,'1) Kpler'!$E$2:$P$1000,8, FALSE)="","",VLOOKUP(A242,'1) Kpler'!$E$2:$P$1000,8, FALSE))</f>
        <v>#N/A</v>
      </c>
      <c r="W242" s="370" t="str">
        <f>IF(VLOOKUP(A242,'1) Kpler'!$E$2:$P$1000,9,FALSE)="","",VLOOKUP(A242,'1) Kpler'!$E$2:$P$1000,9,FALSE))</f>
        <v>#N/A</v>
      </c>
      <c r="X242" s="177" t="str">
        <f>VLOOKUP(A242,'1) Kpler'!$E$2:$I$1000,4,FALSE)</f>
        <v>#N/A</v>
      </c>
      <c r="Y242" s="163" t="str">
        <f t="shared" si="40"/>
        <v>10-14 Jun</v>
      </c>
      <c r="Z242" s="163" t="str">
        <f t="shared" si="41"/>
        <v>10-14 Jun</v>
      </c>
      <c r="AA242" s="122">
        <f>IFERROR($M242+VLOOKUP($L242,'Voyage days'!$F$38:$H$89,3,FALSE),"")</f>
        <v>45818</v>
      </c>
      <c r="AB242" s="122">
        <f>IFERROR(N242+VLOOKUP($L242,'Voyage days'!$F$38:$H$89,3,FALSE),"")</f>
        <v>45822</v>
      </c>
      <c r="AC242" s="163" t="str">
        <f t="shared" si="42"/>
        <v/>
      </c>
      <c r="AD242" s="122" t="str">
        <f>IFERROR($M242+VLOOKUP($L242,'Voyage days'!$F$94:$H$193,3,FALSE),"")</f>
        <v/>
      </c>
      <c r="AE242" s="122" t="str">
        <f>IFERROR($N242+VLOOKUP($L242,'Voyage days'!$F$94:$H$193,3,FALSE),"")</f>
        <v/>
      </c>
      <c r="AF242" s="163" t="str">
        <f t="shared" si="43"/>
        <v>07-11 Jul</v>
      </c>
      <c r="AG242" s="122">
        <f>IFERROR($M242+VLOOKUP($L242,'Voyage days'!$F$203:$H$256,3,FALSE),"")</f>
        <v>45845</v>
      </c>
      <c r="AH242" s="122">
        <f>IFERROR($N242+VLOOKUP($L242,'Voyage days'!$F$203:$H$256,3,FALSE),"")</f>
        <v>45849</v>
      </c>
      <c r="AI242" s="163" t="str">
        <f t="shared" si="44"/>
        <v>22-26 Jun</v>
      </c>
      <c r="AJ242" s="122">
        <f>IFERROR($M242+VLOOKUP($L242,'Voyage days'!$F$294:$H$377,3,FALSE),"")</f>
        <v>45830</v>
      </c>
      <c r="AK242" s="122">
        <f>IFERROR($N242+VLOOKUP($L242,'Voyage days'!$F$294:$H$377,3,FALSE),"")</f>
        <v>45834</v>
      </c>
      <c r="AL242" s="163" t="str">
        <f t="shared" si="45"/>
        <v>29-03 Jul</v>
      </c>
      <c r="AM242" s="122">
        <f>IFERROR($M242+VLOOKUP($L242,'Voyage days'!$F$382:$H$446,3,FALSE),"")</f>
        <v>45837</v>
      </c>
      <c r="AN242" s="122">
        <f>IFERROR($N242+VLOOKUP($L242,'Voyage days'!$F$382:$H$446,3,FALSE),"")</f>
        <v>45841</v>
      </c>
      <c r="AO242" s="163" t="str">
        <f t="shared" si="46"/>
        <v>01-05 Jun</v>
      </c>
      <c r="AP242" s="122">
        <f>IFERROR($M242+VLOOKUP($L242,'Voyage days'!$F$483:$H$538,3,FALSE),"")</f>
        <v>45809</v>
      </c>
      <c r="AQ242" s="122">
        <f>IFERROR($N242+VLOOKUP($L242,'Voyage days'!$F$483:$H$538,3,FALSE),"")</f>
        <v>45813</v>
      </c>
      <c r="AR242" s="163" t="str">
        <f t="shared" si="47"/>
        <v/>
      </c>
      <c r="AS242" s="122" t="str">
        <f>IFERROR($M242+VLOOKUP($L242,'Voyage days'!$F$540:$H$613,3,FALSE),"")</f>
        <v/>
      </c>
      <c r="AT242" s="122" t="str">
        <f>IFERROR($N242+VLOOKUP($L242,'Voyage days'!$F$540:$H$613,3,FALSE),"")</f>
        <v/>
      </c>
      <c r="AU242" s="163" t="str">
        <f t="shared" si="48"/>
        <v/>
      </c>
      <c r="AV242" s="122" t="str">
        <f>IFERROR($M242+VLOOKUP($L242,'Voyage days'!$L$483:$N$535,3,FALSE),"")</f>
        <v/>
      </c>
      <c r="AW242" s="122" t="str">
        <f>IFERROR($N242+VLOOKUP($L242,'Voyage days'!$L$483:$N$535,3,FALSE),"")</f>
        <v/>
      </c>
      <c r="AX242" s="163" t="str">
        <f t="shared" si="49"/>
        <v/>
      </c>
      <c r="AY242" s="122" t="str">
        <f>IFERROR($M242+VLOOKUP($L242,'Voyage days'!$F$620:$H$646,3,FALSE),"")</f>
        <v/>
      </c>
      <c r="AZ242" s="122" t="str">
        <f>IFERROR($N242+VLOOKUP($L242,'Voyage days'!$F$620:$H$646,3,FALSE),"")</f>
        <v/>
      </c>
      <c r="BA242" s="163" t="str">
        <f t="shared" si="50"/>
        <v/>
      </c>
      <c r="BB242" s="123" t="str">
        <f>IFERROR($M242+VLOOKUP($L242,'Voyage days'!$F$702:$H$727,3,FALSE),"")</f>
        <v/>
      </c>
      <c r="BC242" s="163" t="str">
        <f t="shared" si="51"/>
        <v>09-13 Jul</v>
      </c>
      <c r="BD242" s="122">
        <f>IFERROR($M242+VLOOKUP($L242,'Voyage days'!$F$807:$H$878,3,FALSE),"")</f>
        <v>45847</v>
      </c>
      <c r="BE242" s="122">
        <f>IFERROR($N242+VLOOKUP($L242,'Voyage days'!$F$807:$H$878,3,FALSE),"")</f>
        <v>45851</v>
      </c>
      <c r="BF242" s="609"/>
      <c r="BG242" s="609"/>
      <c r="BH242" s="609"/>
      <c r="BI242" s="609"/>
      <c r="BJ242" s="609"/>
      <c r="BK242" s="609"/>
      <c r="BL242" s="609"/>
      <c r="BM242" s="609"/>
    </row>
    <row r="243" ht="15.75" customHeight="1">
      <c r="A243" s="341" t="s">
        <v>1122</v>
      </c>
      <c r="B243" s="101">
        <v>42062.0</v>
      </c>
      <c r="C243" s="1045">
        <v>84000.0</v>
      </c>
      <c r="D243" s="150" t="s">
        <v>1687</v>
      </c>
      <c r="E243" s="149" t="s">
        <v>689</v>
      </c>
      <c r="F243" s="1182">
        <v>44063.0</v>
      </c>
      <c r="G243" s="149" t="s">
        <v>1611</v>
      </c>
      <c r="H243" s="149"/>
      <c r="I243" s="153" t="s">
        <v>1123</v>
      </c>
      <c r="J243" s="536" t="s">
        <v>2935</v>
      </c>
      <c r="K243" s="470" t="str">
        <f t="shared" si="52"/>
        <v>Update</v>
      </c>
      <c r="L243" s="153" t="s">
        <v>680</v>
      </c>
      <c r="M243" s="238">
        <v>45788.0</v>
      </c>
      <c r="N243" s="238">
        <v>45789.0</v>
      </c>
      <c r="O243" s="155"/>
      <c r="P243" s="317"/>
      <c r="Q243" s="153"/>
      <c r="R243" s="153" t="s">
        <v>3163</v>
      </c>
      <c r="S243" s="256" t="s">
        <v>934</v>
      </c>
      <c r="T243" s="293">
        <v>45786.0</v>
      </c>
      <c r="U243" s="114" t="str">
        <f>IF(V243="","No AIS",VLOOKUP(V243,'Voyage days'!$A$3:$B$1480,2,FALSE))</f>
        <v>Panama</v>
      </c>
      <c r="V243" s="114" t="str">
        <f>IF(VLOOKUP(A243,'1) Kpler'!$E$2:$P$1000,8, FALSE)="","",VLOOKUP(A243,'1) Kpler'!$E$2:$P$1000,8, FALSE))</f>
        <v>Panama Canal</v>
      </c>
      <c r="W243" s="159">
        <f>IF(VLOOKUP(A243,'1) Kpler'!$E$2:$P$1000,9,FALSE)="","",VLOOKUP(A243,'1) Kpler'!$E$2:$P$1000,9,FALSE))</f>
        <v>46149.5</v>
      </c>
      <c r="X243" s="114" t="str">
        <f>VLOOKUP(A243,'1) Kpler'!$E$2:$I$1000,4,FALSE)</f>
        <v>ballast</v>
      </c>
      <c r="Y243" s="296" t="str">
        <f t="shared" si="40"/>
        <v/>
      </c>
      <c r="Z243" s="163" t="str">
        <f t="shared" si="41"/>
        <v/>
      </c>
      <c r="AA243" s="122" t="str">
        <f>IFERROR($M243+VLOOKUP($L243,'Voyage days'!$F$38:$H$89,3,FALSE),"")</f>
        <v/>
      </c>
      <c r="AB243" s="122" t="str">
        <f>IFERROR(N243+VLOOKUP($L243,'Voyage days'!$F$38:$H$89,3,FALSE),"")</f>
        <v/>
      </c>
      <c r="AC243" s="163" t="str">
        <f t="shared" si="42"/>
        <v>11-12 May</v>
      </c>
      <c r="AD243" s="122">
        <f>IFERROR($M243+VLOOKUP($L243,'Voyage days'!$F$94:$H$193,3,FALSE),"")</f>
        <v>45788</v>
      </c>
      <c r="AE243" s="122">
        <f>IFERROR($N243+VLOOKUP($L243,'Voyage days'!$F$94:$H$193,3,FALSE),"")</f>
        <v>45789</v>
      </c>
      <c r="AF243" s="163" t="str">
        <f t="shared" si="43"/>
        <v>11-12 May</v>
      </c>
      <c r="AG243" s="122">
        <f>IFERROR($M243+VLOOKUP($L243,'Voyage days'!$F$203:$H$256,3,FALSE),"")</f>
        <v>45788</v>
      </c>
      <c r="AH243" s="122">
        <f>IFERROR($N243+VLOOKUP($L243,'Voyage days'!$F$203:$H$256,3,FALSE),"")</f>
        <v>45789</v>
      </c>
      <c r="AI243" s="163" t="str">
        <f t="shared" si="44"/>
        <v/>
      </c>
      <c r="AJ243" s="122" t="str">
        <f>IFERROR($M243+VLOOKUP($L243,'Voyage days'!$F$294:$H$377,3,FALSE),"")</f>
        <v/>
      </c>
      <c r="AK243" s="122" t="str">
        <f>IFERROR($N243+VLOOKUP($L243,'Voyage days'!$F$294:$H$377,3,FALSE),"")</f>
        <v/>
      </c>
      <c r="AL243" s="163" t="str">
        <f t="shared" si="45"/>
        <v>31-01 Jun</v>
      </c>
      <c r="AM243" s="122">
        <f>IFERROR($M243+VLOOKUP($L243,'Voyage days'!$F$382:$H$446,3,FALSE),"")</f>
        <v>45808</v>
      </c>
      <c r="AN243" s="122">
        <f>IFERROR($N243+VLOOKUP($L243,'Voyage days'!$F$382:$H$446,3,FALSE),"")</f>
        <v>45809</v>
      </c>
      <c r="AO243" s="163" t="str">
        <f t="shared" si="46"/>
        <v/>
      </c>
      <c r="AP243" s="122" t="str">
        <f>IFERROR($M243+VLOOKUP($L243,'Voyage days'!$F$483:$H$538,3,FALSE),"")</f>
        <v/>
      </c>
      <c r="AQ243" s="122" t="str">
        <f>IFERROR($N243+VLOOKUP($L243,'Voyage days'!$F$483:$H$538,3,FALSE),"")</f>
        <v/>
      </c>
      <c r="AR243" s="163" t="str">
        <f t="shared" si="47"/>
        <v/>
      </c>
      <c r="AS243" s="122" t="str">
        <f>IFERROR($M243+VLOOKUP($L243,'Voyage days'!$F$540:$H$613,3,FALSE),"")</f>
        <v/>
      </c>
      <c r="AT243" s="122" t="str">
        <f>IFERROR($N243+VLOOKUP($L243,'Voyage days'!$F$540:$H$613,3,FALSE),"")</f>
        <v/>
      </c>
      <c r="AU243" s="163" t="str">
        <f t="shared" si="48"/>
        <v/>
      </c>
      <c r="AV243" s="122" t="str">
        <f>IFERROR($M243+VLOOKUP($L243,'Voyage days'!$L$483:$N$535,3,FALSE),"")</f>
        <v/>
      </c>
      <c r="AW243" s="122" t="str">
        <f>IFERROR($N243+VLOOKUP($L243,'Voyage days'!$L$483:$N$535,3,FALSE),"")</f>
        <v/>
      </c>
      <c r="AX243" s="163" t="str">
        <f t="shared" si="49"/>
        <v/>
      </c>
      <c r="AY243" s="122" t="str">
        <f>IFERROR($M243+VLOOKUP($L243,'Voyage days'!$F$620:$H$646,3,FALSE),"")</f>
        <v/>
      </c>
      <c r="AZ243" s="122" t="str">
        <f>IFERROR($N243+VLOOKUP($L243,'Voyage days'!$F$620:$H$646,3,FALSE),"")</f>
        <v/>
      </c>
      <c r="BA243" s="163" t="str">
        <f t="shared" si="50"/>
        <v/>
      </c>
      <c r="BB243" s="123" t="str">
        <f>IFERROR($M243+VLOOKUP($L243,'Voyage days'!$F$702:$H$727,3,FALSE),"")</f>
        <v/>
      </c>
      <c r="BC243" s="163" t="str">
        <f t="shared" si="51"/>
        <v/>
      </c>
      <c r="BD243" s="122" t="str">
        <f>IFERROR($M243+VLOOKUP($L243,'Voyage days'!$F$807:$H$878,3,FALSE),"")</f>
        <v/>
      </c>
      <c r="BE243" s="122" t="str">
        <f>IFERROR($N243+VLOOKUP($L243,'Voyage days'!$F$807:$H$878,3,FALSE),"")</f>
        <v/>
      </c>
      <c r="BF243" s="609"/>
      <c r="BG243" s="609"/>
      <c r="BH243" s="609"/>
      <c r="BI243" s="609"/>
      <c r="BJ243" s="609"/>
      <c r="BK243" s="609"/>
      <c r="BL243" s="609"/>
      <c r="BM243" s="609"/>
    </row>
    <row r="244" ht="15.75" customHeight="1">
      <c r="A244" s="274" t="s">
        <v>164</v>
      </c>
      <c r="B244" s="101">
        <v>42331.0</v>
      </c>
      <c r="C244" s="1045">
        <v>84000.0</v>
      </c>
      <c r="D244" s="150" t="s">
        <v>1687</v>
      </c>
      <c r="E244" s="149"/>
      <c r="F244" s="1014"/>
      <c r="G244" s="149" t="s">
        <v>1611</v>
      </c>
      <c r="H244" s="149"/>
      <c r="I244" s="157" t="s">
        <v>1123</v>
      </c>
      <c r="J244" s="536" t="s">
        <v>2945</v>
      </c>
      <c r="K244" s="151" t="str">
        <f t="shared" si="52"/>
        <v>NO AIS</v>
      </c>
      <c r="L244" s="153" t="s">
        <v>1031</v>
      </c>
      <c r="M244" s="109">
        <v>45795.0</v>
      </c>
      <c r="N244" s="109">
        <v>45796.0</v>
      </c>
      <c r="O244" s="277"/>
      <c r="P244" s="300"/>
      <c r="Q244" s="157"/>
      <c r="R244" s="153" t="s">
        <v>3164</v>
      </c>
      <c r="S244" s="256" t="s">
        <v>33</v>
      </c>
      <c r="T244" s="293">
        <v>45781.0</v>
      </c>
      <c r="U244" s="114" t="str">
        <f>IF(V244="","No AIS",VLOOKUP(V244,'Voyage days'!$A$3:$B$1480,2,FALSE))</f>
        <v>No AIS</v>
      </c>
      <c r="V244" s="114" t="str">
        <f>IF(VLOOKUP(A244,'1) Kpler'!$E$2:$P$1000,8, FALSE)="","",VLOOKUP(A244,'1) Kpler'!$E$2:$P$1000,8, FALSE))</f>
        <v/>
      </c>
      <c r="W244" s="159" t="str">
        <f>IF(VLOOKUP(A244,'1) Kpler'!$E$2:$P$1000,9,FALSE)="","",VLOOKUP(A244,'1) Kpler'!$E$2:$P$1000,9,FALSE))</f>
        <v/>
      </c>
      <c r="X244" s="114" t="str">
        <f>VLOOKUP(A244,'1) Kpler'!$E$2:$I$1000,4,FALSE)</f>
        <v>ballast</v>
      </c>
      <c r="Y244" s="160" t="str">
        <f t="shared" si="40"/>
        <v>18-19 May</v>
      </c>
      <c r="Z244" s="120" t="str">
        <f t="shared" si="41"/>
        <v>18-19 May</v>
      </c>
      <c r="AA244" s="121">
        <f>IFERROR($M244+VLOOKUP($L244,'Voyage days'!$F$38:$H$89,3,FALSE),"")</f>
        <v>45795</v>
      </c>
      <c r="AB244" s="121">
        <f>IFERROR(N244+VLOOKUP($L244,'Voyage days'!$F$38:$H$89,3,FALSE),"")</f>
        <v>45796</v>
      </c>
      <c r="AC244" s="120" t="str">
        <f t="shared" si="42"/>
        <v/>
      </c>
      <c r="AD244" s="121" t="str">
        <f>IFERROR($M244+VLOOKUP($L244,'Voyage days'!$F$94:$H$193,3,FALSE),"")</f>
        <v/>
      </c>
      <c r="AE244" s="121" t="str">
        <f>IFERROR($N244+VLOOKUP($L244,'Voyage days'!$F$94:$H$193,3,FALSE),"")</f>
        <v/>
      </c>
      <c r="AF244" s="120" t="str">
        <f t="shared" si="43"/>
        <v/>
      </c>
      <c r="AG244" s="121" t="str">
        <f>IFERROR($M244+VLOOKUP($L244,'Voyage days'!$F$203:$H$256,3,FALSE),"")</f>
        <v/>
      </c>
      <c r="AH244" s="121" t="str">
        <f>IFERROR($N244+VLOOKUP($L244,'Voyage days'!$F$203:$H$256,3,FALSE),"")</f>
        <v/>
      </c>
      <c r="AI244" s="120" t="str">
        <f t="shared" si="44"/>
        <v/>
      </c>
      <c r="AJ244" s="121" t="str">
        <f>IFERROR($M244+VLOOKUP($L244,'Voyage days'!$F$294:$H$377,3,FALSE),"")</f>
        <v/>
      </c>
      <c r="AK244" s="121" t="str">
        <f>IFERROR($N244+VLOOKUP($L244,'Voyage days'!$F$294:$H$377,3,FALSE),"")</f>
        <v/>
      </c>
      <c r="AL244" s="120" t="str">
        <f t="shared" si="45"/>
        <v/>
      </c>
      <c r="AM244" s="121" t="str">
        <f>IFERROR($M244+VLOOKUP($L244,'Voyage days'!$F$382:$H$446,3,FALSE),"")</f>
        <v/>
      </c>
      <c r="AN244" s="121" t="str">
        <f>IFERROR($N244+VLOOKUP($L244,'Voyage days'!$F$382:$H$446,3,FALSE),"")</f>
        <v/>
      </c>
      <c r="AO244" s="120" t="str">
        <f t="shared" si="46"/>
        <v/>
      </c>
      <c r="AP244" s="121" t="str">
        <f>IFERROR($M244+VLOOKUP($L244,'Voyage days'!$F$483:$H$538,3,FALSE),"")</f>
        <v/>
      </c>
      <c r="AQ244" s="121" t="str">
        <f>IFERROR($N244+VLOOKUP($L244,'Voyage days'!$F$483:$H$538,3,FALSE),"")</f>
        <v/>
      </c>
      <c r="AR244" s="120" t="str">
        <f t="shared" si="47"/>
        <v>06-07 Jun</v>
      </c>
      <c r="AS244" s="121">
        <f>IFERROR($M244+VLOOKUP($L244,'Voyage days'!$F$540:$H$613,3,FALSE),"")</f>
        <v>45814</v>
      </c>
      <c r="AT244" s="121">
        <f>IFERROR($N244+VLOOKUP($L244,'Voyage days'!$F$540:$H$613,3,FALSE),"")</f>
        <v>45815</v>
      </c>
      <c r="AU244" s="120" t="str">
        <f t="shared" si="48"/>
        <v/>
      </c>
      <c r="AV244" s="121" t="str">
        <f>IFERROR($M244+VLOOKUP($L244,'Voyage days'!$L$483:$N$535,3,FALSE),"")</f>
        <v/>
      </c>
      <c r="AW244" s="121" t="str">
        <f>IFERROR($N244+VLOOKUP($L244,'Voyage days'!$L$483:$N$535,3,FALSE),"")</f>
        <v/>
      </c>
      <c r="AX244" s="120" t="str">
        <f t="shared" si="49"/>
        <v/>
      </c>
      <c r="AY244" s="122" t="str">
        <f>IFERROR($M244+VLOOKUP($L244,'Voyage days'!$F$620:$H$646,3,FALSE),"")</f>
        <v/>
      </c>
      <c r="AZ244" s="122" t="str">
        <f>IFERROR($N244+VLOOKUP($L244,'Voyage days'!$F$620:$H$646,3,FALSE),"")</f>
        <v/>
      </c>
      <c r="BA244" s="120" t="str">
        <f t="shared" si="50"/>
        <v/>
      </c>
      <c r="BB244" s="123" t="str">
        <f>IFERROR($M244+VLOOKUP($L244,'Voyage days'!$F$702:$H$727,3,FALSE),"")</f>
        <v/>
      </c>
      <c r="BC244" s="120" t="str">
        <f t="shared" si="51"/>
        <v>18-19 May</v>
      </c>
      <c r="BD244" s="122">
        <f>IFERROR($M244+VLOOKUP($L244,'Voyage days'!$F$807:$H$878,3,FALSE),"")</f>
        <v>45795</v>
      </c>
      <c r="BE244" s="122">
        <f>IFERROR($N244+VLOOKUP($L244,'Voyage days'!$F$807:$H$878,3,FALSE),"")</f>
        <v>45796</v>
      </c>
      <c r="BF244" s="609"/>
      <c r="BG244" s="609"/>
      <c r="BH244" s="609"/>
      <c r="BI244" s="609"/>
      <c r="BJ244" s="609"/>
      <c r="BK244" s="609"/>
      <c r="BL244" s="609"/>
      <c r="BM244" s="609"/>
    </row>
    <row r="245">
      <c r="A245" s="80" t="s">
        <v>189</v>
      </c>
      <c r="B245" s="101">
        <v>42248.0</v>
      </c>
      <c r="C245" s="1045">
        <v>84000.0</v>
      </c>
      <c r="D245" s="104" t="s">
        <v>1687</v>
      </c>
      <c r="E245" s="103"/>
      <c r="F245" s="604">
        <v>44217.0</v>
      </c>
      <c r="G245" s="605">
        <v>46508.0</v>
      </c>
      <c r="H245" s="103"/>
      <c r="I245" s="185" t="s">
        <v>1123</v>
      </c>
      <c r="J245" s="111" t="s">
        <v>2945</v>
      </c>
      <c r="K245" s="336" t="str">
        <f t="shared" si="52"/>
        <v>Update</v>
      </c>
      <c r="L245" s="467" t="s">
        <v>680</v>
      </c>
      <c r="M245" s="109">
        <v>45809.0</v>
      </c>
      <c r="N245" s="109">
        <v>45818.0</v>
      </c>
      <c r="O245" s="334"/>
      <c r="P245" s="192" t="s">
        <v>3165</v>
      </c>
      <c r="Q245" s="1183"/>
      <c r="R245" s="185"/>
      <c r="S245" s="112" t="s">
        <v>934</v>
      </c>
      <c r="T245" s="113">
        <v>45786.0</v>
      </c>
      <c r="U245" s="114" t="str">
        <f>IF(V245="","No AIS",VLOOKUP(V245,'Voyage days'!$A$3:$B$1480,2,FALSE))</f>
        <v>Japan + 6</v>
      </c>
      <c r="V245" s="115" t="str">
        <f>IF(VLOOKUP(A245,'1) Kpler'!$E$2:$P$1000,8, FALSE)="","",VLOOKUP(A245,'1) Kpler'!$E$2:$P$1000,8, FALSE))</f>
        <v>Chiba</v>
      </c>
      <c r="W245" s="116">
        <f>IF(VLOOKUP(A245,'1) Kpler'!$E$2:$P$1000,9,FALSE)="","",VLOOKUP(A245,'1) Kpler'!$E$2:$P$1000,9,FALSE))</f>
        <v>46139.45833</v>
      </c>
      <c r="X245" s="115" t="str">
        <f>VLOOKUP(A245,'1) Kpler'!$E$2:$I$1000,4,FALSE)</f>
        <v>loaded</v>
      </c>
      <c r="Y245" s="117" t="str">
        <f t="shared" si="40"/>
        <v/>
      </c>
      <c r="Z245" s="120" t="str">
        <f t="shared" si="41"/>
        <v/>
      </c>
      <c r="AA245" s="121" t="str">
        <f>IFERROR($M245+VLOOKUP($L245,'Voyage days'!$F$38:$H$89,3,FALSE),"")</f>
        <v/>
      </c>
      <c r="AB245" s="121" t="str">
        <f>IFERROR(N245+VLOOKUP($L245,'Voyage days'!$F$38:$H$89,3,FALSE),"")</f>
        <v/>
      </c>
      <c r="AC245" s="120" t="str">
        <f t="shared" si="42"/>
        <v>01-10 Jun</v>
      </c>
      <c r="AD245" s="121">
        <f>IFERROR($M245+VLOOKUP($L245,'Voyage days'!$F$94:$H$193,3,FALSE),"")</f>
        <v>45809</v>
      </c>
      <c r="AE245" s="121">
        <f>IFERROR($N245+VLOOKUP($L245,'Voyage days'!$F$94:$H$193,3,FALSE),"")</f>
        <v>45818</v>
      </c>
      <c r="AF245" s="120" t="str">
        <f t="shared" si="43"/>
        <v>01-10 Jun</v>
      </c>
      <c r="AG245" s="121">
        <f>IFERROR($M245+VLOOKUP($L245,'Voyage days'!$F$203:$H$256,3,FALSE),"")</f>
        <v>45809</v>
      </c>
      <c r="AH245" s="121">
        <f>IFERROR($N245+VLOOKUP($L245,'Voyage days'!$F$203:$H$256,3,FALSE),"")</f>
        <v>45818</v>
      </c>
      <c r="AI245" s="120" t="str">
        <f t="shared" si="44"/>
        <v/>
      </c>
      <c r="AJ245" s="121" t="str">
        <f>IFERROR($M245+VLOOKUP($L245,'Voyage days'!$F$294:$H$377,3,FALSE),"")</f>
        <v/>
      </c>
      <c r="AK245" s="121" t="str">
        <f>IFERROR($N245+VLOOKUP($L245,'Voyage days'!$F$294:$H$377,3,FALSE),"")</f>
        <v/>
      </c>
      <c r="AL245" s="120" t="str">
        <f t="shared" si="45"/>
        <v>21-30 Jun</v>
      </c>
      <c r="AM245" s="121">
        <f>IFERROR($M245+VLOOKUP($L245,'Voyage days'!$F$382:$H$446,3,FALSE),"")</f>
        <v>45829</v>
      </c>
      <c r="AN245" s="121">
        <f>IFERROR($N245+VLOOKUP($L245,'Voyage days'!$F$382:$H$446,3,FALSE),"")</f>
        <v>45838</v>
      </c>
      <c r="AO245" s="120" t="str">
        <f t="shared" si="46"/>
        <v/>
      </c>
      <c r="AP245" s="121" t="str">
        <f>IFERROR($M245+VLOOKUP($L245,'Voyage days'!$F$483:$H$538,3,FALSE),"")</f>
        <v/>
      </c>
      <c r="AQ245" s="121" t="str">
        <f>IFERROR($N245+VLOOKUP($L245,'Voyage days'!$F$483:$H$538,3,FALSE),"")</f>
        <v/>
      </c>
      <c r="AR245" s="120" t="str">
        <f t="shared" si="47"/>
        <v/>
      </c>
      <c r="AS245" s="121" t="str">
        <f>IFERROR($M245+VLOOKUP($L245,'Voyage days'!$F$540:$H$613,3,FALSE),"")</f>
        <v/>
      </c>
      <c r="AT245" s="121" t="str">
        <f>IFERROR($N245+VLOOKUP($L245,'Voyage days'!$F$540:$H$613,3,FALSE),"")</f>
        <v/>
      </c>
      <c r="AU245" s="120" t="str">
        <f t="shared" si="48"/>
        <v/>
      </c>
      <c r="AV245" s="121" t="str">
        <f>IFERROR($M245+VLOOKUP($L245,'Voyage days'!$L$483:$N$535,3,FALSE),"")</f>
        <v/>
      </c>
      <c r="AW245" s="121" t="str">
        <f>IFERROR($N245+VLOOKUP($L245,'Voyage days'!$L$483:$N$535,3,FALSE),"")</f>
        <v/>
      </c>
      <c r="AX245" s="120" t="str">
        <f t="shared" si="49"/>
        <v/>
      </c>
      <c r="AY245" s="122" t="str">
        <f>IFERROR($M245+VLOOKUP($L245,'Voyage days'!$F$620:$H$646,3,FALSE),"")</f>
        <v/>
      </c>
      <c r="AZ245" s="122" t="str">
        <f>IFERROR($N245+VLOOKUP($L245,'Voyage days'!$F$620:$H$646,3,FALSE),"")</f>
        <v/>
      </c>
      <c r="BA245" s="120" t="str">
        <f t="shared" si="50"/>
        <v/>
      </c>
      <c r="BB245" s="123" t="str">
        <f>IFERROR($M245+VLOOKUP($L245,'Voyage days'!$F$702:$H$727,3,FALSE),"")</f>
        <v/>
      </c>
      <c r="BC245" s="120" t="str">
        <f t="shared" si="51"/>
        <v/>
      </c>
      <c r="BD245" s="122" t="str">
        <f>IFERROR($M245+VLOOKUP($L245,'Voyage days'!$F$807:$H$878,3,FALSE),"")</f>
        <v/>
      </c>
      <c r="BE245" s="122" t="str">
        <f>IFERROR($N245+VLOOKUP($L245,'Voyage days'!$F$807:$H$878,3,FALSE),"")</f>
        <v/>
      </c>
      <c r="BF245" s="609"/>
      <c r="BG245" s="609"/>
      <c r="BH245" s="609"/>
      <c r="BI245" s="609"/>
      <c r="BJ245" s="609"/>
      <c r="BK245" s="609"/>
      <c r="BL245" s="609"/>
      <c r="BM245" s="609"/>
    </row>
    <row r="246" ht="15.75" customHeight="1">
      <c r="A246" s="473" t="s">
        <v>292</v>
      </c>
      <c r="B246" s="222">
        <v>43084.0</v>
      </c>
      <c r="C246" s="1101">
        <v>85000.0</v>
      </c>
      <c r="D246" s="168" t="s">
        <v>1687</v>
      </c>
      <c r="E246" s="223" t="s">
        <v>666</v>
      </c>
      <c r="F246" s="223">
        <v>2023.0</v>
      </c>
      <c r="G246" s="1011">
        <v>45870.0</v>
      </c>
      <c r="H246" s="223"/>
      <c r="I246" s="312" t="s">
        <v>1123</v>
      </c>
      <c r="J246" s="312" t="s">
        <v>1624</v>
      </c>
      <c r="K246" s="469" t="str">
        <f t="shared" si="52"/>
        <v>Update</v>
      </c>
      <c r="L246" s="172" t="s">
        <v>680</v>
      </c>
      <c r="M246" s="173">
        <v>45794.0</v>
      </c>
      <c r="N246" s="173">
        <v>45795.0</v>
      </c>
      <c r="O246" s="174"/>
      <c r="P246" s="377"/>
      <c r="Q246" s="377"/>
      <c r="R246" s="463"/>
      <c r="S246" s="175" t="s">
        <v>934</v>
      </c>
      <c r="T246" s="176">
        <v>45775.0</v>
      </c>
      <c r="U246" s="177" t="str">
        <f>IF(V246="","No AIS",VLOOKUP(V246,'Voyage days'!$A$3:$B$1480,2,FALSE))</f>
        <v>USG</v>
      </c>
      <c r="V246" s="178" t="str">
        <f>IF(VLOOKUP(A246,'1) Kpler'!$E$2:$P$1000,8, FALSE)="","",VLOOKUP(A246,'1) Kpler'!$E$2:$P$1000,8, FALSE))</f>
        <v>Houston</v>
      </c>
      <c r="W246" s="179">
        <f>IF(VLOOKUP(A246,'1) Kpler'!$E$2:$P$1000,9,FALSE)="","",VLOOKUP(A246,'1) Kpler'!$E$2:$P$1000,9,FALSE))</f>
        <v>46162.58333</v>
      </c>
      <c r="X246" s="178" t="str">
        <f>VLOOKUP(A246,'1) Kpler'!$E$2:$I$1000,4,FALSE)</f>
        <v>ballast</v>
      </c>
      <c r="Y246" s="120" t="str">
        <f t="shared" si="40"/>
        <v/>
      </c>
      <c r="Z246" s="120" t="str">
        <f t="shared" si="41"/>
        <v/>
      </c>
      <c r="AA246" s="121" t="str">
        <f>IFERROR($M246+VLOOKUP($L246,'Voyage days'!$F$38:$H$89,3,FALSE),"")</f>
        <v/>
      </c>
      <c r="AB246" s="121" t="str">
        <f>IFERROR(N246+VLOOKUP($L246,'Voyage days'!$F$38:$H$89,3,FALSE),"")</f>
        <v/>
      </c>
      <c r="AC246" s="120" t="str">
        <f t="shared" si="42"/>
        <v>17-18 May</v>
      </c>
      <c r="AD246" s="121">
        <f>IFERROR($M246+VLOOKUP($L246,'Voyage days'!$F$94:$H$193,3,FALSE),"")</f>
        <v>45794</v>
      </c>
      <c r="AE246" s="121">
        <f>IFERROR($N246+VLOOKUP($L246,'Voyage days'!$F$94:$H$193,3,FALSE),"")</f>
        <v>45795</v>
      </c>
      <c r="AF246" s="120" t="str">
        <f t="shared" si="43"/>
        <v>17-18 May</v>
      </c>
      <c r="AG246" s="121">
        <f>IFERROR($M246+VLOOKUP($L246,'Voyage days'!$F$203:$H$256,3,FALSE),"")</f>
        <v>45794</v>
      </c>
      <c r="AH246" s="121">
        <f>IFERROR($N246+VLOOKUP($L246,'Voyage days'!$F$203:$H$256,3,FALSE),"")</f>
        <v>45795</v>
      </c>
      <c r="AI246" s="120" t="str">
        <f t="shared" si="44"/>
        <v/>
      </c>
      <c r="AJ246" s="121" t="str">
        <f>IFERROR($M246+VLOOKUP($L246,'Voyage days'!$F$294:$H$377,3,FALSE),"")</f>
        <v/>
      </c>
      <c r="AK246" s="121" t="str">
        <f>IFERROR($N246+VLOOKUP($L246,'Voyage days'!$F$294:$H$377,3,FALSE),"")</f>
        <v/>
      </c>
      <c r="AL246" s="120" t="str">
        <f t="shared" si="45"/>
        <v>06-07 Jun</v>
      </c>
      <c r="AM246" s="121">
        <f>IFERROR($M246+VLOOKUP($L246,'Voyage days'!$F$382:$H$446,3,FALSE),"")</f>
        <v>45814</v>
      </c>
      <c r="AN246" s="121">
        <f>IFERROR($N246+VLOOKUP($L246,'Voyage days'!$F$382:$H$446,3,FALSE),"")</f>
        <v>45815</v>
      </c>
      <c r="AO246" s="120" t="str">
        <f t="shared" si="46"/>
        <v/>
      </c>
      <c r="AP246" s="121" t="str">
        <f>IFERROR($M246+VLOOKUP($L246,'Voyage days'!$F$483:$H$538,3,FALSE),"")</f>
        <v/>
      </c>
      <c r="AQ246" s="121" t="str">
        <f>IFERROR($N246+VLOOKUP($L246,'Voyage days'!$F$483:$H$538,3,FALSE),"")</f>
        <v/>
      </c>
      <c r="AR246" s="120" t="str">
        <f t="shared" si="47"/>
        <v/>
      </c>
      <c r="AS246" s="121" t="str">
        <f>IFERROR($M246+VLOOKUP($L246,'Voyage days'!$F$540:$H$613,3,FALSE),"")</f>
        <v/>
      </c>
      <c r="AT246" s="121" t="str">
        <f>IFERROR($N246+VLOOKUP($L246,'Voyage days'!$F$540:$H$613,3,FALSE),"")</f>
        <v/>
      </c>
      <c r="AU246" s="120" t="str">
        <f t="shared" si="48"/>
        <v/>
      </c>
      <c r="AV246" s="121" t="str">
        <f>IFERROR($M246+VLOOKUP($L246,'Voyage days'!$L$483:$N$535,3,FALSE),"")</f>
        <v/>
      </c>
      <c r="AW246" s="121" t="str">
        <f>IFERROR($N246+VLOOKUP($L246,'Voyage days'!$L$483:$N$535,3,FALSE),"")</f>
        <v/>
      </c>
      <c r="AX246" s="120" t="str">
        <f t="shared" si="49"/>
        <v/>
      </c>
      <c r="AY246" s="122" t="str">
        <f>IFERROR($M246+VLOOKUP($L246,'Voyage days'!$F$620:$H$646,3,FALSE),"")</f>
        <v/>
      </c>
      <c r="AZ246" s="122" t="str">
        <f>IFERROR($N246+VLOOKUP($L246,'Voyage days'!$F$620:$H$646,3,FALSE),"")</f>
        <v/>
      </c>
      <c r="BA246" s="120" t="str">
        <f t="shared" si="50"/>
        <v/>
      </c>
      <c r="BB246" s="123" t="str">
        <f>IFERROR($M246+VLOOKUP($L246,'Voyage days'!$F$702:$H$727,3,FALSE),"")</f>
        <v/>
      </c>
      <c r="BC246" s="120" t="str">
        <f t="shared" si="51"/>
        <v/>
      </c>
      <c r="BD246" s="122" t="str">
        <f>IFERROR($M246+VLOOKUP($L246,'Voyage days'!$F$807:$H$878,3,FALSE),"")</f>
        <v/>
      </c>
      <c r="BE246" s="122" t="str">
        <f>IFERROR($N246+VLOOKUP($L246,'Voyage days'!$F$807:$H$878,3,FALSE),"")</f>
        <v/>
      </c>
      <c r="BF246" s="609"/>
      <c r="BG246" s="609"/>
      <c r="BH246" s="609"/>
      <c r="BI246" s="609"/>
      <c r="BJ246" s="609"/>
      <c r="BK246" s="609"/>
      <c r="BL246" s="609"/>
      <c r="BM246" s="609"/>
    </row>
    <row r="247" ht="15.75" customHeight="1">
      <c r="A247" s="617" t="s">
        <v>477</v>
      </c>
      <c r="B247" s="288">
        <v>42887.0</v>
      </c>
      <c r="C247" s="1098">
        <v>84000.0</v>
      </c>
      <c r="D247" s="234" t="s">
        <v>1687</v>
      </c>
      <c r="E247" s="233"/>
      <c r="F247" s="1035"/>
      <c r="G247" s="233" t="s">
        <v>3166</v>
      </c>
      <c r="H247" s="233"/>
      <c r="I247" s="291" t="s">
        <v>1134</v>
      </c>
      <c r="J247" s="1037" t="s">
        <v>1326</v>
      </c>
      <c r="K247" s="517" t="str">
        <f t="shared" si="52"/>
        <v>Update</v>
      </c>
      <c r="L247" s="235" t="s">
        <v>1031</v>
      </c>
      <c r="M247" s="238">
        <v>45797.0</v>
      </c>
      <c r="N247" s="238">
        <v>45798.0</v>
      </c>
      <c r="O247" s="519"/>
      <c r="P247" s="1106"/>
      <c r="Q247" s="1184"/>
      <c r="R247" s="1184" t="s">
        <v>3167</v>
      </c>
      <c r="S247" s="292" t="s">
        <v>2962</v>
      </c>
      <c r="T247" s="420">
        <v>45784.0</v>
      </c>
      <c r="U247" s="114" t="str">
        <f>IF(V247="","No AIS",VLOOKUP(V247,'Voyage days'!$A$3:$B$1480,2,FALSE))</f>
        <v>USG</v>
      </c>
      <c r="V247" s="114" t="str">
        <f>IF(VLOOKUP(A247,'1) Kpler'!$E$2:$P$1000,8, FALSE)="","",VLOOKUP(A247,'1) Kpler'!$E$2:$P$1000,8, FALSE))</f>
        <v>PADD 3</v>
      </c>
      <c r="W247" s="159">
        <f>IF(VLOOKUP(A247,'1) Kpler'!$E$2:$P$1000,9,FALSE)="","",VLOOKUP(A247,'1) Kpler'!$E$2:$P$1000,9,FALSE))</f>
        <v>46169</v>
      </c>
      <c r="X247" s="114" t="str">
        <f>VLOOKUP(A247,'1) Kpler'!$E$2:$I$1000,4,FALSE)</f>
        <v>ballast</v>
      </c>
      <c r="Y247" s="296" t="str">
        <f t="shared" si="40"/>
        <v>20-21 May</v>
      </c>
      <c r="Z247" s="163" t="str">
        <f t="shared" si="41"/>
        <v>20-21 May</v>
      </c>
      <c r="AA247" s="122">
        <f>IFERROR($M247+VLOOKUP($L247,'Voyage days'!$F$38:$H$89,3,FALSE),"")</f>
        <v>45797</v>
      </c>
      <c r="AB247" s="122">
        <f>IFERROR(N247+VLOOKUP($L247,'Voyage days'!$F$38:$H$89,3,FALSE),"")</f>
        <v>45798</v>
      </c>
      <c r="AC247" s="163" t="str">
        <f t="shared" si="42"/>
        <v/>
      </c>
      <c r="AD247" s="122" t="str">
        <f>IFERROR($M247+VLOOKUP($L247,'Voyage days'!$F$94:$H$193,3,FALSE),"")</f>
        <v/>
      </c>
      <c r="AE247" s="122" t="str">
        <f>IFERROR($N247+VLOOKUP($L247,'Voyage days'!$F$94:$H$193,3,FALSE),"")</f>
        <v/>
      </c>
      <c r="AF247" s="163" t="str">
        <f t="shared" si="43"/>
        <v/>
      </c>
      <c r="AG247" s="122" t="str">
        <f>IFERROR($M247+VLOOKUP($L247,'Voyage days'!$F$203:$H$256,3,FALSE),"")</f>
        <v/>
      </c>
      <c r="AH247" s="122" t="str">
        <f>IFERROR($N247+VLOOKUP($L247,'Voyage days'!$F$203:$H$256,3,FALSE),"")</f>
        <v/>
      </c>
      <c r="AI247" s="163" t="str">
        <f t="shared" si="44"/>
        <v/>
      </c>
      <c r="AJ247" s="122" t="str">
        <f>IFERROR($M247+VLOOKUP($L247,'Voyage days'!$F$294:$H$377,3,FALSE),"")</f>
        <v/>
      </c>
      <c r="AK247" s="122" t="str">
        <f>IFERROR($N247+VLOOKUP($L247,'Voyage days'!$F$294:$H$377,3,FALSE),"")</f>
        <v/>
      </c>
      <c r="AL247" s="163" t="str">
        <f t="shared" si="45"/>
        <v/>
      </c>
      <c r="AM247" s="122" t="str">
        <f>IFERROR($M247+VLOOKUP($L247,'Voyage days'!$F$382:$H$446,3,FALSE),"")</f>
        <v/>
      </c>
      <c r="AN247" s="122" t="str">
        <f>IFERROR($N247+VLOOKUP($L247,'Voyage days'!$F$382:$H$446,3,FALSE),"")</f>
        <v/>
      </c>
      <c r="AO247" s="163" t="str">
        <f t="shared" si="46"/>
        <v/>
      </c>
      <c r="AP247" s="122" t="str">
        <f>IFERROR($M247+VLOOKUP($L247,'Voyage days'!$F$483:$H$538,3,FALSE),"")</f>
        <v/>
      </c>
      <c r="AQ247" s="122" t="str">
        <f>IFERROR($N247+VLOOKUP($L247,'Voyage days'!$F$483:$H$538,3,FALSE),"")</f>
        <v/>
      </c>
      <c r="AR247" s="163" t="str">
        <f t="shared" si="47"/>
        <v>08-09 Jun</v>
      </c>
      <c r="AS247" s="122">
        <f>IFERROR($M247+VLOOKUP($L247,'Voyage days'!$F$540:$H$613,3,FALSE),"")</f>
        <v>45816</v>
      </c>
      <c r="AT247" s="122">
        <f>IFERROR($N247+VLOOKUP($L247,'Voyage days'!$F$540:$H$613,3,FALSE),"")</f>
        <v>45817</v>
      </c>
      <c r="AU247" s="163" t="str">
        <f t="shared" si="48"/>
        <v/>
      </c>
      <c r="AV247" s="122" t="str">
        <f>IFERROR($M247+VLOOKUP($L247,'Voyage days'!$L$483:$N$535,3,FALSE),"")</f>
        <v/>
      </c>
      <c r="AW247" s="122" t="str">
        <f>IFERROR($N247+VLOOKUP($L247,'Voyage days'!$L$483:$N$535,3,FALSE),"")</f>
        <v/>
      </c>
      <c r="AX247" s="163" t="str">
        <f t="shared" si="49"/>
        <v/>
      </c>
      <c r="AY247" s="122" t="str">
        <f>IFERROR($M247+VLOOKUP($L247,'Voyage days'!$F$620:$H$646,3,FALSE),"")</f>
        <v/>
      </c>
      <c r="AZ247" s="122" t="str">
        <f>IFERROR($N247+VLOOKUP($L247,'Voyage days'!$F$620:$H$646,3,FALSE),"")</f>
        <v/>
      </c>
      <c r="BA247" s="163" t="str">
        <f t="shared" si="50"/>
        <v/>
      </c>
      <c r="BB247" s="123" t="str">
        <f>IFERROR($M247+VLOOKUP($L247,'Voyage days'!$F$702:$H$727,3,FALSE),"")</f>
        <v/>
      </c>
      <c r="BC247" s="163" t="str">
        <f t="shared" si="51"/>
        <v>20-21 May</v>
      </c>
      <c r="BD247" s="122">
        <f>IFERROR($M247+VLOOKUP($L247,'Voyage days'!$F$807:$H$878,3,FALSE),"")</f>
        <v>45797</v>
      </c>
      <c r="BE247" s="122">
        <f>IFERROR($N247+VLOOKUP($L247,'Voyage days'!$F$807:$H$878,3,FALSE),"")</f>
        <v>45798</v>
      </c>
      <c r="BF247" s="609"/>
      <c r="BG247" s="609"/>
      <c r="BH247" s="609"/>
      <c r="BI247" s="609"/>
      <c r="BJ247" s="609"/>
      <c r="BK247" s="609"/>
      <c r="BL247" s="609"/>
      <c r="BM247" s="609"/>
    </row>
    <row r="248" ht="15.75" customHeight="1">
      <c r="A248" s="1185" t="s">
        <v>569</v>
      </c>
      <c r="B248" s="101">
        <v>42915.0</v>
      </c>
      <c r="C248" s="1045">
        <v>78700.0</v>
      </c>
      <c r="D248" s="104" t="s">
        <v>1687</v>
      </c>
      <c r="E248" s="103"/>
      <c r="F248" s="604"/>
      <c r="G248" s="605">
        <v>45809.0</v>
      </c>
      <c r="H248" s="103"/>
      <c r="I248" s="185" t="s">
        <v>1134</v>
      </c>
      <c r="J248" s="111" t="s">
        <v>1080</v>
      </c>
      <c r="K248" s="106" t="str">
        <f t="shared" si="52"/>
        <v>Update</v>
      </c>
      <c r="L248" s="108" t="s">
        <v>680</v>
      </c>
      <c r="M248" s="109">
        <v>45819.0</v>
      </c>
      <c r="N248" s="109">
        <v>45820.0</v>
      </c>
      <c r="O248" s="191"/>
      <c r="P248" s="526"/>
      <c r="Q248" s="104"/>
      <c r="R248" s="192" t="s">
        <v>3168</v>
      </c>
      <c r="S248" s="112" t="s">
        <v>934</v>
      </c>
      <c r="T248" s="113">
        <v>45785.0</v>
      </c>
      <c r="U248" s="114" t="str">
        <f>IF(V248="","No AIS",VLOOKUP(V248,'Voyage days'!$A$3:$B$1480,2,FALSE))</f>
        <v>Panama</v>
      </c>
      <c r="V248" s="115" t="str">
        <f>IF(VLOOKUP(A248,'1) Kpler'!$E$2:$P$1000,8, FALSE)="","",VLOOKUP(A248,'1) Kpler'!$E$2:$P$1000,8, FALSE))</f>
        <v>Panama Canal</v>
      </c>
      <c r="W248" s="116">
        <f>IF(VLOOKUP(A248,'1) Kpler'!$E$2:$P$1000,9,FALSE)="","",VLOOKUP(A248,'1) Kpler'!$E$2:$P$1000,9,FALSE))</f>
        <v>46146.54167</v>
      </c>
      <c r="X248" s="115" t="str">
        <f>VLOOKUP(A248,'1) Kpler'!$E$2:$I$1000,4,FALSE)</f>
        <v>ballast</v>
      </c>
      <c r="Y248" s="160" t="str">
        <f t="shared" si="40"/>
        <v/>
      </c>
      <c r="Z248" s="120" t="str">
        <f t="shared" si="41"/>
        <v/>
      </c>
      <c r="AA248" s="121" t="str">
        <f>IFERROR($M248+VLOOKUP($L248,'Voyage days'!$F$38:$H$89,3,FALSE),"")</f>
        <v/>
      </c>
      <c r="AB248" s="121" t="str">
        <f>IFERROR(N248+VLOOKUP($L248,'Voyage days'!$F$38:$H$89,3,FALSE),"")</f>
        <v/>
      </c>
      <c r="AC248" s="120" t="str">
        <f t="shared" si="42"/>
        <v>11-12 Jun</v>
      </c>
      <c r="AD248" s="121">
        <f>IFERROR($M248+VLOOKUP($L248,'Voyage days'!$F$94:$H$193,3,FALSE),"")</f>
        <v>45819</v>
      </c>
      <c r="AE248" s="121">
        <f>IFERROR($N248+VLOOKUP($L248,'Voyage days'!$F$94:$H$193,3,FALSE),"")</f>
        <v>45820</v>
      </c>
      <c r="AF248" s="120" t="str">
        <f t="shared" si="43"/>
        <v>11-12 Jun</v>
      </c>
      <c r="AG248" s="121">
        <f>IFERROR($M248+VLOOKUP($L248,'Voyage days'!$F$203:$H$256,3,FALSE),"")</f>
        <v>45819</v>
      </c>
      <c r="AH248" s="121">
        <f>IFERROR($N248+VLOOKUP($L248,'Voyage days'!$F$203:$H$256,3,FALSE),"")</f>
        <v>45820</v>
      </c>
      <c r="AI248" s="120" t="str">
        <f t="shared" si="44"/>
        <v/>
      </c>
      <c r="AJ248" s="121" t="str">
        <f>IFERROR($M248+VLOOKUP($L248,'Voyage days'!$F$294:$H$377,3,FALSE),"")</f>
        <v/>
      </c>
      <c r="AK248" s="121" t="str">
        <f>IFERROR($N248+VLOOKUP($L248,'Voyage days'!$F$294:$H$377,3,FALSE),"")</f>
        <v/>
      </c>
      <c r="AL248" s="120" t="str">
        <f t="shared" si="45"/>
        <v>01-02 Jul</v>
      </c>
      <c r="AM248" s="121">
        <f>IFERROR($M248+VLOOKUP($L248,'Voyage days'!$F$382:$H$446,3,FALSE),"")</f>
        <v>45839</v>
      </c>
      <c r="AN248" s="121">
        <f>IFERROR($N248+VLOOKUP($L248,'Voyage days'!$F$382:$H$446,3,FALSE),"")</f>
        <v>45840</v>
      </c>
      <c r="AO248" s="120" t="str">
        <f t="shared" si="46"/>
        <v/>
      </c>
      <c r="AP248" s="121" t="str">
        <f>IFERROR($M248+VLOOKUP($L248,'Voyage days'!$F$483:$H$538,3,FALSE),"")</f>
        <v/>
      </c>
      <c r="AQ248" s="121" t="str">
        <f>IFERROR($N248+VLOOKUP($L248,'Voyage days'!$F$483:$H$538,3,FALSE),"")</f>
        <v/>
      </c>
      <c r="AR248" s="120" t="str">
        <f t="shared" si="47"/>
        <v/>
      </c>
      <c r="AS248" s="121" t="str">
        <f>IFERROR($M248+VLOOKUP($L248,'Voyage days'!$F$540:$H$613,3,FALSE),"")</f>
        <v/>
      </c>
      <c r="AT248" s="121" t="str">
        <f>IFERROR($N248+VLOOKUP($L248,'Voyage days'!$F$540:$H$613,3,FALSE),"")</f>
        <v/>
      </c>
      <c r="AU248" s="120" t="str">
        <f t="shared" si="48"/>
        <v/>
      </c>
      <c r="AV248" s="121" t="str">
        <f>IFERROR($M248+VLOOKUP($L248,'Voyage days'!$L$483:$N$535,3,FALSE),"")</f>
        <v/>
      </c>
      <c r="AW248" s="121" t="str">
        <f>IFERROR($N248+VLOOKUP($L248,'Voyage days'!$L$483:$N$535,3,FALSE),"")</f>
        <v/>
      </c>
      <c r="AX248" s="120" t="str">
        <f t="shared" si="49"/>
        <v/>
      </c>
      <c r="AY248" s="122" t="str">
        <f>IFERROR($M248+VLOOKUP($L248,'Voyage days'!$F$620:$H$646,3,FALSE),"")</f>
        <v/>
      </c>
      <c r="AZ248" s="122" t="str">
        <f>IFERROR($N248+VLOOKUP($L248,'Voyage days'!$F$620:$H$646,3,FALSE),"")</f>
        <v/>
      </c>
      <c r="BA248" s="120" t="str">
        <f t="shared" si="50"/>
        <v/>
      </c>
      <c r="BB248" s="123" t="str">
        <f>IFERROR($M248+VLOOKUP($L248,'Voyage days'!$F$702:$H$727,3,FALSE),"")</f>
        <v/>
      </c>
      <c r="BC248" s="120" t="str">
        <f t="shared" si="51"/>
        <v/>
      </c>
      <c r="BD248" s="122" t="str">
        <f>IFERROR($M248+VLOOKUP($L248,'Voyage days'!$F$807:$H$878,3,FALSE),"")</f>
        <v/>
      </c>
      <c r="BE248" s="122" t="str">
        <f>IFERROR($N248+VLOOKUP($L248,'Voyage days'!$F$807:$H$878,3,FALSE),"")</f>
        <v/>
      </c>
      <c r="BF248" s="609"/>
      <c r="BG248" s="609"/>
      <c r="BH248" s="609"/>
      <c r="BI248" s="609"/>
      <c r="BJ248" s="609"/>
      <c r="BK248" s="609"/>
      <c r="BL248" s="609"/>
      <c r="BM248" s="609"/>
    </row>
    <row r="249" ht="15.75" customHeight="1">
      <c r="A249" s="1185" t="s">
        <v>573</v>
      </c>
      <c r="B249" s="101">
        <v>42985.0</v>
      </c>
      <c r="C249" s="1045">
        <v>78700.0</v>
      </c>
      <c r="D249" s="104" t="s">
        <v>1687</v>
      </c>
      <c r="E249" s="103"/>
      <c r="F249" s="604"/>
      <c r="G249" s="605">
        <v>45901.0</v>
      </c>
      <c r="H249" s="103"/>
      <c r="I249" s="185" t="s">
        <v>1134</v>
      </c>
      <c r="J249" s="111" t="s">
        <v>2900</v>
      </c>
      <c r="K249" s="336" t="str">
        <f t="shared" si="52"/>
        <v>Update</v>
      </c>
      <c r="L249" s="199" t="s">
        <v>680</v>
      </c>
      <c r="M249" s="109">
        <v>45790.0</v>
      </c>
      <c r="N249" s="109">
        <v>45792.0</v>
      </c>
      <c r="O249" s="191"/>
      <c r="P249" s="526" t="s">
        <v>3169</v>
      </c>
      <c r="Q249" s="111"/>
      <c r="R249" s="108" t="s">
        <v>3170</v>
      </c>
      <c r="S249" s="112" t="s">
        <v>2962</v>
      </c>
      <c r="T249" s="113">
        <v>45784.0</v>
      </c>
      <c r="U249" s="114" t="str">
        <f>IF(V249="","No AIS",VLOOKUP(V249,'Voyage days'!$A$3:$B$1480,2,FALSE))</f>
        <v>USG</v>
      </c>
      <c r="V249" s="115" t="str">
        <f>IF(VLOOKUP(A249,'1) Kpler'!$E$2:$P$1000,8, FALSE)="","",VLOOKUP(A249,'1) Kpler'!$E$2:$P$1000,8, FALSE))</f>
        <v>Houston</v>
      </c>
      <c r="W249" s="116">
        <f>IF(VLOOKUP(A249,'1) Kpler'!$E$2:$P$1000,9,FALSE)="","",VLOOKUP(A249,'1) Kpler'!$E$2:$P$1000,9,FALSE))</f>
        <v>46132.95833</v>
      </c>
      <c r="X249" s="115" t="str">
        <f>VLOOKUP(A249,'1) Kpler'!$E$2:$I$1000,4,FALSE)</f>
        <v>ballast</v>
      </c>
      <c r="Y249" s="117" t="str">
        <f t="shared" si="40"/>
        <v/>
      </c>
      <c r="Z249" s="120" t="str">
        <f t="shared" si="41"/>
        <v/>
      </c>
      <c r="AA249" s="121" t="str">
        <f>IFERROR($M249+VLOOKUP($L249,'Voyage days'!$F$38:$H$89,3,FALSE),"")</f>
        <v/>
      </c>
      <c r="AB249" s="121" t="str">
        <f>IFERROR(N249+VLOOKUP($L249,'Voyage days'!$F$38:$H$89,3,FALSE),"")</f>
        <v/>
      </c>
      <c r="AC249" s="120" t="str">
        <f t="shared" si="42"/>
        <v>13-15 May</v>
      </c>
      <c r="AD249" s="121">
        <f>IFERROR($M249+VLOOKUP($L249,'Voyage days'!$F$94:$H$193,3,FALSE),"")</f>
        <v>45790</v>
      </c>
      <c r="AE249" s="121">
        <f>IFERROR($N249+VLOOKUP($L249,'Voyage days'!$F$94:$H$193,3,FALSE),"")</f>
        <v>45792</v>
      </c>
      <c r="AF249" s="120" t="str">
        <f t="shared" si="43"/>
        <v>13-15 May</v>
      </c>
      <c r="AG249" s="121">
        <f>IFERROR($M249+VLOOKUP($L249,'Voyage days'!$F$203:$H$256,3,FALSE),"")</f>
        <v>45790</v>
      </c>
      <c r="AH249" s="121">
        <f>IFERROR($N249+VLOOKUP($L249,'Voyage days'!$F$203:$H$256,3,FALSE),"")</f>
        <v>45792</v>
      </c>
      <c r="AI249" s="120" t="str">
        <f t="shared" si="44"/>
        <v/>
      </c>
      <c r="AJ249" s="121" t="str">
        <f>IFERROR($M249+VLOOKUP($L249,'Voyage days'!$F$294:$H$377,3,FALSE),"")</f>
        <v/>
      </c>
      <c r="AK249" s="121" t="str">
        <f>IFERROR($N249+VLOOKUP($L249,'Voyage days'!$F$294:$H$377,3,FALSE),"")</f>
        <v/>
      </c>
      <c r="AL249" s="120" t="str">
        <f t="shared" si="45"/>
        <v>02-04 Jun</v>
      </c>
      <c r="AM249" s="121">
        <f>IFERROR($M249+VLOOKUP($L249,'Voyage days'!$F$382:$H$446,3,FALSE),"")</f>
        <v>45810</v>
      </c>
      <c r="AN249" s="121">
        <f>IFERROR($N249+VLOOKUP($L249,'Voyage days'!$F$382:$H$446,3,FALSE),"")</f>
        <v>45812</v>
      </c>
      <c r="AO249" s="120" t="str">
        <f t="shared" si="46"/>
        <v/>
      </c>
      <c r="AP249" s="121" t="str">
        <f>IFERROR($M249+VLOOKUP($L249,'Voyage days'!$F$483:$H$538,3,FALSE),"")</f>
        <v/>
      </c>
      <c r="AQ249" s="121" t="str">
        <f>IFERROR($N249+VLOOKUP($L249,'Voyage days'!$F$483:$H$538,3,FALSE),"")</f>
        <v/>
      </c>
      <c r="AR249" s="120" t="str">
        <f t="shared" si="47"/>
        <v/>
      </c>
      <c r="AS249" s="121" t="str">
        <f>IFERROR($M249+VLOOKUP($L249,'Voyage days'!$F$540:$H$613,3,FALSE),"")</f>
        <v/>
      </c>
      <c r="AT249" s="121" t="str">
        <f>IFERROR($N249+VLOOKUP($L249,'Voyage days'!$F$540:$H$613,3,FALSE),"")</f>
        <v/>
      </c>
      <c r="AU249" s="120" t="str">
        <f t="shared" si="48"/>
        <v/>
      </c>
      <c r="AV249" s="121" t="str">
        <f>IFERROR($M249+VLOOKUP($L249,'Voyage days'!$L$483:$N$535,3,FALSE),"")</f>
        <v/>
      </c>
      <c r="AW249" s="121" t="str">
        <f>IFERROR($N249+VLOOKUP($L249,'Voyage days'!$L$483:$N$535,3,FALSE),"")</f>
        <v/>
      </c>
      <c r="AX249" s="120" t="str">
        <f t="shared" si="49"/>
        <v/>
      </c>
      <c r="AY249" s="122" t="str">
        <f>IFERROR($M249+VLOOKUP($L249,'Voyage days'!$F$620:$H$646,3,FALSE),"")</f>
        <v/>
      </c>
      <c r="AZ249" s="122" t="str">
        <f>IFERROR($N249+VLOOKUP($L249,'Voyage days'!$F$620:$H$646,3,FALSE),"")</f>
        <v/>
      </c>
      <c r="BA249" s="120" t="str">
        <f t="shared" si="50"/>
        <v/>
      </c>
      <c r="BB249" s="123" t="str">
        <f>IFERROR($M249+VLOOKUP($L249,'Voyage days'!$F$702:$H$727,3,FALSE),"")</f>
        <v/>
      </c>
      <c r="BC249" s="120" t="str">
        <f t="shared" si="51"/>
        <v/>
      </c>
      <c r="BD249" s="122" t="str">
        <f>IFERROR($M249+VLOOKUP($L249,'Voyage days'!$F$807:$H$878,3,FALSE),"")</f>
        <v/>
      </c>
      <c r="BE249" s="122" t="str">
        <f>IFERROR($N249+VLOOKUP($L249,'Voyage days'!$F$807:$H$878,3,FALSE),"")</f>
        <v/>
      </c>
      <c r="BF249" s="609"/>
      <c r="BG249" s="609"/>
      <c r="BH249" s="609"/>
      <c r="BI249" s="609"/>
      <c r="BJ249" s="609"/>
      <c r="BK249" s="609"/>
      <c r="BL249" s="609"/>
      <c r="BM249" s="609"/>
    </row>
    <row r="250" ht="15.75" customHeight="1">
      <c r="A250" s="546" t="s">
        <v>458</v>
      </c>
      <c r="B250" s="222">
        <v>42249.0</v>
      </c>
      <c r="C250" s="1101">
        <v>84000.0</v>
      </c>
      <c r="D250" s="168" t="s">
        <v>1687</v>
      </c>
      <c r="E250" s="223"/>
      <c r="F250" s="1010"/>
      <c r="G250" s="1011">
        <v>47362.0</v>
      </c>
      <c r="H250" s="223"/>
      <c r="I250" s="463" t="s">
        <v>1134</v>
      </c>
      <c r="J250" s="312" t="s">
        <v>1080</v>
      </c>
      <c r="K250" s="469" t="str">
        <f t="shared" si="52"/>
        <v>NO AIS</v>
      </c>
      <c r="L250" s="172" t="s">
        <v>703</v>
      </c>
      <c r="M250" s="173">
        <v>45800.0</v>
      </c>
      <c r="N250" s="173">
        <v>45801.0</v>
      </c>
      <c r="O250" s="174"/>
      <c r="P250" s="1186"/>
      <c r="Q250" s="463"/>
      <c r="R250" s="172" t="s">
        <v>3171</v>
      </c>
      <c r="S250" s="175" t="s">
        <v>2962</v>
      </c>
      <c r="T250" s="176">
        <v>45784.0</v>
      </c>
      <c r="U250" s="177" t="str">
        <f>IF(V250="","No AIS",VLOOKUP(V250,'Voyage days'!$A$3:$B$1480,2,FALSE))</f>
        <v>No AIS</v>
      </c>
      <c r="V250" s="178" t="str">
        <f>IF(VLOOKUP(A250,'1) Kpler'!$E$2:$P$1000,8, FALSE)="","",VLOOKUP(A250,'1) Kpler'!$E$2:$P$1000,8, FALSE))</f>
        <v/>
      </c>
      <c r="W250" s="179" t="str">
        <f>IF(VLOOKUP(A250,'1) Kpler'!$E$2:$P$1000,9,FALSE)="","",VLOOKUP(A250,'1) Kpler'!$E$2:$P$1000,9,FALSE))</f>
        <v/>
      </c>
      <c r="X250" s="178" t="str">
        <f>VLOOKUP(A250,'1) Kpler'!$E$2:$I$1000,4,FALSE)</f>
        <v>loaded</v>
      </c>
      <c r="Y250" s="120" t="str">
        <f t="shared" si="40"/>
        <v>07-08 Jun</v>
      </c>
      <c r="Z250" s="120" t="str">
        <f t="shared" si="41"/>
        <v>07-08 Jun</v>
      </c>
      <c r="AA250" s="121">
        <f>IFERROR($M250+VLOOKUP($L250,'Voyage days'!$F$38:$H$89,3,FALSE),"")</f>
        <v>45815</v>
      </c>
      <c r="AB250" s="121">
        <f>IFERROR(N250+VLOOKUP($L250,'Voyage days'!$F$38:$H$89,3,FALSE),"")</f>
        <v>45816</v>
      </c>
      <c r="AC250" s="120" t="str">
        <f t="shared" si="42"/>
        <v>29-30 Jun</v>
      </c>
      <c r="AD250" s="121">
        <f>IFERROR($M250+VLOOKUP($L250,'Voyage days'!$F$94:$H$193,3,FALSE),"")</f>
        <v>45837</v>
      </c>
      <c r="AE250" s="121">
        <f>IFERROR($N250+VLOOKUP($L250,'Voyage days'!$F$94:$H$193,3,FALSE),"")</f>
        <v>45838</v>
      </c>
      <c r="AF250" s="120" t="str">
        <f t="shared" si="43"/>
        <v>04-05 Jul</v>
      </c>
      <c r="AG250" s="121">
        <f>IFERROR($M250+VLOOKUP($L250,'Voyage days'!$F$203:$H$256,3,FALSE),"")</f>
        <v>45842</v>
      </c>
      <c r="AH250" s="121">
        <f>IFERROR($N250+VLOOKUP($L250,'Voyage days'!$F$203:$H$256,3,FALSE),"")</f>
        <v>45843</v>
      </c>
      <c r="AI250" s="120" t="str">
        <f t="shared" si="44"/>
        <v>18-19 Jun</v>
      </c>
      <c r="AJ250" s="121">
        <f>IFERROR($M250+VLOOKUP($L250,'Voyage days'!$F$294:$H$377,3,FALSE),"")</f>
        <v>45826</v>
      </c>
      <c r="AK250" s="121">
        <f>IFERROR($N250+VLOOKUP($L250,'Voyage days'!$F$294:$H$377,3,FALSE),"")</f>
        <v>45827</v>
      </c>
      <c r="AL250" s="120" t="str">
        <f t="shared" si="45"/>
        <v>25-26 Jun</v>
      </c>
      <c r="AM250" s="121">
        <f>IFERROR($M250+VLOOKUP($L250,'Voyage days'!$F$382:$H$446,3,FALSE),"")</f>
        <v>45833</v>
      </c>
      <c r="AN250" s="121">
        <f>IFERROR($N250+VLOOKUP($L250,'Voyage days'!$F$382:$H$446,3,FALSE),"")</f>
        <v>45834</v>
      </c>
      <c r="AO250" s="120" t="str">
        <f t="shared" si="46"/>
        <v>06-07 Jun</v>
      </c>
      <c r="AP250" s="121">
        <f>IFERROR($M250+VLOOKUP($L250,'Voyage days'!$F$483:$H$538,3,FALSE),"")</f>
        <v>45814</v>
      </c>
      <c r="AQ250" s="121">
        <f>IFERROR($N250+VLOOKUP($L250,'Voyage days'!$F$483:$H$538,3,FALSE),"")</f>
        <v>45815</v>
      </c>
      <c r="AR250" s="120" t="str">
        <f t="shared" si="47"/>
        <v>29-30 May</v>
      </c>
      <c r="AS250" s="121">
        <f>IFERROR($M250+VLOOKUP($L250,'Voyage days'!$F$540:$H$613,3,FALSE),"")</f>
        <v>45806.75</v>
      </c>
      <c r="AT250" s="121">
        <f>IFERROR($N250+VLOOKUP($L250,'Voyage days'!$F$540:$H$613,3,FALSE),"")</f>
        <v>45807.75</v>
      </c>
      <c r="AU250" s="120" t="str">
        <f t="shared" si="48"/>
        <v/>
      </c>
      <c r="AV250" s="121" t="str">
        <f>IFERROR($M250+VLOOKUP($L250,'Voyage days'!$L$483:$N$535,3,FALSE),"")</f>
        <v/>
      </c>
      <c r="AW250" s="121" t="str">
        <f>IFERROR($N250+VLOOKUP($L250,'Voyage days'!$L$483:$N$535,3,FALSE),"")</f>
        <v/>
      </c>
      <c r="AX250" s="120" t="str">
        <f t="shared" si="49"/>
        <v/>
      </c>
      <c r="AY250" s="122" t="str">
        <f>IFERROR($M250+VLOOKUP($L250,'Voyage days'!$F$620:$H$646,3,FALSE),"")</f>
        <v/>
      </c>
      <c r="AZ250" s="122" t="str">
        <f>IFERROR($N250+VLOOKUP($L250,'Voyage days'!$F$620:$H$646,3,FALSE),"")</f>
        <v/>
      </c>
      <c r="BA250" s="120" t="str">
        <f t="shared" si="50"/>
        <v>29-05 Jul</v>
      </c>
      <c r="BB250" s="123">
        <f>IFERROR($M250+VLOOKUP($L250,'Voyage days'!$F$702:$H$727,3,FALSE),"")</f>
        <v>45806.75</v>
      </c>
      <c r="BC250" s="120" t="str">
        <f t="shared" si="51"/>
        <v>04-05 Jul</v>
      </c>
      <c r="BD250" s="122">
        <f>IFERROR($M250+VLOOKUP($L250,'Voyage days'!$F$807:$H$878,3,FALSE),"")</f>
        <v>45842</v>
      </c>
      <c r="BE250" s="122">
        <f>IFERROR($N250+VLOOKUP($L250,'Voyage days'!$F$807:$H$878,3,FALSE),"")</f>
        <v>45843</v>
      </c>
      <c r="BF250" s="609"/>
      <c r="BG250" s="609"/>
      <c r="BH250" s="609"/>
      <c r="BI250" s="609"/>
      <c r="BJ250" s="609"/>
      <c r="BK250" s="609"/>
      <c r="BL250" s="609"/>
      <c r="BM250" s="609"/>
    </row>
    <row r="251" ht="15.75" customHeight="1">
      <c r="A251" s="274" t="s">
        <v>243</v>
      </c>
      <c r="B251" s="101">
        <v>39888.0</v>
      </c>
      <c r="C251" s="1045">
        <v>82000.0</v>
      </c>
      <c r="D251" s="150" t="s">
        <v>1687</v>
      </c>
      <c r="E251" s="149" t="s">
        <v>689</v>
      </c>
      <c r="F251" s="1014"/>
      <c r="G251" s="1015">
        <v>46357.0</v>
      </c>
      <c r="H251" s="1187"/>
      <c r="I251" s="157" t="s">
        <v>1144</v>
      </c>
      <c r="J251" s="157" t="s">
        <v>1536</v>
      </c>
      <c r="K251" s="517" t="str">
        <f t="shared" si="52"/>
        <v>Update</v>
      </c>
      <c r="L251" s="153" t="s">
        <v>211</v>
      </c>
      <c r="M251" s="238">
        <v>45807.0</v>
      </c>
      <c r="N251" s="238">
        <v>45810.0</v>
      </c>
      <c r="O251" s="155"/>
      <c r="P251" s="536"/>
      <c r="Q251" s="157"/>
      <c r="R251" s="157"/>
      <c r="S251" s="256" t="s">
        <v>2962</v>
      </c>
      <c r="T251" s="293">
        <v>45784.0</v>
      </c>
      <c r="U251" s="114" t="str">
        <f>IF(V251="","No AIS",VLOOKUP(V251,'Voyage days'!$A$3:$B$1480,2,FALSE))</f>
        <v>USG</v>
      </c>
      <c r="V251" s="114" t="str">
        <f>IF(VLOOKUP(A251,'1) Kpler'!$E$2:$P$1000,8, FALSE)="","",VLOOKUP(A251,'1) Kpler'!$E$2:$P$1000,8, FALSE))</f>
        <v>Freeport Texas</v>
      </c>
      <c r="W251" s="159">
        <f>IF(VLOOKUP(A251,'1) Kpler'!$E$2:$P$1000,9,FALSE)="","",VLOOKUP(A251,'1) Kpler'!$E$2:$P$1000,9,FALSE))</f>
        <v>46141.95833</v>
      </c>
      <c r="X251" s="114" t="str">
        <f>VLOOKUP(A251,'1) Kpler'!$E$2:$I$1000,4,FALSE)</f>
        <v>ballast</v>
      </c>
      <c r="Y251" s="296" t="str">
        <f t="shared" si="40"/>
        <v>04-07 Jun</v>
      </c>
      <c r="Z251" s="163" t="str">
        <f t="shared" si="41"/>
        <v>04-07 Jun</v>
      </c>
      <c r="AA251" s="122">
        <f>IFERROR($M251+VLOOKUP($L251,'Voyage days'!$F$38:$H$89,3,FALSE),"")</f>
        <v>45812</v>
      </c>
      <c r="AB251" s="122">
        <f>IFERROR(N251+VLOOKUP($L251,'Voyage days'!$F$38:$H$89,3,FALSE),"")</f>
        <v>45815</v>
      </c>
      <c r="AC251" s="163" t="str">
        <f t="shared" si="42"/>
        <v/>
      </c>
      <c r="AD251" s="122" t="str">
        <f>IFERROR($M251+VLOOKUP($L251,'Voyage days'!$F$94:$H$193,3,FALSE),"")</f>
        <v/>
      </c>
      <c r="AE251" s="122" t="str">
        <f>IFERROR($N251+VLOOKUP($L251,'Voyage days'!$F$94:$H$193,3,FALSE),"")</f>
        <v/>
      </c>
      <c r="AF251" s="163" t="str">
        <f t="shared" si="43"/>
        <v>30-03 Jul</v>
      </c>
      <c r="AG251" s="122">
        <f>IFERROR($M251+VLOOKUP($L251,'Voyage days'!$F$203:$H$256,3,FALSE),"")</f>
        <v>45838</v>
      </c>
      <c r="AH251" s="122">
        <f>IFERROR($N251+VLOOKUP($L251,'Voyage days'!$F$203:$H$256,3,FALSE),"")</f>
        <v>45841</v>
      </c>
      <c r="AI251" s="163" t="str">
        <f t="shared" si="44"/>
        <v>17-20 Jun</v>
      </c>
      <c r="AJ251" s="122">
        <f>IFERROR($M251+VLOOKUP($L251,'Voyage days'!$F$294:$H$377,3,FALSE),"")</f>
        <v>45825</v>
      </c>
      <c r="AK251" s="122">
        <f>IFERROR($N251+VLOOKUP($L251,'Voyage days'!$F$294:$H$377,3,FALSE),"")</f>
        <v>45828</v>
      </c>
      <c r="AL251" s="163" t="str">
        <f t="shared" si="45"/>
        <v>25-28 Jun</v>
      </c>
      <c r="AM251" s="122">
        <f>IFERROR($M251+VLOOKUP($L251,'Voyage days'!$F$382:$H$446,3,FALSE),"")</f>
        <v>45833</v>
      </c>
      <c r="AN251" s="122">
        <f>IFERROR($N251+VLOOKUP($L251,'Voyage days'!$F$382:$H$446,3,FALSE),"")</f>
        <v>45836</v>
      </c>
      <c r="AO251" s="163" t="str">
        <f t="shared" si="46"/>
        <v/>
      </c>
      <c r="AP251" s="122" t="str">
        <f>IFERROR($M251+VLOOKUP($L251,'Voyage days'!$F$483:$H$538,3,FALSE),"")</f>
        <v/>
      </c>
      <c r="AQ251" s="122" t="str">
        <f>IFERROR($N251+VLOOKUP($L251,'Voyage days'!$F$483:$H$538,3,FALSE),"")</f>
        <v/>
      </c>
      <c r="AR251" s="163" t="str">
        <f t="shared" si="47"/>
        <v/>
      </c>
      <c r="AS251" s="122" t="str">
        <f>IFERROR($M251+VLOOKUP($L251,'Voyage days'!$F$540:$H$613,3,FALSE),"")</f>
        <v/>
      </c>
      <c r="AT251" s="122" t="str">
        <f>IFERROR($N251+VLOOKUP($L251,'Voyage days'!$F$540:$H$613,3,FALSE),"")</f>
        <v/>
      </c>
      <c r="AU251" s="163" t="str">
        <f t="shared" si="48"/>
        <v/>
      </c>
      <c r="AV251" s="122" t="str">
        <f>IFERROR($M251+VLOOKUP($L251,'Voyage days'!$L$483:$N$535,3,FALSE),"")</f>
        <v/>
      </c>
      <c r="AW251" s="122" t="str">
        <f>IFERROR($N251+VLOOKUP($L251,'Voyage days'!$L$483:$N$535,3,FALSE),"")</f>
        <v/>
      </c>
      <c r="AX251" s="163" t="str">
        <f t="shared" si="49"/>
        <v/>
      </c>
      <c r="AY251" s="122" t="str">
        <f>IFERROR($M251+VLOOKUP($L251,'Voyage days'!$F$620:$H$646,3,FALSE),"")</f>
        <v/>
      </c>
      <c r="AZ251" s="122" t="str">
        <f>IFERROR($N251+VLOOKUP($L251,'Voyage days'!$F$620:$H$646,3,FALSE),"")</f>
        <v/>
      </c>
      <c r="BA251" s="163" t="str">
        <f t="shared" si="50"/>
        <v/>
      </c>
      <c r="BB251" s="123" t="str">
        <f>IFERROR($M251+VLOOKUP($L251,'Voyage days'!$F$702:$H$727,3,FALSE),"")</f>
        <v/>
      </c>
      <c r="BC251" s="163" t="str">
        <f t="shared" si="51"/>
        <v>12-15 Jul</v>
      </c>
      <c r="BD251" s="122">
        <f>IFERROR($M251+VLOOKUP($L251,'Voyage days'!$F$807:$H$878,3,FALSE),"")</f>
        <v>45850</v>
      </c>
      <c r="BE251" s="122">
        <f>IFERROR($N251+VLOOKUP($L251,'Voyage days'!$F$807:$H$878,3,FALSE),"")</f>
        <v>45853</v>
      </c>
      <c r="BF251" s="609"/>
      <c r="BG251" s="609"/>
      <c r="BH251" s="609"/>
      <c r="BI251" s="609"/>
      <c r="BJ251" s="609"/>
      <c r="BK251" s="609"/>
      <c r="BL251" s="609"/>
      <c r="BM251" s="609"/>
    </row>
    <row r="252" ht="15.75" customHeight="1">
      <c r="A252" s="473" t="s">
        <v>577</v>
      </c>
      <c r="B252" s="222">
        <v>39845.0</v>
      </c>
      <c r="C252" s="1101">
        <v>82000.0</v>
      </c>
      <c r="D252" s="168" t="s">
        <v>1687</v>
      </c>
      <c r="E252" s="223"/>
      <c r="F252" s="1010"/>
      <c r="G252" s="1011">
        <v>45931.0</v>
      </c>
      <c r="H252" s="223"/>
      <c r="I252" s="463" t="s">
        <v>1144</v>
      </c>
      <c r="J252" s="312" t="s">
        <v>3172</v>
      </c>
      <c r="K252" s="469" t="str">
        <f t="shared" si="52"/>
        <v>Update</v>
      </c>
      <c r="L252" s="172" t="s">
        <v>680</v>
      </c>
      <c r="M252" s="173">
        <v>45793.0</v>
      </c>
      <c r="N252" s="173">
        <v>45795.0</v>
      </c>
      <c r="O252" s="226"/>
      <c r="P252" s="312"/>
      <c r="Q252" s="312"/>
      <c r="R252" s="463"/>
      <c r="S252" s="175" t="s">
        <v>2962</v>
      </c>
      <c r="T252" s="176">
        <v>45784.0</v>
      </c>
      <c r="U252" s="177" t="str">
        <f>IF(V252="","No AIS",VLOOKUP(V252,'Voyage days'!$A$3:$B$1480,2,FALSE))</f>
        <v>Malaysia (bunkers)</v>
      </c>
      <c r="V252" s="178" t="str">
        <f>IF(VLOOKUP(A252,'1) Kpler'!$E$2:$P$1000,8, FALSE)="","",VLOOKUP(A252,'1) Kpler'!$E$2:$P$1000,8, FALSE))</f>
        <v>Westport</v>
      </c>
      <c r="W252" s="179">
        <f>IF(VLOOKUP(A252,'1) Kpler'!$E$2:$P$1000,9,FALSE)="","",VLOOKUP(A252,'1) Kpler'!$E$2:$P$1000,9,FALSE))</f>
        <v>46133.5</v>
      </c>
      <c r="X252" s="178" t="str">
        <f>VLOOKUP(A252,'1) Kpler'!$E$2:$I$1000,4,FALSE)</f>
        <v>loaded</v>
      </c>
      <c r="Y252" s="120" t="str">
        <f t="shared" si="40"/>
        <v/>
      </c>
      <c r="Z252" s="120" t="str">
        <f t="shared" si="41"/>
        <v/>
      </c>
      <c r="AA252" s="121" t="str">
        <f>IFERROR($M252+VLOOKUP($L252,'Voyage days'!$F$38:$H$89,3,FALSE),"")</f>
        <v/>
      </c>
      <c r="AB252" s="121" t="str">
        <f>IFERROR(N252+VLOOKUP($L252,'Voyage days'!$F$38:$H$89,3,FALSE),"")</f>
        <v/>
      </c>
      <c r="AC252" s="120" t="str">
        <f t="shared" si="42"/>
        <v>16-18 May</v>
      </c>
      <c r="AD252" s="121">
        <f>IFERROR($M252+VLOOKUP($L252,'Voyage days'!$F$94:$H$193,3,FALSE),"")</f>
        <v>45793</v>
      </c>
      <c r="AE252" s="121">
        <f>IFERROR($N252+VLOOKUP($L252,'Voyage days'!$F$94:$H$193,3,FALSE),"")</f>
        <v>45795</v>
      </c>
      <c r="AF252" s="120" t="str">
        <f t="shared" si="43"/>
        <v>16-18 May</v>
      </c>
      <c r="AG252" s="121">
        <f>IFERROR($M252+VLOOKUP($L252,'Voyage days'!$F$203:$H$256,3,FALSE),"")</f>
        <v>45793</v>
      </c>
      <c r="AH252" s="121">
        <f>IFERROR($N252+VLOOKUP($L252,'Voyage days'!$F$203:$H$256,3,FALSE),"")</f>
        <v>45795</v>
      </c>
      <c r="AI252" s="120" t="str">
        <f t="shared" si="44"/>
        <v/>
      </c>
      <c r="AJ252" s="121" t="str">
        <f>IFERROR($M252+VLOOKUP($L252,'Voyage days'!$F$294:$H$377,3,FALSE),"")</f>
        <v/>
      </c>
      <c r="AK252" s="121" t="str">
        <f>IFERROR($N252+VLOOKUP($L252,'Voyage days'!$F$294:$H$377,3,FALSE),"")</f>
        <v/>
      </c>
      <c r="AL252" s="120" t="str">
        <f t="shared" si="45"/>
        <v>05-07 Jun</v>
      </c>
      <c r="AM252" s="121">
        <f>IFERROR($M252+VLOOKUP($L252,'Voyage days'!$F$382:$H$446,3,FALSE),"")</f>
        <v>45813</v>
      </c>
      <c r="AN252" s="121">
        <f>IFERROR($N252+VLOOKUP($L252,'Voyage days'!$F$382:$H$446,3,FALSE),"")</f>
        <v>45815</v>
      </c>
      <c r="AO252" s="120" t="str">
        <f t="shared" si="46"/>
        <v/>
      </c>
      <c r="AP252" s="121" t="str">
        <f>IFERROR($M252+VLOOKUP($L252,'Voyage days'!$F$483:$H$538,3,FALSE),"")</f>
        <v/>
      </c>
      <c r="AQ252" s="121" t="str">
        <f>IFERROR($N252+VLOOKUP($L252,'Voyage days'!$F$483:$H$538,3,FALSE),"")</f>
        <v/>
      </c>
      <c r="AR252" s="120" t="str">
        <f t="shared" si="47"/>
        <v/>
      </c>
      <c r="AS252" s="121" t="str">
        <f>IFERROR($M252+VLOOKUP($L252,'Voyage days'!$F$540:$H$613,3,FALSE),"")</f>
        <v/>
      </c>
      <c r="AT252" s="121" t="str">
        <f>IFERROR($N252+VLOOKUP($L252,'Voyage days'!$F$540:$H$613,3,FALSE),"")</f>
        <v/>
      </c>
      <c r="AU252" s="120" t="str">
        <f t="shared" si="48"/>
        <v/>
      </c>
      <c r="AV252" s="121" t="str">
        <f>IFERROR($M252+VLOOKUP($L252,'Voyage days'!$L$483:$N$535,3,FALSE),"")</f>
        <v/>
      </c>
      <c r="AW252" s="121" t="str">
        <f>IFERROR($N252+VLOOKUP($L252,'Voyage days'!$L$483:$N$535,3,FALSE),"")</f>
        <v/>
      </c>
      <c r="AX252" s="120" t="str">
        <f t="shared" si="49"/>
        <v/>
      </c>
      <c r="AY252" s="122" t="str">
        <f>IFERROR($M252+VLOOKUP($L252,'Voyage days'!$F$620:$H$646,3,FALSE),"")</f>
        <v/>
      </c>
      <c r="AZ252" s="122" t="str">
        <f>IFERROR($N252+VLOOKUP($L252,'Voyage days'!$F$620:$H$646,3,FALSE),"")</f>
        <v/>
      </c>
      <c r="BA252" s="120" t="str">
        <f t="shared" si="50"/>
        <v/>
      </c>
      <c r="BB252" s="123" t="str">
        <f>IFERROR($M252+VLOOKUP($L252,'Voyage days'!$F$702:$H$727,3,FALSE),"")</f>
        <v/>
      </c>
      <c r="BC252" s="120" t="str">
        <f t="shared" si="51"/>
        <v/>
      </c>
      <c r="BD252" s="122" t="str">
        <f>IFERROR($M252+VLOOKUP($L252,'Voyage days'!$F$807:$H$878,3,FALSE),"")</f>
        <v/>
      </c>
      <c r="BE252" s="122" t="str">
        <f>IFERROR($N252+VLOOKUP($L252,'Voyage days'!$F$807:$H$878,3,FALSE),"")</f>
        <v/>
      </c>
      <c r="BF252" s="609"/>
      <c r="BG252" s="609"/>
      <c r="BH252" s="609"/>
      <c r="BI252" s="609"/>
      <c r="BJ252" s="609"/>
      <c r="BK252" s="609"/>
      <c r="BL252" s="609"/>
      <c r="BM252" s="609"/>
    </row>
    <row r="253" ht="15.75" customHeight="1">
      <c r="A253" s="473" t="s">
        <v>96</v>
      </c>
      <c r="B253" s="634">
        <v>2003.0</v>
      </c>
      <c r="C253" s="1101">
        <v>82557.0</v>
      </c>
      <c r="D253" s="168" t="s">
        <v>3173</v>
      </c>
      <c r="E253" s="223"/>
      <c r="F253" s="1188"/>
      <c r="G253" s="223"/>
      <c r="H253" s="223"/>
      <c r="I253" s="463" t="s">
        <v>3174</v>
      </c>
      <c r="J253" s="463"/>
      <c r="K253" s="469" t="str">
        <f t="shared" si="52"/>
        <v>NO AIS</v>
      </c>
      <c r="L253" s="172" t="s">
        <v>703</v>
      </c>
      <c r="M253" s="173">
        <v>45786.0</v>
      </c>
      <c r="N253" s="173">
        <v>45787.0</v>
      </c>
      <c r="O253" s="174" t="s">
        <v>709</v>
      </c>
      <c r="P253" s="320"/>
      <c r="Q253" s="320"/>
      <c r="R253" s="463"/>
      <c r="S253" s="175" t="s">
        <v>934</v>
      </c>
      <c r="T253" s="176">
        <v>45782.0</v>
      </c>
      <c r="U253" s="177" t="str">
        <f>IF(V253="","No AIS",VLOOKUP(V253,'Voyage days'!$A$3:$B$1480,2,FALSE))</f>
        <v>No AIS</v>
      </c>
      <c r="V253" s="178" t="str">
        <f>IF(VLOOKUP(A253,'1) Kpler'!$E$2:$P$1000,8, FALSE)="","",VLOOKUP(A253,'1) Kpler'!$E$2:$P$1000,8, FALSE))</f>
        <v/>
      </c>
      <c r="W253" s="179" t="str">
        <f>IF(VLOOKUP(A253,'1) Kpler'!$E$2:$P$1000,9,FALSE)="","",VLOOKUP(A253,'1) Kpler'!$E$2:$P$1000,9,FALSE))</f>
        <v/>
      </c>
      <c r="X253" s="178" t="str">
        <f>VLOOKUP(A253,'1) Kpler'!$E$2:$I$1000,4,FALSE)</f>
        <v>ballast</v>
      </c>
      <c r="Y253" s="120" t="str">
        <f t="shared" si="40"/>
        <v>24-25 May</v>
      </c>
      <c r="Z253" s="120" t="str">
        <f t="shared" si="41"/>
        <v>24-25 May</v>
      </c>
      <c r="AA253" s="121">
        <f>IFERROR($M253+VLOOKUP($L253,'Voyage days'!$F$38:$H$89,3,FALSE),"")</f>
        <v>45801</v>
      </c>
      <c r="AB253" s="121">
        <f>IFERROR(N253+VLOOKUP($L253,'Voyage days'!$F$38:$H$89,3,FALSE),"")</f>
        <v>45802</v>
      </c>
      <c r="AC253" s="120" t="str">
        <f t="shared" si="42"/>
        <v>15-16 Jun</v>
      </c>
      <c r="AD253" s="121">
        <f>IFERROR($M253+VLOOKUP($L253,'Voyage days'!$F$94:$H$193,3,FALSE),"")</f>
        <v>45823</v>
      </c>
      <c r="AE253" s="121">
        <f>IFERROR($N253+VLOOKUP($L253,'Voyage days'!$F$94:$H$193,3,FALSE),"")</f>
        <v>45824</v>
      </c>
      <c r="AF253" s="120" t="str">
        <f t="shared" si="43"/>
        <v>20-21 Jun</v>
      </c>
      <c r="AG253" s="121">
        <f>IFERROR($M253+VLOOKUP($L253,'Voyage days'!$F$203:$H$256,3,FALSE),"")</f>
        <v>45828</v>
      </c>
      <c r="AH253" s="121">
        <f>IFERROR($N253+VLOOKUP($L253,'Voyage days'!$F$203:$H$256,3,FALSE),"")</f>
        <v>45829</v>
      </c>
      <c r="AI253" s="120" t="str">
        <f t="shared" si="44"/>
        <v>04-05 Jun</v>
      </c>
      <c r="AJ253" s="121">
        <f>IFERROR($M253+VLOOKUP($L253,'Voyage days'!$F$294:$H$377,3,FALSE),"")</f>
        <v>45812</v>
      </c>
      <c r="AK253" s="121">
        <f>IFERROR($N253+VLOOKUP($L253,'Voyage days'!$F$294:$H$377,3,FALSE),"")</f>
        <v>45813</v>
      </c>
      <c r="AL253" s="120" t="str">
        <f t="shared" si="45"/>
        <v>11-12 Jun</v>
      </c>
      <c r="AM253" s="121">
        <f>IFERROR($M253+VLOOKUP($L253,'Voyage days'!$F$382:$H$446,3,FALSE),"")</f>
        <v>45819</v>
      </c>
      <c r="AN253" s="121">
        <f>IFERROR($N253+VLOOKUP($L253,'Voyage days'!$F$382:$H$446,3,FALSE),"")</f>
        <v>45820</v>
      </c>
      <c r="AO253" s="120" t="str">
        <f t="shared" si="46"/>
        <v>23-24 May</v>
      </c>
      <c r="AP253" s="121">
        <f>IFERROR($M253+VLOOKUP($L253,'Voyage days'!$F$483:$H$538,3,FALSE),"")</f>
        <v>45800</v>
      </c>
      <c r="AQ253" s="121">
        <f>IFERROR($N253+VLOOKUP($L253,'Voyage days'!$F$483:$H$538,3,FALSE),"")</f>
        <v>45801</v>
      </c>
      <c r="AR253" s="120" t="str">
        <f t="shared" si="47"/>
        <v>15-16 May</v>
      </c>
      <c r="AS253" s="121">
        <f>IFERROR($M253+VLOOKUP($L253,'Voyage days'!$F$540:$H$613,3,FALSE),"")</f>
        <v>45792.75</v>
      </c>
      <c r="AT253" s="121">
        <f>IFERROR($N253+VLOOKUP($L253,'Voyage days'!$F$540:$H$613,3,FALSE),"")</f>
        <v>45793.75</v>
      </c>
      <c r="AU253" s="120" t="str">
        <f t="shared" si="48"/>
        <v/>
      </c>
      <c r="AV253" s="121" t="str">
        <f>IFERROR($M253+VLOOKUP($L253,'Voyage days'!$L$483:$N$535,3,FALSE),"")</f>
        <v/>
      </c>
      <c r="AW253" s="121" t="str">
        <f>IFERROR($N253+VLOOKUP($L253,'Voyage days'!$L$483:$N$535,3,FALSE),"")</f>
        <v/>
      </c>
      <c r="AX253" s="120" t="str">
        <f t="shared" si="49"/>
        <v/>
      </c>
      <c r="AY253" s="122" t="str">
        <f>IFERROR($M253+VLOOKUP($L253,'Voyage days'!$F$620:$H$646,3,FALSE),"")</f>
        <v/>
      </c>
      <c r="AZ253" s="122" t="str">
        <f>IFERROR($N253+VLOOKUP($L253,'Voyage days'!$F$620:$H$646,3,FALSE),"")</f>
        <v/>
      </c>
      <c r="BA253" s="120" t="str">
        <f t="shared" si="50"/>
        <v>15-21 Jun</v>
      </c>
      <c r="BB253" s="123">
        <f>IFERROR($M253+VLOOKUP($L253,'Voyage days'!$F$702:$H$727,3,FALSE),"")</f>
        <v>45792.75</v>
      </c>
      <c r="BC253" s="120" t="str">
        <f t="shared" si="51"/>
        <v>20-21 Jun</v>
      </c>
      <c r="BD253" s="122">
        <f>IFERROR($M253+VLOOKUP($L253,'Voyage days'!$F$807:$H$878,3,FALSE),"")</f>
        <v>45828</v>
      </c>
      <c r="BE253" s="122">
        <f>IFERROR($N253+VLOOKUP($L253,'Voyage days'!$F$807:$H$878,3,FALSE),"")</f>
        <v>45829</v>
      </c>
      <c r="BF253" s="609"/>
      <c r="BG253" s="609"/>
      <c r="BH253" s="609"/>
      <c r="BI253" s="609"/>
      <c r="BJ253" s="609"/>
      <c r="BK253" s="609"/>
      <c r="BL253" s="609"/>
      <c r="BM253" s="609"/>
    </row>
    <row r="254" ht="15.75" customHeight="1">
      <c r="A254" s="147" t="s">
        <v>1150</v>
      </c>
      <c r="B254" s="101">
        <v>40512.0</v>
      </c>
      <c r="C254" s="1045">
        <v>83298.0</v>
      </c>
      <c r="D254" s="150" t="s">
        <v>1687</v>
      </c>
      <c r="E254" s="149"/>
      <c r="F254" s="1014">
        <v>44136.0</v>
      </c>
      <c r="G254" s="149" t="s">
        <v>2907</v>
      </c>
      <c r="H254" s="149"/>
      <c r="I254" s="157" t="s">
        <v>1151</v>
      </c>
      <c r="J254" s="536" t="s">
        <v>2935</v>
      </c>
      <c r="K254" s="517" t="str">
        <f t="shared" si="52"/>
        <v>Update</v>
      </c>
      <c r="L254" s="153" t="s">
        <v>703</v>
      </c>
      <c r="M254" s="276">
        <v>45791.0</v>
      </c>
      <c r="N254" s="238">
        <v>45793.0</v>
      </c>
      <c r="O254" s="155"/>
      <c r="P254" s="1189"/>
      <c r="Q254" s="157"/>
      <c r="R254" s="157"/>
      <c r="S254" s="256" t="s">
        <v>2962</v>
      </c>
      <c r="T254" s="293">
        <v>45784.0</v>
      </c>
      <c r="U254" s="114" t="str">
        <f>IF(V254="","No AIS",VLOOKUP(V254,'Voyage days'!$A$3:$B$1480,2,FALSE))</f>
        <v>Panama</v>
      </c>
      <c r="V254" s="114" t="str">
        <f>IF(VLOOKUP(A254,'1) Kpler'!$E$2:$P$1000,8, FALSE)="","",VLOOKUP(A254,'1) Kpler'!$E$2:$P$1000,8, FALSE))</f>
        <v>Panama Canal</v>
      </c>
      <c r="W254" s="159">
        <f>IF(VLOOKUP(A254,'1) Kpler'!$E$2:$P$1000,9,FALSE)="","",VLOOKUP(A254,'1) Kpler'!$E$2:$P$1000,9,FALSE))</f>
        <v>46155.70833</v>
      </c>
      <c r="X254" s="114" t="str">
        <f>VLOOKUP(A254,'1) Kpler'!$E$2:$I$1000,4,FALSE)</f>
        <v>ballast</v>
      </c>
      <c r="Y254" s="272" t="str">
        <f t="shared" si="40"/>
        <v>29-31 May</v>
      </c>
      <c r="Z254" s="163" t="str">
        <f t="shared" si="41"/>
        <v>29-31 May</v>
      </c>
      <c r="AA254" s="122">
        <f>IFERROR($M254+VLOOKUP($L254,'Voyage days'!$F$38:$H$89,3,FALSE),"")</f>
        <v>45806</v>
      </c>
      <c r="AB254" s="122">
        <f>IFERROR(N254+VLOOKUP($L254,'Voyage days'!$F$38:$H$89,3,FALSE),"")</f>
        <v>45808</v>
      </c>
      <c r="AC254" s="163" t="str">
        <f t="shared" si="42"/>
        <v>20-22 Jun</v>
      </c>
      <c r="AD254" s="122">
        <f>IFERROR($M254+VLOOKUP($L254,'Voyage days'!$F$94:$H$193,3,FALSE),"")</f>
        <v>45828</v>
      </c>
      <c r="AE254" s="122">
        <f>IFERROR($N254+VLOOKUP($L254,'Voyage days'!$F$94:$H$193,3,FALSE),"")</f>
        <v>45830</v>
      </c>
      <c r="AF254" s="163" t="str">
        <f t="shared" si="43"/>
        <v>25-27 Jun</v>
      </c>
      <c r="AG254" s="122">
        <f>IFERROR($M254+VLOOKUP($L254,'Voyage days'!$F$203:$H$256,3,FALSE),"")</f>
        <v>45833</v>
      </c>
      <c r="AH254" s="122">
        <f>IFERROR($N254+VLOOKUP($L254,'Voyage days'!$F$203:$H$256,3,FALSE),"")</f>
        <v>45835</v>
      </c>
      <c r="AI254" s="163" t="str">
        <f t="shared" si="44"/>
        <v>09-11 Jun</v>
      </c>
      <c r="AJ254" s="122">
        <f>IFERROR($M254+VLOOKUP($L254,'Voyage days'!$F$294:$H$377,3,FALSE),"")</f>
        <v>45817</v>
      </c>
      <c r="AK254" s="122">
        <f>IFERROR($N254+VLOOKUP($L254,'Voyage days'!$F$294:$H$377,3,FALSE),"")</f>
        <v>45819</v>
      </c>
      <c r="AL254" s="163" t="str">
        <f t="shared" si="45"/>
        <v>16-18 Jun</v>
      </c>
      <c r="AM254" s="122">
        <f>IFERROR($M254+VLOOKUP($L254,'Voyage days'!$F$382:$H$446,3,FALSE),"")</f>
        <v>45824</v>
      </c>
      <c r="AN254" s="122">
        <f>IFERROR($N254+VLOOKUP($L254,'Voyage days'!$F$382:$H$446,3,FALSE),"")</f>
        <v>45826</v>
      </c>
      <c r="AO254" s="163" t="str">
        <f t="shared" si="46"/>
        <v>28-30 May</v>
      </c>
      <c r="AP254" s="122">
        <f>IFERROR($M254+VLOOKUP($L254,'Voyage days'!$F$483:$H$538,3,FALSE),"")</f>
        <v>45805</v>
      </c>
      <c r="AQ254" s="122">
        <f>IFERROR($N254+VLOOKUP($L254,'Voyage days'!$F$483:$H$538,3,FALSE),"")</f>
        <v>45807</v>
      </c>
      <c r="AR254" s="163" t="str">
        <f t="shared" si="47"/>
        <v>20-22 May</v>
      </c>
      <c r="AS254" s="122">
        <f>IFERROR($M254+VLOOKUP($L254,'Voyage days'!$F$540:$H$613,3,FALSE),"")</f>
        <v>45797.75</v>
      </c>
      <c r="AT254" s="122">
        <f>IFERROR($N254+VLOOKUP($L254,'Voyage days'!$F$540:$H$613,3,FALSE),"")</f>
        <v>45799.75</v>
      </c>
      <c r="AU254" s="163" t="str">
        <f t="shared" si="48"/>
        <v/>
      </c>
      <c r="AV254" s="122" t="str">
        <f>IFERROR($M254+VLOOKUP($L254,'Voyage days'!$L$483:$N$535,3,FALSE),"")</f>
        <v/>
      </c>
      <c r="AW254" s="122" t="str">
        <f>IFERROR($N254+VLOOKUP($L254,'Voyage days'!$L$483:$N$535,3,FALSE),"")</f>
        <v/>
      </c>
      <c r="AX254" s="163" t="str">
        <f t="shared" si="49"/>
        <v/>
      </c>
      <c r="AY254" s="122" t="str">
        <f>IFERROR($M254+VLOOKUP($L254,'Voyage days'!$F$620:$H$646,3,FALSE),"")</f>
        <v/>
      </c>
      <c r="AZ254" s="122" t="str">
        <f>IFERROR($N254+VLOOKUP($L254,'Voyage days'!$F$620:$H$646,3,FALSE),"")</f>
        <v/>
      </c>
      <c r="BA254" s="163" t="str">
        <f t="shared" si="50"/>
        <v>20-27 Jun</v>
      </c>
      <c r="BB254" s="123">
        <f>IFERROR($M254+VLOOKUP($L254,'Voyage days'!$F$702:$H$727,3,FALSE),"")</f>
        <v>45797.75</v>
      </c>
      <c r="BC254" s="163" t="str">
        <f t="shared" si="51"/>
        <v>25-27 Jun</v>
      </c>
      <c r="BD254" s="122">
        <f>IFERROR($M254+VLOOKUP($L254,'Voyage days'!$F$807:$H$878,3,FALSE),"")</f>
        <v>45833</v>
      </c>
      <c r="BE254" s="122">
        <f>IFERROR($N254+VLOOKUP($L254,'Voyage days'!$F$807:$H$878,3,FALSE),"")</f>
        <v>45835</v>
      </c>
      <c r="BF254" s="609"/>
      <c r="BG254" s="609"/>
      <c r="BH254" s="609"/>
      <c r="BI254" s="609"/>
      <c r="BJ254" s="609"/>
      <c r="BK254" s="609"/>
      <c r="BL254" s="609"/>
      <c r="BM254" s="609"/>
    </row>
    <row r="255" ht="15.75" customHeight="1">
      <c r="A255" s="100" t="s">
        <v>3175</v>
      </c>
      <c r="B255" s="101">
        <v>38718.0</v>
      </c>
      <c r="C255" s="1045">
        <v>78913.0</v>
      </c>
      <c r="D255" s="104" t="s">
        <v>1687</v>
      </c>
      <c r="E255" s="103"/>
      <c r="F255" s="604">
        <v>44166.0</v>
      </c>
      <c r="G255" s="1085">
        <v>46082.0</v>
      </c>
      <c r="H255" s="103"/>
      <c r="I255" s="185" t="s">
        <v>1151</v>
      </c>
      <c r="J255" s="111" t="s">
        <v>2900</v>
      </c>
      <c r="K255" s="336" t="str">
        <f t="shared" si="52"/>
        <v>#N/A</v>
      </c>
      <c r="L255" s="108" t="s">
        <v>680</v>
      </c>
      <c r="M255" s="109">
        <v>45785.0</v>
      </c>
      <c r="N255" s="109">
        <v>45786.0</v>
      </c>
      <c r="O255" s="110"/>
      <c r="P255" s="333"/>
      <c r="Q255" s="185"/>
      <c r="R255" s="108" t="s">
        <v>3176</v>
      </c>
      <c r="S255" s="112" t="s">
        <v>2962</v>
      </c>
      <c r="T255" s="113">
        <v>45784.0</v>
      </c>
      <c r="U255" s="114" t="str">
        <f>IF(V255="","No AIS",VLOOKUP(V255,'Voyage days'!$A$3:$B$1480,2,FALSE))</f>
        <v>#N/A</v>
      </c>
      <c r="V255" s="115" t="str">
        <f>IF(VLOOKUP(A255,'1) Kpler'!$E$2:$P$1000,8, FALSE)="","",VLOOKUP(A255,'1) Kpler'!$E$2:$P$1000,8, FALSE))</f>
        <v>#N/A</v>
      </c>
      <c r="W255" s="116" t="str">
        <f>IF(VLOOKUP(A255,'1) Kpler'!$E$2:$P$1000,9,FALSE)="","",VLOOKUP(A255,'1) Kpler'!$E$2:$P$1000,9,FALSE))</f>
        <v>#N/A</v>
      </c>
      <c r="X255" s="115" t="str">
        <f>VLOOKUP(A255,'1) Kpler'!$E$2:$I$1000,4,FALSE)</f>
        <v>#N/A</v>
      </c>
      <c r="Y255" s="117" t="str">
        <f t="shared" si="40"/>
        <v/>
      </c>
      <c r="Z255" s="120" t="str">
        <f t="shared" si="41"/>
        <v/>
      </c>
      <c r="AA255" s="121" t="str">
        <f>IFERROR($M255+VLOOKUP($L255,'Voyage days'!$F$38:$H$89,3,FALSE),"")</f>
        <v/>
      </c>
      <c r="AB255" s="121" t="str">
        <f>IFERROR(N255+VLOOKUP($L255,'Voyage days'!$F$38:$H$89,3,FALSE),"")</f>
        <v/>
      </c>
      <c r="AC255" s="120" t="str">
        <f t="shared" si="42"/>
        <v>08-09 May</v>
      </c>
      <c r="AD255" s="121">
        <f>IFERROR($M255+VLOOKUP($L255,'Voyage days'!$F$94:$H$193,3,FALSE),"")</f>
        <v>45785</v>
      </c>
      <c r="AE255" s="121">
        <f>IFERROR($N255+VLOOKUP($L255,'Voyage days'!$F$94:$H$193,3,FALSE),"")</f>
        <v>45786</v>
      </c>
      <c r="AF255" s="120" t="str">
        <f t="shared" si="43"/>
        <v>08-09 May</v>
      </c>
      <c r="AG255" s="121">
        <f>IFERROR($M255+VLOOKUP($L255,'Voyage days'!$F$203:$H$256,3,FALSE),"")</f>
        <v>45785</v>
      </c>
      <c r="AH255" s="121">
        <f>IFERROR($N255+VLOOKUP($L255,'Voyage days'!$F$203:$H$256,3,FALSE),"")</f>
        <v>45786</v>
      </c>
      <c r="AI255" s="120" t="str">
        <f t="shared" si="44"/>
        <v/>
      </c>
      <c r="AJ255" s="121" t="str">
        <f>IFERROR($M255+VLOOKUP($L255,'Voyage days'!$F$294:$H$377,3,FALSE),"")</f>
        <v/>
      </c>
      <c r="AK255" s="121" t="str">
        <f>IFERROR($N255+VLOOKUP($L255,'Voyage days'!$F$294:$H$377,3,FALSE),"")</f>
        <v/>
      </c>
      <c r="AL255" s="120" t="str">
        <f t="shared" si="45"/>
        <v>28-29 May</v>
      </c>
      <c r="AM255" s="121">
        <f>IFERROR($M255+VLOOKUP($L255,'Voyage days'!$F$382:$H$446,3,FALSE),"")</f>
        <v>45805</v>
      </c>
      <c r="AN255" s="121">
        <f>IFERROR($N255+VLOOKUP($L255,'Voyage days'!$F$382:$H$446,3,FALSE),"")</f>
        <v>45806</v>
      </c>
      <c r="AO255" s="120" t="str">
        <f t="shared" si="46"/>
        <v/>
      </c>
      <c r="AP255" s="121" t="str">
        <f>IFERROR($M255+VLOOKUP($L255,'Voyage days'!$F$483:$H$538,3,FALSE),"")</f>
        <v/>
      </c>
      <c r="AQ255" s="121" t="str">
        <f>IFERROR($N255+VLOOKUP($L255,'Voyage days'!$F$483:$H$538,3,FALSE),"")</f>
        <v/>
      </c>
      <c r="AR255" s="120" t="str">
        <f t="shared" si="47"/>
        <v/>
      </c>
      <c r="AS255" s="121" t="str">
        <f>IFERROR($M255+VLOOKUP($L255,'Voyage days'!$F$540:$H$613,3,FALSE),"")</f>
        <v/>
      </c>
      <c r="AT255" s="121" t="str">
        <f>IFERROR($N255+VLOOKUP($L255,'Voyage days'!$F$540:$H$613,3,FALSE),"")</f>
        <v/>
      </c>
      <c r="AU255" s="120" t="str">
        <f t="shared" si="48"/>
        <v/>
      </c>
      <c r="AV255" s="121" t="str">
        <f>IFERROR($M255+VLOOKUP($L255,'Voyage days'!$L$483:$N$535,3,FALSE),"")</f>
        <v/>
      </c>
      <c r="AW255" s="121" t="str">
        <f>IFERROR($N255+VLOOKUP($L255,'Voyage days'!$L$483:$N$535,3,FALSE),"")</f>
        <v/>
      </c>
      <c r="AX255" s="120" t="str">
        <f t="shared" si="49"/>
        <v/>
      </c>
      <c r="AY255" s="122" t="str">
        <f>IFERROR($M255+VLOOKUP($L255,'Voyage days'!$F$620:$H$646,3,FALSE),"")</f>
        <v/>
      </c>
      <c r="AZ255" s="122" t="str">
        <f>IFERROR($N255+VLOOKUP($L255,'Voyage days'!$F$620:$H$646,3,FALSE),"")</f>
        <v/>
      </c>
      <c r="BA255" s="120" t="str">
        <f t="shared" si="50"/>
        <v/>
      </c>
      <c r="BB255" s="123" t="str">
        <f>IFERROR($M255+VLOOKUP($L255,'Voyage days'!$F$702:$H$727,3,FALSE),"")</f>
        <v/>
      </c>
      <c r="BC255" s="120" t="str">
        <f t="shared" si="51"/>
        <v/>
      </c>
      <c r="BD255" s="122" t="str">
        <f>IFERROR($M255+VLOOKUP($L255,'Voyage days'!$F$807:$H$878,3,FALSE),"")</f>
        <v/>
      </c>
      <c r="BE255" s="122" t="str">
        <f>IFERROR($N255+VLOOKUP($L255,'Voyage days'!$F$807:$H$878,3,FALSE),"")</f>
        <v/>
      </c>
      <c r="BF255" s="609"/>
      <c r="BG255" s="609"/>
      <c r="BH255" s="609"/>
      <c r="BI255" s="609"/>
      <c r="BJ255" s="609"/>
      <c r="BK255" s="609"/>
      <c r="BL255" s="609"/>
      <c r="BM255" s="609"/>
    </row>
    <row r="256" ht="15.75" customHeight="1">
      <c r="A256" s="80" t="s">
        <v>250</v>
      </c>
      <c r="B256" s="101">
        <v>41450.0</v>
      </c>
      <c r="C256" s="1045">
        <v>82000.0</v>
      </c>
      <c r="D256" s="104" t="s">
        <v>1687</v>
      </c>
      <c r="E256" s="103"/>
      <c r="F256" s="604">
        <v>44031.0</v>
      </c>
      <c r="G256" s="103" t="s">
        <v>2907</v>
      </c>
      <c r="H256" s="103"/>
      <c r="I256" s="185" t="s">
        <v>1151</v>
      </c>
      <c r="J256" s="185" t="s">
        <v>3177</v>
      </c>
      <c r="K256" s="336" t="str">
        <f t="shared" si="52"/>
        <v>Update</v>
      </c>
      <c r="L256" s="108" t="s">
        <v>720</v>
      </c>
      <c r="M256" s="109">
        <v>45793.0</v>
      </c>
      <c r="N256" s="109">
        <v>45795.0</v>
      </c>
      <c r="O256" s="110"/>
      <c r="P256" s="111"/>
      <c r="Q256" s="111"/>
      <c r="R256" s="185"/>
      <c r="S256" s="112" t="s">
        <v>2962</v>
      </c>
      <c r="T256" s="113">
        <v>45784.0</v>
      </c>
      <c r="U256" s="114" t="str">
        <f>IF(V256="","No AIS",VLOOKUP(V256,'Voyage days'!$A$3:$B$1480,2,FALSE))</f>
        <v>Korea + 4</v>
      </c>
      <c r="V256" s="115" t="str">
        <f>IF(VLOOKUP(A256,'1) Kpler'!$E$2:$P$1000,8, FALSE)="","",VLOOKUP(A256,'1) Kpler'!$E$2:$P$1000,8, FALSE))</f>
        <v>Ulsan</v>
      </c>
      <c r="W256" s="116">
        <f>IF(VLOOKUP(A256,'1) Kpler'!$E$2:$P$1000,9,FALSE)="","",VLOOKUP(A256,'1) Kpler'!$E$2:$P$1000,9,FALSE))</f>
        <v>46137.04167</v>
      </c>
      <c r="X256" s="115" t="str">
        <f>VLOOKUP(A256,'1) Kpler'!$E$2:$I$1000,4,FALSE)</f>
        <v>loaded</v>
      </c>
      <c r="Y256" s="160" t="str">
        <f t="shared" si="40"/>
        <v>03-05 Jun</v>
      </c>
      <c r="Z256" s="120" t="str">
        <f t="shared" si="41"/>
        <v>03-05 Jun</v>
      </c>
      <c r="AA256" s="121">
        <f>IFERROR($M256+VLOOKUP($L256,'Voyage days'!$F$38:$H$89,3,FALSE),"")</f>
        <v>45811</v>
      </c>
      <c r="AB256" s="121">
        <f>IFERROR(N256+VLOOKUP($L256,'Voyage days'!$F$38:$H$89,3,FALSE),"")</f>
        <v>45813</v>
      </c>
      <c r="AC256" s="120" t="str">
        <f t="shared" si="42"/>
        <v>19-21 Jun</v>
      </c>
      <c r="AD256" s="121">
        <f>IFERROR($M256+VLOOKUP($L256,'Voyage days'!$F$94:$H$193,3,FALSE),"")</f>
        <v>45827</v>
      </c>
      <c r="AE256" s="121">
        <f>IFERROR($N256+VLOOKUP($L256,'Voyage days'!$F$94:$H$193,3,FALSE),"")</f>
        <v>45829</v>
      </c>
      <c r="AF256" s="120" t="str">
        <f t="shared" si="43"/>
        <v>26-28 Jun</v>
      </c>
      <c r="AG256" s="121">
        <f>IFERROR($M256+VLOOKUP($L256,'Voyage days'!$F$203:$H$256,3,FALSE),"")</f>
        <v>45834</v>
      </c>
      <c r="AH256" s="121">
        <f>IFERROR($N256+VLOOKUP($L256,'Voyage days'!$F$203:$H$256,3,FALSE),"")</f>
        <v>45836</v>
      </c>
      <c r="AI256" s="120" t="str">
        <f t="shared" si="44"/>
        <v>14-16 Jun</v>
      </c>
      <c r="AJ256" s="121">
        <f>IFERROR($M256+VLOOKUP($L256,'Voyage days'!$F$294:$H$377,3,FALSE),"")</f>
        <v>45822</v>
      </c>
      <c r="AK256" s="121">
        <f>IFERROR($N256+VLOOKUP($L256,'Voyage days'!$F$294:$H$377,3,FALSE),"")</f>
        <v>45824</v>
      </c>
      <c r="AL256" s="120" t="str">
        <f t="shared" si="45"/>
        <v>20-22 Jun</v>
      </c>
      <c r="AM256" s="121">
        <f>IFERROR($M256+VLOOKUP($L256,'Voyage days'!$F$382:$H$446,3,FALSE),"")</f>
        <v>45828</v>
      </c>
      <c r="AN256" s="121">
        <f>IFERROR($N256+VLOOKUP($L256,'Voyage days'!$F$382:$H$446,3,FALSE),"")</f>
        <v>45830</v>
      </c>
      <c r="AO256" s="120" t="str">
        <f t="shared" si="46"/>
        <v>30-01 Jun</v>
      </c>
      <c r="AP256" s="121">
        <f>IFERROR($M256+VLOOKUP($L256,'Voyage days'!$F$483:$H$538,3,FALSE),"")</f>
        <v>45807</v>
      </c>
      <c r="AQ256" s="121">
        <f>IFERROR($N256+VLOOKUP($L256,'Voyage days'!$F$483:$H$538,3,FALSE),"")</f>
        <v>45809</v>
      </c>
      <c r="AR256" s="120" t="str">
        <f t="shared" si="47"/>
        <v>24-26 May</v>
      </c>
      <c r="AS256" s="121">
        <f>IFERROR($M256+VLOOKUP($L256,'Voyage days'!$F$540:$H$613,3,FALSE),"")</f>
        <v>45801</v>
      </c>
      <c r="AT256" s="121">
        <f>IFERROR($N256+VLOOKUP($L256,'Voyage days'!$F$540:$H$613,3,FALSE),"")</f>
        <v>45803</v>
      </c>
      <c r="AU256" s="120" t="str">
        <f t="shared" si="48"/>
        <v/>
      </c>
      <c r="AV256" s="121" t="str">
        <f>IFERROR($M256+VLOOKUP($L256,'Voyage days'!$L$483:$N$535,3,FALSE),"")</f>
        <v/>
      </c>
      <c r="AW256" s="121" t="str">
        <f>IFERROR($N256+VLOOKUP($L256,'Voyage days'!$L$483:$N$535,3,FALSE),"")</f>
        <v/>
      </c>
      <c r="AX256" s="120" t="str">
        <f t="shared" si="49"/>
        <v>27-29 May</v>
      </c>
      <c r="AY256" s="122">
        <f>IFERROR($M256+VLOOKUP($L256,'Voyage days'!$F$620:$H$646,3,FALSE),"")</f>
        <v>45804</v>
      </c>
      <c r="AZ256" s="122">
        <f>IFERROR($N256+VLOOKUP($L256,'Voyage days'!$F$620:$H$646,3,FALSE),"")</f>
        <v>45806</v>
      </c>
      <c r="BA256" s="120" t="str">
        <f t="shared" si="50"/>
        <v>24-02 Jul</v>
      </c>
      <c r="BB256" s="123">
        <f>IFERROR($M256+VLOOKUP($L256,'Voyage days'!$F$702:$H$727,3,FALSE),"")</f>
        <v>45801</v>
      </c>
      <c r="BC256" s="120" t="str">
        <f t="shared" si="51"/>
        <v>30-02 Jul</v>
      </c>
      <c r="BD256" s="122">
        <f>IFERROR($M256+VLOOKUP($L256,'Voyage days'!$F$807:$H$878,3,FALSE),"")</f>
        <v>45838</v>
      </c>
      <c r="BE256" s="122">
        <f>IFERROR($N256+VLOOKUP($L256,'Voyage days'!$F$807:$H$878,3,FALSE),"")</f>
        <v>45840</v>
      </c>
      <c r="BF256" s="609"/>
      <c r="BG256" s="609"/>
      <c r="BH256" s="609"/>
      <c r="BI256" s="609"/>
      <c r="BJ256" s="609"/>
      <c r="BK256" s="609"/>
      <c r="BL256" s="609"/>
      <c r="BM256" s="609"/>
    </row>
    <row r="257" ht="15.75" customHeight="1">
      <c r="A257" s="100" t="s">
        <v>253</v>
      </c>
      <c r="B257" s="101">
        <v>43102.0</v>
      </c>
      <c r="C257" s="1045">
        <v>84000.0</v>
      </c>
      <c r="D257" s="104" t="s">
        <v>1687</v>
      </c>
      <c r="E257" s="103" t="s">
        <v>689</v>
      </c>
      <c r="F257" s="1109">
        <v>43910.0</v>
      </c>
      <c r="G257" s="103" t="s">
        <v>2907</v>
      </c>
      <c r="H257" s="103"/>
      <c r="I257" s="185" t="s">
        <v>1151</v>
      </c>
      <c r="J257" s="111" t="s">
        <v>3177</v>
      </c>
      <c r="K257" s="336" t="str">
        <f t="shared" si="52"/>
        <v>Update</v>
      </c>
      <c r="L257" s="108" t="s">
        <v>680</v>
      </c>
      <c r="M257" s="109">
        <v>45816.0</v>
      </c>
      <c r="N257" s="109">
        <v>45818.0</v>
      </c>
      <c r="O257" s="110"/>
      <c r="P257" s="187" t="s">
        <v>3178</v>
      </c>
      <c r="Q257" s="111"/>
      <c r="R257" s="108" t="s">
        <v>3179</v>
      </c>
      <c r="S257" s="112" t="s">
        <v>2962</v>
      </c>
      <c r="T257" s="113">
        <v>45784.0</v>
      </c>
      <c r="U257" s="114" t="str">
        <f>IF(V257="","No AIS",VLOOKUP(V257,'Voyage days'!$A$3:$B$1480,2,FALSE))</f>
        <v>Panama</v>
      </c>
      <c r="V257" s="115" t="str">
        <f>IF(VLOOKUP(A257,'1) Kpler'!$E$2:$P$1000,8, FALSE)="","",VLOOKUP(A257,'1) Kpler'!$E$2:$P$1000,8, FALSE))</f>
        <v>Panama Canal</v>
      </c>
      <c r="W257" s="116">
        <f>IF(VLOOKUP(A257,'1) Kpler'!$E$2:$P$1000,9,FALSE)="","",VLOOKUP(A257,'1) Kpler'!$E$2:$P$1000,9,FALSE))</f>
        <v>46138.625</v>
      </c>
      <c r="X257" s="115" t="str">
        <f>VLOOKUP(A257,'1) Kpler'!$E$2:$I$1000,4,FALSE)</f>
        <v>ballast</v>
      </c>
      <c r="Y257" s="117" t="str">
        <f t="shared" si="40"/>
        <v/>
      </c>
      <c r="Z257" s="120" t="str">
        <f t="shared" si="41"/>
        <v/>
      </c>
      <c r="AA257" s="121" t="str">
        <f>IFERROR($M257+VLOOKUP($L257,'Voyage days'!$F$38:$H$89,3,FALSE),"")</f>
        <v/>
      </c>
      <c r="AB257" s="121" t="str">
        <f>IFERROR(N257+VLOOKUP($L257,'Voyage days'!$F$38:$H$89,3,FALSE),"")</f>
        <v/>
      </c>
      <c r="AC257" s="120" t="str">
        <f t="shared" si="42"/>
        <v>08-10 Jun</v>
      </c>
      <c r="AD257" s="121">
        <f>IFERROR($M257+VLOOKUP($L257,'Voyage days'!$F$94:$H$193,3,FALSE),"")</f>
        <v>45816</v>
      </c>
      <c r="AE257" s="121">
        <f>IFERROR($N257+VLOOKUP($L257,'Voyage days'!$F$94:$H$193,3,FALSE),"")</f>
        <v>45818</v>
      </c>
      <c r="AF257" s="120" t="str">
        <f t="shared" si="43"/>
        <v>08-10 Jun</v>
      </c>
      <c r="AG257" s="121">
        <f>IFERROR($M257+VLOOKUP($L257,'Voyage days'!$F$203:$H$256,3,FALSE),"")</f>
        <v>45816</v>
      </c>
      <c r="AH257" s="121">
        <f>IFERROR($N257+VLOOKUP($L257,'Voyage days'!$F$203:$H$256,3,FALSE),"")</f>
        <v>45818</v>
      </c>
      <c r="AI257" s="120" t="str">
        <f t="shared" si="44"/>
        <v/>
      </c>
      <c r="AJ257" s="121" t="str">
        <f>IFERROR($M257+VLOOKUP($L257,'Voyage days'!$F$294:$H$377,3,FALSE),"")</f>
        <v/>
      </c>
      <c r="AK257" s="121" t="str">
        <f>IFERROR($N257+VLOOKUP($L257,'Voyage days'!$F$294:$H$377,3,FALSE),"")</f>
        <v/>
      </c>
      <c r="AL257" s="120" t="str">
        <f t="shared" si="45"/>
        <v>28-30 Jun</v>
      </c>
      <c r="AM257" s="121">
        <f>IFERROR($M257+VLOOKUP($L257,'Voyage days'!$F$382:$H$446,3,FALSE),"")</f>
        <v>45836</v>
      </c>
      <c r="AN257" s="121">
        <f>IFERROR($N257+VLOOKUP($L257,'Voyage days'!$F$382:$H$446,3,FALSE),"")</f>
        <v>45838</v>
      </c>
      <c r="AO257" s="120" t="str">
        <f t="shared" si="46"/>
        <v/>
      </c>
      <c r="AP257" s="121" t="str">
        <f>IFERROR($M257+VLOOKUP($L257,'Voyage days'!$F$483:$H$538,3,FALSE),"")</f>
        <v/>
      </c>
      <c r="AQ257" s="121" t="str">
        <f>IFERROR($N257+VLOOKUP($L257,'Voyage days'!$F$483:$H$538,3,FALSE),"")</f>
        <v/>
      </c>
      <c r="AR257" s="120" t="str">
        <f t="shared" si="47"/>
        <v/>
      </c>
      <c r="AS257" s="121" t="str">
        <f>IFERROR($M257+VLOOKUP($L257,'Voyage days'!$F$540:$H$613,3,FALSE),"")</f>
        <v/>
      </c>
      <c r="AT257" s="121" t="str">
        <f>IFERROR($N257+VLOOKUP($L257,'Voyage days'!$F$540:$H$613,3,FALSE),"")</f>
        <v/>
      </c>
      <c r="AU257" s="120" t="str">
        <f t="shared" si="48"/>
        <v/>
      </c>
      <c r="AV257" s="121" t="str">
        <f>IFERROR($M257+VLOOKUP($L257,'Voyage days'!$L$483:$N$535,3,FALSE),"")</f>
        <v/>
      </c>
      <c r="AW257" s="121" t="str">
        <f>IFERROR($N257+VLOOKUP($L257,'Voyage days'!$L$483:$N$535,3,FALSE),"")</f>
        <v/>
      </c>
      <c r="AX257" s="120" t="str">
        <f t="shared" si="49"/>
        <v/>
      </c>
      <c r="AY257" s="122" t="str">
        <f>IFERROR($M257+VLOOKUP($L257,'Voyage days'!$F$620:$H$646,3,FALSE),"")</f>
        <v/>
      </c>
      <c r="AZ257" s="122" t="str">
        <f>IFERROR($N257+VLOOKUP($L257,'Voyage days'!$F$620:$H$646,3,FALSE),"")</f>
        <v/>
      </c>
      <c r="BA257" s="120" t="str">
        <f t="shared" si="50"/>
        <v/>
      </c>
      <c r="BB257" s="123" t="str">
        <f>IFERROR($M257+VLOOKUP($L257,'Voyage days'!$F$702:$H$727,3,FALSE),"")</f>
        <v/>
      </c>
      <c r="BC257" s="120" t="str">
        <f t="shared" si="51"/>
        <v/>
      </c>
      <c r="BD257" s="122" t="str">
        <f>IFERROR($M257+VLOOKUP($L257,'Voyage days'!$F$807:$H$878,3,FALSE),"")</f>
        <v/>
      </c>
      <c r="BE257" s="122" t="str">
        <f>IFERROR($N257+VLOOKUP($L257,'Voyage days'!$F$807:$H$878,3,FALSE),"")</f>
        <v/>
      </c>
      <c r="BF257" s="609"/>
      <c r="BG257" s="609"/>
      <c r="BH257" s="609"/>
      <c r="BI257" s="609"/>
      <c r="BJ257" s="609"/>
      <c r="BK257" s="609"/>
      <c r="BL257" s="609"/>
      <c r="BM257" s="609"/>
    </row>
    <row r="258" ht="15.75" customHeight="1">
      <c r="A258" s="100" t="s">
        <v>254</v>
      </c>
      <c r="B258" s="101">
        <v>39736.0</v>
      </c>
      <c r="C258" s="1045">
        <v>82200.0</v>
      </c>
      <c r="D258" s="104" t="s">
        <v>1687</v>
      </c>
      <c r="E258" s="103"/>
      <c r="F258" s="1109">
        <v>44155.0</v>
      </c>
      <c r="G258" s="103" t="s">
        <v>2907</v>
      </c>
      <c r="H258" s="103"/>
      <c r="I258" s="185" t="s">
        <v>1151</v>
      </c>
      <c r="J258" s="185"/>
      <c r="K258" s="336" t="str">
        <f t="shared" si="52"/>
        <v>Update</v>
      </c>
      <c r="L258" s="108" t="s">
        <v>755</v>
      </c>
      <c r="M258" s="109">
        <v>45795.0</v>
      </c>
      <c r="N258" s="109">
        <v>45796.0</v>
      </c>
      <c r="O258" s="110"/>
      <c r="P258" s="187" t="s">
        <v>3180</v>
      </c>
      <c r="Q258" s="187"/>
      <c r="R258" s="185"/>
      <c r="S258" s="112" t="s">
        <v>934</v>
      </c>
      <c r="T258" s="113">
        <v>45782.0</v>
      </c>
      <c r="U258" s="114" t="str">
        <f>IF(V258="","No AIS",VLOOKUP(V258,'Voyage days'!$A$3:$B$1480,2,FALSE))</f>
        <v>USG</v>
      </c>
      <c r="V258" s="115" t="str">
        <f>IF(VLOOKUP(A258,'1) Kpler'!$E$2:$P$1000,8, FALSE)="","",VLOOKUP(A258,'1) Kpler'!$E$2:$P$1000,8, FALSE))</f>
        <v>Houston</v>
      </c>
      <c r="W258" s="116">
        <f>IF(VLOOKUP(A258,'1) Kpler'!$E$2:$P$1000,9,FALSE)="","",VLOOKUP(A258,'1) Kpler'!$E$2:$P$1000,9,FALSE))</f>
        <v>46132.48681</v>
      </c>
      <c r="X258" s="115" t="str">
        <f>VLOOKUP(A258,'1) Kpler'!$E$2:$I$1000,4,FALSE)</f>
        <v>ballast</v>
      </c>
      <c r="Y258" s="160" t="str">
        <f t="shared" si="40"/>
        <v>29-30 May</v>
      </c>
      <c r="Z258" s="120" t="str">
        <f t="shared" si="41"/>
        <v>29-30 May</v>
      </c>
      <c r="AA258" s="121">
        <f>IFERROR($M258+VLOOKUP($L258,'Voyage days'!$F$38:$H$89,3,FALSE),"")</f>
        <v>45806</v>
      </c>
      <c r="AB258" s="121">
        <f>IFERROR(N258+VLOOKUP($L258,'Voyage days'!$F$38:$H$89,3,FALSE),"")</f>
        <v>45807</v>
      </c>
      <c r="AC258" s="120" t="str">
        <f t="shared" si="42"/>
        <v>26-27 Jun</v>
      </c>
      <c r="AD258" s="121">
        <f>IFERROR($M258+VLOOKUP($L258,'Voyage days'!$F$94:$H$193,3,FALSE),"")</f>
        <v>45834</v>
      </c>
      <c r="AE258" s="121">
        <f>IFERROR($N258+VLOOKUP($L258,'Voyage days'!$F$94:$H$193,3,FALSE),"")</f>
        <v>45835</v>
      </c>
      <c r="AF258" s="120" t="str">
        <f t="shared" si="43"/>
        <v>24-25 Jun</v>
      </c>
      <c r="AG258" s="121">
        <f>IFERROR($M258+VLOOKUP($L258,'Voyage days'!$F$203:$H$256,3,FALSE),"")</f>
        <v>45832</v>
      </c>
      <c r="AH258" s="121">
        <f>IFERROR($N258+VLOOKUP($L258,'Voyage days'!$F$203:$H$256,3,FALSE),"")</f>
        <v>45833</v>
      </c>
      <c r="AI258" s="120" t="str">
        <f t="shared" si="44"/>
        <v>07-08 Jun</v>
      </c>
      <c r="AJ258" s="121">
        <f>IFERROR($M258+VLOOKUP($L258,'Voyage days'!$F$294:$H$377,3,FALSE),"")</f>
        <v>45815</v>
      </c>
      <c r="AK258" s="121">
        <f>IFERROR($N258+VLOOKUP($L258,'Voyage days'!$F$294:$H$377,3,FALSE),"")</f>
        <v>45816</v>
      </c>
      <c r="AL258" s="120" t="str">
        <f t="shared" si="45"/>
        <v>16-17 Jun</v>
      </c>
      <c r="AM258" s="121">
        <f>IFERROR($M258+VLOOKUP($L258,'Voyage days'!$F$382:$H$446,3,FALSE),"")</f>
        <v>45824</v>
      </c>
      <c r="AN258" s="121">
        <f>IFERROR($N258+VLOOKUP($L258,'Voyage days'!$F$382:$H$446,3,FALSE),"")</f>
        <v>45825</v>
      </c>
      <c r="AO258" s="120" t="str">
        <f t="shared" si="46"/>
        <v>27-28 May</v>
      </c>
      <c r="AP258" s="121">
        <f>IFERROR($M258+VLOOKUP($L258,'Voyage days'!$F$483:$H$538,3,FALSE),"")</f>
        <v>45804</v>
      </c>
      <c r="AQ258" s="121">
        <f>IFERROR($N258+VLOOKUP($L258,'Voyage days'!$F$483:$H$538,3,FALSE),"")</f>
        <v>45805</v>
      </c>
      <c r="AR258" s="120" t="str">
        <f t="shared" si="47"/>
        <v>22-23 May</v>
      </c>
      <c r="AS258" s="121">
        <f>IFERROR($M258+VLOOKUP($L258,'Voyage days'!$F$540:$H$613,3,FALSE),"")</f>
        <v>45799</v>
      </c>
      <c r="AT258" s="121">
        <f>IFERROR($N258+VLOOKUP($L258,'Voyage days'!$F$540:$H$613,3,FALSE),"")</f>
        <v>45800</v>
      </c>
      <c r="AU258" s="120" t="str">
        <f t="shared" si="48"/>
        <v/>
      </c>
      <c r="AV258" s="121" t="str">
        <f>IFERROR($M258+VLOOKUP($L258,'Voyage days'!$L$483:$N$535,3,FALSE),"")</f>
        <v/>
      </c>
      <c r="AW258" s="121" t="str">
        <f>IFERROR($N258+VLOOKUP($L258,'Voyage days'!$L$483:$N$535,3,FALSE),"")</f>
        <v/>
      </c>
      <c r="AX258" s="120" t="str">
        <f t="shared" si="49"/>
        <v/>
      </c>
      <c r="AY258" s="122" t="str">
        <f>IFERROR($M258+VLOOKUP($L258,'Voyage days'!$F$620:$H$646,3,FALSE),"")</f>
        <v/>
      </c>
      <c r="AZ258" s="122" t="str">
        <f>IFERROR($N258+VLOOKUP($L258,'Voyage days'!$F$620:$H$646,3,FALSE),"")</f>
        <v/>
      </c>
      <c r="BA258" s="120" t="str">
        <f t="shared" si="50"/>
        <v>26-25 Jun</v>
      </c>
      <c r="BB258" s="123">
        <f>IFERROR($M258+VLOOKUP($L258,'Voyage days'!$F$702:$H$727,3,FALSE),"")</f>
        <v>45803</v>
      </c>
      <c r="BC258" s="120" t="str">
        <f t="shared" si="51"/>
        <v>24-25 Jun</v>
      </c>
      <c r="BD258" s="122">
        <f>IFERROR($M258+VLOOKUP($L258,'Voyage days'!$F$807:$H$878,3,FALSE),"")</f>
        <v>45832</v>
      </c>
      <c r="BE258" s="122">
        <f>IFERROR($N258+VLOOKUP($L258,'Voyage days'!$F$807:$H$878,3,FALSE),"")</f>
        <v>45833</v>
      </c>
      <c r="BF258" s="609"/>
      <c r="BG258" s="609"/>
      <c r="BH258" s="609"/>
      <c r="BI258" s="609"/>
      <c r="BJ258" s="609"/>
      <c r="BK258" s="609"/>
      <c r="BL258" s="609"/>
      <c r="BM258" s="609"/>
    </row>
    <row r="259" ht="15.75" customHeight="1">
      <c r="A259" s="100" t="s">
        <v>255</v>
      </c>
      <c r="B259" s="101">
        <v>41527.0</v>
      </c>
      <c r="C259" s="1045">
        <v>82000.0</v>
      </c>
      <c r="D259" s="104" t="s">
        <v>1687</v>
      </c>
      <c r="E259" s="103"/>
      <c r="F259" s="604">
        <v>44398.0</v>
      </c>
      <c r="G259" s="103" t="s">
        <v>2907</v>
      </c>
      <c r="H259" s="103"/>
      <c r="I259" s="185" t="s">
        <v>1151</v>
      </c>
      <c r="J259" s="185"/>
      <c r="K259" s="336" t="str">
        <f t="shared" si="52"/>
        <v>Update</v>
      </c>
      <c r="L259" s="108" t="s">
        <v>680</v>
      </c>
      <c r="M259" s="109">
        <v>45789.0</v>
      </c>
      <c r="N259" s="109">
        <v>45791.0</v>
      </c>
      <c r="O259" s="191"/>
      <c r="P259" s="304"/>
      <c r="Q259" s="333"/>
      <c r="R259" s="108" t="s">
        <v>3181</v>
      </c>
      <c r="S259" s="112" t="s">
        <v>2962</v>
      </c>
      <c r="T259" s="113">
        <v>45784.0</v>
      </c>
      <c r="U259" s="114" t="str">
        <f>IF(V259="","No AIS",VLOOKUP(V259,'Voyage days'!$A$3:$B$1480,2,FALSE))</f>
        <v>Korea + 4</v>
      </c>
      <c r="V259" s="115" t="str">
        <f>IF(VLOOKUP(A259,'1) Kpler'!$E$2:$P$1000,8, FALSE)="","",VLOOKUP(A259,'1) Kpler'!$E$2:$P$1000,8, FALSE))</f>
        <v>Ulsan</v>
      </c>
      <c r="W259" s="116">
        <f>IF(VLOOKUP(A259,'1) Kpler'!$E$2:$P$1000,9,FALSE)="","",VLOOKUP(A259,'1) Kpler'!$E$2:$P$1000,9,FALSE))</f>
        <v>46159.95833</v>
      </c>
      <c r="X259" s="115" t="str">
        <f>VLOOKUP(A259,'1) Kpler'!$E$2:$I$1000,4,FALSE)</f>
        <v>loaded</v>
      </c>
      <c r="Y259" s="117" t="str">
        <f t="shared" si="40"/>
        <v/>
      </c>
      <c r="Z259" s="120" t="str">
        <f t="shared" si="41"/>
        <v/>
      </c>
      <c r="AA259" s="121" t="str">
        <f>IFERROR($M259+VLOOKUP($L259,'Voyage days'!$F$38:$H$89,3,FALSE),"")</f>
        <v/>
      </c>
      <c r="AB259" s="121" t="str">
        <f>IFERROR(N259+VLOOKUP($L259,'Voyage days'!$F$38:$H$89,3,FALSE),"")</f>
        <v/>
      </c>
      <c r="AC259" s="120" t="str">
        <f t="shared" si="42"/>
        <v>12-14 May</v>
      </c>
      <c r="AD259" s="121">
        <f>IFERROR($M259+VLOOKUP($L259,'Voyage days'!$F$94:$H$193,3,FALSE),"")</f>
        <v>45789</v>
      </c>
      <c r="AE259" s="121">
        <f>IFERROR($N259+VLOOKUP($L259,'Voyage days'!$F$94:$H$193,3,FALSE),"")</f>
        <v>45791</v>
      </c>
      <c r="AF259" s="120" t="str">
        <f t="shared" si="43"/>
        <v>12-14 May</v>
      </c>
      <c r="AG259" s="121">
        <f>IFERROR($M259+VLOOKUP($L259,'Voyage days'!$F$203:$H$256,3,FALSE),"")</f>
        <v>45789</v>
      </c>
      <c r="AH259" s="121">
        <f>IFERROR($N259+VLOOKUP($L259,'Voyage days'!$F$203:$H$256,3,FALSE),"")</f>
        <v>45791</v>
      </c>
      <c r="AI259" s="120" t="str">
        <f t="shared" si="44"/>
        <v/>
      </c>
      <c r="AJ259" s="121" t="str">
        <f>IFERROR($M259+VLOOKUP($L259,'Voyage days'!$F$294:$H$377,3,FALSE),"")</f>
        <v/>
      </c>
      <c r="AK259" s="121" t="str">
        <f>IFERROR($N259+VLOOKUP($L259,'Voyage days'!$F$294:$H$377,3,FALSE),"")</f>
        <v/>
      </c>
      <c r="AL259" s="120" t="str">
        <f t="shared" si="45"/>
        <v>01-03 Jun</v>
      </c>
      <c r="AM259" s="121">
        <f>IFERROR($M259+VLOOKUP($L259,'Voyage days'!$F$382:$H$446,3,FALSE),"")</f>
        <v>45809</v>
      </c>
      <c r="AN259" s="121">
        <f>IFERROR($N259+VLOOKUP($L259,'Voyage days'!$F$382:$H$446,3,FALSE),"")</f>
        <v>45811</v>
      </c>
      <c r="AO259" s="120" t="str">
        <f t="shared" si="46"/>
        <v/>
      </c>
      <c r="AP259" s="121" t="str">
        <f>IFERROR($M259+VLOOKUP($L259,'Voyage days'!$F$483:$H$538,3,FALSE),"")</f>
        <v/>
      </c>
      <c r="AQ259" s="121" t="str">
        <f>IFERROR($N259+VLOOKUP($L259,'Voyage days'!$F$483:$H$538,3,FALSE),"")</f>
        <v/>
      </c>
      <c r="AR259" s="120" t="str">
        <f t="shared" si="47"/>
        <v/>
      </c>
      <c r="AS259" s="121" t="str">
        <f>IFERROR($M259+VLOOKUP($L259,'Voyage days'!$F$540:$H$613,3,FALSE),"")</f>
        <v/>
      </c>
      <c r="AT259" s="121" t="str">
        <f>IFERROR($N259+VLOOKUP($L259,'Voyage days'!$F$540:$H$613,3,FALSE),"")</f>
        <v/>
      </c>
      <c r="AU259" s="120" t="str">
        <f t="shared" si="48"/>
        <v/>
      </c>
      <c r="AV259" s="121" t="str">
        <f>IFERROR($M259+VLOOKUP($L259,'Voyage days'!$L$483:$N$535,3,FALSE),"")</f>
        <v/>
      </c>
      <c r="AW259" s="121" t="str">
        <f>IFERROR($N259+VLOOKUP($L259,'Voyage days'!$L$483:$N$535,3,FALSE),"")</f>
        <v/>
      </c>
      <c r="AX259" s="120" t="str">
        <f t="shared" si="49"/>
        <v/>
      </c>
      <c r="AY259" s="122" t="str">
        <f>IFERROR($M259+VLOOKUP($L259,'Voyage days'!$F$620:$H$646,3,FALSE),"")</f>
        <v/>
      </c>
      <c r="AZ259" s="122" t="str">
        <f>IFERROR($N259+VLOOKUP($L259,'Voyage days'!$F$620:$H$646,3,FALSE),"")</f>
        <v/>
      </c>
      <c r="BA259" s="120" t="str">
        <f t="shared" si="50"/>
        <v/>
      </c>
      <c r="BB259" s="123" t="str">
        <f>IFERROR($M259+VLOOKUP($L259,'Voyage days'!$F$702:$H$727,3,FALSE),"")</f>
        <v/>
      </c>
      <c r="BC259" s="120" t="str">
        <f t="shared" si="51"/>
        <v/>
      </c>
      <c r="BD259" s="122" t="str">
        <f>IFERROR($M259+VLOOKUP($L259,'Voyage days'!$F$807:$H$878,3,FALSE),"")</f>
        <v/>
      </c>
      <c r="BE259" s="122" t="str">
        <f>IFERROR($N259+VLOOKUP($L259,'Voyage days'!$F$807:$H$878,3,FALSE),"")</f>
        <v/>
      </c>
      <c r="BF259" s="609"/>
      <c r="BG259" s="609"/>
      <c r="BH259" s="609"/>
      <c r="BI259" s="609"/>
      <c r="BJ259" s="609"/>
      <c r="BK259" s="609"/>
      <c r="BL259" s="609"/>
      <c r="BM259" s="609"/>
    </row>
    <row r="260" ht="15.75" customHeight="1">
      <c r="A260" s="100" t="s">
        <v>256</v>
      </c>
      <c r="B260" s="148">
        <v>2018.0</v>
      </c>
      <c r="C260" s="1045">
        <v>84000.0</v>
      </c>
      <c r="D260" s="104" t="s">
        <v>1687</v>
      </c>
      <c r="E260" s="103" t="s">
        <v>689</v>
      </c>
      <c r="F260" s="1109">
        <v>43910.0</v>
      </c>
      <c r="G260" s="103" t="s">
        <v>2907</v>
      </c>
      <c r="H260" s="103"/>
      <c r="I260" s="185" t="s">
        <v>1151</v>
      </c>
      <c r="J260" s="185"/>
      <c r="K260" s="336" t="str">
        <f t="shared" si="52"/>
        <v>Update</v>
      </c>
      <c r="L260" s="108" t="s">
        <v>668</v>
      </c>
      <c r="M260" s="109">
        <v>45818.0</v>
      </c>
      <c r="N260" s="109">
        <v>45820.0</v>
      </c>
      <c r="O260" s="110"/>
      <c r="P260" s="108" t="s">
        <v>3182</v>
      </c>
      <c r="Q260" s="185"/>
      <c r="R260" s="108" t="s">
        <v>3176</v>
      </c>
      <c r="S260" s="112" t="s">
        <v>2962</v>
      </c>
      <c r="T260" s="113">
        <v>45784.0</v>
      </c>
      <c r="U260" s="114" t="str">
        <f>IF(V260="","No AIS",VLOOKUP(V260,'Voyage days'!$A$3:$B$1480,2,FALSE))</f>
        <v>Korea + 4</v>
      </c>
      <c r="V260" s="115" t="str">
        <f>IF(VLOOKUP(A260,'1) Kpler'!$E$2:$P$1000,8, FALSE)="","",VLOOKUP(A260,'1) Kpler'!$E$2:$P$1000,8, FALSE))</f>
        <v>SK Gas Pyeongtaek</v>
      </c>
      <c r="W260" s="116">
        <f>IF(VLOOKUP(A260,'1) Kpler'!$E$2:$P$1000,9,FALSE)="","",VLOOKUP(A260,'1) Kpler'!$E$2:$P$1000,9,FALSE))</f>
        <v>46144.375</v>
      </c>
      <c r="X260" s="115" t="str">
        <f>VLOOKUP(A260,'1) Kpler'!$E$2:$I$1000,4,FALSE)</f>
        <v>loaded</v>
      </c>
      <c r="Y260" s="160" t="str">
        <f t="shared" si="40"/>
        <v>28-30 Jun</v>
      </c>
      <c r="Z260" s="120" t="str">
        <f t="shared" si="41"/>
        <v>28-30 Jun</v>
      </c>
      <c r="AA260" s="121">
        <f>IFERROR($M260+VLOOKUP($L260,'Voyage days'!$F$38:$H$89,3,FALSE),"")</f>
        <v>45836</v>
      </c>
      <c r="AB260" s="121">
        <f>IFERROR(N260+VLOOKUP($L260,'Voyage days'!$F$38:$H$89,3,FALSE),"")</f>
        <v>45838</v>
      </c>
      <c r="AC260" s="120" t="str">
        <f t="shared" si="42"/>
        <v>12-14 Jul</v>
      </c>
      <c r="AD260" s="121">
        <f>IFERROR($M260+VLOOKUP($L260,'Voyage days'!$F$94:$H$193,3,FALSE),"")</f>
        <v>45850</v>
      </c>
      <c r="AE260" s="121">
        <f>IFERROR($N260+VLOOKUP($L260,'Voyage days'!$F$94:$H$193,3,FALSE),"")</f>
        <v>45852</v>
      </c>
      <c r="AF260" s="120" t="str">
        <f t="shared" si="43"/>
        <v>22-24 Jul</v>
      </c>
      <c r="AG260" s="121">
        <f>IFERROR($M260+VLOOKUP($L260,'Voyage days'!$F$203:$H$256,3,FALSE),"")</f>
        <v>45860</v>
      </c>
      <c r="AH260" s="121">
        <f>IFERROR($N260+VLOOKUP($L260,'Voyage days'!$F$203:$H$256,3,FALSE),"")</f>
        <v>45862</v>
      </c>
      <c r="AI260" s="120" t="str">
        <f t="shared" si="44"/>
        <v>10-12 Jul</v>
      </c>
      <c r="AJ260" s="121">
        <f>IFERROR($M260+VLOOKUP($L260,'Voyage days'!$F$294:$H$377,3,FALSE),"")</f>
        <v>45848</v>
      </c>
      <c r="AK260" s="121">
        <f>IFERROR($N260+VLOOKUP($L260,'Voyage days'!$F$294:$H$377,3,FALSE),"")</f>
        <v>45850</v>
      </c>
      <c r="AL260" s="120" t="str">
        <f t="shared" si="45"/>
        <v>16-18 Jul</v>
      </c>
      <c r="AM260" s="121">
        <f>IFERROR($M260+VLOOKUP($L260,'Voyage days'!$F$382:$H$446,3,FALSE),"")</f>
        <v>45854</v>
      </c>
      <c r="AN260" s="121">
        <f>IFERROR($N260+VLOOKUP($L260,'Voyage days'!$F$382:$H$446,3,FALSE),"")</f>
        <v>45856</v>
      </c>
      <c r="AO260" s="120" t="str">
        <f t="shared" si="46"/>
        <v>23-25 Jun</v>
      </c>
      <c r="AP260" s="121">
        <f>IFERROR($M260+VLOOKUP($L260,'Voyage days'!$F$483:$H$538,3,FALSE),"")</f>
        <v>45831</v>
      </c>
      <c r="AQ260" s="121">
        <f>IFERROR($N260+VLOOKUP($L260,'Voyage days'!$F$483:$H$538,3,FALSE),"")</f>
        <v>45833</v>
      </c>
      <c r="AR260" s="120" t="str">
        <f t="shared" si="47"/>
        <v>18-20 Jun</v>
      </c>
      <c r="AS260" s="121">
        <f>IFERROR($M260+VLOOKUP($L260,'Voyage days'!$F$540:$H$613,3,FALSE),"")</f>
        <v>45826.25</v>
      </c>
      <c r="AT260" s="121">
        <f>IFERROR($N260+VLOOKUP($L260,'Voyage days'!$F$540:$H$613,3,FALSE),"")</f>
        <v>45828.25</v>
      </c>
      <c r="AU260" s="120" t="str">
        <f t="shared" si="48"/>
        <v/>
      </c>
      <c r="AV260" s="121" t="str">
        <f>IFERROR($M260+VLOOKUP($L260,'Voyage days'!$L$483:$N$535,3,FALSE),"")</f>
        <v/>
      </c>
      <c r="AW260" s="121" t="str">
        <f>IFERROR($N260+VLOOKUP($L260,'Voyage days'!$L$483:$N$535,3,FALSE),"")</f>
        <v/>
      </c>
      <c r="AX260" s="120" t="str">
        <f t="shared" si="49"/>
        <v>21-23 Jun</v>
      </c>
      <c r="AY260" s="122">
        <f>IFERROR($M260+VLOOKUP($L260,'Voyage days'!$F$620:$H$646,3,FALSE),"")</f>
        <v>45829</v>
      </c>
      <c r="AZ260" s="122">
        <f>IFERROR($N260+VLOOKUP($L260,'Voyage days'!$F$620:$H$646,3,FALSE),"")</f>
        <v>45831</v>
      </c>
      <c r="BA260" s="120" t="str">
        <f t="shared" si="50"/>
        <v>18-28 Jul</v>
      </c>
      <c r="BB260" s="123">
        <f>IFERROR($M260+VLOOKUP($L260,'Voyage days'!$F$702:$H$727,3,FALSE),"")</f>
        <v>45826.25</v>
      </c>
      <c r="BC260" s="120" t="str">
        <f t="shared" si="51"/>
        <v>26-28 Jul</v>
      </c>
      <c r="BD260" s="122">
        <f>IFERROR($M260+VLOOKUP($L260,'Voyage days'!$F$807:$H$878,3,FALSE),"")</f>
        <v>45864</v>
      </c>
      <c r="BE260" s="122">
        <f>IFERROR($N260+VLOOKUP($L260,'Voyage days'!$F$807:$H$878,3,FALSE),"")</f>
        <v>45866</v>
      </c>
      <c r="BF260" s="609"/>
      <c r="BG260" s="609"/>
      <c r="BH260" s="609"/>
      <c r="BI260" s="609"/>
      <c r="BJ260" s="609"/>
      <c r="BK260" s="609"/>
      <c r="BL260" s="609"/>
      <c r="BM260" s="609"/>
    </row>
    <row r="261" ht="15.75" customHeight="1">
      <c r="A261" s="473" t="s">
        <v>252</v>
      </c>
      <c r="B261" s="222">
        <v>41353.0</v>
      </c>
      <c r="C261" s="1101">
        <v>82000.0</v>
      </c>
      <c r="D261" s="168" t="s">
        <v>1687</v>
      </c>
      <c r="E261" s="223" t="s">
        <v>689</v>
      </c>
      <c r="F261" s="1188">
        <v>44031.0</v>
      </c>
      <c r="G261" s="223" t="s">
        <v>2907</v>
      </c>
      <c r="H261" s="223"/>
      <c r="I261" s="463" t="s">
        <v>1151</v>
      </c>
      <c r="J261" s="312" t="s">
        <v>3177</v>
      </c>
      <c r="K261" s="469" t="str">
        <f t="shared" si="52"/>
        <v>Update</v>
      </c>
      <c r="L261" s="172" t="s">
        <v>680</v>
      </c>
      <c r="M261" s="173">
        <v>45828.0</v>
      </c>
      <c r="N261" s="173">
        <v>45829.0</v>
      </c>
      <c r="O261" s="226"/>
      <c r="P261" s="532"/>
      <c r="Q261" s="312"/>
      <c r="R261" s="172" t="s">
        <v>3183</v>
      </c>
      <c r="S261" s="175" t="s">
        <v>934</v>
      </c>
      <c r="T261" s="176">
        <v>45786.0</v>
      </c>
      <c r="U261" s="177" t="str">
        <f>IF(V261="","No AIS",VLOOKUP(V261,'Voyage days'!$A$3:$B$1480,2,FALSE))</f>
        <v>Singapore</v>
      </c>
      <c r="V261" s="178" t="str">
        <f>IF(VLOOKUP(A261,'1) Kpler'!$E$2:$P$1000,8, FALSE)="","",VLOOKUP(A261,'1) Kpler'!$E$2:$P$1000,8, FALSE))</f>
        <v>Singapore</v>
      </c>
      <c r="W261" s="179">
        <f>IF(VLOOKUP(A261,'1) Kpler'!$E$2:$P$1000,9,FALSE)="","",VLOOKUP(A261,'1) Kpler'!$E$2:$P$1000,9,FALSE))</f>
        <v>46139.83333</v>
      </c>
      <c r="X261" s="178" t="str">
        <f>VLOOKUP(A261,'1) Kpler'!$E$2:$I$1000,4,FALSE)</f>
        <v>loaded</v>
      </c>
      <c r="Y261" s="180" t="str">
        <f t="shared" si="40"/>
        <v/>
      </c>
      <c r="Z261" s="120" t="str">
        <f t="shared" si="41"/>
        <v/>
      </c>
      <c r="AA261" s="121" t="str">
        <f>IFERROR($M261+VLOOKUP($L261,'Voyage days'!$F$38:$H$89,3,FALSE),"")</f>
        <v/>
      </c>
      <c r="AB261" s="121" t="str">
        <f>IFERROR(N261+VLOOKUP($L261,'Voyage days'!$F$38:$H$89,3,FALSE),"")</f>
        <v/>
      </c>
      <c r="AC261" s="120" t="str">
        <f t="shared" si="42"/>
        <v>20-21 Jun</v>
      </c>
      <c r="AD261" s="121">
        <f>IFERROR($M261+VLOOKUP($L261,'Voyage days'!$F$94:$H$193,3,FALSE),"")</f>
        <v>45828</v>
      </c>
      <c r="AE261" s="121">
        <f>IFERROR($N261+VLOOKUP($L261,'Voyage days'!$F$94:$H$193,3,FALSE),"")</f>
        <v>45829</v>
      </c>
      <c r="AF261" s="120" t="str">
        <f t="shared" si="43"/>
        <v>20-21 Jun</v>
      </c>
      <c r="AG261" s="121">
        <f>IFERROR($M261+VLOOKUP($L261,'Voyage days'!$F$203:$H$256,3,FALSE),"")</f>
        <v>45828</v>
      </c>
      <c r="AH261" s="121">
        <f>IFERROR($N261+VLOOKUP($L261,'Voyage days'!$F$203:$H$256,3,FALSE),"")</f>
        <v>45829</v>
      </c>
      <c r="AI261" s="120" t="str">
        <f t="shared" si="44"/>
        <v/>
      </c>
      <c r="AJ261" s="121" t="str">
        <f>IFERROR($M261+VLOOKUP($L261,'Voyage days'!$F$294:$H$377,3,FALSE),"")</f>
        <v/>
      </c>
      <c r="AK261" s="121" t="str">
        <f>IFERROR($N261+VLOOKUP($L261,'Voyage days'!$F$294:$H$377,3,FALSE),"")</f>
        <v/>
      </c>
      <c r="AL261" s="120" t="str">
        <f t="shared" si="45"/>
        <v>10-11 Jul</v>
      </c>
      <c r="AM261" s="121">
        <f>IFERROR($M261+VLOOKUP($L261,'Voyage days'!$F$382:$H$446,3,FALSE),"")</f>
        <v>45848</v>
      </c>
      <c r="AN261" s="121">
        <f>IFERROR($N261+VLOOKUP($L261,'Voyage days'!$F$382:$H$446,3,FALSE),"")</f>
        <v>45849</v>
      </c>
      <c r="AO261" s="120" t="str">
        <f t="shared" si="46"/>
        <v/>
      </c>
      <c r="AP261" s="121" t="str">
        <f>IFERROR($M261+VLOOKUP($L261,'Voyage days'!$F$483:$H$538,3,FALSE),"")</f>
        <v/>
      </c>
      <c r="AQ261" s="121" t="str">
        <f>IFERROR($N261+VLOOKUP($L261,'Voyage days'!$F$483:$H$538,3,FALSE),"")</f>
        <v/>
      </c>
      <c r="AR261" s="120" t="str">
        <f t="shared" si="47"/>
        <v/>
      </c>
      <c r="AS261" s="121" t="str">
        <f>IFERROR($M261+VLOOKUP($L261,'Voyage days'!$F$540:$H$613,3,FALSE),"")</f>
        <v/>
      </c>
      <c r="AT261" s="121" t="str">
        <f>IFERROR($N261+VLOOKUP($L261,'Voyage days'!$F$540:$H$613,3,FALSE),"")</f>
        <v/>
      </c>
      <c r="AU261" s="120" t="str">
        <f t="shared" si="48"/>
        <v/>
      </c>
      <c r="AV261" s="121" t="str">
        <f>IFERROR($M261+VLOOKUP($L261,'Voyage days'!$L$483:$N$535,3,FALSE),"")</f>
        <v/>
      </c>
      <c r="AW261" s="121" t="str">
        <f>IFERROR($N261+VLOOKUP($L261,'Voyage days'!$L$483:$N$535,3,FALSE),"")</f>
        <v/>
      </c>
      <c r="AX261" s="120" t="str">
        <f t="shared" si="49"/>
        <v/>
      </c>
      <c r="AY261" s="122" t="str">
        <f>IFERROR($M261+VLOOKUP($L261,'Voyage days'!$F$620:$H$646,3,FALSE),"")</f>
        <v/>
      </c>
      <c r="AZ261" s="122" t="str">
        <f>IFERROR($N261+VLOOKUP($L261,'Voyage days'!$F$620:$H$646,3,FALSE),"")</f>
        <v/>
      </c>
      <c r="BA261" s="120" t="str">
        <f t="shared" si="50"/>
        <v/>
      </c>
      <c r="BB261" s="123" t="str">
        <f>IFERROR($M261+VLOOKUP($L261,'Voyage days'!$F$702:$H$727,3,FALSE),"")</f>
        <v/>
      </c>
      <c r="BC261" s="120" t="str">
        <f t="shared" si="51"/>
        <v/>
      </c>
      <c r="BD261" s="122" t="str">
        <f>IFERROR($M261+VLOOKUP($L261,'Voyage days'!$F$807:$H$878,3,FALSE),"")</f>
        <v/>
      </c>
      <c r="BE261" s="122" t="str">
        <f>IFERROR($N261+VLOOKUP($L261,'Voyage days'!$F$807:$H$878,3,FALSE),"")</f>
        <v/>
      </c>
      <c r="BF261" s="609"/>
      <c r="BG261" s="609"/>
      <c r="BH261" s="609"/>
      <c r="BI261" s="609"/>
      <c r="BJ261" s="609"/>
      <c r="BK261" s="609"/>
      <c r="BL261" s="609"/>
      <c r="BM261" s="609"/>
    </row>
    <row r="262">
      <c r="A262" s="359" t="s">
        <v>163</v>
      </c>
      <c r="B262" s="222">
        <v>42377.0</v>
      </c>
      <c r="C262" s="1101">
        <v>83000.0</v>
      </c>
      <c r="D262" s="282" t="s">
        <v>1687</v>
      </c>
      <c r="E262" s="374" t="s">
        <v>689</v>
      </c>
      <c r="F262" s="1103">
        <v>44307.0</v>
      </c>
      <c r="G262" s="1190">
        <v>46447.0</v>
      </c>
      <c r="H262" s="374"/>
      <c r="I262" s="597" t="s">
        <v>3184</v>
      </c>
      <c r="J262" s="368" t="s">
        <v>2984</v>
      </c>
      <c r="K262" s="481" t="str">
        <f t="shared" si="52"/>
        <v>Update</v>
      </c>
      <c r="L262" s="285" t="s">
        <v>758</v>
      </c>
      <c r="M262" s="367">
        <v>45795.0</v>
      </c>
      <c r="N262" s="367">
        <v>45797.0</v>
      </c>
      <c r="O262" s="1181"/>
      <c r="P262" s="362"/>
      <c r="Q262" s="484"/>
      <c r="R262" s="285" t="s">
        <v>3185</v>
      </c>
      <c r="S262" s="358" t="s">
        <v>2962</v>
      </c>
      <c r="T262" s="486">
        <v>45784.0</v>
      </c>
      <c r="U262" s="177" t="str">
        <f>IF(V262="","No AIS",VLOOKUP(V262,'Voyage days'!$A$3:$B$1480,2,FALSE))</f>
        <v>South China + 4</v>
      </c>
      <c r="V262" s="177" t="str">
        <f>IF(VLOOKUP(A262,'1) Kpler'!$E$2:$P$1000,8, FALSE)="","",VLOOKUP(A262,'1) Kpler'!$E$2:$P$1000,8, FALSE))</f>
        <v>Guangzhou</v>
      </c>
      <c r="W262" s="370">
        <f>IF(VLOOKUP(A262,'1) Kpler'!$E$2:$P$1000,9,FALSE)="","",VLOOKUP(A262,'1) Kpler'!$E$2:$P$1000,9,FALSE))</f>
        <v>46139.41667</v>
      </c>
      <c r="X262" s="177" t="str">
        <f>VLOOKUP(A262,'1) Kpler'!$E$2:$I$1000,4,FALSE)</f>
        <v>loaded</v>
      </c>
      <c r="Y262" s="163" t="str">
        <f t="shared" si="40"/>
        <v/>
      </c>
      <c r="Z262" s="163" t="str">
        <f t="shared" si="41"/>
        <v/>
      </c>
      <c r="AA262" s="122" t="str">
        <f>IFERROR($M262+VLOOKUP($L262,'Voyage days'!$F$38:$H$89,3,FALSE),"")</f>
        <v/>
      </c>
      <c r="AB262" s="122" t="str">
        <f>IFERROR(N262+VLOOKUP($L262,'Voyage days'!$F$38:$H$89,3,FALSE),"")</f>
        <v/>
      </c>
      <c r="AC262" s="163" t="str">
        <f t="shared" si="42"/>
        <v/>
      </c>
      <c r="AD262" s="122" t="str">
        <f>IFERROR($M262+VLOOKUP($L262,'Voyage days'!$F$94:$H$193,3,FALSE),"")</f>
        <v/>
      </c>
      <c r="AE262" s="122" t="str">
        <f>IFERROR($N262+VLOOKUP($L262,'Voyage days'!$F$94:$H$193,3,FALSE),"")</f>
        <v/>
      </c>
      <c r="AF262" s="163" t="str">
        <f t="shared" si="43"/>
        <v/>
      </c>
      <c r="AG262" s="122" t="str">
        <f>IFERROR($M262+VLOOKUP($L262,'Voyage days'!$F$203:$H$256,3,FALSE),"")</f>
        <v/>
      </c>
      <c r="AH262" s="122" t="str">
        <f>IFERROR($N262+VLOOKUP($L262,'Voyage days'!$F$203:$H$256,3,FALSE),"")</f>
        <v/>
      </c>
      <c r="AI262" s="163" t="str">
        <f t="shared" si="44"/>
        <v>18-20 May</v>
      </c>
      <c r="AJ262" s="122">
        <f>IFERROR($M262+VLOOKUP($L262,'Voyage days'!$F$294:$H$377,3,FALSE),"")</f>
        <v>45795</v>
      </c>
      <c r="AK262" s="122">
        <f>IFERROR($N262+VLOOKUP($L262,'Voyage days'!$F$294:$H$377,3,FALSE),"")</f>
        <v>45797</v>
      </c>
      <c r="AL262" s="163" t="str">
        <f t="shared" si="45"/>
        <v/>
      </c>
      <c r="AM262" s="122" t="str">
        <f>IFERROR($M262+VLOOKUP($L262,'Voyage days'!$F$382:$H$446,3,FALSE),"")</f>
        <v/>
      </c>
      <c r="AN262" s="122" t="str">
        <f>IFERROR($N262+VLOOKUP($L262,'Voyage days'!$F$382:$H$446,3,FALSE),"")</f>
        <v/>
      </c>
      <c r="AO262" s="163" t="str">
        <f t="shared" si="46"/>
        <v/>
      </c>
      <c r="AP262" s="122" t="str">
        <f>IFERROR($M262+VLOOKUP($L262,'Voyage days'!$F$483:$H$538,3,FALSE),"")</f>
        <v/>
      </c>
      <c r="AQ262" s="122" t="str">
        <f>IFERROR($N262+VLOOKUP($L262,'Voyage days'!$F$483:$H$538,3,FALSE),"")</f>
        <v/>
      </c>
      <c r="AR262" s="163" t="str">
        <f t="shared" si="47"/>
        <v/>
      </c>
      <c r="AS262" s="122" t="str">
        <f>IFERROR($M262+VLOOKUP($L262,'Voyage days'!$F$540:$H$613,3,FALSE),"")</f>
        <v/>
      </c>
      <c r="AT262" s="122" t="str">
        <f>IFERROR($N262+VLOOKUP($L262,'Voyage days'!$F$540:$H$613,3,FALSE),"")</f>
        <v/>
      </c>
      <c r="AU262" s="163" t="str">
        <f t="shared" si="48"/>
        <v/>
      </c>
      <c r="AV262" s="122" t="str">
        <f>IFERROR($M262+VLOOKUP($L262,'Voyage days'!$L$483:$N$535,3,FALSE),"")</f>
        <v/>
      </c>
      <c r="AW262" s="122" t="str">
        <f>IFERROR($N262+VLOOKUP($L262,'Voyage days'!$L$483:$N$535,3,FALSE),"")</f>
        <v/>
      </c>
      <c r="AX262" s="163" t="str">
        <f t="shared" si="49"/>
        <v/>
      </c>
      <c r="AY262" s="122" t="str">
        <f>IFERROR($M262+VLOOKUP($L262,'Voyage days'!$F$620:$H$646,3,FALSE),"")</f>
        <v/>
      </c>
      <c r="AZ262" s="122" t="str">
        <f>IFERROR($N262+VLOOKUP($L262,'Voyage days'!$F$620:$H$646,3,FALSE),"")</f>
        <v/>
      </c>
      <c r="BA262" s="163" t="str">
        <f t="shared" si="50"/>
        <v/>
      </c>
      <c r="BB262" s="123" t="str">
        <f>IFERROR($M262+VLOOKUP($L262,'Voyage days'!$F$702:$H$727,3,FALSE),"")</f>
        <v/>
      </c>
      <c r="BC262" s="163" t="str">
        <f t="shared" si="51"/>
        <v/>
      </c>
      <c r="BD262" s="122" t="str">
        <f>IFERROR($M262+VLOOKUP($L262,'Voyage days'!$F$807:$H$878,3,FALSE),"")</f>
        <v/>
      </c>
      <c r="BE262" s="122" t="str">
        <f>IFERROR($N262+VLOOKUP($L262,'Voyage days'!$F$807:$H$878,3,FALSE),"")</f>
        <v/>
      </c>
      <c r="BF262" s="609"/>
      <c r="BG262" s="609"/>
      <c r="BH262" s="609"/>
      <c r="BI262" s="609"/>
      <c r="BJ262" s="609"/>
      <c r="BK262" s="609"/>
      <c r="BL262" s="609"/>
      <c r="BM262" s="609"/>
    </row>
    <row r="263" ht="15.75" customHeight="1">
      <c r="A263" s="359" t="s">
        <v>484</v>
      </c>
      <c r="B263" s="360">
        <v>2022.0</v>
      </c>
      <c r="C263" s="1089">
        <v>90000.0</v>
      </c>
      <c r="D263" s="368" t="s">
        <v>1687</v>
      </c>
      <c r="E263" s="361" t="s">
        <v>666</v>
      </c>
      <c r="F263" s="1116"/>
      <c r="G263" s="1117">
        <v>46054.0</v>
      </c>
      <c r="H263" s="361"/>
      <c r="I263" s="363" t="s">
        <v>1170</v>
      </c>
      <c r="J263" s="368"/>
      <c r="K263" s="1069" t="str">
        <f t="shared" si="52"/>
        <v>NO AIS</v>
      </c>
      <c r="L263" s="368" t="s">
        <v>1171</v>
      </c>
      <c r="M263" s="367">
        <v>45788.0</v>
      </c>
      <c r="N263" s="367">
        <v>45792.0</v>
      </c>
      <c r="O263" s="368"/>
      <c r="P263" s="1191" t="s">
        <v>3186</v>
      </c>
      <c r="Q263" s="594"/>
      <c r="R263" s="285" t="s">
        <v>3187</v>
      </c>
      <c r="S263" s="358" t="s">
        <v>934</v>
      </c>
      <c r="T263" s="486">
        <v>45788.0</v>
      </c>
      <c r="U263" s="177" t="str">
        <f>IF(V263="","No AIS",VLOOKUP(V263,'Voyage days'!$A$3:$B$1480,2,FALSE))</f>
        <v>No AIS</v>
      </c>
      <c r="V263" s="177" t="str">
        <f>IF(VLOOKUP(A263,'1) Kpler'!$E$2:$P$1000,8, FALSE)="","",VLOOKUP(A263,'1) Kpler'!$E$2:$P$1000,8, FALSE))</f>
        <v/>
      </c>
      <c r="W263" s="370" t="str">
        <f>IF(VLOOKUP(A263,'1) Kpler'!$E$2:$P$1000,9,FALSE)="","",VLOOKUP(A263,'1) Kpler'!$E$2:$P$1000,9,FALSE))</f>
        <v/>
      </c>
      <c r="X263" s="177" t="str">
        <f>VLOOKUP(A263,'1) Kpler'!$E$2:$I$1000,4,FALSE)</f>
        <v>loaded</v>
      </c>
      <c r="Y263" s="575" t="str">
        <f t="shared" si="40"/>
        <v>04-08 Jun</v>
      </c>
      <c r="Z263" s="163" t="str">
        <f t="shared" si="41"/>
        <v>04-08 Jun</v>
      </c>
      <c r="AA263" s="122">
        <f>IFERROR($M263+VLOOKUP($L263,'Voyage days'!$F$38:$H$89,3,FALSE),"")</f>
        <v>45812</v>
      </c>
      <c r="AB263" s="122">
        <f>IFERROR(N263+VLOOKUP($L263,'Voyage days'!$F$38:$H$89,3,FALSE),"")</f>
        <v>45816</v>
      </c>
      <c r="AC263" s="163" t="str">
        <f t="shared" si="42"/>
        <v/>
      </c>
      <c r="AD263" s="122" t="str">
        <f>IFERROR($M263+VLOOKUP($L263,'Voyage days'!$F$94:$H$193,3,FALSE),"")</f>
        <v/>
      </c>
      <c r="AE263" s="122" t="str">
        <f>IFERROR($N263+VLOOKUP($L263,'Voyage days'!$F$94:$H$193,3,FALSE),"")</f>
        <v/>
      </c>
      <c r="AF263" s="163" t="str">
        <f t="shared" si="43"/>
        <v/>
      </c>
      <c r="AG263" s="122" t="str">
        <f>IFERROR($M263+VLOOKUP($L263,'Voyage days'!$F$203:$H$256,3,FALSE),"")</f>
        <v/>
      </c>
      <c r="AH263" s="122" t="str">
        <f>IFERROR($N263+VLOOKUP($L263,'Voyage days'!$F$203:$H$256,3,FALSE),"")</f>
        <v/>
      </c>
      <c r="AI263" s="163" t="str">
        <f t="shared" si="44"/>
        <v>11-15 May</v>
      </c>
      <c r="AJ263" s="122">
        <f>IFERROR($M263+VLOOKUP($L263,'Voyage days'!$F$294:$H$377,3,FALSE),"")</f>
        <v>45788</v>
      </c>
      <c r="AK263" s="122">
        <f>IFERROR($N263+VLOOKUP($L263,'Voyage days'!$F$294:$H$377,3,FALSE),"")</f>
        <v>45792</v>
      </c>
      <c r="AL263" s="163" t="str">
        <f t="shared" si="45"/>
        <v>21-25 May</v>
      </c>
      <c r="AM263" s="122">
        <f>IFERROR($M263+VLOOKUP($L263,'Voyage days'!$F$382:$H$446,3,FALSE),"")</f>
        <v>45798</v>
      </c>
      <c r="AN263" s="122">
        <f>IFERROR($N263+VLOOKUP($L263,'Voyage days'!$F$382:$H$446,3,FALSE),"")</f>
        <v>45802</v>
      </c>
      <c r="AO263" s="163" t="str">
        <f t="shared" si="46"/>
        <v/>
      </c>
      <c r="AP263" s="122" t="str">
        <f>IFERROR($M263+VLOOKUP($L263,'Voyage days'!$F$483:$H$538,3,FALSE),"")</f>
        <v/>
      </c>
      <c r="AQ263" s="122" t="str">
        <f>IFERROR($N263+VLOOKUP($L263,'Voyage days'!$F$483:$H$538,3,FALSE),"")</f>
        <v/>
      </c>
      <c r="AR263" s="163" t="str">
        <f t="shared" si="47"/>
        <v/>
      </c>
      <c r="AS263" s="122" t="str">
        <f>IFERROR($M263+VLOOKUP($L263,'Voyage days'!$F$540:$H$613,3,FALSE),"")</f>
        <v/>
      </c>
      <c r="AT263" s="122" t="str">
        <f>IFERROR($N263+VLOOKUP($L263,'Voyage days'!$F$540:$H$613,3,FALSE),"")</f>
        <v/>
      </c>
      <c r="AU263" s="163" t="str">
        <f t="shared" si="48"/>
        <v/>
      </c>
      <c r="AV263" s="122" t="str">
        <f>IFERROR($M263+VLOOKUP($L263,'Voyage days'!$L$483:$N$535,3,FALSE),"")</f>
        <v/>
      </c>
      <c r="AW263" s="122" t="str">
        <f>IFERROR($N263+VLOOKUP($L263,'Voyage days'!$L$483:$N$535,3,FALSE),"")</f>
        <v/>
      </c>
      <c r="AX263" s="163" t="str">
        <f t="shared" si="49"/>
        <v/>
      </c>
      <c r="AY263" s="122" t="str">
        <f>IFERROR($M263+VLOOKUP($L263,'Voyage days'!$F$620:$H$646,3,FALSE),"")</f>
        <v/>
      </c>
      <c r="AZ263" s="122" t="str">
        <f>IFERROR($N263+VLOOKUP($L263,'Voyage days'!$F$620:$H$646,3,FALSE),"")</f>
        <v/>
      </c>
      <c r="BA263" s="163" t="str">
        <f t="shared" si="50"/>
        <v/>
      </c>
      <c r="BB263" s="123" t="str">
        <f>IFERROR($M263+VLOOKUP($L263,'Voyage days'!$F$702:$H$727,3,FALSE),"")</f>
        <v/>
      </c>
      <c r="BC263" s="163" t="str">
        <f t="shared" si="51"/>
        <v/>
      </c>
      <c r="BD263" s="122" t="str">
        <f>IFERROR($M263+VLOOKUP($L263,'Voyage days'!$F$807:$H$878,3,FALSE),"")</f>
        <v/>
      </c>
      <c r="BE263" s="122" t="str">
        <f>IFERROR($N263+VLOOKUP($L263,'Voyage days'!$F$807:$H$878,3,FALSE),"")</f>
        <v/>
      </c>
      <c r="BF263" s="609"/>
      <c r="BG263" s="609"/>
      <c r="BH263" s="609"/>
      <c r="BI263" s="609"/>
      <c r="BJ263" s="609"/>
      <c r="BK263" s="609"/>
      <c r="BL263" s="609"/>
      <c r="BM263" s="609"/>
    </row>
    <row r="264" ht="15.75" customHeight="1">
      <c r="A264" s="258" t="s">
        <v>515</v>
      </c>
      <c r="B264" s="189">
        <v>36465.0</v>
      </c>
      <c r="C264" s="1045">
        <v>84000.0</v>
      </c>
      <c r="D264" s="504" t="s">
        <v>1687</v>
      </c>
      <c r="E264" s="149"/>
      <c r="F264" s="1182"/>
      <c r="G264" s="1015">
        <v>45627.0</v>
      </c>
      <c r="H264" s="149"/>
      <c r="I264" s="289" t="s">
        <v>1174</v>
      </c>
      <c r="J264" s="536" t="s">
        <v>3074</v>
      </c>
      <c r="K264" s="517" t="str">
        <f t="shared" si="52"/>
        <v>Update</v>
      </c>
      <c r="L264" s="153" t="s">
        <v>95</v>
      </c>
      <c r="M264" s="276">
        <v>45814.0</v>
      </c>
      <c r="N264" s="276">
        <v>45818.0</v>
      </c>
      <c r="O264" s="155"/>
      <c r="P264" s="536"/>
      <c r="Q264" s="157"/>
      <c r="R264" s="157"/>
      <c r="S264" s="256" t="s">
        <v>934</v>
      </c>
      <c r="T264" s="293">
        <v>45782.0</v>
      </c>
      <c r="U264" s="114" t="str">
        <f>IF(V264="","No AIS",VLOOKUP(V264,'Voyage days'!$A$3:$B$1480,2,FALSE))</f>
        <v>Indo + 4</v>
      </c>
      <c r="V264" s="114" t="str">
        <f>IF(VLOOKUP(A264,'1) Kpler'!$E$2:$P$1000,8, FALSE)="","",VLOOKUP(A264,'1) Kpler'!$E$2:$P$1000,8, FALSE))</f>
        <v>Oiltank. Merak</v>
      </c>
      <c r="W264" s="159">
        <f>IF(VLOOKUP(A264,'1) Kpler'!$E$2:$P$1000,9,FALSE)="","",VLOOKUP(A264,'1) Kpler'!$E$2:$P$1000,9,FALSE))</f>
        <v>46156.5</v>
      </c>
      <c r="X264" s="114" t="str">
        <f>VLOOKUP(A264,'1) Kpler'!$E$2:$I$1000,4,FALSE)</f>
        <v>loaded</v>
      </c>
      <c r="Y264" s="272" t="str">
        <f t="shared" si="40"/>
        <v/>
      </c>
      <c r="Z264" s="163" t="str">
        <f t="shared" si="41"/>
        <v/>
      </c>
      <c r="AA264" s="122" t="str">
        <f>IFERROR($M264+VLOOKUP($L264,'Voyage days'!$F$38:$H$89,3,FALSE),"")</f>
        <v/>
      </c>
      <c r="AB264" s="122" t="str">
        <f>IFERROR(N264+VLOOKUP($L264,'Voyage days'!$F$38:$H$89,3,FALSE),"")</f>
        <v/>
      </c>
      <c r="AC264" s="163" t="str">
        <f t="shared" si="42"/>
        <v/>
      </c>
      <c r="AD264" s="122" t="str">
        <f>IFERROR($M264+VLOOKUP($L264,'Voyage days'!$F$94:$H$193,3,FALSE),"")</f>
        <v/>
      </c>
      <c r="AE264" s="122" t="str">
        <f>IFERROR($N264+VLOOKUP($L264,'Voyage days'!$F$94:$H$193,3,FALSE),"")</f>
        <v/>
      </c>
      <c r="AF264" s="163" t="str">
        <f t="shared" si="43"/>
        <v/>
      </c>
      <c r="AG264" s="122" t="str">
        <f>IFERROR($M264+VLOOKUP($L264,'Voyage days'!$F$203:$H$256,3,FALSE),"")</f>
        <v/>
      </c>
      <c r="AH264" s="122" t="str">
        <f>IFERROR($N264+VLOOKUP($L264,'Voyage days'!$F$203:$H$256,3,FALSE),"")</f>
        <v/>
      </c>
      <c r="AI264" s="163" t="str">
        <f t="shared" si="44"/>
        <v/>
      </c>
      <c r="AJ264" s="122" t="str">
        <f>IFERROR($M264+VLOOKUP($L264,'Voyage days'!$F$294:$H$377,3,FALSE),"")</f>
        <v/>
      </c>
      <c r="AK264" s="122" t="str">
        <f>IFERROR($N264+VLOOKUP($L264,'Voyage days'!$F$294:$H$377,3,FALSE),"")</f>
        <v/>
      </c>
      <c r="AL264" s="163" t="str">
        <f t="shared" si="45"/>
        <v/>
      </c>
      <c r="AM264" s="122" t="str">
        <f>IFERROR($M264+VLOOKUP($L264,'Voyage days'!$F$382:$H$446,3,FALSE),"")</f>
        <v/>
      </c>
      <c r="AN264" s="122" t="str">
        <f>IFERROR($N264+VLOOKUP($L264,'Voyage days'!$F$382:$H$446,3,FALSE),"")</f>
        <v/>
      </c>
      <c r="AO264" s="163" t="str">
        <f t="shared" si="46"/>
        <v/>
      </c>
      <c r="AP264" s="122" t="str">
        <f>IFERROR($M264+VLOOKUP($L264,'Voyage days'!$F$483:$H$538,3,FALSE),"")</f>
        <v/>
      </c>
      <c r="AQ264" s="122" t="str">
        <f>IFERROR($N264+VLOOKUP($L264,'Voyage days'!$F$483:$H$538,3,FALSE),"")</f>
        <v/>
      </c>
      <c r="AR264" s="163" t="str">
        <f t="shared" si="47"/>
        <v/>
      </c>
      <c r="AS264" s="122" t="str">
        <f>IFERROR($M264+VLOOKUP($L264,'Voyage days'!$F$540:$H$613,3,FALSE),"")</f>
        <v/>
      </c>
      <c r="AT264" s="122" t="str">
        <f>IFERROR($N264+VLOOKUP($L264,'Voyage days'!$F$540:$H$613,3,FALSE),"")</f>
        <v/>
      </c>
      <c r="AU264" s="163" t="str">
        <f t="shared" si="48"/>
        <v/>
      </c>
      <c r="AV264" s="122" t="str">
        <f>IFERROR($M264+VLOOKUP($L264,'Voyage days'!$L$483:$N$535,3,FALSE),"")</f>
        <v/>
      </c>
      <c r="AW264" s="122" t="str">
        <f>IFERROR($N264+VLOOKUP($L264,'Voyage days'!$L$483:$N$535,3,FALSE),"")</f>
        <v/>
      </c>
      <c r="AX264" s="163" t="str">
        <f t="shared" si="49"/>
        <v/>
      </c>
      <c r="AY264" s="122" t="str">
        <f>IFERROR($M264+VLOOKUP($L264,'Voyage days'!$F$620:$H$646,3,FALSE),"")</f>
        <v/>
      </c>
      <c r="AZ264" s="122" t="str">
        <f>IFERROR($N264+VLOOKUP($L264,'Voyage days'!$F$620:$H$646,3,FALSE),"")</f>
        <v/>
      </c>
      <c r="BA264" s="163" t="str">
        <f t="shared" si="50"/>
        <v/>
      </c>
      <c r="BB264" s="123" t="str">
        <f>IFERROR($M264+VLOOKUP($L264,'Voyage days'!$F$702:$H$727,3,FALSE),"")</f>
        <v/>
      </c>
      <c r="BC264" s="163" t="str">
        <f t="shared" si="51"/>
        <v/>
      </c>
      <c r="BD264" s="122" t="str">
        <f>IFERROR($M264+VLOOKUP($L264,'Voyage days'!$F$807:$H$878,3,FALSE),"")</f>
        <v/>
      </c>
      <c r="BE264" s="122" t="str">
        <f>IFERROR($N264+VLOOKUP($L264,'Voyage days'!$F$807:$H$878,3,FALSE),"")</f>
        <v/>
      </c>
      <c r="BF264" s="609"/>
      <c r="BG264" s="609"/>
      <c r="BH264" s="609"/>
      <c r="BI264" s="609"/>
      <c r="BJ264" s="609"/>
      <c r="BK264" s="609"/>
      <c r="BL264" s="609"/>
      <c r="BM264" s="609"/>
    </row>
    <row r="265" ht="15.75" customHeight="1">
      <c r="A265" s="359" t="s">
        <v>219</v>
      </c>
      <c r="B265" s="595">
        <v>36801.0</v>
      </c>
      <c r="C265" s="1101">
        <v>84310.0</v>
      </c>
      <c r="D265" s="282" t="s">
        <v>570</v>
      </c>
      <c r="E265" s="374"/>
      <c r="F265" s="1103"/>
      <c r="G265" s="374" t="s">
        <v>1611</v>
      </c>
      <c r="H265" s="1103"/>
      <c r="I265" s="363" t="s">
        <v>1174</v>
      </c>
      <c r="J265" s="368" t="s">
        <v>3188</v>
      </c>
      <c r="K265" s="469" t="str">
        <f t="shared" si="52"/>
        <v>Update</v>
      </c>
      <c r="L265" s="285" t="s">
        <v>773</v>
      </c>
      <c r="M265" s="283">
        <v>45813.0</v>
      </c>
      <c r="N265" s="283">
        <v>45818.0</v>
      </c>
      <c r="O265" s="596"/>
      <c r="P265" s="285" t="s">
        <v>3189</v>
      </c>
      <c r="Q265" s="597"/>
      <c r="R265" s="597"/>
      <c r="S265" s="598" t="s">
        <v>2962</v>
      </c>
      <c r="T265" s="176">
        <v>45765.0</v>
      </c>
      <c r="U265" s="177" t="str">
        <f>IF(V265="","No AIS",VLOOKUP(V265,'Voyage days'!$A$3:$B$1480,2,FALSE))</f>
        <v>Indo + 4</v>
      </c>
      <c r="V265" s="177" t="str">
        <f>IF(VLOOKUP(A265,'1) Kpler'!$E$2:$P$1000,8, FALSE)="","",VLOOKUP(A265,'1) Kpler'!$E$2:$P$1000,8, FALSE))</f>
        <v>Arun</v>
      </c>
      <c r="W265" s="370">
        <f>IF(VLOOKUP(A265,'1) Kpler'!$E$2:$P$1000,9,FALSE)="","",VLOOKUP(A265,'1) Kpler'!$E$2:$P$1000,9,FALSE))</f>
        <v>46142.5</v>
      </c>
      <c r="X265" s="177" t="str">
        <f>VLOOKUP(A265,'1) Kpler'!$E$2:$I$1000,4,FALSE)</f>
        <v>loaded</v>
      </c>
      <c r="Y265" s="180" t="str">
        <f t="shared" si="40"/>
        <v/>
      </c>
      <c r="Z265" s="120" t="str">
        <f t="shared" si="41"/>
        <v/>
      </c>
      <c r="AA265" s="121" t="str">
        <f>IFERROR($M265+VLOOKUP($L265,'Voyage days'!$F$38:$H$89,3,FALSE),"")</f>
        <v/>
      </c>
      <c r="AB265" s="121" t="str">
        <f>IFERROR(N265+VLOOKUP($L265,'Voyage days'!$F$38:$H$89,3,FALSE),"")</f>
        <v/>
      </c>
      <c r="AC265" s="120" t="str">
        <f t="shared" si="42"/>
        <v>19-24 Jun</v>
      </c>
      <c r="AD265" s="121">
        <f>IFERROR($M265+VLOOKUP($L265,'Voyage days'!$F$94:$H$193,3,FALSE),"")</f>
        <v>45827</v>
      </c>
      <c r="AE265" s="121">
        <f>IFERROR($N265+VLOOKUP($L265,'Voyage days'!$F$94:$H$193,3,FALSE),"")</f>
        <v>45832</v>
      </c>
      <c r="AF265" s="120" t="str">
        <f t="shared" si="43"/>
        <v>20-25 Jun</v>
      </c>
      <c r="AG265" s="121">
        <f>IFERROR($M265+VLOOKUP($L265,'Voyage days'!$F$203:$H$256,3,FALSE),"")</f>
        <v>45828</v>
      </c>
      <c r="AH265" s="121">
        <f>IFERROR($N265+VLOOKUP($L265,'Voyage days'!$F$203:$H$256,3,FALSE),"")</f>
        <v>45833</v>
      </c>
      <c r="AI265" s="120" t="str">
        <f t="shared" si="44"/>
        <v>16-21 Jun</v>
      </c>
      <c r="AJ265" s="121">
        <f>IFERROR($M265+VLOOKUP($L265,'Voyage days'!$F$294:$H$377,3,FALSE),"")</f>
        <v>45824</v>
      </c>
      <c r="AK265" s="121">
        <f>IFERROR($N265+VLOOKUP($L265,'Voyage days'!$F$294:$H$377,3,FALSE),"")</f>
        <v>45829</v>
      </c>
      <c r="AL265" s="120" t="str">
        <f t="shared" si="45"/>
        <v>07-12 Jun</v>
      </c>
      <c r="AM265" s="121">
        <f>IFERROR($M265+VLOOKUP($L265,'Voyage days'!$F$382:$H$446,3,FALSE),"")</f>
        <v>45815</v>
      </c>
      <c r="AN265" s="121">
        <f>IFERROR($N265+VLOOKUP($L265,'Voyage days'!$F$382:$H$446,3,FALSE),"")</f>
        <v>45820</v>
      </c>
      <c r="AO265" s="120" t="str">
        <f t="shared" si="46"/>
        <v/>
      </c>
      <c r="AP265" s="121" t="str">
        <f>IFERROR($M265+VLOOKUP($L265,'Voyage days'!$F$483:$H$538,3,FALSE),"")</f>
        <v/>
      </c>
      <c r="AQ265" s="121" t="str">
        <f>IFERROR($N265+VLOOKUP($L265,'Voyage days'!$F$483:$H$538,3,FALSE),"")</f>
        <v/>
      </c>
      <c r="AR265" s="120" t="str">
        <f t="shared" si="47"/>
        <v/>
      </c>
      <c r="AS265" s="121" t="str">
        <f>IFERROR($M265+VLOOKUP($L265,'Voyage days'!$F$540:$H$613,3,FALSE),"")</f>
        <v/>
      </c>
      <c r="AT265" s="121" t="str">
        <f>IFERROR($N265+VLOOKUP($L265,'Voyage days'!$F$540:$H$613,3,FALSE),"")</f>
        <v/>
      </c>
      <c r="AU265" s="120" t="str">
        <f t="shared" si="48"/>
        <v/>
      </c>
      <c r="AV265" s="121" t="str">
        <f>IFERROR($M265+VLOOKUP($L265,'Voyage days'!$L$483:$N$535,3,FALSE),"")</f>
        <v/>
      </c>
      <c r="AW265" s="121" t="str">
        <f>IFERROR($N265+VLOOKUP($L265,'Voyage days'!$L$483:$N$535,3,FALSE),"")</f>
        <v/>
      </c>
      <c r="AX265" s="120" t="str">
        <f t="shared" si="49"/>
        <v/>
      </c>
      <c r="AY265" s="122" t="str">
        <f>IFERROR($M265+VLOOKUP($L265,'Voyage days'!$F$620:$H$646,3,FALSE),"")</f>
        <v/>
      </c>
      <c r="AZ265" s="122" t="str">
        <f>IFERROR($N265+VLOOKUP($L265,'Voyage days'!$F$620:$H$646,3,FALSE),"")</f>
        <v/>
      </c>
      <c r="BA265" s="120" t="str">
        <f t="shared" si="50"/>
        <v/>
      </c>
      <c r="BB265" s="123" t="str">
        <f>IFERROR($M265+VLOOKUP($L265,'Voyage days'!$F$702:$H$727,3,FALSE),"")</f>
        <v/>
      </c>
      <c r="BC265" s="120" t="str">
        <f t="shared" si="51"/>
        <v>19-24 Jun</v>
      </c>
      <c r="BD265" s="122">
        <f>IFERROR($M265+VLOOKUP($L265,'Voyage days'!$F$807:$H$878,3,FALSE),"")</f>
        <v>45827</v>
      </c>
      <c r="BE265" s="122">
        <f>IFERROR($N265+VLOOKUP($L265,'Voyage days'!$F$807:$H$878,3,FALSE),"")</f>
        <v>45832</v>
      </c>
      <c r="BF265" s="609"/>
      <c r="BG265" s="609"/>
      <c r="BH265" s="609"/>
      <c r="BI265" s="609"/>
      <c r="BJ265" s="609"/>
      <c r="BK265" s="609"/>
      <c r="BL265" s="609"/>
      <c r="BM265" s="609"/>
    </row>
    <row r="266" ht="15.75" customHeight="1">
      <c r="A266" s="404" t="s">
        <v>3190</v>
      </c>
      <c r="B266" s="1192">
        <v>2016.0</v>
      </c>
      <c r="C266" s="1056">
        <v>84000.0</v>
      </c>
      <c r="D266" s="150" t="s">
        <v>1687</v>
      </c>
      <c r="E266" s="149"/>
      <c r="F266" s="1014"/>
      <c r="G266" s="149"/>
      <c r="H266" s="149"/>
      <c r="I266" s="157" t="s">
        <v>1553</v>
      </c>
      <c r="J266" s="536" t="s">
        <v>2900</v>
      </c>
      <c r="K266" s="470" t="str">
        <f t="shared" si="52"/>
        <v>#N/A</v>
      </c>
      <c r="L266" s="153" t="s">
        <v>680</v>
      </c>
      <c r="M266" s="238">
        <v>45794.0</v>
      </c>
      <c r="N266" s="238">
        <v>45795.0</v>
      </c>
      <c r="O266" s="431"/>
      <c r="P266" s="157"/>
      <c r="Q266" s="153"/>
      <c r="R266" s="153" t="s">
        <v>3191</v>
      </c>
      <c r="S266" s="256" t="s">
        <v>2962</v>
      </c>
      <c r="T266" s="293">
        <v>45784.0</v>
      </c>
      <c r="U266" s="114" t="str">
        <f>IF(V266="","No AIS",VLOOKUP(V266,'Voyage days'!$A$3:$B$1480,2,FALSE))</f>
        <v>#N/A</v>
      </c>
      <c r="V266" s="114" t="str">
        <f>IF(VLOOKUP(A266,'1) Kpler'!$E$2:$P$1000,8, FALSE)="","",VLOOKUP(A266,'1) Kpler'!$E$2:$P$1000,8, FALSE))</f>
        <v>#N/A</v>
      </c>
      <c r="W266" s="159" t="str">
        <f>IF(VLOOKUP(A266,'1) Kpler'!$E$2:$P$1000,9,FALSE)="","",VLOOKUP(A266,'1) Kpler'!$E$2:$P$1000,9,FALSE))</f>
        <v>#N/A</v>
      </c>
      <c r="X266" s="114" t="str">
        <f>VLOOKUP(A266,'1) Kpler'!$E$2:$I$1000,4,FALSE)</f>
        <v>#N/A</v>
      </c>
      <c r="Y266" s="272" t="str">
        <f t="shared" si="40"/>
        <v/>
      </c>
      <c r="Z266" s="163" t="str">
        <f t="shared" si="41"/>
        <v/>
      </c>
      <c r="AA266" s="122" t="str">
        <f>IFERROR($M266+VLOOKUP($L266,'Voyage days'!$F$38:$H$89,3,FALSE),"")</f>
        <v/>
      </c>
      <c r="AB266" s="122" t="str">
        <f>IFERROR(N266+VLOOKUP($L266,'Voyage days'!$F$38:$H$89,3,FALSE),"")</f>
        <v/>
      </c>
      <c r="AC266" s="163" t="str">
        <f t="shared" si="42"/>
        <v>17-18 May</v>
      </c>
      <c r="AD266" s="122">
        <f>IFERROR($M266+VLOOKUP($L266,'Voyage days'!$F$94:$H$193,3,FALSE),"")</f>
        <v>45794</v>
      </c>
      <c r="AE266" s="122">
        <f>IFERROR($N266+VLOOKUP($L266,'Voyage days'!$F$94:$H$193,3,FALSE),"")</f>
        <v>45795</v>
      </c>
      <c r="AF266" s="163" t="str">
        <f t="shared" si="43"/>
        <v>17-18 May</v>
      </c>
      <c r="AG266" s="122">
        <f>IFERROR($M266+VLOOKUP($L266,'Voyage days'!$F$203:$H$256,3,FALSE),"")</f>
        <v>45794</v>
      </c>
      <c r="AH266" s="122">
        <f>IFERROR($N266+VLOOKUP($L266,'Voyage days'!$F$203:$H$256,3,FALSE),"")</f>
        <v>45795</v>
      </c>
      <c r="AI266" s="163" t="str">
        <f t="shared" si="44"/>
        <v/>
      </c>
      <c r="AJ266" s="122" t="str">
        <f>IFERROR($M266+VLOOKUP($L266,'Voyage days'!$F$294:$H$377,3,FALSE),"")</f>
        <v/>
      </c>
      <c r="AK266" s="122" t="str">
        <f>IFERROR($N266+VLOOKUP($L266,'Voyage days'!$F$294:$H$377,3,FALSE),"")</f>
        <v/>
      </c>
      <c r="AL266" s="163" t="str">
        <f t="shared" si="45"/>
        <v>06-07 Jun</v>
      </c>
      <c r="AM266" s="122">
        <f>IFERROR($M266+VLOOKUP($L266,'Voyage days'!$F$382:$H$446,3,FALSE),"")</f>
        <v>45814</v>
      </c>
      <c r="AN266" s="122">
        <f>IFERROR($N266+VLOOKUP($L266,'Voyage days'!$F$382:$H$446,3,FALSE),"")</f>
        <v>45815</v>
      </c>
      <c r="AO266" s="163" t="str">
        <f t="shared" si="46"/>
        <v/>
      </c>
      <c r="AP266" s="122" t="str">
        <f>IFERROR($M266+VLOOKUP($L266,'Voyage days'!$F$483:$H$538,3,FALSE),"")</f>
        <v/>
      </c>
      <c r="AQ266" s="122" t="str">
        <f>IFERROR($N266+VLOOKUP($L266,'Voyage days'!$F$483:$H$538,3,FALSE),"")</f>
        <v/>
      </c>
      <c r="AR266" s="163" t="str">
        <f t="shared" si="47"/>
        <v/>
      </c>
      <c r="AS266" s="122" t="str">
        <f>IFERROR($M266+VLOOKUP($L266,'Voyage days'!$F$540:$H$613,3,FALSE),"")</f>
        <v/>
      </c>
      <c r="AT266" s="122" t="str">
        <f>IFERROR($N266+VLOOKUP($L266,'Voyage days'!$F$540:$H$613,3,FALSE),"")</f>
        <v/>
      </c>
      <c r="AU266" s="163" t="str">
        <f t="shared" si="48"/>
        <v/>
      </c>
      <c r="AV266" s="122" t="str">
        <f>IFERROR($M266+VLOOKUP($L266,'Voyage days'!$L$483:$N$535,3,FALSE),"")</f>
        <v/>
      </c>
      <c r="AW266" s="122" t="str">
        <f>IFERROR($N266+VLOOKUP($L266,'Voyage days'!$L$483:$N$535,3,FALSE),"")</f>
        <v/>
      </c>
      <c r="AX266" s="163" t="str">
        <f t="shared" si="49"/>
        <v/>
      </c>
      <c r="AY266" s="122" t="str">
        <f>IFERROR($M266+VLOOKUP($L266,'Voyage days'!$F$620:$H$646,3,FALSE),"")</f>
        <v/>
      </c>
      <c r="AZ266" s="122" t="str">
        <f>IFERROR($N266+VLOOKUP($L266,'Voyage days'!$F$620:$H$646,3,FALSE),"")</f>
        <v/>
      </c>
      <c r="BA266" s="163" t="str">
        <f t="shared" si="50"/>
        <v/>
      </c>
      <c r="BB266" s="123" t="str">
        <f>IFERROR($M266+VLOOKUP($L266,'Voyage days'!$F$702:$H$727,3,FALSE),"")</f>
        <v/>
      </c>
      <c r="BC266" s="163" t="str">
        <f t="shared" si="51"/>
        <v/>
      </c>
      <c r="BD266" s="122" t="str">
        <f>IFERROR($M266+VLOOKUP($L266,'Voyage days'!$F$807:$H$878,3,FALSE),"")</f>
        <v/>
      </c>
      <c r="BE266" s="122" t="str">
        <f>IFERROR($N266+VLOOKUP($L266,'Voyage days'!$F$807:$H$878,3,FALSE),"")</f>
        <v/>
      </c>
      <c r="BF266" s="609"/>
      <c r="BG266" s="609"/>
      <c r="BH266" s="609"/>
      <c r="BI266" s="609"/>
      <c r="BJ266" s="609"/>
      <c r="BK266" s="609"/>
      <c r="BL266" s="609"/>
      <c r="BM266" s="609"/>
    </row>
    <row r="267">
      <c r="A267" s="100" t="s">
        <v>267</v>
      </c>
      <c r="B267" s="601">
        <v>2008.0</v>
      </c>
      <c r="C267" s="1056">
        <v>82200.0</v>
      </c>
      <c r="D267" s="104" t="s">
        <v>1687</v>
      </c>
      <c r="E267" s="103"/>
      <c r="F267" s="604"/>
      <c r="G267" s="103">
        <v>45962.0</v>
      </c>
      <c r="H267" s="103"/>
      <c r="I267" s="185" t="s">
        <v>1553</v>
      </c>
      <c r="J267" s="111" t="s">
        <v>3192</v>
      </c>
      <c r="K267" s="336" t="str">
        <f t="shared" si="52"/>
        <v>Update</v>
      </c>
      <c r="L267" s="108" t="s">
        <v>755</v>
      </c>
      <c r="M267" s="109">
        <v>45823.0</v>
      </c>
      <c r="N267" s="109">
        <v>45825.0</v>
      </c>
      <c r="O267" s="334"/>
      <c r="P267" s="185"/>
      <c r="Q267" s="185"/>
      <c r="R267" s="185"/>
      <c r="S267" s="112" t="s">
        <v>2962</v>
      </c>
      <c r="T267" s="113">
        <v>45784.0</v>
      </c>
      <c r="U267" s="114" t="str">
        <f>IF(V267="","No AIS",VLOOKUP(V267,'Voyage days'!$A$3:$B$1480,2,FALSE))</f>
        <v>Panama</v>
      </c>
      <c r="V267" s="115" t="str">
        <f>IF(VLOOKUP(A267,'1) Kpler'!$E$2:$P$1000,8, FALSE)="","",VLOOKUP(A267,'1) Kpler'!$E$2:$P$1000,8, FALSE))</f>
        <v>Panama Canal</v>
      </c>
      <c r="W267" s="116">
        <f>IF(VLOOKUP(A267,'1) Kpler'!$E$2:$P$1000,9,FALSE)="","",VLOOKUP(A267,'1) Kpler'!$E$2:$P$1000,9,FALSE))</f>
        <v>46140.5</v>
      </c>
      <c r="X267" s="115" t="str">
        <f>VLOOKUP(A267,'1) Kpler'!$E$2:$I$1000,4,FALSE)</f>
        <v>ballast</v>
      </c>
      <c r="Y267" s="117" t="str">
        <f t="shared" si="40"/>
        <v>26-28 Jun</v>
      </c>
      <c r="Z267" s="120" t="str">
        <f t="shared" si="41"/>
        <v>26-28 Jun</v>
      </c>
      <c r="AA267" s="121">
        <f>IFERROR($M267+VLOOKUP($L267,'Voyage days'!$F$38:$H$89,3,FALSE),"")</f>
        <v>45834</v>
      </c>
      <c r="AB267" s="121">
        <f>IFERROR(N267+VLOOKUP($L267,'Voyage days'!$F$38:$H$89,3,FALSE),"")</f>
        <v>45836</v>
      </c>
      <c r="AC267" s="120" t="str">
        <f t="shared" si="42"/>
        <v>24-26 Jul</v>
      </c>
      <c r="AD267" s="121">
        <f>IFERROR($M267+VLOOKUP($L267,'Voyage days'!$F$94:$H$193,3,FALSE),"")</f>
        <v>45862</v>
      </c>
      <c r="AE267" s="121">
        <f>IFERROR($N267+VLOOKUP($L267,'Voyage days'!$F$94:$H$193,3,FALSE),"")</f>
        <v>45864</v>
      </c>
      <c r="AF267" s="120" t="str">
        <f t="shared" si="43"/>
        <v>22-24 Jul</v>
      </c>
      <c r="AG267" s="121">
        <f>IFERROR($M267+VLOOKUP($L267,'Voyage days'!$F$203:$H$256,3,FALSE),"")</f>
        <v>45860</v>
      </c>
      <c r="AH267" s="121">
        <f>IFERROR($N267+VLOOKUP($L267,'Voyage days'!$F$203:$H$256,3,FALSE),"")</f>
        <v>45862</v>
      </c>
      <c r="AI267" s="120" t="str">
        <f t="shared" si="44"/>
        <v>05-07 Jul</v>
      </c>
      <c r="AJ267" s="121">
        <f>IFERROR($M267+VLOOKUP($L267,'Voyage days'!$F$294:$H$377,3,FALSE),"")</f>
        <v>45843</v>
      </c>
      <c r="AK267" s="121">
        <f>IFERROR($N267+VLOOKUP($L267,'Voyage days'!$F$294:$H$377,3,FALSE),"")</f>
        <v>45845</v>
      </c>
      <c r="AL267" s="120" t="str">
        <f t="shared" si="45"/>
        <v>14-16 Jul</v>
      </c>
      <c r="AM267" s="121">
        <f>IFERROR($M267+VLOOKUP($L267,'Voyage days'!$F$382:$H$446,3,FALSE),"")</f>
        <v>45852</v>
      </c>
      <c r="AN267" s="121">
        <f>IFERROR($N267+VLOOKUP($L267,'Voyage days'!$F$382:$H$446,3,FALSE),"")</f>
        <v>45854</v>
      </c>
      <c r="AO267" s="120" t="str">
        <f t="shared" si="46"/>
        <v>24-26 Jun</v>
      </c>
      <c r="AP267" s="121">
        <f>IFERROR($M267+VLOOKUP($L267,'Voyage days'!$F$483:$H$538,3,FALSE),"")</f>
        <v>45832</v>
      </c>
      <c r="AQ267" s="121">
        <f>IFERROR($N267+VLOOKUP($L267,'Voyage days'!$F$483:$H$538,3,FALSE),"")</f>
        <v>45834</v>
      </c>
      <c r="AR267" s="120" t="str">
        <f t="shared" si="47"/>
        <v>19-21 Jun</v>
      </c>
      <c r="AS267" s="121">
        <f>IFERROR($M267+VLOOKUP($L267,'Voyage days'!$F$540:$H$613,3,FALSE),"")</f>
        <v>45827</v>
      </c>
      <c r="AT267" s="121">
        <f>IFERROR($N267+VLOOKUP($L267,'Voyage days'!$F$540:$H$613,3,FALSE),"")</f>
        <v>45829</v>
      </c>
      <c r="AU267" s="120" t="str">
        <f t="shared" si="48"/>
        <v/>
      </c>
      <c r="AV267" s="121" t="str">
        <f>IFERROR($M267+VLOOKUP($L267,'Voyage days'!$L$483:$N$535,3,FALSE),"")</f>
        <v/>
      </c>
      <c r="AW267" s="121" t="str">
        <f>IFERROR($N267+VLOOKUP($L267,'Voyage days'!$L$483:$N$535,3,FALSE),"")</f>
        <v/>
      </c>
      <c r="AX267" s="120" t="str">
        <f t="shared" si="49"/>
        <v/>
      </c>
      <c r="AY267" s="122" t="str">
        <f>IFERROR($M267+VLOOKUP($L267,'Voyage days'!$F$620:$H$646,3,FALSE),"")</f>
        <v/>
      </c>
      <c r="AZ267" s="122" t="str">
        <f>IFERROR($N267+VLOOKUP($L267,'Voyage days'!$F$620:$H$646,3,FALSE),"")</f>
        <v/>
      </c>
      <c r="BA267" s="120" t="str">
        <f t="shared" si="50"/>
        <v>23-24 Jul</v>
      </c>
      <c r="BB267" s="123">
        <f>IFERROR($M267+VLOOKUP($L267,'Voyage days'!$F$702:$H$727,3,FALSE),"")</f>
        <v>45831</v>
      </c>
      <c r="BC267" s="120" t="str">
        <f t="shared" si="51"/>
        <v>22-24 Jul</v>
      </c>
      <c r="BD267" s="122">
        <f>IFERROR($M267+VLOOKUP($L267,'Voyage days'!$F$807:$H$878,3,FALSE),"")</f>
        <v>45860</v>
      </c>
      <c r="BE267" s="122">
        <f>IFERROR($N267+VLOOKUP($L267,'Voyage days'!$F$807:$H$878,3,FALSE),"")</f>
        <v>45862</v>
      </c>
      <c r="BF267" s="609"/>
      <c r="BG267" s="609"/>
      <c r="BH267" s="609"/>
      <c r="BI267" s="609"/>
      <c r="BJ267" s="609"/>
      <c r="BK267" s="609"/>
      <c r="BL267" s="609"/>
      <c r="BM267" s="609"/>
    </row>
    <row r="268" ht="15.75" customHeight="1">
      <c r="A268" s="100" t="s">
        <v>460</v>
      </c>
      <c r="B268" s="506">
        <v>2023.0</v>
      </c>
      <c r="C268" s="1056">
        <v>91000.0</v>
      </c>
      <c r="D268" s="104" t="s">
        <v>1687</v>
      </c>
      <c r="E268" s="103" t="s">
        <v>666</v>
      </c>
      <c r="F268" s="604"/>
      <c r="G268" s="103"/>
      <c r="H268" s="103"/>
      <c r="I268" s="185" t="s">
        <v>1553</v>
      </c>
      <c r="J268" s="111"/>
      <c r="K268" s="336" t="str">
        <f t="shared" si="52"/>
        <v>Update</v>
      </c>
      <c r="L268" s="108" t="s">
        <v>773</v>
      </c>
      <c r="M268" s="109">
        <v>45792.0</v>
      </c>
      <c r="N268" s="109">
        <v>45794.0</v>
      </c>
      <c r="O268" s="334"/>
      <c r="P268" s="185"/>
      <c r="Q268" s="185"/>
      <c r="R268" s="185"/>
      <c r="S268" s="112" t="s">
        <v>2962</v>
      </c>
      <c r="T268" s="113">
        <v>45784.0</v>
      </c>
      <c r="U268" s="114" t="str">
        <f>IF(V268="","No AIS",VLOOKUP(V268,'Voyage days'!$A$3:$B$1480,2,FALSE))</f>
        <v>USG</v>
      </c>
      <c r="V268" s="115" t="str">
        <f>IF(VLOOKUP(A268,'1) Kpler'!$E$2:$P$1000,8, FALSE)="","",VLOOKUP(A268,'1) Kpler'!$E$2:$P$1000,8, FALSE))</f>
        <v>Energy Transfer Marcus Hook</v>
      </c>
      <c r="W268" s="116">
        <f>IF(VLOOKUP(A268,'1) Kpler'!$E$2:$P$1000,9,FALSE)="","",VLOOKUP(A268,'1) Kpler'!$E$2:$P$1000,9,FALSE))</f>
        <v>46140.79167</v>
      </c>
      <c r="X268" s="115" t="str">
        <f>VLOOKUP(A268,'1) Kpler'!$E$2:$I$1000,4,FALSE)</f>
        <v>ballast</v>
      </c>
      <c r="Y268" s="160" t="str">
        <f t="shared" si="40"/>
        <v/>
      </c>
      <c r="Z268" s="120" t="str">
        <f t="shared" si="41"/>
        <v/>
      </c>
      <c r="AA268" s="121" t="str">
        <f>IFERROR($M268+VLOOKUP($L268,'Voyage days'!$F$38:$H$89,3,FALSE),"")</f>
        <v/>
      </c>
      <c r="AB268" s="121" t="str">
        <f>IFERROR(N268+VLOOKUP($L268,'Voyage days'!$F$38:$H$89,3,FALSE),"")</f>
        <v/>
      </c>
      <c r="AC268" s="120" t="str">
        <f t="shared" si="42"/>
        <v>29-31 May</v>
      </c>
      <c r="AD268" s="121">
        <f>IFERROR($M268+VLOOKUP($L268,'Voyage days'!$F$94:$H$193,3,FALSE),"")</f>
        <v>45806</v>
      </c>
      <c r="AE268" s="121">
        <f>IFERROR($N268+VLOOKUP($L268,'Voyage days'!$F$94:$H$193,3,FALSE),"")</f>
        <v>45808</v>
      </c>
      <c r="AF268" s="120" t="str">
        <f t="shared" si="43"/>
        <v>30-01 Jun</v>
      </c>
      <c r="AG268" s="121">
        <f>IFERROR($M268+VLOOKUP($L268,'Voyage days'!$F$203:$H$256,3,FALSE),"")</f>
        <v>45807</v>
      </c>
      <c r="AH268" s="121">
        <f>IFERROR($N268+VLOOKUP($L268,'Voyage days'!$F$203:$H$256,3,FALSE),"")</f>
        <v>45809</v>
      </c>
      <c r="AI268" s="120" t="str">
        <f t="shared" si="44"/>
        <v>26-28 May</v>
      </c>
      <c r="AJ268" s="121">
        <f>IFERROR($M268+VLOOKUP($L268,'Voyage days'!$F$294:$H$377,3,FALSE),"")</f>
        <v>45803</v>
      </c>
      <c r="AK268" s="121">
        <f>IFERROR($N268+VLOOKUP($L268,'Voyage days'!$F$294:$H$377,3,FALSE),"")</f>
        <v>45805</v>
      </c>
      <c r="AL268" s="120" t="str">
        <f t="shared" si="45"/>
        <v>17-19 May</v>
      </c>
      <c r="AM268" s="121">
        <f>IFERROR($M268+VLOOKUP($L268,'Voyage days'!$F$382:$H$446,3,FALSE),"")</f>
        <v>45794</v>
      </c>
      <c r="AN268" s="121">
        <f>IFERROR($N268+VLOOKUP($L268,'Voyage days'!$F$382:$H$446,3,FALSE),"")</f>
        <v>45796</v>
      </c>
      <c r="AO268" s="120" t="str">
        <f t="shared" si="46"/>
        <v/>
      </c>
      <c r="AP268" s="121" t="str">
        <f>IFERROR($M268+VLOOKUP($L268,'Voyage days'!$F$483:$H$538,3,FALSE),"")</f>
        <v/>
      </c>
      <c r="AQ268" s="121" t="str">
        <f>IFERROR($N268+VLOOKUP($L268,'Voyage days'!$F$483:$H$538,3,FALSE),"")</f>
        <v/>
      </c>
      <c r="AR268" s="120" t="str">
        <f t="shared" si="47"/>
        <v/>
      </c>
      <c r="AS268" s="121" t="str">
        <f>IFERROR($M268+VLOOKUP($L268,'Voyage days'!$F$540:$H$613,3,FALSE),"")</f>
        <v/>
      </c>
      <c r="AT268" s="121" t="str">
        <f>IFERROR($N268+VLOOKUP($L268,'Voyage days'!$F$540:$H$613,3,FALSE),"")</f>
        <v/>
      </c>
      <c r="AU268" s="120" t="str">
        <f t="shared" si="48"/>
        <v/>
      </c>
      <c r="AV268" s="121" t="str">
        <f>IFERROR($M268+VLOOKUP($L268,'Voyage days'!$L$483:$N$535,3,FALSE),"")</f>
        <v/>
      </c>
      <c r="AW268" s="121" t="str">
        <f>IFERROR($N268+VLOOKUP($L268,'Voyage days'!$L$483:$N$535,3,FALSE),"")</f>
        <v/>
      </c>
      <c r="AX268" s="120" t="str">
        <f t="shared" si="49"/>
        <v/>
      </c>
      <c r="AY268" s="122" t="str">
        <f>IFERROR($M268+VLOOKUP($L268,'Voyage days'!$F$620:$H$646,3,FALSE),"")</f>
        <v/>
      </c>
      <c r="AZ268" s="122" t="str">
        <f>IFERROR($N268+VLOOKUP($L268,'Voyage days'!$F$620:$H$646,3,FALSE),"")</f>
        <v/>
      </c>
      <c r="BA268" s="120" t="str">
        <f t="shared" si="50"/>
        <v/>
      </c>
      <c r="BB268" s="123" t="str">
        <f>IFERROR($M268+VLOOKUP($L268,'Voyage days'!$F$702:$H$727,3,FALSE),"")</f>
        <v/>
      </c>
      <c r="BC268" s="120" t="str">
        <f t="shared" si="51"/>
        <v>29-31 May</v>
      </c>
      <c r="BD268" s="122">
        <f>IFERROR($M268+VLOOKUP($L268,'Voyage days'!$F$807:$H$878,3,FALSE),"")</f>
        <v>45806</v>
      </c>
      <c r="BE268" s="122">
        <f>IFERROR($N268+VLOOKUP($L268,'Voyage days'!$F$807:$H$878,3,FALSE),"")</f>
        <v>45808</v>
      </c>
      <c r="BF268" s="609"/>
      <c r="BG268" s="609"/>
      <c r="BH268" s="609"/>
      <c r="BI268" s="609"/>
      <c r="BJ268" s="609"/>
      <c r="BK268" s="609"/>
      <c r="BL268" s="609"/>
      <c r="BM268" s="609"/>
    </row>
    <row r="269" ht="15.75" customHeight="1">
      <c r="A269" s="100" t="s">
        <v>491</v>
      </c>
      <c r="B269" s="506">
        <v>2024.0</v>
      </c>
      <c r="C269" s="1056">
        <v>91000.0</v>
      </c>
      <c r="D269" s="104" t="s">
        <v>3193</v>
      </c>
      <c r="E269" s="103" t="s">
        <v>666</v>
      </c>
      <c r="F269" s="604"/>
      <c r="G269" s="103"/>
      <c r="H269" s="103"/>
      <c r="I269" s="185" t="s">
        <v>1553</v>
      </c>
      <c r="J269" s="111"/>
      <c r="K269" s="336" t="str">
        <f t="shared" si="52"/>
        <v>Update</v>
      </c>
      <c r="L269" s="108" t="s">
        <v>1231</v>
      </c>
      <c r="M269" s="109">
        <v>45802.0</v>
      </c>
      <c r="N269" s="109">
        <v>45807.0</v>
      </c>
      <c r="O269" s="334"/>
      <c r="P269" s="108"/>
      <c r="Q269" s="185"/>
      <c r="R269" s="108" t="s">
        <v>3194</v>
      </c>
      <c r="S269" s="112" t="s">
        <v>2962</v>
      </c>
      <c r="T269" s="113">
        <v>45784.0</v>
      </c>
      <c r="U269" s="114" t="str">
        <f>IF(V269="","No AIS",VLOOKUP(V269,'Voyage days'!$A$3:$B$1480,2,FALSE))</f>
        <v>North China +4</v>
      </c>
      <c r="V269" s="115" t="str">
        <f>IF(VLOOKUP(A269,'1) Kpler'!$E$2:$P$1000,8, FALSE)="","",VLOOKUP(A269,'1) Kpler'!$E$2:$P$1000,8, FALSE))</f>
        <v>Liaoning Kingfa Cracker</v>
      </c>
      <c r="W269" s="116">
        <f>IF(VLOOKUP(A269,'1) Kpler'!$E$2:$P$1000,9,FALSE)="","",VLOOKUP(A269,'1) Kpler'!$E$2:$P$1000,9,FALSE))</f>
        <v>46147.66667</v>
      </c>
      <c r="X269" s="115" t="str">
        <f>VLOOKUP(A269,'1) Kpler'!$E$2:$I$1000,4,FALSE)</f>
        <v>loaded</v>
      </c>
      <c r="Y269" s="117" t="str">
        <f t="shared" si="40"/>
        <v>03-08 Jun</v>
      </c>
      <c r="Z269" s="120" t="str">
        <f t="shared" si="41"/>
        <v>03-08 Jun</v>
      </c>
      <c r="AA269" s="121">
        <f>IFERROR($M269+VLOOKUP($L269,'Voyage days'!$F$38:$H$89,3,FALSE),"")</f>
        <v>45811</v>
      </c>
      <c r="AB269" s="121">
        <f>IFERROR(N269+VLOOKUP($L269,'Voyage days'!$F$38:$H$89,3,FALSE),"")</f>
        <v>45816</v>
      </c>
      <c r="AC269" s="120" t="str">
        <f t="shared" si="42"/>
        <v/>
      </c>
      <c r="AD269" s="121" t="str">
        <f>IFERROR($M269+VLOOKUP($L269,'Voyage days'!$F$94:$H$193,3,FALSE),"")</f>
        <v/>
      </c>
      <c r="AE269" s="121" t="str">
        <f>IFERROR($N269+VLOOKUP($L269,'Voyage days'!$F$94:$H$193,3,FALSE),"")</f>
        <v/>
      </c>
      <c r="AF269" s="120" t="str">
        <f t="shared" si="43"/>
        <v>30-05 Jul</v>
      </c>
      <c r="AG269" s="121">
        <f>IFERROR($M269+VLOOKUP($L269,'Voyage days'!$F$203:$H$256,3,FALSE),"")</f>
        <v>45838</v>
      </c>
      <c r="AH269" s="121">
        <f>IFERROR($N269+VLOOKUP($L269,'Voyage days'!$F$203:$H$256,3,FALSE),"")</f>
        <v>45843</v>
      </c>
      <c r="AI269" s="120" t="str">
        <f t="shared" si="44"/>
        <v>15-20 Jun</v>
      </c>
      <c r="AJ269" s="121">
        <f>IFERROR($M269+VLOOKUP($L269,'Voyage days'!$F$294:$H$377,3,FALSE),"")</f>
        <v>45823</v>
      </c>
      <c r="AK269" s="121">
        <f>IFERROR($N269+VLOOKUP($L269,'Voyage days'!$F$294:$H$377,3,FALSE),"")</f>
        <v>45828</v>
      </c>
      <c r="AL269" s="120" t="str">
        <f t="shared" si="45"/>
        <v>22-27 Jun</v>
      </c>
      <c r="AM269" s="121">
        <f>IFERROR($M269+VLOOKUP($L269,'Voyage days'!$F$382:$H$446,3,FALSE),"")</f>
        <v>45830</v>
      </c>
      <c r="AN269" s="121">
        <f>IFERROR($N269+VLOOKUP($L269,'Voyage days'!$F$382:$H$446,3,FALSE),"")</f>
        <v>45835</v>
      </c>
      <c r="AO269" s="120" t="str">
        <f t="shared" si="46"/>
        <v>25-30 May</v>
      </c>
      <c r="AP269" s="121">
        <f>IFERROR($M269+VLOOKUP($L269,'Voyage days'!$F$483:$H$538,3,FALSE),"")</f>
        <v>45802</v>
      </c>
      <c r="AQ269" s="121">
        <f>IFERROR($N269+VLOOKUP($L269,'Voyage days'!$F$483:$H$538,3,FALSE),"")</f>
        <v>45807</v>
      </c>
      <c r="AR269" s="120" t="str">
        <f t="shared" si="47"/>
        <v/>
      </c>
      <c r="AS269" s="121" t="str">
        <f>IFERROR($M269+VLOOKUP($L269,'Voyage days'!$F$540:$H$613,3,FALSE),"")</f>
        <v/>
      </c>
      <c r="AT269" s="121" t="str">
        <f>IFERROR($N269+VLOOKUP($L269,'Voyage days'!$F$540:$H$613,3,FALSE),"")</f>
        <v/>
      </c>
      <c r="AU269" s="120" t="str">
        <f t="shared" si="48"/>
        <v/>
      </c>
      <c r="AV269" s="121" t="str">
        <f>IFERROR($M269+VLOOKUP($L269,'Voyage days'!$L$483:$N$535,3,FALSE),"")</f>
        <v/>
      </c>
      <c r="AW269" s="121" t="str">
        <f>IFERROR($N269+VLOOKUP($L269,'Voyage days'!$L$483:$N$535,3,FALSE),"")</f>
        <v/>
      </c>
      <c r="AX269" s="120" t="str">
        <f t="shared" si="49"/>
        <v/>
      </c>
      <c r="AY269" s="122" t="str">
        <f>IFERROR($M269+VLOOKUP($L269,'Voyage days'!$F$620:$H$646,3,FALSE),"")</f>
        <v/>
      </c>
      <c r="AZ269" s="122" t="str">
        <f>IFERROR($N269+VLOOKUP($L269,'Voyage days'!$F$620:$H$646,3,FALSE),"")</f>
        <v/>
      </c>
      <c r="BA269" s="120" t="str">
        <f t="shared" si="50"/>
        <v/>
      </c>
      <c r="BB269" s="123" t="str">
        <f>IFERROR($M269+VLOOKUP($L269,'Voyage days'!$F$702:$H$727,3,FALSE),"")</f>
        <v/>
      </c>
      <c r="BC269" s="120" t="str">
        <f t="shared" si="51"/>
        <v>02-07 Jul</v>
      </c>
      <c r="BD269" s="122">
        <f>IFERROR($M269+VLOOKUP($L269,'Voyage days'!$F$807:$H$878,3,FALSE),"")</f>
        <v>45840</v>
      </c>
      <c r="BE269" s="122">
        <f>IFERROR($N269+VLOOKUP($L269,'Voyage days'!$F$807:$H$878,3,FALSE),"")</f>
        <v>45845</v>
      </c>
      <c r="BF269" s="609"/>
      <c r="BG269" s="609"/>
      <c r="BH269" s="609"/>
      <c r="BI269" s="609"/>
      <c r="BJ269" s="609"/>
      <c r="BK269" s="609"/>
      <c r="BL269" s="609"/>
      <c r="BM269" s="609"/>
    </row>
    <row r="270" ht="15.75" customHeight="1">
      <c r="A270" s="100" t="s">
        <v>493</v>
      </c>
      <c r="B270" s="506">
        <v>2024.0</v>
      </c>
      <c r="C270" s="1056">
        <v>91000.0</v>
      </c>
      <c r="D270" s="104"/>
      <c r="E270" s="103" t="s">
        <v>666</v>
      </c>
      <c r="F270" s="604"/>
      <c r="G270" s="103"/>
      <c r="H270" s="103"/>
      <c r="I270" s="185" t="s">
        <v>1553</v>
      </c>
      <c r="J270" s="111"/>
      <c r="K270" s="336" t="str">
        <f t="shared" si="52"/>
        <v>Update</v>
      </c>
      <c r="L270" s="108" t="s">
        <v>211</v>
      </c>
      <c r="M270" s="109">
        <v>45793.0</v>
      </c>
      <c r="N270" s="109">
        <v>45795.0</v>
      </c>
      <c r="O270" s="334"/>
      <c r="P270" s="108" t="s">
        <v>3195</v>
      </c>
      <c r="Q270" s="185"/>
      <c r="R270" s="185"/>
      <c r="S270" s="112" t="s">
        <v>2962</v>
      </c>
      <c r="T270" s="113">
        <v>45784.0</v>
      </c>
      <c r="U270" s="114" t="str">
        <f>IF(V270="","No AIS",VLOOKUP(V270,'Voyage days'!$A$3:$B$1480,2,FALSE))</f>
        <v>Malaysia (bunkers)</v>
      </c>
      <c r="V270" s="115" t="str">
        <f>IF(VLOOKUP(A270,'1) Kpler'!$E$2:$P$1000,8, FALSE)="","",VLOOKUP(A270,'1) Kpler'!$E$2:$P$1000,8, FALSE))</f>
        <v>Westport</v>
      </c>
      <c r="W270" s="116">
        <f>IF(VLOOKUP(A270,'1) Kpler'!$E$2:$P$1000,9,FALSE)="","",VLOOKUP(A270,'1) Kpler'!$E$2:$P$1000,9,FALSE))</f>
        <v>46131.91667</v>
      </c>
      <c r="X270" s="115" t="str">
        <f>VLOOKUP(A270,'1) Kpler'!$E$2:$I$1000,4,FALSE)</f>
        <v>loaded</v>
      </c>
      <c r="Y270" s="160" t="str">
        <f t="shared" si="40"/>
        <v>21-23 May</v>
      </c>
      <c r="Z270" s="120" t="str">
        <f t="shared" si="41"/>
        <v>21-23 May</v>
      </c>
      <c r="AA270" s="121">
        <f>IFERROR($M270+VLOOKUP($L270,'Voyage days'!$F$38:$H$89,3,FALSE),"")</f>
        <v>45798</v>
      </c>
      <c r="AB270" s="121">
        <f>IFERROR(N270+VLOOKUP($L270,'Voyage days'!$F$38:$H$89,3,FALSE),"")</f>
        <v>45800</v>
      </c>
      <c r="AC270" s="120" t="str">
        <f t="shared" si="42"/>
        <v/>
      </c>
      <c r="AD270" s="121" t="str">
        <f>IFERROR($M270+VLOOKUP($L270,'Voyage days'!$F$94:$H$193,3,FALSE),"")</f>
        <v/>
      </c>
      <c r="AE270" s="121" t="str">
        <f>IFERROR($N270+VLOOKUP($L270,'Voyage days'!$F$94:$H$193,3,FALSE),"")</f>
        <v/>
      </c>
      <c r="AF270" s="120" t="str">
        <f t="shared" si="43"/>
        <v>16-18 Jun</v>
      </c>
      <c r="AG270" s="121">
        <f>IFERROR($M270+VLOOKUP($L270,'Voyage days'!$F$203:$H$256,3,FALSE),"")</f>
        <v>45824</v>
      </c>
      <c r="AH270" s="121">
        <f>IFERROR($N270+VLOOKUP($L270,'Voyage days'!$F$203:$H$256,3,FALSE),"")</f>
        <v>45826</v>
      </c>
      <c r="AI270" s="120" t="str">
        <f t="shared" si="44"/>
        <v>03-05 Jun</v>
      </c>
      <c r="AJ270" s="121">
        <f>IFERROR($M270+VLOOKUP($L270,'Voyage days'!$F$294:$H$377,3,FALSE),"")</f>
        <v>45811</v>
      </c>
      <c r="AK270" s="121">
        <f>IFERROR($N270+VLOOKUP($L270,'Voyage days'!$F$294:$H$377,3,FALSE),"")</f>
        <v>45813</v>
      </c>
      <c r="AL270" s="120" t="str">
        <f t="shared" si="45"/>
        <v>11-13 Jun</v>
      </c>
      <c r="AM270" s="121">
        <f>IFERROR($M270+VLOOKUP($L270,'Voyage days'!$F$382:$H$446,3,FALSE),"")</f>
        <v>45819</v>
      </c>
      <c r="AN270" s="121">
        <f>IFERROR($N270+VLOOKUP($L270,'Voyage days'!$F$382:$H$446,3,FALSE),"")</f>
        <v>45821</v>
      </c>
      <c r="AO270" s="120" t="str">
        <f t="shared" si="46"/>
        <v/>
      </c>
      <c r="AP270" s="121" t="str">
        <f>IFERROR($M270+VLOOKUP($L270,'Voyage days'!$F$483:$H$538,3,FALSE),"")</f>
        <v/>
      </c>
      <c r="AQ270" s="121" t="str">
        <f>IFERROR($N270+VLOOKUP($L270,'Voyage days'!$F$483:$H$538,3,FALSE),"")</f>
        <v/>
      </c>
      <c r="AR270" s="120" t="str">
        <f t="shared" si="47"/>
        <v/>
      </c>
      <c r="AS270" s="121" t="str">
        <f>IFERROR($M270+VLOOKUP($L270,'Voyage days'!$F$540:$H$613,3,FALSE),"")</f>
        <v/>
      </c>
      <c r="AT270" s="121" t="str">
        <f>IFERROR($N270+VLOOKUP($L270,'Voyage days'!$F$540:$H$613,3,FALSE),"")</f>
        <v/>
      </c>
      <c r="AU270" s="120" t="str">
        <f t="shared" si="48"/>
        <v/>
      </c>
      <c r="AV270" s="121" t="str">
        <f>IFERROR($M270+VLOOKUP($L270,'Voyage days'!$L$483:$N$535,3,FALSE),"")</f>
        <v/>
      </c>
      <c r="AW270" s="121" t="str">
        <f>IFERROR($N270+VLOOKUP($L270,'Voyage days'!$L$483:$N$535,3,FALSE),"")</f>
        <v/>
      </c>
      <c r="AX270" s="120" t="str">
        <f t="shared" si="49"/>
        <v/>
      </c>
      <c r="AY270" s="122" t="str">
        <f>IFERROR($M270+VLOOKUP($L270,'Voyage days'!$F$620:$H$646,3,FALSE),"")</f>
        <v/>
      </c>
      <c r="AZ270" s="122" t="str">
        <f>IFERROR($N270+VLOOKUP($L270,'Voyage days'!$F$620:$H$646,3,FALSE),"")</f>
        <v/>
      </c>
      <c r="BA270" s="120" t="str">
        <f t="shared" si="50"/>
        <v/>
      </c>
      <c r="BB270" s="123" t="str">
        <f>IFERROR($M270+VLOOKUP($L270,'Voyage days'!$F$702:$H$727,3,FALSE),"")</f>
        <v/>
      </c>
      <c r="BC270" s="120" t="str">
        <f t="shared" si="51"/>
        <v>28-30 Jun</v>
      </c>
      <c r="BD270" s="122">
        <f>IFERROR($M270+VLOOKUP($L270,'Voyage days'!$F$807:$H$878,3,FALSE),"")</f>
        <v>45836</v>
      </c>
      <c r="BE270" s="122">
        <f>IFERROR($N270+VLOOKUP($L270,'Voyage days'!$F$807:$H$878,3,FALSE),"")</f>
        <v>45838</v>
      </c>
      <c r="BF270" s="609"/>
      <c r="BG270" s="609"/>
      <c r="BH270" s="609"/>
      <c r="BI270" s="609"/>
      <c r="BJ270" s="609"/>
      <c r="BK270" s="609"/>
      <c r="BL270" s="609"/>
      <c r="BM270" s="609"/>
    </row>
    <row r="271" ht="15.75" customHeight="1">
      <c r="A271" s="23" t="s">
        <v>495</v>
      </c>
      <c r="B271" s="259">
        <v>2024.0</v>
      </c>
      <c r="C271" s="1193">
        <v>86000.0</v>
      </c>
      <c r="D271" s="1158"/>
      <c r="E271" s="103"/>
      <c r="F271" s="1145"/>
      <c r="G271" s="103"/>
      <c r="H271" s="1145"/>
      <c r="I271" s="185" t="s">
        <v>1553</v>
      </c>
      <c r="J271" s="686"/>
      <c r="K271" s="336" t="str">
        <f t="shared" si="52"/>
        <v>Update</v>
      </c>
      <c r="L271" s="197" t="s">
        <v>745</v>
      </c>
      <c r="M271" s="109">
        <v>45791.0</v>
      </c>
      <c r="N271" s="109">
        <v>45793.0</v>
      </c>
      <c r="O271" s="1194"/>
      <c r="P271" s="395" t="s">
        <v>3196</v>
      </c>
      <c r="Q271" s="340"/>
      <c r="R271" s="197"/>
      <c r="S271" s="112" t="s">
        <v>2962</v>
      </c>
      <c r="T271" s="113">
        <v>45784.0</v>
      </c>
      <c r="U271" s="114" t="str">
        <f>IF(V271="","No AIS",VLOOKUP(V271,'Voyage days'!$A$3:$B$1480,2,FALSE))</f>
        <v>USG</v>
      </c>
      <c r="V271" s="115" t="str">
        <f>IF(VLOOKUP(A271,'1) Kpler'!$E$2:$P$1000,8, FALSE)="","",VLOOKUP(A271,'1) Kpler'!$E$2:$P$1000,8, FALSE))</f>
        <v>Energy Transfer Nederland</v>
      </c>
      <c r="W271" s="116">
        <f>IF(VLOOKUP(A271,'1) Kpler'!$E$2:$P$1000,9,FALSE)="","",VLOOKUP(A271,'1) Kpler'!$E$2:$P$1000,9,FALSE))</f>
        <v>46136.75</v>
      </c>
      <c r="X271" s="115" t="str">
        <f>VLOOKUP(A271,'1) Kpler'!$E$2:$I$1000,4,FALSE)</f>
        <v>ballast</v>
      </c>
      <c r="Y271" s="117" t="str">
        <f t="shared" si="40"/>
        <v>23-25 May</v>
      </c>
      <c r="Z271" s="120" t="str">
        <f t="shared" si="41"/>
        <v>23-25 May</v>
      </c>
      <c r="AA271" s="121">
        <f>IFERROR($M271+VLOOKUP($L271,'Voyage days'!$F$38:$H$89,3,FALSE),"")</f>
        <v>45800</v>
      </c>
      <c r="AB271" s="121">
        <f>IFERROR(N271+VLOOKUP($L271,'Voyage days'!$F$38:$H$89,3,FALSE),"")</f>
        <v>45802</v>
      </c>
      <c r="AC271" s="120" t="str">
        <f t="shared" si="42"/>
        <v>01-03 Jun</v>
      </c>
      <c r="AD271" s="121">
        <f>IFERROR($M271+VLOOKUP($L271,'Voyage days'!$F$94:$H$193,3,FALSE),"")</f>
        <v>45809</v>
      </c>
      <c r="AE271" s="121">
        <f>IFERROR($N271+VLOOKUP($L271,'Voyage days'!$F$94:$H$193,3,FALSE),"")</f>
        <v>45811</v>
      </c>
      <c r="AF271" s="120" t="str">
        <f t="shared" si="43"/>
        <v>04-06 Jun</v>
      </c>
      <c r="AG271" s="121">
        <f>IFERROR($M271+VLOOKUP($L271,'Voyage days'!$F$203:$H$256,3,FALSE),"")</f>
        <v>45812</v>
      </c>
      <c r="AH271" s="121">
        <f>IFERROR($N271+VLOOKUP($L271,'Voyage days'!$F$203:$H$256,3,FALSE),"")</f>
        <v>45814</v>
      </c>
      <c r="AI271" s="120" t="str">
        <f t="shared" si="44"/>
        <v>29-31 May</v>
      </c>
      <c r="AJ271" s="121">
        <f>IFERROR($M271+VLOOKUP($L271,'Voyage days'!$F$294:$H$377,3,FALSE),"")</f>
        <v>45806</v>
      </c>
      <c r="AK271" s="121">
        <f>IFERROR($N271+VLOOKUP($L271,'Voyage days'!$F$294:$H$377,3,FALSE),"")</f>
        <v>45808</v>
      </c>
      <c r="AL271" s="120" t="str">
        <f t="shared" si="45"/>
        <v>22-24 May</v>
      </c>
      <c r="AM271" s="121">
        <f>IFERROR($M271+VLOOKUP($L271,'Voyage days'!$F$382:$H$446,3,FALSE),"")</f>
        <v>45799</v>
      </c>
      <c r="AN271" s="121">
        <f>IFERROR($N271+VLOOKUP($L271,'Voyage days'!$F$382:$H$446,3,FALSE),"")</f>
        <v>45801</v>
      </c>
      <c r="AO271" s="120" t="str">
        <f t="shared" si="46"/>
        <v/>
      </c>
      <c r="AP271" s="121" t="str">
        <f>IFERROR($M271+VLOOKUP($L271,'Voyage days'!$F$483:$H$538,3,FALSE),"")</f>
        <v/>
      </c>
      <c r="AQ271" s="121" t="str">
        <f>IFERROR($N271+VLOOKUP($L271,'Voyage days'!$F$483:$H$538,3,FALSE),"")</f>
        <v/>
      </c>
      <c r="AR271" s="120" t="str">
        <f t="shared" si="47"/>
        <v/>
      </c>
      <c r="AS271" s="121" t="str">
        <f>IFERROR($M271+VLOOKUP($L271,'Voyage days'!$F$540:$H$613,3,FALSE),"")</f>
        <v/>
      </c>
      <c r="AT271" s="121" t="str">
        <f>IFERROR($N271+VLOOKUP($L271,'Voyage days'!$F$540:$H$613,3,FALSE),"")</f>
        <v/>
      </c>
      <c r="AU271" s="120" t="str">
        <f t="shared" si="48"/>
        <v/>
      </c>
      <c r="AV271" s="121" t="str">
        <f>IFERROR($M271+VLOOKUP($L271,'Voyage days'!$L$483:$N$535,3,FALSE),"")</f>
        <v/>
      </c>
      <c r="AW271" s="121" t="str">
        <f>IFERROR($N271+VLOOKUP($L271,'Voyage days'!$L$483:$N$535,3,FALSE),"")</f>
        <v/>
      </c>
      <c r="AX271" s="120" t="str">
        <f t="shared" si="49"/>
        <v/>
      </c>
      <c r="AY271" s="122" t="str">
        <f>IFERROR($M271+VLOOKUP($L271,'Voyage days'!$F$620:$H$646,3,FALSE),"")</f>
        <v/>
      </c>
      <c r="AZ271" s="122" t="str">
        <f>IFERROR($N271+VLOOKUP($L271,'Voyage days'!$F$620:$H$646,3,FALSE),"")</f>
        <v/>
      </c>
      <c r="BA271" s="120" t="str">
        <f t="shared" si="50"/>
        <v/>
      </c>
      <c r="BB271" s="123" t="str">
        <f>IFERROR($M271+VLOOKUP($L271,'Voyage days'!$F$702:$H$727,3,FALSE),"")</f>
        <v/>
      </c>
      <c r="BC271" s="120" t="str">
        <f t="shared" si="51"/>
        <v>15-17 May</v>
      </c>
      <c r="BD271" s="122">
        <f>IFERROR($M271+VLOOKUP($L271,'Voyage days'!$F$807:$H$878,3,FALSE),"")</f>
        <v>45792.5</v>
      </c>
      <c r="BE271" s="122">
        <f>IFERROR($N271+VLOOKUP($L271,'Voyage days'!$F$807:$H$878,3,FALSE),"")</f>
        <v>45794.5</v>
      </c>
      <c r="BF271" s="609"/>
      <c r="BG271" s="609"/>
      <c r="BH271" s="609"/>
      <c r="BI271" s="609"/>
      <c r="BJ271" s="609"/>
      <c r="BK271" s="609"/>
      <c r="BL271" s="609"/>
      <c r="BM271" s="609"/>
    </row>
    <row r="272" ht="15.75" customHeight="1">
      <c r="A272" s="473" t="s">
        <v>581</v>
      </c>
      <c r="B272" s="610">
        <v>2002.0</v>
      </c>
      <c r="C272" s="1195">
        <v>78929.0</v>
      </c>
      <c r="D272" s="168" t="s">
        <v>1687</v>
      </c>
      <c r="E272" s="223"/>
      <c r="F272" s="1010"/>
      <c r="G272" s="223">
        <v>45688.0</v>
      </c>
      <c r="H272" s="223"/>
      <c r="I272" s="463" t="s">
        <v>1553</v>
      </c>
      <c r="J272" s="312" t="s">
        <v>1264</v>
      </c>
      <c r="K272" s="469" t="str">
        <f t="shared" si="52"/>
        <v>Update</v>
      </c>
      <c r="L272" s="172" t="s">
        <v>680</v>
      </c>
      <c r="M272" s="173">
        <v>45796.0</v>
      </c>
      <c r="N272" s="173">
        <v>45797.0</v>
      </c>
      <c r="O272" s="433"/>
      <c r="P272" s="463"/>
      <c r="Q272" s="172" t="s">
        <v>3197</v>
      </c>
      <c r="R272" s="357" t="s">
        <v>3198</v>
      </c>
      <c r="S272" s="175" t="s">
        <v>934</v>
      </c>
      <c r="T272" s="176">
        <v>45786.0</v>
      </c>
      <c r="U272" s="177" t="str">
        <f>IF(V272="","No AIS",VLOOKUP(V272,'Voyage days'!$A$3:$B$1480,2,FALSE))</f>
        <v>Mexico</v>
      </c>
      <c r="V272" s="178" t="str">
        <f>IF(VLOOKUP(A272,'1) Kpler'!$E$2:$P$1000,8, FALSE)="","",VLOOKUP(A272,'1) Kpler'!$E$2:$P$1000,8, FALSE))</f>
        <v>Pajaritos</v>
      </c>
      <c r="W272" s="179">
        <f>IF(VLOOKUP(A272,'1) Kpler'!$E$2:$P$1000,9,FALSE)="","",VLOOKUP(A272,'1) Kpler'!$E$2:$P$1000,9,FALSE))</f>
        <v>46133</v>
      </c>
      <c r="X272" s="178" t="str">
        <f>VLOOKUP(A272,'1) Kpler'!$E$2:$I$1000,4,FALSE)</f>
        <v>loaded</v>
      </c>
      <c r="Y272" s="180" t="str">
        <f t="shared" si="40"/>
        <v/>
      </c>
      <c r="Z272" s="120" t="str">
        <f t="shared" si="41"/>
        <v/>
      </c>
      <c r="AA272" s="121" t="str">
        <f>IFERROR($M272+VLOOKUP($L272,'Voyage days'!$F$38:$H$89,3,FALSE),"")</f>
        <v/>
      </c>
      <c r="AB272" s="121" t="str">
        <f>IFERROR(N272+VLOOKUP($L272,'Voyage days'!$F$38:$H$89,3,FALSE),"")</f>
        <v/>
      </c>
      <c r="AC272" s="120" t="str">
        <f t="shared" si="42"/>
        <v>19-20 May</v>
      </c>
      <c r="AD272" s="121">
        <f>IFERROR($M272+VLOOKUP($L272,'Voyage days'!$F$94:$H$193,3,FALSE),"")</f>
        <v>45796</v>
      </c>
      <c r="AE272" s="121">
        <f>IFERROR($N272+VLOOKUP($L272,'Voyage days'!$F$94:$H$193,3,FALSE),"")</f>
        <v>45797</v>
      </c>
      <c r="AF272" s="120" t="str">
        <f t="shared" si="43"/>
        <v>19-20 May</v>
      </c>
      <c r="AG272" s="121">
        <f>IFERROR($M272+VLOOKUP($L272,'Voyage days'!$F$203:$H$256,3,FALSE),"")</f>
        <v>45796</v>
      </c>
      <c r="AH272" s="121">
        <f>IFERROR($N272+VLOOKUP($L272,'Voyage days'!$F$203:$H$256,3,FALSE),"")</f>
        <v>45797</v>
      </c>
      <c r="AI272" s="120" t="str">
        <f t="shared" si="44"/>
        <v/>
      </c>
      <c r="AJ272" s="121" t="str">
        <f>IFERROR($M272+VLOOKUP($L272,'Voyage days'!$F$294:$H$377,3,FALSE),"")</f>
        <v/>
      </c>
      <c r="AK272" s="121" t="str">
        <f>IFERROR($N272+VLOOKUP($L272,'Voyage days'!$F$294:$H$377,3,FALSE),"")</f>
        <v/>
      </c>
      <c r="AL272" s="120" t="str">
        <f t="shared" si="45"/>
        <v>08-09 Jun</v>
      </c>
      <c r="AM272" s="121">
        <f>IFERROR($M272+VLOOKUP($L272,'Voyage days'!$F$382:$H$446,3,FALSE),"")</f>
        <v>45816</v>
      </c>
      <c r="AN272" s="121">
        <f>IFERROR($N272+VLOOKUP($L272,'Voyage days'!$F$382:$H$446,3,FALSE),"")</f>
        <v>45817</v>
      </c>
      <c r="AO272" s="120" t="str">
        <f t="shared" si="46"/>
        <v/>
      </c>
      <c r="AP272" s="121" t="str">
        <f>IFERROR($M272+VLOOKUP($L272,'Voyage days'!$F$483:$H$538,3,FALSE),"")</f>
        <v/>
      </c>
      <c r="AQ272" s="121" t="str">
        <f>IFERROR($N272+VLOOKUP($L272,'Voyage days'!$F$483:$H$538,3,FALSE),"")</f>
        <v/>
      </c>
      <c r="AR272" s="120" t="str">
        <f t="shared" si="47"/>
        <v/>
      </c>
      <c r="AS272" s="121" t="str">
        <f>IFERROR($M272+VLOOKUP($L272,'Voyage days'!$F$540:$H$613,3,FALSE),"")</f>
        <v/>
      </c>
      <c r="AT272" s="121" t="str">
        <f>IFERROR($N272+VLOOKUP($L272,'Voyage days'!$F$540:$H$613,3,FALSE),"")</f>
        <v/>
      </c>
      <c r="AU272" s="120" t="str">
        <f t="shared" si="48"/>
        <v/>
      </c>
      <c r="AV272" s="121" t="str">
        <f>IFERROR($M272+VLOOKUP($L272,'Voyage days'!$L$483:$N$535,3,FALSE),"")</f>
        <v/>
      </c>
      <c r="AW272" s="121" t="str">
        <f>IFERROR($N272+VLOOKUP($L272,'Voyage days'!$L$483:$N$535,3,FALSE),"")</f>
        <v/>
      </c>
      <c r="AX272" s="120" t="str">
        <f t="shared" si="49"/>
        <v/>
      </c>
      <c r="AY272" s="122" t="str">
        <f>IFERROR($M272+VLOOKUP($L272,'Voyage days'!$F$620:$H$646,3,FALSE),"")</f>
        <v/>
      </c>
      <c r="AZ272" s="122" t="str">
        <f>IFERROR($N272+VLOOKUP($L272,'Voyage days'!$F$620:$H$646,3,FALSE),"")</f>
        <v/>
      </c>
      <c r="BA272" s="120" t="str">
        <f t="shared" si="50"/>
        <v/>
      </c>
      <c r="BB272" s="123" t="str">
        <f>IFERROR($M272+VLOOKUP($L272,'Voyage days'!$F$702:$H$727,3,FALSE),"")</f>
        <v/>
      </c>
      <c r="BC272" s="120" t="str">
        <f t="shared" si="51"/>
        <v/>
      </c>
      <c r="BD272" s="122" t="str">
        <f>IFERROR($M272+VLOOKUP($L272,'Voyage days'!$F$807:$H$878,3,FALSE),"")</f>
        <v/>
      </c>
      <c r="BE272" s="122" t="str">
        <f>IFERROR($N272+VLOOKUP($L272,'Voyage days'!$F$807:$H$878,3,FALSE),"")</f>
        <v/>
      </c>
      <c r="BF272" s="609"/>
      <c r="BG272" s="609"/>
      <c r="BH272" s="609"/>
      <c r="BI272" s="609"/>
      <c r="BJ272" s="609"/>
      <c r="BK272" s="609"/>
      <c r="BL272" s="609"/>
      <c r="BM272" s="609"/>
    </row>
    <row r="273" ht="15.75" customHeight="1">
      <c r="A273" s="258" t="s">
        <v>39</v>
      </c>
      <c r="B273" s="101">
        <v>41817.0</v>
      </c>
      <c r="C273" s="1045">
        <v>84000.0</v>
      </c>
      <c r="D273" s="504" t="s">
        <v>1687</v>
      </c>
      <c r="E273" s="149"/>
      <c r="F273" s="1182"/>
      <c r="G273" s="1015"/>
      <c r="H273" s="149"/>
      <c r="I273" s="611" t="s">
        <v>1201</v>
      </c>
      <c r="J273" s="536"/>
      <c r="K273" s="517"/>
      <c r="L273" s="157" t="s">
        <v>1198</v>
      </c>
      <c r="M273" s="276"/>
      <c r="N273" s="276"/>
      <c r="O273" s="155"/>
      <c r="P273" s="536"/>
      <c r="Q273" s="157"/>
      <c r="R273" s="157" t="s">
        <v>3199</v>
      </c>
      <c r="S273" s="149"/>
      <c r="T273" s="1196"/>
      <c r="U273" s="114" t="str">
        <f>IF(V273="","No AIS",VLOOKUP(V273,'Voyage days'!$A$3:$B$1480,2,FALSE))</f>
        <v>Mexico</v>
      </c>
      <c r="V273" s="114" t="str">
        <f>IF(VLOOKUP(A273,'1) Kpler'!$E$2:$P$1000,8, FALSE)="","",VLOOKUP(A273,'1) Kpler'!$E$2:$P$1000,8, FALSE))</f>
        <v>Pajaritos</v>
      </c>
      <c r="W273" s="159">
        <f>IF(VLOOKUP(A273,'1) Kpler'!$E$2:$P$1000,9,FALSE)="","",VLOOKUP(A273,'1) Kpler'!$E$2:$P$1000,9,FALSE))</f>
        <v>46132.625</v>
      </c>
      <c r="X273" s="114" t="str">
        <f>VLOOKUP(A273,'1) Kpler'!$E$2:$I$1000,4,FALSE)</f>
        <v>loaded</v>
      </c>
      <c r="Y273" s="272" t="str">
        <f t="shared" si="40"/>
        <v/>
      </c>
      <c r="Z273" s="163" t="str">
        <f t="shared" si="41"/>
        <v/>
      </c>
      <c r="AA273" s="122" t="str">
        <f>IFERROR($M273+VLOOKUP($L273,'Voyage days'!$F$38:$H$89,3,FALSE),"")</f>
        <v/>
      </c>
      <c r="AB273" s="122" t="str">
        <f>IFERROR(N273+VLOOKUP($L273,'Voyage days'!$F$38:$H$89,3,FALSE),"")</f>
        <v/>
      </c>
      <c r="AC273" s="163" t="str">
        <f t="shared" si="42"/>
        <v>01-01 Jan</v>
      </c>
      <c r="AD273" s="122">
        <f>IFERROR($M273+VLOOKUP($L273,'Voyage days'!$F$94:$H$193,3,FALSE),"")</f>
        <v>2</v>
      </c>
      <c r="AE273" s="122">
        <f>IFERROR($N273+VLOOKUP($L273,'Voyage days'!$F$94:$H$193,3,FALSE),"")</f>
        <v>2</v>
      </c>
      <c r="AF273" s="163" t="str">
        <f t="shared" si="43"/>
        <v>03-03 Jan</v>
      </c>
      <c r="AG273" s="122">
        <f>IFERROR($M273+VLOOKUP($L273,'Voyage days'!$F$203:$H$256,3,FALSE),"")</f>
        <v>4</v>
      </c>
      <c r="AH273" s="122">
        <f>IFERROR($N273+VLOOKUP($L273,'Voyage days'!$F$203:$H$256,3,FALSE),"")</f>
        <v>4</v>
      </c>
      <c r="AI273" s="163" t="str">
        <f t="shared" si="44"/>
        <v>17-17 Jan</v>
      </c>
      <c r="AJ273" s="122">
        <f>IFERROR($M273+VLOOKUP($L273,'Voyage days'!$F$294:$H$377,3,FALSE),"")</f>
        <v>18</v>
      </c>
      <c r="AK273" s="122">
        <f>IFERROR($N273+VLOOKUP($L273,'Voyage days'!$F$294:$H$377,3,FALSE),"")</f>
        <v>18</v>
      </c>
      <c r="AL273" s="163" t="str">
        <f t="shared" si="45"/>
        <v>12-12 Jan</v>
      </c>
      <c r="AM273" s="122">
        <f>IFERROR($M273+VLOOKUP($L273,'Voyage days'!$F$382:$H$446,3,FALSE),"")</f>
        <v>13</v>
      </c>
      <c r="AN273" s="122">
        <f>IFERROR($N273+VLOOKUP($L273,'Voyage days'!$F$382:$H$446,3,FALSE),"")</f>
        <v>13</v>
      </c>
      <c r="AO273" s="163" t="str">
        <f t="shared" si="46"/>
        <v/>
      </c>
      <c r="AP273" s="122" t="str">
        <f>IFERROR($M273+VLOOKUP($L273,'Voyage days'!$F$483:$H$538,3,FALSE),"")</f>
        <v/>
      </c>
      <c r="AQ273" s="122" t="str">
        <f>IFERROR($N273+VLOOKUP($L273,'Voyage days'!$F$483:$H$538,3,FALSE),"")</f>
        <v/>
      </c>
      <c r="AR273" s="163" t="str">
        <f t="shared" si="47"/>
        <v/>
      </c>
      <c r="AS273" s="122" t="str">
        <f>IFERROR($M273+VLOOKUP($L273,'Voyage days'!$F$540:$H$613,3,FALSE),"")</f>
        <v/>
      </c>
      <c r="AT273" s="122" t="str">
        <f>IFERROR($N273+VLOOKUP($L273,'Voyage days'!$F$540:$H$613,3,FALSE),"")</f>
        <v/>
      </c>
      <c r="AU273" s="163" t="str">
        <f t="shared" si="48"/>
        <v/>
      </c>
      <c r="AV273" s="122" t="str">
        <f>IFERROR($M273+VLOOKUP($L273,'Voyage days'!$L$483:$N$535,3,FALSE),"")</f>
        <v/>
      </c>
      <c r="AW273" s="122" t="str">
        <f>IFERROR($N273+VLOOKUP($L273,'Voyage days'!$L$483:$N$535,3,FALSE),"")</f>
        <v/>
      </c>
      <c r="AX273" s="163" t="str">
        <f t="shared" si="49"/>
        <v/>
      </c>
      <c r="AY273" s="122" t="str">
        <f>IFERROR($M273+VLOOKUP($L273,'Voyage days'!$F$620:$H$646,3,FALSE),"")</f>
        <v/>
      </c>
      <c r="AZ273" s="122" t="str">
        <f>IFERROR($N273+VLOOKUP($L273,'Voyage days'!$F$620:$H$646,3,FALSE),"")</f>
        <v/>
      </c>
      <c r="BA273" s="163" t="str">
        <f t="shared" si="50"/>
        <v/>
      </c>
      <c r="BB273" s="123" t="str">
        <f>IFERROR($M273+VLOOKUP($L273,'Voyage days'!$F$702:$H$727,3,FALSE),"")</f>
        <v/>
      </c>
      <c r="BC273" s="163" t="str">
        <f t="shared" si="51"/>
        <v>19-19 Jan</v>
      </c>
      <c r="BD273" s="122">
        <f>IFERROR($M273+VLOOKUP($L273,'Voyage days'!$F$807:$H$878,3,FALSE),"")</f>
        <v>20</v>
      </c>
      <c r="BE273" s="122">
        <f>IFERROR($N273+VLOOKUP($L273,'Voyage days'!$F$807:$H$878,3,FALSE),"")</f>
        <v>20</v>
      </c>
      <c r="BF273" s="609"/>
      <c r="BG273" s="609"/>
      <c r="BH273" s="609"/>
      <c r="BI273" s="609"/>
      <c r="BJ273" s="609"/>
      <c r="BK273" s="609"/>
      <c r="BL273" s="609"/>
      <c r="BM273" s="609"/>
    </row>
    <row r="274" ht="15.75" customHeight="1">
      <c r="A274" s="147" t="s">
        <v>1204</v>
      </c>
      <c r="B274" s="101">
        <v>42717.0</v>
      </c>
      <c r="C274" s="1045">
        <v>84000.0</v>
      </c>
      <c r="D274" s="104" t="s">
        <v>1687</v>
      </c>
      <c r="E274" s="103"/>
      <c r="F274" s="1137"/>
      <c r="G274" s="605"/>
      <c r="H274" s="103"/>
      <c r="I274" s="299" t="s">
        <v>1201</v>
      </c>
      <c r="J274" s="111"/>
      <c r="K274" s="336"/>
      <c r="L274" s="185" t="s">
        <v>1198</v>
      </c>
      <c r="M274" s="109"/>
      <c r="N274" s="109"/>
      <c r="O274" s="110"/>
      <c r="P274" s="111"/>
      <c r="Q274" s="185"/>
      <c r="R274" s="185" t="s">
        <v>3200</v>
      </c>
      <c r="S274" s="103"/>
      <c r="T274" s="1197"/>
      <c r="U274" s="114" t="str">
        <f>IF(V274="","No AIS",VLOOKUP(V274,'Voyage days'!$A$3:$B$1480,2,FALSE))</f>
        <v>USG</v>
      </c>
      <c r="V274" s="115" t="str">
        <f>IF(VLOOKUP(A274,'1) Kpler'!$E$2:$P$1000,8, FALSE)="","",VLOOKUP(A274,'1) Kpler'!$E$2:$P$1000,8, FALSE))</f>
        <v>Houston</v>
      </c>
      <c r="W274" s="116">
        <f>IF(VLOOKUP(A274,'1) Kpler'!$E$2:$P$1000,9,FALSE)="","",VLOOKUP(A274,'1) Kpler'!$E$2:$P$1000,9,FALSE))</f>
        <v>46134.89583</v>
      </c>
      <c r="X274" s="115" t="str">
        <f>VLOOKUP(A274,'1) Kpler'!$E$2:$I$1000,4,FALSE)</f>
        <v>loaded</v>
      </c>
      <c r="Y274" s="117" t="str">
        <f t="shared" si="40"/>
        <v/>
      </c>
      <c r="Z274" s="120" t="str">
        <f t="shared" si="41"/>
        <v/>
      </c>
      <c r="AA274" s="121" t="str">
        <f>IFERROR($M274+VLOOKUP($L274,'Voyage days'!$F$38:$H$89,3,FALSE),"")</f>
        <v/>
      </c>
      <c r="AB274" s="121" t="str">
        <f>IFERROR(N274+VLOOKUP($L274,'Voyage days'!$F$38:$H$89,3,FALSE),"")</f>
        <v/>
      </c>
      <c r="AC274" s="120" t="str">
        <f t="shared" si="42"/>
        <v>01-01 Jan</v>
      </c>
      <c r="AD274" s="121">
        <f>IFERROR($M274+VLOOKUP($L274,'Voyage days'!$F$94:$H$193,3,FALSE),"")</f>
        <v>2</v>
      </c>
      <c r="AE274" s="121">
        <f>IFERROR($N274+VLOOKUP($L274,'Voyage days'!$F$94:$H$193,3,FALSE),"")</f>
        <v>2</v>
      </c>
      <c r="AF274" s="120" t="str">
        <f t="shared" si="43"/>
        <v>03-03 Jan</v>
      </c>
      <c r="AG274" s="121">
        <f>IFERROR($M274+VLOOKUP($L274,'Voyage days'!$F$203:$H$256,3,FALSE),"")</f>
        <v>4</v>
      </c>
      <c r="AH274" s="121">
        <f>IFERROR($N274+VLOOKUP($L274,'Voyage days'!$F$203:$H$256,3,FALSE),"")</f>
        <v>4</v>
      </c>
      <c r="AI274" s="120" t="str">
        <f t="shared" si="44"/>
        <v>17-17 Jan</v>
      </c>
      <c r="AJ274" s="121">
        <f>IFERROR($M274+VLOOKUP($L274,'Voyage days'!$F$294:$H$377,3,FALSE),"")</f>
        <v>18</v>
      </c>
      <c r="AK274" s="121">
        <f>IFERROR($N274+VLOOKUP($L274,'Voyage days'!$F$294:$H$377,3,FALSE),"")</f>
        <v>18</v>
      </c>
      <c r="AL274" s="120" t="str">
        <f t="shared" si="45"/>
        <v>12-12 Jan</v>
      </c>
      <c r="AM274" s="121">
        <f>IFERROR($M274+VLOOKUP($L274,'Voyage days'!$F$382:$H$446,3,FALSE),"")</f>
        <v>13</v>
      </c>
      <c r="AN274" s="121">
        <f>IFERROR($N274+VLOOKUP($L274,'Voyage days'!$F$382:$H$446,3,FALSE),"")</f>
        <v>13</v>
      </c>
      <c r="AO274" s="120" t="str">
        <f t="shared" si="46"/>
        <v/>
      </c>
      <c r="AP274" s="121" t="str">
        <f>IFERROR($M274+VLOOKUP($L274,'Voyage days'!$F$483:$H$538,3,FALSE),"")</f>
        <v/>
      </c>
      <c r="AQ274" s="121" t="str">
        <f>IFERROR($N274+VLOOKUP($L274,'Voyage days'!$F$483:$H$538,3,FALSE),"")</f>
        <v/>
      </c>
      <c r="AR274" s="120" t="str">
        <f t="shared" si="47"/>
        <v/>
      </c>
      <c r="AS274" s="121" t="str">
        <f>IFERROR($M274+VLOOKUP($L274,'Voyage days'!$F$540:$H$613,3,FALSE),"")</f>
        <v/>
      </c>
      <c r="AT274" s="121" t="str">
        <f>IFERROR($N274+VLOOKUP($L274,'Voyage days'!$F$540:$H$613,3,FALSE),"")</f>
        <v/>
      </c>
      <c r="AU274" s="120" t="str">
        <f t="shared" si="48"/>
        <v/>
      </c>
      <c r="AV274" s="121" t="str">
        <f>IFERROR($M274+VLOOKUP($L274,'Voyage days'!$L$483:$N$535,3,FALSE),"")</f>
        <v/>
      </c>
      <c r="AW274" s="121" t="str">
        <f>IFERROR($N274+VLOOKUP($L274,'Voyage days'!$L$483:$N$535,3,FALSE),"")</f>
        <v/>
      </c>
      <c r="AX274" s="120" t="str">
        <f t="shared" si="49"/>
        <v/>
      </c>
      <c r="AY274" s="122" t="str">
        <f>IFERROR($M274+VLOOKUP($L274,'Voyage days'!$F$620:$H$646,3,FALSE),"")</f>
        <v/>
      </c>
      <c r="AZ274" s="122" t="str">
        <f>IFERROR($N274+VLOOKUP($L274,'Voyage days'!$F$620:$H$646,3,FALSE),"")</f>
        <v/>
      </c>
      <c r="BA274" s="120" t="str">
        <f t="shared" si="50"/>
        <v/>
      </c>
      <c r="BB274" s="123" t="str">
        <f>IFERROR($M274+VLOOKUP($L274,'Voyage days'!$F$702:$H$727,3,FALSE),"")</f>
        <v/>
      </c>
      <c r="BC274" s="120" t="str">
        <f t="shared" si="51"/>
        <v>19-19 Jan</v>
      </c>
      <c r="BD274" s="122">
        <f>IFERROR($M274+VLOOKUP($L274,'Voyage days'!$F$807:$H$878,3,FALSE),"")</f>
        <v>20</v>
      </c>
      <c r="BE274" s="122">
        <f>IFERROR($N274+VLOOKUP($L274,'Voyage days'!$F$807:$H$878,3,FALSE),"")</f>
        <v>20</v>
      </c>
      <c r="BF274" s="609"/>
      <c r="BG274" s="609"/>
      <c r="BH274" s="609"/>
      <c r="BI274" s="609"/>
      <c r="BJ274" s="609"/>
      <c r="BK274" s="609"/>
      <c r="BL274" s="609"/>
      <c r="BM274" s="609"/>
    </row>
    <row r="275" ht="15.75" customHeight="1">
      <c r="A275" s="613" t="s">
        <v>1208</v>
      </c>
      <c r="B275" s="222">
        <v>42886.0</v>
      </c>
      <c r="C275" s="1101">
        <v>84000.0</v>
      </c>
      <c r="D275" s="308" t="s">
        <v>2964</v>
      </c>
      <c r="E275" s="223"/>
      <c r="F275" s="1198"/>
      <c r="G275" s="1011"/>
      <c r="H275" s="223"/>
      <c r="I275" s="614" t="s">
        <v>1201</v>
      </c>
      <c r="J275" s="312"/>
      <c r="K275" s="469"/>
      <c r="L275" s="463" t="s">
        <v>1198</v>
      </c>
      <c r="M275" s="173"/>
      <c r="N275" s="173"/>
      <c r="O275" s="174"/>
      <c r="P275" s="312"/>
      <c r="Q275" s="463"/>
      <c r="R275" s="463" t="s">
        <v>3199</v>
      </c>
      <c r="S275" s="223"/>
      <c r="T275" s="1179"/>
      <c r="U275" s="177" t="str">
        <f>IF(V275="","No AIS",VLOOKUP(V275,'Voyage days'!$A$3:$B$1480,2,FALSE))</f>
        <v>USG</v>
      </c>
      <c r="V275" s="178" t="str">
        <f>IF(VLOOKUP(A275,'1) Kpler'!$E$2:$P$1000,8, FALSE)="","",VLOOKUP(A275,'1) Kpler'!$E$2:$P$1000,8, FALSE))</f>
        <v>Energy Transfer Nederland</v>
      </c>
      <c r="W275" s="179">
        <f>IF(VLOOKUP(A275,'1) Kpler'!$E$2:$P$1000,9,FALSE)="","",VLOOKUP(A275,'1) Kpler'!$E$2:$P$1000,9,FALSE))</f>
        <v>46132.54167</v>
      </c>
      <c r="X275" s="178" t="str">
        <f>VLOOKUP(A275,'1) Kpler'!$E$2:$I$1000,4,FALSE)</f>
        <v>ballast</v>
      </c>
      <c r="Y275" s="120" t="str">
        <f t="shared" si="40"/>
        <v/>
      </c>
      <c r="Z275" s="120" t="str">
        <f t="shared" si="41"/>
        <v/>
      </c>
      <c r="AA275" s="121" t="str">
        <f>IFERROR($M275+VLOOKUP($L275,'Voyage days'!$F$38:$H$89,3,FALSE),"")</f>
        <v/>
      </c>
      <c r="AB275" s="121" t="str">
        <f>IFERROR(N275+VLOOKUP($L275,'Voyage days'!$F$38:$H$89,3,FALSE),"")</f>
        <v/>
      </c>
      <c r="AC275" s="120" t="str">
        <f t="shared" si="42"/>
        <v>01-01 Jan</v>
      </c>
      <c r="AD275" s="121">
        <f>IFERROR($M275+VLOOKUP($L275,'Voyage days'!$F$94:$H$193,3,FALSE),"")</f>
        <v>2</v>
      </c>
      <c r="AE275" s="121">
        <f>IFERROR($N275+VLOOKUP($L275,'Voyage days'!$F$94:$H$193,3,FALSE),"")</f>
        <v>2</v>
      </c>
      <c r="AF275" s="120" t="str">
        <f t="shared" si="43"/>
        <v>03-03 Jan</v>
      </c>
      <c r="AG275" s="121">
        <f>IFERROR($M275+VLOOKUP($L275,'Voyage days'!$F$203:$H$256,3,FALSE),"")</f>
        <v>4</v>
      </c>
      <c r="AH275" s="121">
        <f>IFERROR($N275+VLOOKUP($L275,'Voyage days'!$F$203:$H$256,3,FALSE),"")</f>
        <v>4</v>
      </c>
      <c r="AI275" s="120" t="str">
        <f t="shared" si="44"/>
        <v>17-17 Jan</v>
      </c>
      <c r="AJ275" s="121">
        <f>IFERROR($M275+VLOOKUP($L275,'Voyage days'!$F$294:$H$377,3,FALSE),"")</f>
        <v>18</v>
      </c>
      <c r="AK275" s="121">
        <f>IFERROR($N275+VLOOKUP($L275,'Voyage days'!$F$294:$H$377,3,FALSE),"")</f>
        <v>18</v>
      </c>
      <c r="AL275" s="120" t="str">
        <f t="shared" si="45"/>
        <v>12-12 Jan</v>
      </c>
      <c r="AM275" s="121">
        <f>IFERROR($M275+VLOOKUP($L275,'Voyage days'!$F$382:$H$446,3,FALSE),"")</f>
        <v>13</v>
      </c>
      <c r="AN275" s="121">
        <f>IFERROR($N275+VLOOKUP($L275,'Voyage days'!$F$382:$H$446,3,FALSE),"")</f>
        <v>13</v>
      </c>
      <c r="AO275" s="120" t="str">
        <f t="shared" si="46"/>
        <v/>
      </c>
      <c r="AP275" s="121" t="str">
        <f>IFERROR($M275+VLOOKUP($L275,'Voyage days'!$F$483:$H$538,3,FALSE),"")</f>
        <v/>
      </c>
      <c r="AQ275" s="121" t="str">
        <f>IFERROR($N275+VLOOKUP($L275,'Voyage days'!$F$483:$H$538,3,FALSE),"")</f>
        <v/>
      </c>
      <c r="AR275" s="120" t="str">
        <f t="shared" si="47"/>
        <v/>
      </c>
      <c r="AS275" s="121" t="str">
        <f>IFERROR($M275+VLOOKUP($L275,'Voyage days'!$F$540:$H$613,3,FALSE),"")</f>
        <v/>
      </c>
      <c r="AT275" s="121" t="str">
        <f>IFERROR($N275+VLOOKUP($L275,'Voyage days'!$F$540:$H$613,3,FALSE),"")</f>
        <v/>
      </c>
      <c r="AU275" s="120" t="str">
        <f t="shared" si="48"/>
        <v/>
      </c>
      <c r="AV275" s="121" t="str">
        <f>IFERROR($M275+VLOOKUP($L275,'Voyage days'!$L$483:$N$535,3,FALSE),"")</f>
        <v/>
      </c>
      <c r="AW275" s="121" t="str">
        <f>IFERROR($N275+VLOOKUP($L275,'Voyage days'!$L$483:$N$535,3,FALSE),"")</f>
        <v/>
      </c>
      <c r="AX275" s="120" t="str">
        <f t="shared" si="49"/>
        <v/>
      </c>
      <c r="AY275" s="122" t="str">
        <f>IFERROR($M275+VLOOKUP($L275,'Voyage days'!$F$620:$H$646,3,FALSE),"")</f>
        <v/>
      </c>
      <c r="AZ275" s="122" t="str">
        <f>IFERROR($N275+VLOOKUP($L275,'Voyage days'!$F$620:$H$646,3,FALSE),"")</f>
        <v/>
      </c>
      <c r="BA275" s="120" t="str">
        <f t="shared" si="50"/>
        <v/>
      </c>
      <c r="BB275" s="123" t="str">
        <f>IFERROR($M275+VLOOKUP($L275,'Voyage days'!$F$702:$H$727,3,FALSE),"")</f>
        <v/>
      </c>
      <c r="BC275" s="120" t="str">
        <f t="shared" si="51"/>
        <v>19-19 Jan</v>
      </c>
      <c r="BD275" s="122">
        <f>IFERROR($M275+VLOOKUP($L275,'Voyage days'!$F$807:$H$878,3,FALSE),"")</f>
        <v>20</v>
      </c>
      <c r="BE275" s="122">
        <f>IFERROR($N275+VLOOKUP($L275,'Voyage days'!$F$807:$H$878,3,FALSE),"")</f>
        <v>20</v>
      </c>
      <c r="BF275" s="609"/>
      <c r="BG275" s="609"/>
      <c r="BH275" s="609"/>
      <c r="BI275" s="609"/>
      <c r="BJ275" s="609"/>
      <c r="BK275" s="609"/>
      <c r="BL275" s="609"/>
      <c r="BM275" s="609"/>
    </row>
    <row r="276" ht="15.75" customHeight="1">
      <c r="A276" s="271" t="s">
        <v>1215</v>
      </c>
      <c r="B276" s="148">
        <v>2022.0</v>
      </c>
      <c r="C276" s="1045">
        <v>91000.0</v>
      </c>
      <c r="D276" s="150" t="s">
        <v>1687</v>
      </c>
      <c r="E276" s="149" t="s">
        <v>666</v>
      </c>
      <c r="F276" s="1182"/>
      <c r="G276" s="1015">
        <v>45689.0</v>
      </c>
      <c r="H276" s="149"/>
      <c r="I276" s="611" t="s">
        <v>1212</v>
      </c>
      <c r="J276" s="536"/>
      <c r="K276" s="470" t="str">
        <f t="shared" ref="K276:K321" si="53">IF(W276="","NO AIS",IF((W276-M276-1)&gt;0,"Update",""))</f>
        <v>Update</v>
      </c>
      <c r="L276" s="1199" t="s">
        <v>1267</v>
      </c>
      <c r="M276" s="238">
        <v>45789.0</v>
      </c>
      <c r="N276" s="238">
        <v>45792.0</v>
      </c>
      <c r="O276" s="155"/>
      <c r="P276" s="536" t="s">
        <v>1215</v>
      </c>
      <c r="Q276" s="157"/>
      <c r="R276" s="153" t="s">
        <v>3201</v>
      </c>
      <c r="S276" s="256" t="s">
        <v>2962</v>
      </c>
      <c r="T276" s="1200">
        <v>45784.0</v>
      </c>
      <c r="U276" s="114" t="str">
        <f>IF(V276="","No AIS",VLOOKUP(V276,'Voyage days'!$A$3:$B$1480,2,FALSE))</f>
        <v>WCI + 5</v>
      </c>
      <c r="V276" s="114" t="str">
        <f>IF(VLOOKUP(A276,'1) Kpler'!$E$2:$P$1000,8, FALSE)="","",VLOOKUP(A276,'1) Kpler'!$E$2:$P$1000,8, FALSE))</f>
        <v>Mangalore</v>
      </c>
      <c r="W276" s="159">
        <f>IF(VLOOKUP(A276,'1) Kpler'!$E$2:$P$1000,9,FALSE)="","",VLOOKUP(A276,'1) Kpler'!$E$2:$P$1000,9,FALSE))</f>
        <v>46133.41667</v>
      </c>
      <c r="X276" s="114" t="str">
        <f>VLOOKUP(A276,'1) Kpler'!$E$2:$I$1000,4,FALSE)</f>
        <v>loaded</v>
      </c>
      <c r="Y276" s="296" t="str">
        <f t="shared" si="40"/>
        <v/>
      </c>
      <c r="Z276" s="163" t="str">
        <f t="shared" si="41"/>
        <v/>
      </c>
      <c r="AA276" s="122" t="str">
        <f>IFERROR($M276+VLOOKUP($L276,'Voyage days'!$F$38:$H$89,3,FALSE),"")</f>
        <v/>
      </c>
      <c r="AB276" s="122" t="str">
        <f>IFERROR(N276+VLOOKUP($L276,'Voyage days'!$F$38:$H$89,3,FALSE),"")</f>
        <v/>
      </c>
      <c r="AC276" s="163" t="str">
        <f t="shared" si="42"/>
        <v>25-28 May</v>
      </c>
      <c r="AD276" s="122">
        <f>IFERROR($M276+VLOOKUP($L276,'Voyage days'!$F$94:$H$193,3,FALSE),"")</f>
        <v>45802</v>
      </c>
      <c r="AE276" s="122">
        <f>IFERROR($N276+VLOOKUP($L276,'Voyage days'!$F$94:$H$193,3,FALSE),"")</f>
        <v>45805</v>
      </c>
      <c r="AF276" s="163" t="str">
        <f t="shared" si="43"/>
        <v>26-29 May</v>
      </c>
      <c r="AG276" s="122">
        <f>IFERROR($M276+VLOOKUP($L276,'Voyage days'!$F$203:$H$256,3,FALSE),"")</f>
        <v>45803</v>
      </c>
      <c r="AH276" s="122">
        <f>IFERROR($N276+VLOOKUP($L276,'Voyage days'!$F$203:$H$256,3,FALSE),"")</f>
        <v>45806</v>
      </c>
      <c r="AI276" s="163" t="str">
        <f t="shared" si="44"/>
        <v>21-24 May</v>
      </c>
      <c r="AJ276" s="122">
        <f>IFERROR($M276+VLOOKUP($L276,'Voyage days'!$F$294:$H$377,3,FALSE),"")</f>
        <v>45798</v>
      </c>
      <c r="AK276" s="122">
        <f>IFERROR($N276+VLOOKUP($L276,'Voyage days'!$F$294:$H$377,3,FALSE),"")</f>
        <v>45801</v>
      </c>
      <c r="AL276" s="163" t="str">
        <f t="shared" si="45"/>
        <v>13-16 May</v>
      </c>
      <c r="AM276" s="122">
        <f>IFERROR($M276+VLOOKUP($L276,'Voyage days'!$F$382:$H$446,3,FALSE),"")</f>
        <v>45790</v>
      </c>
      <c r="AN276" s="122">
        <f>IFERROR($N276+VLOOKUP($L276,'Voyage days'!$F$382:$H$446,3,FALSE),"")</f>
        <v>45793</v>
      </c>
      <c r="AO276" s="163" t="str">
        <f t="shared" si="46"/>
        <v/>
      </c>
      <c r="AP276" s="122" t="str">
        <f>IFERROR($M276+VLOOKUP($L276,'Voyage days'!$F$483:$H$538,3,FALSE),"")</f>
        <v/>
      </c>
      <c r="AQ276" s="122" t="str">
        <f>IFERROR($N276+VLOOKUP($L276,'Voyage days'!$F$483:$H$538,3,FALSE),"")</f>
        <v/>
      </c>
      <c r="AR276" s="163" t="str">
        <f t="shared" si="47"/>
        <v/>
      </c>
      <c r="AS276" s="122" t="str">
        <f>IFERROR($M276+VLOOKUP($L276,'Voyage days'!$F$540:$H$613,3,FALSE),"")</f>
        <v/>
      </c>
      <c r="AT276" s="122" t="str">
        <f>IFERROR($N276+VLOOKUP($L276,'Voyage days'!$F$540:$H$613,3,FALSE),"")</f>
        <v/>
      </c>
      <c r="AU276" s="163" t="str">
        <f t="shared" si="48"/>
        <v/>
      </c>
      <c r="AV276" s="122" t="str">
        <f>IFERROR($M276+VLOOKUP($L276,'Voyage days'!$L$483:$N$535,3,FALSE),"")</f>
        <v/>
      </c>
      <c r="AW276" s="122" t="str">
        <f>IFERROR($N276+VLOOKUP($L276,'Voyage days'!$L$483:$N$535,3,FALSE),"")</f>
        <v/>
      </c>
      <c r="AX276" s="163" t="str">
        <f t="shared" si="49"/>
        <v/>
      </c>
      <c r="AY276" s="122" t="str">
        <f>IFERROR($M276+VLOOKUP($L276,'Voyage days'!$F$620:$H$646,3,FALSE),"")</f>
        <v/>
      </c>
      <c r="AZ276" s="122" t="str">
        <f>IFERROR($N276+VLOOKUP($L276,'Voyage days'!$F$620:$H$646,3,FALSE),"")</f>
        <v/>
      </c>
      <c r="BA276" s="163" t="str">
        <f t="shared" si="50"/>
        <v/>
      </c>
      <c r="BB276" s="123" t="str">
        <f>IFERROR($M276+VLOOKUP($L276,'Voyage days'!$F$702:$H$727,3,FALSE),"")</f>
        <v/>
      </c>
      <c r="BC276" s="163" t="str">
        <f t="shared" si="51"/>
        <v>20-23 May</v>
      </c>
      <c r="BD276" s="122">
        <f>IFERROR($M276+VLOOKUP($L276,'Voyage days'!$F$807:$H$878,3,FALSE),"")</f>
        <v>45797</v>
      </c>
      <c r="BE276" s="122">
        <f>IFERROR($N276+VLOOKUP($L276,'Voyage days'!$F$807:$H$878,3,FALSE),"")</f>
        <v>45800</v>
      </c>
      <c r="BF276" s="609"/>
      <c r="BG276" s="609"/>
      <c r="BH276" s="609"/>
      <c r="BI276" s="609"/>
      <c r="BJ276" s="609"/>
      <c r="BK276" s="609"/>
      <c r="BL276" s="609"/>
      <c r="BM276" s="609"/>
    </row>
    <row r="277" ht="15.75" customHeight="1">
      <c r="A277" s="100" t="s">
        <v>3202</v>
      </c>
      <c r="B277" s="101">
        <v>42269.0</v>
      </c>
      <c r="C277" s="1045">
        <v>83000.0</v>
      </c>
      <c r="D277" s="104" t="s">
        <v>1687</v>
      </c>
      <c r="E277" s="103"/>
      <c r="F277" s="1137">
        <v>44032.0</v>
      </c>
      <c r="G277" s="605">
        <v>45839.0</v>
      </c>
      <c r="H277" s="103"/>
      <c r="I277" s="299" t="s">
        <v>1212</v>
      </c>
      <c r="J277" s="111" t="s">
        <v>2937</v>
      </c>
      <c r="K277" s="336" t="str">
        <f t="shared" si="53"/>
        <v>Update</v>
      </c>
      <c r="L277" s="108" t="s">
        <v>1205</v>
      </c>
      <c r="M277" s="109">
        <v>45792.0</v>
      </c>
      <c r="N277" s="109">
        <v>45793.0</v>
      </c>
      <c r="O277" s="110"/>
      <c r="P277" s="111"/>
      <c r="Q277" s="185"/>
      <c r="R277" s="108" t="s">
        <v>3203</v>
      </c>
      <c r="S277" s="616" t="s">
        <v>2962</v>
      </c>
      <c r="T277" s="113">
        <v>45784.0</v>
      </c>
      <c r="U277" s="114" t="str">
        <f>IF(V277="","No AIS",VLOOKUP(V277,'Voyage days'!$A$3:$B$1480,2,FALSE))</f>
        <v>USG</v>
      </c>
      <c r="V277" s="115" t="str">
        <f>IF(VLOOKUP(A277,'1) Kpler'!$E$2:$P$1000,8, FALSE)="","",VLOOKUP(A277,'1) Kpler'!$E$2:$P$1000,8, FALSE))</f>
        <v>Houston</v>
      </c>
      <c r="W277" s="116">
        <f>IF(VLOOKUP(A277,'1) Kpler'!$E$2:$P$1000,9,FALSE)="","",VLOOKUP(A277,'1) Kpler'!$E$2:$P$1000,9,FALSE))</f>
        <v>46165.45833</v>
      </c>
      <c r="X277" s="115" t="str">
        <f>VLOOKUP(A277,'1) Kpler'!$E$2:$I$1000,4,FALSE)</f>
        <v>ballast</v>
      </c>
      <c r="Y277" s="160" t="str">
        <f t="shared" si="40"/>
        <v/>
      </c>
      <c r="Z277" s="120" t="str">
        <f t="shared" si="41"/>
        <v/>
      </c>
      <c r="AA277" s="121" t="str">
        <f>IFERROR($M277+VLOOKUP($L277,'Voyage days'!$F$38:$H$89,3,FALSE),"")</f>
        <v/>
      </c>
      <c r="AB277" s="121" t="str">
        <f>IFERROR(N277+VLOOKUP($L277,'Voyage days'!$F$38:$H$89,3,FALSE),"")</f>
        <v/>
      </c>
      <c r="AC277" s="120" t="str">
        <f t="shared" si="42"/>
        <v>27-28 May</v>
      </c>
      <c r="AD277" s="121">
        <f>IFERROR($M277+VLOOKUP($L277,'Voyage days'!$F$94:$H$193,3,FALSE),"")</f>
        <v>45804</v>
      </c>
      <c r="AE277" s="121">
        <f>IFERROR($N277+VLOOKUP($L277,'Voyage days'!$F$94:$H$193,3,FALSE),"")</f>
        <v>45805</v>
      </c>
      <c r="AF277" s="120" t="str">
        <f t="shared" si="43"/>
        <v>27-28 May</v>
      </c>
      <c r="AG277" s="121">
        <f>IFERROR($M277+VLOOKUP($L277,'Voyage days'!$F$203:$H$256,3,FALSE),"")</f>
        <v>45804</v>
      </c>
      <c r="AH277" s="121">
        <f>IFERROR($N277+VLOOKUP($L277,'Voyage days'!$F$203:$H$256,3,FALSE),"")</f>
        <v>45805</v>
      </c>
      <c r="AI277" s="120" t="str">
        <f t="shared" si="44"/>
        <v>22-23 May</v>
      </c>
      <c r="AJ277" s="121">
        <f>IFERROR($M277+VLOOKUP($L277,'Voyage days'!$F$294:$H$377,3,FALSE),"")</f>
        <v>45799</v>
      </c>
      <c r="AK277" s="121">
        <f>IFERROR($N277+VLOOKUP($L277,'Voyage days'!$F$294:$H$377,3,FALSE),"")</f>
        <v>45800</v>
      </c>
      <c r="AL277" s="120" t="str">
        <f t="shared" si="45"/>
        <v>25-26 May</v>
      </c>
      <c r="AM277" s="121">
        <f>IFERROR($M277+VLOOKUP($L277,'Voyage days'!$F$382:$H$446,3,FALSE),"")</f>
        <v>45802</v>
      </c>
      <c r="AN277" s="121">
        <f>IFERROR($N277+VLOOKUP($L277,'Voyage days'!$F$382:$H$446,3,FALSE),"")</f>
        <v>45803</v>
      </c>
      <c r="AO277" s="120" t="str">
        <f t="shared" si="46"/>
        <v/>
      </c>
      <c r="AP277" s="121" t="str">
        <f>IFERROR($M277+VLOOKUP($L277,'Voyage days'!$F$483:$H$538,3,FALSE),"")</f>
        <v/>
      </c>
      <c r="AQ277" s="121" t="str">
        <f>IFERROR($N277+VLOOKUP($L277,'Voyage days'!$F$483:$H$538,3,FALSE),"")</f>
        <v/>
      </c>
      <c r="AR277" s="120" t="str">
        <f t="shared" si="47"/>
        <v/>
      </c>
      <c r="AS277" s="121" t="str">
        <f>IFERROR($M277+VLOOKUP($L277,'Voyage days'!$F$540:$H$613,3,FALSE),"")</f>
        <v/>
      </c>
      <c r="AT277" s="121" t="str">
        <f>IFERROR($N277+VLOOKUP($L277,'Voyage days'!$F$540:$H$613,3,FALSE),"")</f>
        <v/>
      </c>
      <c r="AU277" s="120" t="str">
        <f t="shared" si="48"/>
        <v/>
      </c>
      <c r="AV277" s="121" t="str">
        <f>IFERROR($M277+VLOOKUP($L277,'Voyage days'!$L$483:$N$535,3,FALSE),"")</f>
        <v/>
      </c>
      <c r="AW277" s="121" t="str">
        <f>IFERROR($N277+VLOOKUP($L277,'Voyage days'!$L$483:$N$535,3,FALSE),"")</f>
        <v/>
      </c>
      <c r="AX277" s="120" t="str">
        <f t="shared" si="49"/>
        <v/>
      </c>
      <c r="AY277" s="122" t="str">
        <f>IFERROR($M277+VLOOKUP($L277,'Voyage days'!$F$620:$H$646,3,FALSE),"")</f>
        <v/>
      </c>
      <c r="AZ277" s="122" t="str">
        <f>IFERROR($N277+VLOOKUP($L277,'Voyage days'!$F$620:$H$646,3,FALSE),"")</f>
        <v/>
      </c>
      <c r="BA277" s="120" t="str">
        <f t="shared" si="50"/>
        <v/>
      </c>
      <c r="BB277" s="123" t="str">
        <f>IFERROR($M277+VLOOKUP($L277,'Voyage days'!$F$702:$H$727,3,FALSE),"")</f>
        <v/>
      </c>
      <c r="BC277" s="120" t="str">
        <f t="shared" si="51"/>
        <v/>
      </c>
      <c r="BD277" s="122" t="str">
        <f>IFERROR($M277+VLOOKUP($L277,'Voyage days'!$F$807:$H$878,3,FALSE),"")</f>
        <v/>
      </c>
      <c r="BE277" s="122" t="str">
        <f>IFERROR($N277+VLOOKUP($L277,'Voyage days'!$F$807:$H$878,3,FALSE),"")</f>
        <v/>
      </c>
      <c r="BF277" s="609"/>
      <c r="BG277" s="609"/>
      <c r="BH277" s="609"/>
      <c r="BI277" s="609"/>
      <c r="BJ277" s="609"/>
      <c r="BK277" s="609"/>
      <c r="BL277" s="609"/>
      <c r="BM277" s="609"/>
    </row>
    <row r="278" ht="15.75" customHeight="1">
      <c r="A278" s="100" t="s">
        <v>231</v>
      </c>
      <c r="B278" s="148">
        <v>2022.0</v>
      </c>
      <c r="C278" s="1045">
        <v>91000.0</v>
      </c>
      <c r="D278" s="104" t="s">
        <v>1687</v>
      </c>
      <c r="E278" s="103" t="s">
        <v>666</v>
      </c>
      <c r="F278" s="604"/>
      <c r="G278" s="605">
        <v>46661.0</v>
      </c>
      <c r="H278" s="103"/>
      <c r="I278" s="299" t="s">
        <v>1212</v>
      </c>
      <c r="J278" s="111"/>
      <c r="K278" s="336" t="str">
        <f t="shared" si="53"/>
        <v>Update</v>
      </c>
      <c r="L278" s="108" t="s">
        <v>680</v>
      </c>
      <c r="M278" s="109">
        <v>45810.0</v>
      </c>
      <c r="N278" s="109">
        <v>45811.0</v>
      </c>
      <c r="O278" s="110"/>
      <c r="P278" s="108"/>
      <c r="Q278" s="108" t="s">
        <v>3204</v>
      </c>
      <c r="R278" s="108"/>
      <c r="S278" s="112" t="s">
        <v>2962</v>
      </c>
      <c r="T278" s="113">
        <v>45784.0</v>
      </c>
      <c r="U278" s="114" t="str">
        <f>IF(V278="","No AIS",VLOOKUP(V278,'Voyage days'!$A$3:$B$1480,2,FALSE))</f>
        <v>India?/SG-JP?</v>
      </c>
      <c r="V278" s="115" t="str">
        <f>IF(VLOOKUP(A278,'1) Kpler'!$E$2:$P$1000,8, FALSE)="","",VLOOKUP(A278,'1) Kpler'!$E$2:$P$1000,8, FALSE))</f>
        <v>Eastern Asia</v>
      </c>
      <c r="W278" s="116">
        <f>IF(VLOOKUP(A278,'1) Kpler'!$E$2:$P$1000,9,FALSE)="","",VLOOKUP(A278,'1) Kpler'!$E$2:$P$1000,9,FALSE))</f>
        <v>46157.46389</v>
      </c>
      <c r="X278" s="115" t="str">
        <f>VLOOKUP(A278,'1) Kpler'!$E$2:$I$1000,4,FALSE)</f>
        <v>loaded</v>
      </c>
      <c r="Y278" s="117" t="str">
        <f t="shared" si="40"/>
        <v/>
      </c>
      <c r="Z278" s="120" t="str">
        <f t="shared" si="41"/>
        <v/>
      </c>
      <c r="AA278" s="121" t="str">
        <f>IFERROR($M278+VLOOKUP($L278,'Voyage days'!$F$38:$H$89,3,FALSE),"")</f>
        <v/>
      </c>
      <c r="AB278" s="121" t="str">
        <f>IFERROR(N278+VLOOKUP($L278,'Voyage days'!$F$38:$H$89,3,FALSE),"")</f>
        <v/>
      </c>
      <c r="AC278" s="120" t="str">
        <f t="shared" si="42"/>
        <v>02-03 Jun</v>
      </c>
      <c r="AD278" s="121">
        <f>IFERROR($M278+VLOOKUP($L278,'Voyage days'!$F$94:$H$193,3,FALSE),"")</f>
        <v>45810</v>
      </c>
      <c r="AE278" s="121">
        <f>IFERROR($N278+VLOOKUP($L278,'Voyage days'!$F$94:$H$193,3,FALSE),"")</f>
        <v>45811</v>
      </c>
      <c r="AF278" s="120" t="str">
        <f t="shared" si="43"/>
        <v>02-03 Jun</v>
      </c>
      <c r="AG278" s="121">
        <f>IFERROR($M278+VLOOKUP($L278,'Voyage days'!$F$203:$H$256,3,FALSE),"")</f>
        <v>45810</v>
      </c>
      <c r="AH278" s="121">
        <f>IFERROR($N278+VLOOKUP($L278,'Voyage days'!$F$203:$H$256,3,FALSE),"")</f>
        <v>45811</v>
      </c>
      <c r="AI278" s="120" t="str">
        <f t="shared" si="44"/>
        <v/>
      </c>
      <c r="AJ278" s="121" t="str">
        <f>IFERROR($M278+VLOOKUP($L278,'Voyage days'!$F$294:$H$377,3,FALSE),"")</f>
        <v/>
      </c>
      <c r="AK278" s="121" t="str">
        <f>IFERROR($N278+VLOOKUP($L278,'Voyage days'!$F$294:$H$377,3,FALSE),"")</f>
        <v/>
      </c>
      <c r="AL278" s="120" t="str">
        <f t="shared" si="45"/>
        <v>22-23 Jun</v>
      </c>
      <c r="AM278" s="121">
        <f>IFERROR($M278+VLOOKUP($L278,'Voyage days'!$F$382:$H$446,3,FALSE),"")</f>
        <v>45830</v>
      </c>
      <c r="AN278" s="121">
        <f>IFERROR($N278+VLOOKUP($L278,'Voyage days'!$F$382:$H$446,3,FALSE),"")</f>
        <v>45831</v>
      </c>
      <c r="AO278" s="120" t="str">
        <f t="shared" si="46"/>
        <v/>
      </c>
      <c r="AP278" s="121" t="str">
        <f>IFERROR($M278+VLOOKUP($L278,'Voyage days'!$F$483:$H$538,3,FALSE),"")</f>
        <v/>
      </c>
      <c r="AQ278" s="121" t="str">
        <f>IFERROR($N278+VLOOKUP($L278,'Voyage days'!$F$483:$H$538,3,FALSE),"")</f>
        <v/>
      </c>
      <c r="AR278" s="120" t="str">
        <f t="shared" si="47"/>
        <v/>
      </c>
      <c r="AS278" s="121" t="str">
        <f>IFERROR($M278+VLOOKUP($L278,'Voyage days'!$F$540:$H$613,3,FALSE),"")</f>
        <v/>
      </c>
      <c r="AT278" s="121" t="str">
        <f>IFERROR($N278+VLOOKUP($L278,'Voyage days'!$F$540:$H$613,3,FALSE),"")</f>
        <v/>
      </c>
      <c r="AU278" s="120" t="str">
        <f t="shared" si="48"/>
        <v/>
      </c>
      <c r="AV278" s="121" t="str">
        <f>IFERROR($M278+VLOOKUP($L278,'Voyage days'!$L$483:$N$535,3,FALSE),"")</f>
        <v/>
      </c>
      <c r="AW278" s="121" t="str">
        <f>IFERROR($N278+VLOOKUP($L278,'Voyage days'!$L$483:$N$535,3,FALSE),"")</f>
        <v/>
      </c>
      <c r="AX278" s="120" t="str">
        <f t="shared" si="49"/>
        <v/>
      </c>
      <c r="AY278" s="122" t="str">
        <f>IFERROR($M278+VLOOKUP($L278,'Voyage days'!$F$620:$H$646,3,FALSE),"")</f>
        <v/>
      </c>
      <c r="AZ278" s="122" t="str">
        <f>IFERROR($N278+VLOOKUP($L278,'Voyage days'!$F$620:$H$646,3,FALSE),"")</f>
        <v/>
      </c>
      <c r="BA278" s="120" t="str">
        <f t="shared" si="50"/>
        <v/>
      </c>
      <c r="BB278" s="123" t="str">
        <f>IFERROR($M278+VLOOKUP($L278,'Voyage days'!$F$702:$H$727,3,FALSE),"")</f>
        <v/>
      </c>
      <c r="BC278" s="120" t="str">
        <f t="shared" si="51"/>
        <v/>
      </c>
      <c r="BD278" s="122" t="str">
        <f>IFERROR($M278+VLOOKUP($L278,'Voyage days'!$F$807:$H$878,3,FALSE),"")</f>
        <v/>
      </c>
      <c r="BE278" s="122" t="str">
        <f>IFERROR($N278+VLOOKUP($L278,'Voyage days'!$F$807:$H$878,3,FALSE),"")</f>
        <v/>
      </c>
      <c r="BF278" s="609"/>
      <c r="BG278" s="609"/>
      <c r="BH278" s="609"/>
      <c r="BI278" s="609"/>
      <c r="BJ278" s="609"/>
      <c r="BK278" s="609"/>
      <c r="BL278" s="609"/>
      <c r="BM278" s="609"/>
    </row>
    <row r="279" ht="15.75" customHeight="1">
      <c r="A279" s="100" t="s">
        <v>359</v>
      </c>
      <c r="B279" s="101">
        <v>42377.0</v>
      </c>
      <c r="C279" s="1045">
        <v>84000.0</v>
      </c>
      <c r="D279" s="104" t="s">
        <v>1687</v>
      </c>
      <c r="E279" s="103"/>
      <c r="F279" s="604">
        <v>44550.0</v>
      </c>
      <c r="G279" s="605">
        <v>45992.0</v>
      </c>
      <c r="H279" s="103"/>
      <c r="I279" s="299" t="s">
        <v>1212</v>
      </c>
      <c r="J279" s="111" t="s">
        <v>3133</v>
      </c>
      <c r="K279" s="336" t="str">
        <f t="shared" si="53"/>
        <v>Update</v>
      </c>
      <c r="L279" s="108" t="s">
        <v>720</v>
      </c>
      <c r="M279" s="109">
        <v>45791.0</v>
      </c>
      <c r="N279" s="109">
        <v>45792.0</v>
      </c>
      <c r="O279" s="110"/>
      <c r="P279" s="1156"/>
      <c r="Q279" s="185"/>
      <c r="R279" s="108" t="s">
        <v>3205</v>
      </c>
      <c r="S279" s="616" t="s">
        <v>2962</v>
      </c>
      <c r="T279" s="113">
        <v>45784.0</v>
      </c>
      <c r="U279" s="114" t="str">
        <f>IF(V279="","No AIS",VLOOKUP(V279,'Voyage days'!$A$3:$B$1480,2,FALSE))</f>
        <v>Cape (as proxy)</v>
      </c>
      <c r="V279" s="115" t="str">
        <f>IF(VLOOKUP(A279,'1) Kpler'!$E$2:$P$1000,8, FALSE)="","",VLOOKUP(A279,'1) Kpler'!$E$2:$P$1000,8, FALSE))</f>
        <v>Cape Town</v>
      </c>
      <c r="W279" s="116">
        <f>IF(VLOOKUP(A279,'1) Kpler'!$E$2:$P$1000,9,FALSE)="","",VLOOKUP(A279,'1) Kpler'!$E$2:$P$1000,9,FALSE))</f>
        <v>46132.66667</v>
      </c>
      <c r="X279" s="115" t="str">
        <f>VLOOKUP(A279,'1) Kpler'!$E$2:$I$1000,4,FALSE)</f>
        <v>ballast</v>
      </c>
      <c r="Y279" s="160" t="str">
        <f t="shared" si="40"/>
        <v>01-02 Jun</v>
      </c>
      <c r="Z279" s="120" t="str">
        <f t="shared" si="41"/>
        <v>01-02 Jun</v>
      </c>
      <c r="AA279" s="121">
        <f>IFERROR($M279+VLOOKUP($L279,'Voyage days'!$F$38:$H$89,3,FALSE),"")</f>
        <v>45809</v>
      </c>
      <c r="AB279" s="121">
        <f>IFERROR(N279+VLOOKUP($L279,'Voyage days'!$F$38:$H$89,3,FALSE),"")</f>
        <v>45810</v>
      </c>
      <c r="AC279" s="120" t="str">
        <f t="shared" si="42"/>
        <v>17-18 Jun</v>
      </c>
      <c r="AD279" s="121">
        <f>IFERROR($M279+VLOOKUP($L279,'Voyage days'!$F$94:$H$193,3,FALSE),"")</f>
        <v>45825</v>
      </c>
      <c r="AE279" s="121">
        <f>IFERROR($N279+VLOOKUP($L279,'Voyage days'!$F$94:$H$193,3,FALSE),"")</f>
        <v>45826</v>
      </c>
      <c r="AF279" s="120" t="str">
        <f t="shared" si="43"/>
        <v>24-25 Jun</v>
      </c>
      <c r="AG279" s="121">
        <f>IFERROR($M279+VLOOKUP($L279,'Voyage days'!$F$203:$H$256,3,FALSE),"")</f>
        <v>45832</v>
      </c>
      <c r="AH279" s="121">
        <f>IFERROR($N279+VLOOKUP($L279,'Voyage days'!$F$203:$H$256,3,FALSE),"")</f>
        <v>45833</v>
      </c>
      <c r="AI279" s="120" t="str">
        <f t="shared" si="44"/>
        <v>12-13 Jun</v>
      </c>
      <c r="AJ279" s="121">
        <f>IFERROR($M279+VLOOKUP($L279,'Voyage days'!$F$294:$H$377,3,FALSE),"")</f>
        <v>45820</v>
      </c>
      <c r="AK279" s="121">
        <f>IFERROR($N279+VLOOKUP($L279,'Voyage days'!$F$294:$H$377,3,FALSE),"")</f>
        <v>45821</v>
      </c>
      <c r="AL279" s="120" t="str">
        <f t="shared" si="45"/>
        <v>18-19 Jun</v>
      </c>
      <c r="AM279" s="121">
        <f>IFERROR($M279+VLOOKUP($L279,'Voyage days'!$F$382:$H$446,3,FALSE),"")</f>
        <v>45826</v>
      </c>
      <c r="AN279" s="121">
        <f>IFERROR($N279+VLOOKUP($L279,'Voyage days'!$F$382:$H$446,3,FALSE),"")</f>
        <v>45827</v>
      </c>
      <c r="AO279" s="120" t="str">
        <f t="shared" si="46"/>
        <v>28-29 May</v>
      </c>
      <c r="AP279" s="121">
        <f>IFERROR($M279+VLOOKUP($L279,'Voyage days'!$F$483:$H$538,3,FALSE),"")</f>
        <v>45805</v>
      </c>
      <c r="AQ279" s="121">
        <f>IFERROR($N279+VLOOKUP($L279,'Voyage days'!$F$483:$H$538,3,FALSE),"")</f>
        <v>45806</v>
      </c>
      <c r="AR279" s="120" t="str">
        <f t="shared" si="47"/>
        <v>22-23 May</v>
      </c>
      <c r="AS279" s="121">
        <f>IFERROR($M279+VLOOKUP($L279,'Voyage days'!$F$540:$H$613,3,FALSE),"")</f>
        <v>45799</v>
      </c>
      <c r="AT279" s="121">
        <f>IFERROR($N279+VLOOKUP($L279,'Voyage days'!$F$540:$H$613,3,FALSE),"")</f>
        <v>45800</v>
      </c>
      <c r="AU279" s="120" t="str">
        <f t="shared" si="48"/>
        <v/>
      </c>
      <c r="AV279" s="121" t="str">
        <f>IFERROR($M279+VLOOKUP($L279,'Voyage days'!$L$483:$N$535,3,FALSE),"")</f>
        <v/>
      </c>
      <c r="AW279" s="121" t="str">
        <f>IFERROR($N279+VLOOKUP($L279,'Voyage days'!$L$483:$N$535,3,FALSE),"")</f>
        <v/>
      </c>
      <c r="AX279" s="120" t="str">
        <f t="shared" si="49"/>
        <v>25-26 May</v>
      </c>
      <c r="AY279" s="122">
        <f>IFERROR($M279+VLOOKUP($L279,'Voyage days'!$F$620:$H$646,3,FALSE),"")</f>
        <v>45802</v>
      </c>
      <c r="AZ279" s="122">
        <f>IFERROR($N279+VLOOKUP($L279,'Voyage days'!$F$620:$H$646,3,FALSE),"")</f>
        <v>45803</v>
      </c>
      <c r="BA279" s="120" t="str">
        <f t="shared" si="50"/>
        <v>22-29 Jun</v>
      </c>
      <c r="BB279" s="123">
        <f>IFERROR($M279+VLOOKUP($L279,'Voyage days'!$F$702:$H$727,3,FALSE),"")</f>
        <v>45799</v>
      </c>
      <c r="BC279" s="120" t="str">
        <f t="shared" si="51"/>
        <v>28-29 Jun</v>
      </c>
      <c r="BD279" s="122">
        <f>IFERROR($M279+VLOOKUP($L279,'Voyage days'!$F$807:$H$878,3,FALSE),"")</f>
        <v>45836</v>
      </c>
      <c r="BE279" s="122">
        <f>IFERROR($N279+VLOOKUP($L279,'Voyage days'!$F$807:$H$878,3,FALSE),"")</f>
        <v>45837</v>
      </c>
      <c r="BF279" s="609"/>
      <c r="BG279" s="609"/>
      <c r="BH279" s="609"/>
      <c r="BI279" s="609"/>
      <c r="BJ279" s="609"/>
      <c r="BK279" s="609"/>
      <c r="BL279" s="609"/>
      <c r="BM279" s="609"/>
    </row>
    <row r="280" ht="15.75" customHeight="1">
      <c r="A280" s="341" t="s">
        <v>362</v>
      </c>
      <c r="B280" s="101">
        <v>42339.0</v>
      </c>
      <c r="C280" s="1045">
        <v>84000.0</v>
      </c>
      <c r="D280" s="104" t="s">
        <v>1687</v>
      </c>
      <c r="E280" s="103"/>
      <c r="F280" s="604">
        <v>44185.0</v>
      </c>
      <c r="G280" s="605">
        <v>45992.0</v>
      </c>
      <c r="H280" s="103"/>
      <c r="I280" s="299" t="s">
        <v>1212</v>
      </c>
      <c r="J280" s="185" t="s">
        <v>3133</v>
      </c>
      <c r="K280" s="336" t="str">
        <f t="shared" si="53"/>
        <v>Update</v>
      </c>
      <c r="L280" s="108" t="s">
        <v>680</v>
      </c>
      <c r="M280" s="109">
        <v>45820.0</v>
      </c>
      <c r="N280" s="109">
        <v>45821.0</v>
      </c>
      <c r="O280" s="110"/>
      <c r="P280" s="185"/>
      <c r="Q280" s="108" t="s">
        <v>3206</v>
      </c>
      <c r="R280" s="108"/>
      <c r="S280" s="112" t="s">
        <v>2962</v>
      </c>
      <c r="T280" s="113">
        <v>45784.0</v>
      </c>
      <c r="U280" s="114" t="str">
        <f>IF(V280="","No AIS",VLOOKUP(V280,'Voyage days'!$A$3:$B$1480,2,FALSE))</f>
        <v>USG</v>
      </c>
      <c r="V280" s="115" t="str">
        <f>IF(VLOOKUP(A280,'1) Kpler'!$E$2:$P$1000,8, FALSE)="","",VLOOKUP(A280,'1) Kpler'!$E$2:$P$1000,8, FALSE))</f>
        <v>Energy Transfer Nederland</v>
      </c>
      <c r="W280" s="116">
        <f>IF(VLOOKUP(A280,'1) Kpler'!$E$2:$P$1000,9,FALSE)="","",VLOOKUP(A280,'1) Kpler'!$E$2:$P$1000,9,FALSE))</f>
        <v>46132.5</v>
      </c>
      <c r="X280" s="115" t="str">
        <f>VLOOKUP(A280,'1) Kpler'!$E$2:$I$1000,4,FALSE)</f>
        <v>ballast</v>
      </c>
      <c r="Y280" s="117" t="str">
        <f t="shared" si="40"/>
        <v/>
      </c>
      <c r="Z280" s="120" t="str">
        <f t="shared" si="41"/>
        <v/>
      </c>
      <c r="AA280" s="121" t="str">
        <f>IFERROR($M280+VLOOKUP($L280,'Voyage days'!$F$38:$H$89,3,FALSE),"")</f>
        <v/>
      </c>
      <c r="AB280" s="121" t="str">
        <f>IFERROR(N280+VLOOKUP($L280,'Voyage days'!$F$38:$H$89,3,FALSE),"")</f>
        <v/>
      </c>
      <c r="AC280" s="120" t="str">
        <f t="shared" si="42"/>
        <v>12-13 Jun</v>
      </c>
      <c r="AD280" s="121">
        <f>IFERROR($M280+VLOOKUP($L280,'Voyage days'!$F$94:$H$193,3,FALSE),"")</f>
        <v>45820</v>
      </c>
      <c r="AE280" s="121">
        <f>IFERROR($N280+VLOOKUP($L280,'Voyage days'!$F$94:$H$193,3,FALSE),"")</f>
        <v>45821</v>
      </c>
      <c r="AF280" s="120" t="str">
        <f t="shared" si="43"/>
        <v>12-13 Jun</v>
      </c>
      <c r="AG280" s="121">
        <f>IFERROR($M280+VLOOKUP($L280,'Voyage days'!$F$203:$H$256,3,FALSE),"")</f>
        <v>45820</v>
      </c>
      <c r="AH280" s="121">
        <f>IFERROR($N280+VLOOKUP($L280,'Voyage days'!$F$203:$H$256,3,FALSE),"")</f>
        <v>45821</v>
      </c>
      <c r="AI280" s="120" t="str">
        <f t="shared" si="44"/>
        <v/>
      </c>
      <c r="AJ280" s="121" t="str">
        <f>IFERROR($M280+VLOOKUP($L280,'Voyage days'!$F$294:$H$377,3,FALSE),"")</f>
        <v/>
      </c>
      <c r="AK280" s="121" t="str">
        <f>IFERROR($N280+VLOOKUP($L280,'Voyage days'!$F$294:$H$377,3,FALSE),"")</f>
        <v/>
      </c>
      <c r="AL280" s="120" t="str">
        <f t="shared" si="45"/>
        <v>02-03 Jul</v>
      </c>
      <c r="AM280" s="121">
        <f>IFERROR($M280+VLOOKUP($L280,'Voyage days'!$F$382:$H$446,3,FALSE),"")</f>
        <v>45840</v>
      </c>
      <c r="AN280" s="121">
        <f>IFERROR($N280+VLOOKUP($L280,'Voyage days'!$F$382:$H$446,3,FALSE),"")</f>
        <v>45841</v>
      </c>
      <c r="AO280" s="120" t="str">
        <f t="shared" si="46"/>
        <v/>
      </c>
      <c r="AP280" s="121" t="str">
        <f>IFERROR($M280+VLOOKUP($L280,'Voyage days'!$F$483:$H$538,3,FALSE),"")</f>
        <v/>
      </c>
      <c r="AQ280" s="121" t="str">
        <f>IFERROR($N280+VLOOKUP($L280,'Voyage days'!$F$483:$H$538,3,FALSE),"")</f>
        <v/>
      </c>
      <c r="AR280" s="120" t="str">
        <f t="shared" si="47"/>
        <v/>
      </c>
      <c r="AS280" s="121" t="str">
        <f>IFERROR($M280+VLOOKUP($L280,'Voyage days'!$F$540:$H$613,3,FALSE),"")</f>
        <v/>
      </c>
      <c r="AT280" s="121" t="str">
        <f>IFERROR($N280+VLOOKUP($L280,'Voyage days'!$F$540:$H$613,3,FALSE),"")</f>
        <v/>
      </c>
      <c r="AU280" s="120" t="str">
        <f t="shared" si="48"/>
        <v/>
      </c>
      <c r="AV280" s="121" t="str">
        <f>IFERROR($M280+VLOOKUP($L280,'Voyage days'!$L$483:$N$535,3,FALSE),"")</f>
        <v/>
      </c>
      <c r="AW280" s="121" t="str">
        <f>IFERROR($N280+VLOOKUP($L280,'Voyage days'!$L$483:$N$535,3,FALSE),"")</f>
        <v/>
      </c>
      <c r="AX280" s="120" t="str">
        <f t="shared" si="49"/>
        <v/>
      </c>
      <c r="AY280" s="122" t="str">
        <f>IFERROR($M280+VLOOKUP($L280,'Voyage days'!$F$620:$H$646,3,FALSE),"")</f>
        <v/>
      </c>
      <c r="AZ280" s="122" t="str">
        <f>IFERROR($N280+VLOOKUP($L280,'Voyage days'!$F$620:$H$646,3,FALSE),"")</f>
        <v/>
      </c>
      <c r="BA280" s="120" t="str">
        <f t="shared" si="50"/>
        <v/>
      </c>
      <c r="BB280" s="123" t="str">
        <f>IFERROR($M280+VLOOKUP($L280,'Voyage days'!$F$702:$H$727,3,FALSE),"")</f>
        <v/>
      </c>
      <c r="BC280" s="120" t="str">
        <f t="shared" si="51"/>
        <v/>
      </c>
      <c r="BD280" s="122" t="str">
        <f>IFERROR($M280+VLOOKUP($L280,'Voyage days'!$F$807:$H$878,3,FALSE),"")</f>
        <v/>
      </c>
      <c r="BE280" s="122" t="str">
        <f>IFERROR($N280+VLOOKUP($L280,'Voyage days'!$F$807:$H$878,3,FALSE),"")</f>
        <v/>
      </c>
      <c r="BF280" s="609"/>
      <c r="BG280" s="609"/>
      <c r="BH280" s="609"/>
      <c r="BI280" s="609"/>
      <c r="BJ280" s="609"/>
      <c r="BK280" s="609"/>
      <c r="BL280" s="609"/>
      <c r="BM280" s="609"/>
    </row>
    <row r="281" ht="15.75" customHeight="1">
      <c r="A281" s="164" t="s">
        <v>420</v>
      </c>
      <c r="B281" s="165">
        <v>2019.0</v>
      </c>
      <c r="C281" s="1101">
        <v>83000.0</v>
      </c>
      <c r="D281" s="168" t="s">
        <v>1687</v>
      </c>
      <c r="E281" s="223"/>
      <c r="F281" s="1010"/>
      <c r="G281" s="1011">
        <v>45962.0</v>
      </c>
      <c r="H281" s="223"/>
      <c r="I281" s="614" t="s">
        <v>1212</v>
      </c>
      <c r="J281" s="463" t="s">
        <v>3207</v>
      </c>
      <c r="K281" s="469" t="str">
        <f t="shared" si="53"/>
        <v>Update</v>
      </c>
      <c r="L281" s="172" t="s">
        <v>728</v>
      </c>
      <c r="M281" s="173">
        <v>45790.0</v>
      </c>
      <c r="N281" s="173">
        <v>45791.0</v>
      </c>
      <c r="O281" s="174"/>
      <c r="P281" s="463"/>
      <c r="Q281" s="463"/>
      <c r="R281" s="172" t="s">
        <v>3208</v>
      </c>
      <c r="S281" s="175" t="s">
        <v>2962</v>
      </c>
      <c r="T281" s="176">
        <v>45784.0</v>
      </c>
      <c r="U281" s="177" t="str">
        <f>IF(V281="","No AIS",VLOOKUP(V281,'Voyage days'!$A$3:$B$1480,2,FALSE))</f>
        <v>Eu + 4</v>
      </c>
      <c r="V281" s="178" t="str">
        <f>IF(VLOOKUP(A281,'1) Kpler'!$E$2:$P$1000,8, FALSE)="","",VLOOKUP(A281,'1) Kpler'!$E$2:$P$1000,8, FALSE))</f>
        <v>Terneuzen</v>
      </c>
      <c r="W281" s="179">
        <f>IF(VLOOKUP(A281,'1) Kpler'!$E$2:$P$1000,9,FALSE)="","",VLOOKUP(A281,'1) Kpler'!$E$2:$P$1000,9,FALSE))</f>
        <v>46141.72986</v>
      </c>
      <c r="X281" s="178" t="str">
        <f>VLOOKUP(A281,'1) Kpler'!$E$2:$I$1000,4,FALSE)</f>
        <v>loaded</v>
      </c>
      <c r="Y281" s="120" t="str">
        <f t="shared" si="40"/>
        <v>23-24 May</v>
      </c>
      <c r="Z281" s="120" t="str">
        <f t="shared" si="41"/>
        <v>23-24 May</v>
      </c>
      <c r="AA281" s="121">
        <f>IFERROR($M281+VLOOKUP($L281,'Voyage days'!$F$38:$H$89,3,FALSE),"")</f>
        <v>45800</v>
      </c>
      <c r="AB281" s="121">
        <f>IFERROR(N281+VLOOKUP($L281,'Voyage days'!$F$38:$H$89,3,FALSE),"")</f>
        <v>45801</v>
      </c>
      <c r="AC281" s="120" t="str">
        <f t="shared" si="42"/>
        <v>27-28 May</v>
      </c>
      <c r="AD281" s="121">
        <f>IFERROR($M281+VLOOKUP($L281,'Voyage days'!$F$94:$H$193,3,FALSE),"")</f>
        <v>45804</v>
      </c>
      <c r="AE281" s="121">
        <f>IFERROR($N281+VLOOKUP($L281,'Voyage days'!$F$94:$H$193,3,FALSE),"")</f>
        <v>45805</v>
      </c>
      <c r="AF281" s="120" t="str">
        <f t="shared" si="43"/>
        <v>02-03 Jun</v>
      </c>
      <c r="AG281" s="121">
        <f>IFERROR($M281+VLOOKUP($L281,'Voyage days'!$F$203:$H$256,3,FALSE),"")</f>
        <v>45810</v>
      </c>
      <c r="AH281" s="121">
        <f>IFERROR($N281+VLOOKUP($L281,'Voyage days'!$F$203:$H$256,3,FALSE),"")</f>
        <v>45811</v>
      </c>
      <c r="AI281" s="120" t="str">
        <f t="shared" si="44"/>
        <v>28-29 May</v>
      </c>
      <c r="AJ281" s="121">
        <f>IFERROR($M281+VLOOKUP($L281,'Voyage days'!$F$294:$H$377,3,FALSE),"")</f>
        <v>45805</v>
      </c>
      <c r="AK281" s="121">
        <f>IFERROR($N281+VLOOKUP($L281,'Voyage days'!$F$294:$H$377,3,FALSE),"")</f>
        <v>45806</v>
      </c>
      <c r="AL281" s="120" t="str">
        <f t="shared" si="45"/>
        <v>18-19 May</v>
      </c>
      <c r="AM281" s="121">
        <f>IFERROR($M281+VLOOKUP($L281,'Voyage days'!$F$382:$H$446,3,FALSE),"")</f>
        <v>45795</v>
      </c>
      <c r="AN281" s="121">
        <f>IFERROR($N281+VLOOKUP($L281,'Voyage days'!$F$382:$H$446,3,FALSE),"")</f>
        <v>45796</v>
      </c>
      <c r="AO281" s="120" t="str">
        <f t="shared" si="46"/>
        <v/>
      </c>
      <c r="AP281" s="121" t="str">
        <f>IFERROR($M281+VLOOKUP($L281,'Voyage days'!$F$483:$H$538,3,FALSE),"")</f>
        <v/>
      </c>
      <c r="AQ281" s="121" t="str">
        <f>IFERROR($N281+VLOOKUP($L281,'Voyage days'!$F$483:$H$538,3,FALSE),"")</f>
        <v/>
      </c>
      <c r="AR281" s="120" t="str">
        <f t="shared" si="47"/>
        <v/>
      </c>
      <c r="AS281" s="121" t="str">
        <f>IFERROR($M281+VLOOKUP($L281,'Voyage days'!$F$540:$H$613,3,FALSE),"")</f>
        <v/>
      </c>
      <c r="AT281" s="121" t="str">
        <f>IFERROR($N281+VLOOKUP($L281,'Voyage days'!$F$540:$H$613,3,FALSE),"")</f>
        <v/>
      </c>
      <c r="AU281" s="120" t="str">
        <f t="shared" si="48"/>
        <v/>
      </c>
      <c r="AV281" s="121" t="str">
        <f>IFERROR($M281+VLOOKUP($L281,'Voyage days'!$L$483:$N$535,3,FALSE),"")</f>
        <v/>
      </c>
      <c r="AW281" s="121" t="str">
        <f>IFERROR($N281+VLOOKUP($L281,'Voyage days'!$L$483:$N$535,3,FALSE),"")</f>
        <v/>
      </c>
      <c r="AX281" s="120" t="str">
        <f t="shared" si="49"/>
        <v/>
      </c>
      <c r="AY281" s="122" t="str">
        <f>IFERROR($M281+VLOOKUP($L281,'Voyage days'!$F$620:$H$646,3,FALSE),"")</f>
        <v/>
      </c>
      <c r="AZ281" s="122" t="str">
        <f>IFERROR($N281+VLOOKUP($L281,'Voyage days'!$F$620:$H$646,3,FALSE),"")</f>
        <v/>
      </c>
      <c r="BA281" s="120" t="str">
        <f t="shared" si="50"/>
        <v/>
      </c>
      <c r="BB281" s="123" t="str">
        <f>IFERROR($M281+VLOOKUP($L281,'Voyage days'!$F$702:$H$727,3,FALSE),"")</f>
        <v/>
      </c>
      <c r="BC281" s="120" t="str">
        <f t="shared" si="51"/>
        <v>17-18 May</v>
      </c>
      <c r="BD281" s="122">
        <f>IFERROR($M281+VLOOKUP($L281,'Voyage days'!$F$807:$H$878,3,FALSE),"")</f>
        <v>45794</v>
      </c>
      <c r="BE281" s="122">
        <f>IFERROR($N281+VLOOKUP($L281,'Voyage days'!$F$807:$H$878,3,FALSE),"")</f>
        <v>45795</v>
      </c>
      <c r="BF281" s="609"/>
      <c r="BG281" s="609"/>
      <c r="BH281" s="609"/>
      <c r="BI281" s="609"/>
      <c r="BJ281" s="609"/>
      <c r="BK281" s="609"/>
      <c r="BL281" s="609"/>
      <c r="BM281" s="609"/>
    </row>
    <row r="282" ht="15.75" customHeight="1">
      <c r="A282" s="404" t="s">
        <v>85</v>
      </c>
      <c r="B282" s="148">
        <v>2021.0</v>
      </c>
      <c r="C282" s="1045">
        <v>91000.0</v>
      </c>
      <c r="D282" s="150" t="s">
        <v>1687</v>
      </c>
      <c r="E282" s="149" t="s">
        <v>666</v>
      </c>
      <c r="F282" s="1014"/>
      <c r="G282" s="149" t="s">
        <v>1611</v>
      </c>
      <c r="H282" s="149"/>
      <c r="I282" s="157" t="s">
        <v>1227</v>
      </c>
      <c r="J282" s="536" t="s">
        <v>3019</v>
      </c>
      <c r="K282" s="517" t="str">
        <f t="shared" si="53"/>
        <v>Update</v>
      </c>
      <c r="L282" s="153" t="s">
        <v>680</v>
      </c>
      <c r="M282" s="276">
        <v>45821.0</v>
      </c>
      <c r="N282" s="276">
        <v>45822.0</v>
      </c>
      <c r="O282" s="277"/>
      <c r="P282" s="1201"/>
      <c r="Q282" s="157"/>
      <c r="R282" s="153" t="s">
        <v>3209</v>
      </c>
      <c r="S282" s="256" t="s">
        <v>934</v>
      </c>
      <c r="T282" s="293">
        <v>45785.0</v>
      </c>
      <c r="U282" s="114" t="str">
        <f>IF(V282="","No AIS",VLOOKUP(V282,'Voyage days'!$A$3:$B$1480,2,FALSE))</f>
        <v>South China + 4</v>
      </c>
      <c r="V282" s="114" t="str">
        <f>IF(VLOOKUP(A282,'1) Kpler'!$E$2:$P$1000,8, FALSE)="","",VLOOKUP(A282,'1) Kpler'!$E$2:$P$1000,8, FALSE))</f>
        <v>FREP Plant</v>
      </c>
      <c r="W282" s="159">
        <f>IF(VLOOKUP(A282,'1) Kpler'!$E$2:$P$1000,9,FALSE)="","",VLOOKUP(A282,'1) Kpler'!$E$2:$P$1000,9,FALSE))</f>
        <v>46141.5</v>
      </c>
      <c r="X282" s="114" t="str">
        <f>VLOOKUP(A282,'1) Kpler'!$E$2:$I$1000,4,FALSE)</f>
        <v>loaded</v>
      </c>
      <c r="Y282" s="296" t="str">
        <f t="shared" si="40"/>
        <v/>
      </c>
      <c r="Z282" s="163" t="str">
        <f t="shared" si="41"/>
        <v/>
      </c>
      <c r="AA282" s="122" t="str">
        <f>IFERROR($M282+VLOOKUP($L282,'Voyage days'!$F$38:$H$89,3,FALSE),"")</f>
        <v/>
      </c>
      <c r="AB282" s="122" t="str">
        <f>IFERROR(N282+VLOOKUP($L282,'Voyage days'!$F$38:$H$89,3,FALSE),"")</f>
        <v/>
      </c>
      <c r="AC282" s="163" t="str">
        <f t="shared" si="42"/>
        <v>13-14 Jun</v>
      </c>
      <c r="AD282" s="122">
        <f>IFERROR($M282+VLOOKUP($L282,'Voyage days'!$F$94:$H$193,3,FALSE),"")</f>
        <v>45821</v>
      </c>
      <c r="AE282" s="122">
        <f>IFERROR($N282+VLOOKUP($L282,'Voyage days'!$F$94:$H$193,3,FALSE),"")</f>
        <v>45822</v>
      </c>
      <c r="AF282" s="163" t="str">
        <f t="shared" si="43"/>
        <v>13-14 Jun</v>
      </c>
      <c r="AG282" s="122">
        <f>IFERROR($M282+VLOOKUP($L282,'Voyage days'!$F$203:$H$256,3,FALSE),"")</f>
        <v>45821</v>
      </c>
      <c r="AH282" s="122">
        <f>IFERROR($N282+VLOOKUP($L282,'Voyage days'!$F$203:$H$256,3,FALSE),"")</f>
        <v>45822</v>
      </c>
      <c r="AI282" s="163" t="str">
        <f t="shared" si="44"/>
        <v/>
      </c>
      <c r="AJ282" s="122" t="str">
        <f>IFERROR($M282+VLOOKUP($L282,'Voyage days'!$F$294:$H$377,3,FALSE),"")</f>
        <v/>
      </c>
      <c r="AK282" s="122" t="str">
        <f>IFERROR($N282+VLOOKUP($L282,'Voyage days'!$F$294:$H$377,3,FALSE),"")</f>
        <v/>
      </c>
      <c r="AL282" s="163" t="str">
        <f t="shared" si="45"/>
        <v>03-04 Jul</v>
      </c>
      <c r="AM282" s="122">
        <f>IFERROR($M282+VLOOKUP($L282,'Voyage days'!$F$382:$H$446,3,FALSE),"")</f>
        <v>45841</v>
      </c>
      <c r="AN282" s="122">
        <f>IFERROR($N282+VLOOKUP($L282,'Voyage days'!$F$382:$H$446,3,FALSE),"")</f>
        <v>45842</v>
      </c>
      <c r="AO282" s="163" t="str">
        <f t="shared" si="46"/>
        <v/>
      </c>
      <c r="AP282" s="122" t="str">
        <f>IFERROR($M282+VLOOKUP($L282,'Voyage days'!$F$483:$H$538,3,FALSE),"")</f>
        <v/>
      </c>
      <c r="AQ282" s="122" t="str">
        <f>IFERROR($N282+VLOOKUP($L282,'Voyage days'!$F$483:$H$538,3,FALSE),"")</f>
        <v/>
      </c>
      <c r="AR282" s="163" t="str">
        <f t="shared" si="47"/>
        <v/>
      </c>
      <c r="AS282" s="122" t="str">
        <f>IFERROR($M282+VLOOKUP($L282,'Voyage days'!$F$540:$H$613,3,FALSE),"")</f>
        <v/>
      </c>
      <c r="AT282" s="122" t="str">
        <f>IFERROR($N282+VLOOKUP($L282,'Voyage days'!$F$540:$H$613,3,FALSE),"")</f>
        <v/>
      </c>
      <c r="AU282" s="163" t="str">
        <f t="shared" si="48"/>
        <v/>
      </c>
      <c r="AV282" s="122" t="str">
        <f>IFERROR($M282+VLOOKUP($L282,'Voyage days'!$L$483:$N$535,3,FALSE),"")</f>
        <v/>
      </c>
      <c r="AW282" s="122" t="str">
        <f>IFERROR($N282+VLOOKUP($L282,'Voyage days'!$L$483:$N$535,3,FALSE),"")</f>
        <v/>
      </c>
      <c r="AX282" s="163" t="str">
        <f t="shared" si="49"/>
        <v/>
      </c>
      <c r="AY282" s="122" t="str">
        <f>IFERROR($M282+VLOOKUP($L282,'Voyage days'!$F$620:$H$646,3,FALSE),"")</f>
        <v/>
      </c>
      <c r="AZ282" s="122" t="str">
        <f>IFERROR($N282+VLOOKUP($L282,'Voyage days'!$F$620:$H$646,3,FALSE),"")</f>
        <v/>
      </c>
      <c r="BA282" s="163" t="str">
        <f t="shared" si="50"/>
        <v/>
      </c>
      <c r="BB282" s="123" t="str">
        <f>IFERROR($M282+VLOOKUP($L282,'Voyage days'!$F$702:$H$727,3,FALSE),"")</f>
        <v/>
      </c>
      <c r="BC282" s="163" t="str">
        <f t="shared" si="51"/>
        <v/>
      </c>
      <c r="BD282" s="122" t="str">
        <f>IFERROR($M282+VLOOKUP($L282,'Voyage days'!$F$807:$H$878,3,FALSE),"")</f>
        <v/>
      </c>
      <c r="BE282" s="122" t="str">
        <f>IFERROR($N282+VLOOKUP($L282,'Voyage days'!$F$807:$H$878,3,FALSE),"")</f>
        <v/>
      </c>
      <c r="BF282" s="609"/>
      <c r="BG282" s="609"/>
      <c r="BH282" s="609"/>
      <c r="BI282" s="609"/>
      <c r="BJ282" s="609"/>
      <c r="BK282" s="609"/>
      <c r="BL282" s="609"/>
      <c r="BM282" s="609"/>
    </row>
    <row r="283" ht="15.75" customHeight="1">
      <c r="A283" s="80" t="s">
        <v>206</v>
      </c>
      <c r="B283" s="148">
        <v>2025.0</v>
      </c>
      <c r="C283" s="1045">
        <v>86700.0</v>
      </c>
      <c r="D283" s="104"/>
      <c r="E283" s="103" t="s">
        <v>666</v>
      </c>
      <c r="F283" s="604"/>
      <c r="G283" s="605"/>
      <c r="H283" s="1130"/>
      <c r="I283" s="185" t="s">
        <v>1227</v>
      </c>
      <c r="J283" s="111"/>
      <c r="K283" s="336" t="str">
        <f t="shared" si="53"/>
        <v>Update</v>
      </c>
      <c r="L283" s="108" t="s">
        <v>656</v>
      </c>
      <c r="M283" s="109">
        <v>45818.0</v>
      </c>
      <c r="N283" s="109">
        <v>45823.0</v>
      </c>
      <c r="O283" s="191" t="s">
        <v>699</v>
      </c>
      <c r="P283" s="111"/>
      <c r="Q283" s="108"/>
      <c r="R283" s="108" t="s">
        <v>3210</v>
      </c>
      <c r="S283" s="256" t="s">
        <v>934</v>
      </c>
      <c r="T283" s="293">
        <v>45788.0</v>
      </c>
      <c r="U283" s="114" t="str">
        <f>IF(V283="","No AIS",VLOOKUP(V283,'Voyage days'!$A$3:$B$1480,2,FALSE))</f>
        <v>ECI + 5</v>
      </c>
      <c r="V283" s="114" t="str">
        <f>IF(VLOOKUP(A283,'1) Kpler'!$E$2:$P$1000,8, FALSE)="","",VLOOKUP(A283,'1) Kpler'!$E$2:$P$1000,8, FALSE))</f>
        <v>Ennore Port</v>
      </c>
      <c r="W283" s="159">
        <f>IF(VLOOKUP(A283,'1) Kpler'!$E$2:$P$1000,9,FALSE)="","",VLOOKUP(A283,'1) Kpler'!$E$2:$P$1000,9,FALSE))</f>
        <v>46157.375</v>
      </c>
      <c r="X283" s="114" t="str">
        <f>VLOOKUP(A283,'1) Kpler'!$E$2:$I$1000,4,FALSE)</f>
        <v>loaded</v>
      </c>
      <c r="Y283" s="160" t="str">
        <f t="shared" si="40"/>
        <v>28-03 Jul</v>
      </c>
      <c r="Z283" s="120" t="str">
        <f t="shared" si="41"/>
        <v>28-03 Jul</v>
      </c>
      <c r="AA283" s="121">
        <f>IFERROR($M283+VLOOKUP($L283,'Voyage days'!$F$38:$H$89,3,FALSE),"")</f>
        <v>45836</v>
      </c>
      <c r="AB283" s="121">
        <f>IFERROR(N283+VLOOKUP($L283,'Voyage days'!$F$38:$H$89,3,FALSE),"")</f>
        <v>45841</v>
      </c>
      <c r="AC283" s="120" t="str">
        <f t="shared" si="42"/>
        <v>11-16 Jul</v>
      </c>
      <c r="AD283" s="121">
        <f>IFERROR($M283+VLOOKUP($L283,'Voyage days'!$F$94:$H$193,3,FALSE),"")</f>
        <v>45849</v>
      </c>
      <c r="AE283" s="121">
        <f>IFERROR($N283+VLOOKUP($L283,'Voyage days'!$F$94:$H$193,3,FALSE),"")</f>
        <v>45854</v>
      </c>
      <c r="AF283" s="120" t="str">
        <f t="shared" si="43"/>
        <v>18-23 Jul</v>
      </c>
      <c r="AG283" s="121">
        <f>IFERROR($M283+VLOOKUP($L283,'Voyage days'!$F$203:$H$256,3,FALSE),"")</f>
        <v>45856</v>
      </c>
      <c r="AH283" s="121">
        <f>IFERROR($N283+VLOOKUP($L283,'Voyage days'!$F$203:$H$256,3,FALSE),"")</f>
        <v>45861</v>
      </c>
      <c r="AI283" s="120" t="str">
        <f t="shared" si="44"/>
        <v>10-15 Jul</v>
      </c>
      <c r="AJ283" s="121">
        <f>IFERROR($M283+VLOOKUP($L283,'Voyage days'!$F$294:$H$377,3,FALSE),"")</f>
        <v>45848</v>
      </c>
      <c r="AK283" s="121">
        <f>IFERROR($N283+VLOOKUP($L283,'Voyage days'!$F$294:$H$377,3,FALSE),"")</f>
        <v>45853</v>
      </c>
      <c r="AL283" s="120" t="str">
        <f t="shared" si="45"/>
        <v>16-21 Jul</v>
      </c>
      <c r="AM283" s="121">
        <f>IFERROR($M283+VLOOKUP($L283,'Voyage days'!$F$382:$H$446,3,FALSE),"")</f>
        <v>45854</v>
      </c>
      <c r="AN283" s="121">
        <f>IFERROR($N283+VLOOKUP($L283,'Voyage days'!$F$382:$H$446,3,FALSE),"")</f>
        <v>45859</v>
      </c>
      <c r="AO283" s="120" t="str">
        <f t="shared" si="46"/>
        <v>23-28 Jun</v>
      </c>
      <c r="AP283" s="121">
        <f>IFERROR($M283+VLOOKUP($L283,'Voyage days'!$F$483:$H$538,3,FALSE),"")</f>
        <v>45831</v>
      </c>
      <c r="AQ283" s="121">
        <f>IFERROR($N283+VLOOKUP($L283,'Voyage days'!$F$483:$H$538,3,FALSE),"")</f>
        <v>45836</v>
      </c>
      <c r="AR283" s="120" t="str">
        <f t="shared" si="47"/>
        <v>18-23 Jun</v>
      </c>
      <c r="AS283" s="121">
        <f>IFERROR($M283+VLOOKUP($L283,'Voyage days'!$F$540:$H$613,3,FALSE),"")</f>
        <v>45826.25</v>
      </c>
      <c r="AT283" s="121">
        <f>IFERROR($N283+VLOOKUP($L283,'Voyage days'!$F$540:$H$613,3,FALSE),"")</f>
        <v>45831.25</v>
      </c>
      <c r="AU283" s="120" t="str">
        <f t="shared" si="48"/>
        <v/>
      </c>
      <c r="AV283" s="121" t="str">
        <f>IFERROR($M283+VLOOKUP($L283,'Voyage days'!$L$483:$N$535,3,FALSE),"")</f>
        <v/>
      </c>
      <c r="AW283" s="121" t="str">
        <f>IFERROR($N283+VLOOKUP($L283,'Voyage days'!$L$483:$N$535,3,FALSE),"")</f>
        <v/>
      </c>
      <c r="AX283" s="120" t="str">
        <f t="shared" si="49"/>
        <v>21-26 Jun</v>
      </c>
      <c r="AY283" s="122">
        <f>IFERROR($M283+VLOOKUP($L283,'Voyage days'!$F$620:$H$646,3,FALSE),"")</f>
        <v>45829</v>
      </c>
      <c r="AZ283" s="122">
        <f>IFERROR($N283+VLOOKUP($L283,'Voyage days'!$F$620:$H$646,3,FALSE),"")</f>
        <v>45834</v>
      </c>
      <c r="BA283" s="120" t="str">
        <f t="shared" si="50"/>
        <v>18-31 Jul</v>
      </c>
      <c r="BB283" s="123">
        <f>IFERROR($M283+VLOOKUP($L283,'Voyage days'!$F$702:$H$727,3,FALSE),"")</f>
        <v>45826.25</v>
      </c>
      <c r="BC283" s="120" t="str">
        <f t="shared" si="51"/>
        <v>26-31 Jul</v>
      </c>
      <c r="BD283" s="122">
        <f>IFERROR($M283+VLOOKUP($L283,'Voyage days'!$F$807:$H$878,3,FALSE),"")</f>
        <v>45864</v>
      </c>
      <c r="BE283" s="122">
        <f>IFERROR($N283+VLOOKUP($L283,'Voyage days'!$F$807:$H$878,3,FALSE),"")</f>
        <v>45869</v>
      </c>
      <c r="BF283" s="609"/>
      <c r="BG283" s="609"/>
      <c r="BH283" s="609"/>
      <c r="BI283" s="609"/>
      <c r="BJ283" s="609"/>
      <c r="BK283" s="609"/>
      <c r="BL283" s="609"/>
      <c r="BM283" s="609"/>
    </row>
    <row r="284" ht="15.75" customHeight="1">
      <c r="A284" s="338" t="s">
        <v>221</v>
      </c>
      <c r="B284" s="101">
        <v>43709.0</v>
      </c>
      <c r="C284" s="1045">
        <v>80000.0</v>
      </c>
      <c r="D284" s="104" t="s">
        <v>1687</v>
      </c>
      <c r="E284" s="103" t="s">
        <v>689</v>
      </c>
      <c r="F284" s="604"/>
      <c r="G284" s="605" t="s">
        <v>1611</v>
      </c>
      <c r="H284" s="604"/>
      <c r="I284" s="111" t="s">
        <v>1227</v>
      </c>
      <c r="J284" s="111" t="s">
        <v>3019</v>
      </c>
      <c r="K284" s="336" t="str">
        <f t="shared" si="53"/>
        <v>Update</v>
      </c>
      <c r="L284" s="108" t="s">
        <v>680</v>
      </c>
      <c r="M284" s="109">
        <v>45790.0</v>
      </c>
      <c r="N284" s="109">
        <v>45791.0</v>
      </c>
      <c r="O284" s="111"/>
      <c r="P284" s="185"/>
      <c r="Q284" s="185"/>
      <c r="R284" s="108" t="s">
        <v>3211</v>
      </c>
      <c r="S284" s="256" t="s">
        <v>934</v>
      </c>
      <c r="T284" s="113">
        <v>45788.0</v>
      </c>
      <c r="U284" s="114" t="str">
        <f>IF(V284="","No AIS",VLOOKUP(V284,'Voyage days'!$A$3:$B$1480,2,FALSE))</f>
        <v>Panama</v>
      </c>
      <c r="V284" s="115" t="str">
        <f>IF(VLOOKUP(A284,'1) Kpler'!$E$2:$P$1000,8, FALSE)="","",VLOOKUP(A284,'1) Kpler'!$E$2:$P$1000,8, FALSE))</f>
        <v>Panama Canal</v>
      </c>
      <c r="W284" s="116">
        <f>IF(VLOOKUP(A284,'1) Kpler'!$E$2:$P$1000,9,FALSE)="","",VLOOKUP(A284,'1) Kpler'!$E$2:$P$1000,9,FALSE))</f>
        <v>46146.52083</v>
      </c>
      <c r="X284" s="115" t="str">
        <f>VLOOKUP(A284,'1) Kpler'!$E$2:$I$1000,4,FALSE)</f>
        <v>ballast</v>
      </c>
      <c r="Y284" s="117" t="str">
        <f t="shared" si="40"/>
        <v/>
      </c>
      <c r="Z284" s="120" t="str">
        <f t="shared" si="41"/>
        <v/>
      </c>
      <c r="AA284" s="121" t="str">
        <f>IFERROR($M284+VLOOKUP($L284,'Voyage days'!$F$38:$H$89,3,FALSE),"")</f>
        <v/>
      </c>
      <c r="AB284" s="121" t="str">
        <f>IFERROR(N284+VLOOKUP($L284,'Voyage days'!$F$38:$H$89,3,FALSE),"")</f>
        <v/>
      </c>
      <c r="AC284" s="120" t="str">
        <f t="shared" si="42"/>
        <v>13-14 May</v>
      </c>
      <c r="AD284" s="121">
        <f>IFERROR($M284+VLOOKUP($L284,'Voyage days'!$F$94:$H$193,3,FALSE),"")</f>
        <v>45790</v>
      </c>
      <c r="AE284" s="121">
        <f>IFERROR($N284+VLOOKUP($L284,'Voyage days'!$F$94:$H$193,3,FALSE),"")</f>
        <v>45791</v>
      </c>
      <c r="AF284" s="120" t="str">
        <f t="shared" si="43"/>
        <v>13-14 May</v>
      </c>
      <c r="AG284" s="121">
        <f>IFERROR($M284+VLOOKUP($L284,'Voyage days'!$F$203:$H$256,3,FALSE),"")</f>
        <v>45790</v>
      </c>
      <c r="AH284" s="121">
        <f>IFERROR($N284+VLOOKUP($L284,'Voyage days'!$F$203:$H$256,3,FALSE),"")</f>
        <v>45791</v>
      </c>
      <c r="AI284" s="120" t="str">
        <f t="shared" si="44"/>
        <v/>
      </c>
      <c r="AJ284" s="121" t="str">
        <f>IFERROR($M284+VLOOKUP($L284,'Voyage days'!$F$294:$H$377,3,FALSE),"")</f>
        <v/>
      </c>
      <c r="AK284" s="121" t="str">
        <f>IFERROR($N284+VLOOKUP($L284,'Voyage days'!$F$294:$H$377,3,FALSE),"")</f>
        <v/>
      </c>
      <c r="AL284" s="120" t="str">
        <f t="shared" si="45"/>
        <v>02-03 Jun</v>
      </c>
      <c r="AM284" s="121">
        <f>IFERROR($M284+VLOOKUP($L284,'Voyage days'!$F$382:$H$446,3,FALSE),"")</f>
        <v>45810</v>
      </c>
      <c r="AN284" s="121">
        <f>IFERROR($N284+VLOOKUP($L284,'Voyage days'!$F$382:$H$446,3,FALSE),"")</f>
        <v>45811</v>
      </c>
      <c r="AO284" s="120" t="str">
        <f t="shared" si="46"/>
        <v/>
      </c>
      <c r="AP284" s="121" t="str">
        <f>IFERROR($M284+VLOOKUP($L284,'Voyage days'!$F$483:$H$538,3,FALSE),"")</f>
        <v/>
      </c>
      <c r="AQ284" s="121" t="str">
        <f>IFERROR($N284+VLOOKUP($L284,'Voyage days'!$F$483:$H$538,3,FALSE),"")</f>
        <v/>
      </c>
      <c r="AR284" s="120" t="str">
        <f t="shared" si="47"/>
        <v/>
      </c>
      <c r="AS284" s="121" t="str">
        <f>IFERROR($M284+VLOOKUP($L284,'Voyage days'!$F$540:$H$613,3,FALSE),"")</f>
        <v/>
      </c>
      <c r="AT284" s="121" t="str">
        <f>IFERROR($N284+VLOOKUP($L284,'Voyage days'!$F$540:$H$613,3,FALSE),"")</f>
        <v/>
      </c>
      <c r="AU284" s="120" t="str">
        <f t="shared" si="48"/>
        <v/>
      </c>
      <c r="AV284" s="121" t="str">
        <f>IFERROR($M284+VLOOKUP($L284,'Voyage days'!$L$483:$N$535,3,FALSE),"")</f>
        <v/>
      </c>
      <c r="AW284" s="121" t="str">
        <f>IFERROR($N284+VLOOKUP($L284,'Voyage days'!$L$483:$N$535,3,FALSE),"")</f>
        <v/>
      </c>
      <c r="AX284" s="120" t="str">
        <f t="shared" si="49"/>
        <v/>
      </c>
      <c r="AY284" s="122" t="str">
        <f>IFERROR($M284+VLOOKUP($L284,'Voyage days'!$F$620:$H$646,3,FALSE),"")</f>
        <v/>
      </c>
      <c r="AZ284" s="122" t="str">
        <f>IFERROR($N284+VLOOKUP($L284,'Voyage days'!$F$620:$H$646,3,FALSE),"")</f>
        <v/>
      </c>
      <c r="BA284" s="120" t="str">
        <f t="shared" si="50"/>
        <v/>
      </c>
      <c r="BB284" s="123" t="str">
        <f>IFERROR($M284+VLOOKUP($L284,'Voyage days'!$F$702:$H$727,3,FALSE),"")</f>
        <v/>
      </c>
      <c r="BC284" s="120" t="str">
        <f t="shared" si="51"/>
        <v/>
      </c>
      <c r="BD284" s="122" t="str">
        <f>IFERROR($M284+VLOOKUP($L284,'Voyage days'!$F$807:$H$878,3,FALSE),"")</f>
        <v/>
      </c>
      <c r="BE284" s="122" t="str">
        <f>IFERROR($N284+VLOOKUP($L284,'Voyage days'!$F$807:$H$878,3,FALSE),"")</f>
        <v/>
      </c>
      <c r="BF284" s="609"/>
      <c r="BG284" s="609"/>
      <c r="BH284" s="609"/>
      <c r="BI284" s="609"/>
      <c r="BJ284" s="609"/>
      <c r="BK284" s="609"/>
      <c r="BL284" s="609"/>
      <c r="BM284" s="609"/>
    </row>
    <row r="285" ht="15.75" customHeight="1">
      <c r="A285" s="298" t="s">
        <v>228</v>
      </c>
      <c r="B285" s="101">
        <v>43617.0</v>
      </c>
      <c r="C285" s="1045">
        <v>80000.0</v>
      </c>
      <c r="D285" s="104" t="s">
        <v>1687</v>
      </c>
      <c r="E285" s="103" t="s">
        <v>689</v>
      </c>
      <c r="F285" s="604"/>
      <c r="G285" s="605" t="s">
        <v>1611</v>
      </c>
      <c r="H285" s="604"/>
      <c r="I285" s="111" t="s">
        <v>1227</v>
      </c>
      <c r="J285" s="111" t="s">
        <v>3019</v>
      </c>
      <c r="K285" s="336" t="str">
        <f t="shared" si="53"/>
        <v>Update</v>
      </c>
      <c r="L285" s="108" t="s">
        <v>680</v>
      </c>
      <c r="M285" s="109">
        <v>45804.0</v>
      </c>
      <c r="N285" s="109">
        <v>45807.0</v>
      </c>
      <c r="O285" s="191"/>
      <c r="P285" s="187" t="s">
        <v>3212</v>
      </c>
      <c r="Q285" s="185"/>
      <c r="R285" s="185"/>
      <c r="S285" s="112" t="s">
        <v>2993</v>
      </c>
      <c r="T285" s="113">
        <v>45782.0</v>
      </c>
      <c r="U285" s="114" t="str">
        <f>IF(V285="","No AIS",VLOOKUP(V285,'Voyage days'!$A$3:$B$1480,2,FALSE))</f>
        <v>USG</v>
      </c>
      <c r="V285" s="115" t="str">
        <f>IF(VLOOKUP(A285,'1) Kpler'!$E$2:$P$1000,8, FALSE)="","",VLOOKUP(A285,'1) Kpler'!$E$2:$P$1000,8, FALSE))</f>
        <v>Energy Transfer Nederland</v>
      </c>
      <c r="W285" s="116">
        <f>IF(VLOOKUP(A285,'1) Kpler'!$E$2:$P$1000,9,FALSE)="","",VLOOKUP(A285,'1) Kpler'!$E$2:$P$1000,9,FALSE))</f>
        <v>46133.83333</v>
      </c>
      <c r="X285" s="115" t="str">
        <f>VLOOKUP(A285,'1) Kpler'!$E$2:$I$1000,4,FALSE)</f>
        <v>ballast</v>
      </c>
      <c r="Y285" s="160" t="str">
        <f t="shared" si="40"/>
        <v/>
      </c>
      <c r="Z285" s="120" t="str">
        <f t="shared" si="41"/>
        <v/>
      </c>
      <c r="AA285" s="121" t="str">
        <f>IFERROR($M285+VLOOKUP($L285,'Voyage days'!$F$38:$H$89,3,FALSE),"")</f>
        <v/>
      </c>
      <c r="AB285" s="121" t="str">
        <f>IFERROR(N285+VLOOKUP($L285,'Voyage days'!$F$38:$H$89,3,FALSE),"")</f>
        <v/>
      </c>
      <c r="AC285" s="120" t="str">
        <f t="shared" si="42"/>
        <v>27-30 May</v>
      </c>
      <c r="AD285" s="121">
        <f>IFERROR($M285+VLOOKUP($L285,'Voyage days'!$F$94:$H$193,3,FALSE),"")</f>
        <v>45804</v>
      </c>
      <c r="AE285" s="121">
        <f>IFERROR($N285+VLOOKUP($L285,'Voyage days'!$F$94:$H$193,3,FALSE),"")</f>
        <v>45807</v>
      </c>
      <c r="AF285" s="120" t="str">
        <f t="shared" si="43"/>
        <v>27-30 May</v>
      </c>
      <c r="AG285" s="121">
        <f>IFERROR($M285+VLOOKUP($L285,'Voyage days'!$F$203:$H$256,3,FALSE),"")</f>
        <v>45804</v>
      </c>
      <c r="AH285" s="121">
        <f>IFERROR($N285+VLOOKUP($L285,'Voyage days'!$F$203:$H$256,3,FALSE),"")</f>
        <v>45807</v>
      </c>
      <c r="AI285" s="120" t="str">
        <f t="shared" si="44"/>
        <v/>
      </c>
      <c r="AJ285" s="121" t="str">
        <f>IFERROR($M285+VLOOKUP($L285,'Voyage days'!$F$294:$H$377,3,FALSE),"")</f>
        <v/>
      </c>
      <c r="AK285" s="121" t="str">
        <f>IFERROR($N285+VLOOKUP($L285,'Voyage days'!$F$294:$H$377,3,FALSE),"")</f>
        <v/>
      </c>
      <c r="AL285" s="120" t="str">
        <f t="shared" si="45"/>
        <v>16-19 Jun</v>
      </c>
      <c r="AM285" s="121">
        <f>IFERROR($M285+VLOOKUP($L285,'Voyage days'!$F$382:$H$446,3,FALSE),"")</f>
        <v>45824</v>
      </c>
      <c r="AN285" s="121">
        <f>IFERROR($N285+VLOOKUP($L285,'Voyage days'!$F$382:$H$446,3,FALSE),"")</f>
        <v>45827</v>
      </c>
      <c r="AO285" s="120" t="str">
        <f t="shared" si="46"/>
        <v/>
      </c>
      <c r="AP285" s="121" t="str">
        <f>IFERROR($M285+VLOOKUP($L285,'Voyage days'!$F$483:$H$538,3,FALSE),"")</f>
        <v/>
      </c>
      <c r="AQ285" s="121" t="str">
        <f>IFERROR($N285+VLOOKUP($L285,'Voyage days'!$F$483:$H$538,3,FALSE),"")</f>
        <v/>
      </c>
      <c r="AR285" s="120" t="str">
        <f t="shared" si="47"/>
        <v/>
      </c>
      <c r="AS285" s="121" t="str">
        <f>IFERROR($M285+VLOOKUP($L285,'Voyage days'!$F$540:$H$613,3,FALSE),"")</f>
        <v/>
      </c>
      <c r="AT285" s="121" t="str">
        <f>IFERROR($N285+VLOOKUP($L285,'Voyage days'!$F$540:$H$613,3,FALSE),"")</f>
        <v/>
      </c>
      <c r="AU285" s="120" t="str">
        <f t="shared" si="48"/>
        <v/>
      </c>
      <c r="AV285" s="121" t="str">
        <f>IFERROR($M285+VLOOKUP($L285,'Voyage days'!$L$483:$N$535,3,FALSE),"")</f>
        <v/>
      </c>
      <c r="AW285" s="121" t="str">
        <f>IFERROR($N285+VLOOKUP($L285,'Voyage days'!$L$483:$N$535,3,FALSE),"")</f>
        <v/>
      </c>
      <c r="AX285" s="120" t="str">
        <f t="shared" si="49"/>
        <v/>
      </c>
      <c r="AY285" s="122" t="str">
        <f>IFERROR($M285+VLOOKUP($L285,'Voyage days'!$F$620:$H$646,3,FALSE),"")</f>
        <v/>
      </c>
      <c r="AZ285" s="122" t="str">
        <f>IFERROR($N285+VLOOKUP($L285,'Voyage days'!$F$620:$H$646,3,FALSE),"")</f>
        <v/>
      </c>
      <c r="BA285" s="120" t="str">
        <f t="shared" si="50"/>
        <v/>
      </c>
      <c r="BB285" s="123" t="str">
        <f>IFERROR($M285+VLOOKUP($L285,'Voyage days'!$F$702:$H$727,3,FALSE),"")</f>
        <v/>
      </c>
      <c r="BC285" s="120" t="str">
        <f t="shared" si="51"/>
        <v/>
      </c>
      <c r="BD285" s="122" t="str">
        <f>IFERROR($M285+VLOOKUP($L285,'Voyage days'!$F$807:$H$878,3,FALSE),"")</f>
        <v/>
      </c>
      <c r="BE285" s="122" t="str">
        <f>IFERROR($N285+VLOOKUP($L285,'Voyage days'!$F$807:$H$878,3,FALSE),"")</f>
        <v/>
      </c>
      <c r="BF285" s="609"/>
      <c r="BG285" s="609"/>
      <c r="BH285" s="609"/>
      <c r="BI285" s="609"/>
      <c r="BJ285" s="609"/>
      <c r="BK285" s="609"/>
      <c r="BL285" s="609"/>
      <c r="BM285" s="609"/>
    </row>
    <row r="286" ht="15.75" customHeight="1">
      <c r="A286" s="80" t="s">
        <v>3213</v>
      </c>
      <c r="B286" s="148">
        <v>2022.0</v>
      </c>
      <c r="C286" s="1045">
        <v>91000.0</v>
      </c>
      <c r="D286" s="104" t="s">
        <v>1687</v>
      </c>
      <c r="E286" s="103" t="s">
        <v>666</v>
      </c>
      <c r="F286" s="604"/>
      <c r="G286" s="605">
        <v>46631.0</v>
      </c>
      <c r="H286" s="1130"/>
      <c r="I286" s="185" t="s">
        <v>1227</v>
      </c>
      <c r="J286" s="111" t="s">
        <v>3214</v>
      </c>
      <c r="K286" s="336" t="str">
        <f t="shared" si="53"/>
        <v>#N/A</v>
      </c>
      <c r="L286" s="108" t="s">
        <v>720</v>
      </c>
      <c r="M286" s="109">
        <v>45797.0</v>
      </c>
      <c r="N286" s="109">
        <v>45798.0</v>
      </c>
      <c r="O286" s="277"/>
      <c r="P286" s="187"/>
      <c r="Q286" s="108"/>
      <c r="R286" s="108" t="s">
        <v>3183</v>
      </c>
      <c r="S286" s="112" t="s">
        <v>934</v>
      </c>
      <c r="T286" s="113">
        <v>45786.0</v>
      </c>
      <c r="U286" s="114" t="str">
        <f>IF(V286="","No AIS",VLOOKUP(V286,'Voyage days'!$A$3:$B$1480,2,FALSE))</f>
        <v>#N/A</v>
      </c>
      <c r="V286" s="115" t="str">
        <f>IF(VLOOKUP(A286,'1) Kpler'!$E$2:$P$1000,8, FALSE)="","",VLOOKUP(A286,'1) Kpler'!$E$2:$P$1000,8, FALSE))</f>
        <v>#N/A</v>
      </c>
      <c r="W286" s="116" t="str">
        <f>IF(VLOOKUP(A286,'1) Kpler'!$E$2:$P$1000,9,FALSE)="","",VLOOKUP(A286,'1) Kpler'!$E$2:$P$1000,9,FALSE))</f>
        <v>#N/A</v>
      </c>
      <c r="X286" s="115" t="str">
        <f>VLOOKUP(A286,'1) Kpler'!$E$2:$I$1000,4,FALSE)</f>
        <v>#N/A</v>
      </c>
      <c r="Y286" s="117" t="str">
        <f t="shared" si="40"/>
        <v>07-08 Jun</v>
      </c>
      <c r="Z286" s="120" t="str">
        <f t="shared" si="41"/>
        <v>07-08 Jun</v>
      </c>
      <c r="AA286" s="121">
        <f>IFERROR($M286+VLOOKUP($L286,'Voyage days'!$F$38:$H$89,3,FALSE),"")</f>
        <v>45815</v>
      </c>
      <c r="AB286" s="121">
        <f>IFERROR(N286+VLOOKUP($L286,'Voyage days'!$F$38:$H$89,3,FALSE),"")</f>
        <v>45816</v>
      </c>
      <c r="AC286" s="120" t="str">
        <f t="shared" si="42"/>
        <v>23-24 Jun</v>
      </c>
      <c r="AD286" s="121">
        <f>IFERROR($M286+VLOOKUP($L286,'Voyage days'!$F$94:$H$193,3,FALSE),"")</f>
        <v>45831</v>
      </c>
      <c r="AE286" s="121">
        <f>IFERROR($N286+VLOOKUP($L286,'Voyage days'!$F$94:$H$193,3,FALSE),"")</f>
        <v>45832</v>
      </c>
      <c r="AF286" s="120" t="str">
        <f t="shared" si="43"/>
        <v>30-01 Jul</v>
      </c>
      <c r="AG286" s="121">
        <f>IFERROR($M286+VLOOKUP($L286,'Voyage days'!$F$203:$H$256,3,FALSE),"")</f>
        <v>45838</v>
      </c>
      <c r="AH286" s="121">
        <f>IFERROR($N286+VLOOKUP($L286,'Voyage days'!$F$203:$H$256,3,FALSE),"")</f>
        <v>45839</v>
      </c>
      <c r="AI286" s="120" t="str">
        <f t="shared" si="44"/>
        <v>18-19 Jun</v>
      </c>
      <c r="AJ286" s="121">
        <f>IFERROR($M286+VLOOKUP($L286,'Voyage days'!$F$294:$H$377,3,FALSE),"")</f>
        <v>45826</v>
      </c>
      <c r="AK286" s="121">
        <f>IFERROR($N286+VLOOKUP($L286,'Voyage days'!$F$294:$H$377,3,FALSE),"")</f>
        <v>45827</v>
      </c>
      <c r="AL286" s="120" t="str">
        <f t="shared" si="45"/>
        <v>24-25 Jun</v>
      </c>
      <c r="AM286" s="121">
        <f>IFERROR($M286+VLOOKUP($L286,'Voyage days'!$F$382:$H$446,3,FALSE),"")</f>
        <v>45832</v>
      </c>
      <c r="AN286" s="121">
        <f>IFERROR($N286+VLOOKUP($L286,'Voyage days'!$F$382:$H$446,3,FALSE),"")</f>
        <v>45833</v>
      </c>
      <c r="AO286" s="120" t="str">
        <f t="shared" si="46"/>
        <v>03-04 Jun</v>
      </c>
      <c r="AP286" s="121">
        <f>IFERROR($M286+VLOOKUP($L286,'Voyage days'!$F$483:$H$538,3,FALSE),"")</f>
        <v>45811</v>
      </c>
      <c r="AQ286" s="121">
        <f>IFERROR($N286+VLOOKUP($L286,'Voyage days'!$F$483:$H$538,3,FALSE),"")</f>
        <v>45812</v>
      </c>
      <c r="AR286" s="120" t="str">
        <f t="shared" si="47"/>
        <v>28-29 May</v>
      </c>
      <c r="AS286" s="121">
        <f>IFERROR($M286+VLOOKUP($L286,'Voyage days'!$F$540:$H$613,3,FALSE),"")</f>
        <v>45805</v>
      </c>
      <c r="AT286" s="121">
        <f>IFERROR($N286+VLOOKUP($L286,'Voyage days'!$F$540:$H$613,3,FALSE),"")</f>
        <v>45806</v>
      </c>
      <c r="AU286" s="120" t="str">
        <f t="shared" si="48"/>
        <v/>
      </c>
      <c r="AV286" s="121" t="str">
        <f>IFERROR($M286+VLOOKUP($L286,'Voyage days'!$L$483:$N$535,3,FALSE),"")</f>
        <v/>
      </c>
      <c r="AW286" s="121" t="str">
        <f>IFERROR($N286+VLOOKUP($L286,'Voyage days'!$L$483:$N$535,3,FALSE),"")</f>
        <v/>
      </c>
      <c r="AX286" s="120" t="str">
        <f t="shared" si="49"/>
        <v>31-01 Jun</v>
      </c>
      <c r="AY286" s="122">
        <f>IFERROR($M286+VLOOKUP($L286,'Voyage days'!$F$620:$H$646,3,FALSE),"")</f>
        <v>45808</v>
      </c>
      <c r="AZ286" s="122">
        <f>IFERROR($N286+VLOOKUP($L286,'Voyage days'!$F$620:$H$646,3,FALSE),"")</f>
        <v>45809</v>
      </c>
      <c r="BA286" s="120" t="str">
        <f t="shared" si="50"/>
        <v>28-05 Jul</v>
      </c>
      <c r="BB286" s="123">
        <f>IFERROR($M286+VLOOKUP($L286,'Voyage days'!$F$702:$H$727,3,FALSE),"")</f>
        <v>45805</v>
      </c>
      <c r="BC286" s="120" t="str">
        <f t="shared" si="51"/>
        <v>04-05 Jul</v>
      </c>
      <c r="BD286" s="122">
        <f>IFERROR($M286+VLOOKUP($L286,'Voyage days'!$F$807:$H$878,3,FALSE),"")</f>
        <v>45842</v>
      </c>
      <c r="BE286" s="122">
        <f>IFERROR($N286+VLOOKUP($L286,'Voyage days'!$F$807:$H$878,3,FALSE),"")</f>
        <v>45843</v>
      </c>
      <c r="BF286" s="609"/>
      <c r="BG286" s="609"/>
      <c r="BH286" s="609"/>
      <c r="BI286" s="609"/>
      <c r="BJ286" s="609"/>
      <c r="BK286" s="609"/>
      <c r="BL286" s="609"/>
      <c r="BM286" s="609"/>
    </row>
    <row r="287" ht="15.75" customHeight="1">
      <c r="A287" s="1202" t="s">
        <v>351</v>
      </c>
      <c r="B287" s="550">
        <v>2023.0</v>
      </c>
      <c r="C287" s="1045">
        <v>86000.0</v>
      </c>
      <c r="D287" s="104"/>
      <c r="E287" s="103" t="s">
        <v>666</v>
      </c>
      <c r="F287" s="604"/>
      <c r="G287" s="605">
        <v>47178.0</v>
      </c>
      <c r="H287" s="103"/>
      <c r="I287" s="185" t="s">
        <v>1227</v>
      </c>
      <c r="J287" s="111"/>
      <c r="K287" s="336" t="str">
        <f t="shared" si="53"/>
        <v>Update</v>
      </c>
      <c r="L287" s="108" t="s">
        <v>728</v>
      </c>
      <c r="M287" s="109">
        <v>45792.0</v>
      </c>
      <c r="N287" s="109">
        <v>45797.0</v>
      </c>
      <c r="O287" s="110"/>
      <c r="P287" s="108" t="s">
        <v>3215</v>
      </c>
      <c r="Q287" s="1203"/>
      <c r="R287" s="108"/>
      <c r="S287" s="112" t="s">
        <v>934</v>
      </c>
      <c r="T287" s="113">
        <v>45785.0</v>
      </c>
      <c r="U287" s="114" t="str">
        <f>IF(V287="","No AIS",VLOOKUP(V287,'Voyage days'!$A$3:$B$1480,2,FALSE))</f>
        <v>East China + 4</v>
      </c>
      <c r="V287" s="115" t="str">
        <f>IF(VLOOKUP(A287,'1) Kpler'!$E$2:$P$1000,8, FALSE)="","",VLOOKUP(A287,'1) Kpler'!$E$2:$P$1000,8, FALSE))</f>
        <v>Ningbo Area</v>
      </c>
      <c r="W287" s="116">
        <f>IF(VLOOKUP(A287,'1) Kpler'!$E$2:$P$1000,9,FALSE)="","",VLOOKUP(A287,'1) Kpler'!$E$2:$P$1000,9,FALSE))</f>
        <v>46136.5</v>
      </c>
      <c r="X287" s="115" t="str">
        <f>VLOOKUP(A287,'1) Kpler'!$E$2:$I$1000,4,FALSE)</f>
        <v>loaded</v>
      </c>
      <c r="Y287" s="160" t="str">
        <f t="shared" si="40"/>
        <v>25-30 May</v>
      </c>
      <c r="Z287" s="120" t="str">
        <f t="shared" si="41"/>
        <v>25-30 May</v>
      </c>
      <c r="AA287" s="121">
        <f>IFERROR($M287+VLOOKUP($L287,'Voyage days'!$F$38:$H$89,3,FALSE),"")</f>
        <v>45802</v>
      </c>
      <c r="AB287" s="121">
        <f>IFERROR(N287+VLOOKUP($L287,'Voyage days'!$F$38:$H$89,3,FALSE),"")</f>
        <v>45807</v>
      </c>
      <c r="AC287" s="120" t="str">
        <f t="shared" si="42"/>
        <v>29-03 Jun</v>
      </c>
      <c r="AD287" s="121">
        <f>IFERROR($M287+VLOOKUP($L287,'Voyage days'!$F$94:$H$193,3,FALSE),"")</f>
        <v>45806</v>
      </c>
      <c r="AE287" s="121">
        <f>IFERROR($N287+VLOOKUP($L287,'Voyage days'!$F$94:$H$193,3,FALSE),"")</f>
        <v>45811</v>
      </c>
      <c r="AF287" s="120" t="str">
        <f t="shared" si="43"/>
        <v>04-09 Jun</v>
      </c>
      <c r="AG287" s="121">
        <f>IFERROR($M287+VLOOKUP($L287,'Voyage days'!$F$203:$H$256,3,FALSE),"")</f>
        <v>45812</v>
      </c>
      <c r="AH287" s="121">
        <f>IFERROR($N287+VLOOKUP($L287,'Voyage days'!$F$203:$H$256,3,FALSE),"")</f>
        <v>45817</v>
      </c>
      <c r="AI287" s="120" t="str">
        <f t="shared" si="44"/>
        <v>30-04 Jun</v>
      </c>
      <c r="AJ287" s="121">
        <f>IFERROR($M287+VLOOKUP($L287,'Voyage days'!$F$294:$H$377,3,FALSE),"")</f>
        <v>45807</v>
      </c>
      <c r="AK287" s="121">
        <f>IFERROR($N287+VLOOKUP($L287,'Voyage days'!$F$294:$H$377,3,FALSE),"")</f>
        <v>45812</v>
      </c>
      <c r="AL287" s="120" t="str">
        <f t="shared" si="45"/>
        <v>20-25 May</v>
      </c>
      <c r="AM287" s="121">
        <f>IFERROR($M287+VLOOKUP($L287,'Voyage days'!$F$382:$H$446,3,FALSE),"")</f>
        <v>45797</v>
      </c>
      <c r="AN287" s="121">
        <f>IFERROR($N287+VLOOKUP($L287,'Voyage days'!$F$382:$H$446,3,FALSE),"")</f>
        <v>45802</v>
      </c>
      <c r="AO287" s="120" t="str">
        <f t="shared" si="46"/>
        <v/>
      </c>
      <c r="AP287" s="121" t="str">
        <f>IFERROR($M287+VLOOKUP($L287,'Voyage days'!$F$483:$H$538,3,FALSE),"")</f>
        <v/>
      </c>
      <c r="AQ287" s="121" t="str">
        <f>IFERROR($N287+VLOOKUP($L287,'Voyage days'!$F$483:$H$538,3,FALSE),"")</f>
        <v/>
      </c>
      <c r="AR287" s="120" t="str">
        <f t="shared" si="47"/>
        <v/>
      </c>
      <c r="AS287" s="121" t="str">
        <f>IFERROR($M287+VLOOKUP($L287,'Voyage days'!$F$540:$H$613,3,FALSE),"")</f>
        <v/>
      </c>
      <c r="AT287" s="121" t="str">
        <f>IFERROR($N287+VLOOKUP($L287,'Voyage days'!$F$540:$H$613,3,FALSE),"")</f>
        <v/>
      </c>
      <c r="AU287" s="120" t="str">
        <f t="shared" si="48"/>
        <v/>
      </c>
      <c r="AV287" s="121" t="str">
        <f>IFERROR($M287+VLOOKUP($L287,'Voyage days'!$L$483:$N$535,3,FALSE),"")</f>
        <v/>
      </c>
      <c r="AW287" s="121" t="str">
        <f>IFERROR($N287+VLOOKUP($L287,'Voyage days'!$L$483:$N$535,3,FALSE),"")</f>
        <v/>
      </c>
      <c r="AX287" s="120" t="str">
        <f t="shared" si="49"/>
        <v/>
      </c>
      <c r="AY287" s="122" t="str">
        <f>IFERROR($M287+VLOOKUP($L287,'Voyage days'!$F$620:$H$646,3,FALSE),"")</f>
        <v/>
      </c>
      <c r="AZ287" s="122" t="str">
        <f>IFERROR($N287+VLOOKUP($L287,'Voyage days'!$F$620:$H$646,3,FALSE),"")</f>
        <v/>
      </c>
      <c r="BA287" s="120" t="str">
        <f t="shared" si="50"/>
        <v/>
      </c>
      <c r="BB287" s="123" t="str">
        <f>IFERROR($M287+VLOOKUP($L287,'Voyage days'!$F$702:$H$727,3,FALSE),"")</f>
        <v/>
      </c>
      <c r="BC287" s="120" t="str">
        <f t="shared" si="51"/>
        <v>19-24 May</v>
      </c>
      <c r="BD287" s="122">
        <f>IFERROR($M287+VLOOKUP($L287,'Voyage days'!$F$807:$H$878,3,FALSE),"")</f>
        <v>45796</v>
      </c>
      <c r="BE287" s="122">
        <f>IFERROR($N287+VLOOKUP($L287,'Voyage days'!$F$807:$H$878,3,FALSE),"")</f>
        <v>45801</v>
      </c>
      <c r="BF287" s="609"/>
      <c r="BG287" s="609"/>
      <c r="BH287" s="609"/>
      <c r="BI287" s="609"/>
      <c r="BJ287" s="609"/>
      <c r="BK287" s="609"/>
      <c r="BL287" s="609"/>
      <c r="BM287" s="609"/>
    </row>
    <row r="288" ht="15.75" customHeight="1">
      <c r="A288" s="100" t="s">
        <v>367</v>
      </c>
      <c r="B288" s="550">
        <v>2023.0</v>
      </c>
      <c r="C288" s="1045">
        <v>93000.0</v>
      </c>
      <c r="D288" s="104"/>
      <c r="E288" s="103" t="s">
        <v>666</v>
      </c>
      <c r="F288" s="604"/>
      <c r="G288" s="605">
        <v>45748.0</v>
      </c>
      <c r="H288" s="103"/>
      <c r="I288" s="185" t="s">
        <v>1227</v>
      </c>
      <c r="J288" s="111"/>
      <c r="K288" s="336" t="str">
        <f t="shared" si="53"/>
        <v>Update</v>
      </c>
      <c r="L288" s="108" t="s">
        <v>963</v>
      </c>
      <c r="M288" s="109">
        <v>45799.0</v>
      </c>
      <c r="N288" s="109">
        <v>45804.0</v>
      </c>
      <c r="O288" s="110"/>
      <c r="P288" s="111"/>
      <c r="Q288" s="1156"/>
      <c r="R288" s="185"/>
      <c r="S288" s="112" t="s">
        <v>2993</v>
      </c>
      <c r="T288" s="113">
        <v>45777.0</v>
      </c>
      <c r="U288" s="114" t="str">
        <f>IF(V288="","No AIS",VLOOKUP(V288,'Voyage days'!$A$3:$B$1480,2,FALSE))</f>
        <v>Panama</v>
      </c>
      <c r="V288" s="115" t="str">
        <f>IF(VLOOKUP(A288,'1) Kpler'!$E$2:$P$1000,8, FALSE)="","",VLOOKUP(A288,'1) Kpler'!$E$2:$P$1000,8, FALSE))</f>
        <v>Panama Canal</v>
      </c>
      <c r="W288" s="116">
        <f>IF(VLOOKUP(A288,'1) Kpler'!$E$2:$P$1000,9,FALSE)="","",VLOOKUP(A288,'1) Kpler'!$E$2:$P$1000,9,FALSE))</f>
        <v>46140.33333</v>
      </c>
      <c r="X288" s="115" t="str">
        <f>VLOOKUP(A288,'1) Kpler'!$E$2:$I$1000,4,FALSE)</f>
        <v>ballast</v>
      </c>
      <c r="Y288" s="117" t="str">
        <f t="shared" si="40"/>
        <v>09-14 Jun</v>
      </c>
      <c r="Z288" s="120" t="str">
        <f t="shared" si="41"/>
        <v>09-14 Jun</v>
      </c>
      <c r="AA288" s="121">
        <f>IFERROR($M288+VLOOKUP($L288,'Voyage days'!$F$38:$H$89,3,FALSE),"")</f>
        <v>45817</v>
      </c>
      <c r="AB288" s="121">
        <f>IFERROR(N288+VLOOKUP($L288,'Voyage days'!$F$38:$H$89,3,FALSE),"")</f>
        <v>45822</v>
      </c>
      <c r="AC288" s="120" t="str">
        <f t="shared" si="42"/>
        <v>24-29 Jun</v>
      </c>
      <c r="AD288" s="121">
        <f>IFERROR($M288+VLOOKUP($L288,'Voyage days'!$F$94:$H$193,3,FALSE),"")</f>
        <v>45832</v>
      </c>
      <c r="AE288" s="121">
        <f>IFERROR($N288+VLOOKUP($L288,'Voyage days'!$F$94:$H$193,3,FALSE),"")</f>
        <v>45837</v>
      </c>
      <c r="AF288" s="120" t="str">
        <f t="shared" si="43"/>
        <v>03-08 Jul</v>
      </c>
      <c r="AG288" s="121">
        <f>IFERROR($M288+VLOOKUP($L288,'Voyage days'!$F$203:$H$256,3,FALSE),"")</f>
        <v>45841</v>
      </c>
      <c r="AH288" s="121">
        <f>IFERROR($N288+VLOOKUP($L288,'Voyage days'!$F$203:$H$256,3,FALSE),"")</f>
        <v>45846</v>
      </c>
      <c r="AI288" s="120" t="str">
        <f t="shared" si="44"/>
        <v>20-25 Jun</v>
      </c>
      <c r="AJ288" s="121">
        <f>IFERROR($M288+VLOOKUP($L288,'Voyage days'!$F$294:$H$377,3,FALSE),"")</f>
        <v>45828</v>
      </c>
      <c r="AK288" s="121">
        <f>IFERROR($N288+VLOOKUP($L288,'Voyage days'!$F$294:$H$377,3,FALSE),"")</f>
        <v>45833</v>
      </c>
      <c r="AL288" s="120" t="str">
        <f t="shared" si="45"/>
        <v>26-01 Jul</v>
      </c>
      <c r="AM288" s="121">
        <f>IFERROR($M288+VLOOKUP($L288,'Voyage days'!$F$382:$H$446,3,FALSE),"")</f>
        <v>45834</v>
      </c>
      <c r="AN288" s="121">
        <f>IFERROR($N288+VLOOKUP($L288,'Voyage days'!$F$382:$H$446,3,FALSE),"")</f>
        <v>45839</v>
      </c>
      <c r="AO288" s="120" t="str">
        <f t="shared" si="46"/>
        <v>06-11 Jun</v>
      </c>
      <c r="AP288" s="121">
        <f>IFERROR($M288+VLOOKUP($L288,'Voyage days'!$F$483:$H$538,3,FALSE),"")</f>
        <v>45814</v>
      </c>
      <c r="AQ288" s="121">
        <f>IFERROR($N288+VLOOKUP($L288,'Voyage days'!$F$483:$H$538,3,FALSE),"")</f>
        <v>45819</v>
      </c>
      <c r="AR288" s="120" t="str">
        <f t="shared" si="47"/>
        <v>31-05 Jun</v>
      </c>
      <c r="AS288" s="121">
        <f>IFERROR($M288+VLOOKUP($L288,'Voyage days'!$F$540:$H$613,3,FALSE),"")</f>
        <v>45808</v>
      </c>
      <c r="AT288" s="121">
        <f>IFERROR($N288+VLOOKUP($L288,'Voyage days'!$F$540:$H$613,3,FALSE),"")</f>
        <v>45813</v>
      </c>
      <c r="AU288" s="120" t="str">
        <f t="shared" si="48"/>
        <v/>
      </c>
      <c r="AV288" s="121" t="str">
        <f>IFERROR($M288+VLOOKUP($L288,'Voyage days'!$L$483:$N$535,3,FALSE),"")</f>
        <v/>
      </c>
      <c r="AW288" s="121" t="str">
        <f>IFERROR($N288+VLOOKUP($L288,'Voyage days'!$L$483:$N$535,3,FALSE),"")</f>
        <v/>
      </c>
      <c r="AX288" s="120" t="str">
        <f t="shared" si="49"/>
        <v>04-09 Jun</v>
      </c>
      <c r="AY288" s="122">
        <f>IFERROR($M288+VLOOKUP($L288,'Voyage days'!$F$620:$H$646,3,FALSE),"")</f>
        <v>45812</v>
      </c>
      <c r="AZ288" s="122">
        <f>IFERROR($N288+VLOOKUP($L288,'Voyage days'!$F$620:$H$646,3,FALSE),"")</f>
        <v>45817</v>
      </c>
      <c r="BA288" s="120" t="str">
        <f t="shared" si="50"/>
        <v>31-12 Jul</v>
      </c>
      <c r="BB288" s="123">
        <f>IFERROR($M288+VLOOKUP($L288,'Voyage days'!$F$702:$H$727,3,FALSE),"")</f>
        <v>45808</v>
      </c>
      <c r="BC288" s="120" t="str">
        <f t="shared" si="51"/>
        <v>07-12 Jul</v>
      </c>
      <c r="BD288" s="122">
        <f>IFERROR($M288+VLOOKUP($L288,'Voyage days'!$F$807:$H$878,3,FALSE),"")</f>
        <v>45845</v>
      </c>
      <c r="BE288" s="122">
        <f>IFERROR($N288+VLOOKUP($L288,'Voyage days'!$F$807:$H$878,3,FALSE),"")</f>
        <v>45850</v>
      </c>
      <c r="BF288" s="609"/>
      <c r="BG288" s="609"/>
      <c r="BH288" s="609"/>
      <c r="BI288" s="609"/>
      <c r="BJ288" s="609"/>
      <c r="BK288" s="609"/>
      <c r="BL288" s="609"/>
      <c r="BM288" s="609"/>
    </row>
    <row r="289" ht="15.75" customHeight="1">
      <c r="A289" s="298" t="s">
        <v>401</v>
      </c>
      <c r="B289" s="550">
        <v>2023.0</v>
      </c>
      <c r="C289" s="1045">
        <v>86000.0</v>
      </c>
      <c r="D289" s="104"/>
      <c r="E289" s="103"/>
      <c r="F289" s="604"/>
      <c r="G289" s="605"/>
      <c r="H289" s="103"/>
      <c r="I289" s="185" t="s">
        <v>1227</v>
      </c>
      <c r="J289" s="111" t="s">
        <v>3019</v>
      </c>
      <c r="K289" s="336" t="str">
        <f t="shared" si="53"/>
        <v>Update</v>
      </c>
      <c r="L289" s="108" t="s">
        <v>668</v>
      </c>
      <c r="M289" s="109">
        <v>45792.0</v>
      </c>
      <c r="N289" s="109">
        <v>45794.0</v>
      </c>
      <c r="O289" s="110"/>
      <c r="P289" s="185"/>
      <c r="Q289" s="111"/>
      <c r="R289" s="185"/>
      <c r="S289" s="112" t="s">
        <v>2993</v>
      </c>
      <c r="T289" s="113">
        <v>45782.0</v>
      </c>
      <c r="U289" s="114" t="str">
        <f>IF(V289="","No AIS",VLOOKUP(V289,'Voyage days'!$A$3:$B$1480,2,FALSE))</f>
        <v>Caribs</v>
      </c>
      <c r="V289" s="115" t="str">
        <f>IF(VLOOKUP(A289,'1) Kpler'!$E$2:$P$1000,8, FALSE)="","",VLOOKUP(A289,'1) Kpler'!$E$2:$P$1000,8, FALSE))</f>
        <v>Kingston LPG</v>
      </c>
      <c r="W289" s="116">
        <f>IF(VLOOKUP(A289,'1) Kpler'!$E$2:$P$1000,9,FALSE)="","",VLOOKUP(A289,'1) Kpler'!$E$2:$P$1000,9,FALSE))</f>
        <v>46132.125</v>
      </c>
      <c r="X289" s="115" t="str">
        <f>VLOOKUP(A289,'1) Kpler'!$E$2:$I$1000,4,FALSE)</f>
        <v>loaded</v>
      </c>
      <c r="Y289" s="160" t="str">
        <f t="shared" si="40"/>
        <v>02-04 Jun</v>
      </c>
      <c r="Z289" s="120" t="str">
        <f t="shared" si="41"/>
        <v>02-04 Jun</v>
      </c>
      <c r="AA289" s="121">
        <f>IFERROR($M289+VLOOKUP($L289,'Voyage days'!$F$38:$H$89,3,FALSE),"")</f>
        <v>45810</v>
      </c>
      <c r="AB289" s="121">
        <f>IFERROR(N289+VLOOKUP($L289,'Voyage days'!$F$38:$H$89,3,FALSE),"")</f>
        <v>45812</v>
      </c>
      <c r="AC289" s="120" t="str">
        <f t="shared" si="42"/>
        <v>16-18 Jun</v>
      </c>
      <c r="AD289" s="121">
        <f>IFERROR($M289+VLOOKUP($L289,'Voyage days'!$F$94:$H$193,3,FALSE),"")</f>
        <v>45824</v>
      </c>
      <c r="AE289" s="121">
        <f>IFERROR($N289+VLOOKUP($L289,'Voyage days'!$F$94:$H$193,3,FALSE),"")</f>
        <v>45826</v>
      </c>
      <c r="AF289" s="120" t="str">
        <f t="shared" si="43"/>
        <v>26-28 Jun</v>
      </c>
      <c r="AG289" s="121">
        <f>IFERROR($M289+VLOOKUP($L289,'Voyage days'!$F$203:$H$256,3,FALSE),"")</f>
        <v>45834</v>
      </c>
      <c r="AH289" s="121">
        <f>IFERROR($N289+VLOOKUP($L289,'Voyage days'!$F$203:$H$256,3,FALSE),"")</f>
        <v>45836</v>
      </c>
      <c r="AI289" s="120" t="str">
        <f t="shared" si="44"/>
        <v>14-16 Jun</v>
      </c>
      <c r="AJ289" s="121">
        <f>IFERROR($M289+VLOOKUP($L289,'Voyage days'!$F$294:$H$377,3,FALSE),"")</f>
        <v>45822</v>
      </c>
      <c r="AK289" s="121">
        <f>IFERROR($N289+VLOOKUP($L289,'Voyage days'!$F$294:$H$377,3,FALSE),"")</f>
        <v>45824</v>
      </c>
      <c r="AL289" s="120" t="str">
        <f t="shared" si="45"/>
        <v>20-22 Jun</v>
      </c>
      <c r="AM289" s="121">
        <f>IFERROR($M289+VLOOKUP($L289,'Voyage days'!$F$382:$H$446,3,FALSE),"")</f>
        <v>45828</v>
      </c>
      <c r="AN289" s="121">
        <f>IFERROR($N289+VLOOKUP($L289,'Voyage days'!$F$382:$H$446,3,FALSE),"")</f>
        <v>45830</v>
      </c>
      <c r="AO289" s="120" t="str">
        <f t="shared" si="46"/>
        <v>28-30 May</v>
      </c>
      <c r="AP289" s="121">
        <f>IFERROR($M289+VLOOKUP($L289,'Voyage days'!$F$483:$H$538,3,FALSE),"")</f>
        <v>45805</v>
      </c>
      <c r="AQ289" s="121">
        <f>IFERROR($N289+VLOOKUP($L289,'Voyage days'!$F$483:$H$538,3,FALSE),"")</f>
        <v>45807</v>
      </c>
      <c r="AR289" s="120" t="str">
        <f t="shared" si="47"/>
        <v>23-25 May</v>
      </c>
      <c r="AS289" s="121">
        <f>IFERROR($M289+VLOOKUP($L289,'Voyage days'!$F$540:$H$613,3,FALSE),"")</f>
        <v>45800.25</v>
      </c>
      <c r="AT289" s="121">
        <f>IFERROR($N289+VLOOKUP($L289,'Voyage days'!$F$540:$H$613,3,FALSE),"")</f>
        <v>45802.25</v>
      </c>
      <c r="AU289" s="120" t="str">
        <f t="shared" si="48"/>
        <v/>
      </c>
      <c r="AV289" s="121" t="str">
        <f>IFERROR($M289+VLOOKUP($L289,'Voyage days'!$L$483:$N$535,3,FALSE),"")</f>
        <v/>
      </c>
      <c r="AW289" s="121" t="str">
        <f>IFERROR($N289+VLOOKUP($L289,'Voyage days'!$L$483:$N$535,3,FALSE),"")</f>
        <v/>
      </c>
      <c r="AX289" s="120" t="str">
        <f t="shared" si="49"/>
        <v>26-28 May</v>
      </c>
      <c r="AY289" s="122">
        <f>IFERROR($M289+VLOOKUP($L289,'Voyage days'!$F$620:$H$646,3,FALSE),"")</f>
        <v>45803</v>
      </c>
      <c r="AZ289" s="122">
        <f>IFERROR($N289+VLOOKUP($L289,'Voyage days'!$F$620:$H$646,3,FALSE),"")</f>
        <v>45805</v>
      </c>
      <c r="BA289" s="120" t="str">
        <f t="shared" si="50"/>
        <v>23-02 Jul</v>
      </c>
      <c r="BB289" s="123">
        <f>IFERROR($M289+VLOOKUP($L289,'Voyage days'!$F$702:$H$727,3,FALSE),"")</f>
        <v>45800.25</v>
      </c>
      <c r="BC289" s="120" t="str">
        <f t="shared" si="51"/>
        <v>30-02 Jul</v>
      </c>
      <c r="BD289" s="122">
        <f>IFERROR($M289+VLOOKUP($L289,'Voyage days'!$F$807:$H$878,3,FALSE),"")</f>
        <v>45838</v>
      </c>
      <c r="BE289" s="122">
        <f>IFERROR($N289+VLOOKUP($L289,'Voyage days'!$F$807:$H$878,3,FALSE),"")</f>
        <v>45840</v>
      </c>
      <c r="BF289" s="609"/>
      <c r="BG289" s="609"/>
      <c r="BH289" s="609"/>
      <c r="BI289" s="609"/>
      <c r="BJ289" s="609"/>
      <c r="BK289" s="609"/>
      <c r="BL289" s="609"/>
      <c r="BM289" s="609"/>
    </row>
    <row r="290" ht="15.75" customHeight="1">
      <c r="A290" s="80" t="s">
        <v>416</v>
      </c>
      <c r="B290" s="148">
        <v>2016.0</v>
      </c>
      <c r="C290" s="1045">
        <v>83000.0</v>
      </c>
      <c r="D290" s="104" t="s">
        <v>1687</v>
      </c>
      <c r="E290" s="103" t="s">
        <v>689</v>
      </c>
      <c r="F290" s="1109">
        <v>43818.0</v>
      </c>
      <c r="G290" s="1204">
        <v>47331.0</v>
      </c>
      <c r="H290" s="103"/>
      <c r="I290" s="185" t="s">
        <v>1227</v>
      </c>
      <c r="J290" s="185" t="s">
        <v>3002</v>
      </c>
      <c r="K290" s="336" t="str">
        <f t="shared" si="53"/>
        <v>Update</v>
      </c>
      <c r="L290" s="108" t="s">
        <v>680</v>
      </c>
      <c r="M290" s="109">
        <v>45813.0</v>
      </c>
      <c r="N290" s="109">
        <v>45815.0</v>
      </c>
      <c r="O290" s="191"/>
      <c r="P290" s="108"/>
      <c r="Q290" s="108" t="s">
        <v>3216</v>
      </c>
      <c r="R290" s="185"/>
      <c r="S290" s="112" t="s">
        <v>2993</v>
      </c>
      <c r="T290" s="113">
        <v>45783.0</v>
      </c>
      <c r="U290" s="114" t="str">
        <f>IF(V290="","No AIS",VLOOKUP(V290,'Voyage days'!$A$3:$B$1480,2,FALSE))</f>
        <v>WCI + 5</v>
      </c>
      <c r="V290" s="115" t="str">
        <f>IF(VLOOKUP(A290,'1) Kpler'!$E$2:$P$1000,8, FALSE)="","",VLOOKUP(A290,'1) Kpler'!$E$2:$P$1000,8, FALSE))</f>
        <v>Mangalore</v>
      </c>
      <c r="W290" s="116">
        <f>IF(VLOOKUP(A290,'1) Kpler'!$E$2:$P$1000,9,FALSE)="","",VLOOKUP(A290,'1) Kpler'!$E$2:$P$1000,9,FALSE))</f>
        <v>46134.20833</v>
      </c>
      <c r="X290" s="115" t="str">
        <f>VLOOKUP(A290,'1) Kpler'!$E$2:$I$1000,4,FALSE)</f>
        <v>loaded</v>
      </c>
      <c r="Y290" s="117" t="str">
        <f t="shared" si="40"/>
        <v/>
      </c>
      <c r="Z290" s="120" t="str">
        <f t="shared" si="41"/>
        <v/>
      </c>
      <c r="AA290" s="121" t="str">
        <f>IFERROR($M290+VLOOKUP($L290,'Voyage days'!$F$38:$H$89,3,FALSE),"")</f>
        <v/>
      </c>
      <c r="AB290" s="121" t="str">
        <f>IFERROR(N290+VLOOKUP($L290,'Voyage days'!$F$38:$H$89,3,FALSE),"")</f>
        <v/>
      </c>
      <c r="AC290" s="120" t="str">
        <f t="shared" si="42"/>
        <v>05-07 Jun</v>
      </c>
      <c r="AD290" s="121">
        <f>IFERROR($M290+VLOOKUP($L290,'Voyage days'!$F$94:$H$193,3,FALSE),"")</f>
        <v>45813</v>
      </c>
      <c r="AE290" s="121">
        <f>IFERROR($N290+VLOOKUP($L290,'Voyage days'!$F$94:$H$193,3,FALSE),"")</f>
        <v>45815</v>
      </c>
      <c r="AF290" s="120" t="str">
        <f t="shared" si="43"/>
        <v>05-07 Jun</v>
      </c>
      <c r="AG290" s="121">
        <f>IFERROR($M290+VLOOKUP($L290,'Voyage days'!$F$203:$H$256,3,FALSE),"")</f>
        <v>45813</v>
      </c>
      <c r="AH290" s="121">
        <f>IFERROR($N290+VLOOKUP($L290,'Voyage days'!$F$203:$H$256,3,FALSE),"")</f>
        <v>45815</v>
      </c>
      <c r="AI290" s="120" t="str">
        <f t="shared" si="44"/>
        <v/>
      </c>
      <c r="AJ290" s="121" t="str">
        <f>IFERROR($M290+VLOOKUP($L290,'Voyage days'!$F$294:$H$377,3,FALSE),"")</f>
        <v/>
      </c>
      <c r="AK290" s="121" t="str">
        <f>IFERROR($N290+VLOOKUP($L290,'Voyage days'!$F$294:$H$377,3,FALSE),"")</f>
        <v/>
      </c>
      <c r="AL290" s="120" t="str">
        <f t="shared" si="45"/>
        <v>25-27 Jun</v>
      </c>
      <c r="AM290" s="121">
        <f>IFERROR($M290+VLOOKUP($L290,'Voyage days'!$F$382:$H$446,3,FALSE),"")</f>
        <v>45833</v>
      </c>
      <c r="AN290" s="121">
        <f>IFERROR($N290+VLOOKUP($L290,'Voyage days'!$F$382:$H$446,3,FALSE),"")</f>
        <v>45835</v>
      </c>
      <c r="AO290" s="120" t="str">
        <f t="shared" si="46"/>
        <v/>
      </c>
      <c r="AP290" s="121" t="str">
        <f>IFERROR($M290+VLOOKUP($L290,'Voyage days'!$F$483:$H$538,3,FALSE),"")</f>
        <v/>
      </c>
      <c r="AQ290" s="121" t="str">
        <f>IFERROR($N290+VLOOKUP($L290,'Voyage days'!$F$483:$H$538,3,FALSE),"")</f>
        <v/>
      </c>
      <c r="AR290" s="120" t="str">
        <f t="shared" si="47"/>
        <v/>
      </c>
      <c r="AS290" s="121" t="str">
        <f>IFERROR($M290+VLOOKUP($L290,'Voyage days'!$F$540:$H$613,3,FALSE),"")</f>
        <v/>
      </c>
      <c r="AT290" s="121" t="str">
        <f>IFERROR($N290+VLOOKUP($L290,'Voyage days'!$F$540:$H$613,3,FALSE),"")</f>
        <v/>
      </c>
      <c r="AU290" s="120" t="str">
        <f t="shared" si="48"/>
        <v/>
      </c>
      <c r="AV290" s="121" t="str">
        <f>IFERROR($M290+VLOOKUP($L290,'Voyage days'!$L$483:$N$535,3,FALSE),"")</f>
        <v/>
      </c>
      <c r="AW290" s="121" t="str">
        <f>IFERROR($N290+VLOOKUP($L290,'Voyage days'!$L$483:$N$535,3,FALSE),"")</f>
        <v/>
      </c>
      <c r="AX290" s="120" t="str">
        <f t="shared" si="49"/>
        <v/>
      </c>
      <c r="AY290" s="122" t="str">
        <f>IFERROR($M290+VLOOKUP($L290,'Voyage days'!$F$620:$H$646,3,FALSE),"")</f>
        <v/>
      </c>
      <c r="AZ290" s="122" t="str">
        <f>IFERROR($N290+VLOOKUP($L290,'Voyage days'!$F$620:$H$646,3,FALSE),"")</f>
        <v/>
      </c>
      <c r="BA290" s="120" t="str">
        <f t="shared" si="50"/>
        <v/>
      </c>
      <c r="BB290" s="123" t="str">
        <f>IFERROR($M290+VLOOKUP($L290,'Voyage days'!$F$702:$H$727,3,FALSE),"")</f>
        <v/>
      </c>
      <c r="BC290" s="120" t="str">
        <f t="shared" si="51"/>
        <v/>
      </c>
      <c r="BD290" s="122" t="str">
        <f>IFERROR($M290+VLOOKUP($L290,'Voyage days'!$F$807:$H$878,3,FALSE),"")</f>
        <v/>
      </c>
      <c r="BE290" s="122" t="str">
        <f>IFERROR($N290+VLOOKUP($L290,'Voyage days'!$F$807:$H$878,3,FALSE),"")</f>
        <v/>
      </c>
      <c r="BF290" s="609"/>
      <c r="BG290" s="609"/>
      <c r="BH290" s="609"/>
      <c r="BI290" s="609"/>
      <c r="BJ290" s="609"/>
      <c r="BK290" s="609"/>
      <c r="BL290" s="609"/>
      <c r="BM290" s="609"/>
    </row>
    <row r="291" ht="15.75" customHeight="1">
      <c r="A291" s="406" t="s">
        <v>423</v>
      </c>
      <c r="B291" s="550">
        <v>2023.0</v>
      </c>
      <c r="C291" s="1045">
        <v>86000.0</v>
      </c>
      <c r="D291" s="104"/>
      <c r="E291" s="103" t="s">
        <v>666</v>
      </c>
      <c r="F291" s="604"/>
      <c r="G291" s="1085">
        <v>46997.0</v>
      </c>
      <c r="H291" s="103"/>
      <c r="I291" s="185" t="s">
        <v>1227</v>
      </c>
      <c r="J291" s="111"/>
      <c r="K291" s="336" t="str">
        <f t="shared" si="53"/>
        <v>Update</v>
      </c>
      <c r="L291" s="108" t="s">
        <v>720</v>
      </c>
      <c r="M291" s="109">
        <v>45799.0</v>
      </c>
      <c r="N291" s="109">
        <v>45805.0</v>
      </c>
      <c r="O291" s="110"/>
      <c r="P291" s="110"/>
      <c r="Q291" s="111"/>
      <c r="R291" s="185"/>
      <c r="S291" s="112" t="s">
        <v>2993</v>
      </c>
      <c r="T291" s="113">
        <v>45777.0</v>
      </c>
      <c r="U291" s="114" t="str">
        <f>IF(V291="","No AIS",VLOOKUP(V291,'Voyage days'!$A$3:$B$1480,2,FALSE))</f>
        <v>Japan + 6</v>
      </c>
      <c r="V291" s="115" t="str">
        <f>IF(VLOOKUP(A291,'1) Kpler'!$E$2:$P$1000,8, FALSE)="","",VLOOKUP(A291,'1) Kpler'!$E$2:$P$1000,8, FALSE))</f>
        <v>Chiba</v>
      </c>
      <c r="W291" s="116">
        <f>IF(VLOOKUP(A291,'1) Kpler'!$E$2:$P$1000,9,FALSE)="","",VLOOKUP(A291,'1) Kpler'!$E$2:$P$1000,9,FALSE))</f>
        <v>46141.04167</v>
      </c>
      <c r="X291" s="115" t="str">
        <f>VLOOKUP(A291,'1) Kpler'!$E$2:$I$1000,4,FALSE)</f>
        <v>loaded</v>
      </c>
      <c r="Y291" s="160" t="str">
        <f t="shared" si="40"/>
        <v>09-15 Jun</v>
      </c>
      <c r="Z291" s="120" t="str">
        <f t="shared" si="41"/>
        <v>09-15 Jun</v>
      </c>
      <c r="AA291" s="121">
        <f>IFERROR($M291+VLOOKUP($L291,'Voyage days'!$F$38:$H$89,3,FALSE),"")</f>
        <v>45817</v>
      </c>
      <c r="AB291" s="121">
        <f>IFERROR(N291+VLOOKUP($L291,'Voyage days'!$F$38:$H$89,3,FALSE),"")</f>
        <v>45823</v>
      </c>
      <c r="AC291" s="120" t="str">
        <f t="shared" si="42"/>
        <v>25-01 Jul</v>
      </c>
      <c r="AD291" s="121">
        <f>IFERROR($M291+VLOOKUP($L291,'Voyage days'!$F$94:$H$193,3,FALSE),"")</f>
        <v>45833</v>
      </c>
      <c r="AE291" s="121">
        <f>IFERROR($N291+VLOOKUP($L291,'Voyage days'!$F$94:$H$193,3,FALSE),"")</f>
        <v>45839</v>
      </c>
      <c r="AF291" s="120" t="str">
        <f t="shared" si="43"/>
        <v>02-08 Jul</v>
      </c>
      <c r="AG291" s="121">
        <f>IFERROR($M291+VLOOKUP($L291,'Voyage days'!$F$203:$H$256,3,FALSE),"")</f>
        <v>45840</v>
      </c>
      <c r="AH291" s="121">
        <f>IFERROR($N291+VLOOKUP($L291,'Voyage days'!$F$203:$H$256,3,FALSE),"")</f>
        <v>45846</v>
      </c>
      <c r="AI291" s="120" t="str">
        <f t="shared" si="44"/>
        <v>20-26 Jun</v>
      </c>
      <c r="AJ291" s="121">
        <f>IFERROR($M291+VLOOKUP($L291,'Voyage days'!$F$294:$H$377,3,FALSE),"")</f>
        <v>45828</v>
      </c>
      <c r="AK291" s="121">
        <f>IFERROR($N291+VLOOKUP($L291,'Voyage days'!$F$294:$H$377,3,FALSE),"")</f>
        <v>45834</v>
      </c>
      <c r="AL291" s="120" t="str">
        <f t="shared" si="45"/>
        <v>26-02 Jul</v>
      </c>
      <c r="AM291" s="121">
        <f>IFERROR($M291+VLOOKUP($L291,'Voyage days'!$F$382:$H$446,3,FALSE),"")</f>
        <v>45834</v>
      </c>
      <c r="AN291" s="121">
        <f>IFERROR($N291+VLOOKUP($L291,'Voyage days'!$F$382:$H$446,3,FALSE),"")</f>
        <v>45840</v>
      </c>
      <c r="AO291" s="120" t="str">
        <f t="shared" si="46"/>
        <v>05-11 Jun</v>
      </c>
      <c r="AP291" s="121">
        <f>IFERROR($M291+VLOOKUP($L291,'Voyage days'!$F$483:$H$538,3,FALSE),"")</f>
        <v>45813</v>
      </c>
      <c r="AQ291" s="121">
        <f>IFERROR($N291+VLOOKUP($L291,'Voyage days'!$F$483:$H$538,3,FALSE),"")</f>
        <v>45819</v>
      </c>
      <c r="AR291" s="120" t="str">
        <f t="shared" si="47"/>
        <v>30-05 Jun</v>
      </c>
      <c r="AS291" s="121">
        <f>IFERROR($M291+VLOOKUP($L291,'Voyage days'!$F$540:$H$613,3,FALSE),"")</f>
        <v>45807</v>
      </c>
      <c r="AT291" s="121">
        <f>IFERROR($N291+VLOOKUP($L291,'Voyage days'!$F$540:$H$613,3,FALSE),"")</f>
        <v>45813</v>
      </c>
      <c r="AU291" s="120" t="str">
        <f t="shared" si="48"/>
        <v/>
      </c>
      <c r="AV291" s="121" t="str">
        <f>IFERROR($M291+VLOOKUP($L291,'Voyage days'!$L$483:$N$535,3,FALSE),"")</f>
        <v/>
      </c>
      <c r="AW291" s="121" t="str">
        <f>IFERROR($N291+VLOOKUP($L291,'Voyage days'!$L$483:$N$535,3,FALSE),"")</f>
        <v/>
      </c>
      <c r="AX291" s="120" t="str">
        <f t="shared" si="49"/>
        <v>02-08 Jun</v>
      </c>
      <c r="AY291" s="122">
        <f>IFERROR($M291+VLOOKUP($L291,'Voyage days'!$F$620:$H$646,3,FALSE),"")</f>
        <v>45810</v>
      </c>
      <c r="AZ291" s="122">
        <f>IFERROR($N291+VLOOKUP($L291,'Voyage days'!$F$620:$H$646,3,FALSE),"")</f>
        <v>45816</v>
      </c>
      <c r="BA291" s="120" t="str">
        <f t="shared" si="50"/>
        <v>30-12 Jul</v>
      </c>
      <c r="BB291" s="123">
        <f>IFERROR($M291+VLOOKUP($L291,'Voyage days'!$F$702:$H$727,3,FALSE),"")</f>
        <v>45807</v>
      </c>
      <c r="BC291" s="120" t="str">
        <f t="shared" si="51"/>
        <v>06-12 Jul</v>
      </c>
      <c r="BD291" s="122">
        <f>IFERROR($M291+VLOOKUP($L291,'Voyage days'!$F$807:$H$878,3,FALSE),"")</f>
        <v>45844</v>
      </c>
      <c r="BE291" s="122">
        <f>IFERROR($N291+VLOOKUP($L291,'Voyage days'!$F$807:$H$878,3,FALSE),"")</f>
        <v>45850</v>
      </c>
      <c r="BF291" s="609"/>
      <c r="BG291" s="609"/>
      <c r="BH291" s="609"/>
      <c r="BI291" s="609"/>
      <c r="BJ291" s="609"/>
      <c r="BK291" s="609"/>
      <c r="BL291" s="609"/>
      <c r="BM291" s="609"/>
    </row>
    <row r="292" ht="15.75" customHeight="1">
      <c r="A292" s="406" t="s">
        <v>440</v>
      </c>
      <c r="B292" s="101">
        <v>43586.0</v>
      </c>
      <c r="C292" s="1205">
        <v>80000.0</v>
      </c>
      <c r="D292" s="104" t="s">
        <v>1687</v>
      </c>
      <c r="E292" s="103" t="s">
        <v>689</v>
      </c>
      <c r="F292" s="604"/>
      <c r="G292" s="195" t="s">
        <v>1611</v>
      </c>
      <c r="H292" s="103"/>
      <c r="I292" s="185" t="s">
        <v>1227</v>
      </c>
      <c r="J292" s="111" t="s">
        <v>3019</v>
      </c>
      <c r="K292" s="336" t="str">
        <f t="shared" si="53"/>
        <v>NO AIS</v>
      </c>
      <c r="L292" s="108" t="s">
        <v>203</v>
      </c>
      <c r="M292" s="109">
        <v>45795.0</v>
      </c>
      <c r="N292" s="109">
        <v>45802.0</v>
      </c>
      <c r="O292" s="191"/>
      <c r="P292" s="108" t="s">
        <v>3217</v>
      </c>
      <c r="Q292" s="108"/>
      <c r="R292" s="108" t="s">
        <v>3218</v>
      </c>
      <c r="S292" s="112" t="s">
        <v>2993</v>
      </c>
      <c r="T292" s="113">
        <v>45785.0</v>
      </c>
      <c r="U292" s="114" t="str">
        <f>IF(V292="","No AIS",VLOOKUP(V292,'Voyage days'!$A$3:$B$1480,2,FALSE))</f>
        <v>No AIS</v>
      </c>
      <c r="V292" s="115" t="str">
        <f>IF(VLOOKUP(A292,'1) Kpler'!$E$2:$P$1000,8, FALSE)="","",VLOOKUP(A292,'1) Kpler'!$E$2:$P$1000,8, FALSE))</f>
        <v/>
      </c>
      <c r="W292" s="116" t="str">
        <f>IF(VLOOKUP(A292,'1) Kpler'!$E$2:$P$1000,9,FALSE)="","",VLOOKUP(A292,'1) Kpler'!$E$2:$P$1000,9,FALSE))</f>
        <v/>
      </c>
      <c r="X292" s="115" t="str">
        <f>VLOOKUP(A292,'1) Kpler'!$E$2:$I$1000,4,FALSE)</f>
        <v>ballast</v>
      </c>
      <c r="Y292" s="117" t="str">
        <f t="shared" si="40"/>
        <v/>
      </c>
      <c r="Z292" s="120" t="str">
        <f t="shared" si="41"/>
        <v/>
      </c>
      <c r="AA292" s="121" t="str">
        <f>IFERROR($M292+VLOOKUP($L292,'Voyage days'!$F$38:$H$89,3,FALSE),"")</f>
        <v/>
      </c>
      <c r="AB292" s="121" t="str">
        <f>IFERROR(N292+VLOOKUP($L292,'Voyage days'!$F$38:$H$89,3,FALSE),"")</f>
        <v/>
      </c>
      <c r="AC292" s="120" t="str">
        <f t="shared" si="42"/>
        <v/>
      </c>
      <c r="AD292" s="121" t="str">
        <f>IFERROR($M292+VLOOKUP($L292,'Voyage days'!$F$94:$H$193,3,FALSE),"")</f>
        <v/>
      </c>
      <c r="AE292" s="121" t="str">
        <f>IFERROR($N292+VLOOKUP($L292,'Voyage days'!$F$94:$H$193,3,FALSE),"")</f>
        <v/>
      </c>
      <c r="AF292" s="120" t="str">
        <f t="shared" si="43"/>
        <v/>
      </c>
      <c r="AG292" s="121" t="str">
        <f>IFERROR($M292+VLOOKUP($L292,'Voyage days'!$F$203:$H$256,3,FALSE),"")</f>
        <v/>
      </c>
      <c r="AH292" s="121" t="str">
        <f>IFERROR($N292+VLOOKUP($L292,'Voyage days'!$F$203:$H$256,3,FALSE),"")</f>
        <v/>
      </c>
      <c r="AI292" s="120" t="str">
        <f t="shared" si="44"/>
        <v/>
      </c>
      <c r="AJ292" s="121" t="str">
        <f>IFERROR($M292+VLOOKUP($L292,'Voyage days'!$F$294:$H$377,3,FALSE),"")</f>
        <v/>
      </c>
      <c r="AK292" s="121" t="str">
        <f>IFERROR($N292+VLOOKUP($L292,'Voyage days'!$F$294:$H$377,3,FALSE),"")</f>
        <v/>
      </c>
      <c r="AL292" s="120" t="str">
        <f t="shared" si="45"/>
        <v/>
      </c>
      <c r="AM292" s="121" t="str">
        <f>IFERROR($M292+VLOOKUP($L292,'Voyage days'!$F$382:$H$446,3,FALSE),"")</f>
        <v/>
      </c>
      <c r="AN292" s="121" t="str">
        <f>IFERROR($N292+VLOOKUP($L292,'Voyage days'!$F$382:$H$446,3,FALSE),"")</f>
        <v/>
      </c>
      <c r="AO292" s="120" t="str">
        <f t="shared" si="46"/>
        <v/>
      </c>
      <c r="AP292" s="121" t="str">
        <f>IFERROR($M292+VLOOKUP($L292,'Voyage days'!$F$483:$H$538,3,FALSE),"")</f>
        <v/>
      </c>
      <c r="AQ292" s="121" t="str">
        <f>IFERROR($N292+VLOOKUP($L292,'Voyage days'!$F$483:$H$538,3,FALSE),"")</f>
        <v/>
      </c>
      <c r="AR292" s="120" t="str">
        <f t="shared" si="47"/>
        <v/>
      </c>
      <c r="AS292" s="121" t="str">
        <f>IFERROR($M292+VLOOKUP($L292,'Voyage days'!$F$540:$H$613,3,FALSE),"")</f>
        <v/>
      </c>
      <c r="AT292" s="121" t="str">
        <f>IFERROR($N292+VLOOKUP($L292,'Voyage days'!$F$540:$H$613,3,FALSE),"")</f>
        <v/>
      </c>
      <c r="AU292" s="120" t="str">
        <f t="shared" si="48"/>
        <v/>
      </c>
      <c r="AV292" s="121" t="str">
        <f>IFERROR($M292+VLOOKUP($L292,'Voyage days'!$L$483:$N$535,3,FALSE),"")</f>
        <v/>
      </c>
      <c r="AW292" s="121" t="str">
        <f>IFERROR($N292+VLOOKUP($L292,'Voyage days'!$L$483:$N$535,3,FALSE),"")</f>
        <v/>
      </c>
      <c r="AX292" s="120" t="str">
        <f t="shared" si="49"/>
        <v/>
      </c>
      <c r="AY292" s="122" t="str">
        <f>IFERROR($M292+VLOOKUP($L292,'Voyage days'!$F$620:$H$646,3,FALSE),"")</f>
        <v/>
      </c>
      <c r="AZ292" s="122" t="str">
        <f>IFERROR($N292+VLOOKUP($L292,'Voyage days'!$F$620:$H$646,3,FALSE),"")</f>
        <v/>
      </c>
      <c r="BA292" s="120" t="str">
        <f t="shared" si="50"/>
        <v/>
      </c>
      <c r="BB292" s="123" t="str">
        <f>IFERROR($M292+VLOOKUP($L292,'Voyage days'!$F$702:$H$727,3,FALSE),"")</f>
        <v/>
      </c>
      <c r="BC292" s="120" t="str">
        <f t="shared" si="51"/>
        <v/>
      </c>
      <c r="BD292" s="122" t="str">
        <f>IFERROR($M292+VLOOKUP($L292,'Voyage days'!$F$807:$H$878,3,FALSE),"")</f>
        <v/>
      </c>
      <c r="BE292" s="122" t="str">
        <f>IFERROR($N292+VLOOKUP($L292,'Voyage days'!$F$807:$H$878,3,FALSE),"")</f>
        <v/>
      </c>
      <c r="BF292" s="609"/>
      <c r="BG292" s="609"/>
      <c r="BH292" s="609"/>
      <c r="BI292" s="609"/>
      <c r="BJ292" s="609"/>
      <c r="BK292" s="609"/>
      <c r="BL292" s="609"/>
      <c r="BM292" s="609"/>
    </row>
    <row r="293" ht="15.75" customHeight="1">
      <c r="A293" s="406" t="s">
        <v>461</v>
      </c>
      <c r="B293" s="148">
        <v>2023.0</v>
      </c>
      <c r="C293" s="1045">
        <v>86000.0</v>
      </c>
      <c r="D293" s="104"/>
      <c r="E293" s="103" t="s">
        <v>666</v>
      </c>
      <c r="F293" s="604"/>
      <c r="G293" s="605"/>
      <c r="H293" s="103"/>
      <c r="I293" s="185" t="s">
        <v>1227</v>
      </c>
      <c r="J293" s="185"/>
      <c r="K293" s="336" t="str">
        <f t="shared" si="53"/>
        <v>Update</v>
      </c>
      <c r="L293" s="108" t="s">
        <v>656</v>
      </c>
      <c r="M293" s="109">
        <v>45818.0</v>
      </c>
      <c r="N293" s="109">
        <v>45823.0</v>
      </c>
      <c r="O293" s="110"/>
      <c r="P293" s="185"/>
      <c r="Q293" s="185"/>
      <c r="R293" s="108" t="s">
        <v>3219</v>
      </c>
      <c r="S293" s="112" t="s">
        <v>934</v>
      </c>
      <c r="T293" s="113">
        <v>45785.0</v>
      </c>
      <c r="U293" s="114" t="str">
        <f>IF(V293="","No AIS",VLOOKUP(V293,'Voyage days'!$A$3:$B$1480,2,FALSE))</f>
        <v>Panama</v>
      </c>
      <c r="V293" s="115" t="str">
        <f>IF(VLOOKUP(A293,'1) Kpler'!$E$2:$P$1000,8, FALSE)="","",VLOOKUP(A293,'1) Kpler'!$E$2:$P$1000,8, FALSE))</f>
        <v>Panama Canal</v>
      </c>
      <c r="W293" s="116">
        <f>IF(VLOOKUP(A293,'1) Kpler'!$E$2:$P$1000,9,FALSE)="","",VLOOKUP(A293,'1) Kpler'!$E$2:$P$1000,9,FALSE))</f>
        <v>46134.95833</v>
      </c>
      <c r="X293" s="115" t="str">
        <f>VLOOKUP(A293,'1) Kpler'!$E$2:$I$1000,4,FALSE)</f>
        <v>loaded</v>
      </c>
      <c r="Y293" s="160" t="str">
        <f t="shared" si="40"/>
        <v>28-03 Jul</v>
      </c>
      <c r="Z293" s="120" t="str">
        <f t="shared" si="41"/>
        <v>28-03 Jul</v>
      </c>
      <c r="AA293" s="121">
        <f>IFERROR($M293+VLOOKUP($L293,'Voyage days'!$F$38:$H$89,3,FALSE),"")</f>
        <v>45836</v>
      </c>
      <c r="AB293" s="121">
        <f>IFERROR(N293+VLOOKUP($L293,'Voyage days'!$F$38:$H$89,3,FALSE),"")</f>
        <v>45841</v>
      </c>
      <c r="AC293" s="120" t="str">
        <f t="shared" si="42"/>
        <v>11-16 Jul</v>
      </c>
      <c r="AD293" s="121">
        <f>IFERROR($M293+VLOOKUP($L293,'Voyage days'!$F$94:$H$193,3,FALSE),"")</f>
        <v>45849</v>
      </c>
      <c r="AE293" s="121">
        <f>IFERROR($N293+VLOOKUP($L293,'Voyage days'!$F$94:$H$193,3,FALSE),"")</f>
        <v>45854</v>
      </c>
      <c r="AF293" s="120" t="str">
        <f t="shared" si="43"/>
        <v>18-23 Jul</v>
      </c>
      <c r="AG293" s="121">
        <f>IFERROR($M293+VLOOKUP($L293,'Voyage days'!$F$203:$H$256,3,FALSE),"")</f>
        <v>45856</v>
      </c>
      <c r="AH293" s="121">
        <f>IFERROR($N293+VLOOKUP($L293,'Voyage days'!$F$203:$H$256,3,FALSE),"")</f>
        <v>45861</v>
      </c>
      <c r="AI293" s="120" t="str">
        <f t="shared" si="44"/>
        <v>10-15 Jul</v>
      </c>
      <c r="AJ293" s="121">
        <f>IFERROR($M293+VLOOKUP($L293,'Voyage days'!$F$294:$H$377,3,FALSE),"")</f>
        <v>45848</v>
      </c>
      <c r="AK293" s="121">
        <f>IFERROR($N293+VLOOKUP($L293,'Voyage days'!$F$294:$H$377,3,FALSE),"")</f>
        <v>45853</v>
      </c>
      <c r="AL293" s="120" t="str">
        <f t="shared" si="45"/>
        <v>16-21 Jul</v>
      </c>
      <c r="AM293" s="121">
        <f>IFERROR($M293+VLOOKUP($L293,'Voyage days'!$F$382:$H$446,3,FALSE),"")</f>
        <v>45854</v>
      </c>
      <c r="AN293" s="121">
        <f>IFERROR($N293+VLOOKUP($L293,'Voyage days'!$F$382:$H$446,3,FALSE),"")</f>
        <v>45859</v>
      </c>
      <c r="AO293" s="120" t="str">
        <f t="shared" si="46"/>
        <v>23-28 Jun</v>
      </c>
      <c r="AP293" s="121">
        <f>IFERROR($M293+VLOOKUP($L293,'Voyage days'!$F$483:$H$538,3,FALSE),"")</f>
        <v>45831</v>
      </c>
      <c r="AQ293" s="121">
        <f>IFERROR($N293+VLOOKUP($L293,'Voyage days'!$F$483:$H$538,3,FALSE),"")</f>
        <v>45836</v>
      </c>
      <c r="AR293" s="120" t="str">
        <f t="shared" si="47"/>
        <v>18-23 Jun</v>
      </c>
      <c r="AS293" s="121">
        <f>IFERROR($M293+VLOOKUP($L293,'Voyage days'!$F$540:$H$613,3,FALSE),"")</f>
        <v>45826.25</v>
      </c>
      <c r="AT293" s="121">
        <f>IFERROR($N293+VLOOKUP($L293,'Voyage days'!$F$540:$H$613,3,FALSE),"")</f>
        <v>45831.25</v>
      </c>
      <c r="AU293" s="120" t="str">
        <f t="shared" si="48"/>
        <v/>
      </c>
      <c r="AV293" s="121" t="str">
        <f>IFERROR($M293+VLOOKUP($L293,'Voyage days'!$L$483:$N$535,3,FALSE),"")</f>
        <v/>
      </c>
      <c r="AW293" s="121" t="str">
        <f>IFERROR($N293+VLOOKUP($L293,'Voyage days'!$L$483:$N$535,3,FALSE),"")</f>
        <v/>
      </c>
      <c r="AX293" s="120" t="str">
        <f t="shared" si="49"/>
        <v>21-26 Jun</v>
      </c>
      <c r="AY293" s="122">
        <f>IFERROR($M293+VLOOKUP($L293,'Voyage days'!$F$620:$H$646,3,FALSE),"")</f>
        <v>45829</v>
      </c>
      <c r="AZ293" s="122">
        <f>IFERROR($N293+VLOOKUP($L293,'Voyage days'!$F$620:$H$646,3,FALSE),"")</f>
        <v>45834</v>
      </c>
      <c r="BA293" s="120" t="str">
        <f t="shared" si="50"/>
        <v>18-31 Jul</v>
      </c>
      <c r="BB293" s="123">
        <f>IFERROR($M293+VLOOKUP($L293,'Voyage days'!$F$702:$H$727,3,FALSE),"")</f>
        <v>45826.25</v>
      </c>
      <c r="BC293" s="120" t="str">
        <f t="shared" si="51"/>
        <v>26-31 Jul</v>
      </c>
      <c r="BD293" s="122">
        <f>IFERROR($M293+VLOOKUP($L293,'Voyage days'!$F$807:$H$878,3,FALSE),"")</f>
        <v>45864</v>
      </c>
      <c r="BE293" s="122">
        <f>IFERROR($N293+VLOOKUP($L293,'Voyage days'!$F$807:$H$878,3,FALSE),"")</f>
        <v>45869</v>
      </c>
      <c r="BF293" s="609"/>
      <c r="BG293" s="609"/>
      <c r="BH293" s="609"/>
      <c r="BI293" s="609"/>
      <c r="BJ293" s="609"/>
      <c r="BK293" s="609"/>
      <c r="BL293" s="609"/>
      <c r="BM293" s="609"/>
    </row>
    <row r="294" ht="15.75" customHeight="1">
      <c r="A294" s="1202" t="s">
        <v>489</v>
      </c>
      <c r="B294" s="183">
        <v>2021.0</v>
      </c>
      <c r="C294" s="1082">
        <v>90000.0</v>
      </c>
      <c r="D294" s="111" t="s">
        <v>1687</v>
      </c>
      <c r="E294" s="195" t="s">
        <v>666</v>
      </c>
      <c r="F294" s="1155"/>
      <c r="G294" s="1085">
        <v>47058.0</v>
      </c>
      <c r="H294" s="103"/>
      <c r="I294" s="111" t="s">
        <v>1227</v>
      </c>
      <c r="J294" s="111" t="s">
        <v>3019</v>
      </c>
      <c r="K294" s="336" t="str">
        <f t="shared" si="53"/>
        <v>Update</v>
      </c>
      <c r="L294" s="111" t="s">
        <v>745</v>
      </c>
      <c r="M294" s="109">
        <v>45787.0</v>
      </c>
      <c r="N294" s="109">
        <v>45792.0</v>
      </c>
      <c r="O294" s="111"/>
      <c r="P294" s="111" t="s">
        <v>2999</v>
      </c>
      <c r="Q294" s="111"/>
      <c r="R294" s="185"/>
      <c r="S294" s="620" t="s">
        <v>934</v>
      </c>
      <c r="T294" s="113">
        <v>45776.0</v>
      </c>
      <c r="U294" s="114" t="str">
        <f>IF(V294="","No AIS",VLOOKUP(V294,'Voyage days'!$A$3:$B$1480,2,FALSE))</f>
        <v>WCI + 5</v>
      </c>
      <c r="V294" s="115" t="str">
        <f>IF(VLOOKUP(A294,'1) Kpler'!$E$2:$P$1000,8, FALSE)="","",VLOOKUP(A294,'1) Kpler'!$E$2:$P$1000,8, FALSE))</f>
        <v>Mangalore</v>
      </c>
      <c r="W294" s="116">
        <f>IF(VLOOKUP(A294,'1) Kpler'!$E$2:$P$1000,9,FALSE)="","",VLOOKUP(A294,'1) Kpler'!$E$2:$P$1000,9,FALSE))</f>
        <v>46147.5</v>
      </c>
      <c r="X294" s="115" t="str">
        <f>VLOOKUP(A294,'1) Kpler'!$E$2:$I$1000,4,FALSE)</f>
        <v>loaded</v>
      </c>
      <c r="Y294" s="117" t="str">
        <f t="shared" si="40"/>
        <v>19-24 May</v>
      </c>
      <c r="Z294" s="120" t="str">
        <f t="shared" si="41"/>
        <v>19-24 May</v>
      </c>
      <c r="AA294" s="121">
        <f>IFERROR($M294+VLOOKUP($L294,'Voyage days'!$F$38:$H$89,3,FALSE),"")</f>
        <v>45796</v>
      </c>
      <c r="AB294" s="121">
        <f>IFERROR(N294+VLOOKUP($L294,'Voyage days'!$F$38:$H$89,3,FALSE),"")</f>
        <v>45801</v>
      </c>
      <c r="AC294" s="120" t="str">
        <f t="shared" si="42"/>
        <v>28-02 Jun</v>
      </c>
      <c r="AD294" s="121">
        <f>IFERROR($M294+VLOOKUP($L294,'Voyage days'!$F$94:$H$193,3,FALSE),"")</f>
        <v>45805</v>
      </c>
      <c r="AE294" s="121">
        <f>IFERROR($N294+VLOOKUP($L294,'Voyage days'!$F$94:$H$193,3,FALSE),"")</f>
        <v>45810</v>
      </c>
      <c r="AF294" s="120" t="str">
        <f t="shared" si="43"/>
        <v>31-05 Jun</v>
      </c>
      <c r="AG294" s="121">
        <f>IFERROR($M294+VLOOKUP($L294,'Voyage days'!$F$203:$H$256,3,FALSE),"")</f>
        <v>45808</v>
      </c>
      <c r="AH294" s="121">
        <f>IFERROR($N294+VLOOKUP($L294,'Voyage days'!$F$203:$H$256,3,FALSE),"")</f>
        <v>45813</v>
      </c>
      <c r="AI294" s="120" t="str">
        <f t="shared" si="44"/>
        <v>25-30 May</v>
      </c>
      <c r="AJ294" s="121">
        <f>IFERROR($M294+VLOOKUP($L294,'Voyage days'!$F$294:$H$377,3,FALSE),"")</f>
        <v>45802</v>
      </c>
      <c r="AK294" s="121">
        <f>IFERROR($N294+VLOOKUP($L294,'Voyage days'!$F$294:$H$377,3,FALSE),"")</f>
        <v>45807</v>
      </c>
      <c r="AL294" s="120" t="str">
        <f t="shared" si="45"/>
        <v>18-23 May</v>
      </c>
      <c r="AM294" s="121">
        <f>IFERROR($M294+VLOOKUP($L294,'Voyage days'!$F$382:$H$446,3,FALSE),"")</f>
        <v>45795</v>
      </c>
      <c r="AN294" s="121">
        <f>IFERROR($N294+VLOOKUP($L294,'Voyage days'!$F$382:$H$446,3,FALSE),"")</f>
        <v>45800</v>
      </c>
      <c r="AO294" s="120" t="str">
        <f t="shared" si="46"/>
        <v/>
      </c>
      <c r="AP294" s="121" t="str">
        <f>IFERROR($M294+VLOOKUP($L294,'Voyage days'!$F$483:$H$538,3,FALSE),"")</f>
        <v/>
      </c>
      <c r="AQ294" s="121" t="str">
        <f>IFERROR($N294+VLOOKUP($L294,'Voyage days'!$F$483:$H$538,3,FALSE),"")</f>
        <v/>
      </c>
      <c r="AR294" s="120" t="str">
        <f t="shared" si="47"/>
        <v/>
      </c>
      <c r="AS294" s="121" t="str">
        <f>IFERROR($M294+VLOOKUP($L294,'Voyage days'!$F$540:$H$613,3,FALSE),"")</f>
        <v/>
      </c>
      <c r="AT294" s="121" t="str">
        <f>IFERROR($N294+VLOOKUP($L294,'Voyage days'!$F$540:$H$613,3,FALSE),"")</f>
        <v/>
      </c>
      <c r="AU294" s="120" t="str">
        <f t="shared" si="48"/>
        <v/>
      </c>
      <c r="AV294" s="121" t="str">
        <f>IFERROR($M294+VLOOKUP($L294,'Voyage days'!$L$483:$N$535,3,FALSE),"")</f>
        <v/>
      </c>
      <c r="AW294" s="121" t="str">
        <f>IFERROR($N294+VLOOKUP($L294,'Voyage days'!$L$483:$N$535,3,FALSE),"")</f>
        <v/>
      </c>
      <c r="AX294" s="120" t="str">
        <f t="shared" si="49"/>
        <v/>
      </c>
      <c r="AY294" s="122" t="str">
        <f>IFERROR($M294+VLOOKUP($L294,'Voyage days'!$F$620:$H$646,3,FALSE),"")</f>
        <v/>
      </c>
      <c r="AZ294" s="122" t="str">
        <f>IFERROR($N294+VLOOKUP($L294,'Voyage days'!$F$620:$H$646,3,FALSE),"")</f>
        <v/>
      </c>
      <c r="BA294" s="120" t="str">
        <f t="shared" si="50"/>
        <v/>
      </c>
      <c r="BB294" s="123" t="str">
        <f>IFERROR($M294+VLOOKUP($L294,'Voyage days'!$F$702:$H$727,3,FALSE),"")</f>
        <v/>
      </c>
      <c r="BC294" s="120" t="str">
        <f t="shared" si="51"/>
        <v>11-16 May</v>
      </c>
      <c r="BD294" s="122">
        <f>IFERROR($M294+VLOOKUP($L294,'Voyage days'!$F$807:$H$878,3,FALSE),"")</f>
        <v>45788.5</v>
      </c>
      <c r="BE294" s="122">
        <f>IFERROR($N294+VLOOKUP($L294,'Voyage days'!$F$807:$H$878,3,FALSE),"")</f>
        <v>45793.5</v>
      </c>
      <c r="BF294" s="609"/>
      <c r="BG294" s="609"/>
      <c r="BH294" s="609"/>
      <c r="BI294" s="609"/>
      <c r="BJ294" s="609"/>
      <c r="BK294" s="609"/>
      <c r="BL294" s="609"/>
      <c r="BM294" s="609"/>
    </row>
    <row r="295" ht="15.75" customHeight="1">
      <c r="A295" s="80" t="s">
        <v>531</v>
      </c>
      <c r="B295" s="101">
        <v>42389.0</v>
      </c>
      <c r="C295" s="1045">
        <v>84000.0</v>
      </c>
      <c r="D295" s="104" t="s">
        <v>1687</v>
      </c>
      <c r="E295" s="103"/>
      <c r="F295" s="604">
        <v>44307.0</v>
      </c>
      <c r="G295" s="605">
        <v>45689.0</v>
      </c>
      <c r="H295" s="103"/>
      <c r="I295" s="185" t="s">
        <v>1227</v>
      </c>
      <c r="J295" s="185"/>
      <c r="K295" s="336" t="str">
        <f t="shared" si="53"/>
        <v>Update</v>
      </c>
      <c r="L295" s="187" t="s">
        <v>680</v>
      </c>
      <c r="M295" s="109">
        <v>45812.0</v>
      </c>
      <c r="N295" s="109">
        <v>45813.0</v>
      </c>
      <c r="O295" s="110"/>
      <c r="P295" s="111"/>
      <c r="Q295" s="111"/>
      <c r="R295" s="290" t="s">
        <v>3220</v>
      </c>
      <c r="S295" s="112" t="s">
        <v>2993</v>
      </c>
      <c r="T295" s="113">
        <v>45782.0</v>
      </c>
      <c r="U295" s="114" t="str">
        <f>IF(V295="","No AIS",VLOOKUP(V295,'Voyage days'!$A$3:$B$1480,2,FALSE))</f>
        <v>Panama</v>
      </c>
      <c r="V295" s="115" t="str">
        <f>IF(VLOOKUP(A295,'1) Kpler'!$E$2:$P$1000,8, FALSE)="","",VLOOKUP(A295,'1) Kpler'!$E$2:$P$1000,8, FALSE))</f>
        <v>Panama Canal</v>
      </c>
      <c r="W295" s="116">
        <f>IF(VLOOKUP(A295,'1) Kpler'!$E$2:$P$1000,9,FALSE)="","",VLOOKUP(A295,'1) Kpler'!$E$2:$P$1000,9,FALSE))</f>
        <v>46147.00069</v>
      </c>
      <c r="X295" s="115" t="str">
        <f>VLOOKUP(A295,'1) Kpler'!$E$2:$I$1000,4,FALSE)</f>
        <v>ballast</v>
      </c>
      <c r="Y295" s="160" t="str">
        <f t="shared" si="40"/>
        <v/>
      </c>
      <c r="Z295" s="120" t="str">
        <f t="shared" si="41"/>
        <v/>
      </c>
      <c r="AA295" s="121" t="str">
        <f>IFERROR($M295+VLOOKUP($L295,'Voyage days'!$F$38:$H$89,3,FALSE),"")</f>
        <v/>
      </c>
      <c r="AB295" s="121" t="str">
        <f>IFERROR(N295+VLOOKUP($L295,'Voyage days'!$F$38:$H$89,3,FALSE),"")</f>
        <v/>
      </c>
      <c r="AC295" s="120" t="str">
        <f t="shared" si="42"/>
        <v>04-05 Jun</v>
      </c>
      <c r="AD295" s="121">
        <f>IFERROR($M295+VLOOKUP($L295,'Voyage days'!$F$94:$H$193,3,FALSE),"")</f>
        <v>45812</v>
      </c>
      <c r="AE295" s="121">
        <f>IFERROR($N295+VLOOKUP($L295,'Voyage days'!$F$94:$H$193,3,FALSE),"")</f>
        <v>45813</v>
      </c>
      <c r="AF295" s="120" t="str">
        <f t="shared" si="43"/>
        <v>04-05 Jun</v>
      </c>
      <c r="AG295" s="121">
        <f>IFERROR($M295+VLOOKUP($L295,'Voyage days'!$F$203:$H$256,3,FALSE),"")</f>
        <v>45812</v>
      </c>
      <c r="AH295" s="121">
        <f>IFERROR($N295+VLOOKUP($L295,'Voyage days'!$F$203:$H$256,3,FALSE),"")</f>
        <v>45813</v>
      </c>
      <c r="AI295" s="120" t="str">
        <f t="shared" si="44"/>
        <v/>
      </c>
      <c r="AJ295" s="121" t="str">
        <f>IFERROR($M295+VLOOKUP($L295,'Voyage days'!$F$294:$H$377,3,FALSE),"")</f>
        <v/>
      </c>
      <c r="AK295" s="121" t="str">
        <f>IFERROR($N295+VLOOKUP($L295,'Voyage days'!$F$294:$H$377,3,FALSE),"")</f>
        <v/>
      </c>
      <c r="AL295" s="120" t="str">
        <f t="shared" si="45"/>
        <v>24-25 Jun</v>
      </c>
      <c r="AM295" s="121">
        <f>IFERROR($M295+VLOOKUP($L295,'Voyage days'!$F$382:$H$446,3,FALSE),"")</f>
        <v>45832</v>
      </c>
      <c r="AN295" s="121">
        <f>IFERROR($N295+VLOOKUP($L295,'Voyage days'!$F$382:$H$446,3,FALSE),"")</f>
        <v>45833</v>
      </c>
      <c r="AO295" s="120" t="str">
        <f t="shared" si="46"/>
        <v/>
      </c>
      <c r="AP295" s="121" t="str">
        <f>IFERROR($M295+VLOOKUP($L295,'Voyage days'!$F$483:$H$538,3,FALSE),"")</f>
        <v/>
      </c>
      <c r="AQ295" s="121" t="str">
        <f>IFERROR($N295+VLOOKUP($L295,'Voyage days'!$F$483:$H$538,3,FALSE),"")</f>
        <v/>
      </c>
      <c r="AR295" s="120" t="str">
        <f t="shared" si="47"/>
        <v/>
      </c>
      <c r="AS295" s="121" t="str">
        <f>IFERROR($M295+VLOOKUP($L295,'Voyage days'!$F$540:$H$613,3,FALSE),"")</f>
        <v/>
      </c>
      <c r="AT295" s="121" t="str">
        <f>IFERROR($N295+VLOOKUP($L295,'Voyage days'!$F$540:$H$613,3,FALSE),"")</f>
        <v/>
      </c>
      <c r="AU295" s="120" t="str">
        <f t="shared" si="48"/>
        <v/>
      </c>
      <c r="AV295" s="121" t="str">
        <f>IFERROR($M295+VLOOKUP($L295,'Voyage days'!$L$483:$N$535,3,FALSE),"")</f>
        <v/>
      </c>
      <c r="AW295" s="121" t="str">
        <f>IFERROR($N295+VLOOKUP($L295,'Voyage days'!$L$483:$N$535,3,FALSE),"")</f>
        <v/>
      </c>
      <c r="AX295" s="120" t="str">
        <f t="shared" si="49"/>
        <v/>
      </c>
      <c r="AY295" s="122" t="str">
        <f>IFERROR($M295+VLOOKUP($L295,'Voyage days'!$F$620:$H$646,3,FALSE),"")</f>
        <v/>
      </c>
      <c r="AZ295" s="122" t="str">
        <f>IFERROR($N295+VLOOKUP($L295,'Voyage days'!$F$620:$H$646,3,FALSE),"")</f>
        <v/>
      </c>
      <c r="BA295" s="120" t="str">
        <f t="shared" si="50"/>
        <v/>
      </c>
      <c r="BB295" s="123" t="str">
        <f>IFERROR($M295+VLOOKUP($L295,'Voyage days'!$F$702:$H$727,3,FALSE),"")</f>
        <v/>
      </c>
      <c r="BC295" s="120" t="str">
        <f t="shared" si="51"/>
        <v/>
      </c>
      <c r="BD295" s="122" t="str">
        <f>IFERROR($M295+VLOOKUP($L295,'Voyage days'!$F$807:$H$878,3,FALSE),"")</f>
        <v/>
      </c>
      <c r="BE295" s="122" t="str">
        <f>IFERROR($N295+VLOOKUP($L295,'Voyage days'!$F$807:$H$878,3,FALSE),"")</f>
        <v/>
      </c>
      <c r="BF295" s="609"/>
      <c r="BG295" s="609"/>
      <c r="BH295" s="609"/>
      <c r="BI295" s="609"/>
      <c r="BJ295" s="609"/>
      <c r="BK295" s="609"/>
      <c r="BL295" s="609"/>
      <c r="BM295" s="609"/>
    </row>
    <row r="296" ht="15.75" customHeight="1">
      <c r="A296" s="338" t="s">
        <v>540</v>
      </c>
      <c r="B296" s="148">
        <v>2024.0</v>
      </c>
      <c r="C296" s="1045">
        <v>86000.0</v>
      </c>
      <c r="D296" s="104"/>
      <c r="E296" s="103" t="s">
        <v>666</v>
      </c>
      <c r="F296" s="604"/>
      <c r="G296" s="1085"/>
      <c r="H296" s="103"/>
      <c r="I296" s="185" t="s">
        <v>1227</v>
      </c>
      <c r="J296" s="111"/>
      <c r="K296" s="336" t="str">
        <f t="shared" si="53"/>
        <v>Update</v>
      </c>
      <c r="L296" s="108" t="s">
        <v>680</v>
      </c>
      <c r="M296" s="109">
        <v>45795.0</v>
      </c>
      <c r="N296" s="109">
        <v>45796.0</v>
      </c>
      <c r="O296" s="110"/>
      <c r="P296" s="108"/>
      <c r="Q296" s="1206" t="s">
        <v>3221</v>
      </c>
      <c r="R296" s="1206" t="s">
        <v>3222</v>
      </c>
      <c r="S296" s="112" t="s">
        <v>934</v>
      </c>
      <c r="T296" s="113">
        <v>45779.0</v>
      </c>
      <c r="U296" s="114" t="str">
        <f>IF(V296="","No AIS",VLOOKUP(V296,'Voyage days'!$A$3:$B$1480,2,FALSE))</f>
        <v>Japan + 6</v>
      </c>
      <c r="V296" s="115" t="str">
        <f>IF(VLOOKUP(A296,'1) Kpler'!$E$2:$P$1000,8, FALSE)="","",VLOOKUP(A296,'1) Kpler'!$E$2:$P$1000,8, FALSE))</f>
        <v>Chiba</v>
      </c>
      <c r="W296" s="116">
        <f>IF(VLOOKUP(A296,'1) Kpler'!$E$2:$P$1000,9,FALSE)="","",VLOOKUP(A296,'1) Kpler'!$E$2:$P$1000,9,FALSE))</f>
        <v>46146.08333</v>
      </c>
      <c r="X296" s="115" t="str">
        <f>VLOOKUP(A296,'1) Kpler'!$E$2:$I$1000,4,FALSE)</f>
        <v>loaded</v>
      </c>
      <c r="Y296" s="117" t="str">
        <f t="shared" si="40"/>
        <v/>
      </c>
      <c r="Z296" s="120" t="str">
        <f t="shared" si="41"/>
        <v/>
      </c>
      <c r="AA296" s="121" t="str">
        <f>IFERROR($M296+VLOOKUP($L296,'Voyage days'!$F$38:$H$89,3,FALSE),"")</f>
        <v/>
      </c>
      <c r="AB296" s="121" t="str">
        <f>IFERROR(N296+VLOOKUP($L296,'Voyage days'!$F$38:$H$89,3,FALSE),"")</f>
        <v/>
      </c>
      <c r="AC296" s="120" t="str">
        <f t="shared" si="42"/>
        <v>18-19 May</v>
      </c>
      <c r="AD296" s="121">
        <f>IFERROR($M296+VLOOKUP($L296,'Voyage days'!$F$94:$H$193,3,FALSE),"")</f>
        <v>45795</v>
      </c>
      <c r="AE296" s="121">
        <f>IFERROR($N296+VLOOKUP($L296,'Voyage days'!$F$94:$H$193,3,FALSE),"")</f>
        <v>45796</v>
      </c>
      <c r="AF296" s="120" t="str">
        <f t="shared" si="43"/>
        <v>18-19 May</v>
      </c>
      <c r="AG296" s="121">
        <f>IFERROR($M296+VLOOKUP($L296,'Voyage days'!$F$203:$H$256,3,FALSE),"")</f>
        <v>45795</v>
      </c>
      <c r="AH296" s="121">
        <f>IFERROR($N296+VLOOKUP($L296,'Voyage days'!$F$203:$H$256,3,FALSE),"")</f>
        <v>45796</v>
      </c>
      <c r="AI296" s="120" t="str">
        <f t="shared" si="44"/>
        <v/>
      </c>
      <c r="AJ296" s="121" t="str">
        <f>IFERROR($M296+VLOOKUP($L296,'Voyage days'!$F$294:$H$377,3,FALSE),"")</f>
        <v/>
      </c>
      <c r="AK296" s="121" t="str">
        <f>IFERROR($N296+VLOOKUP($L296,'Voyage days'!$F$294:$H$377,3,FALSE),"")</f>
        <v/>
      </c>
      <c r="AL296" s="120" t="str">
        <f t="shared" si="45"/>
        <v>07-08 Jun</v>
      </c>
      <c r="AM296" s="121">
        <f>IFERROR($M296+VLOOKUP($L296,'Voyage days'!$F$382:$H$446,3,FALSE),"")</f>
        <v>45815</v>
      </c>
      <c r="AN296" s="121">
        <f>IFERROR($N296+VLOOKUP($L296,'Voyage days'!$F$382:$H$446,3,FALSE),"")</f>
        <v>45816</v>
      </c>
      <c r="AO296" s="120" t="str">
        <f t="shared" si="46"/>
        <v/>
      </c>
      <c r="AP296" s="121" t="str">
        <f>IFERROR($M296+VLOOKUP($L296,'Voyage days'!$F$483:$H$538,3,FALSE),"")</f>
        <v/>
      </c>
      <c r="AQ296" s="121" t="str">
        <f>IFERROR($N296+VLOOKUP($L296,'Voyage days'!$F$483:$H$538,3,FALSE),"")</f>
        <v/>
      </c>
      <c r="AR296" s="120" t="str">
        <f t="shared" si="47"/>
        <v/>
      </c>
      <c r="AS296" s="121" t="str">
        <f>IFERROR($M296+VLOOKUP($L296,'Voyage days'!$F$540:$H$613,3,FALSE),"")</f>
        <v/>
      </c>
      <c r="AT296" s="121" t="str">
        <f>IFERROR($N296+VLOOKUP($L296,'Voyage days'!$F$540:$H$613,3,FALSE),"")</f>
        <v/>
      </c>
      <c r="AU296" s="120" t="str">
        <f t="shared" si="48"/>
        <v/>
      </c>
      <c r="AV296" s="121" t="str">
        <f>IFERROR($M296+VLOOKUP($L296,'Voyage days'!$L$483:$N$535,3,FALSE),"")</f>
        <v/>
      </c>
      <c r="AW296" s="121" t="str">
        <f>IFERROR($N296+VLOOKUP($L296,'Voyage days'!$L$483:$N$535,3,FALSE),"")</f>
        <v/>
      </c>
      <c r="AX296" s="120" t="str">
        <f t="shared" si="49"/>
        <v/>
      </c>
      <c r="AY296" s="122" t="str">
        <f>IFERROR($M296+VLOOKUP($L296,'Voyage days'!$F$620:$H$646,3,FALSE),"")</f>
        <v/>
      </c>
      <c r="AZ296" s="122" t="str">
        <f>IFERROR($N296+VLOOKUP($L296,'Voyage days'!$F$620:$H$646,3,FALSE),"")</f>
        <v/>
      </c>
      <c r="BA296" s="120" t="str">
        <f t="shared" si="50"/>
        <v/>
      </c>
      <c r="BB296" s="123" t="str">
        <f>IFERROR($M296+VLOOKUP($L296,'Voyage days'!$F$702:$H$727,3,FALSE),"")</f>
        <v/>
      </c>
      <c r="BC296" s="120" t="str">
        <f t="shared" si="51"/>
        <v/>
      </c>
      <c r="BD296" s="122" t="str">
        <f>IFERROR($M296+VLOOKUP($L296,'Voyage days'!$F$807:$H$878,3,FALSE),"")</f>
        <v/>
      </c>
      <c r="BE296" s="122" t="str">
        <f>IFERROR($N296+VLOOKUP($L296,'Voyage days'!$F$807:$H$878,3,FALSE),"")</f>
        <v/>
      </c>
      <c r="BF296" s="609"/>
      <c r="BG296" s="609"/>
      <c r="BH296" s="609"/>
      <c r="BI296" s="609"/>
      <c r="BJ296" s="609"/>
      <c r="BK296" s="609"/>
      <c r="BL296" s="609"/>
      <c r="BM296" s="609"/>
    </row>
    <row r="297" ht="15.75" customHeight="1">
      <c r="A297" s="341" t="s">
        <v>3223</v>
      </c>
      <c r="B297" s="148">
        <v>2024.0</v>
      </c>
      <c r="C297" s="1045">
        <v>86000.0</v>
      </c>
      <c r="D297" s="104"/>
      <c r="E297" s="103" t="s">
        <v>666</v>
      </c>
      <c r="F297" s="604"/>
      <c r="G297" s="605">
        <v>47209.0</v>
      </c>
      <c r="H297" s="103"/>
      <c r="I297" s="185" t="s">
        <v>1227</v>
      </c>
      <c r="J297" s="185"/>
      <c r="K297" s="336" t="str">
        <f t="shared" si="53"/>
        <v>#N/A</v>
      </c>
      <c r="L297" s="108" t="s">
        <v>720</v>
      </c>
      <c r="M297" s="337">
        <v>45795.0</v>
      </c>
      <c r="N297" s="109">
        <v>45796.0</v>
      </c>
      <c r="O297" s="110"/>
      <c r="P297" s="185"/>
      <c r="Q297" s="185"/>
      <c r="R297" s="185"/>
      <c r="S297" s="112" t="s">
        <v>934</v>
      </c>
      <c r="T297" s="113">
        <v>45786.0</v>
      </c>
      <c r="U297" s="114" t="str">
        <f>IF(V297="","No AIS",VLOOKUP(V297,'Voyage days'!$A$3:$B$1480,2,FALSE))</f>
        <v>#N/A</v>
      </c>
      <c r="V297" s="115" t="str">
        <f>IF(VLOOKUP(A297,'1) Kpler'!$E$2:$P$1000,8, FALSE)="","",VLOOKUP(A297,'1) Kpler'!$E$2:$P$1000,8, FALSE))</f>
        <v>#N/A</v>
      </c>
      <c r="W297" s="116" t="str">
        <f>IF(VLOOKUP(A297,'1) Kpler'!$E$2:$P$1000,9,FALSE)="","",VLOOKUP(A297,'1) Kpler'!$E$2:$P$1000,9,FALSE))</f>
        <v>#N/A</v>
      </c>
      <c r="X297" s="115" t="str">
        <f>VLOOKUP(A297,'1) Kpler'!$E$2:$I$1000,4,FALSE)</f>
        <v>#N/A</v>
      </c>
      <c r="Y297" s="160" t="str">
        <f t="shared" si="40"/>
        <v>05-06 Jun</v>
      </c>
      <c r="Z297" s="120" t="str">
        <f t="shared" si="41"/>
        <v>05-06 Jun</v>
      </c>
      <c r="AA297" s="121">
        <f>IFERROR($M297+VLOOKUP($L297,'Voyage days'!$F$38:$H$89,3,FALSE),"")</f>
        <v>45813</v>
      </c>
      <c r="AB297" s="121">
        <f>IFERROR(N297+VLOOKUP($L297,'Voyage days'!$F$38:$H$89,3,FALSE),"")</f>
        <v>45814</v>
      </c>
      <c r="AC297" s="120" t="str">
        <f t="shared" si="42"/>
        <v>21-22 Jun</v>
      </c>
      <c r="AD297" s="121">
        <f>IFERROR($M297+VLOOKUP($L297,'Voyage days'!$F$94:$H$193,3,FALSE),"")</f>
        <v>45829</v>
      </c>
      <c r="AE297" s="121">
        <f>IFERROR($N297+VLOOKUP($L297,'Voyage days'!$F$94:$H$193,3,FALSE),"")</f>
        <v>45830</v>
      </c>
      <c r="AF297" s="120" t="str">
        <f t="shared" si="43"/>
        <v>28-29 Jun</v>
      </c>
      <c r="AG297" s="121">
        <f>IFERROR($M297+VLOOKUP($L297,'Voyage days'!$F$203:$H$256,3,FALSE),"")</f>
        <v>45836</v>
      </c>
      <c r="AH297" s="121">
        <f>IFERROR($N297+VLOOKUP($L297,'Voyage days'!$F$203:$H$256,3,FALSE),"")</f>
        <v>45837</v>
      </c>
      <c r="AI297" s="120" t="str">
        <f t="shared" si="44"/>
        <v>16-17 Jun</v>
      </c>
      <c r="AJ297" s="121">
        <f>IFERROR($M297+VLOOKUP($L297,'Voyage days'!$F$294:$H$377,3,FALSE),"")</f>
        <v>45824</v>
      </c>
      <c r="AK297" s="121">
        <f>IFERROR($N297+VLOOKUP($L297,'Voyage days'!$F$294:$H$377,3,FALSE),"")</f>
        <v>45825</v>
      </c>
      <c r="AL297" s="120" t="str">
        <f t="shared" si="45"/>
        <v>22-23 Jun</v>
      </c>
      <c r="AM297" s="121">
        <f>IFERROR($M297+VLOOKUP($L297,'Voyage days'!$F$382:$H$446,3,FALSE),"")</f>
        <v>45830</v>
      </c>
      <c r="AN297" s="121">
        <f>IFERROR($N297+VLOOKUP($L297,'Voyage days'!$F$382:$H$446,3,FALSE),"")</f>
        <v>45831</v>
      </c>
      <c r="AO297" s="120" t="str">
        <f t="shared" si="46"/>
        <v>01-02 Jun</v>
      </c>
      <c r="AP297" s="121">
        <f>IFERROR($M297+VLOOKUP($L297,'Voyage days'!$F$483:$H$538,3,FALSE),"")</f>
        <v>45809</v>
      </c>
      <c r="AQ297" s="121">
        <f>IFERROR($N297+VLOOKUP($L297,'Voyage days'!$F$483:$H$538,3,FALSE),"")</f>
        <v>45810</v>
      </c>
      <c r="AR297" s="120" t="str">
        <f t="shared" si="47"/>
        <v>26-27 May</v>
      </c>
      <c r="AS297" s="121">
        <f>IFERROR($M297+VLOOKUP($L297,'Voyage days'!$F$540:$H$613,3,FALSE),"")</f>
        <v>45803</v>
      </c>
      <c r="AT297" s="121">
        <f>IFERROR($N297+VLOOKUP($L297,'Voyage days'!$F$540:$H$613,3,FALSE),"")</f>
        <v>45804</v>
      </c>
      <c r="AU297" s="120" t="str">
        <f t="shared" si="48"/>
        <v/>
      </c>
      <c r="AV297" s="121" t="str">
        <f>IFERROR($M297+VLOOKUP($L297,'Voyage days'!$L$483:$N$535,3,FALSE),"")</f>
        <v/>
      </c>
      <c r="AW297" s="121" t="str">
        <f>IFERROR($N297+VLOOKUP($L297,'Voyage days'!$L$483:$N$535,3,FALSE),"")</f>
        <v/>
      </c>
      <c r="AX297" s="120" t="str">
        <f t="shared" si="49"/>
        <v>29-30 May</v>
      </c>
      <c r="AY297" s="122">
        <f>IFERROR($M297+VLOOKUP($L297,'Voyage days'!$F$620:$H$646,3,FALSE),"")</f>
        <v>45806</v>
      </c>
      <c r="AZ297" s="122">
        <f>IFERROR($N297+VLOOKUP($L297,'Voyage days'!$F$620:$H$646,3,FALSE),"")</f>
        <v>45807</v>
      </c>
      <c r="BA297" s="120" t="str">
        <f t="shared" si="50"/>
        <v>26-03 Jul</v>
      </c>
      <c r="BB297" s="123">
        <f>IFERROR($M297+VLOOKUP($L297,'Voyage days'!$F$702:$H$727,3,FALSE),"")</f>
        <v>45803</v>
      </c>
      <c r="BC297" s="120" t="str">
        <f t="shared" si="51"/>
        <v>02-03 Jul</v>
      </c>
      <c r="BD297" s="122">
        <f>IFERROR($M297+VLOOKUP($L297,'Voyage days'!$F$807:$H$878,3,FALSE),"")</f>
        <v>45840</v>
      </c>
      <c r="BE297" s="122">
        <f>IFERROR($N297+VLOOKUP($L297,'Voyage days'!$F$807:$H$878,3,FALSE),"")</f>
        <v>45841</v>
      </c>
      <c r="BF297" s="609"/>
      <c r="BG297" s="609"/>
      <c r="BH297" s="609"/>
      <c r="BI297" s="609"/>
      <c r="BJ297" s="609"/>
      <c r="BK297" s="609"/>
      <c r="BL297" s="609"/>
      <c r="BM297" s="609"/>
    </row>
    <row r="298" ht="15.75" customHeight="1">
      <c r="A298" s="1207" t="s">
        <v>167</v>
      </c>
      <c r="B298" s="222">
        <v>43678.0</v>
      </c>
      <c r="C298" s="1101">
        <v>80000.0</v>
      </c>
      <c r="D298" s="377" t="s">
        <v>3224</v>
      </c>
      <c r="E298" s="223" t="s">
        <v>689</v>
      </c>
      <c r="F298" s="1010"/>
      <c r="G298" s="1011" t="s">
        <v>1611</v>
      </c>
      <c r="H298" s="223"/>
      <c r="I298" s="463" t="s">
        <v>1227</v>
      </c>
      <c r="J298" s="463" t="s">
        <v>1227</v>
      </c>
      <c r="K298" s="469" t="str">
        <f t="shared" si="53"/>
        <v>Update</v>
      </c>
      <c r="L298" s="172" t="s">
        <v>680</v>
      </c>
      <c r="M298" s="173">
        <v>45792.0</v>
      </c>
      <c r="N298" s="173">
        <v>45794.0</v>
      </c>
      <c r="O298" s="226"/>
      <c r="P298" s="172"/>
      <c r="Q298" s="172"/>
      <c r="R298" s="172" t="s">
        <v>3225</v>
      </c>
      <c r="S298" s="175" t="s">
        <v>2993</v>
      </c>
      <c r="T298" s="176">
        <v>45777.0</v>
      </c>
      <c r="U298" s="177" t="str">
        <f>IF(V298="","No AIS",VLOOKUP(V298,'Voyage days'!$A$3:$B$1480,2,FALSE))</f>
        <v>USG</v>
      </c>
      <c r="V298" s="178" t="str">
        <f>IF(VLOOKUP(A298,'1) Kpler'!$E$2:$P$1000,8, FALSE)="","",VLOOKUP(A298,'1) Kpler'!$E$2:$P$1000,8, FALSE))</f>
        <v>PADD 3</v>
      </c>
      <c r="W298" s="179">
        <f>IF(VLOOKUP(A298,'1) Kpler'!$E$2:$P$1000,9,FALSE)="","",VLOOKUP(A298,'1) Kpler'!$E$2:$P$1000,9,FALSE))</f>
        <v>46152</v>
      </c>
      <c r="X298" s="178" t="str">
        <f>VLOOKUP(A298,'1) Kpler'!$E$2:$I$1000,4,FALSE)</f>
        <v>ballast</v>
      </c>
      <c r="Y298" s="180" t="str">
        <f t="shared" si="40"/>
        <v/>
      </c>
      <c r="Z298" s="120" t="str">
        <f t="shared" si="41"/>
        <v/>
      </c>
      <c r="AA298" s="121" t="str">
        <f>IFERROR($M298+VLOOKUP($L298,'Voyage days'!$F$38:$H$89,3,FALSE),"")</f>
        <v/>
      </c>
      <c r="AB298" s="121" t="str">
        <f>IFERROR(N298+VLOOKUP($L298,'Voyage days'!$F$38:$H$89,3,FALSE),"")</f>
        <v/>
      </c>
      <c r="AC298" s="120" t="str">
        <f t="shared" si="42"/>
        <v>15-17 May</v>
      </c>
      <c r="AD298" s="121">
        <f>IFERROR($M298+VLOOKUP($L298,'Voyage days'!$F$94:$H$193,3,FALSE),"")</f>
        <v>45792</v>
      </c>
      <c r="AE298" s="121">
        <f>IFERROR($N298+VLOOKUP($L298,'Voyage days'!$F$94:$H$193,3,FALSE),"")</f>
        <v>45794</v>
      </c>
      <c r="AF298" s="120" t="str">
        <f t="shared" si="43"/>
        <v>15-17 May</v>
      </c>
      <c r="AG298" s="121">
        <f>IFERROR($M298+VLOOKUP($L298,'Voyage days'!$F$203:$H$256,3,FALSE),"")</f>
        <v>45792</v>
      </c>
      <c r="AH298" s="121">
        <f>IFERROR($N298+VLOOKUP($L298,'Voyage days'!$F$203:$H$256,3,FALSE),"")</f>
        <v>45794</v>
      </c>
      <c r="AI298" s="120" t="str">
        <f t="shared" si="44"/>
        <v/>
      </c>
      <c r="AJ298" s="121" t="str">
        <f>IFERROR($M298+VLOOKUP($L298,'Voyage days'!$F$294:$H$377,3,FALSE),"")</f>
        <v/>
      </c>
      <c r="AK298" s="121" t="str">
        <f>IFERROR($N298+VLOOKUP($L298,'Voyage days'!$F$294:$H$377,3,FALSE),"")</f>
        <v/>
      </c>
      <c r="AL298" s="120" t="str">
        <f t="shared" si="45"/>
        <v>04-06 Jun</v>
      </c>
      <c r="AM298" s="121">
        <f>IFERROR($M298+VLOOKUP($L298,'Voyage days'!$F$382:$H$446,3,FALSE),"")</f>
        <v>45812</v>
      </c>
      <c r="AN298" s="121">
        <f>IFERROR($N298+VLOOKUP($L298,'Voyage days'!$F$382:$H$446,3,FALSE),"")</f>
        <v>45814</v>
      </c>
      <c r="AO298" s="120" t="str">
        <f t="shared" si="46"/>
        <v/>
      </c>
      <c r="AP298" s="121" t="str">
        <f>IFERROR($M298+VLOOKUP($L298,'Voyage days'!$F$483:$H$538,3,FALSE),"")</f>
        <v/>
      </c>
      <c r="AQ298" s="121" t="str">
        <f>IFERROR($N298+VLOOKUP($L298,'Voyage days'!$F$483:$H$538,3,FALSE),"")</f>
        <v/>
      </c>
      <c r="AR298" s="120" t="str">
        <f t="shared" si="47"/>
        <v/>
      </c>
      <c r="AS298" s="121" t="str">
        <f>IFERROR($M298+VLOOKUP($L298,'Voyage days'!$F$540:$H$613,3,FALSE),"")</f>
        <v/>
      </c>
      <c r="AT298" s="121" t="str">
        <f>IFERROR($N298+VLOOKUP($L298,'Voyage days'!$F$540:$H$613,3,FALSE),"")</f>
        <v/>
      </c>
      <c r="AU298" s="120" t="str">
        <f t="shared" si="48"/>
        <v/>
      </c>
      <c r="AV298" s="121" t="str">
        <f>IFERROR($M298+VLOOKUP($L298,'Voyage days'!$L$483:$N$535,3,FALSE),"")</f>
        <v/>
      </c>
      <c r="AW298" s="121" t="str">
        <f>IFERROR($N298+VLOOKUP($L298,'Voyage days'!$L$483:$N$535,3,FALSE),"")</f>
        <v/>
      </c>
      <c r="AX298" s="120" t="str">
        <f t="shared" si="49"/>
        <v/>
      </c>
      <c r="AY298" s="122" t="str">
        <f>IFERROR($M298+VLOOKUP($L298,'Voyage days'!$F$620:$H$646,3,FALSE),"")</f>
        <v/>
      </c>
      <c r="AZ298" s="122" t="str">
        <f>IFERROR($N298+VLOOKUP($L298,'Voyage days'!$F$620:$H$646,3,FALSE),"")</f>
        <v/>
      </c>
      <c r="BA298" s="120" t="str">
        <f t="shared" si="50"/>
        <v/>
      </c>
      <c r="BB298" s="123" t="str">
        <f>IFERROR($M298+VLOOKUP($L298,'Voyage days'!$F$702:$H$727,3,FALSE),"")</f>
        <v/>
      </c>
      <c r="BC298" s="120" t="str">
        <f t="shared" si="51"/>
        <v/>
      </c>
      <c r="BD298" s="122" t="str">
        <f>IFERROR($M298+VLOOKUP($L298,'Voyage days'!$F$807:$H$878,3,FALSE),"")</f>
        <v/>
      </c>
      <c r="BE298" s="122" t="str">
        <f>IFERROR($N298+VLOOKUP($L298,'Voyage days'!$F$807:$H$878,3,FALSE),"")</f>
        <v/>
      </c>
      <c r="BF298" s="609"/>
      <c r="BG298" s="609"/>
      <c r="BH298" s="609"/>
      <c r="BI298" s="609"/>
      <c r="BJ298" s="609"/>
      <c r="BK298" s="609"/>
      <c r="BL298" s="609"/>
      <c r="BM298" s="609"/>
    </row>
    <row r="299" ht="15.75" customHeight="1">
      <c r="A299" s="404" t="s">
        <v>224</v>
      </c>
      <c r="B299" s="600">
        <v>40848.0</v>
      </c>
      <c r="C299" s="1045">
        <v>80000.0</v>
      </c>
      <c r="D299" s="150" t="s">
        <v>1687</v>
      </c>
      <c r="E299" s="149"/>
      <c r="F299" s="1014"/>
      <c r="G299" s="1015">
        <v>45901.0</v>
      </c>
      <c r="H299" s="149"/>
      <c r="I299" s="157" t="s">
        <v>1264</v>
      </c>
      <c r="J299" s="536" t="s">
        <v>3226</v>
      </c>
      <c r="K299" s="470" t="str">
        <f t="shared" si="53"/>
        <v>Update</v>
      </c>
      <c r="L299" s="153" t="s">
        <v>773</v>
      </c>
      <c r="M299" s="238">
        <v>45795.0</v>
      </c>
      <c r="N299" s="238">
        <v>45797.0</v>
      </c>
      <c r="O299" s="186" t="s">
        <v>773</v>
      </c>
      <c r="P299" s="153" t="s">
        <v>3227</v>
      </c>
      <c r="Q299" s="536"/>
      <c r="R299" s="157"/>
      <c r="S299" s="292" t="s">
        <v>2993</v>
      </c>
      <c r="T299" s="420">
        <v>45785.0</v>
      </c>
      <c r="U299" s="114" t="str">
        <f>IF(V299="","No AIS",VLOOKUP(V299,'Voyage days'!$A$3:$B$1480,2,FALSE))</f>
        <v>Singapore</v>
      </c>
      <c r="V299" s="114" t="str">
        <f>IF(VLOOKUP(A299,'1) Kpler'!$E$2:$P$1000,8, FALSE)="","",VLOOKUP(A299,'1) Kpler'!$E$2:$P$1000,8, FALSE))</f>
        <v>Singapore</v>
      </c>
      <c r="W299" s="159">
        <f>IF(VLOOKUP(A299,'1) Kpler'!$E$2:$P$1000,9,FALSE)="","",VLOOKUP(A299,'1) Kpler'!$E$2:$P$1000,9,FALSE))</f>
        <v>46132.125</v>
      </c>
      <c r="X299" s="114" t="str">
        <f>VLOOKUP(A299,'1) Kpler'!$E$2:$I$1000,4,FALSE)</f>
        <v>ballast</v>
      </c>
      <c r="Y299" s="272" t="str">
        <f t="shared" si="40"/>
        <v/>
      </c>
      <c r="Z299" s="163" t="str">
        <f t="shared" si="41"/>
        <v/>
      </c>
      <c r="AA299" s="122" t="str">
        <f>IFERROR($M299+VLOOKUP($L299,'Voyage days'!$F$38:$H$89,3,FALSE),"")</f>
        <v/>
      </c>
      <c r="AB299" s="122" t="str">
        <f>IFERROR(N299+VLOOKUP($L299,'Voyage days'!$F$38:$H$89,3,FALSE),"")</f>
        <v/>
      </c>
      <c r="AC299" s="163" t="str">
        <f t="shared" si="42"/>
        <v>01-03 Jun</v>
      </c>
      <c r="AD299" s="122">
        <f>IFERROR($M299+VLOOKUP($L299,'Voyage days'!$F$94:$H$193,3,FALSE),"")</f>
        <v>45809</v>
      </c>
      <c r="AE299" s="122">
        <f>IFERROR($N299+VLOOKUP($L299,'Voyage days'!$F$94:$H$193,3,FALSE),"")</f>
        <v>45811</v>
      </c>
      <c r="AF299" s="163" t="str">
        <f t="shared" si="43"/>
        <v>02-04 Jun</v>
      </c>
      <c r="AG299" s="122">
        <f>IFERROR($M299+VLOOKUP($L299,'Voyage days'!$F$203:$H$256,3,FALSE),"")</f>
        <v>45810</v>
      </c>
      <c r="AH299" s="122">
        <f>IFERROR($N299+VLOOKUP($L299,'Voyage days'!$F$203:$H$256,3,FALSE),"")</f>
        <v>45812</v>
      </c>
      <c r="AI299" s="163" t="str">
        <f t="shared" si="44"/>
        <v>29-31 May</v>
      </c>
      <c r="AJ299" s="122">
        <f>IFERROR($M299+VLOOKUP($L299,'Voyage days'!$F$294:$H$377,3,FALSE),"")</f>
        <v>45806</v>
      </c>
      <c r="AK299" s="122">
        <f>IFERROR($N299+VLOOKUP($L299,'Voyage days'!$F$294:$H$377,3,FALSE),"")</f>
        <v>45808</v>
      </c>
      <c r="AL299" s="163" t="str">
        <f t="shared" si="45"/>
        <v>20-22 May</v>
      </c>
      <c r="AM299" s="122">
        <f>IFERROR($M299+VLOOKUP($L299,'Voyage days'!$F$382:$H$446,3,FALSE),"")</f>
        <v>45797</v>
      </c>
      <c r="AN299" s="122">
        <f>IFERROR($N299+VLOOKUP($L299,'Voyage days'!$F$382:$H$446,3,FALSE),"")</f>
        <v>45799</v>
      </c>
      <c r="AO299" s="163" t="str">
        <f t="shared" si="46"/>
        <v/>
      </c>
      <c r="AP299" s="122" t="str">
        <f>IFERROR($M299+VLOOKUP($L299,'Voyage days'!$F$483:$H$538,3,FALSE),"")</f>
        <v/>
      </c>
      <c r="AQ299" s="122" t="str">
        <f>IFERROR($N299+VLOOKUP($L299,'Voyage days'!$F$483:$H$538,3,FALSE),"")</f>
        <v/>
      </c>
      <c r="AR299" s="163" t="str">
        <f t="shared" si="47"/>
        <v/>
      </c>
      <c r="AS299" s="122" t="str">
        <f>IFERROR($M299+VLOOKUP($L299,'Voyage days'!$F$540:$H$613,3,FALSE),"")</f>
        <v/>
      </c>
      <c r="AT299" s="122" t="str">
        <f>IFERROR($N299+VLOOKUP($L299,'Voyage days'!$F$540:$H$613,3,FALSE),"")</f>
        <v/>
      </c>
      <c r="AU299" s="163" t="str">
        <f t="shared" si="48"/>
        <v/>
      </c>
      <c r="AV299" s="122" t="str">
        <f>IFERROR($M299+VLOOKUP($L299,'Voyage days'!$L$483:$N$535,3,FALSE),"")</f>
        <v/>
      </c>
      <c r="AW299" s="122" t="str">
        <f>IFERROR($N299+VLOOKUP($L299,'Voyage days'!$L$483:$N$535,3,FALSE),"")</f>
        <v/>
      </c>
      <c r="AX299" s="163" t="str">
        <f t="shared" si="49"/>
        <v/>
      </c>
      <c r="AY299" s="122" t="str">
        <f>IFERROR($M299+VLOOKUP($L299,'Voyage days'!$F$620:$H$646,3,FALSE),"")</f>
        <v/>
      </c>
      <c r="AZ299" s="122" t="str">
        <f>IFERROR($N299+VLOOKUP($L299,'Voyage days'!$F$620:$H$646,3,FALSE),"")</f>
        <v/>
      </c>
      <c r="BA299" s="163" t="str">
        <f t="shared" si="50"/>
        <v/>
      </c>
      <c r="BB299" s="123" t="str">
        <f>IFERROR($M299+VLOOKUP($L299,'Voyage days'!$F$702:$H$727,3,FALSE),"")</f>
        <v/>
      </c>
      <c r="BC299" s="163" t="str">
        <f t="shared" si="51"/>
        <v>01-03 Jun</v>
      </c>
      <c r="BD299" s="122">
        <f>IFERROR($M299+VLOOKUP($L299,'Voyage days'!$F$807:$H$878,3,FALSE),"")</f>
        <v>45809</v>
      </c>
      <c r="BE299" s="122">
        <f>IFERROR($N299+VLOOKUP($L299,'Voyage days'!$F$807:$H$878,3,FALSE),"")</f>
        <v>45811</v>
      </c>
      <c r="BF299" s="609"/>
      <c r="BG299" s="609"/>
      <c r="BH299" s="609"/>
      <c r="BI299" s="609"/>
      <c r="BJ299" s="609"/>
      <c r="BK299" s="609"/>
      <c r="BL299" s="609"/>
      <c r="BM299" s="609"/>
    </row>
    <row r="300" ht="15.75" customHeight="1">
      <c r="A300" s="147" t="s">
        <v>341</v>
      </c>
      <c r="B300" s="506">
        <v>2020.0</v>
      </c>
      <c r="C300" s="1045">
        <v>84000.0</v>
      </c>
      <c r="D300" s="104" t="s">
        <v>1687</v>
      </c>
      <c r="E300" s="103" t="s">
        <v>689</v>
      </c>
      <c r="F300" s="604"/>
      <c r="G300" s="605">
        <v>45778.0</v>
      </c>
      <c r="H300" s="103"/>
      <c r="I300" s="185" t="s">
        <v>1264</v>
      </c>
      <c r="J300" s="111"/>
      <c r="K300" s="336" t="str">
        <f t="shared" si="53"/>
        <v>Update</v>
      </c>
      <c r="L300" s="108" t="s">
        <v>656</v>
      </c>
      <c r="M300" s="109">
        <v>45797.0</v>
      </c>
      <c r="N300" s="109">
        <v>45802.0</v>
      </c>
      <c r="O300" s="334"/>
      <c r="P300" s="333"/>
      <c r="Q300" s="108" t="s">
        <v>3228</v>
      </c>
      <c r="R300" s="185"/>
      <c r="S300" s="112" t="s">
        <v>2962</v>
      </c>
      <c r="T300" s="113">
        <v>45777.0</v>
      </c>
      <c r="U300" s="114" t="str">
        <f>IF(V300="","No AIS",VLOOKUP(V300,'Voyage days'!$A$3:$B$1480,2,FALSE))</f>
        <v>Cayman</v>
      </c>
      <c r="V300" s="115" t="str">
        <f>IF(VLOOKUP(A300,'1) Kpler'!$E$2:$P$1000,8, FALSE)="","",VLOOKUP(A300,'1) Kpler'!$E$2:$P$1000,8, FALSE))</f>
        <v>Bonaire Sint Eustatius</v>
      </c>
      <c r="W300" s="116">
        <f>IF(VLOOKUP(A300,'1) Kpler'!$E$2:$P$1000,9,FALSE)="","",VLOOKUP(A300,'1) Kpler'!$E$2:$P$1000,9,FALSE))</f>
        <v>46137.8125</v>
      </c>
      <c r="X300" s="115" t="str">
        <f>VLOOKUP(A300,'1) Kpler'!$E$2:$I$1000,4,FALSE)</f>
        <v>ballast</v>
      </c>
      <c r="Y300" s="117" t="str">
        <f t="shared" si="40"/>
        <v>07-12 Jun</v>
      </c>
      <c r="Z300" s="120" t="str">
        <f t="shared" si="41"/>
        <v>07-12 Jun</v>
      </c>
      <c r="AA300" s="121">
        <f>IFERROR($M300+VLOOKUP($L300,'Voyage days'!$F$38:$H$89,3,FALSE),"")</f>
        <v>45815</v>
      </c>
      <c r="AB300" s="121">
        <f>IFERROR(N300+VLOOKUP($L300,'Voyage days'!$F$38:$H$89,3,FALSE),"")</f>
        <v>45820</v>
      </c>
      <c r="AC300" s="120" t="str">
        <f t="shared" si="42"/>
        <v>20-25 Jun</v>
      </c>
      <c r="AD300" s="121">
        <f>IFERROR($M300+VLOOKUP($L300,'Voyage days'!$F$94:$H$193,3,FALSE),"")</f>
        <v>45828</v>
      </c>
      <c r="AE300" s="121">
        <f>IFERROR($N300+VLOOKUP($L300,'Voyage days'!$F$94:$H$193,3,FALSE),"")</f>
        <v>45833</v>
      </c>
      <c r="AF300" s="120" t="str">
        <f t="shared" si="43"/>
        <v>27-02 Jul</v>
      </c>
      <c r="AG300" s="121">
        <f>IFERROR($M300+VLOOKUP($L300,'Voyage days'!$F$203:$H$256,3,FALSE),"")</f>
        <v>45835</v>
      </c>
      <c r="AH300" s="121">
        <f>IFERROR($N300+VLOOKUP($L300,'Voyage days'!$F$203:$H$256,3,FALSE),"")</f>
        <v>45840</v>
      </c>
      <c r="AI300" s="120" t="str">
        <f t="shared" si="44"/>
        <v>19-24 Jun</v>
      </c>
      <c r="AJ300" s="121">
        <f>IFERROR($M300+VLOOKUP($L300,'Voyage days'!$F$294:$H$377,3,FALSE),"")</f>
        <v>45827</v>
      </c>
      <c r="AK300" s="121">
        <f>IFERROR($N300+VLOOKUP($L300,'Voyage days'!$F$294:$H$377,3,FALSE),"")</f>
        <v>45832</v>
      </c>
      <c r="AL300" s="120" t="str">
        <f t="shared" si="45"/>
        <v>25-30 Jun</v>
      </c>
      <c r="AM300" s="121">
        <f>IFERROR($M300+VLOOKUP($L300,'Voyage days'!$F$382:$H$446,3,FALSE),"")</f>
        <v>45833</v>
      </c>
      <c r="AN300" s="121">
        <f>IFERROR($N300+VLOOKUP($L300,'Voyage days'!$F$382:$H$446,3,FALSE),"")</f>
        <v>45838</v>
      </c>
      <c r="AO300" s="120" t="str">
        <f t="shared" si="46"/>
        <v>02-07 Jun</v>
      </c>
      <c r="AP300" s="121">
        <f>IFERROR($M300+VLOOKUP($L300,'Voyage days'!$F$483:$H$538,3,FALSE),"")</f>
        <v>45810</v>
      </c>
      <c r="AQ300" s="121">
        <f>IFERROR($N300+VLOOKUP($L300,'Voyage days'!$F$483:$H$538,3,FALSE),"")</f>
        <v>45815</v>
      </c>
      <c r="AR300" s="120" t="str">
        <f t="shared" si="47"/>
        <v>28-02 Jun</v>
      </c>
      <c r="AS300" s="121">
        <f>IFERROR($M300+VLOOKUP($L300,'Voyage days'!$F$540:$H$613,3,FALSE),"")</f>
        <v>45805.25</v>
      </c>
      <c r="AT300" s="121">
        <f>IFERROR($N300+VLOOKUP($L300,'Voyage days'!$F$540:$H$613,3,FALSE),"")</f>
        <v>45810.25</v>
      </c>
      <c r="AU300" s="120" t="str">
        <f t="shared" si="48"/>
        <v/>
      </c>
      <c r="AV300" s="121" t="str">
        <f>IFERROR($M300+VLOOKUP($L300,'Voyage days'!$L$483:$N$535,3,FALSE),"")</f>
        <v/>
      </c>
      <c r="AW300" s="121" t="str">
        <f>IFERROR($N300+VLOOKUP($L300,'Voyage days'!$L$483:$N$535,3,FALSE),"")</f>
        <v/>
      </c>
      <c r="AX300" s="120" t="str">
        <f t="shared" si="49"/>
        <v>31-05 Jun</v>
      </c>
      <c r="AY300" s="122">
        <f>IFERROR($M300+VLOOKUP($L300,'Voyage days'!$F$620:$H$646,3,FALSE),"")</f>
        <v>45808</v>
      </c>
      <c r="AZ300" s="122">
        <f>IFERROR($N300+VLOOKUP($L300,'Voyage days'!$F$620:$H$646,3,FALSE),"")</f>
        <v>45813</v>
      </c>
      <c r="BA300" s="120" t="str">
        <f t="shared" si="50"/>
        <v>28-10 Jul</v>
      </c>
      <c r="BB300" s="123">
        <f>IFERROR($M300+VLOOKUP($L300,'Voyage days'!$F$702:$H$727,3,FALSE),"")</f>
        <v>45805.25</v>
      </c>
      <c r="BC300" s="120" t="str">
        <f t="shared" si="51"/>
        <v>05-10 Jul</v>
      </c>
      <c r="BD300" s="122">
        <f>IFERROR($M300+VLOOKUP($L300,'Voyage days'!$F$807:$H$878,3,FALSE),"")</f>
        <v>45843</v>
      </c>
      <c r="BE300" s="122">
        <f>IFERROR($N300+VLOOKUP($L300,'Voyage days'!$F$807:$H$878,3,FALSE),"")</f>
        <v>45848</v>
      </c>
      <c r="BF300" s="609"/>
      <c r="BG300" s="609"/>
      <c r="BH300" s="609"/>
      <c r="BI300" s="609"/>
      <c r="BJ300" s="609"/>
      <c r="BK300" s="609"/>
      <c r="BL300" s="609"/>
      <c r="BM300" s="609"/>
    </row>
    <row r="301" ht="15.75" customHeight="1">
      <c r="A301" s="100" t="s">
        <v>3229</v>
      </c>
      <c r="B301" s="1208">
        <v>39264.0</v>
      </c>
      <c r="C301" s="1045">
        <v>80138.0</v>
      </c>
      <c r="D301" s="104" t="s">
        <v>1687</v>
      </c>
      <c r="E301" s="103"/>
      <c r="F301" s="604"/>
      <c r="G301" s="605">
        <v>45931.0</v>
      </c>
      <c r="H301" s="103"/>
      <c r="I301" s="185" t="s">
        <v>1264</v>
      </c>
      <c r="J301" s="111" t="s">
        <v>3226</v>
      </c>
      <c r="K301" s="336" t="str">
        <f t="shared" si="53"/>
        <v>#N/A</v>
      </c>
      <c r="L301" s="108" t="s">
        <v>680</v>
      </c>
      <c r="M301" s="109">
        <v>45794.0</v>
      </c>
      <c r="N301" s="109">
        <v>45795.0</v>
      </c>
      <c r="O301" s="334"/>
      <c r="P301" s="185"/>
      <c r="Q301" s="185"/>
      <c r="R301" s="108" t="s">
        <v>3230</v>
      </c>
      <c r="S301" s="112" t="s">
        <v>934</v>
      </c>
      <c r="T301" s="113">
        <v>45779.0</v>
      </c>
      <c r="U301" s="114" t="str">
        <f>IF(V301="","No AIS",VLOOKUP(V301,'Voyage days'!$A$3:$B$1480,2,FALSE))</f>
        <v>#N/A</v>
      </c>
      <c r="V301" s="115" t="str">
        <f>IF(VLOOKUP(A301,'1) Kpler'!$E$2:$P$1000,8, FALSE)="","",VLOOKUP(A301,'1) Kpler'!$E$2:$P$1000,8, FALSE))</f>
        <v>#N/A</v>
      </c>
      <c r="W301" s="116" t="str">
        <f>IF(VLOOKUP(A301,'1) Kpler'!$E$2:$P$1000,9,FALSE)="","",VLOOKUP(A301,'1) Kpler'!$E$2:$P$1000,9,FALSE))</f>
        <v>#N/A</v>
      </c>
      <c r="X301" s="115" t="str">
        <f>VLOOKUP(A301,'1) Kpler'!$E$2:$I$1000,4,FALSE)</f>
        <v>#N/A</v>
      </c>
      <c r="Y301" s="160" t="str">
        <f t="shared" si="40"/>
        <v/>
      </c>
      <c r="Z301" s="120" t="str">
        <f t="shared" si="41"/>
        <v/>
      </c>
      <c r="AA301" s="121" t="str">
        <f>IFERROR($M301+VLOOKUP($L301,'Voyage days'!$F$38:$H$89,3,FALSE),"")</f>
        <v/>
      </c>
      <c r="AB301" s="121" t="str">
        <f>IFERROR(N301+VLOOKUP($L301,'Voyage days'!$F$38:$H$89,3,FALSE),"")</f>
        <v/>
      </c>
      <c r="AC301" s="120" t="str">
        <f t="shared" si="42"/>
        <v>17-18 May</v>
      </c>
      <c r="AD301" s="121">
        <f>IFERROR($M301+VLOOKUP($L301,'Voyage days'!$F$94:$H$193,3,FALSE),"")</f>
        <v>45794</v>
      </c>
      <c r="AE301" s="121">
        <f>IFERROR($N301+VLOOKUP($L301,'Voyage days'!$F$94:$H$193,3,FALSE),"")</f>
        <v>45795</v>
      </c>
      <c r="AF301" s="120" t="str">
        <f t="shared" si="43"/>
        <v>17-18 May</v>
      </c>
      <c r="AG301" s="121">
        <f>IFERROR($M301+VLOOKUP($L301,'Voyage days'!$F$203:$H$256,3,FALSE),"")</f>
        <v>45794</v>
      </c>
      <c r="AH301" s="121">
        <f>IFERROR($N301+VLOOKUP($L301,'Voyage days'!$F$203:$H$256,3,FALSE),"")</f>
        <v>45795</v>
      </c>
      <c r="AI301" s="120" t="str">
        <f t="shared" si="44"/>
        <v/>
      </c>
      <c r="AJ301" s="121" t="str">
        <f>IFERROR($M301+VLOOKUP($L301,'Voyage days'!$F$294:$H$377,3,FALSE),"")</f>
        <v/>
      </c>
      <c r="AK301" s="121" t="str">
        <f>IFERROR($N301+VLOOKUP($L301,'Voyage days'!$F$294:$H$377,3,FALSE),"")</f>
        <v/>
      </c>
      <c r="AL301" s="120" t="str">
        <f t="shared" si="45"/>
        <v>06-07 Jun</v>
      </c>
      <c r="AM301" s="121">
        <f>IFERROR($M301+VLOOKUP($L301,'Voyage days'!$F$382:$H$446,3,FALSE),"")</f>
        <v>45814</v>
      </c>
      <c r="AN301" s="121">
        <f>IFERROR($N301+VLOOKUP($L301,'Voyage days'!$F$382:$H$446,3,FALSE),"")</f>
        <v>45815</v>
      </c>
      <c r="AO301" s="120" t="str">
        <f t="shared" si="46"/>
        <v/>
      </c>
      <c r="AP301" s="121" t="str">
        <f>IFERROR($M301+VLOOKUP($L301,'Voyage days'!$F$483:$H$538,3,FALSE),"")</f>
        <v/>
      </c>
      <c r="AQ301" s="121" t="str">
        <f>IFERROR($N301+VLOOKUP($L301,'Voyage days'!$F$483:$H$538,3,FALSE),"")</f>
        <v/>
      </c>
      <c r="AR301" s="120" t="str">
        <f t="shared" si="47"/>
        <v/>
      </c>
      <c r="AS301" s="121" t="str">
        <f>IFERROR($M301+VLOOKUP($L301,'Voyage days'!$F$540:$H$613,3,FALSE),"")</f>
        <v/>
      </c>
      <c r="AT301" s="121" t="str">
        <f>IFERROR($N301+VLOOKUP($L301,'Voyage days'!$F$540:$H$613,3,FALSE),"")</f>
        <v/>
      </c>
      <c r="AU301" s="120" t="str">
        <f t="shared" si="48"/>
        <v/>
      </c>
      <c r="AV301" s="121" t="str">
        <f>IFERROR($M301+VLOOKUP($L301,'Voyage days'!$L$483:$N$535,3,FALSE),"")</f>
        <v/>
      </c>
      <c r="AW301" s="121" t="str">
        <f>IFERROR($N301+VLOOKUP($L301,'Voyage days'!$L$483:$N$535,3,FALSE),"")</f>
        <v/>
      </c>
      <c r="AX301" s="120" t="str">
        <f t="shared" si="49"/>
        <v/>
      </c>
      <c r="AY301" s="122" t="str">
        <f>IFERROR($M301+VLOOKUP($L301,'Voyage days'!$F$620:$H$646,3,FALSE),"")</f>
        <v/>
      </c>
      <c r="AZ301" s="122" t="str">
        <f>IFERROR($N301+VLOOKUP($L301,'Voyage days'!$F$620:$H$646,3,FALSE),"")</f>
        <v/>
      </c>
      <c r="BA301" s="120" t="str">
        <f t="shared" si="50"/>
        <v/>
      </c>
      <c r="BB301" s="123" t="str">
        <f>IFERROR($M301+VLOOKUP($L301,'Voyage days'!$F$702:$H$727,3,FALSE),"")</f>
        <v/>
      </c>
      <c r="BC301" s="120" t="str">
        <f t="shared" si="51"/>
        <v/>
      </c>
      <c r="BD301" s="122" t="str">
        <f>IFERROR($M301+VLOOKUP($L301,'Voyage days'!$F$807:$H$878,3,FALSE),"")</f>
        <v/>
      </c>
      <c r="BE301" s="122" t="str">
        <f>IFERROR($N301+VLOOKUP($L301,'Voyage days'!$F$807:$H$878,3,FALSE),"")</f>
        <v/>
      </c>
      <c r="BF301" s="609"/>
      <c r="BG301" s="609"/>
      <c r="BH301" s="609"/>
      <c r="BI301" s="609"/>
      <c r="BJ301" s="609"/>
      <c r="BK301" s="609"/>
      <c r="BL301" s="609"/>
      <c r="BM301" s="609"/>
    </row>
    <row r="302" ht="15.75" customHeight="1">
      <c r="A302" s="100" t="s">
        <v>544</v>
      </c>
      <c r="B302" s="189">
        <v>38139.0</v>
      </c>
      <c r="C302" s="1083">
        <v>78918.0</v>
      </c>
      <c r="D302" s="104" t="s">
        <v>1687</v>
      </c>
      <c r="E302" s="103"/>
      <c r="F302" s="604"/>
      <c r="G302" s="605">
        <v>46447.0</v>
      </c>
      <c r="H302" s="103"/>
      <c r="I302" s="185" t="s">
        <v>1264</v>
      </c>
      <c r="J302" s="111" t="s">
        <v>3045</v>
      </c>
      <c r="K302" s="336" t="str">
        <f t="shared" si="53"/>
        <v>Update</v>
      </c>
      <c r="L302" s="108" t="s">
        <v>1267</v>
      </c>
      <c r="M302" s="109">
        <v>45797.0</v>
      </c>
      <c r="N302" s="109">
        <v>45802.0</v>
      </c>
      <c r="O302" s="334"/>
      <c r="P302" s="185" t="s">
        <v>3231</v>
      </c>
      <c r="Q302" s="686"/>
      <c r="R302" s="108" t="s">
        <v>3232</v>
      </c>
      <c r="S302" s="112" t="s">
        <v>934</v>
      </c>
      <c r="T302" s="113">
        <v>45786.0</v>
      </c>
      <c r="U302" s="114" t="str">
        <f>IF(V302="","No AIS",VLOOKUP(V302,'Voyage days'!$A$3:$B$1480,2,FALSE))</f>
        <v>Japan + 6</v>
      </c>
      <c r="V302" s="115" t="str">
        <f>IF(VLOOKUP(A302,'1) Kpler'!$E$2:$P$1000,8, FALSE)="","",VLOOKUP(A302,'1) Kpler'!$E$2:$P$1000,8, FALSE))</f>
        <v>Tokyo Bay</v>
      </c>
      <c r="W302" s="116">
        <f>IF(VLOOKUP(A302,'1) Kpler'!$E$2:$P$1000,9,FALSE)="","",VLOOKUP(A302,'1) Kpler'!$E$2:$P$1000,9,FALSE))</f>
        <v>46154.47917</v>
      </c>
      <c r="X302" s="115" t="str">
        <f>VLOOKUP(A302,'1) Kpler'!$E$2:$I$1000,4,FALSE)</f>
        <v>loaded</v>
      </c>
      <c r="Y302" s="117" t="str">
        <f t="shared" si="40"/>
        <v/>
      </c>
      <c r="Z302" s="120" t="str">
        <f t="shared" si="41"/>
        <v/>
      </c>
      <c r="AA302" s="121" t="str">
        <f>IFERROR($M302+VLOOKUP($L302,'Voyage days'!$F$38:$H$89,3,FALSE),"")</f>
        <v/>
      </c>
      <c r="AB302" s="121" t="str">
        <f>IFERROR(N302+VLOOKUP($L302,'Voyage days'!$F$38:$H$89,3,FALSE),"")</f>
        <v/>
      </c>
      <c r="AC302" s="120" t="str">
        <f t="shared" si="42"/>
        <v>02-07 Jun</v>
      </c>
      <c r="AD302" s="121">
        <f>IFERROR($M302+VLOOKUP($L302,'Voyage days'!$F$94:$H$193,3,FALSE),"")</f>
        <v>45810</v>
      </c>
      <c r="AE302" s="121">
        <f>IFERROR($N302+VLOOKUP($L302,'Voyage days'!$F$94:$H$193,3,FALSE),"")</f>
        <v>45815</v>
      </c>
      <c r="AF302" s="120" t="str">
        <f t="shared" si="43"/>
        <v>03-08 Jun</v>
      </c>
      <c r="AG302" s="121">
        <f>IFERROR($M302+VLOOKUP($L302,'Voyage days'!$F$203:$H$256,3,FALSE),"")</f>
        <v>45811</v>
      </c>
      <c r="AH302" s="121">
        <f>IFERROR($N302+VLOOKUP($L302,'Voyage days'!$F$203:$H$256,3,FALSE),"")</f>
        <v>45816</v>
      </c>
      <c r="AI302" s="120" t="str">
        <f t="shared" si="44"/>
        <v>29-03 Jun</v>
      </c>
      <c r="AJ302" s="121">
        <f>IFERROR($M302+VLOOKUP($L302,'Voyage days'!$F$294:$H$377,3,FALSE),"")</f>
        <v>45806</v>
      </c>
      <c r="AK302" s="121">
        <f>IFERROR($N302+VLOOKUP($L302,'Voyage days'!$F$294:$H$377,3,FALSE),"")</f>
        <v>45811</v>
      </c>
      <c r="AL302" s="120" t="str">
        <f t="shared" si="45"/>
        <v>21-26 May</v>
      </c>
      <c r="AM302" s="121">
        <f>IFERROR($M302+VLOOKUP($L302,'Voyage days'!$F$382:$H$446,3,FALSE),"")</f>
        <v>45798</v>
      </c>
      <c r="AN302" s="121">
        <f>IFERROR($N302+VLOOKUP($L302,'Voyage days'!$F$382:$H$446,3,FALSE),"")</f>
        <v>45803</v>
      </c>
      <c r="AO302" s="120" t="str">
        <f t="shared" si="46"/>
        <v/>
      </c>
      <c r="AP302" s="121" t="str">
        <f>IFERROR($M302+VLOOKUP($L302,'Voyage days'!$F$483:$H$538,3,FALSE),"")</f>
        <v/>
      </c>
      <c r="AQ302" s="121" t="str">
        <f>IFERROR($N302+VLOOKUP($L302,'Voyage days'!$F$483:$H$538,3,FALSE),"")</f>
        <v/>
      </c>
      <c r="AR302" s="120" t="str">
        <f t="shared" si="47"/>
        <v/>
      </c>
      <c r="AS302" s="121" t="str">
        <f>IFERROR($M302+VLOOKUP($L302,'Voyage days'!$F$540:$H$613,3,FALSE),"")</f>
        <v/>
      </c>
      <c r="AT302" s="121" t="str">
        <f>IFERROR($N302+VLOOKUP($L302,'Voyage days'!$F$540:$H$613,3,FALSE),"")</f>
        <v/>
      </c>
      <c r="AU302" s="120" t="str">
        <f t="shared" si="48"/>
        <v/>
      </c>
      <c r="AV302" s="121" t="str">
        <f>IFERROR($M302+VLOOKUP($L302,'Voyage days'!$L$483:$N$535,3,FALSE),"")</f>
        <v/>
      </c>
      <c r="AW302" s="121" t="str">
        <f>IFERROR($N302+VLOOKUP($L302,'Voyage days'!$L$483:$N$535,3,FALSE),"")</f>
        <v/>
      </c>
      <c r="AX302" s="120" t="str">
        <f t="shared" si="49"/>
        <v/>
      </c>
      <c r="AY302" s="122" t="str">
        <f>IFERROR($M302+VLOOKUP($L302,'Voyage days'!$F$620:$H$646,3,FALSE),"")</f>
        <v/>
      </c>
      <c r="AZ302" s="122" t="str">
        <f>IFERROR($N302+VLOOKUP($L302,'Voyage days'!$F$620:$H$646,3,FALSE),"")</f>
        <v/>
      </c>
      <c r="BA302" s="120" t="str">
        <f t="shared" si="50"/>
        <v/>
      </c>
      <c r="BB302" s="123" t="str">
        <f>IFERROR($M302+VLOOKUP($L302,'Voyage days'!$F$702:$H$727,3,FALSE),"")</f>
        <v/>
      </c>
      <c r="BC302" s="120" t="str">
        <f t="shared" si="51"/>
        <v>28-02 Jun</v>
      </c>
      <c r="BD302" s="122">
        <f>IFERROR($M302+VLOOKUP($L302,'Voyage days'!$F$807:$H$878,3,FALSE),"")</f>
        <v>45805</v>
      </c>
      <c r="BE302" s="122">
        <f>IFERROR($N302+VLOOKUP($L302,'Voyage days'!$F$807:$H$878,3,FALSE),"")</f>
        <v>45810</v>
      </c>
      <c r="BF302" s="609"/>
      <c r="BG302" s="609"/>
      <c r="BH302" s="609"/>
      <c r="BI302" s="609"/>
      <c r="BJ302" s="609"/>
      <c r="BK302" s="609"/>
      <c r="BL302" s="609"/>
      <c r="BM302" s="609"/>
    </row>
    <row r="303" ht="15.75" customHeight="1">
      <c r="A303" s="80" t="s">
        <v>546</v>
      </c>
      <c r="B303" s="189">
        <v>36800.0</v>
      </c>
      <c r="C303" s="1083">
        <v>78874.0</v>
      </c>
      <c r="D303" s="104" t="s">
        <v>1687</v>
      </c>
      <c r="E303" s="103"/>
      <c r="F303" s="604"/>
      <c r="G303" s="605">
        <v>45992.0</v>
      </c>
      <c r="H303" s="103"/>
      <c r="I303" s="185" t="s">
        <v>1264</v>
      </c>
      <c r="J303" s="111" t="s">
        <v>3002</v>
      </c>
      <c r="K303" s="336" t="str">
        <f t="shared" si="53"/>
        <v>Update</v>
      </c>
      <c r="L303" s="199" t="s">
        <v>680</v>
      </c>
      <c r="M303" s="109">
        <v>45824.0</v>
      </c>
      <c r="N303" s="109">
        <v>45825.0</v>
      </c>
      <c r="O303" s="110"/>
      <c r="P303" s="333"/>
      <c r="Q303" s="185"/>
      <c r="R303" s="185"/>
      <c r="S303" s="112" t="s">
        <v>2962</v>
      </c>
      <c r="T303" s="113">
        <v>45777.0</v>
      </c>
      <c r="U303" s="114" t="str">
        <f>IF(V303="","No AIS",VLOOKUP(V303,'Voyage days'!$A$3:$B$1480,2,FALSE))</f>
        <v>Suez + 7</v>
      </c>
      <c r="V303" s="115" t="str">
        <f>IF(VLOOKUP(A303,'1) Kpler'!$E$2:$P$1000,8, FALSE)="","",VLOOKUP(A303,'1) Kpler'!$E$2:$P$1000,8, FALSE))</f>
        <v>Wadi Feiran LPG</v>
      </c>
      <c r="W303" s="116">
        <f>IF(VLOOKUP(A303,'1) Kpler'!$E$2:$P$1000,9,FALSE)="","",VLOOKUP(A303,'1) Kpler'!$E$2:$P$1000,9,FALSE))</f>
        <v>46132.48681</v>
      </c>
      <c r="X303" s="115" t="str">
        <f>VLOOKUP(A303,'1) Kpler'!$E$2:$I$1000,4,FALSE)</f>
        <v>floatingStorage</v>
      </c>
      <c r="Y303" s="160" t="str">
        <f t="shared" si="40"/>
        <v/>
      </c>
      <c r="Z303" s="120" t="str">
        <f t="shared" si="41"/>
        <v/>
      </c>
      <c r="AA303" s="121" t="str">
        <f>IFERROR($M303+VLOOKUP($L303,'Voyage days'!$F$38:$H$89,3,FALSE),"")</f>
        <v/>
      </c>
      <c r="AB303" s="121" t="str">
        <f>IFERROR(N303+VLOOKUP($L303,'Voyage days'!$F$38:$H$89,3,FALSE),"")</f>
        <v/>
      </c>
      <c r="AC303" s="120" t="str">
        <f t="shared" si="42"/>
        <v>16-17 Jun</v>
      </c>
      <c r="AD303" s="121">
        <f>IFERROR($M303+VLOOKUP($L303,'Voyage days'!$F$94:$H$193,3,FALSE),"")</f>
        <v>45824</v>
      </c>
      <c r="AE303" s="121">
        <f>IFERROR($N303+VLOOKUP($L303,'Voyage days'!$F$94:$H$193,3,FALSE),"")</f>
        <v>45825</v>
      </c>
      <c r="AF303" s="120" t="str">
        <f t="shared" si="43"/>
        <v>16-17 Jun</v>
      </c>
      <c r="AG303" s="121">
        <f>IFERROR($M303+VLOOKUP($L303,'Voyage days'!$F$203:$H$256,3,FALSE),"")</f>
        <v>45824</v>
      </c>
      <c r="AH303" s="121">
        <f>IFERROR($N303+VLOOKUP($L303,'Voyage days'!$F$203:$H$256,3,FALSE),"")</f>
        <v>45825</v>
      </c>
      <c r="AI303" s="120" t="str">
        <f t="shared" si="44"/>
        <v/>
      </c>
      <c r="AJ303" s="121" t="str">
        <f>IFERROR($M303+VLOOKUP($L303,'Voyage days'!$F$294:$H$377,3,FALSE),"")</f>
        <v/>
      </c>
      <c r="AK303" s="121" t="str">
        <f>IFERROR($N303+VLOOKUP($L303,'Voyage days'!$F$294:$H$377,3,FALSE),"")</f>
        <v/>
      </c>
      <c r="AL303" s="120" t="str">
        <f t="shared" si="45"/>
        <v>06-07 Jul</v>
      </c>
      <c r="AM303" s="121">
        <f>IFERROR($M303+VLOOKUP($L303,'Voyage days'!$F$382:$H$446,3,FALSE),"")</f>
        <v>45844</v>
      </c>
      <c r="AN303" s="121">
        <f>IFERROR($N303+VLOOKUP($L303,'Voyage days'!$F$382:$H$446,3,FALSE),"")</f>
        <v>45845</v>
      </c>
      <c r="AO303" s="120" t="str">
        <f t="shared" si="46"/>
        <v/>
      </c>
      <c r="AP303" s="121" t="str">
        <f>IFERROR($M303+VLOOKUP($L303,'Voyage days'!$F$483:$H$538,3,FALSE),"")</f>
        <v/>
      </c>
      <c r="AQ303" s="121" t="str">
        <f>IFERROR($N303+VLOOKUP($L303,'Voyage days'!$F$483:$H$538,3,FALSE),"")</f>
        <v/>
      </c>
      <c r="AR303" s="120" t="str">
        <f t="shared" si="47"/>
        <v/>
      </c>
      <c r="AS303" s="121" t="str">
        <f>IFERROR($M303+VLOOKUP($L303,'Voyage days'!$F$540:$H$613,3,FALSE),"")</f>
        <v/>
      </c>
      <c r="AT303" s="121" t="str">
        <f>IFERROR($N303+VLOOKUP($L303,'Voyage days'!$F$540:$H$613,3,FALSE),"")</f>
        <v/>
      </c>
      <c r="AU303" s="120" t="str">
        <f t="shared" si="48"/>
        <v/>
      </c>
      <c r="AV303" s="121" t="str">
        <f>IFERROR($M303+VLOOKUP($L303,'Voyage days'!$L$483:$N$535,3,FALSE),"")</f>
        <v/>
      </c>
      <c r="AW303" s="121" t="str">
        <f>IFERROR($N303+VLOOKUP($L303,'Voyage days'!$L$483:$N$535,3,FALSE),"")</f>
        <v/>
      </c>
      <c r="AX303" s="120" t="str">
        <f t="shared" si="49"/>
        <v/>
      </c>
      <c r="AY303" s="122" t="str">
        <f>IFERROR($M303+VLOOKUP($L303,'Voyage days'!$F$620:$H$646,3,FALSE),"")</f>
        <v/>
      </c>
      <c r="AZ303" s="122" t="str">
        <f>IFERROR($N303+VLOOKUP($L303,'Voyage days'!$F$620:$H$646,3,FALSE),"")</f>
        <v/>
      </c>
      <c r="BA303" s="120" t="str">
        <f t="shared" si="50"/>
        <v/>
      </c>
      <c r="BB303" s="123" t="str">
        <f>IFERROR($M303+VLOOKUP($L303,'Voyage days'!$F$702:$H$727,3,FALSE),"")</f>
        <v/>
      </c>
      <c r="BC303" s="120" t="str">
        <f t="shared" si="51"/>
        <v/>
      </c>
      <c r="BD303" s="122" t="str">
        <f>IFERROR($M303+VLOOKUP($L303,'Voyage days'!$F$807:$H$878,3,FALSE),"")</f>
        <v/>
      </c>
      <c r="BE303" s="122" t="str">
        <f>IFERROR($N303+VLOOKUP($L303,'Voyage days'!$F$807:$H$878,3,FALSE),"")</f>
        <v/>
      </c>
      <c r="BF303" s="609"/>
      <c r="BG303" s="609"/>
      <c r="BH303" s="609"/>
      <c r="BI303" s="609"/>
      <c r="BJ303" s="609"/>
      <c r="BK303" s="609"/>
      <c r="BL303" s="609"/>
      <c r="BM303" s="609"/>
    </row>
    <row r="304" ht="15.75" customHeight="1">
      <c r="A304" s="100" t="s">
        <v>557</v>
      </c>
      <c r="B304" s="148">
        <v>2024.0</v>
      </c>
      <c r="C304" s="1045">
        <v>93000.0</v>
      </c>
      <c r="D304" s="104"/>
      <c r="E304" s="103" t="s">
        <v>666</v>
      </c>
      <c r="F304" s="604"/>
      <c r="G304" s="605">
        <v>45778.0</v>
      </c>
      <c r="H304" s="103"/>
      <c r="I304" s="185" t="s">
        <v>1264</v>
      </c>
      <c r="J304" s="111"/>
      <c r="K304" s="336" t="str">
        <f t="shared" si="53"/>
        <v>NO AIS</v>
      </c>
      <c r="L304" s="185" t="s">
        <v>1265</v>
      </c>
      <c r="M304" s="109">
        <v>45778.0</v>
      </c>
      <c r="N304" s="109"/>
      <c r="O304" s="110"/>
      <c r="P304" s="304" t="s">
        <v>3233</v>
      </c>
      <c r="Q304" s="185"/>
      <c r="R304" s="185"/>
      <c r="S304" s="112" t="s">
        <v>934</v>
      </c>
      <c r="T304" s="113">
        <v>45781.0</v>
      </c>
      <c r="U304" s="114" t="str">
        <f>IF(V304="","No AIS",VLOOKUP(V304,'Voyage days'!$A$3:$B$1480,2,FALSE))</f>
        <v>No AIS</v>
      </c>
      <c r="V304" s="115" t="str">
        <f>IF(VLOOKUP(A304,'1) Kpler'!$E$2:$P$1000,8, FALSE)="","",VLOOKUP(A304,'1) Kpler'!$E$2:$P$1000,8, FALSE))</f>
        <v/>
      </c>
      <c r="W304" s="116" t="str">
        <f>IF(VLOOKUP(A304,'1) Kpler'!$E$2:$P$1000,9,FALSE)="","",VLOOKUP(A304,'1) Kpler'!$E$2:$P$1000,9,FALSE))</f>
        <v/>
      </c>
      <c r="X304" s="115" t="str">
        <f>VLOOKUP(A304,'1) Kpler'!$E$2:$I$1000,4,FALSE)</f>
        <v>ballast</v>
      </c>
      <c r="Y304" s="117" t="str">
        <f t="shared" si="40"/>
        <v/>
      </c>
      <c r="Z304" s="120" t="str">
        <f t="shared" si="41"/>
        <v/>
      </c>
      <c r="AA304" s="121" t="str">
        <f>IFERROR($M304+VLOOKUP($L304,'Voyage days'!$F$38:$H$89,3,FALSE),"")</f>
        <v/>
      </c>
      <c r="AB304" s="121" t="str">
        <f>IFERROR(N304+VLOOKUP($L304,'Voyage days'!$F$38:$H$89,3,FALSE),"")</f>
        <v/>
      </c>
      <c r="AC304" s="120" t="str">
        <f t="shared" si="42"/>
        <v>01-30 Dec</v>
      </c>
      <c r="AD304" s="121">
        <f>IFERROR($M304+VLOOKUP($L304,'Voyage days'!$F$94:$H$193,3,FALSE),"")</f>
        <v>45778</v>
      </c>
      <c r="AE304" s="121">
        <f>IFERROR($N304+VLOOKUP($L304,'Voyage days'!$F$94:$H$193,3,FALSE),"")</f>
        <v>0</v>
      </c>
      <c r="AF304" s="120" t="str">
        <f t="shared" si="43"/>
        <v/>
      </c>
      <c r="AG304" s="121" t="str">
        <f>IFERROR($M304+VLOOKUP($L304,'Voyage days'!$F$203:$H$256,3,FALSE),"")</f>
        <v/>
      </c>
      <c r="AH304" s="121" t="str">
        <f>IFERROR($N304+VLOOKUP($L304,'Voyage days'!$F$203:$H$256,3,FALSE),"")</f>
        <v/>
      </c>
      <c r="AI304" s="120" t="str">
        <f t="shared" si="44"/>
        <v/>
      </c>
      <c r="AJ304" s="121" t="str">
        <f>IFERROR($M304+VLOOKUP($L304,'Voyage days'!$F$294:$H$377,3,FALSE),"")</f>
        <v/>
      </c>
      <c r="AK304" s="121" t="str">
        <f>IFERROR($N304+VLOOKUP($L304,'Voyage days'!$F$294:$H$377,3,FALSE),"")</f>
        <v/>
      </c>
      <c r="AL304" s="120" t="str">
        <f t="shared" si="45"/>
        <v>15-13 Jan</v>
      </c>
      <c r="AM304" s="121">
        <f>IFERROR($M304+VLOOKUP($L304,'Voyage days'!$F$382:$H$446,3,FALSE),"")</f>
        <v>45792</v>
      </c>
      <c r="AN304" s="121">
        <f>IFERROR($N304+VLOOKUP($L304,'Voyage days'!$F$382:$H$446,3,FALSE),"")</f>
        <v>14</v>
      </c>
      <c r="AO304" s="120" t="str">
        <f t="shared" si="46"/>
        <v/>
      </c>
      <c r="AP304" s="121" t="str">
        <f>IFERROR($M304+VLOOKUP($L304,'Voyage days'!$F$483:$H$538,3,FALSE),"")</f>
        <v/>
      </c>
      <c r="AQ304" s="121" t="str">
        <f>IFERROR($N304+VLOOKUP($L304,'Voyage days'!$F$483:$H$538,3,FALSE),"")</f>
        <v/>
      </c>
      <c r="AR304" s="120" t="str">
        <f t="shared" si="47"/>
        <v/>
      </c>
      <c r="AS304" s="121" t="str">
        <f>IFERROR($M304+VLOOKUP($L304,'Voyage days'!$F$540:$H$613,3,FALSE),"")</f>
        <v/>
      </c>
      <c r="AT304" s="121" t="str">
        <f>IFERROR($N304+VLOOKUP($L304,'Voyage days'!$F$540:$H$613,3,FALSE),"")</f>
        <v/>
      </c>
      <c r="AU304" s="120" t="str">
        <f t="shared" si="48"/>
        <v/>
      </c>
      <c r="AV304" s="121" t="str">
        <f>IFERROR($M304+VLOOKUP($L304,'Voyage days'!$L$483:$N$535,3,FALSE),"")</f>
        <v/>
      </c>
      <c r="AW304" s="121" t="str">
        <f>IFERROR($N304+VLOOKUP($L304,'Voyage days'!$L$483:$N$535,3,FALSE),"")</f>
        <v/>
      </c>
      <c r="AX304" s="120" t="str">
        <f t="shared" si="49"/>
        <v/>
      </c>
      <c r="AY304" s="122" t="str">
        <f>IFERROR($M304+VLOOKUP($L304,'Voyage days'!$F$620:$H$646,3,FALSE),"")</f>
        <v/>
      </c>
      <c r="AZ304" s="122" t="str">
        <f>IFERROR($N304+VLOOKUP($L304,'Voyage days'!$F$620:$H$646,3,FALSE),"")</f>
        <v/>
      </c>
      <c r="BA304" s="120" t="str">
        <f t="shared" si="50"/>
        <v/>
      </c>
      <c r="BB304" s="123" t="str">
        <f>IFERROR($M304+VLOOKUP($L304,'Voyage days'!$F$702:$H$727,3,FALSE),"")</f>
        <v/>
      </c>
      <c r="BC304" s="120" t="str">
        <f t="shared" si="51"/>
        <v/>
      </c>
      <c r="BD304" s="122" t="str">
        <f>IFERROR($M304+VLOOKUP($L304,'Voyage days'!$F$807:$H$878,3,FALSE),"")</f>
        <v/>
      </c>
      <c r="BE304" s="122" t="str">
        <f>IFERROR($N304+VLOOKUP($L304,'Voyage days'!$F$807:$H$878,3,FALSE),"")</f>
        <v/>
      </c>
      <c r="BF304" s="609"/>
      <c r="BG304" s="609"/>
      <c r="BH304" s="609"/>
      <c r="BI304" s="609"/>
      <c r="BJ304" s="609"/>
      <c r="BK304" s="609"/>
      <c r="BL304" s="609"/>
      <c r="BM304" s="609"/>
    </row>
    <row r="305" ht="15.75" customHeight="1">
      <c r="A305" s="338" t="s">
        <v>3234</v>
      </c>
      <c r="B305" s="101">
        <v>43707.0</v>
      </c>
      <c r="C305" s="1045">
        <v>80550.0</v>
      </c>
      <c r="D305" s="104" t="s">
        <v>1687</v>
      </c>
      <c r="E305" s="103" t="s">
        <v>689</v>
      </c>
      <c r="F305" s="604"/>
      <c r="G305" s="103" t="s">
        <v>1611</v>
      </c>
      <c r="H305" s="103"/>
      <c r="I305" s="185" t="s">
        <v>1264</v>
      </c>
      <c r="J305" s="185" t="s">
        <v>1264</v>
      </c>
      <c r="K305" s="336" t="str">
        <f t="shared" si="53"/>
        <v>#N/A</v>
      </c>
      <c r="L305" s="108" t="s">
        <v>668</v>
      </c>
      <c r="M305" s="109">
        <v>45791.0</v>
      </c>
      <c r="N305" s="109">
        <v>45792.0</v>
      </c>
      <c r="O305" s="110"/>
      <c r="P305" s="111"/>
      <c r="Q305" s="108" t="s">
        <v>3235</v>
      </c>
      <c r="R305" s="108" t="s">
        <v>3236</v>
      </c>
      <c r="S305" s="112" t="s">
        <v>2962</v>
      </c>
      <c r="T305" s="113">
        <v>45777.0</v>
      </c>
      <c r="U305" s="114" t="str">
        <f>IF(V305="","No AIS",VLOOKUP(V305,'Voyage days'!$A$3:$B$1480,2,FALSE))</f>
        <v>#N/A</v>
      </c>
      <c r="V305" s="115" t="str">
        <f>IF(VLOOKUP(A305,'1) Kpler'!$E$2:$P$1000,8, FALSE)="","",VLOOKUP(A305,'1) Kpler'!$E$2:$P$1000,8, FALSE))</f>
        <v>#N/A</v>
      </c>
      <c r="W305" s="116" t="str">
        <f>IF(VLOOKUP(A305,'1) Kpler'!$E$2:$P$1000,9,FALSE)="","",VLOOKUP(A305,'1) Kpler'!$E$2:$P$1000,9,FALSE))</f>
        <v>#N/A</v>
      </c>
      <c r="X305" s="115" t="str">
        <f>VLOOKUP(A305,'1) Kpler'!$E$2:$I$1000,4,FALSE)</f>
        <v>#N/A</v>
      </c>
      <c r="Y305" s="160" t="str">
        <f t="shared" si="40"/>
        <v>01-02 Jun</v>
      </c>
      <c r="Z305" s="120" t="str">
        <f t="shared" si="41"/>
        <v>01-02 Jun</v>
      </c>
      <c r="AA305" s="121">
        <f>IFERROR($M305+VLOOKUP($L305,'Voyage days'!$F$38:$H$89,3,FALSE),"")</f>
        <v>45809</v>
      </c>
      <c r="AB305" s="121">
        <f>IFERROR(N305+VLOOKUP($L305,'Voyage days'!$F$38:$H$89,3,FALSE),"")</f>
        <v>45810</v>
      </c>
      <c r="AC305" s="120" t="str">
        <f t="shared" si="42"/>
        <v>15-16 Jun</v>
      </c>
      <c r="AD305" s="121">
        <f>IFERROR($M305+VLOOKUP($L305,'Voyage days'!$F$94:$H$193,3,FALSE),"")</f>
        <v>45823</v>
      </c>
      <c r="AE305" s="121">
        <f>IFERROR($N305+VLOOKUP($L305,'Voyage days'!$F$94:$H$193,3,FALSE),"")</f>
        <v>45824</v>
      </c>
      <c r="AF305" s="120" t="str">
        <f t="shared" si="43"/>
        <v>25-26 Jun</v>
      </c>
      <c r="AG305" s="121">
        <f>IFERROR($M305+VLOOKUP($L305,'Voyage days'!$F$203:$H$256,3,FALSE),"")</f>
        <v>45833</v>
      </c>
      <c r="AH305" s="121">
        <f>IFERROR($N305+VLOOKUP($L305,'Voyage days'!$F$203:$H$256,3,FALSE),"")</f>
        <v>45834</v>
      </c>
      <c r="AI305" s="120" t="str">
        <f t="shared" si="44"/>
        <v>13-14 Jun</v>
      </c>
      <c r="AJ305" s="121">
        <f>IFERROR($M305+VLOOKUP($L305,'Voyage days'!$F$294:$H$377,3,FALSE),"")</f>
        <v>45821</v>
      </c>
      <c r="AK305" s="121">
        <f>IFERROR($N305+VLOOKUP($L305,'Voyage days'!$F$294:$H$377,3,FALSE),"")</f>
        <v>45822</v>
      </c>
      <c r="AL305" s="120" t="str">
        <f t="shared" si="45"/>
        <v>19-20 Jun</v>
      </c>
      <c r="AM305" s="121">
        <f>IFERROR($M305+VLOOKUP($L305,'Voyage days'!$F$382:$H$446,3,FALSE),"")</f>
        <v>45827</v>
      </c>
      <c r="AN305" s="121">
        <f>IFERROR($N305+VLOOKUP($L305,'Voyage days'!$F$382:$H$446,3,FALSE),"")</f>
        <v>45828</v>
      </c>
      <c r="AO305" s="120" t="str">
        <f t="shared" si="46"/>
        <v>27-28 May</v>
      </c>
      <c r="AP305" s="121">
        <f>IFERROR($M305+VLOOKUP($L305,'Voyage days'!$F$483:$H$538,3,FALSE),"")</f>
        <v>45804</v>
      </c>
      <c r="AQ305" s="121">
        <f>IFERROR($N305+VLOOKUP($L305,'Voyage days'!$F$483:$H$538,3,FALSE),"")</f>
        <v>45805</v>
      </c>
      <c r="AR305" s="120" t="str">
        <f t="shared" si="47"/>
        <v>22-23 May</v>
      </c>
      <c r="AS305" s="121">
        <f>IFERROR($M305+VLOOKUP($L305,'Voyage days'!$F$540:$H$613,3,FALSE),"")</f>
        <v>45799.25</v>
      </c>
      <c r="AT305" s="121">
        <f>IFERROR($N305+VLOOKUP($L305,'Voyage days'!$F$540:$H$613,3,FALSE),"")</f>
        <v>45800.25</v>
      </c>
      <c r="AU305" s="120" t="str">
        <f t="shared" si="48"/>
        <v/>
      </c>
      <c r="AV305" s="121" t="str">
        <f>IFERROR($M305+VLOOKUP($L305,'Voyage days'!$L$483:$N$535,3,FALSE),"")</f>
        <v/>
      </c>
      <c r="AW305" s="121" t="str">
        <f>IFERROR($N305+VLOOKUP($L305,'Voyage days'!$L$483:$N$535,3,FALSE),"")</f>
        <v/>
      </c>
      <c r="AX305" s="120" t="str">
        <f t="shared" si="49"/>
        <v>25-26 May</v>
      </c>
      <c r="AY305" s="122">
        <f>IFERROR($M305+VLOOKUP($L305,'Voyage days'!$F$620:$H$646,3,FALSE),"")</f>
        <v>45802</v>
      </c>
      <c r="AZ305" s="122">
        <f>IFERROR($N305+VLOOKUP($L305,'Voyage days'!$F$620:$H$646,3,FALSE),"")</f>
        <v>45803</v>
      </c>
      <c r="BA305" s="120" t="str">
        <f t="shared" si="50"/>
        <v>22-30 Jun</v>
      </c>
      <c r="BB305" s="123">
        <f>IFERROR($M305+VLOOKUP($L305,'Voyage days'!$F$702:$H$727,3,FALSE),"")</f>
        <v>45799.25</v>
      </c>
      <c r="BC305" s="120" t="str">
        <f t="shared" si="51"/>
        <v>29-30 Jun</v>
      </c>
      <c r="BD305" s="122">
        <f>IFERROR($M305+VLOOKUP($L305,'Voyage days'!$F$807:$H$878,3,FALSE),"")</f>
        <v>45837</v>
      </c>
      <c r="BE305" s="122">
        <f>IFERROR($N305+VLOOKUP($L305,'Voyage days'!$F$807:$H$878,3,FALSE),"")</f>
        <v>45838</v>
      </c>
      <c r="BF305" s="609"/>
      <c r="BG305" s="609"/>
      <c r="BH305" s="609"/>
      <c r="BI305" s="609"/>
      <c r="BJ305" s="609"/>
      <c r="BK305" s="609"/>
      <c r="BL305" s="609"/>
      <c r="BM305" s="609"/>
    </row>
    <row r="306" ht="15.75" customHeight="1">
      <c r="A306" s="147" t="s">
        <v>3237</v>
      </c>
      <c r="B306" s="101">
        <v>43553.0</v>
      </c>
      <c r="C306" s="1045">
        <v>84200.0</v>
      </c>
      <c r="D306" s="104" t="s">
        <v>1687</v>
      </c>
      <c r="E306" s="103" t="s">
        <v>689</v>
      </c>
      <c r="F306" s="604"/>
      <c r="G306" s="103" t="s">
        <v>1611</v>
      </c>
      <c r="H306" s="103"/>
      <c r="I306" s="185" t="s">
        <v>1264</v>
      </c>
      <c r="J306" s="111" t="s">
        <v>1264</v>
      </c>
      <c r="K306" s="336" t="str">
        <f t="shared" si="53"/>
        <v>#N/A</v>
      </c>
      <c r="L306" s="108" t="s">
        <v>1231</v>
      </c>
      <c r="M306" s="109">
        <v>45800.0</v>
      </c>
      <c r="N306" s="109">
        <v>45805.0</v>
      </c>
      <c r="O306" s="110"/>
      <c r="P306" s="304" t="s">
        <v>3238</v>
      </c>
      <c r="Q306" s="333"/>
      <c r="R306" s="108" t="s">
        <v>3239</v>
      </c>
      <c r="S306" s="112" t="s">
        <v>3240</v>
      </c>
      <c r="T306" s="113">
        <v>45777.0</v>
      </c>
      <c r="U306" s="114" t="str">
        <f>IF(V306="","No AIS",VLOOKUP(V306,'Voyage days'!$A$3:$B$1480,2,FALSE))</f>
        <v>#N/A</v>
      </c>
      <c r="V306" s="115" t="str">
        <f>IF(VLOOKUP(A306,'1) Kpler'!$E$2:$P$1000,8, FALSE)="","",VLOOKUP(A306,'1) Kpler'!$E$2:$P$1000,8, FALSE))</f>
        <v>#N/A</v>
      </c>
      <c r="W306" s="116" t="str">
        <f>IF(VLOOKUP(A306,'1) Kpler'!$E$2:$P$1000,9,FALSE)="","",VLOOKUP(A306,'1) Kpler'!$E$2:$P$1000,9,FALSE))</f>
        <v>#N/A</v>
      </c>
      <c r="X306" s="115" t="str">
        <f>VLOOKUP(A306,'1) Kpler'!$E$2:$I$1000,4,FALSE)</f>
        <v>#N/A</v>
      </c>
      <c r="Y306" s="117" t="str">
        <f t="shared" si="40"/>
        <v>01-06 Jun</v>
      </c>
      <c r="Z306" s="120" t="str">
        <f t="shared" si="41"/>
        <v>01-06 Jun</v>
      </c>
      <c r="AA306" s="121">
        <f>IFERROR($M306+VLOOKUP($L306,'Voyage days'!$F$38:$H$89,3,FALSE),"")</f>
        <v>45809</v>
      </c>
      <c r="AB306" s="121">
        <f>IFERROR(N306+VLOOKUP($L306,'Voyage days'!$F$38:$H$89,3,FALSE),"")</f>
        <v>45814</v>
      </c>
      <c r="AC306" s="120" t="str">
        <f t="shared" si="42"/>
        <v/>
      </c>
      <c r="AD306" s="121" t="str">
        <f>IFERROR($M306+VLOOKUP($L306,'Voyage days'!$F$94:$H$193,3,FALSE),"")</f>
        <v/>
      </c>
      <c r="AE306" s="121" t="str">
        <f>IFERROR($N306+VLOOKUP($L306,'Voyage days'!$F$94:$H$193,3,FALSE),"")</f>
        <v/>
      </c>
      <c r="AF306" s="120" t="str">
        <f t="shared" si="43"/>
        <v>28-03 Jul</v>
      </c>
      <c r="AG306" s="121">
        <f>IFERROR($M306+VLOOKUP($L306,'Voyage days'!$F$203:$H$256,3,FALSE),"")</f>
        <v>45836</v>
      </c>
      <c r="AH306" s="121">
        <f>IFERROR($N306+VLOOKUP($L306,'Voyage days'!$F$203:$H$256,3,FALSE),"")</f>
        <v>45841</v>
      </c>
      <c r="AI306" s="120" t="str">
        <f t="shared" si="44"/>
        <v>13-18 Jun</v>
      </c>
      <c r="AJ306" s="121">
        <f>IFERROR($M306+VLOOKUP($L306,'Voyage days'!$F$294:$H$377,3,FALSE),"")</f>
        <v>45821</v>
      </c>
      <c r="AK306" s="121">
        <f>IFERROR($N306+VLOOKUP($L306,'Voyage days'!$F$294:$H$377,3,FALSE),"")</f>
        <v>45826</v>
      </c>
      <c r="AL306" s="120" t="str">
        <f t="shared" si="45"/>
        <v>20-25 Jun</v>
      </c>
      <c r="AM306" s="121">
        <f>IFERROR($M306+VLOOKUP($L306,'Voyage days'!$F$382:$H$446,3,FALSE),"")</f>
        <v>45828</v>
      </c>
      <c r="AN306" s="121">
        <f>IFERROR($N306+VLOOKUP($L306,'Voyage days'!$F$382:$H$446,3,FALSE),"")</f>
        <v>45833</v>
      </c>
      <c r="AO306" s="120" t="str">
        <f t="shared" si="46"/>
        <v>23-28 May</v>
      </c>
      <c r="AP306" s="121">
        <f>IFERROR($M306+VLOOKUP($L306,'Voyage days'!$F$483:$H$538,3,FALSE),"")</f>
        <v>45800</v>
      </c>
      <c r="AQ306" s="121">
        <f>IFERROR($N306+VLOOKUP($L306,'Voyage days'!$F$483:$H$538,3,FALSE),"")</f>
        <v>45805</v>
      </c>
      <c r="AR306" s="120" t="str">
        <f t="shared" si="47"/>
        <v/>
      </c>
      <c r="AS306" s="121" t="str">
        <f>IFERROR($M306+VLOOKUP($L306,'Voyage days'!$F$540:$H$613,3,FALSE),"")</f>
        <v/>
      </c>
      <c r="AT306" s="121" t="str">
        <f>IFERROR($N306+VLOOKUP($L306,'Voyage days'!$F$540:$H$613,3,FALSE),"")</f>
        <v/>
      </c>
      <c r="AU306" s="120" t="str">
        <f t="shared" si="48"/>
        <v/>
      </c>
      <c r="AV306" s="121" t="str">
        <f>IFERROR($M306+VLOOKUP($L306,'Voyage days'!$L$483:$N$535,3,FALSE),"")</f>
        <v/>
      </c>
      <c r="AW306" s="121" t="str">
        <f>IFERROR($N306+VLOOKUP($L306,'Voyage days'!$L$483:$N$535,3,FALSE),"")</f>
        <v/>
      </c>
      <c r="AX306" s="120" t="str">
        <f t="shared" si="49"/>
        <v/>
      </c>
      <c r="AY306" s="122" t="str">
        <f>IFERROR($M306+VLOOKUP($L306,'Voyage days'!$F$620:$H$646,3,FALSE),"")</f>
        <v/>
      </c>
      <c r="AZ306" s="122" t="str">
        <f>IFERROR($N306+VLOOKUP($L306,'Voyage days'!$F$620:$H$646,3,FALSE),"")</f>
        <v/>
      </c>
      <c r="BA306" s="120" t="str">
        <f t="shared" si="50"/>
        <v/>
      </c>
      <c r="BB306" s="123" t="str">
        <f>IFERROR($M306+VLOOKUP($L306,'Voyage days'!$F$702:$H$727,3,FALSE),"")</f>
        <v/>
      </c>
      <c r="BC306" s="120" t="str">
        <f t="shared" si="51"/>
        <v>30-05 Jul</v>
      </c>
      <c r="BD306" s="122">
        <f>IFERROR($M306+VLOOKUP($L306,'Voyage days'!$F$807:$H$878,3,FALSE),"")</f>
        <v>45838</v>
      </c>
      <c r="BE306" s="122">
        <f>IFERROR($N306+VLOOKUP($L306,'Voyage days'!$F$807:$H$878,3,FALSE),"")</f>
        <v>45843</v>
      </c>
      <c r="BF306" s="609"/>
      <c r="BG306" s="609"/>
      <c r="BH306" s="609"/>
      <c r="BI306" s="609"/>
      <c r="BJ306" s="609"/>
      <c r="BK306" s="609"/>
      <c r="BL306" s="609"/>
      <c r="BM306" s="609"/>
    </row>
    <row r="307" ht="15.75" customHeight="1">
      <c r="A307" s="147" t="s">
        <v>3241</v>
      </c>
      <c r="B307" s="101">
        <v>43616.0</v>
      </c>
      <c r="C307" s="1045">
        <v>84200.0</v>
      </c>
      <c r="D307" s="104" t="s">
        <v>1687</v>
      </c>
      <c r="E307" s="103" t="s">
        <v>689</v>
      </c>
      <c r="F307" s="604"/>
      <c r="G307" s="103" t="s">
        <v>1611</v>
      </c>
      <c r="H307" s="103"/>
      <c r="I307" s="185" t="s">
        <v>1264</v>
      </c>
      <c r="J307" s="111" t="s">
        <v>1264</v>
      </c>
      <c r="K307" s="336" t="str">
        <f t="shared" si="53"/>
        <v>#N/A</v>
      </c>
      <c r="L307" s="108" t="s">
        <v>773</v>
      </c>
      <c r="M307" s="109">
        <v>45801.0</v>
      </c>
      <c r="N307" s="109">
        <v>45803.0</v>
      </c>
      <c r="O307" s="191" t="s">
        <v>773</v>
      </c>
      <c r="P307" s="185"/>
      <c r="Q307" s="185"/>
      <c r="R307" s="108" t="s">
        <v>3242</v>
      </c>
      <c r="S307" s="112" t="s">
        <v>33</v>
      </c>
      <c r="T307" s="113">
        <v>45781.0</v>
      </c>
      <c r="U307" s="114" t="str">
        <f>IF(V307="","No AIS",VLOOKUP(V307,'Voyage days'!$A$3:$B$1480,2,FALSE))</f>
        <v>#N/A</v>
      </c>
      <c r="V307" s="115" t="str">
        <f>IF(VLOOKUP(A307,'1) Kpler'!$E$2:$P$1000,8, FALSE)="","",VLOOKUP(A307,'1) Kpler'!$E$2:$P$1000,8, FALSE))</f>
        <v>#N/A</v>
      </c>
      <c r="W307" s="116" t="str">
        <f>IF(VLOOKUP(A307,'1) Kpler'!$E$2:$P$1000,9,FALSE)="","",VLOOKUP(A307,'1) Kpler'!$E$2:$P$1000,9,FALSE))</f>
        <v>#N/A</v>
      </c>
      <c r="X307" s="115" t="str">
        <f>VLOOKUP(A307,'1) Kpler'!$E$2:$I$1000,4,FALSE)</f>
        <v>#N/A</v>
      </c>
      <c r="Y307" s="160" t="str">
        <f t="shared" si="40"/>
        <v/>
      </c>
      <c r="Z307" s="120" t="str">
        <f t="shared" si="41"/>
        <v/>
      </c>
      <c r="AA307" s="121" t="str">
        <f>IFERROR($M307+VLOOKUP($L307,'Voyage days'!$F$38:$H$89,3,FALSE),"")</f>
        <v/>
      </c>
      <c r="AB307" s="121" t="str">
        <f>IFERROR(N307+VLOOKUP($L307,'Voyage days'!$F$38:$H$89,3,FALSE),"")</f>
        <v/>
      </c>
      <c r="AC307" s="120" t="str">
        <f t="shared" si="42"/>
        <v>07-09 Jun</v>
      </c>
      <c r="AD307" s="121">
        <f>IFERROR($M307+VLOOKUP($L307,'Voyage days'!$F$94:$H$193,3,FALSE),"")</f>
        <v>45815</v>
      </c>
      <c r="AE307" s="121">
        <f>IFERROR($N307+VLOOKUP($L307,'Voyage days'!$F$94:$H$193,3,FALSE),"")</f>
        <v>45817</v>
      </c>
      <c r="AF307" s="120" t="str">
        <f t="shared" si="43"/>
        <v>08-10 Jun</v>
      </c>
      <c r="AG307" s="121">
        <f>IFERROR($M307+VLOOKUP($L307,'Voyage days'!$F$203:$H$256,3,FALSE),"")</f>
        <v>45816</v>
      </c>
      <c r="AH307" s="121">
        <f>IFERROR($N307+VLOOKUP($L307,'Voyage days'!$F$203:$H$256,3,FALSE),"")</f>
        <v>45818</v>
      </c>
      <c r="AI307" s="120" t="str">
        <f t="shared" si="44"/>
        <v>04-06 Jun</v>
      </c>
      <c r="AJ307" s="121">
        <f>IFERROR($M307+VLOOKUP($L307,'Voyage days'!$F$294:$H$377,3,FALSE),"")</f>
        <v>45812</v>
      </c>
      <c r="AK307" s="121">
        <f>IFERROR($N307+VLOOKUP($L307,'Voyage days'!$F$294:$H$377,3,FALSE),"")</f>
        <v>45814</v>
      </c>
      <c r="AL307" s="120" t="str">
        <f t="shared" si="45"/>
        <v>26-28 May</v>
      </c>
      <c r="AM307" s="121">
        <f>IFERROR($M307+VLOOKUP($L307,'Voyage days'!$F$382:$H$446,3,FALSE),"")</f>
        <v>45803</v>
      </c>
      <c r="AN307" s="121">
        <f>IFERROR($N307+VLOOKUP($L307,'Voyage days'!$F$382:$H$446,3,FALSE),"")</f>
        <v>45805</v>
      </c>
      <c r="AO307" s="120" t="str">
        <f t="shared" si="46"/>
        <v/>
      </c>
      <c r="AP307" s="121" t="str">
        <f>IFERROR($M307+VLOOKUP($L307,'Voyage days'!$F$483:$H$538,3,FALSE),"")</f>
        <v/>
      </c>
      <c r="AQ307" s="121" t="str">
        <f>IFERROR($N307+VLOOKUP($L307,'Voyage days'!$F$483:$H$538,3,FALSE),"")</f>
        <v/>
      </c>
      <c r="AR307" s="120" t="str">
        <f t="shared" si="47"/>
        <v/>
      </c>
      <c r="AS307" s="121" t="str">
        <f>IFERROR($M307+VLOOKUP($L307,'Voyage days'!$F$540:$H$613,3,FALSE),"")</f>
        <v/>
      </c>
      <c r="AT307" s="121" t="str">
        <f>IFERROR($N307+VLOOKUP($L307,'Voyage days'!$F$540:$H$613,3,FALSE),"")</f>
        <v/>
      </c>
      <c r="AU307" s="120" t="str">
        <f t="shared" si="48"/>
        <v/>
      </c>
      <c r="AV307" s="121" t="str">
        <f>IFERROR($M307+VLOOKUP($L307,'Voyage days'!$L$483:$N$535,3,FALSE),"")</f>
        <v/>
      </c>
      <c r="AW307" s="121" t="str">
        <f>IFERROR($N307+VLOOKUP($L307,'Voyage days'!$L$483:$N$535,3,FALSE),"")</f>
        <v/>
      </c>
      <c r="AX307" s="120" t="str">
        <f t="shared" si="49"/>
        <v/>
      </c>
      <c r="AY307" s="122" t="str">
        <f>IFERROR($M307+VLOOKUP($L307,'Voyage days'!$F$620:$H$646,3,FALSE),"")</f>
        <v/>
      </c>
      <c r="AZ307" s="122" t="str">
        <f>IFERROR($N307+VLOOKUP($L307,'Voyage days'!$F$620:$H$646,3,FALSE),"")</f>
        <v/>
      </c>
      <c r="BA307" s="120" t="str">
        <f t="shared" si="50"/>
        <v/>
      </c>
      <c r="BB307" s="123" t="str">
        <f>IFERROR($M307+VLOOKUP($L307,'Voyage days'!$F$702:$H$727,3,FALSE),"")</f>
        <v/>
      </c>
      <c r="BC307" s="120" t="str">
        <f t="shared" si="51"/>
        <v>07-09 Jun</v>
      </c>
      <c r="BD307" s="122">
        <f>IFERROR($M307+VLOOKUP($L307,'Voyage days'!$F$807:$H$878,3,FALSE),"")</f>
        <v>45815</v>
      </c>
      <c r="BE307" s="122">
        <f>IFERROR($N307+VLOOKUP($L307,'Voyage days'!$F$807:$H$878,3,FALSE),"")</f>
        <v>45817</v>
      </c>
      <c r="BF307" s="609"/>
      <c r="BG307" s="609"/>
      <c r="BH307" s="609"/>
      <c r="BI307" s="609"/>
      <c r="BJ307" s="609"/>
      <c r="BK307" s="609"/>
      <c r="BL307" s="609"/>
      <c r="BM307" s="609"/>
    </row>
    <row r="308">
      <c r="A308" s="298" t="s">
        <v>3243</v>
      </c>
      <c r="B308" s="101">
        <v>43644.0</v>
      </c>
      <c r="C308" s="1045">
        <v>80550.0</v>
      </c>
      <c r="D308" s="104" t="s">
        <v>1687</v>
      </c>
      <c r="E308" s="103" t="s">
        <v>689</v>
      </c>
      <c r="F308" s="604"/>
      <c r="G308" s="103" t="s">
        <v>1611</v>
      </c>
      <c r="H308" s="103"/>
      <c r="I308" s="185" t="s">
        <v>1264</v>
      </c>
      <c r="J308" s="111" t="s">
        <v>1264</v>
      </c>
      <c r="K308" s="336" t="str">
        <f t="shared" si="53"/>
        <v>#N/A</v>
      </c>
      <c r="L308" s="199" t="s">
        <v>680</v>
      </c>
      <c r="M308" s="109">
        <v>45787.0</v>
      </c>
      <c r="N308" s="109">
        <v>45786.0</v>
      </c>
      <c r="O308" s="110"/>
      <c r="P308" s="108" t="s">
        <v>3244</v>
      </c>
      <c r="Q308" s="185"/>
      <c r="R308" s="108" t="s">
        <v>3245</v>
      </c>
      <c r="S308" s="112" t="s">
        <v>934</v>
      </c>
      <c r="T308" s="113">
        <v>45786.0</v>
      </c>
      <c r="U308" s="114" t="str">
        <f>IF(V308="","No AIS",VLOOKUP(V308,'Voyage days'!$A$3:$B$1480,2,FALSE))</f>
        <v>#N/A</v>
      </c>
      <c r="V308" s="115" t="str">
        <f>IF(VLOOKUP(A308,'1) Kpler'!$E$2:$P$1000,8, FALSE)="","",VLOOKUP(A308,'1) Kpler'!$E$2:$P$1000,8, FALSE))</f>
        <v>#N/A</v>
      </c>
      <c r="W308" s="116" t="str">
        <f>IF(VLOOKUP(A308,'1) Kpler'!$E$2:$P$1000,9,FALSE)="","",VLOOKUP(A308,'1) Kpler'!$E$2:$P$1000,9,FALSE))</f>
        <v>#N/A</v>
      </c>
      <c r="X308" s="115" t="str">
        <f>VLOOKUP(A308,'1) Kpler'!$E$2:$I$1000,4,FALSE)</f>
        <v>#N/A</v>
      </c>
      <c r="Y308" s="117" t="str">
        <f t="shared" si="40"/>
        <v/>
      </c>
      <c r="Z308" s="120" t="str">
        <f t="shared" si="41"/>
        <v/>
      </c>
      <c r="AA308" s="121" t="str">
        <f>IFERROR($M308+VLOOKUP($L308,'Voyage days'!$F$38:$H$89,3,FALSE),"")</f>
        <v/>
      </c>
      <c r="AB308" s="121" t="str">
        <f>IFERROR(N308+VLOOKUP($L308,'Voyage days'!$F$38:$H$89,3,FALSE),"")</f>
        <v/>
      </c>
      <c r="AC308" s="120" t="str">
        <f t="shared" si="42"/>
        <v>10-09 May</v>
      </c>
      <c r="AD308" s="121">
        <f>IFERROR($M308+VLOOKUP($L308,'Voyage days'!$F$94:$H$193,3,FALSE),"")</f>
        <v>45787</v>
      </c>
      <c r="AE308" s="121">
        <f>IFERROR($N308+VLOOKUP($L308,'Voyage days'!$F$94:$H$193,3,FALSE),"")</f>
        <v>45786</v>
      </c>
      <c r="AF308" s="120" t="str">
        <f t="shared" si="43"/>
        <v>10-09 May</v>
      </c>
      <c r="AG308" s="121">
        <f>IFERROR($M308+VLOOKUP($L308,'Voyage days'!$F$203:$H$256,3,FALSE),"")</f>
        <v>45787</v>
      </c>
      <c r="AH308" s="121">
        <f>IFERROR($N308+VLOOKUP($L308,'Voyage days'!$F$203:$H$256,3,FALSE),"")</f>
        <v>45786</v>
      </c>
      <c r="AI308" s="120" t="str">
        <f t="shared" si="44"/>
        <v/>
      </c>
      <c r="AJ308" s="121" t="str">
        <f>IFERROR($M308+VLOOKUP($L308,'Voyage days'!$F$294:$H$377,3,FALSE),"")</f>
        <v/>
      </c>
      <c r="AK308" s="121" t="str">
        <f>IFERROR($N308+VLOOKUP($L308,'Voyage days'!$F$294:$H$377,3,FALSE),"")</f>
        <v/>
      </c>
      <c r="AL308" s="120" t="str">
        <f t="shared" si="45"/>
        <v>30-29 May</v>
      </c>
      <c r="AM308" s="121">
        <f>IFERROR($M308+VLOOKUP($L308,'Voyage days'!$F$382:$H$446,3,FALSE),"")</f>
        <v>45807</v>
      </c>
      <c r="AN308" s="121">
        <f>IFERROR($N308+VLOOKUP($L308,'Voyage days'!$F$382:$H$446,3,FALSE),"")</f>
        <v>45806</v>
      </c>
      <c r="AO308" s="120" t="str">
        <f t="shared" si="46"/>
        <v/>
      </c>
      <c r="AP308" s="121" t="str">
        <f>IFERROR($M308+VLOOKUP($L308,'Voyage days'!$F$483:$H$538,3,FALSE),"")</f>
        <v/>
      </c>
      <c r="AQ308" s="121" t="str">
        <f>IFERROR($N308+VLOOKUP($L308,'Voyage days'!$F$483:$H$538,3,FALSE),"")</f>
        <v/>
      </c>
      <c r="AR308" s="120" t="str">
        <f t="shared" si="47"/>
        <v/>
      </c>
      <c r="AS308" s="121" t="str">
        <f>IFERROR($M308+VLOOKUP($L308,'Voyage days'!$F$540:$H$613,3,FALSE),"")</f>
        <v/>
      </c>
      <c r="AT308" s="121" t="str">
        <f>IFERROR($N308+VLOOKUP($L308,'Voyage days'!$F$540:$H$613,3,FALSE),"")</f>
        <v/>
      </c>
      <c r="AU308" s="120" t="str">
        <f t="shared" si="48"/>
        <v/>
      </c>
      <c r="AV308" s="121" t="str">
        <f>IFERROR($M308+VLOOKUP($L308,'Voyage days'!$L$483:$N$535,3,FALSE),"")</f>
        <v/>
      </c>
      <c r="AW308" s="121" t="str">
        <f>IFERROR($N308+VLOOKUP($L308,'Voyage days'!$L$483:$N$535,3,FALSE),"")</f>
        <v/>
      </c>
      <c r="AX308" s="120" t="str">
        <f t="shared" si="49"/>
        <v/>
      </c>
      <c r="AY308" s="122" t="str">
        <f>IFERROR($M308+VLOOKUP($L308,'Voyage days'!$F$620:$H$646,3,FALSE),"")</f>
        <v/>
      </c>
      <c r="AZ308" s="122" t="str">
        <f>IFERROR($N308+VLOOKUP($L308,'Voyage days'!$F$620:$H$646,3,FALSE),"")</f>
        <v/>
      </c>
      <c r="BA308" s="120" t="str">
        <f t="shared" si="50"/>
        <v/>
      </c>
      <c r="BB308" s="123" t="str">
        <f>IFERROR($M308+VLOOKUP($L308,'Voyage days'!$F$702:$H$727,3,FALSE),"")</f>
        <v/>
      </c>
      <c r="BC308" s="120" t="str">
        <f t="shared" si="51"/>
        <v/>
      </c>
      <c r="BD308" s="122" t="str">
        <f>IFERROR($M308+VLOOKUP($L308,'Voyage days'!$F$807:$H$878,3,FALSE),"")</f>
        <v/>
      </c>
      <c r="BE308" s="122" t="str">
        <f>IFERROR($N308+VLOOKUP($L308,'Voyage days'!$F$807:$H$878,3,FALSE),"")</f>
        <v/>
      </c>
      <c r="BF308" s="609"/>
      <c r="BG308" s="609"/>
      <c r="BH308" s="609"/>
      <c r="BI308" s="609"/>
      <c r="BJ308" s="609"/>
      <c r="BK308" s="609"/>
      <c r="BL308" s="609"/>
      <c r="BM308" s="609"/>
    </row>
    <row r="309" ht="15.75" customHeight="1">
      <c r="A309" s="473" t="s">
        <v>583</v>
      </c>
      <c r="B309" s="222">
        <v>40040.0</v>
      </c>
      <c r="C309" s="1101">
        <v>78000.0</v>
      </c>
      <c r="D309" s="168" t="s">
        <v>1687</v>
      </c>
      <c r="E309" s="223"/>
      <c r="F309" s="1010"/>
      <c r="G309" s="1011">
        <v>45962.0</v>
      </c>
      <c r="H309" s="223"/>
      <c r="I309" s="463" t="s">
        <v>1264</v>
      </c>
      <c r="J309" s="312" t="s">
        <v>3002</v>
      </c>
      <c r="K309" s="469" t="str">
        <f t="shared" si="53"/>
        <v>Update</v>
      </c>
      <c r="L309" s="172" t="s">
        <v>680</v>
      </c>
      <c r="M309" s="173">
        <v>45787.0</v>
      </c>
      <c r="N309" s="173">
        <v>45785.0</v>
      </c>
      <c r="O309" s="174"/>
      <c r="P309" s="463"/>
      <c r="Q309" s="463"/>
      <c r="R309" s="172" t="s">
        <v>3246</v>
      </c>
      <c r="S309" s="175" t="s">
        <v>934</v>
      </c>
      <c r="T309" s="176">
        <v>45786.0</v>
      </c>
      <c r="U309" s="177" t="str">
        <f>IF(V309="","No AIS",VLOOKUP(V309,'Voyage days'!$A$3:$B$1480,2,FALSE))</f>
        <v>Indo + 4</v>
      </c>
      <c r="V309" s="178" t="str">
        <f>IF(VLOOKUP(A309,'1) Kpler'!$E$2:$P$1000,8, FALSE)="","",VLOOKUP(A309,'1) Kpler'!$E$2:$P$1000,8, FALSE))</f>
        <v>Oiltank. Merak</v>
      </c>
      <c r="W309" s="179">
        <f>IF(VLOOKUP(A309,'1) Kpler'!$E$2:$P$1000,9,FALSE)="","",VLOOKUP(A309,'1) Kpler'!$E$2:$P$1000,9,FALSE))</f>
        <v>46162.33333</v>
      </c>
      <c r="X309" s="178" t="str">
        <f>VLOOKUP(A309,'1) Kpler'!$E$2:$I$1000,4,FALSE)</f>
        <v>loaded</v>
      </c>
      <c r="Y309" s="120" t="str">
        <f t="shared" si="40"/>
        <v/>
      </c>
      <c r="Z309" s="120" t="str">
        <f t="shared" si="41"/>
        <v/>
      </c>
      <c r="AA309" s="121" t="str">
        <f>IFERROR($M309+VLOOKUP($L309,'Voyage days'!$F$38:$H$89,3,FALSE),"")</f>
        <v/>
      </c>
      <c r="AB309" s="121" t="str">
        <f>IFERROR(N309+VLOOKUP($L309,'Voyage days'!$F$38:$H$89,3,FALSE),"")</f>
        <v/>
      </c>
      <c r="AC309" s="120" t="str">
        <f t="shared" si="42"/>
        <v>10-08 May</v>
      </c>
      <c r="AD309" s="121">
        <f>IFERROR($M309+VLOOKUP($L309,'Voyage days'!$F$94:$H$193,3,FALSE),"")</f>
        <v>45787</v>
      </c>
      <c r="AE309" s="121">
        <f>IFERROR($N309+VLOOKUP($L309,'Voyage days'!$F$94:$H$193,3,FALSE),"")</f>
        <v>45785</v>
      </c>
      <c r="AF309" s="120" t="str">
        <f t="shared" si="43"/>
        <v>10-08 May</v>
      </c>
      <c r="AG309" s="121">
        <f>IFERROR($M309+VLOOKUP($L309,'Voyage days'!$F$203:$H$256,3,FALSE),"")</f>
        <v>45787</v>
      </c>
      <c r="AH309" s="121">
        <f>IFERROR($N309+VLOOKUP($L309,'Voyage days'!$F$203:$H$256,3,FALSE),"")</f>
        <v>45785</v>
      </c>
      <c r="AI309" s="120" t="str">
        <f t="shared" si="44"/>
        <v/>
      </c>
      <c r="AJ309" s="121" t="str">
        <f>IFERROR($M309+VLOOKUP($L309,'Voyage days'!$F$294:$H$377,3,FALSE),"")</f>
        <v/>
      </c>
      <c r="AK309" s="121" t="str">
        <f>IFERROR($N309+VLOOKUP($L309,'Voyage days'!$F$294:$H$377,3,FALSE),"")</f>
        <v/>
      </c>
      <c r="AL309" s="120" t="str">
        <f t="shared" si="45"/>
        <v>30-28 May</v>
      </c>
      <c r="AM309" s="121">
        <f>IFERROR($M309+VLOOKUP($L309,'Voyage days'!$F$382:$H$446,3,FALSE),"")</f>
        <v>45807</v>
      </c>
      <c r="AN309" s="121">
        <f>IFERROR($N309+VLOOKUP($L309,'Voyage days'!$F$382:$H$446,3,FALSE),"")</f>
        <v>45805</v>
      </c>
      <c r="AO309" s="120" t="str">
        <f t="shared" si="46"/>
        <v/>
      </c>
      <c r="AP309" s="121" t="str">
        <f>IFERROR($M309+VLOOKUP($L309,'Voyage days'!$F$483:$H$538,3,FALSE),"")</f>
        <v/>
      </c>
      <c r="AQ309" s="121" t="str">
        <f>IFERROR($N309+VLOOKUP($L309,'Voyage days'!$F$483:$H$538,3,FALSE),"")</f>
        <v/>
      </c>
      <c r="AR309" s="120" t="str">
        <f t="shared" si="47"/>
        <v/>
      </c>
      <c r="AS309" s="121" t="str">
        <f>IFERROR($M309+VLOOKUP($L309,'Voyage days'!$F$540:$H$613,3,FALSE),"")</f>
        <v/>
      </c>
      <c r="AT309" s="121" t="str">
        <f>IFERROR($N309+VLOOKUP($L309,'Voyage days'!$F$540:$H$613,3,FALSE),"")</f>
        <v/>
      </c>
      <c r="AU309" s="120" t="str">
        <f t="shared" si="48"/>
        <v/>
      </c>
      <c r="AV309" s="121" t="str">
        <f>IFERROR($M309+VLOOKUP($L309,'Voyage days'!$L$483:$N$535,3,FALSE),"")</f>
        <v/>
      </c>
      <c r="AW309" s="121" t="str">
        <f>IFERROR($N309+VLOOKUP($L309,'Voyage days'!$L$483:$N$535,3,FALSE),"")</f>
        <v/>
      </c>
      <c r="AX309" s="120" t="str">
        <f t="shared" si="49"/>
        <v/>
      </c>
      <c r="AY309" s="122" t="str">
        <f>IFERROR($M309+VLOOKUP($L309,'Voyage days'!$F$620:$H$646,3,FALSE),"")</f>
        <v/>
      </c>
      <c r="AZ309" s="122" t="str">
        <f>IFERROR($N309+VLOOKUP($L309,'Voyage days'!$F$620:$H$646,3,FALSE),"")</f>
        <v/>
      </c>
      <c r="BA309" s="120" t="str">
        <f t="shared" si="50"/>
        <v/>
      </c>
      <c r="BB309" s="123" t="str">
        <f>IFERROR($M309+VLOOKUP($L309,'Voyage days'!$F$702:$H$727,3,FALSE),"")</f>
        <v/>
      </c>
      <c r="BC309" s="120" t="str">
        <f t="shared" si="51"/>
        <v/>
      </c>
      <c r="BD309" s="122" t="str">
        <f>IFERROR($M309+VLOOKUP($L309,'Voyage days'!$F$807:$H$878,3,FALSE),"")</f>
        <v/>
      </c>
      <c r="BE309" s="122" t="str">
        <f>IFERROR($N309+VLOOKUP($L309,'Voyage days'!$F$807:$H$878,3,FALSE),"")</f>
        <v/>
      </c>
      <c r="BF309" s="609"/>
      <c r="BG309" s="609"/>
      <c r="BH309" s="609"/>
      <c r="BI309" s="609"/>
      <c r="BJ309" s="609"/>
      <c r="BK309" s="609"/>
      <c r="BL309" s="609"/>
      <c r="BM309" s="609"/>
    </row>
    <row r="310" ht="15.75" customHeight="1">
      <c r="A310" s="230" t="s">
        <v>19</v>
      </c>
      <c r="B310" s="231">
        <v>2022.0</v>
      </c>
      <c r="C310" s="1098">
        <v>86000.0</v>
      </c>
      <c r="D310" s="234" t="s">
        <v>1687</v>
      </c>
      <c r="E310" s="233" t="s">
        <v>666</v>
      </c>
      <c r="F310" s="1035"/>
      <c r="G310" s="233"/>
      <c r="H310" s="233"/>
      <c r="I310" s="291" t="s">
        <v>1280</v>
      </c>
      <c r="J310" s="291"/>
      <c r="K310" s="517" t="str">
        <f t="shared" si="53"/>
        <v>NO AIS</v>
      </c>
      <c r="L310" s="235" t="s">
        <v>2463</v>
      </c>
      <c r="M310" s="276">
        <v>45816.0</v>
      </c>
      <c r="N310" s="276">
        <v>45818.0</v>
      </c>
      <c r="O310" s="291"/>
      <c r="P310" s="235" t="s">
        <v>3247</v>
      </c>
      <c r="Q310" s="291"/>
      <c r="R310" s="235" t="s">
        <v>3248</v>
      </c>
      <c r="S310" s="292" t="s">
        <v>934</v>
      </c>
      <c r="T310" s="293">
        <v>45788.0</v>
      </c>
      <c r="U310" s="114" t="str">
        <f>IF(V310="","No AIS",VLOOKUP(V310,'Voyage days'!$A$3:$B$1480,2,FALSE))</f>
        <v>No AIS</v>
      </c>
      <c r="V310" s="114" t="str">
        <f>IF(VLOOKUP(A310,'1) Kpler'!$E$2:$P$1000,8, FALSE)="","",VLOOKUP(A310,'1) Kpler'!$E$2:$P$1000,8, FALSE))</f>
        <v/>
      </c>
      <c r="W310" s="159" t="str">
        <f>IF(VLOOKUP(A310,'1) Kpler'!$E$2:$P$1000,9,FALSE)="","",VLOOKUP(A310,'1) Kpler'!$E$2:$P$1000,9,FALSE))</f>
        <v/>
      </c>
      <c r="X310" s="114" t="str">
        <f>VLOOKUP(A310,'1) Kpler'!$E$2:$I$1000,4,FALSE)</f>
        <v>loaded</v>
      </c>
      <c r="Y310" s="296" t="str">
        <f t="shared" si="40"/>
        <v/>
      </c>
      <c r="Z310" s="163" t="str">
        <f t="shared" si="41"/>
        <v/>
      </c>
      <c r="AA310" s="122" t="str">
        <f>IFERROR($M310+VLOOKUP($L310,'Voyage days'!$F$38:$H$89,3,FALSE),"")</f>
        <v/>
      </c>
      <c r="AB310" s="122" t="str">
        <f>IFERROR(N310+VLOOKUP($L310,'Voyage days'!$F$38:$H$89,3,FALSE),"")</f>
        <v/>
      </c>
      <c r="AC310" s="163" t="str">
        <f t="shared" si="42"/>
        <v/>
      </c>
      <c r="AD310" s="122" t="str">
        <f>IFERROR($M310+VLOOKUP($L310,'Voyage days'!$F$94:$H$193,3,FALSE),"")</f>
        <v/>
      </c>
      <c r="AE310" s="122" t="str">
        <f>IFERROR($N310+VLOOKUP($L310,'Voyage days'!$F$94:$H$193,3,FALSE),"")</f>
        <v/>
      </c>
      <c r="AF310" s="163" t="str">
        <f t="shared" si="43"/>
        <v/>
      </c>
      <c r="AG310" s="122" t="str">
        <f>IFERROR($M310+VLOOKUP($L310,'Voyage days'!$F$203:$H$256,3,FALSE),"")</f>
        <v/>
      </c>
      <c r="AH310" s="122" t="str">
        <f>IFERROR($N310+VLOOKUP($L310,'Voyage days'!$F$203:$H$256,3,FALSE),"")</f>
        <v/>
      </c>
      <c r="AI310" s="163" t="str">
        <f t="shared" si="44"/>
        <v/>
      </c>
      <c r="AJ310" s="122" t="str">
        <f>IFERROR($M310+VLOOKUP($L310,'Voyage days'!$F$294:$H$377,3,FALSE),"")</f>
        <v/>
      </c>
      <c r="AK310" s="122" t="str">
        <f>IFERROR($N310+VLOOKUP($L310,'Voyage days'!$F$294:$H$377,3,FALSE),"")</f>
        <v/>
      </c>
      <c r="AL310" s="163" t="str">
        <f t="shared" si="45"/>
        <v/>
      </c>
      <c r="AM310" s="122" t="str">
        <f>IFERROR($M310+VLOOKUP($L310,'Voyage days'!$F$382:$H$446,3,FALSE),"")</f>
        <v/>
      </c>
      <c r="AN310" s="122" t="str">
        <f>IFERROR($N310+VLOOKUP($L310,'Voyage days'!$F$382:$H$446,3,FALSE),"")</f>
        <v/>
      </c>
      <c r="AO310" s="163" t="str">
        <f t="shared" si="46"/>
        <v/>
      </c>
      <c r="AP310" s="122" t="str">
        <f>IFERROR($M310+VLOOKUP($L310,'Voyage days'!$F$483:$H$538,3,FALSE),"")</f>
        <v/>
      </c>
      <c r="AQ310" s="122" t="str">
        <f>IFERROR($N310+VLOOKUP($L310,'Voyage days'!$F$483:$H$538,3,FALSE),"")</f>
        <v/>
      </c>
      <c r="AR310" s="163" t="str">
        <f t="shared" si="47"/>
        <v/>
      </c>
      <c r="AS310" s="122" t="str">
        <f>IFERROR($M310+VLOOKUP($L310,'Voyage days'!$F$540:$H$613,3,FALSE),"")</f>
        <v/>
      </c>
      <c r="AT310" s="122" t="str">
        <f>IFERROR($N310+VLOOKUP($L310,'Voyage days'!$F$540:$H$613,3,FALSE),"")</f>
        <v/>
      </c>
      <c r="AU310" s="163" t="str">
        <f t="shared" si="48"/>
        <v/>
      </c>
      <c r="AV310" s="122" t="str">
        <f>IFERROR($M310+VLOOKUP($L310,'Voyage days'!$L$483:$N$535,3,FALSE),"")</f>
        <v/>
      </c>
      <c r="AW310" s="122" t="str">
        <f>IFERROR($N310+VLOOKUP($L310,'Voyage days'!$L$483:$N$535,3,FALSE),"")</f>
        <v/>
      </c>
      <c r="AX310" s="163" t="str">
        <f t="shared" si="49"/>
        <v/>
      </c>
      <c r="AY310" s="122" t="str">
        <f>IFERROR($M310+VLOOKUP($L310,'Voyage days'!$F$620:$H$646,3,FALSE),"")</f>
        <v/>
      </c>
      <c r="AZ310" s="122" t="str">
        <f>IFERROR($N310+VLOOKUP($L310,'Voyage days'!$F$620:$H$646,3,FALSE),"")</f>
        <v/>
      </c>
      <c r="BA310" s="163" t="str">
        <f t="shared" si="50"/>
        <v/>
      </c>
      <c r="BB310" s="123" t="str">
        <f>IFERROR($M310+VLOOKUP($L310,'Voyage days'!$F$702:$H$727,3,FALSE),"")</f>
        <v/>
      </c>
      <c r="BC310" s="163" t="str">
        <f t="shared" si="51"/>
        <v/>
      </c>
      <c r="BD310" s="122" t="str">
        <f>IFERROR($M310+VLOOKUP($L310,'Voyage days'!$F$807:$H$878,3,FALSE),"")</f>
        <v/>
      </c>
      <c r="BE310" s="122" t="str">
        <f>IFERROR($N310+VLOOKUP($L310,'Voyage days'!$F$807:$H$878,3,FALSE),"")</f>
        <v/>
      </c>
      <c r="BF310" s="609"/>
      <c r="BG310" s="609"/>
      <c r="BH310" s="609"/>
      <c r="BI310" s="609"/>
      <c r="BJ310" s="609"/>
      <c r="BK310" s="609"/>
      <c r="BL310" s="609"/>
      <c r="BM310" s="609"/>
    </row>
    <row r="311" ht="15.75" customHeight="1">
      <c r="A311" s="147" t="s">
        <v>32</v>
      </c>
      <c r="B311" s="148">
        <v>2022.0</v>
      </c>
      <c r="C311" s="1045">
        <v>86000.0</v>
      </c>
      <c r="D311" s="104" t="s">
        <v>1687</v>
      </c>
      <c r="E311" s="103" t="s">
        <v>666</v>
      </c>
      <c r="F311" s="604"/>
      <c r="G311" s="103"/>
      <c r="H311" s="103"/>
      <c r="I311" s="185" t="s">
        <v>1280</v>
      </c>
      <c r="J311" s="185"/>
      <c r="K311" s="336" t="str">
        <f t="shared" si="53"/>
        <v>NO AIS</v>
      </c>
      <c r="L311" s="108" t="s">
        <v>95</v>
      </c>
      <c r="M311" s="109">
        <v>45833.0</v>
      </c>
      <c r="N311" s="109">
        <v>45834.0</v>
      </c>
      <c r="O311" s="450"/>
      <c r="P311" s="185"/>
      <c r="Q311" s="185"/>
      <c r="R311" s="108" t="s">
        <v>3249</v>
      </c>
      <c r="S311" s="112" t="s">
        <v>934</v>
      </c>
      <c r="T311" s="113">
        <v>45781.0</v>
      </c>
      <c r="U311" s="114" t="str">
        <f>IF(V311="","No AIS",VLOOKUP(V311,'Voyage days'!$A$3:$B$1480,2,FALSE))</f>
        <v>No AIS</v>
      </c>
      <c r="V311" s="115" t="str">
        <f>IF(VLOOKUP(A311,'1) Kpler'!$E$2:$P$1000,8, FALSE)="","",VLOOKUP(A311,'1) Kpler'!$E$2:$P$1000,8, FALSE))</f>
        <v/>
      </c>
      <c r="W311" s="116" t="str">
        <f>IF(VLOOKUP(A311,'1) Kpler'!$E$2:$P$1000,9,FALSE)="","",VLOOKUP(A311,'1) Kpler'!$E$2:$P$1000,9,FALSE))</f>
        <v/>
      </c>
      <c r="X311" s="115" t="str">
        <f>VLOOKUP(A311,'1) Kpler'!$E$2:$I$1000,4,FALSE)</f>
        <v>loaded</v>
      </c>
      <c r="Y311" s="160" t="str">
        <f t="shared" si="40"/>
        <v/>
      </c>
      <c r="Z311" s="120" t="str">
        <f t="shared" si="41"/>
        <v/>
      </c>
      <c r="AA311" s="121" t="str">
        <f>IFERROR($M311+VLOOKUP($L311,'Voyage days'!$F$38:$H$89,3,FALSE),"")</f>
        <v/>
      </c>
      <c r="AB311" s="121" t="str">
        <f>IFERROR(N311+VLOOKUP($L311,'Voyage days'!$F$38:$H$89,3,FALSE),"")</f>
        <v/>
      </c>
      <c r="AC311" s="120" t="str">
        <f t="shared" si="42"/>
        <v/>
      </c>
      <c r="AD311" s="121" t="str">
        <f>IFERROR($M311+VLOOKUP($L311,'Voyage days'!$F$94:$H$193,3,FALSE),"")</f>
        <v/>
      </c>
      <c r="AE311" s="121" t="str">
        <f>IFERROR($N311+VLOOKUP($L311,'Voyage days'!$F$94:$H$193,3,FALSE),"")</f>
        <v/>
      </c>
      <c r="AF311" s="120" t="str">
        <f t="shared" si="43"/>
        <v/>
      </c>
      <c r="AG311" s="121" t="str">
        <f>IFERROR($M311+VLOOKUP($L311,'Voyage days'!$F$203:$H$256,3,FALSE),"")</f>
        <v/>
      </c>
      <c r="AH311" s="121" t="str">
        <f>IFERROR($N311+VLOOKUP($L311,'Voyage days'!$F$203:$H$256,3,FALSE),"")</f>
        <v/>
      </c>
      <c r="AI311" s="120" t="str">
        <f t="shared" si="44"/>
        <v/>
      </c>
      <c r="AJ311" s="121" t="str">
        <f>IFERROR($M311+VLOOKUP($L311,'Voyage days'!$F$294:$H$377,3,FALSE),"")</f>
        <v/>
      </c>
      <c r="AK311" s="121" t="str">
        <f>IFERROR($N311+VLOOKUP($L311,'Voyage days'!$F$294:$H$377,3,FALSE),"")</f>
        <v/>
      </c>
      <c r="AL311" s="120" t="str">
        <f t="shared" si="45"/>
        <v/>
      </c>
      <c r="AM311" s="121" t="str">
        <f>IFERROR($M311+VLOOKUP($L311,'Voyage days'!$F$382:$H$446,3,FALSE),"")</f>
        <v/>
      </c>
      <c r="AN311" s="121" t="str">
        <f>IFERROR($N311+VLOOKUP($L311,'Voyage days'!$F$382:$H$446,3,FALSE),"")</f>
        <v/>
      </c>
      <c r="AO311" s="120" t="str">
        <f t="shared" si="46"/>
        <v/>
      </c>
      <c r="AP311" s="121" t="str">
        <f>IFERROR($M311+VLOOKUP($L311,'Voyage days'!$F$483:$H$538,3,FALSE),"")</f>
        <v/>
      </c>
      <c r="AQ311" s="121" t="str">
        <f>IFERROR($N311+VLOOKUP($L311,'Voyage days'!$F$483:$H$538,3,FALSE),"")</f>
        <v/>
      </c>
      <c r="AR311" s="120" t="str">
        <f t="shared" si="47"/>
        <v/>
      </c>
      <c r="AS311" s="121" t="str">
        <f>IFERROR($M311+VLOOKUP($L311,'Voyage days'!$F$540:$H$613,3,FALSE),"")</f>
        <v/>
      </c>
      <c r="AT311" s="121" t="str">
        <f>IFERROR($N311+VLOOKUP($L311,'Voyage days'!$F$540:$H$613,3,FALSE),"")</f>
        <v/>
      </c>
      <c r="AU311" s="120" t="str">
        <f t="shared" si="48"/>
        <v/>
      </c>
      <c r="AV311" s="121" t="str">
        <f>IFERROR($M311+VLOOKUP($L311,'Voyage days'!$L$483:$N$535,3,FALSE),"")</f>
        <v/>
      </c>
      <c r="AW311" s="121" t="str">
        <f>IFERROR($N311+VLOOKUP($L311,'Voyage days'!$L$483:$N$535,3,FALSE),"")</f>
        <v/>
      </c>
      <c r="AX311" s="120" t="str">
        <f t="shared" si="49"/>
        <v/>
      </c>
      <c r="AY311" s="122" t="str">
        <f>IFERROR($M311+VLOOKUP($L311,'Voyage days'!$F$620:$H$646,3,FALSE),"")</f>
        <v/>
      </c>
      <c r="AZ311" s="122" t="str">
        <f>IFERROR($N311+VLOOKUP($L311,'Voyage days'!$F$620:$H$646,3,FALSE),"")</f>
        <v/>
      </c>
      <c r="BA311" s="120" t="str">
        <f t="shared" si="50"/>
        <v/>
      </c>
      <c r="BB311" s="123" t="str">
        <f>IFERROR($M311+VLOOKUP($L311,'Voyage days'!$F$702:$H$727,3,FALSE),"")</f>
        <v/>
      </c>
      <c r="BC311" s="120" t="str">
        <f t="shared" si="51"/>
        <v/>
      </c>
      <c r="BD311" s="122" t="str">
        <f>IFERROR($M311+VLOOKUP($L311,'Voyage days'!$F$807:$H$878,3,FALSE),"")</f>
        <v/>
      </c>
      <c r="BE311" s="122" t="str">
        <f>IFERROR($N311+VLOOKUP($L311,'Voyage days'!$F$807:$H$878,3,FALSE),"")</f>
        <v/>
      </c>
      <c r="BF311" s="609"/>
      <c r="BG311" s="609"/>
      <c r="BH311" s="609"/>
      <c r="BI311" s="609"/>
      <c r="BJ311" s="609"/>
      <c r="BK311" s="609"/>
      <c r="BL311" s="609"/>
      <c r="BM311" s="609"/>
    </row>
    <row r="312" ht="15.75" customHeight="1">
      <c r="A312" s="100" t="s">
        <v>83</v>
      </c>
      <c r="B312" s="148">
        <v>2023.0</v>
      </c>
      <c r="C312" s="1045">
        <v>86001.0</v>
      </c>
      <c r="D312" s="104" t="s">
        <v>1687</v>
      </c>
      <c r="E312" s="103" t="s">
        <v>666</v>
      </c>
      <c r="F312" s="604"/>
      <c r="G312" s="103"/>
      <c r="H312" s="103"/>
      <c r="I312" s="185" t="s">
        <v>1280</v>
      </c>
      <c r="J312" s="185"/>
      <c r="K312" s="336" t="str">
        <f t="shared" si="53"/>
        <v>NO AIS</v>
      </c>
      <c r="L312" s="108" t="s">
        <v>95</v>
      </c>
      <c r="M312" s="109">
        <v>45839.0</v>
      </c>
      <c r="N312" s="109">
        <v>45840.0</v>
      </c>
      <c r="O312" s="110"/>
      <c r="P312" s="185"/>
      <c r="Q312" s="185"/>
      <c r="R312" s="108" t="s">
        <v>3250</v>
      </c>
      <c r="S312" s="112" t="s">
        <v>934</v>
      </c>
      <c r="T312" s="113">
        <v>45781.0</v>
      </c>
      <c r="U312" s="114" t="str">
        <f>IF(V312="","No AIS",VLOOKUP(V312,'Voyage days'!$A$3:$B$1480,2,FALSE))</f>
        <v>No AIS</v>
      </c>
      <c r="V312" s="115" t="str">
        <f>IF(VLOOKUP(A312,'1) Kpler'!$E$2:$P$1000,8, FALSE)="","",VLOOKUP(A312,'1) Kpler'!$E$2:$P$1000,8, FALSE))</f>
        <v/>
      </c>
      <c r="W312" s="116" t="str">
        <f>IF(VLOOKUP(A312,'1) Kpler'!$E$2:$P$1000,9,FALSE)="","",VLOOKUP(A312,'1) Kpler'!$E$2:$P$1000,9,FALSE))</f>
        <v/>
      </c>
      <c r="X312" s="115" t="str">
        <f>VLOOKUP(A312,'1) Kpler'!$E$2:$I$1000,4,FALSE)</f>
        <v>ballast</v>
      </c>
      <c r="Y312" s="117" t="str">
        <f t="shared" si="40"/>
        <v/>
      </c>
      <c r="Z312" s="120" t="str">
        <f t="shared" si="41"/>
        <v/>
      </c>
      <c r="AA312" s="121" t="str">
        <f>IFERROR($M312+VLOOKUP($L312,'Voyage days'!$F$38:$H$89,3,FALSE),"")</f>
        <v/>
      </c>
      <c r="AB312" s="121" t="str">
        <f>IFERROR(N312+VLOOKUP($L312,'Voyage days'!$F$38:$H$89,3,FALSE),"")</f>
        <v/>
      </c>
      <c r="AC312" s="120" t="str">
        <f t="shared" si="42"/>
        <v/>
      </c>
      <c r="AD312" s="121" t="str">
        <f>IFERROR($M312+VLOOKUP($L312,'Voyage days'!$F$94:$H$193,3,FALSE),"")</f>
        <v/>
      </c>
      <c r="AE312" s="121" t="str">
        <f>IFERROR($N312+VLOOKUP($L312,'Voyage days'!$F$94:$H$193,3,FALSE),"")</f>
        <v/>
      </c>
      <c r="AF312" s="120" t="str">
        <f t="shared" si="43"/>
        <v/>
      </c>
      <c r="AG312" s="121" t="str">
        <f>IFERROR($M312+VLOOKUP($L312,'Voyage days'!$F$203:$H$256,3,FALSE),"")</f>
        <v/>
      </c>
      <c r="AH312" s="121" t="str">
        <f>IFERROR($N312+VLOOKUP($L312,'Voyage days'!$F$203:$H$256,3,FALSE),"")</f>
        <v/>
      </c>
      <c r="AI312" s="120" t="str">
        <f t="shared" si="44"/>
        <v/>
      </c>
      <c r="AJ312" s="121" t="str">
        <f>IFERROR($M312+VLOOKUP($L312,'Voyage days'!$F$294:$H$377,3,FALSE),"")</f>
        <v/>
      </c>
      <c r="AK312" s="121" t="str">
        <f>IFERROR($N312+VLOOKUP($L312,'Voyage days'!$F$294:$H$377,3,FALSE),"")</f>
        <v/>
      </c>
      <c r="AL312" s="120" t="str">
        <f t="shared" si="45"/>
        <v/>
      </c>
      <c r="AM312" s="121" t="str">
        <f>IFERROR($M312+VLOOKUP($L312,'Voyage days'!$F$382:$H$446,3,FALSE),"")</f>
        <v/>
      </c>
      <c r="AN312" s="121" t="str">
        <f>IFERROR($N312+VLOOKUP($L312,'Voyage days'!$F$382:$H$446,3,FALSE),"")</f>
        <v/>
      </c>
      <c r="AO312" s="120" t="str">
        <f t="shared" si="46"/>
        <v/>
      </c>
      <c r="AP312" s="121" t="str">
        <f>IFERROR($M312+VLOOKUP($L312,'Voyage days'!$F$483:$H$538,3,FALSE),"")</f>
        <v/>
      </c>
      <c r="AQ312" s="121" t="str">
        <f>IFERROR($N312+VLOOKUP($L312,'Voyage days'!$F$483:$H$538,3,FALSE),"")</f>
        <v/>
      </c>
      <c r="AR312" s="120" t="str">
        <f t="shared" si="47"/>
        <v/>
      </c>
      <c r="AS312" s="121" t="str">
        <f>IFERROR($M312+VLOOKUP($L312,'Voyage days'!$F$540:$H$613,3,FALSE),"")</f>
        <v/>
      </c>
      <c r="AT312" s="121" t="str">
        <f>IFERROR($N312+VLOOKUP($L312,'Voyage days'!$F$540:$H$613,3,FALSE),"")</f>
        <v/>
      </c>
      <c r="AU312" s="120" t="str">
        <f t="shared" si="48"/>
        <v/>
      </c>
      <c r="AV312" s="121" t="str">
        <f>IFERROR($M312+VLOOKUP($L312,'Voyage days'!$L$483:$N$535,3,FALSE),"")</f>
        <v/>
      </c>
      <c r="AW312" s="121" t="str">
        <f>IFERROR($N312+VLOOKUP($L312,'Voyage days'!$L$483:$N$535,3,FALSE),"")</f>
        <v/>
      </c>
      <c r="AX312" s="120" t="str">
        <f t="shared" si="49"/>
        <v/>
      </c>
      <c r="AY312" s="122" t="str">
        <f>IFERROR($M312+VLOOKUP($L312,'Voyage days'!$F$620:$H$646,3,FALSE),"")</f>
        <v/>
      </c>
      <c r="AZ312" s="122" t="str">
        <f>IFERROR($N312+VLOOKUP($L312,'Voyage days'!$F$620:$H$646,3,FALSE),"")</f>
        <v/>
      </c>
      <c r="BA312" s="120" t="str">
        <f t="shared" si="50"/>
        <v/>
      </c>
      <c r="BB312" s="123" t="str">
        <f>IFERROR($M312+VLOOKUP($L312,'Voyage days'!$F$702:$H$727,3,FALSE),"")</f>
        <v/>
      </c>
      <c r="BC312" s="120" t="str">
        <f t="shared" si="51"/>
        <v/>
      </c>
      <c r="BD312" s="122" t="str">
        <f>IFERROR($M312+VLOOKUP($L312,'Voyage days'!$F$807:$H$878,3,FALSE),"")</f>
        <v/>
      </c>
      <c r="BE312" s="122" t="str">
        <f>IFERROR($N312+VLOOKUP($L312,'Voyage days'!$F$807:$H$878,3,FALSE),"")</f>
        <v/>
      </c>
      <c r="BF312" s="609"/>
      <c r="BG312" s="609"/>
      <c r="BH312" s="609"/>
      <c r="BI312" s="609"/>
      <c r="BJ312" s="609"/>
      <c r="BK312" s="609"/>
      <c r="BL312" s="609"/>
      <c r="BM312" s="609"/>
    </row>
    <row r="313" ht="15.75" customHeight="1">
      <c r="A313" s="147" t="s">
        <v>218</v>
      </c>
      <c r="B313" s="101">
        <v>42396.0</v>
      </c>
      <c r="C313" s="1045">
        <v>84000.0</v>
      </c>
      <c r="D313" s="104" t="s">
        <v>1687</v>
      </c>
      <c r="E313" s="103"/>
      <c r="F313" s="604">
        <v>44217.0</v>
      </c>
      <c r="G313" s="103" t="s">
        <v>1611</v>
      </c>
      <c r="H313" s="103"/>
      <c r="I313" s="185" t="s">
        <v>1280</v>
      </c>
      <c r="J313" s="185"/>
      <c r="K313" s="336" t="str">
        <f t="shared" si="53"/>
        <v>Update</v>
      </c>
      <c r="L313" s="199" t="s">
        <v>963</v>
      </c>
      <c r="M313" s="109">
        <v>45789.0</v>
      </c>
      <c r="N313" s="109">
        <v>45790.0</v>
      </c>
      <c r="O313" s="110"/>
      <c r="P313" s="108"/>
      <c r="Q313" s="304" t="s">
        <v>3251</v>
      </c>
      <c r="R313" s="104"/>
      <c r="S313" s="112" t="s">
        <v>934</v>
      </c>
      <c r="T313" s="113">
        <v>45786.0</v>
      </c>
      <c r="U313" s="114" t="str">
        <f>IF(V313="","No AIS",VLOOKUP(V313,'Voyage days'!$A$3:$B$1480,2,FALSE))</f>
        <v>ECI + 5</v>
      </c>
      <c r="V313" s="115" t="str">
        <f>IF(VLOOKUP(A313,'1) Kpler'!$E$2:$P$1000,8, FALSE)="","",VLOOKUP(A313,'1) Kpler'!$E$2:$P$1000,8, FALSE))</f>
        <v>Ennore Port</v>
      </c>
      <c r="W313" s="116">
        <f>IF(VLOOKUP(A313,'1) Kpler'!$E$2:$P$1000,9,FALSE)="","",VLOOKUP(A313,'1) Kpler'!$E$2:$P$1000,9,FALSE))</f>
        <v>46132.4375</v>
      </c>
      <c r="X313" s="115" t="str">
        <f>VLOOKUP(A313,'1) Kpler'!$E$2:$I$1000,4,FALSE)</f>
        <v>loaded</v>
      </c>
      <c r="Y313" s="160" t="str">
        <f t="shared" si="40"/>
        <v>30-31 May</v>
      </c>
      <c r="Z313" s="120" t="str">
        <f t="shared" si="41"/>
        <v>30-31 May</v>
      </c>
      <c r="AA313" s="121">
        <f>IFERROR($M313+VLOOKUP($L313,'Voyage days'!$F$38:$H$89,3,FALSE),"")</f>
        <v>45807</v>
      </c>
      <c r="AB313" s="121">
        <f>IFERROR(N313+VLOOKUP($L313,'Voyage days'!$F$38:$H$89,3,FALSE),"")</f>
        <v>45808</v>
      </c>
      <c r="AC313" s="120" t="str">
        <f t="shared" si="42"/>
        <v>14-15 Jun</v>
      </c>
      <c r="AD313" s="121">
        <f>IFERROR($M313+VLOOKUP($L313,'Voyage days'!$F$94:$H$193,3,FALSE),"")</f>
        <v>45822</v>
      </c>
      <c r="AE313" s="121">
        <f>IFERROR($N313+VLOOKUP($L313,'Voyage days'!$F$94:$H$193,3,FALSE),"")</f>
        <v>45823</v>
      </c>
      <c r="AF313" s="120" t="str">
        <f t="shared" si="43"/>
        <v>23-24 Jun</v>
      </c>
      <c r="AG313" s="121">
        <f>IFERROR($M313+VLOOKUP($L313,'Voyage days'!$F$203:$H$256,3,FALSE),"")</f>
        <v>45831</v>
      </c>
      <c r="AH313" s="121">
        <f>IFERROR($N313+VLOOKUP($L313,'Voyage days'!$F$203:$H$256,3,FALSE),"")</f>
        <v>45832</v>
      </c>
      <c r="AI313" s="120" t="str">
        <f t="shared" si="44"/>
        <v>10-11 Jun</v>
      </c>
      <c r="AJ313" s="121">
        <f>IFERROR($M313+VLOOKUP($L313,'Voyage days'!$F$294:$H$377,3,FALSE),"")</f>
        <v>45818</v>
      </c>
      <c r="AK313" s="121">
        <f>IFERROR($N313+VLOOKUP($L313,'Voyage days'!$F$294:$H$377,3,FALSE),"")</f>
        <v>45819</v>
      </c>
      <c r="AL313" s="120" t="str">
        <f t="shared" si="45"/>
        <v>16-17 Jun</v>
      </c>
      <c r="AM313" s="121">
        <f>IFERROR($M313+VLOOKUP($L313,'Voyage days'!$F$382:$H$446,3,FALSE),"")</f>
        <v>45824</v>
      </c>
      <c r="AN313" s="121">
        <f>IFERROR($N313+VLOOKUP($L313,'Voyage days'!$F$382:$H$446,3,FALSE),"")</f>
        <v>45825</v>
      </c>
      <c r="AO313" s="120" t="str">
        <f t="shared" si="46"/>
        <v>27-28 May</v>
      </c>
      <c r="AP313" s="121">
        <f>IFERROR($M313+VLOOKUP($L313,'Voyage days'!$F$483:$H$538,3,FALSE),"")</f>
        <v>45804</v>
      </c>
      <c r="AQ313" s="121">
        <f>IFERROR($N313+VLOOKUP($L313,'Voyage days'!$F$483:$H$538,3,FALSE),"")</f>
        <v>45805</v>
      </c>
      <c r="AR313" s="120" t="str">
        <f t="shared" si="47"/>
        <v>21-22 May</v>
      </c>
      <c r="AS313" s="121">
        <f>IFERROR($M313+VLOOKUP($L313,'Voyage days'!$F$540:$H$613,3,FALSE),"")</f>
        <v>45798</v>
      </c>
      <c r="AT313" s="121">
        <f>IFERROR($N313+VLOOKUP($L313,'Voyage days'!$F$540:$H$613,3,FALSE),"")</f>
        <v>45799</v>
      </c>
      <c r="AU313" s="120" t="str">
        <f t="shared" si="48"/>
        <v/>
      </c>
      <c r="AV313" s="121" t="str">
        <f>IFERROR($M313+VLOOKUP($L313,'Voyage days'!$L$483:$N$535,3,FALSE),"")</f>
        <v/>
      </c>
      <c r="AW313" s="121" t="str">
        <f>IFERROR($N313+VLOOKUP($L313,'Voyage days'!$L$483:$N$535,3,FALSE),"")</f>
        <v/>
      </c>
      <c r="AX313" s="120" t="str">
        <f t="shared" si="49"/>
        <v>25-26 May</v>
      </c>
      <c r="AY313" s="122">
        <f>IFERROR($M313+VLOOKUP($L313,'Voyage days'!$F$620:$H$646,3,FALSE),"")</f>
        <v>45802</v>
      </c>
      <c r="AZ313" s="122">
        <f>IFERROR($N313+VLOOKUP($L313,'Voyage days'!$F$620:$H$646,3,FALSE),"")</f>
        <v>45803</v>
      </c>
      <c r="BA313" s="120" t="str">
        <f t="shared" si="50"/>
        <v>21-28 Jun</v>
      </c>
      <c r="BB313" s="123">
        <f>IFERROR($M313+VLOOKUP($L313,'Voyage days'!$F$702:$H$727,3,FALSE),"")</f>
        <v>45798</v>
      </c>
      <c r="BC313" s="120" t="str">
        <f t="shared" si="51"/>
        <v>27-28 Jun</v>
      </c>
      <c r="BD313" s="122">
        <f>IFERROR($M313+VLOOKUP($L313,'Voyage days'!$F$807:$H$878,3,FALSE),"")</f>
        <v>45835</v>
      </c>
      <c r="BE313" s="122">
        <f>IFERROR($N313+VLOOKUP($L313,'Voyage days'!$F$807:$H$878,3,FALSE),"")</f>
        <v>45836</v>
      </c>
      <c r="BF313" s="609"/>
      <c r="BG313" s="609"/>
      <c r="BH313" s="609"/>
      <c r="BI313" s="609"/>
      <c r="BJ313" s="609"/>
      <c r="BK313" s="609"/>
      <c r="BL313" s="609"/>
      <c r="BM313" s="609"/>
    </row>
    <row r="314" ht="15.75" customHeight="1">
      <c r="A314" s="80" t="s">
        <v>282</v>
      </c>
      <c r="B314" s="148">
        <v>2022.0</v>
      </c>
      <c r="C314" s="1045">
        <v>86000.0</v>
      </c>
      <c r="D314" s="104" t="s">
        <v>1687</v>
      </c>
      <c r="E314" s="103" t="s">
        <v>666</v>
      </c>
      <c r="F314" s="604">
        <v>46388.0</v>
      </c>
      <c r="G314" s="605">
        <v>48214.0</v>
      </c>
      <c r="H314" s="103"/>
      <c r="I314" s="185" t="s">
        <v>1280</v>
      </c>
      <c r="J314" s="185"/>
      <c r="K314" s="336" t="str">
        <f t="shared" si="53"/>
        <v>Update</v>
      </c>
      <c r="L314" s="199" t="s">
        <v>963</v>
      </c>
      <c r="M314" s="109">
        <v>45807.0</v>
      </c>
      <c r="N314" s="109">
        <v>45810.0</v>
      </c>
      <c r="O314" s="110"/>
      <c r="P314" s="333" t="s">
        <v>3252</v>
      </c>
      <c r="Q314" s="104"/>
      <c r="R314" s="192" t="s">
        <v>3253</v>
      </c>
      <c r="S314" s="112" t="s">
        <v>934</v>
      </c>
      <c r="T314" s="113">
        <v>45781.0</v>
      </c>
      <c r="U314" s="1209" t="str">
        <f>IF(V314="","No AIS",VLOOKUP(V314,'Voyage days'!$A$3:$B$1480,2,FALSE))</f>
        <v>USG</v>
      </c>
      <c r="V314" s="1210" t="str">
        <f>IF(VLOOKUP(A314,'1) Kpler'!$E$2:$P$1000,8, FALSE)="","",VLOOKUP(A314,'1) Kpler'!$E$2:$P$1000,8, FALSE))</f>
        <v>Houston</v>
      </c>
      <c r="W314" s="1211">
        <f>IF(VLOOKUP(A314,'1) Kpler'!$E$2:$P$1000,9,FALSE)="","",VLOOKUP(A314,'1) Kpler'!$E$2:$P$1000,9,FALSE))</f>
        <v>46146.125</v>
      </c>
      <c r="X314" s="115" t="str">
        <f>VLOOKUP(A314,'1) Kpler'!$E$2:$I$1000,4,FALSE)</f>
        <v>ballast</v>
      </c>
      <c r="Y314" s="117" t="str">
        <f t="shared" si="40"/>
        <v>17-20 Jun</v>
      </c>
      <c r="Z314" s="120" t="str">
        <f t="shared" si="41"/>
        <v>17-20 Jun</v>
      </c>
      <c r="AA314" s="121">
        <f>IFERROR($M314+VLOOKUP($L314,'Voyage days'!$F$38:$H$89,3,FALSE),"")</f>
        <v>45825</v>
      </c>
      <c r="AB314" s="121">
        <f>IFERROR(N314+VLOOKUP($L314,'Voyage days'!$F$38:$H$89,3,FALSE),"")</f>
        <v>45828</v>
      </c>
      <c r="AC314" s="120" t="str">
        <f t="shared" si="42"/>
        <v>02-05 Jul</v>
      </c>
      <c r="AD314" s="121">
        <f>IFERROR($M314+VLOOKUP($L314,'Voyage days'!$F$94:$H$193,3,FALSE),"")</f>
        <v>45840</v>
      </c>
      <c r="AE314" s="121">
        <f>IFERROR($N314+VLOOKUP($L314,'Voyage days'!$F$94:$H$193,3,FALSE),"")</f>
        <v>45843</v>
      </c>
      <c r="AF314" s="120" t="str">
        <f t="shared" si="43"/>
        <v>11-14 Jul</v>
      </c>
      <c r="AG314" s="121">
        <f>IFERROR($M314+VLOOKUP($L314,'Voyage days'!$F$203:$H$256,3,FALSE),"")</f>
        <v>45849</v>
      </c>
      <c r="AH314" s="121">
        <f>IFERROR($N314+VLOOKUP($L314,'Voyage days'!$F$203:$H$256,3,FALSE),"")</f>
        <v>45852</v>
      </c>
      <c r="AI314" s="120" t="str">
        <f t="shared" si="44"/>
        <v>28-01 Jul</v>
      </c>
      <c r="AJ314" s="121">
        <f>IFERROR($M314+VLOOKUP($L314,'Voyage days'!$F$294:$H$377,3,FALSE),"")</f>
        <v>45836</v>
      </c>
      <c r="AK314" s="121">
        <f>IFERROR($N314+VLOOKUP($L314,'Voyage days'!$F$294:$H$377,3,FALSE),"")</f>
        <v>45839</v>
      </c>
      <c r="AL314" s="120" t="str">
        <f t="shared" si="45"/>
        <v>04-07 Jul</v>
      </c>
      <c r="AM314" s="121">
        <f>IFERROR($M314+VLOOKUP($L314,'Voyage days'!$F$382:$H$446,3,FALSE),"")</f>
        <v>45842</v>
      </c>
      <c r="AN314" s="121">
        <f>IFERROR($N314+VLOOKUP($L314,'Voyage days'!$F$382:$H$446,3,FALSE),"")</f>
        <v>45845</v>
      </c>
      <c r="AO314" s="120" t="str">
        <f t="shared" si="46"/>
        <v>14-17 Jun</v>
      </c>
      <c r="AP314" s="121">
        <f>IFERROR($M314+VLOOKUP($L314,'Voyage days'!$F$483:$H$538,3,FALSE),"")</f>
        <v>45822</v>
      </c>
      <c r="AQ314" s="121">
        <f>IFERROR($N314+VLOOKUP($L314,'Voyage days'!$F$483:$H$538,3,FALSE),"")</f>
        <v>45825</v>
      </c>
      <c r="AR314" s="120" t="str">
        <f t="shared" si="47"/>
        <v>08-11 Jun</v>
      </c>
      <c r="AS314" s="121">
        <f>IFERROR($M314+VLOOKUP($L314,'Voyage days'!$F$540:$H$613,3,FALSE),"")</f>
        <v>45816</v>
      </c>
      <c r="AT314" s="121">
        <f>IFERROR($N314+VLOOKUP($L314,'Voyage days'!$F$540:$H$613,3,FALSE),"")</f>
        <v>45819</v>
      </c>
      <c r="AU314" s="120" t="str">
        <f t="shared" si="48"/>
        <v/>
      </c>
      <c r="AV314" s="121" t="str">
        <f>IFERROR($M314+VLOOKUP($L314,'Voyage days'!$L$483:$N$535,3,FALSE),"")</f>
        <v/>
      </c>
      <c r="AW314" s="121" t="str">
        <f>IFERROR($N314+VLOOKUP($L314,'Voyage days'!$L$483:$N$535,3,FALSE),"")</f>
        <v/>
      </c>
      <c r="AX314" s="120" t="str">
        <f t="shared" si="49"/>
        <v>12-15 Jun</v>
      </c>
      <c r="AY314" s="122">
        <f>IFERROR($M314+VLOOKUP($L314,'Voyage days'!$F$620:$H$646,3,FALSE),"")</f>
        <v>45820</v>
      </c>
      <c r="AZ314" s="122">
        <f>IFERROR($N314+VLOOKUP($L314,'Voyage days'!$F$620:$H$646,3,FALSE),"")</f>
        <v>45823</v>
      </c>
      <c r="BA314" s="120" t="str">
        <f t="shared" si="50"/>
        <v>08-18 Jul</v>
      </c>
      <c r="BB314" s="123">
        <f>IFERROR($M314+VLOOKUP($L314,'Voyage days'!$F$702:$H$727,3,FALSE),"")</f>
        <v>45816</v>
      </c>
      <c r="BC314" s="120" t="str">
        <f t="shared" si="51"/>
        <v>15-18 Jul</v>
      </c>
      <c r="BD314" s="122">
        <f>IFERROR($M314+VLOOKUP($L314,'Voyage days'!$F$807:$H$878,3,FALSE),"")</f>
        <v>45853</v>
      </c>
      <c r="BE314" s="122">
        <f>IFERROR($N314+VLOOKUP($L314,'Voyage days'!$F$807:$H$878,3,FALSE),"")</f>
        <v>45856</v>
      </c>
      <c r="BF314" s="609"/>
      <c r="BG314" s="609"/>
      <c r="BH314" s="609"/>
      <c r="BI314" s="609"/>
      <c r="BJ314" s="609"/>
      <c r="BK314" s="609"/>
      <c r="BL314" s="609"/>
      <c r="BM314" s="609"/>
    </row>
    <row r="315" ht="15.75" customHeight="1">
      <c r="A315" s="341" t="s">
        <v>309</v>
      </c>
      <c r="B315" s="148">
        <v>2021.0</v>
      </c>
      <c r="C315" s="1045">
        <v>86000.0</v>
      </c>
      <c r="D315" s="104" t="s">
        <v>1687</v>
      </c>
      <c r="E315" s="103" t="s">
        <v>666</v>
      </c>
      <c r="F315" s="604"/>
      <c r="G315" s="605">
        <v>47969.0</v>
      </c>
      <c r="H315" s="604"/>
      <c r="I315" s="185" t="s">
        <v>1280</v>
      </c>
      <c r="J315" s="185" t="s">
        <v>942</v>
      </c>
      <c r="K315" s="336" t="str">
        <f t="shared" si="53"/>
        <v>NO AIS</v>
      </c>
      <c r="L315" s="108" t="s">
        <v>680</v>
      </c>
      <c r="M315" s="109">
        <v>45819.0</v>
      </c>
      <c r="N315" s="109">
        <v>45820.0</v>
      </c>
      <c r="O315" s="110"/>
      <c r="P315" s="108"/>
      <c r="Q315" s="111"/>
      <c r="R315" s="108" t="s">
        <v>3254</v>
      </c>
      <c r="S315" s="112" t="s">
        <v>934</v>
      </c>
      <c r="T315" s="113">
        <v>45785.0</v>
      </c>
      <c r="U315" s="114" t="str">
        <f>IF(V315="","No AIS",VLOOKUP(V315,'Voyage days'!$A$3:$B$1480,2,FALSE))</f>
        <v>No AIS</v>
      </c>
      <c r="V315" s="115" t="str">
        <f>IF(VLOOKUP(A315,'1) Kpler'!$E$2:$P$1000,8, FALSE)="","",VLOOKUP(A315,'1) Kpler'!$E$2:$P$1000,8, FALSE))</f>
        <v/>
      </c>
      <c r="W315" s="116" t="str">
        <f>IF(VLOOKUP(A315,'1) Kpler'!$E$2:$P$1000,9,FALSE)="","",VLOOKUP(A315,'1) Kpler'!$E$2:$P$1000,9,FALSE))</f>
        <v/>
      </c>
      <c r="X315" s="115" t="str">
        <f>VLOOKUP(A315,'1) Kpler'!$E$2:$I$1000,4,FALSE)</f>
        <v>ballast</v>
      </c>
      <c r="Y315" s="160" t="str">
        <f t="shared" si="40"/>
        <v/>
      </c>
      <c r="Z315" s="120" t="str">
        <f t="shared" si="41"/>
        <v/>
      </c>
      <c r="AA315" s="121" t="str">
        <f>IFERROR($M315+VLOOKUP($L315,'Voyage days'!$F$38:$H$89,3,FALSE),"")</f>
        <v/>
      </c>
      <c r="AB315" s="121" t="str">
        <f>IFERROR(N315+VLOOKUP($L315,'Voyage days'!$F$38:$H$89,3,FALSE),"")</f>
        <v/>
      </c>
      <c r="AC315" s="120" t="str">
        <f t="shared" si="42"/>
        <v>11-12 Jun</v>
      </c>
      <c r="AD315" s="121">
        <f>IFERROR($M315+VLOOKUP($L315,'Voyage days'!$F$94:$H$193,3,FALSE),"")</f>
        <v>45819</v>
      </c>
      <c r="AE315" s="121">
        <f>IFERROR($N315+VLOOKUP($L315,'Voyage days'!$F$94:$H$193,3,FALSE),"")</f>
        <v>45820</v>
      </c>
      <c r="AF315" s="120" t="str">
        <f t="shared" si="43"/>
        <v>11-12 Jun</v>
      </c>
      <c r="AG315" s="121">
        <f>IFERROR($M315+VLOOKUP($L315,'Voyage days'!$F$203:$H$256,3,FALSE),"")</f>
        <v>45819</v>
      </c>
      <c r="AH315" s="121">
        <f>IFERROR($N315+VLOOKUP($L315,'Voyage days'!$F$203:$H$256,3,FALSE),"")</f>
        <v>45820</v>
      </c>
      <c r="AI315" s="120" t="str">
        <f t="shared" si="44"/>
        <v/>
      </c>
      <c r="AJ315" s="121" t="str">
        <f>IFERROR($M315+VLOOKUP($L315,'Voyage days'!$F$294:$H$377,3,FALSE),"")</f>
        <v/>
      </c>
      <c r="AK315" s="121" t="str">
        <f>IFERROR($N315+VLOOKUP($L315,'Voyage days'!$F$294:$H$377,3,FALSE),"")</f>
        <v/>
      </c>
      <c r="AL315" s="120" t="str">
        <f t="shared" si="45"/>
        <v>01-02 Jul</v>
      </c>
      <c r="AM315" s="121">
        <f>IFERROR($M315+VLOOKUP($L315,'Voyage days'!$F$382:$H$446,3,FALSE),"")</f>
        <v>45839</v>
      </c>
      <c r="AN315" s="121">
        <f>IFERROR($N315+VLOOKUP($L315,'Voyage days'!$F$382:$H$446,3,FALSE),"")</f>
        <v>45840</v>
      </c>
      <c r="AO315" s="120" t="str">
        <f t="shared" si="46"/>
        <v/>
      </c>
      <c r="AP315" s="121" t="str">
        <f>IFERROR($M315+VLOOKUP($L315,'Voyage days'!$F$483:$H$538,3,FALSE),"")</f>
        <v/>
      </c>
      <c r="AQ315" s="121" t="str">
        <f>IFERROR($N315+VLOOKUP($L315,'Voyage days'!$F$483:$H$538,3,FALSE),"")</f>
        <v/>
      </c>
      <c r="AR315" s="120" t="str">
        <f t="shared" si="47"/>
        <v/>
      </c>
      <c r="AS315" s="121" t="str">
        <f>IFERROR($M315+VLOOKUP($L315,'Voyage days'!$F$540:$H$613,3,FALSE),"")</f>
        <v/>
      </c>
      <c r="AT315" s="121" t="str">
        <f>IFERROR($N315+VLOOKUP($L315,'Voyage days'!$F$540:$H$613,3,FALSE),"")</f>
        <v/>
      </c>
      <c r="AU315" s="120" t="str">
        <f t="shared" si="48"/>
        <v/>
      </c>
      <c r="AV315" s="121" t="str">
        <f>IFERROR($M315+VLOOKUP($L315,'Voyage days'!$L$483:$N$535,3,FALSE),"")</f>
        <v/>
      </c>
      <c r="AW315" s="121" t="str">
        <f>IFERROR($N315+VLOOKUP($L315,'Voyage days'!$L$483:$N$535,3,FALSE),"")</f>
        <v/>
      </c>
      <c r="AX315" s="120" t="str">
        <f t="shared" si="49"/>
        <v/>
      </c>
      <c r="AY315" s="122" t="str">
        <f>IFERROR($M315+VLOOKUP($L315,'Voyage days'!$F$620:$H$646,3,FALSE),"")</f>
        <v/>
      </c>
      <c r="AZ315" s="122" t="str">
        <f>IFERROR($N315+VLOOKUP($L315,'Voyage days'!$F$620:$H$646,3,FALSE),"")</f>
        <v/>
      </c>
      <c r="BA315" s="120" t="str">
        <f t="shared" si="50"/>
        <v/>
      </c>
      <c r="BB315" s="123" t="str">
        <f>IFERROR($M315+VLOOKUP($L315,'Voyage days'!$F$702:$H$727,3,FALSE),"")</f>
        <v/>
      </c>
      <c r="BC315" s="120" t="str">
        <f t="shared" si="51"/>
        <v/>
      </c>
      <c r="BD315" s="122" t="str">
        <f>IFERROR($M315+VLOOKUP($L315,'Voyage days'!$F$807:$H$878,3,FALSE),"")</f>
        <v/>
      </c>
      <c r="BE315" s="122" t="str">
        <f>IFERROR($N315+VLOOKUP($L315,'Voyage days'!$F$807:$H$878,3,FALSE),"")</f>
        <v/>
      </c>
      <c r="BF315" s="609"/>
      <c r="BG315" s="609"/>
      <c r="BH315" s="609"/>
      <c r="BI315" s="609"/>
      <c r="BJ315" s="609"/>
      <c r="BK315" s="609"/>
      <c r="BL315" s="609"/>
      <c r="BM315" s="609"/>
    </row>
    <row r="316">
      <c r="A316" s="341" t="s">
        <v>315</v>
      </c>
      <c r="B316" s="148">
        <v>2021.0</v>
      </c>
      <c r="C316" s="1045">
        <v>86000.0</v>
      </c>
      <c r="D316" s="104" t="s">
        <v>1687</v>
      </c>
      <c r="E316" s="103" t="s">
        <v>666</v>
      </c>
      <c r="F316" s="604"/>
      <c r="G316" s="605">
        <v>48153.0</v>
      </c>
      <c r="H316" s="103"/>
      <c r="I316" s="185" t="s">
        <v>1280</v>
      </c>
      <c r="J316" s="185" t="s">
        <v>942</v>
      </c>
      <c r="K316" s="336" t="str">
        <f t="shared" si="53"/>
        <v>NO AIS</v>
      </c>
      <c r="L316" s="108" t="s">
        <v>809</v>
      </c>
      <c r="M316" s="109">
        <v>45826.0</v>
      </c>
      <c r="N316" s="109">
        <v>45827.0</v>
      </c>
      <c r="O316" s="110"/>
      <c r="P316" s="185"/>
      <c r="Q316" s="185"/>
      <c r="R316" s="108" t="s">
        <v>3255</v>
      </c>
      <c r="S316" s="112" t="s">
        <v>934</v>
      </c>
      <c r="T316" s="113">
        <v>45786.0</v>
      </c>
      <c r="U316" s="114" t="str">
        <f>IF(V316="","No AIS",VLOOKUP(V316,'Voyage days'!$A$3:$B$1480,2,FALSE))</f>
        <v>No AIS</v>
      </c>
      <c r="V316" s="115" t="str">
        <f>IF(VLOOKUP(A316,'1) Kpler'!$E$2:$P$1000,8, FALSE)="","",VLOOKUP(A316,'1) Kpler'!$E$2:$P$1000,8, FALSE))</f>
        <v/>
      </c>
      <c r="W316" s="116" t="str">
        <f>IF(VLOOKUP(A316,'1) Kpler'!$E$2:$P$1000,9,FALSE)="","",VLOOKUP(A316,'1) Kpler'!$E$2:$P$1000,9,FALSE))</f>
        <v/>
      </c>
      <c r="X316" s="115" t="str">
        <f>VLOOKUP(A316,'1) Kpler'!$E$2:$I$1000,4,FALSE)</f>
        <v>loaded</v>
      </c>
      <c r="Y316" s="117" t="str">
        <f t="shared" si="40"/>
        <v>01-02 Jul</v>
      </c>
      <c r="Z316" s="120" t="str">
        <f t="shared" si="41"/>
        <v>01-02 Jul</v>
      </c>
      <c r="AA316" s="121">
        <f>IFERROR($M316+VLOOKUP($L316,'Voyage days'!$F$38:$H$89,3,FALSE),"")</f>
        <v>45839</v>
      </c>
      <c r="AB316" s="121">
        <f>IFERROR(N316+VLOOKUP($L316,'Voyage days'!$F$38:$H$89,3,FALSE),"")</f>
        <v>45840</v>
      </c>
      <c r="AC316" s="120" t="str">
        <f t="shared" si="42"/>
        <v>25-26 Jul</v>
      </c>
      <c r="AD316" s="121">
        <f>IFERROR($M316+VLOOKUP($L316,'Voyage days'!$F$94:$H$193,3,FALSE),"")</f>
        <v>45863</v>
      </c>
      <c r="AE316" s="121">
        <f>IFERROR($N316+VLOOKUP($L316,'Voyage days'!$F$94:$H$193,3,FALSE),"")</f>
        <v>45864</v>
      </c>
      <c r="AF316" s="120" t="str">
        <f t="shared" si="43"/>
        <v>27-28 Jul</v>
      </c>
      <c r="AG316" s="121">
        <f>IFERROR($M316+VLOOKUP($L316,'Voyage days'!$F$203:$H$256,3,FALSE),"")</f>
        <v>45865</v>
      </c>
      <c r="AH316" s="121">
        <f>IFERROR($N316+VLOOKUP($L316,'Voyage days'!$F$203:$H$256,3,FALSE),"")</f>
        <v>45866</v>
      </c>
      <c r="AI316" s="120" t="str">
        <f t="shared" si="44"/>
        <v>12-13 Jul</v>
      </c>
      <c r="AJ316" s="121">
        <f>IFERROR($M316+VLOOKUP($L316,'Voyage days'!$F$294:$H$377,3,FALSE),"")</f>
        <v>45850</v>
      </c>
      <c r="AK316" s="121">
        <f>IFERROR($N316+VLOOKUP($L316,'Voyage days'!$F$294:$H$377,3,FALSE),"")</f>
        <v>45851</v>
      </c>
      <c r="AL316" s="120" t="str">
        <f t="shared" si="45"/>
        <v>18-19 Jul</v>
      </c>
      <c r="AM316" s="121">
        <f>IFERROR($M316+VLOOKUP($L316,'Voyage days'!$F$382:$H$446,3,FALSE),"")</f>
        <v>45856</v>
      </c>
      <c r="AN316" s="121">
        <f>IFERROR($N316+VLOOKUP($L316,'Voyage days'!$F$382:$H$446,3,FALSE),"")</f>
        <v>45857</v>
      </c>
      <c r="AO316" s="120" t="str">
        <f t="shared" si="46"/>
        <v>30-01 Jul</v>
      </c>
      <c r="AP316" s="121">
        <f>IFERROR($M316+VLOOKUP($L316,'Voyage days'!$F$483:$H$538,3,FALSE),"")</f>
        <v>45838</v>
      </c>
      <c r="AQ316" s="121">
        <f>IFERROR($N316+VLOOKUP($L316,'Voyage days'!$F$483:$H$538,3,FALSE),"")</f>
        <v>45839</v>
      </c>
      <c r="AR316" s="120" t="str">
        <f t="shared" si="47"/>
        <v>24-25 Jun</v>
      </c>
      <c r="AS316" s="121">
        <f>IFERROR($M316+VLOOKUP($L316,'Voyage days'!$F$540:$H$613,3,FALSE),"")</f>
        <v>45832.25</v>
      </c>
      <c r="AT316" s="121">
        <f>IFERROR($N316+VLOOKUP($L316,'Voyage days'!$F$540:$H$613,3,FALSE),"")</f>
        <v>45833.25</v>
      </c>
      <c r="AU316" s="120" t="str">
        <f t="shared" si="48"/>
        <v/>
      </c>
      <c r="AV316" s="121" t="str">
        <f>IFERROR($M316+VLOOKUP($L316,'Voyage days'!$L$483:$N$535,3,FALSE),"")</f>
        <v/>
      </c>
      <c r="AW316" s="121" t="str">
        <f>IFERROR($N316+VLOOKUP($L316,'Voyage days'!$L$483:$N$535,3,FALSE),"")</f>
        <v/>
      </c>
      <c r="AX316" s="120" t="str">
        <f t="shared" si="49"/>
        <v/>
      </c>
      <c r="AY316" s="122" t="str">
        <f>IFERROR($M316+VLOOKUP($L316,'Voyage days'!$F$620:$H$646,3,FALSE),"")</f>
        <v/>
      </c>
      <c r="AZ316" s="122" t="str">
        <f>IFERROR($N316+VLOOKUP($L316,'Voyage days'!$F$620:$H$646,3,FALSE),"")</f>
        <v/>
      </c>
      <c r="BA316" s="120" t="str">
        <f t="shared" si="50"/>
        <v>24-29 Jul</v>
      </c>
      <c r="BB316" s="123">
        <f>IFERROR($M316+VLOOKUP($L316,'Voyage days'!$F$702:$H$727,3,FALSE),"")</f>
        <v>45832.25</v>
      </c>
      <c r="BC316" s="120" t="str">
        <f t="shared" si="51"/>
        <v>28-29 Jul</v>
      </c>
      <c r="BD316" s="122">
        <f>IFERROR($M316+VLOOKUP($L316,'Voyage days'!$F$807:$H$878,3,FALSE),"")</f>
        <v>45866</v>
      </c>
      <c r="BE316" s="122">
        <f>IFERROR($N316+VLOOKUP($L316,'Voyage days'!$F$807:$H$878,3,FALSE),"")</f>
        <v>45867</v>
      </c>
      <c r="BF316" s="609"/>
      <c r="BG316" s="609"/>
      <c r="BH316" s="609"/>
      <c r="BI316" s="609"/>
      <c r="BJ316" s="609"/>
      <c r="BK316" s="609"/>
      <c r="BL316" s="609"/>
      <c r="BM316" s="609"/>
    </row>
    <row r="317" ht="15.75" customHeight="1">
      <c r="A317" s="341" t="s">
        <v>326</v>
      </c>
      <c r="B317" s="148">
        <v>2021.0</v>
      </c>
      <c r="C317" s="1045">
        <v>86000.0</v>
      </c>
      <c r="D317" s="104" t="s">
        <v>1687</v>
      </c>
      <c r="E317" s="103" t="s">
        <v>666</v>
      </c>
      <c r="F317" s="604"/>
      <c r="G317" s="605">
        <v>48061.0</v>
      </c>
      <c r="H317" s="103"/>
      <c r="I317" s="185" t="s">
        <v>1280</v>
      </c>
      <c r="J317" s="185" t="s">
        <v>942</v>
      </c>
      <c r="K317" s="336" t="str">
        <f t="shared" si="53"/>
        <v>Update</v>
      </c>
      <c r="L317" s="108" t="s">
        <v>656</v>
      </c>
      <c r="M317" s="109">
        <v>45802.0</v>
      </c>
      <c r="N317" s="109">
        <v>45804.0</v>
      </c>
      <c r="O317" s="110"/>
      <c r="P317" s="185"/>
      <c r="Q317" s="333"/>
      <c r="R317" s="108" t="s">
        <v>3256</v>
      </c>
      <c r="S317" s="112" t="s">
        <v>934</v>
      </c>
      <c r="T317" s="113">
        <v>45774.0</v>
      </c>
      <c r="U317" s="114" t="str">
        <f>IF(V317="","No AIS",VLOOKUP(V317,'Voyage days'!$A$3:$B$1480,2,FALSE))</f>
        <v>North China +4</v>
      </c>
      <c r="V317" s="115" t="str">
        <f>IF(VLOOKUP(A317,'1) Kpler'!$E$2:$P$1000,8, FALSE)="","",VLOOKUP(A317,'1) Kpler'!$E$2:$P$1000,8, FALSE))</f>
        <v>Wanhua Yantai NGL Terminal</v>
      </c>
      <c r="W317" s="116">
        <f>IF(VLOOKUP(A317,'1) Kpler'!$E$2:$P$1000,9,FALSE)="","",VLOOKUP(A317,'1) Kpler'!$E$2:$P$1000,9,FALSE))</f>
        <v>46154.54167</v>
      </c>
      <c r="X317" s="115" t="str">
        <f>VLOOKUP(A317,'1) Kpler'!$E$2:$I$1000,4,FALSE)</f>
        <v>loaded</v>
      </c>
      <c r="Y317" s="160" t="str">
        <f t="shared" si="40"/>
        <v>12-14 Jun</v>
      </c>
      <c r="Z317" s="120" t="str">
        <f t="shared" si="41"/>
        <v>12-14 Jun</v>
      </c>
      <c r="AA317" s="121">
        <f>IFERROR($M317+VLOOKUP($L317,'Voyage days'!$F$38:$H$89,3,FALSE),"")</f>
        <v>45820</v>
      </c>
      <c r="AB317" s="121">
        <f>IFERROR(N317+VLOOKUP($L317,'Voyage days'!$F$38:$H$89,3,FALSE),"")</f>
        <v>45822</v>
      </c>
      <c r="AC317" s="120" t="str">
        <f t="shared" si="42"/>
        <v>25-27 Jun</v>
      </c>
      <c r="AD317" s="121">
        <f>IFERROR($M317+VLOOKUP($L317,'Voyage days'!$F$94:$H$193,3,FALSE),"")</f>
        <v>45833</v>
      </c>
      <c r="AE317" s="121">
        <f>IFERROR($N317+VLOOKUP($L317,'Voyage days'!$F$94:$H$193,3,FALSE),"")</f>
        <v>45835</v>
      </c>
      <c r="AF317" s="120" t="str">
        <f t="shared" si="43"/>
        <v>02-04 Jul</v>
      </c>
      <c r="AG317" s="121">
        <f>IFERROR($M317+VLOOKUP($L317,'Voyage days'!$F$203:$H$256,3,FALSE),"")</f>
        <v>45840</v>
      </c>
      <c r="AH317" s="121">
        <f>IFERROR($N317+VLOOKUP($L317,'Voyage days'!$F$203:$H$256,3,FALSE),"")</f>
        <v>45842</v>
      </c>
      <c r="AI317" s="120" t="str">
        <f t="shared" si="44"/>
        <v>24-26 Jun</v>
      </c>
      <c r="AJ317" s="121">
        <f>IFERROR($M317+VLOOKUP($L317,'Voyage days'!$F$294:$H$377,3,FALSE),"")</f>
        <v>45832</v>
      </c>
      <c r="AK317" s="121">
        <f>IFERROR($N317+VLOOKUP($L317,'Voyage days'!$F$294:$H$377,3,FALSE),"")</f>
        <v>45834</v>
      </c>
      <c r="AL317" s="120" t="str">
        <f t="shared" si="45"/>
        <v>30-02 Jul</v>
      </c>
      <c r="AM317" s="121">
        <f>IFERROR($M317+VLOOKUP($L317,'Voyage days'!$F$382:$H$446,3,FALSE),"")</f>
        <v>45838</v>
      </c>
      <c r="AN317" s="121">
        <f>IFERROR($N317+VLOOKUP($L317,'Voyage days'!$F$382:$H$446,3,FALSE),"")</f>
        <v>45840</v>
      </c>
      <c r="AO317" s="120" t="str">
        <f t="shared" si="46"/>
        <v>07-09 Jun</v>
      </c>
      <c r="AP317" s="121">
        <f>IFERROR($M317+VLOOKUP($L317,'Voyage days'!$F$483:$H$538,3,FALSE),"")</f>
        <v>45815</v>
      </c>
      <c r="AQ317" s="121">
        <f>IFERROR($N317+VLOOKUP($L317,'Voyage days'!$F$483:$H$538,3,FALSE),"")</f>
        <v>45817</v>
      </c>
      <c r="AR317" s="120" t="str">
        <f t="shared" si="47"/>
        <v>02-04 Jun</v>
      </c>
      <c r="AS317" s="121">
        <f>IFERROR($M317+VLOOKUP($L317,'Voyage days'!$F$540:$H$613,3,FALSE),"")</f>
        <v>45810.25</v>
      </c>
      <c r="AT317" s="121">
        <f>IFERROR($N317+VLOOKUP($L317,'Voyage days'!$F$540:$H$613,3,FALSE),"")</f>
        <v>45812.25</v>
      </c>
      <c r="AU317" s="120" t="str">
        <f t="shared" si="48"/>
        <v/>
      </c>
      <c r="AV317" s="121" t="str">
        <f>IFERROR($M317+VLOOKUP($L317,'Voyage days'!$L$483:$N$535,3,FALSE),"")</f>
        <v/>
      </c>
      <c r="AW317" s="121" t="str">
        <f>IFERROR($N317+VLOOKUP($L317,'Voyage days'!$L$483:$N$535,3,FALSE),"")</f>
        <v/>
      </c>
      <c r="AX317" s="120" t="str">
        <f t="shared" si="49"/>
        <v>05-07 Jun</v>
      </c>
      <c r="AY317" s="122">
        <f>IFERROR($M317+VLOOKUP($L317,'Voyage days'!$F$620:$H$646,3,FALSE),"")</f>
        <v>45813</v>
      </c>
      <c r="AZ317" s="122">
        <f>IFERROR($N317+VLOOKUP($L317,'Voyage days'!$F$620:$H$646,3,FALSE),"")</f>
        <v>45815</v>
      </c>
      <c r="BA317" s="120" t="str">
        <f t="shared" si="50"/>
        <v>02-12 Jul</v>
      </c>
      <c r="BB317" s="123">
        <f>IFERROR($M317+VLOOKUP($L317,'Voyage days'!$F$702:$H$727,3,FALSE),"")</f>
        <v>45810.25</v>
      </c>
      <c r="BC317" s="120" t="str">
        <f t="shared" si="51"/>
        <v>10-12 Jul</v>
      </c>
      <c r="BD317" s="122">
        <f>IFERROR($M317+VLOOKUP($L317,'Voyage days'!$F$807:$H$878,3,FALSE),"")</f>
        <v>45848</v>
      </c>
      <c r="BE317" s="122">
        <f>IFERROR($N317+VLOOKUP($L317,'Voyage days'!$F$807:$H$878,3,FALSE),"")</f>
        <v>45850</v>
      </c>
      <c r="BF317" s="609"/>
      <c r="BG317" s="609"/>
      <c r="BH317" s="609"/>
      <c r="BI317" s="609"/>
      <c r="BJ317" s="609"/>
      <c r="BK317" s="609"/>
      <c r="BL317" s="609"/>
      <c r="BM317" s="609"/>
    </row>
    <row r="318" ht="15.75" customHeight="1">
      <c r="A318" s="80" t="s">
        <v>476</v>
      </c>
      <c r="B318" s="101">
        <v>42583.0</v>
      </c>
      <c r="C318" s="1045">
        <v>84000.0</v>
      </c>
      <c r="D318" s="104" t="s">
        <v>1687</v>
      </c>
      <c r="E318" s="103"/>
      <c r="F318" s="604">
        <v>44409.0</v>
      </c>
      <c r="G318" s="605">
        <v>46023.0</v>
      </c>
      <c r="H318" s="1130"/>
      <c r="I318" s="185" t="s">
        <v>1280</v>
      </c>
      <c r="J318" s="185" t="s">
        <v>942</v>
      </c>
      <c r="K318" s="336" t="str">
        <f t="shared" si="53"/>
        <v>Update</v>
      </c>
      <c r="L318" s="108" t="s">
        <v>2463</v>
      </c>
      <c r="M318" s="109">
        <v>45797.0</v>
      </c>
      <c r="N318" s="109">
        <v>45798.0</v>
      </c>
      <c r="O318" s="110"/>
      <c r="P318" s="108"/>
      <c r="Q318" s="185"/>
      <c r="R318" s="185"/>
      <c r="S318" s="112" t="s">
        <v>934</v>
      </c>
      <c r="T318" s="113">
        <v>45774.0</v>
      </c>
      <c r="U318" s="114" t="str">
        <f>IF(V318="","No AIS",VLOOKUP(V318,'Voyage days'!$A$3:$B$1480,2,FALSE))</f>
        <v>Panama</v>
      </c>
      <c r="V318" s="115" t="str">
        <f>IF(VLOOKUP(A318,'1) Kpler'!$E$2:$P$1000,8, FALSE)="","",VLOOKUP(A318,'1) Kpler'!$E$2:$P$1000,8, FALSE))</f>
        <v>Panama Canal</v>
      </c>
      <c r="W318" s="116">
        <f>IF(VLOOKUP(A318,'1) Kpler'!$E$2:$P$1000,9,FALSE)="","",VLOOKUP(A318,'1) Kpler'!$E$2:$P$1000,9,FALSE))</f>
        <v>46146.25</v>
      </c>
      <c r="X318" s="115" t="str">
        <f>VLOOKUP(A318,'1) Kpler'!$E$2:$I$1000,4,FALSE)</f>
        <v>ballast</v>
      </c>
      <c r="Y318" s="117" t="str">
        <f t="shared" si="40"/>
        <v/>
      </c>
      <c r="Z318" s="120" t="str">
        <f t="shared" si="41"/>
        <v/>
      </c>
      <c r="AA318" s="121" t="str">
        <f>IFERROR($M318+VLOOKUP($L318,'Voyage days'!$F$38:$H$89,3,FALSE),"")</f>
        <v/>
      </c>
      <c r="AB318" s="121" t="str">
        <f>IFERROR(N318+VLOOKUP($L318,'Voyage days'!$F$38:$H$89,3,FALSE),"")</f>
        <v/>
      </c>
      <c r="AC318" s="120" t="str">
        <f t="shared" si="42"/>
        <v/>
      </c>
      <c r="AD318" s="121" t="str">
        <f>IFERROR($M318+VLOOKUP($L318,'Voyage days'!$F$94:$H$193,3,FALSE),"")</f>
        <v/>
      </c>
      <c r="AE318" s="121" t="str">
        <f>IFERROR($N318+VLOOKUP($L318,'Voyage days'!$F$94:$H$193,3,FALSE),"")</f>
        <v/>
      </c>
      <c r="AF318" s="120" t="str">
        <f t="shared" si="43"/>
        <v/>
      </c>
      <c r="AG318" s="121" t="str">
        <f>IFERROR($M318+VLOOKUP($L318,'Voyage days'!$F$203:$H$256,3,FALSE),"")</f>
        <v/>
      </c>
      <c r="AH318" s="121" t="str">
        <f>IFERROR($N318+VLOOKUP($L318,'Voyage days'!$F$203:$H$256,3,FALSE),"")</f>
        <v/>
      </c>
      <c r="AI318" s="120" t="str">
        <f t="shared" si="44"/>
        <v/>
      </c>
      <c r="AJ318" s="121" t="str">
        <f>IFERROR($M318+VLOOKUP($L318,'Voyage days'!$F$294:$H$377,3,FALSE),"")</f>
        <v/>
      </c>
      <c r="AK318" s="121" t="str">
        <f>IFERROR($N318+VLOOKUP($L318,'Voyage days'!$F$294:$H$377,3,FALSE),"")</f>
        <v/>
      </c>
      <c r="AL318" s="120" t="str">
        <f t="shared" si="45"/>
        <v/>
      </c>
      <c r="AM318" s="121" t="str">
        <f>IFERROR($M318+VLOOKUP($L318,'Voyage days'!$F$382:$H$446,3,FALSE),"")</f>
        <v/>
      </c>
      <c r="AN318" s="121" t="str">
        <f>IFERROR($N318+VLOOKUP($L318,'Voyage days'!$F$382:$H$446,3,FALSE),"")</f>
        <v/>
      </c>
      <c r="AO318" s="120" t="str">
        <f t="shared" si="46"/>
        <v/>
      </c>
      <c r="AP318" s="121" t="str">
        <f>IFERROR($M318+VLOOKUP($L318,'Voyage days'!$F$483:$H$538,3,FALSE),"")</f>
        <v/>
      </c>
      <c r="AQ318" s="121" t="str">
        <f>IFERROR($N318+VLOOKUP($L318,'Voyage days'!$F$483:$H$538,3,FALSE),"")</f>
        <v/>
      </c>
      <c r="AR318" s="120" t="str">
        <f t="shared" si="47"/>
        <v/>
      </c>
      <c r="AS318" s="121" t="str">
        <f>IFERROR($M318+VLOOKUP($L318,'Voyage days'!$F$540:$H$613,3,FALSE),"")</f>
        <v/>
      </c>
      <c r="AT318" s="121" t="str">
        <f>IFERROR($N318+VLOOKUP($L318,'Voyage days'!$F$540:$H$613,3,FALSE),"")</f>
        <v/>
      </c>
      <c r="AU318" s="120" t="str">
        <f t="shared" si="48"/>
        <v/>
      </c>
      <c r="AV318" s="121" t="str">
        <f>IFERROR($M318+VLOOKUP($L318,'Voyage days'!$L$483:$N$535,3,FALSE),"")</f>
        <v/>
      </c>
      <c r="AW318" s="121" t="str">
        <f>IFERROR($N318+VLOOKUP($L318,'Voyage days'!$L$483:$N$535,3,FALSE),"")</f>
        <v/>
      </c>
      <c r="AX318" s="120" t="str">
        <f t="shared" si="49"/>
        <v/>
      </c>
      <c r="AY318" s="122" t="str">
        <f>IFERROR($M318+VLOOKUP($L318,'Voyage days'!$F$620:$H$646,3,FALSE),"")</f>
        <v/>
      </c>
      <c r="AZ318" s="122" t="str">
        <f>IFERROR($N318+VLOOKUP($L318,'Voyage days'!$F$620:$H$646,3,FALSE),"")</f>
        <v/>
      </c>
      <c r="BA318" s="120" t="str">
        <f t="shared" si="50"/>
        <v/>
      </c>
      <c r="BB318" s="123" t="str">
        <f>IFERROR($M318+VLOOKUP($L318,'Voyage days'!$F$702:$H$727,3,FALSE),"")</f>
        <v/>
      </c>
      <c r="BC318" s="120" t="str">
        <f t="shared" si="51"/>
        <v/>
      </c>
      <c r="BD318" s="122" t="str">
        <f>IFERROR($M318+VLOOKUP($L318,'Voyage days'!$F$807:$H$878,3,FALSE),"")</f>
        <v/>
      </c>
      <c r="BE318" s="122" t="str">
        <f>IFERROR($N318+VLOOKUP($L318,'Voyage days'!$F$807:$H$878,3,FALSE),"")</f>
        <v/>
      </c>
      <c r="BF318" s="609"/>
      <c r="BG318" s="609"/>
      <c r="BH318" s="609"/>
      <c r="BI318" s="609"/>
      <c r="BJ318" s="609"/>
      <c r="BK318" s="609"/>
      <c r="BL318" s="609"/>
      <c r="BM318" s="609"/>
    </row>
    <row r="319" ht="15.75" customHeight="1">
      <c r="A319" s="341" t="s">
        <v>480</v>
      </c>
      <c r="B319" s="101">
        <v>42937.0</v>
      </c>
      <c r="C319" s="1045">
        <v>84000.0</v>
      </c>
      <c r="D319" s="104" t="s">
        <v>1687</v>
      </c>
      <c r="E319" s="103"/>
      <c r="F319" s="604"/>
      <c r="G319" s="605">
        <v>47119.0</v>
      </c>
      <c r="H319" s="1130"/>
      <c r="I319" s="185" t="s">
        <v>1280</v>
      </c>
      <c r="J319" s="185" t="s">
        <v>1326</v>
      </c>
      <c r="K319" s="336" t="str">
        <f t="shared" si="53"/>
        <v>Update</v>
      </c>
      <c r="L319" s="108" t="s">
        <v>963</v>
      </c>
      <c r="M319" s="109">
        <v>45799.0</v>
      </c>
      <c r="N319" s="109">
        <v>45800.0</v>
      </c>
      <c r="O319" s="110"/>
      <c r="P319" s="333"/>
      <c r="Q319" s="111"/>
      <c r="R319" s="185"/>
      <c r="S319" s="112" t="s">
        <v>934</v>
      </c>
      <c r="T319" s="113">
        <v>45774.0</v>
      </c>
      <c r="U319" s="114" t="str">
        <f>IF(V319="","No AIS",VLOOKUP(V319,'Voyage days'!$A$3:$B$1480,2,FALSE))</f>
        <v>North China +4</v>
      </c>
      <c r="V319" s="115" t="str">
        <f>IF(VLOOKUP(A319,'1) Kpler'!$E$2:$P$1000,8, FALSE)="","",VLOOKUP(A319,'1) Kpler'!$E$2:$P$1000,8, FALSE))</f>
        <v>Wanhua Yantai NGL Terminal</v>
      </c>
      <c r="W319" s="116">
        <f>IF(VLOOKUP(A319,'1) Kpler'!$E$2:$P$1000,9,FALSE)="","",VLOOKUP(A319,'1) Kpler'!$E$2:$P$1000,9,FALSE))</f>
        <v>46132.70833</v>
      </c>
      <c r="X319" s="115" t="str">
        <f>VLOOKUP(A319,'1) Kpler'!$E$2:$I$1000,4,FALSE)</f>
        <v>loaded</v>
      </c>
      <c r="Y319" s="160" t="str">
        <f t="shared" si="40"/>
        <v>09-10 Jun</v>
      </c>
      <c r="Z319" s="120" t="str">
        <f t="shared" si="41"/>
        <v>09-10 Jun</v>
      </c>
      <c r="AA319" s="121">
        <f>IFERROR($M319+VLOOKUP($L319,'Voyage days'!$F$38:$H$89,3,FALSE),"")</f>
        <v>45817</v>
      </c>
      <c r="AB319" s="121">
        <f>IFERROR(N319+VLOOKUP($L319,'Voyage days'!$F$38:$H$89,3,FALSE),"")</f>
        <v>45818</v>
      </c>
      <c r="AC319" s="120" t="str">
        <f t="shared" si="42"/>
        <v>24-25 Jun</v>
      </c>
      <c r="AD319" s="121">
        <f>IFERROR($M319+VLOOKUP($L319,'Voyage days'!$F$94:$H$193,3,FALSE),"")</f>
        <v>45832</v>
      </c>
      <c r="AE319" s="121">
        <f>IFERROR($N319+VLOOKUP($L319,'Voyage days'!$F$94:$H$193,3,FALSE),"")</f>
        <v>45833</v>
      </c>
      <c r="AF319" s="120" t="str">
        <f t="shared" si="43"/>
        <v>03-04 Jul</v>
      </c>
      <c r="AG319" s="121">
        <f>IFERROR($M319+VLOOKUP($L319,'Voyage days'!$F$203:$H$256,3,FALSE),"")</f>
        <v>45841</v>
      </c>
      <c r="AH319" s="121">
        <f>IFERROR($N319+VLOOKUP($L319,'Voyage days'!$F$203:$H$256,3,FALSE),"")</f>
        <v>45842</v>
      </c>
      <c r="AI319" s="120" t="str">
        <f t="shared" si="44"/>
        <v>20-21 Jun</v>
      </c>
      <c r="AJ319" s="121">
        <f>IFERROR($M319+VLOOKUP($L319,'Voyage days'!$F$294:$H$377,3,FALSE),"")</f>
        <v>45828</v>
      </c>
      <c r="AK319" s="121">
        <f>IFERROR($N319+VLOOKUP($L319,'Voyage days'!$F$294:$H$377,3,FALSE),"")</f>
        <v>45829</v>
      </c>
      <c r="AL319" s="120" t="str">
        <f t="shared" si="45"/>
        <v>26-27 Jun</v>
      </c>
      <c r="AM319" s="121">
        <f>IFERROR($M319+VLOOKUP($L319,'Voyage days'!$F$382:$H$446,3,FALSE),"")</f>
        <v>45834</v>
      </c>
      <c r="AN319" s="121">
        <f>IFERROR($N319+VLOOKUP($L319,'Voyage days'!$F$382:$H$446,3,FALSE),"")</f>
        <v>45835</v>
      </c>
      <c r="AO319" s="120" t="str">
        <f t="shared" si="46"/>
        <v>06-07 Jun</v>
      </c>
      <c r="AP319" s="121">
        <f>IFERROR($M319+VLOOKUP($L319,'Voyage days'!$F$483:$H$538,3,FALSE),"")</f>
        <v>45814</v>
      </c>
      <c r="AQ319" s="121">
        <f>IFERROR($N319+VLOOKUP($L319,'Voyage days'!$F$483:$H$538,3,FALSE),"")</f>
        <v>45815</v>
      </c>
      <c r="AR319" s="120" t="str">
        <f t="shared" si="47"/>
        <v>31-01 Jun</v>
      </c>
      <c r="AS319" s="121">
        <f>IFERROR($M319+VLOOKUP($L319,'Voyage days'!$F$540:$H$613,3,FALSE),"")</f>
        <v>45808</v>
      </c>
      <c r="AT319" s="121">
        <f>IFERROR($N319+VLOOKUP($L319,'Voyage days'!$F$540:$H$613,3,FALSE),"")</f>
        <v>45809</v>
      </c>
      <c r="AU319" s="120" t="str">
        <f t="shared" si="48"/>
        <v/>
      </c>
      <c r="AV319" s="121" t="str">
        <f>IFERROR($M319+VLOOKUP($L319,'Voyage days'!$L$483:$N$535,3,FALSE),"")</f>
        <v/>
      </c>
      <c r="AW319" s="121" t="str">
        <f>IFERROR($N319+VLOOKUP($L319,'Voyage days'!$L$483:$N$535,3,FALSE),"")</f>
        <v/>
      </c>
      <c r="AX319" s="120" t="str">
        <f t="shared" si="49"/>
        <v>04-05 Jun</v>
      </c>
      <c r="AY319" s="122">
        <f>IFERROR($M319+VLOOKUP($L319,'Voyage days'!$F$620:$H$646,3,FALSE),"")</f>
        <v>45812</v>
      </c>
      <c r="AZ319" s="122">
        <f>IFERROR($N319+VLOOKUP($L319,'Voyage days'!$F$620:$H$646,3,FALSE),"")</f>
        <v>45813</v>
      </c>
      <c r="BA319" s="120" t="str">
        <f t="shared" si="50"/>
        <v>31-08 Jul</v>
      </c>
      <c r="BB319" s="123">
        <f>IFERROR($M319+VLOOKUP($L319,'Voyage days'!$F$702:$H$727,3,FALSE),"")</f>
        <v>45808</v>
      </c>
      <c r="BC319" s="120" t="str">
        <f t="shared" si="51"/>
        <v>07-08 Jul</v>
      </c>
      <c r="BD319" s="122">
        <f>IFERROR($M319+VLOOKUP($L319,'Voyage days'!$F$807:$H$878,3,FALSE),"")</f>
        <v>45845</v>
      </c>
      <c r="BE319" s="122">
        <f>IFERROR($N319+VLOOKUP($L319,'Voyage days'!$F$807:$H$878,3,FALSE),"")</f>
        <v>45846</v>
      </c>
      <c r="BF319" s="609"/>
      <c r="BG319" s="609"/>
      <c r="BH319" s="609"/>
      <c r="BI319" s="609"/>
      <c r="BJ319" s="609"/>
      <c r="BK319" s="609"/>
      <c r="BL319" s="609"/>
      <c r="BM319" s="609"/>
    </row>
    <row r="320" ht="15.75" customHeight="1">
      <c r="A320" s="80" t="s">
        <v>508</v>
      </c>
      <c r="B320" s="148">
        <v>2022.0</v>
      </c>
      <c r="C320" s="1045">
        <v>86000.0</v>
      </c>
      <c r="D320" s="104" t="s">
        <v>1687</v>
      </c>
      <c r="E320" s="103" t="s">
        <v>666</v>
      </c>
      <c r="F320" s="604"/>
      <c r="G320" s="605"/>
      <c r="H320" s="103"/>
      <c r="I320" s="185" t="s">
        <v>1280</v>
      </c>
      <c r="J320" s="185"/>
      <c r="K320" s="336" t="str">
        <f t="shared" si="53"/>
        <v>Update</v>
      </c>
      <c r="L320" s="108" t="s">
        <v>1031</v>
      </c>
      <c r="M320" s="109">
        <v>45789.0</v>
      </c>
      <c r="N320" s="109">
        <v>45790.0</v>
      </c>
      <c r="O320" s="191"/>
      <c r="P320" s="185"/>
      <c r="Q320" s="185"/>
      <c r="R320" s="108" t="s">
        <v>3257</v>
      </c>
      <c r="S320" s="112" t="s">
        <v>934</v>
      </c>
      <c r="T320" s="113">
        <v>45774.0</v>
      </c>
      <c r="U320" s="114" t="str">
        <f>IF(V320="","No AIS",VLOOKUP(V320,'Voyage days'!$A$3:$B$1480,2,FALSE))</f>
        <v>AG</v>
      </c>
      <c r="V320" s="115" t="str">
        <f>IF(VLOOKUP(A320,'1) Kpler'!$E$2:$P$1000,8, FALSE)="","",VLOOKUP(A320,'1) Kpler'!$E$2:$P$1000,8, FALSE))</f>
        <v>Fujairah</v>
      </c>
      <c r="W320" s="116">
        <f>IF(VLOOKUP(A320,'1) Kpler'!$E$2:$P$1000,9,FALSE)="","",VLOOKUP(A320,'1) Kpler'!$E$2:$P$1000,9,FALSE))</f>
        <v>46132.75</v>
      </c>
      <c r="X320" s="115" t="str">
        <f>VLOOKUP(A320,'1) Kpler'!$E$2:$I$1000,4,FALSE)</f>
        <v>ballast</v>
      </c>
      <c r="Y320" s="117" t="str">
        <f t="shared" si="40"/>
        <v>12-13 May</v>
      </c>
      <c r="Z320" s="120" t="str">
        <f t="shared" si="41"/>
        <v>12-13 May</v>
      </c>
      <c r="AA320" s="121">
        <f>IFERROR($M320+VLOOKUP($L320,'Voyage days'!$F$38:$H$89,3,FALSE),"")</f>
        <v>45789</v>
      </c>
      <c r="AB320" s="121">
        <f>IFERROR(N320+VLOOKUP($L320,'Voyage days'!$F$38:$H$89,3,FALSE),"")</f>
        <v>45790</v>
      </c>
      <c r="AC320" s="120" t="str">
        <f t="shared" si="42"/>
        <v/>
      </c>
      <c r="AD320" s="121" t="str">
        <f>IFERROR($M320+VLOOKUP($L320,'Voyage days'!$F$94:$H$193,3,FALSE),"")</f>
        <v/>
      </c>
      <c r="AE320" s="121" t="str">
        <f>IFERROR($N320+VLOOKUP($L320,'Voyage days'!$F$94:$H$193,3,FALSE),"")</f>
        <v/>
      </c>
      <c r="AF320" s="120" t="str">
        <f t="shared" si="43"/>
        <v/>
      </c>
      <c r="AG320" s="121" t="str">
        <f>IFERROR($M320+VLOOKUP($L320,'Voyage days'!$F$203:$H$256,3,FALSE),"")</f>
        <v/>
      </c>
      <c r="AH320" s="121" t="str">
        <f>IFERROR($N320+VLOOKUP($L320,'Voyage days'!$F$203:$H$256,3,FALSE),"")</f>
        <v/>
      </c>
      <c r="AI320" s="120" t="str">
        <f t="shared" si="44"/>
        <v/>
      </c>
      <c r="AJ320" s="121" t="str">
        <f>IFERROR($M320+VLOOKUP($L320,'Voyage days'!$F$294:$H$377,3,FALSE),"")</f>
        <v/>
      </c>
      <c r="AK320" s="121" t="str">
        <f>IFERROR($N320+VLOOKUP($L320,'Voyage days'!$F$294:$H$377,3,FALSE),"")</f>
        <v/>
      </c>
      <c r="AL320" s="120" t="str">
        <f t="shared" si="45"/>
        <v/>
      </c>
      <c r="AM320" s="121" t="str">
        <f>IFERROR($M320+VLOOKUP($L320,'Voyage days'!$F$382:$H$446,3,FALSE),"")</f>
        <v/>
      </c>
      <c r="AN320" s="121" t="str">
        <f>IFERROR($N320+VLOOKUP($L320,'Voyage days'!$F$382:$H$446,3,FALSE),"")</f>
        <v/>
      </c>
      <c r="AO320" s="120" t="str">
        <f t="shared" si="46"/>
        <v/>
      </c>
      <c r="AP320" s="121" t="str">
        <f>IFERROR($M320+VLOOKUP($L320,'Voyage days'!$F$483:$H$538,3,FALSE),"")</f>
        <v/>
      </c>
      <c r="AQ320" s="121" t="str">
        <f>IFERROR($N320+VLOOKUP($L320,'Voyage days'!$F$483:$H$538,3,FALSE),"")</f>
        <v/>
      </c>
      <c r="AR320" s="120" t="str">
        <f t="shared" si="47"/>
        <v>31-01 Jun</v>
      </c>
      <c r="AS320" s="121">
        <f>IFERROR($M320+VLOOKUP($L320,'Voyage days'!$F$540:$H$613,3,FALSE),"")</f>
        <v>45808</v>
      </c>
      <c r="AT320" s="121">
        <f>IFERROR($N320+VLOOKUP($L320,'Voyage days'!$F$540:$H$613,3,FALSE),"")</f>
        <v>45809</v>
      </c>
      <c r="AU320" s="120" t="str">
        <f t="shared" si="48"/>
        <v/>
      </c>
      <c r="AV320" s="121" t="str">
        <f>IFERROR($M320+VLOOKUP($L320,'Voyage days'!$L$483:$N$535,3,FALSE),"")</f>
        <v/>
      </c>
      <c r="AW320" s="121" t="str">
        <f>IFERROR($N320+VLOOKUP($L320,'Voyage days'!$L$483:$N$535,3,FALSE),"")</f>
        <v/>
      </c>
      <c r="AX320" s="120" t="str">
        <f t="shared" si="49"/>
        <v/>
      </c>
      <c r="AY320" s="122" t="str">
        <f>IFERROR($M320+VLOOKUP($L320,'Voyage days'!$F$620:$H$646,3,FALSE),"")</f>
        <v/>
      </c>
      <c r="AZ320" s="122" t="str">
        <f>IFERROR($N320+VLOOKUP($L320,'Voyage days'!$F$620:$H$646,3,FALSE),"")</f>
        <v/>
      </c>
      <c r="BA320" s="120" t="str">
        <f t="shared" si="50"/>
        <v/>
      </c>
      <c r="BB320" s="123" t="str">
        <f>IFERROR($M320+VLOOKUP($L320,'Voyage days'!$F$702:$H$727,3,FALSE),"")</f>
        <v/>
      </c>
      <c r="BC320" s="120" t="str">
        <f t="shared" si="51"/>
        <v>12-13 May</v>
      </c>
      <c r="BD320" s="122">
        <f>IFERROR($M320+VLOOKUP($L320,'Voyage days'!$F$807:$H$878,3,FALSE),"")</f>
        <v>45789</v>
      </c>
      <c r="BE320" s="122">
        <f>IFERROR($N320+VLOOKUP($L320,'Voyage days'!$F$807:$H$878,3,FALSE),"")</f>
        <v>45790</v>
      </c>
      <c r="BF320" s="609"/>
      <c r="BG320" s="609"/>
      <c r="BH320" s="609"/>
      <c r="BI320" s="609"/>
      <c r="BJ320" s="609"/>
      <c r="BK320" s="609"/>
      <c r="BL320" s="609"/>
      <c r="BM320" s="609"/>
    </row>
    <row r="321" ht="15.75" customHeight="1">
      <c r="A321" s="546" t="s">
        <v>584</v>
      </c>
      <c r="B321" s="165">
        <v>2022.0</v>
      </c>
      <c r="C321" s="1101">
        <v>86000.0</v>
      </c>
      <c r="D321" s="168" t="s">
        <v>1687</v>
      </c>
      <c r="E321" s="223" t="s">
        <v>666</v>
      </c>
      <c r="F321" s="1010"/>
      <c r="G321" s="223" t="s">
        <v>1611</v>
      </c>
      <c r="H321" s="223"/>
      <c r="I321" s="463" t="s">
        <v>1280</v>
      </c>
      <c r="J321" s="463"/>
      <c r="K321" s="336" t="str">
        <f t="shared" si="53"/>
        <v>Update</v>
      </c>
      <c r="L321" s="172" t="s">
        <v>1031</v>
      </c>
      <c r="M321" s="109">
        <v>45797.0</v>
      </c>
      <c r="N321" s="109">
        <v>45798.0</v>
      </c>
      <c r="O321" s="226"/>
      <c r="P321" s="172"/>
      <c r="Q321" s="172"/>
      <c r="R321" s="172" t="s">
        <v>3258</v>
      </c>
      <c r="S321" s="112" t="s">
        <v>934</v>
      </c>
      <c r="T321" s="113">
        <v>45784.0</v>
      </c>
      <c r="U321" s="114" t="str">
        <f>IF(V321="","No AIS",VLOOKUP(V321,'Voyage days'!$A$3:$B$1480,2,FALSE))</f>
        <v>USG</v>
      </c>
      <c r="V321" s="115" t="str">
        <f>IF(VLOOKUP(A321,'1) Kpler'!$E$2:$P$1000,8, FALSE)="","",VLOOKUP(A321,'1) Kpler'!$E$2:$P$1000,8, FALSE))</f>
        <v>Energy Transfer Nederland</v>
      </c>
      <c r="W321" s="116">
        <f>IF(VLOOKUP(A321,'1) Kpler'!$E$2:$P$1000,9,FALSE)="","",VLOOKUP(A321,'1) Kpler'!$E$2:$P$1000,9,FALSE))</f>
        <v>46132.48681</v>
      </c>
      <c r="X321" s="115" t="str">
        <f>VLOOKUP(A321,'1) Kpler'!$E$2:$I$1000,4,FALSE)</f>
        <v>ballast</v>
      </c>
      <c r="Y321" s="160" t="str">
        <f t="shared" si="40"/>
        <v>20-21 May</v>
      </c>
      <c r="Z321" s="120" t="str">
        <f t="shared" si="41"/>
        <v>20-21 May</v>
      </c>
      <c r="AA321" s="121">
        <f>IFERROR($M321+VLOOKUP($L321,'Voyage days'!$F$38:$H$89,3,FALSE),"")</f>
        <v>45797</v>
      </c>
      <c r="AB321" s="121">
        <f>IFERROR(N321+VLOOKUP($L321,'Voyage days'!$F$38:$H$89,3,FALSE),"")</f>
        <v>45798</v>
      </c>
      <c r="AC321" s="120" t="str">
        <f t="shared" si="42"/>
        <v/>
      </c>
      <c r="AD321" s="121" t="str">
        <f>IFERROR($M321+VLOOKUP($L321,'Voyage days'!$F$94:$H$193,3,FALSE),"")</f>
        <v/>
      </c>
      <c r="AE321" s="121" t="str">
        <f>IFERROR($N321+VLOOKUP($L321,'Voyage days'!$F$94:$H$193,3,FALSE),"")</f>
        <v/>
      </c>
      <c r="AF321" s="120" t="str">
        <f t="shared" si="43"/>
        <v/>
      </c>
      <c r="AG321" s="121" t="str">
        <f>IFERROR($M321+VLOOKUP($L321,'Voyage days'!$F$203:$H$256,3,FALSE),"")</f>
        <v/>
      </c>
      <c r="AH321" s="121" t="str">
        <f>IFERROR($N321+VLOOKUP($L321,'Voyage days'!$F$203:$H$256,3,FALSE),"")</f>
        <v/>
      </c>
      <c r="AI321" s="120" t="str">
        <f t="shared" si="44"/>
        <v/>
      </c>
      <c r="AJ321" s="121" t="str">
        <f>IFERROR($M321+VLOOKUP($L321,'Voyage days'!$F$294:$H$377,3,FALSE),"")</f>
        <v/>
      </c>
      <c r="AK321" s="121" t="str">
        <f>IFERROR($N321+VLOOKUP($L321,'Voyage days'!$F$294:$H$377,3,FALSE),"")</f>
        <v/>
      </c>
      <c r="AL321" s="120" t="str">
        <f t="shared" si="45"/>
        <v/>
      </c>
      <c r="AM321" s="121" t="str">
        <f>IFERROR($M321+VLOOKUP($L321,'Voyage days'!$F$382:$H$446,3,FALSE),"")</f>
        <v/>
      </c>
      <c r="AN321" s="121" t="str">
        <f>IFERROR($N321+VLOOKUP($L321,'Voyage days'!$F$382:$H$446,3,FALSE),"")</f>
        <v/>
      </c>
      <c r="AO321" s="120" t="str">
        <f t="shared" si="46"/>
        <v/>
      </c>
      <c r="AP321" s="121" t="str">
        <f>IFERROR($M321+VLOOKUP($L321,'Voyage days'!$F$483:$H$538,3,FALSE),"")</f>
        <v/>
      </c>
      <c r="AQ321" s="121" t="str">
        <f>IFERROR($N321+VLOOKUP($L321,'Voyage days'!$F$483:$H$538,3,FALSE),"")</f>
        <v/>
      </c>
      <c r="AR321" s="120" t="str">
        <f t="shared" si="47"/>
        <v>08-09 Jun</v>
      </c>
      <c r="AS321" s="121">
        <f>IFERROR($M321+VLOOKUP($L321,'Voyage days'!$F$540:$H$613,3,FALSE),"")</f>
        <v>45816</v>
      </c>
      <c r="AT321" s="121">
        <f>IFERROR($N321+VLOOKUP($L321,'Voyage days'!$F$540:$H$613,3,FALSE),"")</f>
        <v>45817</v>
      </c>
      <c r="AU321" s="120" t="str">
        <f t="shared" si="48"/>
        <v/>
      </c>
      <c r="AV321" s="121" t="str">
        <f>IFERROR($M321+VLOOKUP($L321,'Voyage days'!$L$483:$N$535,3,FALSE),"")</f>
        <v/>
      </c>
      <c r="AW321" s="121" t="str">
        <f>IFERROR($N321+VLOOKUP($L321,'Voyage days'!$L$483:$N$535,3,FALSE),"")</f>
        <v/>
      </c>
      <c r="AX321" s="120" t="str">
        <f t="shared" si="49"/>
        <v/>
      </c>
      <c r="AY321" s="122" t="str">
        <f>IFERROR($M321+VLOOKUP($L321,'Voyage days'!$F$620:$H$646,3,FALSE),"")</f>
        <v/>
      </c>
      <c r="AZ321" s="122" t="str">
        <f>IFERROR($N321+VLOOKUP($L321,'Voyage days'!$F$620:$H$646,3,FALSE),"")</f>
        <v/>
      </c>
      <c r="BA321" s="120" t="str">
        <f t="shared" si="50"/>
        <v/>
      </c>
      <c r="BB321" s="123" t="str">
        <f>IFERROR($M321+VLOOKUP($L321,'Voyage days'!$F$702:$H$727,3,FALSE),"")</f>
        <v/>
      </c>
      <c r="BC321" s="120" t="str">
        <f t="shared" si="51"/>
        <v>20-21 May</v>
      </c>
      <c r="BD321" s="122">
        <f>IFERROR($M321+VLOOKUP($L321,'Voyage days'!$F$807:$H$878,3,FALSE),"")</f>
        <v>45797</v>
      </c>
      <c r="BE321" s="122">
        <f>IFERROR($N321+VLOOKUP($L321,'Voyage days'!$F$807:$H$878,3,FALSE),"")</f>
        <v>45798</v>
      </c>
      <c r="BF321" s="609"/>
      <c r="BG321" s="609"/>
      <c r="BH321" s="609"/>
      <c r="BI321" s="609"/>
      <c r="BJ321" s="609"/>
      <c r="BK321" s="609"/>
      <c r="BL321" s="609"/>
      <c r="BM321" s="609"/>
    </row>
    <row r="322" ht="15.75" customHeight="1">
      <c r="A322" s="1212"/>
      <c r="B322" s="1213" t="s">
        <v>1312</v>
      </c>
      <c r="C322" s="1214"/>
      <c r="D322" s="1215"/>
      <c r="E322" s="1216"/>
      <c r="F322" s="1217"/>
      <c r="G322" s="1216"/>
      <c r="H322" s="1217"/>
      <c r="I322" s="1218"/>
      <c r="J322" s="1218"/>
      <c r="K322" s="1219"/>
      <c r="L322" s="1218"/>
      <c r="M322" s="1220"/>
      <c r="N322" s="1220"/>
      <c r="O322" s="1221"/>
      <c r="P322" s="1218"/>
      <c r="Q322" s="1218"/>
      <c r="R322" s="1219"/>
      <c r="S322" s="1222" t="str">
        <f>IF(L322&lt;&gt;"",MID(INFO("DIRECTORY"),10,LEN(INFO("DIRECTORY"))-LEN(MID(INFO("DIRECTORY"),FIND("\",INFO("DIRECTORY"),10),1000))-LEN("C:\Users\")),IF(M322&lt;&gt;"",MID(INFO("DIRECTORY"),10,LEN(INFO("DIRECTORY"))-LEN(MID(INFO("DIRECTORY"),FIND("\",INFO("DIRECTORY"),10),1000))-LEN("C:\Users\")),IF(N322&lt;&gt;"",MID(INFO("DIRECTORY"),10,LEN(INFO("DIRECTORY"))-LEN(MID(INFO("DIRECTORY"),FIND("\",INFO("DIRECTORY"),10),1000))-LEN("C:\Users\")),IF(O322&lt;&gt;"",MID(INFO("DIRECTORY"),10,LEN(INFO("DIRECTORY"))-LEN(MID(INFO("DIRECTORY"),FIND("\",INFO("DIRECTORY"),10),1000))-LEN("C:\Users\")),IF(P322&lt;&gt;"",MID(INFO("DIRECTORY"),10,LEN(INFO("DIRECTORY"))-LEN(MID(INFO("DIRECTORY"),FIND("\",INFO("DIRECTORY"),10),1000))-LEN("C:\Users\")),IF(Q322&lt;&gt;"",NOW(),IF(R322&lt;&gt;"",MID(INFO("DIRECTORY"),10,LEN(INFO("DIRECTORY"))-LEN(MID(INFO("DIRECTORY"),FIND("\",INFO("DIRECTORY"),10),1000))-LEN("C:\Users\")),"")))))))</f>
        <v/>
      </c>
      <c r="T322" s="1223"/>
      <c r="U322" s="1223"/>
      <c r="V322" s="1223"/>
      <c r="W322" s="1224"/>
      <c r="X322" s="1225"/>
      <c r="Y322" s="1225"/>
      <c r="Z322" s="1225"/>
      <c r="AA322" s="1226" t="str">
        <f>IFERROR($M322+VLOOKUP($L322,'Voyage days'!$F$38:$H$89,3,FALSE),"")</f>
        <v/>
      </c>
      <c r="AB322" s="1226" t="str">
        <f>IFERROR(N322+VLOOKUP($L322,'Voyage days'!$F$38:$H$89,3,FALSE),"")</f>
        <v/>
      </c>
      <c r="AC322" s="1227" t="str">
        <f t="shared" si="42"/>
        <v/>
      </c>
      <c r="AD322" s="1226" t="str">
        <f>IFERROR($M322+VLOOKUP($L322,'Voyage days'!$F$94:$H$193,3,FALSE),"")</f>
        <v/>
      </c>
      <c r="AE322" s="1226" t="str">
        <f>IFERROR($N322+VLOOKUP($L322,'Voyage days'!$F$94:$H$193,3,FALSE),"")</f>
        <v/>
      </c>
      <c r="AF322" s="1227" t="str">
        <f t="shared" si="43"/>
        <v/>
      </c>
      <c r="AG322" s="1226" t="str">
        <f>IFERROR($M322+VLOOKUP($L322,'Voyage days'!$F$203:$H$256,3,FALSE),"")</f>
        <v/>
      </c>
      <c r="AH322" s="1226" t="str">
        <f>IFERROR($N322+VLOOKUP($L322,'Voyage days'!$F$203:$H$256,3,FALSE),"")</f>
        <v/>
      </c>
      <c r="AI322" s="1227" t="str">
        <f t="shared" si="44"/>
        <v/>
      </c>
      <c r="AJ322" s="1226" t="str">
        <f>IFERROR($M322+VLOOKUP($L322,'Voyage days'!$F$294:$H$377,3,FALSE),"")</f>
        <v/>
      </c>
      <c r="AK322" s="1226" t="str">
        <f>IFERROR($N322+VLOOKUP($L322,'Voyage days'!$F$294:$H$377,3,FALSE),"")</f>
        <v/>
      </c>
      <c r="AL322" s="1227" t="str">
        <f t="shared" si="45"/>
        <v/>
      </c>
      <c r="AM322" s="1226" t="str">
        <f>IFERROR($M322+VLOOKUP($L322,'Voyage days'!$F$382:$H$446,3,FALSE),"")</f>
        <v/>
      </c>
      <c r="AN322" s="1226" t="str">
        <f>IFERROR($N322+VLOOKUP($L322,'Voyage days'!$F$382:$H$446,3,FALSE),"")</f>
        <v/>
      </c>
      <c r="AO322" s="1227" t="str">
        <f t="shared" si="46"/>
        <v/>
      </c>
      <c r="AP322" s="1226" t="str">
        <f>IFERROR($M322+VLOOKUP($L322,'Voyage days'!$F$483:$H$538,3,FALSE),"")</f>
        <v/>
      </c>
      <c r="AQ322" s="1226" t="str">
        <f>IFERROR($N322+VLOOKUP($L322,'Voyage days'!$F$483:$H$538,3,FALSE),"")</f>
        <v/>
      </c>
      <c r="AR322" s="1227" t="str">
        <f t="shared" si="47"/>
        <v/>
      </c>
      <c r="AS322" s="1226" t="str">
        <f>IFERROR($M322+VLOOKUP($L322,'Voyage days'!$F$540:$H$613,3,FALSE),"")</f>
        <v/>
      </c>
      <c r="AT322" s="1226" t="str">
        <f>IFERROR($N322+VLOOKUP($L322,'Voyage days'!$F$540:$H$613,3,FALSE),"")</f>
        <v/>
      </c>
      <c r="AU322" s="1227" t="str">
        <f t="shared" si="48"/>
        <v/>
      </c>
      <c r="AV322" s="1226" t="str">
        <f>IFERROR($M322+VLOOKUP($L322,'Voyage days'!$L$483:$N$535,3,FALSE),"")</f>
        <v/>
      </c>
      <c r="AW322" s="1226" t="str">
        <f>IFERROR($N322+VLOOKUP($L322,'Voyage days'!$L$483:$N$535,3,FALSE),"")</f>
        <v/>
      </c>
      <c r="AX322" s="1227" t="str">
        <f t="shared" si="49"/>
        <v/>
      </c>
      <c r="AY322" s="650" t="str">
        <f>IFERROR($M322+VLOOKUP($L322,'Voyage days'!$F$620:$H$646,3,FALSE),"")</f>
        <v/>
      </c>
      <c r="AZ322" s="650" t="str">
        <f>IFERROR($N322+VLOOKUP($L322,'Voyage days'!$F$620:$H$646,3,FALSE),"")</f>
        <v/>
      </c>
      <c r="BA322" s="1227" t="str">
        <f t="shared" si="50"/>
        <v/>
      </c>
      <c r="BB322" s="652" t="str">
        <f>IFERROR($M322+VLOOKUP($L322,'Voyage days'!$F$702:$H$727,3,FALSE),"")</f>
        <v/>
      </c>
      <c r="BC322" s="120" t="str">
        <f t="shared" si="51"/>
        <v/>
      </c>
      <c r="BD322" s="122" t="str">
        <f>IFERROR($M322+VLOOKUP($L322,'Voyage days'!$F$807:$H$878,3,FALSE),"")</f>
        <v/>
      </c>
      <c r="BE322" s="122" t="str">
        <f>IFERROR($N322+VLOOKUP($L322,'Voyage days'!$F$807:$H$878,3,FALSE),"")</f>
        <v/>
      </c>
      <c r="BF322" s="609"/>
      <c r="BG322" s="609"/>
      <c r="BH322" s="609"/>
      <c r="BI322" s="609"/>
      <c r="BJ322" s="609"/>
      <c r="BK322" s="609"/>
      <c r="BL322" s="609"/>
      <c r="BM322" s="609"/>
    </row>
    <row r="323" ht="15.75" customHeight="1">
      <c r="A323" s="341" t="s">
        <v>301</v>
      </c>
      <c r="B323" s="202">
        <v>2018.0</v>
      </c>
      <c r="C323" s="1045">
        <v>84000.0</v>
      </c>
      <c r="D323" s="150" t="s">
        <v>1687</v>
      </c>
      <c r="E323" s="149" t="s">
        <v>666</v>
      </c>
      <c r="F323" s="1014"/>
      <c r="G323" s="1228">
        <v>45839.0</v>
      </c>
      <c r="H323" s="149"/>
      <c r="I323" s="157" t="s">
        <v>1313</v>
      </c>
      <c r="J323" s="157" t="s">
        <v>2984</v>
      </c>
      <c r="K323" s="470" t="str">
        <f t="shared" ref="K323:K385" si="54">IF(W323="","NO AIS",IF((W323-M323-1)&gt;0,"Update",""))</f>
        <v>Update</v>
      </c>
      <c r="L323" s="153" t="s">
        <v>680</v>
      </c>
      <c r="M323" s="238">
        <v>45827.0</v>
      </c>
      <c r="N323" s="238">
        <v>45828.0</v>
      </c>
      <c r="O323" s="155"/>
      <c r="P323" s="153"/>
      <c r="Q323" s="153"/>
      <c r="R323" s="153" t="s">
        <v>3259</v>
      </c>
      <c r="S323" s="256" t="s">
        <v>934</v>
      </c>
      <c r="T323" s="293">
        <v>45786.0</v>
      </c>
      <c r="U323" s="114" t="str">
        <f>IF(V323="","No AIS",VLOOKUP(V323,'Voyage days'!$A$3:$B$1480,2,FALSE))</f>
        <v>Eu + 4</v>
      </c>
      <c r="V323" s="114" t="str">
        <f>IF(VLOOKUP(A323,'1) Kpler'!$E$2:$P$1000,8, FALSE)="","",VLOOKUP(A323,'1) Kpler'!$E$2:$P$1000,8, FALSE))</f>
        <v>Terneuzen</v>
      </c>
      <c r="W323" s="159">
        <f>IF(VLOOKUP(A323,'1) Kpler'!$E$2:$P$1000,9,FALSE)="","",VLOOKUP(A323,'1) Kpler'!$E$2:$P$1000,9,FALSE))</f>
        <v>46142.11389</v>
      </c>
      <c r="X323" s="114" t="str">
        <f>VLOOKUP(A323,'1) Kpler'!$E$2:$I$1000,4,FALSE)</f>
        <v>loaded</v>
      </c>
      <c r="Y323" s="160" t="str">
        <f t="shared" ref="Y323:Y393" si="55">Z323</f>
        <v/>
      </c>
      <c r="Z323" s="120" t="str">
        <f t="shared" ref="Z323:Z393" si="56">IF(AA323="","",TEXT(AA323,"dd")&amp;"-"&amp;TEXT(AB323,"dd mmm"))</f>
        <v/>
      </c>
      <c r="AA323" s="121" t="str">
        <f>IFERROR($M323+VLOOKUP($L323,'Voyage days'!$F$38:$H$89,3,FALSE),"")</f>
        <v/>
      </c>
      <c r="AB323" s="121" t="str">
        <f>IFERROR(N323+VLOOKUP($L323,'Voyage days'!$F$38:$H$89,3,FALSE),"")</f>
        <v/>
      </c>
      <c r="AC323" s="120" t="str">
        <f t="shared" si="42"/>
        <v>19-20 Jun</v>
      </c>
      <c r="AD323" s="121">
        <f>IFERROR($M323+VLOOKUP($L323,'Voyage days'!$F$94:$H$193,3,FALSE),"")</f>
        <v>45827</v>
      </c>
      <c r="AE323" s="121">
        <f>IFERROR($N323+VLOOKUP($L323,'Voyage days'!$F$94:$H$193,3,FALSE),"")</f>
        <v>45828</v>
      </c>
      <c r="AF323" s="120" t="str">
        <f t="shared" si="43"/>
        <v>19-20 Jun</v>
      </c>
      <c r="AG323" s="121">
        <f>IFERROR($M323+VLOOKUP($L323,'Voyage days'!$F$203:$H$256,3,FALSE),"")</f>
        <v>45827</v>
      </c>
      <c r="AH323" s="121">
        <f>IFERROR($N323+VLOOKUP($L323,'Voyage days'!$F$203:$H$256,3,FALSE),"")</f>
        <v>45828</v>
      </c>
      <c r="AI323" s="120" t="str">
        <f t="shared" si="44"/>
        <v/>
      </c>
      <c r="AJ323" s="121" t="str">
        <f>IFERROR($M323+VLOOKUP($L323,'Voyage days'!$F$294:$H$377,3,FALSE),"")</f>
        <v/>
      </c>
      <c r="AK323" s="121" t="str">
        <f>IFERROR($N323+VLOOKUP($L323,'Voyage days'!$F$294:$H$377,3,FALSE),"")</f>
        <v/>
      </c>
      <c r="AL323" s="120" t="str">
        <f t="shared" si="45"/>
        <v>09-10 Jul</v>
      </c>
      <c r="AM323" s="121">
        <f>IFERROR($M323+VLOOKUP($L323,'Voyage days'!$F$382:$H$446,3,FALSE),"")</f>
        <v>45847</v>
      </c>
      <c r="AN323" s="121">
        <f>IFERROR($N323+VLOOKUP($L323,'Voyage days'!$F$382:$H$446,3,FALSE),"")</f>
        <v>45848</v>
      </c>
      <c r="AO323" s="120" t="str">
        <f t="shared" si="46"/>
        <v/>
      </c>
      <c r="AP323" s="121" t="str">
        <f>IFERROR($M323+VLOOKUP($L323,'Voyage days'!$F$483:$H$538,3,FALSE),"")</f>
        <v/>
      </c>
      <c r="AQ323" s="121" t="str">
        <f>IFERROR($N323+VLOOKUP($L323,'Voyage days'!$F$483:$H$538,3,FALSE),"")</f>
        <v/>
      </c>
      <c r="AR323" s="120" t="str">
        <f t="shared" si="47"/>
        <v/>
      </c>
      <c r="AS323" s="121" t="str">
        <f>IFERROR($M323+VLOOKUP($L323,'Voyage days'!$F$540:$H$613,3,FALSE),"")</f>
        <v/>
      </c>
      <c r="AT323" s="121" t="str">
        <f>IFERROR($N323+VLOOKUP($L323,'Voyage days'!$F$540:$H$613,3,FALSE),"")</f>
        <v/>
      </c>
      <c r="AU323" s="120" t="str">
        <f t="shared" si="48"/>
        <v/>
      </c>
      <c r="AV323" s="121" t="str">
        <f>IFERROR($M323+VLOOKUP($L323,'Voyage days'!$L$483:$N$535,3,FALSE),"")</f>
        <v/>
      </c>
      <c r="AW323" s="121" t="str">
        <f>IFERROR($N323+VLOOKUP($L323,'Voyage days'!$L$483:$N$535,3,FALSE),"")</f>
        <v/>
      </c>
      <c r="AX323" s="120" t="str">
        <f t="shared" si="49"/>
        <v/>
      </c>
      <c r="AY323" s="122" t="str">
        <f>IFERROR($M323+VLOOKUP($L323,'Voyage days'!$F$620:$H$646,3,FALSE),"")</f>
        <v/>
      </c>
      <c r="AZ323" s="122" t="str">
        <f>IFERROR($N323+VLOOKUP($L323,'Voyage days'!$F$620:$H$646,3,FALSE),"")</f>
        <v/>
      </c>
      <c r="BA323" s="120" t="str">
        <f t="shared" si="50"/>
        <v/>
      </c>
      <c r="BB323" s="123" t="str">
        <f>IFERROR($M323+VLOOKUP($L323,'Voyage days'!$F$702:$H$727,3,FALSE),"")</f>
        <v/>
      </c>
      <c r="BC323" s="120" t="str">
        <f t="shared" si="51"/>
        <v/>
      </c>
      <c r="BD323" s="122" t="str">
        <f>IFERROR($M323+VLOOKUP($L323,'Voyage days'!$F$807:$H$878,3,FALSE),"")</f>
        <v/>
      </c>
      <c r="BE323" s="122" t="str">
        <f>IFERROR($N323+VLOOKUP($L323,'Voyage days'!$F$807:$H$878,3,FALSE),"")</f>
        <v/>
      </c>
      <c r="BF323" s="609"/>
      <c r="BG323" s="609"/>
      <c r="BH323" s="609"/>
      <c r="BI323" s="609"/>
      <c r="BJ323" s="609"/>
      <c r="BK323" s="609"/>
      <c r="BL323" s="609"/>
      <c r="BM323" s="609"/>
    </row>
    <row r="324" ht="15.75" customHeight="1">
      <c r="A324" s="341" t="s">
        <v>305</v>
      </c>
      <c r="B324" s="183">
        <v>2023.0</v>
      </c>
      <c r="C324" s="1045">
        <v>93000.0</v>
      </c>
      <c r="D324" s="150" t="s">
        <v>1687</v>
      </c>
      <c r="E324" s="149" t="s">
        <v>666</v>
      </c>
      <c r="F324" s="1014"/>
      <c r="G324" s="1228"/>
      <c r="H324" s="149"/>
      <c r="I324" s="157" t="s">
        <v>1313</v>
      </c>
      <c r="J324" s="1229"/>
      <c r="K324" s="470" t="str">
        <f t="shared" si="54"/>
        <v>Update</v>
      </c>
      <c r="L324" s="315" t="s">
        <v>680</v>
      </c>
      <c r="M324" s="109">
        <v>45807.0</v>
      </c>
      <c r="N324" s="109">
        <v>45808.0</v>
      </c>
      <c r="O324" s="155"/>
      <c r="P324" s="157"/>
      <c r="Q324" s="153"/>
      <c r="R324" s="153" t="s">
        <v>3260</v>
      </c>
      <c r="S324" s="256" t="s">
        <v>934</v>
      </c>
      <c r="T324" s="293">
        <v>45771.0</v>
      </c>
      <c r="U324" s="114" t="str">
        <f>IF(V324="","No AIS",VLOOKUP(V324,'Voyage days'!$A$3:$B$1480,2,FALSE))</f>
        <v>USG</v>
      </c>
      <c r="V324" s="114" t="str">
        <f>IF(VLOOKUP(A324,'1) Kpler'!$E$2:$P$1000,8, FALSE)="","",VLOOKUP(A324,'1) Kpler'!$E$2:$P$1000,8, FALSE))</f>
        <v>Houston</v>
      </c>
      <c r="W324" s="159">
        <f>IF(VLOOKUP(A324,'1) Kpler'!$E$2:$P$1000,9,FALSE)="","",VLOOKUP(A324,'1) Kpler'!$E$2:$P$1000,9,FALSE))</f>
        <v>46132.375</v>
      </c>
      <c r="X324" s="114" t="str">
        <f>VLOOKUP(A324,'1) Kpler'!$E$2:$I$1000,4,FALSE)</f>
        <v>ballast</v>
      </c>
      <c r="Y324" s="117" t="str">
        <f t="shared" si="55"/>
        <v/>
      </c>
      <c r="Z324" s="120" t="str">
        <f t="shared" si="56"/>
        <v/>
      </c>
      <c r="AA324" s="121" t="str">
        <f>IFERROR($M324+VLOOKUP($L324,'Voyage days'!$F$38:$H$89,3,FALSE),"")</f>
        <v/>
      </c>
      <c r="AB324" s="121" t="str">
        <f>IFERROR(N324+VLOOKUP($L324,'Voyage days'!$F$38:$H$89,3,FALSE),"")</f>
        <v/>
      </c>
      <c r="AC324" s="120" t="str">
        <f t="shared" si="42"/>
        <v>30-31 May</v>
      </c>
      <c r="AD324" s="121">
        <f>IFERROR($M324+VLOOKUP($L324,'Voyage days'!$F$94:$H$193,3,FALSE),"")</f>
        <v>45807</v>
      </c>
      <c r="AE324" s="121">
        <f>IFERROR($N324+VLOOKUP($L324,'Voyage days'!$F$94:$H$193,3,FALSE),"")</f>
        <v>45808</v>
      </c>
      <c r="AF324" s="120" t="str">
        <f t="shared" si="43"/>
        <v>30-31 May</v>
      </c>
      <c r="AG324" s="121">
        <f>IFERROR($M324+VLOOKUP($L324,'Voyage days'!$F$203:$H$256,3,FALSE),"")</f>
        <v>45807</v>
      </c>
      <c r="AH324" s="121">
        <f>IFERROR($N324+VLOOKUP($L324,'Voyage days'!$F$203:$H$256,3,FALSE),"")</f>
        <v>45808</v>
      </c>
      <c r="AI324" s="120" t="str">
        <f t="shared" si="44"/>
        <v/>
      </c>
      <c r="AJ324" s="121" t="str">
        <f>IFERROR($M324+VLOOKUP($L324,'Voyage days'!$F$294:$H$377,3,FALSE),"")</f>
        <v/>
      </c>
      <c r="AK324" s="121" t="str">
        <f>IFERROR($N324+VLOOKUP($L324,'Voyage days'!$F$294:$H$377,3,FALSE),"")</f>
        <v/>
      </c>
      <c r="AL324" s="120" t="str">
        <f t="shared" si="45"/>
        <v>19-20 Jun</v>
      </c>
      <c r="AM324" s="121">
        <f>IFERROR($M324+VLOOKUP($L324,'Voyage days'!$F$382:$H$446,3,FALSE),"")</f>
        <v>45827</v>
      </c>
      <c r="AN324" s="121">
        <f>IFERROR($N324+VLOOKUP($L324,'Voyage days'!$F$382:$H$446,3,FALSE),"")</f>
        <v>45828</v>
      </c>
      <c r="AO324" s="120" t="str">
        <f t="shared" si="46"/>
        <v/>
      </c>
      <c r="AP324" s="121" t="str">
        <f>IFERROR($M324+VLOOKUP($L324,'Voyage days'!$F$483:$H$538,3,FALSE),"")</f>
        <v/>
      </c>
      <c r="AQ324" s="121" t="str">
        <f>IFERROR($N324+VLOOKUP($L324,'Voyage days'!$F$483:$H$538,3,FALSE),"")</f>
        <v/>
      </c>
      <c r="AR324" s="120" t="str">
        <f t="shared" si="47"/>
        <v/>
      </c>
      <c r="AS324" s="121" t="str">
        <f>IFERROR($M324+VLOOKUP($L324,'Voyage days'!$F$540:$H$613,3,FALSE),"")</f>
        <v/>
      </c>
      <c r="AT324" s="121" t="str">
        <f>IFERROR($N324+VLOOKUP($L324,'Voyage days'!$F$540:$H$613,3,FALSE),"")</f>
        <v/>
      </c>
      <c r="AU324" s="120" t="str">
        <f t="shared" si="48"/>
        <v/>
      </c>
      <c r="AV324" s="121" t="str">
        <f>IFERROR($M324+VLOOKUP($L324,'Voyage days'!$L$483:$N$535,3,FALSE),"")</f>
        <v/>
      </c>
      <c r="AW324" s="121" t="str">
        <f>IFERROR($N324+VLOOKUP($L324,'Voyage days'!$L$483:$N$535,3,FALSE),"")</f>
        <v/>
      </c>
      <c r="AX324" s="120" t="str">
        <f t="shared" si="49"/>
        <v/>
      </c>
      <c r="AY324" s="122" t="str">
        <f>IFERROR($M324+VLOOKUP($L324,'Voyage days'!$F$620:$H$646,3,FALSE),"")</f>
        <v/>
      </c>
      <c r="AZ324" s="122" t="str">
        <f>IFERROR($N324+VLOOKUP($L324,'Voyage days'!$F$620:$H$646,3,FALSE),"")</f>
        <v/>
      </c>
      <c r="BA324" s="120" t="str">
        <f t="shared" si="50"/>
        <v/>
      </c>
      <c r="BB324" s="123" t="str">
        <f>IFERROR($M324+VLOOKUP($L324,'Voyage days'!$F$702:$H$727,3,FALSE),"")</f>
        <v/>
      </c>
      <c r="BC324" s="120" t="str">
        <f t="shared" si="51"/>
        <v/>
      </c>
      <c r="BD324" s="122" t="str">
        <f>IFERROR($M324+VLOOKUP($L324,'Voyage days'!$F$807:$H$878,3,FALSE),"")</f>
        <v/>
      </c>
      <c r="BE324" s="122" t="str">
        <f>IFERROR($N324+VLOOKUP($L324,'Voyage days'!$F$807:$H$878,3,FALSE),"")</f>
        <v/>
      </c>
      <c r="BF324" s="609"/>
      <c r="BG324" s="609"/>
      <c r="BH324" s="609"/>
      <c r="BI324" s="609"/>
      <c r="BJ324" s="609"/>
      <c r="BK324" s="609"/>
      <c r="BL324" s="609"/>
      <c r="BM324" s="609"/>
    </row>
    <row r="325" ht="15.75" customHeight="1">
      <c r="A325" s="80" t="s">
        <v>316</v>
      </c>
      <c r="B325" s="148">
        <v>2018.0</v>
      </c>
      <c r="C325" s="1045">
        <v>84500.0</v>
      </c>
      <c r="D325" s="104" t="s">
        <v>1687</v>
      </c>
      <c r="E325" s="103" t="s">
        <v>666</v>
      </c>
      <c r="F325" s="604"/>
      <c r="G325" s="605"/>
      <c r="H325" s="103"/>
      <c r="I325" s="185" t="s">
        <v>1313</v>
      </c>
      <c r="J325" s="111"/>
      <c r="K325" s="470" t="str">
        <f t="shared" si="54"/>
        <v>Update</v>
      </c>
      <c r="L325" s="108" t="s">
        <v>1031</v>
      </c>
      <c r="M325" s="109">
        <v>45791.0</v>
      </c>
      <c r="N325" s="109">
        <v>45791.0</v>
      </c>
      <c r="O325" s="110"/>
      <c r="P325" s="187"/>
      <c r="Q325" s="187"/>
      <c r="R325" s="108" t="s">
        <v>3261</v>
      </c>
      <c r="S325" s="112" t="s">
        <v>934</v>
      </c>
      <c r="T325" s="113">
        <v>45782.0</v>
      </c>
      <c r="U325" s="114" t="str">
        <f>IF(V325="","No AIS",VLOOKUP(V325,'Voyage days'!$A$3:$B$1480,2,FALSE))</f>
        <v>ECI + 5</v>
      </c>
      <c r="V325" s="115" t="str">
        <f>IF(VLOOKUP(A325,'1) Kpler'!$E$2:$P$1000,8, FALSE)="","",VLOOKUP(A325,'1) Kpler'!$E$2:$P$1000,8, FALSE))</f>
        <v>Ennore Port</v>
      </c>
      <c r="W325" s="116">
        <f>IF(VLOOKUP(A325,'1) Kpler'!$E$2:$P$1000,9,FALSE)="","",VLOOKUP(A325,'1) Kpler'!$E$2:$P$1000,9,FALSE))</f>
        <v>46141.52083</v>
      </c>
      <c r="X325" s="115" t="str">
        <f>VLOOKUP(A325,'1) Kpler'!$E$2:$I$1000,4,FALSE)</f>
        <v>loaded</v>
      </c>
      <c r="Y325" s="160" t="str">
        <f t="shared" si="55"/>
        <v>14-14 May</v>
      </c>
      <c r="Z325" s="120" t="str">
        <f t="shared" si="56"/>
        <v>14-14 May</v>
      </c>
      <c r="AA325" s="121">
        <f>IFERROR($M325+VLOOKUP($L325,'Voyage days'!$F$38:$H$89,3,FALSE),"")</f>
        <v>45791</v>
      </c>
      <c r="AB325" s="121">
        <f>IFERROR(N325+VLOOKUP($L325,'Voyage days'!$F$38:$H$89,3,FALSE),"")</f>
        <v>45791</v>
      </c>
      <c r="AC325" s="120" t="str">
        <f t="shared" si="42"/>
        <v/>
      </c>
      <c r="AD325" s="121" t="str">
        <f>IFERROR($M325+VLOOKUP($L325,'Voyage days'!$F$94:$H$193,3,FALSE),"")</f>
        <v/>
      </c>
      <c r="AE325" s="121" t="str">
        <f>IFERROR($N325+VLOOKUP($L325,'Voyage days'!$F$94:$H$193,3,FALSE),"")</f>
        <v/>
      </c>
      <c r="AF325" s="120" t="str">
        <f t="shared" si="43"/>
        <v/>
      </c>
      <c r="AG325" s="121" t="str">
        <f>IFERROR($M325+VLOOKUP($L325,'Voyage days'!$F$203:$H$256,3,FALSE),"")</f>
        <v/>
      </c>
      <c r="AH325" s="121" t="str">
        <f>IFERROR($N325+VLOOKUP($L325,'Voyage days'!$F$203:$H$256,3,FALSE),"")</f>
        <v/>
      </c>
      <c r="AI325" s="120" t="str">
        <f t="shared" si="44"/>
        <v/>
      </c>
      <c r="AJ325" s="121" t="str">
        <f>IFERROR($M325+VLOOKUP($L325,'Voyage days'!$F$294:$H$377,3,FALSE),"")</f>
        <v/>
      </c>
      <c r="AK325" s="121" t="str">
        <f>IFERROR($N325+VLOOKUP($L325,'Voyage days'!$F$294:$H$377,3,FALSE),"")</f>
        <v/>
      </c>
      <c r="AL325" s="120" t="str">
        <f t="shared" si="45"/>
        <v/>
      </c>
      <c r="AM325" s="121" t="str">
        <f>IFERROR($M325+VLOOKUP($L325,'Voyage days'!$F$382:$H$446,3,FALSE),"")</f>
        <v/>
      </c>
      <c r="AN325" s="121" t="str">
        <f>IFERROR($N325+VLOOKUP($L325,'Voyage days'!$F$382:$H$446,3,FALSE),"")</f>
        <v/>
      </c>
      <c r="AO325" s="120" t="str">
        <f t="shared" si="46"/>
        <v/>
      </c>
      <c r="AP325" s="121" t="str">
        <f>IFERROR($M325+VLOOKUP($L325,'Voyage days'!$F$483:$H$538,3,FALSE),"")</f>
        <v/>
      </c>
      <c r="AQ325" s="121" t="str">
        <f>IFERROR($N325+VLOOKUP($L325,'Voyage days'!$F$483:$H$538,3,FALSE),"")</f>
        <v/>
      </c>
      <c r="AR325" s="120" t="str">
        <f t="shared" si="47"/>
        <v>02-02 Jun</v>
      </c>
      <c r="AS325" s="121">
        <f>IFERROR($M325+VLOOKUP($L325,'Voyage days'!$F$540:$H$613,3,FALSE),"")</f>
        <v>45810</v>
      </c>
      <c r="AT325" s="121">
        <f>IFERROR($N325+VLOOKUP($L325,'Voyage days'!$F$540:$H$613,3,FALSE),"")</f>
        <v>45810</v>
      </c>
      <c r="AU325" s="120" t="str">
        <f t="shared" si="48"/>
        <v/>
      </c>
      <c r="AV325" s="121" t="str">
        <f>IFERROR($M325+VLOOKUP($L325,'Voyage days'!$L$483:$N$535,3,FALSE),"")</f>
        <v/>
      </c>
      <c r="AW325" s="121" t="str">
        <f>IFERROR($N325+VLOOKUP($L325,'Voyage days'!$L$483:$N$535,3,FALSE),"")</f>
        <v/>
      </c>
      <c r="AX325" s="120" t="str">
        <f t="shared" si="49"/>
        <v/>
      </c>
      <c r="AY325" s="122" t="str">
        <f>IFERROR($M325+VLOOKUP($L325,'Voyage days'!$F$620:$H$646,3,FALSE),"")</f>
        <v/>
      </c>
      <c r="AZ325" s="122" t="str">
        <f>IFERROR($N325+VLOOKUP($L325,'Voyage days'!$F$620:$H$646,3,FALSE),"")</f>
        <v/>
      </c>
      <c r="BA325" s="120" t="str">
        <f t="shared" si="50"/>
        <v/>
      </c>
      <c r="BB325" s="123" t="str">
        <f>IFERROR($M325+VLOOKUP($L325,'Voyage days'!$F$702:$H$727,3,FALSE),"")</f>
        <v/>
      </c>
      <c r="BC325" s="120" t="str">
        <f t="shared" si="51"/>
        <v>14-14 May</v>
      </c>
      <c r="BD325" s="122">
        <f>IFERROR($M325+VLOOKUP($L325,'Voyage days'!$F$807:$H$878,3,FALSE),"")</f>
        <v>45791</v>
      </c>
      <c r="BE325" s="122">
        <f>IFERROR($N325+VLOOKUP($L325,'Voyage days'!$F$807:$H$878,3,FALSE),"")</f>
        <v>45791</v>
      </c>
      <c r="BF325" s="609"/>
      <c r="BG325" s="609"/>
      <c r="BH325" s="609"/>
      <c r="BI325" s="609"/>
      <c r="BJ325" s="609"/>
      <c r="BK325" s="609"/>
      <c r="BL325" s="609"/>
      <c r="BM325" s="609"/>
    </row>
    <row r="326" ht="15.75" customHeight="1">
      <c r="A326" s="23" t="s">
        <v>273</v>
      </c>
      <c r="B326" s="259">
        <v>2024.0</v>
      </c>
      <c r="C326" s="1045">
        <v>93300.0</v>
      </c>
      <c r="D326" s="1230" t="s">
        <v>3262</v>
      </c>
      <c r="E326" s="543" t="s">
        <v>666</v>
      </c>
      <c r="F326" s="1231"/>
      <c r="G326" s="1173"/>
      <c r="H326" s="1145"/>
      <c r="I326" s="185" t="s">
        <v>1313</v>
      </c>
      <c r="J326" s="686"/>
      <c r="K326" s="336" t="str">
        <f t="shared" si="54"/>
        <v>Update</v>
      </c>
      <c r="L326" s="349" t="s">
        <v>1031</v>
      </c>
      <c r="M326" s="337">
        <v>45785.0</v>
      </c>
      <c r="N326" s="109">
        <v>45786.0</v>
      </c>
      <c r="O326" s="334"/>
      <c r="P326" s="1232" t="s">
        <v>3263</v>
      </c>
      <c r="Q326" s="108"/>
      <c r="R326" s="108" t="s">
        <v>3264</v>
      </c>
      <c r="S326" s="1176" t="s">
        <v>934</v>
      </c>
      <c r="T326" s="113">
        <v>45776.0</v>
      </c>
      <c r="U326" s="114" t="str">
        <f>IF(V326="","No AIS",VLOOKUP(V326,'Voyage days'!$A$3:$B$1480,2,FALSE))</f>
        <v>Singapore</v>
      </c>
      <c r="V326" s="115" t="str">
        <f>IF(VLOOKUP(A326,'1) Kpler'!$E$2:$P$1000,8, FALSE)="","",VLOOKUP(A326,'1) Kpler'!$E$2:$P$1000,8, FALSE))</f>
        <v>Singapore</v>
      </c>
      <c r="W326" s="116">
        <f>IF(VLOOKUP(A326,'1) Kpler'!$E$2:$P$1000,9,FALSE)="","",VLOOKUP(A326,'1) Kpler'!$E$2:$P$1000,9,FALSE))</f>
        <v>46132.91667</v>
      </c>
      <c r="X326" s="115" t="str">
        <f>VLOOKUP(A326,'1) Kpler'!$E$2:$I$1000,4,FALSE)</f>
        <v>ballast</v>
      </c>
      <c r="Y326" s="117" t="str">
        <f t="shared" si="55"/>
        <v>08-09 May</v>
      </c>
      <c r="Z326" s="120" t="str">
        <f t="shared" si="56"/>
        <v>08-09 May</v>
      </c>
      <c r="AA326" s="121">
        <f>IFERROR($M326+VLOOKUP($L326,'Voyage days'!$F$38:$H$89,3,FALSE),"")</f>
        <v>45785</v>
      </c>
      <c r="AB326" s="121">
        <f>IFERROR(N326+VLOOKUP($L326,'Voyage days'!$F$38:$H$89,3,FALSE),"")</f>
        <v>45786</v>
      </c>
      <c r="AC326" s="120" t="str">
        <f t="shared" si="42"/>
        <v/>
      </c>
      <c r="AD326" s="121" t="str">
        <f>IFERROR($M326+VLOOKUP($L326,'Voyage days'!$F$94:$H$193,3,FALSE),"")</f>
        <v/>
      </c>
      <c r="AE326" s="121" t="str">
        <f>IFERROR($N326+VLOOKUP($L326,'Voyage days'!$F$94:$H$193,3,FALSE),"")</f>
        <v/>
      </c>
      <c r="AF326" s="120" t="str">
        <f t="shared" si="43"/>
        <v/>
      </c>
      <c r="AG326" s="121" t="str">
        <f>IFERROR($M326+VLOOKUP($L326,'Voyage days'!$F$203:$H$256,3,FALSE),"")</f>
        <v/>
      </c>
      <c r="AH326" s="121" t="str">
        <f>IFERROR($N326+VLOOKUP($L326,'Voyage days'!$F$203:$H$256,3,FALSE),"")</f>
        <v/>
      </c>
      <c r="AI326" s="120" t="str">
        <f t="shared" si="44"/>
        <v/>
      </c>
      <c r="AJ326" s="121" t="str">
        <f>IFERROR($M326+VLOOKUP($L326,'Voyage days'!$F$294:$H$377,3,FALSE),"")</f>
        <v/>
      </c>
      <c r="AK326" s="121" t="str">
        <f>IFERROR($N326+VLOOKUP($L326,'Voyage days'!$F$294:$H$377,3,FALSE),"")</f>
        <v/>
      </c>
      <c r="AL326" s="120" t="str">
        <f t="shared" si="45"/>
        <v/>
      </c>
      <c r="AM326" s="121" t="str">
        <f>IFERROR($M326+VLOOKUP($L326,'Voyage days'!$F$382:$H$446,3,FALSE),"")</f>
        <v/>
      </c>
      <c r="AN326" s="121" t="str">
        <f>IFERROR($N326+VLOOKUP($L326,'Voyage days'!$F$382:$H$446,3,FALSE),"")</f>
        <v/>
      </c>
      <c r="AO326" s="120" t="str">
        <f t="shared" si="46"/>
        <v/>
      </c>
      <c r="AP326" s="121" t="str">
        <f>IFERROR($M326+VLOOKUP($L326,'Voyage days'!$F$483:$H$538,3,FALSE),"")</f>
        <v/>
      </c>
      <c r="AQ326" s="121" t="str">
        <f>IFERROR($N326+VLOOKUP($L326,'Voyage days'!$F$483:$H$538,3,FALSE),"")</f>
        <v/>
      </c>
      <c r="AR326" s="120" t="str">
        <f t="shared" si="47"/>
        <v>27-28 May</v>
      </c>
      <c r="AS326" s="121">
        <f>IFERROR($M326+VLOOKUP($L326,'Voyage days'!$F$540:$H$613,3,FALSE),"")</f>
        <v>45804</v>
      </c>
      <c r="AT326" s="121">
        <f>IFERROR($N326+VLOOKUP($L326,'Voyage days'!$F$540:$H$613,3,FALSE),"")</f>
        <v>45805</v>
      </c>
      <c r="AU326" s="120" t="str">
        <f t="shared" si="48"/>
        <v/>
      </c>
      <c r="AV326" s="121" t="str">
        <f>IFERROR($M326+VLOOKUP($L326,'Voyage days'!$L$483:$N$535,3,FALSE),"")</f>
        <v/>
      </c>
      <c r="AW326" s="121" t="str">
        <f>IFERROR($N326+VLOOKUP($L326,'Voyage days'!$L$483:$N$535,3,FALSE),"")</f>
        <v/>
      </c>
      <c r="AX326" s="120" t="str">
        <f t="shared" si="49"/>
        <v/>
      </c>
      <c r="AY326" s="122" t="str">
        <f>IFERROR($M326+VLOOKUP($L326,'Voyage days'!$F$620:$H$646,3,FALSE),"")</f>
        <v/>
      </c>
      <c r="AZ326" s="122" t="str">
        <f>IFERROR($N326+VLOOKUP($L326,'Voyage days'!$F$620:$H$646,3,FALSE),"")</f>
        <v/>
      </c>
      <c r="BA326" s="120" t="str">
        <f t="shared" si="50"/>
        <v/>
      </c>
      <c r="BB326" s="123" t="str">
        <f>IFERROR($M326+VLOOKUP($L326,'Voyage days'!$F$702:$H$727,3,FALSE),"")</f>
        <v/>
      </c>
      <c r="BC326" s="120" t="str">
        <f t="shared" si="51"/>
        <v>08-09 May</v>
      </c>
      <c r="BD326" s="122">
        <f>IFERROR($M326+VLOOKUP($L326,'Voyage days'!$F$807:$H$878,3,FALSE),"")</f>
        <v>45785</v>
      </c>
      <c r="BE326" s="122">
        <f>IFERROR($N326+VLOOKUP($L326,'Voyage days'!$F$807:$H$878,3,FALSE),"")</f>
        <v>45786</v>
      </c>
      <c r="BF326" s="609"/>
      <c r="BG326" s="609"/>
      <c r="BH326" s="609"/>
      <c r="BI326" s="609"/>
      <c r="BJ326" s="609"/>
      <c r="BK326" s="609"/>
      <c r="BL326" s="609"/>
      <c r="BM326" s="609"/>
    </row>
    <row r="327" ht="15.75" customHeight="1">
      <c r="A327" s="164" t="s">
        <v>324</v>
      </c>
      <c r="B327" s="165">
        <v>2024.0</v>
      </c>
      <c r="C327" s="1101">
        <v>93000.0</v>
      </c>
      <c r="D327" s="377" t="s">
        <v>3265</v>
      </c>
      <c r="E327" s="223" t="s">
        <v>666</v>
      </c>
      <c r="F327" s="1010"/>
      <c r="G327" s="1011"/>
      <c r="H327" s="223"/>
      <c r="I327" s="463" t="s">
        <v>1313</v>
      </c>
      <c r="J327" s="312"/>
      <c r="K327" s="469" t="str">
        <f t="shared" si="54"/>
        <v>Update</v>
      </c>
      <c r="L327" s="172" t="s">
        <v>963</v>
      </c>
      <c r="M327" s="173">
        <v>45800.0</v>
      </c>
      <c r="N327" s="173">
        <v>45801.0</v>
      </c>
      <c r="O327" s="174"/>
      <c r="P327" s="320" t="s">
        <v>3266</v>
      </c>
      <c r="Q327" s="312"/>
      <c r="R327" s="172" t="s">
        <v>3267</v>
      </c>
      <c r="S327" s="175" t="s">
        <v>934</v>
      </c>
      <c r="T327" s="176">
        <v>45783.0</v>
      </c>
      <c r="U327" s="177" t="str">
        <f>IF(V327="","No AIS",VLOOKUP(V327,'Voyage days'!$A$3:$B$1480,2,FALSE))</f>
        <v>India?/SG-JP?</v>
      </c>
      <c r="V327" s="178" t="str">
        <f>IF(VLOOKUP(A327,'1) Kpler'!$E$2:$P$1000,8, FALSE)="","",VLOOKUP(A327,'1) Kpler'!$E$2:$P$1000,8, FALSE))</f>
        <v>Eastern Asia</v>
      </c>
      <c r="W327" s="179">
        <f>IF(VLOOKUP(A327,'1) Kpler'!$E$2:$P$1000,9,FALSE)="","",VLOOKUP(A327,'1) Kpler'!$E$2:$P$1000,9,FALSE))</f>
        <v>46153.46389</v>
      </c>
      <c r="X327" s="178" t="str">
        <f>VLOOKUP(A327,'1) Kpler'!$E$2:$I$1000,4,FALSE)</f>
        <v>loaded</v>
      </c>
      <c r="Y327" s="160" t="str">
        <f t="shared" si="55"/>
        <v>10-11 Jun</v>
      </c>
      <c r="Z327" s="120" t="str">
        <f t="shared" si="56"/>
        <v>10-11 Jun</v>
      </c>
      <c r="AA327" s="121">
        <f>IFERROR($M327+VLOOKUP($L327,'Voyage days'!$F$38:$H$89,3,FALSE),"")</f>
        <v>45818</v>
      </c>
      <c r="AB327" s="121">
        <f>IFERROR(N327+VLOOKUP($L327,'Voyage days'!$F$38:$H$89,3,FALSE),"")</f>
        <v>45819</v>
      </c>
      <c r="AC327" s="120" t="str">
        <f t="shared" si="42"/>
        <v>25-26 Jun</v>
      </c>
      <c r="AD327" s="121">
        <f>IFERROR($M327+VLOOKUP($L327,'Voyage days'!$F$94:$H$193,3,FALSE),"")</f>
        <v>45833</v>
      </c>
      <c r="AE327" s="121">
        <f>IFERROR($N327+VLOOKUP($L327,'Voyage days'!$F$94:$H$193,3,FALSE),"")</f>
        <v>45834</v>
      </c>
      <c r="AF327" s="120" t="str">
        <f t="shared" si="43"/>
        <v>04-05 Jul</v>
      </c>
      <c r="AG327" s="121">
        <f>IFERROR($M327+VLOOKUP($L327,'Voyage days'!$F$203:$H$256,3,FALSE),"")</f>
        <v>45842</v>
      </c>
      <c r="AH327" s="121">
        <f>IFERROR($N327+VLOOKUP($L327,'Voyage days'!$F$203:$H$256,3,FALSE),"")</f>
        <v>45843</v>
      </c>
      <c r="AI327" s="120" t="str">
        <f t="shared" si="44"/>
        <v>21-22 Jun</v>
      </c>
      <c r="AJ327" s="121">
        <f>IFERROR($M327+VLOOKUP($L327,'Voyage days'!$F$294:$H$377,3,FALSE),"")</f>
        <v>45829</v>
      </c>
      <c r="AK327" s="121">
        <f>IFERROR($N327+VLOOKUP($L327,'Voyage days'!$F$294:$H$377,3,FALSE),"")</f>
        <v>45830</v>
      </c>
      <c r="AL327" s="120" t="str">
        <f t="shared" si="45"/>
        <v>27-28 Jun</v>
      </c>
      <c r="AM327" s="121">
        <f>IFERROR($M327+VLOOKUP($L327,'Voyage days'!$F$382:$H$446,3,FALSE),"")</f>
        <v>45835</v>
      </c>
      <c r="AN327" s="121">
        <f>IFERROR($N327+VLOOKUP($L327,'Voyage days'!$F$382:$H$446,3,FALSE),"")</f>
        <v>45836</v>
      </c>
      <c r="AO327" s="120" t="str">
        <f t="shared" si="46"/>
        <v>07-08 Jun</v>
      </c>
      <c r="AP327" s="121">
        <f>IFERROR($M327+VLOOKUP($L327,'Voyage days'!$F$483:$H$538,3,FALSE),"")</f>
        <v>45815</v>
      </c>
      <c r="AQ327" s="121">
        <f>IFERROR($N327+VLOOKUP($L327,'Voyage days'!$F$483:$H$538,3,FALSE),"")</f>
        <v>45816</v>
      </c>
      <c r="AR327" s="120" t="str">
        <f t="shared" si="47"/>
        <v>01-02 Jun</v>
      </c>
      <c r="AS327" s="121">
        <f>IFERROR($M327+VLOOKUP($L327,'Voyage days'!$F$540:$H$613,3,FALSE),"")</f>
        <v>45809</v>
      </c>
      <c r="AT327" s="121">
        <f>IFERROR($N327+VLOOKUP($L327,'Voyage days'!$F$540:$H$613,3,FALSE),"")</f>
        <v>45810</v>
      </c>
      <c r="AU327" s="120" t="str">
        <f t="shared" si="48"/>
        <v/>
      </c>
      <c r="AV327" s="121" t="str">
        <f>IFERROR($M327+VLOOKUP($L327,'Voyage days'!$L$483:$N$535,3,FALSE),"")</f>
        <v/>
      </c>
      <c r="AW327" s="121" t="str">
        <f>IFERROR($N327+VLOOKUP($L327,'Voyage days'!$L$483:$N$535,3,FALSE),"")</f>
        <v/>
      </c>
      <c r="AX327" s="120" t="str">
        <f t="shared" si="49"/>
        <v>05-06 Jun</v>
      </c>
      <c r="AY327" s="122">
        <f>IFERROR($M327+VLOOKUP($L327,'Voyage days'!$F$620:$H$646,3,FALSE),"")</f>
        <v>45813</v>
      </c>
      <c r="AZ327" s="122">
        <f>IFERROR($N327+VLOOKUP($L327,'Voyage days'!$F$620:$H$646,3,FALSE),"")</f>
        <v>45814</v>
      </c>
      <c r="BA327" s="120" t="str">
        <f t="shared" si="50"/>
        <v>01-09 Jul</v>
      </c>
      <c r="BB327" s="123">
        <f>IFERROR($M327+VLOOKUP($L327,'Voyage days'!$F$702:$H$727,3,FALSE),"")</f>
        <v>45809</v>
      </c>
      <c r="BC327" s="120" t="str">
        <f t="shared" si="51"/>
        <v>08-09 Jul</v>
      </c>
      <c r="BD327" s="122">
        <f>IFERROR($M327+VLOOKUP($L327,'Voyage days'!$F$807:$H$878,3,FALSE),"")</f>
        <v>45846</v>
      </c>
      <c r="BE327" s="122">
        <f>IFERROR($N327+VLOOKUP($L327,'Voyage days'!$F$807:$H$878,3,FALSE),"")</f>
        <v>45847</v>
      </c>
      <c r="BF327" s="609"/>
      <c r="BG327" s="609"/>
      <c r="BH327" s="609"/>
      <c r="BI327" s="609"/>
      <c r="BJ327" s="609"/>
      <c r="BK327" s="609"/>
      <c r="BL327" s="609"/>
      <c r="BM327" s="609"/>
    </row>
    <row r="328" ht="15.75" customHeight="1">
      <c r="A328" s="341" t="s">
        <v>1333</v>
      </c>
      <c r="B328" s="148">
        <v>2023.0</v>
      </c>
      <c r="C328" s="1045">
        <v>91000.0</v>
      </c>
      <c r="D328" s="150" t="s">
        <v>1687</v>
      </c>
      <c r="E328" s="149" t="s">
        <v>666</v>
      </c>
      <c r="F328" s="1233"/>
      <c r="G328" s="1015"/>
      <c r="H328" s="149"/>
      <c r="I328" s="157" t="s">
        <v>1330</v>
      </c>
      <c r="J328" s="536" t="s">
        <v>2937</v>
      </c>
      <c r="K328" s="470" t="str">
        <f t="shared" si="54"/>
        <v>Update</v>
      </c>
      <c r="L328" s="153" t="s">
        <v>963</v>
      </c>
      <c r="M328" s="276">
        <v>45816.0</v>
      </c>
      <c r="N328" s="276">
        <v>45818.0</v>
      </c>
      <c r="O328" s="155"/>
      <c r="P328" s="157"/>
      <c r="Q328" s="1234" t="s">
        <v>3268</v>
      </c>
      <c r="R328" s="150"/>
      <c r="S328" s="256" t="s">
        <v>2962</v>
      </c>
      <c r="T328" s="293">
        <v>45775.0</v>
      </c>
      <c r="U328" s="114" t="str">
        <f>IF(V328="","No AIS",VLOOKUP(V328,'Voyage days'!$A$3:$B$1480,2,FALSE))</f>
        <v>Japan + 6</v>
      </c>
      <c r="V328" s="114" t="str">
        <f>IF(VLOOKUP(A328,'1) Kpler'!$E$2:$P$1000,8, FALSE)="","",VLOOKUP(A328,'1) Kpler'!$E$2:$P$1000,8, FALSE))</f>
        <v>Kashima</v>
      </c>
      <c r="W328" s="159">
        <f>IF(VLOOKUP(A328,'1) Kpler'!$E$2:$P$1000,9,FALSE)="","",VLOOKUP(A328,'1) Kpler'!$E$2:$P$1000,9,FALSE))</f>
        <v>46131.875</v>
      </c>
      <c r="X328" s="114" t="str">
        <f>VLOOKUP(A328,'1) Kpler'!$E$2:$I$1000,4,FALSE)</f>
        <v>loaded</v>
      </c>
      <c r="Y328" s="117" t="str">
        <f t="shared" si="55"/>
        <v>26-28 Jun</v>
      </c>
      <c r="Z328" s="163" t="str">
        <f t="shared" si="56"/>
        <v>26-28 Jun</v>
      </c>
      <c r="AA328" s="122">
        <f>IFERROR($M328+VLOOKUP($L328,'Voyage days'!$F$38:$H$89,3,FALSE),"")</f>
        <v>45834</v>
      </c>
      <c r="AB328" s="122">
        <f>IFERROR(N328+VLOOKUP($L328,'Voyage days'!$F$38:$H$89,3,FALSE),"")</f>
        <v>45836</v>
      </c>
      <c r="AC328" s="163" t="str">
        <f t="shared" si="42"/>
        <v>11-13 Jul</v>
      </c>
      <c r="AD328" s="122">
        <f>IFERROR($M328+VLOOKUP($L328,'Voyage days'!$F$94:$H$193,3,FALSE),"")</f>
        <v>45849</v>
      </c>
      <c r="AE328" s="122">
        <f>IFERROR($N328+VLOOKUP($L328,'Voyage days'!$F$94:$H$193,3,FALSE),"")</f>
        <v>45851</v>
      </c>
      <c r="AF328" s="163" t="str">
        <f t="shared" si="43"/>
        <v>20-22 Jul</v>
      </c>
      <c r="AG328" s="122">
        <f>IFERROR($M328+VLOOKUP($L328,'Voyage days'!$F$203:$H$256,3,FALSE),"")</f>
        <v>45858</v>
      </c>
      <c r="AH328" s="122">
        <f>IFERROR($N328+VLOOKUP($L328,'Voyage days'!$F$203:$H$256,3,FALSE),"")</f>
        <v>45860</v>
      </c>
      <c r="AI328" s="163" t="str">
        <f t="shared" si="44"/>
        <v>07-09 Jul</v>
      </c>
      <c r="AJ328" s="122">
        <f>IFERROR($M328+VLOOKUP($L328,'Voyage days'!$F$294:$H$377,3,FALSE),"")</f>
        <v>45845</v>
      </c>
      <c r="AK328" s="122">
        <f>IFERROR($N328+VLOOKUP($L328,'Voyage days'!$F$294:$H$377,3,FALSE),"")</f>
        <v>45847</v>
      </c>
      <c r="AL328" s="163" t="str">
        <f t="shared" si="45"/>
        <v>13-15 Jul</v>
      </c>
      <c r="AM328" s="122">
        <f>IFERROR($M328+VLOOKUP($L328,'Voyage days'!$F$382:$H$446,3,FALSE),"")</f>
        <v>45851</v>
      </c>
      <c r="AN328" s="122">
        <f>IFERROR($N328+VLOOKUP($L328,'Voyage days'!$F$382:$H$446,3,FALSE),"")</f>
        <v>45853</v>
      </c>
      <c r="AO328" s="163" t="str">
        <f t="shared" si="46"/>
        <v>23-25 Jun</v>
      </c>
      <c r="AP328" s="122">
        <f>IFERROR($M328+VLOOKUP($L328,'Voyage days'!$F$483:$H$538,3,FALSE),"")</f>
        <v>45831</v>
      </c>
      <c r="AQ328" s="122">
        <f>IFERROR($N328+VLOOKUP($L328,'Voyage days'!$F$483:$H$538,3,FALSE),"")</f>
        <v>45833</v>
      </c>
      <c r="AR328" s="163" t="str">
        <f t="shared" si="47"/>
        <v>17-19 Jun</v>
      </c>
      <c r="AS328" s="122">
        <f>IFERROR($M328+VLOOKUP($L328,'Voyage days'!$F$540:$H$613,3,FALSE),"")</f>
        <v>45825</v>
      </c>
      <c r="AT328" s="122">
        <f>IFERROR($N328+VLOOKUP($L328,'Voyage days'!$F$540:$H$613,3,FALSE),"")</f>
        <v>45827</v>
      </c>
      <c r="AU328" s="163" t="str">
        <f t="shared" si="48"/>
        <v/>
      </c>
      <c r="AV328" s="122" t="str">
        <f>IFERROR($M328+VLOOKUP($L328,'Voyage days'!$L$483:$N$535,3,FALSE),"")</f>
        <v/>
      </c>
      <c r="AW328" s="122" t="str">
        <f>IFERROR($N328+VLOOKUP($L328,'Voyage days'!$L$483:$N$535,3,FALSE),"")</f>
        <v/>
      </c>
      <c r="AX328" s="163" t="str">
        <f t="shared" si="49"/>
        <v>21-23 Jun</v>
      </c>
      <c r="AY328" s="122">
        <f>IFERROR($M328+VLOOKUP($L328,'Voyage days'!$F$620:$H$646,3,FALSE),"")</f>
        <v>45829</v>
      </c>
      <c r="AZ328" s="122">
        <f>IFERROR($N328+VLOOKUP($L328,'Voyage days'!$F$620:$H$646,3,FALSE),"")</f>
        <v>45831</v>
      </c>
      <c r="BA328" s="163" t="str">
        <f t="shared" si="50"/>
        <v>17-26 Jul</v>
      </c>
      <c r="BB328" s="123">
        <f>IFERROR($M328+VLOOKUP($L328,'Voyage days'!$F$702:$H$727,3,FALSE),"")</f>
        <v>45825</v>
      </c>
      <c r="BC328" s="120" t="str">
        <f t="shared" si="51"/>
        <v>24-26 Jul</v>
      </c>
      <c r="BD328" s="122">
        <f>IFERROR($M328+VLOOKUP($L328,'Voyage days'!$F$807:$H$878,3,FALSE),"")</f>
        <v>45862</v>
      </c>
      <c r="BE328" s="122">
        <f>IFERROR($N328+VLOOKUP($L328,'Voyage days'!$F$807:$H$878,3,FALSE),"")</f>
        <v>45864</v>
      </c>
      <c r="BF328" s="609"/>
      <c r="BG328" s="609"/>
      <c r="BH328" s="609"/>
      <c r="BI328" s="609"/>
      <c r="BJ328" s="609"/>
      <c r="BK328" s="609"/>
      <c r="BL328" s="609"/>
      <c r="BM328" s="609"/>
    </row>
    <row r="329">
      <c r="A329" s="147" t="s">
        <v>1336</v>
      </c>
      <c r="B329" s="101">
        <v>42443.0</v>
      </c>
      <c r="C329" s="1045">
        <v>84000.0</v>
      </c>
      <c r="D329" s="104" t="s">
        <v>1687</v>
      </c>
      <c r="E329" s="103" t="s">
        <v>666</v>
      </c>
      <c r="F329" s="604">
        <v>44256.0</v>
      </c>
      <c r="G329" s="103" t="s">
        <v>3269</v>
      </c>
      <c r="H329" s="103"/>
      <c r="I329" s="185" t="s">
        <v>1330</v>
      </c>
      <c r="J329" s="111" t="s">
        <v>2935</v>
      </c>
      <c r="K329" s="336" t="str">
        <f t="shared" si="54"/>
        <v>Update</v>
      </c>
      <c r="L329" s="108" t="s">
        <v>1031</v>
      </c>
      <c r="M329" s="109">
        <v>45801.0</v>
      </c>
      <c r="N329" s="109">
        <v>45805.0</v>
      </c>
      <c r="O329" s="191"/>
      <c r="P329" s="108"/>
      <c r="Q329" s="185"/>
      <c r="R329" s="108" t="s">
        <v>3119</v>
      </c>
      <c r="S329" s="112" t="s">
        <v>934</v>
      </c>
      <c r="T329" s="113">
        <v>45783.0</v>
      </c>
      <c r="U329" s="114" t="str">
        <f>IF(V329="","No AIS",VLOOKUP(V329,'Voyage days'!$A$3:$B$1480,2,FALSE))</f>
        <v>Panama</v>
      </c>
      <c r="V329" s="115" t="str">
        <f>IF(VLOOKUP(A329,'1) Kpler'!$E$2:$P$1000,8, FALSE)="","",VLOOKUP(A329,'1) Kpler'!$E$2:$P$1000,8, FALSE))</f>
        <v>Panama Canal</v>
      </c>
      <c r="W329" s="116">
        <f>IF(VLOOKUP(A329,'1) Kpler'!$E$2:$P$1000,9,FALSE)="","",VLOOKUP(A329,'1) Kpler'!$E$2:$P$1000,9,FALSE))</f>
        <v>46135.54167</v>
      </c>
      <c r="X329" s="115" t="str">
        <f>VLOOKUP(A329,'1) Kpler'!$E$2:$I$1000,4,FALSE)</f>
        <v>ballast</v>
      </c>
      <c r="Y329" s="160" t="str">
        <f t="shared" si="55"/>
        <v>24-28 May</v>
      </c>
      <c r="Z329" s="120" t="str">
        <f t="shared" si="56"/>
        <v>24-28 May</v>
      </c>
      <c r="AA329" s="121">
        <f>IFERROR($M329+VLOOKUP($L329,'Voyage days'!$F$38:$H$89,3,FALSE),"")</f>
        <v>45801</v>
      </c>
      <c r="AB329" s="121">
        <f>IFERROR(N329+VLOOKUP($L329,'Voyage days'!$F$38:$H$89,3,FALSE),"")</f>
        <v>45805</v>
      </c>
      <c r="AC329" s="120" t="str">
        <f t="shared" si="42"/>
        <v/>
      </c>
      <c r="AD329" s="121" t="str">
        <f>IFERROR($M329+VLOOKUP($L329,'Voyage days'!$F$94:$H$193,3,FALSE),"")</f>
        <v/>
      </c>
      <c r="AE329" s="121" t="str">
        <f>IFERROR($N329+VLOOKUP($L329,'Voyage days'!$F$94:$H$193,3,FALSE),"")</f>
        <v/>
      </c>
      <c r="AF329" s="120" t="str">
        <f t="shared" si="43"/>
        <v/>
      </c>
      <c r="AG329" s="121" t="str">
        <f>IFERROR($M329+VLOOKUP($L329,'Voyage days'!$F$203:$H$256,3,FALSE),"")</f>
        <v/>
      </c>
      <c r="AH329" s="121" t="str">
        <f>IFERROR($N329+VLOOKUP($L329,'Voyage days'!$F$203:$H$256,3,FALSE),"")</f>
        <v/>
      </c>
      <c r="AI329" s="120" t="str">
        <f t="shared" si="44"/>
        <v/>
      </c>
      <c r="AJ329" s="121" t="str">
        <f>IFERROR($M329+VLOOKUP($L329,'Voyage days'!$F$294:$H$377,3,FALSE),"")</f>
        <v/>
      </c>
      <c r="AK329" s="121" t="str">
        <f>IFERROR($N329+VLOOKUP($L329,'Voyage days'!$F$294:$H$377,3,FALSE),"")</f>
        <v/>
      </c>
      <c r="AL329" s="120" t="str">
        <f t="shared" si="45"/>
        <v/>
      </c>
      <c r="AM329" s="121" t="str">
        <f>IFERROR($M329+VLOOKUP($L329,'Voyage days'!$F$382:$H$446,3,FALSE),"")</f>
        <v/>
      </c>
      <c r="AN329" s="121" t="str">
        <f>IFERROR($N329+VLOOKUP($L329,'Voyage days'!$F$382:$H$446,3,FALSE),"")</f>
        <v/>
      </c>
      <c r="AO329" s="120" t="str">
        <f t="shared" si="46"/>
        <v/>
      </c>
      <c r="AP329" s="121" t="str">
        <f>IFERROR($M329+VLOOKUP($L329,'Voyage days'!$F$483:$H$538,3,FALSE),"")</f>
        <v/>
      </c>
      <c r="AQ329" s="121" t="str">
        <f>IFERROR($N329+VLOOKUP($L329,'Voyage days'!$F$483:$H$538,3,FALSE),"")</f>
        <v/>
      </c>
      <c r="AR329" s="120" t="str">
        <f t="shared" si="47"/>
        <v>12-16 Jun</v>
      </c>
      <c r="AS329" s="121">
        <f>IFERROR($M329+VLOOKUP($L329,'Voyage days'!$F$540:$H$613,3,FALSE),"")</f>
        <v>45820</v>
      </c>
      <c r="AT329" s="121">
        <f>IFERROR($N329+VLOOKUP($L329,'Voyage days'!$F$540:$H$613,3,FALSE),"")</f>
        <v>45824</v>
      </c>
      <c r="AU329" s="120" t="str">
        <f t="shared" si="48"/>
        <v/>
      </c>
      <c r="AV329" s="121" t="str">
        <f>IFERROR($M329+VLOOKUP($L329,'Voyage days'!$L$483:$N$535,3,FALSE),"")</f>
        <v/>
      </c>
      <c r="AW329" s="121" t="str">
        <f>IFERROR($N329+VLOOKUP($L329,'Voyage days'!$L$483:$N$535,3,FALSE),"")</f>
        <v/>
      </c>
      <c r="AX329" s="120" t="str">
        <f t="shared" si="49"/>
        <v/>
      </c>
      <c r="AY329" s="122" t="str">
        <f>IFERROR($M329+VLOOKUP($L329,'Voyage days'!$F$620:$H$646,3,FALSE),"")</f>
        <v/>
      </c>
      <c r="AZ329" s="122" t="str">
        <f>IFERROR($N329+VLOOKUP($L329,'Voyage days'!$F$620:$H$646,3,FALSE),"")</f>
        <v/>
      </c>
      <c r="BA329" s="120" t="str">
        <f t="shared" si="50"/>
        <v/>
      </c>
      <c r="BB329" s="123" t="str">
        <f>IFERROR($M329+VLOOKUP($L329,'Voyage days'!$F$702:$H$727,3,FALSE),"")</f>
        <v/>
      </c>
      <c r="BC329" s="120" t="str">
        <f t="shared" si="51"/>
        <v>24-28 May</v>
      </c>
      <c r="BD329" s="122">
        <f>IFERROR($M329+VLOOKUP($L329,'Voyage days'!$F$807:$H$878,3,FALSE),"")</f>
        <v>45801</v>
      </c>
      <c r="BE329" s="122">
        <f>IFERROR($N329+VLOOKUP($L329,'Voyage days'!$F$807:$H$878,3,FALSE),"")</f>
        <v>45805</v>
      </c>
      <c r="BF329" s="609"/>
      <c r="BG329" s="609"/>
      <c r="BH329" s="609"/>
      <c r="BI329" s="609"/>
      <c r="BJ329" s="609"/>
      <c r="BK329" s="609"/>
      <c r="BL329" s="609"/>
      <c r="BM329" s="609"/>
    </row>
    <row r="330" ht="14.25" customHeight="1">
      <c r="A330" s="147" t="s">
        <v>1339</v>
      </c>
      <c r="B330" s="101">
        <v>42489.0</v>
      </c>
      <c r="C330" s="1045">
        <v>84000.0</v>
      </c>
      <c r="D330" s="104" t="s">
        <v>1687</v>
      </c>
      <c r="E330" s="103" t="s">
        <v>666</v>
      </c>
      <c r="F330" s="1137">
        <v>44287.0</v>
      </c>
      <c r="G330" s="103" t="s">
        <v>1611</v>
      </c>
      <c r="H330" s="103"/>
      <c r="I330" s="185" t="s">
        <v>1330</v>
      </c>
      <c r="J330" s="111" t="s">
        <v>2935</v>
      </c>
      <c r="K330" s="336" t="str">
        <f t="shared" si="54"/>
        <v>NO AIS</v>
      </c>
      <c r="L330" s="108" t="s">
        <v>680</v>
      </c>
      <c r="M330" s="109">
        <v>45805.0</v>
      </c>
      <c r="N330" s="109">
        <v>45807.0</v>
      </c>
      <c r="O330" s="110"/>
      <c r="P330" s="185"/>
      <c r="Q330" s="1235"/>
      <c r="R330" s="185"/>
      <c r="S330" s="112" t="s">
        <v>2962</v>
      </c>
      <c r="T330" s="113">
        <v>45775.0</v>
      </c>
      <c r="U330" s="114" t="str">
        <f>IF(V330="","No AIS",VLOOKUP(V330,'Voyage days'!$A$3:$B$1480,2,FALSE))</f>
        <v>No AIS</v>
      </c>
      <c r="V330" s="115" t="str">
        <f>IF(VLOOKUP(A330,'1) Kpler'!$E$2:$P$1000,8, FALSE)="","",VLOOKUP(A330,'1) Kpler'!$E$2:$P$1000,8, FALSE))</f>
        <v/>
      </c>
      <c r="W330" s="116" t="str">
        <f>IF(VLOOKUP(A330,'1) Kpler'!$E$2:$P$1000,9,FALSE)="","",VLOOKUP(A330,'1) Kpler'!$E$2:$P$1000,9,FALSE))</f>
        <v/>
      </c>
      <c r="X330" s="115" t="str">
        <f>VLOOKUP(A330,'1) Kpler'!$E$2:$I$1000,4,FALSE)</f>
        <v>ballast</v>
      </c>
      <c r="Y330" s="117" t="str">
        <f t="shared" si="55"/>
        <v/>
      </c>
      <c r="Z330" s="120" t="str">
        <f t="shared" si="56"/>
        <v/>
      </c>
      <c r="AA330" s="121" t="str">
        <f>IFERROR($M330+VLOOKUP($L330,'Voyage days'!$F$38:$H$89,3,FALSE),"")</f>
        <v/>
      </c>
      <c r="AB330" s="121" t="str">
        <f>IFERROR(N330+VLOOKUP($L330,'Voyage days'!$F$38:$H$89,3,FALSE),"")</f>
        <v/>
      </c>
      <c r="AC330" s="120" t="str">
        <f t="shared" si="42"/>
        <v>28-30 May</v>
      </c>
      <c r="AD330" s="121">
        <f>IFERROR($M330+VLOOKUP($L330,'Voyage days'!$F$94:$H$193,3,FALSE),"")</f>
        <v>45805</v>
      </c>
      <c r="AE330" s="121">
        <f>IFERROR($N330+VLOOKUP($L330,'Voyage days'!$F$94:$H$193,3,FALSE),"")</f>
        <v>45807</v>
      </c>
      <c r="AF330" s="120" t="str">
        <f t="shared" si="43"/>
        <v>28-30 May</v>
      </c>
      <c r="AG330" s="121">
        <f>IFERROR($M330+VLOOKUP($L330,'Voyage days'!$F$203:$H$256,3,FALSE),"")</f>
        <v>45805</v>
      </c>
      <c r="AH330" s="121">
        <f>IFERROR($N330+VLOOKUP($L330,'Voyage days'!$F$203:$H$256,3,FALSE),"")</f>
        <v>45807</v>
      </c>
      <c r="AI330" s="120" t="str">
        <f t="shared" si="44"/>
        <v/>
      </c>
      <c r="AJ330" s="121" t="str">
        <f>IFERROR($M330+VLOOKUP($L330,'Voyage days'!$F$294:$H$377,3,FALSE),"")</f>
        <v/>
      </c>
      <c r="AK330" s="121" t="str">
        <f>IFERROR($N330+VLOOKUP($L330,'Voyage days'!$F$294:$H$377,3,FALSE),"")</f>
        <v/>
      </c>
      <c r="AL330" s="120" t="str">
        <f t="shared" si="45"/>
        <v>17-19 Jun</v>
      </c>
      <c r="AM330" s="121">
        <f>IFERROR($M330+VLOOKUP($L330,'Voyage days'!$F$382:$H$446,3,FALSE),"")</f>
        <v>45825</v>
      </c>
      <c r="AN330" s="121">
        <f>IFERROR($N330+VLOOKUP($L330,'Voyage days'!$F$382:$H$446,3,FALSE),"")</f>
        <v>45827</v>
      </c>
      <c r="AO330" s="120" t="str">
        <f t="shared" si="46"/>
        <v/>
      </c>
      <c r="AP330" s="121" t="str">
        <f>IFERROR($M330+VLOOKUP($L330,'Voyage days'!$F$483:$H$538,3,FALSE),"")</f>
        <v/>
      </c>
      <c r="AQ330" s="121" t="str">
        <f>IFERROR($N330+VLOOKUP($L330,'Voyage days'!$F$483:$H$538,3,FALSE),"")</f>
        <v/>
      </c>
      <c r="AR330" s="120" t="str">
        <f t="shared" si="47"/>
        <v/>
      </c>
      <c r="AS330" s="121" t="str">
        <f>IFERROR($M330+VLOOKUP($L330,'Voyage days'!$F$540:$H$613,3,FALSE),"")</f>
        <v/>
      </c>
      <c r="AT330" s="121" t="str">
        <f>IFERROR($N330+VLOOKUP($L330,'Voyage days'!$F$540:$H$613,3,FALSE),"")</f>
        <v/>
      </c>
      <c r="AU330" s="120" t="str">
        <f t="shared" si="48"/>
        <v/>
      </c>
      <c r="AV330" s="121" t="str">
        <f>IFERROR($M330+VLOOKUP($L330,'Voyage days'!$L$483:$N$535,3,FALSE),"")</f>
        <v/>
      </c>
      <c r="AW330" s="121" t="str">
        <f>IFERROR($N330+VLOOKUP($L330,'Voyage days'!$L$483:$N$535,3,FALSE),"")</f>
        <v/>
      </c>
      <c r="AX330" s="120" t="str">
        <f t="shared" si="49"/>
        <v/>
      </c>
      <c r="AY330" s="122" t="str">
        <f>IFERROR($M330+VLOOKUP($L330,'Voyage days'!$F$620:$H$646,3,FALSE),"")</f>
        <v/>
      </c>
      <c r="AZ330" s="122" t="str">
        <f>IFERROR($N330+VLOOKUP($L330,'Voyage days'!$F$620:$H$646,3,FALSE),"")</f>
        <v/>
      </c>
      <c r="BA330" s="120" t="str">
        <f t="shared" si="50"/>
        <v/>
      </c>
      <c r="BB330" s="123" t="str">
        <f>IFERROR($M330+VLOOKUP($L330,'Voyage days'!$F$702:$H$727,3,FALSE),"")</f>
        <v/>
      </c>
      <c r="BC330" s="120" t="str">
        <f t="shared" si="51"/>
        <v/>
      </c>
      <c r="BD330" s="122" t="str">
        <f>IFERROR($M330+VLOOKUP($L330,'Voyage days'!$F$807:$H$878,3,FALSE),"")</f>
        <v/>
      </c>
      <c r="BE330" s="122" t="str">
        <f>IFERROR($N330+VLOOKUP($L330,'Voyage days'!$F$807:$H$878,3,FALSE),"")</f>
        <v/>
      </c>
      <c r="BF330" s="609"/>
      <c r="BG330" s="609"/>
      <c r="BH330" s="609"/>
      <c r="BI330" s="609"/>
      <c r="BJ330" s="609"/>
      <c r="BK330" s="609"/>
      <c r="BL330" s="609"/>
      <c r="BM330" s="609"/>
    </row>
    <row r="331" ht="15.75" customHeight="1">
      <c r="A331" s="341" t="s">
        <v>1342</v>
      </c>
      <c r="B331" s="101">
        <v>42103.0</v>
      </c>
      <c r="C331" s="1045">
        <v>83000.0</v>
      </c>
      <c r="D331" s="104" t="s">
        <v>1687</v>
      </c>
      <c r="E331" s="103" t="s">
        <v>689</v>
      </c>
      <c r="F331" s="1137">
        <v>45717.0</v>
      </c>
      <c r="G331" s="103" t="s">
        <v>1611</v>
      </c>
      <c r="H331" s="103"/>
      <c r="I331" s="185" t="s">
        <v>1330</v>
      </c>
      <c r="J331" s="111" t="s">
        <v>2937</v>
      </c>
      <c r="K331" s="336" t="str">
        <f t="shared" si="54"/>
        <v>Update</v>
      </c>
      <c r="L331" s="108" t="s">
        <v>680</v>
      </c>
      <c r="M331" s="109">
        <v>45800.0</v>
      </c>
      <c r="N331" s="1139">
        <v>45802.0</v>
      </c>
      <c r="O331" s="110"/>
      <c r="P331" s="108" t="s">
        <v>3270</v>
      </c>
      <c r="Q331" s="185"/>
      <c r="R331" s="108" t="s">
        <v>3271</v>
      </c>
      <c r="S331" s="1236" t="s">
        <v>2962</v>
      </c>
      <c r="T331" s="113">
        <v>45775.0</v>
      </c>
      <c r="U331" s="114" t="str">
        <f>IF(V331="","No AIS",VLOOKUP(V331,'Voyage days'!$A$3:$B$1480,2,FALSE))</f>
        <v>Indo + 4 (STS)</v>
      </c>
      <c r="V331" s="115" t="str">
        <f>IF(VLOOKUP(A331,'1) Kpler'!$E$2:$P$1000,8, FALSE)="","",VLOOKUP(A331,'1) Kpler'!$E$2:$P$1000,8, FALSE))</f>
        <v>Kalbut</v>
      </c>
      <c r="W331" s="116">
        <f>IF(VLOOKUP(A331,'1) Kpler'!$E$2:$P$1000,9,FALSE)="","",VLOOKUP(A331,'1) Kpler'!$E$2:$P$1000,9,FALSE))</f>
        <v>46139.875</v>
      </c>
      <c r="X331" s="115" t="str">
        <f>VLOOKUP(A331,'1) Kpler'!$E$2:$I$1000,4,FALSE)</f>
        <v>loaded</v>
      </c>
      <c r="Y331" s="117" t="str">
        <f t="shared" si="55"/>
        <v/>
      </c>
      <c r="Z331" s="120" t="str">
        <f t="shared" si="56"/>
        <v/>
      </c>
      <c r="AA331" s="121" t="str">
        <f>IFERROR($M331+VLOOKUP($L331,'Voyage days'!$F$38:$H$89,3,FALSE),"")</f>
        <v/>
      </c>
      <c r="AB331" s="121" t="str">
        <f>IFERROR(N331+VLOOKUP($L331,'Voyage days'!$F$38:$H$89,3,FALSE),"")</f>
        <v/>
      </c>
      <c r="AC331" s="120" t="str">
        <f t="shared" si="42"/>
        <v>23-25 May</v>
      </c>
      <c r="AD331" s="121">
        <f>IFERROR($M331+VLOOKUP($L331,'Voyage days'!$F$94:$H$193,3,FALSE),"")</f>
        <v>45800</v>
      </c>
      <c r="AE331" s="121">
        <f>IFERROR($N331+VLOOKUP($L331,'Voyage days'!$F$94:$H$193,3,FALSE),"")</f>
        <v>45802</v>
      </c>
      <c r="AF331" s="120" t="str">
        <f t="shared" si="43"/>
        <v>23-25 May</v>
      </c>
      <c r="AG331" s="121">
        <f>IFERROR($M331+VLOOKUP($L331,'Voyage days'!$F$203:$H$256,3,FALSE),"")</f>
        <v>45800</v>
      </c>
      <c r="AH331" s="121">
        <f>IFERROR($N331+VLOOKUP($L331,'Voyage days'!$F$203:$H$256,3,FALSE),"")</f>
        <v>45802</v>
      </c>
      <c r="AI331" s="120" t="str">
        <f t="shared" si="44"/>
        <v/>
      </c>
      <c r="AJ331" s="121" t="str">
        <f>IFERROR($M331+VLOOKUP($L331,'Voyage days'!$F$294:$H$377,3,FALSE),"")</f>
        <v/>
      </c>
      <c r="AK331" s="121" t="str">
        <f>IFERROR($N331+VLOOKUP($L331,'Voyage days'!$F$294:$H$377,3,FALSE),"")</f>
        <v/>
      </c>
      <c r="AL331" s="120" t="str">
        <f t="shared" si="45"/>
        <v>12-14 Jun</v>
      </c>
      <c r="AM331" s="121">
        <f>IFERROR($M331+VLOOKUP($L331,'Voyage days'!$F$382:$H$446,3,FALSE),"")</f>
        <v>45820</v>
      </c>
      <c r="AN331" s="121">
        <f>IFERROR($N331+VLOOKUP($L331,'Voyage days'!$F$382:$H$446,3,FALSE),"")</f>
        <v>45822</v>
      </c>
      <c r="AO331" s="120" t="str">
        <f t="shared" si="46"/>
        <v/>
      </c>
      <c r="AP331" s="121" t="str">
        <f>IFERROR($M331+VLOOKUP($L331,'Voyage days'!$F$483:$H$538,3,FALSE),"")</f>
        <v/>
      </c>
      <c r="AQ331" s="121" t="str">
        <f>IFERROR($N331+VLOOKUP($L331,'Voyage days'!$F$483:$H$538,3,FALSE),"")</f>
        <v/>
      </c>
      <c r="AR331" s="120" t="str">
        <f t="shared" si="47"/>
        <v/>
      </c>
      <c r="AS331" s="121" t="str">
        <f>IFERROR($M331+VLOOKUP($L331,'Voyage days'!$F$540:$H$613,3,FALSE),"")</f>
        <v/>
      </c>
      <c r="AT331" s="121" t="str">
        <f>IFERROR($N331+VLOOKUP($L331,'Voyage days'!$F$540:$H$613,3,FALSE),"")</f>
        <v/>
      </c>
      <c r="AU331" s="120" t="str">
        <f t="shared" si="48"/>
        <v/>
      </c>
      <c r="AV331" s="121" t="str">
        <f>IFERROR($M331+VLOOKUP($L331,'Voyage days'!$L$483:$N$535,3,FALSE),"")</f>
        <v/>
      </c>
      <c r="AW331" s="121" t="str">
        <f>IFERROR($N331+VLOOKUP($L331,'Voyage days'!$L$483:$N$535,3,FALSE),"")</f>
        <v/>
      </c>
      <c r="AX331" s="120" t="str">
        <f t="shared" si="49"/>
        <v/>
      </c>
      <c r="AY331" s="122" t="str">
        <f>IFERROR($M331+VLOOKUP($L331,'Voyage days'!$F$620:$H$646,3,FALSE),"")</f>
        <v/>
      </c>
      <c r="AZ331" s="122" t="str">
        <f>IFERROR($N331+VLOOKUP($L331,'Voyage days'!$F$620:$H$646,3,FALSE),"")</f>
        <v/>
      </c>
      <c r="BA331" s="120" t="str">
        <f t="shared" si="50"/>
        <v/>
      </c>
      <c r="BB331" s="123" t="str">
        <f>IFERROR($M331+VLOOKUP($L331,'Voyage days'!$F$702:$H$727,3,FALSE),"")</f>
        <v/>
      </c>
      <c r="BC331" s="120" t="str">
        <f t="shared" si="51"/>
        <v/>
      </c>
      <c r="BD331" s="122" t="str">
        <f>IFERROR($M331+VLOOKUP($L331,'Voyage days'!$F$807:$H$878,3,FALSE),"")</f>
        <v/>
      </c>
      <c r="BE331" s="122" t="str">
        <f>IFERROR($N331+VLOOKUP($L331,'Voyage days'!$F$807:$H$878,3,FALSE),"")</f>
        <v/>
      </c>
      <c r="BF331" s="609"/>
      <c r="BG331" s="609"/>
      <c r="BH331" s="609"/>
      <c r="BI331" s="609"/>
      <c r="BJ331" s="609"/>
      <c r="BK331" s="609"/>
      <c r="BL331" s="609"/>
      <c r="BM331" s="609"/>
    </row>
    <row r="332" ht="15.75" customHeight="1">
      <c r="A332" s="342" t="s">
        <v>1345</v>
      </c>
      <c r="B332" s="148">
        <v>2022.0</v>
      </c>
      <c r="C332" s="1045">
        <v>91000.0</v>
      </c>
      <c r="D332" s="104" t="s">
        <v>1687</v>
      </c>
      <c r="E332" s="103" t="s">
        <v>666</v>
      </c>
      <c r="F332" s="1137"/>
      <c r="G332" s="605"/>
      <c r="H332" s="103"/>
      <c r="I332" s="185" t="s">
        <v>1330</v>
      </c>
      <c r="J332" s="111" t="s">
        <v>2937</v>
      </c>
      <c r="K332" s="336" t="str">
        <f t="shared" si="54"/>
        <v>Update</v>
      </c>
      <c r="L332" s="108" t="s">
        <v>720</v>
      </c>
      <c r="M332" s="109">
        <v>45793.0</v>
      </c>
      <c r="N332" s="109">
        <v>45794.0</v>
      </c>
      <c r="O332" s="191" t="s">
        <v>1314</v>
      </c>
      <c r="P332" s="108" t="s">
        <v>3272</v>
      </c>
      <c r="Q332" s="111"/>
      <c r="R332" s="185"/>
      <c r="S332" s="112" t="s">
        <v>934</v>
      </c>
      <c r="T332" s="113">
        <v>45783.0</v>
      </c>
      <c r="U332" s="114" t="str">
        <f>IF(V332="","No AIS",VLOOKUP(V332,'Voyage days'!$A$3:$B$1480,2,FALSE))</f>
        <v>+14 days open Far East</v>
      </c>
      <c r="V332" s="115" t="str">
        <f>IF(VLOOKUP(A332,'1) Kpler'!$E$2:$P$1000,8, FALSE)="","",VLOOKUP(A332,'1) Kpler'!$E$2:$P$1000,8, FALSE))</f>
        <v>Ferndale</v>
      </c>
      <c r="W332" s="116">
        <f>IF(VLOOKUP(A332,'1) Kpler'!$E$2:$P$1000,9,FALSE)="","",VLOOKUP(A332,'1) Kpler'!$E$2:$P$1000,9,FALSE))</f>
        <v>46148.25</v>
      </c>
      <c r="X332" s="115" t="str">
        <f>VLOOKUP(A332,'1) Kpler'!$E$2:$I$1000,4,FALSE)</f>
        <v>ballast</v>
      </c>
      <c r="Y332" s="160" t="str">
        <f t="shared" si="55"/>
        <v>03-04 Jun</v>
      </c>
      <c r="Z332" s="120" t="str">
        <f t="shared" si="56"/>
        <v>03-04 Jun</v>
      </c>
      <c r="AA332" s="121">
        <f>IFERROR($M332+VLOOKUP($L332,'Voyage days'!$F$38:$H$89,3,FALSE),"")</f>
        <v>45811</v>
      </c>
      <c r="AB332" s="121">
        <f>IFERROR(N332+VLOOKUP($L332,'Voyage days'!$F$38:$H$89,3,FALSE),"")</f>
        <v>45812</v>
      </c>
      <c r="AC332" s="120" t="str">
        <f t="shared" si="42"/>
        <v>19-20 Jun</v>
      </c>
      <c r="AD332" s="121">
        <f>IFERROR($M332+VLOOKUP($L332,'Voyage days'!$F$94:$H$193,3,FALSE),"")</f>
        <v>45827</v>
      </c>
      <c r="AE332" s="121">
        <f>IFERROR($N332+VLOOKUP($L332,'Voyage days'!$F$94:$H$193,3,FALSE),"")</f>
        <v>45828</v>
      </c>
      <c r="AF332" s="120" t="str">
        <f t="shared" si="43"/>
        <v>26-27 Jun</v>
      </c>
      <c r="AG332" s="121">
        <f>IFERROR($M332+VLOOKUP($L332,'Voyage days'!$F$203:$H$256,3,FALSE),"")</f>
        <v>45834</v>
      </c>
      <c r="AH332" s="121">
        <f>IFERROR($N332+VLOOKUP($L332,'Voyage days'!$F$203:$H$256,3,FALSE),"")</f>
        <v>45835</v>
      </c>
      <c r="AI332" s="120" t="str">
        <f t="shared" si="44"/>
        <v>14-15 Jun</v>
      </c>
      <c r="AJ332" s="121">
        <f>IFERROR($M332+VLOOKUP($L332,'Voyage days'!$F$294:$H$377,3,FALSE),"")</f>
        <v>45822</v>
      </c>
      <c r="AK332" s="121">
        <f>IFERROR($N332+VLOOKUP($L332,'Voyage days'!$F$294:$H$377,3,FALSE),"")</f>
        <v>45823</v>
      </c>
      <c r="AL332" s="120" t="str">
        <f t="shared" si="45"/>
        <v>20-21 Jun</v>
      </c>
      <c r="AM332" s="121">
        <f>IFERROR($M332+VLOOKUP($L332,'Voyage days'!$F$382:$H$446,3,FALSE),"")</f>
        <v>45828</v>
      </c>
      <c r="AN332" s="121">
        <f>IFERROR($N332+VLOOKUP($L332,'Voyage days'!$F$382:$H$446,3,FALSE),"")</f>
        <v>45829</v>
      </c>
      <c r="AO332" s="120" t="str">
        <f t="shared" si="46"/>
        <v>30-31 May</v>
      </c>
      <c r="AP332" s="121">
        <f>IFERROR($M332+VLOOKUP($L332,'Voyage days'!$F$483:$H$538,3,FALSE),"")</f>
        <v>45807</v>
      </c>
      <c r="AQ332" s="121">
        <f>IFERROR($N332+VLOOKUP($L332,'Voyage days'!$F$483:$H$538,3,FALSE),"")</f>
        <v>45808</v>
      </c>
      <c r="AR332" s="120" t="str">
        <f t="shared" si="47"/>
        <v>24-25 May</v>
      </c>
      <c r="AS332" s="121">
        <f>IFERROR($M332+VLOOKUP($L332,'Voyage days'!$F$540:$H$613,3,FALSE),"")</f>
        <v>45801</v>
      </c>
      <c r="AT332" s="121">
        <f>IFERROR($N332+VLOOKUP($L332,'Voyage days'!$F$540:$H$613,3,FALSE),"")</f>
        <v>45802</v>
      </c>
      <c r="AU332" s="120" t="str">
        <f t="shared" si="48"/>
        <v/>
      </c>
      <c r="AV332" s="121" t="str">
        <f>IFERROR($M332+VLOOKUP($L332,'Voyage days'!$L$483:$N$535,3,FALSE),"")</f>
        <v/>
      </c>
      <c r="AW332" s="121" t="str">
        <f>IFERROR($N332+VLOOKUP($L332,'Voyage days'!$L$483:$N$535,3,FALSE),"")</f>
        <v/>
      </c>
      <c r="AX332" s="120" t="str">
        <f t="shared" si="49"/>
        <v>27-28 May</v>
      </c>
      <c r="AY332" s="122">
        <f>IFERROR($M332+VLOOKUP($L332,'Voyage days'!$F$620:$H$646,3,FALSE),"")</f>
        <v>45804</v>
      </c>
      <c r="AZ332" s="122">
        <f>IFERROR($N332+VLOOKUP($L332,'Voyage days'!$F$620:$H$646,3,FALSE),"")</f>
        <v>45805</v>
      </c>
      <c r="BA332" s="120" t="str">
        <f t="shared" si="50"/>
        <v>24-01 Jul</v>
      </c>
      <c r="BB332" s="123">
        <f>IFERROR($M332+VLOOKUP($L332,'Voyage days'!$F$702:$H$727,3,FALSE),"")</f>
        <v>45801</v>
      </c>
      <c r="BC332" s="120" t="str">
        <f t="shared" si="51"/>
        <v>30-01 Jul</v>
      </c>
      <c r="BD332" s="122">
        <f>IFERROR($M332+VLOOKUP($L332,'Voyage days'!$F$807:$H$878,3,FALSE),"")</f>
        <v>45838</v>
      </c>
      <c r="BE332" s="122">
        <f>IFERROR($N332+VLOOKUP($L332,'Voyage days'!$F$807:$H$878,3,FALSE),"")</f>
        <v>45839</v>
      </c>
      <c r="BF332" s="609"/>
      <c r="BG332" s="609"/>
      <c r="BH332" s="609"/>
      <c r="BI332" s="609"/>
      <c r="BJ332" s="609"/>
      <c r="BK332" s="609"/>
      <c r="BL332" s="609"/>
      <c r="BM332" s="609"/>
    </row>
    <row r="333">
      <c r="A333" s="147" t="s">
        <v>751</v>
      </c>
      <c r="B333" s="101">
        <v>42551.0</v>
      </c>
      <c r="C333" s="1045">
        <v>84000.0</v>
      </c>
      <c r="D333" s="104" t="s">
        <v>1687</v>
      </c>
      <c r="E333" s="103" t="s">
        <v>666</v>
      </c>
      <c r="F333" s="1137">
        <v>44378.0</v>
      </c>
      <c r="G333" s="103" t="s">
        <v>1611</v>
      </c>
      <c r="H333" s="103"/>
      <c r="I333" s="185" t="s">
        <v>1330</v>
      </c>
      <c r="J333" s="111" t="s">
        <v>2935</v>
      </c>
      <c r="K333" s="336" t="str">
        <f t="shared" si="54"/>
        <v>NO AIS</v>
      </c>
      <c r="L333" s="199" t="s">
        <v>2463</v>
      </c>
      <c r="M333" s="109">
        <v>45815.0</v>
      </c>
      <c r="N333" s="109">
        <v>45816.0</v>
      </c>
      <c r="O333" s="110"/>
      <c r="P333" s="185"/>
      <c r="Q333" s="111"/>
      <c r="R333" s="108" t="s">
        <v>3273</v>
      </c>
      <c r="S333" s="112" t="s">
        <v>934</v>
      </c>
      <c r="T333" s="113">
        <v>45783.0</v>
      </c>
      <c r="U333" s="114" t="str">
        <f>IF(V333="","No AIS",VLOOKUP(V333,'Voyage days'!$A$3:$B$1480,2,FALSE))</f>
        <v>No AIS</v>
      </c>
      <c r="V333" s="115" t="str">
        <f>IF(VLOOKUP(A333,'1) Kpler'!$E$2:$P$1000,8, FALSE)="","",VLOOKUP(A333,'1) Kpler'!$E$2:$P$1000,8, FALSE))</f>
        <v/>
      </c>
      <c r="W333" s="116" t="str">
        <f>IF(VLOOKUP(A333,'1) Kpler'!$E$2:$P$1000,9,FALSE)="","",VLOOKUP(A333,'1) Kpler'!$E$2:$P$1000,9,FALSE))</f>
        <v/>
      </c>
      <c r="X333" s="115" t="str">
        <f>VLOOKUP(A333,'1) Kpler'!$E$2:$I$1000,4,FALSE)</f>
        <v>ballast</v>
      </c>
      <c r="Y333" s="160" t="str">
        <f t="shared" si="55"/>
        <v/>
      </c>
      <c r="Z333" s="120" t="str">
        <f t="shared" si="56"/>
        <v/>
      </c>
      <c r="AA333" s="121" t="str">
        <f>IFERROR($M333+VLOOKUP($L333,'Voyage days'!$F$38:$H$89,3,FALSE),"")</f>
        <v/>
      </c>
      <c r="AB333" s="121" t="str">
        <f>IFERROR(N333+VLOOKUP($L333,'Voyage days'!$F$38:$H$89,3,FALSE),"")</f>
        <v/>
      </c>
      <c r="AC333" s="120" t="str">
        <f t="shared" si="42"/>
        <v/>
      </c>
      <c r="AD333" s="121" t="str">
        <f>IFERROR($M333+VLOOKUP($L333,'Voyage days'!$F$94:$H$193,3,FALSE),"")</f>
        <v/>
      </c>
      <c r="AE333" s="121" t="str">
        <f>IFERROR($N333+VLOOKUP($L333,'Voyage days'!$F$94:$H$193,3,FALSE),"")</f>
        <v/>
      </c>
      <c r="AF333" s="120" t="str">
        <f t="shared" si="43"/>
        <v/>
      </c>
      <c r="AG333" s="121" t="str">
        <f>IFERROR($M333+VLOOKUP($L333,'Voyage days'!$F$203:$H$256,3,FALSE),"")</f>
        <v/>
      </c>
      <c r="AH333" s="121" t="str">
        <f>IFERROR($N333+VLOOKUP($L333,'Voyage days'!$F$203:$H$256,3,FALSE),"")</f>
        <v/>
      </c>
      <c r="AI333" s="120" t="str">
        <f t="shared" si="44"/>
        <v/>
      </c>
      <c r="AJ333" s="121" t="str">
        <f>IFERROR($M333+VLOOKUP($L333,'Voyage days'!$F$294:$H$377,3,FALSE),"")</f>
        <v/>
      </c>
      <c r="AK333" s="121" t="str">
        <f>IFERROR($N333+VLOOKUP($L333,'Voyage days'!$F$294:$H$377,3,FALSE),"")</f>
        <v/>
      </c>
      <c r="AL333" s="120" t="str">
        <f t="shared" si="45"/>
        <v/>
      </c>
      <c r="AM333" s="121" t="str">
        <f>IFERROR($M333+VLOOKUP($L333,'Voyage days'!$F$382:$H$446,3,FALSE),"")</f>
        <v/>
      </c>
      <c r="AN333" s="121" t="str">
        <f>IFERROR($N333+VLOOKUP($L333,'Voyage days'!$F$382:$H$446,3,FALSE),"")</f>
        <v/>
      </c>
      <c r="AO333" s="120" t="str">
        <f t="shared" si="46"/>
        <v/>
      </c>
      <c r="AP333" s="121" t="str">
        <f>IFERROR($M333+VLOOKUP($L333,'Voyage days'!$F$483:$H$538,3,FALSE),"")</f>
        <v/>
      </c>
      <c r="AQ333" s="121" t="str">
        <f>IFERROR($N333+VLOOKUP($L333,'Voyage days'!$F$483:$H$538,3,FALSE),"")</f>
        <v/>
      </c>
      <c r="AR333" s="120" t="str">
        <f t="shared" si="47"/>
        <v/>
      </c>
      <c r="AS333" s="121" t="str">
        <f>IFERROR($M333+VLOOKUP($L333,'Voyage days'!$F$540:$H$613,3,FALSE),"")</f>
        <v/>
      </c>
      <c r="AT333" s="121" t="str">
        <f>IFERROR($N333+VLOOKUP($L333,'Voyage days'!$F$540:$H$613,3,FALSE),"")</f>
        <v/>
      </c>
      <c r="AU333" s="120" t="str">
        <f t="shared" si="48"/>
        <v/>
      </c>
      <c r="AV333" s="121" t="str">
        <f>IFERROR($M333+VLOOKUP($L333,'Voyage days'!$L$483:$N$535,3,FALSE),"")</f>
        <v/>
      </c>
      <c r="AW333" s="121" t="str">
        <f>IFERROR($N333+VLOOKUP($L333,'Voyage days'!$L$483:$N$535,3,FALSE),"")</f>
        <v/>
      </c>
      <c r="AX333" s="120" t="str">
        <f t="shared" si="49"/>
        <v/>
      </c>
      <c r="AY333" s="122" t="str">
        <f>IFERROR($M333+VLOOKUP($L333,'Voyage days'!$F$620:$H$646,3,FALSE),"")</f>
        <v/>
      </c>
      <c r="AZ333" s="122" t="str">
        <f>IFERROR($N333+VLOOKUP($L333,'Voyage days'!$F$620:$H$646,3,FALSE),"")</f>
        <v/>
      </c>
      <c r="BA333" s="120" t="str">
        <f t="shared" si="50"/>
        <v/>
      </c>
      <c r="BB333" s="123" t="str">
        <f>IFERROR($M333+VLOOKUP($L333,'Voyage days'!$F$702:$H$727,3,FALSE),"")</f>
        <v/>
      </c>
      <c r="BC333" s="120" t="str">
        <f t="shared" si="51"/>
        <v/>
      </c>
      <c r="BD333" s="122" t="str">
        <f>IFERROR($M333+VLOOKUP($L333,'Voyage days'!$F$807:$H$878,3,FALSE),"")</f>
        <v/>
      </c>
      <c r="BE333" s="122" t="str">
        <f>IFERROR($N333+VLOOKUP($L333,'Voyage days'!$F$807:$H$878,3,FALSE),"")</f>
        <v/>
      </c>
      <c r="BF333" s="609"/>
      <c r="BG333" s="609"/>
      <c r="BH333" s="609"/>
      <c r="BI333" s="609"/>
      <c r="BJ333" s="609"/>
      <c r="BK333" s="609"/>
      <c r="BL333" s="609"/>
      <c r="BM333" s="609"/>
    </row>
    <row r="334" ht="15.75" customHeight="1">
      <c r="A334" s="341" t="s">
        <v>1351</v>
      </c>
      <c r="B334" s="101">
        <v>42583.0</v>
      </c>
      <c r="C334" s="1045">
        <v>84000.0</v>
      </c>
      <c r="D334" s="104" t="s">
        <v>1687</v>
      </c>
      <c r="E334" s="103" t="s">
        <v>666</v>
      </c>
      <c r="F334" s="1137">
        <v>44409.0</v>
      </c>
      <c r="G334" s="103" t="s">
        <v>1611</v>
      </c>
      <c r="H334" s="103"/>
      <c r="I334" s="185" t="s">
        <v>1330</v>
      </c>
      <c r="J334" s="111" t="s">
        <v>2935</v>
      </c>
      <c r="K334" s="336" t="str">
        <f t="shared" si="54"/>
        <v>Update</v>
      </c>
      <c r="L334" s="108" t="s">
        <v>755</v>
      </c>
      <c r="M334" s="109">
        <v>45803.0</v>
      </c>
      <c r="N334" s="109">
        <v>45805.0</v>
      </c>
      <c r="O334" s="110"/>
      <c r="P334" s="185"/>
      <c r="Q334" s="333"/>
      <c r="R334" s="185"/>
      <c r="S334" s="112" t="s">
        <v>2962</v>
      </c>
      <c r="T334" s="113">
        <v>45775.0</v>
      </c>
      <c r="U334" s="114" t="str">
        <f>IF(V334="","No AIS",VLOOKUP(V334,'Voyage days'!$A$3:$B$1480,2,FALSE))</f>
        <v>Mohammedia + 5</v>
      </c>
      <c r="V334" s="115" t="str">
        <f>IF(VLOOKUP(A334,'1) Kpler'!$E$2:$P$1000,8, FALSE)="","",VLOOKUP(A334,'1) Kpler'!$E$2:$P$1000,8, FALSE))</f>
        <v>Mohammedia Refinery</v>
      </c>
      <c r="W334" s="116">
        <f>IF(VLOOKUP(A334,'1) Kpler'!$E$2:$P$1000,9,FALSE)="","",VLOOKUP(A334,'1) Kpler'!$E$2:$P$1000,9,FALSE))</f>
        <v>46140.70833</v>
      </c>
      <c r="X334" s="115" t="str">
        <f>VLOOKUP(A334,'1) Kpler'!$E$2:$I$1000,4,FALSE)</f>
        <v>loaded</v>
      </c>
      <c r="Y334" s="117" t="str">
        <f t="shared" si="55"/>
        <v>06-08 Jun</v>
      </c>
      <c r="Z334" s="120" t="str">
        <f t="shared" si="56"/>
        <v>06-08 Jun</v>
      </c>
      <c r="AA334" s="121">
        <f>IFERROR($M334+VLOOKUP($L334,'Voyage days'!$F$38:$H$89,3,FALSE),"")</f>
        <v>45814</v>
      </c>
      <c r="AB334" s="121">
        <f>IFERROR(N334+VLOOKUP($L334,'Voyage days'!$F$38:$H$89,3,FALSE),"")</f>
        <v>45816</v>
      </c>
      <c r="AC334" s="120" t="str">
        <f t="shared" si="42"/>
        <v>04-06 Jul</v>
      </c>
      <c r="AD334" s="121">
        <f>IFERROR($M334+VLOOKUP($L334,'Voyage days'!$F$94:$H$193,3,FALSE),"")</f>
        <v>45842</v>
      </c>
      <c r="AE334" s="121">
        <f>IFERROR($N334+VLOOKUP($L334,'Voyage days'!$F$94:$H$193,3,FALSE),"")</f>
        <v>45844</v>
      </c>
      <c r="AF334" s="120" t="str">
        <f t="shared" si="43"/>
        <v>02-04 Jul</v>
      </c>
      <c r="AG334" s="121">
        <f>IFERROR($M334+VLOOKUP($L334,'Voyage days'!$F$203:$H$256,3,FALSE),"")</f>
        <v>45840</v>
      </c>
      <c r="AH334" s="121">
        <f>IFERROR($N334+VLOOKUP($L334,'Voyage days'!$F$203:$H$256,3,FALSE),"")</f>
        <v>45842</v>
      </c>
      <c r="AI334" s="120" t="str">
        <f t="shared" si="44"/>
        <v>15-17 Jun</v>
      </c>
      <c r="AJ334" s="121">
        <f>IFERROR($M334+VLOOKUP($L334,'Voyage days'!$F$294:$H$377,3,FALSE),"")</f>
        <v>45823</v>
      </c>
      <c r="AK334" s="121">
        <f>IFERROR($N334+VLOOKUP($L334,'Voyage days'!$F$294:$H$377,3,FALSE),"")</f>
        <v>45825</v>
      </c>
      <c r="AL334" s="120" t="str">
        <f t="shared" si="45"/>
        <v>24-26 Jun</v>
      </c>
      <c r="AM334" s="121">
        <f>IFERROR($M334+VLOOKUP($L334,'Voyage days'!$F$382:$H$446,3,FALSE),"")</f>
        <v>45832</v>
      </c>
      <c r="AN334" s="121">
        <f>IFERROR($N334+VLOOKUP($L334,'Voyage days'!$F$382:$H$446,3,FALSE),"")</f>
        <v>45834</v>
      </c>
      <c r="AO334" s="120" t="str">
        <f t="shared" si="46"/>
        <v>04-06 Jun</v>
      </c>
      <c r="AP334" s="121">
        <f>IFERROR($M334+VLOOKUP($L334,'Voyage days'!$F$483:$H$538,3,FALSE),"")</f>
        <v>45812</v>
      </c>
      <c r="AQ334" s="121">
        <f>IFERROR($N334+VLOOKUP($L334,'Voyage days'!$F$483:$H$538,3,FALSE),"")</f>
        <v>45814</v>
      </c>
      <c r="AR334" s="120" t="str">
        <f t="shared" si="47"/>
        <v>30-01 Jun</v>
      </c>
      <c r="AS334" s="121">
        <f>IFERROR($M334+VLOOKUP($L334,'Voyage days'!$F$540:$H$613,3,FALSE),"")</f>
        <v>45807</v>
      </c>
      <c r="AT334" s="121">
        <f>IFERROR($N334+VLOOKUP($L334,'Voyage days'!$F$540:$H$613,3,FALSE),"")</f>
        <v>45809</v>
      </c>
      <c r="AU334" s="120" t="str">
        <f t="shared" si="48"/>
        <v/>
      </c>
      <c r="AV334" s="121" t="str">
        <f>IFERROR($M334+VLOOKUP($L334,'Voyage days'!$L$483:$N$535,3,FALSE),"")</f>
        <v/>
      </c>
      <c r="AW334" s="121" t="str">
        <f>IFERROR($N334+VLOOKUP($L334,'Voyage days'!$L$483:$N$535,3,FALSE),"")</f>
        <v/>
      </c>
      <c r="AX334" s="120" t="str">
        <f t="shared" si="49"/>
        <v/>
      </c>
      <c r="AY334" s="122" t="str">
        <f>IFERROR($M334+VLOOKUP($L334,'Voyage days'!$F$620:$H$646,3,FALSE),"")</f>
        <v/>
      </c>
      <c r="AZ334" s="122" t="str">
        <f>IFERROR($N334+VLOOKUP($L334,'Voyage days'!$F$620:$H$646,3,FALSE),"")</f>
        <v/>
      </c>
      <c r="BA334" s="120" t="str">
        <f t="shared" si="50"/>
        <v>03-04 Jul</v>
      </c>
      <c r="BB334" s="123">
        <f>IFERROR($M334+VLOOKUP($L334,'Voyage days'!$F$702:$H$727,3,FALSE),"")</f>
        <v>45811</v>
      </c>
      <c r="BC334" s="120" t="str">
        <f t="shared" si="51"/>
        <v>02-04 Jul</v>
      </c>
      <c r="BD334" s="122">
        <f>IFERROR($M334+VLOOKUP($L334,'Voyage days'!$F$807:$H$878,3,FALSE),"")</f>
        <v>45840</v>
      </c>
      <c r="BE334" s="122">
        <f>IFERROR($N334+VLOOKUP($L334,'Voyage days'!$F$807:$H$878,3,FALSE),"")</f>
        <v>45842</v>
      </c>
      <c r="BF334" s="609"/>
      <c r="BG334" s="609"/>
      <c r="BH334" s="609"/>
      <c r="BI334" s="609"/>
      <c r="BJ334" s="609"/>
      <c r="BK334" s="609"/>
      <c r="BL334" s="609"/>
      <c r="BM334" s="609"/>
    </row>
    <row r="335" ht="15.75" customHeight="1">
      <c r="A335" s="342" t="s">
        <v>1355</v>
      </c>
      <c r="B335" s="148">
        <v>2015.0</v>
      </c>
      <c r="C335" s="1045">
        <v>83000.0</v>
      </c>
      <c r="D335" s="104" t="s">
        <v>1687</v>
      </c>
      <c r="E335" s="103" t="s">
        <v>689</v>
      </c>
      <c r="F335" s="1237">
        <v>43850.0</v>
      </c>
      <c r="G335" s="103" t="s">
        <v>1611</v>
      </c>
      <c r="H335" s="103"/>
      <c r="I335" s="185" t="s">
        <v>1330</v>
      </c>
      <c r="J335" s="111" t="s">
        <v>2937</v>
      </c>
      <c r="K335" s="336" t="str">
        <f t="shared" si="54"/>
        <v>Update</v>
      </c>
      <c r="L335" s="108" t="s">
        <v>957</v>
      </c>
      <c r="M335" s="109">
        <v>45795.0</v>
      </c>
      <c r="N335" s="109">
        <v>45799.0</v>
      </c>
      <c r="O335" s="403" t="s">
        <v>1314</v>
      </c>
      <c r="P335" s="108" t="s">
        <v>3274</v>
      </c>
      <c r="Q335" s="349"/>
      <c r="R335" s="349" t="s">
        <v>3275</v>
      </c>
      <c r="S335" s="112" t="s">
        <v>934</v>
      </c>
      <c r="T335" s="113">
        <v>45785.0</v>
      </c>
      <c r="U335" s="114" t="str">
        <f>IF(V335="","No AIS",VLOOKUP(V335,'Voyage days'!$A$3:$B$1480,2,FALSE))</f>
        <v>Panama</v>
      </c>
      <c r="V335" s="115" t="str">
        <f>IF(VLOOKUP(A335,'1) Kpler'!$E$2:$P$1000,8, FALSE)="","",VLOOKUP(A335,'1) Kpler'!$E$2:$P$1000,8, FALSE))</f>
        <v>Panama Canal</v>
      </c>
      <c r="W335" s="116">
        <f>IF(VLOOKUP(A335,'1) Kpler'!$E$2:$P$1000,9,FALSE)="","",VLOOKUP(A335,'1) Kpler'!$E$2:$P$1000,9,FALSE))</f>
        <v>46144.20833</v>
      </c>
      <c r="X335" s="115" t="str">
        <f>VLOOKUP(A335,'1) Kpler'!$E$2:$I$1000,4,FALSE)</f>
        <v>ballast</v>
      </c>
      <c r="Y335" s="117" t="str">
        <f t="shared" si="55"/>
        <v>03-07 Jun</v>
      </c>
      <c r="Z335" s="120" t="str">
        <f t="shared" si="56"/>
        <v>03-07 Jun</v>
      </c>
      <c r="AA335" s="121">
        <f>IFERROR($M335+VLOOKUP($L335,'Voyage days'!$F$38:$H$89,3,FALSE),"")</f>
        <v>45811</v>
      </c>
      <c r="AB335" s="121">
        <f>IFERROR(N335+VLOOKUP($L335,'Voyage days'!$F$38:$H$89,3,FALSE),"")</f>
        <v>45815</v>
      </c>
      <c r="AC335" s="120" t="str">
        <f t="shared" si="42"/>
        <v>23-27 Jun</v>
      </c>
      <c r="AD335" s="121">
        <f>IFERROR($M335+VLOOKUP($L335,'Voyage days'!$F$94:$H$193,3,FALSE),"")</f>
        <v>45831</v>
      </c>
      <c r="AE335" s="121">
        <f>IFERROR($N335+VLOOKUP($L335,'Voyage days'!$F$94:$H$193,3,FALSE),"")</f>
        <v>45835</v>
      </c>
      <c r="AF335" s="120" t="str">
        <f t="shared" si="43"/>
        <v>01-05 Jul</v>
      </c>
      <c r="AG335" s="121">
        <f>IFERROR($M335+VLOOKUP($L335,'Voyage days'!$F$203:$H$256,3,FALSE),"")</f>
        <v>45839</v>
      </c>
      <c r="AH335" s="121">
        <f>IFERROR($N335+VLOOKUP($L335,'Voyage days'!$F$203:$H$256,3,FALSE),"")</f>
        <v>45843</v>
      </c>
      <c r="AI335" s="120" t="str">
        <f t="shared" si="44"/>
        <v>15-19 Jun</v>
      </c>
      <c r="AJ335" s="121">
        <f>IFERROR($M335+VLOOKUP($L335,'Voyage days'!$F$294:$H$377,3,FALSE),"")</f>
        <v>45823</v>
      </c>
      <c r="AK335" s="121">
        <f>IFERROR($N335+VLOOKUP($L335,'Voyage days'!$F$294:$H$377,3,FALSE),"")</f>
        <v>45827</v>
      </c>
      <c r="AL335" s="120" t="str">
        <f t="shared" si="45"/>
        <v>21-25 Jun</v>
      </c>
      <c r="AM335" s="121">
        <f>IFERROR($M335+VLOOKUP($L335,'Voyage days'!$F$382:$H$446,3,FALSE),"")</f>
        <v>45829</v>
      </c>
      <c r="AN335" s="121">
        <f>IFERROR($N335+VLOOKUP($L335,'Voyage days'!$F$382:$H$446,3,FALSE),"")</f>
        <v>45833</v>
      </c>
      <c r="AO335" s="120" t="str">
        <f t="shared" si="46"/>
        <v>31-04 Jun</v>
      </c>
      <c r="AP335" s="121">
        <f>IFERROR($M335+VLOOKUP($L335,'Voyage days'!$F$483:$H$538,3,FALSE),"")</f>
        <v>45808</v>
      </c>
      <c r="AQ335" s="121">
        <f>IFERROR($N335+VLOOKUP($L335,'Voyage days'!$F$483:$H$538,3,FALSE),"")</f>
        <v>45812</v>
      </c>
      <c r="AR335" s="120" t="str">
        <f t="shared" si="47"/>
        <v>25-29 May</v>
      </c>
      <c r="AS335" s="121">
        <f>IFERROR($M335+VLOOKUP($L335,'Voyage days'!$F$540:$H$613,3,FALSE),"")</f>
        <v>45802</v>
      </c>
      <c r="AT335" s="121">
        <f>IFERROR($N335+VLOOKUP($L335,'Voyage days'!$F$540:$H$613,3,FALSE),"")</f>
        <v>45806</v>
      </c>
      <c r="AU335" s="120" t="str">
        <f t="shared" si="48"/>
        <v/>
      </c>
      <c r="AV335" s="121" t="str">
        <f>IFERROR($M335+VLOOKUP($L335,'Voyage days'!$L$483:$N$535,3,FALSE),"")</f>
        <v/>
      </c>
      <c r="AW335" s="121" t="str">
        <f>IFERROR($N335+VLOOKUP($L335,'Voyage days'!$L$483:$N$535,3,FALSE),"")</f>
        <v/>
      </c>
      <c r="AX335" s="120" t="str">
        <f t="shared" si="49"/>
        <v>01-05 Jun</v>
      </c>
      <c r="AY335" s="122">
        <f>IFERROR($M335+VLOOKUP($L335,'Voyage days'!$F$620:$H$646,3,FALSE),"")</f>
        <v>45809</v>
      </c>
      <c r="AZ335" s="122">
        <f>IFERROR($N335+VLOOKUP($L335,'Voyage days'!$F$620:$H$646,3,FALSE),"")</f>
        <v>45813</v>
      </c>
      <c r="BA335" s="120" t="str">
        <f t="shared" si="50"/>
        <v>25-05 Jul</v>
      </c>
      <c r="BB335" s="123">
        <f>IFERROR($M335+VLOOKUP($L335,'Voyage days'!$F$702:$H$727,3,FALSE),"")</f>
        <v>45802</v>
      </c>
      <c r="BC335" s="120" t="str">
        <f t="shared" si="51"/>
        <v>01-05 Jul</v>
      </c>
      <c r="BD335" s="122">
        <f>IFERROR($M335+VLOOKUP($L335,'Voyage days'!$F$807:$H$878,3,FALSE),"")</f>
        <v>45839</v>
      </c>
      <c r="BE335" s="122">
        <f>IFERROR($N335+VLOOKUP($L335,'Voyage days'!$F$807:$H$878,3,FALSE),"")</f>
        <v>45843</v>
      </c>
      <c r="BF335" s="609"/>
      <c r="BG335" s="609"/>
      <c r="BH335" s="609"/>
      <c r="BI335" s="609"/>
      <c r="BJ335" s="609"/>
      <c r="BK335" s="609"/>
      <c r="BL335" s="609"/>
      <c r="BM335" s="609"/>
    </row>
    <row r="336">
      <c r="A336" s="147" t="s">
        <v>1211</v>
      </c>
      <c r="B336" s="101">
        <v>42121.0</v>
      </c>
      <c r="C336" s="1045">
        <v>84000.0</v>
      </c>
      <c r="D336" s="104" t="s">
        <v>1687</v>
      </c>
      <c r="E336" s="103" t="s">
        <v>666</v>
      </c>
      <c r="F336" s="1137">
        <v>44063.0</v>
      </c>
      <c r="G336" s="103" t="s">
        <v>1611</v>
      </c>
      <c r="H336" s="103"/>
      <c r="I336" s="185" t="s">
        <v>1330</v>
      </c>
      <c r="J336" s="111" t="s">
        <v>2935</v>
      </c>
      <c r="K336" s="336" t="str">
        <f t="shared" si="54"/>
        <v>Update</v>
      </c>
      <c r="L336" s="108" t="s">
        <v>663</v>
      </c>
      <c r="M336" s="109">
        <v>45787.0</v>
      </c>
      <c r="N336" s="109">
        <v>45788.0</v>
      </c>
      <c r="O336" s="191" t="s">
        <v>3276</v>
      </c>
      <c r="P336" s="185"/>
      <c r="Q336" s="1238"/>
      <c r="R336" s="185"/>
      <c r="S336" s="112" t="s">
        <v>2962</v>
      </c>
      <c r="T336" s="113">
        <v>45775.0</v>
      </c>
      <c r="U336" s="114" t="str">
        <f>IF(V336="","No AIS",VLOOKUP(V336,'Voyage days'!$A$3:$B$1480,2,FALSE))</f>
        <v>Panama</v>
      </c>
      <c r="V336" s="115" t="str">
        <f>IF(VLOOKUP(A336,'1) Kpler'!$E$2:$P$1000,8, FALSE)="","",VLOOKUP(A336,'1) Kpler'!$E$2:$P$1000,8, FALSE))</f>
        <v>Panama Canal</v>
      </c>
      <c r="W336" s="116">
        <f>IF(VLOOKUP(A336,'1) Kpler'!$E$2:$P$1000,9,FALSE)="","",VLOOKUP(A336,'1) Kpler'!$E$2:$P$1000,9,FALSE))</f>
        <v>46135.00069</v>
      </c>
      <c r="X336" s="115" t="str">
        <f>VLOOKUP(A336,'1) Kpler'!$E$2:$I$1000,4,FALSE)</f>
        <v>loaded</v>
      </c>
      <c r="Y336" s="160" t="str">
        <f t="shared" si="55"/>
        <v>27-28 May</v>
      </c>
      <c r="Z336" s="120" t="str">
        <f t="shared" si="56"/>
        <v>27-28 May</v>
      </c>
      <c r="AA336" s="121">
        <f>IFERROR($M336+VLOOKUP($L336,'Voyage days'!$F$38:$H$89,3,FALSE),"")</f>
        <v>45804</v>
      </c>
      <c r="AB336" s="121">
        <f>IFERROR(N336+VLOOKUP($L336,'Voyage days'!$F$38:$H$89,3,FALSE),"")</f>
        <v>45805</v>
      </c>
      <c r="AC336" s="120" t="str">
        <f t="shared" si="42"/>
        <v>12-13 Jun</v>
      </c>
      <c r="AD336" s="121">
        <f>IFERROR($M336+VLOOKUP($L336,'Voyage days'!$F$94:$H$193,3,FALSE),"")</f>
        <v>45820</v>
      </c>
      <c r="AE336" s="121">
        <f>IFERROR($N336+VLOOKUP($L336,'Voyage days'!$F$94:$H$193,3,FALSE),"")</f>
        <v>45821</v>
      </c>
      <c r="AF336" s="120" t="str">
        <f t="shared" si="43"/>
        <v>23-24 Jun</v>
      </c>
      <c r="AG336" s="121">
        <f>IFERROR($M336+VLOOKUP($L336,'Voyage days'!$F$203:$H$256,3,FALSE),"")</f>
        <v>45831</v>
      </c>
      <c r="AH336" s="121">
        <f>IFERROR($N336+VLOOKUP($L336,'Voyage days'!$F$203:$H$256,3,FALSE),"")</f>
        <v>45832</v>
      </c>
      <c r="AI336" s="120" t="str">
        <f t="shared" si="44"/>
        <v>07-08 Jun</v>
      </c>
      <c r="AJ336" s="121">
        <f>IFERROR($M336+VLOOKUP($L336,'Voyage days'!$F$294:$H$377,3,FALSE),"")</f>
        <v>45815</v>
      </c>
      <c r="AK336" s="121">
        <f>IFERROR($N336+VLOOKUP($L336,'Voyage days'!$F$294:$H$377,3,FALSE),"")</f>
        <v>45816</v>
      </c>
      <c r="AL336" s="120" t="str">
        <f t="shared" si="45"/>
        <v>14-15 Jun</v>
      </c>
      <c r="AM336" s="121">
        <f>IFERROR($M336+VLOOKUP($L336,'Voyage days'!$F$382:$H$446,3,FALSE),"")</f>
        <v>45822</v>
      </c>
      <c r="AN336" s="121">
        <f>IFERROR($N336+VLOOKUP($L336,'Voyage days'!$F$382:$H$446,3,FALSE),"")</f>
        <v>45823</v>
      </c>
      <c r="AO336" s="120" t="str">
        <f t="shared" si="46"/>
        <v>24-25 May</v>
      </c>
      <c r="AP336" s="121">
        <f>IFERROR($M336+VLOOKUP($L336,'Voyage days'!$F$483:$H$538,3,FALSE),"")</f>
        <v>45801</v>
      </c>
      <c r="AQ336" s="121">
        <f>IFERROR($N336+VLOOKUP($L336,'Voyage days'!$F$483:$H$538,3,FALSE),"")</f>
        <v>45802</v>
      </c>
      <c r="AR336" s="120" t="str">
        <f t="shared" si="47"/>
        <v>17-18 May</v>
      </c>
      <c r="AS336" s="121">
        <f>IFERROR($M336+VLOOKUP($L336,'Voyage days'!$F$540:$H$613,3,FALSE),"")</f>
        <v>45794.25</v>
      </c>
      <c r="AT336" s="121">
        <f>IFERROR($N336+VLOOKUP($L336,'Voyage days'!$F$540:$H$613,3,FALSE),"")</f>
        <v>45795.25</v>
      </c>
      <c r="AU336" s="120" t="str">
        <f t="shared" si="48"/>
        <v/>
      </c>
      <c r="AV336" s="121" t="str">
        <f>IFERROR($M336+VLOOKUP($L336,'Voyage days'!$L$483:$N$535,3,FALSE),"")</f>
        <v/>
      </c>
      <c r="AW336" s="121" t="str">
        <f>IFERROR($N336+VLOOKUP($L336,'Voyage days'!$L$483:$N$535,3,FALSE),"")</f>
        <v/>
      </c>
      <c r="AX336" s="120" t="str">
        <f t="shared" si="49"/>
        <v>23-24 May</v>
      </c>
      <c r="AY336" s="122">
        <f>IFERROR($M336+VLOOKUP($L336,'Voyage days'!$F$620:$H$646,3,FALSE),"")</f>
        <v>45800</v>
      </c>
      <c r="AZ336" s="122">
        <f>IFERROR($N336+VLOOKUP($L336,'Voyage days'!$F$620:$H$646,3,FALSE),"")</f>
        <v>45801</v>
      </c>
      <c r="BA336" s="120" t="str">
        <f t="shared" si="50"/>
        <v>17-24 Jun</v>
      </c>
      <c r="BB336" s="123">
        <f>IFERROR($M336+VLOOKUP($L336,'Voyage days'!$F$702:$H$727,3,FALSE),"")</f>
        <v>45794.25</v>
      </c>
      <c r="BC336" s="120" t="str">
        <f t="shared" si="51"/>
        <v>23-24 Jun</v>
      </c>
      <c r="BD336" s="122">
        <f>IFERROR($M336+VLOOKUP($L336,'Voyage days'!$F$807:$H$878,3,FALSE),"")</f>
        <v>45831</v>
      </c>
      <c r="BE336" s="122">
        <f>IFERROR($N336+VLOOKUP($L336,'Voyage days'!$F$807:$H$878,3,FALSE),"")</f>
        <v>45832</v>
      </c>
      <c r="BF336" s="609"/>
      <c r="BG336" s="609"/>
      <c r="BH336" s="609"/>
      <c r="BI336" s="609"/>
      <c r="BJ336" s="609"/>
      <c r="BK336" s="609"/>
      <c r="BL336" s="609"/>
      <c r="BM336" s="609"/>
    </row>
    <row r="337" ht="15.75" customHeight="1">
      <c r="A337" s="147" t="s">
        <v>1358</v>
      </c>
      <c r="B337" s="101">
        <v>42247.0</v>
      </c>
      <c r="C337" s="1045">
        <v>84000.0</v>
      </c>
      <c r="D337" s="104" t="s">
        <v>1687</v>
      </c>
      <c r="E337" s="103" t="s">
        <v>666</v>
      </c>
      <c r="F337" s="604">
        <v>44166.0</v>
      </c>
      <c r="G337" s="103" t="s">
        <v>1611</v>
      </c>
      <c r="H337" s="103"/>
      <c r="I337" s="185" t="s">
        <v>1330</v>
      </c>
      <c r="J337" s="111" t="s">
        <v>2935</v>
      </c>
      <c r="K337" s="336" t="str">
        <f t="shared" si="54"/>
        <v>Update</v>
      </c>
      <c r="L337" s="108" t="s">
        <v>680</v>
      </c>
      <c r="M337" s="109">
        <v>45813.0</v>
      </c>
      <c r="N337" s="109">
        <v>45814.0</v>
      </c>
      <c r="O337" s="191"/>
      <c r="P337" s="108"/>
      <c r="Q337" s="185"/>
      <c r="R337" s="108" t="s">
        <v>3277</v>
      </c>
      <c r="S337" s="112" t="s">
        <v>2962</v>
      </c>
      <c r="T337" s="113">
        <v>45784.0</v>
      </c>
      <c r="U337" s="114" t="str">
        <f>IF(V337="","No AIS",VLOOKUP(V337,'Voyage days'!$A$3:$B$1480,2,FALSE))</f>
        <v>North China +4</v>
      </c>
      <c r="V337" s="115" t="str">
        <f>IF(VLOOKUP(A337,'1) Kpler'!$E$2:$P$1000,8, FALSE)="","",VLOOKUP(A337,'1) Kpler'!$E$2:$P$1000,8, FALSE))</f>
        <v>Lianyungang</v>
      </c>
      <c r="W337" s="116">
        <f>IF(VLOOKUP(A337,'1) Kpler'!$E$2:$P$1000,9,FALSE)="","",VLOOKUP(A337,'1) Kpler'!$E$2:$P$1000,9,FALSE))</f>
        <v>46139.58333</v>
      </c>
      <c r="X337" s="115" t="str">
        <f>VLOOKUP(A337,'1) Kpler'!$E$2:$I$1000,4,FALSE)</f>
        <v>loaded</v>
      </c>
      <c r="Y337" s="117" t="str">
        <f t="shared" si="55"/>
        <v/>
      </c>
      <c r="Z337" s="120" t="str">
        <f t="shared" si="56"/>
        <v/>
      </c>
      <c r="AA337" s="121" t="str">
        <f>IFERROR($M337+VLOOKUP($L337,'Voyage days'!$F$38:$H$89,3,FALSE),"")</f>
        <v/>
      </c>
      <c r="AB337" s="121" t="str">
        <f>IFERROR(N337+VLOOKUP($L337,'Voyage days'!$F$38:$H$89,3,FALSE),"")</f>
        <v/>
      </c>
      <c r="AC337" s="120" t="str">
        <f t="shared" si="42"/>
        <v>05-06 Jun</v>
      </c>
      <c r="AD337" s="121">
        <f>IFERROR($M337+VLOOKUP($L337,'Voyage days'!$F$94:$H$193,3,FALSE),"")</f>
        <v>45813</v>
      </c>
      <c r="AE337" s="121">
        <f>IFERROR($N337+VLOOKUP($L337,'Voyage days'!$F$94:$H$193,3,FALSE),"")</f>
        <v>45814</v>
      </c>
      <c r="AF337" s="120" t="str">
        <f t="shared" si="43"/>
        <v>05-06 Jun</v>
      </c>
      <c r="AG337" s="121">
        <f>IFERROR($M337+VLOOKUP($L337,'Voyage days'!$F$203:$H$256,3,FALSE),"")</f>
        <v>45813</v>
      </c>
      <c r="AH337" s="121">
        <f>IFERROR($N337+VLOOKUP($L337,'Voyage days'!$F$203:$H$256,3,FALSE),"")</f>
        <v>45814</v>
      </c>
      <c r="AI337" s="120" t="str">
        <f t="shared" si="44"/>
        <v/>
      </c>
      <c r="AJ337" s="121" t="str">
        <f>IFERROR($M337+VLOOKUP($L337,'Voyage days'!$F$294:$H$377,3,FALSE),"")</f>
        <v/>
      </c>
      <c r="AK337" s="121" t="str">
        <f>IFERROR($N337+VLOOKUP($L337,'Voyage days'!$F$294:$H$377,3,FALSE),"")</f>
        <v/>
      </c>
      <c r="AL337" s="120" t="str">
        <f t="shared" si="45"/>
        <v>25-26 Jun</v>
      </c>
      <c r="AM337" s="121">
        <f>IFERROR($M337+VLOOKUP($L337,'Voyage days'!$F$382:$H$446,3,FALSE),"")</f>
        <v>45833</v>
      </c>
      <c r="AN337" s="121">
        <f>IFERROR($N337+VLOOKUP($L337,'Voyage days'!$F$382:$H$446,3,FALSE),"")</f>
        <v>45834</v>
      </c>
      <c r="AO337" s="120" t="str">
        <f t="shared" si="46"/>
        <v/>
      </c>
      <c r="AP337" s="121" t="str">
        <f>IFERROR($M337+VLOOKUP($L337,'Voyage days'!$F$483:$H$538,3,FALSE),"")</f>
        <v/>
      </c>
      <c r="AQ337" s="121" t="str">
        <f>IFERROR($N337+VLOOKUP($L337,'Voyage days'!$F$483:$H$538,3,FALSE),"")</f>
        <v/>
      </c>
      <c r="AR337" s="120" t="str">
        <f t="shared" si="47"/>
        <v/>
      </c>
      <c r="AS337" s="121" t="str">
        <f>IFERROR($M337+VLOOKUP($L337,'Voyage days'!$F$540:$H$613,3,FALSE),"")</f>
        <v/>
      </c>
      <c r="AT337" s="121" t="str">
        <f>IFERROR($N337+VLOOKUP($L337,'Voyage days'!$F$540:$H$613,3,FALSE),"")</f>
        <v/>
      </c>
      <c r="AU337" s="120" t="str">
        <f t="shared" si="48"/>
        <v/>
      </c>
      <c r="AV337" s="121" t="str">
        <f>IFERROR($M337+VLOOKUP($L337,'Voyage days'!$L$483:$N$535,3,FALSE),"")</f>
        <v/>
      </c>
      <c r="AW337" s="121" t="str">
        <f>IFERROR($N337+VLOOKUP($L337,'Voyage days'!$L$483:$N$535,3,FALSE),"")</f>
        <v/>
      </c>
      <c r="AX337" s="120" t="str">
        <f t="shared" si="49"/>
        <v/>
      </c>
      <c r="AY337" s="122" t="str">
        <f>IFERROR($M337+VLOOKUP($L337,'Voyage days'!$F$620:$H$646,3,FALSE),"")</f>
        <v/>
      </c>
      <c r="AZ337" s="122" t="str">
        <f>IFERROR($N337+VLOOKUP($L337,'Voyage days'!$F$620:$H$646,3,FALSE),"")</f>
        <v/>
      </c>
      <c r="BA337" s="120" t="str">
        <f t="shared" si="50"/>
        <v/>
      </c>
      <c r="BB337" s="123" t="str">
        <f>IFERROR($M337+VLOOKUP($L337,'Voyage days'!$F$702:$H$727,3,FALSE),"")</f>
        <v/>
      </c>
      <c r="BC337" s="120" t="str">
        <f t="shared" si="51"/>
        <v/>
      </c>
      <c r="BD337" s="122" t="str">
        <f>IFERROR($M337+VLOOKUP($L337,'Voyage days'!$F$807:$H$878,3,FALSE),"")</f>
        <v/>
      </c>
      <c r="BE337" s="122" t="str">
        <f>IFERROR($N337+VLOOKUP($L337,'Voyage days'!$F$807:$H$878,3,FALSE),"")</f>
        <v/>
      </c>
      <c r="BF337" s="609"/>
      <c r="BG337" s="609"/>
      <c r="BH337" s="609"/>
      <c r="BI337" s="609"/>
      <c r="BJ337" s="609"/>
      <c r="BK337" s="609"/>
      <c r="BL337" s="609"/>
      <c r="BM337" s="609"/>
    </row>
    <row r="338">
      <c r="A338" s="1239" t="s">
        <v>2898</v>
      </c>
      <c r="B338" s="101">
        <v>42248.0</v>
      </c>
      <c r="C338" s="1045">
        <v>84000.0</v>
      </c>
      <c r="D338" s="104" t="s">
        <v>1687</v>
      </c>
      <c r="E338" s="103" t="s">
        <v>666</v>
      </c>
      <c r="F338" s="604">
        <v>44167.0</v>
      </c>
      <c r="G338" s="103" t="s">
        <v>1611</v>
      </c>
      <c r="H338" s="103"/>
      <c r="I338" s="185" t="s">
        <v>1330</v>
      </c>
      <c r="J338" s="111" t="s">
        <v>2935</v>
      </c>
      <c r="K338" s="336" t="str">
        <f t="shared" si="54"/>
        <v>#N/A</v>
      </c>
      <c r="L338" s="108" t="s">
        <v>1085</v>
      </c>
      <c r="M338" s="109">
        <v>45799.0</v>
      </c>
      <c r="N338" s="109">
        <v>45801.0</v>
      </c>
      <c r="O338" s="191" t="s">
        <v>1314</v>
      </c>
      <c r="P338" s="108" t="s">
        <v>3278</v>
      </c>
      <c r="Q338" s="185"/>
      <c r="R338" s="108" t="s">
        <v>3279</v>
      </c>
      <c r="S338" s="112" t="s">
        <v>2962</v>
      </c>
      <c r="T338" s="113">
        <v>45784.0</v>
      </c>
      <c r="U338" s="114" t="str">
        <f>IF(V338="","No AIS",VLOOKUP(V338,'Voyage days'!$A$3:$B$1480,2,FALSE))</f>
        <v>#N/A</v>
      </c>
      <c r="V338" s="115" t="str">
        <f>IF(VLOOKUP(A338,'1) Kpler'!$E$2:$P$1000,8, FALSE)="","",VLOOKUP(A338,'1) Kpler'!$E$2:$P$1000,8, FALSE))</f>
        <v>#N/A</v>
      </c>
      <c r="W338" s="116" t="str">
        <f>IF(VLOOKUP(A338,'1) Kpler'!$E$2:$P$1000,9,FALSE)="","",VLOOKUP(A338,'1) Kpler'!$E$2:$P$1000,9,FALSE))</f>
        <v>#N/A</v>
      </c>
      <c r="X338" s="115" t="str">
        <f>VLOOKUP(A338,'1) Kpler'!$E$2:$I$1000,4,FALSE)</f>
        <v>#N/A</v>
      </c>
      <c r="Y338" s="160" t="str">
        <f t="shared" si="55"/>
        <v>27-29 May</v>
      </c>
      <c r="Z338" s="120" t="str">
        <f t="shared" si="56"/>
        <v>27-29 May</v>
      </c>
      <c r="AA338" s="121">
        <f>IFERROR($M338+VLOOKUP($L338,'Voyage days'!$F$38:$H$89,3,FALSE),"")</f>
        <v>45804</v>
      </c>
      <c r="AB338" s="121">
        <f>IFERROR(N338+VLOOKUP($L338,'Voyage days'!$F$38:$H$89,3,FALSE),"")</f>
        <v>45806</v>
      </c>
      <c r="AC338" s="120" t="str">
        <f t="shared" si="42"/>
        <v/>
      </c>
      <c r="AD338" s="121" t="str">
        <f>IFERROR($M338+VLOOKUP($L338,'Voyage days'!$F$94:$H$193,3,FALSE),"")</f>
        <v/>
      </c>
      <c r="AE338" s="121" t="str">
        <f>IFERROR($N338+VLOOKUP($L338,'Voyage days'!$F$94:$H$193,3,FALSE),"")</f>
        <v/>
      </c>
      <c r="AF338" s="120" t="str">
        <f t="shared" si="43"/>
        <v>23-25 Jun</v>
      </c>
      <c r="AG338" s="121">
        <f>IFERROR($M338+VLOOKUP($L338,'Voyage days'!$F$203:$H$256,3,FALSE),"")</f>
        <v>45831</v>
      </c>
      <c r="AH338" s="121">
        <f>IFERROR($N338+VLOOKUP($L338,'Voyage days'!$F$203:$H$256,3,FALSE),"")</f>
        <v>45833</v>
      </c>
      <c r="AI338" s="120" t="str">
        <f t="shared" si="44"/>
        <v>10-12 Jun</v>
      </c>
      <c r="AJ338" s="121">
        <f>IFERROR($M338+VLOOKUP($L338,'Voyage days'!$F$294:$H$377,3,FALSE),"")</f>
        <v>45818</v>
      </c>
      <c r="AK338" s="121">
        <f>IFERROR($N338+VLOOKUP($L338,'Voyage days'!$F$294:$H$377,3,FALSE),"")</f>
        <v>45820</v>
      </c>
      <c r="AL338" s="120" t="str">
        <f t="shared" si="45"/>
        <v>04-06 Jun</v>
      </c>
      <c r="AM338" s="121">
        <f>IFERROR($M338+VLOOKUP($L338,'Voyage days'!$F$382:$H$446,3,FALSE),"")</f>
        <v>45812</v>
      </c>
      <c r="AN338" s="121">
        <f>IFERROR($N338+VLOOKUP($L338,'Voyage days'!$F$382:$H$446,3,FALSE),"")</f>
        <v>45814</v>
      </c>
      <c r="AO338" s="120" t="str">
        <f t="shared" si="46"/>
        <v/>
      </c>
      <c r="AP338" s="121" t="str">
        <f>IFERROR($M338+VLOOKUP($L338,'Voyage days'!$F$483:$H$538,3,FALSE),"")</f>
        <v/>
      </c>
      <c r="AQ338" s="121" t="str">
        <f>IFERROR($N338+VLOOKUP($L338,'Voyage days'!$F$483:$H$538,3,FALSE),"")</f>
        <v/>
      </c>
      <c r="AR338" s="120" t="str">
        <f t="shared" si="47"/>
        <v/>
      </c>
      <c r="AS338" s="121" t="str">
        <f>IFERROR($M338+VLOOKUP($L338,'Voyage days'!$F$540:$H$613,3,FALSE),"")</f>
        <v/>
      </c>
      <c r="AT338" s="121" t="str">
        <f>IFERROR($N338+VLOOKUP($L338,'Voyage days'!$F$540:$H$613,3,FALSE),"")</f>
        <v/>
      </c>
      <c r="AU338" s="120" t="str">
        <f t="shared" si="48"/>
        <v/>
      </c>
      <c r="AV338" s="121" t="str">
        <f>IFERROR($M338+VLOOKUP($L338,'Voyage days'!$L$483:$N$535,3,FALSE),"")</f>
        <v/>
      </c>
      <c r="AW338" s="121" t="str">
        <f>IFERROR($N338+VLOOKUP($L338,'Voyage days'!$L$483:$N$535,3,FALSE),"")</f>
        <v/>
      </c>
      <c r="AX338" s="120" t="str">
        <f t="shared" si="49"/>
        <v/>
      </c>
      <c r="AY338" s="122" t="str">
        <f>IFERROR($M338+VLOOKUP($L338,'Voyage days'!$F$620:$H$646,3,FALSE),"")</f>
        <v/>
      </c>
      <c r="AZ338" s="122" t="str">
        <f>IFERROR($N338+VLOOKUP($L338,'Voyage days'!$F$620:$H$646,3,FALSE),"")</f>
        <v/>
      </c>
      <c r="BA338" s="120" t="str">
        <f t="shared" si="50"/>
        <v/>
      </c>
      <c r="BB338" s="123" t="str">
        <f>IFERROR($M338+VLOOKUP($L338,'Voyage days'!$F$702:$H$727,3,FALSE),"")</f>
        <v/>
      </c>
      <c r="BC338" s="120" t="str">
        <f t="shared" si="51"/>
        <v>26-28 Jun</v>
      </c>
      <c r="BD338" s="122">
        <f>IFERROR($M338+VLOOKUP($L338,'Voyage days'!$F$807:$H$878,3,FALSE),"")</f>
        <v>45834</v>
      </c>
      <c r="BE338" s="122">
        <f>IFERROR($N338+VLOOKUP($L338,'Voyage days'!$F$807:$H$878,3,FALSE),"")</f>
        <v>45836</v>
      </c>
      <c r="BF338" s="609"/>
      <c r="BG338" s="609"/>
      <c r="BH338" s="609"/>
      <c r="BI338" s="609"/>
      <c r="BJ338" s="609"/>
      <c r="BK338" s="609"/>
      <c r="BL338" s="609"/>
      <c r="BM338" s="609"/>
    </row>
    <row r="339">
      <c r="A339" s="147" t="s">
        <v>1365</v>
      </c>
      <c r="B339" s="101">
        <v>42667.0</v>
      </c>
      <c r="C339" s="1045">
        <v>84000.0</v>
      </c>
      <c r="D339" s="104" t="s">
        <v>1687</v>
      </c>
      <c r="E339" s="103" t="s">
        <v>666</v>
      </c>
      <c r="F339" s="1137">
        <v>44470.0</v>
      </c>
      <c r="G339" s="103" t="s">
        <v>1611</v>
      </c>
      <c r="H339" s="1130"/>
      <c r="I339" s="185" t="s">
        <v>1330</v>
      </c>
      <c r="J339" s="111" t="s">
        <v>2935</v>
      </c>
      <c r="K339" s="336" t="str">
        <f t="shared" si="54"/>
        <v>Update</v>
      </c>
      <c r="L339" s="108" t="s">
        <v>211</v>
      </c>
      <c r="M339" s="109">
        <v>45788.0</v>
      </c>
      <c r="N339" s="109">
        <v>45789.0</v>
      </c>
      <c r="O339" s="191"/>
      <c r="P339" s="108" t="s">
        <v>3280</v>
      </c>
      <c r="Q339" s="185"/>
      <c r="R339" s="108" t="s">
        <v>3281</v>
      </c>
      <c r="S339" s="112" t="s">
        <v>934</v>
      </c>
      <c r="T339" s="113">
        <v>45788.0</v>
      </c>
      <c r="U339" s="114" t="str">
        <f>IF(V339="","No AIS",VLOOKUP(V339,'Voyage days'!$A$3:$B$1480,2,FALSE))</f>
        <v>ECI + 5</v>
      </c>
      <c r="V339" s="115" t="str">
        <f>IF(VLOOKUP(A339,'1) Kpler'!$E$2:$P$1000,8, FALSE)="","",VLOOKUP(A339,'1) Kpler'!$E$2:$P$1000,8, FALSE))</f>
        <v>Ennore Port</v>
      </c>
      <c r="W339" s="116">
        <f>IF(VLOOKUP(A339,'1) Kpler'!$E$2:$P$1000,9,FALSE)="","",VLOOKUP(A339,'1) Kpler'!$E$2:$P$1000,9,FALSE))</f>
        <v>46136.85417</v>
      </c>
      <c r="X339" s="115" t="str">
        <f>VLOOKUP(A339,'1) Kpler'!$E$2:$I$1000,4,FALSE)</f>
        <v>loaded</v>
      </c>
      <c r="Y339" s="160" t="str">
        <f t="shared" si="55"/>
        <v>16-17 May</v>
      </c>
      <c r="Z339" s="120" t="str">
        <f t="shared" si="56"/>
        <v>16-17 May</v>
      </c>
      <c r="AA339" s="121">
        <f>IFERROR($M339+VLOOKUP($L339,'Voyage days'!$F$38:$H$89,3,FALSE),"")</f>
        <v>45793</v>
      </c>
      <c r="AB339" s="121">
        <f>IFERROR(N339+VLOOKUP($L339,'Voyage days'!$F$38:$H$89,3,FALSE),"")</f>
        <v>45794</v>
      </c>
      <c r="AC339" s="120" t="str">
        <f t="shared" si="42"/>
        <v/>
      </c>
      <c r="AD339" s="121" t="str">
        <f>IFERROR($M339+VLOOKUP($L339,'Voyage days'!$F$94:$H$193,3,FALSE),"")</f>
        <v/>
      </c>
      <c r="AE339" s="121" t="str">
        <f>IFERROR($N339+VLOOKUP($L339,'Voyage days'!$F$94:$H$193,3,FALSE),"")</f>
        <v/>
      </c>
      <c r="AF339" s="120" t="str">
        <f t="shared" si="43"/>
        <v>11-12 Jun</v>
      </c>
      <c r="AG339" s="121">
        <f>IFERROR($M339+VLOOKUP($L339,'Voyage days'!$F$203:$H$256,3,FALSE),"")</f>
        <v>45819</v>
      </c>
      <c r="AH339" s="121">
        <f>IFERROR($N339+VLOOKUP($L339,'Voyage days'!$F$203:$H$256,3,FALSE),"")</f>
        <v>45820</v>
      </c>
      <c r="AI339" s="120" t="str">
        <f t="shared" si="44"/>
        <v>29-30 May</v>
      </c>
      <c r="AJ339" s="121">
        <f>IFERROR($M339+VLOOKUP($L339,'Voyage days'!$F$294:$H$377,3,FALSE),"")</f>
        <v>45806</v>
      </c>
      <c r="AK339" s="121">
        <f>IFERROR($N339+VLOOKUP($L339,'Voyage days'!$F$294:$H$377,3,FALSE),"")</f>
        <v>45807</v>
      </c>
      <c r="AL339" s="120" t="str">
        <f t="shared" si="45"/>
        <v>06-07 Jun</v>
      </c>
      <c r="AM339" s="121">
        <f>IFERROR($M339+VLOOKUP($L339,'Voyage days'!$F$382:$H$446,3,FALSE),"")</f>
        <v>45814</v>
      </c>
      <c r="AN339" s="121">
        <f>IFERROR($N339+VLOOKUP($L339,'Voyage days'!$F$382:$H$446,3,FALSE),"")</f>
        <v>45815</v>
      </c>
      <c r="AO339" s="120" t="str">
        <f t="shared" si="46"/>
        <v/>
      </c>
      <c r="AP339" s="121" t="str">
        <f>IFERROR($M339+VLOOKUP($L339,'Voyage days'!$F$483:$H$538,3,FALSE),"")</f>
        <v/>
      </c>
      <c r="AQ339" s="121" t="str">
        <f>IFERROR($N339+VLOOKUP($L339,'Voyage days'!$F$483:$H$538,3,FALSE),"")</f>
        <v/>
      </c>
      <c r="AR339" s="120" t="str">
        <f t="shared" si="47"/>
        <v/>
      </c>
      <c r="AS339" s="121" t="str">
        <f>IFERROR($M339+VLOOKUP($L339,'Voyage days'!$F$540:$H$613,3,FALSE),"")</f>
        <v/>
      </c>
      <c r="AT339" s="121" t="str">
        <f>IFERROR($N339+VLOOKUP($L339,'Voyage days'!$F$540:$H$613,3,FALSE),"")</f>
        <v/>
      </c>
      <c r="AU339" s="120" t="str">
        <f t="shared" si="48"/>
        <v/>
      </c>
      <c r="AV339" s="121" t="str">
        <f>IFERROR($M339+VLOOKUP($L339,'Voyage days'!$L$483:$N$535,3,FALSE),"")</f>
        <v/>
      </c>
      <c r="AW339" s="121" t="str">
        <f>IFERROR($N339+VLOOKUP($L339,'Voyage days'!$L$483:$N$535,3,FALSE),"")</f>
        <v/>
      </c>
      <c r="AX339" s="120" t="str">
        <f t="shared" si="49"/>
        <v/>
      </c>
      <c r="AY339" s="122" t="str">
        <f>IFERROR($M339+VLOOKUP($L339,'Voyage days'!$F$620:$H$646,3,FALSE),"")</f>
        <v/>
      </c>
      <c r="AZ339" s="122" t="str">
        <f>IFERROR($N339+VLOOKUP($L339,'Voyage days'!$F$620:$H$646,3,FALSE),"")</f>
        <v/>
      </c>
      <c r="BA339" s="120" t="str">
        <f t="shared" si="50"/>
        <v/>
      </c>
      <c r="BB339" s="123" t="str">
        <f>IFERROR($M339+VLOOKUP($L339,'Voyage days'!$F$702:$H$727,3,FALSE),"")</f>
        <v/>
      </c>
      <c r="BC339" s="120" t="str">
        <f t="shared" si="51"/>
        <v>23-24 Jun</v>
      </c>
      <c r="BD339" s="122">
        <f>IFERROR($M339+VLOOKUP($L339,'Voyage days'!$F$807:$H$878,3,FALSE),"")</f>
        <v>45831</v>
      </c>
      <c r="BE339" s="122">
        <f>IFERROR($N339+VLOOKUP($L339,'Voyage days'!$F$807:$H$878,3,FALSE),"")</f>
        <v>45832</v>
      </c>
      <c r="BF339" s="609"/>
      <c r="BG339" s="609"/>
      <c r="BH339" s="609"/>
      <c r="BI339" s="609"/>
      <c r="BJ339" s="609"/>
      <c r="BK339" s="609"/>
      <c r="BL339" s="609"/>
      <c r="BM339" s="609"/>
    </row>
    <row r="340" ht="15.0" customHeight="1">
      <c r="A340" s="341" t="s">
        <v>1368</v>
      </c>
      <c r="B340" s="101">
        <v>42016.0</v>
      </c>
      <c r="C340" s="1045">
        <v>83000.0</v>
      </c>
      <c r="D340" s="104" t="s">
        <v>1687</v>
      </c>
      <c r="E340" s="103" t="s">
        <v>689</v>
      </c>
      <c r="F340" s="604">
        <v>43831.0</v>
      </c>
      <c r="G340" s="103" t="s">
        <v>1611</v>
      </c>
      <c r="H340" s="103"/>
      <c r="I340" s="185" t="s">
        <v>1330</v>
      </c>
      <c r="J340" s="111" t="s">
        <v>2937</v>
      </c>
      <c r="K340" s="336" t="str">
        <f t="shared" si="54"/>
        <v>Update</v>
      </c>
      <c r="L340" s="108" t="s">
        <v>720</v>
      </c>
      <c r="M340" s="109">
        <v>45781.0</v>
      </c>
      <c r="N340" s="109">
        <v>45782.0</v>
      </c>
      <c r="O340" s="191"/>
      <c r="P340" s="108" t="s">
        <v>3282</v>
      </c>
      <c r="Q340" s="333"/>
      <c r="R340" s="185"/>
      <c r="S340" s="112" t="s">
        <v>934</v>
      </c>
      <c r="T340" s="113">
        <v>45779.0</v>
      </c>
      <c r="U340" s="114" t="str">
        <f>IF(V340="","No AIS",VLOOKUP(V340,'Voyage days'!$A$3:$B$1480,2,FALSE))</f>
        <v>Thailand + 3</v>
      </c>
      <c r="V340" s="115" t="str">
        <f>IF(VLOOKUP(A340,'1) Kpler'!$E$2:$P$1000,8, FALSE)="","",VLOOKUP(A340,'1) Kpler'!$E$2:$P$1000,8, FALSE))</f>
        <v>Ko Sichang</v>
      </c>
      <c r="W340" s="116">
        <f>IF(VLOOKUP(A340,'1) Kpler'!$E$2:$P$1000,9,FALSE)="","",VLOOKUP(A340,'1) Kpler'!$E$2:$P$1000,9,FALSE))</f>
        <v>46152.79167</v>
      </c>
      <c r="X340" s="115" t="str">
        <f>VLOOKUP(A340,'1) Kpler'!$E$2:$I$1000,4,FALSE)</f>
        <v>loaded</v>
      </c>
      <c r="Y340" s="160" t="str">
        <f t="shared" si="55"/>
        <v>22-23 May</v>
      </c>
      <c r="Z340" s="120" t="str">
        <f t="shared" si="56"/>
        <v>22-23 May</v>
      </c>
      <c r="AA340" s="121">
        <f>IFERROR($M340+VLOOKUP($L340,'Voyage days'!$F$38:$H$89,3,FALSE),"")</f>
        <v>45799</v>
      </c>
      <c r="AB340" s="121">
        <f>IFERROR(N340+VLOOKUP($L340,'Voyage days'!$F$38:$H$89,3,FALSE),"")</f>
        <v>45800</v>
      </c>
      <c r="AC340" s="120" t="str">
        <f t="shared" si="42"/>
        <v>07-08 Jun</v>
      </c>
      <c r="AD340" s="121">
        <f>IFERROR($M340+VLOOKUP($L340,'Voyage days'!$F$94:$H$193,3,FALSE),"")</f>
        <v>45815</v>
      </c>
      <c r="AE340" s="121">
        <f>IFERROR($N340+VLOOKUP($L340,'Voyage days'!$F$94:$H$193,3,FALSE),"")</f>
        <v>45816</v>
      </c>
      <c r="AF340" s="120" t="str">
        <f t="shared" si="43"/>
        <v>14-15 Jun</v>
      </c>
      <c r="AG340" s="121">
        <f>IFERROR($M340+VLOOKUP($L340,'Voyage days'!$F$203:$H$256,3,FALSE),"")</f>
        <v>45822</v>
      </c>
      <c r="AH340" s="121">
        <f>IFERROR($N340+VLOOKUP($L340,'Voyage days'!$F$203:$H$256,3,FALSE),"")</f>
        <v>45823</v>
      </c>
      <c r="AI340" s="120" t="str">
        <f t="shared" si="44"/>
        <v>02-03 Jun</v>
      </c>
      <c r="AJ340" s="121">
        <f>IFERROR($M340+VLOOKUP($L340,'Voyage days'!$F$294:$H$377,3,FALSE),"")</f>
        <v>45810</v>
      </c>
      <c r="AK340" s="121">
        <f>IFERROR($N340+VLOOKUP($L340,'Voyage days'!$F$294:$H$377,3,FALSE),"")</f>
        <v>45811</v>
      </c>
      <c r="AL340" s="120" t="str">
        <f t="shared" si="45"/>
        <v>08-09 Jun</v>
      </c>
      <c r="AM340" s="121">
        <f>IFERROR($M340+VLOOKUP($L340,'Voyage days'!$F$382:$H$446,3,FALSE),"")</f>
        <v>45816</v>
      </c>
      <c r="AN340" s="121">
        <f>IFERROR($N340+VLOOKUP($L340,'Voyage days'!$F$382:$H$446,3,FALSE),"")</f>
        <v>45817</v>
      </c>
      <c r="AO340" s="120" t="str">
        <f t="shared" si="46"/>
        <v>18-19 May</v>
      </c>
      <c r="AP340" s="121">
        <f>IFERROR($M340+VLOOKUP($L340,'Voyage days'!$F$483:$H$538,3,FALSE),"")</f>
        <v>45795</v>
      </c>
      <c r="AQ340" s="121">
        <f>IFERROR($N340+VLOOKUP($L340,'Voyage days'!$F$483:$H$538,3,FALSE),"")</f>
        <v>45796</v>
      </c>
      <c r="AR340" s="120" t="str">
        <f t="shared" si="47"/>
        <v>12-13 May</v>
      </c>
      <c r="AS340" s="121">
        <f>IFERROR($M340+VLOOKUP($L340,'Voyage days'!$F$540:$H$613,3,FALSE),"")</f>
        <v>45789</v>
      </c>
      <c r="AT340" s="121">
        <f>IFERROR($N340+VLOOKUP($L340,'Voyage days'!$F$540:$H$613,3,FALSE),"")</f>
        <v>45790</v>
      </c>
      <c r="AU340" s="120" t="str">
        <f t="shared" si="48"/>
        <v/>
      </c>
      <c r="AV340" s="121" t="str">
        <f>IFERROR($M340+VLOOKUP($L340,'Voyage days'!$L$483:$N$535,3,FALSE),"")</f>
        <v/>
      </c>
      <c r="AW340" s="121" t="str">
        <f>IFERROR($N340+VLOOKUP($L340,'Voyage days'!$L$483:$N$535,3,FALSE),"")</f>
        <v/>
      </c>
      <c r="AX340" s="120" t="str">
        <f t="shared" si="49"/>
        <v>15-16 May</v>
      </c>
      <c r="AY340" s="122">
        <f>IFERROR($M340+VLOOKUP($L340,'Voyage days'!$F$620:$H$646,3,FALSE),"")</f>
        <v>45792</v>
      </c>
      <c r="AZ340" s="122">
        <f>IFERROR($N340+VLOOKUP($L340,'Voyage days'!$F$620:$H$646,3,FALSE),"")</f>
        <v>45793</v>
      </c>
      <c r="BA340" s="120" t="str">
        <f t="shared" si="50"/>
        <v>12-19 Jun</v>
      </c>
      <c r="BB340" s="123">
        <f>IFERROR($M340+VLOOKUP($L340,'Voyage days'!$F$702:$H$727,3,FALSE),"")</f>
        <v>45789</v>
      </c>
      <c r="BC340" s="120" t="str">
        <f t="shared" si="51"/>
        <v>18-19 Jun</v>
      </c>
      <c r="BD340" s="122">
        <f>IFERROR($M340+VLOOKUP($L340,'Voyage days'!$F$807:$H$878,3,FALSE),"")</f>
        <v>45826</v>
      </c>
      <c r="BE340" s="122">
        <f>IFERROR($N340+VLOOKUP($L340,'Voyage days'!$F$807:$H$878,3,FALSE),"")</f>
        <v>45827</v>
      </c>
      <c r="BF340" s="609"/>
      <c r="BG340" s="609"/>
      <c r="BH340" s="609"/>
      <c r="BI340" s="609"/>
      <c r="BJ340" s="609"/>
      <c r="BK340" s="609"/>
      <c r="BL340" s="609"/>
      <c r="BM340" s="609"/>
    </row>
    <row r="341" ht="15.75" customHeight="1">
      <c r="A341" s="341" t="s">
        <v>1372</v>
      </c>
      <c r="B341" s="101">
        <v>42016.0</v>
      </c>
      <c r="C341" s="1045">
        <v>83000.0</v>
      </c>
      <c r="D341" s="104" t="s">
        <v>1687</v>
      </c>
      <c r="E341" s="103" t="s">
        <v>689</v>
      </c>
      <c r="F341" s="1137">
        <v>43831.0</v>
      </c>
      <c r="G341" s="103" t="s">
        <v>1611</v>
      </c>
      <c r="H341" s="103"/>
      <c r="I341" s="185" t="s">
        <v>1330</v>
      </c>
      <c r="J341" s="111" t="s">
        <v>2937</v>
      </c>
      <c r="K341" s="336" t="str">
        <f t="shared" si="54"/>
        <v>Update</v>
      </c>
      <c r="L341" s="108" t="s">
        <v>703</v>
      </c>
      <c r="M341" s="109">
        <v>45792.0</v>
      </c>
      <c r="N341" s="109">
        <v>45797.0</v>
      </c>
      <c r="O341" s="191"/>
      <c r="P341" s="108"/>
      <c r="Q341" s="185"/>
      <c r="R341" s="108" t="s">
        <v>3283</v>
      </c>
      <c r="S341" s="112" t="s">
        <v>934</v>
      </c>
      <c r="T341" s="113">
        <v>45786.0</v>
      </c>
      <c r="U341" s="114" t="str">
        <f>IF(V341="","No AIS",VLOOKUP(V341,'Voyage days'!$A$3:$B$1480,2,FALSE))</f>
        <v>Tanzania + 7</v>
      </c>
      <c r="V341" s="115" t="str">
        <f>IF(VLOOKUP(A341,'1) Kpler'!$E$2:$P$1000,8, FALSE)="","",VLOOKUP(A341,'1) Kpler'!$E$2:$P$1000,8, FALSE))</f>
        <v>Zanzibar</v>
      </c>
      <c r="W341" s="116">
        <f>IF(VLOOKUP(A341,'1) Kpler'!$E$2:$P$1000,9,FALSE)="","",VLOOKUP(A341,'1) Kpler'!$E$2:$P$1000,9,FALSE))</f>
        <v>46138.5</v>
      </c>
      <c r="X341" s="115" t="str">
        <f>VLOOKUP(A341,'1) Kpler'!$E$2:$I$1000,4,FALSE)</f>
        <v>loaded</v>
      </c>
      <c r="Y341" s="117" t="str">
        <f t="shared" si="55"/>
        <v>30-04 Jun</v>
      </c>
      <c r="Z341" s="120" t="str">
        <f t="shared" si="56"/>
        <v>30-04 Jun</v>
      </c>
      <c r="AA341" s="121">
        <f>IFERROR($M341+VLOOKUP($L341,'Voyage days'!$F$38:$H$89,3,FALSE),"")</f>
        <v>45807</v>
      </c>
      <c r="AB341" s="121">
        <f>IFERROR(N341+VLOOKUP($L341,'Voyage days'!$F$38:$H$89,3,FALSE),"")</f>
        <v>45812</v>
      </c>
      <c r="AC341" s="120" t="str">
        <f t="shared" si="42"/>
        <v>21-26 Jun</v>
      </c>
      <c r="AD341" s="121">
        <f>IFERROR($M341+VLOOKUP($L341,'Voyage days'!$F$94:$H$193,3,FALSE),"")</f>
        <v>45829</v>
      </c>
      <c r="AE341" s="121">
        <f>IFERROR($N341+VLOOKUP($L341,'Voyage days'!$F$94:$H$193,3,FALSE),"")</f>
        <v>45834</v>
      </c>
      <c r="AF341" s="120" t="str">
        <f t="shared" si="43"/>
        <v>26-01 Jul</v>
      </c>
      <c r="AG341" s="121">
        <f>IFERROR($M341+VLOOKUP($L341,'Voyage days'!$F$203:$H$256,3,FALSE),"")</f>
        <v>45834</v>
      </c>
      <c r="AH341" s="121">
        <f>IFERROR($N341+VLOOKUP($L341,'Voyage days'!$F$203:$H$256,3,FALSE),"")</f>
        <v>45839</v>
      </c>
      <c r="AI341" s="120" t="str">
        <f t="shared" si="44"/>
        <v>10-15 Jun</v>
      </c>
      <c r="AJ341" s="121">
        <f>IFERROR($M341+VLOOKUP($L341,'Voyage days'!$F$294:$H$377,3,FALSE),"")</f>
        <v>45818</v>
      </c>
      <c r="AK341" s="121">
        <f>IFERROR($N341+VLOOKUP($L341,'Voyage days'!$F$294:$H$377,3,FALSE),"")</f>
        <v>45823</v>
      </c>
      <c r="AL341" s="120" t="str">
        <f t="shared" si="45"/>
        <v>17-22 Jun</v>
      </c>
      <c r="AM341" s="121">
        <f>IFERROR($M341+VLOOKUP($L341,'Voyage days'!$F$382:$H$446,3,FALSE),"")</f>
        <v>45825</v>
      </c>
      <c r="AN341" s="121">
        <f>IFERROR($N341+VLOOKUP($L341,'Voyage days'!$F$382:$H$446,3,FALSE),"")</f>
        <v>45830</v>
      </c>
      <c r="AO341" s="120" t="str">
        <f t="shared" si="46"/>
        <v>29-03 Jun</v>
      </c>
      <c r="AP341" s="121">
        <f>IFERROR($M341+VLOOKUP($L341,'Voyage days'!$F$483:$H$538,3,FALSE),"")</f>
        <v>45806</v>
      </c>
      <c r="AQ341" s="121">
        <f>IFERROR($N341+VLOOKUP($L341,'Voyage days'!$F$483:$H$538,3,FALSE),"")</f>
        <v>45811</v>
      </c>
      <c r="AR341" s="120" t="str">
        <f t="shared" si="47"/>
        <v>21-26 May</v>
      </c>
      <c r="AS341" s="121">
        <f>IFERROR($M341+VLOOKUP($L341,'Voyage days'!$F$540:$H$613,3,FALSE),"")</f>
        <v>45798.75</v>
      </c>
      <c r="AT341" s="121">
        <f>IFERROR($N341+VLOOKUP($L341,'Voyage days'!$F$540:$H$613,3,FALSE),"")</f>
        <v>45803.75</v>
      </c>
      <c r="AU341" s="120" t="str">
        <f t="shared" si="48"/>
        <v/>
      </c>
      <c r="AV341" s="121" t="str">
        <f>IFERROR($M341+VLOOKUP($L341,'Voyage days'!$L$483:$N$535,3,FALSE),"")</f>
        <v/>
      </c>
      <c r="AW341" s="121" t="str">
        <f>IFERROR($N341+VLOOKUP($L341,'Voyage days'!$L$483:$N$535,3,FALSE),"")</f>
        <v/>
      </c>
      <c r="AX341" s="120" t="str">
        <f t="shared" si="49"/>
        <v/>
      </c>
      <c r="AY341" s="122" t="str">
        <f>IFERROR($M341+VLOOKUP($L341,'Voyage days'!$F$620:$H$646,3,FALSE),"")</f>
        <v/>
      </c>
      <c r="AZ341" s="122" t="str">
        <f>IFERROR($N341+VLOOKUP($L341,'Voyage days'!$F$620:$H$646,3,FALSE),"")</f>
        <v/>
      </c>
      <c r="BA341" s="120" t="str">
        <f t="shared" si="50"/>
        <v>21-01 Jul</v>
      </c>
      <c r="BB341" s="123">
        <f>IFERROR($M341+VLOOKUP($L341,'Voyage days'!$F$702:$H$727,3,FALSE),"")</f>
        <v>45798.75</v>
      </c>
      <c r="BC341" s="120" t="str">
        <f t="shared" si="51"/>
        <v>26-01 Jul</v>
      </c>
      <c r="BD341" s="122">
        <f>IFERROR($M341+VLOOKUP($L341,'Voyage days'!$F$807:$H$878,3,FALSE),"")</f>
        <v>45834</v>
      </c>
      <c r="BE341" s="122">
        <f>IFERROR($N341+VLOOKUP($L341,'Voyage days'!$F$807:$H$878,3,FALSE),"")</f>
        <v>45839</v>
      </c>
      <c r="BF341" s="609"/>
      <c r="BG341" s="609"/>
      <c r="BH341" s="609"/>
      <c r="BI341" s="609"/>
      <c r="BJ341" s="609"/>
      <c r="BK341" s="609"/>
      <c r="BL341" s="609"/>
      <c r="BM341" s="609"/>
    </row>
    <row r="342" ht="13.5" customHeight="1">
      <c r="A342" s="147" t="s">
        <v>1376</v>
      </c>
      <c r="B342" s="101">
        <v>42447.0</v>
      </c>
      <c r="C342" s="1045">
        <v>82383.0</v>
      </c>
      <c r="D342" s="104" t="s">
        <v>1687</v>
      </c>
      <c r="E342" s="103" t="s">
        <v>666</v>
      </c>
      <c r="F342" s="1137">
        <v>44256.0</v>
      </c>
      <c r="G342" s="103" t="s">
        <v>1611</v>
      </c>
      <c r="H342" s="103"/>
      <c r="I342" s="185" t="s">
        <v>1330</v>
      </c>
      <c r="J342" s="111" t="s">
        <v>2935</v>
      </c>
      <c r="K342" s="336" t="str">
        <f t="shared" si="54"/>
        <v>Update</v>
      </c>
      <c r="L342" s="108" t="s">
        <v>680</v>
      </c>
      <c r="M342" s="109">
        <v>45795.0</v>
      </c>
      <c r="N342" s="109">
        <v>45796.0</v>
      </c>
      <c r="O342" s="191"/>
      <c r="P342" s="108"/>
      <c r="Q342" s="1238"/>
      <c r="R342" s="108" t="s">
        <v>3284</v>
      </c>
      <c r="S342" s="112" t="s">
        <v>934</v>
      </c>
      <c r="T342" s="113">
        <v>45786.0</v>
      </c>
      <c r="U342" s="114" t="str">
        <f>IF(V342="","No AIS",VLOOKUP(V342,'Voyage days'!$A$3:$B$1480,2,FALSE))</f>
        <v>USG</v>
      </c>
      <c r="V342" s="115" t="str">
        <f>IF(VLOOKUP(A342,'1) Kpler'!$E$2:$P$1000,8, FALSE)="","",VLOOKUP(A342,'1) Kpler'!$E$2:$P$1000,8, FALSE))</f>
        <v>PADD 3</v>
      </c>
      <c r="W342" s="116">
        <f>IF(VLOOKUP(A342,'1) Kpler'!$E$2:$P$1000,9,FALSE)="","",VLOOKUP(A342,'1) Kpler'!$E$2:$P$1000,9,FALSE))</f>
        <v>46132</v>
      </c>
      <c r="X342" s="115" t="str">
        <f>VLOOKUP(A342,'1) Kpler'!$E$2:$I$1000,4,FALSE)</f>
        <v>ballast</v>
      </c>
      <c r="Y342" s="117" t="str">
        <f t="shared" si="55"/>
        <v/>
      </c>
      <c r="Z342" s="120" t="str">
        <f t="shared" si="56"/>
        <v/>
      </c>
      <c r="AA342" s="121" t="str">
        <f>IFERROR($M342+VLOOKUP($L342,'Voyage days'!$F$38:$H$89,3,FALSE),"")</f>
        <v/>
      </c>
      <c r="AB342" s="121" t="str">
        <f>IFERROR(N342+VLOOKUP($L342,'Voyage days'!$F$38:$H$89,3,FALSE),"")</f>
        <v/>
      </c>
      <c r="AC342" s="120" t="str">
        <f t="shared" si="42"/>
        <v>18-19 May</v>
      </c>
      <c r="AD342" s="121">
        <f>IFERROR($M342+VLOOKUP($L342,'Voyage days'!$F$94:$H$193,3,FALSE),"")</f>
        <v>45795</v>
      </c>
      <c r="AE342" s="121">
        <f>IFERROR($N342+VLOOKUP($L342,'Voyage days'!$F$94:$H$193,3,FALSE),"")</f>
        <v>45796</v>
      </c>
      <c r="AF342" s="120" t="str">
        <f t="shared" si="43"/>
        <v>18-19 May</v>
      </c>
      <c r="AG342" s="121">
        <f>IFERROR($M342+VLOOKUP($L342,'Voyage days'!$F$203:$H$256,3,FALSE),"")</f>
        <v>45795</v>
      </c>
      <c r="AH342" s="121">
        <f>IFERROR($N342+VLOOKUP($L342,'Voyage days'!$F$203:$H$256,3,FALSE),"")</f>
        <v>45796</v>
      </c>
      <c r="AI342" s="120" t="str">
        <f t="shared" si="44"/>
        <v/>
      </c>
      <c r="AJ342" s="121" t="str">
        <f>IFERROR($M342+VLOOKUP($L342,'Voyage days'!$F$294:$H$377,3,FALSE),"")</f>
        <v/>
      </c>
      <c r="AK342" s="121" t="str">
        <f>IFERROR($N342+VLOOKUP($L342,'Voyage days'!$F$294:$H$377,3,FALSE),"")</f>
        <v/>
      </c>
      <c r="AL342" s="120" t="str">
        <f t="shared" si="45"/>
        <v>07-08 Jun</v>
      </c>
      <c r="AM342" s="121">
        <f>IFERROR($M342+VLOOKUP($L342,'Voyage days'!$F$382:$H$446,3,FALSE),"")</f>
        <v>45815</v>
      </c>
      <c r="AN342" s="121">
        <f>IFERROR($N342+VLOOKUP($L342,'Voyage days'!$F$382:$H$446,3,FALSE),"")</f>
        <v>45816</v>
      </c>
      <c r="AO342" s="120" t="str">
        <f t="shared" si="46"/>
        <v/>
      </c>
      <c r="AP342" s="121" t="str">
        <f>IFERROR($M342+VLOOKUP($L342,'Voyage days'!$F$483:$H$538,3,FALSE),"")</f>
        <v/>
      </c>
      <c r="AQ342" s="121" t="str">
        <f>IFERROR($N342+VLOOKUP($L342,'Voyage days'!$F$483:$H$538,3,FALSE),"")</f>
        <v/>
      </c>
      <c r="AR342" s="120" t="str">
        <f t="shared" si="47"/>
        <v/>
      </c>
      <c r="AS342" s="121" t="str">
        <f>IFERROR($M342+VLOOKUP($L342,'Voyage days'!$F$540:$H$613,3,FALSE),"")</f>
        <v/>
      </c>
      <c r="AT342" s="121" t="str">
        <f>IFERROR($N342+VLOOKUP($L342,'Voyage days'!$F$540:$H$613,3,FALSE),"")</f>
        <v/>
      </c>
      <c r="AU342" s="120" t="str">
        <f t="shared" si="48"/>
        <v/>
      </c>
      <c r="AV342" s="121" t="str">
        <f>IFERROR($M342+VLOOKUP($L342,'Voyage days'!$L$483:$N$535,3,FALSE),"")</f>
        <v/>
      </c>
      <c r="AW342" s="121" t="str">
        <f>IFERROR($N342+VLOOKUP($L342,'Voyage days'!$L$483:$N$535,3,FALSE),"")</f>
        <v/>
      </c>
      <c r="AX342" s="120" t="str">
        <f t="shared" si="49"/>
        <v/>
      </c>
      <c r="AY342" s="122" t="str">
        <f>IFERROR($M342+VLOOKUP($L342,'Voyage days'!$F$620:$H$646,3,FALSE),"")</f>
        <v/>
      </c>
      <c r="AZ342" s="122" t="str">
        <f>IFERROR($N342+VLOOKUP($L342,'Voyage days'!$F$620:$H$646,3,FALSE),"")</f>
        <v/>
      </c>
      <c r="BA342" s="120" t="str">
        <f t="shared" si="50"/>
        <v/>
      </c>
      <c r="BB342" s="123" t="str">
        <f>IFERROR($M342+VLOOKUP($L342,'Voyage days'!$F$702:$H$727,3,FALSE),"")</f>
        <v/>
      </c>
      <c r="BC342" s="120" t="str">
        <f t="shared" si="51"/>
        <v/>
      </c>
      <c r="BD342" s="122" t="str">
        <f>IFERROR($M342+VLOOKUP($L342,'Voyage days'!$F$807:$H$878,3,FALSE),"")</f>
        <v/>
      </c>
      <c r="BE342" s="122" t="str">
        <f>IFERROR($N342+VLOOKUP($L342,'Voyage days'!$F$807:$H$878,3,FALSE),"")</f>
        <v/>
      </c>
      <c r="BF342" s="609"/>
      <c r="BG342" s="609"/>
      <c r="BH342" s="609"/>
      <c r="BI342" s="609"/>
      <c r="BJ342" s="609"/>
      <c r="BK342" s="609"/>
      <c r="BL342" s="609"/>
      <c r="BM342" s="609"/>
    </row>
    <row r="343" ht="15.75" customHeight="1">
      <c r="A343" s="147" t="s">
        <v>1379</v>
      </c>
      <c r="B343" s="101">
        <v>42292.0</v>
      </c>
      <c r="C343" s="1045">
        <v>84000.0</v>
      </c>
      <c r="D343" s="104" t="s">
        <v>1687</v>
      </c>
      <c r="E343" s="103" t="s">
        <v>666</v>
      </c>
      <c r="F343" s="1137">
        <v>44105.0</v>
      </c>
      <c r="G343" s="103" t="s">
        <v>1611</v>
      </c>
      <c r="H343" s="103"/>
      <c r="I343" s="185" t="s">
        <v>1330</v>
      </c>
      <c r="J343" s="111" t="s">
        <v>2935</v>
      </c>
      <c r="K343" s="336" t="str">
        <f t="shared" si="54"/>
        <v>Update</v>
      </c>
      <c r="L343" s="108" t="s">
        <v>1710</v>
      </c>
      <c r="M343" s="109">
        <v>45792.0</v>
      </c>
      <c r="N343" s="109">
        <v>45794.0</v>
      </c>
      <c r="O343" s="110"/>
      <c r="P343" s="185"/>
      <c r="Q343" s="108"/>
      <c r="R343" s="108" t="s">
        <v>3285</v>
      </c>
      <c r="S343" s="112" t="s">
        <v>2962</v>
      </c>
      <c r="T343" s="113">
        <v>45775.0</v>
      </c>
      <c r="U343" s="114" t="str">
        <f>IF(V343="","No AIS",VLOOKUP(V343,'Voyage days'!$A$3:$B$1480,2,FALSE))</f>
        <v>Indo + 4 (STS)</v>
      </c>
      <c r="V343" s="115" t="str">
        <f>IF(VLOOKUP(A343,'1) Kpler'!$E$2:$P$1000,8, FALSE)="","",VLOOKUP(A343,'1) Kpler'!$E$2:$P$1000,8, FALSE))</f>
        <v>Kalbut</v>
      </c>
      <c r="W343" s="116">
        <f>IF(VLOOKUP(A343,'1) Kpler'!$E$2:$P$1000,9,FALSE)="","",VLOOKUP(A343,'1) Kpler'!$E$2:$P$1000,9,FALSE))</f>
        <v>46143.5</v>
      </c>
      <c r="X343" s="115" t="str">
        <f>VLOOKUP(A343,'1) Kpler'!$E$2:$I$1000,4,FALSE)</f>
        <v>loaded</v>
      </c>
      <c r="Y343" s="160" t="str">
        <f t="shared" si="55"/>
        <v>01-03 Jun</v>
      </c>
      <c r="Z343" s="120" t="str">
        <f t="shared" si="56"/>
        <v>01-03 Jun</v>
      </c>
      <c r="AA343" s="121">
        <f>IFERROR($M343+VLOOKUP($L343,'Voyage days'!$F$38:$H$89,3,FALSE),"")</f>
        <v>45809</v>
      </c>
      <c r="AB343" s="121">
        <f>IFERROR(N343+VLOOKUP($L343,'Voyage days'!$F$38:$H$89,3,FALSE),"")</f>
        <v>45811</v>
      </c>
      <c r="AC343" s="120" t="str">
        <f t="shared" si="42"/>
        <v>17-19 Jun</v>
      </c>
      <c r="AD343" s="121">
        <f>IFERROR($M343+VLOOKUP($L343,'Voyage days'!$F$94:$H$193,3,FALSE),"")</f>
        <v>45825</v>
      </c>
      <c r="AE343" s="121">
        <f>IFERROR($N343+VLOOKUP($L343,'Voyage days'!$F$94:$H$193,3,FALSE),"")</f>
        <v>45827</v>
      </c>
      <c r="AF343" s="120" t="str">
        <f t="shared" si="43"/>
        <v>28-30 Jun</v>
      </c>
      <c r="AG343" s="121">
        <f>IFERROR($M343+VLOOKUP($L343,'Voyage days'!$F$203:$H$256,3,FALSE),"")</f>
        <v>45836</v>
      </c>
      <c r="AH343" s="121">
        <f>IFERROR($N343+VLOOKUP($L343,'Voyage days'!$F$203:$H$256,3,FALSE),"")</f>
        <v>45838</v>
      </c>
      <c r="AI343" s="120" t="str">
        <f t="shared" si="44"/>
        <v>12-14 Jun</v>
      </c>
      <c r="AJ343" s="121">
        <f>IFERROR($M343+VLOOKUP($L343,'Voyage days'!$F$294:$H$377,3,FALSE),"")</f>
        <v>45820</v>
      </c>
      <c r="AK343" s="121">
        <f>IFERROR($N343+VLOOKUP($L343,'Voyage days'!$F$294:$H$377,3,FALSE),"")</f>
        <v>45822</v>
      </c>
      <c r="AL343" s="120" t="str">
        <f t="shared" si="45"/>
        <v>19-21 Jun</v>
      </c>
      <c r="AM343" s="121">
        <f>IFERROR($M343+VLOOKUP($L343,'Voyage days'!$F$382:$H$446,3,FALSE),"")</f>
        <v>45827</v>
      </c>
      <c r="AN343" s="121">
        <f>IFERROR($N343+VLOOKUP($L343,'Voyage days'!$F$382:$H$446,3,FALSE),"")</f>
        <v>45829</v>
      </c>
      <c r="AO343" s="120" t="str">
        <f t="shared" si="46"/>
        <v>29-31 May</v>
      </c>
      <c r="AP343" s="121">
        <f>IFERROR($M343+VLOOKUP($L343,'Voyage days'!$F$483:$H$538,3,FALSE),"")</f>
        <v>45806</v>
      </c>
      <c r="AQ343" s="121">
        <f>IFERROR($N343+VLOOKUP($L343,'Voyage days'!$F$483:$H$538,3,FALSE),"")</f>
        <v>45808</v>
      </c>
      <c r="AR343" s="120" t="str">
        <f t="shared" si="47"/>
        <v>22-24 May</v>
      </c>
      <c r="AS343" s="121">
        <f>IFERROR($M343+VLOOKUP($L343,'Voyage days'!$F$540:$H$613,3,FALSE),"")</f>
        <v>45799.25</v>
      </c>
      <c r="AT343" s="121">
        <f>IFERROR($N343+VLOOKUP($L343,'Voyage days'!$F$540:$H$613,3,FALSE),"")</f>
        <v>45801.25</v>
      </c>
      <c r="AU343" s="120" t="str">
        <f t="shared" si="48"/>
        <v/>
      </c>
      <c r="AV343" s="121" t="str">
        <f>IFERROR($M343+VLOOKUP($L343,'Voyage days'!$L$483:$N$535,3,FALSE),"")</f>
        <v/>
      </c>
      <c r="AW343" s="121" t="str">
        <f>IFERROR($N343+VLOOKUP($L343,'Voyage days'!$L$483:$N$535,3,FALSE),"")</f>
        <v/>
      </c>
      <c r="AX343" s="120" t="str">
        <f t="shared" si="49"/>
        <v>28-30 May</v>
      </c>
      <c r="AY343" s="122">
        <f>IFERROR($M343+VLOOKUP($L343,'Voyage days'!$F$620:$H$646,3,FALSE),"")</f>
        <v>45805</v>
      </c>
      <c r="AZ343" s="122">
        <f>IFERROR($N343+VLOOKUP($L343,'Voyage days'!$F$620:$H$646,3,FALSE),"")</f>
        <v>45807</v>
      </c>
      <c r="BA343" s="120" t="str">
        <f t="shared" si="50"/>
        <v>22-30 Jun</v>
      </c>
      <c r="BB343" s="123">
        <f>IFERROR($M343+VLOOKUP($L343,'Voyage days'!$F$702:$H$727,3,FALSE),"")</f>
        <v>45799.25</v>
      </c>
      <c r="BC343" s="120" t="str">
        <f t="shared" si="51"/>
        <v>28-30 Jun</v>
      </c>
      <c r="BD343" s="122">
        <f>IFERROR($M343+VLOOKUP($L343,'Voyage days'!$F$807:$H$878,3,FALSE),"")</f>
        <v>45836</v>
      </c>
      <c r="BE343" s="122">
        <f>IFERROR($N343+VLOOKUP($L343,'Voyage days'!$F$807:$H$878,3,FALSE),"")</f>
        <v>45838</v>
      </c>
      <c r="BF343" s="609"/>
      <c r="BG343" s="609"/>
      <c r="BH343" s="609"/>
      <c r="BI343" s="609"/>
      <c r="BJ343" s="609"/>
      <c r="BK343" s="609"/>
      <c r="BL343" s="609"/>
      <c r="BM343" s="609"/>
    </row>
    <row r="344" ht="15.0" customHeight="1">
      <c r="A344" s="341" t="s">
        <v>1382</v>
      </c>
      <c r="B344" s="101">
        <v>42184.0</v>
      </c>
      <c r="C344" s="1045">
        <v>83000.0</v>
      </c>
      <c r="D344" s="104" t="s">
        <v>1687</v>
      </c>
      <c r="E344" s="103" t="s">
        <v>689</v>
      </c>
      <c r="F344" s="1137">
        <v>44094.0</v>
      </c>
      <c r="G344" s="103" t="s">
        <v>1611</v>
      </c>
      <c r="H344" s="103"/>
      <c r="I344" s="185" t="s">
        <v>1330</v>
      </c>
      <c r="J344" s="111" t="s">
        <v>2937</v>
      </c>
      <c r="K344" s="336" t="str">
        <f t="shared" si="54"/>
        <v>Update</v>
      </c>
      <c r="L344" s="467" t="s">
        <v>1031</v>
      </c>
      <c r="M344" s="109">
        <v>45809.0</v>
      </c>
      <c r="N344" s="109">
        <v>45813.0</v>
      </c>
      <c r="O344" s="191"/>
      <c r="P344" s="1240"/>
      <c r="Q344" s="185"/>
      <c r="R344" s="185" t="s">
        <v>3286</v>
      </c>
      <c r="S344" s="112" t="s">
        <v>2962</v>
      </c>
      <c r="T344" s="113">
        <v>45782.0</v>
      </c>
      <c r="U344" s="114" t="str">
        <f>IF(V344="","No AIS",VLOOKUP(V344,'Voyage days'!$A$3:$B$1480,2,FALSE))</f>
        <v>Port Louis</v>
      </c>
      <c r="V344" s="115" t="str">
        <f>IF(VLOOKUP(A344,'1) Kpler'!$E$2:$P$1000,8, FALSE)="","",VLOOKUP(A344,'1) Kpler'!$E$2:$P$1000,8, FALSE))</f>
        <v>Port Louis</v>
      </c>
      <c r="W344" s="116">
        <f>IF(VLOOKUP(A344,'1) Kpler'!$E$2:$P$1000,9,FALSE)="","",VLOOKUP(A344,'1) Kpler'!$E$2:$P$1000,9,FALSE))</f>
        <v>46134.39583</v>
      </c>
      <c r="X344" s="115" t="str">
        <f>VLOOKUP(A344,'1) Kpler'!$E$2:$I$1000,4,FALSE)</f>
        <v>ballast</v>
      </c>
      <c r="Y344" s="160" t="str">
        <f t="shared" si="55"/>
        <v>01-05 Jun</v>
      </c>
      <c r="Z344" s="120" t="str">
        <f t="shared" si="56"/>
        <v>01-05 Jun</v>
      </c>
      <c r="AA344" s="121">
        <f>IFERROR($M344+VLOOKUP($L344,'Voyage days'!$F$38:$H$89,3,FALSE),"")</f>
        <v>45809</v>
      </c>
      <c r="AB344" s="121">
        <f>IFERROR(N344+VLOOKUP($L344,'Voyage days'!$F$38:$H$89,3,FALSE),"")</f>
        <v>45813</v>
      </c>
      <c r="AC344" s="120" t="str">
        <f t="shared" si="42"/>
        <v/>
      </c>
      <c r="AD344" s="121" t="str">
        <f>IFERROR($M344+VLOOKUP($L344,'Voyage days'!$F$94:$H$193,3,FALSE),"")</f>
        <v/>
      </c>
      <c r="AE344" s="121" t="str">
        <f>IFERROR($N344+VLOOKUP($L344,'Voyage days'!$F$94:$H$193,3,FALSE),"")</f>
        <v/>
      </c>
      <c r="AF344" s="120" t="str">
        <f t="shared" si="43"/>
        <v/>
      </c>
      <c r="AG344" s="121" t="str">
        <f>IFERROR($M344+VLOOKUP($L344,'Voyage days'!$F$203:$H$256,3,FALSE),"")</f>
        <v/>
      </c>
      <c r="AH344" s="121" t="str">
        <f>IFERROR($N344+VLOOKUP($L344,'Voyage days'!$F$203:$H$256,3,FALSE),"")</f>
        <v/>
      </c>
      <c r="AI344" s="120" t="str">
        <f t="shared" si="44"/>
        <v/>
      </c>
      <c r="AJ344" s="121" t="str">
        <f>IFERROR($M344+VLOOKUP($L344,'Voyage days'!$F$294:$H$377,3,FALSE),"")</f>
        <v/>
      </c>
      <c r="AK344" s="121" t="str">
        <f>IFERROR($N344+VLOOKUP($L344,'Voyage days'!$F$294:$H$377,3,FALSE),"")</f>
        <v/>
      </c>
      <c r="AL344" s="120" t="str">
        <f t="shared" si="45"/>
        <v/>
      </c>
      <c r="AM344" s="121" t="str">
        <f>IFERROR($M344+VLOOKUP($L344,'Voyage days'!$F$382:$H$446,3,FALSE),"")</f>
        <v/>
      </c>
      <c r="AN344" s="121" t="str">
        <f>IFERROR($N344+VLOOKUP($L344,'Voyage days'!$F$382:$H$446,3,FALSE),"")</f>
        <v/>
      </c>
      <c r="AO344" s="120" t="str">
        <f t="shared" si="46"/>
        <v/>
      </c>
      <c r="AP344" s="121" t="str">
        <f>IFERROR($M344+VLOOKUP($L344,'Voyage days'!$F$483:$H$538,3,FALSE),"")</f>
        <v/>
      </c>
      <c r="AQ344" s="121" t="str">
        <f>IFERROR($N344+VLOOKUP($L344,'Voyage days'!$F$483:$H$538,3,FALSE),"")</f>
        <v/>
      </c>
      <c r="AR344" s="120" t="str">
        <f t="shared" si="47"/>
        <v>20-24 Jun</v>
      </c>
      <c r="AS344" s="121">
        <f>IFERROR($M344+VLOOKUP($L344,'Voyage days'!$F$540:$H$613,3,FALSE),"")</f>
        <v>45828</v>
      </c>
      <c r="AT344" s="121">
        <f>IFERROR($N344+VLOOKUP($L344,'Voyage days'!$F$540:$H$613,3,FALSE),"")</f>
        <v>45832</v>
      </c>
      <c r="AU344" s="120" t="str">
        <f t="shared" si="48"/>
        <v/>
      </c>
      <c r="AV344" s="121" t="str">
        <f>IFERROR($M344+VLOOKUP($L344,'Voyage days'!$L$483:$N$535,3,FALSE),"")</f>
        <v/>
      </c>
      <c r="AW344" s="121" t="str">
        <f>IFERROR($N344+VLOOKUP($L344,'Voyage days'!$L$483:$N$535,3,FALSE),"")</f>
        <v/>
      </c>
      <c r="AX344" s="120" t="str">
        <f t="shared" si="49"/>
        <v/>
      </c>
      <c r="AY344" s="122" t="str">
        <f>IFERROR($M344+VLOOKUP($L344,'Voyage days'!$F$620:$H$646,3,FALSE),"")</f>
        <v/>
      </c>
      <c r="AZ344" s="122" t="str">
        <f>IFERROR($N344+VLOOKUP($L344,'Voyage days'!$F$620:$H$646,3,FALSE),"")</f>
        <v/>
      </c>
      <c r="BA344" s="120" t="str">
        <f t="shared" si="50"/>
        <v/>
      </c>
      <c r="BB344" s="123" t="str">
        <f>IFERROR($M344+VLOOKUP($L344,'Voyage days'!$F$702:$H$727,3,FALSE),"")</f>
        <v/>
      </c>
      <c r="BC344" s="120" t="str">
        <f t="shared" si="51"/>
        <v>01-05 Jun</v>
      </c>
      <c r="BD344" s="122">
        <f>IFERROR($M344+VLOOKUP($L344,'Voyage days'!$F$807:$H$878,3,FALSE),"")</f>
        <v>45809</v>
      </c>
      <c r="BE344" s="122">
        <f>IFERROR($N344+VLOOKUP($L344,'Voyage days'!$F$807:$H$878,3,FALSE),"")</f>
        <v>45813</v>
      </c>
      <c r="BF344" s="609"/>
      <c r="BG344" s="609"/>
      <c r="BH344" s="609"/>
      <c r="BI344" s="609"/>
      <c r="BJ344" s="609"/>
      <c r="BK344" s="609"/>
      <c r="BL344" s="609"/>
      <c r="BM344" s="609"/>
    </row>
    <row r="345" ht="15.75" customHeight="1">
      <c r="A345" s="341" t="s">
        <v>1393</v>
      </c>
      <c r="B345" s="148">
        <v>2023.0</v>
      </c>
      <c r="C345" s="1045">
        <v>91000.0</v>
      </c>
      <c r="D345" s="104" t="s">
        <v>1687</v>
      </c>
      <c r="E345" s="103" t="s">
        <v>666</v>
      </c>
      <c r="F345" s="604"/>
      <c r="G345" s="103" t="s">
        <v>1611</v>
      </c>
      <c r="H345" s="103"/>
      <c r="I345" s="185" t="s">
        <v>1330</v>
      </c>
      <c r="J345" s="185" t="s">
        <v>2937</v>
      </c>
      <c r="K345" s="336" t="str">
        <f t="shared" si="54"/>
        <v>Update</v>
      </c>
      <c r="L345" s="108" t="s">
        <v>680</v>
      </c>
      <c r="M345" s="109">
        <v>45811.0</v>
      </c>
      <c r="N345" s="109">
        <v>45812.0</v>
      </c>
      <c r="O345" s="191"/>
      <c r="P345" s="185"/>
      <c r="Q345" s="185"/>
      <c r="R345" s="108" t="s">
        <v>3287</v>
      </c>
      <c r="S345" s="112" t="s">
        <v>33</v>
      </c>
      <c r="T345" s="113">
        <v>45781.0</v>
      </c>
      <c r="U345" s="114" t="str">
        <f>IF(V345="","No AIS",VLOOKUP(V345,'Voyage days'!$A$3:$B$1480,2,FALSE))</f>
        <v>USG</v>
      </c>
      <c r="V345" s="115" t="str">
        <f>IF(VLOOKUP(A345,'1) Kpler'!$E$2:$P$1000,8, FALSE)="","",VLOOKUP(A345,'1) Kpler'!$E$2:$P$1000,8, FALSE))</f>
        <v>Houston</v>
      </c>
      <c r="W345" s="116">
        <f>IF(VLOOKUP(A345,'1) Kpler'!$E$2:$P$1000,9,FALSE)="","",VLOOKUP(A345,'1) Kpler'!$E$2:$P$1000,9,FALSE))</f>
        <v>46146.70833</v>
      </c>
      <c r="X345" s="115" t="str">
        <f>VLOOKUP(A345,'1) Kpler'!$E$2:$I$1000,4,FALSE)</f>
        <v>ballast</v>
      </c>
      <c r="Y345" s="160" t="str">
        <f t="shared" si="55"/>
        <v/>
      </c>
      <c r="Z345" s="120" t="str">
        <f t="shared" si="56"/>
        <v/>
      </c>
      <c r="AA345" s="121" t="str">
        <f>IFERROR($M345+VLOOKUP($L345,'Voyage days'!$F$38:$H$89,3,FALSE),"")</f>
        <v/>
      </c>
      <c r="AB345" s="121" t="str">
        <f>IFERROR(N345+VLOOKUP($L345,'Voyage days'!$F$38:$H$89,3,FALSE),"")</f>
        <v/>
      </c>
      <c r="AC345" s="120" t="str">
        <f t="shared" si="42"/>
        <v>03-04 Jun</v>
      </c>
      <c r="AD345" s="121">
        <f>IFERROR($M345+VLOOKUP($L345,'Voyage days'!$F$94:$H$193,3,FALSE),"")</f>
        <v>45811</v>
      </c>
      <c r="AE345" s="121">
        <f>IFERROR($N345+VLOOKUP($L345,'Voyage days'!$F$94:$H$193,3,FALSE),"")</f>
        <v>45812</v>
      </c>
      <c r="AF345" s="120" t="str">
        <f t="shared" si="43"/>
        <v>03-04 Jun</v>
      </c>
      <c r="AG345" s="121">
        <f>IFERROR($M345+VLOOKUP($L345,'Voyage days'!$F$203:$H$256,3,FALSE),"")</f>
        <v>45811</v>
      </c>
      <c r="AH345" s="121">
        <f>IFERROR($N345+VLOOKUP($L345,'Voyage days'!$F$203:$H$256,3,FALSE),"")</f>
        <v>45812</v>
      </c>
      <c r="AI345" s="120" t="str">
        <f t="shared" si="44"/>
        <v/>
      </c>
      <c r="AJ345" s="121" t="str">
        <f>IFERROR($M345+VLOOKUP($L345,'Voyage days'!$F$294:$H$377,3,FALSE),"")</f>
        <v/>
      </c>
      <c r="AK345" s="121" t="str">
        <f>IFERROR($N345+VLOOKUP($L345,'Voyage days'!$F$294:$H$377,3,FALSE),"")</f>
        <v/>
      </c>
      <c r="AL345" s="120" t="str">
        <f t="shared" si="45"/>
        <v>23-24 Jun</v>
      </c>
      <c r="AM345" s="121">
        <f>IFERROR($M345+VLOOKUP($L345,'Voyage days'!$F$382:$H$446,3,FALSE),"")</f>
        <v>45831</v>
      </c>
      <c r="AN345" s="121">
        <f>IFERROR($N345+VLOOKUP($L345,'Voyage days'!$F$382:$H$446,3,FALSE),"")</f>
        <v>45832</v>
      </c>
      <c r="AO345" s="120" t="str">
        <f t="shared" si="46"/>
        <v/>
      </c>
      <c r="AP345" s="121" t="str">
        <f>IFERROR($M345+VLOOKUP($L345,'Voyage days'!$F$483:$H$538,3,FALSE),"")</f>
        <v/>
      </c>
      <c r="AQ345" s="121" t="str">
        <f>IFERROR($N345+VLOOKUP($L345,'Voyage days'!$F$483:$H$538,3,FALSE),"")</f>
        <v/>
      </c>
      <c r="AR345" s="120" t="str">
        <f t="shared" si="47"/>
        <v/>
      </c>
      <c r="AS345" s="121" t="str">
        <f>IFERROR($M345+VLOOKUP($L345,'Voyage days'!$F$540:$H$613,3,FALSE),"")</f>
        <v/>
      </c>
      <c r="AT345" s="121" t="str">
        <f>IFERROR($N345+VLOOKUP($L345,'Voyage days'!$F$540:$H$613,3,FALSE),"")</f>
        <v/>
      </c>
      <c r="AU345" s="120" t="str">
        <f t="shared" si="48"/>
        <v/>
      </c>
      <c r="AV345" s="121" t="str">
        <f>IFERROR($M345+VLOOKUP($L345,'Voyage days'!$L$483:$N$535,3,FALSE),"")</f>
        <v/>
      </c>
      <c r="AW345" s="121" t="str">
        <f>IFERROR($N345+VLOOKUP($L345,'Voyage days'!$L$483:$N$535,3,FALSE),"")</f>
        <v/>
      </c>
      <c r="AX345" s="120" t="str">
        <f t="shared" si="49"/>
        <v/>
      </c>
      <c r="AY345" s="122" t="str">
        <f>IFERROR($M345+VLOOKUP($L345,'Voyage days'!$F$620:$H$646,3,FALSE),"")</f>
        <v/>
      </c>
      <c r="AZ345" s="122" t="str">
        <f>IFERROR($N345+VLOOKUP($L345,'Voyage days'!$F$620:$H$646,3,FALSE),"")</f>
        <v/>
      </c>
      <c r="BA345" s="120" t="str">
        <f t="shared" si="50"/>
        <v/>
      </c>
      <c r="BB345" s="123" t="str">
        <f>IFERROR($M345+VLOOKUP($L345,'Voyage days'!$F$702:$H$727,3,FALSE),"")</f>
        <v/>
      </c>
      <c r="BC345" s="120" t="str">
        <f t="shared" si="51"/>
        <v/>
      </c>
      <c r="BD345" s="122" t="str">
        <f>IFERROR($M345+VLOOKUP($L345,'Voyage days'!$F$807:$H$878,3,FALSE),"")</f>
        <v/>
      </c>
      <c r="BE345" s="122" t="str">
        <f>IFERROR($N345+VLOOKUP($L345,'Voyage days'!$F$807:$H$878,3,FALSE),"")</f>
        <v/>
      </c>
      <c r="BF345" s="609"/>
      <c r="BG345" s="609"/>
      <c r="BH345" s="609"/>
      <c r="BI345" s="609"/>
      <c r="BJ345" s="609"/>
      <c r="BK345" s="609"/>
      <c r="BL345" s="609"/>
      <c r="BM345" s="609"/>
    </row>
    <row r="346" ht="15.0" customHeight="1">
      <c r="A346" s="341" t="s">
        <v>1127</v>
      </c>
      <c r="B346" s="101">
        <v>42202.0</v>
      </c>
      <c r="C346" s="1045">
        <v>83000.0</v>
      </c>
      <c r="D346" s="104" t="s">
        <v>1687</v>
      </c>
      <c r="E346" s="103" t="s">
        <v>689</v>
      </c>
      <c r="F346" s="1137">
        <v>43920.0</v>
      </c>
      <c r="G346" s="103" t="s">
        <v>1611</v>
      </c>
      <c r="H346" s="103"/>
      <c r="I346" s="185" t="s">
        <v>1330</v>
      </c>
      <c r="J346" s="111" t="s">
        <v>2937</v>
      </c>
      <c r="K346" s="336" t="str">
        <f t="shared" si="54"/>
        <v>Update</v>
      </c>
      <c r="L346" s="108" t="s">
        <v>680</v>
      </c>
      <c r="M346" s="109">
        <v>45787.0</v>
      </c>
      <c r="N346" s="109">
        <v>45788.0</v>
      </c>
      <c r="O346" s="191"/>
      <c r="P346" s="1240"/>
      <c r="Q346" s="185"/>
      <c r="R346" s="108" t="s">
        <v>3288</v>
      </c>
      <c r="S346" s="112" t="s">
        <v>934</v>
      </c>
      <c r="T346" s="113">
        <v>45785.0</v>
      </c>
      <c r="U346" s="114" t="str">
        <f>IF(V346="","No AIS",VLOOKUP(V346,'Voyage days'!$A$3:$B$1480,2,FALSE))</f>
        <v>Korea+3/+1 bunkers</v>
      </c>
      <c r="V346" s="115" t="str">
        <f>IF(VLOOKUP(A346,'1) Kpler'!$E$2:$P$1000,8, FALSE)="","",VLOOKUP(A346,'1) Kpler'!$E$2:$P$1000,8, FALSE))</f>
        <v>Yeosu</v>
      </c>
      <c r="W346" s="116">
        <f>IF(VLOOKUP(A346,'1) Kpler'!$E$2:$P$1000,9,FALSE)="","",VLOOKUP(A346,'1) Kpler'!$E$2:$P$1000,9,FALSE))</f>
        <v>46153.58333</v>
      </c>
      <c r="X346" s="115" t="str">
        <f>VLOOKUP(A346,'1) Kpler'!$E$2:$I$1000,4,FALSE)</f>
        <v>loaded</v>
      </c>
      <c r="Y346" s="117" t="str">
        <f t="shared" si="55"/>
        <v/>
      </c>
      <c r="Z346" s="120" t="str">
        <f t="shared" si="56"/>
        <v/>
      </c>
      <c r="AA346" s="121" t="str">
        <f>IFERROR($M346+VLOOKUP($L346,'Voyage days'!$F$38:$H$89,3,FALSE),"")</f>
        <v/>
      </c>
      <c r="AB346" s="121" t="str">
        <f>IFERROR(N346+VLOOKUP($L346,'Voyage days'!$F$38:$H$89,3,FALSE),"")</f>
        <v/>
      </c>
      <c r="AC346" s="120" t="str">
        <f t="shared" si="42"/>
        <v>10-11 May</v>
      </c>
      <c r="AD346" s="121">
        <f>IFERROR($M346+VLOOKUP($L346,'Voyage days'!$F$94:$H$193,3,FALSE),"")</f>
        <v>45787</v>
      </c>
      <c r="AE346" s="121">
        <f>IFERROR($N346+VLOOKUP($L346,'Voyage days'!$F$94:$H$193,3,FALSE),"")</f>
        <v>45788</v>
      </c>
      <c r="AF346" s="120" t="str">
        <f t="shared" si="43"/>
        <v>10-11 May</v>
      </c>
      <c r="AG346" s="121">
        <f>IFERROR($M346+VLOOKUP($L346,'Voyage days'!$F$203:$H$256,3,FALSE),"")</f>
        <v>45787</v>
      </c>
      <c r="AH346" s="121">
        <f>IFERROR($N346+VLOOKUP($L346,'Voyage days'!$F$203:$H$256,3,FALSE),"")</f>
        <v>45788</v>
      </c>
      <c r="AI346" s="120" t="str">
        <f t="shared" si="44"/>
        <v/>
      </c>
      <c r="AJ346" s="121" t="str">
        <f>IFERROR($M346+VLOOKUP($L346,'Voyage days'!$F$294:$H$377,3,FALSE),"")</f>
        <v/>
      </c>
      <c r="AK346" s="121" t="str">
        <f>IFERROR($N346+VLOOKUP($L346,'Voyage days'!$F$294:$H$377,3,FALSE),"")</f>
        <v/>
      </c>
      <c r="AL346" s="120" t="str">
        <f t="shared" si="45"/>
        <v>30-31 May</v>
      </c>
      <c r="AM346" s="121">
        <f>IFERROR($M346+VLOOKUP($L346,'Voyage days'!$F$382:$H$446,3,FALSE),"")</f>
        <v>45807</v>
      </c>
      <c r="AN346" s="121">
        <f>IFERROR($N346+VLOOKUP($L346,'Voyage days'!$F$382:$H$446,3,FALSE),"")</f>
        <v>45808</v>
      </c>
      <c r="AO346" s="120" t="str">
        <f t="shared" si="46"/>
        <v/>
      </c>
      <c r="AP346" s="121" t="str">
        <f>IFERROR($M346+VLOOKUP($L346,'Voyage days'!$F$483:$H$538,3,FALSE),"")</f>
        <v/>
      </c>
      <c r="AQ346" s="121" t="str">
        <f>IFERROR($N346+VLOOKUP($L346,'Voyage days'!$F$483:$H$538,3,FALSE),"")</f>
        <v/>
      </c>
      <c r="AR346" s="120" t="str">
        <f t="shared" si="47"/>
        <v/>
      </c>
      <c r="AS346" s="121" t="str">
        <f>IFERROR($M346+VLOOKUP($L346,'Voyage days'!$F$540:$H$613,3,FALSE),"")</f>
        <v/>
      </c>
      <c r="AT346" s="121" t="str">
        <f>IFERROR($N346+VLOOKUP($L346,'Voyage days'!$F$540:$H$613,3,FALSE),"")</f>
        <v/>
      </c>
      <c r="AU346" s="120" t="str">
        <f t="shared" si="48"/>
        <v/>
      </c>
      <c r="AV346" s="121" t="str">
        <f>IFERROR($M346+VLOOKUP($L346,'Voyage days'!$L$483:$N$535,3,FALSE),"")</f>
        <v/>
      </c>
      <c r="AW346" s="121" t="str">
        <f>IFERROR($N346+VLOOKUP($L346,'Voyage days'!$L$483:$N$535,3,FALSE),"")</f>
        <v/>
      </c>
      <c r="AX346" s="120" t="str">
        <f t="shared" si="49"/>
        <v/>
      </c>
      <c r="AY346" s="122" t="str">
        <f>IFERROR($M346+VLOOKUP($L346,'Voyage days'!$F$620:$H$646,3,FALSE),"")</f>
        <v/>
      </c>
      <c r="AZ346" s="122" t="str">
        <f>IFERROR($N346+VLOOKUP($L346,'Voyage days'!$F$620:$H$646,3,FALSE),"")</f>
        <v/>
      </c>
      <c r="BA346" s="120" t="str">
        <f t="shared" si="50"/>
        <v/>
      </c>
      <c r="BB346" s="123" t="str">
        <f>IFERROR($M346+VLOOKUP($L346,'Voyage days'!$F$702:$H$727,3,FALSE),"")</f>
        <v/>
      </c>
      <c r="BC346" s="120" t="str">
        <f t="shared" si="51"/>
        <v/>
      </c>
      <c r="BD346" s="122" t="str">
        <f>IFERROR($M346+VLOOKUP($L346,'Voyage days'!$F$807:$H$878,3,FALSE),"")</f>
        <v/>
      </c>
      <c r="BE346" s="122" t="str">
        <f>IFERROR($N346+VLOOKUP($L346,'Voyage days'!$F$807:$H$878,3,FALSE),"")</f>
        <v/>
      </c>
      <c r="BF346" s="609"/>
      <c r="BG346" s="609"/>
      <c r="BH346" s="609"/>
      <c r="BI346" s="609"/>
      <c r="BJ346" s="609"/>
      <c r="BK346" s="609"/>
      <c r="BL346" s="609"/>
      <c r="BM346" s="609"/>
    </row>
    <row r="347">
      <c r="A347" s="147" t="s">
        <v>1417</v>
      </c>
      <c r="B347" s="101">
        <v>39931.0</v>
      </c>
      <c r="C347" s="1045">
        <v>83271.0</v>
      </c>
      <c r="D347" s="104" t="s">
        <v>1687</v>
      </c>
      <c r="E347" s="103"/>
      <c r="F347" s="604"/>
      <c r="G347" s="103" t="s">
        <v>2907</v>
      </c>
      <c r="H347" s="103"/>
      <c r="I347" s="111" t="s">
        <v>1330</v>
      </c>
      <c r="J347" s="111" t="s">
        <v>3289</v>
      </c>
      <c r="K347" s="336" t="str">
        <f t="shared" si="54"/>
        <v>Update</v>
      </c>
      <c r="L347" s="108" t="s">
        <v>943</v>
      </c>
      <c r="M347" s="109">
        <v>45790.0</v>
      </c>
      <c r="N347" s="109">
        <v>45792.0</v>
      </c>
      <c r="O347" s="191" t="s">
        <v>1448</v>
      </c>
      <c r="P347" s="108"/>
      <c r="Q347" s="1108"/>
      <c r="R347" s="108" t="s">
        <v>3290</v>
      </c>
      <c r="S347" s="112" t="s">
        <v>934</v>
      </c>
      <c r="T347" s="113">
        <v>45785.0</v>
      </c>
      <c r="U347" s="114" t="str">
        <f>IF(V347="","No AIS",VLOOKUP(V347,'Voyage days'!$A$3:$B$1480,2,FALSE))</f>
        <v>Korea + 4</v>
      </c>
      <c r="V347" s="115" t="str">
        <f>IF(VLOOKUP(A347,'1) Kpler'!$E$2:$P$1000,8, FALSE)="","",VLOOKUP(A347,'1) Kpler'!$E$2:$P$1000,8, FALSE))</f>
        <v>Incheon LPG</v>
      </c>
      <c r="W347" s="116">
        <f>IF(VLOOKUP(A347,'1) Kpler'!$E$2:$P$1000,9,FALSE)="","",VLOOKUP(A347,'1) Kpler'!$E$2:$P$1000,9,FALSE))</f>
        <v>46139.75</v>
      </c>
      <c r="X347" s="115" t="str">
        <f>VLOOKUP(A347,'1) Kpler'!$E$2:$I$1000,4,FALSE)</f>
        <v>loaded</v>
      </c>
      <c r="Y347" s="117" t="str">
        <f t="shared" si="55"/>
        <v/>
      </c>
      <c r="Z347" s="120" t="str">
        <f t="shared" si="56"/>
        <v/>
      </c>
      <c r="AA347" s="121" t="str">
        <f>IFERROR($M347+VLOOKUP($L347,'Voyage days'!$F$38:$H$89,3,FALSE),"")</f>
        <v/>
      </c>
      <c r="AB347" s="121" t="str">
        <f>IFERROR(N347+VLOOKUP($L347,'Voyage days'!$F$38:$H$89,3,FALSE),"")</f>
        <v/>
      </c>
      <c r="AC347" s="120" t="str">
        <f t="shared" si="42"/>
        <v>18-20 May</v>
      </c>
      <c r="AD347" s="121">
        <f>IFERROR($M347+VLOOKUP($L347,'Voyage days'!$F$94:$H$193,3,FALSE),"")</f>
        <v>45795</v>
      </c>
      <c r="AE347" s="121">
        <f>IFERROR($N347+VLOOKUP($L347,'Voyage days'!$F$94:$H$193,3,FALSE),"")</f>
        <v>45797</v>
      </c>
      <c r="AF347" s="120" t="str">
        <f t="shared" si="43"/>
        <v>18-20 May</v>
      </c>
      <c r="AG347" s="121">
        <f>IFERROR($M347+VLOOKUP($L347,'Voyage days'!$F$203:$H$256,3,FALSE),"")</f>
        <v>45795</v>
      </c>
      <c r="AH347" s="121">
        <f>IFERROR($N347+VLOOKUP($L347,'Voyage days'!$F$203:$H$256,3,FALSE),"")</f>
        <v>45797</v>
      </c>
      <c r="AI347" s="120" t="str">
        <f t="shared" si="44"/>
        <v>26-28 May</v>
      </c>
      <c r="AJ347" s="121">
        <f>IFERROR($M347+VLOOKUP($L347,'Voyage days'!$F$294:$H$377,3,FALSE),"")</f>
        <v>45803</v>
      </c>
      <c r="AK347" s="121">
        <f>IFERROR($N347+VLOOKUP($L347,'Voyage days'!$F$294:$H$377,3,FALSE),"")</f>
        <v>45805</v>
      </c>
      <c r="AL347" s="120" t="str">
        <f t="shared" si="45"/>
        <v>31-02 Jun</v>
      </c>
      <c r="AM347" s="121">
        <f>IFERROR($M347+VLOOKUP($L347,'Voyage days'!$F$382:$H$446,3,FALSE),"")</f>
        <v>45808</v>
      </c>
      <c r="AN347" s="121">
        <f>IFERROR($N347+VLOOKUP($L347,'Voyage days'!$F$382:$H$446,3,FALSE),"")</f>
        <v>45810</v>
      </c>
      <c r="AO347" s="120" t="str">
        <f t="shared" si="46"/>
        <v/>
      </c>
      <c r="AP347" s="121" t="str">
        <f>IFERROR($M347+VLOOKUP($L347,'Voyage days'!$F$483:$H$538,3,FALSE),"")</f>
        <v/>
      </c>
      <c r="AQ347" s="121" t="str">
        <f>IFERROR($N347+VLOOKUP($L347,'Voyage days'!$F$483:$H$538,3,FALSE),"")</f>
        <v/>
      </c>
      <c r="AR347" s="120" t="str">
        <f t="shared" si="47"/>
        <v/>
      </c>
      <c r="AS347" s="121" t="str">
        <f>IFERROR($M347+VLOOKUP($L347,'Voyage days'!$F$540:$H$613,3,FALSE),"")</f>
        <v/>
      </c>
      <c r="AT347" s="121" t="str">
        <f>IFERROR($N347+VLOOKUP($L347,'Voyage days'!$F$540:$H$613,3,FALSE),"")</f>
        <v/>
      </c>
      <c r="AU347" s="120" t="str">
        <f t="shared" si="48"/>
        <v/>
      </c>
      <c r="AV347" s="121" t="str">
        <f>IFERROR($M347+VLOOKUP($L347,'Voyage days'!$L$483:$N$535,3,FALSE),"")</f>
        <v/>
      </c>
      <c r="AW347" s="121" t="str">
        <f>IFERROR($N347+VLOOKUP($L347,'Voyage days'!$L$483:$N$535,3,FALSE),"")</f>
        <v/>
      </c>
      <c r="AX347" s="120" t="str">
        <f t="shared" si="49"/>
        <v/>
      </c>
      <c r="AY347" s="122" t="str">
        <f>IFERROR($M347+VLOOKUP($L347,'Voyage days'!$F$620:$H$646,3,FALSE),"")</f>
        <v/>
      </c>
      <c r="AZ347" s="122" t="str">
        <f>IFERROR($N347+VLOOKUP($L347,'Voyage days'!$F$620:$H$646,3,FALSE),"")</f>
        <v/>
      </c>
      <c r="BA347" s="120" t="str">
        <f t="shared" si="50"/>
        <v/>
      </c>
      <c r="BB347" s="123" t="str">
        <f>IFERROR($M347+VLOOKUP($L347,'Voyage days'!$F$702:$H$727,3,FALSE),"")</f>
        <v/>
      </c>
      <c r="BC347" s="120" t="str">
        <f t="shared" si="51"/>
        <v/>
      </c>
      <c r="BD347" s="122" t="str">
        <f>IFERROR($M347+VLOOKUP($L347,'Voyage days'!$F$807:$H$878,3,FALSE),"")</f>
        <v/>
      </c>
      <c r="BE347" s="122" t="str">
        <f>IFERROR($N347+VLOOKUP($L347,'Voyage days'!$F$807:$H$878,3,FALSE),"")</f>
        <v/>
      </c>
      <c r="BF347" s="609"/>
      <c r="BG347" s="609"/>
      <c r="BH347" s="609"/>
      <c r="BI347" s="609"/>
      <c r="BJ347" s="609"/>
      <c r="BK347" s="609"/>
      <c r="BL347" s="609"/>
      <c r="BM347" s="609"/>
    </row>
    <row r="348" ht="15.75" customHeight="1">
      <c r="A348" s="147" t="s">
        <v>732</v>
      </c>
      <c r="B348" s="194">
        <v>42479.0</v>
      </c>
      <c r="C348" s="1082">
        <v>84000.0</v>
      </c>
      <c r="D348" s="111" t="s">
        <v>1687</v>
      </c>
      <c r="E348" s="195" t="s">
        <v>666</v>
      </c>
      <c r="F348" s="1137">
        <v>44287.0</v>
      </c>
      <c r="G348" s="195" t="s">
        <v>1611</v>
      </c>
      <c r="H348" s="195"/>
      <c r="I348" s="185" t="s">
        <v>1330</v>
      </c>
      <c r="J348" s="111" t="s">
        <v>2935</v>
      </c>
      <c r="K348" s="336" t="str">
        <f t="shared" si="54"/>
        <v>Update</v>
      </c>
      <c r="L348" s="187" t="s">
        <v>680</v>
      </c>
      <c r="M348" s="109">
        <v>45785.0</v>
      </c>
      <c r="N348" s="109">
        <v>45786.0</v>
      </c>
      <c r="O348" s="1241"/>
      <c r="P348" s="185"/>
      <c r="Q348" s="111"/>
      <c r="R348" s="185"/>
      <c r="S348" s="112" t="s">
        <v>3009</v>
      </c>
      <c r="T348" s="113">
        <v>45781.0</v>
      </c>
      <c r="U348" s="114" t="str">
        <f>IF(V348="","No AIS",VLOOKUP(V348,'Voyage days'!$A$3:$B$1480,2,FALSE))</f>
        <v>Panama</v>
      </c>
      <c r="V348" s="115" t="str">
        <f>IF(VLOOKUP(A348,'1) Kpler'!$E$2:$P$1000,8, FALSE)="","",VLOOKUP(A348,'1) Kpler'!$E$2:$P$1000,8, FALSE))</f>
        <v>Cristobal Light.</v>
      </c>
      <c r="W348" s="116">
        <f>IF(VLOOKUP(A348,'1) Kpler'!$E$2:$P$1000,9,FALSE)="","",VLOOKUP(A348,'1) Kpler'!$E$2:$P$1000,9,FALSE))</f>
        <v>46134.25</v>
      </c>
      <c r="X348" s="115" t="str">
        <f>VLOOKUP(A348,'1) Kpler'!$E$2:$I$1000,4,FALSE)</f>
        <v>loaded</v>
      </c>
      <c r="Y348" s="160" t="str">
        <f t="shared" si="55"/>
        <v/>
      </c>
      <c r="Z348" s="120" t="str">
        <f t="shared" si="56"/>
        <v/>
      </c>
      <c r="AA348" s="121" t="str">
        <f>IFERROR($M348+VLOOKUP($L348,'Voyage days'!$F$38:$H$89,3,FALSE),"")</f>
        <v/>
      </c>
      <c r="AB348" s="121" t="str">
        <f>IFERROR(N348+VLOOKUP($L348,'Voyage days'!$F$38:$H$89,3,FALSE),"")</f>
        <v/>
      </c>
      <c r="AC348" s="120" t="str">
        <f t="shared" si="42"/>
        <v>08-09 May</v>
      </c>
      <c r="AD348" s="121">
        <f>IFERROR($M348+VLOOKUP($L348,'Voyage days'!$F$94:$H$193,3,FALSE),"")</f>
        <v>45785</v>
      </c>
      <c r="AE348" s="121">
        <f>IFERROR($N348+VLOOKUP($L348,'Voyage days'!$F$94:$H$193,3,FALSE),"")</f>
        <v>45786</v>
      </c>
      <c r="AF348" s="120" t="str">
        <f t="shared" si="43"/>
        <v>08-09 May</v>
      </c>
      <c r="AG348" s="121">
        <f>IFERROR($M348+VLOOKUP($L348,'Voyage days'!$F$203:$H$256,3,FALSE),"")</f>
        <v>45785</v>
      </c>
      <c r="AH348" s="121">
        <f>IFERROR($N348+VLOOKUP($L348,'Voyage days'!$F$203:$H$256,3,FALSE),"")</f>
        <v>45786</v>
      </c>
      <c r="AI348" s="120" t="str">
        <f t="shared" si="44"/>
        <v/>
      </c>
      <c r="AJ348" s="121" t="str">
        <f>IFERROR($M348+VLOOKUP($L348,'Voyage days'!$F$294:$H$377,3,FALSE),"")</f>
        <v/>
      </c>
      <c r="AK348" s="121" t="str">
        <f>IFERROR($N348+VLOOKUP($L348,'Voyage days'!$F$294:$H$377,3,FALSE),"")</f>
        <v/>
      </c>
      <c r="AL348" s="120" t="str">
        <f t="shared" si="45"/>
        <v>28-29 May</v>
      </c>
      <c r="AM348" s="121">
        <f>IFERROR($M348+VLOOKUP($L348,'Voyage days'!$F$382:$H$446,3,FALSE),"")</f>
        <v>45805</v>
      </c>
      <c r="AN348" s="121">
        <f>IFERROR($N348+VLOOKUP($L348,'Voyage days'!$F$382:$H$446,3,FALSE),"")</f>
        <v>45806</v>
      </c>
      <c r="AO348" s="120" t="str">
        <f t="shared" si="46"/>
        <v/>
      </c>
      <c r="AP348" s="121" t="str">
        <f>IFERROR($M348+VLOOKUP($L348,'Voyage days'!$F$483:$H$538,3,FALSE),"")</f>
        <v/>
      </c>
      <c r="AQ348" s="121" t="str">
        <f>IFERROR($N348+VLOOKUP($L348,'Voyage days'!$F$483:$H$538,3,FALSE),"")</f>
        <v/>
      </c>
      <c r="AR348" s="120" t="str">
        <f t="shared" si="47"/>
        <v/>
      </c>
      <c r="AS348" s="121" t="str">
        <f>IFERROR($M348+VLOOKUP($L348,'Voyage days'!$F$540:$H$613,3,FALSE),"")</f>
        <v/>
      </c>
      <c r="AT348" s="121" t="str">
        <f>IFERROR($N348+VLOOKUP($L348,'Voyage days'!$F$540:$H$613,3,FALSE),"")</f>
        <v/>
      </c>
      <c r="AU348" s="120" t="str">
        <f t="shared" si="48"/>
        <v/>
      </c>
      <c r="AV348" s="121" t="str">
        <f>IFERROR($M348+VLOOKUP($L348,'Voyage days'!$L$483:$N$535,3,FALSE),"")</f>
        <v/>
      </c>
      <c r="AW348" s="121" t="str">
        <f>IFERROR($N348+VLOOKUP($L348,'Voyage days'!$L$483:$N$535,3,FALSE),"")</f>
        <v/>
      </c>
      <c r="AX348" s="120" t="str">
        <f t="shared" si="49"/>
        <v/>
      </c>
      <c r="AY348" s="122" t="str">
        <f>IFERROR($M348+VLOOKUP($L348,'Voyage days'!$F$620:$H$646,3,FALSE),"")</f>
        <v/>
      </c>
      <c r="AZ348" s="122" t="str">
        <f>IFERROR($N348+VLOOKUP($L348,'Voyage days'!$F$620:$H$646,3,FALSE),"")</f>
        <v/>
      </c>
      <c r="BA348" s="120" t="str">
        <f t="shared" si="50"/>
        <v/>
      </c>
      <c r="BB348" s="123" t="str">
        <f>IFERROR($M348+VLOOKUP($L348,'Voyage days'!$F$702:$H$727,3,FALSE),"")</f>
        <v/>
      </c>
      <c r="BC348" s="120" t="str">
        <f t="shared" si="51"/>
        <v/>
      </c>
      <c r="BD348" s="122" t="str">
        <f>IFERROR($M348+VLOOKUP($L348,'Voyage days'!$F$807:$H$878,3,FALSE),"")</f>
        <v/>
      </c>
      <c r="BE348" s="122" t="str">
        <f>IFERROR($N348+VLOOKUP($L348,'Voyage days'!$F$807:$H$878,3,FALSE),"")</f>
        <v/>
      </c>
      <c r="BF348" s="609"/>
      <c r="BG348" s="609"/>
      <c r="BH348" s="609"/>
      <c r="BI348" s="609"/>
      <c r="BJ348" s="609"/>
      <c r="BK348" s="609"/>
      <c r="BL348" s="609"/>
      <c r="BM348" s="609"/>
    </row>
    <row r="349" ht="15.75" customHeight="1">
      <c r="A349" s="147" t="s">
        <v>1395</v>
      </c>
      <c r="B349" s="101">
        <v>42460.0</v>
      </c>
      <c r="C349" s="1045">
        <v>84000.0</v>
      </c>
      <c r="D349" s="104" t="s">
        <v>1687</v>
      </c>
      <c r="E349" s="103" t="s">
        <v>666</v>
      </c>
      <c r="F349" s="1137">
        <v>44256.0</v>
      </c>
      <c r="G349" s="103" t="s">
        <v>1611</v>
      </c>
      <c r="H349" s="103"/>
      <c r="I349" s="185" t="s">
        <v>1330</v>
      </c>
      <c r="J349" s="111" t="s">
        <v>2935</v>
      </c>
      <c r="K349" s="336" t="str">
        <f t="shared" si="54"/>
        <v>Update</v>
      </c>
      <c r="L349" s="108" t="s">
        <v>1231</v>
      </c>
      <c r="M349" s="109">
        <v>45797.0</v>
      </c>
      <c r="N349" s="109">
        <v>45802.0</v>
      </c>
      <c r="O349" s="191" t="s">
        <v>1314</v>
      </c>
      <c r="P349" s="108" t="s">
        <v>3291</v>
      </c>
      <c r="Q349" s="185"/>
      <c r="R349" s="185"/>
      <c r="S349" s="112" t="s">
        <v>934</v>
      </c>
      <c r="T349" s="113">
        <v>45784.0</v>
      </c>
      <c r="U349" s="114" t="str">
        <f>IF(V349="","No AIS",VLOOKUP(V349,'Voyage days'!$A$3:$B$1480,2,FALSE))</f>
        <v>Panama</v>
      </c>
      <c r="V349" s="115" t="str">
        <f>IF(VLOOKUP(A349,'1) Kpler'!$E$2:$P$1000,8, FALSE)="","",VLOOKUP(A349,'1) Kpler'!$E$2:$P$1000,8, FALSE))</f>
        <v>Panama Canal</v>
      </c>
      <c r="W349" s="116">
        <f>IF(VLOOKUP(A349,'1) Kpler'!$E$2:$P$1000,9,FALSE)="","",VLOOKUP(A349,'1) Kpler'!$E$2:$P$1000,9,FALSE))</f>
        <v>46137.375</v>
      </c>
      <c r="X349" s="115" t="str">
        <f>VLOOKUP(A349,'1) Kpler'!$E$2:$I$1000,4,FALSE)</f>
        <v>ballast</v>
      </c>
      <c r="Y349" s="117" t="str">
        <f t="shared" si="55"/>
        <v>29-03 Jun</v>
      </c>
      <c r="Z349" s="120" t="str">
        <f t="shared" si="56"/>
        <v>29-03 Jun</v>
      </c>
      <c r="AA349" s="121">
        <f>IFERROR($M349+VLOOKUP($L349,'Voyage days'!$F$38:$H$89,3,FALSE),"")</f>
        <v>45806</v>
      </c>
      <c r="AB349" s="121">
        <f>IFERROR(N349+VLOOKUP($L349,'Voyage days'!$F$38:$H$89,3,FALSE),"")</f>
        <v>45811</v>
      </c>
      <c r="AC349" s="120" t="str">
        <f t="shared" si="42"/>
        <v/>
      </c>
      <c r="AD349" s="121" t="str">
        <f>IFERROR($M349+VLOOKUP($L349,'Voyage days'!$F$94:$H$193,3,FALSE),"")</f>
        <v/>
      </c>
      <c r="AE349" s="121" t="str">
        <f>IFERROR($N349+VLOOKUP($L349,'Voyage days'!$F$94:$H$193,3,FALSE),"")</f>
        <v/>
      </c>
      <c r="AF349" s="120" t="str">
        <f t="shared" si="43"/>
        <v>25-30 Jun</v>
      </c>
      <c r="AG349" s="121">
        <f>IFERROR($M349+VLOOKUP($L349,'Voyage days'!$F$203:$H$256,3,FALSE),"")</f>
        <v>45833</v>
      </c>
      <c r="AH349" s="121">
        <f>IFERROR($N349+VLOOKUP($L349,'Voyage days'!$F$203:$H$256,3,FALSE),"")</f>
        <v>45838</v>
      </c>
      <c r="AI349" s="120" t="str">
        <f t="shared" si="44"/>
        <v>10-15 Jun</v>
      </c>
      <c r="AJ349" s="121">
        <f>IFERROR($M349+VLOOKUP($L349,'Voyage days'!$F$294:$H$377,3,FALSE),"")</f>
        <v>45818</v>
      </c>
      <c r="AK349" s="121">
        <f>IFERROR($N349+VLOOKUP($L349,'Voyage days'!$F$294:$H$377,3,FALSE),"")</f>
        <v>45823</v>
      </c>
      <c r="AL349" s="120" t="str">
        <f t="shared" si="45"/>
        <v>17-22 Jun</v>
      </c>
      <c r="AM349" s="121">
        <f>IFERROR($M349+VLOOKUP($L349,'Voyage days'!$F$382:$H$446,3,FALSE),"")</f>
        <v>45825</v>
      </c>
      <c r="AN349" s="121">
        <f>IFERROR($N349+VLOOKUP($L349,'Voyage days'!$F$382:$H$446,3,FALSE),"")</f>
        <v>45830</v>
      </c>
      <c r="AO349" s="120" t="str">
        <f t="shared" si="46"/>
        <v>20-25 May</v>
      </c>
      <c r="AP349" s="121">
        <f>IFERROR($M349+VLOOKUP($L349,'Voyage days'!$F$483:$H$538,3,FALSE),"")</f>
        <v>45797</v>
      </c>
      <c r="AQ349" s="121">
        <f>IFERROR($N349+VLOOKUP($L349,'Voyage days'!$F$483:$H$538,3,FALSE),"")</f>
        <v>45802</v>
      </c>
      <c r="AR349" s="120" t="str">
        <f t="shared" si="47"/>
        <v/>
      </c>
      <c r="AS349" s="121" t="str">
        <f>IFERROR($M349+VLOOKUP($L349,'Voyage days'!$F$540:$H$613,3,FALSE),"")</f>
        <v/>
      </c>
      <c r="AT349" s="121" t="str">
        <f>IFERROR($N349+VLOOKUP($L349,'Voyage days'!$F$540:$H$613,3,FALSE),"")</f>
        <v/>
      </c>
      <c r="AU349" s="120" t="str">
        <f t="shared" si="48"/>
        <v/>
      </c>
      <c r="AV349" s="121" t="str">
        <f>IFERROR($M349+VLOOKUP($L349,'Voyage days'!$L$483:$N$535,3,FALSE),"")</f>
        <v/>
      </c>
      <c r="AW349" s="121" t="str">
        <f>IFERROR($N349+VLOOKUP($L349,'Voyage days'!$L$483:$N$535,3,FALSE),"")</f>
        <v/>
      </c>
      <c r="AX349" s="120" t="str">
        <f t="shared" si="49"/>
        <v/>
      </c>
      <c r="AY349" s="122" t="str">
        <f>IFERROR($M349+VLOOKUP($L349,'Voyage days'!$F$620:$H$646,3,FALSE),"")</f>
        <v/>
      </c>
      <c r="AZ349" s="122" t="str">
        <f>IFERROR($N349+VLOOKUP($L349,'Voyage days'!$F$620:$H$646,3,FALSE),"")</f>
        <v/>
      </c>
      <c r="BA349" s="120" t="str">
        <f t="shared" si="50"/>
        <v/>
      </c>
      <c r="BB349" s="123" t="str">
        <f>IFERROR($M349+VLOOKUP($L349,'Voyage days'!$F$702:$H$727,3,FALSE),"")</f>
        <v/>
      </c>
      <c r="BC349" s="120" t="str">
        <f t="shared" si="51"/>
        <v>27-02 Jul</v>
      </c>
      <c r="BD349" s="122">
        <f>IFERROR($M349+VLOOKUP($L349,'Voyage days'!$F$807:$H$878,3,FALSE),"")</f>
        <v>45835</v>
      </c>
      <c r="BE349" s="122">
        <f>IFERROR($N349+VLOOKUP($L349,'Voyage days'!$F$807:$H$878,3,FALSE),"")</f>
        <v>45840</v>
      </c>
      <c r="BF349" s="609"/>
      <c r="BG349" s="609"/>
      <c r="BH349" s="609"/>
      <c r="BI349" s="609"/>
      <c r="BJ349" s="609"/>
      <c r="BK349" s="609"/>
      <c r="BL349" s="609"/>
      <c r="BM349" s="609"/>
    </row>
    <row r="350" ht="15.75" customHeight="1">
      <c r="A350" s="147" t="s">
        <v>1398</v>
      </c>
      <c r="B350" s="101">
        <v>42501.0</v>
      </c>
      <c r="C350" s="1045">
        <v>84000.0</v>
      </c>
      <c r="D350" s="104" t="s">
        <v>1687</v>
      </c>
      <c r="E350" s="103" t="s">
        <v>666</v>
      </c>
      <c r="F350" s="604">
        <v>44307.0</v>
      </c>
      <c r="G350" s="1242" t="s">
        <v>1611</v>
      </c>
      <c r="H350" s="103"/>
      <c r="I350" s="185" t="s">
        <v>1330</v>
      </c>
      <c r="J350" s="111" t="s">
        <v>2935</v>
      </c>
      <c r="K350" s="336" t="str">
        <f t="shared" si="54"/>
        <v>Update</v>
      </c>
      <c r="L350" s="108" t="s">
        <v>1231</v>
      </c>
      <c r="M350" s="109">
        <v>45797.0</v>
      </c>
      <c r="N350" s="1139">
        <v>45802.0</v>
      </c>
      <c r="O350" s="1243" t="s">
        <v>1448</v>
      </c>
      <c r="P350" s="108" t="s">
        <v>3292</v>
      </c>
      <c r="Q350" s="185"/>
      <c r="R350" s="108" t="s">
        <v>3293</v>
      </c>
      <c r="S350" s="112" t="s">
        <v>934</v>
      </c>
      <c r="T350" s="113">
        <v>45781.0</v>
      </c>
      <c r="U350" s="114" t="str">
        <f>IF(V350="","No AIS",VLOOKUP(V350,'Voyage days'!$A$3:$B$1480,2,FALSE))</f>
        <v>+14 days open Far East</v>
      </c>
      <c r="V350" s="115" t="str">
        <f>IF(VLOOKUP(A350,'1) Kpler'!$E$2:$P$1000,8, FALSE)="","",VLOOKUP(A350,'1) Kpler'!$E$2:$P$1000,8, FALSE))</f>
        <v>Ferndale</v>
      </c>
      <c r="W350" s="116">
        <f>IF(VLOOKUP(A350,'1) Kpler'!$E$2:$P$1000,9,FALSE)="","",VLOOKUP(A350,'1) Kpler'!$E$2:$P$1000,9,FALSE))</f>
        <v>46140.79167</v>
      </c>
      <c r="X350" s="115" t="str">
        <f>VLOOKUP(A350,'1) Kpler'!$E$2:$I$1000,4,FALSE)</f>
        <v>ballast</v>
      </c>
      <c r="Y350" s="160" t="str">
        <f t="shared" si="55"/>
        <v>29-03 Jun</v>
      </c>
      <c r="Z350" s="120" t="str">
        <f t="shared" si="56"/>
        <v>29-03 Jun</v>
      </c>
      <c r="AA350" s="121">
        <f>IFERROR($M350+VLOOKUP($L350,'Voyage days'!$F$38:$H$89,3,FALSE),"")</f>
        <v>45806</v>
      </c>
      <c r="AB350" s="121">
        <f>IFERROR(N350+VLOOKUP($L350,'Voyage days'!$F$38:$H$89,3,FALSE),"")</f>
        <v>45811</v>
      </c>
      <c r="AC350" s="120" t="str">
        <f t="shared" si="42"/>
        <v/>
      </c>
      <c r="AD350" s="121" t="str">
        <f>IFERROR($M350+VLOOKUP($L350,'Voyage days'!$F$94:$H$193,3,FALSE),"")</f>
        <v/>
      </c>
      <c r="AE350" s="121" t="str">
        <f>IFERROR($N350+VLOOKUP($L350,'Voyage days'!$F$94:$H$193,3,FALSE),"")</f>
        <v/>
      </c>
      <c r="AF350" s="120" t="str">
        <f t="shared" si="43"/>
        <v>25-30 Jun</v>
      </c>
      <c r="AG350" s="121">
        <f>IFERROR($M350+VLOOKUP($L350,'Voyage days'!$F$203:$H$256,3,FALSE),"")</f>
        <v>45833</v>
      </c>
      <c r="AH350" s="121">
        <f>IFERROR($N350+VLOOKUP($L350,'Voyage days'!$F$203:$H$256,3,FALSE),"")</f>
        <v>45838</v>
      </c>
      <c r="AI350" s="120" t="str">
        <f t="shared" si="44"/>
        <v>10-15 Jun</v>
      </c>
      <c r="AJ350" s="121">
        <f>IFERROR($M350+VLOOKUP($L350,'Voyage days'!$F$294:$H$377,3,FALSE),"")</f>
        <v>45818</v>
      </c>
      <c r="AK350" s="121">
        <f>IFERROR($N350+VLOOKUP($L350,'Voyage days'!$F$294:$H$377,3,FALSE),"")</f>
        <v>45823</v>
      </c>
      <c r="AL350" s="120" t="str">
        <f t="shared" si="45"/>
        <v>17-22 Jun</v>
      </c>
      <c r="AM350" s="121">
        <f>IFERROR($M350+VLOOKUP($L350,'Voyage days'!$F$382:$H$446,3,FALSE),"")</f>
        <v>45825</v>
      </c>
      <c r="AN350" s="121">
        <f>IFERROR($N350+VLOOKUP($L350,'Voyage days'!$F$382:$H$446,3,FALSE),"")</f>
        <v>45830</v>
      </c>
      <c r="AO350" s="120" t="str">
        <f t="shared" si="46"/>
        <v>20-25 May</v>
      </c>
      <c r="AP350" s="121">
        <f>IFERROR($M350+VLOOKUP($L350,'Voyage days'!$F$483:$H$538,3,FALSE),"")</f>
        <v>45797</v>
      </c>
      <c r="AQ350" s="121">
        <f>IFERROR($N350+VLOOKUP($L350,'Voyage days'!$F$483:$H$538,3,FALSE),"")</f>
        <v>45802</v>
      </c>
      <c r="AR350" s="120" t="str">
        <f t="shared" si="47"/>
        <v/>
      </c>
      <c r="AS350" s="121" t="str">
        <f>IFERROR($M350+VLOOKUP($L350,'Voyage days'!$F$540:$H$613,3,FALSE),"")</f>
        <v/>
      </c>
      <c r="AT350" s="121" t="str">
        <f>IFERROR($N350+VLOOKUP($L350,'Voyage days'!$F$540:$H$613,3,FALSE),"")</f>
        <v/>
      </c>
      <c r="AU350" s="120" t="str">
        <f t="shared" si="48"/>
        <v/>
      </c>
      <c r="AV350" s="121" t="str">
        <f>IFERROR($M350+VLOOKUP($L350,'Voyage days'!$L$483:$N$535,3,FALSE),"")</f>
        <v/>
      </c>
      <c r="AW350" s="121" t="str">
        <f>IFERROR($N350+VLOOKUP($L350,'Voyage days'!$L$483:$N$535,3,FALSE),"")</f>
        <v/>
      </c>
      <c r="AX350" s="120" t="str">
        <f t="shared" si="49"/>
        <v/>
      </c>
      <c r="AY350" s="122" t="str">
        <f>IFERROR($M350+VLOOKUP($L350,'Voyage days'!$F$620:$H$646,3,FALSE),"")</f>
        <v/>
      </c>
      <c r="AZ350" s="122" t="str">
        <f>IFERROR($N350+VLOOKUP($L350,'Voyage days'!$F$620:$H$646,3,FALSE),"")</f>
        <v/>
      </c>
      <c r="BA350" s="120" t="str">
        <f t="shared" si="50"/>
        <v/>
      </c>
      <c r="BB350" s="123" t="str">
        <f>IFERROR($M350+VLOOKUP($L350,'Voyage days'!$F$702:$H$727,3,FALSE),"")</f>
        <v/>
      </c>
      <c r="BC350" s="120" t="str">
        <f t="shared" si="51"/>
        <v>27-02 Jul</v>
      </c>
      <c r="BD350" s="122">
        <f>IFERROR($M350+VLOOKUP($L350,'Voyage days'!$F$807:$H$878,3,FALSE),"")</f>
        <v>45835</v>
      </c>
      <c r="BE350" s="122">
        <f>IFERROR($N350+VLOOKUP($L350,'Voyage days'!$F$807:$H$878,3,FALSE),"")</f>
        <v>45840</v>
      </c>
      <c r="BF350" s="609"/>
      <c r="BG350" s="609"/>
      <c r="BH350" s="609"/>
      <c r="BI350" s="609"/>
      <c r="BJ350" s="609"/>
      <c r="BK350" s="609"/>
      <c r="BL350" s="609"/>
      <c r="BM350" s="609"/>
    </row>
    <row r="351">
      <c r="A351" s="147" t="s">
        <v>764</v>
      </c>
      <c r="B351" s="148">
        <v>2020.0</v>
      </c>
      <c r="C351" s="1045">
        <v>83000.0</v>
      </c>
      <c r="D351" s="104"/>
      <c r="E351" s="103" t="s">
        <v>689</v>
      </c>
      <c r="F351" s="604"/>
      <c r="G351" s="605"/>
      <c r="H351" s="103"/>
      <c r="I351" s="185" t="s">
        <v>1330</v>
      </c>
      <c r="J351" s="185" t="s">
        <v>2935</v>
      </c>
      <c r="K351" s="336" t="str">
        <f t="shared" si="54"/>
        <v>Update</v>
      </c>
      <c r="L351" s="108" t="s">
        <v>668</v>
      </c>
      <c r="M351" s="109">
        <v>45818.0</v>
      </c>
      <c r="N351" s="109">
        <v>45823.0</v>
      </c>
      <c r="O351" s="110"/>
      <c r="P351" s="185"/>
      <c r="Q351" s="108"/>
      <c r="R351" s="108" t="s">
        <v>3294</v>
      </c>
      <c r="S351" s="112" t="s">
        <v>33</v>
      </c>
      <c r="T351" s="113">
        <v>45781.0</v>
      </c>
      <c r="U351" s="114" t="str">
        <f>IF(V351="","No AIS",VLOOKUP(V351,'Voyage days'!$A$3:$B$1480,2,FALSE))</f>
        <v>Indo + 4</v>
      </c>
      <c r="V351" s="115" t="str">
        <f>IF(VLOOKUP(A351,'1) Kpler'!$E$2:$P$1000,8, FALSE)="","",VLOOKUP(A351,'1) Kpler'!$E$2:$P$1000,8, FALSE))</f>
        <v>Oiltank. Merak</v>
      </c>
      <c r="W351" s="116">
        <f>IF(VLOOKUP(A351,'1) Kpler'!$E$2:$P$1000,9,FALSE)="","",VLOOKUP(A351,'1) Kpler'!$E$2:$P$1000,9,FALSE))</f>
        <v>46135.32847</v>
      </c>
      <c r="X351" s="115" t="str">
        <f>VLOOKUP(A351,'1) Kpler'!$E$2:$I$1000,4,FALSE)</f>
        <v>loaded</v>
      </c>
      <c r="Y351" s="117" t="str">
        <f t="shared" si="55"/>
        <v>28-03 Jul</v>
      </c>
      <c r="Z351" s="120" t="str">
        <f t="shared" si="56"/>
        <v>28-03 Jul</v>
      </c>
      <c r="AA351" s="121">
        <f>IFERROR($M351+VLOOKUP($L351,'Voyage days'!$F$38:$H$89,3,FALSE),"")</f>
        <v>45836</v>
      </c>
      <c r="AB351" s="121">
        <f>IFERROR(N351+VLOOKUP($L351,'Voyage days'!$F$38:$H$89,3,FALSE),"")</f>
        <v>45841</v>
      </c>
      <c r="AC351" s="120" t="str">
        <f t="shared" si="42"/>
        <v>12-17 Jul</v>
      </c>
      <c r="AD351" s="121">
        <f>IFERROR($M351+VLOOKUP($L351,'Voyage days'!$F$94:$H$193,3,FALSE),"")</f>
        <v>45850</v>
      </c>
      <c r="AE351" s="121">
        <f>IFERROR($N351+VLOOKUP($L351,'Voyage days'!$F$94:$H$193,3,FALSE),"")</f>
        <v>45855</v>
      </c>
      <c r="AF351" s="120" t="str">
        <f t="shared" si="43"/>
        <v>22-27 Jul</v>
      </c>
      <c r="AG351" s="121">
        <f>IFERROR($M351+VLOOKUP($L351,'Voyage days'!$F$203:$H$256,3,FALSE),"")</f>
        <v>45860</v>
      </c>
      <c r="AH351" s="121">
        <f>IFERROR($N351+VLOOKUP($L351,'Voyage days'!$F$203:$H$256,3,FALSE),"")</f>
        <v>45865</v>
      </c>
      <c r="AI351" s="120" t="str">
        <f t="shared" si="44"/>
        <v>10-15 Jul</v>
      </c>
      <c r="AJ351" s="121">
        <f>IFERROR($M351+VLOOKUP($L351,'Voyage days'!$F$294:$H$377,3,FALSE),"")</f>
        <v>45848</v>
      </c>
      <c r="AK351" s="121">
        <f>IFERROR($N351+VLOOKUP($L351,'Voyage days'!$F$294:$H$377,3,FALSE),"")</f>
        <v>45853</v>
      </c>
      <c r="AL351" s="120" t="str">
        <f t="shared" si="45"/>
        <v>16-21 Jul</v>
      </c>
      <c r="AM351" s="121">
        <f>IFERROR($M351+VLOOKUP($L351,'Voyage days'!$F$382:$H$446,3,FALSE),"")</f>
        <v>45854</v>
      </c>
      <c r="AN351" s="121">
        <f>IFERROR($N351+VLOOKUP($L351,'Voyage days'!$F$382:$H$446,3,FALSE),"")</f>
        <v>45859</v>
      </c>
      <c r="AO351" s="120" t="str">
        <f t="shared" si="46"/>
        <v>23-28 Jun</v>
      </c>
      <c r="AP351" s="121">
        <f>IFERROR($M351+VLOOKUP($L351,'Voyage days'!$F$483:$H$538,3,FALSE),"")</f>
        <v>45831</v>
      </c>
      <c r="AQ351" s="121">
        <f>IFERROR($N351+VLOOKUP($L351,'Voyage days'!$F$483:$H$538,3,FALSE),"")</f>
        <v>45836</v>
      </c>
      <c r="AR351" s="120" t="str">
        <f t="shared" si="47"/>
        <v>18-23 Jun</v>
      </c>
      <c r="AS351" s="121">
        <f>IFERROR($M351+VLOOKUP($L351,'Voyage days'!$F$540:$H$613,3,FALSE),"")</f>
        <v>45826.25</v>
      </c>
      <c r="AT351" s="121">
        <f>IFERROR($N351+VLOOKUP($L351,'Voyage days'!$F$540:$H$613,3,FALSE),"")</f>
        <v>45831.25</v>
      </c>
      <c r="AU351" s="120" t="str">
        <f t="shared" si="48"/>
        <v/>
      </c>
      <c r="AV351" s="121" t="str">
        <f>IFERROR($M351+VLOOKUP($L351,'Voyage days'!$L$483:$N$535,3,FALSE),"")</f>
        <v/>
      </c>
      <c r="AW351" s="121" t="str">
        <f>IFERROR($N351+VLOOKUP($L351,'Voyage days'!$L$483:$N$535,3,FALSE),"")</f>
        <v/>
      </c>
      <c r="AX351" s="120" t="str">
        <f t="shared" si="49"/>
        <v>21-26 Jun</v>
      </c>
      <c r="AY351" s="122">
        <f>IFERROR($M351+VLOOKUP($L351,'Voyage days'!$F$620:$H$646,3,FALSE),"")</f>
        <v>45829</v>
      </c>
      <c r="AZ351" s="122">
        <f>IFERROR($N351+VLOOKUP($L351,'Voyage days'!$F$620:$H$646,3,FALSE),"")</f>
        <v>45834</v>
      </c>
      <c r="BA351" s="120" t="str">
        <f t="shared" si="50"/>
        <v>18-31 Jul</v>
      </c>
      <c r="BB351" s="123">
        <f>IFERROR($M351+VLOOKUP($L351,'Voyage days'!$F$702:$H$727,3,FALSE),"")</f>
        <v>45826.25</v>
      </c>
      <c r="BC351" s="120" t="str">
        <f t="shared" si="51"/>
        <v>26-31 Jul</v>
      </c>
      <c r="BD351" s="122">
        <f>IFERROR($M351+VLOOKUP($L351,'Voyage days'!$F$807:$H$878,3,FALSE),"")</f>
        <v>45864</v>
      </c>
      <c r="BE351" s="122">
        <f>IFERROR($N351+VLOOKUP($L351,'Voyage days'!$F$807:$H$878,3,FALSE),"")</f>
        <v>45869</v>
      </c>
      <c r="BF351" s="609"/>
      <c r="BG351" s="609"/>
      <c r="BH351" s="609"/>
      <c r="BI351" s="609"/>
      <c r="BJ351" s="609"/>
      <c r="BK351" s="609"/>
      <c r="BL351" s="609"/>
      <c r="BM351" s="609"/>
    </row>
    <row r="352" ht="15.0" customHeight="1">
      <c r="A352" s="147" t="s">
        <v>223</v>
      </c>
      <c r="B352" s="101">
        <v>42752.0</v>
      </c>
      <c r="C352" s="1045">
        <v>83000.0</v>
      </c>
      <c r="D352" s="104" t="s">
        <v>1687</v>
      </c>
      <c r="E352" s="103"/>
      <c r="F352" s="604"/>
      <c r="G352" s="605">
        <v>46023.0</v>
      </c>
      <c r="H352" s="103"/>
      <c r="I352" s="185" t="s">
        <v>1330</v>
      </c>
      <c r="J352" s="111" t="s">
        <v>3116</v>
      </c>
      <c r="K352" s="336" t="str">
        <f t="shared" si="54"/>
        <v>Update</v>
      </c>
      <c r="L352" s="108" t="s">
        <v>1710</v>
      </c>
      <c r="M352" s="109">
        <v>45789.0</v>
      </c>
      <c r="N352" s="109">
        <v>45791.0</v>
      </c>
      <c r="O352" s="191" t="s">
        <v>1448</v>
      </c>
      <c r="P352" s="185"/>
      <c r="Q352" s="111"/>
      <c r="R352" s="185"/>
      <c r="S352" s="112" t="s">
        <v>2962</v>
      </c>
      <c r="T352" s="113">
        <v>45775.0</v>
      </c>
      <c r="U352" s="114" t="str">
        <f>IF(V352="","No AIS",VLOOKUP(V352,'Voyage days'!$A$3:$B$1480,2,FALSE))</f>
        <v>Panama</v>
      </c>
      <c r="V352" s="115" t="str">
        <f>IF(VLOOKUP(A352,'1) Kpler'!$E$2:$P$1000,8, FALSE)="","",VLOOKUP(A352,'1) Kpler'!$E$2:$P$1000,8, FALSE))</f>
        <v>Panama Canal</v>
      </c>
      <c r="W352" s="116">
        <f>IF(VLOOKUP(A352,'1) Kpler'!$E$2:$P$1000,9,FALSE)="","",VLOOKUP(A352,'1) Kpler'!$E$2:$P$1000,9,FALSE))</f>
        <v>46153.125</v>
      </c>
      <c r="X352" s="115" t="str">
        <f>VLOOKUP(A352,'1) Kpler'!$E$2:$I$1000,4,FALSE)</f>
        <v>ballast</v>
      </c>
      <c r="Y352" s="160" t="str">
        <f t="shared" si="55"/>
        <v>29-31 May</v>
      </c>
      <c r="Z352" s="120" t="str">
        <f t="shared" si="56"/>
        <v>29-31 May</v>
      </c>
      <c r="AA352" s="121">
        <f>IFERROR($M352+VLOOKUP($L352,'Voyage days'!$F$38:$H$89,3,FALSE),"")</f>
        <v>45806</v>
      </c>
      <c r="AB352" s="121">
        <f>IFERROR(N352+VLOOKUP($L352,'Voyage days'!$F$38:$H$89,3,FALSE),"")</f>
        <v>45808</v>
      </c>
      <c r="AC352" s="120" t="str">
        <f t="shared" si="42"/>
        <v>14-16 Jun</v>
      </c>
      <c r="AD352" s="121">
        <f>IFERROR($M352+VLOOKUP($L352,'Voyage days'!$F$94:$H$193,3,FALSE),"")</f>
        <v>45822</v>
      </c>
      <c r="AE352" s="121">
        <f>IFERROR($N352+VLOOKUP($L352,'Voyage days'!$F$94:$H$193,3,FALSE),"")</f>
        <v>45824</v>
      </c>
      <c r="AF352" s="120" t="str">
        <f t="shared" si="43"/>
        <v>25-27 Jun</v>
      </c>
      <c r="AG352" s="121">
        <f>IFERROR($M352+VLOOKUP($L352,'Voyage days'!$F$203:$H$256,3,FALSE),"")</f>
        <v>45833</v>
      </c>
      <c r="AH352" s="121">
        <f>IFERROR($N352+VLOOKUP($L352,'Voyage days'!$F$203:$H$256,3,FALSE),"")</f>
        <v>45835</v>
      </c>
      <c r="AI352" s="120" t="str">
        <f t="shared" si="44"/>
        <v>09-11 Jun</v>
      </c>
      <c r="AJ352" s="121">
        <f>IFERROR($M352+VLOOKUP($L352,'Voyage days'!$F$294:$H$377,3,FALSE),"")</f>
        <v>45817</v>
      </c>
      <c r="AK352" s="121">
        <f>IFERROR($N352+VLOOKUP($L352,'Voyage days'!$F$294:$H$377,3,FALSE),"")</f>
        <v>45819</v>
      </c>
      <c r="AL352" s="120" t="str">
        <f t="shared" si="45"/>
        <v>16-18 Jun</v>
      </c>
      <c r="AM352" s="121">
        <f>IFERROR($M352+VLOOKUP($L352,'Voyage days'!$F$382:$H$446,3,FALSE),"")</f>
        <v>45824</v>
      </c>
      <c r="AN352" s="121">
        <f>IFERROR($N352+VLOOKUP($L352,'Voyage days'!$F$382:$H$446,3,FALSE),"")</f>
        <v>45826</v>
      </c>
      <c r="AO352" s="120" t="str">
        <f t="shared" si="46"/>
        <v>26-28 May</v>
      </c>
      <c r="AP352" s="121">
        <f>IFERROR($M352+VLOOKUP($L352,'Voyage days'!$F$483:$H$538,3,FALSE),"")</f>
        <v>45803</v>
      </c>
      <c r="AQ352" s="121">
        <f>IFERROR($N352+VLOOKUP($L352,'Voyage days'!$F$483:$H$538,3,FALSE),"")</f>
        <v>45805</v>
      </c>
      <c r="AR352" s="120" t="str">
        <f t="shared" si="47"/>
        <v>19-21 May</v>
      </c>
      <c r="AS352" s="121">
        <f>IFERROR($M352+VLOOKUP($L352,'Voyage days'!$F$540:$H$613,3,FALSE),"")</f>
        <v>45796.25</v>
      </c>
      <c r="AT352" s="121">
        <f>IFERROR($N352+VLOOKUP($L352,'Voyage days'!$F$540:$H$613,3,FALSE),"")</f>
        <v>45798.25</v>
      </c>
      <c r="AU352" s="120" t="str">
        <f t="shared" si="48"/>
        <v/>
      </c>
      <c r="AV352" s="121" t="str">
        <f>IFERROR($M352+VLOOKUP($L352,'Voyage days'!$L$483:$N$535,3,FALSE),"")</f>
        <v/>
      </c>
      <c r="AW352" s="121" t="str">
        <f>IFERROR($N352+VLOOKUP($L352,'Voyage days'!$L$483:$N$535,3,FALSE),"")</f>
        <v/>
      </c>
      <c r="AX352" s="120" t="str">
        <f t="shared" si="49"/>
        <v>25-27 May</v>
      </c>
      <c r="AY352" s="122">
        <f>IFERROR($M352+VLOOKUP($L352,'Voyage days'!$F$620:$H$646,3,FALSE),"")</f>
        <v>45802</v>
      </c>
      <c r="AZ352" s="122">
        <f>IFERROR($N352+VLOOKUP($L352,'Voyage days'!$F$620:$H$646,3,FALSE),"")</f>
        <v>45804</v>
      </c>
      <c r="BA352" s="120" t="str">
        <f t="shared" si="50"/>
        <v>19-27 Jun</v>
      </c>
      <c r="BB352" s="123">
        <f>IFERROR($M352+VLOOKUP($L352,'Voyage days'!$F$702:$H$727,3,FALSE),"")</f>
        <v>45796.25</v>
      </c>
      <c r="BC352" s="120" t="str">
        <f t="shared" si="51"/>
        <v>25-27 Jun</v>
      </c>
      <c r="BD352" s="122">
        <f>IFERROR($M352+VLOOKUP($L352,'Voyage days'!$F$807:$H$878,3,FALSE),"")</f>
        <v>45833</v>
      </c>
      <c r="BE352" s="122">
        <f>IFERROR($N352+VLOOKUP($L352,'Voyage days'!$F$807:$H$878,3,FALSE),"")</f>
        <v>45835</v>
      </c>
      <c r="BF352" s="609"/>
      <c r="BG352" s="609"/>
      <c r="BH352" s="609"/>
      <c r="BI352" s="609"/>
      <c r="BJ352" s="609"/>
      <c r="BK352" s="609"/>
      <c r="BL352" s="609"/>
      <c r="BM352" s="609"/>
    </row>
    <row r="353" ht="15.75" customHeight="1">
      <c r="A353" s="147" t="s">
        <v>295</v>
      </c>
      <c r="B353" s="148">
        <v>2023.0</v>
      </c>
      <c r="C353" s="1045">
        <v>93000.0</v>
      </c>
      <c r="D353" s="104" t="s">
        <v>1687</v>
      </c>
      <c r="E353" s="103" t="s">
        <v>666</v>
      </c>
      <c r="F353" s="604"/>
      <c r="G353" s="605"/>
      <c r="H353" s="103"/>
      <c r="I353" s="185" t="s">
        <v>1404</v>
      </c>
      <c r="J353" s="111"/>
      <c r="K353" s="336" t="str">
        <f t="shared" si="54"/>
        <v>Update</v>
      </c>
      <c r="L353" s="108" t="s">
        <v>668</v>
      </c>
      <c r="M353" s="109">
        <v>45823.0</v>
      </c>
      <c r="N353" s="109">
        <v>45828.0</v>
      </c>
      <c r="O353" s="191"/>
      <c r="P353" s="185" t="s">
        <v>3295</v>
      </c>
      <c r="Q353" s="333"/>
      <c r="R353" s="185"/>
      <c r="S353" s="112" t="s">
        <v>33</v>
      </c>
      <c r="T353" s="113">
        <v>45781.0</v>
      </c>
      <c r="U353" s="114" t="str">
        <f>IF(V353="","No AIS",VLOOKUP(V353,'Voyage days'!$A$3:$B$1480,2,FALSE))</f>
        <v>USG</v>
      </c>
      <c r="V353" s="115" t="str">
        <f>IF(VLOOKUP(A353,'1) Kpler'!$E$2:$P$1000,8, FALSE)="","",VLOOKUP(A353,'1) Kpler'!$E$2:$P$1000,8, FALSE))</f>
        <v>Energy Transfer Nederland</v>
      </c>
      <c r="W353" s="116">
        <f>IF(VLOOKUP(A353,'1) Kpler'!$E$2:$P$1000,9,FALSE)="","",VLOOKUP(A353,'1) Kpler'!$E$2:$P$1000,9,FALSE))</f>
        <v>46156.45833</v>
      </c>
      <c r="X353" s="115" t="str">
        <f>VLOOKUP(A353,'1) Kpler'!$E$2:$I$1000,4,FALSE)</f>
        <v>ballast</v>
      </c>
      <c r="Y353" s="117" t="str">
        <f t="shared" si="55"/>
        <v>03-08 Jul</v>
      </c>
      <c r="Z353" s="120" t="str">
        <f t="shared" si="56"/>
        <v>03-08 Jul</v>
      </c>
      <c r="AA353" s="121">
        <f>IFERROR($M353+VLOOKUP($L353,'Voyage days'!$F$38:$H$89,3,FALSE),"")</f>
        <v>45841</v>
      </c>
      <c r="AB353" s="121">
        <f>IFERROR(N353+VLOOKUP($L353,'Voyage days'!$F$38:$H$89,3,FALSE),"")</f>
        <v>45846</v>
      </c>
      <c r="AC353" s="120" t="str">
        <f t="shared" si="42"/>
        <v>17-22 Jul</v>
      </c>
      <c r="AD353" s="121">
        <f>IFERROR($M353+VLOOKUP($L353,'Voyage days'!$F$94:$H$193,3,FALSE),"")</f>
        <v>45855</v>
      </c>
      <c r="AE353" s="121">
        <f>IFERROR($N353+VLOOKUP($L353,'Voyage days'!$F$94:$H$193,3,FALSE),"")</f>
        <v>45860</v>
      </c>
      <c r="AF353" s="120" t="str">
        <f t="shared" si="43"/>
        <v>27-01 Aug</v>
      </c>
      <c r="AG353" s="121">
        <f>IFERROR($M353+VLOOKUP($L353,'Voyage days'!$F$203:$H$256,3,FALSE),"")</f>
        <v>45865</v>
      </c>
      <c r="AH353" s="121">
        <f>IFERROR($N353+VLOOKUP($L353,'Voyage days'!$F$203:$H$256,3,FALSE),"")</f>
        <v>45870</v>
      </c>
      <c r="AI353" s="120" t="str">
        <f t="shared" si="44"/>
        <v>15-20 Jul</v>
      </c>
      <c r="AJ353" s="121">
        <f>IFERROR($M353+VLOOKUP($L353,'Voyage days'!$F$294:$H$377,3,FALSE),"")</f>
        <v>45853</v>
      </c>
      <c r="AK353" s="121">
        <f>IFERROR($N353+VLOOKUP($L353,'Voyage days'!$F$294:$H$377,3,FALSE),"")</f>
        <v>45858</v>
      </c>
      <c r="AL353" s="120" t="str">
        <f t="shared" si="45"/>
        <v>21-26 Jul</v>
      </c>
      <c r="AM353" s="121">
        <f>IFERROR($M353+VLOOKUP($L353,'Voyage days'!$F$382:$H$446,3,FALSE),"")</f>
        <v>45859</v>
      </c>
      <c r="AN353" s="121">
        <f>IFERROR($N353+VLOOKUP($L353,'Voyage days'!$F$382:$H$446,3,FALSE),"")</f>
        <v>45864</v>
      </c>
      <c r="AO353" s="120" t="str">
        <f t="shared" si="46"/>
        <v>28-03 Jul</v>
      </c>
      <c r="AP353" s="121">
        <f>IFERROR($M353+VLOOKUP($L353,'Voyage days'!$F$483:$H$538,3,FALSE),"")</f>
        <v>45836</v>
      </c>
      <c r="AQ353" s="121">
        <f>IFERROR($N353+VLOOKUP($L353,'Voyage days'!$F$483:$H$538,3,FALSE),"")</f>
        <v>45841</v>
      </c>
      <c r="AR353" s="120" t="str">
        <f t="shared" si="47"/>
        <v>23-28 Jun</v>
      </c>
      <c r="AS353" s="121">
        <f>IFERROR($M353+VLOOKUP($L353,'Voyage days'!$F$540:$H$613,3,FALSE),"")</f>
        <v>45831.25</v>
      </c>
      <c r="AT353" s="121">
        <f>IFERROR($N353+VLOOKUP($L353,'Voyage days'!$F$540:$H$613,3,FALSE),"")</f>
        <v>45836.25</v>
      </c>
      <c r="AU353" s="120" t="str">
        <f t="shared" si="48"/>
        <v/>
      </c>
      <c r="AV353" s="121" t="str">
        <f>IFERROR($M353+VLOOKUP($L353,'Voyage days'!$L$483:$N$535,3,FALSE),"")</f>
        <v/>
      </c>
      <c r="AW353" s="121" t="str">
        <f>IFERROR($N353+VLOOKUP($L353,'Voyage days'!$L$483:$N$535,3,FALSE),"")</f>
        <v/>
      </c>
      <c r="AX353" s="120" t="str">
        <f t="shared" si="49"/>
        <v>26-01 Jul</v>
      </c>
      <c r="AY353" s="122">
        <f>IFERROR($M353+VLOOKUP($L353,'Voyage days'!$F$620:$H$646,3,FALSE),"")</f>
        <v>45834</v>
      </c>
      <c r="AZ353" s="122">
        <f>IFERROR($N353+VLOOKUP($L353,'Voyage days'!$F$620:$H$646,3,FALSE),"")</f>
        <v>45839</v>
      </c>
      <c r="BA353" s="120" t="str">
        <f t="shared" si="50"/>
        <v>23-05 Aug</v>
      </c>
      <c r="BB353" s="123">
        <f>IFERROR($M353+VLOOKUP($L353,'Voyage days'!$F$702:$H$727,3,FALSE),"")</f>
        <v>45831.25</v>
      </c>
      <c r="BC353" s="120" t="str">
        <f t="shared" si="51"/>
        <v>31-05 Aug</v>
      </c>
      <c r="BD353" s="122">
        <f>IFERROR($M353+VLOOKUP($L353,'Voyage days'!$F$807:$H$878,3,FALSE),"")</f>
        <v>45869</v>
      </c>
      <c r="BE353" s="122">
        <f>IFERROR($N353+VLOOKUP($L353,'Voyage days'!$F$807:$H$878,3,FALSE),"")</f>
        <v>45874</v>
      </c>
      <c r="BF353" s="609"/>
      <c r="BG353" s="609"/>
      <c r="BH353" s="609"/>
      <c r="BI353" s="609"/>
      <c r="BJ353" s="609"/>
      <c r="BK353" s="609"/>
      <c r="BL353" s="609"/>
      <c r="BM353" s="609"/>
    </row>
    <row r="354" ht="15.75" customHeight="1">
      <c r="A354" s="147" t="s">
        <v>325</v>
      </c>
      <c r="B354" s="148">
        <v>2021.0</v>
      </c>
      <c r="C354" s="1045">
        <v>86000.0</v>
      </c>
      <c r="D354" s="104" t="s">
        <v>1687</v>
      </c>
      <c r="E354" s="103" t="s">
        <v>666</v>
      </c>
      <c r="F354" s="604"/>
      <c r="G354" s="605">
        <v>47939.0</v>
      </c>
      <c r="H354" s="103"/>
      <c r="I354" s="185" t="s">
        <v>1404</v>
      </c>
      <c r="J354" s="111" t="s">
        <v>1624</v>
      </c>
      <c r="K354" s="336" t="str">
        <f t="shared" si="54"/>
        <v>NO AIS</v>
      </c>
      <c r="L354" s="108" t="s">
        <v>703</v>
      </c>
      <c r="M354" s="109">
        <v>45790.0</v>
      </c>
      <c r="N354" s="109">
        <v>45792.0</v>
      </c>
      <c r="O354" s="191" t="s">
        <v>1314</v>
      </c>
      <c r="P354" s="185"/>
      <c r="Q354" s="467"/>
      <c r="R354" s="185"/>
      <c r="S354" s="112" t="s">
        <v>934</v>
      </c>
      <c r="T354" s="113">
        <v>45786.0</v>
      </c>
      <c r="U354" s="114" t="str">
        <f>IF(V354="","No AIS",VLOOKUP(V354,'Voyage days'!$A$3:$B$1480,2,FALSE))</f>
        <v>No AIS</v>
      </c>
      <c r="V354" s="115" t="str">
        <f>IF(VLOOKUP(A354,'1) Kpler'!$E$2:$P$1000,8, FALSE)="","",VLOOKUP(A354,'1) Kpler'!$E$2:$P$1000,8, FALSE))</f>
        <v/>
      </c>
      <c r="W354" s="116" t="str">
        <f>IF(VLOOKUP(A354,'1) Kpler'!$E$2:$P$1000,9,FALSE)="","",VLOOKUP(A354,'1) Kpler'!$E$2:$P$1000,9,FALSE))</f>
        <v/>
      </c>
      <c r="X354" s="115" t="str">
        <f>VLOOKUP(A354,'1) Kpler'!$E$2:$I$1000,4,FALSE)</f>
        <v>ballast</v>
      </c>
      <c r="Y354" s="160" t="str">
        <f t="shared" si="55"/>
        <v>28-30 May</v>
      </c>
      <c r="Z354" s="120" t="str">
        <f t="shared" si="56"/>
        <v>28-30 May</v>
      </c>
      <c r="AA354" s="121">
        <f>IFERROR($M354+VLOOKUP($L354,'Voyage days'!$F$38:$H$89,3,FALSE),"")</f>
        <v>45805</v>
      </c>
      <c r="AB354" s="121">
        <f>IFERROR(N354+VLOOKUP($L354,'Voyage days'!$F$38:$H$89,3,FALSE),"")</f>
        <v>45807</v>
      </c>
      <c r="AC354" s="120" t="str">
        <f t="shared" si="42"/>
        <v>19-21 Jun</v>
      </c>
      <c r="AD354" s="121">
        <f>IFERROR($M354+VLOOKUP($L354,'Voyage days'!$F$94:$H$193,3,FALSE),"")</f>
        <v>45827</v>
      </c>
      <c r="AE354" s="121">
        <f>IFERROR($N354+VLOOKUP($L354,'Voyage days'!$F$94:$H$193,3,FALSE),"")</f>
        <v>45829</v>
      </c>
      <c r="AF354" s="120" t="str">
        <f t="shared" si="43"/>
        <v>24-26 Jun</v>
      </c>
      <c r="AG354" s="121">
        <f>IFERROR($M354+VLOOKUP($L354,'Voyage days'!$F$203:$H$256,3,FALSE),"")</f>
        <v>45832</v>
      </c>
      <c r="AH354" s="121">
        <f>IFERROR($N354+VLOOKUP($L354,'Voyage days'!$F$203:$H$256,3,FALSE),"")</f>
        <v>45834</v>
      </c>
      <c r="AI354" s="120" t="str">
        <f t="shared" si="44"/>
        <v>08-10 Jun</v>
      </c>
      <c r="AJ354" s="121">
        <f>IFERROR($M354+VLOOKUP($L354,'Voyage days'!$F$294:$H$377,3,FALSE),"")</f>
        <v>45816</v>
      </c>
      <c r="AK354" s="121">
        <f>IFERROR($N354+VLOOKUP($L354,'Voyage days'!$F$294:$H$377,3,FALSE),"")</f>
        <v>45818</v>
      </c>
      <c r="AL354" s="120" t="str">
        <f t="shared" si="45"/>
        <v>15-17 Jun</v>
      </c>
      <c r="AM354" s="121">
        <f>IFERROR($M354+VLOOKUP($L354,'Voyage days'!$F$382:$H$446,3,FALSE),"")</f>
        <v>45823</v>
      </c>
      <c r="AN354" s="121">
        <f>IFERROR($N354+VLOOKUP($L354,'Voyage days'!$F$382:$H$446,3,FALSE),"")</f>
        <v>45825</v>
      </c>
      <c r="AO354" s="120" t="str">
        <f t="shared" si="46"/>
        <v>27-29 May</v>
      </c>
      <c r="AP354" s="121">
        <f>IFERROR($M354+VLOOKUP($L354,'Voyage days'!$F$483:$H$538,3,FALSE),"")</f>
        <v>45804</v>
      </c>
      <c r="AQ354" s="121">
        <f>IFERROR($N354+VLOOKUP($L354,'Voyage days'!$F$483:$H$538,3,FALSE),"")</f>
        <v>45806</v>
      </c>
      <c r="AR354" s="120" t="str">
        <f t="shared" si="47"/>
        <v>19-21 May</v>
      </c>
      <c r="AS354" s="121">
        <f>IFERROR($M354+VLOOKUP($L354,'Voyage days'!$F$540:$H$613,3,FALSE),"")</f>
        <v>45796.75</v>
      </c>
      <c r="AT354" s="121">
        <f>IFERROR($N354+VLOOKUP($L354,'Voyage days'!$F$540:$H$613,3,FALSE),"")</f>
        <v>45798.75</v>
      </c>
      <c r="AU354" s="120" t="str">
        <f t="shared" si="48"/>
        <v/>
      </c>
      <c r="AV354" s="121" t="str">
        <f>IFERROR($M354+VLOOKUP($L354,'Voyage days'!$L$483:$N$535,3,FALSE),"")</f>
        <v/>
      </c>
      <c r="AW354" s="121" t="str">
        <f>IFERROR($N354+VLOOKUP($L354,'Voyage days'!$L$483:$N$535,3,FALSE),"")</f>
        <v/>
      </c>
      <c r="AX354" s="120" t="str">
        <f t="shared" si="49"/>
        <v/>
      </c>
      <c r="AY354" s="122" t="str">
        <f>IFERROR($M354+VLOOKUP($L354,'Voyage days'!$F$620:$H$646,3,FALSE),"")</f>
        <v/>
      </c>
      <c r="AZ354" s="122" t="str">
        <f>IFERROR($N354+VLOOKUP($L354,'Voyage days'!$F$620:$H$646,3,FALSE),"")</f>
        <v/>
      </c>
      <c r="BA354" s="120" t="str">
        <f t="shared" si="50"/>
        <v>19-26 Jun</v>
      </c>
      <c r="BB354" s="123">
        <f>IFERROR($M354+VLOOKUP($L354,'Voyage days'!$F$702:$H$727,3,FALSE),"")</f>
        <v>45796.75</v>
      </c>
      <c r="BC354" s="120" t="str">
        <f t="shared" si="51"/>
        <v>24-26 Jun</v>
      </c>
      <c r="BD354" s="122">
        <f>IFERROR($M354+VLOOKUP($L354,'Voyage days'!$F$807:$H$878,3,FALSE),"")</f>
        <v>45832</v>
      </c>
      <c r="BE354" s="122">
        <f>IFERROR($N354+VLOOKUP($L354,'Voyage days'!$F$807:$H$878,3,FALSE),"")</f>
        <v>45834</v>
      </c>
      <c r="BF354" s="609"/>
      <c r="BG354" s="609"/>
      <c r="BH354" s="609"/>
      <c r="BI354" s="609"/>
      <c r="BJ354" s="609"/>
      <c r="BK354" s="609"/>
      <c r="BL354" s="609"/>
      <c r="BM354" s="609"/>
    </row>
    <row r="355">
      <c r="A355" s="147" t="s">
        <v>330</v>
      </c>
      <c r="B355" s="101">
        <v>43009.0</v>
      </c>
      <c r="C355" s="1045">
        <v>84000.0</v>
      </c>
      <c r="D355" s="104" t="s">
        <v>1687</v>
      </c>
      <c r="E355" s="103" t="s">
        <v>689</v>
      </c>
      <c r="F355" s="604">
        <v>44040.0</v>
      </c>
      <c r="G355" s="605"/>
      <c r="H355" s="103"/>
      <c r="I355" s="185" t="s">
        <v>1330</v>
      </c>
      <c r="J355" s="111" t="s">
        <v>3083</v>
      </c>
      <c r="K355" s="336" t="str">
        <f t="shared" si="54"/>
        <v>Update</v>
      </c>
      <c r="L355" s="108" t="s">
        <v>680</v>
      </c>
      <c r="M355" s="109">
        <v>45785.0</v>
      </c>
      <c r="N355" s="109">
        <v>45786.0</v>
      </c>
      <c r="O355" s="110"/>
      <c r="P355" s="1244"/>
      <c r="Q355" s="185"/>
      <c r="R355" s="185"/>
      <c r="S355" s="112" t="s">
        <v>2962</v>
      </c>
      <c r="T355" s="113">
        <v>45783.0</v>
      </c>
      <c r="U355" s="114" t="str">
        <f>IF(V355="","No AIS",VLOOKUP(V355,'Voyage days'!$A$3:$B$1480,2,FALSE))</f>
        <v>Singapore</v>
      </c>
      <c r="V355" s="115" t="str">
        <f>IF(VLOOKUP(A355,'1) Kpler'!$E$2:$P$1000,8, FALSE)="","",VLOOKUP(A355,'1) Kpler'!$E$2:$P$1000,8, FALSE))</f>
        <v>Singapore</v>
      </c>
      <c r="W355" s="116">
        <f>IF(VLOOKUP(A355,'1) Kpler'!$E$2:$P$1000,9,FALSE)="","",VLOOKUP(A355,'1) Kpler'!$E$2:$P$1000,9,FALSE))</f>
        <v>46138.95833</v>
      </c>
      <c r="X355" s="115" t="str">
        <f>VLOOKUP(A355,'1) Kpler'!$E$2:$I$1000,4,FALSE)</f>
        <v>loaded</v>
      </c>
      <c r="Y355" s="117" t="str">
        <f t="shared" si="55"/>
        <v/>
      </c>
      <c r="Z355" s="120" t="str">
        <f t="shared" si="56"/>
        <v/>
      </c>
      <c r="AA355" s="121" t="str">
        <f>IFERROR($M355+VLOOKUP($L355,'Voyage days'!$F$38:$H$89,3,FALSE),"")</f>
        <v/>
      </c>
      <c r="AB355" s="121" t="str">
        <f>IFERROR(N355+VLOOKUP($L355,'Voyage days'!$F$38:$H$89,3,FALSE),"")</f>
        <v/>
      </c>
      <c r="AC355" s="120" t="str">
        <f t="shared" si="42"/>
        <v>08-09 May</v>
      </c>
      <c r="AD355" s="121">
        <f>IFERROR($M355+VLOOKUP($L355,'Voyage days'!$F$94:$H$193,3,FALSE),"")</f>
        <v>45785</v>
      </c>
      <c r="AE355" s="121">
        <f>IFERROR($N355+VLOOKUP($L355,'Voyage days'!$F$94:$H$193,3,FALSE),"")</f>
        <v>45786</v>
      </c>
      <c r="AF355" s="120" t="str">
        <f t="shared" si="43"/>
        <v>08-09 May</v>
      </c>
      <c r="AG355" s="121">
        <f>IFERROR($M355+VLOOKUP($L355,'Voyage days'!$F$203:$H$256,3,FALSE),"")</f>
        <v>45785</v>
      </c>
      <c r="AH355" s="121">
        <f>IFERROR($N355+VLOOKUP($L355,'Voyage days'!$F$203:$H$256,3,FALSE),"")</f>
        <v>45786</v>
      </c>
      <c r="AI355" s="120" t="str">
        <f t="shared" si="44"/>
        <v/>
      </c>
      <c r="AJ355" s="121" t="str">
        <f>IFERROR($M355+VLOOKUP($L355,'Voyage days'!$F$294:$H$377,3,FALSE),"")</f>
        <v/>
      </c>
      <c r="AK355" s="121" t="str">
        <f>IFERROR($N355+VLOOKUP($L355,'Voyage days'!$F$294:$H$377,3,FALSE),"")</f>
        <v/>
      </c>
      <c r="AL355" s="120" t="str">
        <f t="shared" si="45"/>
        <v>28-29 May</v>
      </c>
      <c r="AM355" s="121">
        <f>IFERROR($M355+VLOOKUP($L355,'Voyage days'!$F$382:$H$446,3,FALSE),"")</f>
        <v>45805</v>
      </c>
      <c r="AN355" s="121">
        <f>IFERROR($N355+VLOOKUP($L355,'Voyage days'!$F$382:$H$446,3,FALSE),"")</f>
        <v>45806</v>
      </c>
      <c r="AO355" s="120" t="str">
        <f t="shared" si="46"/>
        <v/>
      </c>
      <c r="AP355" s="121" t="str">
        <f>IFERROR($M355+VLOOKUP($L355,'Voyage days'!$F$483:$H$538,3,FALSE),"")</f>
        <v/>
      </c>
      <c r="AQ355" s="121" t="str">
        <f>IFERROR($N355+VLOOKUP($L355,'Voyage days'!$F$483:$H$538,3,FALSE),"")</f>
        <v/>
      </c>
      <c r="AR355" s="120" t="str">
        <f t="shared" si="47"/>
        <v/>
      </c>
      <c r="AS355" s="121" t="str">
        <f>IFERROR($M355+VLOOKUP($L355,'Voyage days'!$F$540:$H$613,3,FALSE),"")</f>
        <v/>
      </c>
      <c r="AT355" s="121" t="str">
        <f>IFERROR($N355+VLOOKUP($L355,'Voyage days'!$F$540:$H$613,3,FALSE),"")</f>
        <v/>
      </c>
      <c r="AU355" s="120" t="str">
        <f t="shared" si="48"/>
        <v/>
      </c>
      <c r="AV355" s="121" t="str">
        <f>IFERROR($M355+VLOOKUP($L355,'Voyage days'!$L$483:$N$535,3,FALSE),"")</f>
        <v/>
      </c>
      <c r="AW355" s="121" t="str">
        <f>IFERROR($N355+VLOOKUP($L355,'Voyage days'!$L$483:$N$535,3,FALSE),"")</f>
        <v/>
      </c>
      <c r="AX355" s="120" t="str">
        <f t="shared" si="49"/>
        <v/>
      </c>
      <c r="AY355" s="122" t="str">
        <f>IFERROR($M355+VLOOKUP($L355,'Voyage days'!$F$620:$H$646,3,FALSE),"")</f>
        <v/>
      </c>
      <c r="AZ355" s="122" t="str">
        <f>IFERROR($N355+VLOOKUP($L355,'Voyage days'!$F$620:$H$646,3,FALSE),"")</f>
        <v/>
      </c>
      <c r="BA355" s="120" t="str">
        <f t="shared" si="50"/>
        <v/>
      </c>
      <c r="BB355" s="123" t="str">
        <f>IFERROR($M355+VLOOKUP($L355,'Voyage days'!$F$702:$H$727,3,FALSE),"")</f>
        <v/>
      </c>
      <c r="BC355" s="120" t="str">
        <f t="shared" si="51"/>
        <v/>
      </c>
      <c r="BD355" s="122" t="str">
        <f>IFERROR($M355+VLOOKUP($L355,'Voyage days'!$F$807:$H$878,3,FALSE),"")</f>
        <v/>
      </c>
      <c r="BE355" s="122" t="str">
        <f>IFERROR($N355+VLOOKUP($L355,'Voyage days'!$F$807:$H$878,3,FALSE),"")</f>
        <v/>
      </c>
      <c r="BF355" s="609"/>
      <c r="BG355" s="609"/>
      <c r="BH355" s="609"/>
      <c r="BI355" s="609"/>
      <c r="BJ355" s="609"/>
      <c r="BK355" s="609"/>
      <c r="BL355" s="609"/>
      <c r="BM355" s="609"/>
    </row>
    <row r="356">
      <c r="A356" s="341" t="s">
        <v>403</v>
      </c>
      <c r="B356" s="148">
        <v>2023.0</v>
      </c>
      <c r="C356" s="1045">
        <v>91000.0</v>
      </c>
      <c r="D356" s="104" t="s">
        <v>1687</v>
      </c>
      <c r="E356" s="103" t="s">
        <v>666</v>
      </c>
      <c r="F356" s="604"/>
      <c r="G356" s="605"/>
      <c r="H356" s="103"/>
      <c r="I356" s="185" t="s">
        <v>1330</v>
      </c>
      <c r="J356" s="111" t="s">
        <v>2931</v>
      </c>
      <c r="K356" s="336" t="str">
        <f t="shared" si="54"/>
        <v>Update</v>
      </c>
      <c r="L356" s="467" t="s">
        <v>95</v>
      </c>
      <c r="M356" s="109">
        <v>45792.0</v>
      </c>
      <c r="N356" s="109">
        <v>45794.0</v>
      </c>
      <c r="O356" s="110"/>
      <c r="P356" s="108" t="s">
        <v>3296</v>
      </c>
      <c r="Q356" s="111"/>
      <c r="R356" s="185"/>
      <c r="S356" s="112" t="s">
        <v>2962</v>
      </c>
      <c r="T356" s="113">
        <v>45783.0</v>
      </c>
      <c r="U356" s="114" t="str">
        <f>IF(V356="","No AIS",VLOOKUP(V356,'Voyage days'!$A$3:$B$1480,2,FALSE))</f>
        <v>USG</v>
      </c>
      <c r="V356" s="115" t="str">
        <f>IF(VLOOKUP(A356,'1) Kpler'!$E$2:$P$1000,8, FALSE)="","",VLOOKUP(A356,'1) Kpler'!$E$2:$P$1000,8, FALSE))</f>
        <v>Houston</v>
      </c>
      <c r="W356" s="116">
        <f>IF(VLOOKUP(A356,'1) Kpler'!$E$2:$P$1000,9,FALSE)="","",VLOOKUP(A356,'1) Kpler'!$E$2:$P$1000,9,FALSE))</f>
        <v>46132.48681</v>
      </c>
      <c r="X356" s="115" t="str">
        <f>VLOOKUP(A356,'1) Kpler'!$E$2:$I$1000,4,FALSE)</f>
        <v>ballast</v>
      </c>
      <c r="Y356" s="160" t="str">
        <f t="shared" si="55"/>
        <v/>
      </c>
      <c r="Z356" s="120" t="str">
        <f t="shared" si="56"/>
        <v/>
      </c>
      <c r="AA356" s="121" t="str">
        <f>IFERROR($M356+VLOOKUP($L356,'Voyage days'!$F$38:$H$89,3,FALSE),"")</f>
        <v/>
      </c>
      <c r="AB356" s="121" t="str">
        <f>IFERROR(N356+VLOOKUP($L356,'Voyage days'!$F$38:$H$89,3,FALSE),"")</f>
        <v/>
      </c>
      <c r="AC356" s="120" t="str">
        <f t="shared" si="42"/>
        <v/>
      </c>
      <c r="AD356" s="121" t="str">
        <f>IFERROR($M356+VLOOKUP($L356,'Voyage days'!$F$94:$H$193,3,FALSE),"")</f>
        <v/>
      </c>
      <c r="AE356" s="121" t="str">
        <f>IFERROR($N356+VLOOKUP($L356,'Voyage days'!$F$94:$H$193,3,FALSE),"")</f>
        <v/>
      </c>
      <c r="AF356" s="120" t="str">
        <f t="shared" si="43"/>
        <v/>
      </c>
      <c r="AG356" s="121" t="str">
        <f>IFERROR($M356+VLOOKUP($L356,'Voyage days'!$F$203:$H$256,3,FALSE),"")</f>
        <v/>
      </c>
      <c r="AH356" s="121" t="str">
        <f>IFERROR($N356+VLOOKUP($L356,'Voyage days'!$F$203:$H$256,3,FALSE),"")</f>
        <v/>
      </c>
      <c r="AI356" s="120" t="str">
        <f t="shared" si="44"/>
        <v/>
      </c>
      <c r="AJ356" s="121" t="str">
        <f>IFERROR($M356+VLOOKUP($L356,'Voyage days'!$F$294:$H$377,3,FALSE),"")</f>
        <v/>
      </c>
      <c r="AK356" s="121" t="str">
        <f>IFERROR($N356+VLOOKUP($L356,'Voyage days'!$F$294:$H$377,3,FALSE),"")</f>
        <v/>
      </c>
      <c r="AL356" s="120" t="str">
        <f t="shared" si="45"/>
        <v/>
      </c>
      <c r="AM356" s="121" t="str">
        <f>IFERROR($M356+VLOOKUP($L356,'Voyage days'!$F$382:$H$446,3,FALSE),"")</f>
        <v/>
      </c>
      <c r="AN356" s="121" t="str">
        <f>IFERROR($N356+VLOOKUP($L356,'Voyage days'!$F$382:$H$446,3,FALSE),"")</f>
        <v/>
      </c>
      <c r="AO356" s="120" t="str">
        <f t="shared" si="46"/>
        <v/>
      </c>
      <c r="AP356" s="121" t="str">
        <f>IFERROR($M356+VLOOKUP($L356,'Voyage days'!$F$483:$H$538,3,FALSE),"")</f>
        <v/>
      </c>
      <c r="AQ356" s="121" t="str">
        <f>IFERROR($N356+VLOOKUP($L356,'Voyage days'!$F$483:$H$538,3,FALSE),"")</f>
        <v/>
      </c>
      <c r="AR356" s="120" t="str">
        <f t="shared" si="47"/>
        <v/>
      </c>
      <c r="AS356" s="121" t="str">
        <f>IFERROR($M356+VLOOKUP($L356,'Voyage days'!$F$540:$H$613,3,FALSE),"")</f>
        <v/>
      </c>
      <c r="AT356" s="121" t="str">
        <f>IFERROR($N356+VLOOKUP($L356,'Voyage days'!$F$540:$H$613,3,FALSE),"")</f>
        <v/>
      </c>
      <c r="AU356" s="120" t="str">
        <f t="shared" si="48"/>
        <v/>
      </c>
      <c r="AV356" s="121" t="str">
        <f>IFERROR($M356+VLOOKUP($L356,'Voyage days'!$L$483:$N$535,3,FALSE),"")</f>
        <v/>
      </c>
      <c r="AW356" s="121" t="str">
        <f>IFERROR($N356+VLOOKUP($L356,'Voyage days'!$L$483:$N$535,3,FALSE),"")</f>
        <v/>
      </c>
      <c r="AX356" s="120" t="str">
        <f t="shared" si="49"/>
        <v/>
      </c>
      <c r="AY356" s="122" t="str">
        <f>IFERROR($M356+VLOOKUP($L356,'Voyage days'!$F$620:$H$646,3,FALSE),"")</f>
        <v/>
      </c>
      <c r="AZ356" s="122" t="str">
        <f>IFERROR($N356+VLOOKUP($L356,'Voyage days'!$F$620:$H$646,3,FALSE),"")</f>
        <v/>
      </c>
      <c r="BA356" s="120" t="str">
        <f t="shared" si="50"/>
        <v/>
      </c>
      <c r="BB356" s="123" t="str">
        <f>IFERROR($M356+VLOOKUP($L356,'Voyage days'!$F$702:$H$727,3,FALSE),"")</f>
        <v/>
      </c>
      <c r="BC356" s="120" t="str">
        <f t="shared" si="51"/>
        <v/>
      </c>
      <c r="BD356" s="122" t="str">
        <f>IFERROR($M356+VLOOKUP($L356,'Voyage days'!$F$807:$H$878,3,FALSE),"")</f>
        <v/>
      </c>
      <c r="BE356" s="122" t="str">
        <f>IFERROR($N356+VLOOKUP($L356,'Voyage days'!$F$807:$H$878,3,FALSE),"")</f>
        <v/>
      </c>
      <c r="BF356" s="609"/>
      <c r="BG356" s="609"/>
      <c r="BH356" s="609"/>
      <c r="BI356" s="609"/>
      <c r="BJ356" s="609"/>
      <c r="BK356" s="609"/>
      <c r="BL356" s="609"/>
      <c r="BM356" s="609"/>
    </row>
    <row r="357" ht="15.75" customHeight="1">
      <c r="A357" s="674" t="s">
        <v>473</v>
      </c>
      <c r="B357" s="222">
        <v>42979.0</v>
      </c>
      <c r="C357" s="1101">
        <v>84000.0</v>
      </c>
      <c r="D357" s="168" t="s">
        <v>1687</v>
      </c>
      <c r="E357" s="223"/>
      <c r="F357" s="1198">
        <v>44075.0</v>
      </c>
      <c r="G357" s="1011">
        <v>45992.0</v>
      </c>
      <c r="H357" s="223"/>
      <c r="I357" s="463" t="s">
        <v>1330</v>
      </c>
      <c r="J357" s="312" t="s">
        <v>3019</v>
      </c>
      <c r="K357" s="469" t="str">
        <f t="shared" si="54"/>
        <v>Update</v>
      </c>
      <c r="L357" s="172" t="s">
        <v>773</v>
      </c>
      <c r="M357" s="173">
        <v>45801.0</v>
      </c>
      <c r="N357" s="173">
        <v>45803.0</v>
      </c>
      <c r="O357" s="226" t="s">
        <v>773</v>
      </c>
      <c r="P357" s="463"/>
      <c r="Q357" s="312"/>
      <c r="R357" s="463"/>
      <c r="S357" s="175" t="s">
        <v>2962</v>
      </c>
      <c r="T357" s="176">
        <v>45783.0</v>
      </c>
      <c r="U357" s="177" t="str">
        <f>IF(V357="","No AIS",VLOOKUP(V357,'Voyage days'!$A$3:$B$1480,2,FALSE))</f>
        <v>Singapore</v>
      </c>
      <c r="V357" s="178" t="str">
        <f>IF(VLOOKUP(A357,'1) Kpler'!$E$2:$P$1000,8, FALSE)="","",VLOOKUP(A357,'1) Kpler'!$E$2:$P$1000,8, FALSE))</f>
        <v>Singapore</v>
      </c>
      <c r="W357" s="179">
        <f>IF(VLOOKUP(A357,'1) Kpler'!$E$2:$P$1000,9,FALSE)="","",VLOOKUP(A357,'1) Kpler'!$E$2:$P$1000,9,FALSE))</f>
        <v>46162.375</v>
      </c>
      <c r="X357" s="178" t="str">
        <f>VLOOKUP(A357,'1) Kpler'!$E$2:$I$1000,4,FALSE)</f>
        <v>loaded</v>
      </c>
      <c r="Y357" s="180" t="str">
        <f t="shared" si="55"/>
        <v/>
      </c>
      <c r="Z357" s="120" t="str">
        <f t="shared" si="56"/>
        <v/>
      </c>
      <c r="AA357" s="121" t="str">
        <f>IFERROR($M357+VLOOKUP($L357,'Voyage days'!$F$38:$H$89,3,FALSE),"")</f>
        <v/>
      </c>
      <c r="AB357" s="121" t="str">
        <f>IFERROR(N357+VLOOKUP($L357,'Voyage days'!$F$38:$H$89,3,FALSE),"")</f>
        <v/>
      </c>
      <c r="AC357" s="120" t="str">
        <f t="shared" si="42"/>
        <v>07-09 Jun</v>
      </c>
      <c r="AD357" s="121">
        <f>IFERROR($M357+VLOOKUP($L357,'Voyage days'!$F$94:$H$193,3,FALSE),"")</f>
        <v>45815</v>
      </c>
      <c r="AE357" s="121">
        <f>IFERROR($N357+VLOOKUP($L357,'Voyage days'!$F$94:$H$193,3,FALSE),"")</f>
        <v>45817</v>
      </c>
      <c r="AF357" s="120" t="str">
        <f t="shared" si="43"/>
        <v>08-10 Jun</v>
      </c>
      <c r="AG357" s="121">
        <f>IFERROR($M357+VLOOKUP($L357,'Voyage days'!$F$203:$H$256,3,FALSE),"")</f>
        <v>45816</v>
      </c>
      <c r="AH357" s="121">
        <f>IFERROR($N357+VLOOKUP($L357,'Voyage days'!$F$203:$H$256,3,FALSE),"")</f>
        <v>45818</v>
      </c>
      <c r="AI357" s="120" t="str">
        <f t="shared" si="44"/>
        <v>04-06 Jun</v>
      </c>
      <c r="AJ357" s="121">
        <f>IFERROR($M357+VLOOKUP($L357,'Voyage days'!$F$294:$H$377,3,FALSE),"")</f>
        <v>45812</v>
      </c>
      <c r="AK357" s="121">
        <f>IFERROR($N357+VLOOKUP($L357,'Voyage days'!$F$294:$H$377,3,FALSE),"")</f>
        <v>45814</v>
      </c>
      <c r="AL357" s="120" t="str">
        <f t="shared" si="45"/>
        <v>26-28 May</v>
      </c>
      <c r="AM357" s="121">
        <f>IFERROR($M357+VLOOKUP($L357,'Voyage days'!$F$382:$H$446,3,FALSE),"")</f>
        <v>45803</v>
      </c>
      <c r="AN357" s="121">
        <f>IFERROR($N357+VLOOKUP($L357,'Voyage days'!$F$382:$H$446,3,FALSE),"")</f>
        <v>45805</v>
      </c>
      <c r="AO357" s="120" t="str">
        <f t="shared" si="46"/>
        <v/>
      </c>
      <c r="AP357" s="121" t="str">
        <f>IFERROR($M357+VLOOKUP($L357,'Voyage days'!$F$483:$H$538,3,FALSE),"")</f>
        <v/>
      </c>
      <c r="AQ357" s="121" t="str">
        <f>IFERROR($N357+VLOOKUP($L357,'Voyage days'!$F$483:$H$538,3,FALSE),"")</f>
        <v/>
      </c>
      <c r="AR357" s="120" t="str">
        <f t="shared" si="47"/>
        <v/>
      </c>
      <c r="AS357" s="121" t="str">
        <f>IFERROR($M357+VLOOKUP($L357,'Voyage days'!$F$540:$H$613,3,FALSE),"")</f>
        <v/>
      </c>
      <c r="AT357" s="121" t="str">
        <f>IFERROR($N357+VLOOKUP($L357,'Voyage days'!$F$540:$H$613,3,FALSE),"")</f>
        <v/>
      </c>
      <c r="AU357" s="120" t="str">
        <f t="shared" si="48"/>
        <v/>
      </c>
      <c r="AV357" s="121" t="str">
        <f>IFERROR($M357+VLOOKUP($L357,'Voyage days'!$L$483:$N$535,3,FALSE),"")</f>
        <v/>
      </c>
      <c r="AW357" s="121" t="str">
        <f>IFERROR($N357+VLOOKUP($L357,'Voyage days'!$L$483:$N$535,3,FALSE),"")</f>
        <v/>
      </c>
      <c r="AX357" s="120" t="str">
        <f t="shared" si="49"/>
        <v/>
      </c>
      <c r="AY357" s="122" t="str">
        <f>IFERROR($M357+VLOOKUP($L357,'Voyage days'!$F$620:$H$646,3,FALSE),"")</f>
        <v/>
      </c>
      <c r="AZ357" s="122" t="str">
        <f>IFERROR($N357+VLOOKUP($L357,'Voyage days'!$F$620:$H$646,3,FALSE),"")</f>
        <v/>
      </c>
      <c r="BA357" s="120" t="str">
        <f t="shared" si="50"/>
        <v/>
      </c>
      <c r="BB357" s="123" t="str">
        <f>IFERROR($M357+VLOOKUP($L357,'Voyage days'!$F$702:$H$727,3,FALSE),"")</f>
        <v/>
      </c>
      <c r="BC357" s="120" t="str">
        <f t="shared" si="51"/>
        <v>07-09 Jun</v>
      </c>
      <c r="BD357" s="122">
        <f>IFERROR($M357+VLOOKUP($L357,'Voyage days'!$F$807:$H$878,3,FALSE),"")</f>
        <v>45815</v>
      </c>
      <c r="BE357" s="122">
        <f>IFERROR($N357+VLOOKUP($L357,'Voyage days'!$F$807:$H$878,3,FALSE),"")</f>
        <v>45817</v>
      </c>
      <c r="BF357" s="609"/>
      <c r="BG357" s="609"/>
      <c r="BH357" s="609"/>
      <c r="BI357" s="609"/>
      <c r="BJ357" s="609"/>
      <c r="BK357" s="609"/>
      <c r="BL357" s="609"/>
      <c r="BM357" s="609"/>
    </row>
    <row r="358" ht="15.75" customHeight="1">
      <c r="A358" s="147" t="s">
        <v>48</v>
      </c>
      <c r="B358" s="101">
        <v>40193.0</v>
      </c>
      <c r="C358" s="1045">
        <v>83278.0</v>
      </c>
      <c r="D358" s="150" t="s">
        <v>1687</v>
      </c>
      <c r="E358" s="149" t="s">
        <v>689</v>
      </c>
      <c r="F358" s="1014">
        <v>43910.0</v>
      </c>
      <c r="G358" s="149" t="s">
        <v>1611</v>
      </c>
      <c r="H358" s="1245"/>
      <c r="I358" s="157" t="s">
        <v>1412</v>
      </c>
      <c r="J358" s="536" t="s">
        <v>2931</v>
      </c>
      <c r="K358" s="517" t="str">
        <f t="shared" si="54"/>
        <v>Update</v>
      </c>
      <c r="L358" s="153" t="s">
        <v>773</v>
      </c>
      <c r="M358" s="238">
        <v>45797.0</v>
      </c>
      <c r="N358" s="238">
        <v>45802.0</v>
      </c>
      <c r="O358" s="678" t="s">
        <v>1448</v>
      </c>
      <c r="P358" s="317" t="s">
        <v>3297</v>
      </c>
      <c r="Q358" s="153"/>
      <c r="R358" s="577" t="s">
        <v>3298</v>
      </c>
      <c r="S358" s="292" t="s">
        <v>934</v>
      </c>
      <c r="T358" s="420">
        <v>45784.0</v>
      </c>
      <c r="U358" s="114" t="str">
        <f>IF(V358="","No AIS",VLOOKUP(V358,'Voyage days'!$A$3:$B$1480,2,FALSE))</f>
        <v>USG</v>
      </c>
      <c r="V358" s="114" t="str">
        <f>IF(VLOOKUP(A358,'1) Kpler'!$E$2:$P$1000,8, FALSE)="","",VLOOKUP(A358,'1) Kpler'!$E$2:$P$1000,8, FALSE))</f>
        <v>Houston</v>
      </c>
      <c r="W358" s="159">
        <f>IF(VLOOKUP(A358,'1) Kpler'!$E$2:$P$1000,9,FALSE)="","",VLOOKUP(A358,'1) Kpler'!$E$2:$P$1000,9,FALSE))</f>
        <v>46159.20833</v>
      </c>
      <c r="X358" s="114" t="str">
        <f>VLOOKUP(A358,'1) Kpler'!$E$2:$I$1000,4,FALSE)</f>
        <v>ballast</v>
      </c>
      <c r="Y358" s="272" t="str">
        <f t="shared" si="55"/>
        <v/>
      </c>
      <c r="Z358" s="163" t="str">
        <f t="shared" si="56"/>
        <v/>
      </c>
      <c r="AA358" s="122" t="str">
        <f>IFERROR($M358+VLOOKUP($L358,'Voyage days'!$F$38:$H$89,3,FALSE),"")</f>
        <v/>
      </c>
      <c r="AB358" s="122" t="str">
        <f>IFERROR(N358+VLOOKUP($L358,'Voyage days'!$F$38:$H$89,3,FALSE),"")</f>
        <v/>
      </c>
      <c r="AC358" s="163" t="str">
        <f t="shared" si="42"/>
        <v>03-08 Jun</v>
      </c>
      <c r="AD358" s="122">
        <f>IFERROR($M358+VLOOKUP($L358,'Voyage days'!$F$94:$H$193,3,FALSE),"")</f>
        <v>45811</v>
      </c>
      <c r="AE358" s="122">
        <f>IFERROR($N358+VLOOKUP($L358,'Voyage days'!$F$94:$H$193,3,FALSE),"")</f>
        <v>45816</v>
      </c>
      <c r="AF358" s="163" t="str">
        <f t="shared" si="43"/>
        <v>04-09 Jun</v>
      </c>
      <c r="AG358" s="122">
        <f>IFERROR($M358+VLOOKUP($L358,'Voyage days'!$F$203:$H$256,3,FALSE),"")</f>
        <v>45812</v>
      </c>
      <c r="AH358" s="122">
        <f>IFERROR($N358+VLOOKUP($L358,'Voyage days'!$F$203:$H$256,3,FALSE),"")</f>
        <v>45817</v>
      </c>
      <c r="AI358" s="163" t="str">
        <f t="shared" si="44"/>
        <v>31-05 Jun</v>
      </c>
      <c r="AJ358" s="122">
        <f>IFERROR($M358+VLOOKUP($L358,'Voyage days'!$F$294:$H$377,3,FALSE),"")</f>
        <v>45808</v>
      </c>
      <c r="AK358" s="122">
        <f>IFERROR($N358+VLOOKUP($L358,'Voyage days'!$F$294:$H$377,3,FALSE),"")</f>
        <v>45813</v>
      </c>
      <c r="AL358" s="163" t="str">
        <f t="shared" si="45"/>
        <v>22-27 May</v>
      </c>
      <c r="AM358" s="122">
        <f>IFERROR($M358+VLOOKUP($L358,'Voyage days'!$F$382:$H$446,3,FALSE),"")</f>
        <v>45799</v>
      </c>
      <c r="AN358" s="122">
        <f>IFERROR($N358+VLOOKUP($L358,'Voyage days'!$F$382:$H$446,3,FALSE),"")</f>
        <v>45804</v>
      </c>
      <c r="AO358" s="163" t="str">
        <f t="shared" si="46"/>
        <v/>
      </c>
      <c r="AP358" s="122" t="str">
        <f>IFERROR($M358+VLOOKUP($L358,'Voyage days'!$F$483:$H$538,3,FALSE),"")</f>
        <v/>
      </c>
      <c r="AQ358" s="122" t="str">
        <f>IFERROR($N358+VLOOKUP($L358,'Voyage days'!$F$483:$H$538,3,FALSE),"")</f>
        <v/>
      </c>
      <c r="AR358" s="163" t="str">
        <f t="shared" si="47"/>
        <v/>
      </c>
      <c r="AS358" s="122" t="str">
        <f>IFERROR($M358+VLOOKUP($L358,'Voyage days'!$F$540:$H$613,3,FALSE),"")</f>
        <v/>
      </c>
      <c r="AT358" s="122" t="str">
        <f>IFERROR($N358+VLOOKUP($L358,'Voyage days'!$F$540:$H$613,3,FALSE),"")</f>
        <v/>
      </c>
      <c r="AU358" s="163" t="str">
        <f t="shared" si="48"/>
        <v/>
      </c>
      <c r="AV358" s="122" t="str">
        <f>IFERROR($M358+VLOOKUP($L358,'Voyage days'!$L$483:$N$535,3,FALSE),"")</f>
        <v/>
      </c>
      <c r="AW358" s="122" t="str">
        <f>IFERROR($N358+VLOOKUP($L358,'Voyage days'!$L$483:$N$535,3,FALSE),"")</f>
        <v/>
      </c>
      <c r="AX358" s="163" t="str">
        <f t="shared" si="49"/>
        <v/>
      </c>
      <c r="AY358" s="122" t="str">
        <f>IFERROR($M358+VLOOKUP($L358,'Voyage days'!$F$620:$H$646,3,FALSE),"")</f>
        <v/>
      </c>
      <c r="AZ358" s="122" t="str">
        <f>IFERROR($N358+VLOOKUP($L358,'Voyage days'!$F$620:$H$646,3,FALSE),"")</f>
        <v/>
      </c>
      <c r="BA358" s="163" t="str">
        <f t="shared" si="50"/>
        <v/>
      </c>
      <c r="BB358" s="123" t="str">
        <f>IFERROR($M358+VLOOKUP($L358,'Voyage days'!$F$702:$H$727,3,FALSE),"")</f>
        <v/>
      </c>
      <c r="BC358" s="163" t="str">
        <f t="shared" si="51"/>
        <v>03-08 Jun</v>
      </c>
      <c r="BD358" s="122">
        <f>IFERROR($M358+VLOOKUP($L358,'Voyage days'!$F$807:$H$878,3,FALSE),"")</f>
        <v>45811</v>
      </c>
      <c r="BE358" s="122">
        <f>IFERROR($N358+VLOOKUP($L358,'Voyage days'!$F$807:$H$878,3,FALSE),"")</f>
        <v>45816</v>
      </c>
      <c r="BF358" s="609"/>
      <c r="BG358" s="609"/>
      <c r="BH358" s="609"/>
      <c r="BI358" s="609"/>
      <c r="BJ358" s="609"/>
      <c r="BK358" s="609"/>
      <c r="BL358" s="609"/>
      <c r="BM358" s="609"/>
    </row>
    <row r="359" ht="15.75" customHeight="1">
      <c r="A359" s="341" t="s">
        <v>1420</v>
      </c>
      <c r="B359" s="183">
        <v>2007.0</v>
      </c>
      <c r="C359" s="1082">
        <v>80595.0</v>
      </c>
      <c r="D359" s="104" t="s">
        <v>1687</v>
      </c>
      <c r="E359" s="103"/>
      <c r="F359" s="604">
        <v>44166.0</v>
      </c>
      <c r="G359" s="103" t="s">
        <v>1611</v>
      </c>
      <c r="H359" s="103"/>
      <c r="I359" s="185" t="s">
        <v>1412</v>
      </c>
      <c r="J359" s="111" t="s">
        <v>3299</v>
      </c>
      <c r="K359" s="336" t="str">
        <f t="shared" si="54"/>
        <v>Update</v>
      </c>
      <c r="L359" s="304" t="s">
        <v>656</v>
      </c>
      <c r="M359" s="109">
        <v>45800.0</v>
      </c>
      <c r="N359" s="109">
        <v>45802.0</v>
      </c>
      <c r="O359" s="110"/>
      <c r="P359" s="108" t="s">
        <v>3300</v>
      </c>
      <c r="Q359" s="108"/>
      <c r="R359" s="108" t="s">
        <v>3301</v>
      </c>
      <c r="S359" s="112" t="s">
        <v>659</v>
      </c>
      <c r="T359" s="188">
        <v>45775.0</v>
      </c>
      <c r="U359" s="114" t="str">
        <f>IF(V359="","No AIS",VLOOKUP(V359,'Voyage days'!$A$3:$B$1480,2,FALSE))</f>
        <v>USG</v>
      </c>
      <c r="V359" s="115" t="str">
        <f>IF(VLOOKUP(A359,'1) Kpler'!$E$2:$P$1000,8, FALSE)="","",VLOOKUP(A359,'1) Kpler'!$E$2:$P$1000,8, FALSE))</f>
        <v>Houston</v>
      </c>
      <c r="W359" s="116">
        <f>IF(VLOOKUP(A359,'1) Kpler'!$E$2:$P$1000,9,FALSE)="","",VLOOKUP(A359,'1) Kpler'!$E$2:$P$1000,9,FALSE))</f>
        <v>46141.70833</v>
      </c>
      <c r="X359" s="115" t="str">
        <f>VLOOKUP(A359,'1) Kpler'!$E$2:$I$1000,4,FALSE)</f>
        <v>ballast</v>
      </c>
      <c r="Y359" s="117" t="str">
        <f t="shared" si="55"/>
        <v>10-12 Jun</v>
      </c>
      <c r="Z359" s="120" t="str">
        <f t="shared" si="56"/>
        <v>10-12 Jun</v>
      </c>
      <c r="AA359" s="121">
        <f>IFERROR($M359+VLOOKUP($L359,'Voyage days'!$F$38:$H$89,3,FALSE),"")</f>
        <v>45818</v>
      </c>
      <c r="AB359" s="121">
        <f>IFERROR(N359+VLOOKUP($L359,'Voyage days'!$F$38:$H$89,3,FALSE),"")</f>
        <v>45820</v>
      </c>
      <c r="AC359" s="120" t="str">
        <f t="shared" si="42"/>
        <v>23-25 Jun</v>
      </c>
      <c r="AD359" s="121">
        <f>IFERROR($M359+VLOOKUP($L359,'Voyage days'!$F$94:$H$193,3,FALSE),"")</f>
        <v>45831</v>
      </c>
      <c r="AE359" s="121">
        <f>IFERROR($N359+VLOOKUP($L359,'Voyage days'!$F$94:$H$193,3,FALSE),"")</f>
        <v>45833</v>
      </c>
      <c r="AF359" s="120" t="str">
        <f t="shared" si="43"/>
        <v>30-02 Jul</v>
      </c>
      <c r="AG359" s="121">
        <f>IFERROR($M359+VLOOKUP($L359,'Voyage days'!$F$203:$H$256,3,FALSE),"")</f>
        <v>45838</v>
      </c>
      <c r="AH359" s="121">
        <f>IFERROR($N359+VLOOKUP($L359,'Voyage days'!$F$203:$H$256,3,FALSE),"")</f>
        <v>45840</v>
      </c>
      <c r="AI359" s="120" t="str">
        <f t="shared" si="44"/>
        <v>22-24 Jun</v>
      </c>
      <c r="AJ359" s="121">
        <f>IFERROR($M359+VLOOKUP($L359,'Voyage days'!$F$294:$H$377,3,FALSE),"")</f>
        <v>45830</v>
      </c>
      <c r="AK359" s="121">
        <f>IFERROR($N359+VLOOKUP($L359,'Voyage days'!$F$294:$H$377,3,FALSE),"")</f>
        <v>45832</v>
      </c>
      <c r="AL359" s="120" t="str">
        <f t="shared" si="45"/>
        <v>28-30 Jun</v>
      </c>
      <c r="AM359" s="121">
        <f>IFERROR($M359+VLOOKUP($L359,'Voyage days'!$F$382:$H$446,3,FALSE),"")</f>
        <v>45836</v>
      </c>
      <c r="AN359" s="121">
        <f>IFERROR($N359+VLOOKUP($L359,'Voyage days'!$F$382:$H$446,3,FALSE),"")</f>
        <v>45838</v>
      </c>
      <c r="AO359" s="120" t="str">
        <f t="shared" si="46"/>
        <v>05-07 Jun</v>
      </c>
      <c r="AP359" s="121">
        <f>IFERROR($M359+VLOOKUP($L359,'Voyage days'!$F$483:$H$538,3,FALSE),"")</f>
        <v>45813</v>
      </c>
      <c r="AQ359" s="121">
        <f>IFERROR($N359+VLOOKUP($L359,'Voyage days'!$F$483:$H$538,3,FALSE),"")</f>
        <v>45815</v>
      </c>
      <c r="AR359" s="120" t="str">
        <f t="shared" si="47"/>
        <v>31-02 Jun</v>
      </c>
      <c r="AS359" s="121">
        <f>IFERROR($M359+VLOOKUP($L359,'Voyage days'!$F$540:$H$613,3,FALSE),"")</f>
        <v>45808.25</v>
      </c>
      <c r="AT359" s="121">
        <f>IFERROR($N359+VLOOKUP($L359,'Voyage days'!$F$540:$H$613,3,FALSE),"")</f>
        <v>45810.25</v>
      </c>
      <c r="AU359" s="120" t="str">
        <f t="shared" si="48"/>
        <v/>
      </c>
      <c r="AV359" s="121" t="str">
        <f>IFERROR($M359+VLOOKUP($L359,'Voyage days'!$L$483:$N$535,3,FALSE),"")</f>
        <v/>
      </c>
      <c r="AW359" s="121" t="str">
        <f>IFERROR($N359+VLOOKUP($L359,'Voyage days'!$L$483:$N$535,3,FALSE),"")</f>
        <v/>
      </c>
      <c r="AX359" s="120" t="str">
        <f t="shared" si="49"/>
        <v>03-05 Jun</v>
      </c>
      <c r="AY359" s="122">
        <f>IFERROR($M359+VLOOKUP($L359,'Voyage days'!$F$620:$H$646,3,FALSE),"")</f>
        <v>45811</v>
      </c>
      <c r="AZ359" s="122">
        <f>IFERROR($N359+VLOOKUP($L359,'Voyage days'!$F$620:$H$646,3,FALSE),"")</f>
        <v>45813</v>
      </c>
      <c r="BA359" s="120" t="str">
        <f t="shared" si="50"/>
        <v>31-10 Jul</v>
      </c>
      <c r="BB359" s="123">
        <f>IFERROR($M359+VLOOKUP($L359,'Voyage days'!$F$702:$H$727,3,FALSE),"")</f>
        <v>45808.25</v>
      </c>
      <c r="BC359" s="120" t="str">
        <f t="shared" si="51"/>
        <v>08-10 Jul</v>
      </c>
      <c r="BD359" s="122">
        <f>IFERROR($M359+VLOOKUP($L359,'Voyage days'!$F$807:$H$878,3,FALSE),"")</f>
        <v>45846</v>
      </c>
      <c r="BE359" s="122">
        <f>IFERROR($N359+VLOOKUP($L359,'Voyage days'!$F$807:$H$878,3,FALSE),"")</f>
        <v>45848</v>
      </c>
      <c r="BF359" s="609"/>
      <c r="BG359" s="609"/>
      <c r="BH359" s="609"/>
      <c r="BI359" s="609"/>
      <c r="BJ359" s="609"/>
      <c r="BK359" s="609"/>
      <c r="BL359" s="609"/>
      <c r="BM359" s="609"/>
    </row>
    <row r="360" ht="15.75" customHeight="1">
      <c r="A360" s="341" t="s">
        <v>157</v>
      </c>
      <c r="B360" s="183">
        <v>2023.0</v>
      </c>
      <c r="C360" s="1082">
        <v>84000.0</v>
      </c>
      <c r="D360" s="104" t="s">
        <v>1687</v>
      </c>
      <c r="E360" s="103" t="s">
        <v>666</v>
      </c>
      <c r="F360" s="604">
        <v>44166.0</v>
      </c>
      <c r="G360" s="103" t="s">
        <v>1611</v>
      </c>
      <c r="H360" s="103"/>
      <c r="I360" s="185" t="s">
        <v>1412</v>
      </c>
      <c r="J360" s="111" t="s">
        <v>3299</v>
      </c>
      <c r="K360" s="336" t="str">
        <f t="shared" si="54"/>
        <v>Update</v>
      </c>
      <c r="L360" s="108" t="s">
        <v>95</v>
      </c>
      <c r="M360" s="1121">
        <v>45794.0</v>
      </c>
      <c r="N360" s="109">
        <v>45795.0</v>
      </c>
      <c r="O360" s="191" t="s">
        <v>1314</v>
      </c>
      <c r="P360" s="108"/>
      <c r="Q360" s="108" t="s">
        <v>3302</v>
      </c>
      <c r="R360" s="108"/>
      <c r="S360" s="112" t="s">
        <v>934</v>
      </c>
      <c r="T360" s="188">
        <v>45784.0</v>
      </c>
      <c r="U360" s="114" t="str">
        <f>IF(V360="","No AIS",VLOOKUP(V360,'Voyage days'!$A$3:$B$1480,2,FALSE))</f>
        <v>USG</v>
      </c>
      <c r="V360" s="115" t="str">
        <f>IF(VLOOKUP(A360,'1) Kpler'!$E$2:$P$1000,8, FALSE)="","",VLOOKUP(A360,'1) Kpler'!$E$2:$P$1000,8, FALSE))</f>
        <v>Houston</v>
      </c>
      <c r="W360" s="116">
        <f>IF(VLOOKUP(A360,'1) Kpler'!$E$2:$P$1000,9,FALSE)="","",VLOOKUP(A360,'1) Kpler'!$E$2:$P$1000,9,FALSE))</f>
        <v>46134.66667</v>
      </c>
      <c r="X360" s="115" t="str">
        <f>VLOOKUP(A360,'1) Kpler'!$E$2:$I$1000,4,FALSE)</f>
        <v>ballast</v>
      </c>
      <c r="Y360" s="160" t="str">
        <f t="shared" si="55"/>
        <v/>
      </c>
      <c r="Z360" s="120" t="str">
        <f t="shared" si="56"/>
        <v/>
      </c>
      <c r="AA360" s="121" t="str">
        <f>IFERROR($M360+VLOOKUP($L360,'Voyage days'!$F$38:$H$89,3,FALSE),"")</f>
        <v/>
      </c>
      <c r="AB360" s="121" t="str">
        <f>IFERROR(N360+VLOOKUP($L360,'Voyage days'!$F$38:$H$89,3,FALSE),"")</f>
        <v/>
      </c>
      <c r="AC360" s="120" t="str">
        <f t="shared" si="42"/>
        <v/>
      </c>
      <c r="AD360" s="121" t="str">
        <f>IFERROR($M360+VLOOKUP($L360,'Voyage days'!$F$94:$H$193,3,FALSE),"")</f>
        <v/>
      </c>
      <c r="AE360" s="121" t="str">
        <f>IFERROR($N360+VLOOKUP($L360,'Voyage days'!$F$94:$H$193,3,FALSE),"")</f>
        <v/>
      </c>
      <c r="AF360" s="120" t="str">
        <f t="shared" si="43"/>
        <v/>
      </c>
      <c r="AG360" s="121" t="str">
        <f>IFERROR($M360+VLOOKUP($L360,'Voyage days'!$F$203:$H$256,3,FALSE),"")</f>
        <v/>
      </c>
      <c r="AH360" s="121" t="str">
        <f>IFERROR($N360+VLOOKUP($L360,'Voyage days'!$F$203:$H$256,3,FALSE),"")</f>
        <v/>
      </c>
      <c r="AI360" s="120" t="str">
        <f t="shared" si="44"/>
        <v/>
      </c>
      <c r="AJ360" s="121" t="str">
        <f>IFERROR($M360+VLOOKUP($L360,'Voyage days'!$F$294:$H$377,3,FALSE),"")</f>
        <v/>
      </c>
      <c r="AK360" s="121" t="str">
        <f>IFERROR($N360+VLOOKUP($L360,'Voyage days'!$F$294:$H$377,3,FALSE),"")</f>
        <v/>
      </c>
      <c r="AL360" s="120" t="str">
        <f t="shared" si="45"/>
        <v/>
      </c>
      <c r="AM360" s="121" t="str">
        <f>IFERROR($M360+VLOOKUP($L360,'Voyage days'!$F$382:$H$446,3,FALSE),"")</f>
        <v/>
      </c>
      <c r="AN360" s="121" t="str">
        <f>IFERROR($N360+VLOOKUP($L360,'Voyage days'!$F$382:$H$446,3,FALSE),"")</f>
        <v/>
      </c>
      <c r="AO360" s="120" t="str">
        <f t="shared" si="46"/>
        <v/>
      </c>
      <c r="AP360" s="121" t="str">
        <f>IFERROR($M360+VLOOKUP($L360,'Voyage days'!$F$483:$H$538,3,FALSE),"")</f>
        <v/>
      </c>
      <c r="AQ360" s="121" t="str">
        <f>IFERROR($N360+VLOOKUP($L360,'Voyage days'!$F$483:$H$538,3,FALSE),"")</f>
        <v/>
      </c>
      <c r="AR360" s="120" t="str">
        <f t="shared" si="47"/>
        <v/>
      </c>
      <c r="AS360" s="121" t="str">
        <f>IFERROR($M360+VLOOKUP($L360,'Voyage days'!$F$540:$H$613,3,FALSE),"")</f>
        <v/>
      </c>
      <c r="AT360" s="121" t="str">
        <f>IFERROR($N360+VLOOKUP($L360,'Voyage days'!$F$540:$H$613,3,FALSE),"")</f>
        <v/>
      </c>
      <c r="AU360" s="120" t="str">
        <f t="shared" si="48"/>
        <v/>
      </c>
      <c r="AV360" s="121" t="str">
        <f>IFERROR($M360+VLOOKUP($L360,'Voyage days'!$L$483:$N$535,3,FALSE),"")</f>
        <v/>
      </c>
      <c r="AW360" s="121" t="str">
        <f>IFERROR($N360+VLOOKUP($L360,'Voyage days'!$L$483:$N$535,3,FALSE),"")</f>
        <v/>
      </c>
      <c r="AX360" s="120" t="str">
        <f t="shared" si="49"/>
        <v/>
      </c>
      <c r="AY360" s="122" t="str">
        <f>IFERROR($M360+VLOOKUP($L360,'Voyage days'!$F$620:$H$646,3,FALSE),"")</f>
        <v/>
      </c>
      <c r="AZ360" s="122" t="str">
        <f>IFERROR($N360+VLOOKUP($L360,'Voyage days'!$F$620:$H$646,3,FALSE),"")</f>
        <v/>
      </c>
      <c r="BA360" s="120" t="str">
        <f t="shared" si="50"/>
        <v/>
      </c>
      <c r="BB360" s="123" t="str">
        <f>IFERROR($M360+VLOOKUP($L360,'Voyage days'!$F$702:$H$727,3,FALSE),"")</f>
        <v/>
      </c>
      <c r="BC360" s="120" t="str">
        <f t="shared" si="51"/>
        <v/>
      </c>
      <c r="BD360" s="122" t="str">
        <f>IFERROR($M360+VLOOKUP($L360,'Voyage days'!$F$807:$H$878,3,FALSE),"")</f>
        <v/>
      </c>
      <c r="BE360" s="122" t="str">
        <f>IFERROR($N360+VLOOKUP($L360,'Voyage days'!$F$807:$H$878,3,FALSE),"")</f>
        <v/>
      </c>
      <c r="BF360" s="609"/>
      <c r="BG360" s="609"/>
      <c r="BH360" s="609"/>
      <c r="BI360" s="609"/>
      <c r="BJ360" s="609"/>
      <c r="BK360" s="609"/>
      <c r="BL360" s="609"/>
      <c r="BM360" s="609"/>
    </row>
    <row r="361" ht="15.75" customHeight="1">
      <c r="A361" s="341" t="s">
        <v>158</v>
      </c>
      <c r="B361" s="101">
        <v>42425.0</v>
      </c>
      <c r="C361" s="1045">
        <v>84000.0</v>
      </c>
      <c r="D361" s="104" t="s">
        <v>1687</v>
      </c>
      <c r="E361" s="103" t="s">
        <v>689</v>
      </c>
      <c r="F361" s="604">
        <v>44228.0</v>
      </c>
      <c r="G361" s="103" t="s">
        <v>1611</v>
      </c>
      <c r="H361" s="103"/>
      <c r="I361" s="185" t="s">
        <v>1412</v>
      </c>
      <c r="J361" s="111" t="s">
        <v>3299</v>
      </c>
      <c r="K361" s="336" t="str">
        <f t="shared" si="54"/>
        <v>Update</v>
      </c>
      <c r="L361" s="108" t="s">
        <v>680</v>
      </c>
      <c r="M361" s="109">
        <v>45800.0</v>
      </c>
      <c r="N361" s="109">
        <v>45801.0</v>
      </c>
      <c r="O361" s="1241"/>
      <c r="P361" s="108"/>
      <c r="Q361" s="108"/>
      <c r="R361" s="192" t="s">
        <v>3303</v>
      </c>
      <c r="S361" s="112" t="s">
        <v>934</v>
      </c>
      <c r="T361" s="188">
        <v>45783.0</v>
      </c>
      <c r="U361" s="114" t="str">
        <f>IF(V361="","No AIS",VLOOKUP(V361,'Voyage days'!$A$3:$B$1480,2,FALSE))</f>
        <v>USG</v>
      </c>
      <c r="V361" s="115" t="str">
        <f>IF(VLOOKUP(A361,'1) Kpler'!$E$2:$P$1000,8, FALSE)="","",VLOOKUP(A361,'1) Kpler'!$E$2:$P$1000,8, FALSE))</f>
        <v>PADD 3</v>
      </c>
      <c r="W361" s="116">
        <f>IF(VLOOKUP(A361,'1) Kpler'!$E$2:$P$1000,9,FALSE)="","",VLOOKUP(A361,'1) Kpler'!$E$2:$P$1000,9,FALSE))</f>
        <v>46168</v>
      </c>
      <c r="X361" s="115" t="str">
        <f>VLOOKUP(A361,'1) Kpler'!$E$2:$I$1000,4,FALSE)</f>
        <v>ballast</v>
      </c>
      <c r="Y361" s="117" t="str">
        <f t="shared" si="55"/>
        <v/>
      </c>
      <c r="Z361" s="120" t="str">
        <f t="shared" si="56"/>
        <v/>
      </c>
      <c r="AA361" s="121" t="str">
        <f>IFERROR($M361+VLOOKUP($L361,'Voyage days'!$F$38:$H$89,3,FALSE),"")</f>
        <v/>
      </c>
      <c r="AB361" s="121" t="str">
        <f>IFERROR(N361+VLOOKUP($L361,'Voyage days'!$F$38:$H$89,3,FALSE),"")</f>
        <v/>
      </c>
      <c r="AC361" s="120" t="str">
        <f t="shared" si="42"/>
        <v>23-24 May</v>
      </c>
      <c r="AD361" s="121">
        <f>IFERROR($M361+VLOOKUP($L361,'Voyage days'!$F$94:$H$193,3,FALSE),"")</f>
        <v>45800</v>
      </c>
      <c r="AE361" s="121">
        <f>IFERROR($N361+VLOOKUP($L361,'Voyage days'!$F$94:$H$193,3,FALSE),"")</f>
        <v>45801</v>
      </c>
      <c r="AF361" s="120" t="str">
        <f t="shared" si="43"/>
        <v>23-24 May</v>
      </c>
      <c r="AG361" s="121">
        <f>IFERROR($M361+VLOOKUP($L361,'Voyage days'!$F$203:$H$256,3,FALSE),"")</f>
        <v>45800</v>
      </c>
      <c r="AH361" s="121">
        <f>IFERROR($N361+VLOOKUP($L361,'Voyage days'!$F$203:$H$256,3,FALSE),"")</f>
        <v>45801</v>
      </c>
      <c r="AI361" s="120" t="str">
        <f t="shared" si="44"/>
        <v/>
      </c>
      <c r="AJ361" s="121" t="str">
        <f>IFERROR($M361+VLOOKUP($L361,'Voyage days'!$F$294:$H$377,3,FALSE),"")</f>
        <v/>
      </c>
      <c r="AK361" s="121" t="str">
        <f>IFERROR($N361+VLOOKUP($L361,'Voyage days'!$F$294:$H$377,3,FALSE),"")</f>
        <v/>
      </c>
      <c r="AL361" s="120" t="str">
        <f t="shared" si="45"/>
        <v>12-13 Jun</v>
      </c>
      <c r="AM361" s="121">
        <f>IFERROR($M361+VLOOKUP($L361,'Voyage days'!$F$382:$H$446,3,FALSE),"")</f>
        <v>45820</v>
      </c>
      <c r="AN361" s="121">
        <f>IFERROR($N361+VLOOKUP($L361,'Voyage days'!$F$382:$H$446,3,FALSE),"")</f>
        <v>45821</v>
      </c>
      <c r="AO361" s="120" t="str">
        <f t="shared" si="46"/>
        <v/>
      </c>
      <c r="AP361" s="121" t="str">
        <f>IFERROR($M361+VLOOKUP($L361,'Voyage days'!$F$483:$H$538,3,FALSE),"")</f>
        <v/>
      </c>
      <c r="AQ361" s="121" t="str">
        <f>IFERROR($N361+VLOOKUP($L361,'Voyage days'!$F$483:$H$538,3,FALSE),"")</f>
        <v/>
      </c>
      <c r="AR361" s="120" t="str">
        <f t="shared" si="47"/>
        <v/>
      </c>
      <c r="AS361" s="121" t="str">
        <f>IFERROR($M361+VLOOKUP($L361,'Voyage days'!$F$540:$H$613,3,FALSE),"")</f>
        <v/>
      </c>
      <c r="AT361" s="121" t="str">
        <f>IFERROR($N361+VLOOKUP($L361,'Voyage days'!$F$540:$H$613,3,FALSE),"")</f>
        <v/>
      </c>
      <c r="AU361" s="120" t="str">
        <f t="shared" si="48"/>
        <v/>
      </c>
      <c r="AV361" s="121" t="str">
        <f>IFERROR($M361+VLOOKUP($L361,'Voyage days'!$L$483:$N$535,3,FALSE),"")</f>
        <v/>
      </c>
      <c r="AW361" s="121" t="str">
        <f>IFERROR($N361+VLOOKUP($L361,'Voyage days'!$L$483:$N$535,3,FALSE),"")</f>
        <v/>
      </c>
      <c r="AX361" s="120" t="str">
        <f t="shared" si="49"/>
        <v/>
      </c>
      <c r="AY361" s="122" t="str">
        <f>IFERROR($M361+VLOOKUP($L361,'Voyage days'!$F$620:$H$646,3,FALSE),"")</f>
        <v/>
      </c>
      <c r="AZ361" s="122" t="str">
        <f>IFERROR($N361+VLOOKUP($L361,'Voyage days'!$F$620:$H$646,3,FALSE),"")</f>
        <v/>
      </c>
      <c r="BA361" s="120" t="str">
        <f t="shared" si="50"/>
        <v/>
      </c>
      <c r="BB361" s="123" t="str">
        <f>IFERROR($M361+VLOOKUP($L361,'Voyage days'!$F$702:$H$727,3,FALSE),"")</f>
        <v/>
      </c>
      <c r="BC361" s="120" t="str">
        <f t="shared" si="51"/>
        <v/>
      </c>
      <c r="BD361" s="122" t="str">
        <f>IFERROR($M361+VLOOKUP($L361,'Voyage days'!$F$807:$H$878,3,FALSE),"")</f>
        <v/>
      </c>
      <c r="BE361" s="122" t="str">
        <f>IFERROR($N361+VLOOKUP($L361,'Voyage days'!$F$807:$H$878,3,FALSE),"")</f>
        <v/>
      </c>
      <c r="BF361" s="609"/>
      <c r="BG361" s="609"/>
      <c r="BH361" s="609"/>
      <c r="BI361" s="609"/>
      <c r="BJ361" s="609"/>
      <c r="BK361" s="609"/>
      <c r="BL361" s="609"/>
      <c r="BM361" s="609"/>
    </row>
    <row r="362" ht="15.75" customHeight="1">
      <c r="A362" s="147" t="s">
        <v>165</v>
      </c>
      <c r="B362" s="194">
        <v>42299.0</v>
      </c>
      <c r="C362" s="1082">
        <v>84000.0</v>
      </c>
      <c r="D362" s="111" t="s">
        <v>1687</v>
      </c>
      <c r="E362" s="195" t="s">
        <v>689</v>
      </c>
      <c r="F362" s="1084">
        <v>43818.0</v>
      </c>
      <c r="G362" s="195" t="s">
        <v>1611</v>
      </c>
      <c r="H362" s="195"/>
      <c r="I362" s="185" t="s">
        <v>1412</v>
      </c>
      <c r="J362" s="111" t="s">
        <v>3299</v>
      </c>
      <c r="K362" s="336" t="str">
        <f t="shared" si="54"/>
        <v>Update</v>
      </c>
      <c r="L362" s="304" t="s">
        <v>720</v>
      </c>
      <c r="M362" s="109">
        <v>45813.0</v>
      </c>
      <c r="N362" s="109">
        <v>45823.0</v>
      </c>
      <c r="O362" s="334"/>
      <c r="P362" s="108" t="s">
        <v>3304</v>
      </c>
      <c r="Q362" s="111"/>
      <c r="R362" s="185"/>
      <c r="S362" s="112" t="s">
        <v>934</v>
      </c>
      <c r="T362" s="188">
        <v>45783.0</v>
      </c>
      <c r="U362" s="114" t="str">
        <f>IF(V362="","No AIS",VLOOKUP(V362,'Voyage days'!$A$3:$B$1480,2,FALSE))</f>
        <v>Panama</v>
      </c>
      <c r="V362" s="115" t="str">
        <f>IF(VLOOKUP(A362,'1) Kpler'!$E$2:$P$1000,8, FALSE)="","",VLOOKUP(A362,'1) Kpler'!$E$2:$P$1000,8, FALSE))</f>
        <v>Panama Canal</v>
      </c>
      <c r="W362" s="116">
        <f>IF(VLOOKUP(A362,'1) Kpler'!$E$2:$P$1000,9,FALSE)="","",VLOOKUP(A362,'1) Kpler'!$E$2:$P$1000,9,FALSE))</f>
        <v>46132.54167</v>
      </c>
      <c r="X362" s="115" t="str">
        <f>VLOOKUP(A362,'1) Kpler'!$E$2:$I$1000,4,FALSE)</f>
        <v>loaded</v>
      </c>
      <c r="Y362" s="160" t="str">
        <f t="shared" si="55"/>
        <v>23-03 Jul</v>
      </c>
      <c r="Z362" s="120" t="str">
        <f t="shared" si="56"/>
        <v>23-03 Jul</v>
      </c>
      <c r="AA362" s="121">
        <f>IFERROR($M362+VLOOKUP($L362,'Voyage days'!$F$38:$H$89,3,FALSE),"")</f>
        <v>45831</v>
      </c>
      <c r="AB362" s="121">
        <f>IFERROR(N362+VLOOKUP($L362,'Voyage days'!$F$38:$H$89,3,FALSE),"")</f>
        <v>45841</v>
      </c>
      <c r="AC362" s="120" t="str">
        <f t="shared" si="42"/>
        <v>09-19 Jul</v>
      </c>
      <c r="AD362" s="121">
        <f>IFERROR($M362+VLOOKUP($L362,'Voyage days'!$F$94:$H$193,3,FALSE),"")</f>
        <v>45847</v>
      </c>
      <c r="AE362" s="121">
        <f>IFERROR($N362+VLOOKUP($L362,'Voyage days'!$F$94:$H$193,3,FALSE),"")</f>
        <v>45857</v>
      </c>
      <c r="AF362" s="120" t="str">
        <f t="shared" si="43"/>
        <v>16-26 Jul</v>
      </c>
      <c r="AG362" s="121">
        <f>IFERROR($M362+VLOOKUP($L362,'Voyage days'!$F$203:$H$256,3,FALSE),"")</f>
        <v>45854</v>
      </c>
      <c r="AH362" s="121">
        <f>IFERROR($N362+VLOOKUP($L362,'Voyage days'!$F$203:$H$256,3,FALSE),"")</f>
        <v>45864</v>
      </c>
      <c r="AI362" s="120" t="str">
        <f t="shared" si="44"/>
        <v>04-14 Jul</v>
      </c>
      <c r="AJ362" s="121">
        <f>IFERROR($M362+VLOOKUP($L362,'Voyage days'!$F$294:$H$377,3,FALSE),"")</f>
        <v>45842</v>
      </c>
      <c r="AK362" s="121">
        <f>IFERROR($N362+VLOOKUP($L362,'Voyage days'!$F$294:$H$377,3,FALSE),"")</f>
        <v>45852</v>
      </c>
      <c r="AL362" s="120" t="str">
        <f t="shared" si="45"/>
        <v>10-20 Jul</v>
      </c>
      <c r="AM362" s="121">
        <f>IFERROR($M362+VLOOKUP($L362,'Voyage days'!$F$382:$H$446,3,FALSE),"")</f>
        <v>45848</v>
      </c>
      <c r="AN362" s="121">
        <f>IFERROR($N362+VLOOKUP($L362,'Voyage days'!$F$382:$H$446,3,FALSE),"")</f>
        <v>45858</v>
      </c>
      <c r="AO362" s="120" t="str">
        <f t="shared" si="46"/>
        <v>19-29 Jun</v>
      </c>
      <c r="AP362" s="121">
        <f>IFERROR($M362+VLOOKUP($L362,'Voyage days'!$F$483:$H$538,3,FALSE),"")</f>
        <v>45827</v>
      </c>
      <c r="AQ362" s="121">
        <f>IFERROR($N362+VLOOKUP($L362,'Voyage days'!$F$483:$H$538,3,FALSE),"")</f>
        <v>45837</v>
      </c>
      <c r="AR362" s="120" t="str">
        <f t="shared" si="47"/>
        <v>13-23 Jun</v>
      </c>
      <c r="AS362" s="121">
        <f>IFERROR($M362+VLOOKUP($L362,'Voyage days'!$F$540:$H$613,3,FALSE),"")</f>
        <v>45821</v>
      </c>
      <c r="AT362" s="121">
        <f>IFERROR($N362+VLOOKUP($L362,'Voyage days'!$F$540:$H$613,3,FALSE),"")</f>
        <v>45831</v>
      </c>
      <c r="AU362" s="120" t="str">
        <f t="shared" si="48"/>
        <v/>
      </c>
      <c r="AV362" s="121" t="str">
        <f>IFERROR($M362+VLOOKUP($L362,'Voyage days'!$L$483:$N$535,3,FALSE),"")</f>
        <v/>
      </c>
      <c r="AW362" s="121" t="str">
        <f>IFERROR($N362+VLOOKUP($L362,'Voyage days'!$L$483:$N$535,3,FALSE),"")</f>
        <v/>
      </c>
      <c r="AX362" s="120" t="str">
        <f t="shared" si="49"/>
        <v>16-26 Jun</v>
      </c>
      <c r="AY362" s="122">
        <f>IFERROR($M362+VLOOKUP($L362,'Voyage days'!$F$620:$H$646,3,FALSE),"")</f>
        <v>45824</v>
      </c>
      <c r="AZ362" s="122">
        <f>IFERROR($N362+VLOOKUP($L362,'Voyage days'!$F$620:$H$646,3,FALSE),"")</f>
        <v>45834</v>
      </c>
      <c r="BA362" s="120" t="str">
        <f t="shared" si="50"/>
        <v>13-30 Jul</v>
      </c>
      <c r="BB362" s="123">
        <f>IFERROR($M362+VLOOKUP($L362,'Voyage days'!$F$702:$H$727,3,FALSE),"")</f>
        <v>45821</v>
      </c>
      <c r="BC362" s="120" t="str">
        <f t="shared" si="51"/>
        <v>20-30 Jul</v>
      </c>
      <c r="BD362" s="122">
        <f>IFERROR($M362+VLOOKUP($L362,'Voyage days'!$F$807:$H$878,3,FALSE),"")</f>
        <v>45858</v>
      </c>
      <c r="BE362" s="122">
        <f>IFERROR($N362+VLOOKUP($L362,'Voyage days'!$F$807:$H$878,3,FALSE),"")</f>
        <v>45868</v>
      </c>
      <c r="BF362" s="609"/>
      <c r="BG362" s="609"/>
      <c r="BH362" s="609"/>
      <c r="BI362" s="609"/>
      <c r="BJ362" s="609"/>
      <c r="BK362" s="609"/>
      <c r="BL362" s="609"/>
      <c r="BM362" s="609"/>
    </row>
    <row r="363" ht="15.75" customHeight="1">
      <c r="A363" s="341" t="s">
        <v>166</v>
      </c>
      <c r="B363" s="101">
        <v>42290.0</v>
      </c>
      <c r="C363" s="1045">
        <v>84000.0</v>
      </c>
      <c r="D363" s="104" t="s">
        <v>1687</v>
      </c>
      <c r="E363" s="103" t="s">
        <v>689</v>
      </c>
      <c r="F363" s="604">
        <v>43831.0</v>
      </c>
      <c r="G363" s="103" t="s">
        <v>1611</v>
      </c>
      <c r="H363" s="103"/>
      <c r="I363" s="185" t="s">
        <v>1412</v>
      </c>
      <c r="J363" s="111" t="s">
        <v>3299</v>
      </c>
      <c r="K363" s="336" t="str">
        <f t="shared" si="54"/>
        <v>Update</v>
      </c>
      <c r="L363" s="304" t="s">
        <v>720</v>
      </c>
      <c r="M363" s="109">
        <v>45805.0</v>
      </c>
      <c r="N363" s="109">
        <v>45806.0</v>
      </c>
      <c r="O363" s="334"/>
      <c r="P363" s="108"/>
      <c r="Q363" s="185"/>
      <c r="R363" s="185"/>
      <c r="S363" s="112" t="s">
        <v>934</v>
      </c>
      <c r="T363" s="188">
        <v>45783.0</v>
      </c>
      <c r="U363" s="114" t="str">
        <f>IF(V363="","No AIS",VLOOKUP(V363,'Voyage days'!$A$3:$B$1480,2,FALSE))</f>
        <v>Panama</v>
      </c>
      <c r="V363" s="115" t="str">
        <f>IF(VLOOKUP(A363,'1) Kpler'!$E$2:$P$1000,8, FALSE)="","",VLOOKUP(A363,'1) Kpler'!$E$2:$P$1000,8, FALSE))</f>
        <v>Panama Canal</v>
      </c>
      <c r="W363" s="116">
        <f>IF(VLOOKUP(A363,'1) Kpler'!$E$2:$P$1000,9,FALSE)="","",VLOOKUP(A363,'1) Kpler'!$E$2:$P$1000,9,FALSE))</f>
        <v>46139.625</v>
      </c>
      <c r="X363" s="115" t="str">
        <f>VLOOKUP(A363,'1) Kpler'!$E$2:$I$1000,4,FALSE)</f>
        <v>ballast</v>
      </c>
      <c r="Y363" s="117" t="str">
        <f t="shared" si="55"/>
        <v>15-16 Jun</v>
      </c>
      <c r="Z363" s="120" t="str">
        <f t="shared" si="56"/>
        <v>15-16 Jun</v>
      </c>
      <c r="AA363" s="121">
        <f>IFERROR($M363+VLOOKUP($L363,'Voyage days'!$F$38:$H$89,3,FALSE),"")</f>
        <v>45823</v>
      </c>
      <c r="AB363" s="121">
        <f>IFERROR(N363+VLOOKUP($L363,'Voyage days'!$F$38:$H$89,3,FALSE),"")</f>
        <v>45824</v>
      </c>
      <c r="AC363" s="120" t="str">
        <f t="shared" si="42"/>
        <v>01-02 Jul</v>
      </c>
      <c r="AD363" s="121">
        <f>IFERROR($M363+VLOOKUP($L363,'Voyage days'!$F$94:$H$193,3,FALSE),"")</f>
        <v>45839</v>
      </c>
      <c r="AE363" s="121">
        <f>IFERROR($N363+VLOOKUP($L363,'Voyage days'!$F$94:$H$193,3,FALSE),"")</f>
        <v>45840</v>
      </c>
      <c r="AF363" s="120" t="str">
        <f t="shared" si="43"/>
        <v>08-09 Jul</v>
      </c>
      <c r="AG363" s="121">
        <f>IFERROR($M363+VLOOKUP($L363,'Voyage days'!$F$203:$H$256,3,FALSE),"")</f>
        <v>45846</v>
      </c>
      <c r="AH363" s="121">
        <f>IFERROR($N363+VLOOKUP($L363,'Voyage days'!$F$203:$H$256,3,FALSE),"")</f>
        <v>45847</v>
      </c>
      <c r="AI363" s="120" t="str">
        <f t="shared" si="44"/>
        <v>26-27 Jun</v>
      </c>
      <c r="AJ363" s="121">
        <f>IFERROR($M363+VLOOKUP($L363,'Voyage days'!$F$294:$H$377,3,FALSE),"")</f>
        <v>45834</v>
      </c>
      <c r="AK363" s="121">
        <f>IFERROR($N363+VLOOKUP($L363,'Voyage days'!$F$294:$H$377,3,FALSE),"")</f>
        <v>45835</v>
      </c>
      <c r="AL363" s="120" t="str">
        <f t="shared" si="45"/>
        <v>02-03 Jul</v>
      </c>
      <c r="AM363" s="121">
        <f>IFERROR($M363+VLOOKUP($L363,'Voyage days'!$F$382:$H$446,3,FALSE),"")</f>
        <v>45840</v>
      </c>
      <c r="AN363" s="121">
        <f>IFERROR($N363+VLOOKUP($L363,'Voyage days'!$F$382:$H$446,3,FALSE),"")</f>
        <v>45841</v>
      </c>
      <c r="AO363" s="120" t="str">
        <f t="shared" si="46"/>
        <v>11-12 Jun</v>
      </c>
      <c r="AP363" s="121">
        <f>IFERROR($M363+VLOOKUP($L363,'Voyage days'!$F$483:$H$538,3,FALSE),"")</f>
        <v>45819</v>
      </c>
      <c r="AQ363" s="121">
        <f>IFERROR($N363+VLOOKUP($L363,'Voyage days'!$F$483:$H$538,3,FALSE),"")</f>
        <v>45820</v>
      </c>
      <c r="AR363" s="120" t="str">
        <f t="shared" si="47"/>
        <v>05-06 Jun</v>
      </c>
      <c r="AS363" s="121">
        <f>IFERROR($M363+VLOOKUP($L363,'Voyage days'!$F$540:$H$613,3,FALSE),"")</f>
        <v>45813</v>
      </c>
      <c r="AT363" s="121">
        <f>IFERROR($N363+VLOOKUP($L363,'Voyage days'!$F$540:$H$613,3,FALSE),"")</f>
        <v>45814</v>
      </c>
      <c r="AU363" s="120" t="str">
        <f t="shared" si="48"/>
        <v/>
      </c>
      <c r="AV363" s="121" t="str">
        <f>IFERROR($M363+VLOOKUP($L363,'Voyage days'!$L$483:$N$535,3,FALSE),"")</f>
        <v/>
      </c>
      <c r="AW363" s="121" t="str">
        <f>IFERROR($N363+VLOOKUP($L363,'Voyage days'!$L$483:$N$535,3,FALSE),"")</f>
        <v/>
      </c>
      <c r="AX363" s="120" t="str">
        <f t="shared" si="49"/>
        <v>08-09 Jun</v>
      </c>
      <c r="AY363" s="122">
        <f>IFERROR($M363+VLOOKUP($L363,'Voyage days'!$F$620:$H$646,3,FALSE),"")</f>
        <v>45816</v>
      </c>
      <c r="AZ363" s="122">
        <f>IFERROR($N363+VLOOKUP($L363,'Voyage days'!$F$620:$H$646,3,FALSE),"")</f>
        <v>45817</v>
      </c>
      <c r="BA363" s="120" t="str">
        <f t="shared" si="50"/>
        <v>05-13 Jul</v>
      </c>
      <c r="BB363" s="123">
        <f>IFERROR($M363+VLOOKUP($L363,'Voyage days'!$F$702:$H$727,3,FALSE),"")</f>
        <v>45813</v>
      </c>
      <c r="BC363" s="120" t="str">
        <f t="shared" si="51"/>
        <v>12-13 Jul</v>
      </c>
      <c r="BD363" s="122">
        <f>IFERROR($M363+VLOOKUP($L363,'Voyage days'!$F$807:$H$878,3,FALSE),"")</f>
        <v>45850</v>
      </c>
      <c r="BE363" s="122">
        <f>IFERROR($N363+VLOOKUP($L363,'Voyage days'!$F$807:$H$878,3,FALSE),"")</f>
        <v>45851</v>
      </c>
      <c r="BF363" s="609"/>
      <c r="BG363" s="609"/>
      <c r="BH363" s="609"/>
      <c r="BI363" s="609"/>
      <c r="BJ363" s="609"/>
      <c r="BK363" s="609"/>
      <c r="BL363" s="609"/>
      <c r="BM363" s="609"/>
    </row>
    <row r="364" ht="15.75" customHeight="1">
      <c r="A364" s="341" t="s">
        <v>185</v>
      </c>
      <c r="B364" s="101">
        <v>42181.0</v>
      </c>
      <c r="C364" s="1045">
        <v>84000.0</v>
      </c>
      <c r="D364" s="104" t="s">
        <v>1687</v>
      </c>
      <c r="E364" s="103" t="s">
        <v>689</v>
      </c>
      <c r="F364" s="103" t="s">
        <v>3305</v>
      </c>
      <c r="G364" s="103" t="s">
        <v>1611</v>
      </c>
      <c r="H364" s="604"/>
      <c r="I364" s="185" t="s">
        <v>1412</v>
      </c>
      <c r="J364" s="111" t="s">
        <v>3299</v>
      </c>
      <c r="K364" s="336" t="str">
        <f t="shared" si="54"/>
        <v>Update</v>
      </c>
      <c r="L364" s="304" t="s">
        <v>663</v>
      </c>
      <c r="M364" s="109">
        <v>45790.0</v>
      </c>
      <c r="N364" s="109">
        <v>45792.0</v>
      </c>
      <c r="O364" s="1241"/>
      <c r="P364" s="108"/>
      <c r="Q364" s="185"/>
      <c r="R364" s="108" t="s">
        <v>3306</v>
      </c>
      <c r="S364" s="112" t="s">
        <v>934</v>
      </c>
      <c r="T364" s="188">
        <v>45783.0</v>
      </c>
      <c r="U364" s="114" t="str">
        <f>IF(V364="","No AIS",VLOOKUP(V364,'Voyage days'!$A$3:$B$1480,2,FALSE))</f>
        <v>Korea + 4</v>
      </c>
      <c r="V364" s="115" t="str">
        <f>IF(VLOOKUP(A364,'1) Kpler'!$E$2:$P$1000,8, FALSE)="","",VLOOKUP(A364,'1) Kpler'!$E$2:$P$1000,8, FALSE))</f>
        <v>Total Daesan Hanwha Refinery</v>
      </c>
      <c r="W364" s="116">
        <f>IF(VLOOKUP(A364,'1) Kpler'!$E$2:$P$1000,9,FALSE)="","",VLOOKUP(A364,'1) Kpler'!$E$2:$P$1000,9,FALSE))</f>
        <v>46137.95833</v>
      </c>
      <c r="X364" s="115" t="str">
        <f>VLOOKUP(A364,'1) Kpler'!$E$2:$I$1000,4,FALSE)</f>
        <v>loaded</v>
      </c>
      <c r="Y364" s="160" t="str">
        <f t="shared" si="55"/>
        <v>30-01 Jun</v>
      </c>
      <c r="Z364" s="120" t="str">
        <f t="shared" si="56"/>
        <v>30-01 Jun</v>
      </c>
      <c r="AA364" s="121">
        <f>IFERROR($M364+VLOOKUP($L364,'Voyage days'!$F$38:$H$89,3,FALSE),"")</f>
        <v>45807</v>
      </c>
      <c r="AB364" s="121">
        <f>IFERROR(N364+VLOOKUP($L364,'Voyage days'!$F$38:$H$89,3,FALSE),"")</f>
        <v>45809</v>
      </c>
      <c r="AC364" s="120" t="str">
        <f t="shared" si="42"/>
        <v>15-17 Jun</v>
      </c>
      <c r="AD364" s="121">
        <f>IFERROR($M364+VLOOKUP($L364,'Voyage days'!$F$94:$H$193,3,FALSE),"")</f>
        <v>45823</v>
      </c>
      <c r="AE364" s="121">
        <f>IFERROR($N364+VLOOKUP($L364,'Voyage days'!$F$94:$H$193,3,FALSE),"")</f>
        <v>45825</v>
      </c>
      <c r="AF364" s="120" t="str">
        <f t="shared" si="43"/>
        <v>26-28 Jun</v>
      </c>
      <c r="AG364" s="121">
        <f>IFERROR($M364+VLOOKUP($L364,'Voyage days'!$F$203:$H$256,3,FALSE),"")</f>
        <v>45834</v>
      </c>
      <c r="AH364" s="121">
        <f>IFERROR($N364+VLOOKUP($L364,'Voyage days'!$F$203:$H$256,3,FALSE),"")</f>
        <v>45836</v>
      </c>
      <c r="AI364" s="120" t="str">
        <f t="shared" si="44"/>
        <v>10-12 Jun</v>
      </c>
      <c r="AJ364" s="121">
        <f>IFERROR($M364+VLOOKUP($L364,'Voyage days'!$F$294:$H$377,3,FALSE),"")</f>
        <v>45818</v>
      </c>
      <c r="AK364" s="121">
        <f>IFERROR($N364+VLOOKUP($L364,'Voyage days'!$F$294:$H$377,3,FALSE),"")</f>
        <v>45820</v>
      </c>
      <c r="AL364" s="120" t="str">
        <f t="shared" si="45"/>
        <v>17-19 Jun</v>
      </c>
      <c r="AM364" s="121">
        <f>IFERROR($M364+VLOOKUP($L364,'Voyage days'!$F$382:$H$446,3,FALSE),"")</f>
        <v>45825</v>
      </c>
      <c r="AN364" s="121">
        <f>IFERROR($N364+VLOOKUP($L364,'Voyage days'!$F$382:$H$446,3,FALSE),"")</f>
        <v>45827</v>
      </c>
      <c r="AO364" s="120" t="str">
        <f t="shared" si="46"/>
        <v>27-29 May</v>
      </c>
      <c r="AP364" s="121">
        <f>IFERROR($M364+VLOOKUP($L364,'Voyage days'!$F$483:$H$538,3,FALSE),"")</f>
        <v>45804</v>
      </c>
      <c r="AQ364" s="121">
        <f>IFERROR($N364+VLOOKUP($L364,'Voyage days'!$F$483:$H$538,3,FALSE),"")</f>
        <v>45806</v>
      </c>
      <c r="AR364" s="120" t="str">
        <f t="shared" si="47"/>
        <v>20-22 May</v>
      </c>
      <c r="AS364" s="121">
        <f>IFERROR($M364+VLOOKUP($L364,'Voyage days'!$F$540:$H$613,3,FALSE),"")</f>
        <v>45797.25</v>
      </c>
      <c r="AT364" s="121">
        <f>IFERROR($N364+VLOOKUP($L364,'Voyage days'!$F$540:$H$613,3,FALSE),"")</f>
        <v>45799.25</v>
      </c>
      <c r="AU364" s="120" t="str">
        <f t="shared" si="48"/>
        <v/>
      </c>
      <c r="AV364" s="121" t="str">
        <f>IFERROR($M364+VLOOKUP($L364,'Voyage days'!$L$483:$N$535,3,FALSE),"")</f>
        <v/>
      </c>
      <c r="AW364" s="121" t="str">
        <f>IFERROR($N364+VLOOKUP($L364,'Voyage days'!$L$483:$N$535,3,FALSE),"")</f>
        <v/>
      </c>
      <c r="AX364" s="120" t="str">
        <f t="shared" si="49"/>
        <v>26-28 May</v>
      </c>
      <c r="AY364" s="122">
        <f>IFERROR($M364+VLOOKUP($L364,'Voyage days'!$F$620:$H$646,3,FALSE),"")</f>
        <v>45803</v>
      </c>
      <c r="AZ364" s="122">
        <f>IFERROR($N364+VLOOKUP($L364,'Voyage days'!$F$620:$H$646,3,FALSE),"")</f>
        <v>45805</v>
      </c>
      <c r="BA364" s="120" t="str">
        <f t="shared" si="50"/>
        <v>20-28 Jun</v>
      </c>
      <c r="BB364" s="123">
        <f>IFERROR($M364+VLOOKUP($L364,'Voyage days'!$F$702:$H$727,3,FALSE),"")</f>
        <v>45797.25</v>
      </c>
      <c r="BC364" s="120" t="str">
        <f t="shared" si="51"/>
        <v>26-28 Jun</v>
      </c>
      <c r="BD364" s="122">
        <f>IFERROR($M364+VLOOKUP($L364,'Voyage days'!$F$807:$H$878,3,FALSE),"")</f>
        <v>45834</v>
      </c>
      <c r="BE364" s="122">
        <f>IFERROR($N364+VLOOKUP($L364,'Voyage days'!$F$807:$H$878,3,FALSE),"")</f>
        <v>45836</v>
      </c>
      <c r="BF364" s="609"/>
      <c r="BG364" s="609"/>
      <c r="BH364" s="609"/>
      <c r="BI364" s="609"/>
      <c r="BJ364" s="609"/>
      <c r="BK364" s="609"/>
      <c r="BL364" s="609"/>
      <c r="BM364" s="609"/>
    </row>
    <row r="365" ht="15.75" customHeight="1">
      <c r="A365" s="147" t="s">
        <v>186</v>
      </c>
      <c r="B365" s="101">
        <v>41848.0</v>
      </c>
      <c r="C365" s="1045">
        <v>84000.0</v>
      </c>
      <c r="D365" s="104" t="s">
        <v>1687</v>
      </c>
      <c r="E365" s="103" t="s">
        <v>689</v>
      </c>
      <c r="F365" s="604">
        <v>43709.0</v>
      </c>
      <c r="G365" s="103" t="s">
        <v>1611</v>
      </c>
      <c r="H365" s="103"/>
      <c r="I365" s="185" t="s">
        <v>1412</v>
      </c>
      <c r="J365" s="111" t="s">
        <v>3299</v>
      </c>
      <c r="K365" s="336" t="str">
        <f t="shared" si="54"/>
        <v>NO AIS</v>
      </c>
      <c r="L365" s="108" t="s">
        <v>95</v>
      </c>
      <c r="M365" s="109">
        <v>45788.0</v>
      </c>
      <c r="N365" s="109">
        <v>45789.0</v>
      </c>
      <c r="O365" s="191" t="s">
        <v>1314</v>
      </c>
      <c r="P365" s="185"/>
      <c r="Q365" s="104"/>
      <c r="R365" s="192" t="s">
        <v>3307</v>
      </c>
      <c r="S365" s="112" t="s">
        <v>2962</v>
      </c>
      <c r="T365" s="188">
        <v>45785.0</v>
      </c>
      <c r="U365" s="114" t="str">
        <f>IF(V365="","No AIS",VLOOKUP(V365,'Voyage days'!$A$3:$B$1480,2,FALSE))</f>
        <v>No AIS</v>
      </c>
      <c r="V365" s="115" t="str">
        <f>IF(VLOOKUP(A365,'1) Kpler'!$E$2:$P$1000,8, FALSE)="","",VLOOKUP(A365,'1) Kpler'!$E$2:$P$1000,8, FALSE))</f>
        <v/>
      </c>
      <c r="W365" s="116" t="str">
        <f>IF(VLOOKUP(A365,'1) Kpler'!$E$2:$P$1000,9,FALSE)="","",VLOOKUP(A365,'1) Kpler'!$E$2:$P$1000,9,FALSE))</f>
        <v/>
      </c>
      <c r="X365" s="115" t="str">
        <f>VLOOKUP(A365,'1) Kpler'!$E$2:$I$1000,4,FALSE)</f>
        <v>ballast</v>
      </c>
      <c r="Y365" s="117" t="str">
        <f t="shared" si="55"/>
        <v/>
      </c>
      <c r="Z365" s="120" t="str">
        <f t="shared" si="56"/>
        <v/>
      </c>
      <c r="AA365" s="121" t="str">
        <f>IFERROR($M365+VLOOKUP($L365,'Voyage days'!$F$38:$H$89,3,FALSE),"")</f>
        <v/>
      </c>
      <c r="AB365" s="121" t="str">
        <f>IFERROR(N365+VLOOKUP($L365,'Voyage days'!$F$38:$H$89,3,FALSE),"")</f>
        <v/>
      </c>
      <c r="AC365" s="120" t="str">
        <f t="shared" si="42"/>
        <v/>
      </c>
      <c r="AD365" s="121" t="str">
        <f>IFERROR($M365+VLOOKUP($L365,'Voyage days'!$F$94:$H$193,3,FALSE),"")</f>
        <v/>
      </c>
      <c r="AE365" s="121" t="str">
        <f>IFERROR($N365+VLOOKUP($L365,'Voyage days'!$F$94:$H$193,3,FALSE),"")</f>
        <v/>
      </c>
      <c r="AF365" s="120" t="str">
        <f t="shared" si="43"/>
        <v/>
      </c>
      <c r="AG365" s="121" t="str">
        <f>IFERROR($M365+VLOOKUP($L365,'Voyage days'!$F$203:$H$256,3,FALSE),"")</f>
        <v/>
      </c>
      <c r="AH365" s="121" t="str">
        <f>IFERROR($N365+VLOOKUP($L365,'Voyage days'!$F$203:$H$256,3,FALSE),"")</f>
        <v/>
      </c>
      <c r="AI365" s="120" t="str">
        <f t="shared" si="44"/>
        <v/>
      </c>
      <c r="AJ365" s="121" t="str">
        <f>IFERROR($M365+VLOOKUP($L365,'Voyage days'!$F$294:$H$377,3,FALSE),"")</f>
        <v/>
      </c>
      <c r="AK365" s="121" t="str">
        <f>IFERROR($N365+VLOOKUP($L365,'Voyage days'!$F$294:$H$377,3,FALSE),"")</f>
        <v/>
      </c>
      <c r="AL365" s="120" t="str">
        <f t="shared" si="45"/>
        <v/>
      </c>
      <c r="AM365" s="121" t="str">
        <f>IFERROR($M365+VLOOKUP($L365,'Voyage days'!$F$382:$H$446,3,FALSE),"")</f>
        <v/>
      </c>
      <c r="AN365" s="121" t="str">
        <f>IFERROR($N365+VLOOKUP($L365,'Voyage days'!$F$382:$H$446,3,FALSE),"")</f>
        <v/>
      </c>
      <c r="AO365" s="120" t="str">
        <f t="shared" si="46"/>
        <v/>
      </c>
      <c r="AP365" s="121" t="str">
        <f>IFERROR($M365+VLOOKUP($L365,'Voyage days'!$F$483:$H$538,3,FALSE),"")</f>
        <v/>
      </c>
      <c r="AQ365" s="121" t="str">
        <f>IFERROR($N365+VLOOKUP($L365,'Voyage days'!$F$483:$H$538,3,FALSE),"")</f>
        <v/>
      </c>
      <c r="AR365" s="120" t="str">
        <f t="shared" si="47"/>
        <v/>
      </c>
      <c r="AS365" s="121" t="str">
        <f>IFERROR($M365+VLOOKUP($L365,'Voyage days'!$F$540:$H$613,3,FALSE),"")</f>
        <v/>
      </c>
      <c r="AT365" s="121" t="str">
        <f>IFERROR($N365+VLOOKUP($L365,'Voyage days'!$F$540:$H$613,3,FALSE),"")</f>
        <v/>
      </c>
      <c r="AU365" s="120" t="str">
        <f t="shared" si="48"/>
        <v/>
      </c>
      <c r="AV365" s="121" t="str">
        <f>IFERROR($M365+VLOOKUP($L365,'Voyage days'!$L$483:$N$535,3,FALSE),"")</f>
        <v/>
      </c>
      <c r="AW365" s="121" t="str">
        <f>IFERROR($N365+VLOOKUP($L365,'Voyage days'!$L$483:$N$535,3,FALSE),"")</f>
        <v/>
      </c>
      <c r="AX365" s="120" t="str">
        <f t="shared" si="49"/>
        <v/>
      </c>
      <c r="AY365" s="122" t="str">
        <f>IFERROR($M365+VLOOKUP($L365,'Voyage days'!$F$620:$H$646,3,FALSE),"")</f>
        <v/>
      </c>
      <c r="AZ365" s="122" t="str">
        <f>IFERROR($N365+VLOOKUP($L365,'Voyage days'!$F$620:$H$646,3,FALSE),"")</f>
        <v/>
      </c>
      <c r="BA365" s="120" t="str">
        <f t="shared" si="50"/>
        <v/>
      </c>
      <c r="BB365" s="123" t="str">
        <f>IFERROR($M365+VLOOKUP($L365,'Voyage days'!$F$702:$H$727,3,FALSE),"")</f>
        <v/>
      </c>
      <c r="BC365" s="120" t="str">
        <f t="shared" si="51"/>
        <v/>
      </c>
      <c r="BD365" s="122" t="str">
        <f>IFERROR($M365+VLOOKUP($L365,'Voyage days'!$F$807:$H$878,3,FALSE),"")</f>
        <v/>
      </c>
      <c r="BE365" s="122" t="str">
        <f>IFERROR($N365+VLOOKUP($L365,'Voyage days'!$F$807:$H$878,3,FALSE),"")</f>
        <v/>
      </c>
      <c r="BF365" s="609"/>
      <c r="BG365" s="609"/>
      <c r="BH365" s="609"/>
      <c r="BI365" s="609"/>
      <c r="BJ365" s="609"/>
      <c r="BK365" s="609"/>
      <c r="BL365" s="609"/>
      <c r="BM365" s="609"/>
    </row>
    <row r="366" ht="15.75" customHeight="1">
      <c r="A366" s="341" t="s">
        <v>192</v>
      </c>
      <c r="B366" s="101">
        <v>42277.0</v>
      </c>
      <c r="C366" s="1045">
        <v>84000.0</v>
      </c>
      <c r="D366" s="104" t="s">
        <v>1687</v>
      </c>
      <c r="E366" s="103" t="s">
        <v>689</v>
      </c>
      <c r="F366" s="604">
        <v>43770.0</v>
      </c>
      <c r="G366" s="103" t="s">
        <v>1611</v>
      </c>
      <c r="H366" s="103"/>
      <c r="I366" s="185" t="s">
        <v>1412</v>
      </c>
      <c r="J366" s="111" t="s">
        <v>3299</v>
      </c>
      <c r="K366" s="336" t="str">
        <f t="shared" si="54"/>
        <v>Update</v>
      </c>
      <c r="L366" s="108" t="s">
        <v>680</v>
      </c>
      <c r="M366" s="109">
        <v>45797.0</v>
      </c>
      <c r="N366" s="109">
        <v>45798.0</v>
      </c>
      <c r="O366" s="255"/>
      <c r="P366" s="185"/>
      <c r="Q366" s="185"/>
      <c r="R366" s="108" t="s">
        <v>3308</v>
      </c>
      <c r="S366" s="112" t="s">
        <v>659</v>
      </c>
      <c r="T366" s="188">
        <v>45775.0</v>
      </c>
      <c r="U366" s="114" t="str">
        <f>IF(V366="","No AIS",VLOOKUP(V366,'Voyage days'!$A$3:$B$1480,2,FALSE))</f>
        <v>Japan + 6</v>
      </c>
      <c r="V366" s="115" t="str">
        <f>IF(VLOOKUP(A366,'1) Kpler'!$E$2:$P$1000,8, FALSE)="","",VLOOKUP(A366,'1) Kpler'!$E$2:$P$1000,8, FALSE))</f>
        <v>Sendai Refinery</v>
      </c>
      <c r="W366" s="116">
        <f>IF(VLOOKUP(A366,'1) Kpler'!$E$2:$P$1000,9,FALSE)="","",VLOOKUP(A366,'1) Kpler'!$E$2:$P$1000,9,FALSE))</f>
        <v>46134.875</v>
      </c>
      <c r="X366" s="115" t="str">
        <f>VLOOKUP(A366,'1) Kpler'!$E$2:$I$1000,4,FALSE)</f>
        <v>loaded</v>
      </c>
      <c r="Y366" s="160" t="str">
        <f t="shared" si="55"/>
        <v/>
      </c>
      <c r="Z366" s="120" t="str">
        <f t="shared" si="56"/>
        <v/>
      </c>
      <c r="AA366" s="121" t="str">
        <f>IFERROR($M366+VLOOKUP($L366,'Voyage days'!$F$38:$H$89,3,FALSE),"")</f>
        <v/>
      </c>
      <c r="AB366" s="121" t="str">
        <f>IFERROR(N366+VLOOKUP($L366,'Voyage days'!$F$38:$H$89,3,FALSE),"")</f>
        <v/>
      </c>
      <c r="AC366" s="120" t="str">
        <f t="shared" si="42"/>
        <v>20-21 May</v>
      </c>
      <c r="AD366" s="121">
        <f>IFERROR($M366+VLOOKUP($L366,'Voyage days'!$F$94:$H$193,3,FALSE),"")</f>
        <v>45797</v>
      </c>
      <c r="AE366" s="121">
        <f>IFERROR($N366+VLOOKUP($L366,'Voyage days'!$F$94:$H$193,3,FALSE),"")</f>
        <v>45798</v>
      </c>
      <c r="AF366" s="120" t="str">
        <f t="shared" si="43"/>
        <v>20-21 May</v>
      </c>
      <c r="AG366" s="121">
        <f>IFERROR($M366+VLOOKUP($L366,'Voyage days'!$F$203:$H$256,3,FALSE),"")</f>
        <v>45797</v>
      </c>
      <c r="AH366" s="121">
        <f>IFERROR($N366+VLOOKUP($L366,'Voyage days'!$F$203:$H$256,3,FALSE),"")</f>
        <v>45798</v>
      </c>
      <c r="AI366" s="120" t="str">
        <f t="shared" si="44"/>
        <v/>
      </c>
      <c r="AJ366" s="121" t="str">
        <f>IFERROR($M366+VLOOKUP($L366,'Voyage days'!$F$294:$H$377,3,FALSE),"")</f>
        <v/>
      </c>
      <c r="AK366" s="121" t="str">
        <f>IFERROR($N366+VLOOKUP($L366,'Voyage days'!$F$294:$H$377,3,FALSE),"")</f>
        <v/>
      </c>
      <c r="AL366" s="120" t="str">
        <f t="shared" si="45"/>
        <v>09-10 Jun</v>
      </c>
      <c r="AM366" s="121">
        <f>IFERROR($M366+VLOOKUP($L366,'Voyage days'!$F$382:$H$446,3,FALSE),"")</f>
        <v>45817</v>
      </c>
      <c r="AN366" s="121">
        <f>IFERROR($N366+VLOOKUP($L366,'Voyage days'!$F$382:$H$446,3,FALSE),"")</f>
        <v>45818</v>
      </c>
      <c r="AO366" s="120" t="str">
        <f t="shared" si="46"/>
        <v/>
      </c>
      <c r="AP366" s="121" t="str">
        <f>IFERROR($M366+VLOOKUP($L366,'Voyage days'!$F$483:$H$538,3,FALSE),"")</f>
        <v/>
      </c>
      <c r="AQ366" s="121" t="str">
        <f>IFERROR($N366+VLOOKUP($L366,'Voyage days'!$F$483:$H$538,3,FALSE),"")</f>
        <v/>
      </c>
      <c r="AR366" s="120" t="str">
        <f t="shared" si="47"/>
        <v/>
      </c>
      <c r="AS366" s="121" t="str">
        <f>IFERROR($M366+VLOOKUP($L366,'Voyage days'!$F$540:$H$613,3,FALSE),"")</f>
        <v/>
      </c>
      <c r="AT366" s="121" t="str">
        <f>IFERROR($N366+VLOOKUP($L366,'Voyage days'!$F$540:$H$613,3,FALSE),"")</f>
        <v/>
      </c>
      <c r="AU366" s="120" t="str">
        <f t="shared" si="48"/>
        <v/>
      </c>
      <c r="AV366" s="121" t="str">
        <f>IFERROR($M366+VLOOKUP($L366,'Voyage days'!$L$483:$N$535,3,FALSE),"")</f>
        <v/>
      </c>
      <c r="AW366" s="121" t="str">
        <f>IFERROR($N366+VLOOKUP($L366,'Voyage days'!$L$483:$N$535,3,FALSE),"")</f>
        <v/>
      </c>
      <c r="AX366" s="120" t="str">
        <f t="shared" si="49"/>
        <v/>
      </c>
      <c r="AY366" s="122" t="str">
        <f>IFERROR($M366+VLOOKUP($L366,'Voyage days'!$F$620:$H$646,3,FALSE),"")</f>
        <v/>
      </c>
      <c r="AZ366" s="122" t="str">
        <f>IFERROR($N366+VLOOKUP($L366,'Voyage days'!$F$620:$H$646,3,FALSE),"")</f>
        <v/>
      </c>
      <c r="BA366" s="120" t="str">
        <f t="shared" si="50"/>
        <v/>
      </c>
      <c r="BB366" s="123" t="str">
        <f>IFERROR($M366+VLOOKUP($L366,'Voyage days'!$F$702:$H$727,3,FALSE),"")</f>
        <v/>
      </c>
      <c r="BC366" s="120" t="str">
        <f t="shared" si="51"/>
        <v/>
      </c>
      <c r="BD366" s="122" t="str">
        <f>IFERROR($M366+VLOOKUP($L366,'Voyage days'!$F$807:$H$878,3,FALSE),"")</f>
        <v/>
      </c>
      <c r="BE366" s="122" t="str">
        <f>IFERROR($N366+VLOOKUP($L366,'Voyage days'!$F$807:$H$878,3,FALSE),"")</f>
        <v/>
      </c>
      <c r="BF366" s="609"/>
      <c r="BG366" s="609"/>
      <c r="BH366" s="609"/>
      <c r="BI366" s="609"/>
      <c r="BJ366" s="609"/>
      <c r="BK366" s="609"/>
      <c r="BL366" s="609"/>
      <c r="BM366" s="609"/>
    </row>
    <row r="367" ht="15.75" customHeight="1">
      <c r="A367" s="80" t="s">
        <v>195</v>
      </c>
      <c r="B367" s="101">
        <v>42208.0</v>
      </c>
      <c r="C367" s="1045">
        <v>84000.0</v>
      </c>
      <c r="D367" s="104" t="s">
        <v>1687</v>
      </c>
      <c r="E367" s="103"/>
      <c r="F367" s="604">
        <v>43718.0</v>
      </c>
      <c r="G367" s="103" t="s">
        <v>1611</v>
      </c>
      <c r="H367" s="103"/>
      <c r="I367" s="185" t="s">
        <v>1412</v>
      </c>
      <c r="J367" s="111" t="s">
        <v>3299</v>
      </c>
      <c r="K367" s="336" t="str">
        <f t="shared" si="54"/>
        <v>Update</v>
      </c>
      <c r="L367" s="108" t="s">
        <v>680</v>
      </c>
      <c r="M367" s="109">
        <v>45788.0</v>
      </c>
      <c r="N367" s="109">
        <v>45789.0</v>
      </c>
      <c r="O367" s="191"/>
      <c r="P367" s="1246"/>
      <c r="Q367" s="1183"/>
      <c r="R367" s="108" t="s">
        <v>3309</v>
      </c>
      <c r="S367" s="112" t="s">
        <v>934</v>
      </c>
      <c r="T367" s="188">
        <v>45782.0</v>
      </c>
      <c r="U367" s="114" t="str">
        <f>IF(V367="","No AIS",VLOOKUP(V367,'Voyage days'!$A$3:$B$1480,2,FALSE))</f>
        <v>Japan + 6</v>
      </c>
      <c r="V367" s="115" t="str">
        <f>IF(VLOOKUP(A367,'1) Kpler'!$E$2:$P$1000,8, FALSE)="","",VLOOKUP(A367,'1) Kpler'!$E$2:$P$1000,8, FALSE))</f>
        <v>Chiba</v>
      </c>
      <c r="W367" s="116">
        <f>IF(VLOOKUP(A367,'1) Kpler'!$E$2:$P$1000,9,FALSE)="","",VLOOKUP(A367,'1) Kpler'!$E$2:$P$1000,9,FALSE))</f>
        <v>46140.58333</v>
      </c>
      <c r="X367" s="115" t="str">
        <f>VLOOKUP(A367,'1) Kpler'!$E$2:$I$1000,4,FALSE)</f>
        <v>loaded</v>
      </c>
      <c r="Y367" s="117" t="str">
        <f t="shared" si="55"/>
        <v/>
      </c>
      <c r="Z367" s="120" t="str">
        <f t="shared" si="56"/>
        <v/>
      </c>
      <c r="AA367" s="121" t="str">
        <f>IFERROR($M367+VLOOKUP($L367,'Voyage days'!$F$38:$H$89,3,FALSE),"")</f>
        <v/>
      </c>
      <c r="AB367" s="121" t="str">
        <f>IFERROR(N367+VLOOKUP($L367,'Voyage days'!$F$38:$H$89,3,FALSE),"")</f>
        <v/>
      </c>
      <c r="AC367" s="120" t="str">
        <f t="shared" si="42"/>
        <v>11-12 May</v>
      </c>
      <c r="AD367" s="121">
        <f>IFERROR($M367+VLOOKUP($L367,'Voyage days'!$F$94:$H$193,3,FALSE),"")</f>
        <v>45788</v>
      </c>
      <c r="AE367" s="121">
        <f>IFERROR($N367+VLOOKUP($L367,'Voyage days'!$F$94:$H$193,3,FALSE),"")</f>
        <v>45789</v>
      </c>
      <c r="AF367" s="120" t="str">
        <f t="shared" si="43"/>
        <v>11-12 May</v>
      </c>
      <c r="AG367" s="121">
        <f>IFERROR($M367+VLOOKUP($L367,'Voyage days'!$F$203:$H$256,3,FALSE),"")</f>
        <v>45788</v>
      </c>
      <c r="AH367" s="121">
        <f>IFERROR($N367+VLOOKUP($L367,'Voyage days'!$F$203:$H$256,3,FALSE),"")</f>
        <v>45789</v>
      </c>
      <c r="AI367" s="120" t="str">
        <f t="shared" si="44"/>
        <v/>
      </c>
      <c r="AJ367" s="121" t="str">
        <f>IFERROR($M367+VLOOKUP($L367,'Voyage days'!$F$294:$H$377,3,FALSE),"")</f>
        <v/>
      </c>
      <c r="AK367" s="121" t="str">
        <f>IFERROR($N367+VLOOKUP($L367,'Voyage days'!$F$294:$H$377,3,FALSE),"")</f>
        <v/>
      </c>
      <c r="AL367" s="120" t="str">
        <f t="shared" si="45"/>
        <v>31-01 Jun</v>
      </c>
      <c r="AM367" s="121">
        <f>IFERROR($M367+VLOOKUP($L367,'Voyage days'!$F$382:$H$446,3,FALSE),"")</f>
        <v>45808</v>
      </c>
      <c r="AN367" s="121">
        <f>IFERROR($N367+VLOOKUP($L367,'Voyage days'!$F$382:$H$446,3,FALSE),"")</f>
        <v>45809</v>
      </c>
      <c r="AO367" s="120" t="str">
        <f t="shared" si="46"/>
        <v/>
      </c>
      <c r="AP367" s="121" t="str">
        <f>IFERROR($M367+VLOOKUP($L367,'Voyage days'!$F$483:$H$538,3,FALSE),"")</f>
        <v/>
      </c>
      <c r="AQ367" s="121" t="str">
        <f>IFERROR($N367+VLOOKUP($L367,'Voyage days'!$F$483:$H$538,3,FALSE),"")</f>
        <v/>
      </c>
      <c r="AR367" s="120" t="str">
        <f t="shared" si="47"/>
        <v/>
      </c>
      <c r="AS367" s="121" t="str">
        <f>IFERROR($M367+VLOOKUP($L367,'Voyage days'!$F$540:$H$613,3,FALSE),"")</f>
        <v/>
      </c>
      <c r="AT367" s="121" t="str">
        <f>IFERROR($N367+VLOOKUP($L367,'Voyage days'!$F$540:$H$613,3,FALSE),"")</f>
        <v/>
      </c>
      <c r="AU367" s="120" t="str">
        <f t="shared" si="48"/>
        <v/>
      </c>
      <c r="AV367" s="121" t="str">
        <f>IFERROR($M367+VLOOKUP($L367,'Voyage days'!$L$483:$N$535,3,FALSE),"")</f>
        <v/>
      </c>
      <c r="AW367" s="121" t="str">
        <f>IFERROR($N367+VLOOKUP($L367,'Voyage days'!$L$483:$N$535,3,FALSE),"")</f>
        <v/>
      </c>
      <c r="AX367" s="120" t="str">
        <f t="shared" si="49"/>
        <v/>
      </c>
      <c r="AY367" s="122" t="str">
        <f>IFERROR($M367+VLOOKUP($L367,'Voyage days'!$F$620:$H$646,3,FALSE),"")</f>
        <v/>
      </c>
      <c r="AZ367" s="122" t="str">
        <f>IFERROR($N367+VLOOKUP($L367,'Voyage days'!$F$620:$H$646,3,FALSE),"")</f>
        <v/>
      </c>
      <c r="BA367" s="120" t="str">
        <f t="shared" si="50"/>
        <v/>
      </c>
      <c r="BB367" s="123" t="str">
        <f>IFERROR($M367+VLOOKUP($L367,'Voyage days'!$F$702:$H$727,3,FALSE),"")</f>
        <v/>
      </c>
      <c r="BC367" s="120" t="str">
        <f t="shared" si="51"/>
        <v/>
      </c>
      <c r="BD367" s="122" t="str">
        <f>IFERROR($M367+VLOOKUP($L367,'Voyage days'!$F$807:$H$878,3,FALSE),"")</f>
        <v/>
      </c>
      <c r="BE367" s="122" t="str">
        <f>IFERROR($N367+VLOOKUP($L367,'Voyage days'!$F$807:$H$878,3,FALSE),"")</f>
        <v/>
      </c>
      <c r="BF367" s="609"/>
      <c r="BG367" s="609"/>
      <c r="BH367" s="609"/>
      <c r="BI367" s="609"/>
      <c r="BJ367" s="609"/>
      <c r="BK367" s="609"/>
      <c r="BL367" s="609"/>
      <c r="BM367" s="609"/>
    </row>
    <row r="368" ht="15.75" customHeight="1">
      <c r="A368" s="341" t="s">
        <v>187</v>
      </c>
      <c r="B368" s="101">
        <v>42313.0</v>
      </c>
      <c r="C368" s="1045">
        <v>84000.0</v>
      </c>
      <c r="D368" s="104" t="s">
        <v>1687</v>
      </c>
      <c r="E368" s="103" t="s">
        <v>689</v>
      </c>
      <c r="F368" s="604">
        <v>44105.0</v>
      </c>
      <c r="G368" s="103" t="s">
        <v>1611</v>
      </c>
      <c r="H368" s="103"/>
      <c r="I368" s="185" t="s">
        <v>1412</v>
      </c>
      <c r="J368" s="111" t="s">
        <v>3299</v>
      </c>
      <c r="K368" s="336" t="str">
        <f t="shared" si="54"/>
        <v>Update</v>
      </c>
      <c r="L368" s="108" t="s">
        <v>656</v>
      </c>
      <c r="M368" s="109">
        <v>45799.0</v>
      </c>
      <c r="N368" s="109">
        <v>45800.0</v>
      </c>
      <c r="O368" s="334"/>
      <c r="P368" s="333"/>
      <c r="Q368" s="111"/>
      <c r="R368" s="185"/>
      <c r="S368" s="112" t="s">
        <v>934</v>
      </c>
      <c r="T368" s="188">
        <v>45784.0</v>
      </c>
      <c r="U368" s="114" t="str">
        <f>IF(V368="","No AIS",VLOOKUP(V368,'Voyage days'!$A$3:$B$1480,2,FALSE))</f>
        <v>East China + 4</v>
      </c>
      <c r="V368" s="115" t="str">
        <f>IF(VLOOKUP(A368,'1) Kpler'!$E$2:$P$1000,8, FALSE)="","",VLOOKUP(A368,'1) Kpler'!$E$2:$P$1000,8, FALSE))</f>
        <v>China</v>
      </c>
      <c r="W368" s="116">
        <f>IF(VLOOKUP(A368,'1) Kpler'!$E$2:$P$1000,9,FALSE)="","",VLOOKUP(A368,'1) Kpler'!$E$2:$P$1000,9,FALSE))</f>
        <v>46133.625</v>
      </c>
      <c r="X368" s="115" t="str">
        <f>VLOOKUP(A368,'1) Kpler'!$E$2:$I$1000,4,FALSE)</f>
        <v>ballast</v>
      </c>
      <c r="Y368" s="160" t="str">
        <f t="shared" si="55"/>
        <v>09-10 Jun</v>
      </c>
      <c r="Z368" s="120" t="str">
        <f t="shared" si="56"/>
        <v>09-10 Jun</v>
      </c>
      <c r="AA368" s="121">
        <f>IFERROR($M368+VLOOKUP($L368,'Voyage days'!$F$38:$H$89,3,FALSE),"")</f>
        <v>45817</v>
      </c>
      <c r="AB368" s="121">
        <f>IFERROR(N368+VLOOKUP($L368,'Voyage days'!$F$38:$H$89,3,FALSE),"")</f>
        <v>45818</v>
      </c>
      <c r="AC368" s="120" t="str">
        <f t="shared" si="42"/>
        <v>22-23 Jun</v>
      </c>
      <c r="AD368" s="121">
        <f>IFERROR($M368+VLOOKUP($L368,'Voyage days'!$F$94:$H$193,3,FALSE),"")</f>
        <v>45830</v>
      </c>
      <c r="AE368" s="121">
        <f>IFERROR($N368+VLOOKUP($L368,'Voyage days'!$F$94:$H$193,3,FALSE),"")</f>
        <v>45831</v>
      </c>
      <c r="AF368" s="120" t="str">
        <f t="shared" si="43"/>
        <v>29-30 Jun</v>
      </c>
      <c r="AG368" s="121">
        <f>IFERROR($M368+VLOOKUP($L368,'Voyage days'!$F$203:$H$256,3,FALSE),"")</f>
        <v>45837</v>
      </c>
      <c r="AH368" s="121">
        <f>IFERROR($N368+VLOOKUP($L368,'Voyage days'!$F$203:$H$256,3,FALSE),"")</f>
        <v>45838</v>
      </c>
      <c r="AI368" s="120" t="str">
        <f t="shared" si="44"/>
        <v>21-22 Jun</v>
      </c>
      <c r="AJ368" s="121">
        <f>IFERROR($M368+VLOOKUP($L368,'Voyage days'!$F$294:$H$377,3,FALSE),"")</f>
        <v>45829</v>
      </c>
      <c r="AK368" s="121">
        <f>IFERROR($N368+VLOOKUP($L368,'Voyage days'!$F$294:$H$377,3,FALSE),"")</f>
        <v>45830</v>
      </c>
      <c r="AL368" s="120" t="str">
        <f t="shared" si="45"/>
        <v>27-28 Jun</v>
      </c>
      <c r="AM368" s="121">
        <f>IFERROR($M368+VLOOKUP($L368,'Voyage days'!$F$382:$H$446,3,FALSE),"")</f>
        <v>45835</v>
      </c>
      <c r="AN368" s="121">
        <f>IFERROR($N368+VLOOKUP($L368,'Voyage days'!$F$382:$H$446,3,FALSE),"")</f>
        <v>45836</v>
      </c>
      <c r="AO368" s="120" t="str">
        <f t="shared" si="46"/>
        <v>04-05 Jun</v>
      </c>
      <c r="AP368" s="121">
        <f>IFERROR($M368+VLOOKUP($L368,'Voyage days'!$F$483:$H$538,3,FALSE),"")</f>
        <v>45812</v>
      </c>
      <c r="AQ368" s="121">
        <f>IFERROR($N368+VLOOKUP($L368,'Voyage days'!$F$483:$H$538,3,FALSE),"")</f>
        <v>45813</v>
      </c>
      <c r="AR368" s="120" t="str">
        <f t="shared" si="47"/>
        <v>30-31 May</v>
      </c>
      <c r="AS368" s="121">
        <f>IFERROR($M368+VLOOKUP($L368,'Voyage days'!$F$540:$H$613,3,FALSE),"")</f>
        <v>45807.25</v>
      </c>
      <c r="AT368" s="121">
        <f>IFERROR($N368+VLOOKUP($L368,'Voyage days'!$F$540:$H$613,3,FALSE),"")</f>
        <v>45808.25</v>
      </c>
      <c r="AU368" s="120" t="str">
        <f t="shared" si="48"/>
        <v/>
      </c>
      <c r="AV368" s="121" t="str">
        <f>IFERROR($M368+VLOOKUP($L368,'Voyage days'!$L$483:$N$535,3,FALSE),"")</f>
        <v/>
      </c>
      <c r="AW368" s="121" t="str">
        <f>IFERROR($N368+VLOOKUP($L368,'Voyage days'!$L$483:$N$535,3,FALSE),"")</f>
        <v/>
      </c>
      <c r="AX368" s="120" t="str">
        <f t="shared" si="49"/>
        <v>02-03 Jun</v>
      </c>
      <c r="AY368" s="122">
        <f>IFERROR($M368+VLOOKUP($L368,'Voyage days'!$F$620:$H$646,3,FALSE),"")</f>
        <v>45810</v>
      </c>
      <c r="AZ368" s="122">
        <f>IFERROR($N368+VLOOKUP($L368,'Voyage days'!$F$620:$H$646,3,FALSE),"")</f>
        <v>45811</v>
      </c>
      <c r="BA368" s="120" t="str">
        <f t="shared" si="50"/>
        <v>30-08 Jul</v>
      </c>
      <c r="BB368" s="123">
        <f>IFERROR($M368+VLOOKUP($L368,'Voyage days'!$F$702:$H$727,3,FALSE),"")</f>
        <v>45807.25</v>
      </c>
      <c r="BC368" s="120" t="str">
        <f t="shared" si="51"/>
        <v>07-08 Jul</v>
      </c>
      <c r="BD368" s="122">
        <f>IFERROR($M368+VLOOKUP($L368,'Voyage days'!$F$807:$H$878,3,FALSE),"")</f>
        <v>45845</v>
      </c>
      <c r="BE368" s="122">
        <f>IFERROR($N368+VLOOKUP($L368,'Voyage days'!$F$807:$H$878,3,FALSE),"")</f>
        <v>45846</v>
      </c>
      <c r="BF368" s="609"/>
      <c r="BG368" s="609"/>
      <c r="BH368" s="609"/>
      <c r="BI368" s="609"/>
      <c r="BJ368" s="609"/>
      <c r="BK368" s="609"/>
      <c r="BL368" s="609"/>
      <c r="BM368" s="609"/>
    </row>
    <row r="369" ht="15.75" customHeight="1">
      <c r="A369" s="100" t="s">
        <v>191</v>
      </c>
      <c r="B369" s="101">
        <v>42179.0</v>
      </c>
      <c r="C369" s="1045">
        <v>84000.0</v>
      </c>
      <c r="D369" s="104" t="s">
        <v>1687</v>
      </c>
      <c r="E369" s="103" t="s">
        <v>689</v>
      </c>
      <c r="F369" s="604">
        <v>43983.0</v>
      </c>
      <c r="G369" s="103" t="s">
        <v>1611</v>
      </c>
      <c r="H369" s="103"/>
      <c r="I369" s="185" t="s">
        <v>1412</v>
      </c>
      <c r="J369" s="111" t="s">
        <v>2945</v>
      </c>
      <c r="K369" s="336" t="str">
        <f t="shared" si="54"/>
        <v>Update</v>
      </c>
      <c r="L369" s="199" t="s">
        <v>680</v>
      </c>
      <c r="M369" s="109">
        <v>45806.0</v>
      </c>
      <c r="N369" s="109">
        <v>45807.0</v>
      </c>
      <c r="O369" s="334"/>
      <c r="P369" s="185"/>
      <c r="Q369" s="111"/>
      <c r="R369" s="185"/>
      <c r="S369" s="112" t="s">
        <v>659</v>
      </c>
      <c r="T369" s="188">
        <v>45775.0</v>
      </c>
      <c r="U369" s="114" t="str">
        <f>IF(V369="","No AIS",VLOOKUP(V369,'Voyage days'!$A$3:$B$1480,2,FALSE))</f>
        <v>Panama</v>
      </c>
      <c r="V369" s="115" t="str">
        <f>IF(VLOOKUP(A369,'1) Kpler'!$E$2:$P$1000,8, FALSE)="","",VLOOKUP(A369,'1) Kpler'!$E$2:$P$1000,8, FALSE))</f>
        <v>Panama Canal</v>
      </c>
      <c r="W369" s="116">
        <f>IF(VLOOKUP(A369,'1) Kpler'!$E$2:$P$1000,9,FALSE)="","",VLOOKUP(A369,'1) Kpler'!$E$2:$P$1000,9,FALSE))</f>
        <v>46138.83333</v>
      </c>
      <c r="X369" s="115" t="str">
        <f>VLOOKUP(A369,'1) Kpler'!$E$2:$I$1000,4,FALSE)</f>
        <v>ballast</v>
      </c>
      <c r="Y369" s="117" t="str">
        <f t="shared" si="55"/>
        <v/>
      </c>
      <c r="Z369" s="120" t="str">
        <f t="shared" si="56"/>
        <v/>
      </c>
      <c r="AA369" s="121" t="str">
        <f>IFERROR($M369+VLOOKUP($L369,'Voyage days'!$F$38:$H$89,3,FALSE),"")</f>
        <v/>
      </c>
      <c r="AB369" s="121" t="str">
        <f>IFERROR(N369+VLOOKUP($L369,'Voyage days'!$F$38:$H$89,3,FALSE),"")</f>
        <v/>
      </c>
      <c r="AC369" s="120" t="str">
        <f t="shared" si="42"/>
        <v>29-30 May</v>
      </c>
      <c r="AD369" s="121">
        <f>IFERROR($M369+VLOOKUP($L369,'Voyage days'!$F$94:$H$193,3,FALSE),"")</f>
        <v>45806</v>
      </c>
      <c r="AE369" s="121">
        <f>IFERROR($N369+VLOOKUP($L369,'Voyage days'!$F$94:$H$193,3,FALSE),"")</f>
        <v>45807</v>
      </c>
      <c r="AF369" s="120" t="str">
        <f t="shared" si="43"/>
        <v>29-30 May</v>
      </c>
      <c r="AG369" s="121">
        <f>IFERROR($M369+VLOOKUP($L369,'Voyage days'!$F$203:$H$256,3,FALSE),"")</f>
        <v>45806</v>
      </c>
      <c r="AH369" s="121">
        <f>IFERROR($N369+VLOOKUP($L369,'Voyage days'!$F$203:$H$256,3,FALSE),"")</f>
        <v>45807</v>
      </c>
      <c r="AI369" s="120" t="str">
        <f t="shared" si="44"/>
        <v/>
      </c>
      <c r="AJ369" s="121" t="str">
        <f>IFERROR($M369+VLOOKUP($L369,'Voyage days'!$F$294:$H$377,3,FALSE),"")</f>
        <v/>
      </c>
      <c r="AK369" s="121" t="str">
        <f>IFERROR($N369+VLOOKUP($L369,'Voyage days'!$F$294:$H$377,3,FALSE),"")</f>
        <v/>
      </c>
      <c r="AL369" s="120" t="str">
        <f t="shared" si="45"/>
        <v>18-19 Jun</v>
      </c>
      <c r="AM369" s="121">
        <f>IFERROR($M369+VLOOKUP($L369,'Voyage days'!$F$382:$H$446,3,FALSE),"")</f>
        <v>45826</v>
      </c>
      <c r="AN369" s="121">
        <f>IFERROR($N369+VLOOKUP($L369,'Voyage days'!$F$382:$H$446,3,FALSE),"")</f>
        <v>45827</v>
      </c>
      <c r="AO369" s="120" t="str">
        <f t="shared" si="46"/>
        <v/>
      </c>
      <c r="AP369" s="121" t="str">
        <f>IFERROR($M369+VLOOKUP($L369,'Voyage days'!$F$483:$H$538,3,FALSE),"")</f>
        <v/>
      </c>
      <c r="AQ369" s="121" t="str">
        <f>IFERROR($N369+VLOOKUP($L369,'Voyage days'!$F$483:$H$538,3,FALSE),"")</f>
        <v/>
      </c>
      <c r="AR369" s="120" t="str">
        <f t="shared" si="47"/>
        <v/>
      </c>
      <c r="AS369" s="121" t="str">
        <f>IFERROR($M369+VLOOKUP($L369,'Voyage days'!$F$540:$H$613,3,FALSE),"")</f>
        <v/>
      </c>
      <c r="AT369" s="121" t="str">
        <f>IFERROR($N369+VLOOKUP($L369,'Voyage days'!$F$540:$H$613,3,FALSE),"")</f>
        <v/>
      </c>
      <c r="AU369" s="120" t="str">
        <f t="shared" si="48"/>
        <v/>
      </c>
      <c r="AV369" s="121" t="str">
        <f>IFERROR($M369+VLOOKUP($L369,'Voyage days'!$L$483:$N$535,3,FALSE),"")</f>
        <v/>
      </c>
      <c r="AW369" s="121" t="str">
        <f>IFERROR($N369+VLOOKUP($L369,'Voyage days'!$L$483:$N$535,3,FALSE),"")</f>
        <v/>
      </c>
      <c r="AX369" s="120" t="str">
        <f t="shared" si="49"/>
        <v/>
      </c>
      <c r="AY369" s="122" t="str">
        <f>IFERROR($M369+VLOOKUP($L369,'Voyage days'!$F$620:$H$646,3,FALSE),"")</f>
        <v/>
      </c>
      <c r="AZ369" s="122" t="str">
        <f>IFERROR($N369+VLOOKUP($L369,'Voyage days'!$F$620:$H$646,3,FALSE),"")</f>
        <v/>
      </c>
      <c r="BA369" s="120" t="str">
        <f t="shared" si="50"/>
        <v/>
      </c>
      <c r="BB369" s="123" t="str">
        <f>IFERROR($M369+VLOOKUP($L369,'Voyage days'!$F$702:$H$727,3,FALSE),"")</f>
        <v/>
      </c>
      <c r="BC369" s="120" t="str">
        <f t="shared" si="51"/>
        <v/>
      </c>
      <c r="BD369" s="122" t="str">
        <f>IFERROR($M369+VLOOKUP($L369,'Voyage days'!$F$807:$H$878,3,FALSE),"")</f>
        <v/>
      </c>
      <c r="BE369" s="122" t="str">
        <f>IFERROR($N369+VLOOKUP($L369,'Voyage days'!$F$807:$H$878,3,FALSE),"")</f>
        <v/>
      </c>
      <c r="BF369" s="609"/>
      <c r="BG369" s="609"/>
      <c r="BH369" s="609"/>
      <c r="BI369" s="609"/>
      <c r="BJ369" s="609"/>
      <c r="BK369" s="609"/>
      <c r="BL369" s="609"/>
      <c r="BM369" s="609"/>
    </row>
    <row r="370" ht="15.75" customHeight="1">
      <c r="A370" s="341" t="s">
        <v>194</v>
      </c>
      <c r="B370" s="101">
        <v>42234.0</v>
      </c>
      <c r="C370" s="1045">
        <v>84000.0</v>
      </c>
      <c r="D370" s="104" t="s">
        <v>1687</v>
      </c>
      <c r="E370" s="103" t="s">
        <v>689</v>
      </c>
      <c r="F370" s="1109">
        <v>43881.0</v>
      </c>
      <c r="G370" s="103" t="s">
        <v>1611</v>
      </c>
      <c r="H370" s="103"/>
      <c r="I370" s="185" t="s">
        <v>1412</v>
      </c>
      <c r="J370" s="111" t="s">
        <v>3299</v>
      </c>
      <c r="K370" s="336" t="str">
        <f t="shared" si="54"/>
        <v>Update</v>
      </c>
      <c r="L370" s="108" t="s">
        <v>680</v>
      </c>
      <c r="M370" s="109">
        <v>45805.0</v>
      </c>
      <c r="N370" s="109">
        <v>45806.0</v>
      </c>
      <c r="O370" s="110"/>
      <c r="P370" s="185"/>
      <c r="Q370" s="185"/>
      <c r="R370" s="108" t="s">
        <v>3310</v>
      </c>
      <c r="S370" s="112" t="s">
        <v>659</v>
      </c>
      <c r="T370" s="188">
        <v>45775.0</v>
      </c>
      <c r="U370" s="114" t="str">
        <f>IF(V370="","No AIS",VLOOKUP(V370,'Voyage days'!$A$3:$B$1480,2,FALSE))</f>
        <v>USG</v>
      </c>
      <c r="V370" s="115" t="str">
        <f>IF(VLOOKUP(A370,'1) Kpler'!$E$2:$P$1000,8, FALSE)="","",VLOOKUP(A370,'1) Kpler'!$E$2:$P$1000,8, FALSE))</f>
        <v>Houston</v>
      </c>
      <c r="W370" s="116">
        <f>IF(VLOOKUP(A370,'1) Kpler'!$E$2:$P$1000,9,FALSE)="","",VLOOKUP(A370,'1) Kpler'!$E$2:$P$1000,9,FALSE))</f>
        <v>46140.70833</v>
      </c>
      <c r="X370" s="115" t="str">
        <f>VLOOKUP(A370,'1) Kpler'!$E$2:$I$1000,4,FALSE)</f>
        <v>ballast</v>
      </c>
      <c r="Y370" s="160" t="str">
        <f t="shared" si="55"/>
        <v/>
      </c>
      <c r="Z370" s="120" t="str">
        <f t="shared" si="56"/>
        <v/>
      </c>
      <c r="AA370" s="121" t="str">
        <f>IFERROR($M370+VLOOKUP($L370,'Voyage days'!$F$38:$H$89,3,FALSE),"")</f>
        <v/>
      </c>
      <c r="AB370" s="121" t="str">
        <f>IFERROR(N370+VLOOKUP($L370,'Voyage days'!$F$38:$H$89,3,FALSE),"")</f>
        <v/>
      </c>
      <c r="AC370" s="120" t="str">
        <f t="shared" si="42"/>
        <v>28-29 May</v>
      </c>
      <c r="AD370" s="121">
        <f>IFERROR($M370+VLOOKUP($L370,'Voyage days'!$F$94:$H$193,3,FALSE),"")</f>
        <v>45805</v>
      </c>
      <c r="AE370" s="121">
        <f>IFERROR($N370+VLOOKUP($L370,'Voyage days'!$F$94:$H$193,3,FALSE),"")</f>
        <v>45806</v>
      </c>
      <c r="AF370" s="120" t="str">
        <f t="shared" si="43"/>
        <v>28-29 May</v>
      </c>
      <c r="AG370" s="121">
        <f>IFERROR($M370+VLOOKUP($L370,'Voyage days'!$F$203:$H$256,3,FALSE),"")</f>
        <v>45805</v>
      </c>
      <c r="AH370" s="121">
        <f>IFERROR($N370+VLOOKUP($L370,'Voyage days'!$F$203:$H$256,3,FALSE),"")</f>
        <v>45806</v>
      </c>
      <c r="AI370" s="120" t="str">
        <f t="shared" si="44"/>
        <v/>
      </c>
      <c r="AJ370" s="121" t="str">
        <f>IFERROR($M370+VLOOKUP($L370,'Voyage days'!$F$294:$H$377,3,FALSE),"")</f>
        <v/>
      </c>
      <c r="AK370" s="121" t="str">
        <f>IFERROR($N370+VLOOKUP($L370,'Voyage days'!$F$294:$H$377,3,FALSE),"")</f>
        <v/>
      </c>
      <c r="AL370" s="120" t="str">
        <f t="shared" si="45"/>
        <v>17-18 Jun</v>
      </c>
      <c r="AM370" s="121">
        <f>IFERROR($M370+VLOOKUP($L370,'Voyage days'!$F$382:$H$446,3,FALSE),"")</f>
        <v>45825</v>
      </c>
      <c r="AN370" s="121">
        <f>IFERROR($N370+VLOOKUP($L370,'Voyage days'!$F$382:$H$446,3,FALSE),"")</f>
        <v>45826</v>
      </c>
      <c r="AO370" s="120" t="str">
        <f t="shared" si="46"/>
        <v/>
      </c>
      <c r="AP370" s="121" t="str">
        <f>IFERROR($M370+VLOOKUP($L370,'Voyage days'!$F$483:$H$538,3,FALSE),"")</f>
        <v/>
      </c>
      <c r="AQ370" s="121" t="str">
        <f>IFERROR($N370+VLOOKUP($L370,'Voyage days'!$F$483:$H$538,3,FALSE),"")</f>
        <v/>
      </c>
      <c r="AR370" s="120" t="str">
        <f t="shared" si="47"/>
        <v/>
      </c>
      <c r="AS370" s="121" t="str">
        <f>IFERROR($M370+VLOOKUP($L370,'Voyage days'!$F$540:$H$613,3,FALSE),"")</f>
        <v/>
      </c>
      <c r="AT370" s="121" t="str">
        <f>IFERROR($N370+VLOOKUP($L370,'Voyage days'!$F$540:$H$613,3,FALSE),"")</f>
        <v/>
      </c>
      <c r="AU370" s="120" t="str">
        <f t="shared" si="48"/>
        <v/>
      </c>
      <c r="AV370" s="121" t="str">
        <f>IFERROR($M370+VLOOKUP($L370,'Voyage days'!$L$483:$N$535,3,FALSE),"")</f>
        <v/>
      </c>
      <c r="AW370" s="121" t="str">
        <f>IFERROR($N370+VLOOKUP($L370,'Voyage days'!$L$483:$N$535,3,FALSE),"")</f>
        <v/>
      </c>
      <c r="AX370" s="120" t="str">
        <f t="shared" si="49"/>
        <v/>
      </c>
      <c r="AY370" s="122" t="str">
        <f>IFERROR($M370+VLOOKUP($L370,'Voyage days'!$F$620:$H$646,3,FALSE),"")</f>
        <v/>
      </c>
      <c r="AZ370" s="122" t="str">
        <f>IFERROR($N370+VLOOKUP($L370,'Voyage days'!$F$620:$H$646,3,FALSE),"")</f>
        <v/>
      </c>
      <c r="BA370" s="120" t="str">
        <f t="shared" si="50"/>
        <v/>
      </c>
      <c r="BB370" s="123" t="str">
        <f>IFERROR($M370+VLOOKUP($L370,'Voyage days'!$F$702:$H$727,3,FALSE),"")</f>
        <v/>
      </c>
      <c r="BC370" s="120" t="str">
        <f t="shared" si="51"/>
        <v/>
      </c>
      <c r="BD370" s="122" t="str">
        <f>IFERROR($M370+VLOOKUP($L370,'Voyage days'!$F$807:$H$878,3,FALSE),"")</f>
        <v/>
      </c>
      <c r="BE370" s="122" t="str">
        <f>IFERROR($N370+VLOOKUP($L370,'Voyage days'!$F$807:$H$878,3,FALSE),"")</f>
        <v/>
      </c>
      <c r="BF370" s="609"/>
      <c r="BG370" s="609"/>
      <c r="BH370" s="609"/>
      <c r="BI370" s="609"/>
      <c r="BJ370" s="609"/>
      <c r="BK370" s="609"/>
      <c r="BL370" s="609"/>
      <c r="BM370" s="609"/>
    </row>
    <row r="371" ht="15.75" customHeight="1">
      <c r="A371" s="341" t="s">
        <v>196</v>
      </c>
      <c r="B371" s="101">
        <v>42320.0</v>
      </c>
      <c r="C371" s="1045">
        <v>84000.0</v>
      </c>
      <c r="D371" s="104" t="s">
        <v>1687</v>
      </c>
      <c r="E371" s="103" t="s">
        <v>689</v>
      </c>
      <c r="F371" s="1109">
        <v>43818.0</v>
      </c>
      <c r="G371" s="103" t="s">
        <v>1611</v>
      </c>
      <c r="H371" s="1138"/>
      <c r="I371" s="185" t="s">
        <v>1412</v>
      </c>
      <c r="J371" s="111" t="s">
        <v>3299</v>
      </c>
      <c r="K371" s="336" t="str">
        <f t="shared" si="54"/>
        <v>NO AIS</v>
      </c>
      <c r="L371" s="108" t="s">
        <v>720</v>
      </c>
      <c r="M371" s="109">
        <v>45809.0</v>
      </c>
      <c r="N371" s="109">
        <v>45813.0</v>
      </c>
      <c r="O371" s="110"/>
      <c r="P371" s="108" t="s">
        <v>3311</v>
      </c>
      <c r="Q371" s="1235"/>
      <c r="R371" s="185"/>
      <c r="S371" s="112" t="s">
        <v>659</v>
      </c>
      <c r="T371" s="113">
        <v>45748.0</v>
      </c>
      <c r="U371" s="114" t="str">
        <f>IF(V371="","No AIS",VLOOKUP(V371,'Voyage days'!$A$3:$B$1480,2,FALSE))</f>
        <v>No AIS</v>
      </c>
      <c r="V371" s="115" t="str">
        <f>IF(VLOOKUP(A371,'1) Kpler'!$E$2:$P$1000,8, FALSE)="","",VLOOKUP(A371,'1) Kpler'!$E$2:$P$1000,8, FALSE))</f>
        <v/>
      </c>
      <c r="W371" s="116" t="str">
        <f>IF(VLOOKUP(A371,'1) Kpler'!$E$2:$P$1000,9,FALSE)="","",VLOOKUP(A371,'1) Kpler'!$E$2:$P$1000,9,FALSE))</f>
        <v/>
      </c>
      <c r="X371" s="115" t="str">
        <f>VLOOKUP(A371,'1) Kpler'!$E$2:$I$1000,4,FALSE)</f>
        <v>loaded</v>
      </c>
      <c r="Y371" s="117" t="str">
        <f t="shared" si="55"/>
        <v>19-23 Jun</v>
      </c>
      <c r="Z371" s="120" t="str">
        <f t="shared" si="56"/>
        <v>19-23 Jun</v>
      </c>
      <c r="AA371" s="121">
        <f>IFERROR($M371+VLOOKUP($L371,'Voyage days'!$F$38:$H$89,3,FALSE),"")</f>
        <v>45827</v>
      </c>
      <c r="AB371" s="121">
        <f>IFERROR(N371+VLOOKUP($L371,'Voyage days'!$F$38:$H$89,3,FALSE),"")</f>
        <v>45831</v>
      </c>
      <c r="AC371" s="120" t="str">
        <f t="shared" si="42"/>
        <v>05-09 Jul</v>
      </c>
      <c r="AD371" s="121">
        <f>IFERROR($M371+VLOOKUP($L371,'Voyage days'!$F$94:$H$193,3,FALSE),"")</f>
        <v>45843</v>
      </c>
      <c r="AE371" s="121">
        <f>IFERROR($N371+VLOOKUP($L371,'Voyage days'!$F$94:$H$193,3,FALSE),"")</f>
        <v>45847</v>
      </c>
      <c r="AF371" s="120" t="str">
        <f t="shared" si="43"/>
        <v>12-16 Jul</v>
      </c>
      <c r="AG371" s="121">
        <f>IFERROR($M371+VLOOKUP($L371,'Voyage days'!$F$203:$H$256,3,FALSE),"")</f>
        <v>45850</v>
      </c>
      <c r="AH371" s="121">
        <f>IFERROR($N371+VLOOKUP($L371,'Voyage days'!$F$203:$H$256,3,FALSE),"")</f>
        <v>45854</v>
      </c>
      <c r="AI371" s="120" t="str">
        <f t="shared" si="44"/>
        <v>30-04 Jul</v>
      </c>
      <c r="AJ371" s="121">
        <f>IFERROR($M371+VLOOKUP($L371,'Voyage days'!$F$294:$H$377,3,FALSE),"")</f>
        <v>45838</v>
      </c>
      <c r="AK371" s="121">
        <f>IFERROR($N371+VLOOKUP($L371,'Voyage days'!$F$294:$H$377,3,FALSE),"")</f>
        <v>45842</v>
      </c>
      <c r="AL371" s="120" t="str">
        <f t="shared" si="45"/>
        <v>06-10 Jul</v>
      </c>
      <c r="AM371" s="121">
        <f>IFERROR($M371+VLOOKUP($L371,'Voyage days'!$F$382:$H$446,3,FALSE),"")</f>
        <v>45844</v>
      </c>
      <c r="AN371" s="121">
        <f>IFERROR($N371+VLOOKUP($L371,'Voyage days'!$F$382:$H$446,3,FALSE),"")</f>
        <v>45848</v>
      </c>
      <c r="AO371" s="120" t="str">
        <f t="shared" si="46"/>
        <v>15-19 Jun</v>
      </c>
      <c r="AP371" s="121">
        <f>IFERROR($M371+VLOOKUP($L371,'Voyage days'!$F$483:$H$538,3,FALSE),"")</f>
        <v>45823</v>
      </c>
      <c r="AQ371" s="121">
        <f>IFERROR($N371+VLOOKUP($L371,'Voyage days'!$F$483:$H$538,3,FALSE),"")</f>
        <v>45827</v>
      </c>
      <c r="AR371" s="120" t="str">
        <f t="shared" si="47"/>
        <v>09-13 Jun</v>
      </c>
      <c r="AS371" s="121">
        <f>IFERROR($M371+VLOOKUP($L371,'Voyage days'!$F$540:$H$613,3,FALSE),"")</f>
        <v>45817</v>
      </c>
      <c r="AT371" s="121">
        <f>IFERROR($N371+VLOOKUP($L371,'Voyage days'!$F$540:$H$613,3,FALSE),"")</f>
        <v>45821</v>
      </c>
      <c r="AU371" s="120" t="str">
        <f t="shared" si="48"/>
        <v/>
      </c>
      <c r="AV371" s="121" t="str">
        <f>IFERROR($M371+VLOOKUP($L371,'Voyage days'!$L$483:$N$535,3,FALSE),"")</f>
        <v/>
      </c>
      <c r="AW371" s="121" t="str">
        <f>IFERROR($N371+VLOOKUP($L371,'Voyage days'!$L$483:$N$535,3,FALSE),"")</f>
        <v/>
      </c>
      <c r="AX371" s="120" t="str">
        <f t="shared" si="49"/>
        <v>12-16 Jun</v>
      </c>
      <c r="AY371" s="122">
        <f>IFERROR($M371+VLOOKUP($L371,'Voyage days'!$F$620:$H$646,3,FALSE),"")</f>
        <v>45820</v>
      </c>
      <c r="AZ371" s="122">
        <f>IFERROR($N371+VLOOKUP($L371,'Voyage days'!$F$620:$H$646,3,FALSE),"")</f>
        <v>45824</v>
      </c>
      <c r="BA371" s="120" t="str">
        <f t="shared" si="50"/>
        <v>09-20 Jul</v>
      </c>
      <c r="BB371" s="123">
        <f>IFERROR($M371+VLOOKUP($L371,'Voyage days'!$F$702:$H$727,3,FALSE),"")</f>
        <v>45817</v>
      </c>
      <c r="BC371" s="120" t="str">
        <f t="shared" si="51"/>
        <v>16-20 Jul</v>
      </c>
      <c r="BD371" s="122">
        <f>IFERROR($M371+VLOOKUP($L371,'Voyage days'!$F$807:$H$878,3,FALSE),"")</f>
        <v>45854</v>
      </c>
      <c r="BE371" s="122">
        <f>IFERROR($N371+VLOOKUP($L371,'Voyage days'!$F$807:$H$878,3,FALSE),"")</f>
        <v>45858</v>
      </c>
      <c r="BF371" s="609"/>
      <c r="BG371" s="609"/>
      <c r="BH371" s="609"/>
      <c r="BI371" s="609"/>
      <c r="BJ371" s="609"/>
      <c r="BK371" s="609"/>
      <c r="BL371" s="609"/>
      <c r="BM371" s="609"/>
    </row>
    <row r="372" ht="15.75" customHeight="1">
      <c r="A372" s="341" t="s">
        <v>198</v>
      </c>
      <c r="B372" s="101">
        <v>41908.0</v>
      </c>
      <c r="C372" s="1045">
        <v>84000.0</v>
      </c>
      <c r="D372" s="104" t="s">
        <v>1687</v>
      </c>
      <c r="E372" s="103" t="s">
        <v>689</v>
      </c>
      <c r="F372" s="604">
        <v>43696.0</v>
      </c>
      <c r="G372" s="103" t="s">
        <v>1611</v>
      </c>
      <c r="H372" s="103"/>
      <c r="I372" s="185" t="s">
        <v>1412</v>
      </c>
      <c r="J372" s="111"/>
      <c r="K372" s="336" t="str">
        <f t="shared" si="54"/>
        <v>Update</v>
      </c>
      <c r="L372" s="108" t="s">
        <v>1719</v>
      </c>
      <c r="M372" s="109">
        <v>45809.0</v>
      </c>
      <c r="N372" s="109">
        <v>45818.0</v>
      </c>
      <c r="O372" s="191" t="s">
        <v>1314</v>
      </c>
      <c r="P372" s="192" t="s">
        <v>3312</v>
      </c>
      <c r="Q372" s="1140"/>
      <c r="R372" s="104"/>
      <c r="S372" s="112" t="s">
        <v>934</v>
      </c>
      <c r="T372" s="113">
        <v>45783.0</v>
      </c>
      <c r="U372" s="114" t="str">
        <f>IF(V372="","No AIS",VLOOKUP(V372,'Voyage days'!$A$3:$B$1480,2,FALSE))</f>
        <v>Panama</v>
      </c>
      <c r="V372" s="115" t="str">
        <f>IF(VLOOKUP(A372,'1) Kpler'!$E$2:$P$1000,8, FALSE)="","",VLOOKUP(A372,'1) Kpler'!$E$2:$P$1000,8, FALSE))</f>
        <v>Panama Canal</v>
      </c>
      <c r="W372" s="116">
        <f>IF(VLOOKUP(A372,'1) Kpler'!$E$2:$P$1000,9,FALSE)="","",VLOOKUP(A372,'1) Kpler'!$E$2:$P$1000,9,FALSE))</f>
        <v>46140.20833</v>
      </c>
      <c r="X372" s="115" t="str">
        <f>VLOOKUP(A372,'1) Kpler'!$E$2:$I$1000,4,FALSE)</f>
        <v>ballast</v>
      </c>
      <c r="Y372" s="160" t="str">
        <f t="shared" si="55"/>
        <v/>
      </c>
      <c r="Z372" s="120" t="str">
        <f t="shared" si="56"/>
        <v/>
      </c>
      <c r="AA372" s="121" t="str">
        <f>IFERROR($M372+VLOOKUP($L372,'Voyage days'!$F$38:$H$89,3,FALSE),"")</f>
        <v/>
      </c>
      <c r="AB372" s="121" t="str">
        <f>IFERROR(N372+VLOOKUP($L372,'Voyage days'!$F$38:$H$89,3,FALSE),"")</f>
        <v/>
      </c>
      <c r="AC372" s="120" t="str">
        <f t="shared" si="42"/>
        <v>01-10 Jun</v>
      </c>
      <c r="AD372" s="121">
        <f>IFERROR($M372+VLOOKUP($L372,'Voyage days'!$F$94:$H$193,3,FALSE),"")</f>
        <v>45809</v>
      </c>
      <c r="AE372" s="121">
        <f>IFERROR($N372+VLOOKUP($L372,'Voyage days'!$F$94:$H$193,3,FALSE),"")</f>
        <v>45818</v>
      </c>
      <c r="AF372" s="120" t="str">
        <f t="shared" si="43"/>
        <v>01-10 Jun</v>
      </c>
      <c r="AG372" s="121">
        <f>IFERROR($M372+VLOOKUP($L372,'Voyage days'!$F$203:$H$256,3,FALSE),"")</f>
        <v>45809</v>
      </c>
      <c r="AH372" s="121">
        <f>IFERROR($N372+VLOOKUP($L372,'Voyage days'!$F$203:$H$256,3,FALSE),"")</f>
        <v>45818</v>
      </c>
      <c r="AI372" s="120" t="str">
        <f t="shared" si="44"/>
        <v/>
      </c>
      <c r="AJ372" s="121" t="str">
        <f>IFERROR($M372+VLOOKUP($L372,'Voyage days'!$F$294:$H$377,3,FALSE),"")</f>
        <v/>
      </c>
      <c r="AK372" s="121" t="str">
        <f>IFERROR($N372+VLOOKUP($L372,'Voyage days'!$F$294:$H$377,3,FALSE),"")</f>
        <v/>
      </c>
      <c r="AL372" s="120" t="str">
        <f t="shared" si="45"/>
        <v/>
      </c>
      <c r="AM372" s="121" t="str">
        <f>IFERROR($M372+VLOOKUP($L372,'Voyage days'!$F$382:$H$446,3,FALSE),"")</f>
        <v/>
      </c>
      <c r="AN372" s="121" t="str">
        <f>IFERROR($N372+VLOOKUP($L372,'Voyage days'!$F$382:$H$446,3,FALSE),"")</f>
        <v/>
      </c>
      <c r="AO372" s="120" t="str">
        <f t="shared" si="46"/>
        <v/>
      </c>
      <c r="AP372" s="121" t="str">
        <f>IFERROR($M372+VLOOKUP($L372,'Voyage days'!$F$483:$H$538,3,FALSE),"")</f>
        <v/>
      </c>
      <c r="AQ372" s="121" t="str">
        <f>IFERROR($N372+VLOOKUP($L372,'Voyage days'!$F$483:$H$538,3,FALSE),"")</f>
        <v/>
      </c>
      <c r="AR372" s="120" t="str">
        <f t="shared" si="47"/>
        <v/>
      </c>
      <c r="AS372" s="121" t="str">
        <f>IFERROR($M372+VLOOKUP($L372,'Voyage days'!$F$540:$H$613,3,FALSE),"")</f>
        <v/>
      </c>
      <c r="AT372" s="121" t="str">
        <f>IFERROR($N372+VLOOKUP($L372,'Voyage days'!$F$540:$H$613,3,FALSE),"")</f>
        <v/>
      </c>
      <c r="AU372" s="120" t="str">
        <f t="shared" si="48"/>
        <v/>
      </c>
      <c r="AV372" s="121" t="str">
        <f>IFERROR($M372+VLOOKUP($L372,'Voyage days'!$L$483:$N$535,3,FALSE),"")</f>
        <v/>
      </c>
      <c r="AW372" s="121" t="str">
        <f>IFERROR($N372+VLOOKUP($L372,'Voyage days'!$L$483:$N$535,3,FALSE),"")</f>
        <v/>
      </c>
      <c r="AX372" s="120" t="str">
        <f t="shared" si="49"/>
        <v/>
      </c>
      <c r="AY372" s="122" t="str">
        <f>IFERROR($M372+VLOOKUP($L372,'Voyage days'!$F$620:$H$646,3,FALSE),"")</f>
        <v/>
      </c>
      <c r="AZ372" s="122" t="str">
        <f>IFERROR($N372+VLOOKUP($L372,'Voyage days'!$F$620:$H$646,3,FALSE),"")</f>
        <v/>
      </c>
      <c r="BA372" s="120" t="str">
        <f t="shared" si="50"/>
        <v/>
      </c>
      <c r="BB372" s="123" t="str">
        <f>IFERROR($M372+VLOOKUP($L372,'Voyage days'!$F$702:$H$727,3,FALSE),"")</f>
        <v/>
      </c>
      <c r="BC372" s="120" t="str">
        <f t="shared" si="51"/>
        <v/>
      </c>
      <c r="BD372" s="122" t="str">
        <f>IFERROR($M372+VLOOKUP($L372,'Voyage days'!$F$807:$H$878,3,FALSE),"")</f>
        <v/>
      </c>
      <c r="BE372" s="122" t="str">
        <f>IFERROR($N372+VLOOKUP($L372,'Voyage days'!$F$807:$H$878,3,FALSE),"")</f>
        <v/>
      </c>
      <c r="BF372" s="609"/>
      <c r="BG372" s="609"/>
      <c r="BH372" s="609"/>
      <c r="BI372" s="609"/>
      <c r="BJ372" s="609"/>
      <c r="BK372" s="609"/>
      <c r="BL372" s="609"/>
      <c r="BM372" s="609"/>
    </row>
    <row r="373" ht="15.75" customHeight="1">
      <c r="A373" s="341" t="s">
        <v>199</v>
      </c>
      <c r="B373" s="101">
        <v>42006.0</v>
      </c>
      <c r="C373" s="1045">
        <v>84000.0</v>
      </c>
      <c r="D373" s="104" t="s">
        <v>1687</v>
      </c>
      <c r="E373" s="103" t="s">
        <v>689</v>
      </c>
      <c r="F373" s="604">
        <v>43831.0</v>
      </c>
      <c r="G373" s="103" t="s">
        <v>1611</v>
      </c>
      <c r="H373" s="103"/>
      <c r="I373" s="185" t="s">
        <v>1412</v>
      </c>
      <c r="J373" s="111" t="s">
        <v>3299</v>
      </c>
      <c r="K373" s="336" t="str">
        <f t="shared" si="54"/>
        <v>Update</v>
      </c>
      <c r="L373" s="108" t="s">
        <v>680</v>
      </c>
      <c r="M373" s="109">
        <v>45793.0</v>
      </c>
      <c r="N373" s="109">
        <v>45795.0</v>
      </c>
      <c r="O373" s="191"/>
      <c r="P373" s="108"/>
      <c r="Q373" s="686"/>
      <c r="R373" s="108" t="s">
        <v>3313</v>
      </c>
      <c r="S373" s="112" t="s">
        <v>934</v>
      </c>
      <c r="T373" s="113">
        <v>45782.0</v>
      </c>
      <c r="U373" s="114" t="str">
        <f>IF(V373="","No AIS",VLOOKUP(V373,'Voyage days'!$A$3:$B$1480,2,FALSE))</f>
        <v>East China + 4</v>
      </c>
      <c r="V373" s="115" t="str">
        <f>IF(VLOOKUP(A373,'1) Kpler'!$E$2:$P$1000,8, FALSE)="","",VLOOKUP(A373,'1) Kpler'!$E$2:$P$1000,8, FALSE))</f>
        <v>Ningbo Area</v>
      </c>
      <c r="W373" s="116">
        <f>IF(VLOOKUP(A373,'1) Kpler'!$E$2:$P$1000,9,FALSE)="","",VLOOKUP(A373,'1) Kpler'!$E$2:$P$1000,9,FALSE))</f>
        <v>46160.25</v>
      </c>
      <c r="X373" s="115" t="str">
        <f>VLOOKUP(A373,'1) Kpler'!$E$2:$I$1000,4,FALSE)</f>
        <v>loaded</v>
      </c>
      <c r="Y373" s="117" t="str">
        <f t="shared" si="55"/>
        <v/>
      </c>
      <c r="Z373" s="120" t="str">
        <f t="shared" si="56"/>
        <v/>
      </c>
      <c r="AA373" s="121" t="str">
        <f>IFERROR($M373+VLOOKUP($L373,'Voyage days'!$F$38:$H$89,3,FALSE),"")</f>
        <v/>
      </c>
      <c r="AB373" s="121" t="str">
        <f>IFERROR(N373+VLOOKUP($L373,'Voyage days'!$F$38:$H$89,3,FALSE),"")</f>
        <v/>
      </c>
      <c r="AC373" s="120" t="str">
        <f t="shared" si="42"/>
        <v>16-18 May</v>
      </c>
      <c r="AD373" s="121">
        <f>IFERROR($M373+VLOOKUP($L373,'Voyage days'!$F$94:$H$193,3,FALSE),"")</f>
        <v>45793</v>
      </c>
      <c r="AE373" s="121">
        <f>IFERROR($N373+VLOOKUP($L373,'Voyage days'!$F$94:$H$193,3,FALSE),"")</f>
        <v>45795</v>
      </c>
      <c r="AF373" s="120" t="str">
        <f t="shared" si="43"/>
        <v>16-18 May</v>
      </c>
      <c r="AG373" s="121">
        <f>IFERROR($M373+VLOOKUP($L373,'Voyage days'!$F$203:$H$256,3,FALSE),"")</f>
        <v>45793</v>
      </c>
      <c r="AH373" s="121">
        <f>IFERROR($N373+VLOOKUP($L373,'Voyage days'!$F$203:$H$256,3,FALSE),"")</f>
        <v>45795</v>
      </c>
      <c r="AI373" s="120" t="str">
        <f t="shared" si="44"/>
        <v/>
      </c>
      <c r="AJ373" s="121" t="str">
        <f>IFERROR($M373+VLOOKUP($L373,'Voyage days'!$F$294:$H$377,3,FALSE),"")</f>
        <v/>
      </c>
      <c r="AK373" s="121" t="str">
        <f>IFERROR($N373+VLOOKUP($L373,'Voyage days'!$F$294:$H$377,3,FALSE),"")</f>
        <v/>
      </c>
      <c r="AL373" s="120" t="str">
        <f t="shared" si="45"/>
        <v>05-07 Jun</v>
      </c>
      <c r="AM373" s="121">
        <f>IFERROR($M373+VLOOKUP($L373,'Voyage days'!$F$382:$H$446,3,FALSE),"")</f>
        <v>45813</v>
      </c>
      <c r="AN373" s="121">
        <f>IFERROR($N373+VLOOKUP($L373,'Voyage days'!$F$382:$H$446,3,FALSE),"")</f>
        <v>45815</v>
      </c>
      <c r="AO373" s="120" t="str">
        <f t="shared" si="46"/>
        <v/>
      </c>
      <c r="AP373" s="121" t="str">
        <f>IFERROR($M373+VLOOKUP($L373,'Voyage days'!$F$483:$H$538,3,FALSE),"")</f>
        <v/>
      </c>
      <c r="AQ373" s="121" t="str">
        <f>IFERROR($N373+VLOOKUP($L373,'Voyage days'!$F$483:$H$538,3,FALSE),"")</f>
        <v/>
      </c>
      <c r="AR373" s="120" t="str">
        <f t="shared" si="47"/>
        <v/>
      </c>
      <c r="AS373" s="121" t="str">
        <f>IFERROR($M373+VLOOKUP($L373,'Voyage days'!$F$540:$H$613,3,FALSE),"")</f>
        <v/>
      </c>
      <c r="AT373" s="121" t="str">
        <f>IFERROR($N373+VLOOKUP($L373,'Voyage days'!$F$540:$H$613,3,FALSE),"")</f>
        <v/>
      </c>
      <c r="AU373" s="120" t="str">
        <f t="shared" si="48"/>
        <v/>
      </c>
      <c r="AV373" s="121" t="str">
        <f>IFERROR($M373+VLOOKUP($L373,'Voyage days'!$L$483:$N$535,3,FALSE),"")</f>
        <v/>
      </c>
      <c r="AW373" s="121" t="str">
        <f>IFERROR($N373+VLOOKUP($L373,'Voyage days'!$L$483:$N$535,3,FALSE),"")</f>
        <v/>
      </c>
      <c r="AX373" s="120" t="str">
        <f t="shared" si="49"/>
        <v/>
      </c>
      <c r="AY373" s="122" t="str">
        <f>IFERROR($M373+VLOOKUP($L373,'Voyage days'!$F$620:$H$646,3,FALSE),"")</f>
        <v/>
      </c>
      <c r="AZ373" s="122" t="str">
        <f>IFERROR($N373+VLOOKUP($L373,'Voyage days'!$F$620:$H$646,3,FALSE),"")</f>
        <v/>
      </c>
      <c r="BA373" s="120" t="str">
        <f t="shared" si="50"/>
        <v/>
      </c>
      <c r="BB373" s="123" t="str">
        <f>IFERROR($M373+VLOOKUP($L373,'Voyage days'!$F$702:$H$727,3,FALSE),"")</f>
        <v/>
      </c>
      <c r="BC373" s="120" t="str">
        <f t="shared" si="51"/>
        <v/>
      </c>
      <c r="BD373" s="122" t="str">
        <f>IFERROR($M373+VLOOKUP($L373,'Voyage days'!$F$807:$H$878,3,FALSE),"")</f>
        <v/>
      </c>
      <c r="BE373" s="122" t="str">
        <f>IFERROR($N373+VLOOKUP($L373,'Voyage days'!$F$807:$H$878,3,FALSE),"")</f>
        <v/>
      </c>
      <c r="BF373" s="609"/>
      <c r="BG373" s="609"/>
      <c r="BH373" s="609"/>
      <c r="BI373" s="609"/>
      <c r="BJ373" s="609"/>
      <c r="BK373" s="609"/>
      <c r="BL373" s="609"/>
      <c r="BM373" s="609"/>
    </row>
    <row r="374" ht="15.75" customHeight="1">
      <c r="A374" s="341" t="s">
        <v>201</v>
      </c>
      <c r="B374" s="101">
        <v>42308.0</v>
      </c>
      <c r="C374" s="1045">
        <v>84000.0</v>
      </c>
      <c r="D374" s="104" t="s">
        <v>1687</v>
      </c>
      <c r="E374" s="103" t="s">
        <v>689</v>
      </c>
      <c r="F374" s="604">
        <v>43831.0</v>
      </c>
      <c r="G374" s="103" t="s">
        <v>1611</v>
      </c>
      <c r="H374" s="1138"/>
      <c r="I374" s="185" t="s">
        <v>1412</v>
      </c>
      <c r="J374" s="111" t="s">
        <v>3299</v>
      </c>
      <c r="K374" s="336" t="str">
        <f t="shared" si="54"/>
        <v>Update</v>
      </c>
      <c r="L374" s="304" t="s">
        <v>656</v>
      </c>
      <c r="M374" s="109">
        <v>45808.0</v>
      </c>
      <c r="N374" s="109">
        <v>45809.0</v>
      </c>
      <c r="O374" s="110"/>
      <c r="P374" s="108"/>
      <c r="Q374" s="185"/>
      <c r="R374" s="108" t="s">
        <v>3314</v>
      </c>
      <c r="S374" s="112" t="s">
        <v>934</v>
      </c>
      <c r="T374" s="113">
        <v>45784.0</v>
      </c>
      <c r="U374" s="114" t="str">
        <f>IF(V374="","No AIS",VLOOKUP(V374,'Voyage days'!$A$3:$B$1480,2,FALSE))</f>
        <v>Panama</v>
      </c>
      <c r="V374" s="115" t="str">
        <f>IF(VLOOKUP(A374,'1) Kpler'!$E$2:$P$1000,8, FALSE)="","",VLOOKUP(A374,'1) Kpler'!$E$2:$P$1000,8, FALSE))</f>
        <v>Panama Canal</v>
      </c>
      <c r="W374" s="116">
        <f>IF(VLOOKUP(A374,'1) Kpler'!$E$2:$P$1000,9,FALSE)="","",VLOOKUP(A374,'1) Kpler'!$E$2:$P$1000,9,FALSE))</f>
        <v>46132.45833</v>
      </c>
      <c r="X374" s="115" t="str">
        <f>VLOOKUP(A374,'1) Kpler'!$E$2:$I$1000,4,FALSE)</f>
        <v>ballast</v>
      </c>
      <c r="Y374" s="160" t="str">
        <f t="shared" si="55"/>
        <v>18-19 Jun</v>
      </c>
      <c r="Z374" s="120" t="str">
        <f t="shared" si="56"/>
        <v>18-19 Jun</v>
      </c>
      <c r="AA374" s="121">
        <f>IFERROR($M374+VLOOKUP($L374,'Voyage days'!$F$38:$H$89,3,FALSE),"")</f>
        <v>45826</v>
      </c>
      <c r="AB374" s="121">
        <f>IFERROR(N374+VLOOKUP($L374,'Voyage days'!$F$38:$H$89,3,FALSE),"")</f>
        <v>45827</v>
      </c>
      <c r="AC374" s="120" t="str">
        <f t="shared" si="42"/>
        <v>01-02 Jul</v>
      </c>
      <c r="AD374" s="121">
        <f>IFERROR($M374+VLOOKUP($L374,'Voyage days'!$F$94:$H$193,3,FALSE),"")</f>
        <v>45839</v>
      </c>
      <c r="AE374" s="121">
        <f>IFERROR($N374+VLOOKUP($L374,'Voyage days'!$F$94:$H$193,3,FALSE),"")</f>
        <v>45840</v>
      </c>
      <c r="AF374" s="120" t="str">
        <f t="shared" si="43"/>
        <v>08-09 Jul</v>
      </c>
      <c r="AG374" s="121">
        <f>IFERROR($M374+VLOOKUP($L374,'Voyage days'!$F$203:$H$256,3,FALSE),"")</f>
        <v>45846</v>
      </c>
      <c r="AH374" s="121">
        <f>IFERROR($N374+VLOOKUP($L374,'Voyage days'!$F$203:$H$256,3,FALSE),"")</f>
        <v>45847</v>
      </c>
      <c r="AI374" s="120" t="str">
        <f t="shared" si="44"/>
        <v>30-01 Jul</v>
      </c>
      <c r="AJ374" s="121">
        <f>IFERROR($M374+VLOOKUP($L374,'Voyage days'!$F$294:$H$377,3,FALSE),"")</f>
        <v>45838</v>
      </c>
      <c r="AK374" s="121">
        <f>IFERROR($N374+VLOOKUP($L374,'Voyage days'!$F$294:$H$377,3,FALSE),"")</f>
        <v>45839</v>
      </c>
      <c r="AL374" s="120" t="str">
        <f t="shared" si="45"/>
        <v>06-07 Jul</v>
      </c>
      <c r="AM374" s="121">
        <f>IFERROR($M374+VLOOKUP($L374,'Voyage days'!$F$382:$H$446,3,FALSE),"")</f>
        <v>45844</v>
      </c>
      <c r="AN374" s="121">
        <f>IFERROR($N374+VLOOKUP($L374,'Voyage days'!$F$382:$H$446,3,FALSE),"")</f>
        <v>45845</v>
      </c>
      <c r="AO374" s="120" t="str">
        <f t="shared" si="46"/>
        <v>13-14 Jun</v>
      </c>
      <c r="AP374" s="121">
        <f>IFERROR($M374+VLOOKUP($L374,'Voyage days'!$F$483:$H$538,3,FALSE),"")</f>
        <v>45821</v>
      </c>
      <c r="AQ374" s="121">
        <f>IFERROR($N374+VLOOKUP($L374,'Voyage days'!$F$483:$H$538,3,FALSE),"")</f>
        <v>45822</v>
      </c>
      <c r="AR374" s="120" t="str">
        <f t="shared" si="47"/>
        <v>08-09 Jun</v>
      </c>
      <c r="AS374" s="121">
        <f>IFERROR($M374+VLOOKUP($L374,'Voyage days'!$F$540:$H$613,3,FALSE),"")</f>
        <v>45816.25</v>
      </c>
      <c r="AT374" s="121">
        <f>IFERROR($N374+VLOOKUP($L374,'Voyage days'!$F$540:$H$613,3,FALSE),"")</f>
        <v>45817.25</v>
      </c>
      <c r="AU374" s="120" t="str">
        <f t="shared" si="48"/>
        <v/>
      </c>
      <c r="AV374" s="121" t="str">
        <f>IFERROR($M374+VLOOKUP($L374,'Voyage days'!$L$483:$N$535,3,FALSE),"")</f>
        <v/>
      </c>
      <c r="AW374" s="121" t="str">
        <f>IFERROR($N374+VLOOKUP($L374,'Voyage days'!$L$483:$N$535,3,FALSE),"")</f>
        <v/>
      </c>
      <c r="AX374" s="120" t="str">
        <f t="shared" si="49"/>
        <v>11-12 Jun</v>
      </c>
      <c r="AY374" s="122">
        <f>IFERROR($M374+VLOOKUP($L374,'Voyage days'!$F$620:$H$646,3,FALSE),"")</f>
        <v>45819</v>
      </c>
      <c r="AZ374" s="122">
        <f>IFERROR($N374+VLOOKUP($L374,'Voyage days'!$F$620:$H$646,3,FALSE),"")</f>
        <v>45820</v>
      </c>
      <c r="BA374" s="120" t="str">
        <f t="shared" si="50"/>
        <v>08-17 Jul</v>
      </c>
      <c r="BB374" s="123">
        <f>IFERROR($M374+VLOOKUP($L374,'Voyage days'!$F$702:$H$727,3,FALSE),"")</f>
        <v>45816.25</v>
      </c>
      <c r="BC374" s="120" t="str">
        <f t="shared" si="51"/>
        <v>16-17 Jul</v>
      </c>
      <c r="BD374" s="122">
        <f>IFERROR($M374+VLOOKUP($L374,'Voyage days'!$F$807:$H$878,3,FALSE),"")</f>
        <v>45854</v>
      </c>
      <c r="BE374" s="122">
        <f>IFERROR($N374+VLOOKUP($L374,'Voyage days'!$F$807:$H$878,3,FALSE),"")</f>
        <v>45855</v>
      </c>
      <c r="BF374" s="609"/>
      <c r="BG374" s="609"/>
      <c r="BH374" s="609"/>
      <c r="BI374" s="609"/>
      <c r="BJ374" s="609"/>
      <c r="BK374" s="609"/>
      <c r="BL374" s="609"/>
      <c r="BM374" s="609"/>
    </row>
    <row r="375" ht="15.75" customHeight="1">
      <c r="A375" s="80" t="s">
        <v>202</v>
      </c>
      <c r="B375" s="101">
        <v>42248.0</v>
      </c>
      <c r="C375" s="1045">
        <v>84000.0</v>
      </c>
      <c r="D375" s="104" t="s">
        <v>1687</v>
      </c>
      <c r="E375" s="103" t="s">
        <v>689</v>
      </c>
      <c r="F375" s="604">
        <v>43818.0</v>
      </c>
      <c r="G375" s="605">
        <v>45748.0</v>
      </c>
      <c r="H375" s="1138"/>
      <c r="I375" s="185" t="s">
        <v>1412</v>
      </c>
      <c r="J375" s="111" t="s">
        <v>2945</v>
      </c>
      <c r="K375" s="336" t="str">
        <f t="shared" si="54"/>
        <v>Update</v>
      </c>
      <c r="L375" s="108" t="s">
        <v>663</v>
      </c>
      <c r="M375" s="109">
        <v>45823.0</v>
      </c>
      <c r="N375" s="109">
        <v>45827.0</v>
      </c>
      <c r="O375" s="110"/>
      <c r="P375" s="185"/>
      <c r="Q375" s="192"/>
      <c r="R375" s="192" t="s">
        <v>3315</v>
      </c>
      <c r="S375" s="112" t="s">
        <v>2962</v>
      </c>
      <c r="T375" s="113">
        <v>45778.0</v>
      </c>
      <c r="U375" s="114" t="str">
        <f>IF(V375="","No AIS",VLOOKUP(V375,'Voyage days'!$A$3:$B$1480,2,FALSE))</f>
        <v>Panama</v>
      </c>
      <c r="V375" s="115" t="str">
        <f>IF(VLOOKUP(A375,'1) Kpler'!$E$2:$P$1000,8, FALSE)="","",VLOOKUP(A375,'1) Kpler'!$E$2:$P$1000,8, FALSE))</f>
        <v>Panama Canal</v>
      </c>
      <c r="W375" s="116">
        <f>IF(VLOOKUP(A375,'1) Kpler'!$E$2:$P$1000,9,FALSE)="","",VLOOKUP(A375,'1) Kpler'!$E$2:$P$1000,9,FALSE))</f>
        <v>46136.75</v>
      </c>
      <c r="X375" s="115" t="str">
        <f>VLOOKUP(A375,'1) Kpler'!$E$2:$I$1000,4,FALSE)</f>
        <v>ballast</v>
      </c>
      <c r="Y375" s="117" t="str">
        <f t="shared" si="55"/>
        <v>02-06 Jul</v>
      </c>
      <c r="Z375" s="120" t="str">
        <f t="shared" si="56"/>
        <v>02-06 Jul</v>
      </c>
      <c r="AA375" s="121">
        <f>IFERROR($M375+VLOOKUP($L375,'Voyage days'!$F$38:$H$89,3,FALSE),"")</f>
        <v>45840</v>
      </c>
      <c r="AB375" s="121">
        <f>IFERROR(N375+VLOOKUP($L375,'Voyage days'!$F$38:$H$89,3,FALSE),"")</f>
        <v>45844</v>
      </c>
      <c r="AC375" s="120" t="str">
        <f t="shared" si="42"/>
        <v>18-22 Jul</v>
      </c>
      <c r="AD375" s="121">
        <f>IFERROR($M375+VLOOKUP($L375,'Voyage days'!$F$94:$H$193,3,FALSE),"")</f>
        <v>45856</v>
      </c>
      <c r="AE375" s="121">
        <f>IFERROR($N375+VLOOKUP($L375,'Voyage days'!$F$94:$H$193,3,FALSE),"")</f>
        <v>45860</v>
      </c>
      <c r="AF375" s="120" t="str">
        <f t="shared" si="43"/>
        <v>29-02 Aug</v>
      </c>
      <c r="AG375" s="121">
        <f>IFERROR($M375+VLOOKUP($L375,'Voyage days'!$F$203:$H$256,3,FALSE),"")</f>
        <v>45867</v>
      </c>
      <c r="AH375" s="121">
        <f>IFERROR($N375+VLOOKUP($L375,'Voyage days'!$F$203:$H$256,3,FALSE),"")</f>
        <v>45871</v>
      </c>
      <c r="AI375" s="120" t="str">
        <f t="shared" si="44"/>
        <v>13-17 Jul</v>
      </c>
      <c r="AJ375" s="121">
        <f>IFERROR($M375+VLOOKUP($L375,'Voyage days'!$F$294:$H$377,3,FALSE),"")</f>
        <v>45851</v>
      </c>
      <c r="AK375" s="121">
        <f>IFERROR($N375+VLOOKUP($L375,'Voyage days'!$F$294:$H$377,3,FALSE),"")</f>
        <v>45855</v>
      </c>
      <c r="AL375" s="120" t="str">
        <f t="shared" si="45"/>
        <v>20-24 Jul</v>
      </c>
      <c r="AM375" s="121">
        <f>IFERROR($M375+VLOOKUP($L375,'Voyage days'!$F$382:$H$446,3,FALSE),"")</f>
        <v>45858</v>
      </c>
      <c r="AN375" s="121">
        <f>IFERROR($N375+VLOOKUP($L375,'Voyage days'!$F$382:$H$446,3,FALSE),"")</f>
        <v>45862</v>
      </c>
      <c r="AO375" s="120" t="str">
        <f t="shared" si="46"/>
        <v>29-03 Jul</v>
      </c>
      <c r="AP375" s="121">
        <f>IFERROR($M375+VLOOKUP($L375,'Voyage days'!$F$483:$H$538,3,FALSE),"")</f>
        <v>45837</v>
      </c>
      <c r="AQ375" s="121">
        <f>IFERROR($N375+VLOOKUP($L375,'Voyage days'!$F$483:$H$538,3,FALSE),"")</f>
        <v>45841</v>
      </c>
      <c r="AR375" s="120" t="str">
        <f t="shared" si="47"/>
        <v>22-26 Jun</v>
      </c>
      <c r="AS375" s="121">
        <f>IFERROR($M375+VLOOKUP($L375,'Voyage days'!$F$540:$H$613,3,FALSE),"")</f>
        <v>45830.25</v>
      </c>
      <c r="AT375" s="121">
        <f>IFERROR($N375+VLOOKUP($L375,'Voyage days'!$F$540:$H$613,3,FALSE),"")</f>
        <v>45834.25</v>
      </c>
      <c r="AU375" s="120" t="str">
        <f t="shared" si="48"/>
        <v/>
      </c>
      <c r="AV375" s="121" t="str">
        <f>IFERROR($M375+VLOOKUP($L375,'Voyage days'!$L$483:$N$535,3,FALSE),"")</f>
        <v/>
      </c>
      <c r="AW375" s="121" t="str">
        <f>IFERROR($N375+VLOOKUP($L375,'Voyage days'!$L$483:$N$535,3,FALSE),"")</f>
        <v/>
      </c>
      <c r="AX375" s="120" t="str">
        <f t="shared" si="49"/>
        <v>28-02 Jul</v>
      </c>
      <c r="AY375" s="122">
        <f>IFERROR($M375+VLOOKUP($L375,'Voyage days'!$F$620:$H$646,3,FALSE),"")</f>
        <v>45836</v>
      </c>
      <c r="AZ375" s="122">
        <f>IFERROR($N375+VLOOKUP($L375,'Voyage days'!$F$620:$H$646,3,FALSE),"")</f>
        <v>45840</v>
      </c>
      <c r="BA375" s="120" t="str">
        <f t="shared" si="50"/>
        <v>22-02 Aug</v>
      </c>
      <c r="BB375" s="123">
        <f>IFERROR($M375+VLOOKUP($L375,'Voyage days'!$F$702:$H$727,3,FALSE),"")</f>
        <v>45830.25</v>
      </c>
      <c r="BC375" s="120" t="str">
        <f t="shared" si="51"/>
        <v>29-02 Aug</v>
      </c>
      <c r="BD375" s="122">
        <f>IFERROR($M375+VLOOKUP($L375,'Voyage days'!$F$807:$H$878,3,FALSE),"")</f>
        <v>45867</v>
      </c>
      <c r="BE375" s="122">
        <f>IFERROR($N375+VLOOKUP($L375,'Voyage days'!$F$807:$H$878,3,FALSE),"")</f>
        <v>45871</v>
      </c>
      <c r="BF375" s="609"/>
      <c r="BG375" s="609"/>
      <c r="BH375" s="609"/>
      <c r="BI375" s="609"/>
      <c r="BJ375" s="609"/>
      <c r="BK375" s="609"/>
      <c r="BL375" s="609"/>
      <c r="BM375" s="609"/>
    </row>
    <row r="376" ht="15.75" customHeight="1">
      <c r="A376" s="406" t="s">
        <v>203</v>
      </c>
      <c r="B376" s="148">
        <v>2023.0</v>
      </c>
      <c r="C376" s="1045">
        <v>86000.0</v>
      </c>
      <c r="D376" s="104" t="s">
        <v>1687</v>
      </c>
      <c r="E376" s="103" t="s">
        <v>666</v>
      </c>
      <c r="F376" s="604"/>
      <c r="G376" s="605"/>
      <c r="H376" s="1138"/>
      <c r="I376" s="185" t="s">
        <v>1412</v>
      </c>
      <c r="J376" s="111" t="s">
        <v>3045</v>
      </c>
      <c r="K376" s="336" t="str">
        <f t="shared" si="54"/>
        <v>Update</v>
      </c>
      <c r="L376" s="108" t="s">
        <v>1719</v>
      </c>
      <c r="M376" s="109">
        <v>45794.0</v>
      </c>
      <c r="N376" s="109">
        <v>45795.0</v>
      </c>
      <c r="O376" s="191" t="s">
        <v>1314</v>
      </c>
      <c r="P376" s="185"/>
      <c r="Q376" s="185"/>
      <c r="R376" s="1143"/>
      <c r="S376" s="112" t="s">
        <v>934</v>
      </c>
      <c r="T376" s="113">
        <v>45786.0</v>
      </c>
      <c r="U376" s="114" t="str">
        <f>IF(V376="","No AIS",VLOOKUP(V376,'Voyage days'!$A$3:$B$1480,2,FALSE))</f>
        <v>USG</v>
      </c>
      <c r="V376" s="115" t="str">
        <f>IF(VLOOKUP(A376,'1) Kpler'!$E$2:$P$1000,8, FALSE)="","",VLOOKUP(A376,'1) Kpler'!$E$2:$P$1000,8, FALSE))</f>
        <v>Houston</v>
      </c>
      <c r="W376" s="116">
        <f>IF(VLOOKUP(A376,'1) Kpler'!$E$2:$P$1000,9,FALSE)="","",VLOOKUP(A376,'1) Kpler'!$E$2:$P$1000,9,FALSE))</f>
        <v>46161.33333</v>
      </c>
      <c r="X376" s="115" t="str">
        <f>VLOOKUP(A376,'1) Kpler'!$E$2:$I$1000,4,FALSE)</f>
        <v>ballast</v>
      </c>
      <c r="Y376" s="160" t="str">
        <f t="shared" si="55"/>
        <v/>
      </c>
      <c r="Z376" s="120" t="str">
        <f t="shared" si="56"/>
        <v/>
      </c>
      <c r="AA376" s="121" t="str">
        <f>IFERROR($M376+VLOOKUP($L376,'Voyage days'!$F$38:$H$89,3,FALSE),"")</f>
        <v/>
      </c>
      <c r="AB376" s="121" t="str">
        <f>IFERROR(N376+VLOOKUP($L376,'Voyage days'!$F$38:$H$89,3,FALSE),"")</f>
        <v/>
      </c>
      <c r="AC376" s="120" t="str">
        <f t="shared" si="42"/>
        <v>17-18 May</v>
      </c>
      <c r="AD376" s="121">
        <f>IFERROR($M376+VLOOKUP($L376,'Voyage days'!$F$94:$H$193,3,FALSE),"")</f>
        <v>45794</v>
      </c>
      <c r="AE376" s="121">
        <f>IFERROR($N376+VLOOKUP($L376,'Voyage days'!$F$94:$H$193,3,FALSE),"")</f>
        <v>45795</v>
      </c>
      <c r="AF376" s="120" t="str">
        <f t="shared" si="43"/>
        <v>17-18 May</v>
      </c>
      <c r="AG376" s="121">
        <f>IFERROR($M376+VLOOKUP($L376,'Voyage days'!$F$203:$H$256,3,FALSE),"")</f>
        <v>45794</v>
      </c>
      <c r="AH376" s="121">
        <f>IFERROR($N376+VLOOKUP($L376,'Voyage days'!$F$203:$H$256,3,FALSE),"")</f>
        <v>45795</v>
      </c>
      <c r="AI376" s="120" t="str">
        <f t="shared" si="44"/>
        <v/>
      </c>
      <c r="AJ376" s="121" t="str">
        <f>IFERROR($M376+VLOOKUP($L376,'Voyage days'!$F$294:$H$377,3,FALSE),"")</f>
        <v/>
      </c>
      <c r="AK376" s="121" t="str">
        <f>IFERROR($N376+VLOOKUP($L376,'Voyage days'!$F$294:$H$377,3,FALSE),"")</f>
        <v/>
      </c>
      <c r="AL376" s="120" t="str">
        <f t="shared" si="45"/>
        <v/>
      </c>
      <c r="AM376" s="121" t="str">
        <f>IFERROR($M376+VLOOKUP($L376,'Voyage days'!$F$382:$H$446,3,FALSE),"")</f>
        <v/>
      </c>
      <c r="AN376" s="121" t="str">
        <f>IFERROR($N376+VLOOKUP($L376,'Voyage days'!$F$382:$H$446,3,FALSE),"")</f>
        <v/>
      </c>
      <c r="AO376" s="120" t="str">
        <f t="shared" si="46"/>
        <v/>
      </c>
      <c r="AP376" s="121" t="str">
        <f>IFERROR($M376+VLOOKUP($L376,'Voyage days'!$F$483:$H$538,3,FALSE),"")</f>
        <v/>
      </c>
      <c r="AQ376" s="121" t="str">
        <f>IFERROR($N376+VLOOKUP($L376,'Voyage days'!$F$483:$H$538,3,FALSE),"")</f>
        <v/>
      </c>
      <c r="AR376" s="120" t="str">
        <f t="shared" si="47"/>
        <v/>
      </c>
      <c r="AS376" s="121" t="str">
        <f>IFERROR($M376+VLOOKUP($L376,'Voyage days'!$F$540:$H$613,3,FALSE),"")</f>
        <v/>
      </c>
      <c r="AT376" s="121" t="str">
        <f>IFERROR($N376+VLOOKUP($L376,'Voyage days'!$F$540:$H$613,3,FALSE),"")</f>
        <v/>
      </c>
      <c r="AU376" s="120" t="str">
        <f t="shared" si="48"/>
        <v/>
      </c>
      <c r="AV376" s="121" t="str">
        <f>IFERROR($M376+VLOOKUP($L376,'Voyage days'!$L$483:$N$535,3,FALSE),"")</f>
        <v/>
      </c>
      <c r="AW376" s="121" t="str">
        <f>IFERROR($N376+VLOOKUP($L376,'Voyage days'!$L$483:$N$535,3,FALSE),"")</f>
        <v/>
      </c>
      <c r="AX376" s="120" t="str">
        <f t="shared" si="49"/>
        <v/>
      </c>
      <c r="AY376" s="122" t="str">
        <f>IFERROR($M376+VLOOKUP($L376,'Voyage days'!$F$620:$H$646,3,FALSE),"")</f>
        <v/>
      </c>
      <c r="AZ376" s="122" t="str">
        <f>IFERROR($N376+VLOOKUP($L376,'Voyage days'!$F$620:$H$646,3,FALSE),"")</f>
        <v/>
      </c>
      <c r="BA376" s="120" t="str">
        <f t="shared" si="50"/>
        <v/>
      </c>
      <c r="BB376" s="123" t="str">
        <f>IFERROR($M376+VLOOKUP($L376,'Voyage days'!$F$702:$H$727,3,FALSE),"")</f>
        <v/>
      </c>
      <c r="BC376" s="120" t="str">
        <f t="shared" si="51"/>
        <v/>
      </c>
      <c r="BD376" s="122" t="str">
        <f>IFERROR($M376+VLOOKUP($L376,'Voyage days'!$F$807:$H$878,3,FALSE),"")</f>
        <v/>
      </c>
      <c r="BE376" s="122" t="str">
        <f>IFERROR($N376+VLOOKUP($L376,'Voyage days'!$F$807:$H$878,3,FALSE),"")</f>
        <v/>
      </c>
      <c r="BF376" s="609"/>
      <c r="BG376" s="609"/>
      <c r="BH376" s="609"/>
      <c r="BI376" s="609"/>
      <c r="BJ376" s="609"/>
      <c r="BK376" s="609"/>
      <c r="BL376" s="609"/>
      <c r="BM376" s="609"/>
    </row>
    <row r="377" ht="15.75" customHeight="1">
      <c r="A377" s="406" t="s">
        <v>245</v>
      </c>
      <c r="B377" s="148">
        <v>2020.0</v>
      </c>
      <c r="C377" s="1045">
        <v>80000.0</v>
      </c>
      <c r="D377" s="104" t="s">
        <v>1687</v>
      </c>
      <c r="E377" s="103" t="s">
        <v>666</v>
      </c>
      <c r="F377" s="103"/>
      <c r="G377" s="605">
        <v>45689.0</v>
      </c>
      <c r="H377" s="1138"/>
      <c r="I377" s="185" t="s">
        <v>1412</v>
      </c>
      <c r="J377" s="111" t="s">
        <v>3214</v>
      </c>
      <c r="K377" s="336" t="str">
        <f t="shared" si="54"/>
        <v>Update</v>
      </c>
      <c r="L377" s="108" t="s">
        <v>680</v>
      </c>
      <c r="M377" s="109">
        <v>45816.0</v>
      </c>
      <c r="N377" s="109">
        <v>45817.0</v>
      </c>
      <c r="O377" s="110"/>
      <c r="P377" s="108"/>
      <c r="Q377" s="185"/>
      <c r="R377" s="192" t="s">
        <v>3316</v>
      </c>
      <c r="S377" s="112" t="s">
        <v>934</v>
      </c>
      <c r="T377" s="113">
        <v>45785.0</v>
      </c>
      <c r="U377" s="114" t="str">
        <f>IF(V377="","No AIS",VLOOKUP(V377,'Voyage days'!$A$3:$B$1480,2,FALSE))</f>
        <v>Japan + 6</v>
      </c>
      <c r="V377" s="115" t="str">
        <f>IF(VLOOKUP(A377,'1) Kpler'!$E$2:$P$1000,8, FALSE)="","",VLOOKUP(A377,'1) Kpler'!$E$2:$P$1000,8, FALSE))</f>
        <v>Sakai Mitsui Chemicals</v>
      </c>
      <c r="W377" s="116">
        <f>IF(VLOOKUP(A377,'1) Kpler'!$E$2:$P$1000,9,FALSE)="","",VLOOKUP(A377,'1) Kpler'!$E$2:$P$1000,9,FALSE))</f>
        <v>46138.66667</v>
      </c>
      <c r="X377" s="115" t="str">
        <f>VLOOKUP(A377,'1) Kpler'!$E$2:$I$1000,4,FALSE)</f>
        <v>loaded</v>
      </c>
      <c r="Y377" s="117" t="str">
        <f t="shared" si="55"/>
        <v/>
      </c>
      <c r="Z377" s="120" t="str">
        <f t="shared" si="56"/>
        <v/>
      </c>
      <c r="AA377" s="121" t="str">
        <f>IFERROR($M377+VLOOKUP($L377,'Voyage days'!$F$38:$H$89,3,FALSE),"")</f>
        <v/>
      </c>
      <c r="AB377" s="121" t="str">
        <f>IFERROR(N377+VLOOKUP($L377,'Voyage days'!$F$38:$H$89,3,FALSE),"")</f>
        <v/>
      </c>
      <c r="AC377" s="120" t="str">
        <f t="shared" si="42"/>
        <v>08-09 Jun</v>
      </c>
      <c r="AD377" s="121">
        <f>IFERROR($M377+VLOOKUP($L377,'Voyage days'!$F$94:$H$193,3,FALSE),"")</f>
        <v>45816</v>
      </c>
      <c r="AE377" s="121">
        <f>IFERROR($N377+VLOOKUP($L377,'Voyage days'!$F$94:$H$193,3,FALSE),"")</f>
        <v>45817</v>
      </c>
      <c r="AF377" s="120" t="str">
        <f t="shared" si="43"/>
        <v>08-09 Jun</v>
      </c>
      <c r="AG377" s="121">
        <f>IFERROR($M377+VLOOKUP($L377,'Voyage days'!$F$203:$H$256,3,FALSE),"")</f>
        <v>45816</v>
      </c>
      <c r="AH377" s="121">
        <f>IFERROR($N377+VLOOKUP($L377,'Voyage days'!$F$203:$H$256,3,FALSE),"")</f>
        <v>45817</v>
      </c>
      <c r="AI377" s="120" t="str">
        <f t="shared" si="44"/>
        <v/>
      </c>
      <c r="AJ377" s="121" t="str">
        <f>IFERROR($M377+VLOOKUP($L377,'Voyage days'!$F$294:$H$377,3,FALSE),"")</f>
        <v/>
      </c>
      <c r="AK377" s="121" t="str">
        <f>IFERROR($N377+VLOOKUP($L377,'Voyage days'!$F$294:$H$377,3,FALSE),"")</f>
        <v/>
      </c>
      <c r="AL377" s="120" t="str">
        <f t="shared" si="45"/>
        <v>28-29 Jun</v>
      </c>
      <c r="AM377" s="121">
        <f>IFERROR($M377+VLOOKUP($L377,'Voyage days'!$F$382:$H$446,3,FALSE),"")</f>
        <v>45836</v>
      </c>
      <c r="AN377" s="121">
        <f>IFERROR($N377+VLOOKUP($L377,'Voyage days'!$F$382:$H$446,3,FALSE),"")</f>
        <v>45837</v>
      </c>
      <c r="AO377" s="120" t="str">
        <f t="shared" si="46"/>
        <v/>
      </c>
      <c r="AP377" s="121" t="str">
        <f>IFERROR($M377+VLOOKUP($L377,'Voyage days'!$F$483:$H$538,3,FALSE),"")</f>
        <v/>
      </c>
      <c r="AQ377" s="121" t="str">
        <f>IFERROR($N377+VLOOKUP($L377,'Voyage days'!$F$483:$H$538,3,FALSE),"")</f>
        <v/>
      </c>
      <c r="AR377" s="120" t="str">
        <f t="shared" si="47"/>
        <v/>
      </c>
      <c r="AS377" s="121" t="str">
        <f>IFERROR($M377+VLOOKUP($L377,'Voyage days'!$F$540:$H$613,3,FALSE),"")</f>
        <v/>
      </c>
      <c r="AT377" s="121" t="str">
        <f>IFERROR($N377+VLOOKUP($L377,'Voyage days'!$F$540:$H$613,3,FALSE),"")</f>
        <v/>
      </c>
      <c r="AU377" s="120" t="str">
        <f t="shared" si="48"/>
        <v/>
      </c>
      <c r="AV377" s="121" t="str">
        <f>IFERROR($M377+VLOOKUP($L377,'Voyage days'!$L$483:$N$535,3,FALSE),"")</f>
        <v/>
      </c>
      <c r="AW377" s="121" t="str">
        <f>IFERROR($N377+VLOOKUP($L377,'Voyage days'!$L$483:$N$535,3,FALSE),"")</f>
        <v/>
      </c>
      <c r="AX377" s="120" t="str">
        <f t="shared" si="49"/>
        <v/>
      </c>
      <c r="AY377" s="122" t="str">
        <f>IFERROR($M377+VLOOKUP($L377,'Voyage days'!$F$620:$H$646,3,FALSE),"")</f>
        <v/>
      </c>
      <c r="AZ377" s="122" t="str">
        <f>IFERROR($N377+VLOOKUP($L377,'Voyage days'!$F$620:$H$646,3,FALSE),"")</f>
        <v/>
      </c>
      <c r="BA377" s="120" t="str">
        <f t="shared" si="50"/>
        <v/>
      </c>
      <c r="BB377" s="123" t="str">
        <f>IFERROR($M377+VLOOKUP($L377,'Voyage days'!$F$702:$H$727,3,FALSE),"")</f>
        <v/>
      </c>
      <c r="BC377" s="120" t="str">
        <f t="shared" si="51"/>
        <v/>
      </c>
      <c r="BD377" s="122" t="str">
        <f>IFERROR($M377+VLOOKUP($L377,'Voyage days'!$F$807:$H$878,3,FALSE),"")</f>
        <v/>
      </c>
      <c r="BE377" s="122" t="str">
        <f>IFERROR($N377+VLOOKUP($L377,'Voyage days'!$F$807:$H$878,3,FALSE),"")</f>
        <v/>
      </c>
      <c r="BF377" s="609"/>
      <c r="BG377" s="609"/>
      <c r="BH377" s="609"/>
      <c r="BI377" s="609"/>
      <c r="BJ377" s="609"/>
      <c r="BK377" s="609"/>
      <c r="BL377" s="609"/>
      <c r="BM377" s="609"/>
    </row>
    <row r="378" ht="15.75" customHeight="1">
      <c r="A378" s="406" t="s">
        <v>1460</v>
      </c>
      <c r="B378" s="148">
        <v>2023.0</v>
      </c>
      <c r="C378" s="1045">
        <v>86000.0</v>
      </c>
      <c r="D378" s="104" t="s">
        <v>1687</v>
      </c>
      <c r="E378" s="103" t="s">
        <v>666</v>
      </c>
      <c r="F378" s="604">
        <v>44063.0</v>
      </c>
      <c r="G378" s="605">
        <v>47515.0</v>
      </c>
      <c r="H378" s="103"/>
      <c r="I378" s="185" t="s">
        <v>1412</v>
      </c>
      <c r="J378" s="111" t="s">
        <v>3317</v>
      </c>
      <c r="K378" s="336" t="str">
        <f t="shared" si="54"/>
        <v>Update</v>
      </c>
      <c r="L378" s="199" t="s">
        <v>1719</v>
      </c>
      <c r="M378" s="109">
        <v>45819.0</v>
      </c>
      <c r="N378" s="109">
        <v>45821.0</v>
      </c>
      <c r="O378" s="191" t="s">
        <v>1314</v>
      </c>
      <c r="P378" s="333"/>
      <c r="Q378" s="111"/>
      <c r="R378" s="185"/>
      <c r="S378" s="112" t="s">
        <v>659</v>
      </c>
      <c r="T378" s="113">
        <v>45775.0</v>
      </c>
      <c r="U378" s="114" t="str">
        <f>IF(V378="","No AIS",VLOOKUP(V378,'Voyage days'!$A$3:$B$1480,2,FALSE))</f>
        <v>Richards Bay</v>
      </c>
      <c r="V378" s="115" t="str">
        <f>IF(VLOOKUP(A378,'1) Kpler'!$E$2:$P$1000,8, FALSE)="","",VLOOKUP(A378,'1) Kpler'!$E$2:$P$1000,8, FALSE))</f>
        <v>Richards Bay</v>
      </c>
      <c r="W378" s="116">
        <f>IF(VLOOKUP(A378,'1) Kpler'!$E$2:$P$1000,9,FALSE)="","",VLOOKUP(A378,'1) Kpler'!$E$2:$P$1000,9,FALSE))</f>
        <v>46153.33333</v>
      </c>
      <c r="X378" s="115" t="str">
        <f>VLOOKUP(A378,'1) Kpler'!$E$2:$I$1000,4,FALSE)</f>
        <v>loaded</v>
      </c>
      <c r="Y378" s="160" t="str">
        <f t="shared" si="55"/>
        <v/>
      </c>
      <c r="Z378" s="120" t="str">
        <f t="shared" si="56"/>
        <v/>
      </c>
      <c r="AA378" s="121" t="str">
        <f>IFERROR($M378+VLOOKUP($L378,'Voyage days'!$F$38:$H$89,3,FALSE),"")</f>
        <v/>
      </c>
      <c r="AB378" s="121" t="str">
        <f>IFERROR(N378+VLOOKUP($L378,'Voyage days'!$F$38:$H$89,3,FALSE),"")</f>
        <v/>
      </c>
      <c r="AC378" s="120" t="str">
        <f t="shared" si="42"/>
        <v>11-13 Jun</v>
      </c>
      <c r="AD378" s="121">
        <f>IFERROR($M378+VLOOKUP($L378,'Voyage days'!$F$94:$H$193,3,FALSE),"")</f>
        <v>45819</v>
      </c>
      <c r="AE378" s="121">
        <f>IFERROR($N378+VLOOKUP($L378,'Voyage days'!$F$94:$H$193,3,FALSE),"")</f>
        <v>45821</v>
      </c>
      <c r="AF378" s="120" t="str">
        <f t="shared" si="43"/>
        <v>11-13 Jun</v>
      </c>
      <c r="AG378" s="121">
        <f>IFERROR($M378+VLOOKUP($L378,'Voyage days'!$F$203:$H$256,3,FALSE),"")</f>
        <v>45819</v>
      </c>
      <c r="AH378" s="121">
        <f>IFERROR($N378+VLOOKUP($L378,'Voyage days'!$F$203:$H$256,3,FALSE),"")</f>
        <v>45821</v>
      </c>
      <c r="AI378" s="120" t="str">
        <f t="shared" si="44"/>
        <v/>
      </c>
      <c r="AJ378" s="121" t="str">
        <f>IFERROR($M378+VLOOKUP($L378,'Voyage days'!$F$294:$H$377,3,FALSE),"")</f>
        <v/>
      </c>
      <c r="AK378" s="121" t="str">
        <f>IFERROR($N378+VLOOKUP($L378,'Voyage days'!$F$294:$H$377,3,FALSE),"")</f>
        <v/>
      </c>
      <c r="AL378" s="120" t="str">
        <f t="shared" si="45"/>
        <v/>
      </c>
      <c r="AM378" s="121" t="str">
        <f>IFERROR($M378+VLOOKUP($L378,'Voyage days'!$F$382:$H$446,3,FALSE),"")</f>
        <v/>
      </c>
      <c r="AN378" s="121" t="str">
        <f>IFERROR($N378+VLOOKUP($L378,'Voyage days'!$F$382:$H$446,3,FALSE),"")</f>
        <v/>
      </c>
      <c r="AO378" s="120" t="str">
        <f t="shared" si="46"/>
        <v/>
      </c>
      <c r="AP378" s="121" t="str">
        <f>IFERROR($M378+VLOOKUP($L378,'Voyage days'!$F$483:$H$538,3,FALSE),"")</f>
        <v/>
      </c>
      <c r="AQ378" s="121" t="str">
        <f>IFERROR($N378+VLOOKUP($L378,'Voyage days'!$F$483:$H$538,3,FALSE),"")</f>
        <v/>
      </c>
      <c r="AR378" s="120" t="str">
        <f t="shared" si="47"/>
        <v/>
      </c>
      <c r="AS378" s="121" t="str">
        <f>IFERROR($M378+VLOOKUP($L378,'Voyage days'!$F$540:$H$613,3,FALSE),"")</f>
        <v/>
      </c>
      <c r="AT378" s="121" t="str">
        <f>IFERROR($N378+VLOOKUP($L378,'Voyage days'!$F$540:$H$613,3,FALSE),"")</f>
        <v/>
      </c>
      <c r="AU378" s="120" t="str">
        <f t="shared" si="48"/>
        <v/>
      </c>
      <c r="AV378" s="121" t="str">
        <f>IFERROR($M378+VLOOKUP($L378,'Voyage days'!$L$483:$N$535,3,FALSE),"")</f>
        <v/>
      </c>
      <c r="AW378" s="121" t="str">
        <f>IFERROR($N378+VLOOKUP($L378,'Voyage days'!$L$483:$N$535,3,FALSE),"")</f>
        <v/>
      </c>
      <c r="AX378" s="120" t="str">
        <f t="shared" si="49"/>
        <v/>
      </c>
      <c r="AY378" s="122" t="str">
        <f>IFERROR($M378+VLOOKUP($L378,'Voyage days'!$F$620:$H$646,3,FALSE),"")</f>
        <v/>
      </c>
      <c r="AZ378" s="122" t="str">
        <f>IFERROR($N378+VLOOKUP($L378,'Voyage days'!$F$620:$H$646,3,FALSE),"")</f>
        <v/>
      </c>
      <c r="BA378" s="120" t="str">
        <f t="shared" si="50"/>
        <v/>
      </c>
      <c r="BB378" s="123" t="str">
        <f>IFERROR($M378+VLOOKUP($L378,'Voyage days'!$F$702:$H$727,3,FALSE),"")</f>
        <v/>
      </c>
      <c r="BC378" s="120" t="str">
        <f t="shared" si="51"/>
        <v/>
      </c>
      <c r="BD378" s="122" t="str">
        <f>IFERROR($M378+VLOOKUP($L378,'Voyage days'!$F$807:$H$878,3,FALSE),"")</f>
        <v/>
      </c>
      <c r="BE378" s="122" t="str">
        <f>IFERROR($N378+VLOOKUP($L378,'Voyage days'!$F$807:$H$878,3,FALSE),"")</f>
        <v/>
      </c>
      <c r="BF378" s="609"/>
      <c r="BG378" s="609"/>
      <c r="BH378" s="609"/>
      <c r="BI378" s="609"/>
      <c r="BJ378" s="609"/>
      <c r="BK378" s="609"/>
      <c r="BL378" s="609"/>
      <c r="BM378" s="609"/>
    </row>
    <row r="379" ht="15.75" customHeight="1">
      <c r="A379" s="406" t="s">
        <v>1462</v>
      </c>
      <c r="B379" s="148">
        <v>2023.0</v>
      </c>
      <c r="C379" s="1045">
        <v>86000.0</v>
      </c>
      <c r="D379" s="104" t="s">
        <v>1687</v>
      </c>
      <c r="E379" s="103" t="s">
        <v>666</v>
      </c>
      <c r="F379" s="103"/>
      <c r="G379" s="605">
        <v>47543.0</v>
      </c>
      <c r="H379" s="1138"/>
      <c r="I379" s="185" t="s">
        <v>1412</v>
      </c>
      <c r="J379" s="111" t="s">
        <v>3317</v>
      </c>
      <c r="K379" s="336" t="str">
        <f t="shared" si="54"/>
        <v>Update</v>
      </c>
      <c r="L379" s="199" t="s">
        <v>1231</v>
      </c>
      <c r="M379" s="109">
        <v>45858.0</v>
      </c>
      <c r="N379" s="109">
        <v>45863.0</v>
      </c>
      <c r="O379" s="191"/>
      <c r="P379" s="108" t="s">
        <v>3318</v>
      </c>
      <c r="Q379" s="187"/>
      <c r="R379" s="108" t="s">
        <v>3319</v>
      </c>
      <c r="S379" s="112" t="s">
        <v>934</v>
      </c>
      <c r="T379" s="113">
        <v>45783.0</v>
      </c>
      <c r="U379" s="114" t="str">
        <f>IF(V379="","No AIS",VLOOKUP(V379,'Voyage days'!$A$3:$B$1480,2,FALSE))</f>
        <v>East China + 4</v>
      </c>
      <c r="V379" s="115" t="str">
        <f>IF(VLOOKUP(A379,'1) Kpler'!$E$2:$P$1000,8, FALSE)="","",VLOOKUP(A379,'1) Kpler'!$E$2:$P$1000,8, FALSE))</f>
        <v>Ningbo Area</v>
      </c>
      <c r="W379" s="116">
        <f>IF(VLOOKUP(A379,'1) Kpler'!$E$2:$P$1000,9,FALSE)="","",VLOOKUP(A379,'1) Kpler'!$E$2:$P$1000,9,FALSE))</f>
        <v>46142.20833</v>
      </c>
      <c r="X379" s="115" t="str">
        <f>VLOOKUP(A379,'1) Kpler'!$E$2:$I$1000,4,FALSE)</f>
        <v>loaded</v>
      </c>
      <c r="Y379" s="117" t="str">
        <f t="shared" si="55"/>
        <v>29-03 Aug</v>
      </c>
      <c r="Z379" s="120" t="str">
        <f t="shared" si="56"/>
        <v>29-03 Aug</v>
      </c>
      <c r="AA379" s="121">
        <f>IFERROR($M379+VLOOKUP($L379,'Voyage days'!$F$38:$H$89,3,FALSE),"")</f>
        <v>45867</v>
      </c>
      <c r="AB379" s="121">
        <f>IFERROR(N379+VLOOKUP($L379,'Voyage days'!$F$38:$H$89,3,FALSE),"")</f>
        <v>45872</v>
      </c>
      <c r="AC379" s="120" t="str">
        <f t="shared" si="42"/>
        <v/>
      </c>
      <c r="AD379" s="121" t="str">
        <f>IFERROR($M379+VLOOKUP($L379,'Voyage days'!$F$94:$H$193,3,FALSE),"")</f>
        <v/>
      </c>
      <c r="AE379" s="121" t="str">
        <f>IFERROR($N379+VLOOKUP($L379,'Voyage days'!$F$94:$H$193,3,FALSE),"")</f>
        <v/>
      </c>
      <c r="AF379" s="120" t="str">
        <f t="shared" si="43"/>
        <v>25-30 Aug</v>
      </c>
      <c r="AG379" s="121">
        <f>IFERROR($M379+VLOOKUP($L379,'Voyage days'!$F$203:$H$256,3,FALSE),"")</f>
        <v>45894</v>
      </c>
      <c r="AH379" s="121">
        <f>IFERROR($N379+VLOOKUP($L379,'Voyage days'!$F$203:$H$256,3,FALSE),"")</f>
        <v>45899</v>
      </c>
      <c r="AI379" s="120" t="str">
        <f t="shared" si="44"/>
        <v>10-15 Aug</v>
      </c>
      <c r="AJ379" s="121">
        <f>IFERROR($M379+VLOOKUP($L379,'Voyage days'!$F$294:$H$377,3,FALSE),"")</f>
        <v>45879</v>
      </c>
      <c r="AK379" s="121">
        <f>IFERROR($N379+VLOOKUP($L379,'Voyage days'!$F$294:$H$377,3,FALSE),"")</f>
        <v>45884</v>
      </c>
      <c r="AL379" s="120" t="str">
        <f t="shared" si="45"/>
        <v>17-22 Aug</v>
      </c>
      <c r="AM379" s="121">
        <f>IFERROR($M379+VLOOKUP($L379,'Voyage days'!$F$382:$H$446,3,FALSE),"")</f>
        <v>45886</v>
      </c>
      <c r="AN379" s="121">
        <f>IFERROR($N379+VLOOKUP($L379,'Voyage days'!$F$382:$H$446,3,FALSE),"")</f>
        <v>45891</v>
      </c>
      <c r="AO379" s="120" t="str">
        <f t="shared" si="46"/>
        <v>20-25 Jul</v>
      </c>
      <c r="AP379" s="121">
        <f>IFERROR($M379+VLOOKUP($L379,'Voyage days'!$F$483:$H$538,3,FALSE),"")</f>
        <v>45858</v>
      </c>
      <c r="AQ379" s="121">
        <f>IFERROR($N379+VLOOKUP($L379,'Voyage days'!$F$483:$H$538,3,FALSE),"")</f>
        <v>45863</v>
      </c>
      <c r="AR379" s="120" t="str">
        <f t="shared" si="47"/>
        <v/>
      </c>
      <c r="AS379" s="121" t="str">
        <f>IFERROR($M379+VLOOKUP($L379,'Voyage days'!$F$540:$H$613,3,FALSE),"")</f>
        <v/>
      </c>
      <c r="AT379" s="121" t="str">
        <f>IFERROR($N379+VLOOKUP($L379,'Voyage days'!$F$540:$H$613,3,FALSE),"")</f>
        <v/>
      </c>
      <c r="AU379" s="120" t="str">
        <f t="shared" si="48"/>
        <v/>
      </c>
      <c r="AV379" s="121" t="str">
        <f>IFERROR($M379+VLOOKUP($L379,'Voyage days'!$L$483:$N$535,3,FALSE),"")</f>
        <v/>
      </c>
      <c r="AW379" s="121" t="str">
        <f>IFERROR($N379+VLOOKUP($L379,'Voyage days'!$L$483:$N$535,3,FALSE),"")</f>
        <v/>
      </c>
      <c r="AX379" s="120" t="str">
        <f t="shared" si="49"/>
        <v/>
      </c>
      <c r="AY379" s="122" t="str">
        <f>IFERROR($M379+VLOOKUP($L379,'Voyage days'!$F$620:$H$646,3,FALSE),"")</f>
        <v/>
      </c>
      <c r="AZ379" s="122" t="str">
        <f>IFERROR($N379+VLOOKUP($L379,'Voyage days'!$F$620:$H$646,3,FALSE),"")</f>
        <v/>
      </c>
      <c r="BA379" s="120" t="str">
        <f t="shared" si="50"/>
        <v/>
      </c>
      <c r="BB379" s="123" t="str">
        <f>IFERROR($M379+VLOOKUP($L379,'Voyage days'!$F$702:$H$727,3,FALSE),"")</f>
        <v/>
      </c>
      <c r="BC379" s="120" t="str">
        <f t="shared" si="51"/>
        <v>27-01 Sep</v>
      </c>
      <c r="BD379" s="122">
        <f>IFERROR($M379+VLOOKUP($L379,'Voyage days'!$F$807:$H$878,3,FALSE),"")</f>
        <v>45896</v>
      </c>
      <c r="BE379" s="122">
        <f>IFERROR($N379+VLOOKUP($L379,'Voyage days'!$F$807:$H$878,3,FALSE),"")</f>
        <v>45901</v>
      </c>
      <c r="BF379" s="609"/>
      <c r="BG379" s="609"/>
      <c r="BH379" s="609"/>
      <c r="BI379" s="609"/>
      <c r="BJ379" s="609"/>
      <c r="BK379" s="609"/>
      <c r="BL379" s="609"/>
      <c r="BM379" s="609"/>
    </row>
    <row r="380" ht="16.5" customHeight="1">
      <c r="A380" s="341" t="s">
        <v>3320</v>
      </c>
      <c r="B380" s="101">
        <v>40323.0</v>
      </c>
      <c r="C380" s="1045">
        <v>82521.0</v>
      </c>
      <c r="D380" s="104" t="s">
        <v>1687</v>
      </c>
      <c r="E380" s="103"/>
      <c r="F380" s="604">
        <v>43952.0</v>
      </c>
      <c r="G380" s="103" t="s">
        <v>1611</v>
      </c>
      <c r="H380" s="103"/>
      <c r="I380" s="185" t="s">
        <v>1412</v>
      </c>
      <c r="J380" s="111" t="s">
        <v>2931</v>
      </c>
      <c r="K380" s="336" t="str">
        <f t="shared" si="54"/>
        <v>#N/A</v>
      </c>
      <c r="L380" s="108" t="s">
        <v>703</v>
      </c>
      <c r="M380" s="109">
        <v>45797.0</v>
      </c>
      <c r="N380" s="109">
        <v>45802.0</v>
      </c>
      <c r="O380" s="191"/>
      <c r="P380" s="108" t="s">
        <v>2932</v>
      </c>
      <c r="Q380" s="339" t="s">
        <v>2933</v>
      </c>
      <c r="R380" s="185"/>
      <c r="S380" s="112" t="s">
        <v>2962</v>
      </c>
      <c r="T380" s="113">
        <v>45777.0</v>
      </c>
      <c r="U380" s="114" t="str">
        <f>IF(V380="","No AIS",VLOOKUP(V380,'Voyage days'!$A$3:$B$1480,2,FALSE))</f>
        <v>#N/A</v>
      </c>
      <c r="V380" s="115" t="str">
        <f>IF(VLOOKUP(A380,'1) Kpler'!$E$2:$P$1000,8, FALSE)="","",VLOOKUP(A380,'1) Kpler'!$E$2:$P$1000,8, FALSE))</f>
        <v>#N/A</v>
      </c>
      <c r="W380" s="116" t="str">
        <f>IF(VLOOKUP(A380,'1) Kpler'!$E$2:$P$1000,9,FALSE)="","",VLOOKUP(A380,'1) Kpler'!$E$2:$P$1000,9,FALSE))</f>
        <v>#N/A</v>
      </c>
      <c r="X380" s="115" t="str">
        <f>VLOOKUP(A380,'1) Kpler'!$E$2:$I$1000,4,FALSE)</f>
        <v>#N/A</v>
      </c>
      <c r="Y380" s="160" t="str">
        <f t="shared" si="55"/>
        <v>04-09 Jun</v>
      </c>
      <c r="Z380" s="120" t="str">
        <f t="shared" si="56"/>
        <v>04-09 Jun</v>
      </c>
      <c r="AA380" s="121">
        <f>IFERROR($M380+VLOOKUP($L380,'Voyage days'!$F$38:$H$89,3,FALSE),"")</f>
        <v>45812</v>
      </c>
      <c r="AB380" s="121">
        <f>IFERROR(N380+VLOOKUP($L380,'Voyage days'!$F$38:$H$89,3,FALSE),"")</f>
        <v>45817</v>
      </c>
      <c r="AC380" s="120" t="str">
        <f t="shared" si="42"/>
        <v>26-01 Jul</v>
      </c>
      <c r="AD380" s="121">
        <f>IFERROR($M380+VLOOKUP($L380,'Voyage days'!$F$94:$H$193,3,FALSE),"")</f>
        <v>45834</v>
      </c>
      <c r="AE380" s="121">
        <f>IFERROR($N380+VLOOKUP($L380,'Voyage days'!$F$94:$H$193,3,FALSE),"")</f>
        <v>45839</v>
      </c>
      <c r="AF380" s="120" t="str">
        <f t="shared" si="43"/>
        <v>01-06 Jul</v>
      </c>
      <c r="AG380" s="121">
        <f>IFERROR($M380+VLOOKUP($L380,'Voyage days'!$F$203:$H$256,3,FALSE),"")</f>
        <v>45839</v>
      </c>
      <c r="AH380" s="121">
        <f>IFERROR($N380+VLOOKUP($L380,'Voyage days'!$F$203:$H$256,3,FALSE),"")</f>
        <v>45844</v>
      </c>
      <c r="AI380" s="120" t="str">
        <f t="shared" si="44"/>
        <v>15-20 Jun</v>
      </c>
      <c r="AJ380" s="121">
        <f>IFERROR($M380+VLOOKUP($L380,'Voyage days'!$F$294:$H$377,3,FALSE),"")</f>
        <v>45823</v>
      </c>
      <c r="AK380" s="121">
        <f>IFERROR($N380+VLOOKUP($L380,'Voyage days'!$F$294:$H$377,3,FALSE),"")</f>
        <v>45828</v>
      </c>
      <c r="AL380" s="120" t="str">
        <f t="shared" si="45"/>
        <v>22-27 Jun</v>
      </c>
      <c r="AM380" s="121">
        <f>IFERROR($M380+VLOOKUP($L380,'Voyage days'!$F$382:$H$446,3,FALSE),"")</f>
        <v>45830</v>
      </c>
      <c r="AN380" s="121">
        <f>IFERROR($N380+VLOOKUP($L380,'Voyage days'!$F$382:$H$446,3,FALSE),"")</f>
        <v>45835</v>
      </c>
      <c r="AO380" s="120" t="str">
        <f t="shared" si="46"/>
        <v>03-08 Jun</v>
      </c>
      <c r="AP380" s="121">
        <f>IFERROR($M380+VLOOKUP($L380,'Voyage days'!$F$483:$H$538,3,FALSE),"")</f>
        <v>45811</v>
      </c>
      <c r="AQ380" s="121">
        <f>IFERROR($N380+VLOOKUP($L380,'Voyage days'!$F$483:$H$538,3,FALSE),"")</f>
        <v>45816</v>
      </c>
      <c r="AR380" s="120" t="str">
        <f t="shared" si="47"/>
        <v>26-31 May</v>
      </c>
      <c r="AS380" s="121">
        <f>IFERROR($M380+VLOOKUP($L380,'Voyage days'!$F$540:$H$613,3,FALSE),"")</f>
        <v>45803.75</v>
      </c>
      <c r="AT380" s="121">
        <f>IFERROR($N380+VLOOKUP($L380,'Voyage days'!$F$540:$H$613,3,FALSE),"")</f>
        <v>45808.75</v>
      </c>
      <c r="AU380" s="120" t="str">
        <f t="shared" si="48"/>
        <v/>
      </c>
      <c r="AV380" s="121" t="str">
        <f>IFERROR($M380+VLOOKUP($L380,'Voyage days'!$L$483:$N$535,3,FALSE),"")</f>
        <v/>
      </c>
      <c r="AW380" s="121" t="str">
        <f>IFERROR($N380+VLOOKUP($L380,'Voyage days'!$L$483:$N$535,3,FALSE),"")</f>
        <v/>
      </c>
      <c r="AX380" s="120" t="str">
        <f t="shared" si="49"/>
        <v/>
      </c>
      <c r="AY380" s="122" t="str">
        <f>IFERROR($M380+VLOOKUP($L380,'Voyage days'!$F$620:$H$646,3,FALSE),"")</f>
        <v/>
      </c>
      <c r="AZ380" s="122" t="str">
        <f>IFERROR($N380+VLOOKUP($L380,'Voyage days'!$F$620:$H$646,3,FALSE),"")</f>
        <v/>
      </c>
      <c r="BA380" s="120" t="str">
        <f t="shared" si="50"/>
        <v>26-06 Jul</v>
      </c>
      <c r="BB380" s="123">
        <f>IFERROR($M380+VLOOKUP($L380,'Voyage days'!$F$702:$H$727,3,FALSE),"")</f>
        <v>45803.75</v>
      </c>
      <c r="BC380" s="120" t="str">
        <f t="shared" si="51"/>
        <v>01-06 Jul</v>
      </c>
      <c r="BD380" s="122">
        <f>IFERROR($M380+VLOOKUP($L380,'Voyage days'!$F$807:$H$878,3,FALSE),"")</f>
        <v>45839</v>
      </c>
      <c r="BE380" s="122">
        <f>IFERROR($N380+VLOOKUP($L380,'Voyage days'!$F$807:$H$878,3,FALSE),"")</f>
        <v>45844</v>
      </c>
      <c r="BF380" s="609"/>
      <c r="BG380" s="609"/>
      <c r="BH380" s="609"/>
      <c r="BI380" s="609"/>
      <c r="BJ380" s="609"/>
      <c r="BK380" s="609"/>
      <c r="BL380" s="609"/>
      <c r="BM380" s="609"/>
    </row>
    <row r="381" ht="15.75" customHeight="1">
      <c r="A381" s="546" t="s">
        <v>475</v>
      </c>
      <c r="B381" s="222">
        <v>42583.0</v>
      </c>
      <c r="C381" s="1101">
        <v>84000.0</v>
      </c>
      <c r="D381" s="168" t="s">
        <v>1687</v>
      </c>
      <c r="E381" s="223"/>
      <c r="F381" s="1010"/>
      <c r="G381" s="223" t="s">
        <v>1611</v>
      </c>
      <c r="H381" s="1178"/>
      <c r="I381" s="463" t="s">
        <v>1412</v>
      </c>
      <c r="J381" s="312" t="s">
        <v>1326</v>
      </c>
      <c r="K381" s="469" t="str">
        <f t="shared" si="54"/>
        <v>Update</v>
      </c>
      <c r="L381" s="463" t="s">
        <v>720</v>
      </c>
      <c r="M381" s="173">
        <v>45815.0</v>
      </c>
      <c r="N381" s="173">
        <v>45817.0</v>
      </c>
      <c r="O381" s="174"/>
      <c r="P381" s="463"/>
      <c r="Q381" s="463"/>
      <c r="R381" s="463"/>
      <c r="S381" s="175" t="s">
        <v>659</v>
      </c>
      <c r="T381" s="176">
        <v>45775.0</v>
      </c>
      <c r="U381" s="177" t="str">
        <f>IF(V381="","No AIS",VLOOKUP(V381,'Voyage days'!$A$3:$B$1480,2,FALSE))</f>
        <v>Korea + 4</v>
      </c>
      <c r="V381" s="178" t="str">
        <f>IF(VLOOKUP(A381,'1) Kpler'!$E$2:$P$1000,8, FALSE)="","",VLOOKUP(A381,'1) Kpler'!$E$2:$P$1000,8, FALSE))</f>
        <v>Ulsan</v>
      </c>
      <c r="W381" s="179">
        <f>IF(VLOOKUP(A381,'1) Kpler'!$E$2:$P$1000,9,FALSE)="","",VLOOKUP(A381,'1) Kpler'!$E$2:$P$1000,9,FALSE))</f>
        <v>46145.5</v>
      </c>
      <c r="X381" s="178" t="str">
        <f>VLOOKUP(A381,'1) Kpler'!$E$2:$I$1000,4,FALSE)</f>
        <v>loaded</v>
      </c>
      <c r="Y381" s="180" t="str">
        <f t="shared" si="55"/>
        <v>25-27 Jun</v>
      </c>
      <c r="Z381" s="120" t="str">
        <f t="shared" si="56"/>
        <v>25-27 Jun</v>
      </c>
      <c r="AA381" s="121">
        <f>IFERROR($M381+VLOOKUP($L381,'Voyage days'!$F$38:$H$89,3,FALSE),"")</f>
        <v>45833</v>
      </c>
      <c r="AB381" s="121">
        <f>IFERROR(N381+VLOOKUP($L381,'Voyage days'!$F$38:$H$89,3,FALSE),"")</f>
        <v>45835</v>
      </c>
      <c r="AC381" s="120" t="str">
        <f t="shared" si="42"/>
        <v>11-13 Jul</v>
      </c>
      <c r="AD381" s="121">
        <f>IFERROR($M381+VLOOKUP($L381,'Voyage days'!$F$94:$H$193,3,FALSE),"")</f>
        <v>45849</v>
      </c>
      <c r="AE381" s="121">
        <f>IFERROR($N381+VLOOKUP($L381,'Voyage days'!$F$94:$H$193,3,FALSE),"")</f>
        <v>45851</v>
      </c>
      <c r="AF381" s="120" t="str">
        <f t="shared" si="43"/>
        <v>18-20 Jul</v>
      </c>
      <c r="AG381" s="121">
        <f>IFERROR($M381+VLOOKUP($L381,'Voyage days'!$F$203:$H$256,3,FALSE),"")</f>
        <v>45856</v>
      </c>
      <c r="AH381" s="121">
        <f>IFERROR($N381+VLOOKUP($L381,'Voyage days'!$F$203:$H$256,3,FALSE),"")</f>
        <v>45858</v>
      </c>
      <c r="AI381" s="120" t="str">
        <f t="shared" si="44"/>
        <v>06-08 Jul</v>
      </c>
      <c r="AJ381" s="121">
        <f>IFERROR($M381+VLOOKUP($L381,'Voyage days'!$F$294:$H$377,3,FALSE),"")</f>
        <v>45844</v>
      </c>
      <c r="AK381" s="121">
        <f>IFERROR($N381+VLOOKUP($L381,'Voyage days'!$F$294:$H$377,3,FALSE),"")</f>
        <v>45846</v>
      </c>
      <c r="AL381" s="120" t="str">
        <f t="shared" si="45"/>
        <v>12-14 Jul</v>
      </c>
      <c r="AM381" s="121">
        <f>IFERROR($M381+VLOOKUP($L381,'Voyage days'!$F$382:$H$446,3,FALSE),"")</f>
        <v>45850</v>
      </c>
      <c r="AN381" s="121">
        <f>IFERROR($N381+VLOOKUP($L381,'Voyage days'!$F$382:$H$446,3,FALSE),"")</f>
        <v>45852</v>
      </c>
      <c r="AO381" s="120" t="str">
        <f t="shared" si="46"/>
        <v>21-23 Jun</v>
      </c>
      <c r="AP381" s="121">
        <f>IFERROR($M381+VLOOKUP($L381,'Voyage days'!$F$483:$H$538,3,FALSE),"")</f>
        <v>45829</v>
      </c>
      <c r="AQ381" s="121">
        <f>IFERROR($N381+VLOOKUP($L381,'Voyage days'!$F$483:$H$538,3,FALSE),"")</f>
        <v>45831</v>
      </c>
      <c r="AR381" s="120" t="str">
        <f t="shared" si="47"/>
        <v>15-17 Jun</v>
      </c>
      <c r="AS381" s="121">
        <f>IFERROR($M381+VLOOKUP($L381,'Voyage days'!$F$540:$H$613,3,FALSE),"")</f>
        <v>45823</v>
      </c>
      <c r="AT381" s="121">
        <f>IFERROR($N381+VLOOKUP($L381,'Voyage days'!$F$540:$H$613,3,FALSE),"")</f>
        <v>45825</v>
      </c>
      <c r="AU381" s="120" t="str">
        <f t="shared" si="48"/>
        <v/>
      </c>
      <c r="AV381" s="121" t="str">
        <f>IFERROR($M381+VLOOKUP($L381,'Voyage days'!$L$483:$N$535,3,FALSE),"")</f>
        <v/>
      </c>
      <c r="AW381" s="121" t="str">
        <f>IFERROR($N381+VLOOKUP($L381,'Voyage days'!$L$483:$N$535,3,FALSE),"")</f>
        <v/>
      </c>
      <c r="AX381" s="120" t="str">
        <f t="shared" si="49"/>
        <v>18-20 Jun</v>
      </c>
      <c r="AY381" s="122">
        <f>IFERROR($M381+VLOOKUP($L381,'Voyage days'!$F$620:$H$646,3,FALSE),"")</f>
        <v>45826</v>
      </c>
      <c r="AZ381" s="122">
        <f>IFERROR($N381+VLOOKUP($L381,'Voyage days'!$F$620:$H$646,3,FALSE),"")</f>
        <v>45828</v>
      </c>
      <c r="BA381" s="120" t="str">
        <f t="shared" si="50"/>
        <v>15-24 Jul</v>
      </c>
      <c r="BB381" s="123">
        <f>IFERROR($M381+VLOOKUP($L381,'Voyage days'!$F$702:$H$727,3,FALSE),"")</f>
        <v>45823</v>
      </c>
      <c r="BC381" s="120" t="str">
        <f t="shared" si="51"/>
        <v>22-24 Jul</v>
      </c>
      <c r="BD381" s="122">
        <f>IFERROR($M381+VLOOKUP($L381,'Voyage days'!$F$807:$H$878,3,FALSE),"")</f>
        <v>45860</v>
      </c>
      <c r="BE381" s="122">
        <f>IFERROR($N381+VLOOKUP($L381,'Voyage days'!$F$807:$H$878,3,FALSE),"")</f>
        <v>45862</v>
      </c>
      <c r="BF381" s="609"/>
      <c r="BG381" s="609"/>
      <c r="BH381" s="609"/>
      <c r="BI381" s="609"/>
      <c r="BJ381" s="609"/>
      <c r="BK381" s="609"/>
      <c r="BL381" s="609"/>
      <c r="BM381" s="609"/>
    </row>
    <row r="382" ht="15.75" customHeight="1">
      <c r="A382" s="341" t="s">
        <v>197</v>
      </c>
      <c r="B382" s="148">
        <v>2025.0</v>
      </c>
      <c r="C382" s="1045">
        <v>88000.0</v>
      </c>
      <c r="D382" s="536"/>
      <c r="E382" s="149" t="s">
        <v>666</v>
      </c>
      <c r="F382" s="1014"/>
      <c r="G382" s="149"/>
      <c r="H382" s="149"/>
      <c r="I382" s="157" t="s">
        <v>3321</v>
      </c>
      <c r="J382" s="536"/>
      <c r="K382" s="470" t="str">
        <f t="shared" si="54"/>
        <v>Update</v>
      </c>
      <c r="L382" s="153" t="s">
        <v>809</v>
      </c>
      <c r="M382" s="238">
        <v>45822.0</v>
      </c>
      <c r="N382" s="238">
        <v>45824.0</v>
      </c>
      <c r="O382" s="155"/>
      <c r="P382" s="536"/>
      <c r="Q382" s="1189"/>
      <c r="R382" s="153" t="s">
        <v>3322</v>
      </c>
      <c r="S382" s="256" t="s">
        <v>2993</v>
      </c>
      <c r="T382" s="293">
        <v>45782.0</v>
      </c>
      <c r="U382" s="114" t="str">
        <f>IF(V382="","No AIS",VLOOKUP(V382,'Voyage days'!$A$3:$B$1480,2,FALSE))</f>
        <v>Panama</v>
      </c>
      <c r="V382" s="114" t="str">
        <f>IF(VLOOKUP(A382,'1) Kpler'!$E$2:$P$1000,8, FALSE)="","",VLOOKUP(A382,'1) Kpler'!$E$2:$P$1000,8, FALSE))</f>
        <v>Panama Canal</v>
      </c>
      <c r="W382" s="159">
        <f>IF(VLOOKUP(A382,'1) Kpler'!$E$2:$P$1000,9,FALSE)="","",VLOOKUP(A382,'1) Kpler'!$E$2:$P$1000,9,FALSE))</f>
        <v>46135.25</v>
      </c>
      <c r="X382" s="114" t="str">
        <f>VLOOKUP(A382,'1) Kpler'!$E$2:$I$1000,4,FALSE)</f>
        <v>loaded</v>
      </c>
      <c r="Y382" s="272" t="str">
        <f t="shared" si="55"/>
        <v>27-29 Jun</v>
      </c>
      <c r="Z382" s="163" t="str">
        <f t="shared" si="56"/>
        <v>27-29 Jun</v>
      </c>
      <c r="AA382" s="122">
        <f>IFERROR($M382+VLOOKUP($L382,'Voyage days'!$F$38:$H$89,3,FALSE),"")</f>
        <v>45835</v>
      </c>
      <c r="AB382" s="122">
        <f>IFERROR(N382+VLOOKUP($L382,'Voyage days'!$F$38:$H$89,3,FALSE),"")</f>
        <v>45837</v>
      </c>
      <c r="AC382" s="163" t="str">
        <f t="shared" si="42"/>
        <v>21-23 Jul</v>
      </c>
      <c r="AD382" s="122">
        <f>IFERROR($M382+VLOOKUP($L382,'Voyage days'!$F$94:$H$193,3,FALSE),"")</f>
        <v>45859</v>
      </c>
      <c r="AE382" s="122">
        <f>IFERROR($N382+VLOOKUP($L382,'Voyage days'!$F$94:$H$193,3,FALSE),"")</f>
        <v>45861</v>
      </c>
      <c r="AF382" s="163" t="str">
        <f t="shared" si="43"/>
        <v>23-25 Jul</v>
      </c>
      <c r="AG382" s="122">
        <f>IFERROR($M382+VLOOKUP($L382,'Voyage days'!$F$203:$H$256,3,FALSE),"")</f>
        <v>45861</v>
      </c>
      <c r="AH382" s="122">
        <f>IFERROR($N382+VLOOKUP($L382,'Voyage days'!$F$203:$H$256,3,FALSE),"")</f>
        <v>45863</v>
      </c>
      <c r="AI382" s="163" t="str">
        <f t="shared" si="44"/>
        <v>08-10 Jul</v>
      </c>
      <c r="AJ382" s="122">
        <f>IFERROR($M382+VLOOKUP($L382,'Voyage days'!$F$294:$H$377,3,FALSE),"")</f>
        <v>45846</v>
      </c>
      <c r="AK382" s="122">
        <f>IFERROR($N382+VLOOKUP($L382,'Voyage days'!$F$294:$H$377,3,FALSE),"")</f>
        <v>45848</v>
      </c>
      <c r="AL382" s="163" t="str">
        <f t="shared" si="45"/>
        <v>14-16 Jul</v>
      </c>
      <c r="AM382" s="122">
        <f>IFERROR($M382+VLOOKUP($L382,'Voyage days'!$F$382:$H$446,3,FALSE),"")</f>
        <v>45852</v>
      </c>
      <c r="AN382" s="122">
        <f>IFERROR($N382+VLOOKUP($L382,'Voyage days'!$F$382:$H$446,3,FALSE),"")</f>
        <v>45854</v>
      </c>
      <c r="AO382" s="163" t="str">
        <f t="shared" si="46"/>
        <v>26-28 Jun</v>
      </c>
      <c r="AP382" s="122">
        <f>IFERROR($M382+VLOOKUP($L382,'Voyage days'!$F$483:$H$538,3,FALSE),"")</f>
        <v>45834</v>
      </c>
      <c r="AQ382" s="122">
        <f>IFERROR($N382+VLOOKUP($L382,'Voyage days'!$F$483:$H$538,3,FALSE),"")</f>
        <v>45836</v>
      </c>
      <c r="AR382" s="163" t="str">
        <f t="shared" si="47"/>
        <v>20-22 Jun</v>
      </c>
      <c r="AS382" s="122">
        <f>IFERROR($M382+VLOOKUP($L382,'Voyage days'!$F$540:$H$613,3,FALSE),"")</f>
        <v>45828.25</v>
      </c>
      <c r="AT382" s="122">
        <f>IFERROR($N382+VLOOKUP($L382,'Voyage days'!$F$540:$H$613,3,FALSE),"")</f>
        <v>45830.25</v>
      </c>
      <c r="AU382" s="163" t="str">
        <f t="shared" si="48"/>
        <v/>
      </c>
      <c r="AV382" s="122" t="str">
        <f>IFERROR($M382+VLOOKUP($L382,'Voyage days'!$L$483:$N$535,3,FALSE),"")</f>
        <v/>
      </c>
      <c r="AW382" s="122" t="str">
        <f>IFERROR($N382+VLOOKUP($L382,'Voyage days'!$L$483:$N$535,3,FALSE),"")</f>
        <v/>
      </c>
      <c r="AX382" s="163" t="str">
        <f t="shared" si="49"/>
        <v/>
      </c>
      <c r="AY382" s="122" t="str">
        <f>IFERROR($M382+VLOOKUP($L382,'Voyage days'!$F$620:$H$646,3,FALSE),"")</f>
        <v/>
      </c>
      <c r="AZ382" s="122" t="str">
        <f>IFERROR($N382+VLOOKUP($L382,'Voyage days'!$F$620:$H$646,3,FALSE),"")</f>
        <v/>
      </c>
      <c r="BA382" s="163" t="str">
        <f t="shared" si="50"/>
        <v>20-26 Jul</v>
      </c>
      <c r="BB382" s="123">
        <f>IFERROR($M382+VLOOKUP($L382,'Voyage days'!$F$702:$H$727,3,FALSE),"")</f>
        <v>45828.25</v>
      </c>
      <c r="BC382" s="163" t="str">
        <f t="shared" si="51"/>
        <v>24-26 Jul</v>
      </c>
      <c r="BD382" s="122">
        <f>IFERROR($M382+VLOOKUP($L382,'Voyage days'!$F$807:$H$878,3,FALSE),"")</f>
        <v>45862</v>
      </c>
      <c r="BE382" s="122">
        <f>IFERROR($N382+VLOOKUP($L382,'Voyage days'!$F$807:$H$878,3,FALSE),"")</f>
        <v>45864</v>
      </c>
      <c r="BF382" s="609"/>
      <c r="BG382" s="609"/>
      <c r="BH382" s="609"/>
      <c r="BI382" s="609"/>
      <c r="BJ382" s="609"/>
      <c r="BK382" s="609"/>
      <c r="BL382" s="609"/>
      <c r="BM382" s="609"/>
    </row>
    <row r="383" ht="15.75" customHeight="1">
      <c r="A383" s="511" t="s">
        <v>585</v>
      </c>
      <c r="B383" s="280">
        <v>2025.0</v>
      </c>
      <c r="C383" s="1096">
        <v>88030.0</v>
      </c>
      <c r="D383" s="168" t="s">
        <v>1687</v>
      </c>
      <c r="E383" s="223"/>
      <c r="F383" s="1010">
        <v>44550.0</v>
      </c>
      <c r="G383" s="1011"/>
      <c r="H383" s="223"/>
      <c r="I383" s="172" t="s">
        <v>3321</v>
      </c>
      <c r="J383" s="312" t="s">
        <v>2935</v>
      </c>
      <c r="K383" s="469" t="str">
        <f t="shared" si="54"/>
        <v>Update</v>
      </c>
      <c r="L383" s="172" t="s">
        <v>680</v>
      </c>
      <c r="M383" s="173">
        <v>45809.0</v>
      </c>
      <c r="N383" s="173">
        <v>45815.0</v>
      </c>
      <c r="O383" s="433"/>
      <c r="P383" s="357" t="s">
        <v>3323</v>
      </c>
      <c r="Q383" s="172" t="s">
        <v>3324</v>
      </c>
      <c r="R383" s="172" t="s">
        <v>3325</v>
      </c>
      <c r="S383" s="175" t="s">
        <v>2993</v>
      </c>
      <c r="T383" s="176">
        <v>45782.0</v>
      </c>
      <c r="U383" s="177" t="str">
        <f>IF(V383="","No AIS",VLOOKUP(V383,'Voyage days'!$A$3:$B$1480,2,FALSE))</f>
        <v>USG</v>
      </c>
      <c r="V383" s="178" t="str">
        <f>IF(VLOOKUP(A383,'1) Kpler'!$E$2:$P$1000,8, FALSE)="","",VLOOKUP(A383,'1) Kpler'!$E$2:$P$1000,8, FALSE))</f>
        <v>PADD 3</v>
      </c>
      <c r="W383" s="179">
        <f>IF(VLOOKUP(A383,'1) Kpler'!$E$2:$P$1000,9,FALSE)="","",VLOOKUP(A383,'1) Kpler'!$E$2:$P$1000,9,FALSE))</f>
        <v>46150</v>
      </c>
      <c r="X383" s="178" t="str">
        <f>VLOOKUP(A383,'1) Kpler'!$E$2:$I$1000,4,FALSE)</f>
        <v>ballast</v>
      </c>
      <c r="Y383" s="180" t="str">
        <f t="shared" si="55"/>
        <v/>
      </c>
      <c r="Z383" s="120" t="str">
        <f t="shared" si="56"/>
        <v/>
      </c>
      <c r="AA383" s="121" t="str">
        <f>IFERROR($M383+VLOOKUP($L383,'Voyage days'!$F$38:$H$89,3,FALSE),"")</f>
        <v/>
      </c>
      <c r="AB383" s="121" t="str">
        <f>IFERROR(N383+VLOOKUP($L383,'Voyage days'!$F$38:$H$89,3,FALSE),"")</f>
        <v/>
      </c>
      <c r="AC383" s="120" t="str">
        <f t="shared" si="42"/>
        <v>01-07 Jun</v>
      </c>
      <c r="AD383" s="121">
        <f>IFERROR($M383+VLOOKUP($L383,'Voyage days'!$F$94:$H$193,3,FALSE),"")</f>
        <v>45809</v>
      </c>
      <c r="AE383" s="121">
        <f>IFERROR($N383+VLOOKUP($L383,'Voyage days'!$F$94:$H$193,3,FALSE),"")</f>
        <v>45815</v>
      </c>
      <c r="AF383" s="120" t="str">
        <f t="shared" si="43"/>
        <v>01-07 Jun</v>
      </c>
      <c r="AG383" s="121">
        <f>IFERROR($M383+VLOOKUP($L383,'Voyage days'!$F$203:$H$256,3,FALSE),"")</f>
        <v>45809</v>
      </c>
      <c r="AH383" s="121">
        <f>IFERROR($N383+VLOOKUP($L383,'Voyage days'!$F$203:$H$256,3,FALSE),"")</f>
        <v>45815</v>
      </c>
      <c r="AI383" s="120" t="str">
        <f t="shared" si="44"/>
        <v/>
      </c>
      <c r="AJ383" s="121" t="str">
        <f>IFERROR($M383+VLOOKUP($L383,'Voyage days'!$F$294:$H$377,3,FALSE),"")</f>
        <v/>
      </c>
      <c r="AK383" s="121" t="str">
        <f>IFERROR($N383+VLOOKUP($L383,'Voyage days'!$F$294:$H$377,3,FALSE),"")</f>
        <v/>
      </c>
      <c r="AL383" s="120" t="str">
        <f t="shared" si="45"/>
        <v>21-27 Jun</v>
      </c>
      <c r="AM383" s="121">
        <f>IFERROR($M383+VLOOKUP($L383,'Voyage days'!$F$382:$H$446,3,FALSE),"")</f>
        <v>45829</v>
      </c>
      <c r="AN383" s="121">
        <f>IFERROR($N383+VLOOKUP($L383,'Voyage days'!$F$382:$H$446,3,FALSE),"")</f>
        <v>45835</v>
      </c>
      <c r="AO383" s="120" t="str">
        <f t="shared" si="46"/>
        <v/>
      </c>
      <c r="AP383" s="121" t="str">
        <f>IFERROR($M383+VLOOKUP($L383,'Voyage days'!$F$483:$H$538,3,FALSE),"")</f>
        <v/>
      </c>
      <c r="AQ383" s="121" t="str">
        <f>IFERROR($N383+VLOOKUP($L383,'Voyage days'!$F$483:$H$538,3,FALSE),"")</f>
        <v/>
      </c>
      <c r="AR383" s="120" t="str">
        <f t="shared" si="47"/>
        <v/>
      </c>
      <c r="AS383" s="121" t="str">
        <f>IFERROR($M383+VLOOKUP($L383,'Voyage days'!$F$540:$H$613,3,FALSE),"")</f>
        <v/>
      </c>
      <c r="AT383" s="121" t="str">
        <f>IFERROR($N383+VLOOKUP($L383,'Voyage days'!$F$540:$H$613,3,FALSE),"")</f>
        <v/>
      </c>
      <c r="AU383" s="120" t="str">
        <f t="shared" si="48"/>
        <v/>
      </c>
      <c r="AV383" s="121" t="str">
        <f>IFERROR($M383+VLOOKUP($L383,'Voyage days'!$L$483:$N$535,3,FALSE),"")</f>
        <v/>
      </c>
      <c r="AW383" s="121" t="str">
        <f>IFERROR($N383+VLOOKUP($L383,'Voyage days'!$L$483:$N$535,3,FALSE),"")</f>
        <v/>
      </c>
      <c r="AX383" s="120" t="str">
        <f t="shared" si="49"/>
        <v/>
      </c>
      <c r="AY383" s="122" t="str">
        <f>IFERROR($M383+VLOOKUP($L383,'Voyage days'!$F$620:$H$646,3,FALSE),"")</f>
        <v/>
      </c>
      <c r="AZ383" s="122" t="str">
        <f>IFERROR($N383+VLOOKUP($L383,'Voyage days'!$F$620:$H$646,3,FALSE),"")</f>
        <v/>
      </c>
      <c r="BA383" s="120" t="str">
        <f t="shared" si="50"/>
        <v/>
      </c>
      <c r="BB383" s="123" t="str">
        <f>IFERROR($M383+VLOOKUP($L383,'Voyage days'!$F$702:$H$727,3,FALSE),"")</f>
        <v/>
      </c>
      <c r="BC383" s="120" t="str">
        <f t="shared" si="51"/>
        <v/>
      </c>
      <c r="BD383" s="122" t="str">
        <f>IFERROR($M383+VLOOKUP($L383,'Voyage days'!$F$807:$H$878,3,FALSE),"")</f>
        <v/>
      </c>
      <c r="BE383" s="122" t="str">
        <f>IFERROR($N383+VLOOKUP($L383,'Voyage days'!$F$807:$H$878,3,FALSE),"")</f>
        <v/>
      </c>
      <c r="BF383" s="609"/>
      <c r="BG383" s="609"/>
      <c r="BH383" s="609"/>
      <c r="BI383" s="609"/>
      <c r="BJ383" s="609"/>
      <c r="BK383" s="609"/>
      <c r="BL383" s="609"/>
      <c r="BM383" s="609"/>
    </row>
    <row r="384" ht="15.75" customHeight="1">
      <c r="A384" s="515" t="s">
        <v>37</v>
      </c>
      <c r="B384" s="288">
        <v>39783.0</v>
      </c>
      <c r="C384" s="1098">
        <v>82200.0</v>
      </c>
      <c r="D384" s="234" t="s">
        <v>1687</v>
      </c>
      <c r="E384" s="233"/>
      <c r="F384" s="1035"/>
      <c r="G384" s="1105">
        <v>45839.0</v>
      </c>
      <c r="H384" s="1247"/>
      <c r="I384" s="291" t="s">
        <v>1466</v>
      </c>
      <c r="J384" s="1037" t="s">
        <v>1624</v>
      </c>
      <c r="K384" s="517" t="str">
        <f t="shared" si="54"/>
        <v>Update</v>
      </c>
      <c r="L384" s="235" t="s">
        <v>680</v>
      </c>
      <c r="M384" s="238">
        <v>45813.0</v>
      </c>
      <c r="N384" s="238">
        <v>45815.0</v>
      </c>
      <c r="O384" s="1099"/>
      <c r="P384" s="291"/>
      <c r="Q384" s="291"/>
      <c r="R384" s="235" t="s">
        <v>3326</v>
      </c>
      <c r="S384" s="256" t="s">
        <v>2962</v>
      </c>
      <c r="T384" s="420">
        <v>45785.0</v>
      </c>
      <c r="U384" s="114" t="str">
        <f>IF(V384="","No AIS",VLOOKUP(V384,'Voyage days'!$A$3:$B$1480,2,FALSE))</f>
        <v>USG</v>
      </c>
      <c r="V384" s="114" t="str">
        <f>IF(VLOOKUP(A384,'1) Kpler'!$E$2:$P$1000,8, FALSE)="","",VLOOKUP(A384,'1) Kpler'!$E$2:$P$1000,8, FALSE))</f>
        <v>Houston</v>
      </c>
      <c r="W384" s="159">
        <f>IF(VLOOKUP(A384,'1) Kpler'!$E$2:$P$1000,9,FALSE)="","",VLOOKUP(A384,'1) Kpler'!$E$2:$P$1000,9,FALSE))</f>
        <v>46138.125</v>
      </c>
      <c r="X384" s="114" t="str">
        <f>VLOOKUP(A384,'1) Kpler'!$E$2:$I$1000,4,FALSE)</f>
        <v>ballast</v>
      </c>
      <c r="Y384" s="272" t="str">
        <f t="shared" si="55"/>
        <v/>
      </c>
      <c r="Z384" s="163" t="str">
        <f t="shared" si="56"/>
        <v/>
      </c>
      <c r="AA384" s="122" t="str">
        <f>IFERROR($M384+VLOOKUP($L384,'Voyage days'!$F$38:$H$89,3,FALSE),"")</f>
        <v/>
      </c>
      <c r="AB384" s="122" t="str">
        <f>IFERROR(N384+VLOOKUP($L384,'Voyage days'!$F$38:$H$89,3,FALSE),"")</f>
        <v/>
      </c>
      <c r="AC384" s="163" t="str">
        <f t="shared" si="42"/>
        <v>05-07 Jun</v>
      </c>
      <c r="AD384" s="122">
        <f>IFERROR($M384+VLOOKUP($L384,'Voyage days'!$F$94:$H$193,3,FALSE),"")</f>
        <v>45813</v>
      </c>
      <c r="AE384" s="122">
        <f>IFERROR($N384+VLOOKUP($L384,'Voyage days'!$F$94:$H$193,3,FALSE),"")</f>
        <v>45815</v>
      </c>
      <c r="AF384" s="163" t="str">
        <f t="shared" si="43"/>
        <v>05-07 Jun</v>
      </c>
      <c r="AG384" s="122">
        <f>IFERROR($M384+VLOOKUP($L384,'Voyage days'!$F$203:$H$256,3,FALSE),"")</f>
        <v>45813</v>
      </c>
      <c r="AH384" s="122">
        <f>IFERROR($N384+VLOOKUP($L384,'Voyage days'!$F$203:$H$256,3,FALSE),"")</f>
        <v>45815</v>
      </c>
      <c r="AI384" s="163" t="str">
        <f t="shared" si="44"/>
        <v/>
      </c>
      <c r="AJ384" s="122" t="str">
        <f>IFERROR($M384+VLOOKUP($L384,'Voyage days'!$F$294:$H$377,3,FALSE),"")</f>
        <v/>
      </c>
      <c r="AK384" s="122" t="str">
        <f>IFERROR($N384+VLOOKUP($L384,'Voyage days'!$F$294:$H$377,3,FALSE),"")</f>
        <v/>
      </c>
      <c r="AL384" s="163" t="str">
        <f t="shared" si="45"/>
        <v>25-27 Jun</v>
      </c>
      <c r="AM384" s="122">
        <f>IFERROR($M384+VLOOKUP($L384,'Voyage days'!$F$382:$H$446,3,FALSE),"")</f>
        <v>45833</v>
      </c>
      <c r="AN384" s="122">
        <f>IFERROR($N384+VLOOKUP($L384,'Voyage days'!$F$382:$H$446,3,FALSE),"")</f>
        <v>45835</v>
      </c>
      <c r="AO384" s="163" t="str">
        <f t="shared" si="46"/>
        <v/>
      </c>
      <c r="AP384" s="122" t="str">
        <f>IFERROR($M384+VLOOKUP($L384,'Voyage days'!$F$483:$H$538,3,FALSE),"")</f>
        <v/>
      </c>
      <c r="AQ384" s="122" t="str">
        <f>IFERROR($N384+VLOOKUP($L384,'Voyage days'!$F$483:$H$538,3,FALSE),"")</f>
        <v/>
      </c>
      <c r="AR384" s="163" t="str">
        <f t="shared" si="47"/>
        <v/>
      </c>
      <c r="AS384" s="122" t="str">
        <f>IFERROR($M384+VLOOKUP($L384,'Voyage days'!$F$540:$H$613,3,FALSE),"")</f>
        <v/>
      </c>
      <c r="AT384" s="122" t="str">
        <f>IFERROR($N384+VLOOKUP($L384,'Voyage days'!$F$540:$H$613,3,FALSE),"")</f>
        <v/>
      </c>
      <c r="AU384" s="163" t="str">
        <f t="shared" si="48"/>
        <v/>
      </c>
      <c r="AV384" s="122" t="str">
        <f>IFERROR($M384+VLOOKUP($L384,'Voyage days'!$L$483:$N$535,3,FALSE),"")</f>
        <v/>
      </c>
      <c r="AW384" s="122" t="str">
        <f>IFERROR($N384+VLOOKUP($L384,'Voyage days'!$L$483:$N$535,3,FALSE),"")</f>
        <v/>
      </c>
      <c r="AX384" s="163" t="str">
        <f t="shared" si="49"/>
        <v/>
      </c>
      <c r="AY384" s="122" t="str">
        <f>IFERROR($M384+VLOOKUP($L384,'Voyage days'!$F$620:$H$646,3,FALSE),"")</f>
        <v/>
      </c>
      <c r="AZ384" s="122" t="str">
        <f>IFERROR($N384+VLOOKUP($L384,'Voyage days'!$F$620:$H$646,3,FALSE),"")</f>
        <v/>
      </c>
      <c r="BA384" s="163" t="str">
        <f t="shared" si="50"/>
        <v/>
      </c>
      <c r="BB384" s="123" t="str">
        <f>IFERROR($M384+VLOOKUP($L384,'Voyage days'!$F$702:$H$727,3,FALSE),"")</f>
        <v/>
      </c>
      <c r="BC384" s="163" t="str">
        <f t="shared" si="51"/>
        <v/>
      </c>
      <c r="BD384" s="122" t="str">
        <f>IFERROR($M384+VLOOKUP($L384,'Voyage days'!$F$807:$H$878,3,FALSE),"")</f>
        <v/>
      </c>
      <c r="BE384" s="122" t="str">
        <f>IFERROR($N384+VLOOKUP($L384,'Voyage days'!$F$807:$H$878,3,FALSE),"")</f>
        <v/>
      </c>
      <c r="BF384" s="609"/>
      <c r="BG384" s="609"/>
      <c r="BH384" s="609"/>
      <c r="BI384" s="609"/>
      <c r="BJ384" s="609"/>
      <c r="BK384" s="609"/>
      <c r="BL384" s="609"/>
      <c r="BM384" s="609"/>
    </row>
    <row r="385" ht="15.75" customHeight="1">
      <c r="A385" s="80" t="s">
        <v>262</v>
      </c>
      <c r="B385" s="148">
        <v>2020.0</v>
      </c>
      <c r="C385" s="1045">
        <v>84000.0</v>
      </c>
      <c r="D385" s="111" t="s">
        <v>1695</v>
      </c>
      <c r="E385" s="103" t="s">
        <v>3269</v>
      </c>
      <c r="F385" s="604"/>
      <c r="G385" s="103" t="s">
        <v>2907</v>
      </c>
      <c r="H385" s="103"/>
      <c r="I385" s="185" t="s">
        <v>1466</v>
      </c>
      <c r="J385" s="111" t="s">
        <v>3327</v>
      </c>
      <c r="K385" s="336" t="str">
        <f t="shared" si="54"/>
        <v>Update</v>
      </c>
      <c r="L385" s="108" t="s">
        <v>1031</v>
      </c>
      <c r="M385" s="337">
        <v>45797.0</v>
      </c>
      <c r="N385" s="109">
        <v>45798.0</v>
      </c>
      <c r="O385" s="191"/>
      <c r="P385" s="187" t="s">
        <v>3328</v>
      </c>
      <c r="Q385" s="304"/>
      <c r="R385" s="108" t="s">
        <v>3329</v>
      </c>
      <c r="S385" s="112" t="s">
        <v>934</v>
      </c>
      <c r="T385" s="113">
        <v>45784.0</v>
      </c>
      <c r="U385" s="114" t="str">
        <f>IF(V385="","No AIS",VLOOKUP(V385,'Voyage days'!$A$3:$B$1480,2,FALSE))</f>
        <v>AG</v>
      </c>
      <c r="V385" s="115" t="str">
        <f>IF(VLOOKUP(A385,'1) Kpler'!$E$2:$P$1000,8, FALSE)="","",VLOOKUP(A385,'1) Kpler'!$E$2:$P$1000,8, FALSE))</f>
        <v>Fujairah</v>
      </c>
      <c r="W385" s="116">
        <f>IF(VLOOKUP(A385,'1) Kpler'!$E$2:$P$1000,9,FALSE)="","",VLOOKUP(A385,'1) Kpler'!$E$2:$P$1000,9,FALSE))</f>
        <v>46132.5</v>
      </c>
      <c r="X385" s="115" t="str">
        <f>VLOOKUP(A385,'1) Kpler'!$E$2:$I$1000,4,FALSE)</f>
        <v>ballast</v>
      </c>
      <c r="Y385" s="117" t="str">
        <f t="shared" si="55"/>
        <v>20-21 May</v>
      </c>
      <c r="Z385" s="120" t="str">
        <f t="shared" si="56"/>
        <v>20-21 May</v>
      </c>
      <c r="AA385" s="121">
        <f>IFERROR($M385+VLOOKUP($L385,'Voyage days'!$F$38:$H$89,3,FALSE),"")</f>
        <v>45797</v>
      </c>
      <c r="AB385" s="121">
        <f>IFERROR(N385+VLOOKUP($L385,'Voyage days'!$F$38:$H$89,3,FALSE),"")</f>
        <v>45798</v>
      </c>
      <c r="AC385" s="120" t="str">
        <f t="shared" si="42"/>
        <v/>
      </c>
      <c r="AD385" s="121" t="str">
        <f>IFERROR($M385+VLOOKUP($L385,'Voyage days'!$F$94:$H$193,3,FALSE),"")</f>
        <v/>
      </c>
      <c r="AE385" s="121" t="str">
        <f>IFERROR($N385+VLOOKUP($L385,'Voyage days'!$F$94:$H$193,3,FALSE),"")</f>
        <v/>
      </c>
      <c r="AF385" s="120" t="str">
        <f t="shared" si="43"/>
        <v/>
      </c>
      <c r="AG385" s="121" t="str">
        <f>IFERROR($M385+VLOOKUP($L385,'Voyage days'!$F$203:$H$256,3,FALSE),"")</f>
        <v/>
      </c>
      <c r="AH385" s="121" t="str">
        <f>IFERROR($N385+VLOOKUP($L385,'Voyage days'!$F$203:$H$256,3,FALSE),"")</f>
        <v/>
      </c>
      <c r="AI385" s="120" t="str">
        <f t="shared" si="44"/>
        <v/>
      </c>
      <c r="AJ385" s="121" t="str">
        <f>IFERROR($M385+VLOOKUP($L385,'Voyage days'!$F$294:$H$377,3,FALSE),"")</f>
        <v/>
      </c>
      <c r="AK385" s="121" t="str">
        <f>IFERROR($N385+VLOOKUP($L385,'Voyage days'!$F$294:$H$377,3,FALSE),"")</f>
        <v/>
      </c>
      <c r="AL385" s="120" t="str">
        <f t="shared" si="45"/>
        <v/>
      </c>
      <c r="AM385" s="121" t="str">
        <f>IFERROR($M385+VLOOKUP($L385,'Voyage days'!$F$382:$H$446,3,FALSE),"")</f>
        <v/>
      </c>
      <c r="AN385" s="121" t="str">
        <f>IFERROR($N385+VLOOKUP($L385,'Voyage days'!$F$382:$H$446,3,FALSE),"")</f>
        <v/>
      </c>
      <c r="AO385" s="120" t="str">
        <f t="shared" si="46"/>
        <v/>
      </c>
      <c r="AP385" s="121" t="str">
        <f>IFERROR($M385+VLOOKUP($L385,'Voyage days'!$F$483:$H$538,3,FALSE),"")</f>
        <v/>
      </c>
      <c r="AQ385" s="121" t="str">
        <f>IFERROR($N385+VLOOKUP($L385,'Voyage days'!$F$483:$H$538,3,FALSE),"")</f>
        <v/>
      </c>
      <c r="AR385" s="120" t="str">
        <f t="shared" si="47"/>
        <v>08-09 Jun</v>
      </c>
      <c r="AS385" s="121">
        <f>IFERROR($M385+VLOOKUP($L385,'Voyage days'!$F$540:$H$613,3,FALSE),"")</f>
        <v>45816</v>
      </c>
      <c r="AT385" s="121">
        <f>IFERROR($N385+VLOOKUP($L385,'Voyage days'!$F$540:$H$613,3,FALSE),"")</f>
        <v>45817</v>
      </c>
      <c r="AU385" s="120" t="str">
        <f t="shared" si="48"/>
        <v/>
      </c>
      <c r="AV385" s="121" t="str">
        <f>IFERROR($M385+VLOOKUP($L385,'Voyage days'!$L$483:$N$535,3,FALSE),"")</f>
        <v/>
      </c>
      <c r="AW385" s="121" t="str">
        <f>IFERROR($N385+VLOOKUP($L385,'Voyage days'!$L$483:$N$535,3,FALSE),"")</f>
        <v/>
      </c>
      <c r="AX385" s="120" t="str">
        <f t="shared" si="49"/>
        <v/>
      </c>
      <c r="AY385" s="122" t="str">
        <f>IFERROR($M385+VLOOKUP($L385,'Voyage days'!$F$620:$H$646,3,FALSE),"")</f>
        <v/>
      </c>
      <c r="AZ385" s="122" t="str">
        <f>IFERROR($N385+VLOOKUP($L385,'Voyage days'!$F$620:$H$646,3,FALSE),"")</f>
        <v/>
      </c>
      <c r="BA385" s="120" t="str">
        <f t="shared" si="50"/>
        <v/>
      </c>
      <c r="BB385" s="123" t="str">
        <f>IFERROR($M385+VLOOKUP($L385,'Voyage days'!$F$702:$H$727,3,FALSE),"")</f>
        <v/>
      </c>
      <c r="BC385" s="120" t="str">
        <f t="shared" si="51"/>
        <v>20-21 May</v>
      </c>
      <c r="BD385" s="122">
        <f>IFERROR($M385+VLOOKUP($L385,'Voyage days'!$F$807:$H$878,3,FALSE),"")</f>
        <v>45797</v>
      </c>
      <c r="BE385" s="122">
        <f>IFERROR($N385+VLOOKUP($L385,'Voyage days'!$F$807:$H$878,3,FALSE),"")</f>
        <v>45798</v>
      </c>
      <c r="BF385" s="609"/>
      <c r="BG385" s="609"/>
      <c r="BH385" s="609"/>
      <c r="BI385" s="609"/>
      <c r="BJ385" s="609"/>
      <c r="BK385" s="609"/>
      <c r="BL385" s="609"/>
      <c r="BM385" s="609"/>
    </row>
    <row r="386" ht="15.75" customHeight="1">
      <c r="A386" s="1248" t="s">
        <v>263</v>
      </c>
      <c r="B386" s="148">
        <v>2007.0</v>
      </c>
      <c r="C386" s="1249">
        <v>82000.0</v>
      </c>
      <c r="D386" s="111"/>
      <c r="E386" s="103"/>
      <c r="F386" s="604"/>
      <c r="G386" s="103"/>
      <c r="H386" s="103"/>
      <c r="I386" s="108" t="s">
        <v>1466</v>
      </c>
      <c r="J386" s="111"/>
      <c r="K386" s="336"/>
      <c r="L386" s="467"/>
      <c r="M386" s="109"/>
      <c r="N386" s="109"/>
      <c r="O386" s="110"/>
      <c r="P386" s="187"/>
      <c r="Q386" s="333"/>
      <c r="R386" s="108"/>
      <c r="S386" s="112"/>
      <c r="T386" s="113"/>
      <c r="U386" s="114" t="str">
        <f>IF(V386="","No AIS",VLOOKUP(V386,'Voyage days'!$A$3:$B$1480,2,FALSE))</f>
        <v>AG</v>
      </c>
      <c r="V386" s="115" t="str">
        <f>IF(VLOOKUP(A386,'1) Kpler'!$E$2:$P$1000,8, FALSE)="","",VLOOKUP(A386,'1) Kpler'!$E$2:$P$1000,8, FALSE))</f>
        <v>Fujairah</v>
      </c>
      <c r="W386" s="116">
        <f>IF(VLOOKUP(A386,'1) Kpler'!$E$2:$P$1000,9,FALSE)="","",VLOOKUP(A386,'1) Kpler'!$E$2:$P$1000,9,FALSE))</f>
        <v>46132.20833</v>
      </c>
      <c r="X386" s="115" t="str">
        <f>VLOOKUP(A386,'1) Kpler'!$E$2:$I$1000,4,FALSE)</f>
        <v>ballast</v>
      </c>
      <c r="Y386" s="117" t="str">
        <f t="shared" si="55"/>
        <v/>
      </c>
      <c r="Z386" s="120" t="str">
        <f t="shared" si="56"/>
        <v/>
      </c>
      <c r="AA386" s="121" t="str">
        <f>IFERROR($M386+VLOOKUP($L386,'Voyage days'!$F$38:$H$89,3,FALSE),"")</f>
        <v/>
      </c>
      <c r="AB386" s="121" t="str">
        <f>IFERROR(N386+VLOOKUP($L386,'Voyage days'!$F$38:$H$89,3,FALSE),"")</f>
        <v/>
      </c>
      <c r="AC386" s="120" t="str">
        <f t="shared" si="42"/>
        <v/>
      </c>
      <c r="AD386" s="121" t="str">
        <f>IFERROR($M386+VLOOKUP($L386,'Voyage days'!$F$94:$H$193,3,FALSE),"")</f>
        <v/>
      </c>
      <c r="AE386" s="121" t="str">
        <f>IFERROR($N386+VLOOKUP($L386,'Voyage days'!$F$94:$H$193,3,FALSE),"")</f>
        <v/>
      </c>
      <c r="AF386" s="120" t="str">
        <f t="shared" si="43"/>
        <v/>
      </c>
      <c r="AG386" s="121" t="str">
        <f>IFERROR($M386+VLOOKUP($L386,'Voyage days'!$F$203:$H$256,3,FALSE),"")</f>
        <v/>
      </c>
      <c r="AH386" s="121" t="str">
        <f>IFERROR($N386+VLOOKUP($L386,'Voyage days'!$F$203:$H$256,3,FALSE),"")</f>
        <v/>
      </c>
      <c r="AI386" s="120" t="str">
        <f t="shared" si="44"/>
        <v/>
      </c>
      <c r="AJ386" s="121" t="str">
        <f>IFERROR($M386+VLOOKUP($L386,'Voyage days'!$F$294:$H$377,3,FALSE),"")</f>
        <v/>
      </c>
      <c r="AK386" s="121" t="str">
        <f>IFERROR($N386+VLOOKUP($L386,'Voyage days'!$F$294:$H$377,3,FALSE),"")</f>
        <v/>
      </c>
      <c r="AL386" s="120" t="str">
        <f t="shared" si="45"/>
        <v/>
      </c>
      <c r="AM386" s="121" t="str">
        <f>IFERROR($M386+VLOOKUP($L386,'Voyage days'!$F$382:$H$446,3,FALSE),"")</f>
        <v/>
      </c>
      <c r="AN386" s="121" t="str">
        <f>IFERROR($N386+VLOOKUP($L386,'Voyage days'!$F$382:$H$446,3,FALSE),"")</f>
        <v/>
      </c>
      <c r="AO386" s="120" t="str">
        <f t="shared" si="46"/>
        <v/>
      </c>
      <c r="AP386" s="121" t="str">
        <f>IFERROR($M386+VLOOKUP($L386,'Voyage days'!$F$483:$H$538,3,FALSE),"")</f>
        <v/>
      </c>
      <c r="AQ386" s="121" t="str">
        <f>IFERROR($N386+VLOOKUP($L386,'Voyage days'!$F$483:$H$538,3,FALSE),"")</f>
        <v/>
      </c>
      <c r="AR386" s="120" t="str">
        <f t="shared" si="47"/>
        <v/>
      </c>
      <c r="AS386" s="121" t="str">
        <f>IFERROR($M386+VLOOKUP($L386,'Voyage days'!$F$540:$H$613,3,FALSE),"")</f>
        <v/>
      </c>
      <c r="AT386" s="121" t="str">
        <f>IFERROR($N386+VLOOKUP($L386,'Voyage days'!$F$540:$H$613,3,FALSE),"")</f>
        <v/>
      </c>
      <c r="AU386" s="120" t="str">
        <f t="shared" si="48"/>
        <v/>
      </c>
      <c r="AV386" s="121" t="str">
        <f>IFERROR($M386+VLOOKUP($L386,'Voyage days'!$L$483:$N$535,3,FALSE),"")</f>
        <v/>
      </c>
      <c r="AW386" s="121" t="str">
        <f>IFERROR($N386+VLOOKUP($L386,'Voyage days'!$L$483:$N$535,3,FALSE),"")</f>
        <v/>
      </c>
      <c r="AX386" s="120" t="str">
        <f t="shared" si="49"/>
        <v/>
      </c>
      <c r="AY386" s="122" t="str">
        <f>IFERROR($M386+VLOOKUP($L386,'Voyage days'!$F$620:$H$646,3,FALSE),"")</f>
        <v/>
      </c>
      <c r="AZ386" s="122" t="str">
        <f>IFERROR($N386+VLOOKUP($L386,'Voyage days'!$F$620:$H$646,3,FALSE),"")</f>
        <v/>
      </c>
      <c r="BA386" s="120" t="str">
        <f t="shared" si="50"/>
        <v/>
      </c>
      <c r="BB386" s="123" t="str">
        <f>IFERROR($M386+VLOOKUP($L386,'Voyage days'!$F$702:$H$727,3,FALSE),"")</f>
        <v/>
      </c>
      <c r="BC386" s="120" t="str">
        <f t="shared" si="51"/>
        <v/>
      </c>
      <c r="BD386" s="122" t="str">
        <f>IFERROR($M386+VLOOKUP($L386,'Voyage days'!$F$807:$H$878,3,FALSE),"")</f>
        <v/>
      </c>
      <c r="BE386" s="122" t="str">
        <f>IFERROR($N386+VLOOKUP($L386,'Voyage days'!$F$807:$H$878,3,FALSE),"")</f>
        <v/>
      </c>
      <c r="BF386" s="609"/>
      <c r="BG386" s="609"/>
      <c r="BH386" s="609"/>
      <c r="BI386" s="609"/>
      <c r="BJ386" s="609"/>
      <c r="BK386" s="609"/>
      <c r="BL386" s="609"/>
      <c r="BM386" s="609"/>
    </row>
    <row r="387" ht="15.75" customHeight="1">
      <c r="A387" s="341" t="s">
        <v>264</v>
      </c>
      <c r="B387" s="148">
        <v>2019.0</v>
      </c>
      <c r="C387" s="1045">
        <v>84000.0</v>
      </c>
      <c r="D387" s="111" t="s">
        <v>1695</v>
      </c>
      <c r="E387" s="103"/>
      <c r="F387" s="604"/>
      <c r="G387" s="103" t="s">
        <v>2907</v>
      </c>
      <c r="H387" s="103"/>
      <c r="I387" s="185" t="s">
        <v>1466</v>
      </c>
      <c r="J387" s="111" t="s">
        <v>3327</v>
      </c>
      <c r="K387" s="336" t="str">
        <f t="shared" ref="K387:K393" si="57">IF(W387="","NO AIS",IF((W387-M387-1)&gt;0,"Update",""))</f>
        <v>Update</v>
      </c>
      <c r="L387" s="467" t="s">
        <v>95</v>
      </c>
      <c r="M387" s="109">
        <v>45800.0</v>
      </c>
      <c r="N387" s="109">
        <v>45801.0</v>
      </c>
      <c r="O387" s="110"/>
      <c r="P387" s="187" t="s">
        <v>3330</v>
      </c>
      <c r="Q387" s="333"/>
      <c r="R387" s="108" t="s">
        <v>3331</v>
      </c>
      <c r="S387" s="112" t="s">
        <v>2962</v>
      </c>
      <c r="T387" s="113">
        <v>45785.0</v>
      </c>
      <c r="U387" s="114" t="str">
        <f>IF(V387="","No AIS",VLOOKUP(V387,'Voyage days'!$A$3:$B$1480,2,FALSE))</f>
        <v>AG</v>
      </c>
      <c r="V387" s="115" t="str">
        <f>IF(VLOOKUP(A387,'1) Kpler'!$E$2:$P$1000,8, FALSE)="","",VLOOKUP(A387,'1) Kpler'!$E$2:$P$1000,8, FALSE))</f>
        <v>Yanbu NGL &amp; Yasref</v>
      </c>
      <c r="W387" s="116">
        <f>IF(VLOOKUP(A387,'1) Kpler'!$E$2:$P$1000,9,FALSE)="","",VLOOKUP(A387,'1) Kpler'!$E$2:$P$1000,9,FALSE))</f>
        <v>46136.00069</v>
      </c>
      <c r="X387" s="115" t="str">
        <f>VLOOKUP(A387,'1) Kpler'!$E$2:$I$1000,4,FALSE)</f>
        <v>ballast</v>
      </c>
      <c r="Y387" s="160" t="str">
        <f t="shared" si="55"/>
        <v/>
      </c>
      <c r="Z387" s="120" t="str">
        <f t="shared" si="56"/>
        <v/>
      </c>
      <c r="AA387" s="121" t="str">
        <f>IFERROR($M387+VLOOKUP($L387,'Voyage days'!$F$38:$H$89,3,FALSE),"")</f>
        <v/>
      </c>
      <c r="AB387" s="121" t="str">
        <f>IFERROR(N387+VLOOKUP($L387,'Voyage days'!$F$38:$H$89,3,FALSE),"")</f>
        <v/>
      </c>
      <c r="AC387" s="120" t="str">
        <f t="shared" si="42"/>
        <v/>
      </c>
      <c r="AD387" s="121" t="str">
        <f>IFERROR($M387+VLOOKUP($L387,'Voyage days'!$F$94:$H$193,3,FALSE),"")</f>
        <v/>
      </c>
      <c r="AE387" s="121" t="str">
        <f>IFERROR($N387+VLOOKUP($L387,'Voyage days'!$F$94:$H$193,3,FALSE),"")</f>
        <v/>
      </c>
      <c r="AF387" s="120" t="str">
        <f t="shared" si="43"/>
        <v/>
      </c>
      <c r="AG387" s="121" t="str">
        <f>IFERROR($M387+VLOOKUP($L387,'Voyage days'!$F$203:$H$256,3,FALSE),"")</f>
        <v/>
      </c>
      <c r="AH387" s="121" t="str">
        <f>IFERROR($N387+VLOOKUP($L387,'Voyage days'!$F$203:$H$256,3,FALSE),"")</f>
        <v/>
      </c>
      <c r="AI387" s="120" t="str">
        <f t="shared" si="44"/>
        <v/>
      </c>
      <c r="AJ387" s="121" t="str">
        <f>IFERROR($M387+VLOOKUP($L387,'Voyage days'!$F$294:$H$377,3,FALSE),"")</f>
        <v/>
      </c>
      <c r="AK387" s="121" t="str">
        <f>IFERROR($N387+VLOOKUP($L387,'Voyage days'!$F$294:$H$377,3,FALSE),"")</f>
        <v/>
      </c>
      <c r="AL387" s="120" t="str">
        <f t="shared" si="45"/>
        <v/>
      </c>
      <c r="AM387" s="121" t="str">
        <f>IFERROR($M387+VLOOKUP($L387,'Voyage days'!$F$382:$H$446,3,FALSE),"")</f>
        <v/>
      </c>
      <c r="AN387" s="121" t="str">
        <f>IFERROR($N387+VLOOKUP($L387,'Voyage days'!$F$382:$H$446,3,FALSE),"")</f>
        <v/>
      </c>
      <c r="AO387" s="120" t="str">
        <f t="shared" si="46"/>
        <v/>
      </c>
      <c r="AP387" s="121" t="str">
        <f>IFERROR($M387+VLOOKUP($L387,'Voyage days'!$F$483:$H$538,3,FALSE),"")</f>
        <v/>
      </c>
      <c r="AQ387" s="121" t="str">
        <f>IFERROR($N387+VLOOKUP($L387,'Voyage days'!$F$483:$H$538,3,FALSE),"")</f>
        <v/>
      </c>
      <c r="AR387" s="120" t="str">
        <f t="shared" si="47"/>
        <v/>
      </c>
      <c r="AS387" s="121" t="str">
        <f>IFERROR($M387+VLOOKUP($L387,'Voyage days'!$F$540:$H$613,3,FALSE),"")</f>
        <v/>
      </c>
      <c r="AT387" s="121" t="str">
        <f>IFERROR($N387+VLOOKUP($L387,'Voyage days'!$F$540:$H$613,3,FALSE),"")</f>
        <v/>
      </c>
      <c r="AU387" s="120" t="str">
        <f t="shared" si="48"/>
        <v/>
      </c>
      <c r="AV387" s="121" t="str">
        <f>IFERROR($M387+VLOOKUP($L387,'Voyage days'!$L$483:$N$535,3,FALSE),"")</f>
        <v/>
      </c>
      <c r="AW387" s="121" t="str">
        <f>IFERROR($N387+VLOOKUP($L387,'Voyage days'!$L$483:$N$535,3,FALSE),"")</f>
        <v/>
      </c>
      <c r="AX387" s="120" t="str">
        <f t="shared" si="49"/>
        <v/>
      </c>
      <c r="AY387" s="122" t="str">
        <f>IFERROR($M387+VLOOKUP($L387,'Voyage days'!$F$620:$H$646,3,FALSE),"")</f>
        <v/>
      </c>
      <c r="AZ387" s="122" t="str">
        <f>IFERROR($N387+VLOOKUP($L387,'Voyage days'!$F$620:$H$646,3,FALSE),"")</f>
        <v/>
      </c>
      <c r="BA387" s="120" t="str">
        <f t="shared" si="50"/>
        <v/>
      </c>
      <c r="BB387" s="123" t="str">
        <f>IFERROR($M387+VLOOKUP($L387,'Voyage days'!$F$702:$H$727,3,FALSE),"")</f>
        <v/>
      </c>
      <c r="BC387" s="120" t="str">
        <f t="shared" si="51"/>
        <v/>
      </c>
      <c r="BD387" s="122" t="str">
        <f>IFERROR($M387+VLOOKUP($L387,'Voyage days'!$F$807:$H$878,3,FALSE),"")</f>
        <v/>
      </c>
      <c r="BE387" s="122" t="str">
        <f>IFERROR($N387+VLOOKUP($L387,'Voyage days'!$F$807:$H$878,3,FALSE),"")</f>
        <v/>
      </c>
      <c r="BF387" s="609"/>
      <c r="BG387" s="609"/>
      <c r="BH387" s="609"/>
      <c r="BI387" s="609"/>
      <c r="BJ387" s="609"/>
      <c r="BK387" s="609"/>
      <c r="BL387" s="609"/>
      <c r="BM387" s="609"/>
    </row>
    <row r="388" ht="15.75" customHeight="1">
      <c r="A388" s="341" t="s">
        <v>323</v>
      </c>
      <c r="B388" s="148">
        <v>2020.0</v>
      </c>
      <c r="C388" s="1045">
        <v>84000.0</v>
      </c>
      <c r="D388" s="111" t="s">
        <v>1695</v>
      </c>
      <c r="E388" s="103" t="s">
        <v>3269</v>
      </c>
      <c r="F388" s="604"/>
      <c r="G388" s="103" t="s">
        <v>2907</v>
      </c>
      <c r="H388" s="103"/>
      <c r="I388" s="185" t="s">
        <v>1466</v>
      </c>
      <c r="J388" s="111" t="s">
        <v>3327</v>
      </c>
      <c r="K388" s="336" t="str">
        <f t="shared" si="57"/>
        <v>Update</v>
      </c>
      <c r="L388" s="108" t="s">
        <v>1031</v>
      </c>
      <c r="M388" s="109">
        <v>45788.0</v>
      </c>
      <c r="N388" s="109">
        <v>45789.0</v>
      </c>
      <c r="O388" s="191"/>
      <c r="P388" s="187"/>
      <c r="Q388" s="185"/>
      <c r="R388" s="108" t="s">
        <v>3332</v>
      </c>
      <c r="S388" s="112" t="s">
        <v>934</v>
      </c>
      <c r="T388" s="113">
        <v>45786.0</v>
      </c>
      <c r="U388" s="114" t="str">
        <f>IF(V388="","No AIS",VLOOKUP(V388,'Voyage days'!$A$3:$B$1480,2,FALSE))</f>
        <v>AG</v>
      </c>
      <c r="V388" s="115" t="str">
        <f>IF(VLOOKUP(A388,'1) Kpler'!$E$2:$P$1000,8, FALSE)="","",VLOOKUP(A388,'1) Kpler'!$E$2:$P$1000,8, FALSE))</f>
        <v>Fujairah</v>
      </c>
      <c r="W388" s="116">
        <f>IF(VLOOKUP(A388,'1) Kpler'!$E$2:$P$1000,9,FALSE)="","",VLOOKUP(A388,'1) Kpler'!$E$2:$P$1000,9,FALSE))</f>
        <v>46132.5</v>
      </c>
      <c r="X388" s="115" t="str">
        <f>VLOOKUP(A388,'1) Kpler'!$E$2:$I$1000,4,FALSE)</f>
        <v>ballast</v>
      </c>
      <c r="Y388" s="160" t="str">
        <f t="shared" si="55"/>
        <v>11-12 May</v>
      </c>
      <c r="Z388" s="120" t="str">
        <f t="shared" si="56"/>
        <v>11-12 May</v>
      </c>
      <c r="AA388" s="121">
        <f>IFERROR($M388+VLOOKUP($L388,'Voyage days'!$F$38:$H$89,3,FALSE),"")</f>
        <v>45788</v>
      </c>
      <c r="AB388" s="121">
        <f>IFERROR(N388+VLOOKUP($L388,'Voyage days'!$F$38:$H$89,3,FALSE),"")</f>
        <v>45789</v>
      </c>
      <c r="AC388" s="120" t="str">
        <f t="shared" si="42"/>
        <v/>
      </c>
      <c r="AD388" s="121" t="str">
        <f>IFERROR($M388+VLOOKUP($L388,'Voyage days'!$F$94:$H$193,3,FALSE),"")</f>
        <v/>
      </c>
      <c r="AE388" s="121" t="str">
        <f>IFERROR($N388+VLOOKUP($L388,'Voyage days'!$F$94:$H$193,3,FALSE),"")</f>
        <v/>
      </c>
      <c r="AF388" s="120" t="str">
        <f t="shared" si="43"/>
        <v/>
      </c>
      <c r="AG388" s="121" t="str">
        <f>IFERROR($M388+VLOOKUP($L388,'Voyage days'!$F$203:$H$256,3,FALSE),"")</f>
        <v/>
      </c>
      <c r="AH388" s="121" t="str">
        <f>IFERROR($N388+VLOOKUP($L388,'Voyage days'!$F$203:$H$256,3,FALSE),"")</f>
        <v/>
      </c>
      <c r="AI388" s="120" t="str">
        <f t="shared" si="44"/>
        <v/>
      </c>
      <c r="AJ388" s="121" t="str">
        <f>IFERROR($M388+VLOOKUP($L388,'Voyage days'!$F$294:$H$377,3,FALSE),"")</f>
        <v/>
      </c>
      <c r="AK388" s="121" t="str">
        <f>IFERROR($N388+VLOOKUP($L388,'Voyage days'!$F$294:$H$377,3,FALSE),"")</f>
        <v/>
      </c>
      <c r="AL388" s="120" t="str">
        <f t="shared" si="45"/>
        <v/>
      </c>
      <c r="AM388" s="121" t="str">
        <f>IFERROR($M388+VLOOKUP($L388,'Voyage days'!$F$382:$H$446,3,FALSE),"")</f>
        <v/>
      </c>
      <c r="AN388" s="121" t="str">
        <f>IFERROR($N388+VLOOKUP($L388,'Voyage days'!$F$382:$H$446,3,FALSE),"")</f>
        <v/>
      </c>
      <c r="AO388" s="120" t="str">
        <f t="shared" si="46"/>
        <v/>
      </c>
      <c r="AP388" s="121" t="str">
        <f>IFERROR($M388+VLOOKUP($L388,'Voyage days'!$F$483:$H$538,3,FALSE),"")</f>
        <v/>
      </c>
      <c r="AQ388" s="121" t="str">
        <f>IFERROR($N388+VLOOKUP($L388,'Voyage days'!$F$483:$H$538,3,FALSE),"")</f>
        <v/>
      </c>
      <c r="AR388" s="120" t="str">
        <f t="shared" si="47"/>
        <v>30-31 May</v>
      </c>
      <c r="AS388" s="121">
        <f>IFERROR($M388+VLOOKUP($L388,'Voyage days'!$F$540:$H$613,3,FALSE),"")</f>
        <v>45807</v>
      </c>
      <c r="AT388" s="121">
        <f>IFERROR($N388+VLOOKUP($L388,'Voyage days'!$F$540:$H$613,3,FALSE),"")</f>
        <v>45808</v>
      </c>
      <c r="AU388" s="120" t="str">
        <f t="shared" si="48"/>
        <v/>
      </c>
      <c r="AV388" s="121" t="str">
        <f>IFERROR($M388+VLOOKUP($L388,'Voyage days'!$L$483:$N$535,3,FALSE),"")</f>
        <v/>
      </c>
      <c r="AW388" s="121" t="str">
        <f>IFERROR($N388+VLOOKUP($L388,'Voyage days'!$L$483:$N$535,3,FALSE),"")</f>
        <v/>
      </c>
      <c r="AX388" s="120" t="str">
        <f t="shared" si="49"/>
        <v/>
      </c>
      <c r="AY388" s="122" t="str">
        <f>IFERROR($M388+VLOOKUP($L388,'Voyage days'!$F$620:$H$646,3,FALSE),"")</f>
        <v/>
      </c>
      <c r="AZ388" s="122" t="str">
        <f>IFERROR($N388+VLOOKUP($L388,'Voyage days'!$F$620:$H$646,3,FALSE),"")</f>
        <v/>
      </c>
      <c r="BA388" s="120" t="str">
        <f t="shared" si="50"/>
        <v/>
      </c>
      <c r="BB388" s="123" t="str">
        <f>IFERROR($M388+VLOOKUP($L388,'Voyage days'!$F$702:$H$727,3,FALSE),"")</f>
        <v/>
      </c>
      <c r="BC388" s="120" t="str">
        <f t="shared" si="51"/>
        <v>11-12 May</v>
      </c>
      <c r="BD388" s="122">
        <f>IFERROR($M388+VLOOKUP($L388,'Voyage days'!$F$807:$H$878,3,FALSE),"")</f>
        <v>45788</v>
      </c>
      <c r="BE388" s="122">
        <f>IFERROR($N388+VLOOKUP($L388,'Voyage days'!$F$807:$H$878,3,FALSE),"")</f>
        <v>45789</v>
      </c>
      <c r="BF388" s="609"/>
      <c r="BG388" s="609"/>
      <c r="BH388" s="609"/>
      <c r="BI388" s="609"/>
      <c r="BJ388" s="609"/>
      <c r="BK388" s="609"/>
      <c r="BL388" s="609"/>
      <c r="BM388" s="609"/>
    </row>
    <row r="389" ht="15.75" customHeight="1">
      <c r="A389" s="147" t="s">
        <v>1535</v>
      </c>
      <c r="B389" s="101">
        <v>42675.0</v>
      </c>
      <c r="C389" s="1045">
        <v>82200.0</v>
      </c>
      <c r="D389" s="104" t="s">
        <v>1687</v>
      </c>
      <c r="E389" s="103"/>
      <c r="F389" s="103"/>
      <c r="G389" s="605">
        <v>45962.0</v>
      </c>
      <c r="H389" s="103"/>
      <c r="I389" s="185" t="s">
        <v>1466</v>
      </c>
      <c r="J389" s="111" t="s">
        <v>3333</v>
      </c>
      <c r="K389" s="336" t="str">
        <f t="shared" si="57"/>
        <v>Update</v>
      </c>
      <c r="L389" s="108" t="s">
        <v>668</v>
      </c>
      <c r="M389" s="109">
        <v>45812.0</v>
      </c>
      <c r="N389" s="109">
        <v>45814.0</v>
      </c>
      <c r="O389" s="1241"/>
      <c r="P389" s="111"/>
      <c r="Q389" s="111"/>
      <c r="R389" s="185"/>
      <c r="S389" s="112" t="s">
        <v>2962</v>
      </c>
      <c r="T389" s="113">
        <v>45785.0</v>
      </c>
      <c r="U389" s="114" t="str">
        <f>IF(V389="","No AIS",VLOOKUP(V389,'Voyage days'!$A$3:$B$1480,2,FALSE))</f>
        <v>Indo + 4 (STS)</v>
      </c>
      <c r="V389" s="115" t="str">
        <f>IF(VLOOKUP(A389,'1) Kpler'!$E$2:$P$1000,8, FALSE)="","",VLOOKUP(A389,'1) Kpler'!$E$2:$P$1000,8, FALSE))</f>
        <v>Kalbut</v>
      </c>
      <c r="W389" s="116">
        <f>IF(VLOOKUP(A389,'1) Kpler'!$E$2:$P$1000,9,FALSE)="","",VLOOKUP(A389,'1) Kpler'!$E$2:$P$1000,9,FALSE))</f>
        <v>46171.00069</v>
      </c>
      <c r="X389" s="115" t="str">
        <f>VLOOKUP(A389,'1) Kpler'!$E$2:$I$1000,4,FALSE)</f>
        <v>loaded</v>
      </c>
      <c r="Y389" s="117" t="str">
        <f t="shared" si="55"/>
        <v>22-24 Jun</v>
      </c>
      <c r="Z389" s="120" t="str">
        <f t="shared" si="56"/>
        <v>22-24 Jun</v>
      </c>
      <c r="AA389" s="121">
        <f>IFERROR($M389+VLOOKUP($L389,'Voyage days'!$F$38:$H$89,3,FALSE),"")</f>
        <v>45830</v>
      </c>
      <c r="AB389" s="121">
        <f>IFERROR(N389+VLOOKUP($L389,'Voyage days'!$F$38:$H$89,3,FALSE),"")</f>
        <v>45832</v>
      </c>
      <c r="AC389" s="120" t="str">
        <f t="shared" si="42"/>
        <v>06-08 Jul</v>
      </c>
      <c r="AD389" s="121">
        <f>IFERROR($M389+VLOOKUP($L389,'Voyage days'!$F$94:$H$193,3,FALSE),"")</f>
        <v>45844</v>
      </c>
      <c r="AE389" s="121">
        <f>IFERROR($N389+VLOOKUP($L389,'Voyage days'!$F$94:$H$193,3,FALSE),"")</f>
        <v>45846</v>
      </c>
      <c r="AF389" s="120" t="str">
        <f t="shared" si="43"/>
        <v>16-18 Jul</v>
      </c>
      <c r="AG389" s="121">
        <f>IFERROR($M389+VLOOKUP($L389,'Voyage days'!$F$203:$H$256,3,FALSE),"")</f>
        <v>45854</v>
      </c>
      <c r="AH389" s="121">
        <f>IFERROR($N389+VLOOKUP($L389,'Voyage days'!$F$203:$H$256,3,FALSE),"")</f>
        <v>45856</v>
      </c>
      <c r="AI389" s="120" t="str">
        <f t="shared" si="44"/>
        <v>04-06 Jul</v>
      </c>
      <c r="AJ389" s="121">
        <f>IFERROR($M389+VLOOKUP($L389,'Voyage days'!$F$294:$H$377,3,FALSE),"")</f>
        <v>45842</v>
      </c>
      <c r="AK389" s="121">
        <f>IFERROR($N389+VLOOKUP($L389,'Voyage days'!$F$294:$H$377,3,FALSE),"")</f>
        <v>45844</v>
      </c>
      <c r="AL389" s="120" t="str">
        <f t="shared" si="45"/>
        <v>10-12 Jul</v>
      </c>
      <c r="AM389" s="121">
        <f>IFERROR($M389+VLOOKUP($L389,'Voyage days'!$F$382:$H$446,3,FALSE),"")</f>
        <v>45848</v>
      </c>
      <c r="AN389" s="121">
        <f>IFERROR($N389+VLOOKUP($L389,'Voyage days'!$F$382:$H$446,3,FALSE),"")</f>
        <v>45850</v>
      </c>
      <c r="AO389" s="120" t="str">
        <f t="shared" si="46"/>
        <v>17-19 Jun</v>
      </c>
      <c r="AP389" s="121">
        <f>IFERROR($M389+VLOOKUP($L389,'Voyage days'!$F$483:$H$538,3,FALSE),"")</f>
        <v>45825</v>
      </c>
      <c r="AQ389" s="121">
        <f>IFERROR($N389+VLOOKUP($L389,'Voyage days'!$F$483:$H$538,3,FALSE),"")</f>
        <v>45827</v>
      </c>
      <c r="AR389" s="120" t="str">
        <f t="shared" si="47"/>
        <v>12-14 Jun</v>
      </c>
      <c r="AS389" s="121">
        <f>IFERROR($M389+VLOOKUP($L389,'Voyage days'!$F$540:$H$613,3,FALSE),"")</f>
        <v>45820.25</v>
      </c>
      <c r="AT389" s="121">
        <f>IFERROR($N389+VLOOKUP($L389,'Voyage days'!$F$540:$H$613,3,FALSE),"")</f>
        <v>45822.25</v>
      </c>
      <c r="AU389" s="120" t="str">
        <f t="shared" si="48"/>
        <v/>
      </c>
      <c r="AV389" s="121" t="str">
        <f>IFERROR($M389+VLOOKUP($L389,'Voyage days'!$L$483:$N$535,3,FALSE),"")</f>
        <v/>
      </c>
      <c r="AW389" s="121" t="str">
        <f>IFERROR($N389+VLOOKUP($L389,'Voyage days'!$L$483:$N$535,3,FALSE),"")</f>
        <v/>
      </c>
      <c r="AX389" s="120" t="str">
        <f t="shared" si="49"/>
        <v>15-17 Jun</v>
      </c>
      <c r="AY389" s="122">
        <f>IFERROR($M389+VLOOKUP($L389,'Voyage days'!$F$620:$H$646,3,FALSE),"")</f>
        <v>45823</v>
      </c>
      <c r="AZ389" s="122">
        <f>IFERROR($N389+VLOOKUP($L389,'Voyage days'!$F$620:$H$646,3,FALSE),"")</f>
        <v>45825</v>
      </c>
      <c r="BA389" s="120" t="str">
        <f t="shared" si="50"/>
        <v>12-22 Jul</v>
      </c>
      <c r="BB389" s="123">
        <f>IFERROR($M389+VLOOKUP($L389,'Voyage days'!$F$702:$H$727,3,FALSE),"")</f>
        <v>45820.25</v>
      </c>
      <c r="BC389" s="120" t="str">
        <f t="shared" si="51"/>
        <v>20-22 Jul</v>
      </c>
      <c r="BD389" s="122">
        <f>IFERROR($M389+VLOOKUP($L389,'Voyage days'!$F$807:$H$878,3,FALSE),"")</f>
        <v>45858</v>
      </c>
      <c r="BE389" s="122">
        <f>IFERROR($N389+VLOOKUP($L389,'Voyage days'!$F$807:$H$878,3,FALSE),"")</f>
        <v>45860</v>
      </c>
      <c r="BF389" s="609"/>
      <c r="BG389" s="609"/>
      <c r="BH389" s="609"/>
      <c r="BI389" s="609"/>
      <c r="BJ389" s="609"/>
      <c r="BK389" s="609"/>
      <c r="BL389" s="609"/>
      <c r="BM389" s="609"/>
    </row>
    <row r="390" ht="15.75" customHeight="1">
      <c r="A390" s="80" t="s">
        <v>564</v>
      </c>
      <c r="B390" s="101">
        <v>39630.0</v>
      </c>
      <c r="C390" s="1045">
        <v>82182.0</v>
      </c>
      <c r="D390" s="104" t="s">
        <v>1687</v>
      </c>
      <c r="E390" s="103"/>
      <c r="F390" s="103"/>
      <c r="G390" s="605">
        <v>45901.0</v>
      </c>
      <c r="H390" s="103"/>
      <c r="I390" s="185" t="s">
        <v>1466</v>
      </c>
      <c r="J390" s="111" t="s">
        <v>1624</v>
      </c>
      <c r="K390" s="336" t="str">
        <f t="shared" si="57"/>
        <v>Update</v>
      </c>
      <c r="L390" s="108" t="s">
        <v>668</v>
      </c>
      <c r="M390" s="109">
        <v>45799.0</v>
      </c>
      <c r="N390" s="109">
        <v>45800.0</v>
      </c>
      <c r="O390" s="110"/>
      <c r="P390" s="185"/>
      <c r="Q390" s="185"/>
      <c r="R390" s="185"/>
      <c r="S390" s="112" t="s">
        <v>2962</v>
      </c>
      <c r="T390" s="113">
        <v>45785.0</v>
      </c>
      <c r="U390" s="114" t="str">
        <f>IF(V390="","No AIS",VLOOKUP(V390,'Voyage days'!$A$3:$B$1480,2,FALSE))</f>
        <v>Indo + 4</v>
      </c>
      <c r="V390" s="115" t="str">
        <f>IF(VLOOKUP(A390,'1) Kpler'!$E$2:$P$1000,8, FALSE)="","",VLOOKUP(A390,'1) Kpler'!$E$2:$P$1000,8, FALSE))</f>
        <v>Oiltank. Merak</v>
      </c>
      <c r="W390" s="116">
        <f>IF(VLOOKUP(A390,'1) Kpler'!$E$2:$P$1000,9,FALSE)="","",VLOOKUP(A390,'1) Kpler'!$E$2:$P$1000,9,FALSE))</f>
        <v>46161.10417</v>
      </c>
      <c r="X390" s="115" t="str">
        <f>VLOOKUP(A390,'1) Kpler'!$E$2:$I$1000,4,FALSE)</f>
        <v>loaded</v>
      </c>
      <c r="Y390" s="160" t="str">
        <f t="shared" si="55"/>
        <v>09-10 Jun</v>
      </c>
      <c r="Z390" s="120" t="str">
        <f t="shared" si="56"/>
        <v>09-10 Jun</v>
      </c>
      <c r="AA390" s="121">
        <f>IFERROR($M390+VLOOKUP($L390,'Voyage days'!$F$38:$H$89,3,FALSE),"")</f>
        <v>45817</v>
      </c>
      <c r="AB390" s="121">
        <f>IFERROR(N390+VLOOKUP($L390,'Voyage days'!$F$38:$H$89,3,FALSE),"")</f>
        <v>45818</v>
      </c>
      <c r="AC390" s="120" t="str">
        <f t="shared" si="42"/>
        <v>23-24 Jun</v>
      </c>
      <c r="AD390" s="121">
        <f>IFERROR($M390+VLOOKUP($L390,'Voyage days'!$F$94:$H$193,3,FALSE),"")</f>
        <v>45831</v>
      </c>
      <c r="AE390" s="121">
        <f>IFERROR($N390+VLOOKUP($L390,'Voyage days'!$F$94:$H$193,3,FALSE),"")</f>
        <v>45832</v>
      </c>
      <c r="AF390" s="120" t="str">
        <f t="shared" si="43"/>
        <v>03-04 Jul</v>
      </c>
      <c r="AG390" s="121">
        <f>IFERROR($M390+VLOOKUP($L390,'Voyage days'!$F$203:$H$256,3,FALSE),"")</f>
        <v>45841</v>
      </c>
      <c r="AH390" s="121">
        <f>IFERROR($N390+VLOOKUP($L390,'Voyage days'!$F$203:$H$256,3,FALSE),"")</f>
        <v>45842</v>
      </c>
      <c r="AI390" s="120" t="str">
        <f t="shared" si="44"/>
        <v>21-22 Jun</v>
      </c>
      <c r="AJ390" s="121">
        <f>IFERROR($M390+VLOOKUP($L390,'Voyage days'!$F$294:$H$377,3,FALSE),"")</f>
        <v>45829</v>
      </c>
      <c r="AK390" s="121">
        <f>IFERROR($N390+VLOOKUP($L390,'Voyage days'!$F$294:$H$377,3,FALSE),"")</f>
        <v>45830</v>
      </c>
      <c r="AL390" s="120" t="str">
        <f t="shared" si="45"/>
        <v>27-28 Jun</v>
      </c>
      <c r="AM390" s="121">
        <f>IFERROR($M390+VLOOKUP($L390,'Voyage days'!$F$382:$H$446,3,FALSE),"")</f>
        <v>45835</v>
      </c>
      <c r="AN390" s="121">
        <f>IFERROR($N390+VLOOKUP($L390,'Voyage days'!$F$382:$H$446,3,FALSE),"")</f>
        <v>45836</v>
      </c>
      <c r="AO390" s="120" t="str">
        <f t="shared" si="46"/>
        <v>04-05 Jun</v>
      </c>
      <c r="AP390" s="121">
        <f>IFERROR($M390+VLOOKUP($L390,'Voyage days'!$F$483:$H$538,3,FALSE),"")</f>
        <v>45812</v>
      </c>
      <c r="AQ390" s="121">
        <f>IFERROR($N390+VLOOKUP($L390,'Voyage days'!$F$483:$H$538,3,FALSE),"")</f>
        <v>45813</v>
      </c>
      <c r="AR390" s="120" t="str">
        <f t="shared" si="47"/>
        <v>30-31 May</v>
      </c>
      <c r="AS390" s="121">
        <f>IFERROR($M390+VLOOKUP($L390,'Voyage days'!$F$540:$H$613,3,FALSE),"")</f>
        <v>45807.25</v>
      </c>
      <c r="AT390" s="121">
        <f>IFERROR($N390+VLOOKUP($L390,'Voyage days'!$F$540:$H$613,3,FALSE),"")</f>
        <v>45808.25</v>
      </c>
      <c r="AU390" s="120" t="str">
        <f t="shared" si="48"/>
        <v/>
      </c>
      <c r="AV390" s="121" t="str">
        <f>IFERROR($M390+VLOOKUP($L390,'Voyage days'!$L$483:$N$535,3,FALSE),"")</f>
        <v/>
      </c>
      <c r="AW390" s="121" t="str">
        <f>IFERROR($N390+VLOOKUP($L390,'Voyage days'!$L$483:$N$535,3,FALSE),"")</f>
        <v/>
      </c>
      <c r="AX390" s="120" t="str">
        <f t="shared" si="49"/>
        <v>02-03 Jun</v>
      </c>
      <c r="AY390" s="122">
        <f>IFERROR($M390+VLOOKUP($L390,'Voyage days'!$F$620:$H$646,3,FALSE),"")</f>
        <v>45810</v>
      </c>
      <c r="AZ390" s="122">
        <f>IFERROR($N390+VLOOKUP($L390,'Voyage days'!$F$620:$H$646,3,FALSE),"")</f>
        <v>45811</v>
      </c>
      <c r="BA390" s="120" t="str">
        <f t="shared" si="50"/>
        <v>30-08 Jul</v>
      </c>
      <c r="BB390" s="123">
        <f>IFERROR($M390+VLOOKUP($L390,'Voyage days'!$F$702:$H$727,3,FALSE),"")</f>
        <v>45807.25</v>
      </c>
      <c r="BC390" s="120" t="str">
        <f t="shared" si="51"/>
        <v>07-08 Jul</v>
      </c>
      <c r="BD390" s="122">
        <f>IFERROR($M390+VLOOKUP($L390,'Voyage days'!$F$807:$H$878,3,FALSE),"")</f>
        <v>45845</v>
      </c>
      <c r="BE390" s="122">
        <f>IFERROR($N390+VLOOKUP($L390,'Voyage days'!$F$807:$H$878,3,FALSE),"")</f>
        <v>45846</v>
      </c>
      <c r="BF390" s="609"/>
      <c r="BG390" s="609"/>
      <c r="BH390" s="609"/>
      <c r="BI390" s="609"/>
      <c r="BJ390" s="609"/>
      <c r="BK390" s="609"/>
      <c r="BL390" s="609"/>
      <c r="BM390" s="609"/>
    </row>
    <row r="391" ht="15.75" customHeight="1">
      <c r="A391" s="546" t="s">
        <v>542</v>
      </c>
      <c r="B391" s="222">
        <v>42459.0</v>
      </c>
      <c r="C391" s="1101">
        <v>82200.0</v>
      </c>
      <c r="D391" s="168" t="s">
        <v>1687</v>
      </c>
      <c r="E391" s="223"/>
      <c r="F391" s="1010">
        <v>44276.0</v>
      </c>
      <c r="G391" s="1011">
        <v>45931.0</v>
      </c>
      <c r="H391" s="1010"/>
      <c r="I391" s="463" t="s">
        <v>1466</v>
      </c>
      <c r="J391" s="312" t="s">
        <v>3334</v>
      </c>
      <c r="K391" s="469" t="str">
        <f t="shared" si="57"/>
        <v>Update</v>
      </c>
      <c r="L391" s="172" t="s">
        <v>680</v>
      </c>
      <c r="M391" s="173">
        <v>45789.0</v>
      </c>
      <c r="N391" s="173">
        <v>45791.0</v>
      </c>
      <c r="O391" s="433"/>
      <c r="P391" s="1186"/>
      <c r="Q391" s="463"/>
      <c r="R391" s="172" t="s">
        <v>3335</v>
      </c>
      <c r="S391" s="175" t="s">
        <v>2962</v>
      </c>
      <c r="T391" s="176">
        <v>45785.0</v>
      </c>
      <c r="U391" s="177" t="str">
        <f>IF(V391="","No AIS",VLOOKUP(V391,'Voyage days'!$A$3:$B$1480,2,FALSE))</f>
        <v>USG</v>
      </c>
      <c r="V391" s="178" t="str">
        <f>IF(VLOOKUP(A391,'1) Kpler'!$E$2:$P$1000,8, FALSE)="","",VLOOKUP(A391,'1) Kpler'!$E$2:$P$1000,8, FALSE))</f>
        <v>Houston</v>
      </c>
      <c r="W391" s="179">
        <f>IF(VLOOKUP(A391,'1) Kpler'!$E$2:$P$1000,9,FALSE)="","",VLOOKUP(A391,'1) Kpler'!$E$2:$P$1000,9,FALSE))</f>
        <v>46163.35417</v>
      </c>
      <c r="X391" s="178" t="str">
        <f>VLOOKUP(A391,'1) Kpler'!$E$2:$I$1000,4,FALSE)</f>
        <v>ballast</v>
      </c>
      <c r="Y391" s="180" t="str">
        <f t="shared" si="55"/>
        <v/>
      </c>
      <c r="Z391" s="120" t="str">
        <f t="shared" si="56"/>
        <v/>
      </c>
      <c r="AA391" s="121" t="str">
        <f>IFERROR($M391+VLOOKUP($L391,'Voyage days'!$F$38:$H$89,3,FALSE),"")</f>
        <v/>
      </c>
      <c r="AB391" s="121" t="str">
        <f>IFERROR(N391+VLOOKUP($L391,'Voyage days'!$F$38:$H$89,3,FALSE),"")</f>
        <v/>
      </c>
      <c r="AC391" s="120" t="str">
        <f t="shared" si="42"/>
        <v>12-14 May</v>
      </c>
      <c r="AD391" s="121">
        <f>IFERROR($M391+VLOOKUP($L391,'Voyage days'!$F$94:$H$193,3,FALSE),"")</f>
        <v>45789</v>
      </c>
      <c r="AE391" s="121">
        <f>IFERROR($N391+VLOOKUP($L391,'Voyage days'!$F$94:$H$193,3,FALSE),"")</f>
        <v>45791</v>
      </c>
      <c r="AF391" s="120" t="str">
        <f t="shared" si="43"/>
        <v>12-14 May</v>
      </c>
      <c r="AG391" s="121">
        <f>IFERROR($M391+VLOOKUP($L391,'Voyage days'!$F$203:$H$256,3,FALSE),"")</f>
        <v>45789</v>
      </c>
      <c r="AH391" s="121">
        <f>IFERROR($N391+VLOOKUP($L391,'Voyage days'!$F$203:$H$256,3,FALSE),"")</f>
        <v>45791</v>
      </c>
      <c r="AI391" s="120" t="str">
        <f t="shared" si="44"/>
        <v/>
      </c>
      <c r="AJ391" s="121" t="str">
        <f>IFERROR($M391+VLOOKUP($L391,'Voyage days'!$F$294:$H$377,3,FALSE),"")</f>
        <v/>
      </c>
      <c r="AK391" s="121" t="str">
        <f>IFERROR($N391+VLOOKUP($L391,'Voyage days'!$F$294:$H$377,3,FALSE),"")</f>
        <v/>
      </c>
      <c r="AL391" s="120" t="str">
        <f t="shared" si="45"/>
        <v>01-03 Jun</v>
      </c>
      <c r="AM391" s="121">
        <f>IFERROR($M391+VLOOKUP($L391,'Voyage days'!$F$382:$H$446,3,FALSE),"")</f>
        <v>45809</v>
      </c>
      <c r="AN391" s="121">
        <f>IFERROR($N391+VLOOKUP($L391,'Voyage days'!$F$382:$H$446,3,FALSE),"")</f>
        <v>45811</v>
      </c>
      <c r="AO391" s="120" t="str">
        <f t="shared" si="46"/>
        <v/>
      </c>
      <c r="AP391" s="121" t="str">
        <f>IFERROR($M391+VLOOKUP($L391,'Voyage days'!$F$483:$H$538,3,FALSE),"")</f>
        <v/>
      </c>
      <c r="AQ391" s="121" t="str">
        <f>IFERROR($N391+VLOOKUP($L391,'Voyage days'!$F$483:$H$538,3,FALSE),"")</f>
        <v/>
      </c>
      <c r="AR391" s="120" t="str">
        <f t="shared" si="47"/>
        <v/>
      </c>
      <c r="AS391" s="121" t="str">
        <f>IFERROR($M391+VLOOKUP($L391,'Voyage days'!$F$540:$H$613,3,FALSE),"")</f>
        <v/>
      </c>
      <c r="AT391" s="121" t="str">
        <f>IFERROR($N391+VLOOKUP($L391,'Voyage days'!$F$540:$H$613,3,FALSE),"")</f>
        <v/>
      </c>
      <c r="AU391" s="120" t="str">
        <f t="shared" si="48"/>
        <v/>
      </c>
      <c r="AV391" s="121" t="str">
        <f>IFERROR($M391+VLOOKUP($L391,'Voyage days'!$L$483:$N$535,3,FALSE),"")</f>
        <v/>
      </c>
      <c r="AW391" s="121" t="str">
        <f>IFERROR($N391+VLOOKUP($L391,'Voyage days'!$L$483:$N$535,3,FALSE),"")</f>
        <v/>
      </c>
      <c r="AX391" s="120" t="str">
        <f t="shared" si="49"/>
        <v/>
      </c>
      <c r="AY391" s="122" t="str">
        <f>IFERROR($M391+VLOOKUP($L391,'Voyage days'!$F$620:$H$646,3,FALSE),"")</f>
        <v/>
      </c>
      <c r="AZ391" s="122" t="str">
        <f>IFERROR($N391+VLOOKUP($L391,'Voyage days'!$F$620:$H$646,3,FALSE),"")</f>
        <v/>
      </c>
      <c r="BA391" s="120" t="str">
        <f t="shared" si="50"/>
        <v/>
      </c>
      <c r="BB391" s="123" t="str">
        <f>IFERROR($M391+VLOOKUP($L391,'Voyage days'!$F$702:$H$727,3,FALSE),"")</f>
        <v/>
      </c>
      <c r="BC391" s="120" t="str">
        <f t="shared" si="51"/>
        <v/>
      </c>
      <c r="BD391" s="122" t="str">
        <f>IFERROR($M391+VLOOKUP($L391,'Voyage days'!$F$807:$H$878,3,FALSE),"")</f>
        <v/>
      </c>
      <c r="BE391" s="122" t="str">
        <f>IFERROR($N391+VLOOKUP($L391,'Voyage days'!$F$807:$H$878,3,FALSE),"")</f>
        <v/>
      </c>
      <c r="BF391" s="609"/>
      <c r="BG391" s="609"/>
      <c r="BH391" s="609"/>
      <c r="BI391" s="609"/>
      <c r="BJ391" s="609"/>
      <c r="BK391" s="609"/>
      <c r="BL391" s="609"/>
      <c r="BM391" s="609"/>
    </row>
    <row r="392" ht="15.75" customHeight="1">
      <c r="A392" s="884" t="s">
        <v>3336</v>
      </c>
      <c r="B392" s="1044">
        <v>39902.0</v>
      </c>
      <c r="C392" s="1193">
        <v>82452.0</v>
      </c>
      <c r="D392" s="514" t="s">
        <v>1687</v>
      </c>
      <c r="E392" s="1046"/>
      <c r="F392" s="1250"/>
      <c r="G392" s="1251"/>
      <c r="H392" s="1252"/>
      <c r="I392" s="1049" t="s">
        <v>3337</v>
      </c>
      <c r="J392" s="1253" t="s">
        <v>3019</v>
      </c>
      <c r="K392" s="1254" t="str">
        <f t="shared" si="57"/>
        <v>#N/A</v>
      </c>
      <c r="L392" s="1049" t="s">
        <v>95</v>
      </c>
      <c r="M392" s="276">
        <v>45794.0</v>
      </c>
      <c r="N392" s="276">
        <v>45795.0</v>
      </c>
      <c r="O392" s="1051" t="s">
        <v>1314</v>
      </c>
      <c r="P392" s="1255" t="s">
        <v>3338</v>
      </c>
      <c r="Q392" s="1256"/>
      <c r="R392" s="1256"/>
      <c r="S392" s="1053" t="s">
        <v>934</v>
      </c>
      <c r="T392" s="1054">
        <v>45788.0</v>
      </c>
      <c r="U392" s="114" t="str">
        <f>IF(V392="","No AIS",VLOOKUP(V392,'Voyage days'!$A$3:$B$1480,2,FALSE))</f>
        <v>#N/A</v>
      </c>
      <c r="V392" s="425" t="str">
        <f>IF(VLOOKUP(A392,'1) Kpler'!$E$2:$P$1000,8, FALSE)="","",VLOOKUP(A392,'1) Kpler'!$E$2:$P$1000,8, FALSE))</f>
        <v>#N/A</v>
      </c>
      <c r="W392" s="1055" t="str">
        <f>IF(VLOOKUP(A392,'1) Kpler'!$E$2:$P$1000,9,FALSE)="","",VLOOKUP(A392,'1) Kpler'!$E$2:$P$1000,9,FALSE))</f>
        <v>#N/A</v>
      </c>
      <c r="X392" s="425" t="str">
        <f>VLOOKUP(A392,'1) Kpler'!$E$2:$I$1000,4,FALSE)</f>
        <v>#N/A</v>
      </c>
      <c r="Y392" s="272" t="str">
        <f t="shared" si="55"/>
        <v/>
      </c>
      <c r="Z392" s="163" t="str">
        <f t="shared" si="56"/>
        <v/>
      </c>
      <c r="AA392" s="122" t="str">
        <f>IFERROR($M392+VLOOKUP($L392,'Voyage days'!$F$38:$H$89,3,FALSE),"")</f>
        <v/>
      </c>
      <c r="AB392" s="122" t="str">
        <f>IFERROR(N392+VLOOKUP($L392,'Voyage days'!$F$38:$H$89,3,FALSE),"")</f>
        <v/>
      </c>
      <c r="AC392" s="163" t="str">
        <f t="shared" si="42"/>
        <v/>
      </c>
      <c r="AD392" s="122" t="str">
        <f>IFERROR($M392+VLOOKUP($L392,'Voyage days'!$F$94:$H$193,3,FALSE),"")</f>
        <v/>
      </c>
      <c r="AE392" s="122" t="str">
        <f>IFERROR($N392+VLOOKUP($L392,'Voyage days'!$F$94:$H$193,3,FALSE),"")</f>
        <v/>
      </c>
      <c r="AF392" s="163" t="str">
        <f t="shared" si="43"/>
        <v/>
      </c>
      <c r="AG392" s="122" t="str">
        <f>IFERROR($M392+VLOOKUP($L392,'Voyage days'!$F$203:$H$256,3,FALSE),"")</f>
        <v/>
      </c>
      <c r="AH392" s="122" t="str">
        <f>IFERROR($N392+VLOOKUP($L392,'Voyage days'!$F$203:$H$256,3,FALSE),"")</f>
        <v/>
      </c>
      <c r="AI392" s="163" t="str">
        <f t="shared" si="44"/>
        <v/>
      </c>
      <c r="AJ392" s="122" t="str">
        <f>IFERROR($M392+VLOOKUP($L392,'Voyage days'!$F$294:$H$377,3,FALSE),"")</f>
        <v/>
      </c>
      <c r="AK392" s="122" t="str">
        <f>IFERROR($N392+VLOOKUP($L392,'Voyage days'!$F$294:$H$377,3,FALSE),"")</f>
        <v/>
      </c>
      <c r="AL392" s="163" t="str">
        <f t="shared" si="45"/>
        <v/>
      </c>
      <c r="AM392" s="122" t="str">
        <f>IFERROR($M392+VLOOKUP($L392,'Voyage days'!$F$382:$H$446,3,FALSE),"")</f>
        <v/>
      </c>
      <c r="AN392" s="122" t="str">
        <f>IFERROR($N392+VLOOKUP($L392,'Voyage days'!$F$382:$H$446,3,FALSE),"")</f>
        <v/>
      </c>
      <c r="AO392" s="163" t="str">
        <f t="shared" si="46"/>
        <v/>
      </c>
      <c r="AP392" s="122" t="str">
        <f>IFERROR($M392+VLOOKUP($L392,'Voyage days'!$F$483:$H$538,3,FALSE),"")</f>
        <v/>
      </c>
      <c r="AQ392" s="122" t="str">
        <f>IFERROR($N392+VLOOKUP($L392,'Voyage days'!$F$483:$H$538,3,FALSE),"")</f>
        <v/>
      </c>
      <c r="AR392" s="163" t="str">
        <f t="shared" si="47"/>
        <v/>
      </c>
      <c r="AS392" s="122" t="str">
        <f>IFERROR($M392+VLOOKUP($L392,'Voyage days'!$F$540:$H$613,3,FALSE),"")</f>
        <v/>
      </c>
      <c r="AT392" s="122" t="str">
        <f>IFERROR($N392+VLOOKUP($L392,'Voyage days'!$F$540:$H$613,3,FALSE),"")</f>
        <v/>
      </c>
      <c r="AU392" s="163" t="str">
        <f t="shared" si="48"/>
        <v/>
      </c>
      <c r="AV392" s="122" t="str">
        <f>IFERROR($M392+VLOOKUP($L392,'Voyage days'!$L$483:$N$535,3,FALSE),"")</f>
        <v/>
      </c>
      <c r="AW392" s="122" t="str">
        <f>IFERROR($N392+VLOOKUP($L392,'Voyage days'!$L$483:$N$535,3,FALSE),"")</f>
        <v/>
      </c>
      <c r="AX392" s="163" t="str">
        <f t="shared" si="49"/>
        <v/>
      </c>
      <c r="AY392" s="122" t="str">
        <f>IFERROR($M392+VLOOKUP($L392,'Voyage days'!$F$620:$H$646,3,FALSE),"")</f>
        <v/>
      </c>
      <c r="AZ392" s="122" t="str">
        <f>IFERROR($N392+VLOOKUP($L392,'Voyage days'!$F$620:$H$646,3,FALSE),"")</f>
        <v/>
      </c>
      <c r="BA392" s="163" t="str">
        <f t="shared" si="50"/>
        <v/>
      </c>
      <c r="BB392" s="123" t="str">
        <f>IFERROR($M392+VLOOKUP($L392,'Voyage days'!$F$702:$H$727,3,FALSE),"")</f>
        <v/>
      </c>
      <c r="BC392" s="163" t="str">
        <f t="shared" si="51"/>
        <v/>
      </c>
      <c r="BD392" s="122" t="str">
        <f>IFERROR($M392+VLOOKUP($L392,'Voyage days'!$F$807:$H$878,3,FALSE),"")</f>
        <v/>
      </c>
      <c r="BE392" s="122" t="str">
        <f>IFERROR($N392+VLOOKUP($L392,'Voyage days'!$F$807:$H$878,3,FALSE),"")</f>
        <v/>
      </c>
      <c r="BF392" s="609"/>
      <c r="BG392" s="609"/>
      <c r="BH392" s="609"/>
      <c r="BI392" s="609"/>
      <c r="BJ392" s="609"/>
      <c r="BK392" s="609"/>
      <c r="BL392" s="609"/>
      <c r="BM392" s="609"/>
    </row>
    <row r="393" ht="15.75" customHeight="1">
      <c r="A393" s="1134" t="s">
        <v>3339</v>
      </c>
      <c r="B393" s="222">
        <v>39539.0</v>
      </c>
      <c r="C393" s="1101">
        <v>82419.0</v>
      </c>
      <c r="D393" s="368" t="s">
        <v>1687</v>
      </c>
      <c r="E393" s="374"/>
      <c r="F393" s="1103"/>
      <c r="G393" s="1190">
        <v>45901.0</v>
      </c>
      <c r="H393" s="368"/>
      <c r="I393" s="285" t="s">
        <v>3337</v>
      </c>
      <c r="J393" s="368" t="s">
        <v>1624</v>
      </c>
      <c r="K393" s="481" t="str">
        <f t="shared" si="57"/>
        <v>#N/A</v>
      </c>
      <c r="L393" s="285" t="s">
        <v>1231</v>
      </c>
      <c r="M393" s="173">
        <v>45793.0</v>
      </c>
      <c r="N393" s="173">
        <v>45795.0</v>
      </c>
      <c r="O393" s="584" t="s">
        <v>1314</v>
      </c>
      <c r="P393" s="285"/>
      <c r="Q393" s="285"/>
      <c r="R393" s="285"/>
      <c r="S393" s="1257" t="s">
        <v>934</v>
      </c>
      <c r="T393" s="1258">
        <v>45786.0</v>
      </c>
      <c r="U393" s="177" t="str">
        <f>IF(V393="","No AIS",VLOOKUP(V393,'Voyage days'!$A$3:$B$1480,2,FALSE))</f>
        <v>#N/A</v>
      </c>
      <c r="V393" s="177" t="str">
        <f>IF(VLOOKUP(A393,'1) Kpler'!$E$2:$P$1000,8, FALSE)="","",VLOOKUP(A393,'1) Kpler'!$E$2:$P$1000,8, FALSE))</f>
        <v>#N/A</v>
      </c>
      <c r="W393" s="370" t="str">
        <f>IF(VLOOKUP(A393,'1) Kpler'!$E$2:$P$1000,9,FALSE)="","",VLOOKUP(A393,'1) Kpler'!$E$2:$P$1000,9,FALSE))</f>
        <v>#N/A</v>
      </c>
      <c r="X393" s="177" t="str">
        <f>VLOOKUP(A393,'1) Kpler'!$E$2:$I$1000,4,FALSE)</f>
        <v>#N/A</v>
      </c>
      <c r="Y393" s="180" t="str">
        <f t="shared" si="55"/>
        <v>25-27 May</v>
      </c>
      <c r="Z393" s="120" t="str">
        <f t="shared" si="56"/>
        <v>25-27 May</v>
      </c>
      <c r="AA393" s="121">
        <f>IFERROR($M393+VLOOKUP($L393,'Voyage days'!$F$38:$H$89,3,FALSE),"")</f>
        <v>45802</v>
      </c>
      <c r="AB393" s="121">
        <f>IFERROR(N393+VLOOKUP($L393,'Voyage days'!$F$38:$H$89,3,FALSE),"")</f>
        <v>45804</v>
      </c>
      <c r="AC393" s="120" t="str">
        <f t="shared" si="42"/>
        <v/>
      </c>
      <c r="AD393" s="121" t="str">
        <f>IFERROR($M393+VLOOKUP($L393,'Voyage days'!$F$94:$H$193,3,FALSE),"")</f>
        <v/>
      </c>
      <c r="AE393" s="121" t="str">
        <f>IFERROR($N393+VLOOKUP($L393,'Voyage days'!$F$94:$H$193,3,FALSE),"")</f>
        <v/>
      </c>
      <c r="AF393" s="120" t="str">
        <f t="shared" si="43"/>
        <v>21-23 Jun</v>
      </c>
      <c r="AG393" s="121">
        <f>IFERROR($M393+VLOOKUP($L393,'Voyage days'!$F$203:$H$256,3,FALSE),"")</f>
        <v>45829</v>
      </c>
      <c r="AH393" s="121">
        <f>IFERROR($N393+VLOOKUP($L393,'Voyage days'!$F$203:$H$256,3,FALSE),"")</f>
        <v>45831</v>
      </c>
      <c r="AI393" s="120" t="str">
        <f t="shared" si="44"/>
        <v>06-08 Jun</v>
      </c>
      <c r="AJ393" s="121">
        <f>IFERROR($M393+VLOOKUP($L393,'Voyage days'!$F$294:$H$377,3,FALSE),"")</f>
        <v>45814</v>
      </c>
      <c r="AK393" s="121">
        <f>IFERROR($N393+VLOOKUP($L393,'Voyage days'!$F$294:$H$377,3,FALSE),"")</f>
        <v>45816</v>
      </c>
      <c r="AL393" s="120" t="str">
        <f t="shared" si="45"/>
        <v>13-15 Jun</v>
      </c>
      <c r="AM393" s="121">
        <f>IFERROR($M393+VLOOKUP($L393,'Voyage days'!$F$382:$H$446,3,FALSE),"")</f>
        <v>45821</v>
      </c>
      <c r="AN393" s="121">
        <f>IFERROR($N393+VLOOKUP($L393,'Voyage days'!$F$382:$H$446,3,FALSE),"")</f>
        <v>45823</v>
      </c>
      <c r="AO393" s="120" t="str">
        <f t="shared" si="46"/>
        <v>16-18 May</v>
      </c>
      <c r="AP393" s="121">
        <f>IFERROR($M393+VLOOKUP($L393,'Voyage days'!$F$483:$H$538,3,FALSE),"")</f>
        <v>45793</v>
      </c>
      <c r="AQ393" s="121">
        <f>IFERROR($N393+VLOOKUP($L393,'Voyage days'!$F$483:$H$538,3,FALSE),"")</f>
        <v>45795</v>
      </c>
      <c r="AR393" s="120" t="str">
        <f t="shared" si="47"/>
        <v/>
      </c>
      <c r="AS393" s="121" t="str">
        <f>IFERROR($M393+VLOOKUP($L393,'Voyage days'!$F$540:$H$613,3,FALSE),"")</f>
        <v/>
      </c>
      <c r="AT393" s="121" t="str">
        <f>IFERROR($N393+VLOOKUP($L393,'Voyage days'!$F$540:$H$613,3,FALSE),"")</f>
        <v/>
      </c>
      <c r="AU393" s="120" t="str">
        <f t="shared" si="48"/>
        <v/>
      </c>
      <c r="AV393" s="121" t="str">
        <f>IFERROR($M393+VLOOKUP($L393,'Voyage days'!$L$483:$N$535,3,FALSE),"")</f>
        <v/>
      </c>
      <c r="AW393" s="121" t="str">
        <f>IFERROR($N393+VLOOKUP($L393,'Voyage days'!$L$483:$N$535,3,FALSE),"")</f>
        <v/>
      </c>
      <c r="AX393" s="120" t="str">
        <f t="shared" si="49"/>
        <v/>
      </c>
      <c r="AY393" s="122" t="str">
        <f>IFERROR($M393+VLOOKUP($L393,'Voyage days'!$F$620:$H$646,3,FALSE),"")</f>
        <v/>
      </c>
      <c r="AZ393" s="122" t="str">
        <f>IFERROR($N393+VLOOKUP($L393,'Voyage days'!$F$620:$H$646,3,FALSE),"")</f>
        <v/>
      </c>
      <c r="BA393" s="120" t="str">
        <f t="shared" si="50"/>
        <v/>
      </c>
      <c r="BB393" s="123" t="str">
        <f>IFERROR($M393+VLOOKUP($L393,'Voyage days'!$F$702:$H$727,3,FALSE),"")</f>
        <v/>
      </c>
      <c r="BC393" s="120" t="str">
        <f t="shared" si="51"/>
        <v>23-25 Jun</v>
      </c>
      <c r="BD393" s="122">
        <f>IFERROR($M393+VLOOKUP($L393,'Voyage days'!$F$807:$H$878,3,FALSE),"")</f>
        <v>45831</v>
      </c>
      <c r="BE393" s="122">
        <f>IFERROR($N393+VLOOKUP($L393,'Voyage days'!$F$807:$H$878,3,FALSE),"")</f>
        <v>45833</v>
      </c>
      <c r="BF393" s="609"/>
      <c r="BG393" s="609"/>
      <c r="BH393" s="609"/>
      <c r="BI393" s="609"/>
      <c r="BJ393" s="609"/>
      <c r="BK393" s="609"/>
      <c r="BL393" s="609"/>
      <c r="BM393" s="609"/>
    </row>
    <row r="394" ht="15.75" customHeight="1">
      <c r="A394" s="341"/>
      <c r="B394" s="341"/>
      <c r="C394" s="1056"/>
      <c r="D394" s="488"/>
      <c r="E394" s="148"/>
      <c r="F394" s="341"/>
      <c r="G394" s="148"/>
      <c r="H394" s="341"/>
      <c r="I394" s="341"/>
      <c r="J394" s="341"/>
      <c r="K394" s="148"/>
      <c r="L394" s="341"/>
      <c r="M394" s="341"/>
      <c r="N394" s="341"/>
      <c r="O394" s="341"/>
      <c r="P394" s="341"/>
      <c r="Q394" s="341"/>
      <c r="R394" s="341"/>
      <c r="S394" s="341"/>
      <c r="T394" s="341"/>
      <c r="U394" s="488"/>
      <c r="V394" s="676"/>
      <c r="W394" s="724"/>
      <c r="X394" s="452"/>
      <c r="Y394" s="341"/>
      <c r="Z394" s="341"/>
      <c r="AA394" s="341"/>
      <c r="AB394" s="341"/>
      <c r="AC394" s="341"/>
      <c r="AD394" s="341"/>
      <c r="AE394" s="341"/>
      <c r="AF394" s="148"/>
      <c r="AG394" s="341"/>
      <c r="AH394" s="341"/>
      <c r="AI394" s="341"/>
      <c r="AJ394" s="341"/>
      <c r="AK394" s="341"/>
      <c r="AL394" s="341"/>
      <c r="AM394" s="341"/>
      <c r="AN394" s="341"/>
      <c r="AO394" s="341"/>
      <c r="AP394" s="341"/>
      <c r="AQ394" s="341"/>
      <c r="AR394" s="341"/>
      <c r="AS394" s="341"/>
      <c r="AT394" s="341"/>
      <c r="AU394" s="341"/>
      <c r="AV394" s="341"/>
      <c r="AW394" s="341"/>
      <c r="AX394" s="341"/>
      <c r="AY394" s="341"/>
      <c r="AZ394" s="147"/>
      <c r="BA394" s="147"/>
      <c r="BB394" s="606"/>
      <c r="BC394" s="341"/>
      <c r="BD394" s="341"/>
      <c r="BE394" s="147"/>
      <c r="BF394" s="606"/>
      <c r="BG394" s="606"/>
      <c r="BH394" s="606"/>
      <c r="BI394" s="606"/>
      <c r="BJ394" s="606"/>
      <c r="BK394" s="606"/>
      <c r="BL394" s="606"/>
      <c r="BM394" s="606"/>
    </row>
    <row r="395" ht="15.75" customHeight="1">
      <c r="A395" s="341"/>
      <c r="B395" s="341"/>
      <c r="C395" s="1056"/>
      <c r="D395" s="488"/>
      <c r="E395" s="148"/>
      <c r="F395" s="341"/>
      <c r="G395" s="148"/>
      <c r="H395" s="341"/>
      <c r="I395" s="341"/>
      <c r="J395" s="341"/>
      <c r="K395" s="148"/>
      <c r="L395" s="341"/>
      <c r="M395" s="341"/>
      <c r="N395" s="341"/>
      <c r="O395" s="341"/>
      <c r="P395" s="341"/>
      <c r="Q395" s="341"/>
      <c r="R395" s="341"/>
      <c r="S395" s="341"/>
      <c r="T395" s="341"/>
      <c r="U395" s="488"/>
      <c r="V395" s="676"/>
      <c r="W395" s="724"/>
      <c r="X395" s="452"/>
      <c r="Y395" s="341"/>
      <c r="Z395" s="341"/>
      <c r="AA395" s="341"/>
      <c r="AB395" s="341"/>
      <c r="AC395" s="341"/>
      <c r="AD395" s="341"/>
      <c r="AE395" s="341"/>
      <c r="AF395" s="148"/>
      <c r="AG395" s="341"/>
      <c r="AH395" s="341"/>
      <c r="AI395" s="341"/>
      <c r="AJ395" s="341"/>
      <c r="AK395" s="341"/>
      <c r="AL395" s="341"/>
      <c r="AM395" s="341"/>
      <c r="AN395" s="341"/>
      <c r="AO395" s="341"/>
      <c r="AP395" s="341"/>
      <c r="AQ395" s="341"/>
      <c r="AR395" s="341"/>
      <c r="AS395" s="341"/>
      <c r="AT395" s="341"/>
      <c r="AU395" s="341"/>
      <c r="AV395" s="341"/>
      <c r="AW395" s="341"/>
      <c r="AX395" s="341"/>
      <c r="AY395" s="341"/>
      <c r="AZ395" s="147"/>
      <c r="BA395" s="147"/>
      <c r="BB395" s="606"/>
      <c r="BC395" s="341"/>
      <c r="BD395" s="341"/>
      <c r="BE395" s="147"/>
      <c r="BF395" s="606"/>
      <c r="BG395" s="606"/>
      <c r="BH395" s="606"/>
      <c r="BI395" s="606"/>
      <c r="BJ395" s="606"/>
      <c r="BK395" s="606"/>
      <c r="BL395" s="606"/>
      <c r="BM395" s="606"/>
    </row>
    <row r="396" ht="15.75" customHeight="1">
      <c r="A396" s="341"/>
      <c r="B396" s="341"/>
      <c r="C396" s="1056"/>
      <c r="D396" s="488"/>
      <c r="E396" s="148"/>
      <c r="F396" s="341"/>
      <c r="G396" s="148"/>
      <c r="H396" s="341"/>
      <c r="I396" s="341"/>
      <c r="J396" s="341"/>
      <c r="K396" s="148"/>
      <c r="L396" s="341"/>
      <c r="M396" s="341"/>
      <c r="N396" s="341"/>
      <c r="O396" s="341"/>
      <c r="P396" s="341"/>
      <c r="Q396" s="341"/>
      <c r="R396" s="341"/>
      <c r="S396" s="341"/>
      <c r="T396" s="341"/>
      <c r="U396" s="488"/>
      <c r="V396" s="676"/>
      <c r="W396" s="724"/>
      <c r="X396" s="452"/>
      <c r="Y396" s="341"/>
      <c r="Z396" s="341"/>
      <c r="AA396" s="341"/>
      <c r="AB396" s="341"/>
      <c r="AC396" s="341"/>
      <c r="AD396" s="341"/>
      <c r="AE396" s="341"/>
      <c r="AF396" s="148"/>
      <c r="AG396" s="341"/>
      <c r="AH396" s="341"/>
      <c r="AI396" s="341"/>
      <c r="AJ396" s="341"/>
      <c r="AK396" s="341"/>
      <c r="AL396" s="341"/>
      <c r="AM396" s="341"/>
      <c r="AN396" s="341"/>
      <c r="AO396" s="341"/>
      <c r="AP396" s="341"/>
      <c r="AQ396" s="341"/>
      <c r="AR396" s="341"/>
      <c r="AS396" s="341"/>
      <c r="AT396" s="341"/>
      <c r="AU396" s="341"/>
      <c r="AV396" s="341"/>
      <c r="AW396" s="341"/>
      <c r="AX396" s="341"/>
      <c r="AY396" s="341"/>
      <c r="AZ396" s="147"/>
      <c r="BA396" s="147"/>
      <c r="BB396" s="606"/>
      <c r="BC396" s="341"/>
      <c r="BD396" s="341"/>
      <c r="BE396" s="147"/>
      <c r="BF396" s="606"/>
      <c r="BG396" s="606"/>
      <c r="BH396" s="606"/>
      <c r="BI396" s="606"/>
      <c r="BJ396" s="606"/>
      <c r="BK396" s="606"/>
      <c r="BL396" s="606"/>
      <c r="BM396" s="606"/>
    </row>
    <row r="397" ht="15.75" customHeight="1">
      <c r="A397" s="341"/>
      <c r="B397" s="341"/>
      <c r="C397" s="1056"/>
      <c r="D397" s="488"/>
      <c r="E397" s="148"/>
      <c r="F397" s="341"/>
      <c r="G397" s="148"/>
      <c r="H397" s="341"/>
      <c r="I397" s="341"/>
      <c r="J397" s="341"/>
      <c r="K397" s="148"/>
      <c r="L397" s="341"/>
      <c r="M397" s="341"/>
      <c r="N397" s="341"/>
      <c r="O397" s="341"/>
      <c r="P397" s="341"/>
      <c r="Q397" s="341"/>
      <c r="R397" s="341"/>
      <c r="S397" s="341"/>
      <c r="T397" s="341"/>
      <c r="U397" s="488"/>
      <c r="V397" s="676"/>
      <c r="W397" s="724"/>
      <c r="X397" s="452"/>
      <c r="Y397" s="341"/>
      <c r="Z397" s="341"/>
      <c r="AA397" s="341"/>
      <c r="AB397" s="341"/>
      <c r="AC397" s="341"/>
      <c r="AD397" s="341"/>
      <c r="AE397" s="341"/>
      <c r="AF397" s="148"/>
      <c r="AG397" s="341"/>
      <c r="AH397" s="341"/>
      <c r="AI397" s="341"/>
      <c r="AJ397" s="341"/>
      <c r="AK397" s="341"/>
      <c r="AL397" s="341"/>
      <c r="AM397" s="341"/>
      <c r="AN397" s="341"/>
      <c r="AO397" s="341"/>
      <c r="AP397" s="341"/>
      <c r="AQ397" s="341"/>
      <c r="AR397" s="341"/>
      <c r="AS397" s="341"/>
      <c r="AT397" s="341"/>
      <c r="AU397" s="341"/>
      <c r="AV397" s="341"/>
      <c r="AW397" s="341"/>
      <c r="AX397" s="341"/>
      <c r="AY397" s="341"/>
      <c r="AZ397" s="147"/>
      <c r="BA397" s="147"/>
      <c r="BB397" s="606"/>
      <c r="BC397" s="341"/>
      <c r="BD397" s="341"/>
      <c r="BE397" s="147"/>
      <c r="BF397" s="606"/>
      <c r="BG397" s="606"/>
      <c r="BH397" s="606"/>
      <c r="BI397" s="606"/>
      <c r="BJ397" s="606"/>
      <c r="BK397" s="606"/>
      <c r="BL397" s="606"/>
      <c r="BM397" s="606"/>
    </row>
    <row r="398" ht="15.75" customHeight="1">
      <c r="A398" s="341"/>
      <c r="B398" s="341"/>
      <c r="C398" s="1056"/>
      <c r="D398" s="488"/>
      <c r="E398" s="148"/>
      <c r="F398" s="341"/>
      <c r="G398" s="148"/>
      <c r="H398" s="341"/>
      <c r="I398" s="341"/>
      <c r="J398" s="341"/>
      <c r="K398" s="148"/>
      <c r="L398" s="341"/>
      <c r="M398" s="341"/>
      <c r="N398" s="341"/>
      <c r="O398" s="341"/>
      <c r="P398" s="341"/>
      <c r="Q398" s="341"/>
      <c r="R398" s="341"/>
      <c r="S398" s="341"/>
      <c r="T398" s="341"/>
      <c r="U398" s="488"/>
      <c r="V398" s="676"/>
      <c r="W398" s="724"/>
      <c r="X398" s="452"/>
      <c r="Y398" s="341"/>
      <c r="Z398" s="341"/>
      <c r="AA398" s="341"/>
      <c r="AB398" s="341"/>
      <c r="AC398" s="341"/>
      <c r="AD398" s="341"/>
      <c r="AE398" s="341"/>
      <c r="AF398" s="148"/>
      <c r="AG398" s="341"/>
      <c r="AH398" s="341"/>
      <c r="AI398" s="341"/>
      <c r="AJ398" s="341"/>
      <c r="AK398" s="341"/>
      <c r="AL398" s="341"/>
      <c r="AM398" s="341"/>
      <c r="AN398" s="341"/>
      <c r="AO398" s="341"/>
      <c r="AP398" s="341"/>
      <c r="AQ398" s="341"/>
      <c r="AR398" s="341"/>
      <c r="AS398" s="341"/>
      <c r="AT398" s="341"/>
      <c r="AU398" s="341"/>
      <c r="AV398" s="341"/>
      <c r="AW398" s="341"/>
      <c r="AX398" s="341"/>
      <c r="AY398" s="341"/>
      <c r="AZ398" s="147"/>
      <c r="BA398" s="147"/>
      <c r="BB398" s="606"/>
      <c r="BC398" s="341"/>
      <c r="BD398" s="341"/>
      <c r="BE398" s="147"/>
      <c r="BF398" s="606"/>
      <c r="BG398" s="606"/>
      <c r="BH398" s="606"/>
      <c r="BI398" s="606"/>
      <c r="BJ398" s="606"/>
      <c r="BK398" s="606"/>
      <c r="BL398" s="606"/>
      <c r="BM398" s="606"/>
    </row>
    <row r="399" ht="15.75" customHeight="1">
      <c r="A399" s="341"/>
      <c r="B399" s="341"/>
      <c r="C399" s="1056"/>
      <c r="D399" s="488"/>
      <c r="E399" s="148"/>
      <c r="F399" s="341"/>
      <c r="G399" s="148"/>
      <c r="H399" s="341"/>
      <c r="I399" s="341"/>
      <c r="J399" s="341"/>
      <c r="K399" s="148"/>
      <c r="L399" s="341"/>
      <c r="M399" s="341"/>
      <c r="N399" s="341"/>
      <c r="O399" s="341"/>
      <c r="P399" s="341"/>
      <c r="Q399" s="341"/>
      <c r="R399" s="341"/>
      <c r="S399" s="341"/>
      <c r="T399" s="341"/>
      <c r="U399" s="488"/>
      <c r="V399" s="676"/>
      <c r="W399" s="724"/>
      <c r="X399" s="452"/>
      <c r="Y399" s="341"/>
      <c r="Z399" s="341"/>
      <c r="AA399" s="341"/>
      <c r="AB399" s="341"/>
      <c r="AC399" s="341"/>
      <c r="AD399" s="341"/>
      <c r="AE399" s="341"/>
      <c r="AF399" s="148"/>
      <c r="AG399" s="341"/>
      <c r="AH399" s="341"/>
      <c r="AI399" s="341"/>
      <c r="AJ399" s="341"/>
      <c r="AK399" s="341"/>
      <c r="AL399" s="341"/>
      <c r="AM399" s="341"/>
      <c r="AN399" s="341"/>
      <c r="AO399" s="341"/>
      <c r="AP399" s="341"/>
      <c r="AQ399" s="341"/>
      <c r="AR399" s="341"/>
      <c r="AS399" s="341"/>
      <c r="AT399" s="341"/>
      <c r="AU399" s="341"/>
      <c r="AV399" s="341"/>
      <c r="AW399" s="341"/>
      <c r="AX399" s="341"/>
      <c r="AY399" s="341"/>
      <c r="AZ399" s="147"/>
      <c r="BA399" s="147"/>
      <c r="BB399" s="606"/>
      <c r="BC399" s="341"/>
      <c r="BD399" s="341"/>
      <c r="BE399" s="147"/>
      <c r="BF399" s="606"/>
      <c r="BG399" s="606"/>
      <c r="BH399" s="606"/>
      <c r="BI399" s="606"/>
      <c r="BJ399" s="606"/>
      <c r="BK399" s="606"/>
      <c r="BL399" s="606"/>
      <c r="BM399" s="606"/>
    </row>
    <row r="400" ht="15.75" customHeight="1">
      <c r="A400" s="341"/>
      <c r="B400" s="341"/>
      <c r="C400" s="1056"/>
      <c r="D400" s="488"/>
      <c r="E400" s="148"/>
      <c r="F400" s="341"/>
      <c r="G400" s="148"/>
      <c r="H400" s="341"/>
      <c r="I400" s="341"/>
      <c r="J400" s="341"/>
      <c r="K400" s="148"/>
      <c r="L400" s="341"/>
      <c r="M400" s="341"/>
      <c r="N400" s="341"/>
      <c r="O400" s="341"/>
      <c r="P400" s="341"/>
      <c r="Q400" s="341"/>
      <c r="R400" s="341"/>
      <c r="S400" s="341"/>
      <c r="T400" s="341"/>
      <c r="U400" s="488"/>
      <c r="V400" s="676"/>
      <c r="W400" s="724"/>
      <c r="X400" s="452"/>
      <c r="Y400" s="341"/>
      <c r="Z400" s="341"/>
      <c r="AA400" s="341"/>
      <c r="AB400" s="341"/>
      <c r="AC400" s="341"/>
      <c r="AD400" s="341"/>
      <c r="AE400" s="341"/>
      <c r="AF400" s="148"/>
      <c r="AG400" s="341"/>
      <c r="AH400" s="341"/>
      <c r="AI400" s="341"/>
      <c r="AJ400" s="341"/>
      <c r="AK400" s="341"/>
      <c r="AL400" s="341"/>
      <c r="AM400" s="341"/>
      <c r="AN400" s="341"/>
      <c r="AO400" s="341"/>
      <c r="AP400" s="341"/>
      <c r="AQ400" s="341"/>
      <c r="AR400" s="341"/>
      <c r="AS400" s="341"/>
      <c r="AT400" s="341"/>
      <c r="AU400" s="341"/>
      <c r="AV400" s="341"/>
      <c r="AW400" s="341"/>
      <c r="AX400" s="341"/>
      <c r="AY400" s="341"/>
      <c r="AZ400" s="147"/>
      <c r="BA400" s="147"/>
      <c r="BB400" s="606"/>
      <c r="BC400" s="341"/>
      <c r="BD400" s="341"/>
      <c r="BE400" s="147"/>
      <c r="BF400" s="606"/>
      <c r="BG400" s="606"/>
      <c r="BH400" s="606"/>
      <c r="BI400" s="606"/>
      <c r="BJ400" s="606"/>
      <c r="BK400" s="606"/>
      <c r="BL400" s="606"/>
      <c r="BM400" s="606"/>
    </row>
    <row r="401" ht="15.75" customHeight="1">
      <c r="A401" s="341"/>
      <c r="B401" s="341"/>
      <c r="C401" s="1056"/>
      <c r="D401" s="488"/>
      <c r="E401" s="148"/>
      <c r="F401" s="341"/>
      <c r="G401" s="148"/>
      <c r="H401" s="341"/>
      <c r="I401" s="341"/>
      <c r="J401" s="341"/>
      <c r="K401" s="148"/>
      <c r="L401" s="341"/>
      <c r="M401" s="341"/>
      <c r="N401" s="341"/>
      <c r="O401" s="341"/>
      <c r="P401" s="341"/>
      <c r="Q401" s="341"/>
      <c r="R401" s="341"/>
      <c r="S401" s="341"/>
      <c r="T401" s="341"/>
      <c r="U401" s="488"/>
      <c r="V401" s="676"/>
      <c r="W401" s="724"/>
      <c r="X401" s="452"/>
      <c r="Y401" s="341"/>
      <c r="Z401" s="341"/>
      <c r="AA401" s="341"/>
      <c r="AB401" s="341"/>
      <c r="AC401" s="341"/>
      <c r="AD401" s="341"/>
      <c r="AE401" s="341"/>
      <c r="AF401" s="148"/>
      <c r="AG401" s="341"/>
      <c r="AH401" s="341"/>
      <c r="AI401" s="341"/>
      <c r="AJ401" s="341"/>
      <c r="AK401" s="341"/>
      <c r="AL401" s="341"/>
      <c r="AM401" s="341"/>
      <c r="AN401" s="341"/>
      <c r="AO401" s="341"/>
      <c r="AP401" s="341"/>
      <c r="AQ401" s="341"/>
      <c r="AR401" s="341"/>
      <c r="AS401" s="341"/>
      <c r="AT401" s="341"/>
      <c r="AU401" s="341"/>
      <c r="AV401" s="341"/>
      <c r="AW401" s="341"/>
      <c r="AX401" s="341"/>
      <c r="AY401" s="341"/>
      <c r="AZ401" s="147"/>
      <c r="BA401" s="147"/>
      <c r="BB401" s="606"/>
      <c r="BC401" s="341"/>
      <c r="BD401" s="341"/>
      <c r="BE401" s="147"/>
      <c r="BF401" s="606"/>
      <c r="BG401" s="606"/>
      <c r="BH401" s="606"/>
      <c r="BI401" s="606"/>
      <c r="BJ401" s="606"/>
      <c r="BK401" s="606"/>
      <c r="BL401" s="606"/>
      <c r="BM401" s="606"/>
    </row>
    <row r="402" ht="15.75" customHeight="1">
      <c r="A402" s="341"/>
      <c r="B402" s="341"/>
      <c r="C402" s="1056"/>
      <c r="D402" s="488"/>
      <c r="E402" s="148"/>
      <c r="F402" s="341"/>
      <c r="G402" s="148"/>
      <c r="H402" s="341"/>
      <c r="I402" s="341"/>
      <c r="J402" s="341"/>
      <c r="K402" s="148"/>
      <c r="L402" s="341"/>
      <c r="M402" s="341"/>
      <c r="N402" s="341"/>
      <c r="O402" s="341"/>
      <c r="P402" s="341"/>
      <c r="Q402" s="341"/>
      <c r="R402" s="341"/>
      <c r="S402" s="341"/>
      <c r="T402" s="341"/>
      <c r="U402" s="488"/>
      <c r="V402" s="676"/>
      <c r="W402" s="724"/>
      <c r="X402" s="452"/>
      <c r="Y402" s="341"/>
      <c r="Z402" s="341"/>
      <c r="AA402" s="341"/>
      <c r="AB402" s="341"/>
      <c r="AC402" s="341"/>
      <c r="AD402" s="341"/>
      <c r="AE402" s="341"/>
      <c r="AF402" s="148"/>
      <c r="AG402" s="341"/>
      <c r="AH402" s="341"/>
      <c r="AI402" s="341"/>
      <c r="AJ402" s="341"/>
      <c r="AK402" s="341"/>
      <c r="AL402" s="341"/>
      <c r="AM402" s="341"/>
      <c r="AN402" s="341"/>
      <c r="AO402" s="341"/>
      <c r="AP402" s="341"/>
      <c r="AQ402" s="341"/>
      <c r="AR402" s="341"/>
      <c r="AS402" s="341"/>
      <c r="AT402" s="341"/>
      <c r="AU402" s="341"/>
      <c r="AV402" s="341"/>
      <c r="AW402" s="341"/>
      <c r="AX402" s="341"/>
      <c r="AY402" s="341"/>
      <c r="AZ402" s="147"/>
      <c r="BA402" s="147"/>
      <c r="BB402" s="606"/>
      <c r="BC402" s="341"/>
      <c r="BD402" s="341"/>
      <c r="BE402" s="147"/>
      <c r="BF402" s="606"/>
      <c r="BG402" s="606"/>
      <c r="BH402" s="606"/>
      <c r="BI402" s="606"/>
      <c r="BJ402" s="606"/>
      <c r="BK402" s="606"/>
      <c r="BL402" s="606"/>
      <c r="BM402" s="606"/>
    </row>
    <row r="403" ht="15.75" customHeight="1">
      <c r="A403" s="341"/>
      <c r="B403" s="341"/>
      <c r="C403" s="1056"/>
      <c r="D403" s="488"/>
      <c r="E403" s="148"/>
      <c r="F403" s="341"/>
      <c r="G403" s="148"/>
      <c r="H403" s="341"/>
      <c r="I403" s="341"/>
      <c r="J403" s="341"/>
      <c r="K403" s="148"/>
      <c r="L403" s="341"/>
      <c r="M403" s="341"/>
      <c r="N403" s="341"/>
      <c r="O403" s="341"/>
      <c r="P403" s="341"/>
      <c r="Q403" s="341"/>
      <c r="R403" s="341"/>
      <c r="S403" s="341"/>
      <c r="T403" s="341"/>
      <c r="U403" s="488"/>
      <c r="V403" s="676"/>
      <c r="W403" s="724"/>
      <c r="X403" s="452"/>
      <c r="Y403" s="341"/>
      <c r="Z403" s="341"/>
      <c r="AA403" s="341"/>
      <c r="AB403" s="341"/>
      <c r="AC403" s="341"/>
      <c r="AD403" s="341"/>
      <c r="AE403" s="341"/>
      <c r="AF403" s="148"/>
      <c r="AG403" s="341"/>
      <c r="AH403" s="341"/>
      <c r="AI403" s="341"/>
      <c r="AJ403" s="341"/>
      <c r="AK403" s="341"/>
      <c r="AL403" s="341"/>
      <c r="AM403" s="341"/>
      <c r="AN403" s="341"/>
      <c r="AO403" s="341"/>
      <c r="AP403" s="341"/>
      <c r="AQ403" s="341"/>
      <c r="AR403" s="341"/>
      <c r="AS403" s="341"/>
      <c r="AT403" s="341"/>
      <c r="AU403" s="341"/>
      <c r="AV403" s="341"/>
      <c r="AW403" s="341"/>
      <c r="AX403" s="341"/>
      <c r="AY403" s="341"/>
      <c r="AZ403" s="147"/>
      <c r="BA403" s="147"/>
      <c r="BB403" s="606"/>
      <c r="BC403" s="341"/>
      <c r="BD403" s="341"/>
      <c r="BE403" s="147"/>
      <c r="BF403" s="606"/>
      <c r="BG403" s="606"/>
      <c r="BH403" s="606"/>
      <c r="BI403" s="606"/>
      <c r="BJ403" s="606"/>
      <c r="BK403" s="606"/>
      <c r="BL403" s="606"/>
      <c r="BM403" s="606"/>
    </row>
    <row r="404" ht="15.75" customHeight="1">
      <c r="A404" s="341"/>
      <c r="B404" s="341"/>
      <c r="C404" s="1056"/>
      <c r="D404" s="488"/>
      <c r="E404" s="148"/>
      <c r="F404" s="341"/>
      <c r="G404" s="148"/>
      <c r="H404" s="341"/>
      <c r="I404" s="341"/>
      <c r="J404" s="341"/>
      <c r="K404" s="148"/>
      <c r="L404" s="341"/>
      <c r="M404" s="341"/>
      <c r="N404" s="341"/>
      <c r="O404" s="341"/>
      <c r="P404" s="341"/>
      <c r="Q404" s="341"/>
      <c r="R404" s="341"/>
      <c r="S404" s="341"/>
      <c r="T404" s="341"/>
      <c r="U404" s="488"/>
      <c r="V404" s="676"/>
      <c r="W404" s="724"/>
      <c r="X404" s="452"/>
      <c r="Y404" s="341"/>
      <c r="Z404" s="341"/>
      <c r="AA404" s="341"/>
      <c r="AB404" s="341"/>
      <c r="AC404" s="341"/>
      <c r="AD404" s="341"/>
      <c r="AE404" s="341"/>
      <c r="AF404" s="148"/>
      <c r="AG404" s="341"/>
      <c r="AH404" s="341"/>
      <c r="AI404" s="341"/>
      <c r="AJ404" s="341"/>
      <c r="AK404" s="341"/>
      <c r="AL404" s="341"/>
      <c r="AM404" s="341"/>
      <c r="AN404" s="341"/>
      <c r="AO404" s="341"/>
      <c r="AP404" s="341"/>
      <c r="AQ404" s="341"/>
      <c r="AR404" s="341"/>
      <c r="AS404" s="341"/>
      <c r="AT404" s="341"/>
      <c r="AU404" s="341"/>
      <c r="AV404" s="341"/>
      <c r="AW404" s="341"/>
      <c r="AX404" s="341"/>
      <c r="AY404" s="341"/>
      <c r="AZ404" s="147"/>
      <c r="BA404" s="147"/>
      <c r="BB404" s="606"/>
      <c r="BC404" s="341"/>
      <c r="BD404" s="341"/>
      <c r="BE404" s="147"/>
      <c r="BF404" s="606"/>
      <c r="BG404" s="606"/>
      <c r="BH404" s="606"/>
      <c r="BI404" s="606"/>
      <c r="BJ404" s="606"/>
      <c r="BK404" s="606"/>
      <c r="BL404" s="606"/>
      <c r="BM404" s="606"/>
    </row>
    <row r="405" ht="15.75" customHeight="1">
      <c r="A405" s="341"/>
      <c r="B405" s="341"/>
      <c r="C405" s="1056"/>
      <c r="D405" s="488"/>
      <c r="E405" s="148"/>
      <c r="F405" s="341"/>
      <c r="G405" s="148"/>
      <c r="H405" s="341"/>
      <c r="I405" s="341"/>
      <c r="J405" s="341"/>
      <c r="K405" s="148"/>
      <c r="L405" s="341"/>
      <c r="M405" s="341"/>
      <c r="N405" s="341"/>
      <c r="O405" s="341"/>
      <c r="P405" s="341"/>
      <c r="Q405" s="341"/>
      <c r="R405" s="341"/>
      <c r="S405" s="341"/>
      <c r="T405" s="341"/>
      <c r="U405" s="488"/>
      <c r="V405" s="676"/>
      <c r="W405" s="724"/>
      <c r="X405" s="452"/>
      <c r="Y405" s="341"/>
      <c r="Z405" s="341"/>
      <c r="AA405" s="341"/>
      <c r="AB405" s="341"/>
      <c r="AC405" s="341"/>
      <c r="AD405" s="341"/>
      <c r="AE405" s="341"/>
      <c r="AF405" s="148"/>
      <c r="AG405" s="341"/>
      <c r="AH405" s="341"/>
      <c r="AI405" s="341"/>
      <c r="AJ405" s="341"/>
      <c r="AK405" s="341"/>
      <c r="AL405" s="341"/>
      <c r="AM405" s="341"/>
      <c r="AN405" s="341"/>
      <c r="AO405" s="341"/>
      <c r="AP405" s="341"/>
      <c r="AQ405" s="341"/>
      <c r="AR405" s="341"/>
      <c r="AS405" s="341"/>
      <c r="AT405" s="341"/>
      <c r="AU405" s="341"/>
      <c r="AV405" s="341"/>
      <c r="AW405" s="341"/>
      <c r="AX405" s="341"/>
      <c r="AY405" s="341"/>
      <c r="AZ405" s="147"/>
      <c r="BA405" s="147"/>
      <c r="BB405" s="606"/>
      <c r="BC405" s="341"/>
      <c r="BD405" s="341"/>
      <c r="BE405" s="147"/>
      <c r="BF405" s="606"/>
      <c r="BG405" s="606"/>
      <c r="BH405" s="606"/>
      <c r="BI405" s="606"/>
      <c r="BJ405" s="606"/>
      <c r="BK405" s="606"/>
      <c r="BL405" s="606"/>
      <c r="BM405" s="606"/>
    </row>
    <row r="406" ht="15.75" customHeight="1">
      <c r="A406" s="341"/>
      <c r="B406" s="341"/>
      <c r="C406" s="1056"/>
      <c r="D406" s="488"/>
      <c r="E406" s="148"/>
      <c r="F406" s="341"/>
      <c r="G406" s="148"/>
      <c r="H406" s="341"/>
      <c r="I406" s="341"/>
      <c r="J406" s="341"/>
      <c r="K406" s="148"/>
      <c r="L406" s="341"/>
      <c r="M406" s="341"/>
      <c r="N406" s="341"/>
      <c r="O406" s="341"/>
      <c r="P406" s="341"/>
      <c r="Q406" s="341"/>
      <c r="R406" s="341"/>
      <c r="S406" s="341"/>
      <c r="T406" s="341"/>
      <c r="U406" s="488"/>
      <c r="V406" s="676"/>
      <c r="W406" s="724"/>
      <c r="X406" s="452"/>
      <c r="Y406" s="341"/>
      <c r="Z406" s="341"/>
      <c r="AA406" s="341"/>
      <c r="AB406" s="341"/>
      <c r="AC406" s="341"/>
      <c r="AD406" s="341"/>
      <c r="AE406" s="341"/>
      <c r="AF406" s="148"/>
      <c r="AG406" s="341"/>
      <c r="AH406" s="341"/>
      <c r="AI406" s="341"/>
      <c r="AJ406" s="341"/>
      <c r="AK406" s="341"/>
      <c r="AL406" s="341"/>
      <c r="AM406" s="341"/>
      <c r="AN406" s="341"/>
      <c r="AO406" s="341"/>
      <c r="AP406" s="341"/>
      <c r="AQ406" s="341"/>
      <c r="AR406" s="341"/>
      <c r="AS406" s="341"/>
      <c r="AT406" s="341"/>
      <c r="AU406" s="341"/>
      <c r="AV406" s="341"/>
      <c r="AW406" s="341"/>
      <c r="AX406" s="341"/>
      <c r="AY406" s="341"/>
      <c r="AZ406" s="147"/>
      <c r="BA406" s="147"/>
      <c r="BB406" s="606"/>
      <c r="BC406" s="341"/>
      <c r="BD406" s="341"/>
      <c r="BE406" s="147"/>
      <c r="BF406" s="606"/>
      <c r="BG406" s="606"/>
      <c r="BH406" s="606"/>
      <c r="BI406" s="606"/>
      <c r="BJ406" s="606"/>
      <c r="BK406" s="606"/>
      <c r="BL406" s="606"/>
      <c r="BM406" s="606"/>
    </row>
    <row r="407" ht="15.75" customHeight="1">
      <c r="A407" s="341"/>
      <c r="B407" s="341"/>
      <c r="C407" s="1056"/>
      <c r="D407" s="488"/>
      <c r="E407" s="148"/>
      <c r="F407" s="341"/>
      <c r="G407" s="148"/>
      <c r="H407" s="341"/>
      <c r="I407" s="341"/>
      <c r="J407" s="341"/>
      <c r="K407" s="148"/>
      <c r="L407" s="341"/>
      <c r="M407" s="341"/>
      <c r="N407" s="341"/>
      <c r="O407" s="341"/>
      <c r="P407" s="341"/>
      <c r="Q407" s="341"/>
      <c r="R407" s="341"/>
      <c r="S407" s="341"/>
      <c r="T407" s="341"/>
      <c r="U407" s="488"/>
      <c r="V407" s="676"/>
      <c r="W407" s="724"/>
      <c r="X407" s="452"/>
      <c r="Y407" s="341"/>
      <c r="Z407" s="341"/>
      <c r="AA407" s="341"/>
      <c r="AB407" s="341"/>
      <c r="AC407" s="341"/>
      <c r="AD407" s="341"/>
      <c r="AE407" s="341"/>
      <c r="AF407" s="148"/>
      <c r="AG407" s="341"/>
      <c r="AH407" s="341"/>
      <c r="AI407" s="341"/>
      <c r="AJ407" s="341"/>
      <c r="AK407" s="341"/>
      <c r="AL407" s="341"/>
      <c r="AM407" s="341"/>
      <c r="AN407" s="341"/>
      <c r="AO407" s="341"/>
      <c r="AP407" s="341"/>
      <c r="AQ407" s="341"/>
      <c r="AR407" s="341"/>
      <c r="AS407" s="341"/>
      <c r="AT407" s="341"/>
      <c r="AU407" s="341"/>
      <c r="AV407" s="341"/>
      <c r="AW407" s="341"/>
      <c r="AX407" s="341"/>
      <c r="AY407" s="341"/>
      <c r="AZ407" s="147"/>
      <c r="BA407" s="147"/>
      <c r="BB407" s="606"/>
      <c r="BC407" s="341"/>
      <c r="BD407" s="341"/>
      <c r="BE407" s="147"/>
      <c r="BF407" s="606"/>
      <c r="BG407" s="606"/>
      <c r="BH407" s="606"/>
      <c r="BI407" s="606"/>
      <c r="BJ407" s="606"/>
      <c r="BK407" s="606"/>
      <c r="BL407" s="606"/>
      <c r="BM407" s="606"/>
    </row>
    <row r="408" ht="15.75" customHeight="1">
      <c r="A408" s="341"/>
      <c r="B408" s="341"/>
      <c r="C408" s="1056"/>
      <c r="D408" s="488"/>
      <c r="E408" s="148"/>
      <c r="F408" s="341"/>
      <c r="G408" s="148"/>
      <c r="H408" s="341"/>
      <c r="I408" s="341"/>
      <c r="J408" s="341"/>
      <c r="K408" s="148"/>
      <c r="L408" s="341"/>
      <c r="M408" s="341"/>
      <c r="N408" s="341"/>
      <c r="O408" s="341"/>
      <c r="P408" s="341"/>
      <c r="Q408" s="341"/>
      <c r="R408" s="341"/>
      <c r="S408" s="341"/>
      <c r="T408" s="341"/>
      <c r="U408" s="488"/>
      <c r="V408" s="676"/>
      <c r="W408" s="724"/>
      <c r="X408" s="452"/>
      <c r="Y408" s="341"/>
      <c r="Z408" s="341"/>
      <c r="AA408" s="341"/>
      <c r="AB408" s="341"/>
      <c r="AC408" s="341"/>
      <c r="AD408" s="341"/>
      <c r="AE408" s="341"/>
      <c r="AF408" s="148"/>
      <c r="AG408" s="341"/>
      <c r="AH408" s="341"/>
      <c r="AI408" s="341"/>
      <c r="AJ408" s="341"/>
      <c r="AK408" s="341"/>
      <c r="AL408" s="341"/>
      <c r="AM408" s="341"/>
      <c r="AN408" s="341"/>
      <c r="AO408" s="341"/>
      <c r="AP408" s="341"/>
      <c r="AQ408" s="341"/>
      <c r="AR408" s="341"/>
      <c r="AS408" s="341"/>
      <c r="AT408" s="341"/>
      <c r="AU408" s="341"/>
      <c r="AV408" s="341"/>
      <c r="AW408" s="341"/>
      <c r="AX408" s="341"/>
      <c r="AY408" s="341"/>
      <c r="AZ408" s="147"/>
      <c r="BA408" s="147"/>
      <c r="BB408" s="606"/>
      <c r="BC408" s="341"/>
      <c r="BD408" s="341"/>
      <c r="BE408" s="147"/>
      <c r="BF408" s="606"/>
      <c r="BG408" s="606"/>
      <c r="BH408" s="606"/>
      <c r="BI408" s="606"/>
      <c r="BJ408" s="606"/>
      <c r="BK408" s="606"/>
      <c r="BL408" s="606"/>
      <c r="BM408" s="606"/>
    </row>
    <row r="409" ht="15.75" customHeight="1">
      <c r="A409" s="341"/>
      <c r="B409" s="341"/>
      <c r="C409" s="1056"/>
      <c r="D409" s="488"/>
      <c r="E409" s="148"/>
      <c r="F409" s="341"/>
      <c r="G409" s="148"/>
      <c r="H409" s="341"/>
      <c r="I409" s="341"/>
      <c r="J409" s="341"/>
      <c r="K409" s="148"/>
      <c r="L409" s="341"/>
      <c r="M409" s="341"/>
      <c r="N409" s="341"/>
      <c r="O409" s="341"/>
      <c r="P409" s="341"/>
      <c r="Q409" s="341"/>
      <c r="R409" s="341"/>
      <c r="S409" s="341"/>
      <c r="T409" s="341"/>
      <c r="U409" s="488"/>
      <c r="V409" s="676"/>
      <c r="W409" s="724"/>
      <c r="X409" s="452"/>
      <c r="Y409" s="341"/>
      <c r="Z409" s="341"/>
      <c r="AA409" s="341"/>
      <c r="AB409" s="341"/>
      <c r="AC409" s="341"/>
      <c r="AD409" s="341"/>
      <c r="AE409" s="341"/>
      <c r="AF409" s="148"/>
      <c r="AG409" s="341"/>
      <c r="AH409" s="341"/>
      <c r="AI409" s="341"/>
      <c r="AJ409" s="341"/>
      <c r="AK409" s="341"/>
      <c r="AL409" s="341"/>
      <c r="AM409" s="341"/>
      <c r="AN409" s="341"/>
      <c r="AO409" s="341"/>
      <c r="AP409" s="341"/>
      <c r="AQ409" s="341"/>
      <c r="AR409" s="341"/>
      <c r="AS409" s="341"/>
      <c r="AT409" s="341"/>
      <c r="AU409" s="341"/>
      <c r="AV409" s="341"/>
      <c r="AW409" s="341"/>
      <c r="AX409" s="341"/>
      <c r="AY409" s="341"/>
      <c r="AZ409" s="147"/>
      <c r="BA409" s="147"/>
      <c r="BB409" s="606"/>
      <c r="BC409" s="341"/>
      <c r="BD409" s="341"/>
      <c r="BE409" s="147"/>
      <c r="BF409" s="606"/>
      <c r="BG409" s="606"/>
      <c r="BH409" s="606"/>
      <c r="BI409" s="606"/>
      <c r="BJ409" s="606"/>
      <c r="BK409" s="606"/>
      <c r="BL409" s="606"/>
      <c r="BM409" s="606"/>
    </row>
    <row r="410" ht="15.75" customHeight="1">
      <c r="A410" s="341"/>
      <c r="B410" s="341"/>
      <c r="C410" s="1056"/>
      <c r="D410" s="488"/>
      <c r="E410" s="148"/>
      <c r="F410" s="341"/>
      <c r="G410" s="148"/>
      <c r="H410" s="341"/>
      <c r="I410" s="341"/>
      <c r="J410" s="341"/>
      <c r="K410" s="148"/>
      <c r="L410" s="341"/>
      <c r="M410" s="341"/>
      <c r="N410" s="341"/>
      <c r="O410" s="341"/>
      <c r="P410" s="341"/>
      <c r="Q410" s="341"/>
      <c r="R410" s="341"/>
      <c r="S410" s="341"/>
      <c r="T410" s="341"/>
      <c r="U410" s="488"/>
      <c r="V410" s="676"/>
      <c r="W410" s="724"/>
      <c r="X410" s="452"/>
      <c r="Y410" s="341"/>
      <c r="Z410" s="341"/>
      <c r="AA410" s="341"/>
      <c r="AB410" s="341"/>
      <c r="AC410" s="341"/>
      <c r="AD410" s="341"/>
      <c r="AE410" s="341"/>
      <c r="AF410" s="148"/>
      <c r="AG410" s="341"/>
      <c r="AH410" s="341"/>
      <c r="AI410" s="341"/>
      <c r="AJ410" s="341"/>
      <c r="AK410" s="341"/>
      <c r="AL410" s="341"/>
      <c r="AM410" s="341"/>
      <c r="AN410" s="341"/>
      <c r="AO410" s="341"/>
      <c r="AP410" s="341"/>
      <c r="AQ410" s="341"/>
      <c r="AR410" s="341"/>
      <c r="AS410" s="341"/>
      <c r="AT410" s="341"/>
      <c r="AU410" s="341"/>
      <c r="AV410" s="341"/>
      <c r="AW410" s="341"/>
      <c r="AX410" s="341"/>
      <c r="AY410" s="341"/>
      <c r="AZ410" s="147"/>
      <c r="BA410" s="147"/>
      <c r="BB410" s="606"/>
      <c r="BC410" s="341"/>
      <c r="BD410" s="341"/>
      <c r="BE410" s="147"/>
      <c r="BF410" s="606"/>
      <c r="BG410" s="606"/>
      <c r="BH410" s="606"/>
      <c r="BI410" s="606"/>
      <c r="BJ410" s="606"/>
      <c r="BK410" s="606"/>
      <c r="BL410" s="606"/>
      <c r="BM410" s="606"/>
    </row>
    <row r="411" ht="15.75" customHeight="1">
      <c r="A411" s="341"/>
      <c r="B411" s="341"/>
      <c r="C411" s="1056"/>
      <c r="D411" s="488"/>
      <c r="E411" s="148"/>
      <c r="F411" s="341"/>
      <c r="G411" s="148"/>
      <c r="H411" s="341"/>
      <c r="I411" s="341"/>
      <c r="J411" s="341"/>
      <c r="K411" s="148"/>
      <c r="L411" s="341"/>
      <c r="M411" s="341"/>
      <c r="N411" s="341"/>
      <c r="O411" s="341"/>
      <c r="P411" s="341"/>
      <c r="Q411" s="341"/>
      <c r="R411" s="341"/>
      <c r="S411" s="341"/>
      <c r="T411" s="341"/>
      <c r="U411" s="488"/>
      <c r="V411" s="676"/>
      <c r="W411" s="724"/>
      <c r="X411" s="452"/>
      <c r="Y411" s="341"/>
      <c r="Z411" s="341"/>
      <c r="AA411" s="341"/>
      <c r="AB411" s="341"/>
      <c r="AC411" s="341"/>
      <c r="AD411" s="341"/>
      <c r="AE411" s="341"/>
      <c r="AF411" s="148"/>
      <c r="AG411" s="341"/>
      <c r="AH411" s="341"/>
      <c r="AI411" s="341"/>
      <c r="AJ411" s="341"/>
      <c r="AK411" s="341"/>
      <c r="AL411" s="341"/>
      <c r="AM411" s="341"/>
      <c r="AN411" s="341"/>
      <c r="AO411" s="341"/>
      <c r="AP411" s="341"/>
      <c r="AQ411" s="341"/>
      <c r="AR411" s="341"/>
      <c r="AS411" s="341"/>
      <c r="AT411" s="341"/>
      <c r="AU411" s="341"/>
      <c r="AV411" s="341"/>
      <c r="AW411" s="341"/>
      <c r="AX411" s="341"/>
      <c r="AY411" s="341"/>
      <c r="AZ411" s="147"/>
      <c r="BA411" s="147"/>
      <c r="BB411" s="606"/>
      <c r="BC411" s="341"/>
      <c r="BD411" s="341"/>
      <c r="BE411" s="147"/>
      <c r="BF411" s="606"/>
      <c r="BG411" s="606"/>
      <c r="BH411" s="606"/>
      <c r="BI411" s="606"/>
      <c r="BJ411" s="606"/>
      <c r="BK411" s="606"/>
      <c r="BL411" s="606"/>
      <c r="BM411" s="606"/>
    </row>
    <row r="412" ht="15.75" customHeight="1">
      <c r="A412" s="341"/>
      <c r="B412" s="341"/>
      <c r="C412" s="1056"/>
      <c r="D412" s="488"/>
      <c r="E412" s="148"/>
      <c r="F412" s="341"/>
      <c r="G412" s="148"/>
      <c r="H412" s="341"/>
      <c r="I412" s="341"/>
      <c r="J412" s="341"/>
      <c r="K412" s="148"/>
      <c r="L412" s="341"/>
      <c r="M412" s="341"/>
      <c r="N412" s="341"/>
      <c r="O412" s="341"/>
      <c r="P412" s="341"/>
      <c r="Q412" s="341"/>
      <c r="R412" s="341"/>
      <c r="S412" s="341"/>
      <c r="T412" s="341"/>
      <c r="U412" s="488"/>
      <c r="V412" s="676"/>
      <c r="W412" s="724"/>
      <c r="X412" s="452"/>
      <c r="Y412" s="341"/>
      <c r="Z412" s="341"/>
      <c r="AA412" s="341"/>
      <c r="AB412" s="341"/>
      <c r="AC412" s="341"/>
      <c r="AD412" s="341"/>
      <c r="AE412" s="341"/>
      <c r="AF412" s="148"/>
      <c r="AG412" s="341"/>
      <c r="AH412" s="341"/>
      <c r="AI412" s="341"/>
      <c r="AJ412" s="341"/>
      <c r="AK412" s="341"/>
      <c r="AL412" s="341"/>
      <c r="AM412" s="341"/>
      <c r="AN412" s="341"/>
      <c r="AO412" s="341"/>
      <c r="AP412" s="341"/>
      <c r="AQ412" s="341"/>
      <c r="AR412" s="341"/>
      <c r="AS412" s="341"/>
      <c r="AT412" s="341"/>
      <c r="AU412" s="341"/>
      <c r="AV412" s="341"/>
      <c r="AW412" s="341"/>
      <c r="AX412" s="341"/>
      <c r="AY412" s="341"/>
      <c r="AZ412" s="147"/>
      <c r="BA412" s="147"/>
      <c r="BB412" s="606"/>
      <c r="BC412" s="341"/>
      <c r="BD412" s="341"/>
      <c r="BE412" s="147"/>
      <c r="BF412" s="606"/>
      <c r="BG412" s="606"/>
      <c r="BH412" s="606"/>
      <c r="BI412" s="606"/>
      <c r="BJ412" s="606"/>
      <c r="BK412" s="606"/>
      <c r="BL412" s="606"/>
      <c r="BM412" s="606"/>
    </row>
    <row r="413" ht="15.75" customHeight="1">
      <c r="A413" s="341"/>
      <c r="B413" s="341"/>
      <c r="C413" s="1056"/>
      <c r="D413" s="488"/>
      <c r="E413" s="148"/>
      <c r="F413" s="341"/>
      <c r="G413" s="148"/>
      <c r="H413" s="341"/>
      <c r="I413" s="341"/>
      <c r="J413" s="341"/>
      <c r="K413" s="148"/>
      <c r="L413" s="341"/>
      <c r="M413" s="341"/>
      <c r="N413" s="341"/>
      <c r="O413" s="341"/>
      <c r="P413" s="341"/>
      <c r="Q413" s="341"/>
      <c r="R413" s="341"/>
      <c r="S413" s="341"/>
      <c r="T413" s="341"/>
      <c r="U413" s="488"/>
      <c r="V413" s="676"/>
      <c r="W413" s="724"/>
      <c r="X413" s="452"/>
      <c r="Y413" s="341"/>
      <c r="Z413" s="341"/>
      <c r="AA413" s="341"/>
      <c r="AB413" s="341"/>
      <c r="AC413" s="341"/>
      <c r="AD413" s="341"/>
      <c r="AE413" s="341"/>
      <c r="AF413" s="148"/>
      <c r="AG413" s="341"/>
      <c r="AH413" s="341"/>
      <c r="AI413" s="341"/>
      <c r="AJ413" s="341"/>
      <c r="AK413" s="341"/>
      <c r="AL413" s="341"/>
      <c r="AM413" s="341"/>
      <c r="AN413" s="341"/>
      <c r="AO413" s="341"/>
      <c r="AP413" s="341"/>
      <c r="AQ413" s="341"/>
      <c r="AR413" s="341"/>
      <c r="AS413" s="341"/>
      <c r="AT413" s="341"/>
      <c r="AU413" s="341"/>
      <c r="AV413" s="341"/>
      <c r="AW413" s="341"/>
      <c r="AX413" s="341"/>
      <c r="AY413" s="341"/>
      <c r="AZ413" s="147"/>
      <c r="BA413" s="147"/>
      <c r="BB413" s="606"/>
      <c r="BC413" s="341"/>
      <c r="BD413" s="341"/>
      <c r="BE413" s="147"/>
      <c r="BF413" s="606"/>
      <c r="BG413" s="606"/>
      <c r="BH413" s="606"/>
      <c r="BI413" s="606"/>
      <c r="BJ413" s="606"/>
      <c r="BK413" s="606"/>
      <c r="BL413" s="606"/>
      <c r="BM413" s="606"/>
    </row>
    <row r="414" ht="15.75" customHeight="1">
      <c r="A414" s="341"/>
      <c r="B414" s="341"/>
      <c r="C414" s="1056"/>
      <c r="D414" s="488"/>
      <c r="E414" s="148"/>
      <c r="F414" s="341"/>
      <c r="G414" s="148"/>
      <c r="H414" s="341"/>
      <c r="I414" s="341"/>
      <c r="J414" s="341"/>
      <c r="K414" s="148"/>
      <c r="L414" s="341"/>
      <c r="M414" s="341"/>
      <c r="N414" s="341"/>
      <c r="O414" s="341"/>
      <c r="P414" s="341"/>
      <c r="Q414" s="341"/>
      <c r="R414" s="341"/>
      <c r="S414" s="341"/>
      <c r="T414" s="341"/>
      <c r="U414" s="488"/>
      <c r="V414" s="676"/>
      <c r="W414" s="724"/>
      <c r="X414" s="452"/>
      <c r="Y414" s="341"/>
      <c r="Z414" s="341"/>
      <c r="AA414" s="341"/>
      <c r="AB414" s="341"/>
      <c r="AC414" s="341"/>
      <c r="AD414" s="341"/>
      <c r="AE414" s="341"/>
      <c r="AF414" s="148"/>
      <c r="AG414" s="341"/>
      <c r="AH414" s="341"/>
      <c r="AI414" s="341"/>
      <c r="AJ414" s="341"/>
      <c r="AK414" s="341"/>
      <c r="AL414" s="341"/>
      <c r="AM414" s="341"/>
      <c r="AN414" s="341"/>
      <c r="AO414" s="341"/>
      <c r="AP414" s="341"/>
      <c r="AQ414" s="341"/>
      <c r="AR414" s="341"/>
      <c r="AS414" s="341"/>
      <c r="AT414" s="341"/>
      <c r="AU414" s="341"/>
      <c r="AV414" s="341"/>
      <c r="AW414" s="341"/>
      <c r="AX414" s="341"/>
      <c r="AY414" s="341"/>
      <c r="AZ414" s="147"/>
      <c r="BA414" s="147"/>
      <c r="BB414" s="606"/>
      <c r="BC414" s="341"/>
      <c r="BD414" s="341"/>
      <c r="BE414" s="147"/>
      <c r="BF414" s="606"/>
      <c r="BG414" s="606"/>
      <c r="BH414" s="606"/>
      <c r="BI414" s="606"/>
      <c r="BJ414" s="606"/>
      <c r="BK414" s="606"/>
      <c r="BL414" s="606"/>
      <c r="BM414" s="606"/>
    </row>
    <row r="415" ht="15.75" customHeight="1">
      <c r="A415" s="341"/>
      <c r="B415" s="341"/>
      <c r="C415" s="1056"/>
      <c r="D415" s="488"/>
      <c r="E415" s="148"/>
      <c r="F415" s="341"/>
      <c r="G415" s="148"/>
      <c r="H415" s="341"/>
      <c r="I415" s="341"/>
      <c r="J415" s="341"/>
      <c r="K415" s="148"/>
      <c r="L415" s="341"/>
      <c r="M415" s="341"/>
      <c r="N415" s="341"/>
      <c r="O415" s="341"/>
      <c r="P415" s="341"/>
      <c r="Q415" s="341"/>
      <c r="R415" s="341"/>
      <c r="S415" s="341"/>
      <c r="T415" s="341"/>
      <c r="U415" s="488"/>
      <c r="V415" s="676"/>
      <c r="W415" s="724"/>
      <c r="X415" s="452"/>
      <c r="Y415" s="341"/>
      <c r="Z415" s="341"/>
      <c r="AA415" s="341"/>
      <c r="AB415" s="341"/>
      <c r="AC415" s="341"/>
      <c r="AD415" s="341"/>
      <c r="AE415" s="341"/>
      <c r="AF415" s="148"/>
      <c r="AG415" s="341"/>
      <c r="AH415" s="341"/>
      <c r="AI415" s="341"/>
      <c r="AJ415" s="341"/>
      <c r="AK415" s="341"/>
      <c r="AL415" s="341"/>
      <c r="AM415" s="341"/>
      <c r="AN415" s="341"/>
      <c r="AO415" s="341"/>
      <c r="AP415" s="341"/>
      <c r="AQ415" s="341"/>
      <c r="AR415" s="341"/>
      <c r="AS415" s="341"/>
      <c r="AT415" s="341"/>
      <c r="AU415" s="341"/>
      <c r="AV415" s="341"/>
      <c r="AW415" s="341"/>
      <c r="AX415" s="341"/>
      <c r="AY415" s="341"/>
      <c r="AZ415" s="147"/>
      <c r="BA415" s="147"/>
      <c r="BB415" s="606"/>
      <c r="BC415" s="341"/>
      <c r="BD415" s="341"/>
      <c r="BE415" s="147"/>
      <c r="BF415" s="606"/>
      <c r="BG415" s="606"/>
      <c r="BH415" s="606"/>
      <c r="BI415" s="606"/>
      <c r="BJ415" s="606"/>
      <c r="BK415" s="606"/>
      <c r="BL415" s="606"/>
      <c r="BM415" s="606"/>
    </row>
    <row r="416" ht="15.75" customHeight="1">
      <c r="A416" s="341"/>
      <c r="B416" s="341"/>
      <c r="C416" s="1056"/>
      <c r="D416" s="488"/>
      <c r="E416" s="148"/>
      <c r="F416" s="341"/>
      <c r="G416" s="148"/>
      <c r="H416" s="341"/>
      <c r="I416" s="341"/>
      <c r="J416" s="341"/>
      <c r="K416" s="148"/>
      <c r="L416" s="341"/>
      <c r="M416" s="341"/>
      <c r="N416" s="341"/>
      <c r="O416" s="341"/>
      <c r="P416" s="341"/>
      <c r="Q416" s="341"/>
      <c r="R416" s="341"/>
      <c r="S416" s="341"/>
      <c r="T416" s="341"/>
      <c r="U416" s="488"/>
      <c r="V416" s="676"/>
      <c r="W416" s="724"/>
      <c r="X416" s="452"/>
      <c r="Y416" s="341"/>
      <c r="Z416" s="341"/>
      <c r="AA416" s="341"/>
      <c r="AB416" s="341"/>
      <c r="AC416" s="341"/>
      <c r="AD416" s="341"/>
      <c r="AE416" s="341"/>
      <c r="AF416" s="148"/>
      <c r="AG416" s="341"/>
      <c r="AH416" s="341"/>
      <c r="AI416" s="341"/>
      <c r="AJ416" s="341"/>
      <c r="AK416" s="341"/>
      <c r="AL416" s="341"/>
      <c r="AM416" s="341"/>
      <c r="AN416" s="341"/>
      <c r="AO416" s="341"/>
      <c r="AP416" s="341"/>
      <c r="AQ416" s="341"/>
      <c r="AR416" s="341"/>
      <c r="AS416" s="341"/>
      <c r="AT416" s="341"/>
      <c r="AU416" s="341"/>
      <c r="AV416" s="341"/>
      <c r="AW416" s="341"/>
      <c r="AX416" s="341"/>
      <c r="AY416" s="341"/>
      <c r="AZ416" s="147"/>
      <c r="BA416" s="147"/>
      <c r="BB416" s="606"/>
      <c r="BC416" s="341"/>
      <c r="BD416" s="341"/>
      <c r="BE416" s="147"/>
      <c r="BF416" s="606"/>
      <c r="BG416" s="606"/>
      <c r="BH416" s="606"/>
      <c r="BI416" s="606"/>
      <c r="BJ416" s="606"/>
      <c r="BK416" s="606"/>
      <c r="BL416" s="606"/>
      <c r="BM416" s="606"/>
    </row>
    <row r="417" ht="15.75" customHeight="1">
      <c r="A417" s="341"/>
      <c r="B417" s="341"/>
      <c r="C417" s="1056"/>
      <c r="D417" s="488"/>
      <c r="E417" s="148"/>
      <c r="F417" s="341"/>
      <c r="G417" s="148"/>
      <c r="H417" s="341"/>
      <c r="I417" s="341"/>
      <c r="J417" s="341"/>
      <c r="K417" s="148"/>
      <c r="L417" s="341"/>
      <c r="M417" s="341"/>
      <c r="N417" s="341"/>
      <c r="O417" s="341"/>
      <c r="P417" s="341"/>
      <c r="Q417" s="341"/>
      <c r="R417" s="341"/>
      <c r="S417" s="341"/>
      <c r="T417" s="341"/>
      <c r="U417" s="488"/>
      <c r="V417" s="676"/>
      <c r="W417" s="724"/>
      <c r="X417" s="452"/>
      <c r="Y417" s="341"/>
      <c r="Z417" s="341"/>
      <c r="AA417" s="341"/>
      <c r="AB417" s="341"/>
      <c r="AC417" s="341"/>
      <c r="AD417" s="341"/>
      <c r="AE417" s="341"/>
      <c r="AF417" s="148"/>
      <c r="AG417" s="341"/>
      <c r="AH417" s="341"/>
      <c r="AI417" s="341"/>
      <c r="AJ417" s="341"/>
      <c r="AK417" s="341"/>
      <c r="AL417" s="341"/>
      <c r="AM417" s="341"/>
      <c r="AN417" s="341"/>
      <c r="AO417" s="341"/>
      <c r="AP417" s="341"/>
      <c r="AQ417" s="341"/>
      <c r="AR417" s="341"/>
      <c r="AS417" s="341"/>
      <c r="AT417" s="341"/>
      <c r="AU417" s="341"/>
      <c r="AV417" s="341"/>
      <c r="AW417" s="341"/>
      <c r="AX417" s="341"/>
      <c r="AY417" s="341"/>
      <c r="AZ417" s="147"/>
      <c r="BA417" s="147"/>
      <c r="BB417" s="606"/>
      <c r="BC417" s="341"/>
      <c r="BD417" s="341"/>
      <c r="BE417" s="147"/>
      <c r="BF417" s="606"/>
      <c r="BG417" s="606"/>
      <c r="BH417" s="606"/>
      <c r="BI417" s="606"/>
      <c r="BJ417" s="606"/>
      <c r="BK417" s="606"/>
      <c r="BL417" s="606"/>
      <c r="BM417" s="606"/>
    </row>
    <row r="418" ht="15.75" customHeight="1">
      <c r="A418" s="341"/>
      <c r="B418" s="341"/>
      <c r="C418" s="1056"/>
      <c r="D418" s="488"/>
      <c r="E418" s="148"/>
      <c r="F418" s="341"/>
      <c r="G418" s="148"/>
      <c r="H418" s="341"/>
      <c r="I418" s="341"/>
      <c r="J418" s="341"/>
      <c r="K418" s="148"/>
      <c r="L418" s="341"/>
      <c r="M418" s="341"/>
      <c r="N418" s="341"/>
      <c r="O418" s="341"/>
      <c r="P418" s="341"/>
      <c r="Q418" s="341"/>
      <c r="R418" s="341"/>
      <c r="S418" s="341"/>
      <c r="T418" s="341"/>
      <c r="U418" s="488"/>
      <c r="V418" s="676"/>
      <c r="W418" s="724"/>
      <c r="X418" s="452"/>
      <c r="Y418" s="341"/>
      <c r="Z418" s="341"/>
      <c r="AA418" s="341"/>
      <c r="AB418" s="341"/>
      <c r="AC418" s="341"/>
      <c r="AD418" s="341"/>
      <c r="AE418" s="341"/>
      <c r="AF418" s="148"/>
      <c r="AG418" s="341"/>
      <c r="AH418" s="341"/>
      <c r="AI418" s="341"/>
      <c r="AJ418" s="341"/>
      <c r="AK418" s="341"/>
      <c r="AL418" s="341"/>
      <c r="AM418" s="341"/>
      <c r="AN418" s="341"/>
      <c r="AO418" s="341"/>
      <c r="AP418" s="341"/>
      <c r="AQ418" s="341"/>
      <c r="AR418" s="341"/>
      <c r="AS418" s="341"/>
      <c r="AT418" s="341"/>
      <c r="AU418" s="341"/>
      <c r="AV418" s="341"/>
      <c r="AW418" s="341"/>
      <c r="AX418" s="341"/>
      <c r="AY418" s="341"/>
      <c r="AZ418" s="147"/>
      <c r="BA418" s="147"/>
      <c r="BB418" s="606"/>
      <c r="BC418" s="341"/>
      <c r="BD418" s="341"/>
      <c r="BE418" s="147"/>
      <c r="BF418" s="606"/>
      <c r="BG418" s="606"/>
      <c r="BH418" s="606"/>
      <c r="BI418" s="606"/>
      <c r="BJ418" s="606"/>
      <c r="BK418" s="606"/>
      <c r="BL418" s="606"/>
      <c r="BM418" s="606"/>
    </row>
    <row r="419" ht="15.75" customHeight="1">
      <c r="A419" s="341"/>
      <c r="B419" s="341"/>
      <c r="C419" s="1056"/>
      <c r="D419" s="488"/>
      <c r="E419" s="148"/>
      <c r="F419" s="341"/>
      <c r="G419" s="148"/>
      <c r="H419" s="341"/>
      <c r="I419" s="341"/>
      <c r="J419" s="341"/>
      <c r="K419" s="148"/>
      <c r="L419" s="341"/>
      <c r="M419" s="341"/>
      <c r="N419" s="341"/>
      <c r="O419" s="341"/>
      <c r="P419" s="341"/>
      <c r="Q419" s="341"/>
      <c r="R419" s="341"/>
      <c r="S419" s="341"/>
      <c r="T419" s="341"/>
      <c r="U419" s="488"/>
      <c r="V419" s="676"/>
      <c r="W419" s="724"/>
      <c r="X419" s="452"/>
      <c r="Y419" s="341"/>
      <c r="Z419" s="341"/>
      <c r="AA419" s="341"/>
      <c r="AB419" s="341"/>
      <c r="AC419" s="341"/>
      <c r="AD419" s="341"/>
      <c r="AE419" s="341"/>
      <c r="AF419" s="148"/>
      <c r="AG419" s="341"/>
      <c r="AH419" s="341"/>
      <c r="AI419" s="341"/>
      <c r="AJ419" s="341"/>
      <c r="AK419" s="341"/>
      <c r="AL419" s="341"/>
      <c r="AM419" s="341"/>
      <c r="AN419" s="341"/>
      <c r="AO419" s="341"/>
      <c r="AP419" s="341"/>
      <c r="AQ419" s="341"/>
      <c r="AR419" s="341"/>
      <c r="AS419" s="341"/>
      <c r="AT419" s="341"/>
      <c r="AU419" s="341"/>
      <c r="AV419" s="341"/>
      <c r="AW419" s="341"/>
      <c r="AX419" s="341"/>
      <c r="AY419" s="341"/>
      <c r="AZ419" s="147"/>
      <c r="BA419" s="147"/>
      <c r="BB419" s="606"/>
      <c r="BC419" s="341"/>
      <c r="BD419" s="341"/>
      <c r="BE419" s="147"/>
      <c r="BF419" s="606"/>
      <c r="BG419" s="606"/>
      <c r="BH419" s="606"/>
      <c r="BI419" s="606"/>
      <c r="BJ419" s="606"/>
      <c r="BK419" s="606"/>
      <c r="BL419" s="606"/>
      <c r="BM419" s="606"/>
    </row>
    <row r="420" ht="15.75" customHeight="1">
      <c r="A420" s="341"/>
      <c r="B420" s="341"/>
      <c r="C420" s="1056"/>
      <c r="D420" s="488"/>
      <c r="E420" s="148"/>
      <c r="F420" s="341"/>
      <c r="G420" s="148"/>
      <c r="H420" s="341"/>
      <c r="I420" s="341"/>
      <c r="J420" s="341"/>
      <c r="K420" s="148"/>
      <c r="L420" s="341"/>
      <c r="M420" s="341"/>
      <c r="N420" s="341"/>
      <c r="O420" s="341"/>
      <c r="P420" s="341"/>
      <c r="Q420" s="341"/>
      <c r="R420" s="341"/>
      <c r="S420" s="341"/>
      <c r="T420" s="341"/>
      <c r="U420" s="488"/>
      <c r="V420" s="676"/>
      <c r="W420" s="724"/>
      <c r="X420" s="452"/>
      <c r="Y420" s="341"/>
      <c r="Z420" s="341"/>
      <c r="AA420" s="341"/>
      <c r="AB420" s="341"/>
      <c r="AC420" s="341"/>
      <c r="AD420" s="341"/>
      <c r="AE420" s="341"/>
      <c r="AF420" s="148"/>
      <c r="AG420" s="341"/>
      <c r="AH420" s="341"/>
      <c r="AI420" s="341"/>
      <c r="AJ420" s="341"/>
      <c r="AK420" s="341"/>
      <c r="AL420" s="341"/>
      <c r="AM420" s="341"/>
      <c r="AN420" s="341"/>
      <c r="AO420" s="341"/>
      <c r="AP420" s="341"/>
      <c r="AQ420" s="341"/>
      <c r="AR420" s="341"/>
      <c r="AS420" s="341"/>
      <c r="AT420" s="341"/>
      <c r="AU420" s="341"/>
      <c r="AV420" s="341"/>
      <c r="AW420" s="341"/>
      <c r="AX420" s="341"/>
      <c r="AY420" s="341"/>
      <c r="AZ420" s="147"/>
      <c r="BA420" s="147"/>
      <c r="BB420" s="606"/>
      <c r="BC420" s="341"/>
      <c r="BD420" s="341"/>
      <c r="BE420" s="147"/>
      <c r="BF420" s="606"/>
      <c r="BG420" s="606"/>
      <c r="BH420" s="606"/>
      <c r="BI420" s="606"/>
      <c r="BJ420" s="606"/>
      <c r="BK420" s="606"/>
      <c r="BL420" s="606"/>
      <c r="BM420" s="606"/>
    </row>
    <row r="421" ht="15.75" customHeight="1">
      <c r="A421" s="341"/>
      <c r="B421" s="341"/>
      <c r="C421" s="1056"/>
      <c r="D421" s="488"/>
      <c r="E421" s="148"/>
      <c r="F421" s="341"/>
      <c r="G421" s="148"/>
      <c r="H421" s="341"/>
      <c r="I421" s="341"/>
      <c r="J421" s="341"/>
      <c r="K421" s="148"/>
      <c r="L421" s="341"/>
      <c r="M421" s="341"/>
      <c r="N421" s="341"/>
      <c r="O421" s="341"/>
      <c r="P421" s="341"/>
      <c r="Q421" s="341"/>
      <c r="R421" s="341"/>
      <c r="S421" s="341"/>
      <c r="T421" s="341"/>
      <c r="U421" s="488"/>
      <c r="V421" s="676"/>
      <c r="W421" s="724"/>
      <c r="X421" s="452"/>
      <c r="Y421" s="341"/>
      <c r="Z421" s="341"/>
      <c r="AA421" s="341"/>
      <c r="AB421" s="341"/>
      <c r="AC421" s="341"/>
      <c r="AD421" s="341"/>
      <c r="AE421" s="341"/>
      <c r="AF421" s="148"/>
      <c r="AG421" s="341"/>
      <c r="AH421" s="341"/>
      <c r="AI421" s="341"/>
      <c r="AJ421" s="341"/>
      <c r="AK421" s="341"/>
      <c r="AL421" s="341"/>
      <c r="AM421" s="341"/>
      <c r="AN421" s="341"/>
      <c r="AO421" s="341"/>
      <c r="AP421" s="341"/>
      <c r="AQ421" s="341"/>
      <c r="AR421" s="341"/>
      <c r="AS421" s="341"/>
      <c r="AT421" s="341"/>
      <c r="AU421" s="341"/>
      <c r="AV421" s="341"/>
      <c r="AW421" s="341"/>
      <c r="AX421" s="341"/>
      <c r="AY421" s="341"/>
      <c r="AZ421" s="147"/>
      <c r="BA421" s="147"/>
      <c r="BB421" s="606"/>
      <c r="BC421" s="341"/>
      <c r="BD421" s="341"/>
      <c r="BE421" s="147"/>
      <c r="BF421" s="606"/>
      <c r="BG421" s="606"/>
      <c r="BH421" s="606"/>
      <c r="BI421" s="606"/>
      <c r="BJ421" s="606"/>
      <c r="BK421" s="606"/>
      <c r="BL421" s="606"/>
      <c r="BM421" s="606"/>
    </row>
    <row r="422" ht="15.75" customHeight="1">
      <c r="A422" s="341"/>
      <c r="B422" s="341"/>
      <c r="C422" s="1056"/>
      <c r="D422" s="488"/>
      <c r="E422" s="148"/>
      <c r="F422" s="341"/>
      <c r="G422" s="148"/>
      <c r="H422" s="341"/>
      <c r="I422" s="341"/>
      <c r="J422" s="341"/>
      <c r="K422" s="148"/>
      <c r="L422" s="341"/>
      <c r="M422" s="341"/>
      <c r="N422" s="341"/>
      <c r="O422" s="341"/>
      <c r="P422" s="341"/>
      <c r="Q422" s="341"/>
      <c r="R422" s="341"/>
      <c r="S422" s="341"/>
      <c r="T422" s="341"/>
      <c r="U422" s="488"/>
      <c r="V422" s="676"/>
      <c r="W422" s="724"/>
      <c r="X422" s="452"/>
      <c r="Y422" s="341"/>
      <c r="Z422" s="341"/>
      <c r="AA422" s="341"/>
      <c r="AB422" s="341"/>
      <c r="AC422" s="341"/>
      <c r="AD422" s="341"/>
      <c r="AE422" s="341"/>
      <c r="AF422" s="148"/>
      <c r="AG422" s="341"/>
      <c r="AH422" s="341"/>
      <c r="AI422" s="341"/>
      <c r="AJ422" s="341"/>
      <c r="AK422" s="341"/>
      <c r="AL422" s="341"/>
      <c r="AM422" s="341"/>
      <c r="AN422" s="341"/>
      <c r="AO422" s="341"/>
      <c r="AP422" s="341"/>
      <c r="AQ422" s="341"/>
      <c r="AR422" s="341"/>
      <c r="AS422" s="341"/>
      <c r="AT422" s="341"/>
      <c r="AU422" s="341"/>
      <c r="AV422" s="341"/>
      <c r="AW422" s="341"/>
      <c r="AX422" s="341"/>
      <c r="AY422" s="341"/>
      <c r="AZ422" s="147"/>
      <c r="BA422" s="147"/>
      <c r="BB422" s="606"/>
      <c r="BC422" s="341"/>
      <c r="BD422" s="341"/>
      <c r="BE422" s="147"/>
      <c r="BF422" s="606"/>
      <c r="BG422" s="606"/>
      <c r="BH422" s="606"/>
      <c r="BI422" s="606"/>
      <c r="BJ422" s="606"/>
      <c r="BK422" s="606"/>
      <c r="BL422" s="606"/>
      <c r="BM422" s="606"/>
    </row>
    <row r="423" ht="15.75" customHeight="1">
      <c r="A423" s="341"/>
      <c r="B423" s="341"/>
      <c r="C423" s="1056"/>
      <c r="D423" s="488"/>
      <c r="E423" s="148"/>
      <c r="F423" s="341"/>
      <c r="G423" s="148"/>
      <c r="H423" s="341"/>
      <c r="I423" s="341"/>
      <c r="J423" s="341"/>
      <c r="K423" s="148"/>
      <c r="L423" s="341"/>
      <c r="M423" s="341"/>
      <c r="N423" s="341"/>
      <c r="O423" s="341"/>
      <c r="P423" s="341"/>
      <c r="Q423" s="341"/>
      <c r="R423" s="341"/>
      <c r="S423" s="341"/>
      <c r="T423" s="341"/>
      <c r="U423" s="488"/>
      <c r="V423" s="676"/>
      <c r="W423" s="724"/>
      <c r="X423" s="452"/>
      <c r="Y423" s="341"/>
      <c r="Z423" s="341"/>
      <c r="AA423" s="341"/>
      <c r="AB423" s="341"/>
      <c r="AC423" s="341"/>
      <c r="AD423" s="341"/>
      <c r="AE423" s="341"/>
      <c r="AF423" s="148"/>
      <c r="AG423" s="341"/>
      <c r="AH423" s="341"/>
      <c r="AI423" s="341"/>
      <c r="AJ423" s="341"/>
      <c r="AK423" s="341"/>
      <c r="AL423" s="341"/>
      <c r="AM423" s="341"/>
      <c r="AN423" s="341"/>
      <c r="AO423" s="341"/>
      <c r="AP423" s="341"/>
      <c r="AQ423" s="341"/>
      <c r="AR423" s="341"/>
      <c r="AS423" s="341"/>
      <c r="AT423" s="341"/>
      <c r="AU423" s="341"/>
      <c r="AV423" s="341"/>
      <c r="AW423" s="341"/>
      <c r="AX423" s="341"/>
      <c r="AY423" s="341"/>
      <c r="AZ423" s="147"/>
      <c r="BA423" s="147"/>
      <c r="BB423" s="606"/>
      <c r="BC423" s="341"/>
      <c r="BD423" s="341"/>
      <c r="BE423" s="147"/>
      <c r="BF423" s="606"/>
      <c r="BG423" s="606"/>
      <c r="BH423" s="606"/>
      <c r="BI423" s="606"/>
      <c r="BJ423" s="606"/>
      <c r="BK423" s="606"/>
      <c r="BL423" s="606"/>
      <c r="BM423" s="606"/>
    </row>
    <row r="424" ht="15.75" customHeight="1">
      <c r="A424" s="341"/>
      <c r="B424" s="341"/>
      <c r="C424" s="1056"/>
      <c r="D424" s="488"/>
      <c r="E424" s="148"/>
      <c r="F424" s="341"/>
      <c r="G424" s="148"/>
      <c r="H424" s="341"/>
      <c r="I424" s="341"/>
      <c r="J424" s="341"/>
      <c r="K424" s="148"/>
      <c r="L424" s="341"/>
      <c r="M424" s="341"/>
      <c r="N424" s="341"/>
      <c r="O424" s="341"/>
      <c r="P424" s="341"/>
      <c r="Q424" s="341"/>
      <c r="R424" s="341"/>
      <c r="S424" s="341"/>
      <c r="T424" s="341"/>
      <c r="U424" s="488"/>
      <c r="V424" s="676"/>
      <c r="W424" s="724"/>
      <c r="X424" s="452"/>
      <c r="Y424" s="341"/>
      <c r="Z424" s="341"/>
      <c r="AA424" s="341"/>
      <c r="AB424" s="341"/>
      <c r="AC424" s="341"/>
      <c r="AD424" s="341"/>
      <c r="AE424" s="341"/>
      <c r="AF424" s="148"/>
      <c r="AG424" s="341"/>
      <c r="AH424" s="341"/>
      <c r="AI424" s="341"/>
      <c r="AJ424" s="341"/>
      <c r="AK424" s="341"/>
      <c r="AL424" s="341"/>
      <c r="AM424" s="341"/>
      <c r="AN424" s="341"/>
      <c r="AO424" s="341"/>
      <c r="AP424" s="341"/>
      <c r="AQ424" s="341"/>
      <c r="AR424" s="341"/>
      <c r="AS424" s="341"/>
      <c r="AT424" s="341"/>
      <c r="AU424" s="341"/>
      <c r="AV424" s="341"/>
      <c r="AW424" s="341"/>
      <c r="AX424" s="341"/>
      <c r="AY424" s="341"/>
      <c r="AZ424" s="147"/>
      <c r="BA424" s="147"/>
      <c r="BB424" s="606"/>
      <c r="BC424" s="341"/>
      <c r="BD424" s="341"/>
      <c r="BE424" s="147"/>
      <c r="BF424" s="606"/>
      <c r="BG424" s="606"/>
      <c r="BH424" s="606"/>
      <c r="BI424" s="606"/>
      <c r="BJ424" s="606"/>
      <c r="BK424" s="606"/>
      <c r="BL424" s="606"/>
      <c r="BM424" s="606"/>
    </row>
    <row r="425" ht="15.75" customHeight="1">
      <c r="A425" s="341"/>
      <c r="B425" s="341"/>
      <c r="C425" s="1056"/>
      <c r="D425" s="488"/>
      <c r="E425" s="148"/>
      <c r="F425" s="341"/>
      <c r="G425" s="148"/>
      <c r="H425" s="341"/>
      <c r="I425" s="341"/>
      <c r="J425" s="341"/>
      <c r="K425" s="148"/>
      <c r="L425" s="341"/>
      <c r="M425" s="341"/>
      <c r="N425" s="341"/>
      <c r="O425" s="341"/>
      <c r="P425" s="341"/>
      <c r="Q425" s="341"/>
      <c r="R425" s="341"/>
      <c r="S425" s="341"/>
      <c r="T425" s="341"/>
      <c r="U425" s="488"/>
      <c r="V425" s="676"/>
      <c r="W425" s="724"/>
      <c r="X425" s="452"/>
      <c r="Y425" s="341"/>
      <c r="Z425" s="341"/>
      <c r="AA425" s="341"/>
      <c r="AB425" s="341"/>
      <c r="AC425" s="341"/>
      <c r="AD425" s="341"/>
      <c r="AE425" s="341"/>
      <c r="AF425" s="148"/>
      <c r="AG425" s="341"/>
      <c r="AH425" s="341"/>
      <c r="AI425" s="341"/>
      <c r="AJ425" s="341"/>
      <c r="AK425" s="341"/>
      <c r="AL425" s="341"/>
      <c r="AM425" s="341"/>
      <c r="AN425" s="341"/>
      <c r="AO425" s="341"/>
      <c r="AP425" s="341"/>
      <c r="AQ425" s="341"/>
      <c r="AR425" s="341"/>
      <c r="AS425" s="341"/>
      <c r="AT425" s="341"/>
      <c r="AU425" s="341"/>
      <c r="AV425" s="341"/>
      <c r="AW425" s="341"/>
      <c r="AX425" s="341"/>
      <c r="AY425" s="341"/>
      <c r="AZ425" s="147"/>
      <c r="BA425" s="147"/>
      <c r="BB425" s="606"/>
      <c r="BC425" s="341"/>
      <c r="BD425" s="341"/>
      <c r="BE425" s="147"/>
      <c r="BF425" s="606"/>
      <c r="BG425" s="606"/>
      <c r="BH425" s="606"/>
      <c r="BI425" s="606"/>
      <c r="BJ425" s="606"/>
      <c r="BK425" s="606"/>
      <c r="BL425" s="606"/>
      <c r="BM425" s="606"/>
    </row>
    <row r="426" ht="15.75" customHeight="1">
      <c r="A426" s="341"/>
      <c r="B426" s="341"/>
      <c r="C426" s="1056"/>
      <c r="D426" s="488"/>
      <c r="E426" s="148"/>
      <c r="F426" s="341"/>
      <c r="G426" s="148"/>
      <c r="H426" s="341"/>
      <c r="I426" s="341"/>
      <c r="J426" s="341"/>
      <c r="K426" s="148"/>
      <c r="L426" s="341"/>
      <c r="M426" s="341"/>
      <c r="N426" s="341"/>
      <c r="O426" s="341"/>
      <c r="P426" s="341"/>
      <c r="Q426" s="341"/>
      <c r="R426" s="341"/>
      <c r="S426" s="341"/>
      <c r="T426" s="341"/>
      <c r="U426" s="488"/>
      <c r="V426" s="676"/>
      <c r="W426" s="724"/>
      <c r="X426" s="452"/>
      <c r="Y426" s="341"/>
      <c r="Z426" s="341"/>
      <c r="AA426" s="341"/>
      <c r="AB426" s="341"/>
      <c r="AC426" s="341"/>
      <c r="AD426" s="341"/>
      <c r="AE426" s="341"/>
      <c r="AF426" s="148"/>
      <c r="AG426" s="341"/>
      <c r="AH426" s="341"/>
      <c r="AI426" s="341"/>
      <c r="AJ426" s="341"/>
      <c r="AK426" s="341"/>
      <c r="AL426" s="341"/>
      <c r="AM426" s="341"/>
      <c r="AN426" s="341"/>
      <c r="AO426" s="341"/>
      <c r="AP426" s="341"/>
      <c r="AQ426" s="341"/>
      <c r="AR426" s="341"/>
      <c r="AS426" s="341"/>
      <c r="AT426" s="341"/>
      <c r="AU426" s="341"/>
      <c r="AV426" s="341"/>
      <c r="AW426" s="341"/>
      <c r="AX426" s="341"/>
      <c r="AY426" s="341"/>
      <c r="AZ426" s="147"/>
      <c r="BA426" s="147"/>
      <c r="BB426" s="606"/>
      <c r="BC426" s="341"/>
      <c r="BD426" s="341"/>
      <c r="BE426" s="147"/>
      <c r="BF426" s="606"/>
      <c r="BG426" s="606"/>
      <c r="BH426" s="606"/>
      <c r="BI426" s="606"/>
      <c r="BJ426" s="606"/>
      <c r="BK426" s="606"/>
      <c r="BL426" s="606"/>
      <c r="BM426" s="606"/>
    </row>
    <row r="427" ht="15.75" customHeight="1">
      <c r="A427" s="341"/>
      <c r="B427" s="341"/>
      <c r="C427" s="1056"/>
      <c r="D427" s="488"/>
      <c r="E427" s="148"/>
      <c r="F427" s="341"/>
      <c r="G427" s="148"/>
      <c r="H427" s="341"/>
      <c r="I427" s="341"/>
      <c r="J427" s="341"/>
      <c r="K427" s="148"/>
      <c r="L427" s="341"/>
      <c r="M427" s="341"/>
      <c r="N427" s="341"/>
      <c r="O427" s="341"/>
      <c r="P427" s="341"/>
      <c r="Q427" s="341"/>
      <c r="R427" s="341"/>
      <c r="S427" s="341"/>
      <c r="T427" s="341"/>
      <c r="U427" s="488"/>
      <c r="V427" s="676"/>
      <c r="W427" s="724"/>
      <c r="X427" s="452"/>
      <c r="Y427" s="341"/>
      <c r="Z427" s="341"/>
      <c r="AA427" s="341"/>
      <c r="AB427" s="341"/>
      <c r="AC427" s="341"/>
      <c r="AD427" s="341"/>
      <c r="AE427" s="341"/>
      <c r="AF427" s="148"/>
      <c r="AG427" s="341"/>
      <c r="AH427" s="341"/>
      <c r="AI427" s="341"/>
      <c r="AJ427" s="341"/>
      <c r="AK427" s="341"/>
      <c r="AL427" s="341"/>
      <c r="AM427" s="341"/>
      <c r="AN427" s="341"/>
      <c r="AO427" s="341"/>
      <c r="AP427" s="341"/>
      <c r="AQ427" s="341"/>
      <c r="AR427" s="341"/>
      <c r="AS427" s="341"/>
      <c r="AT427" s="341"/>
      <c r="AU427" s="341"/>
      <c r="AV427" s="341"/>
      <c r="AW427" s="341"/>
      <c r="AX427" s="341"/>
      <c r="AY427" s="341"/>
      <c r="AZ427" s="147"/>
      <c r="BA427" s="147"/>
      <c r="BB427" s="606"/>
      <c r="BC427" s="341"/>
      <c r="BD427" s="341"/>
      <c r="BE427" s="147"/>
      <c r="BF427" s="606"/>
      <c r="BG427" s="606"/>
      <c r="BH427" s="606"/>
      <c r="BI427" s="606"/>
      <c r="BJ427" s="606"/>
      <c r="BK427" s="606"/>
      <c r="BL427" s="606"/>
      <c r="BM427" s="606"/>
    </row>
    <row r="428" ht="15.75" customHeight="1">
      <c r="A428" s="341"/>
      <c r="B428" s="341"/>
      <c r="C428" s="1056"/>
      <c r="D428" s="488"/>
      <c r="E428" s="148"/>
      <c r="F428" s="341"/>
      <c r="G428" s="148"/>
      <c r="H428" s="341"/>
      <c r="I428" s="341"/>
      <c r="J428" s="341"/>
      <c r="K428" s="148"/>
      <c r="L428" s="341"/>
      <c r="M428" s="341"/>
      <c r="N428" s="341"/>
      <c r="O428" s="341"/>
      <c r="P428" s="341"/>
      <c r="Q428" s="341"/>
      <c r="R428" s="341"/>
      <c r="S428" s="341"/>
      <c r="T428" s="341"/>
      <c r="U428" s="488"/>
      <c r="V428" s="676"/>
      <c r="W428" s="724"/>
      <c r="X428" s="452"/>
      <c r="Y428" s="341"/>
      <c r="Z428" s="341"/>
      <c r="AA428" s="341"/>
      <c r="AB428" s="341"/>
      <c r="AC428" s="341"/>
      <c r="AD428" s="341"/>
      <c r="AE428" s="341"/>
      <c r="AF428" s="148"/>
      <c r="AG428" s="341"/>
      <c r="AH428" s="341"/>
      <c r="AI428" s="341"/>
      <c r="AJ428" s="341"/>
      <c r="AK428" s="341"/>
      <c r="AL428" s="341"/>
      <c r="AM428" s="341"/>
      <c r="AN428" s="341"/>
      <c r="AO428" s="341"/>
      <c r="AP428" s="341"/>
      <c r="AQ428" s="341"/>
      <c r="AR428" s="341"/>
      <c r="AS428" s="341"/>
      <c r="AT428" s="341"/>
      <c r="AU428" s="341"/>
      <c r="AV428" s="341"/>
      <c r="AW428" s="341"/>
      <c r="AX428" s="341"/>
      <c r="AY428" s="341"/>
      <c r="AZ428" s="147"/>
      <c r="BA428" s="147"/>
      <c r="BB428" s="606"/>
      <c r="BC428" s="341"/>
      <c r="BD428" s="341"/>
      <c r="BE428" s="147"/>
      <c r="BF428" s="606"/>
      <c r="BG428" s="606"/>
      <c r="BH428" s="606"/>
      <c r="BI428" s="606"/>
      <c r="BJ428" s="606"/>
      <c r="BK428" s="606"/>
      <c r="BL428" s="606"/>
      <c r="BM428" s="606"/>
    </row>
    <row r="429" ht="15.75" customHeight="1">
      <c r="A429" s="341"/>
      <c r="B429" s="341"/>
      <c r="C429" s="1056"/>
      <c r="D429" s="488"/>
      <c r="E429" s="148"/>
      <c r="F429" s="341"/>
      <c r="G429" s="148"/>
      <c r="H429" s="341"/>
      <c r="I429" s="341"/>
      <c r="J429" s="341"/>
      <c r="K429" s="148"/>
      <c r="L429" s="341"/>
      <c r="M429" s="341"/>
      <c r="N429" s="341"/>
      <c r="O429" s="341"/>
      <c r="P429" s="341"/>
      <c r="Q429" s="341"/>
      <c r="R429" s="341"/>
      <c r="S429" s="341"/>
      <c r="T429" s="341"/>
      <c r="U429" s="488"/>
      <c r="V429" s="676"/>
      <c r="W429" s="724"/>
      <c r="X429" s="452"/>
      <c r="Y429" s="341"/>
      <c r="Z429" s="341"/>
      <c r="AA429" s="341"/>
      <c r="AB429" s="341"/>
      <c r="AC429" s="341"/>
      <c r="AD429" s="341"/>
      <c r="AE429" s="341"/>
      <c r="AF429" s="148"/>
      <c r="AG429" s="341"/>
      <c r="AH429" s="341"/>
      <c r="AI429" s="341"/>
      <c r="AJ429" s="341"/>
      <c r="AK429" s="341"/>
      <c r="AL429" s="341"/>
      <c r="AM429" s="341"/>
      <c r="AN429" s="341"/>
      <c r="AO429" s="341"/>
      <c r="AP429" s="341"/>
      <c r="AQ429" s="341"/>
      <c r="AR429" s="341"/>
      <c r="AS429" s="341"/>
      <c r="AT429" s="341"/>
      <c r="AU429" s="341"/>
      <c r="AV429" s="341"/>
      <c r="AW429" s="341"/>
      <c r="AX429" s="341"/>
      <c r="AY429" s="341"/>
      <c r="AZ429" s="147"/>
      <c r="BA429" s="147"/>
      <c r="BB429" s="606"/>
      <c r="BC429" s="341"/>
      <c r="BD429" s="341"/>
      <c r="BE429" s="147"/>
      <c r="BF429" s="606"/>
      <c r="BG429" s="606"/>
      <c r="BH429" s="606"/>
      <c r="BI429" s="606"/>
      <c r="BJ429" s="606"/>
      <c r="BK429" s="606"/>
      <c r="BL429" s="606"/>
      <c r="BM429" s="606"/>
    </row>
    <row r="430" ht="15.75" customHeight="1">
      <c r="A430" s="341"/>
      <c r="B430" s="341"/>
      <c r="C430" s="1056"/>
      <c r="D430" s="488"/>
      <c r="E430" s="148"/>
      <c r="F430" s="341"/>
      <c r="G430" s="148"/>
      <c r="H430" s="341"/>
      <c r="I430" s="341"/>
      <c r="J430" s="341"/>
      <c r="K430" s="148"/>
      <c r="L430" s="341"/>
      <c r="M430" s="341"/>
      <c r="N430" s="341"/>
      <c r="O430" s="341"/>
      <c r="P430" s="341"/>
      <c r="Q430" s="341"/>
      <c r="R430" s="341"/>
      <c r="S430" s="341"/>
      <c r="T430" s="341"/>
      <c r="U430" s="488"/>
      <c r="V430" s="676"/>
      <c r="W430" s="724"/>
      <c r="X430" s="452"/>
      <c r="Y430" s="341"/>
      <c r="Z430" s="341"/>
      <c r="AA430" s="341"/>
      <c r="AB430" s="341"/>
      <c r="AC430" s="341"/>
      <c r="AD430" s="341"/>
      <c r="AE430" s="341"/>
      <c r="AF430" s="148"/>
      <c r="AG430" s="341"/>
      <c r="AH430" s="341"/>
      <c r="AI430" s="341"/>
      <c r="AJ430" s="341"/>
      <c r="AK430" s="341"/>
      <c r="AL430" s="341"/>
      <c r="AM430" s="341"/>
      <c r="AN430" s="341"/>
      <c r="AO430" s="341"/>
      <c r="AP430" s="341"/>
      <c r="AQ430" s="341"/>
      <c r="AR430" s="341"/>
      <c r="AS430" s="341"/>
      <c r="AT430" s="341"/>
      <c r="AU430" s="341"/>
      <c r="AV430" s="341"/>
      <c r="AW430" s="341"/>
      <c r="AX430" s="341"/>
      <c r="AY430" s="341"/>
      <c r="AZ430" s="147"/>
      <c r="BA430" s="147"/>
      <c r="BB430" s="606"/>
      <c r="BC430" s="341"/>
      <c r="BD430" s="341"/>
      <c r="BE430" s="147"/>
      <c r="BF430" s="606"/>
      <c r="BG430" s="606"/>
      <c r="BH430" s="606"/>
      <c r="BI430" s="606"/>
      <c r="BJ430" s="606"/>
      <c r="BK430" s="606"/>
      <c r="BL430" s="606"/>
      <c r="BM430" s="606"/>
    </row>
    <row r="431" ht="15.75" customHeight="1">
      <c r="A431" s="341"/>
      <c r="B431" s="341"/>
      <c r="C431" s="1056"/>
      <c r="D431" s="488"/>
      <c r="E431" s="148"/>
      <c r="F431" s="341"/>
      <c r="G431" s="148"/>
      <c r="H431" s="341"/>
      <c r="I431" s="341"/>
      <c r="J431" s="341"/>
      <c r="K431" s="148"/>
      <c r="L431" s="341"/>
      <c r="M431" s="341"/>
      <c r="N431" s="341"/>
      <c r="O431" s="341"/>
      <c r="P431" s="341"/>
      <c r="Q431" s="341"/>
      <c r="R431" s="341"/>
      <c r="S431" s="341"/>
      <c r="T431" s="341"/>
      <c r="U431" s="488"/>
      <c r="V431" s="676"/>
      <c r="W431" s="724"/>
      <c r="X431" s="452"/>
      <c r="Y431" s="341"/>
      <c r="Z431" s="341"/>
      <c r="AA431" s="341"/>
      <c r="AB431" s="341"/>
      <c r="AC431" s="341"/>
      <c r="AD431" s="341"/>
      <c r="AE431" s="341"/>
      <c r="AF431" s="148"/>
      <c r="AG431" s="341"/>
      <c r="AH431" s="341"/>
      <c r="AI431" s="341"/>
      <c r="AJ431" s="341"/>
      <c r="AK431" s="341"/>
      <c r="AL431" s="341"/>
      <c r="AM431" s="341"/>
      <c r="AN431" s="341"/>
      <c r="AO431" s="341"/>
      <c r="AP431" s="341"/>
      <c r="AQ431" s="341"/>
      <c r="AR431" s="341"/>
      <c r="AS431" s="341"/>
      <c r="AT431" s="341"/>
      <c r="AU431" s="341"/>
      <c r="AV431" s="341"/>
      <c r="AW431" s="341"/>
      <c r="AX431" s="341"/>
      <c r="AY431" s="341"/>
      <c r="AZ431" s="147"/>
      <c r="BA431" s="147"/>
      <c r="BB431" s="606"/>
      <c r="BC431" s="341"/>
      <c r="BD431" s="341"/>
      <c r="BE431" s="147"/>
      <c r="BF431" s="606"/>
      <c r="BG431" s="606"/>
      <c r="BH431" s="606"/>
      <c r="BI431" s="606"/>
      <c r="BJ431" s="606"/>
      <c r="BK431" s="606"/>
      <c r="BL431" s="606"/>
      <c r="BM431" s="606"/>
    </row>
    <row r="432" ht="15.75" customHeight="1">
      <c r="A432" s="341"/>
      <c r="B432" s="341"/>
      <c r="C432" s="1056"/>
      <c r="D432" s="488"/>
      <c r="E432" s="148"/>
      <c r="F432" s="341"/>
      <c r="G432" s="148"/>
      <c r="H432" s="341"/>
      <c r="I432" s="341"/>
      <c r="J432" s="341"/>
      <c r="K432" s="148"/>
      <c r="L432" s="341"/>
      <c r="M432" s="341"/>
      <c r="N432" s="341"/>
      <c r="O432" s="341"/>
      <c r="P432" s="341"/>
      <c r="Q432" s="341"/>
      <c r="R432" s="341"/>
      <c r="S432" s="341"/>
      <c r="T432" s="341"/>
      <c r="U432" s="488"/>
      <c r="V432" s="676"/>
      <c r="W432" s="724"/>
      <c r="X432" s="452"/>
      <c r="Y432" s="341"/>
      <c r="Z432" s="341"/>
      <c r="AA432" s="341"/>
      <c r="AB432" s="341"/>
      <c r="AC432" s="341"/>
      <c r="AD432" s="341"/>
      <c r="AE432" s="341"/>
      <c r="AF432" s="148"/>
      <c r="AG432" s="341"/>
      <c r="AH432" s="341"/>
      <c r="AI432" s="341"/>
      <c r="AJ432" s="341"/>
      <c r="AK432" s="341"/>
      <c r="AL432" s="341"/>
      <c r="AM432" s="341"/>
      <c r="AN432" s="341"/>
      <c r="AO432" s="341"/>
      <c r="AP432" s="341"/>
      <c r="AQ432" s="341"/>
      <c r="AR432" s="341"/>
      <c r="AS432" s="341"/>
      <c r="AT432" s="341"/>
      <c r="AU432" s="341"/>
      <c r="AV432" s="341"/>
      <c r="AW432" s="341"/>
      <c r="AX432" s="341"/>
      <c r="AY432" s="341"/>
      <c r="AZ432" s="147"/>
      <c r="BA432" s="147"/>
      <c r="BB432" s="606"/>
      <c r="BC432" s="341"/>
      <c r="BD432" s="341"/>
      <c r="BE432" s="147"/>
      <c r="BF432" s="606"/>
      <c r="BG432" s="606"/>
      <c r="BH432" s="606"/>
      <c r="BI432" s="606"/>
      <c r="BJ432" s="606"/>
      <c r="BK432" s="606"/>
      <c r="BL432" s="606"/>
      <c r="BM432" s="606"/>
    </row>
    <row r="433" ht="15.75" customHeight="1">
      <c r="A433" s="341"/>
      <c r="B433" s="341"/>
      <c r="C433" s="1056"/>
      <c r="D433" s="488"/>
      <c r="E433" s="148"/>
      <c r="F433" s="341"/>
      <c r="G433" s="148"/>
      <c r="H433" s="341"/>
      <c r="I433" s="341"/>
      <c r="J433" s="341"/>
      <c r="K433" s="148"/>
      <c r="L433" s="341"/>
      <c r="M433" s="341"/>
      <c r="N433" s="341"/>
      <c r="O433" s="341"/>
      <c r="P433" s="341"/>
      <c r="Q433" s="341"/>
      <c r="R433" s="341"/>
      <c r="S433" s="341"/>
      <c r="T433" s="341"/>
      <c r="U433" s="488"/>
      <c r="V433" s="676"/>
      <c r="W433" s="724"/>
      <c r="X433" s="452"/>
      <c r="Y433" s="341"/>
      <c r="Z433" s="341"/>
      <c r="AA433" s="341"/>
      <c r="AB433" s="341"/>
      <c r="AC433" s="341"/>
      <c r="AD433" s="341"/>
      <c r="AE433" s="341"/>
      <c r="AF433" s="148"/>
      <c r="AG433" s="341"/>
      <c r="AH433" s="341"/>
      <c r="AI433" s="341"/>
      <c r="AJ433" s="341"/>
      <c r="AK433" s="341"/>
      <c r="AL433" s="341"/>
      <c r="AM433" s="341"/>
      <c r="AN433" s="341"/>
      <c r="AO433" s="341"/>
      <c r="AP433" s="341"/>
      <c r="AQ433" s="341"/>
      <c r="AR433" s="341"/>
      <c r="AS433" s="341"/>
      <c r="AT433" s="341"/>
      <c r="AU433" s="341"/>
      <c r="AV433" s="341"/>
      <c r="AW433" s="341"/>
      <c r="AX433" s="341"/>
      <c r="AY433" s="341"/>
      <c r="AZ433" s="147"/>
      <c r="BA433" s="147"/>
      <c r="BB433" s="606"/>
      <c r="BC433" s="341"/>
      <c r="BD433" s="341"/>
      <c r="BE433" s="147"/>
      <c r="BF433" s="606"/>
      <c r="BG433" s="606"/>
      <c r="BH433" s="606"/>
      <c r="BI433" s="606"/>
      <c r="BJ433" s="606"/>
      <c r="BK433" s="606"/>
      <c r="BL433" s="606"/>
      <c r="BM433" s="606"/>
    </row>
    <row r="434" ht="15.75" customHeight="1">
      <c r="A434" s="341"/>
      <c r="B434" s="341"/>
      <c r="C434" s="1056"/>
      <c r="D434" s="488"/>
      <c r="E434" s="148"/>
      <c r="F434" s="341"/>
      <c r="G434" s="148"/>
      <c r="H434" s="341"/>
      <c r="I434" s="341"/>
      <c r="J434" s="341"/>
      <c r="K434" s="148"/>
      <c r="L434" s="341"/>
      <c r="M434" s="341"/>
      <c r="N434" s="341"/>
      <c r="O434" s="341"/>
      <c r="P434" s="341"/>
      <c r="Q434" s="341"/>
      <c r="R434" s="341"/>
      <c r="S434" s="341"/>
      <c r="T434" s="341"/>
      <c r="U434" s="488"/>
      <c r="V434" s="676"/>
      <c r="W434" s="724"/>
      <c r="X434" s="452"/>
      <c r="Y434" s="341"/>
      <c r="Z434" s="341"/>
      <c r="AA434" s="341"/>
      <c r="AB434" s="341"/>
      <c r="AC434" s="341"/>
      <c r="AD434" s="341"/>
      <c r="AE434" s="341"/>
      <c r="AF434" s="148"/>
      <c r="AG434" s="341"/>
      <c r="AH434" s="341"/>
      <c r="AI434" s="341"/>
      <c r="AJ434" s="341"/>
      <c r="AK434" s="341"/>
      <c r="AL434" s="341"/>
      <c r="AM434" s="341"/>
      <c r="AN434" s="341"/>
      <c r="AO434" s="341"/>
      <c r="AP434" s="341"/>
      <c r="AQ434" s="341"/>
      <c r="AR434" s="341"/>
      <c r="AS434" s="341"/>
      <c r="AT434" s="341"/>
      <c r="AU434" s="341"/>
      <c r="AV434" s="341"/>
      <c r="AW434" s="341"/>
      <c r="AX434" s="341"/>
      <c r="AY434" s="341"/>
      <c r="AZ434" s="147"/>
      <c r="BA434" s="147"/>
      <c r="BB434" s="606"/>
      <c r="BC434" s="341"/>
      <c r="BD434" s="341"/>
      <c r="BE434" s="147"/>
      <c r="BF434" s="606"/>
      <c r="BG434" s="606"/>
      <c r="BH434" s="606"/>
      <c r="BI434" s="606"/>
      <c r="BJ434" s="606"/>
      <c r="BK434" s="606"/>
      <c r="BL434" s="606"/>
      <c r="BM434" s="606"/>
    </row>
    <row r="435" ht="15.75" customHeight="1">
      <c r="A435" s="341"/>
      <c r="B435" s="341"/>
      <c r="C435" s="1056"/>
      <c r="D435" s="488"/>
      <c r="E435" s="148"/>
      <c r="F435" s="341"/>
      <c r="G435" s="148"/>
      <c r="H435" s="341"/>
      <c r="I435" s="341"/>
      <c r="J435" s="341"/>
      <c r="K435" s="148"/>
      <c r="L435" s="341"/>
      <c r="M435" s="341"/>
      <c r="N435" s="341"/>
      <c r="O435" s="341"/>
      <c r="P435" s="341"/>
      <c r="Q435" s="341"/>
      <c r="R435" s="341"/>
      <c r="S435" s="341"/>
      <c r="T435" s="341"/>
      <c r="U435" s="488"/>
      <c r="V435" s="676"/>
      <c r="W435" s="724"/>
      <c r="X435" s="452"/>
      <c r="Y435" s="341"/>
      <c r="Z435" s="341"/>
      <c r="AA435" s="341"/>
      <c r="AB435" s="341"/>
      <c r="AC435" s="341"/>
      <c r="AD435" s="341"/>
      <c r="AE435" s="341"/>
      <c r="AF435" s="148"/>
      <c r="AG435" s="341"/>
      <c r="AH435" s="341"/>
      <c r="AI435" s="341"/>
      <c r="AJ435" s="341"/>
      <c r="AK435" s="341"/>
      <c r="AL435" s="341"/>
      <c r="AM435" s="341"/>
      <c r="AN435" s="341"/>
      <c r="AO435" s="341"/>
      <c r="AP435" s="341"/>
      <c r="AQ435" s="341"/>
      <c r="AR435" s="341"/>
      <c r="AS435" s="341"/>
      <c r="AT435" s="341"/>
      <c r="AU435" s="341"/>
      <c r="AV435" s="341"/>
      <c r="AW435" s="341"/>
      <c r="AX435" s="341"/>
      <c r="AY435" s="341"/>
      <c r="AZ435" s="147"/>
      <c r="BA435" s="147"/>
      <c r="BB435" s="606"/>
      <c r="BC435" s="341"/>
      <c r="BD435" s="341"/>
      <c r="BE435" s="147"/>
      <c r="BF435" s="606"/>
      <c r="BG435" s="606"/>
      <c r="BH435" s="606"/>
      <c r="BI435" s="606"/>
      <c r="BJ435" s="606"/>
      <c r="BK435" s="606"/>
      <c r="BL435" s="606"/>
      <c r="BM435" s="606"/>
    </row>
    <row r="436" ht="15.75" customHeight="1">
      <c r="A436" s="341"/>
      <c r="B436" s="341"/>
      <c r="C436" s="1056"/>
      <c r="D436" s="488"/>
      <c r="E436" s="148"/>
      <c r="F436" s="341"/>
      <c r="G436" s="148"/>
      <c r="H436" s="341"/>
      <c r="I436" s="341"/>
      <c r="J436" s="341"/>
      <c r="K436" s="148"/>
      <c r="L436" s="341"/>
      <c r="M436" s="341"/>
      <c r="N436" s="341"/>
      <c r="O436" s="341"/>
      <c r="P436" s="341"/>
      <c r="Q436" s="341"/>
      <c r="R436" s="341"/>
      <c r="S436" s="341"/>
      <c r="T436" s="341"/>
      <c r="U436" s="488"/>
      <c r="V436" s="676"/>
      <c r="W436" s="724"/>
      <c r="X436" s="452"/>
      <c r="Y436" s="341"/>
      <c r="Z436" s="341"/>
      <c r="AA436" s="341"/>
      <c r="AB436" s="341"/>
      <c r="AC436" s="341"/>
      <c r="AD436" s="341"/>
      <c r="AE436" s="341"/>
      <c r="AF436" s="148"/>
      <c r="AG436" s="341"/>
      <c r="AH436" s="341"/>
      <c r="AI436" s="341"/>
      <c r="AJ436" s="341"/>
      <c r="AK436" s="341"/>
      <c r="AL436" s="341"/>
      <c r="AM436" s="341"/>
      <c r="AN436" s="341"/>
      <c r="AO436" s="341"/>
      <c r="AP436" s="341"/>
      <c r="AQ436" s="341"/>
      <c r="AR436" s="341"/>
      <c r="AS436" s="341"/>
      <c r="AT436" s="341"/>
      <c r="AU436" s="341"/>
      <c r="AV436" s="341"/>
      <c r="AW436" s="341"/>
      <c r="AX436" s="341"/>
      <c r="AY436" s="341"/>
      <c r="AZ436" s="147"/>
      <c r="BA436" s="147"/>
      <c r="BB436" s="606"/>
      <c r="BC436" s="341"/>
      <c r="BD436" s="341"/>
      <c r="BE436" s="147"/>
      <c r="BF436" s="606"/>
      <c r="BG436" s="606"/>
      <c r="BH436" s="606"/>
      <c r="BI436" s="606"/>
      <c r="BJ436" s="606"/>
      <c r="BK436" s="606"/>
      <c r="BL436" s="606"/>
      <c r="BM436" s="606"/>
    </row>
    <row r="437" ht="15.75" customHeight="1">
      <c r="A437" s="341"/>
      <c r="B437" s="341"/>
      <c r="C437" s="1056"/>
      <c r="D437" s="488"/>
      <c r="E437" s="148"/>
      <c r="F437" s="341"/>
      <c r="G437" s="148"/>
      <c r="H437" s="341"/>
      <c r="I437" s="341"/>
      <c r="J437" s="341"/>
      <c r="K437" s="148"/>
      <c r="L437" s="341"/>
      <c r="M437" s="341"/>
      <c r="N437" s="341"/>
      <c r="O437" s="341"/>
      <c r="P437" s="341"/>
      <c r="Q437" s="341"/>
      <c r="R437" s="341"/>
      <c r="S437" s="341"/>
      <c r="T437" s="341"/>
      <c r="U437" s="488"/>
      <c r="V437" s="676"/>
      <c r="W437" s="724"/>
      <c r="X437" s="452"/>
      <c r="Y437" s="341"/>
      <c r="Z437" s="341"/>
      <c r="AA437" s="341"/>
      <c r="AB437" s="341"/>
      <c r="AC437" s="341"/>
      <c r="AD437" s="341"/>
      <c r="AE437" s="341"/>
      <c r="AF437" s="148"/>
      <c r="AG437" s="341"/>
      <c r="AH437" s="341"/>
      <c r="AI437" s="341"/>
      <c r="AJ437" s="341"/>
      <c r="AK437" s="341"/>
      <c r="AL437" s="341"/>
      <c r="AM437" s="341"/>
      <c r="AN437" s="341"/>
      <c r="AO437" s="341"/>
      <c r="AP437" s="341"/>
      <c r="AQ437" s="341"/>
      <c r="AR437" s="341"/>
      <c r="AS437" s="341"/>
      <c r="AT437" s="341"/>
      <c r="AU437" s="341"/>
      <c r="AV437" s="341"/>
      <c r="AW437" s="341"/>
      <c r="AX437" s="341"/>
      <c r="AY437" s="341"/>
      <c r="AZ437" s="147"/>
      <c r="BA437" s="147"/>
      <c r="BB437" s="606"/>
      <c r="BC437" s="341"/>
      <c r="BD437" s="341"/>
      <c r="BE437" s="147"/>
      <c r="BF437" s="606"/>
      <c r="BG437" s="606"/>
      <c r="BH437" s="606"/>
      <c r="BI437" s="606"/>
      <c r="BJ437" s="606"/>
      <c r="BK437" s="606"/>
      <c r="BL437" s="606"/>
      <c r="BM437" s="606"/>
    </row>
    <row r="438" ht="15.75" customHeight="1">
      <c r="A438" s="341"/>
      <c r="B438" s="341"/>
      <c r="C438" s="1056"/>
      <c r="D438" s="488"/>
      <c r="E438" s="148"/>
      <c r="F438" s="341"/>
      <c r="G438" s="148"/>
      <c r="H438" s="341"/>
      <c r="I438" s="341"/>
      <c r="J438" s="341"/>
      <c r="K438" s="148"/>
      <c r="L438" s="341"/>
      <c r="M438" s="341"/>
      <c r="N438" s="341"/>
      <c r="O438" s="341"/>
      <c r="P438" s="341"/>
      <c r="Q438" s="341"/>
      <c r="R438" s="341"/>
      <c r="S438" s="341"/>
      <c r="T438" s="341"/>
      <c r="U438" s="488"/>
      <c r="V438" s="676"/>
      <c r="W438" s="724"/>
      <c r="X438" s="452"/>
      <c r="Y438" s="341"/>
      <c r="Z438" s="341"/>
      <c r="AA438" s="341"/>
      <c r="AB438" s="341"/>
      <c r="AC438" s="341"/>
      <c r="AD438" s="341"/>
      <c r="AE438" s="341"/>
      <c r="AF438" s="148"/>
      <c r="AG438" s="341"/>
      <c r="AH438" s="341"/>
      <c r="AI438" s="341"/>
      <c r="AJ438" s="341"/>
      <c r="AK438" s="341"/>
      <c r="AL438" s="341"/>
      <c r="AM438" s="341"/>
      <c r="AN438" s="341"/>
      <c r="AO438" s="341"/>
      <c r="AP438" s="341"/>
      <c r="AQ438" s="341"/>
      <c r="AR438" s="341"/>
      <c r="AS438" s="341"/>
      <c r="AT438" s="341"/>
      <c r="AU438" s="341"/>
      <c r="AV438" s="341"/>
      <c r="AW438" s="341"/>
      <c r="AX438" s="341"/>
      <c r="AY438" s="341"/>
      <c r="AZ438" s="147"/>
      <c r="BA438" s="147"/>
      <c r="BB438" s="606"/>
      <c r="BC438" s="341"/>
      <c r="BD438" s="341"/>
      <c r="BE438" s="147"/>
      <c r="BF438" s="606"/>
      <c r="BG438" s="606"/>
      <c r="BH438" s="606"/>
      <c r="BI438" s="606"/>
      <c r="BJ438" s="606"/>
      <c r="BK438" s="606"/>
      <c r="BL438" s="606"/>
      <c r="BM438" s="606"/>
    </row>
    <row r="439" ht="15.75" customHeight="1">
      <c r="A439" s="341"/>
      <c r="B439" s="341"/>
      <c r="C439" s="1056"/>
      <c r="D439" s="488"/>
      <c r="E439" s="148"/>
      <c r="F439" s="341"/>
      <c r="G439" s="148"/>
      <c r="H439" s="341"/>
      <c r="I439" s="341"/>
      <c r="J439" s="341"/>
      <c r="K439" s="148"/>
      <c r="L439" s="341"/>
      <c r="M439" s="341"/>
      <c r="N439" s="341"/>
      <c r="O439" s="341"/>
      <c r="P439" s="341"/>
      <c r="Q439" s="341"/>
      <c r="R439" s="341"/>
      <c r="S439" s="341"/>
      <c r="T439" s="341"/>
      <c r="U439" s="488"/>
      <c r="V439" s="676"/>
      <c r="W439" s="724"/>
      <c r="X439" s="452"/>
      <c r="Y439" s="341"/>
      <c r="Z439" s="341"/>
      <c r="AA439" s="341"/>
      <c r="AB439" s="341"/>
      <c r="AC439" s="341"/>
      <c r="AD439" s="341"/>
      <c r="AE439" s="341"/>
      <c r="AF439" s="148"/>
      <c r="AG439" s="341"/>
      <c r="AH439" s="341"/>
      <c r="AI439" s="341"/>
      <c r="AJ439" s="341"/>
      <c r="AK439" s="341"/>
      <c r="AL439" s="341"/>
      <c r="AM439" s="341"/>
      <c r="AN439" s="341"/>
      <c r="AO439" s="341"/>
      <c r="AP439" s="341"/>
      <c r="AQ439" s="341"/>
      <c r="AR439" s="341"/>
      <c r="AS439" s="341"/>
      <c r="AT439" s="341"/>
      <c r="AU439" s="341"/>
      <c r="AV439" s="341"/>
      <c r="AW439" s="341"/>
      <c r="AX439" s="341"/>
      <c r="AY439" s="341"/>
      <c r="AZ439" s="147"/>
      <c r="BA439" s="147"/>
      <c r="BB439" s="606"/>
      <c r="BC439" s="341"/>
      <c r="BD439" s="341"/>
      <c r="BE439" s="147"/>
      <c r="BF439" s="606"/>
      <c r="BG439" s="606"/>
      <c r="BH439" s="606"/>
      <c r="BI439" s="606"/>
      <c r="BJ439" s="606"/>
      <c r="BK439" s="606"/>
      <c r="BL439" s="606"/>
      <c r="BM439" s="606"/>
    </row>
    <row r="440" ht="15.75" customHeight="1">
      <c r="A440" s="341"/>
      <c r="B440" s="341"/>
      <c r="C440" s="1056"/>
      <c r="D440" s="488"/>
      <c r="E440" s="148"/>
      <c r="F440" s="341"/>
      <c r="G440" s="148"/>
      <c r="H440" s="341"/>
      <c r="I440" s="341"/>
      <c r="J440" s="341"/>
      <c r="K440" s="148"/>
      <c r="L440" s="341"/>
      <c r="M440" s="341"/>
      <c r="N440" s="341"/>
      <c r="O440" s="341"/>
      <c r="P440" s="341"/>
      <c r="Q440" s="341"/>
      <c r="R440" s="341"/>
      <c r="S440" s="341"/>
      <c r="T440" s="341"/>
      <c r="U440" s="488"/>
      <c r="V440" s="676"/>
      <c r="W440" s="724"/>
      <c r="X440" s="452"/>
      <c r="Y440" s="341"/>
      <c r="Z440" s="341"/>
      <c r="AA440" s="341"/>
      <c r="AB440" s="341"/>
      <c r="AC440" s="341"/>
      <c r="AD440" s="341"/>
      <c r="AE440" s="341"/>
      <c r="AF440" s="148"/>
      <c r="AG440" s="341"/>
      <c r="AH440" s="341"/>
      <c r="AI440" s="341"/>
      <c r="AJ440" s="341"/>
      <c r="AK440" s="341"/>
      <c r="AL440" s="341"/>
      <c r="AM440" s="341"/>
      <c r="AN440" s="341"/>
      <c r="AO440" s="341"/>
      <c r="AP440" s="341"/>
      <c r="AQ440" s="341"/>
      <c r="AR440" s="341"/>
      <c r="AS440" s="341"/>
      <c r="AT440" s="341"/>
      <c r="AU440" s="341"/>
      <c r="AV440" s="341"/>
      <c r="AW440" s="341"/>
      <c r="AX440" s="341"/>
      <c r="AY440" s="341"/>
      <c r="AZ440" s="147"/>
      <c r="BA440" s="147"/>
      <c r="BB440" s="606"/>
      <c r="BC440" s="341"/>
      <c r="BD440" s="341"/>
      <c r="BE440" s="147"/>
      <c r="BF440" s="606"/>
      <c r="BG440" s="606"/>
      <c r="BH440" s="606"/>
      <c r="BI440" s="606"/>
      <c r="BJ440" s="606"/>
      <c r="BK440" s="606"/>
      <c r="BL440" s="606"/>
      <c r="BM440" s="606"/>
    </row>
    <row r="441" ht="15.75" customHeight="1">
      <c r="A441" s="341"/>
      <c r="B441" s="341"/>
      <c r="C441" s="1056"/>
      <c r="D441" s="488"/>
      <c r="E441" s="148"/>
      <c r="F441" s="341"/>
      <c r="G441" s="148"/>
      <c r="H441" s="341"/>
      <c r="I441" s="341"/>
      <c r="J441" s="341"/>
      <c r="K441" s="148"/>
      <c r="L441" s="341"/>
      <c r="M441" s="341"/>
      <c r="N441" s="341"/>
      <c r="O441" s="341"/>
      <c r="P441" s="341"/>
      <c r="Q441" s="341"/>
      <c r="R441" s="341"/>
      <c r="S441" s="341"/>
      <c r="T441" s="341"/>
      <c r="U441" s="488"/>
      <c r="V441" s="676"/>
      <c r="W441" s="724"/>
      <c r="X441" s="452"/>
      <c r="Y441" s="341"/>
      <c r="Z441" s="341"/>
      <c r="AA441" s="341"/>
      <c r="AB441" s="341"/>
      <c r="AC441" s="341"/>
      <c r="AD441" s="341"/>
      <c r="AE441" s="341"/>
      <c r="AF441" s="148"/>
      <c r="AG441" s="341"/>
      <c r="AH441" s="341"/>
      <c r="AI441" s="341"/>
      <c r="AJ441" s="341"/>
      <c r="AK441" s="341"/>
      <c r="AL441" s="341"/>
      <c r="AM441" s="341"/>
      <c r="AN441" s="341"/>
      <c r="AO441" s="341"/>
      <c r="AP441" s="341"/>
      <c r="AQ441" s="341"/>
      <c r="AR441" s="341"/>
      <c r="AS441" s="341"/>
      <c r="AT441" s="341"/>
      <c r="AU441" s="341"/>
      <c r="AV441" s="341"/>
      <c r="AW441" s="341"/>
      <c r="AX441" s="341"/>
      <c r="AY441" s="341"/>
      <c r="AZ441" s="147"/>
      <c r="BA441" s="147"/>
      <c r="BB441" s="606"/>
      <c r="BC441" s="341"/>
      <c r="BD441" s="341"/>
      <c r="BE441" s="147"/>
      <c r="BF441" s="606"/>
      <c r="BG441" s="606"/>
      <c r="BH441" s="606"/>
      <c r="BI441" s="606"/>
      <c r="BJ441" s="606"/>
      <c r="BK441" s="606"/>
      <c r="BL441" s="606"/>
      <c r="BM441" s="606"/>
    </row>
    <row r="442" ht="15.75" customHeight="1">
      <c r="A442" s="341"/>
      <c r="B442" s="341"/>
      <c r="C442" s="1056"/>
      <c r="D442" s="488"/>
      <c r="E442" s="148"/>
      <c r="F442" s="341"/>
      <c r="G442" s="148"/>
      <c r="H442" s="341"/>
      <c r="I442" s="341"/>
      <c r="J442" s="341"/>
      <c r="K442" s="148"/>
      <c r="L442" s="341"/>
      <c r="M442" s="341"/>
      <c r="N442" s="341"/>
      <c r="O442" s="341"/>
      <c r="P442" s="341"/>
      <c r="Q442" s="341"/>
      <c r="R442" s="341"/>
      <c r="S442" s="341"/>
      <c r="T442" s="341"/>
      <c r="U442" s="488"/>
      <c r="V442" s="676"/>
      <c r="W442" s="724"/>
      <c r="X442" s="452"/>
      <c r="Y442" s="341"/>
      <c r="Z442" s="341"/>
      <c r="AA442" s="341"/>
      <c r="AB442" s="341"/>
      <c r="AC442" s="341"/>
      <c r="AD442" s="341"/>
      <c r="AE442" s="341"/>
      <c r="AF442" s="148"/>
      <c r="AG442" s="341"/>
      <c r="AH442" s="341"/>
      <c r="AI442" s="341"/>
      <c r="AJ442" s="341"/>
      <c r="AK442" s="341"/>
      <c r="AL442" s="341"/>
      <c r="AM442" s="341"/>
      <c r="AN442" s="341"/>
      <c r="AO442" s="341"/>
      <c r="AP442" s="341"/>
      <c r="AQ442" s="341"/>
      <c r="AR442" s="341"/>
      <c r="AS442" s="341"/>
      <c r="AT442" s="341"/>
      <c r="AU442" s="341"/>
      <c r="AV442" s="341"/>
      <c r="AW442" s="341"/>
      <c r="AX442" s="341"/>
      <c r="AY442" s="341"/>
      <c r="AZ442" s="147"/>
      <c r="BA442" s="147"/>
      <c r="BB442" s="606"/>
      <c r="BC442" s="341"/>
      <c r="BD442" s="341"/>
      <c r="BE442" s="147"/>
      <c r="BF442" s="606"/>
      <c r="BG442" s="606"/>
      <c r="BH442" s="606"/>
      <c r="BI442" s="606"/>
      <c r="BJ442" s="606"/>
      <c r="BK442" s="606"/>
      <c r="BL442" s="606"/>
      <c r="BM442" s="606"/>
    </row>
    <row r="443" ht="15.75" customHeight="1">
      <c r="A443" s="341"/>
      <c r="B443" s="341"/>
      <c r="C443" s="1056"/>
      <c r="D443" s="488"/>
      <c r="E443" s="148"/>
      <c r="F443" s="341"/>
      <c r="G443" s="148"/>
      <c r="H443" s="341"/>
      <c r="I443" s="341"/>
      <c r="J443" s="341"/>
      <c r="K443" s="148"/>
      <c r="L443" s="341"/>
      <c r="M443" s="341"/>
      <c r="N443" s="341"/>
      <c r="O443" s="341"/>
      <c r="P443" s="341"/>
      <c r="Q443" s="341"/>
      <c r="R443" s="341"/>
      <c r="S443" s="341"/>
      <c r="T443" s="341"/>
      <c r="U443" s="488"/>
      <c r="V443" s="676"/>
      <c r="W443" s="724"/>
      <c r="X443" s="452"/>
      <c r="Y443" s="341"/>
      <c r="Z443" s="341"/>
      <c r="AA443" s="341"/>
      <c r="AB443" s="341"/>
      <c r="AC443" s="341"/>
      <c r="AD443" s="341"/>
      <c r="AE443" s="341"/>
      <c r="AF443" s="148"/>
      <c r="AG443" s="341"/>
      <c r="AH443" s="341"/>
      <c r="AI443" s="341"/>
      <c r="AJ443" s="341"/>
      <c r="AK443" s="341"/>
      <c r="AL443" s="341"/>
      <c r="AM443" s="341"/>
      <c r="AN443" s="341"/>
      <c r="AO443" s="341"/>
      <c r="AP443" s="341"/>
      <c r="AQ443" s="341"/>
      <c r="AR443" s="341"/>
      <c r="AS443" s="341"/>
      <c r="AT443" s="341"/>
      <c r="AU443" s="341"/>
      <c r="AV443" s="341"/>
      <c r="AW443" s="341"/>
      <c r="AX443" s="341"/>
      <c r="AY443" s="341"/>
      <c r="AZ443" s="147"/>
      <c r="BA443" s="147"/>
      <c r="BB443" s="606"/>
      <c r="BC443" s="341"/>
      <c r="BD443" s="341"/>
      <c r="BE443" s="147"/>
      <c r="BF443" s="606"/>
      <c r="BG443" s="606"/>
      <c r="BH443" s="606"/>
      <c r="BI443" s="606"/>
      <c r="BJ443" s="606"/>
      <c r="BK443" s="606"/>
      <c r="BL443" s="606"/>
      <c r="BM443" s="606"/>
    </row>
    <row r="444" ht="15.75" customHeight="1">
      <c r="A444" s="341"/>
      <c r="B444" s="341"/>
      <c r="C444" s="1056"/>
      <c r="D444" s="488"/>
      <c r="E444" s="148"/>
      <c r="F444" s="341"/>
      <c r="G444" s="148"/>
      <c r="H444" s="341"/>
      <c r="I444" s="341"/>
      <c r="J444" s="341"/>
      <c r="K444" s="148"/>
      <c r="L444" s="341"/>
      <c r="M444" s="341"/>
      <c r="N444" s="341"/>
      <c r="O444" s="341"/>
      <c r="P444" s="341"/>
      <c r="Q444" s="341"/>
      <c r="R444" s="341"/>
      <c r="S444" s="341"/>
      <c r="T444" s="341"/>
      <c r="U444" s="488"/>
      <c r="V444" s="676"/>
      <c r="W444" s="724"/>
      <c r="X444" s="452"/>
      <c r="Y444" s="341"/>
      <c r="Z444" s="341"/>
      <c r="AA444" s="341"/>
      <c r="AB444" s="341"/>
      <c r="AC444" s="341"/>
      <c r="AD444" s="341"/>
      <c r="AE444" s="341"/>
      <c r="AF444" s="148"/>
      <c r="AG444" s="341"/>
      <c r="AH444" s="341"/>
      <c r="AI444" s="341"/>
      <c r="AJ444" s="341"/>
      <c r="AK444" s="341"/>
      <c r="AL444" s="341"/>
      <c r="AM444" s="341"/>
      <c r="AN444" s="341"/>
      <c r="AO444" s="341"/>
      <c r="AP444" s="341"/>
      <c r="AQ444" s="341"/>
      <c r="AR444" s="341"/>
      <c r="AS444" s="341"/>
      <c r="AT444" s="341"/>
      <c r="AU444" s="341"/>
      <c r="AV444" s="341"/>
      <c r="AW444" s="341"/>
      <c r="AX444" s="341"/>
      <c r="AY444" s="341"/>
      <c r="AZ444" s="147"/>
      <c r="BA444" s="147"/>
      <c r="BB444" s="606"/>
      <c r="BC444" s="341"/>
      <c r="BD444" s="341"/>
      <c r="BE444" s="147"/>
      <c r="BF444" s="606"/>
      <c r="BG444" s="606"/>
      <c r="BH444" s="606"/>
      <c r="BI444" s="606"/>
      <c r="BJ444" s="606"/>
      <c r="BK444" s="606"/>
      <c r="BL444" s="606"/>
      <c r="BM444" s="606"/>
    </row>
    <row r="445" ht="15.75" customHeight="1">
      <c r="A445" s="341"/>
      <c r="B445" s="341"/>
      <c r="C445" s="1056"/>
      <c r="D445" s="488"/>
      <c r="E445" s="148"/>
      <c r="F445" s="341"/>
      <c r="G445" s="148"/>
      <c r="H445" s="341"/>
      <c r="I445" s="341"/>
      <c r="J445" s="341"/>
      <c r="K445" s="148"/>
      <c r="L445" s="341"/>
      <c r="M445" s="341"/>
      <c r="N445" s="341"/>
      <c r="O445" s="341"/>
      <c r="P445" s="341"/>
      <c r="Q445" s="341"/>
      <c r="R445" s="341"/>
      <c r="S445" s="341"/>
      <c r="T445" s="341"/>
      <c r="U445" s="488"/>
      <c r="V445" s="676"/>
      <c r="W445" s="724"/>
      <c r="X445" s="452"/>
      <c r="Y445" s="341"/>
      <c r="Z445" s="341"/>
      <c r="AA445" s="341"/>
      <c r="AB445" s="341"/>
      <c r="AC445" s="341"/>
      <c r="AD445" s="341"/>
      <c r="AE445" s="341"/>
      <c r="AF445" s="148"/>
      <c r="AG445" s="341"/>
      <c r="AH445" s="341"/>
      <c r="AI445" s="341"/>
      <c r="AJ445" s="341"/>
      <c r="AK445" s="341"/>
      <c r="AL445" s="341"/>
      <c r="AM445" s="341"/>
      <c r="AN445" s="341"/>
      <c r="AO445" s="341"/>
      <c r="AP445" s="341"/>
      <c r="AQ445" s="341"/>
      <c r="AR445" s="341"/>
      <c r="AS445" s="341"/>
      <c r="AT445" s="341"/>
      <c r="AU445" s="341"/>
      <c r="AV445" s="341"/>
      <c r="AW445" s="341"/>
      <c r="AX445" s="341"/>
      <c r="AY445" s="341"/>
      <c r="AZ445" s="147"/>
      <c r="BA445" s="147"/>
      <c r="BB445" s="606"/>
      <c r="BC445" s="341"/>
      <c r="BD445" s="341"/>
      <c r="BE445" s="147"/>
      <c r="BF445" s="606"/>
      <c r="BG445" s="606"/>
      <c r="BH445" s="606"/>
      <c r="BI445" s="606"/>
      <c r="BJ445" s="606"/>
      <c r="BK445" s="606"/>
      <c r="BL445" s="606"/>
      <c r="BM445" s="606"/>
    </row>
    <row r="446" ht="15.75" customHeight="1">
      <c r="A446" s="341"/>
      <c r="B446" s="341"/>
      <c r="C446" s="1056"/>
      <c r="D446" s="488"/>
      <c r="E446" s="148"/>
      <c r="F446" s="341"/>
      <c r="G446" s="148"/>
      <c r="H446" s="341"/>
      <c r="I446" s="341"/>
      <c r="J446" s="341"/>
      <c r="K446" s="148"/>
      <c r="L446" s="341"/>
      <c r="M446" s="341"/>
      <c r="N446" s="341"/>
      <c r="O446" s="341"/>
      <c r="P446" s="341"/>
      <c r="Q446" s="341"/>
      <c r="R446" s="341"/>
      <c r="S446" s="341"/>
      <c r="T446" s="341"/>
      <c r="U446" s="488"/>
      <c r="V446" s="676"/>
      <c r="W446" s="724"/>
      <c r="X446" s="452"/>
      <c r="Y446" s="341"/>
      <c r="Z446" s="341"/>
      <c r="AA446" s="341"/>
      <c r="AB446" s="341"/>
      <c r="AC446" s="341"/>
      <c r="AD446" s="341"/>
      <c r="AE446" s="341"/>
      <c r="AF446" s="148"/>
      <c r="AG446" s="341"/>
      <c r="AH446" s="341"/>
      <c r="AI446" s="341"/>
      <c r="AJ446" s="341"/>
      <c r="AK446" s="341"/>
      <c r="AL446" s="341"/>
      <c r="AM446" s="341"/>
      <c r="AN446" s="341"/>
      <c r="AO446" s="341"/>
      <c r="AP446" s="341"/>
      <c r="AQ446" s="341"/>
      <c r="AR446" s="341"/>
      <c r="AS446" s="341"/>
      <c r="AT446" s="341"/>
      <c r="AU446" s="341"/>
      <c r="AV446" s="341"/>
      <c r="AW446" s="341"/>
      <c r="AX446" s="341"/>
      <c r="AY446" s="341"/>
      <c r="AZ446" s="147"/>
      <c r="BA446" s="147"/>
      <c r="BB446" s="606"/>
      <c r="BC446" s="341"/>
      <c r="BD446" s="341"/>
      <c r="BE446" s="147"/>
      <c r="BF446" s="606"/>
      <c r="BG446" s="606"/>
      <c r="BH446" s="606"/>
      <c r="BI446" s="606"/>
      <c r="BJ446" s="606"/>
      <c r="BK446" s="606"/>
      <c r="BL446" s="606"/>
      <c r="BM446" s="606"/>
    </row>
    <row r="447" ht="15.75" customHeight="1">
      <c r="A447" s="341"/>
      <c r="B447" s="341"/>
      <c r="C447" s="1056"/>
      <c r="D447" s="488"/>
      <c r="E447" s="148"/>
      <c r="F447" s="341"/>
      <c r="G447" s="148"/>
      <c r="H447" s="341"/>
      <c r="I447" s="341"/>
      <c r="J447" s="341"/>
      <c r="K447" s="148"/>
      <c r="L447" s="341"/>
      <c r="M447" s="341"/>
      <c r="N447" s="341"/>
      <c r="O447" s="341"/>
      <c r="P447" s="341"/>
      <c r="Q447" s="341"/>
      <c r="R447" s="341"/>
      <c r="S447" s="341"/>
      <c r="T447" s="341"/>
      <c r="U447" s="488"/>
      <c r="V447" s="676"/>
      <c r="W447" s="724"/>
      <c r="X447" s="452"/>
      <c r="Y447" s="341"/>
      <c r="Z447" s="341"/>
      <c r="AA447" s="341"/>
      <c r="AB447" s="341"/>
      <c r="AC447" s="341"/>
      <c r="AD447" s="341"/>
      <c r="AE447" s="341"/>
      <c r="AF447" s="148"/>
      <c r="AG447" s="341"/>
      <c r="AH447" s="341"/>
      <c r="AI447" s="341"/>
      <c r="AJ447" s="341"/>
      <c r="AK447" s="341"/>
      <c r="AL447" s="341"/>
      <c r="AM447" s="341"/>
      <c r="AN447" s="341"/>
      <c r="AO447" s="341"/>
      <c r="AP447" s="341"/>
      <c r="AQ447" s="341"/>
      <c r="AR447" s="341"/>
      <c r="AS447" s="341"/>
      <c r="AT447" s="341"/>
      <c r="AU447" s="341"/>
      <c r="AV447" s="341"/>
      <c r="AW447" s="341"/>
      <c r="AX447" s="341"/>
      <c r="AY447" s="341"/>
      <c r="AZ447" s="147"/>
      <c r="BA447" s="147"/>
      <c r="BB447" s="606"/>
      <c r="BC447" s="341"/>
      <c r="BD447" s="341"/>
      <c r="BE447" s="147"/>
      <c r="BF447" s="606"/>
      <c r="BG447" s="606"/>
      <c r="BH447" s="606"/>
      <c r="BI447" s="606"/>
      <c r="BJ447" s="606"/>
      <c r="BK447" s="606"/>
      <c r="BL447" s="606"/>
      <c r="BM447" s="606"/>
    </row>
    <row r="448" ht="15.75" customHeight="1">
      <c r="A448" s="341"/>
      <c r="B448" s="341"/>
      <c r="C448" s="1056"/>
      <c r="D448" s="488"/>
      <c r="E448" s="148"/>
      <c r="F448" s="341"/>
      <c r="G448" s="148"/>
      <c r="H448" s="341"/>
      <c r="I448" s="341"/>
      <c r="J448" s="341"/>
      <c r="K448" s="148"/>
      <c r="L448" s="341"/>
      <c r="M448" s="341"/>
      <c r="N448" s="341"/>
      <c r="O448" s="341"/>
      <c r="P448" s="341"/>
      <c r="Q448" s="341"/>
      <c r="R448" s="341"/>
      <c r="S448" s="341"/>
      <c r="T448" s="341"/>
      <c r="U448" s="488"/>
      <c r="V448" s="676"/>
      <c r="W448" s="724"/>
      <c r="X448" s="452"/>
      <c r="Y448" s="341"/>
      <c r="Z448" s="341"/>
      <c r="AA448" s="341"/>
      <c r="AB448" s="341"/>
      <c r="AC448" s="341"/>
      <c r="AD448" s="341"/>
      <c r="AE448" s="341"/>
      <c r="AF448" s="148"/>
      <c r="AG448" s="341"/>
      <c r="AH448" s="341"/>
      <c r="AI448" s="341"/>
      <c r="AJ448" s="341"/>
      <c r="AK448" s="341"/>
      <c r="AL448" s="341"/>
      <c r="AM448" s="341"/>
      <c r="AN448" s="341"/>
      <c r="AO448" s="341"/>
      <c r="AP448" s="341"/>
      <c r="AQ448" s="341"/>
      <c r="AR448" s="341"/>
      <c r="AS448" s="341"/>
      <c r="AT448" s="341"/>
      <c r="AU448" s="341"/>
      <c r="AV448" s="341"/>
      <c r="AW448" s="341"/>
      <c r="AX448" s="341"/>
      <c r="AY448" s="341"/>
      <c r="AZ448" s="147"/>
      <c r="BA448" s="147"/>
      <c r="BB448" s="606"/>
      <c r="BC448" s="341"/>
      <c r="BD448" s="341"/>
      <c r="BE448" s="147"/>
      <c r="BF448" s="606"/>
      <c r="BG448" s="606"/>
      <c r="BH448" s="606"/>
      <c r="BI448" s="606"/>
      <c r="BJ448" s="606"/>
      <c r="BK448" s="606"/>
      <c r="BL448" s="606"/>
      <c r="BM448" s="606"/>
    </row>
    <row r="449" ht="15.75" customHeight="1">
      <c r="A449" s="341"/>
      <c r="B449" s="341"/>
      <c r="C449" s="1056"/>
      <c r="D449" s="488"/>
      <c r="E449" s="148"/>
      <c r="F449" s="341"/>
      <c r="G449" s="148"/>
      <c r="H449" s="341"/>
      <c r="I449" s="341"/>
      <c r="J449" s="341"/>
      <c r="K449" s="148"/>
      <c r="L449" s="341"/>
      <c r="M449" s="341"/>
      <c r="N449" s="341"/>
      <c r="O449" s="341"/>
      <c r="P449" s="341"/>
      <c r="Q449" s="341"/>
      <c r="R449" s="341"/>
      <c r="S449" s="341"/>
      <c r="T449" s="341"/>
      <c r="U449" s="488"/>
      <c r="V449" s="676"/>
      <c r="W449" s="724"/>
      <c r="X449" s="452"/>
      <c r="Y449" s="341"/>
      <c r="Z449" s="341"/>
      <c r="AA449" s="341"/>
      <c r="AB449" s="341"/>
      <c r="AC449" s="341"/>
      <c r="AD449" s="341"/>
      <c r="AE449" s="341"/>
      <c r="AF449" s="148"/>
      <c r="AG449" s="341"/>
      <c r="AH449" s="341"/>
      <c r="AI449" s="341"/>
      <c r="AJ449" s="341"/>
      <c r="AK449" s="341"/>
      <c r="AL449" s="341"/>
      <c r="AM449" s="341"/>
      <c r="AN449" s="341"/>
      <c r="AO449" s="341"/>
      <c r="AP449" s="341"/>
      <c r="AQ449" s="341"/>
      <c r="AR449" s="341"/>
      <c r="AS449" s="341"/>
      <c r="AT449" s="341"/>
      <c r="AU449" s="341"/>
      <c r="AV449" s="341"/>
      <c r="AW449" s="341"/>
      <c r="AX449" s="341"/>
      <c r="AY449" s="341"/>
      <c r="AZ449" s="147"/>
      <c r="BA449" s="147"/>
      <c r="BB449" s="606"/>
      <c r="BC449" s="341"/>
      <c r="BD449" s="341"/>
      <c r="BE449" s="147"/>
      <c r="BF449" s="606"/>
      <c r="BG449" s="606"/>
      <c r="BH449" s="606"/>
      <c r="BI449" s="606"/>
      <c r="BJ449" s="606"/>
      <c r="BK449" s="606"/>
      <c r="BL449" s="606"/>
      <c r="BM449" s="606"/>
    </row>
    <row r="450" ht="15.75" customHeight="1">
      <c r="A450" s="341"/>
      <c r="B450" s="341"/>
      <c r="C450" s="1056"/>
      <c r="D450" s="488"/>
      <c r="E450" s="148"/>
      <c r="F450" s="341"/>
      <c r="G450" s="148"/>
      <c r="H450" s="341"/>
      <c r="I450" s="341"/>
      <c r="J450" s="341"/>
      <c r="K450" s="148"/>
      <c r="L450" s="341"/>
      <c r="M450" s="341"/>
      <c r="N450" s="341"/>
      <c r="O450" s="341"/>
      <c r="P450" s="341"/>
      <c r="Q450" s="341"/>
      <c r="R450" s="341"/>
      <c r="S450" s="341"/>
      <c r="T450" s="341"/>
      <c r="U450" s="488"/>
      <c r="V450" s="676"/>
      <c r="W450" s="724"/>
      <c r="X450" s="452"/>
      <c r="Y450" s="341"/>
      <c r="Z450" s="341"/>
      <c r="AA450" s="341"/>
      <c r="AB450" s="341"/>
      <c r="AC450" s="341"/>
      <c r="AD450" s="341"/>
      <c r="AE450" s="341"/>
      <c r="AF450" s="148"/>
      <c r="AG450" s="341"/>
      <c r="AH450" s="341"/>
      <c r="AI450" s="341"/>
      <c r="AJ450" s="341"/>
      <c r="AK450" s="341"/>
      <c r="AL450" s="341"/>
      <c r="AM450" s="341"/>
      <c r="AN450" s="341"/>
      <c r="AO450" s="341"/>
      <c r="AP450" s="341"/>
      <c r="AQ450" s="341"/>
      <c r="AR450" s="341"/>
      <c r="AS450" s="341"/>
      <c r="AT450" s="341"/>
      <c r="AU450" s="341"/>
      <c r="AV450" s="341"/>
      <c r="AW450" s="341"/>
      <c r="AX450" s="341"/>
      <c r="AY450" s="341"/>
      <c r="AZ450" s="147"/>
      <c r="BA450" s="147"/>
      <c r="BB450" s="606"/>
      <c r="BC450" s="341"/>
      <c r="BD450" s="341"/>
      <c r="BE450" s="147"/>
      <c r="BF450" s="606"/>
      <c r="BG450" s="606"/>
      <c r="BH450" s="606"/>
      <c r="BI450" s="606"/>
      <c r="BJ450" s="606"/>
      <c r="BK450" s="606"/>
      <c r="BL450" s="606"/>
      <c r="BM450" s="606"/>
    </row>
    <row r="451" ht="15.75" customHeight="1">
      <c r="A451" s="341"/>
      <c r="B451" s="341"/>
      <c r="C451" s="1056"/>
      <c r="D451" s="488"/>
      <c r="E451" s="148"/>
      <c r="F451" s="341"/>
      <c r="G451" s="148"/>
      <c r="H451" s="341"/>
      <c r="I451" s="341"/>
      <c r="J451" s="341"/>
      <c r="K451" s="148"/>
      <c r="L451" s="341"/>
      <c r="M451" s="341"/>
      <c r="N451" s="341"/>
      <c r="O451" s="341"/>
      <c r="P451" s="341"/>
      <c r="Q451" s="341"/>
      <c r="R451" s="341"/>
      <c r="S451" s="341"/>
      <c r="T451" s="341"/>
      <c r="U451" s="488"/>
      <c r="V451" s="676"/>
      <c r="W451" s="724"/>
      <c r="X451" s="452"/>
      <c r="Y451" s="341"/>
      <c r="Z451" s="341"/>
      <c r="AA451" s="341"/>
      <c r="AB451" s="341"/>
      <c r="AC451" s="341"/>
      <c r="AD451" s="341"/>
      <c r="AE451" s="341"/>
      <c r="AF451" s="148"/>
      <c r="AG451" s="341"/>
      <c r="AH451" s="341"/>
      <c r="AI451" s="341"/>
      <c r="AJ451" s="341"/>
      <c r="AK451" s="341"/>
      <c r="AL451" s="341"/>
      <c r="AM451" s="341"/>
      <c r="AN451" s="341"/>
      <c r="AO451" s="341"/>
      <c r="AP451" s="341"/>
      <c r="AQ451" s="341"/>
      <c r="AR451" s="341"/>
      <c r="AS451" s="341"/>
      <c r="AT451" s="341"/>
      <c r="AU451" s="341"/>
      <c r="AV451" s="341"/>
      <c r="AW451" s="341"/>
      <c r="AX451" s="341"/>
      <c r="AY451" s="341"/>
      <c r="AZ451" s="147"/>
      <c r="BA451" s="147"/>
      <c r="BB451" s="606"/>
      <c r="BC451" s="341"/>
      <c r="BD451" s="341"/>
      <c r="BE451" s="147"/>
      <c r="BF451" s="606"/>
      <c r="BG451" s="606"/>
      <c r="BH451" s="606"/>
      <c r="BI451" s="606"/>
      <c r="BJ451" s="606"/>
      <c r="BK451" s="606"/>
      <c r="BL451" s="606"/>
      <c r="BM451" s="606"/>
    </row>
    <row r="452" ht="15.75" customHeight="1">
      <c r="A452" s="341"/>
      <c r="B452" s="341"/>
      <c r="C452" s="1056"/>
      <c r="D452" s="488"/>
      <c r="E452" s="148"/>
      <c r="F452" s="341"/>
      <c r="G452" s="148"/>
      <c r="H452" s="341"/>
      <c r="I452" s="341"/>
      <c r="J452" s="341"/>
      <c r="K452" s="148"/>
      <c r="L452" s="341"/>
      <c r="M452" s="341"/>
      <c r="N452" s="341"/>
      <c r="O452" s="341"/>
      <c r="P452" s="341"/>
      <c r="Q452" s="341"/>
      <c r="R452" s="341"/>
      <c r="S452" s="341"/>
      <c r="T452" s="341"/>
      <c r="U452" s="488"/>
      <c r="V452" s="676"/>
      <c r="W452" s="724"/>
      <c r="X452" s="452"/>
      <c r="Y452" s="341"/>
      <c r="Z452" s="341"/>
      <c r="AA452" s="341"/>
      <c r="AB452" s="341"/>
      <c r="AC452" s="341"/>
      <c r="AD452" s="341"/>
      <c r="AE452" s="341"/>
      <c r="AF452" s="148"/>
      <c r="AG452" s="341"/>
      <c r="AH452" s="341"/>
      <c r="AI452" s="341"/>
      <c r="AJ452" s="341"/>
      <c r="AK452" s="341"/>
      <c r="AL452" s="341"/>
      <c r="AM452" s="341"/>
      <c r="AN452" s="341"/>
      <c r="AO452" s="341"/>
      <c r="AP452" s="341"/>
      <c r="AQ452" s="341"/>
      <c r="AR452" s="341"/>
      <c r="AS452" s="341"/>
      <c r="AT452" s="341"/>
      <c r="AU452" s="341"/>
      <c r="AV452" s="341"/>
      <c r="AW452" s="341"/>
      <c r="AX452" s="341"/>
      <c r="AY452" s="341"/>
      <c r="AZ452" s="147"/>
      <c r="BA452" s="147"/>
      <c r="BB452" s="606"/>
      <c r="BC452" s="341"/>
      <c r="BD452" s="341"/>
      <c r="BE452" s="147"/>
      <c r="BF452" s="606"/>
      <c r="BG452" s="606"/>
      <c r="BH452" s="606"/>
      <c r="BI452" s="606"/>
      <c r="BJ452" s="606"/>
      <c r="BK452" s="606"/>
      <c r="BL452" s="606"/>
      <c r="BM452" s="606"/>
    </row>
    <row r="453" ht="15.75" customHeight="1">
      <c r="A453" s="341"/>
      <c r="B453" s="341"/>
      <c r="C453" s="1056"/>
      <c r="D453" s="488"/>
      <c r="E453" s="148"/>
      <c r="F453" s="341"/>
      <c r="G453" s="148"/>
      <c r="H453" s="341"/>
      <c r="I453" s="341"/>
      <c r="J453" s="341"/>
      <c r="K453" s="148"/>
      <c r="L453" s="341"/>
      <c r="M453" s="341"/>
      <c r="N453" s="341"/>
      <c r="O453" s="341"/>
      <c r="P453" s="341"/>
      <c r="Q453" s="341"/>
      <c r="R453" s="341"/>
      <c r="S453" s="341"/>
      <c r="T453" s="341"/>
      <c r="U453" s="488"/>
      <c r="V453" s="676"/>
      <c r="W453" s="724"/>
      <c r="X453" s="452"/>
      <c r="Y453" s="341"/>
      <c r="Z453" s="341"/>
      <c r="AA453" s="341"/>
      <c r="AB453" s="341"/>
      <c r="AC453" s="341"/>
      <c r="AD453" s="341"/>
      <c r="AE453" s="341"/>
      <c r="AF453" s="148"/>
      <c r="AG453" s="341"/>
      <c r="AH453" s="341"/>
      <c r="AI453" s="341"/>
      <c r="AJ453" s="341"/>
      <c r="AK453" s="341"/>
      <c r="AL453" s="341"/>
      <c r="AM453" s="341"/>
      <c r="AN453" s="341"/>
      <c r="AO453" s="341"/>
      <c r="AP453" s="341"/>
      <c r="AQ453" s="341"/>
      <c r="AR453" s="341"/>
      <c r="AS453" s="341"/>
      <c r="AT453" s="341"/>
      <c r="AU453" s="341"/>
      <c r="AV453" s="341"/>
      <c r="AW453" s="341"/>
      <c r="AX453" s="341"/>
      <c r="AY453" s="341"/>
      <c r="AZ453" s="147"/>
      <c r="BA453" s="147"/>
      <c r="BB453" s="606"/>
      <c r="BC453" s="341"/>
      <c r="BD453" s="341"/>
      <c r="BE453" s="147"/>
      <c r="BF453" s="606"/>
      <c r="BG453" s="606"/>
      <c r="BH453" s="606"/>
      <c r="BI453" s="606"/>
      <c r="BJ453" s="606"/>
      <c r="BK453" s="606"/>
      <c r="BL453" s="606"/>
      <c r="BM453" s="606"/>
    </row>
    <row r="454" ht="15.75" customHeight="1">
      <c r="A454" s="341"/>
      <c r="B454" s="341"/>
      <c r="C454" s="1056"/>
      <c r="D454" s="488"/>
      <c r="E454" s="148"/>
      <c r="F454" s="341"/>
      <c r="G454" s="148"/>
      <c r="H454" s="341"/>
      <c r="I454" s="341"/>
      <c r="J454" s="341"/>
      <c r="K454" s="148"/>
      <c r="L454" s="341"/>
      <c r="M454" s="341"/>
      <c r="N454" s="341"/>
      <c r="O454" s="341"/>
      <c r="P454" s="341"/>
      <c r="Q454" s="341"/>
      <c r="R454" s="341"/>
      <c r="S454" s="341"/>
      <c r="T454" s="341"/>
      <c r="U454" s="147"/>
      <c r="V454" s="676"/>
      <c r="W454" s="452"/>
      <c r="X454" s="452"/>
      <c r="Y454" s="341"/>
      <c r="Z454" s="341"/>
      <c r="AA454" s="341"/>
      <c r="AB454" s="341"/>
      <c r="AC454" s="341"/>
      <c r="AD454" s="341"/>
      <c r="AE454" s="341"/>
      <c r="AF454" s="341"/>
      <c r="AG454" s="341"/>
      <c r="AH454" s="341"/>
      <c r="AI454" s="341"/>
      <c r="AJ454" s="341"/>
      <c r="AK454" s="341"/>
      <c r="AL454" s="341"/>
      <c r="AM454" s="341"/>
      <c r="AN454" s="341"/>
      <c r="AO454" s="341"/>
      <c r="AP454" s="341"/>
      <c r="AQ454" s="341"/>
      <c r="AR454" s="341"/>
      <c r="AS454" s="341"/>
      <c r="AT454" s="341"/>
      <c r="AU454" s="341"/>
      <c r="AV454" s="341"/>
      <c r="AW454" s="341"/>
      <c r="AX454" s="341"/>
      <c r="AY454" s="341"/>
      <c r="AZ454" s="147"/>
      <c r="BA454" s="147"/>
      <c r="BB454" s="606"/>
      <c r="BC454" s="341"/>
      <c r="BD454" s="341"/>
      <c r="BE454" s="147"/>
      <c r="BF454" s="606"/>
      <c r="BG454" s="606"/>
      <c r="BH454" s="606"/>
      <c r="BI454" s="606"/>
      <c r="BJ454" s="606"/>
      <c r="BK454" s="606"/>
      <c r="BL454" s="606"/>
      <c r="BM454" s="606"/>
    </row>
    <row r="455" ht="15.75" customHeight="1">
      <c r="A455" s="341"/>
      <c r="B455" s="341"/>
      <c r="C455" s="1056"/>
      <c r="D455" s="488"/>
      <c r="E455" s="148"/>
      <c r="F455" s="341"/>
      <c r="G455" s="148"/>
      <c r="H455" s="341"/>
      <c r="I455" s="341"/>
      <c r="J455" s="341"/>
      <c r="K455" s="148"/>
      <c r="L455" s="341"/>
      <c r="M455" s="341"/>
      <c r="N455" s="341"/>
      <c r="O455" s="341"/>
      <c r="P455" s="341"/>
      <c r="Q455" s="341"/>
      <c r="R455" s="341"/>
      <c r="S455" s="341"/>
      <c r="T455" s="341"/>
      <c r="U455" s="147"/>
      <c r="V455" s="676"/>
      <c r="W455" s="452"/>
      <c r="X455" s="452"/>
      <c r="Y455" s="341"/>
      <c r="Z455" s="341"/>
      <c r="AA455" s="341"/>
      <c r="AB455" s="341"/>
      <c r="AC455" s="341"/>
      <c r="AD455" s="341"/>
      <c r="AE455" s="341"/>
      <c r="AF455" s="341"/>
      <c r="AG455" s="341"/>
      <c r="AH455" s="341"/>
      <c r="AI455" s="341"/>
      <c r="AJ455" s="341"/>
      <c r="AK455" s="341"/>
      <c r="AL455" s="341"/>
      <c r="AM455" s="341"/>
      <c r="AN455" s="341"/>
      <c r="AO455" s="341"/>
      <c r="AP455" s="341"/>
      <c r="AQ455" s="341"/>
      <c r="AR455" s="341"/>
      <c r="AS455" s="341"/>
      <c r="AT455" s="341"/>
      <c r="AU455" s="341"/>
      <c r="AV455" s="341"/>
      <c r="AW455" s="341"/>
      <c r="AX455" s="341"/>
      <c r="AY455" s="341"/>
      <c r="AZ455" s="147"/>
      <c r="BA455" s="147"/>
      <c r="BB455" s="606"/>
      <c r="BC455" s="341"/>
      <c r="BD455" s="341"/>
      <c r="BE455" s="147"/>
      <c r="BF455" s="606"/>
      <c r="BG455" s="606"/>
      <c r="BH455" s="606"/>
      <c r="BI455" s="606"/>
      <c r="BJ455" s="606"/>
      <c r="BK455" s="606"/>
      <c r="BL455" s="606"/>
      <c r="BM455" s="606"/>
    </row>
    <row r="456" ht="15.75" customHeight="1">
      <c r="A456" s="341"/>
      <c r="B456" s="341"/>
      <c r="C456" s="1056"/>
      <c r="D456" s="488"/>
      <c r="E456" s="148"/>
      <c r="F456" s="341"/>
      <c r="G456" s="148"/>
      <c r="H456" s="341"/>
      <c r="I456" s="341"/>
      <c r="J456" s="341"/>
      <c r="K456" s="148"/>
      <c r="L456" s="341"/>
      <c r="M456" s="341"/>
      <c r="N456" s="341"/>
      <c r="O456" s="341"/>
      <c r="P456" s="341"/>
      <c r="Q456" s="341"/>
      <c r="R456" s="341"/>
      <c r="S456" s="341"/>
      <c r="T456" s="341"/>
      <c r="U456" s="147"/>
      <c r="V456" s="676"/>
      <c r="W456" s="452"/>
      <c r="X456" s="452"/>
      <c r="Y456" s="341"/>
      <c r="Z456" s="341"/>
      <c r="AA456" s="341"/>
      <c r="AB456" s="341"/>
      <c r="AC456" s="341"/>
      <c r="AD456" s="341"/>
      <c r="AE456" s="341"/>
      <c r="AF456" s="341"/>
      <c r="AG456" s="341"/>
      <c r="AH456" s="341"/>
      <c r="AI456" s="341"/>
      <c r="AJ456" s="341"/>
      <c r="AK456" s="341"/>
      <c r="AL456" s="341"/>
      <c r="AM456" s="341"/>
      <c r="AN456" s="341"/>
      <c r="AO456" s="341"/>
      <c r="AP456" s="341"/>
      <c r="AQ456" s="341"/>
      <c r="AR456" s="341"/>
      <c r="AS456" s="341"/>
      <c r="AT456" s="341"/>
      <c r="AU456" s="341"/>
      <c r="AV456" s="341"/>
      <c r="AW456" s="341"/>
      <c r="AX456" s="341"/>
      <c r="AY456" s="341"/>
      <c r="AZ456" s="147"/>
      <c r="BA456" s="147"/>
      <c r="BB456" s="606"/>
      <c r="BC456" s="341"/>
      <c r="BD456" s="341"/>
      <c r="BE456" s="147"/>
      <c r="BF456" s="606"/>
      <c r="BG456" s="606"/>
      <c r="BH456" s="606"/>
      <c r="BI456" s="606"/>
      <c r="BJ456" s="606"/>
      <c r="BK456" s="606"/>
      <c r="BL456" s="606"/>
      <c r="BM456" s="606"/>
    </row>
    <row r="457" ht="15.75" customHeight="1">
      <c r="A457" s="341"/>
      <c r="B457" s="341"/>
      <c r="C457" s="1056"/>
      <c r="D457" s="488"/>
      <c r="E457" s="148"/>
      <c r="F457" s="341"/>
      <c r="G457" s="148"/>
      <c r="H457" s="341"/>
      <c r="I457" s="341"/>
      <c r="J457" s="341"/>
      <c r="K457" s="148"/>
      <c r="L457" s="341"/>
      <c r="M457" s="341"/>
      <c r="N457" s="341"/>
      <c r="O457" s="341"/>
      <c r="P457" s="341"/>
      <c r="Q457" s="341"/>
      <c r="R457" s="341"/>
      <c r="S457" s="341"/>
      <c r="T457" s="341"/>
      <c r="U457" s="147"/>
      <c r="V457" s="676"/>
      <c r="W457" s="452"/>
      <c r="X457" s="452"/>
      <c r="Y457" s="341"/>
      <c r="Z457" s="341"/>
      <c r="AA457" s="341"/>
      <c r="AB457" s="341"/>
      <c r="AC457" s="341"/>
      <c r="AD457" s="341"/>
      <c r="AE457" s="341"/>
      <c r="AF457" s="341"/>
      <c r="AG457" s="341"/>
      <c r="AH457" s="341"/>
      <c r="AI457" s="341"/>
      <c r="AJ457" s="341"/>
      <c r="AK457" s="341"/>
      <c r="AL457" s="341"/>
      <c r="AM457" s="341"/>
      <c r="AN457" s="341"/>
      <c r="AO457" s="341"/>
      <c r="AP457" s="341"/>
      <c r="AQ457" s="341"/>
      <c r="AR457" s="341"/>
      <c r="AS457" s="341"/>
      <c r="AT457" s="341"/>
      <c r="AU457" s="341"/>
      <c r="AV457" s="341"/>
      <c r="AW457" s="341"/>
      <c r="AX457" s="341"/>
      <c r="AY457" s="341"/>
      <c r="AZ457" s="147"/>
      <c r="BA457" s="147"/>
      <c r="BB457" s="606"/>
      <c r="BC457" s="341"/>
      <c r="BD457" s="341"/>
      <c r="BE457" s="147"/>
      <c r="BF457" s="606"/>
      <c r="BG457" s="606"/>
      <c r="BH457" s="606"/>
      <c r="BI457" s="606"/>
      <c r="BJ457" s="606"/>
      <c r="BK457" s="606"/>
      <c r="BL457" s="606"/>
      <c r="BM457" s="606"/>
    </row>
    <row r="458" ht="15.75" customHeight="1">
      <c r="A458" s="341"/>
      <c r="B458" s="341"/>
      <c r="C458" s="1056"/>
      <c r="D458" s="488"/>
      <c r="E458" s="148"/>
      <c r="F458" s="341"/>
      <c r="G458" s="148"/>
      <c r="H458" s="341"/>
      <c r="I458" s="341"/>
      <c r="J458" s="341"/>
      <c r="K458" s="148"/>
      <c r="L458" s="341"/>
      <c r="M458" s="341"/>
      <c r="N458" s="341"/>
      <c r="O458" s="341"/>
      <c r="P458" s="341"/>
      <c r="Q458" s="341"/>
      <c r="R458" s="341"/>
      <c r="S458" s="341"/>
      <c r="T458" s="341"/>
      <c r="U458" s="147"/>
      <c r="V458" s="676"/>
      <c r="W458" s="452"/>
      <c r="X458" s="452"/>
      <c r="Y458" s="341"/>
      <c r="Z458" s="341"/>
      <c r="AA458" s="341"/>
      <c r="AB458" s="341"/>
      <c r="AC458" s="341"/>
      <c r="AD458" s="341"/>
      <c r="AE458" s="341"/>
      <c r="AF458" s="341"/>
      <c r="AG458" s="341"/>
      <c r="AH458" s="341"/>
      <c r="AI458" s="341"/>
      <c r="AJ458" s="341"/>
      <c r="AK458" s="341"/>
      <c r="AL458" s="341"/>
      <c r="AM458" s="341"/>
      <c r="AN458" s="341"/>
      <c r="AO458" s="341"/>
      <c r="AP458" s="341"/>
      <c r="AQ458" s="341"/>
      <c r="AR458" s="341"/>
      <c r="AS458" s="341"/>
      <c r="AT458" s="341"/>
      <c r="AU458" s="341"/>
      <c r="AV458" s="341"/>
      <c r="AW458" s="341"/>
      <c r="AX458" s="341"/>
      <c r="AY458" s="341"/>
      <c r="AZ458" s="147"/>
      <c r="BA458" s="147"/>
      <c r="BB458" s="606"/>
      <c r="BC458" s="341"/>
      <c r="BD458" s="341"/>
      <c r="BE458" s="147"/>
      <c r="BF458" s="606"/>
      <c r="BG458" s="606"/>
      <c r="BH458" s="606"/>
      <c r="BI458" s="606"/>
      <c r="BJ458" s="606"/>
      <c r="BK458" s="606"/>
      <c r="BL458" s="606"/>
      <c r="BM458" s="606"/>
    </row>
    <row r="459" ht="15.75" customHeight="1">
      <c r="A459" s="341"/>
      <c r="B459" s="341"/>
      <c r="C459" s="1056"/>
      <c r="D459" s="488"/>
      <c r="E459" s="148"/>
      <c r="F459" s="341"/>
      <c r="G459" s="148"/>
      <c r="H459" s="341"/>
      <c r="I459" s="341"/>
      <c r="J459" s="341"/>
      <c r="K459" s="148"/>
      <c r="L459" s="341"/>
      <c r="M459" s="341"/>
      <c r="N459" s="341"/>
      <c r="O459" s="341"/>
      <c r="P459" s="341"/>
      <c r="Q459" s="341"/>
      <c r="R459" s="341"/>
      <c r="S459" s="341"/>
      <c r="T459" s="341"/>
      <c r="U459" s="147"/>
      <c r="V459" s="676"/>
      <c r="W459" s="452"/>
      <c r="X459" s="452"/>
      <c r="Y459" s="341"/>
      <c r="Z459" s="341"/>
      <c r="AA459" s="341"/>
      <c r="AB459" s="341"/>
      <c r="AC459" s="341"/>
      <c r="AD459" s="341"/>
      <c r="AE459" s="341"/>
      <c r="AF459" s="341"/>
      <c r="AG459" s="341"/>
      <c r="AH459" s="341"/>
      <c r="AI459" s="341"/>
      <c r="AJ459" s="341"/>
      <c r="AK459" s="341"/>
      <c r="AL459" s="341"/>
      <c r="AM459" s="341"/>
      <c r="AN459" s="341"/>
      <c r="AO459" s="341"/>
      <c r="AP459" s="341"/>
      <c r="AQ459" s="341"/>
      <c r="AR459" s="341"/>
      <c r="AS459" s="341"/>
      <c r="AT459" s="341"/>
      <c r="AU459" s="341"/>
      <c r="AV459" s="341"/>
      <c r="AW459" s="341"/>
      <c r="AX459" s="341"/>
      <c r="AY459" s="341"/>
      <c r="AZ459" s="147"/>
      <c r="BA459" s="147"/>
      <c r="BB459" s="606"/>
      <c r="BC459" s="341"/>
      <c r="BD459" s="341"/>
      <c r="BE459" s="147"/>
      <c r="BF459" s="606"/>
      <c r="BG459" s="606"/>
      <c r="BH459" s="606"/>
      <c r="BI459" s="606"/>
      <c r="BJ459" s="606"/>
      <c r="BK459" s="606"/>
      <c r="BL459" s="606"/>
      <c r="BM459" s="606"/>
    </row>
    <row r="460" ht="15.75" customHeight="1">
      <c r="A460" s="341"/>
      <c r="B460" s="341"/>
      <c r="C460" s="1056"/>
      <c r="D460" s="488"/>
      <c r="E460" s="148"/>
      <c r="F460" s="341"/>
      <c r="G460" s="148"/>
      <c r="H460" s="341"/>
      <c r="I460" s="341"/>
      <c r="J460" s="341"/>
      <c r="K460" s="148"/>
      <c r="L460" s="341"/>
      <c r="M460" s="341"/>
      <c r="N460" s="341"/>
      <c r="O460" s="341"/>
      <c r="P460" s="341"/>
      <c r="Q460" s="341"/>
      <c r="R460" s="341"/>
      <c r="S460" s="341"/>
      <c r="T460" s="341"/>
      <c r="U460" s="147"/>
      <c r="V460" s="676"/>
      <c r="W460" s="452"/>
      <c r="X460" s="452"/>
      <c r="Y460" s="341"/>
      <c r="Z460" s="341"/>
      <c r="AA460" s="341"/>
      <c r="AB460" s="341"/>
      <c r="AC460" s="341"/>
      <c r="AD460" s="341"/>
      <c r="AE460" s="341"/>
      <c r="AF460" s="341"/>
      <c r="AG460" s="341"/>
      <c r="AH460" s="341"/>
      <c r="AI460" s="341"/>
      <c r="AJ460" s="341"/>
      <c r="AK460" s="341"/>
      <c r="AL460" s="341"/>
      <c r="AM460" s="341"/>
      <c r="AN460" s="341"/>
      <c r="AO460" s="341"/>
      <c r="AP460" s="341"/>
      <c r="AQ460" s="341"/>
      <c r="AR460" s="341"/>
      <c r="AS460" s="341"/>
      <c r="AT460" s="341"/>
      <c r="AU460" s="341"/>
      <c r="AV460" s="341"/>
      <c r="AW460" s="341"/>
      <c r="AX460" s="341"/>
      <c r="AY460" s="341"/>
      <c r="AZ460" s="147"/>
      <c r="BA460" s="147"/>
      <c r="BB460" s="606"/>
      <c r="BC460" s="341"/>
      <c r="BD460" s="341"/>
      <c r="BE460" s="147"/>
      <c r="BF460" s="606"/>
      <c r="BG460" s="606"/>
      <c r="BH460" s="606"/>
      <c r="BI460" s="606"/>
      <c r="BJ460" s="606"/>
      <c r="BK460" s="606"/>
      <c r="BL460" s="606"/>
      <c r="BM460" s="606"/>
    </row>
    <row r="461" ht="15.75" customHeight="1">
      <c r="A461" s="341"/>
      <c r="B461" s="341"/>
      <c r="C461" s="1056"/>
      <c r="D461" s="488"/>
      <c r="E461" s="148"/>
      <c r="F461" s="341"/>
      <c r="G461" s="148"/>
      <c r="H461" s="341"/>
      <c r="I461" s="341"/>
      <c r="J461" s="341"/>
      <c r="K461" s="148"/>
      <c r="L461" s="341"/>
      <c r="M461" s="341"/>
      <c r="N461" s="341"/>
      <c r="O461" s="341"/>
      <c r="P461" s="341"/>
      <c r="Q461" s="341"/>
      <c r="R461" s="341"/>
      <c r="S461" s="341"/>
      <c r="T461" s="341"/>
      <c r="U461" s="147"/>
      <c r="V461" s="676"/>
      <c r="W461" s="452"/>
      <c r="X461" s="452"/>
      <c r="Y461" s="341"/>
      <c r="Z461" s="341"/>
      <c r="AA461" s="341"/>
      <c r="AB461" s="341"/>
      <c r="AC461" s="341"/>
      <c r="AD461" s="341"/>
      <c r="AE461" s="341"/>
      <c r="AF461" s="341"/>
      <c r="AG461" s="341"/>
      <c r="AH461" s="341"/>
      <c r="AI461" s="341"/>
      <c r="AJ461" s="341"/>
      <c r="AK461" s="341"/>
      <c r="AL461" s="341"/>
      <c r="AM461" s="341"/>
      <c r="AN461" s="341"/>
      <c r="AO461" s="341"/>
      <c r="AP461" s="341"/>
      <c r="AQ461" s="341"/>
      <c r="AR461" s="341"/>
      <c r="AS461" s="341"/>
      <c r="AT461" s="341"/>
      <c r="AU461" s="341"/>
      <c r="AV461" s="341"/>
      <c r="AW461" s="341"/>
      <c r="AX461" s="341"/>
      <c r="AY461" s="341"/>
      <c r="AZ461" s="147"/>
      <c r="BA461" s="147"/>
      <c r="BB461" s="606"/>
      <c r="BC461" s="341"/>
      <c r="BD461" s="341"/>
      <c r="BE461" s="147"/>
      <c r="BF461" s="606"/>
      <c r="BG461" s="606"/>
      <c r="BH461" s="606"/>
      <c r="BI461" s="606"/>
      <c r="BJ461" s="606"/>
      <c r="BK461" s="606"/>
      <c r="BL461" s="606"/>
      <c r="BM461" s="606"/>
    </row>
    <row r="462" ht="15.75" customHeight="1">
      <c r="A462" s="341"/>
      <c r="B462" s="341"/>
      <c r="C462" s="1056"/>
      <c r="D462" s="488"/>
      <c r="E462" s="148"/>
      <c r="F462" s="341"/>
      <c r="G462" s="148"/>
      <c r="H462" s="341"/>
      <c r="I462" s="341"/>
      <c r="J462" s="341"/>
      <c r="K462" s="148"/>
      <c r="L462" s="341"/>
      <c r="M462" s="341"/>
      <c r="N462" s="341"/>
      <c r="O462" s="341"/>
      <c r="P462" s="341"/>
      <c r="Q462" s="341"/>
      <c r="R462" s="341"/>
      <c r="S462" s="341"/>
      <c r="T462" s="341"/>
      <c r="U462" s="147"/>
      <c r="V462" s="676"/>
      <c r="W462" s="452"/>
      <c r="X462" s="452"/>
      <c r="Y462" s="341"/>
      <c r="Z462" s="341"/>
      <c r="AA462" s="341"/>
      <c r="AB462" s="341"/>
      <c r="AC462" s="341"/>
      <c r="AD462" s="341"/>
      <c r="AE462" s="341"/>
      <c r="AF462" s="341"/>
      <c r="AG462" s="341"/>
      <c r="AH462" s="341"/>
      <c r="AI462" s="341"/>
      <c r="AJ462" s="341"/>
      <c r="AK462" s="341"/>
      <c r="AL462" s="341"/>
      <c r="AM462" s="341"/>
      <c r="AN462" s="341"/>
      <c r="AO462" s="341"/>
      <c r="AP462" s="341"/>
      <c r="AQ462" s="341"/>
      <c r="AR462" s="341"/>
      <c r="AS462" s="341"/>
      <c r="AT462" s="341"/>
      <c r="AU462" s="341"/>
      <c r="AV462" s="341"/>
      <c r="AW462" s="341"/>
      <c r="AX462" s="341"/>
      <c r="AY462" s="341"/>
      <c r="AZ462" s="147"/>
      <c r="BA462" s="147"/>
      <c r="BB462" s="606"/>
      <c r="BC462" s="341"/>
      <c r="BD462" s="341"/>
      <c r="BE462" s="147"/>
      <c r="BF462" s="606"/>
      <c r="BG462" s="606"/>
      <c r="BH462" s="606"/>
      <c r="BI462" s="606"/>
      <c r="BJ462" s="606"/>
      <c r="BK462" s="606"/>
      <c r="BL462" s="606"/>
      <c r="BM462" s="606"/>
    </row>
    <row r="463" ht="15.75" customHeight="1">
      <c r="A463" s="341"/>
      <c r="B463" s="341"/>
      <c r="C463" s="1056"/>
      <c r="D463" s="488"/>
      <c r="E463" s="148"/>
      <c r="F463" s="341"/>
      <c r="G463" s="148"/>
      <c r="H463" s="341"/>
      <c r="I463" s="341"/>
      <c r="J463" s="341"/>
      <c r="K463" s="148"/>
      <c r="L463" s="341"/>
      <c r="M463" s="341"/>
      <c r="N463" s="341"/>
      <c r="O463" s="341"/>
      <c r="P463" s="341"/>
      <c r="Q463" s="341"/>
      <c r="R463" s="341"/>
      <c r="S463" s="341"/>
      <c r="T463" s="341"/>
      <c r="U463" s="147"/>
      <c r="V463" s="676"/>
      <c r="W463" s="452"/>
      <c r="X463" s="452"/>
      <c r="Y463" s="341"/>
      <c r="Z463" s="341"/>
      <c r="AA463" s="341"/>
      <c r="AB463" s="341"/>
      <c r="AC463" s="341"/>
      <c r="AD463" s="341"/>
      <c r="AE463" s="341"/>
      <c r="AF463" s="341"/>
      <c r="AG463" s="341"/>
      <c r="AH463" s="341"/>
      <c r="AI463" s="341"/>
      <c r="AJ463" s="341"/>
      <c r="AK463" s="341"/>
      <c r="AL463" s="341"/>
      <c r="AM463" s="341"/>
      <c r="AN463" s="341"/>
      <c r="AO463" s="341"/>
      <c r="AP463" s="341"/>
      <c r="AQ463" s="341"/>
      <c r="AR463" s="341"/>
      <c r="AS463" s="341"/>
      <c r="AT463" s="341"/>
      <c r="AU463" s="341"/>
      <c r="AV463" s="341"/>
      <c r="AW463" s="341"/>
      <c r="AX463" s="341"/>
      <c r="AY463" s="341"/>
      <c r="AZ463" s="147"/>
      <c r="BA463" s="147"/>
      <c r="BB463" s="606"/>
      <c r="BC463" s="341"/>
      <c r="BD463" s="341"/>
      <c r="BE463" s="147"/>
      <c r="BF463" s="606"/>
      <c r="BG463" s="606"/>
      <c r="BH463" s="606"/>
      <c r="BI463" s="606"/>
      <c r="BJ463" s="606"/>
      <c r="BK463" s="606"/>
      <c r="BL463" s="606"/>
      <c r="BM463" s="606"/>
    </row>
    <row r="464" ht="15.75" customHeight="1">
      <c r="A464" s="341"/>
      <c r="B464" s="341"/>
      <c r="C464" s="1056"/>
      <c r="D464" s="488"/>
      <c r="E464" s="148"/>
      <c r="F464" s="341"/>
      <c r="G464" s="148"/>
      <c r="H464" s="341"/>
      <c r="I464" s="341"/>
      <c r="J464" s="341"/>
      <c r="K464" s="148"/>
      <c r="L464" s="341"/>
      <c r="M464" s="341"/>
      <c r="N464" s="341"/>
      <c r="O464" s="341"/>
      <c r="P464" s="341"/>
      <c r="Q464" s="341"/>
      <c r="R464" s="341"/>
      <c r="S464" s="341"/>
      <c r="T464" s="341"/>
      <c r="U464" s="147"/>
      <c r="V464" s="676"/>
      <c r="W464" s="452"/>
      <c r="X464" s="452"/>
      <c r="Y464" s="341"/>
      <c r="Z464" s="341"/>
      <c r="AA464" s="341"/>
      <c r="AB464" s="341"/>
      <c r="AC464" s="341"/>
      <c r="AD464" s="341"/>
      <c r="AE464" s="341"/>
      <c r="AF464" s="341"/>
      <c r="AG464" s="341"/>
      <c r="AH464" s="341"/>
      <c r="AI464" s="341"/>
      <c r="AJ464" s="341"/>
      <c r="AK464" s="341"/>
      <c r="AL464" s="341"/>
      <c r="AM464" s="341"/>
      <c r="AN464" s="341"/>
      <c r="AO464" s="341"/>
      <c r="AP464" s="341"/>
      <c r="AQ464" s="341"/>
      <c r="AR464" s="341"/>
      <c r="AS464" s="341"/>
      <c r="AT464" s="341"/>
      <c r="AU464" s="341"/>
      <c r="AV464" s="341"/>
      <c r="AW464" s="341"/>
      <c r="AX464" s="341"/>
      <c r="AY464" s="341"/>
      <c r="AZ464" s="147"/>
      <c r="BA464" s="147"/>
      <c r="BB464" s="606"/>
      <c r="BC464" s="341"/>
      <c r="BD464" s="341"/>
      <c r="BE464" s="147"/>
      <c r="BF464" s="606"/>
      <c r="BG464" s="606"/>
      <c r="BH464" s="606"/>
      <c r="BI464" s="606"/>
      <c r="BJ464" s="606"/>
      <c r="BK464" s="606"/>
      <c r="BL464" s="606"/>
      <c r="BM464" s="606"/>
    </row>
    <row r="465" ht="15.75" customHeight="1">
      <c r="A465" s="341"/>
      <c r="B465" s="341"/>
      <c r="C465" s="1056"/>
      <c r="D465" s="488"/>
      <c r="E465" s="148"/>
      <c r="F465" s="341"/>
      <c r="G465" s="148"/>
      <c r="H465" s="341"/>
      <c r="I465" s="341"/>
      <c r="J465" s="341"/>
      <c r="K465" s="148"/>
      <c r="L465" s="341"/>
      <c r="M465" s="341"/>
      <c r="N465" s="341"/>
      <c r="O465" s="341"/>
      <c r="P465" s="341"/>
      <c r="Q465" s="341"/>
      <c r="R465" s="341"/>
      <c r="S465" s="341"/>
      <c r="T465" s="341"/>
      <c r="U465" s="147"/>
      <c r="V465" s="676"/>
      <c r="W465" s="452"/>
      <c r="X465" s="452"/>
      <c r="Y465" s="341"/>
      <c r="Z465" s="341"/>
      <c r="AA465" s="341"/>
      <c r="AB465" s="341"/>
      <c r="AC465" s="341"/>
      <c r="AD465" s="341"/>
      <c r="AE465" s="341"/>
      <c r="AF465" s="341"/>
      <c r="AG465" s="341"/>
      <c r="AH465" s="341"/>
      <c r="AI465" s="341"/>
      <c r="AJ465" s="341"/>
      <c r="AK465" s="341"/>
      <c r="AL465" s="341"/>
      <c r="AM465" s="341"/>
      <c r="AN465" s="341"/>
      <c r="AO465" s="341"/>
      <c r="AP465" s="341"/>
      <c r="AQ465" s="341"/>
      <c r="AR465" s="341"/>
      <c r="AS465" s="341"/>
      <c r="AT465" s="341"/>
      <c r="AU465" s="341"/>
      <c r="AV465" s="341"/>
      <c r="AW465" s="341"/>
      <c r="AX465" s="341"/>
      <c r="AY465" s="341"/>
      <c r="AZ465" s="147"/>
      <c r="BA465" s="147"/>
      <c r="BB465" s="606"/>
      <c r="BC465" s="341"/>
      <c r="BD465" s="341"/>
      <c r="BE465" s="147"/>
      <c r="BF465" s="606"/>
      <c r="BG465" s="606"/>
      <c r="BH465" s="606"/>
      <c r="BI465" s="606"/>
      <c r="BJ465" s="606"/>
      <c r="BK465" s="606"/>
      <c r="BL465" s="606"/>
      <c r="BM465" s="606"/>
    </row>
    <row r="466" ht="15.75" customHeight="1">
      <c r="A466" s="341"/>
      <c r="B466" s="341"/>
      <c r="C466" s="1056"/>
      <c r="D466" s="488"/>
      <c r="E466" s="148"/>
      <c r="F466" s="341"/>
      <c r="G466" s="148"/>
      <c r="H466" s="341"/>
      <c r="I466" s="341"/>
      <c r="J466" s="546"/>
      <c r="K466" s="148"/>
      <c r="L466" s="341"/>
      <c r="M466" s="341"/>
      <c r="N466" s="341"/>
      <c r="O466" s="341"/>
      <c r="P466" s="341"/>
      <c r="Q466" s="341"/>
      <c r="R466" s="341"/>
      <c r="S466" s="341"/>
      <c r="T466" s="341"/>
      <c r="U466" s="147"/>
      <c r="V466" s="676"/>
      <c r="W466" s="452"/>
      <c r="X466" s="452"/>
      <c r="Y466" s="341"/>
      <c r="Z466" s="341"/>
      <c r="AA466" s="341"/>
      <c r="AB466" s="341"/>
      <c r="AC466" s="341"/>
      <c r="AD466" s="341"/>
      <c r="AE466" s="341"/>
      <c r="AF466" s="341"/>
      <c r="AG466" s="341"/>
      <c r="AH466" s="341"/>
      <c r="AI466" s="341"/>
      <c r="AJ466" s="341"/>
      <c r="AK466" s="341"/>
      <c r="AL466" s="341"/>
      <c r="AM466" s="341"/>
      <c r="AN466" s="341"/>
      <c r="AO466" s="341"/>
      <c r="AP466" s="341"/>
      <c r="AQ466" s="341"/>
      <c r="AR466" s="341"/>
      <c r="AS466" s="341"/>
      <c r="AT466" s="341"/>
      <c r="AU466" s="341"/>
      <c r="AV466" s="341"/>
      <c r="AW466" s="341"/>
      <c r="AX466" s="341"/>
      <c r="AY466" s="341"/>
      <c r="AZ466" s="147"/>
      <c r="BA466" s="147"/>
      <c r="BB466" s="606"/>
      <c r="BC466" s="341"/>
      <c r="BD466" s="341"/>
      <c r="BE466" s="147"/>
      <c r="BF466" s="606"/>
      <c r="BG466" s="606"/>
      <c r="BH466" s="606"/>
      <c r="BI466" s="606"/>
      <c r="BJ466" s="606"/>
      <c r="BK466" s="606"/>
      <c r="BL466" s="606"/>
      <c r="BM466" s="606"/>
    </row>
  </sheetData>
  <conditionalFormatting sqref="M30">
    <cfRule type="expression" dxfId="6" priority="1">
      <formula>AND(ISNUMBER(M30),TRUNC(M30)&lt;TODAY())</formula>
    </cfRule>
  </conditionalFormatting>
  <conditionalFormatting sqref="K30">
    <cfRule type="cellIs" dxfId="7" priority="2" operator="equal">
      <formula>"Cape"</formula>
    </cfRule>
  </conditionalFormatting>
  <conditionalFormatting sqref="K30">
    <cfRule type="cellIs" dxfId="5" priority="3" operator="equal">
      <formula>"Cape?"</formula>
    </cfRule>
  </conditionalFormatting>
  <conditionalFormatting sqref="T30">
    <cfRule type="timePeriod" dxfId="4" priority="4" timePeriod="last7Days"/>
  </conditionalFormatting>
  <conditionalFormatting sqref="O30">
    <cfRule type="cellIs" dxfId="1" priority="5" operator="equal">
      <formula>"R"</formula>
    </cfRule>
  </conditionalFormatting>
  <conditionalFormatting sqref="O30">
    <cfRule type="cellIs" dxfId="2" priority="6" operator="equal">
      <formula>"O"</formula>
    </cfRule>
  </conditionalFormatting>
  <conditionalFormatting sqref="O30">
    <cfRule type="cellIs" dxfId="3" priority="7" operator="equal">
      <formula>"R?"</formula>
    </cfRule>
  </conditionalFormatting>
  <conditionalFormatting sqref="O30">
    <cfRule type="cellIs" dxfId="3" priority="8" operator="equal">
      <formula>"O?"</formula>
    </cfRule>
  </conditionalFormatting>
  <conditionalFormatting sqref="O30">
    <cfRule type="cellIs" dxfId="3" priority="9" operator="equal">
      <formula>"O?"</formula>
    </cfRule>
  </conditionalFormatting>
  <conditionalFormatting sqref="O30">
    <cfRule type="cellIs" dxfId="3" priority="10" operator="equal">
      <formula>"o?"</formula>
    </cfRule>
  </conditionalFormatting>
  <conditionalFormatting sqref="O30">
    <cfRule type="notContainsBlanks" dxfId="5" priority="11">
      <formula>LEN(TRIM(O30))&gt;0</formula>
    </cfRule>
  </conditionalFormatting>
  <conditionalFormatting sqref="O16">
    <cfRule type="cellIs" dxfId="1" priority="12" operator="equal">
      <formula>"R"</formula>
    </cfRule>
  </conditionalFormatting>
  <conditionalFormatting sqref="O16">
    <cfRule type="cellIs" dxfId="2" priority="13" operator="equal">
      <formula>"O"</formula>
    </cfRule>
  </conditionalFormatting>
  <conditionalFormatting sqref="O16">
    <cfRule type="cellIs" dxfId="3" priority="14" operator="equal">
      <formula>"R?"</formula>
    </cfRule>
  </conditionalFormatting>
  <conditionalFormatting sqref="O16">
    <cfRule type="cellIs" dxfId="3" priority="15" operator="equal">
      <formula>"O?"</formula>
    </cfRule>
  </conditionalFormatting>
  <conditionalFormatting sqref="O16">
    <cfRule type="notContainsBlanks" dxfId="5" priority="16">
      <formula>LEN(TRIM(O16))&gt;0</formula>
    </cfRule>
  </conditionalFormatting>
  <conditionalFormatting sqref="O16">
    <cfRule type="cellIs" dxfId="3" priority="17" operator="equal">
      <formula>"O?"</formula>
    </cfRule>
  </conditionalFormatting>
  <conditionalFormatting sqref="O16">
    <cfRule type="cellIs" dxfId="3" priority="18" operator="equal">
      <formula>"o?"</formula>
    </cfRule>
  </conditionalFormatting>
  <conditionalFormatting sqref="T3:T25 T27:T28">
    <cfRule type="timePeriod" dxfId="4" priority="19" timePeriod="last7Days"/>
  </conditionalFormatting>
  <conditionalFormatting sqref="M16">
    <cfRule type="expression" dxfId="18" priority="20">
      <formula>AND(ISNUMBER(M16),TRUNC(M16)&lt;TODAY())</formula>
    </cfRule>
  </conditionalFormatting>
  <conditionalFormatting sqref="O2:O15 O17:O25 O27:O29 O31:O466">
    <cfRule type="cellIs" dxfId="1" priority="21" operator="equal">
      <formula>"R"</formula>
    </cfRule>
  </conditionalFormatting>
  <conditionalFormatting sqref="O2:O15 O17:O25 O27:O29 O31:O466">
    <cfRule type="cellIs" dxfId="2" priority="22" operator="equal">
      <formula>"O"</formula>
    </cfRule>
  </conditionalFormatting>
  <conditionalFormatting sqref="O2:O15 O17:O25 O27:O29 O31:O466">
    <cfRule type="cellIs" dxfId="3" priority="23" operator="equal">
      <formula>"R?"</formula>
    </cfRule>
  </conditionalFormatting>
  <dataValidations>
    <dataValidation type="list" allowBlank="1" showErrorMessage="1" sqref="Q1 L3:L25 L27:L51 L73:L321 L323:L447">
      <formula1>'Voyage days'!$F$38:$F$924</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4">
      <c r="B4" s="725" t="s">
        <v>3340</v>
      </c>
    </row>
    <row r="6">
      <c r="B6" s="725" t="s">
        <v>3341</v>
      </c>
    </row>
    <row r="8">
      <c r="B8" s="725" t="s">
        <v>3342</v>
      </c>
    </row>
    <row r="9">
      <c r="B9" s="725" t="s">
        <v>3343</v>
      </c>
    </row>
    <row r="11">
      <c r="B11" s="725" t="s">
        <v>3344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57"/>
    <col customWidth="1" min="2" max="3" width="8.86"/>
    <col customWidth="1" hidden="1" min="4" max="4" width="7.0"/>
    <col customWidth="1" hidden="1" min="5" max="5" width="6.57"/>
    <col customWidth="1" hidden="1" min="6" max="6" width="10.0"/>
    <col customWidth="1" hidden="1" min="7" max="7" width="11.43"/>
    <col customWidth="1" hidden="1" min="8" max="8" width="3.57"/>
    <col customWidth="1" hidden="1" min="10" max="10" width="7.71"/>
    <col customWidth="1" min="11" max="11" width="7.0"/>
    <col customWidth="1" min="13" max="14" width="7.29"/>
    <col customWidth="1" hidden="1" min="15" max="15" width="4.0"/>
    <col customWidth="1" min="18" max="18" width="22.57"/>
    <col customWidth="1" min="19" max="20" width="7.71"/>
    <col customWidth="1" min="21" max="21" width="9.0"/>
    <col customWidth="1" min="23" max="23" width="23.14"/>
    <col customWidth="1" min="24" max="24" width="9.14"/>
    <col customWidth="1" min="25" max="32" width="9.43"/>
    <col customWidth="1" hidden="1" min="33" max="64" width="5.86"/>
  </cols>
  <sheetData>
    <row r="2" ht="15.75" customHeight="1">
      <c r="A2" s="88" t="s">
        <v>600</v>
      </c>
      <c r="B2" s="89" t="s">
        <v>601</v>
      </c>
      <c r="C2" s="1061" t="s">
        <v>602</v>
      </c>
      <c r="D2" s="78" t="s">
        <v>3345</v>
      </c>
      <c r="E2" s="94" t="s">
        <v>2892</v>
      </c>
      <c r="F2" s="91" t="s">
        <v>2543</v>
      </c>
      <c r="G2" s="93" t="s">
        <v>2894</v>
      </c>
      <c r="H2" s="93"/>
      <c r="I2" s="92" t="s">
        <v>607</v>
      </c>
      <c r="J2" s="92" t="s">
        <v>3346</v>
      </c>
      <c r="K2" s="93" t="s">
        <v>608</v>
      </c>
      <c r="L2" s="88" t="s">
        <v>610</v>
      </c>
      <c r="M2" s="88" t="s">
        <v>611</v>
      </c>
      <c r="N2" s="88" t="s">
        <v>612</v>
      </c>
      <c r="O2" s="92" t="s">
        <v>3347</v>
      </c>
      <c r="P2" s="88" t="s">
        <v>613</v>
      </c>
      <c r="Q2" s="88" t="s">
        <v>614</v>
      </c>
      <c r="R2" s="92" t="s">
        <v>3348</v>
      </c>
      <c r="S2" s="94" t="s">
        <v>616</v>
      </c>
      <c r="T2" s="95" t="s">
        <v>617</v>
      </c>
      <c r="U2" s="88" t="s">
        <v>618</v>
      </c>
      <c r="V2" s="88" t="s">
        <v>619</v>
      </c>
      <c r="W2" s="94" t="s">
        <v>27</v>
      </c>
      <c r="X2" s="94" t="s">
        <v>5</v>
      </c>
      <c r="Y2" s="96" t="s">
        <v>620</v>
      </c>
      <c r="Z2" s="96" t="s">
        <v>621</v>
      </c>
      <c r="AA2" s="96" t="s">
        <v>622</v>
      </c>
      <c r="AB2" s="96" t="s">
        <v>623</v>
      </c>
      <c r="AC2" s="96" t="s">
        <v>624</v>
      </c>
      <c r="AD2" s="96" t="s">
        <v>625</v>
      </c>
      <c r="AE2" s="96" t="s">
        <v>626</v>
      </c>
      <c r="AF2" s="97" t="s">
        <v>627</v>
      </c>
      <c r="AG2" s="98" t="s">
        <v>620</v>
      </c>
      <c r="AH2" s="93" t="s">
        <v>628</v>
      </c>
      <c r="AI2" s="93" t="s">
        <v>629</v>
      </c>
      <c r="AJ2" s="98" t="s">
        <v>621</v>
      </c>
      <c r="AK2" s="93" t="s">
        <v>630</v>
      </c>
      <c r="AL2" s="93" t="s">
        <v>631</v>
      </c>
      <c r="AM2" s="98" t="s">
        <v>622</v>
      </c>
      <c r="AN2" s="93" t="s">
        <v>630</v>
      </c>
      <c r="AO2" s="93" t="s">
        <v>631</v>
      </c>
      <c r="AP2" s="98" t="s">
        <v>632</v>
      </c>
      <c r="AQ2" s="93" t="s">
        <v>633</v>
      </c>
      <c r="AR2" s="93" t="s">
        <v>634</v>
      </c>
      <c r="AS2" s="98" t="s">
        <v>635</v>
      </c>
      <c r="AT2" s="93" t="s">
        <v>636</v>
      </c>
      <c r="AU2" s="93" t="s">
        <v>636</v>
      </c>
      <c r="AV2" s="98" t="s">
        <v>637</v>
      </c>
      <c r="AW2" s="93" t="s">
        <v>638</v>
      </c>
      <c r="AX2" s="93" t="s">
        <v>639</v>
      </c>
      <c r="AY2" s="98" t="s">
        <v>640</v>
      </c>
      <c r="AZ2" s="93" t="s">
        <v>641</v>
      </c>
      <c r="BA2" s="93" t="s">
        <v>642</v>
      </c>
      <c r="BB2" s="98" t="s">
        <v>643</v>
      </c>
      <c r="BC2" s="93" t="s">
        <v>644</v>
      </c>
      <c r="BD2" s="93" t="s">
        <v>645</v>
      </c>
      <c r="BE2" s="98" t="s">
        <v>646</v>
      </c>
      <c r="BF2" s="93" t="s">
        <v>647</v>
      </c>
      <c r="BG2" s="93" t="s">
        <v>648</v>
      </c>
      <c r="BH2" s="98" t="s">
        <v>649</v>
      </c>
      <c r="BI2" s="99" t="s">
        <v>649</v>
      </c>
      <c r="BJ2" s="96" t="s">
        <v>627</v>
      </c>
      <c r="BK2" s="91" t="s">
        <v>650</v>
      </c>
      <c r="BL2" s="91" t="s">
        <v>651</v>
      </c>
    </row>
    <row r="3" ht="15.75" customHeight="1">
      <c r="A3" s="404" t="s">
        <v>155</v>
      </c>
      <c r="B3" s="148">
        <v>2022.0</v>
      </c>
      <c r="C3" s="1045">
        <v>84000.0</v>
      </c>
      <c r="D3" s="150"/>
      <c r="E3" s="149" t="s">
        <v>666</v>
      </c>
      <c r="F3" s="1014"/>
      <c r="G3" s="149" t="s">
        <v>2907</v>
      </c>
      <c r="H3" s="149"/>
      <c r="I3" s="611" t="s">
        <v>901</v>
      </c>
      <c r="J3" s="536"/>
      <c r="K3" s="470" t="str">
        <f t="shared" ref="K3:K11" si="1">IF(W3="","NO AIS",IF((W3-M3-1)&gt;0,"Update",""))</f>
        <v>Update</v>
      </c>
      <c r="L3" s="153" t="s">
        <v>656</v>
      </c>
      <c r="M3" s="238">
        <v>45815.0</v>
      </c>
      <c r="N3" s="238">
        <v>45816.0</v>
      </c>
      <c r="O3" s="431"/>
      <c r="P3" s="157"/>
      <c r="Q3" s="157"/>
      <c r="R3" s="153" t="s">
        <v>3349</v>
      </c>
      <c r="S3" s="256" t="s">
        <v>659</v>
      </c>
      <c r="T3" s="293">
        <v>45813.0</v>
      </c>
      <c r="U3" s="114" t="str">
        <f>IF(V3="","No AIS",VLOOKUP(V3,'Voyage days'!$A$3:$B$1480,2,FALSE))</f>
        <v>Panama</v>
      </c>
      <c r="V3" s="114" t="str">
        <f>IF(VLOOKUP(A3,'1) Kpler'!$E$2:$P$1000,8, FALSE)="","",VLOOKUP(A3,'1) Kpler'!$E$2:$P$1000,8, FALSE))</f>
        <v>Panama Canal</v>
      </c>
      <c r="W3" s="159">
        <f>IF(VLOOKUP(A3,'1) Kpler'!$E$2:$P$1000,9,FALSE)="","",VLOOKUP(A3,'1) Kpler'!$E$2:$P$1000,9,FALSE))</f>
        <v>46136.95833</v>
      </c>
      <c r="X3" s="114" t="str">
        <f>VLOOKUP(A3,'1) Kpler'!$E$2:$I$1000,4,FALSE)</f>
        <v>ballast</v>
      </c>
      <c r="Y3" s="272" t="str">
        <f t="shared" ref="Y3:Y11" si="2">AG3</f>
        <v>25-26 Jun</v>
      </c>
      <c r="Z3" s="272" t="str">
        <f t="shared" ref="Z3:Z11" si="3">AJ3</f>
        <v>08-09 Jul</v>
      </c>
      <c r="AA3" s="272" t="str">
        <f t="shared" ref="AA3:AA11" si="4">AM3</f>
        <v>15-16 Jul</v>
      </c>
      <c r="AB3" s="272" t="str">
        <f t="shared" ref="AB3:AB11" si="5">AP3</f>
        <v>07-08 Jul</v>
      </c>
      <c r="AC3" s="272" t="str">
        <f t="shared" ref="AC3:AC11" si="6">AS3</f>
        <v>13-14 Jul</v>
      </c>
      <c r="AD3" s="272" t="str">
        <f t="shared" ref="AD3:AD11" si="7">BB3</f>
        <v/>
      </c>
      <c r="AE3" s="273" t="str">
        <f t="shared" ref="AE3:AE11" si="8">AY3</f>
        <v>15-16 Jun</v>
      </c>
      <c r="AF3" s="1259" t="str">
        <f t="shared" ref="AF3:AF11" si="9">BJ3</f>
        <v>23-24 Jul</v>
      </c>
      <c r="AG3" s="163" t="str">
        <f t="shared" ref="AG3:AG11" si="10">IF(AH3="","",TEXT(AH3,"dd")&amp;"-"&amp;TEXT(AI3,"dd mmm"))</f>
        <v>25-26 Jun</v>
      </c>
      <c r="AH3" s="122">
        <f>IFERROR($M3+VLOOKUP($L3,'Voyage days'!$F$38:$H$89,3,FALSE),"")</f>
        <v>45833</v>
      </c>
      <c r="AI3" s="122">
        <f>IFERROR(N3+VLOOKUP($L3,'Voyage days'!$F$38:$H$89,3,FALSE),"")</f>
        <v>45834</v>
      </c>
      <c r="AJ3" s="163" t="str">
        <f t="shared" ref="AJ3:AJ11" si="11">IF(AK3="","",TEXT(AK3,"dd")&amp;"-"&amp;TEXT(AL3,"dd mmm"))</f>
        <v>08-09 Jul</v>
      </c>
      <c r="AK3" s="122">
        <f>IFERROR($M3+VLOOKUP($L3,'Voyage days'!$F$94:$H$193,3,FALSE),"")</f>
        <v>45846</v>
      </c>
      <c r="AL3" s="122">
        <f>IFERROR($N3+VLOOKUP($L3,'Voyage days'!$F$94:$H$193,3,FALSE),"")</f>
        <v>45847</v>
      </c>
      <c r="AM3" s="163" t="str">
        <f t="shared" ref="AM3:AM11" si="12">IF(AN3="","",TEXT(AN3,"dd")&amp;"-"&amp;TEXT(AO3,"dd mmm"))</f>
        <v>15-16 Jul</v>
      </c>
      <c r="AN3" s="122">
        <f>IFERROR($M3+VLOOKUP($L3,'Voyage days'!$F$203:$H$256,3,FALSE),"")</f>
        <v>45853</v>
      </c>
      <c r="AO3" s="122">
        <f>IFERROR($N3+VLOOKUP($L3,'Voyage days'!$F$203:$H$256,3,FALSE),"")</f>
        <v>45854</v>
      </c>
      <c r="AP3" s="163" t="str">
        <f t="shared" ref="AP3:AP11" si="13">IF(AQ3="","",TEXT(AQ3,"dd")&amp;"-"&amp;TEXT(AR3,"dd mmm"))</f>
        <v>07-08 Jul</v>
      </c>
      <c r="AQ3" s="122">
        <f>IFERROR($M3+VLOOKUP($L3,'Voyage days'!$F$294:$H$377,3,FALSE),"")</f>
        <v>45845</v>
      </c>
      <c r="AR3" s="122">
        <f>IFERROR($N3+VLOOKUP($L3,'Voyage days'!$F$294:$H$377,3,FALSE),"")</f>
        <v>45846</v>
      </c>
      <c r="AS3" s="163" t="str">
        <f t="shared" ref="AS3:AS11" si="14">IF(AT3="","",TEXT(AT3,"dd")&amp;"-"&amp;TEXT(AU3,"dd mmm"))</f>
        <v>13-14 Jul</v>
      </c>
      <c r="AT3" s="122">
        <f>IFERROR($M3+VLOOKUP($L3,'Voyage days'!$F$382:$H$446,3,FALSE),"")</f>
        <v>45851</v>
      </c>
      <c r="AU3" s="122">
        <f>IFERROR($N3+VLOOKUP($L3,'Voyage days'!$F$382:$H$446,3,FALSE),"")</f>
        <v>45852</v>
      </c>
      <c r="AV3" s="163" t="str">
        <f t="shared" ref="AV3:AV11" si="15">IF(AW3="","",TEXT(AW3,"dd")&amp;"-"&amp;TEXT(AX3,"dd mmm"))</f>
        <v>20-21 Jun</v>
      </c>
      <c r="AW3" s="122">
        <f>IFERROR($M3+VLOOKUP($L3,'Voyage days'!$F$483:$H$538,3,FALSE),"")</f>
        <v>45828</v>
      </c>
      <c r="AX3" s="122">
        <f>IFERROR($N3+VLOOKUP($L3,'Voyage days'!$F$483:$H$538,3,FALSE),"")</f>
        <v>45829</v>
      </c>
      <c r="AY3" s="163" t="str">
        <f t="shared" ref="AY3:AY11" si="16">IF(AZ3="","",TEXT(AZ3,"dd")&amp;"-"&amp;TEXT(BA3,"dd mmm"))</f>
        <v>15-16 Jun</v>
      </c>
      <c r="AZ3" s="122">
        <f>IFERROR($M3+VLOOKUP($L3,'Voyage days'!$F$540:$H$613,3,FALSE),"")</f>
        <v>45823.25</v>
      </c>
      <c r="BA3" s="122">
        <f>IFERROR($N3+VLOOKUP($L3,'Voyage days'!$F$540:$H$613,3,FALSE),"")</f>
        <v>45824.25</v>
      </c>
      <c r="BB3" s="163" t="str">
        <f t="shared" ref="BB3:BB11" si="17">IF(BC3="","",TEXT(BC3,"dd")&amp;"-"&amp;TEXT(BD3,"dd mmm"))</f>
        <v/>
      </c>
      <c r="BC3" s="122" t="str">
        <f>IFERROR($M3+VLOOKUP($L3,'Voyage days'!$L$483:$N$535,3,FALSE),"")</f>
        <v/>
      </c>
      <c r="BD3" s="122" t="str">
        <f>IFERROR($N3+VLOOKUP($L3,'Voyage days'!$L$483:$N$535,3,FALSE),"")</f>
        <v/>
      </c>
      <c r="BE3" s="163" t="str">
        <f t="shared" ref="BE3:BE11" si="18">IF(BF3="","",TEXT(BF3,"dd")&amp;"-"&amp;TEXT(BG3,"dd mmm"))</f>
        <v>18-19 Jun</v>
      </c>
      <c r="BF3" s="122">
        <f>IFERROR($M3+VLOOKUP($L3,'Voyage days'!$F$620:$H$646,3,FALSE),"")</f>
        <v>45826</v>
      </c>
      <c r="BG3" s="122">
        <f>IFERROR($N3+VLOOKUP($L3,'Voyage days'!$F$620:$H$646,3,FALSE),"")</f>
        <v>45827</v>
      </c>
      <c r="BH3" s="163" t="str">
        <f t="shared" ref="BH3:BH11" si="19">IF(BI3="","",TEXT(BI3,"dd")&amp;"-"&amp;TEXT(BL3,"dd mmm"))</f>
        <v>15-24 Jul</v>
      </c>
      <c r="BI3" s="123">
        <f>IFERROR($M3+VLOOKUP($L3,'Voyage days'!$F$702:$H$727,3,FALSE),"")</f>
        <v>45823.25</v>
      </c>
      <c r="BJ3" s="163" t="str">
        <f t="shared" ref="BJ3:BJ11" si="20">IF(BK3="","",TEXT(BK3,"dd")&amp;"-"&amp;TEXT(BL3,"dd mmm"))</f>
        <v>23-24 Jul</v>
      </c>
      <c r="BK3" s="122">
        <f>IFERROR($M3+VLOOKUP($L3,'Voyage days'!$F$807:$H$878,3,FALSE),"")</f>
        <v>45861</v>
      </c>
      <c r="BL3" s="122">
        <f>IFERROR($N3+VLOOKUP($L3,'Voyage days'!$F$807:$H$878,3,FALSE),"")</f>
        <v>45862</v>
      </c>
    </row>
    <row r="4" ht="15.75" customHeight="1">
      <c r="A4" s="100" t="s">
        <v>177</v>
      </c>
      <c r="B4" s="101">
        <v>41635.0</v>
      </c>
      <c r="C4" s="1045">
        <v>84000.0</v>
      </c>
      <c r="D4" s="104"/>
      <c r="E4" s="103" t="s">
        <v>689</v>
      </c>
      <c r="F4" s="604"/>
      <c r="G4" s="605">
        <v>45777.0</v>
      </c>
      <c r="H4" s="103"/>
      <c r="I4" s="299" t="s">
        <v>901</v>
      </c>
      <c r="J4" s="111" t="s">
        <v>1554</v>
      </c>
      <c r="K4" s="336" t="str">
        <f t="shared" si="1"/>
        <v>NO AIS</v>
      </c>
      <c r="L4" s="199" t="s">
        <v>656</v>
      </c>
      <c r="M4" s="109">
        <v>45846.0</v>
      </c>
      <c r="N4" s="109">
        <v>45848.0</v>
      </c>
      <c r="O4" s="334"/>
      <c r="P4" s="185"/>
      <c r="Q4" s="185"/>
      <c r="R4" s="108" t="s">
        <v>3059</v>
      </c>
      <c r="S4" s="112" t="s">
        <v>2962</v>
      </c>
      <c r="T4" s="113">
        <v>45812.0</v>
      </c>
      <c r="U4" s="114" t="str">
        <f>IF(V4="","No AIS",VLOOKUP(V4,'Voyage days'!$A$3:$B$1480,2,FALSE))</f>
        <v>No AIS</v>
      </c>
      <c r="V4" s="115" t="str">
        <f>IF(VLOOKUP(A4,'1) Kpler'!$E$2:$P$1000,8, FALSE)="","",VLOOKUP(A4,'1) Kpler'!$E$2:$P$1000,8, FALSE))</f>
        <v/>
      </c>
      <c r="W4" s="116" t="str">
        <f>IF(VLOOKUP(A4,'1) Kpler'!$E$2:$P$1000,9,FALSE)="","",VLOOKUP(A4,'1) Kpler'!$E$2:$P$1000,9,FALSE))</f>
        <v/>
      </c>
      <c r="X4" s="115" t="str">
        <f>VLOOKUP(A4,'1) Kpler'!$E$2:$I$1000,4,FALSE)</f>
        <v>loaded</v>
      </c>
      <c r="Y4" s="117" t="str">
        <f t="shared" si="2"/>
        <v>26-28 Jul</v>
      </c>
      <c r="Z4" s="117" t="str">
        <f t="shared" si="3"/>
        <v>08-10 Aug</v>
      </c>
      <c r="AA4" s="117" t="str">
        <f t="shared" si="4"/>
        <v>15-17 Aug</v>
      </c>
      <c r="AB4" s="117" t="str">
        <f t="shared" si="5"/>
        <v>07-09 Aug</v>
      </c>
      <c r="AC4" s="117" t="str">
        <f t="shared" si="6"/>
        <v>13-15 Aug</v>
      </c>
      <c r="AD4" s="117" t="str">
        <f t="shared" si="7"/>
        <v/>
      </c>
      <c r="AE4" s="118" t="str">
        <f t="shared" si="8"/>
        <v>16-18 Jul</v>
      </c>
      <c r="AF4" s="1260" t="str">
        <f t="shared" si="9"/>
        <v>23-25 Aug</v>
      </c>
      <c r="AG4" s="120" t="str">
        <f t="shared" si="10"/>
        <v>26-28 Jul</v>
      </c>
      <c r="AH4" s="121">
        <f>IFERROR($M4+VLOOKUP($L4,'Voyage days'!$F$38:$H$89,3,FALSE),"")</f>
        <v>45864</v>
      </c>
      <c r="AI4" s="121">
        <f>IFERROR(N4+VLOOKUP($L4,'Voyage days'!$F$38:$H$89,3,FALSE),"")</f>
        <v>45866</v>
      </c>
      <c r="AJ4" s="120" t="str">
        <f t="shared" si="11"/>
        <v>08-10 Aug</v>
      </c>
      <c r="AK4" s="121">
        <f>IFERROR($M4+VLOOKUP($L4,'Voyage days'!$F$94:$H$193,3,FALSE),"")</f>
        <v>45877</v>
      </c>
      <c r="AL4" s="121">
        <f>IFERROR($N4+VLOOKUP($L4,'Voyage days'!$F$94:$H$193,3,FALSE),"")</f>
        <v>45879</v>
      </c>
      <c r="AM4" s="120" t="str">
        <f t="shared" si="12"/>
        <v>15-17 Aug</v>
      </c>
      <c r="AN4" s="121">
        <f>IFERROR($M4+VLOOKUP($L4,'Voyage days'!$F$203:$H$256,3,FALSE),"")</f>
        <v>45884</v>
      </c>
      <c r="AO4" s="121">
        <f>IFERROR($N4+VLOOKUP($L4,'Voyage days'!$F$203:$H$256,3,FALSE),"")</f>
        <v>45886</v>
      </c>
      <c r="AP4" s="120" t="str">
        <f t="shared" si="13"/>
        <v>07-09 Aug</v>
      </c>
      <c r="AQ4" s="121">
        <f>IFERROR($M4+VLOOKUP($L4,'Voyage days'!$F$294:$H$377,3,FALSE),"")</f>
        <v>45876</v>
      </c>
      <c r="AR4" s="121">
        <f>IFERROR($N4+VLOOKUP($L4,'Voyage days'!$F$294:$H$377,3,FALSE),"")</f>
        <v>45878</v>
      </c>
      <c r="AS4" s="120" t="str">
        <f t="shared" si="14"/>
        <v>13-15 Aug</v>
      </c>
      <c r="AT4" s="121">
        <f>IFERROR($M4+VLOOKUP($L4,'Voyage days'!$F$382:$H$446,3,FALSE),"")</f>
        <v>45882</v>
      </c>
      <c r="AU4" s="121">
        <f>IFERROR($N4+VLOOKUP($L4,'Voyage days'!$F$382:$H$446,3,FALSE),"")</f>
        <v>45884</v>
      </c>
      <c r="AV4" s="120" t="str">
        <f t="shared" si="15"/>
        <v>21-23 Jul</v>
      </c>
      <c r="AW4" s="121">
        <f>IFERROR($M4+VLOOKUP($L4,'Voyage days'!$F$483:$H$538,3,FALSE),"")</f>
        <v>45859</v>
      </c>
      <c r="AX4" s="121">
        <f>IFERROR($N4+VLOOKUP($L4,'Voyage days'!$F$483:$H$538,3,FALSE),"")</f>
        <v>45861</v>
      </c>
      <c r="AY4" s="120" t="str">
        <f t="shared" si="16"/>
        <v>16-18 Jul</v>
      </c>
      <c r="AZ4" s="121">
        <f>IFERROR($M4+VLOOKUP($L4,'Voyage days'!$F$540:$H$613,3,FALSE),"")</f>
        <v>45854.25</v>
      </c>
      <c r="BA4" s="121">
        <f>IFERROR($N4+VLOOKUP($L4,'Voyage days'!$F$540:$H$613,3,FALSE),"")</f>
        <v>45856.25</v>
      </c>
      <c r="BB4" s="120" t="str">
        <f t="shared" si="17"/>
        <v/>
      </c>
      <c r="BC4" s="121" t="str">
        <f>IFERROR($M4+VLOOKUP($L4,'Voyage days'!$L$483:$N$535,3,FALSE),"")</f>
        <v/>
      </c>
      <c r="BD4" s="121" t="str">
        <f>IFERROR($N4+VLOOKUP($L4,'Voyage days'!$L$483:$N$535,3,FALSE),"")</f>
        <v/>
      </c>
      <c r="BE4" s="120" t="str">
        <f t="shared" si="18"/>
        <v>19-21 Jul</v>
      </c>
      <c r="BF4" s="122">
        <f>IFERROR($M4+VLOOKUP($L4,'Voyage days'!$F$620:$H$646,3,FALSE),"")</f>
        <v>45857</v>
      </c>
      <c r="BG4" s="122">
        <f>IFERROR($N4+VLOOKUP($L4,'Voyage days'!$F$620:$H$646,3,FALSE),"")</f>
        <v>45859</v>
      </c>
      <c r="BH4" s="120" t="str">
        <f t="shared" si="19"/>
        <v>16-25 Aug</v>
      </c>
      <c r="BI4" s="123">
        <f>IFERROR($M4+VLOOKUP($L4,'Voyage days'!$F$702:$H$727,3,FALSE),"")</f>
        <v>45854.25</v>
      </c>
      <c r="BJ4" s="120" t="str">
        <f t="shared" si="20"/>
        <v>23-25 Aug</v>
      </c>
      <c r="BK4" s="122">
        <f>IFERROR($M4+VLOOKUP($L4,'Voyage days'!$F$807:$H$878,3,FALSE),"")</f>
        <v>45892</v>
      </c>
      <c r="BL4" s="122">
        <f>IFERROR($N4+VLOOKUP($L4,'Voyage days'!$F$807:$H$878,3,FALSE),"")</f>
        <v>45894</v>
      </c>
    </row>
    <row r="5" ht="15.75" customHeight="1">
      <c r="A5" s="80" t="s">
        <v>204</v>
      </c>
      <c r="B5" s="148">
        <v>2020.0</v>
      </c>
      <c r="C5" s="1045">
        <v>82000.0</v>
      </c>
      <c r="D5" s="104"/>
      <c r="E5" s="103" t="s">
        <v>689</v>
      </c>
      <c r="F5" s="604"/>
      <c r="G5" s="605">
        <v>45717.0</v>
      </c>
      <c r="H5" s="103"/>
      <c r="I5" s="299" t="s">
        <v>901</v>
      </c>
      <c r="J5" s="111"/>
      <c r="K5" s="336" t="str">
        <f t="shared" si="1"/>
        <v>Update</v>
      </c>
      <c r="L5" s="108" t="s">
        <v>680</v>
      </c>
      <c r="M5" s="109">
        <v>45834.0</v>
      </c>
      <c r="N5" s="109">
        <v>45835.0</v>
      </c>
      <c r="O5" s="334"/>
      <c r="P5" s="108"/>
      <c r="Q5" s="185"/>
      <c r="R5" s="108" t="s">
        <v>3350</v>
      </c>
      <c r="S5" s="112" t="s">
        <v>934</v>
      </c>
      <c r="T5" s="113">
        <v>45810.0</v>
      </c>
      <c r="U5" s="114" t="str">
        <f>IF(V5="","No AIS",VLOOKUP(V5,'Voyage days'!$A$3:$B$1480,2,FALSE))</f>
        <v>Panama</v>
      </c>
      <c r="V5" s="115" t="str">
        <f>IF(VLOOKUP(A5,'1) Kpler'!$E$2:$P$1000,8, FALSE)="","",VLOOKUP(A5,'1) Kpler'!$E$2:$P$1000,8, FALSE))</f>
        <v>Panama Canal</v>
      </c>
      <c r="W5" s="116">
        <f>IF(VLOOKUP(A5,'1) Kpler'!$E$2:$P$1000,9,FALSE)="","",VLOOKUP(A5,'1) Kpler'!$E$2:$P$1000,9,FALSE))</f>
        <v>46134.00069</v>
      </c>
      <c r="X5" s="115" t="str">
        <f>VLOOKUP(A5,'1) Kpler'!$E$2:$I$1000,4,FALSE)</f>
        <v>ballast</v>
      </c>
      <c r="Y5" s="160" t="str">
        <f t="shared" si="2"/>
        <v/>
      </c>
      <c r="Z5" s="160" t="str">
        <f t="shared" si="3"/>
        <v>26-27 Jun</v>
      </c>
      <c r="AA5" s="160" t="str">
        <f t="shared" si="4"/>
        <v>26-27 Jun</v>
      </c>
      <c r="AB5" s="160" t="str">
        <f t="shared" si="5"/>
        <v/>
      </c>
      <c r="AC5" s="160" t="str">
        <f t="shared" si="6"/>
        <v>16-17 Jul</v>
      </c>
      <c r="AD5" s="160" t="str">
        <f t="shared" si="7"/>
        <v/>
      </c>
      <c r="AE5" s="161" t="str">
        <f t="shared" si="8"/>
        <v/>
      </c>
      <c r="AF5" s="1259" t="str">
        <f t="shared" si="9"/>
        <v/>
      </c>
      <c r="AG5" s="120" t="str">
        <f t="shared" si="10"/>
        <v/>
      </c>
      <c r="AH5" s="121" t="str">
        <f>IFERROR($M5+VLOOKUP($L5,'Voyage days'!$F$38:$H$89,3,FALSE),"")</f>
        <v/>
      </c>
      <c r="AI5" s="121" t="str">
        <f>IFERROR(N5+VLOOKUP($L5,'Voyage days'!$F$38:$H$89,3,FALSE),"")</f>
        <v/>
      </c>
      <c r="AJ5" s="120" t="str">
        <f t="shared" si="11"/>
        <v>26-27 Jun</v>
      </c>
      <c r="AK5" s="121">
        <f>IFERROR($M5+VLOOKUP($L5,'Voyage days'!$F$94:$H$193,3,FALSE),"")</f>
        <v>45834</v>
      </c>
      <c r="AL5" s="121">
        <f>IFERROR($N5+VLOOKUP($L5,'Voyage days'!$F$94:$H$193,3,FALSE),"")</f>
        <v>45835</v>
      </c>
      <c r="AM5" s="120" t="str">
        <f t="shared" si="12"/>
        <v>26-27 Jun</v>
      </c>
      <c r="AN5" s="121">
        <f>IFERROR($M5+VLOOKUP($L5,'Voyage days'!$F$203:$H$256,3,FALSE),"")</f>
        <v>45834</v>
      </c>
      <c r="AO5" s="121">
        <f>IFERROR($N5+VLOOKUP($L5,'Voyage days'!$F$203:$H$256,3,FALSE),"")</f>
        <v>45835</v>
      </c>
      <c r="AP5" s="120" t="str">
        <f t="shared" si="13"/>
        <v/>
      </c>
      <c r="AQ5" s="121" t="str">
        <f>IFERROR($M5+VLOOKUP($L5,'Voyage days'!$F$294:$H$377,3,FALSE),"")</f>
        <v/>
      </c>
      <c r="AR5" s="121" t="str">
        <f>IFERROR($N5+VLOOKUP($L5,'Voyage days'!$F$294:$H$377,3,FALSE),"")</f>
        <v/>
      </c>
      <c r="AS5" s="120" t="str">
        <f t="shared" si="14"/>
        <v>16-17 Jul</v>
      </c>
      <c r="AT5" s="121">
        <f>IFERROR($M5+VLOOKUP($L5,'Voyage days'!$F$382:$H$446,3,FALSE),"")</f>
        <v>45854</v>
      </c>
      <c r="AU5" s="121">
        <f>IFERROR($N5+VLOOKUP($L5,'Voyage days'!$F$382:$H$446,3,FALSE),"")</f>
        <v>45855</v>
      </c>
      <c r="AV5" s="120" t="str">
        <f t="shared" si="15"/>
        <v/>
      </c>
      <c r="AW5" s="121" t="str">
        <f>IFERROR($M5+VLOOKUP($L5,'Voyage days'!$F$483:$H$538,3,FALSE),"")</f>
        <v/>
      </c>
      <c r="AX5" s="121" t="str">
        <f>IFERROR($N5+VLOOKUP($L5,'Voyage days'!$F$483:$H$538,3,FALSE),"")</f>
        <v/>
      </c>
      <c r="AY5" s="120" t="str">
        <f t="shared" si="16"/>
        <v/>
      </c>
      <c r="AZ5" s="121" t="str">
        <f>IFERROR($M5+VLOOKUP($L5,'Voyage days'!$F$540:$H$613,3,FALSE),"")</f>
        <v/>
      </c>
      <c r="BA5" s="121" t="str">
        <f>IFERROR($N5+VLOOKUP($L5,'Voyage days'!$F$540:$H$613,3,FALSE),"")</f>
        <v/>
      </c>
      <c r="BB5" s="120" t="str">
        <f t="shared" si="17"/>
        <v/>
      </c>
      <c r="BC5" s="121" t="str">
        <f>IFERROR($M5+VLOOKUP($L5,'Voyage days'!$L$483:$N$535,3,FALSE),"")</f>
        <v/>
      </c>
      <c r="BD5" s="121" t="str">
        <f>IFERROR($N5+VLOOKUP($L5,'Voyage days'!$L$483:$N$535,3,FALSE),"")</f>
        <v/>
      </c>
      <c r="BE5" s="120" t="str">
        <f t="shared" si="18"/>
        <v/>
      </c>
      <c r="BF5" s="122" t="str">
        <f>IFERROR($M5+VLOOKUP($L5,'Voyage days'!$F$620:$H$646,3,FALSE),"")</f>
        <v/>
      </c>
      <c r="BG5" s="122" t="str">
        <f>IFERROR($N5+VLOOKUP($L5,'Voyage days'!$F$620:$H$646,3,FALSE),"")</f>
        <v/>
      </c>
      <c r="BH5" s="120" t="str">
        <f t="shared" si="19"/>
        <v/>
      </c>
      <c r="BI5" s="123" t="str">
        <f>IFERROR($M5+VLOOKUP($L5,'Voyage days'!$F$702:$H$727,3,FALSE),"")</f>
        <v/>
      </c>
      <c r="BJ5" s="120" t="str">
        <f t="shared" si="20"/>
        <v/>
      </c>
      <c r="BK5" s="122" t="str">
        <f>IFERROR($M5+VLOOKUP($L5,'Voyage days'!$F$807:$H$878,3,FALSE),"")</f>
        <v/>
      </c>
      <c r="BL5" s="122" t="str">
        <f>IFERROR($N5+VLOOKUP($L5,'Voyage days'!$F$807:$H$878,3,FALSE),"")</f>
        <v/>
      </c>
    </row>
    <row r="6" ht="15.75" customHeight="1">
      <c r="A6" s="80" t="s">
        <v>212</v>
      </c>
      <c r="B6" s="101">
        <v>41579.0</v>
      </c>
      <c r="C6" s="1045">
        <v>82200.0</v>
      </c>
      <c r="D6" s="104"/>
      <c r="E6" s="103" t="s">
        <v>689</v>
      </c>
      <c r="F6" s="604">
        <v>43344.0</v>
      </c>
      <c r="G6" s="605">
        <v>45717.0</v>
      </c>
      <c r="H6" s="103"/>
      <c r="I6" s="299" t="s">
        <v>901</v>
      </c>
      <c r="J6" s="111" t="s">
        <v>968</v>
      </c>
      <c r="K6" s="336" t="str">
        <f t="shared" si="1"/>
        <v>Update</v>
      </c>
      <c r="L6" s="108" t="s">
        <v>860</v>
      </c>
      <c r="M6" s="109">
        <v>45830.0</v>
      </c>
      <c r="N6" s="109">
        <v>45832.0</v>
      </c>
      <c r="O6" s="334"/>
      <c r="P6" s="108" t="s">
        <v>3351</v>
      </c>
      <c r="Q6" s="185"/>
      <c r="R6" s="108" t="s">
        <v>3060</v>
      </c>
      <c r="S6" s="112" t="s">
        <v>2962</v>
      </c>
      <c r="T6" s="113">
        <v>45795.0</v>
      </c>
      <c r="U6" s="114" t="str">
        <f>IF(V6="","No AIS",VLOOKUP(V6,'Voyage days'!$A$3:$B$1480,2,FALSE))</f>
        <v>Port Louis</v>
      </c>
      <c r="V6" s="115" t="str">
        <f>IF(VLOOKUP(A6,'1) Kpler'!$E$2:$P$1000,8, FALSE)="","",VLOOKUP(A6,'1) Kpler'!$E$2:$P$1000,8, FALSE))</f>
        <v>Port Louis</v>
      </c>
      <c r="W6" s="116">
        <f>IF(VLOOKUP(A6,'1) Kpler'!$E$2:$P$1000,9,FALSE)="","",VLOOKUP(A6,'1) Kpler'!$E$2:$P$1000,9,FALSE))</f>
        <v>46155.58333</v>
      </c>
      <c r="X6" s="115" t="str">
        <f>VLOOKUP(A6,'1) Kpler'!$E$2:$I$1000,4,FALSE)</f>
        <v>loaded</v>
      </c>
      <c r="Y6" s="117" t="str">
        <f t="shared" si="2"/>
        <v>07-09 Jul</v>
      </c>
      <c r="Z6" s="117" t="str">
        <f t="shared" si="3"/>
        <v>30-01 Aug</v>
      </c>
      <c r="AA6" s="117" t="str">
        <f t="shared" si="4"/>
        <v>31-02 Aug</v>
      </c>
      <c r="AB6" s="117" t="str">
        <f t="shared" si="5"/>
        <v>17-19 Jul</v>
      </c>
      <c r="AC6" s="117" t="str">
        <f t="shared" si="6"/>
        <v>25-27 Jul</v>
      </c>
      <c r="AD6" s="117" t="str">
        <f t="shared" si="7"/>
        <v/>
      </c>
      <c r="AE6" s="118" t="str">
        <f t="shared" si="8"/>
        <v>02-04 Jul</v>
      </c>
      <c r="AF6" s="1260" t="str">
        <f t="shared" si="9"/>
        <v>04-06 Aug</v>
      </c>
      <c r="AG6" s="120" t="str">
        <f t="shared" si="10"/>
        <v>07-09 Jul</v>
      </c>
      <c r="AH6" s="121">
        <f>IFERROR($M6+VLOOKUP($L6,'Voyage days'!$F$38:$H$89,3,FALSE),"")</f>
        <v>45845</v>
      </c>
      <c r="AI6" s="121">
        <f>IFERROR(N6+VLOOKUP($L6,'Voyage days'!$F$38:$H$89,3,FALSE),"")</f>
        <v>45847</v>
      </c>
      <c r="AJ6" s="120" t="str">
        <f t="shared" si="11"/>
        <v>30-01 Aug</v>
      </c>
      <c r="AK6" s="121">
        <f>IFERROR($M6+VLOOKUP($L6,'Voyage days'!$F$94:$H$193,3,FALSE),"")</f>
        <v>45868</v>
      </c>
      <c r="AL6" s="121">
        <f>IFERROR($N6+VLOOKUP($L6,'Voyage days'!$F$94:$H$193,3,FALSE),"")</f>
        <v>45870</v>
      </c>
      <c r="AM6" s="120" t="str">
        <f t="shared" si="12"/>
        <v>31-02 Aug</v>
      </c>
      <c r="AN6" s="121">
        <f>IFERROR($M6+VLOOKUP($L6,'Voyage days'!$F$203:$H$256,3,FALSE),"")</f>
        <v>45869</v>
      </c>
      <c r="AO6" s="121">
        <f>IFERROR($N6+VLOOKUP($L6,'Voyage days'!$F$203:$H$256,3,FALSE),"")</f>
        <v>45871</v>
      </c>
      <c r="AP6" s="120" t="str">
        <f t="shared" si="13"/>
        <v>17-19 Jul</v>
      </c>
      <c r="AQ6" s="121">
        <f>IFERROR($M6+VLOOKUP($L6,'Voyage days'!$F$294:$H$377,3,FALSE),"")</f>
        <v>45855</v>
      </c>
      <c r="AR6" s="121">
        <f>IFERROR($N6+VLOOKUP($L6,'Voyage days'!$F$294:$H$377,3,FALSE),"")</f>
        <v>45857</v>
      </c>
      <c r="AS6" s="120" t="str">
        <f t="shared" si="14"/>
        <v>25-27 Jul</v>
      </c>
      <c r="AT6" s="121">
        <f>IFERROR($M6+VLOOKUP($L6,'Voyage days'!$F$382:$H$446,3,FALSE),"")</f>
        <v>45863</v>
      </c>
      <c r="AU6" s="121">
        <f>IFERROR($N6+VLOOKUP($L6,'Voyage days'!$F$382:$H$446,3,FALSE),"")</f>
        <v>45865</v>
      </c>
      <c r="AV6" s="120" t="str">
        <f t="shared" si="15"/>
        <v>08-10 Jul</v>
      </c>
      <c r="AW6" s="121">
        <f>IFERROR($M6+VLOOKUP($L6,'Voyage days'!$F$483:$H$538,3,FALSE),"")</f>
        <v>45846</v>
      </c>
      <c r="AX6" s="121">
        <f>IFERROR($N6+VLOOKUP($L6,'Voyage days'!$F$483:$H$538,3,FALSE),"")</f>
        <v>45848</v>
      </c>
      <c r="AY6" s="120" t="str">
        <f t="shared" si="16"/>
        <v>02-04 Jul</v>
      </c>
      <c r="AZ6" s="121">
        <f>IFERROR($M6+VLOOKUP($L6,'Voyage days'!$F$540:$H$613,3,FALSE),"")</f>
        <v>45840</v>
      </c>
      <c r="BA6" s="121">
        <f>IFERROR($N6+VLOOKUP($L6,'Voyage days'!$F$540:$H$613,3,FALSE),"")</f>
        <v>45842</v>
      </c>
      <c r="BB6" s="120" t="str">
        <f t="shared" si="17"/>
        <v/>
      </c>
      <c r="BC6" s="121" t="str">
        <f>IFERROR($M6+VLOOKUP($L6,'Voyage days'!$L$483:$N$535,3,FALSE),"")</f>
        <v/>
      </c>
      <c r="BD6" s="121" t="str">
        <f>IFERROR($N6+VLOOKUP($L6,'Voyage days'!$L$483:$N$535,3,FALSE),"")</f>
        <v/>
      </c>
      <c r="BE6" s="120" t="str">
        <f t="shared" si="18"/>
        <v/>
      </c>
      <c r="BF6" s="122" t="str">
        <f>IFERROR($M6+VLOOKUP($L6,'Voyage days'!$F$620:$H$646,3,FALSE),"")</f>
        <v/>
      </c>
      <c r="BG6" s="122" t="str">
        <f>IFERROR($N6+VLOOKUP($L6,'Voyage days'!$F$620:$H$646,3,FALSE),"")</f>
        <v/>
      </c>
      <c r="BH6" s="120" t="str">
        <f t="shared" si="19"/>
        <v>07-06 Aug</v>
      </c>
      <c r="BI6" s="123">
        <f>IFERROR($M6+VLOOKUP($L6,'Voyage days'!$F$702:$H$727,3,FALSE),"")</f>
        <v>45845</v>
      </c>
      <c r="BJ6" s="120" t="str">
        <f t="shared" si="20"/>
        <v>04-06 Aug</v>
      </c>
      <c r="BK6" s="122">
        <f>IFERROR($M6+VLOOKUP($L6,'Voyage days'!$F$807:$H$878,3,FALSE),"")</f>
        <v>45873</v>
      </c>
      <c r="BL6" s="122">
        <f>IFERROR($N6+VLOOKUP($L6,'Voyage days'!$F$807:$H$878,3,FALSE),"")</f>
        <v>45875</v>
      </c>
    </row>
    <row r="7" ht="15.75" customHeight="1">
      <c r="A7" s="341" t="s">
        <v>213</v>
      </c>
      <c r="B7" s="148">
        <v>2022.0</v>
      </c>
      <c r="C7" s="1045">
        <v>84000.0</v>
      </c>
      <c r="D7" s="104"/>
      <c r="E7" s="103" t="s">
        <v>666</v>
      </c>
      <c r="F7" s="604"/>
      <c r="G7" s="103" t="s">
        <v>2907</v>
      </c>
      <c r="H7" s="103"/>
      <c r="I7" s="299" t="s">
        <v>901</v>
      </c>
      <c r="J7" s="185"/>
      <c r="K7" s="336" t="str">
        <f t="shared" si="1"/>
        <v>Update</v>
      </c>
      <c r="L7" s="108" t="s">
        <v>680</v>
      </c>
      <c r="M7" s="109">
        <v>45830.0</v>
      </c>
      <c r="N7" s="109">
        <v>45832.0</v>
      </c>
      <c r="O7" s="110"/>
      <c r="P7" s="185"/>
      <c r="Q7" s="108" t="s">
        <v>3352</v>
      </c>
      <c r="R7" s="108" t="s">
        <v>3061</v>
      </c>
      <c r="S7" s="112" t="s">
        <v>2962</v>
      </c>
      <c r="T7" s="113">
        <v>45798.0</v>
      </c>
      <c r="U7" s="114" t="str">
        <f>IF(V7="","No AIS",VLOOKUP(V7,'Voyage days'!$A$3:$B$1480,2,FALSE))</f>
        <v>Panama</v>
      </c>
      <c r="V7" s="115" t="str">
        <f>IF(VLOOKUP(A7,'1) Kpler'!$E$2:$P$1000,8, FALSE)="","",VLOOKUP(A7,'1) Kpler'!$E$2:$P$1000,8, FALSE))</f>
        <v>Panama Canal</v>
      </c>
      <c r="W7" s="116">
        <f>IF(VLOOKUP(A7,'1) Kpler'!$E$2:$P$1000,9,FALSE)="","",VLOOKUP(A7,'1) Kpler'!$E$2:$P$1000,9,FALSE))</f>
        <v>46133.375</v>
      </c>
      <c r="X7" s="115" t="str">
        <f>VLOOKUP(A7,'1) Kpler'!$E$2:$I$1000,4,FALSE)</f>
        <v>loaded</v>
      </c>
      <c r="Y7" s="160" t="str">
        <f t="shared" si="2"/>
        <v/>
      </c>
      <c r="Z7" s="160" t="str">
        <f t="shared" si="3"/>
        <v>22-24 Jun</v>
      </c>
      <c r="AA7" s="160" t="str">
        <f t="shared" si="4"/>
        <v>22-24 Jun</v>
      </c>
      <c r="AB7" s="160" t="str">
        <f t="shared" si="5"/>
        <v/>
      </c>
      <c r="AC7" s="160" t="str">
        <f t="shared" si="6"/>
        <v>12-14 Jul</v>
      </c>
      <c r="AD7" s="160" t="str">
        <f t="shared" si="7"/>
        <v/>
      </c>
      <c r="AE7" s="161" t="str">
        <f t="shared" si="8"/>
        <v/>
      </c>
      <c r="AF7" s="1259" t="str">
        <f t="shared" si="9"/>
        <v/>
      </c>
      <c r="AG7" s="120" t="str">
        <f t="shared" si="10"/>
        <v/>
      </c>
      <c r="AH7" s="121" t="str">
        <f>IFERROR($M7+VLOOKUP($L7,'Voyage days'!$F$38:$H$89,3,FALSE),"")</f>
        <v/>
      </c>
      <c r="AI7" s="121" t="str">
        <f>IFERROR(N7+VLOOKUP($L7,'Voyage days'!$F$38:$H$89,3,FALSE),"")</f>
        <v/>
      </c>
      <c r="AJ7" s="120" t="str">
        <f t="shared" si="11"/>
        <v>22-24 Jun</v>
      </c>
      <c r="AK7" s="121">
        <f>IFERROR($M7+VLOOKUP($L7,'Voyage days'!$F$94:$H$193,3,FALSE),"")</f>
        <v>45830</v>
      </c>
      <c r="AL7" s="121">
        <f>IFERROR($N7+VLOOKUP($L7,'Voyage days'!$F$94:$H$193,3,FALSE),"")</f>
        <v>45832</v>
      </c>
      <c r="AM7" s="120" t="str">
        <f t="shared" si="12"/>
        <v>22-24 Jun</v>
      </c>
      <c r="AN7" s="121">
        <f>IFERROR($M7+VLOOKUP($L7,'Voyage days'!$F$203:$H$256,3,FALSE),"")</f>
        <v>45830</v>
      </c>
      <c r="AO7" s="121">
        <f>IFERROR($N7+VLOOKUP($L7,'Voyage days'!$F$203:$H$256,3,FALSE),"")</f>
        <v>45832</v>
      </c>
      <c r="AP7" s="120" t="str">
        <f t="shared" si="13"/>
        <v/>
      </c>
      <c r="AQ7" s="121" t="str">
        <f>IFERROR($M7+VLOOKUP($L7,'Voyage days'!$F$294:$H$377,3,FALSE),"")</f>
        <v/>
      </c>
      <c r="AR7" s="121" t="str">
        <f>IFERROR($N7+VLOOKUP($L7,'Voyage days'!$F$294:$H$377,3,FALSE),"")</f>
        <v/>
      </c>
      <c r="AS7" s="120" t="str">
        <f t="shared" si="14"/>
        <v>12-14 Jul</v>
      </c>
      <c r="AT7" s="121">
        <f>IFERROR($M7+VLOOKUP($L7,'Voyage days'!$F$382:$H$446,3,FALSE),"")</f>
        <v>45850</v>
      </c>
      <c r="AU7" s="121">
        <f>IFERROR($N7+VLOOKUP($L7,'Voyage days'!$F$382:$H$446,3,FALSE),"")</f>
        <v>45852</v>
      </c>
      <c r="AV7" s="120" t="str">
        <f t="shared" si="15"/>
        <v/>
      </c>
      <c r="AW7" s="121" t="str">
        <f>IFERROR($M7+VLOOKUP($L7,'Voyage days'!$F$483:$H$538,3,FALSE),"")</f>
        <v/>
      </c>
      <c r="AX7" s="121" t="str">
        <f>IFERROR($N7+VLOOKUP($L7,'Voyage days'!$F$483:$H$538,3,FALSE),"")</f>
        <v/>
      </c>
      <c r="AY7" s="120" t="str">
        <f t="shared" si="16"/>
        <v/>
      </c>
      <c r="AZ7" s="121" t="str">
        <f>IFERROR($M7+VLOOKUP($L7,'Voyage days'!$F$540:$H$613,3,FALSE),"")</f>
        <v/>
      </c>
      <c r="BA7" s="121" t="str">
        <f>IFERROR($N7+VLOOKUP($L7,'Voyage days'!$F$540:$H$613,3,FALSE),"")</f>
        <v/>
      </c>
      <c r="BB7" s="120" t="str">
        <f t="shared" si="17"/>
        <v/>
      </c>
      <c r="BC7" s="121" t="str">
        <f>IFERROR($M7+VLOOKUP($L7,'Voyage days'!$L$483:$N$535,3,FALSE),"")</f>
        <v/>
      </c>
      <c r="BD7" s="121" t="str">
        <f>IFERROR($N7+VLOOKUP($L7,'Voyage days'!$L$483:$N$535,3,FALSE),"")</f>
        <v/>
      </c>
      <c r="BE7" s="120" t="str">
        <f t="shared" si="18"/>
        <v/>
      </c>
      <c r="BF7" s="122" t="str">
        <f>IFERROR($M7+VLOOKUP($L7,'Voyage days'!$F$620:$H$646,3,FALSE),"")</f>
        <v/>
      </c>
      <c r="BG7" s="122" t="str">
        <f>IFERROR($N7+VLOOKUP($L7,'Voyage days'!$F$620:$H$646,3,FALSE),"")</f>
        <v/>
      </c>
      <c r="BH7" s="120" t="str">
        <f t="shared" si="19"/>
        <v/>
      </c>
      <c r="BI7" s="123" t="str">
        <f>IFERROR($M7+VLOOKUP($L7,'Voyage days'!$F$702:$H$727,3,FALSE),"")</f>
        <v/>
      </c>
      <c r="BJ7" s="120" t="str">
        <f t="shared" si="20"/>
        <v/>
      </c>
      <c r="BK7" s="122" t="str">
        <f>IFERROR($M7+VLOOKUP($L7,'Voyage days'!$F$807:$H$878,3,FALSE),"")</f>
        <v/>
      </c>
      <c r="BL7" s="122" t="str">
        <f>IFERROR($N7+VLOOKUP($L7,'Voyage days'!$F$807:$H$878,3,FALSE),"")</f>
        <v/>
      </c>
    </row>
    <row r="8" ht="15.75" customHeight="1">
      <c r="A8" s="80" t="s">
        <v>238</v>
      </c>
      <c r="B8" s="148">
        <v>2021.0</v>
      </c>
      <c r="C8" s="1045">
        <v>86000.0</v>
      </c>
      <c r="D8" s="104"/>
      <c r="E8" s="103" t="s">
        <v>666</v>
      </c>
      <c r="F8" s="604"/>
      <c r="G8" s="103" t="s">
        <v>2907</v>
      </c>
      <c r="H8" s="103"/>
      <c r="I8" s="299" t="s">
        <v>901</v>
      </c>
      <c r="J8" s="185"/>
      <c r="K8" s="336" t="str">
        <f t="shared" si="1"/>
        <v>Update</v>
      </c>
      <c r="L8" s="108" t="s">
        <v>680</v>
      </c>
      <c r="M8" s="109">
        <v>45823.0</v>
      </c>
      <c r="N8" s="109">
        <v>45828.0</v>
      </c>
      <c r="O8" s="110"/>
      <c r="P8" s="185"/>
      <c r="Q8" s="108"/>
      <c r="R8" s="108" t="s">
        <v>3353</v>
      </c>
      <c r="S8" s="112" t="s">
        <v>934</v>
      </c>
      <c r="T8" s="113">
        <v>45793.0</v>
      </c>
      <c r="U8" s="114" t="str">
        <f>IF(V8="","No AIS",VLOOKUP(V8,'Voyage days'!$A$3:$B$1480,2,FALSE))</f>
        <v>USG</v>
      </c>
      <c r="V8" s="115" t="str">
        <f>IF(VLOOKUP(A8,'1) Kpler'!$E$2:$P$1000,8, FALSE)="","",VLOOKUP(A8,'1) Kpler'!$E$2:$P$1000,8, FALSE))</f>
        <v>Houston</v>
      </c>
      <c r="W8" s="116">
        <f>IF(VLOOKUP(A8,'1) Kpler'!$E$2:$P$1000,9,FALSE)="","",VLOOKUP(A8,'1) Kpler'!$E$2:$P$1000,9,FALSE))</f>
        <v>46132.5</v>
      </c>
      <c r="X8" s="115" t="str">
        <f>VLOOKUP(A8,'1) Kpler'!$E$2:$I$1000,4,FALSE)</f>
        <v>ballast</v>
      </c>
      <c r="Y8" s="117" t="str">
        <f t="shared" si="2"/>
        <v/>
      </c>
      <c r="Z8" s="117" t="str">
        <f t="shared" si="3"/>
        <v>15-20 Jun</v>
      </c>
      <c r="AA8" s="117" t="str">
        <f t="shared" si="4"/>
        <v>15-20 Jun</v>
      </c>
      <c r="AB8" s="117" t="str">
        <f t="shared" si="5"/>
        <v/>
      </c>
      <c r="AC8" s="117" t="str">
        <f t="shared" si="6"/>
        <v>05-10 Jul</v>
      </c>
      <c r="AD8" s="117" t="str">
        <f t="shared" si="7"/>
        <v/>
      </c>
      <c r="AE8" s="118" t="str">
        <f t="shared" si="8"/>
        <v/>
      </c>
      <c r="AF8" s="1260" t="str">
        <f t="shared" si="9"/>
        <v/>
      </c>
      <c r="AG8" s="120" t="str">
        <f t="shared" si="10"/>
        <v/>
      </c>
      <c r="AH8" s="121" t="str">
        <f>IFERROR($M8+VLOOKUP($L8,'Voyage days'!$F$38:$H$89,3,FALSE),"")</f>
        <v/>
      </c>
      <c r="AI8" s="121" t="str">
        <f>IFERROR(N8+VLOOKUP($L8,'Voyage days'!$F$38:$H$89,3,FALSE),"")</f>
        <v/>
      </c>
      <c r="AJ8" s="120" t="str">
        <f t="shared" si="11"/>
        <v>15-20 Jun</v>
      </c>
      <c r="AK8" s="121">
        <f>IFERROR($M8+VLOOKUP($L8,'Voyage days'!$F$94:$H$193,3,FALSE),"")</f>
        <v>45823</v>
      </c>
      <c r="AL8" s="121">
        <f>IFERROR($N8+VLOOKUP($L8,'Voyage days'!$F$94:$H$193,3,FALSE),"")</f>
        <v>45828</v>
      </c>
      <c r="AM8" s="120" t="str">
        <f t="shared" si="12"/>
        <v>15-20 Jun</v>
      </c>
      <c r="AN8" s="121">
        <f>IFERROR($M8+VLOOKUP($L8,'Voyage days'!$F$203:$H$256,3,FALSE),"")</f>
        <v>45823</v>
      </c>
      <c r="AO8" s="121">
        <f>IFERROR($N8+VLOOKUP($L8,'Voyage days'!$F$203:$H$256,3,FALSE),"")</f>
        <v>45828</v>
      </c>
      <c r="AP8" s="120" t="str">
        <f t="shared" si="13"/>
        <v/>
      </c>
      <c r="AQ8" s="121" t="str">
        <f>IFERROR($M8+VLOOKUP($L8,'Voyage days'!$F$294:$H$377,3,FALSE),"")</f>
        <v/>
      </c>
      <c r="AR8" s="121" t="str">
        <f>IFERROR($N8+VLOOKUP($L8,'Voyage days'!$F$294:$H$377,3,FALSE),"")</f>
        <v/>
      </c>
      <c r="AS8" s="120" t="str">
        <f t="shared" si="14"/>
        <v>05-10 Jul</v>
      </c>
      <c r="AT8" s="121">
        <f>IFERROR($M8+VLOOKUP($L8,'Voyage days'!$F$382:$H$446,3,FALSE),"")</f>
        <v>45843</v>
      </c>
      <c r="AU8" s="121">
        <f>IFERROR($N8+VLOOKUP($L8,'Voyage days'!$F$382:$H$446,3,FALSE),"")</f>
        <v>45848</v>
      </c>
      <c r="AV8" s="120" t="str">
        <f t="shared" si="15"/>
        <v/>
      </c>
      <c r="AW8" s="121" t="str">
        <f>IFERROR($M8+VLOOKUP($L8,'Voyage days'!$F$483:$H$538,3,FALSE),"")</f>
        <v/>
      </c>
      <c r="AX8" s="121" t="str">
        <f>IFERROR($N8+VLOOKUP($L8,'Voyage days'!$F$483:$H$538,3,FALSE),"")</f>
        <v/>
      </c>
      <c r="AY8" s="120" t="str">
        <f t="shared" si="16"/>
        <v/>
      </c>
      <c r="AZ8" s="121" t="str">
        <f>IFERROR($M8+VLOOKUP($L8,'Voyage days'!$F$540:$H$613,3,FALSE),"")</f>
        <v/>
      </c>
      <c r="BA8" s="121" t="str">
        <f>IFERROR($N8+VLOOKUP($L8,'Voyage days'!$F$540:$H$613,3,FALSE),"")</f>
        <v/>
      </c>
      <c r="BB8" s="120" t="str">
        <f t="shared" si="17"/>
        <v/>
      </c>
      <c r="BC8" s="121" t="str">
        <f>IFERROR($M8+VLOOKUP($L8,'Voyage days'!$L$483:$N$535,3,FALSE),"")</f>
        <v/>
      </c>
      <c r="BD8" s="121" t="str">
        <f>IFERROR($N8+VLOOKUP($L8,'Voyage days'!$L$483:$N$535,3,FALSE),"")</f>
        <v/>
      </c>
      <c r="BE8" s="120" t="str">
        <f t="shared" si="18"/>
        <v/>
      </c>
      <c r="BF8" s="122" t="str">
        <f>IFERROR($M8+VLOOKUP($L8,'Voyage days'!$F$620:$H$646,3,FALSE),"")</f>
        <v/>
      </c>
      <c r="BG8" s="122" t="str">
        <f>IFERROR($N8+VLOOKUP($L8,'Voyage days'!$F$620:$H$646,3,FALSE),"")</f>
        <v/>
      </c>
      <c r="BH8" s="120" t="str">
        <f t="shared" si="19"/>
        <v/>
      </c>
      <c r="BI8" s="123" t="str">
        <f>IFERROR($M8+VLOOKUP($L8,'Voyage days'!$F$702:$H$727,3,FALSE),"")</f>
        <v/>
      </c>
      <c r="BJ8" s="120" t="str">
        <f t="shared" si="20"/>
        <v/>
      </c>
      <c r="BK8" s="122" t="str">
        <f>IFERROR($M8+VLOOKUP($L8,'Voyage days'!$F$807:$H$878,3,FALSE),"")</f>
        <v/>
      </c>
      <c r="BL8" s="122" t="str">
        <f>IFERROR($N8+VLOOKUP($L8,'Voyage days'!$F$807:$H$878,3,FALSE),"")</f>
        <v/>
      </c>
    </row>
    <row r="9" ht="15.75" customHeight="1">
      <c r="A9" s="80" t="s">
        <v>239</v>
      </c>
      <c r="B9" s="148">
        <v>2021.0</v>
      </c>
      <c r="C9" s="1045">
        <v>86000.0</v>
      </c>
      <c r="D9" s="104"/>
      <c r="E9" s="103" t="s">
        <v>666</v>
      </c>
      <c r="F9" s="103" t="s">
        <v>3062</v>
      </c>
      <c r="G9" s="103" t="s">
        <v>2907</v>
      </c>
      <c r="H9" s="103"/>
      <c r="I9" s="299" t="s">
        <v>901</v>
      </c>
      <c r="J9" s="185"/>
      <c r="K9" s="336" t="str">
        <f t="shared" si="1"/>
        <v>Update</v>
      </c>
      <c r="L9" s="108" t="s">
        <v>663</v>
      </c>
      <c r="M9" s="109">
        <v>45852.0</v>
      </c>
      <c r="N9" s="109">
        <v>45854.0</v>
      </c>
      <c r="O9" s="110"/>
      <c r="P9" s="185"/>
      <c r="Q9" s="185"/>
      <c r="R9" s="108" t="s">
        <v>3354</v>
      </c>
      <c r="S9" s="112" t="s">
        <v>2962</v>
      </c>
      <c r="T9" s="113">
        <v>45810.0</v>
      </c>
      <c r="U9" s="114" t="str">
        <f>IF(V9="","No AIS",VLOOKUP(V9,'Voyage days'!$A$3:$B$1480,2,FALSE))</f>
        <v>Port Louis</v>
      </c>
      <c r="V9" s="115" t="str">
        <f>IF(VLOOKUP(A9,'1) Kpler'!$E$2:$P$1000,8, FALSE)="","",VLOOKUP(A9,'1) Kpler'!$E$2:$P$1000,8, FALSE))</f>
        <v>Port Louis</v>
      </c>
      <c r="W9" s="116">
        <f>IF(VLOOKUP(A9,'1) Kpler'!$E$2:$P$1000,9,FALSE)="","",VLOOKUP(A9,'1) Kpler'!$E$2:$P$1000,9,FALSE))</f>
        <v>46150.58333</v>
      </c>
      <c r="X9" s="115" t="str">
        <f>VLOOKUP(A9,'1) Kpler'!$E$2:$I$1000,4,FALSE)</f>
        <v>loaded</v>
      </c>
      <c r="Y9" s="160" t="str">
        <f t="shared" si="2"/>
        <v>31-02 Aug</v>
      </c>
      <c r="Z9" s="160" t="str">
        <f t="shared" si="3"/>
        <v>16-18 Aug</v>
      </c>
      <c r="AA9" s="160" t="str">
        <f t="shared" si="4"/>
        <v>27-29 Aug</v>
      </c>
      <c r="AB9" s="160" t="str">
        <f t="shared" si="5"/>
        <v>11-13 Aug</v>
      </c>
      <c r="AC9" s="160" t="str">
        <f t="shared" si="6"/>
        <v>18-20 Aug</v>
      </c>
      <c r="AD9" s="160" t="str">
        <f t="shared" si="7"/>
        <v/>
      </c>
      <c r="AE9" s="161" t="str">
        <f t="shared" si="8"/>
        <v>21-23 Jul</v>
      </c>
      <c r="AF9" s="1259" t="str">
        <f t="shared" si="9"/>
        <v>27-29 Aug</v>
      </c>
      <c r="AG9" s="120" t="str">
        <f t="shared" si="10"/>
        <v>31-02 Aug</v>
      </c>
      <c r="AH9" s="121">
        <f>IFERROR($M9+VLOOKUP($L9,'Voyage days'!$F$38:$H$89,3,FALSE),"")</f>
        <v>45869</v>
      </c>
      <c r="AI9" s="121">
        <f>IFERROR(N9+VLOOKUP($L9,'Voyage days'!$F$38:$H$89,3,FALSE),"")</f>
        <v>45871</v>
      </c>
      <c r="AJ9" s="120" t="str">
        <f t="shared" si="11"/>
        <v>16-18 Aug</v>
      </c>
      <c r="AK9" s="121">
        <f>IFERROR($M9+VLOOKUP($L9,'Voyage days'!$F$94:$H$193,3,FALSE),"")</f>
        <v>45885</v>
      </c>
      <c r="AL9" s="121">
        <f>IFERROR($N9+VLOOKUP($L9,'Voyage days'!$F$94:$H$193,3,FALSE),"")</f>
        <v>45887</v>
      </c>
      <c r="AM9" s="120" t="str">
        <f t="shared" si="12"/>
        <v>27-29 Aug</v>
      </c>
      <c r="AN9" s="121">
        <f>IFERROR($M9+VLOOKUP($L9,'Voyage days'!$F$203:$H$256,3,FALSE),"")</f>
        <v>45896</v>
      </c>
      <c r="AO9" s="121">
        <f>IFERROR($N9+VLOOKUP($L9,'Voyage days'!$F$203:$H$256,3,FALSE),"")</f>
        <v>45898</v>
      </c>
      <c r="AP9" s="120" t="str">
        <f t="shared" si="13"/>
        <v>11-13 Aug</v>
      </c>
      <c r="AQ9" s="121">
        <f>IFERROR($M9+VLOOKUP($L9,'Voyage days'!$F$294:$H$377,3,FALSE),"")</f>
        <v>45880</v>
      </c>
      <c r="AR9" s="121">
        <f>IFERROR($N9+VLOOKUP($L9,'Voyage days'!$F$294:$H$377,3,FALSE),"")</f>
        <v>45882</v>
      </c>
      <c r="AS9" s="120" t="str">
        <f t="shared" si="14"/>
        <v>18-20 Aug</v>
      </c>
      <c r="AT9" s="121">
        <f>IFERROR($M9+VLOOKUP($L9,'Voyage days'!$F$382:$H$446,3,FALSE),"")</f>
        <v>45887</v>
      </c>
      <c r="AU9" s="121">
        <f>IFERROR($N9+VLOOKUP($L9,'Voyage days'!$F$382:$H$446,3,FALSE),"")</f>
        <v>45889</v>
      </c>
      <c r="AV9" s="120" t="str">
        <f t="shared" si="15"/>
        <v>28-30 Jul</v>
      </c>
      <c r="AW9" s="121">
        <f>IFERROR($M9+VLOOKUP($L9,'Voyage days'!$F$483:$H$538,3,FALSE),"")</f>
        <v>45866</v>
      </c>
      <c r="AX9" s="121">
        <f>IFERROR($N9+VLOOKUP($L9,'Voyage days'!$F$483:$H$538,3,FALSE),"")</f>
        <v>45868</v>
      </c>
      <c r="AY9" s="120" t="str">
        <f t="shared" si="16"/>
        <v>21-23 Jul</v>
      </c>
      <c r="AZ9" s="121">
        <f>IFERROR($M9+VLOOKUP($L9,'Voyage days'!$F$540:$H$613,3,FALSE),"")</f>
        <v>45859.25</v>
      </c>
      <c r="BA9" s="121">
        <f>IFERROR($N9+VLOOKUP($L9,'Voyage days'!$F$540:$H$613,3,FALSE),"")</f>
        <v>45861.25</v>
      </c>
      <c r="BB9" s="120" t="str">
        <f t="shared" si="17"/>
        <v/>
      </c>
      <c r="BC9" s="121" t="str">
        <f>IFERROR($M9+VLOOKUP($L9,'Voyage days'!$L$483:$N$535,3,FALSE),"")</f>
        <v/>
      </c>
      <c r="BD9" s="121" t="str">
        <f>IFERROR($N9+VLOOKUP($L9,'Voyage days'!$L$483:$N$535,3,FALSE),"")</f>
        <v/>
      </c>
      <c r="BE9" s="120" t="str">
        <f t="shared" si="18"/>
        <v>27-29 Jul</v>
      </c>
      <c r="BF9" s="122">
        <f>IFERROR($M9+VLOOKUP($L9,'Voyage days'!$F$620:$H$646,3,FALSE),"")</f>
        <v>45865</v>
      </c>
      <c r="BG9" s="122">
        <f>IFERROR($N9+VLOOKUP($L9,'Voyage days'!$F$620:$H$646,3,FALSE),"")</f>
        <v>45867</v>
      </c>
      <c r="BH9" s="120" t="str">
        <f t="shared" si="19"/>
        <v>21-29 Aug</v>
      </c>
      <c r="BI9" s="123">
        <f>IFERROR($M9+VLOOKUP($L9,'Voyage days'!$F$702:$H$727,3,FALSE),"")</f>
        <v>45859.25</v>
      </c>
      <c r="BJ9" s="120" t="str">
        <f t="shared" si="20"/>
        <v>27-29 Aug</v>
      </c>
      <c r="BK9" s="122">
        <f>IFERROR($M9+VLOOKUP($L9,'Voyage days'!$F$807:$H$878,3,FALSE),"")</f>
        <v>45896</v>
      </c>
      <c r="BL9" s="122">
        <f>IFERROR($N9+VLOOKUP($L9,'Voyage days'!$F$807:$H$878,3,FALSE),"")</f>
        <v>45898</v>
      </c>
    </row>
    <row r="10" ht="15.75" customHeight="1">
      <c r="A10" s="80" t="s">
        <v>518</v>
      </c>
      <c r="B10" s="101">
        <v>43831.0</v>
      </c>
      <c r="C10" s="1045">
        <v>84000.0</v>
      </c>
      <c r="D10" s="104"/>
      <c r="E10" s="103" t="s">
        <v>689</v>
      </c>
      <c r="F10" s="604"/>
      <c r="G10" s="605">
        <v>45839.0</v>
      </c>
      <c r="H10" s="103"/>
      <c r="I10" s="299" t="s">
        <v>901</v>
      </c>
      <c r="J10" s="185"/>
      <c r="K10" s="336" t="str">
        <f t="shared" si="1"/>
        <v>Update</v>
      </c>
      <c r="L10" s="108" t="s">
        <v>680</v>
      </c>
      <c r="M10" s="109">
        <v>45836.0</v>
      </c>
      <c r="N10" s="109">
        <v>45838.0</v>
      </c>
      <c r="O10" s="110"/>
      <c r="P10" s="185"/>
      <c r="Q10" s="111"/>
      <c r="R10" s="108" t="s">
        <v>3064</v>
      </c>
      <c r="S10" s="112" t="s">
        <v>934</v>
      </c>
      <c r="T10" s="113">
        <v>45814.0</v>
      </c>
      <c r="U10" s="114" t="str">
        <f>IF(V10="","No AIS",VLOOKUP(V10,'Voyage days'!$A$3:$B$1480,2,FALSE))</f>
        <v>Panama</v>
      </c>
      <c r="V10" s="115" t="str">
        <f>IF(VLOOKUP(A10,'1) Kpler'!$E$2:$P$1000,8, FALSE)="","",VLOOKUP(A10,'1) Kpler'!$E$2:$P$1000,8, FALSE))</f>
        <v>Panama Canal</v>
      </c>
      <c r="W10" s="116">
        <f>IF(VLOOKUP(A10,'1) Kpler'!$E$2:$P$1000,9,FALSE)="","",VLOOKUP(A10,'1) Kpler'!$E$2:$P$1000,9,FALSE))</f>
        <v>46148.70833</v>
      </c>
      <c r="X10" s="115" t="str">
        <f>VLOOKUP(A10,'1) Kpler'!$E$2:$I$1000,4,FALSE)</f>
        <v>ballast</v>
      </c>
      <c r="Y10" s="117" t="str">
        <f t="shared" si="2"/>
        <v/>
      </c>
      <c r="Z10" s="117" t="str">
        <f t="shared" si="3"/>
        <v>28-30 Jun</v>
      </c>
      <c r="AA10" s="117" t="str">
        <f t="shared" si="4"/>
        <v>28-30 Jun</v>
      </c>
      <c r="AB10" s="117" t="str">
        <f t="shared" si="5"/>
        <v/>
      </c>
      <c r="AC10" s="117" t="str">
        <f t="shared" si="6"/>
        <v>18-20 Jul</v>
      </c>
      <c r="AD10" s="117" t="str">
        <f t="shared" si="7"/>
        <v/>
      </c>
      <c r="AE10" s="118" t="str">
        <f t="shared" si="8"/>
        <v/>
      </c>
      <c r="AF10" s="1260" t="str">
        <f t="shared" si="9"/>
        <v/>
      </c>
      <c r="AG10" s="120" t="str">
        <f t="shared" si="10"/>
        <v/>
      </c>
      <c r="AH10" s="121" t="str">
        <f>IFERROR($M10+VLOOKUP($L10,'Voyage days'!$F$38:$H$89,3,FALSE),"")</f>
        <v/>
      </c>
      <c r="AI10" s="121" t="str">
        <f>IFERROR(N10+VLOOKUP($L10,'Voyage days'!$F$38:$H$89,3,FALSE),"")</f>
        <v/>
      </c>
      <c r="AJ10" s="120" t="str">
        <f t="shared" si="11"/>
        <v>28-30 Jun</v>
      </c>
      <c r="AK10" s="121">
        <f>IFERROR($M10+VLOOKUP($L10,'Voyage days'!$F$94:$H$193,3,FALSE),"")</f>
        <v>45836</v>
      </c>
      <c r="AL10" s="121">
        <f>IFERROR($N10+VLOOKUP($L10,'Voyage days'!$F$94:$H$193,3,FALSE),"")</f>
        <v>45838</v>
      </c>
      <c r="AM10" s="120" t="str">
        <f t="shared" si="12"/>
        <v>28-30 Jun</v>
      </c>
      <c r="AN10" s="121">
        <f>IFERROR($M10+VLOOKUP($L10,'Voyage days'!$F$203:$H$256,3,FALSE),"")</f>
        <v>45836</v>
      </c>
      <c r="AO10" s="121">
        <f>IFERROR($N10+VLOOKUP($L10,'Voyage days'!$F$203:$H$256,3,FALSE),"")</f>
        <v>45838</v>
      </c>
      <c r="AP10" s="120" t="str">
        <f t="shared" si="13"/>
        <v/>
      </c>
      <c r="AQ10" s="121" t="str">
        <f>IFERROR($M10+VLOOKUP($L10,'Voyage days'!$F$294:$H$377,3,FALSE),"")</f>
        <v/>
      </c>
      <c r="AR10" s="121" t="str">
        <f>IFERROR($N10+VLOOKUP($L10,'Voyage days'!$F$294:$H$377,3,FALSE),"")</f>
        <v/>
      </c>
      <c r="AS10" s="120" t="str">
        <f t="shared" si="14"/>
        <v>18-20 Jul</v>
      </c>
      <c r="AT10" s="121">
        <f>IFERROR($M10+VLOOKUP($L10,'Voyage days'!$F$382:$H$446,3,FALSE),"")</f>
        <v>45856</v>
      </c>
      <c r="AU10" s="121">
        <f>IFERROR($N10+VLOOKUP($L10,'Voyage days'!$F$382:$H$446,3,FALSE),"")</f>
        <v>45858</v>
      </c>
      <c r="AV10" s="120" t="str">
        <f t="shared" si="15"/>
        <v/>
      </c>
      <c r="AW10" s="121" t="str">
        <f>IFERROR($M10+VLOOKUP($L10,'Voyage days'!$F$483:$H$538,3,FALSE),"")</f>
        <v/>
      </c>
      <c r="AX10" s="121" t="str">
        <f>IFERROR($N10+VLOOKUP($L10,'Voyage days'!$F$483:$H$538,3,FALSE),"")</f>
        <v/>
      </c>
      <c r="AY10" s="120" t="str">
        <f t="shared" si="16"/>
        <v/>
      </c>
      <c r="AZ10" s="121" t="str">
        <f>IFERROR($M10+VLOOKUP($L10,'Voyage days'!$F$540:$H$613,3,FALSE),"")</f>
        <v/>
      </c>
      <c r="BA10" s="121" t="str">
        <f>IFERROR($N10+VLOOKUP($L10,'Voyage days'!$F$540:$H$613,3,FALSE),"")</f>
        <v/>
      </c>
      <c r="BB10" s="120" t="str">
        <f t="shared" si="17"/>
        <v/>
      </c>
      <c r="BC10" s="121" t="str">
        <f>IFERROR($M10+VLOOKUP($L10,'Voyage days'!$L$483:$N$535,3,FALSE),"")</f>
        <v/>
      </c>
      <c r="BD10" s="121" t="str">
        <f>IFERROR($N10+VLOOKUP($L10,'Voyage days'!$L$483:$N$535,3,FALSE),"")</f>
        <v/>
      </c>
      <c r="BE10" s="120" t="str">
        <f t="shared" si="18"/>
        <v/>
      </c>
      <c r="BF10" s="122" t="str">
        <f>IFERROR($M10+VLOOKUP($L10,'Voyage days'!$F$620:$H$646,3,FALSE),"")</f>
        <v/>
      </c>
      <c r="BG10" s="122" t="str">
        <f>IFERROR($N10+VLOOKUP($L10,'Voyage days'!$F$620:$H$646,3,FALSE),"")</f>
        <v/>
      </c>
      <c r="BH10" s="120" t="str">
        <f t="shared" si="19"/>
        <v/>
      </c>
      <c r="BI10" s="123" t="str">
        <f>IFERROR($M10+VLOOKUP($L10,'Voyage days'!$F$702:$H$727,3,FALSE),"")</f>
        <v/>
      </c>
      <c r="BJ10" s="120" t="str">
        <f t="shared" si="20"/>
        <v/>
      </c>
      <c r="BK10" s="122" t="str">
        <f>IFERROR($M10+VLOOKUP($L10,'Voyage days'!$F$807:$H$878,3,FALSE),"")</f>
        <v/>
      </c>
      <c r="BL10" s="122" t="str">
        <f>IFERROR($N10+VLOOKUP($L10,'Voyage days'!$F$807:$H$878,3,FALSE),"")</f>
        <v/>
      </c>
    </row>
    <row r="11" ht="15.75" customHeight="1">
      <c r="A11" s="164" t="s">
        <v>523</v>
      </c>
      <c r="B11" s="222">
        <v>41275.0</v>
      </c>
      <c r="C11" s="1101">
        <v>83000.0</v>
      </c>
      <c r="D11" s="168"/>
      <c r="E11" s="223"/>
      <c r="F11" s="1010"/>
      <c r="G11" s="1011">
        <v>45658.0</v>
      </c>
      <c r="H11" s="1135"/>
      <c r="I11" s="614" t="s">
        <v>901</v>
      </c>
      <c r="J11" s="463" t="s">
        <v>2918</v>
      </c>
      <c r="K11" s="469" t="str">
        <f t="shared" si="1"/>
        <v>Update</v>
      </c>
      <c r="L11" s="172" t="s">
        <v>860</v>
      </c>
      <c r="M11" s="173">
        <v>45842.0</v>
      </c>
      <c r="N11" s="173">
        <v>45844.0</v>
      </c>
      <c r="O11" s="433" t="s">
        <v>70</v>
      </c>
      <c r="P11" s="172" t="s">
        <v>1547</v>
      </c>
      <c r="Q11" s="463"/>
      <c r="R11" s="172" t="s">
        <v>3355</v>
      </c>
      <c r="S11" s="175" t="s">
        <v>2962</v>
      </c>
      <c r="T11" s="176">
        <v>45806.0</v>
      </c>
      <c r="U11" s="177" t="str">
        <f>IF(V11="","No AIS",VLOOKUP(V11,'Voyage days'!$A$3:$B$1480,2,FALSE))</f>
        <v>Panama</v>
      </c>
      <c r="V11" s="178" t="str">
        <f>IF(VLOOKUP(A11,'1) Kpler'!$E$2:$P$1000,8, FALSE)="","",VLOOKUP(A11,'1) Kpler'!$E$2:$P$1000,8, FALSE))</f>
        <v>Panama Canal</v>
      </c>
      <c r="W11" s="179">
        <f>IF(VLOOKUP(A11,'1) Kpler'!$E$2:$P$1000,9,FALSE)="","",VLOOKUP(A11,'1) Kpler'!$E$2:$P$1000,9,FALSE))</f>
        <v>46141.91667</v>
      </c>
      <c r="X11" s="178" t="str">
        <f>VLOOKUP(A11,'1) Kpler'!$E$2:$I$1000,4,FALSE)</f>
        <v>ballast</v>
      </c>
      <c r="Y11" s="120" t="str">
        <f t="shared" si="2"/>
        <v>19-21 Jul</v>
      </c>
      <c r="Z11" s="120" t="str">
        <f t="shared" si="3"/>
        <v>11-13 Aug</v>
      </c>
      <c r="AA11" s="120" t="str">
        <f t="shared" si="4"/>
        <v>12-14 Aug</v>
      </c>
      <c r="AB11" s="120" t="str">
        <f t="shared" si="5"/>
        <v>29-31 Jul</v>
      </c>
      <c r="AC11" s="120" t="str">
        <f t="shared" si="6"/>
        <v>06-08 Aug</v>
      </c>
      <c r="AD11" s="120" t="str">
        <f t="shared" si="7"/>
        <v/>
      </c>
      <c r="AE11" s="228" t="str">
        <f t="shared" si="8"/>
        <v>14-16 Jul</v>
      </c>
      <c r="AF11" s="1261" t="str">
        <f t="shared" si="9"/>
        <v>16-18 Aug</v>
      </c>
      <c r="AG11" s="120" t="str">
        <f t="shared" si="10"/>
        <v>19-21 Jul</v>
      </c>
      <c r="AH11" s="121">
        <f>IFERROR($M11+VLOOKUP($L11,'Voyage days'!$F$38:$H$89,3,FALSE),"")</f>
        <v>45857</v>
      </c>
      <c r="AI11" s="121">
        <f>IFERROR(N11+VLOOKUP($L11,'Voyage days'!$F$38:$H$89,3,FALSE),"")</f>
        <v>45859</v>
      </c>
      <c r="AJ11" s="120" t="str">
        <f t="shared" si="11"/>
        <v>11-13 Aug</v>
      </c>
      <c r="AK11" s="121">
        <f>IFERROR($M11+VLOOKUP($L11,'Voyage days'!$F$94:$H$193,3,FALSE),"")</f>
        <v>45880</v>
      </c>
      <c r="AL11" s="121">
        <f>IFERROR($N11+VLOOKUP($L11,'Voyage days'!$F$94:$H$193,3,FALSE),"")</f>
        <v>45882</v>
      </c>
      <c r="AM11" s="120" t="str">
        <f t="shared" si="12"/>
        <v>12-14 Aug</v>
      </c>
      <c r="AN11" s="121">
        <f>IFERROR($M11+VLOOKUP($L11,'Voyage days'!$F$203:$H$256,3,FALSE),"")</f>
        <v>45881</v>
      </c>
      <c r="AO11" s="121">
        <f>IFERROR($N11+VLOOKUP($L11,'Voyage days'!$F$203:$H$256,3,FALSE),"")</f>
        <v>45883</v>
      </c>
      <c r="AP11" s="120" t="str">
        <f t="shared" si="13"/>
        <v>29-31 Jul</v>
      </c>
      <c r="AQ11" s="121">
        <f>IFERROR($M11+VLOOKUP($L11,'Voyage days'!$F$294:$H$377,3,FALSE),"")</f>
        <v>45867</v>
      </c>
      <c r="AR11" s="121">
        <f>IFERROR($N11+VLOOKUP($L11,'Voyage days'!$F$294:$H$377,3,FALSE),"")</f>
        <v>45869</v>
      </c>
      <c r="AS11" s="120" t="str">
        <f t="shared" si="14"/>
        <v>06-08 Aug</v>
      </c>
      <c r="AT11" s="121">
        <f>IFERROR($M11+VLOOKUP($L11,'Voyage days'!$F$382:$H$446,3,FALSE),"")</f>
        <v>45875</v>
      </c>
      <c r="AU11" s="121">
        <f>IFERROR($N11+VLOOKUP($L11,'Voyage days'!$F$382:$H$446,3,FALSE),"")</f>
        <v>45877</v>
      </c>
      <c r="AV11" s="120" t="str">
        <f t="shared" si="15"/>
        <v>20-22 Jul</v>
      </c>
      <c r="AW11" s="121">
        <f>IFERROR($M11+VLOOKUP($L11,'Voyage days'!$F$483:$H$538,3,FALSE),"")</f>
        <v>45858</v>
      </c>
      <c r="AX11" s="121">
        <f>IFERROR($N11+VLOOKUP($L11,'Voyage days'!$F$483:$H$538,3,FALSE),"")</f>
        <v>45860</v>
      </c>
      <c r="AY11" s="120" t="str">
        <f t="shared" si="16"/>
        <v>14-16 Jul</v>
      </c>
      <c r="AZ11" s="121">
        <f>IFERROR($M11+VLOOKUP($L11,'Voyage days'!$F$540:$H$613,3,FALSE),"")</f>
        <v>45852</v>
      </c>
      <c r="BA11" s="121">
        <f>IFERROR($N11+VLOOKUP($L11,'Voyage days'!$F$540:$H$613,3,FALSE),"")</f>
        <v>45854</v>
      </c>
      <c r="BB11" s="120" t="str">
        <f t="shared" si="17"/>
        <v/>
      </c>
      <c r="BC11" s="121" t="str">
        <f>IFERROR($M11+VLOOKUP($L11,'Voyage days'!$L$483:$N$535,3,FALSE),"")</f>
        <v/>
      </c>
      <c r="BD11" s="121" t="str">
        <f>IFERROR($N11+VLOOKUP($L11,'Voyage days'!$L$483:$N$535,3,FALSE),"")</f>
        <v/>
      </c>
      <c r="BE11" s="120" t="str">
        <f t="shared" si="18"/>
        <v/>
      </c>
      <c r="BF11" s="122" t="str">
        <f>IFERROR($M11+VLOOKUP($L11,'Voyage days'!$F$620:$H$646,3,FALSE),"")</f>
        <v/>
      </c>
      <c r="BG11" s="122" t="str">
        <f>IFERROR($N11+VLOOKUP($L11,'Voyage days'!$F$620:$H$646,3,FALSE),"")</f>
        <v/>
      </c>
      <c r="BH11" s="120" t="str">
        <f t="shared" si="19"/>
        <v>19-18 Aug</v>
      </c>
      <c r="BI11" s="123">
        <f>IFERROR($M11+VLOOKUP($L11,'Voyage days'!$F$702:$H$727,3,FALSE),"")</f>
        <v>45857</v>
      </c>
      <c r="BJ11" s="120" t="str">
        <f t="shared" si="20"/>
        <v>16-18 Aug</v>
      </c>
      <c r="BK11" s="122">
        <f>IFERROR($M11+VLOOKUP($L11,'Voyage days'!$F$807:$H$878,3,FALSE),"")</f>
        <v>45885</v>
      </c>
      <c r="BL11" s="122">
        <f>IFERROR($N11+VLOOKUP($L11,'Voyage days'!$F$807:$H$878,3,FALSE),"")</f>
        <v>45887</v>
      </c>
    </row>
  </sheetData>
  <conditionalFormatting sqref="O3:O11">
    <cfRule type="cellIs" dxfId="1" priority="1" operator="equal">
      <formula>"R"</formula>
    </cfRule>
  </conditionalFormatting>
  <conditionalFormatting sqref="O3:O11">
    <cfRule type="cellIs" dxfId="2" priority="2" operator="equal">
      <formula>"O"</formula>
    </cfRule>
  </conditionalFormatting>
  <conditionalFormatting sqref="O3:O11">
    <cfRule type="cellIs" dxfId="3" priority="3" operator="equal">
      <formula>"R?"</formula>
    </cfRule>
  </conditionalFormatting>
  <conditionalFormatting sqref="O3:O11">
    <cfRule type="cellIs" dxfId="3" priority="4" operator="equal">
      <formula>"O?"</formula>
    </cfRule>
  </conditionalFormatting>
  <conditionalFormatting sqref="O3:O11">
    <cfRule type="cellIs" dxfId="3" priority="5" operator="equal">
      <formula>"O?"</formula>
    </cfRule>
  </conditionalFormatting>
  <conditionalFormatting sqref="O3:O11">
    <cfRule type="cellIs" dxfId="3" priority="6" operator="equal">
      <formula>"o?"</formula>
    </cfRule>
  </conditionalFormatting>
  <conditionalFormatting sqref="O3:O11">
    <cfRule type="notContainsBlanks" dxfId="5" priority="7">
      <formula>LEN(TRIM(O3))&gt;0</formula>
    </cfRule>
  </conditionalFormatting>
  <conditionalFormatting sqref="T3:T11">
    <cfRule type="timePeriod" dxfId="4" priority="8" timePeriod="last7Days"/>
  </conditionalFormatting>
  <conditionalFormatting sqref="M2:M11">
    <cfRule type="expression" dxfId="18" priority="9">
      <formula>AND(ISNUMBER(M2),TRUNC(M2)&lt;TODAY())</formula>
    </cfRule>
  </conditionalFormatting>
  <dataValidations>
    <dataValidation type="list" allowBlank="1" showErrorMessage="1" sqref="L3:L11">
      <formula1>'Voyage days'!$F$38:$F$924</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262"/>
      <c r="B1" s="1262"/>
      <c r="C1" s="1262"/>
      <c r="D1" s="1262"/>
      <c r="E1" s="1262"/>
      <c r="F1" s="1262"/>
      <c r="G1" s="1262"/>
      <c r="H1" s="1262"/>
      <c r="I1" s="1262"/>
      <c r="J1" s="1262"/>
      <c r="K1" s="1262"/>
      <c r="L1" s="1263"/>
      <c r="M1" s="1264" t="s">
        <v>3356</v>
      </c>
      <c r="P1" s="1264" t="s">
        <v>3151</v>
      </c>
      <c r="S1" s="1264" t="s">
        <v>3357</v>
      </c>
      <c r="V1" s="1265" t="s">
        <v>3358</v>
      </c>
      <c r="Y1" s="1266"/>
      <c r="Z1" s="1262"/>
      <c r="AA1" s="1262"/>
      <c r="AB1" s="1262"/>
      <c r="AC1" s="1262"/>
      <c r="AD1" s="1262"/>
      <c r="AE1" s="1262"/>
      <c r="AF1" s="1262"/>
      <c r="AG1" s="1262"/>
      <c r="AH1" s="1262"/>
      <c r="AI1" s="1262"/>
      <c r="AJ1" s="1262"/>
    </row>
    <row r="2">
      <c r="A2" s="1267">
        <v>45681.0</v>
      </c>
      <c r="B2" s="1267">
        <v>45712.0</v>
      </c>
      <c r="C2" s="1267">
        <v>45740.0</v>
      </c>
      <c r="D2" s="1267">
        <v>45771.0</v>
      </c>
      <c r="E2" s="1268">
        <v>45801.0</v>
      </c>
      <c r="F2" s="1267">
        <v>45832.0</v>
      </c>
      <c r="G2" s="1267">
        <v>45862.0</v>
      </c>
      <c r="H2" s="1267">
        <v>45893.0</v>
      </c>
      <c r="I2" s="1267">
        <v>45924.0</v>
      </c>
      <c r="J2" s="1267">
        <v>45954.0</v>
      </c>
      <c r="K2" s="1267">
        <v>45985.0</v>
      </c>
      <c r="L2" s="1269">
        <v>46016.0</v>
      </c>
      <c r="M2" s="1267">
        <v>45682.0</v>
      </c>
      <c r="N2" s="1267">
        <v>45713.0</v>
      </c>
      <c r="O2" s="1267">
        <v>45741.0</v>
      </c>
      <c r="P2" s="1270">
        <v>45772.0</v>
      </c>
      <c r="Q2" s="1268">
        <v>45802.0</v>
      </c>
      <c r="R2" s="1267">
        <v>45833.0</v>
      </c>
      <c r="S2" s="1270">
        <v>45863.0</v>
      </c>
      <c r="T2" s="1267">
        <v>45894.0</v>
      </c>
      <c r="U2" s="1267">
        <v>45925.0</v>
      </c>
      <c r="V2" s="1270">
        <v>45955.0</v>
      </c>
      <c r="W2" s="1267">
        <v>45986.0</v>
      </c>
      <c r="X2" s="1267">
        <v>46016.0</v>
      </c>
      <c r="Y2" s="1270">
        <v>45683.0</v>
      </c>
      <c r="Z2" s="1267">
        <v>45714.0</v>
      </c>
      <c r="AA2" s="1267">
        <v>45742.0</v>
      </c>
      <c r="AB2" s="1267">
        <v>45773.0</v>
      </c>
      <c r="AC2" s="1268">
        <v>45803.0</v>
      </c>
      <c r="AD2" s="1267">
        <v>45834.0</v>
      </c>
      <c r="AE2" s="1267">
        <v>45864.0</v>
      </c>
      <c r="AF2" s="1267">
        <v>45895.0</v>
      </c>
      <c r="AG2" s="1267">
        <v>45926.0</v>
      </c>
      <c r="AH2" s="1267">
        <v>45956.0</v>
      </c>
      <c r="AI2" s="1267">
        <v>45987.0</v>
      </c>
      <c r="AJ2" s="1267">
        <v>46017.0</v>
      </c>
    </row>
    <row r="3">
      <c r="A3" s="1262"/>
      <c r="B3" s="1262"/>
      <c r="C3" s="1262"/>
      <c r="D3" s="1271" t="s">
        <v>3359</v>
      </c>
      <c r="E3" s="1272"/>
      <c r="F3" s="1271" t="s">
        <v>3360</v>
      </c>
      <c r="G3" s="1271" t="s">
        <v>3361</v>
      </c>
      <c r="H3" s="1271" t="s">
        <v>3362</v>
      </c>
      <c r="I3" s="1271" t="s">
        <v>3363</v>
      </c>
      <c r="J3" s="1271" t="s">
        <v>3364</v>
      </c>
      <c r="K3" s="1271" t="s">
        <v>3365</v>
      </c>
      <c r="L3" s="1273" t="s">
        <v>3366</v>
      </c>
      <c r="M3" s="1274" t="s">
        <v>3367</v>
      </c>
      <c r="N3" s="1274" t="s">
        <v>3368</v>
      </c>
      <c r="O3" s="1274" t="s">
        <v>3369</v>
      </c>
      <c r="P3" s="1275" t="s">
        <v>3370</v>
      </c>
      <c r="Q3" s="1274" t="s">
        <v>3371</v>
      </c>
      <c r="R3" s="1274" t="s">
        <v>3372</v>
      </c>
      <c r="S3" s="1276" t="s">
        <v>3373</v>
      </c>
      <c r="T3" s="1277" t="s">
        <v>3374</v>
      </c>
      <c r="U3" s="1278" t="s">
        <v>3375</v>
      </c>
      <c r="V3" s="1279" t="s">
        <v>3376</v>
      </c>
      <c r="W3" s="1278" t="s">
        <v>3377</v>
      </c>
      <c r="X3" s="1278" t="s">
        <v>3378</v>
      </c>
      <c r="Y3" s="1266"/>
      <c r="Z3" s="1262"/>
      <c r="AA3" s="1262"/>
      <c r="AB3" s="1262"/>
      <c r="AC3" s="1262"/>
      <c r="AD3" s="1262"/>
      <c r="AE3" s="1262"/>
      <c r="AF3" s="1262"/>
      <c r="AG3" s="1262"/>
      <c r="AH3" s="1262"/>
      <c r="AI3" s="1262"/>
      <c r="AJ3" s="1262"/>
    </row>
    <row r="4">
      <c r="A4" s="1262"/>
      <c r="B4" s="1262"/>
      <c r="C4" s="1262"/>
      <c r="D4" s="1271" t="s">
        <v>3379</v>
      </c>
      <c r="E4" s="1272"/>
      <c r="F4" s="1271" t="s">
        <v>3380</v>
      </c>
      <c r="G4" s="1271" t="s">
        <v>3381</v>
      </c>
      <c r="H4" s="1271" t="s">
        <v>3382</v>
      </c>
      <c r="I4" s="1271" t="s">
        <v>3383</v>
      </c>
      <c r="J4" s="1271" t="s">
        <v>3384</v>
      </c>
      <c r="K4" s="1271" t="s">
        <v>3385</v>
      </c>
      <c r="L4" s="1273" t="s">
        <v>3386</v>
      </c>
      <c r="M4" s="1274" t="s">
        <v>3387</v>
      </c>
      <c r="N4" s="1274" t="s">
        <v>3388</v>
      </c>
      <c r="O4" s="1274" t="s">
        <v>3389</v>
      </c>
      <c r="P4" s="1275" t="s">
        <v>3390</v>
      </c>
      <c r="Q4" s="1274" t="s">
        <v>3391</v>
      </c>
      <c r="R4" s="1274" t="s">
        <v>3392</v>
      </c>
      <c r="S4" s="1276" t="s">
        <v>3393</v>
      </c>
      <c r="T4" s="1277" t="s">
        <v>3394</v>
      </c>
      <c r="U4" s="1277" t="s">
        <v>3395</v>
      </c>
      <c r="V4" s="1279" t="s">
        <v>3396</v>
      </c>
      <c r="W4" s="1277" t="s">
        <v>3397</v>
      </c>
      <c r="X4" s="1278" t="s">
        <v>3398</v>
      </c>
      <c r="Y4" s="1266"/>
      <c r="Z4" s="1262"/>
      <c r="AA4" s="1262"/>
      <c r="AB4" s="1262"/>
      <c r="AC4" s="1262"/>
      <c r="AD4" s="1262"/>
      <c r="AE4" s="1262"/>
      <c r="AF4" s="1262"/>
      <c r="AG4" s="1262"/>
      <c r="AH4" s="1262"/>
      <c r="AI4" s="1262"/>
      <c r="AJ4" s="1262"/>
    </row>
    <row r="5">
      <c r="A5" s="1262"/>
      <c r="B5" s="1262"/>
      <c r="C5" s="1262"/>
      <c r="D5" s="1262"/>
      <c r="E5" s="1272"/>
      <c r="F5" s="1271" t="s">
        <v>3399</v>
      </c>
      <c r="G5" s="1271" t="s">
        <v>3400</v>
      </c>
      <c r="H5" s="1280" t="s">
        <v>3401</v>
      </c>
      <c r="J5" s="1271" t="s">
        <v>3402</v>
      </c>
      <c r="K5" s="1271" t="s">
        <v>3403</v>
      </c>
      <c r="L5" s="1273" t="s">
        <v>3404</v>
      </c>
      <c r="M5" s="1274" t="s">
        <v>505</v>
      </c>
      <c r="N5" s="1274" t="s">
        <v>3405</v>
      </c>
      <c r="O5" s="1274" t="s">
        <v>3406</v>
      </c>
      <c r="P5" s="1275" t="s">
        <v>3407</v>
      </c>
      <c r="Q5" s="1274" t="s">
        <v>3408</v>
      </c>
      <c r="R5" s="1274" t="s">
        <v>3409</v>
      </c>
      <c r="S5" s="1279" t="s">
        <v>3410</v>
      </c>
      <c r="T5" s="1281"/>
      <c r="U5" s="1277" t="s">
        <v>3411</v>
      </c>
      <c r="V5" s="1276" t="s">
        <v>3412</v>
      </c>
      <c r="W5" s="1277" t="s">
        <v>3413</v>
      </c>
      <c r="X5" s="1278" t="s">
        <v>3414</v>
      </c>
      <c r="Y5" s="1266"/>
      <c r="Z5" s="1262"/>
      <c r="AA5" s="1262"/>
      <c r="AB5" s="1262"/>
      <c r="AC5" s="1262"/>
      <c r="AD5" s="1262"/>
      <c r="AE5" s="1262"/>
      <c r="AF5" s="1262"/>
      <c r="AG5" s="1262"/>
      <c r="AH5" s="1262"/>
      <c r="AI5" s="1262"/>
      <c r="AJ5" s="1262"/>
    </row>
    <row r="6">
      <c r="A6" s="1262"/>
      <c r="B6" s="1262"/>
      <c r="C6" s="1262"/>
      <c r="D6" s="1262"/>
      <c r="E6" s="1262"/>
      <c r="F6" s="1262"/>
      <c r="G6" s="1271" t="s">
        <v>3415</v>
      </c>
      <c r="H6" s="1262"/>
      <c r="I6" s="1262"/>
      <c r="J6" s="1271" t="s">
        <v>3416</v>
      </c>
      <c r="K6" s="1271" t="s">
        <v>3417</v>
      </c>
      <c r="L6" s="1273" t="s">
        <v>3418</v>
      </c>
      <c r="M6" s="1274" t="s">
        <v>3419</v>
      </c>
      <c r="N6" s="1274" t="s">
        <v>3420</v>
      </c>
      <c r="O6" s="1274" t="s">
        <v>3421</v>
      </c>
      <c r="P6" s="1275" t="s">
        <v>3422</v>
      </c>
      <c r="Q6" s="1274" t="s">
        <v>3423</v>
      </c>
      <c r="R6" s="1274" t="s">
        <v>3424</v>
      </c>
      <c r="S6" s="1279" t="s">
        <v>3425</v>
      </c>
      <c r="T6" s="1281"/>
      <c r="U6" s="1278" t="s">
        <v>3426</v>
      </c>
      <c r="V6" s="1276" t="s">
        <v>3427</v>
      </c>
      <c r="W6" s="1278" t="s">
        <v>3428</v>
      </c>
      <c r="X6" s="1281"/>
      <c r="Y6" s="1266"/>
      <c r="Z6" s="1262"/>
      <c r="AA6" s="1262"/>
      <c r="AB6" s="1262"/>
      <c r="AC6" s="1262"/>
      <c r="AD6" s="1262"/>
      <c r="AE6" s="1262"/>
      <c r="AF6" s="1262"/>
      <c r="AG6" s="1262"/>
      <c r="AH6" s="1262"/>
      <c r="AI6" s="1262"/>
      <c r="AJ6" s="1262"/>
    </row>
    <row r="7">
      <c r="A7" s="1262"/>
      <c r="B7" s="1262"/>
      <c r="C7" s="1262"/>
      <c r="D7" s="1262"/>
      <c r="E7" s="1262"/>
      <c r="F7" s="1262"/>
      <c r="G7" s="1271" t="s">
        <v>3429</v>
      </c>
      <c r="H7" s="1262"/>
      <c r="I7" s="1262"/>
      <c r="J7" s="1271" t="s">
        <v>3430</v>
      </c>
      <c r="K7" s="1271" t="s">
        <v>3431</v>
      </c>
      <c r="L7" s="1263"/>
      <c r="M7" s="1262"/>
      <c r="N7" s="1274" t="s">
        <v>3432</v>
      </c>
      <c r="O7" s="1274" t="s">
        <v>3433</v>
      </c>
      <c r="P7" s="1266"/>
      <c r="Q7" s="1274" t="s">
        <v>3434</v>
      </c>
      <c r="R7" s="1274" t="s">
        <v>3435</v>
      </c>
      <c r="S7" s="1276" t="s">
        <v>3436</v>
      </c>
      <c r="T7" s="1281"/>
      <c r="U7" s="1277" t="s">
        <v>3437</v>
      </c>
      <c r="V7" s="1276" t="s">
        <v>3438</v>
      </c>
      <c r="W7" s="1278" t="s">
        <v>3439</v>
      </c>
      <c r="X7" s="1281"/>
      <c r="Y7" s="1266"/>
      <c r="Z7" s="1262"/>
      <c r="AA7" s="1262"/>
      <c r="AB7" s="1262"/>
      <c r="AC7" s="1262"/>
      <c r="AD7" s="1262"/>
      <c r="AE7" s="1262"/>
      <c r="AF7" s="1262"/>
      <c r="AG7" s="1262"/>
      <c r="AH7" s="1262"/>
      <c r="AI7" s="1262"/>
      <c r="AJ7" s="1262"/>
    </row>
    <row r="8">
      <c r="A8" s="1262"/>
      <c r="B8" s="1262"/>
      <c r="C8" s="1262"/>
      <c r="D8" s="1262"/>
      <c r="E8" s="1262"/>
      <c r="F8" s="1262"/>
      <c r="G8" s="1262"/>
      <c r="H8" s="1262"/>
      <c r="I8" s="1262"/>
      <c r="J8" s="1262"/>
      <c r="K8" s="1274" t="s">
        <v>3440</v>
      </c>
      <c r="L8" s="1263"/>
      <c r="M8" s="1282" t="s">
        <v>3441</v>
      </c>
      <c r="N8" s="1274" t="s">
        <v>3442</v>
      </c>
      <c r="O8" s="1274" t="s">
        <v>3443</v>
      </c>
      <c r="P8" s="1266"/>
      <c r="Q8" s="1274" t="s">
        <v>3444</v>
      </c>
      <c r="R8" s="1274" t="s">
        <v>3445</v>
      </c>
      <c r="S8" s="1276" t="s">
        <v>3446</v>
      </c>
      <c r="T8" s="1281"/>
      <c r="U8" s="1278" t="s">
        <v>3447</v>
      </c>
      <c r="V8" s="1279" t="s">
        <v>3448</v>
      </c>
      <c r="W8" s="1262"/>
      <c r="X8" s="1281"/>
      <c r="Y8" s="1266"/>
      <c r="Z8" s="1262"/>
      <c r="AA8" s="1262"/>
      <c r="AB8" s="1262"/>
      <c r="AC8" s="1262"/>
      <c r="AD8" s="1262"/>
      <c r="AE8" s="1262"/>
      <c r="AF8" s="1262"/>
      <c r="AG8" s="1262"/>
      <c r="AH8" s="1262"/>
      <c r="AI8" s="1262"/>
      <c r="AJ8" s="1262"/>
    </row>
    <row r="9">
      <c r="A9" s="1262"/>
      <c r="B9" s="1262"/>
      <c r="C9" s="1262"/>
      <c r="D9" s="1262"/>
      <c r="E9" s="1262"/>
      <c r="F9" s="1262"/>
      <c r="G9" s="1262"/>
      <c r="H9" s="1262"/>
      <c r="I9" s="1262"/>
      <c r="J9" s="1262"/>
      <c r="K9" s="1262"/>
      <c r="L9" s="1263"/>
      <c r="M9" s="1262"/>
      <c r="N9" s="1262"/>
      <c r="O9" s="1262"/>
      <c r="P9" s="1266"/>
      <c r="Q9" s="1274" t="s">
        <v>3449</v>
      </c>
      <c r="R9" s="1277" t="s">
        <v>3450</v>
      </c>
      <c r="S9" s="1266"/>
      <c r="T9" s="1281"/>
      <c r="U9" s="1281"/>
      <c r="V9" s="1283"/>
      <c r="W9" s="1281"/>
      <c r="X9" s="1281"/>
      <c r="Y9" s="1266"/>
      <c r="Z9" s="1262"/>
      <c r="AA9" s="1262"/>
      <c r="AB9" s="1262"/>
      <c r="AC9" s="1262"/>
      <c r="AD9" s="1262"/>
      <c r="AE9" s="1262"/>
      <c r="AF9" s="1262"/>
      <c r="AG9" s="1262"/>
      <c r="AH9" s="1262"/>
      <c r="AI9" s="1262"/>
      <c r="AJ9" s="1262"/>
    </row>
    <row r="10">
      <c r="A10" s="1262"/>
      <c r="B10" s="1262"/>
      <c r="C10" s="1262"/>
      <c r="D10" s="1262"/>
      <c r="E10" s="1262"/>
      <c r="F10" s="1262"/>
      <c r="G10" s="1262"/>
      <c r="H10" s="1262"/>
      <c r="I10" s="1262"/>
      <c r="J10" s="1262"/>
      <c r="K10" s="1262"/>
      <c r="L10" s="1263"/>
      <c r="M10" s="1262"/>
      <c r="N10" s="1262"/>
      <c r="O10" s="1262"/>
      <c r="P10" s="1266"/>
      <c r="Q10" s="1262"/>
      <c r="R10" s="1262"/>
      <c r="S10" s="1266"/>
      <c r="T10" s="1281"/>
      <c r="U10" s="1281"/>
      <c r="V10" s="1283"/>
      <c r="W10" s="1281"/>
      <c r="X10" s="1281"/>
      <c r="Y10" s="1266"/>
      <c r="Z10" s="1262"/>
      <c r="AA10" s="1262"/>
      <c r="AB10" s="1262"/>
      <c r="AC10" s="1262"/>
      <c r="AD10" s="1262"/>
      <c r="AE10" s="1262"/>
      <c r="AF10" s="1262"/>
      <c r="AG10" s="1262"/>
      <c r="AH10" s="1262"/>
      <c r="AI10" s="1262"/>
      <c r="AJ10" s="1262"/>
    </row>
    <row r="11">
      <c r="A11" s="1262"/>
      <c r="B11" s="1262"/>
      <c r="C11" s="1262"/>
      <c r="D11" s="1262"/>
      <c r="E11" s="1262"/>
      <c r="F11" s="1262"/>
      <c r="G11" s="1262"/>
      <c r="H11" s="1262"/>
      <c r="I11" s="1262"/>
      <c r="J11" s="1262"/>
      <c r="K11" s="1262"/>
      <c r="L11" s="1263"/>
      <c r="M11" s="1262"/>
      <c r="N11" s="1262"/>
      <c r="O11" s="1262"/>
      <c r="P11" s="1266"/>
      <c r="Q11" s="1262"/>
      <c r="R11" s="1262"/>
      <c r="S11" s="1283"/>
      <c r="T11" s="1281"/>
      <c r="U11" s="1281"/>
      <c r="V11" s="1283"/>
      <c r="W11" s="1281"/>
      <c r="X11" s="1281"/>
      <c r="Y11" s="1266"/>
      <c r="Z11" s="1262"/>
      <c r="AA11" s="1262"/>
      <c r="AB11" s="1262"/>
      <c r="AC11" s="1262"/>
      <c r="AD11" s="1262"/>
      <c r="AE11" s="1262"/>
      <c r="AF11" s="1262"/>
      <c r="AG11" s="1262"/>
      <c r="AH11" s="1262"/>
      <c r="AI11" s="1262"/>
      <c r="AJ11" s="1262"/>
    </row>
    <row r="12">
      <c r="A12" s="1262"/>
      <c r="B12" s="1262"/>
      <c r="C12" s="1262"/>
      <c r="D12" s="1262"/>
      <c r="E12" s="1262"/>
      <c r="F12" s="1262"/>
      <c r="G12" s="1262"/>
      <c r="H12" s="1262"/>
      <c r="I12" s="1262"/>
      <c r="J12" s="1262"/>
      <c r="K12" s="1262"/>
      <c r="L12" s="1263"/>
      <c r="M12" s="1262"/>
      <c r="N12" s="1262"/>
      <c r="O12" s="1262"/>
      <c r="P12" s="1266"/>
      <c r="Q12" s="1262"/>
      <c r="R12" s="1262"/>
      <c r="S12" s="1283"/>
      <c r="T12" s="1281"/>
      <c r="U12" s="1281"/>
      <c r="V12" s="1283"/>
      <c r="W12" s="1281"/>
      <c r="X12" s="1281"/>
      <c r="Y12" s="1266"/>
      <c r="Z12" s="1262"/>
      <c r="AA12" s="1262"/>
      <c r="AB12" s="1262"/>
      <c r="AC12" s="1262"/>
      <c r="AD12" s="1262"/>
      <c r="AE12" s="1262"/>
      <c r="AF12" s="1262"/>
      <c r="AG12" s="1262"/>
      <c r="AH12" s="1262"/>
      <c r="AI12" s="1262"/>
      <c r="AJ12" s="1262"/>
    </row>
    <row r="13">
      <c r="A13" s="1262"/>
      <c r="B13" s="1262"/>
      <c r="C13" s="1262"/>
      <c r="D13" s="1262"/>
      <c r="E13" s="1262"/>
      <c r="F13" s="1262"/>
      <c r="G13" s="1262"/>
      <c r="H13" s="1262"/>
      <c r="I13" s="1262"/>
      <c r="J13" s="1262"/>
      <c r="K13" s="1262"/>
      <c r="L13" s="1263"/>
      <c r="M13" s="1262"/>
      <c r="N13" s="1262"/>
      <c r="O13" s="1262"/>
      <c r="P13" s="1266"/>
      <c r="Q13" s="1262"/>
      <c r="R13" s="1262"/>
      <c r="S13" s="1283"/>
      <c r="T13" s="1281"/>
      <c r="U13" s="1281"/>
      <c r="V13" s="1283"/>
      <c r="W13" s="1281"/>
      <c r="X13" s="1281"/>
      <c r="Y13" s="1266"/>
      <c r="Z13" s="1262"/>
      <c r="AA13" s="1262"/>
      <c r="AB13" s="1262"/>
      <c r="AC13" s="1262"/>
      <c r="AD13" s="1262"/>
      <c r="AE13" s="1262"/>
      <c r="AF13" s="1262"/>
      <c r="AG13" s="1262"/>
      <c r="AH13" s="1262"/>
      <c r="AI13" s="1262"/>
      <c r="AJ13" s="1262"/>
    </row>
    <row r="14">
      <c r="A14" s="1262"/>
      <c r="B14" s="1262"/>
      <c r="C14" s="1262"/>
      <c r="D14" s="1262"/>
      <c r="E14" s="1262"/>
      <c r="F14" s="1262"/>
      <c r="G14" s="1262"/>
      <c r="H14" s="1262"/>
      <c r="I14" s="1262"/>
      <c r="J14" s="1262"/>
      <c r="K14" s="1262"/>
      <c r="L14" s="1263"/>
      <c r="M14" s="1262"/>
      <c r="N14" s="1262"/>
      <c r="O14" s="1262"/>
      <c r="P14" s="1266"/>
      <c r="Q14" s="1262"/>
      <c r="R14" s="1262"/>
      <c r="S14" s="1283"/>
      <c r="T14" s="1281"/>
      <c r="U14" s="1281"/>
      <c r="V14" s="1283"/>
      <c r="W14" s="1281"/>
      <c r="X14" s="1281"/>
      <c r="Y14" s="1266"/>
      <c r="Z14" s="1262"/>
      <c r="AA14" s="1262"/>
      <c r="AB14" s="1262"/>
      <c r="AC14" s="1262"/>
      <c r="AD14" s="1262"/>
      <c r="AE14" s="1262"/>
      <c r="AF14" s="1262"/>
      <c r="AG14" s="1262"/>
      <c r="AH14" s="1262"/>
      <c r="AI14" s="1262"/>
      <c r="AJ14" s="1262"/>
    </row>
    <row r="15">
      <c r="A15" s="1262"/>
      <c r="B15" s="1262"/>
      <c r="C15" s="1262"/>
      <c r="D15" s="1262"/>
      <c r="E15" s="1262"/>
      <c r="F15" s="1262"/>
      <c r="G15" s="1262"/>
      <c r="H15" s="1262"/>
      <c r="I15" s="1262"/>
      <c r="J15" s="1281"/>
      <c r="K15" s="1262"/>
      <c r="L15" s="1263"/>
      <c r="M15" s="1262"/>
      <c r="N15" s="1262"/>
      <c r="O15" s="1262"/>
      <c r="P15" s="1266"/>
      <c r="Q15" s="1262"/>
      <c r="R15" s="1262"/>
      <c r="S15" s="1283"/>
      <c r="T15" s="1281"/>
      <c r="U15" s="1281"/>
      <c r="V15" s="1283"/>
      <c r="W15" s="1281"/>
      <c r="X15" s="1281"/>
      <c r="Y15" s="1266"/>
      <c r="Z15" s="1262"/>
      <c r="AA15" s="1262"/>
      <c r="AB15" s="1262"/>
      <c r="AC15" s="1262"/>
      <c r="AD15" s="1262"/>
      <c r="AE15" s="1262"/>
      <c r="AF15" s="1262"/>
      <c r="AG15" s="1262"/>
      <c r="AH15" s="1262"/>
      <c r="AI15" s="1262"/>
      <c r="AJ15" s="1262"/>
    </row>
    <row r="16">
      <c r="A16" s="1262"/>
      <c r="B16" s="1262"/>
      <c r="C16" s="1262"/>
      <c r="D16" s="1262"/>
      <c r="E16" s="1262"/>
      <c r="F16" s="1262"/>
      <c r="G16" s="1262"/>
      <c r="H16" s="1262"/>
      <c r="I16" s="1262"/>
      <c r="J16" s="1262"/>
      <c r="K16" s="1262"/>
      <c r="L16" s="1263"/>
      <c r="M16" s="1262"/>
      <c r="N16" s="1262"/>
      <c r="O16" s="1262"/>
      <c r="P16" s="1266"/>
      <c r="Q16" s="1262"/>
      <c r="R16" s="1262"/>
      <c r="S16" s="1283"/>
      <c r="T16" s="1281"/>
      <c r="U16" s="1281"/>
      <c r="V16" s="1283"/>
      <c r="W16" s="1281"/>
      <c r="X16" s="1281"/>
      <c r="Y16" s="1266"/>
      <c r="Z16" s="1262"/>
      <c r="AA16" s="1262"/>
      <c r="AB16" s="1262"/>
      <c r="AC16" s="1262"/>
      <c r="AD16" s="1262"/>
      <c r="AE16" s="1262"/>
      <c r="AF16" s="1262"/>
      <c r="AG16" s="1262"/>
      <c r="AH16" s="1262"/>
      <c r="AI16" s="1262"/>
      <c r="AJ16" s="1262"/>
    </row>
    <row r="17">
      <c r="A17" s="1262"/>
      <c r="B17" s="1262"/>
      <c r="C17" s="1262"/>
      <c r="D17" s="1262"/>
      <c r="E17" s="1262"/>
      <c r="F17" s="1262"/>
      <c r="G17" s="1262"/>
      <c r="H17" s="1262"/>
      <c r="I17" s="1262"/>
      <c r="J17" s="1262"/>
      <c r="K17" s="1262"/>
      <c r="L17" s="1263"/>
      <c r="M17" s="1262"/>
      <c r="N17" s="1262"/>
      <c r="O17" s="1262"/>
      <c r="P17" s="1266"/>
      <c r="Q17" s="1262"/>
      <c r="R17" s="1262"/>
      <c r="S17" s="1283"/>
      <c r="T17" s="1281"/>
      <c r="U17" s="1281"/>
      <c r="V17" s="1283"/>
      <c r="W17" s="1281"/>
      <c r="X17" s="1281"/>
      <c r="Y17" s="1266"/>
      <c r="Z17" s="1262"/>
      <c r="AA17" s="1262"/>
      <c r="AB17" s="1262"/>
      <c r="AC17" s="1262"/>
      <c r="AD17" s="1262"/>
      <c r="AE17" s="1262"/>
      <c r="AF17" s="1262"/>
      <c r="AG17" s="1262"/>
      <c r="AH17" s="1262"/>
      <c r="AI17" s="1262"/>
      <c r="AJ17" s="1262"/>
    </row>
    <row r="18">
      <c r="A18" s="1262"/>
      <c r="B18" s="1262"/>
      <c r="C18" s="1262"/>
      <c r="D18" s="1262"/>
      <c r="E18" s="1262"/>
      <c r="F18" s="1262"/>
      <c r="G18" s="1262"/>
      <c r="H18" s="1262"/>
      <c r="I18" s="1262"/>
      <c r="J18" s="1262"/>
      <c r="K18" s="1262"/>
      <c r="L18" s="1263"/>
      <c r="M18" s="1284"/>
      <c r="N18" s="1262"/>
      <c r="O18" s="1262"/>
      <c r="P18" s="1266"/>
      <c r="Q18" s="1262"/>
      <c r="R18" s="1262"/>
      <c r="S18" s="1266"/>
      <c r="T18" s="1262"/>
      <c r="U18" s="1262"/>
      <c r="V18" s="1266"/>
      <c r="W18" s="1262"/>
      <c r="X18" s="1262"/>
      <c r="Y18" s="1266"/>
      <c r="Z18" s="1262"/>
      <c r="AA18" s="1262"/>
      <c r="AB18" s="1262"/>
      <c r="AC18" s="1262"/>
      <c r="AD18" s="1262"/>
      <c r="AE18" s="1262"/>
      <c r="AF18" s="1262"/>
      <c r="AG18" s="1262"/>
      <c r="AH18" s="1262"/>
      <c r="AI18" s="1262"/>
      <c r="AJ18" s="1262"/>
    </row>
    <row r="19">
      <c r="A19" s="1262"/>
      <c r="B19" s="1262"/>
      <c r="C19" s="1262"/>
      <c r="D19" s="1262"/>
      <c r="E19" s="1262"/>
      <c r="F19" s="1262"/>
      <c r="G19" s="1262"/>
      <c r="H19" s="1262"/>
      <c r="I19" s="1262"/>
      <c r="J19" s="1262"/>
      <c r="K19" s="1262"/>
      <c r="L19" s="1263"/>
      <c r="M19" s="1284"/>
      <c r="N19" s="1262"/>
      <c r="O19" s="1262"/>
      <c r="P19" s="1266"/>
      <c r="Q19" s="1262"/>
      <c r="R19" s="1262"/>
      <c r="S19" s="1266"/>
      <c r="T19" s="1262"/>
      <c r="U19" s="1262"/>
      <c r="V19" s="1266"/>
      <c r="W19" s="1262"/>
      <c r="X19" s="1262"/>
      <c r="Y19" s="1266"/>
      <c r="Z19" s="1262"/>
      <c r="AA19" s="1262"/>
      <c r="AB19" s="1262"/>
      <c r="AC19" s="1262"/>
      <c r="AD19" s="1262"/>
      <c r="AE19" s="1262"/>
      <c r="AF19" s="1262"/>
      <c r="AG19" s="1262"/>
      <c r="AH19" s="1262"/>
      <c r="AI19" s="1262"/>
      <c r="AJ19" s="1262"/>
    </row>
    <row r="20">
      <c r="A20" s="1262"/>
      <c r="B20" s="1262"/>
      <c r="C20" s="1262"/>
      <c r="D20" s="1262"/>
      <c r="E20" s="1262"/>
      <c r="F20" s="1262"/>
      <c r="G20" s="1262"/>
      <c r="H20" s="1262"/>
      <c r="I20" s="1262"/>
      <c r="J20" s="1262"/>
      <c r="K20" s="1262"/>
      <c r="L20" s="1263"/>
      <c r="M20" s="1284"/>
      <c r="N20" s="1262"/>
      <c r="O20" s="1262"/>
      <c r="P20" s="1266"/>
      <c r="Q20" s="1262"/>
      <c r="R20" s="1262"/>
      <c r="S20" s="1266"/>
      <c r="T20" s="1262"/>
      <c r="U20" s="1262"/>
      <c r="V20" s="1266"/>
      <c r="W20" s="1262"/>
      <c r="X20" s="1262"/>
      <c r="Y20" s="1266"/>
      <c r="Z20" s="1262"/>
      <c r="AA20" s="1262"/>
      <c r="AB20" s="1262"/>
      <c r="AC20" s="1262"/>
      <c r="AD20" s="1262"/>
      <c r="AE20" s="1262"/>
      <c r="AF20" s="1262"/>
      <c r="AG20" s="1262"/>
      <c r="AH20" s="1262"/>
      <c r="AI20" s="1262"/>
      <c r="AJ20" s="1262"/>
    </row>
    <row r="21">
      <c r="A21" s="828"/>
      <c r="B21" s="828"/>
      <c r="C21" s="828"/>
      <c r="D21" s="828"/>
      <c r="E21" s="828"/>
      <c r="F21" s="828"/>
      <c r="G21" s="828"/>
      <c r="H21" s="828"/>
      <c r="I21" s="828"/>
      <c r="J21" s="828"/>
      <c r="K21" s="828"/>
      <c r="L21" s="828"/>
      <c r="M21" s="828"/>
      <c r="N21" s="828"/>
      <c r="O21" s="828"/>
      <c r="P21" s="828"/>
      <c r="Q21" s="828"/>
      <c r="R21" s="828"/>
      <c r="S21" s="828"/>
      <c r="T21" s="828"/>
      <c r="U21" s="828"/>
      <c r="V21" s="828"/>
      <c r="W21" s="828"/>
      <c r="X21" s="828"/>
      <c r="Y21" s="828"/>
      <c r="Z21" s="828"/>
      <c r="AA21" s="828"/>
      <c r="AB21" s="828"/>
      <c r="AC21" s="828"/>
      <c r="AD21" s="828"/>
      <c r="AE21" s="828"/>
      <c r="AF21" s="828"/>
      <c r="AG21" s="828"/>
      <c r="AH21" s="828"/>
      <c r="AI21" s="828"/>
      <c r="AJ21" s="828"/>
    </row>
    <row r="22">
      <c r="A22" s="828"/>
      <c r="B22" s="828"/>
      <c r="C22" s="828"/>
      <c r="D22" s="828"/>
      <c r="E22" s="828"/>
      <c r="F22" s="828"/>
      <c r="G22" s="828"/>
      <c r="H22" s="828"/>
      <c r="I22" s="828"/>
      <c r="J22" s="828"/>
      <c r="K22" s="828"/>
      <c r="L22" s="828"/>
      <c r="M22" s="828"/>
      <c r="N22" s="828"/>
      <c r="O22" s="828"/>
      <c r="P22" s="828"/>
      <c r="Q22" s="828"/>
      <c r="R22" s="828"/>
      <c r="S22" s="828"/>
      <c r="T22" s="828"/>
      <c r="U22" s="828"/>
      <c r="V22" s="828"/>
      <c r="W22" s="828"/>
      <c r="X22" s="828"/>
      <c r="Y22" s="828"/>
      <c r="Z22" s="828"/>
      <c r="AA22" s="828"/>
      <c r="AB22" s="828"/>
      <c r="AC22" s="828"/>
      <c r="AD22" s="828"/>
      <c r="AE22" s="828"/>
      <c r="AF22" s="828"/>
      <c r="AG22" s="828"/>
      <c r="AH22" s="828"/>
      <c r="AI22" s="828"/>
      <c r="AJ22" s="828"/>
    </row>
    <row r="23">
      <c r="A23" s="828"/>
      <c r="B23" s="828"/>
      <c r="C23" s="828"/>
      <c r="D23" s="828"/>
      <c r="E23" s="828"/>
      <c r="F23" s="828"/>
      <c r="G23" s="828"/>
      <c r="H23" s="828"/>
      <c r="I23" s="828"/>
      <c r="J23" s="828"/>
      <c r="K23" s="828"/>
      <c r="L23" s="828"/>
      <c r="M23" s="828"/>
      <c r="N23" s="828"/>
      <c r="O23" s="828"/>
      <c r="P23" s="828"/>
      <c r="Q23" s="828"/>
      <c r="R23" s="828"/>
      <c r="S23" s="828"/>
      <c r="T23" s="828"/>
      <c r="U23" s="828"/>
      <c r="V23" s="828"/>
      <c r="W23" s="828"/>
      <c r="X23" s="828"/>
      <c r="Y23" s="828"/>
      <c r="Z23" s="828"/>
      <c r="AA23" s="828"/>
      <c r="AB23" s="828"/>
      <c r="AC23" s="828"/>
      <c r="AD23" s="828"/>
      <c r="AE23" s="828"/>
      <c r="AF23" s="828"/>
      <c r="AG23" s="828"/>
      <c r="AH23" s="828"/>
      <c r="AI23" s="828"/>
      <c r="AJ23" s="828"/>
    </row>
    <row r="24">
      <c r="A24" s="828"/>
      <c r="B24" s="828"/>
      <c r="C24" s="828"/>
      <c r="D24" s="828"/>
      <c r="E24" s="828"/>
      <c r="F24" s="828"/>
      <c r="G24" s="828"/>
      <c r="H24" s="828"/>
      <c r="I24" s="828"/>
      <c r="J24" s="828"/>
      <c r="K24" s="828"/>
      <c r="L24" s="828"/>
      <c r="M24" s="828"/>
      <c r="N24" s="828"/>
      <c r="O24" s="828"/>
      <c r="P24" s="828"/>
      <c r="Q24" s="828"/>
      <c r="R24" s="828"/>
      <c r="S24" s="828"/>
      <c r="T24" s="828"/>
      <c r="U24" s="828"/>
      <c r="V24" s="828"/>
      <c r="W24" s="828"/>
      <c r="X24" s="828"/>
      <c r="Y24" s="828"/>
      <c r="Z24" s="828"/>
      <c r="AA24" s="828"/>
      <c r="AB24" s="828"/>
      <c r="AC24" s="828"/>
      <c r="AD24" s="828"/>
      <c r="AE24" s="828"/>
      <c r="AF24" s="828"/>
      <c r="AG24" s="828"/>
      <c r="AH24" s="828"/>
      <c r="AI24" s="828"/>
      <c r="AJ24" s="828"/>
    </row>
    <row r="25">
      <c r="A25" s="828"/>
      <c r="B25" s="828"/>
      <c r="C25" s="828"/>
      <c r="D25" s="828"/>
      <c r="E25" s="828"/>
      <c r="F25" s="828"/>
      <c r="G25" s="828"/>
      <c r="H25" s="828"/>
      <c r="I25" s="828"/>
      <c r="J25" s="828"/>
      <c r="K25" s="828"/>
      <c r="L25" s="828"/>
      <c r="M25" s="828"/>
      <c r="N25" s="828"/>
      <c r="O25" s="828"/>
      <c r="P25" s="828"/>
      <c r="Q25" s="828"/>
      <c r="R25" s="828"/>
      <c r="S25" s="828"/>
      <c r="T25" s="828"/>
      <c r="U25" s="828"/>
      <c r="V25" s="828"/>
      <c r="W25" s="828"/>
      <c r="X25" s="828"/>
      <c r="Y25" s="828"/>
      <c r="Z25" s="828"/>
      <c r="AA25" s="828"/>
      <c r="AB25" s="828"/>
      <c r="AC25" s="828"/>
      <c r="AD25" s="828"/>
      <c r="AE25" s="828"/>
      <c r="AF25" s="828"/>
      <c r="AG25" s="828"/>
      <c r="AH25" s="828"/>
      <c r="AI25" s="828"/>
      <c r="AJ25" s="828"/>
    </row>
    <row r="26">
      <c r="A26" s="828"/>
      <c r="B26" s="828"/>
      <c r="C26" s="828"/>
      <c r="D26" s="828"/>
      <c r="E26" s="828"/>
      <c r="F26" s="828"/>
      <c r="G26" s="828"/>
      <c r="H26" s="828"/>
      <c r="I26" s="828"/>
      <c r="J26" s="828"/>
      <c r="K26" s="828"/>
      <c r="L26" s="828"/>
      <c r="M26" s="828"/>
      <c r="N26" s="828"/>
      <c r="O26" s="828"/>
      <c r="P26" s="828"/>
      <c r="Q26" s="828"/>
      <c r="R26" s="828"/>
      <c r="S26" s="828"/>
      <c r="T26" s="828"/>
      <c r="U26" s="828"/>
      <c r="V26" s="828"/>
      <c r="W26" s="828"/>
      <c r="X26" s="828"/>
      <c r="Y26" s="828"/>
      <c r="Z26" s="828"/>
      <c r="AA26" s="828"/>
      <c r="AB26" s="828"/>
      <c r="AC26" s="828"/>
      <c r="AD26" s="828"/>
      <c r="AE26" s="828"/>
      <c r="AF26" s="828"/>
      <c r="AG26" s="828"/>
      <c r="AH26" s="828"/>
      <c r="AI26" s="828"/>
      <c r="AJ26" s="828"/>
    </row>
    <row r="27">
      <c r="A27" s="828"/>
      <c r="B27" s="828"/>
      <c r="C27" s="828"/>
      <c r="D27" s="828"/>
      <c r="E27" s="828"/>
      <c r="F27" s="828"/>
      <c r="G27" s="828"/>
      <c r="H27" s="828"/>
      <c r="I27" s="828"/>
      <c r="J27" s="828"/>
      <c r="K27" s="828"/>
      <c r="L27" s="828"/>
      <c r="M27" s="828"/>
      <c r="N27" s="828"/>
      <c r="O27" s="828"/>
      <c r="P27" s="828"/>
      <c r="Q27" s="828"/>
      <c r="R27" s="828"/>
      <c r="S27" s="828"/>
      <c r="T27" s="828"/>
      <c r="U27" s="828"/>
      <c r="V27" s="828"/>
      <c r="W27" s="828"/>
      <c r="X27" s="828"/>
      <c r="Y27" s="828"/>
      <c r="Z27" s="828"/>
      <c r="AA27" s="828"/>
      <c r="AB27" s="828"/>
      <c r="AC27" s="828"/>
      <c r="AD27" s="828"/>
      <c r="AE27" s="828"/>
      <c r="AF27" s="828"/>
      <c r="AG27" s="828"/>
      <c r="AH27" s="828"/>
      <c r="AI27" s="828"/>
      <c r="AJ27" s="828"/>
    </row>
    <row r="28">
      <c r="A28" s="828"/>
      <c r="B28" s="828"/>
      <c r="C28" s="828"/>
      <c r="D28" s="828"/>
      <c r="E28" s="828"/>
      <c r="F28" s="828"/>
      <c r="G28" s="828"/>
      <c r="H28" s="828"/>
      <c r="I28" s="828"/>
      <c r="J28" s="828"/>
      <c r="K28" s="828"/>
      <c r="L28" s="828"/>
      <c r="M28" s="828"/>
      <c r="N28" s="828"/>
      <c r="O28" s="828"/>
      <c r="P28" s="828"/>
      <c r="Q28" s="828"/>
      <c r="R28" s="828"/>
      <c r="S28" s="828"/>
      <c r="T28" s="828"/>
      <c r="U28" s="828"/>
      <c r="V28" s="828"/>
      <c r="W28" s="828"/>
      <c r="X28" s="828"/>
      <c r="Y28" s="828"/>
      <c r="Z28" s="828"/>
      <c r="AA28" s="828"/>
      <c r="AB28" s="828"/>
      <c r="AC28" s="828"/>
      <c r="AD28" s="828"/>
      <c r="AE28" s="828"/>
      <c r="AF28" s="828"/>
      <c r="AG28" s="828"/>
      <c r="AH28" s="828"/>
      <c r="AI28" s="828"/>
      <c r="AJ28" s="828"/>
    </row>
    <row r="29">
      <c r="A29" s="828"/>
      <c r="B29" s="828"/>
      <c r="C29" s="828"/>
      <c r="D29" s="828"/>
      <c r="E29" s="828"/>
      <c r="F29" s="828"/>
      <c r="G29" s="828"/>
      <c r="H29" s="828"/>
      <c r="I29" s="828"/>
      <c r="J29" s="828"/>
      <c r="K29" s="828"/>
      <c r="L29" s="828"/>
      <c r="M29" s="828"/>
      <c r="N29" s="828"/>
      <c r="O29" s="828"/>
      <c r="P29" s="828"/>
      <c r="Q29" s="828"/>
      <c r="R29" s="828"/>
      <c r="S29" s="828"/>
      <c r="T29" s="828"/>
      <c r="U29" s="828"/>
      <c r="V29" s="828"/>
      <c r="W29" s="828"/>
      <c r="X29" s="828"/>
      <c r="Y29" s="828"/>
      <c r="Z29" s="828"/>
      <c r="AA29" s="828"/>
      <c r="AB29" s="828"/>
      <c r="AC29" s="828"/>
      <c r="AD29" s="828"/>
      <c r="AE29" s="828"/>
      <c r="AF29" s="828"/>
      <c r="AG29" s="828"/>
      <c r="AH29" s="828"/>
      <c r="AI29" s="828"/>
      <c r="AJ29" s="828"/>
    </row>
    <row r="30">
      <c r="A30" s="828"/>
      <c r="B30" s="828"/>
      <c r="C30" s="828"/>
      <c r="D30" s="828"/>
      <c r="E30" s="828"/>
      <c r="F30" s="828"/>
      <c r="G30" s="828"/>
      <c r="H30" s="828"/>
      <c r="I30" s="828"/>
      <c r="J30" s="828"/>
      <c r="K30" s="828"/>
      <c r="L30" s="828"/>
      <c r="M30" s="828"/>
      <c r="N30" s="828"/>
      <c r="O30" s="828"/>
      <c r="P30" s="828"/>
      <c r="Q30" s="828"/>
      <c r="R30" s="828"/>
      <c r="S30" s="828"/>
      <c r="T30" s="828"/>
      <c r="U30" s="828"/>
      <c r="V30" s="828"/>
      <c r="W30" s="828"/>
      <c r="X30" s="828"/>
      <c r="Y30" s="828"/>
      <c r="Z30" s="828"/>
      <c r="AA30" s="828"/>
      <c r="AB30" s="828"/>
      <c r="AC30" s="828"/>
      <c r="AD30" s="828"/>
      <c r="AE30" s="828"/>
      <c r="AF30" s="828"/>
      <c r="AG30" s="828"/>
      <c r="AH30" s="828"/>
      <c r="AI30" s="828"/>
      <c r="AJ30" s="828"/>
    </row>
    <row r="31">
      <c r="A31" s="828"/>
      <c r="B31" s="828"/>
      <c r="C31" s="828"/>
      <c r="D31" s="828"/>
      <c r="E31" s="828"/>
      <c r="F31" s="828"/>
      <c r="G31" s="828"/>
      <c r="H31" s="828"/>
      <c r="I31" s="828"/>
      <c r="J31" s="828"/>
      <c r="K31" s="828"/>
      <c r="L31" s="828"/>
      <c r="M31" s="828"/>
      <c r="N31" s="828"/>
      <c r="O31" s="828"/>
      <c r="P31" s="828"/>
      <c r="Q31" s="828"/>
      <c r="R31" s="828"/>
      <c r="S31" s="828"/>
      <c r="T31" s="828"/>
      <c r="U31" s="828"/>
      <c r="V31" s="828"/>
      <c r="W31" s="828"/>
      <c r="X31" s="828"/>
      <c r="Y31" s="828"/>
      <c r="Z31" s="828"/>
      <c r="AA31" s="828"/>
      <c r="AB31" s="828"/>
      <c r="AC31" s="828"/>
      <c r="AD31" s="828"/>
      <c r="AE31" s="828"/>
      <c r="AF31" s="828"/>
      <c r="AG31" s="828"/>
      <c r="AH31" s="828"/>
      <c r="AI31" s="828"/>
      <c r="AJ31" s="828"/>
    </row>
    <row r="32">
      <c r="A32" s="828"/>
      <c r="B32" s="828"/>
      <c r="C32" s="828"/>
      <c r="D32" s="828"/>
      <c r="E32" s="828"/>
      <c r="F32" s="828"/>
      <c r="G32" s="828"/>
      <c r="H32" s="828"/>
      <c r="I32" s="828"/>
      <c r="J32" s="828"/>
      <c r="K32" s="828"/>
      <c r="L32" s="828"/>
      <c r="M32" s="828"/>
      <c r="N32" s="828"/>
      <c r="O32" s="828"/>
      <c r="P32" s="828"/>
      <c r="Q32" s="828"/>
      <c r="R32" s="828"/>
      <c r="S32" s="828"/>
      <c r="T32" s="828"/>
      <c r="U32" s="828"/>
      <c r="V32" s="828"/>
      <c r="W32" s="828"/>
      <c r="X32" s="828"/>
      <c r="Y32" s="828"/>
      <c r="Z32" s="828"/>
      <c r="AA32" s="828"/>
      <c r="AB32" s="828"/>
      <c r="AC32" s="828"/>
      <c r="AD32" s="828"/>
      <c r="AE32" s="828"/>
      <c r="AF32" s="828"/>
      <c r="AG32" s="828"/>
      <c r="AH32" s="828"/>
      <c r="AI32" s="828"/>
      <c r="AJ32" s="828"/>
    </row>
    <row r="33">
      <c r="A33" s="828"/>
      <c r="B33" s="828"/>
      <c r="C33" s="828"/>
      <c r="D33" s="828"/>
      <c r="E33" s="828"/>
      <c r="F33" s="828"/>
      <c r="G33" s="828"/>
      <c r="H33" s="828"/>
      <c r="I33" s="828"/>
      <c r="J33" s="828"/>
      <c r="K33" s="828"/>
      <c r="L33" s="828"/>
      <c r="M33" s="828"/>
      <c r="N33" s="828"/>
      <c r="O33" s="828"/>
      <c r="P33" s="828"/>
      <c r="Q33" s="828"/>
      <c r="R33" s="828"/>
      <c r="S33" s="828"/>
      <c r="T33" s="828"/>
      <c r="U33" s="828"/>
      <c r="V33" s="828"/>
      <c r="W33" s="828"/>
      <c r="X33" s="828"/>
      <c r="Y33" s="828"/>
      <c r="Z33" s="828"/>
      <c r="AA33" s="828"/>
      <c r="AB33" s="828"/>
      <c r="AC33" s="828"/>
      <c r="AD33" s="828"/>
      <c r="AE33" s="828"/>
      <c r="AF33" s="828"/>
      <c r="AG33" s="828"/>
      <c r="AH33" s="828"/>
      <c r="AI33" s="828"/>
      <c r="AJ33" s="828"/>
    </row>
    <row r="34">
      <c r="A34" s="828"/>
      <c r="B34" s="828"/>
      <c r="C34" s="828"/>
      <c r="D34" s="828"/>
      <c r="E34" s="828"/>
      <c r="F34" s="828"/>
      <c r="G34" s="828"/>
      <c r="H34" s="828"/>
      <c r="I34" s="828"/>
      <c r="J34" s="828"/>
      <c r="K34" s="828"/>
      <c r="L34" s="828"/>
      <c r="M34" s="828"/>
      <c r="N34" s="828"/>
      <c r="O34" s="828"/>
      <c r="P34" s="828"/>
      <c r="Q34" s="828"/>
      <c r="R34" s="828"/>
      <c r="S34" s="828"/>
      <c r="T34" s="828"/>
      <c r="U34" s="828"/>
      <c r="V34" s="828"/>
      <c r="W34" s="828"/>
      <c r="X34" s="828"/>
      <c r="Y34" s="828"/>
      <c r="Z34" s="828"/>
      <c r="AA34" s="828"/>
      <c r="AB34" s="828"/>
      <c r="AC34" s="828"/>
      <c r="AD34" s="828"/>
      <c r="AE34" s="828"/>
      <c r="AF34" s="828"/>
      <c r="AG34" s="828"/>
      <c r="AH34" s="828"/>
      <c r="AI34" s="828"/>
      <c r="AJ34" s="828"/>
    </row>
    <row r="35">
      <c r="A35" s="828"/>
      <c r="B35" s="828"/>
      <c r="C35" s="828"/>
      <c r="D35" s="828"/>
      <c r="E35" s="828"/>
      <c r="F35" s="828"/>
      <c r="G35" s="828"/>
      <c r="H35" s="828"/>
      <c r="I35" s="828"/>
      <c r="J35" s="828"/>
      <c r="K35" s="828"/>
      <c r="L35" s="828"/>
      <c r="M35" s="828"/>
      <c r="N35" s="828"/>
      <c r="O35" s="828"/>
      <c r="P35" s="828"/>
      <c r="Q35" s="828"/>
      <c r="R35" s="828"/>
      <c r="S35" s="828"/>
      <c r="T35" s="828"/>
      <c r="U35" s="828"/>
      <c r="V35" s="828"/>
      <c r="W35" s="828"/>
      <c r="X35" s="828"/>
      <c r="Y35" s="828"/>
      <c r="Z35" s="828"/>
      <c r="AA35" s="828"/>
      <c r="AB35" s="828"/>
      <c r="AC35" s="828"/>
      <c r="AD35" s="828"/>
      <c r="AE35" s="828"/>
      <c r="AF35" s="828"/>
      <c r="AG35" s="828"/>
      <c r="AH35" s="828"/>
      <c r="AI35" s="828"/>
      <c r="AJ35" s="828"/>
    </row>
    <row r="36">
      <c r="A36" s="828"/>
      <c r="B36" s="828"/>
      <c r="C36" s="828"/>
      <c r="D36" s="828"/>
      <c r="E36" s="828"/>
      <c r="F36" s="828"/>
      <c r="G36" s="828"/>
      <c r="H36" s="828"/>
      <c r="I36" s="828"/>
      <c r="J36" s="828"/>
      <c r="K36" s="828"/>
      <c r="L36" s="828"/>
      <c r="M36" s="828"/>
      <c r="N36" s="828"/>
      <c r="O36" s="828"/>
      <c r="P36" s="828"/>
      <c r="Q36" s="828"/>
      <c r="R36" s="828"/>
      <c r="S36" s="828"/>
      <c r="T36" s="828"/>
      <c r="U36" s="828"/>
      <c r="V36" s="828"/>
      <c r="W36" s="828"/>
      <c r="X36" s="828"/>
      <c r="Y36" s="828"/>
      <c r="Z36" s="828"/>
      <c r="AA36" s="828"/>
      <c r="AB36" s="828"/>
      <c r="AC36" s="828"/>
      <c r="AD36" s="828"/>
      <c r="AE36" s="828"/>
      <c r="AF36" s="828"/>
      <c r="AG36" s="828"/>
      <c r="AH36" s="828"/>
      <c r="AI36" s="828"/>
      <c r="AJ36" s="828"/>
    </row>
    <row r="37">
      <c r="A37" s="828"/>
      <c r="B37" s="828"/>
      <c r="C37" s="828"/>
      <c r="D37" s="828"/>
      <c r="E37" s="828"/>
      <c r="F37" s="828"/>
      <c r="G37" s="828"/>
      <c r="H37" s="828"/>
      <c r="I37" s="828"/>
      <c r="J37" s="828"/>
      <c r="K37" s="828"/>
      <c r="L37" s="828"/>
      <c r="M37" s="828"/>
      <c r="N37" s="828"/>
      <c r="O37" s="828"/>
      <c r="P37" s="828"/>
      <c r="Q37" s="828"/>
      <c r="R37" s="828"/>
      <c r="S37" s="828"/>
      <c r="T37" s="828"/>
      <c r="U37" s="828"/>
      <c r="V37" s="828"/>
      <c r="W37" s="828"/>
      <c r="X37" s="828"/>
      <c r="Y37" s="828"/>
      <c r="Z37" s="828"/>
      <c r="AA37" s="828"/>
      <c r="AB37" s="828"/>
      <c r="AC37" s="828"/>
      <c r="AD37" s="828"/>
      <c r="AE37" s="828"/>
      <c r="AF37" s="828"/>
      <c r="AG37" s="828"/>
      <c r="AH37" s="828"/>
      <c r="AI37" s="828"/>
      <c r="AJ37" s="828"/>
    </row>
    <row r="38">
      <c r="A38" s="828"/>
      <c r="B38" s="828"/>
      <c r="C38" s="828"/>
      <c r="D38" s="828"/>
      <c r="E38" s="828"/>
      <c r="F38" s="828"/>
      <c r="G38" s="828"/>
      <c r="H38" s="828"/>
      <c r="I38" s="828"/>
      <c r="J38" s="828"/>
      <c r="K38" s="828"/>
      <c r="L38" s="828"/>
      <c r="M38" s="828"/>
      <c r="N38" s="828"/>
      <c r="O38" s="828"/>
      <c r="P38" s="828"/>
      <c r="Q38" s="828"/>
      <c r="R38" s="828"/>
      <c r="S38" s="828"/>
      <c r="T38" s="828"/>
      <c r="U38" s="828"/>
      <c r="V38" s="828"/>
      <c r="W38" s="828"/>
      <c r="X38" s="828"/>
      <c r="Y38" s="828"/>
      <c r="Z38" s="828"/>
      <c r="AA38" s="828"/>
      <c r="AB38" s="828"/>
      <c r="AC38" s="828"/>
      <c r="AD38" s="828"/>
      <c r="AE38" s="828"/>
      <c r="AF38" s="828"/>
      <c r="AG38" s="828"/>
      <c r="AH38" s="828"/>
      <c r="AI38" s="828"/>
      <c r="AJ38" s="828"/>
    </row>
    <row r="39">
      <c r="A39" s="828"/>
      <c r="B39" s="828"/>
      <c r="C39" s="828"/>
      <c r="D39" s="828"/>
      <c r="E39" s="828"/>
      <c r="F39" s="828"/>
      <c r="G39" s="828"/>
      <c r="H39" s="828"/>
      <c r="I39" s="828"/>
      <c r="J39" s="828"/>
      <c r="K39" s="828"/>
      <c r="L39" s="828"/>
      <c r="M39" s="828"/>
      <c r="N39" s="828"/>
      <c r="O39" s="828"/>
      <c r="P39" s="828"/>
      <c r="Q39" s="828"/>
      <c r="R39" s="828"/>
      <c r="S39" s="828"/>
      <c r="T39" s="828"/>
      <c r="U39" s="828"/>
      <c r="V39" s="828"/>
      <c r="W39" s="828"/>
      <c r="X39" s="828"/>
      <c r="Y39" s="828"/>
      <c r="Z39" s="828"/>
      <c r="AA39" s="828"/>
      <c r="AB39" s="828"/>
      <c r="AC39" s="828"/>
      <c r="AD39" s="828"/>
      <c r="AE39" s="828"/>
      <c r="AF39" s="828"/>
      <c r="AG39" s="828"/>
      <c r="AH39" s="828"/>
      <c r="AI39" s="828"/>
      <c r="AJ39" s="828"/>
    </row>
    <row r="40">
      <c r="A40" s="828"/>
      <c r="B40" s="828"/>
      <c r="C40" s="828"/>
      <c r="D40" s="828"/>
      <c r="E40" s="828"/>
      <c r="F40" s="828"/>
      <c r="G40" s="828"/>
      <c r="H40" s="828"/>
      <c r="I40" s="828"/>
      <c r="J40" s="828"/>
      <c r="K40" s="828"/>
      <c r="L40" s="828"/>
      <c r="M40" s="828"/>
      <c r="N40" s="828"/>
      <c r="O40" s="828"/>
      <c r="P40" s="828"/>
      <c r="Q40" s="828"/>
      <c r="R40" s="828"/>
      <c r="S40" s="828"/>
      <c r="T40" s="828"/>
      <c r="U40" s="828"/>
      <c r="V40" s="828"/>
      <c r="W40" s="828"/>
      <c r="X40" s="828"/>
      <c r="Y40" s="828"/>
      <c r="Z40" s="828"/>
      <c r="AA40" s="828"/>
      <c r="AB40" s="828"/>
      <c r="AC40" s="828"/>
      <c r="AD40" s="828"/>
      <c r="AE40" s="828"/>
      <c r="AF40" s="828"/>
      <c r="AG40" s="828"/>
      <c r="AH40" s="828"/>
      <c r="AI40" s="828"/>
      <c r="AJ40" s="828"/>
    </row>
    <row r="41">
      <c r="A41" s="828"/>
      <c r="B41" s="828"/>
      <c r="C41" s="828"/>
      <c r="D41" s="828"/>
      <c r="E41" s="828"/>
      <c r="F41" s="828"/>
      <c r="G41" s="828"/>
      <c r="H41" s="828"/>
      <c r="I41" s="828"/>
      <c r="J41" s="828"/>
      <c r="K41" s="828"/>
      <c r="L41" s="828"/>
      <c r="M41" s="828"/>
      <c r="N41" s="828"/>
      <c r="O41" s="828"/>
      <c r="P41" s="828"/>
      <c r="Q41" s="828"/>
      <c r="R41" s="828"/>
      <c r="S41" s="828"/>
      <c r="T41" s="828"/>
      <c r="U41" s="828"/>
      <c r="V41" s="828"/>
      <c r="W41" s="828"/>
      <c r="X41" s="828"/>
      <c r="Y41" s="828"/>
      <c r="Z41" s="828"/>
      <c r="AA41" s="828"/>
      <c r="AB41" s="828"/>
      <c r="AC41" s="828"/>
      <c r="AD41" s="828"/>
      <c r="AE41" s="828"/>
      <c r="AF41" s="828"/>
      <c r="AG41" s="828"/>
      <c r="AH41" s="828"/>
      <c r="AI41" s="828"/>
      <c r="AJ41" s="828"/>
    </row>
    <row r="42">
      <c r="A42" s="828"/>
      <c r="B42" s="828"/>
      <c r="C42" s="828"/>
      <c r="D42" s="828"/>
      <c r="E42" s="828"/>
      <c r="F42" s="828"/>
      <c r="G42" s="828"/>
      <c r="H42" s="828"/>
      <c r="I42" s="828"/>
      <c r="J42" s="828"/>
      <c r="K42" s="828"/>
      <c r="L42" s="828"/>
      <c r="M42" s="828"/>
      <c r="N42" s="828"/>
      <c r="O42" s="828"/>
      <c r="P42" s="828"/>
      <c r="Q42" s="828"/>
      <c r="R42" s="828"/>
      <c r="S42" s="828"/>
      <c r="T42" s="828"/>
      <c r="U42" s="828"/>
      <c r="V42" s="828"/>
      <c r="W42" s="828"/>
      <c r="X42" s="828"/>
      <c r="Y42" s="828"/>
      <c r="Z42" s="828"/>
      <c r="AA42" s="828"/>
      <c r="AB42" s="828"/>
      <c r="AC42" s="828"/>
      <c r="AD42" s="828"/>
      <c r="AE42" s="828"/>
      <c r="AF42" s="828"/>
      <c r="AG42" s="828"/>
      <c r="AH42" s="828"/>
      <c r="AI42" s="828"/>
      <c r="AJ42" s="828"/>
    </row>
    <row r="43">
      <c r="A43" s="828"/>
      <c r="B43" s="828"/>
      <c r="C43" s="828"/>
      <c r="D43" s="828"/>
      <c r="E43" s="828"/>
      <c r="F43" s="828"/>
      <c r="G43" s="828"/>
      <c r="H43" s="828"/>
      <c r="I43" s="828"/>
      <c r="J43" s="828"/>
      <c r="K43" s="828"/>
      <c r="L43" s="828"/>
      <c r="M43" s="828"/>
      <c r="N43" s="828"/>
      <c r="O43" s="828"/>
      <c r="P43" s="828"/>
      <c r="Q43" s="828"/>
      <c r="R43" s="828"/>
      <c r="S43" s="828"/>
      <c r="T43" s="828"/>
      <c r="U43" s="828"/>
      <c r="V43" s="828"/>
      <c r="W43" s="828"/>
      <c r="X43" s="828"/>
      <c r="Y43" s="828"/>
      <c r="Z43" s="828"/>
      <c r="AA43" s="828"/>
      <c r="AB43" s="828"/>
      <c r="AC43" s="828"/>
      <c r="AD43" s="828"/>
      <c r="AE43" s="828"/>
      <c r="AF43" s="828"/>
      <c r="AG43" s="828"/>
      <c r="AH43" s="828"/>
      <c r="AI43" s="828"/>
      <c r="AJ43" s="828"/>
    </row>
    <row r="44">
      <c r="A44" s="828"/>
      <c r="B44" s="828"/>
      <c r="C44" s="828"/>
      <c r="D44" s="828"/>
      <c r="E44" s="828"/>
      <c r="F44" s="828"/>
      <c r="G44" s="828"/>
      <c r="H44" s="828"/>
      <c r="I44" s="828"/>
      <c r="J44" s="828"/>
      <c r="K44" s="828"/>
      <c r="L44" s="828"/>
      <c r="M44" s="828"/>
      <c r="N44" s="828"/>
      <c r="O44" s="828"/>
      <c r="P44" s="828"/>
      <c r="Q44" s="828"/>
      <c r="R44" s="828"/>
      <c r="S44" s="828"/>
      <c r="T44" s="828"/>
      <c r="U44" s="828"/>
      <c r="V44" s="828"/>
      <c r="W44" s="828"/>
      <c r="X44" s="828"/>
      <c r="Y44" s="828"/>
      <c r="Z44" s="828"/>
      <c r="AA44" s="828"/>
      <c r="AB44" s="828"/>
      <c r="AC44" s="828"/>
      <c r="AD44" s="828"/>
      <c r="AE44" s="828"/>
      <c r="AF44" s="828"/>
      <c r="AG44" s="828"/>
      <c r="AH44" s="828"/>
      <c r="AI44" s="828"/>
      <c r="AJ44" s="828"/>
    </row>
    <row r="45">
      <c r="A45" s="828"/>
      <c r="B45" s="828"/>
      <c r="C45" s="828"/>
      <c r="D45" s="828"/>
      <c r="E45" s="828"/>
      <c r="F45" s="828"/>
      <c r="G45" s="828"/>
      <c r="H45" s="828"/>
      <c r="I45" s="828"/>
      <c r="J45" s="828"/>
      <c r="K45" s="828"/>
      <c r="L45" s="828"/>
      <c r="M45" s="828"/>
      <c r="N45" s="828"/>
      <c r="O45" s="828"/>
      <c r="P45" s="828"/>
      <c r="Q45" s="828"/>
      <c r="R45" s="828"/>
      <c r="S45" s="828"/>
      <c r="T45" s="828"/>
      <c r="U45" s="828"/>
      <c r="V45" s="828"/>
      <c r="W45" s="828"/>
      <c r="X45" s="828"/>
      <c r="Y45" s="828"/>
      <c r="Z45" s="828"/>
      <c r="AA45" s="828"/>
      <c r="AB45" s="828"/>
      <c r="AC45" s="828"/>
      <c r="AD45" s="828"/>
      <c r="AE45" s="828"/>
      <c r="AF45" s="828"/>
      <c r="AG45" s="828"/>
      <c r="AH45" s="828"/>
      <c r="AI45" s="828"/>
      <c r="AJ45" s="828"/>
    </row>
    <row r="46">
      <c r="A46" s="828"/>
      <c r="B46" s="828"/>
      <c r="C46" s="828"/>
      <c r="D46" s="828"/>
      <c r="E46" s="828"/>
      <c r="F46" s="828"/>
      <c r="G46" s="828"/>
      <c r="H46" s="828"/>
      <c r="I46" s="828"/>
      <c r="J46" s="828"/>
      <c r="K46" s="828"/>
      <c r="L46" s="828"/>
      <c r="M46" s="828"/>
      <c r="N46" s="828"/>
      <c r="O46" s="828"/>
      <c r="P46" s="828"/>
      <c r="Q46" s="828"/>
      <c r="R46" s="828"/>
      <c r="S46" s="828"/>
      <c r="T46" s="828"/>
      <c r="U46" s="828"/>
      <c r="V46" s="828"/>
      <c r="W46" s="828"/>
      <c r="X46" s="828"/>
      <c r="Y46" s="828"/>
      <c r="Z46" s="828"/>
      <c r="AA46" s="828"/>
      <c r="AB46" s="828"/>
      <c r="AC46" s="828"/>
      <c r="AD46" s="828"/>
      <c r="AE46" s="828"/>
      <c r="AF46" s="828"/>
      <c r="AG46" s="828"/>
      <c r="AH46" s="828"/>
      <c r="AI46" s="828"/>
      <c r="AJ46" s="828"/>
    </row>
    <row r="47">
      <c r="A47" s="828"/>
      <c r="B47" s="828"/>
      <c r="C47" s="828"/>
      <c r="D47" s="828"/>
      <c r="E47" s="828"/>
      <c r="F47" s="828"/>
      <c r="G47" s="828"/>
      <c r="H47" s="828"/>
      <c r="I47" s="828"/>
      <c r="J47" s="828"/>
      <c r="K47" s="828"/>
      <c r="L47" s="828"/>
      <c r="M47" s="828"/>
      <c r="N47" s="828"/>
      <c r="O47" s="828"/>
      <c r="P47" s="828"/>
      <c r="Q47" s="828"/>
      <c r="R47" s="828"/>
      <c r="S47" s="828"/>
      <c r="T47" s="828"/>
      <c r="U47" s="828"/>
      <c r="V47" s="828"/>
      <c r="W47" s="828"/>
      <c r="X47" s="828"/>
      <c r="Y47" s="828"/>
      <c r="Z47" s="828"/>
      <c r="AA47" s="828"/>
      <c r="AB47" s="828"/>
      <c r="AC47" s="828"/>
      <c r="AD47" s="828"/>
      <c r="AE47" s="828"/>
      <c r="AF47" s="828"/>
      <c r="AG47" s="828"/>
      <c r="AH47" s="828"/>
      <c r="AI47" s="828"/>
      <c r="AJ47" s="828"/>
    </row>
    <row r="48">
      <c r="A48" s="828"/>
      <c r="B48" s="828"/>
      <c r="C48" s="828"/>
      <c r="D48" s="828"/>
      <c r="E48" s="828"/>
      <c r="F48" s="828"/>
      <c r="G48" s="828"/>
      <c r="H48" s="828"/>
      <c r="I48" s="828"/>
      <c r="J48" s="828"/>
      <c r="K48" s="828"/>
      <c r="L48" s="828"/>
      <c r="M48" s="828"/>
      <c r="N48" s="828"/>
      <c r="O48" s="828"/>
      <c r="P48" s="828"/>
      <c r="Q48" s="828"/>
      <c r="R48" s="828"/>
      <c r="S48" s="828"/>
      <c r="T48" s="828"/>
      <c r="U48" s="828"/>
      <c r="V48" s="828"/>
      <c r="W48" s="828"/>
      <c r="X48" s="828"/>
      <c r="Y48" s="828"/>
      <c r="Z48" s="828"/>
      <c r="AA48" s="828"/>
      <c r="AB48" s="828"/>
      <c r="AC48" s="828"/>
      <c r="AD48" s="828"/>
      <c r="AE48" s="828"/>
      <c r="AF48" s="828"/>
      <c r="AG48" s="828"/>
      <c r="AH48" s="828"/>
      <c r="AI48" s="828"/>
      <c r="AJ48" s="828"/>
    </row>
    <row r="49">
      <c r="A49" s="828"/>
      <c r="B49" s="828"/>
      <c r="C49" s="828"/>
      <c r="D49" s="828"/>
      <c r="E49" s="828"/>
      <c r="F49" s="828"/>
      <c r="G49" s="828"/>
      <c r="H49" s="828"/>
      <c r="I49" s="828"/>
      <c r="J49" s="828"/>
      <c r="K49" s="828"/>
      <c r="L49" s="828"/>
      <c r="M49" s="828"/>
      <c r="N49" s="828"/>
      <c r="O49" s="828"/>
      <c r="P49" s="828"/>
      <c r="Q49" s="828"/>
      <c r="R49" s="828"/>
      <c r="S49" s="828"/>
      <c r="T49" s="828"/>
      <c r="U49" s="828"/>
      <c r="V49" s="828"/>
      <c r="W49" s="828"/>
      <c r="X49" s="828"/>
      <c r="Y49" s="828"/>
      <c r="Z49" s="828"/>
      <c r="AA49" s="828"/>
      <c r="AB49" s="828"/>
      <c r="AC49" s="828"/>
      <c r="AD49" s="828"/>
      <c r="AE49" s="828"/>
      <c r="AF49" s="828"/>
      <c r="AG49" s="828"/>
      <c r="AH49" s="828"/>
      <c r="AI49" s="828"/>
      <c r="AJ49" s="828"/>
    </row>
    <row r="50">
      <c r="A50" s="828"/>
      <c r="B50" s="828"/>
      <c r="C50" s="828"/>
      <c r="D50" s="828"/>
      <c r="E50" s="828"/>
      <c r="F50" s="828"/>
      <c r="G50" s="828"/>
      <c r="H50" s="828"/>
      <c r="I50" s="828"/>
      <c r="J50" s="828"/>
      <c r="K50" s="828"/>
      <c r="L50" s="828"/>
      <c r="M50" s="828"/>
      <c r="N50" s="828"/>
      <c r="O50" s="828"/>
      <c r="P50" s="828"/>
      <c r="Q50" s="828"/>
      <c r="R50" s="828"/>
      <c r="S50" s="828"/>
      <c r="T50" s="828"/>
      <c r="U50" s="828"/>
      <c r="V50" s="828"/>
      <c r="W50" s="828"/>
      <c r="X50" s="828"/>
      <c r="Y50" s="828"/>
      <c r="Z50" s="828"/>
      <c r="AA50" s="828"/>
      <c r="AB50" s="828"/>
      <c r="AC50" s="828"/>
      <c r="AD50" s="828"/>
      <c r="AE50" s="828"/>
      <c r="AF50" s="828"/>
      <c r="AG50" s="828"/>
      <c r="AH50" s="828"/>
      <c r="AI50" s="828"/>
      <c r="AJ50" s="828"/>
    </row>
    <row r="51">
      <c r="A51" s="828"/>
      <c r="B51" s="828"/>
      <c r="C51" s="828"/>
      <c r="D51" s="828"/>
      <c r="E51" s="828"/>
      <c r="F51" s="828"/>
      <c r="G51" s="828"/>
      <c r="H51" s="828"/>
      <c r="I51" s="828"/>
      <c r="J51" s="828"/>
      <c r="K51" s="828"/>
      <c r="L51" s="828"/>
      <c r="M51" s="828"/>
      <c r="N51" s="828"/>
      <c r="O51" s="828"/>
      <c r="P51" s="828"/>
      <c r="Q51" s="828"/>
      <c r="R51" s="828"/>
      <c r="S51" s="828"/>
      <c r="T51" s="828"/>
      <c r="U51" s="828"/>
      <c r="V51" s="828"/>
      <c r="W51" s="828"/>
      <c r="X51" s="828"/>
      <c r="Y51" s="828"/>
      <c r="Z51" s="828"/>
      <c r="AA51" s="828"/>
      <c r="AB51" s="828"/>
      <c r="AC51" s="828"/>
      <c r="AD51" s="828"/>
      <c r="AE51" s="828"/>
      <c r="AF51" s="828"/>
      <c r="AG51" s="828"/>
      <c r="AH51" s="828"/>
      <c r="AI51" s="828"/>
      <c r="AJ51" s="828"/>
    </row>
    <row r="52">
      <c r="A52" s="828"/>
      <c r="B52" s="828"/>
      <c r="C52" s="828"/>
      <c r="D52" s="828"/>
      <c r="E52" s="828"/>
      <c r="F52" s="828"/>
      <c r="G52" s="828"/>
      <c r="H52" s="828"/>
      <c r="I52" s="828"/>
      <c r="J52" s="828"/>
      <c r="K52" s="828"/>
      <c r="L52" s="828"/>
      <c r="M52" s="828"/>
      <c r="N52" s="828"/>
      <c r="O52" s="828"/>
      <c r="P52" s="828"/>
      <c r="Q52" s="828"/>
      <c r="R52" s="828"/>
      <c r="S52" s="828"/>
      <c r="T52" s="828"/>
      <c r="U52" s="828"/>
      <c r="V52" s="828"/>
      <c r="W52" s="828"/>
      <c r="X52" s="828"/>
      <c r="Y52" s="828"/>
      <c r="Z52" s="828"/>
      <c r="AA52" s="828"/>
      <c r="AB52" s="828"/>
      <c r="AC52" s="828"/>
      <c r="AD52" s="828"/>
      <c r="AE52" s="828"/>
      <c r="AF52" s="828"/>
      <c r="AG52" s="828"/>
      <c r="AH52" s="828"/>
      <c r="AI52" s="828"/>
      <c r="AJ52" s="828"/>
    </row>
    <row r="53">
      <c r="A53" s="828"/>
      <c r="B53" s="828"/>
      <c r="C53" s="828"/>
      <c r="D53" s="828"/>
      <c r="E53" s="828"/>
      <c r="F53" s="828"/>
      <c r="G53" s="828"/>
      <c r="H53" s="828"/>
      <c r="I53" s="828"/>
      <c r="J53" s="828"/>
      <c r="K53" s="828"/>
      <c r="L53" s="828"/>
      <c r="M53" s="828"/>
      <c r="N53" s="828"/>
      <c r="O53" s="828"/>
      <c r="P53" s="828"/>
      <c r="Q53" s="828"/>
      <c r="R53" s="828"/>
      <c r="S53" s="828"/>
      <c r="T53" s="828"/>
      <c r="U53" s="828"/>
      <c r="V53" s="828"/>
      <c r="W53" s="828"/>
      <c r="X53" s="828"/>
      <c r="Y53" s="828"/>
      <c r="Z53" s="828"/>
      <c r="AA53" s="828"/>
      <c r="AB53" s="828"/>
      <c r="AC53" s="828"/>
      <c r="AD53" s="828"/>
      <c r="AE53" s="828"/>
      <c r="AF53" s="828"/>
      <c r="AG53" s="828"/>
      <c r="AH53" s="828"/>
      <c r="AI53" s="828"/>
      <c r="AJ53" s="828"/>
    </row>
    <row r="54">
      <c r="A54" s="828"/>
      <c r="B54" s="828"/>
      <c r="C54" s="828"/>
      <c r="D54" s="828"/>
      <c r="E54" s="828"/>
      <c r="F54" s="828"/>
      <c r="G54" s="828"/>
      <c r="H54" s="828"/>
      <c r="I54" s="828"/>
      <c r="J54" s="828"/>
      <c r="K54" s="828"/>
      <c r="L54" s="828"/>
      <c r="M54" s="828"/>
      <c r="N54" s="828"/>
      <c r="O54" s="828"/>
      <c r="P54" s="828"/>
      <c r="Q54" s="828"/>
      <c r="R54" s="828"/>
      <c r="S54" s="828"/>
      <c r="T54" s="828"/>
      <c r="U54" s="828"/>
      <c r="V54" s="828"/>
      <c r="W54" s="828"/>
      <c r="X54" s="828"/>
      <c r="Y54" s="828"/>
      <c r="Z54" s="828"/>
      <c r="AA54" s="828"/>
      <c r="AB54" s="828"/>
      <c r="AC54" s="828"/>
      <c r="AD54" s="828"/>
      <c r="AE54" s="828"/>
      <c r="AF54" s="828"/>
      <c r="AG54" s="828"/>
      <c r="AH54" s="828"/>
      <c r="AI54" s="828"/>
      <c r="AJ54" s="828"/>
    </row>
    <row r="55">
      <c r="A55" s="828"/>
      <c r="B55" s="828"/>
      <c r="C55" s="828"/>
      <c r="D55" s="828"/>
      <c r="E55" s="828"/>
      <c r="F55" s="828"/>
      <c r="G55" s="828"/>
      <c r="H55" s="828"/>
      <c r="I55" s="828"/>
      <c r="J55" s="828"/>
      <c r="K55" s="828"/>
      <c r="L55" s="828"/>
      <c r="M55" s="828"/>
      <c r="N55" s="828"/>
      <c r="O55" s="828"/>
      <c r="P55" s="828"/>
      <c r="Q55" s="828"/>
      <c r="R55" s="828"/>
      <c r="S55" s="828"/>
      <c r="T55" s="828"/>
      <c r="U55" s="828"/>
      <c r="V55" s="828"/>
      <c r="W55" s="828"/>
      <c r="X55" s="828"/>
      <c r="Y55" s="828"/>
      <c r="Z55" s="828"/>
      <c r="AA55" s="828"/>
      <c r="AB55" s="828"/>
      <c r="AC55" s="828"/>
      <c r="AD55" s="828"/>
      <c r="AE55" s="828"/>
      <c r="AF55" s="828"/>
      <c r="AG55" s="828"/>
      <c r="AH55" s="828"/>
      <c r="AI55" s="828"/>
      <c r="AJ55" s="828"/>
    </row>
    <row r="56">
      <c r="A56" s="828"/>
      <c r="B56" s="828"/>
      <c r="C56" s="828"/>
      <c r="D56" s="828"/>
      <c r="E56" s="828"/>
      <c r="F56" s="828"/>
      <c r="G56" s="828"/>
      <c r="H56" s="828"/>
      <c r="I56" s="828"/>
      <c r="J56" s="828"/>
      <c r="K56" s="828"/>
      <c r="L56" s="828"/>
      <c r="M56" s="828"/>
      <c r="N56" s="828"/>
      <c r="O56" s="828"/>
      <c r="P56" s="828"/>
      <c r="Q56" s="828"/>
      <c r="R56" s="828"/>
      <c r="S56" s="828"/>
      <c r="T56" s="828"/>
      <c r="U56" s="828"/>
      <c r="V56" s="828"/>
      <c r="W56" s="828"/>
      <c r="X56" s="828"/>
      <c r="Y56" s="828"/>
      <c r="Z56" s="828"/>
      <c r="AA56" s="828"/>
      <c r="AB56" s="828"/>
      <c r="AC56" s="828"/>
      <c r="AD56" s="828"/>
      <c r="AE56" s="828"/>
      <c r="AF56" s="828"/>
      <c r="AG56" s="828"/>
      <c r="AH56" s="828"/>
      <c r="AI56" s="828"/>
      <c r="AJ56" s="828"/>
    </row>
    <row r="57">
      <c r="A57" s="828"/>
      <c r="B57" s="828"/>
      <c r="C57" s="828"/>
      <c r="D57" s="828"/>
      <c r="E57" s="828"/>
      <c r="F57" s="828"/>
      <c r="G57" s="828"/>
      <c r="H57" s="828"/>
      <c r="I57" s="828"/>
      <c r="J57" s="828"/>
      <c r="K57" s="828"/>
      <c r="L57" s="828"/>
      <c r="M57" s="828"/>
      <c r="N57" s="828"/>
      <c r="O57" s="828"/>
      <c r="P57" s="828"/>
      <c r="Q57" s="828"/>
      <c r="R57" s="828"/>
      <c r="S57" s="828"/>
      <c r="T57" s="828"/>
      <c r="U57" s="828"/>
      <c r="V57" s="828"/>
      <c r="W57" s="828"/>
      <c r="X57" s="828"/>
      <c r="Y57" s="828"/>
      <c r="Z57" s="828"/>
      <c r="AA57" s="828"/>
      <c r="AB57" s="828"/>
      <c r="AC57" s="828"/>
      <c r="AD57" s="828"/>
      <c r="AE57" s="828"/>
      <c r="AF57" s="828"/>
      <c r="AG57" s="828"/>
      <c r="AH57" s="828"/>
      <c r="AI57" s="828"/>
      <c r="AJ57" s="828"/>
    </row>
    <row r="58">
      <c r="A58" s="828"/>
      <c r="B58" s="828"/>
      <c r="C58" s="828"/>
      <c r="D58" s="828"/>
      <c r="E58" s="828"/>
      <c r="F58" s="828"/>
      <c r="G58" s="828"/>
      <c r="H58" s="828"/>
      <c r="I58" s="828"/>
      <c r="J58" s="828"/>
      <c r="K58" s="828"/>
      <c r="L58" s="828"/>
      <c r="M58" s="828"/>
      <c r="N58" s="828"/>
      <c r="O58" s="828"/>
      <c r="P58" s="828"/>
      <c r="Q58" s="828"/>
      <c r="R58" s="828"/>
      <c r="S58" s="828"/>
      <c r="T58" s="828"/>
      <c r="U58" s="828"/>
      <c r="V58" s="828"/>
      <c r="W58" s="828"/>
      <c r="X58" s="828"/>
      <c r="Y58" s="828"/>
      <c r="Z58" s="828"/>
      <c r="AA58" s="828"/>
      <c r="AB58" s="828"/>
      <c r="AC58" s="828"/>
      <c r="AD58" s="828"/>
      <c r="AE58" s="828"/>
      <c r="AF58" s="828"/>
      <c r="AG58" s="828"/>
      <c r="AH58" s="828"/>
      <c r="AI58" s="828"/>
      <c r="AJ58" s="828"/>
    </row>
    <row r="59">
      <c r="A59" s="828"/>
      <c r="B59" s="828"/>
      <c r="C59" s="828"/>
      <c r="D59" s="828"/>
      <c r="E59" s="828"/>
      <c r="F59" s="828"/>
      <c r="G59" s="828"/>
      <c r="H59" s="828"/>
      <c r="I59" s="828"/>
      <c r="J59" s="828"/>
      <c r="K59" s="828"/>
      <c r="L59" s="828"/>
      <c r="M59" s="828"/>
      <c r="N59" s="828"/>
      <c r="O59" s="828"/>
      <c r="P59" s="828"/>
      <c r="Q59" s="828"/>
      <c r="R59" s="828"/>
      <c r="S59" s="828"/>
      <c r="T59" s="828"/>
      <c r="U59" s="828"/>
      <c r="V59" s="828"/>
      <c r="W59" s="828"/>
      <c r="X59" s="828"/>
      <c r="Y59" s="828"/>
      <c r="Z59" s="828"/>
      <c r="AA59" s="828"/>
      <c r="AB59" s="828"/>
      <c r="AC59" s="828"/>
      <c r="AD59" s="828"/>
      <c r="AE59" s="828"/>
      <c r="AF59" s="828"/>
      <c r="AG59" s="828"/>
      <c r="AH59" s="828"/>
      <c r="AI59" s="828"/>
      <c r="AJ59" s="828"/>
    </row>
    <row r="60">
      <c r="A60" s="828"/>
      <c r="B60" s="828"/>
      <c r="C60" s="828"/>
      <c r="D60" s="828"/>
      <c r="E60" s="828"/>
      <c r="F60" s="828"/>
      <c r="G60" s="828"/>
      <c r="H60" s="828"/>
      <c r="I60" s="828"/>
      <c r="J60" s="828"/>
      <c r="K60" s="828"/>
      <c r="L60" s="828"/>
      <c r="M60" s="828"/>
      <c r="N60" s="828"/>
      <c r="O60" s="828"/>
      <c r="P60" s="828"/>
      <c r="Q60" s="828"/>
      <c r="R60" s="828"/>
      <c r="S60" s="828"/>
      <c r="T60" s="828"/>
      <c r="U60" s="828"/>
      <c r="V60" s="828"/>
      <c r="W60" s="828"/>
      <c r="X60" s="828"/>
      <c r="Y60" s="828"/>
      <c r="Z60" s="828"/>
      <c r="AA60" s="828"/>
      <c r="AB60" s="828"/>
      <c r="AC60" s="828"/>
      <c r="AD60" s="828"/>
      <c r="AE60" s="828"/>
      <c r="AF60" s="828"/>
      <c r="AG60" s="828"/>
      <c r="AH60" s="828"/>
      <c r="AI60" s="828"/>
      <c r="AJ60" s="828"/>
    </row>
    <row r="61">
      <c r="A61" s="828"/>
      <c r="B61" s="828"/>
      <c r="C61" s="828"/>
      <c r="D61" s="828"/>
      <c r="E61" s="828"/>
      <c r="F61" s="828"/>
      <c r="G61" s="828"/>
      <c r="H61" s="828"/>
      <c r="I61" s="828"/>
      <c r="J61" s="828"/>
      <c r="K61" s="828"/>
      <c r="L61" s="828"/>
      <c r="M61" s="828"/>
      <c r="N61" s="828"/>
      <c r="O61" s="828"/>
      <c r="P61" s="828"/>
      <c r="Q61" s="828"/>
      <c r="R61" s="828"/>
      <c r="S61" s="828"/>
      <c r="T61" s="828"/>
      <c r="U61" s="828"/>
      <c r="V61" s="828"/>
      <c r="W61" s="828"/>
      <c r="X61" s="828"/>
      <c r="Y61" s="828"/>
      <c r="Z61" s="828"/>
      <c r="AA61" s="828"/>
      <c r="AB61" s="828"/>
      <c r="AC61" s="828"/>
      <c r="AD61" s="828"/>
      <c r="AE61" s="828"/>
      <c r="AF61" s="828"/>
      <c r="AG61" s="828"/>
      <c r="AH61" s="828"/>
      <c r="AI61" s="828"/>
      <c r="AJ61" s="828"/>
    </row>
    <row r="62">
      <c r="A62" s="828"/>
      <c r="B62" s="828"/>
      <c r="C62" s="828"/>
      <c r="D62" s="828"/>
      <c r="E62" s="828"/>
      <c r="F62" s="828"/>
      <c r="G62" s="828"/>
      <c r="H62" s="828"/>
      <c r="I62" s="828"/>
      <c r="J62" s="828"/>
      <c r="K62" s="828"/>
      <c r="L62" s="828"/>
      <c r="M62" s="828"/>
      <c r="N62" s="828"/>
      <c r="O62" s="828"/>
      <c r="P62" s="828"/>
      <c r="Q62" s="828"/>
      <c r="R62" s="828"/>
      <c r="S62" s="828"/>
      <c r="T62" s="828"/>
      <c r="U62" s="828"/>
      <c r="V62" s="828"/>
      <c r="W62" s="828"/>
      <c r="X62" s="828"/>
      <c r="Y62" s="828"/>
      <c r="Z62" s="828"/>
      <c r="AA62" s="828"/>
      <c r="AB62" s="828"/>
      <c r="AC62" s="828"/>
      <c r="AD62" s="828"/>
      <c r="AE62" s="828"/>
      <c r="AF62" s="828"/>
      <c r="AG62" s="828"/>
      <c r="AH62" s="828"/>
      <c r="AI62" s="828"/>
      <c r="AJ62" s="828"/>
    </row>
    <row r="63">
      <c r="A63" s="828"/>
      <c r="B63" s="828"/>
      <c r="C63" s="828"/>
      <c r="D63" s="828"/>
      <c r="E63" s="828"/>
      <c r="F63" s="828"/>
      <c r="G63" s="828"/>
      <c r="H63" s="828"/>
      <c r="I63" s="828"/>
      <c r="J63" s="828"/>
      <c r="K63" s="828"/>
      <c r="L63" s="828"/>
      <c r="M63" s="828"/>
      <c r="N63" s="828"/>
      <c r="O63" s="828"/>
      <c r="P63" s="828"/>
      <c r="Q63" s="828"/>
      <c r="R63" s="828"/>
      <c r="S63" s="828"/>
      <c r="T63" s="828"/>
      <c r="U63" s="828"/>
      <c r="V63" s="828"/>
      <c r="W63" s="828"/>
      <c r="X63" s="828"/>
      <c r="Y63" s="828"/>
      <c r="Z63" s="828"/>
      <c r="AA63" s="828"/>
      <c r="AB63" s="828"/>
      <c r="AC63" s="828"/>
      <c r="AD63" s="828"/>
      <c r="AE63" s="828"/>
      <c r="AF63" s="828"/>
      <c r="AG63" s="828"/>
      <c r="AH63" s="828"/>
      <c r="AI63" s="828"/>
      <c r="AJ63" s="828"/>
    </row>
    <row r="64">
      <c r="A64" s="828"/>
      <c r="B64" s="828"/>
      <c r="C64" s="828"/>
      <c r="D64" s="828"/>
      <c r="E64" s="828"/>
      <c r="F64" s="828"/>
      <c r="G64" s="828"/>
      <c r="H64" s="828"/>
      <c r="I64" s="828"/>
      <c r="J64" s="828"/>
      <c r="K64" s="828"/>
      <c r="L64" s="828"/>
      <c r="M64" s="828"/>
      <c r="N64" s="828"/>
      <c r="O64" s="828"/>
      <c r="P64" s="828"/>
      <c r="Q64" s="828"/>
      <c r="R64" s="828"/>
      <c r="S64" s="828"/>
      <c r="T64" s="828"/>
      <c r="U64" s="828"/>
      <c r="V64" s="828"/>
      <c r="W64" s="828"/>
      <c r="X64" s="828"/>
      <c r="Y64" s="828"/>
      <c r="Z64" s="828"/>
      <c r="AA64" s="828"/>
      <c r="AB64" s="828"/>
      <c r="AC64" s="828"/>
      <c r="AD64" s="828"/>
      <c r="AE64" s="828"/>
      <c r="AF64" s="828"/>
      <c r="AG64" s="828"/>
      <c r="AH64" s="828"/>
      <c r="AI64" s="828"/>
      <c r="AJ64" s="828"/>
    </row>
    <row r="65">
      <c r="A65" s="828"/>
      <c r="B65" s="828"/>
      <c r="C65" s="828"/>
      <c r="D65" s="828"/>
      <c r="E65" s="828"/>
      <c r="F65" s="828"/>
      <c r="G65" s="828"/>
      <c r="H65" s="828"/>
      <c r="I65" s="828"/>
      <c r="J65" s="828"/>
      <c r="K65" s="828"/>
      <c r="L65" s="828"/>
      <c r="M65" s="828"/>
      <c r="N65" s="828"/>
      <c r="O65" s="828"/>
      <c r="P65" s="828"/>
      <c r="Q65" s="828"/>
      <c r="R65" s="828"/>
      <c r="S65" s="828"/>
      <c r="T65" s="828"/>
      <c r="U65" s="828"/>
      <c r="V65" s="828"/>
      <c r="W65" s="828"/>
      <c r="X65" s="828"/>
      <c r="Y65" s="828"/>
      <c r="Z65" s="828"/>
      <c r="AA65" s="828"/>
      <c r="AB65" s="828"/>
      <c r="AC65" s="828"/>
      <c r="AD65" s="828"/>
      <c r="AE65" s="828"/>
      <c r="AF65" s="828"/>
      <c r="AG65" s="828"/>
      <c r="AH65" s="828"/>
      <c r="AI65" s="828"/>
      <c r="AJ65" s="828"/>
    </row>
    <row r="66">
      <c r="A66" s="828"/>
      <c r="B66" s="828"/>
      <c r="C66" s="828"/>
      <c r="D66" s="828"/>
      <c r="E66" s="828"/>
      <c r="F66" s="828"/>
      <c r="G66" s="828"/>
      <c r="H66" s="828"/>
      <c r="I66" s="828"/>
      <c r="J66" s="828"/>
      <c r="K66" s="828"/>
      <c r="L66" s="828"/>
      <c r="M66" s="828"/>
      <c r="N66" s="828"/>
      <c r="O66" s="828"/>
      <c r="P66" s="828"/>
      <c r="Q66" s="828"/>
      <c r="R66" s="828"/>
      <c r="S66" s="828"/>
      <c r="T66" s="828"/>
      <c r="U66" s="828"/>
      <c r="V66" s="828"/>
      <c r="W66" s="828"/>
      <c r="X66" s="828"/>
      <c r="Y66" s="828"/>
      <c r="Z66" s="828"/>
      <c r="AA66" s="828"/>
      <c r="AB66" s="828"/>
      <c r="AC66" s="828"/>
      <c r="AD66" s="828"/>
      <c r="AE66" s="828"/>
      <c r="AF66" s="828"/>
      <c r="AG66" s="828"/>
      <c r="AH66" s="828"/>
      <c r="AI66" s="828"/>
      <c r="AJ66" s="828"/>
    </row>
    <row r="67">
      <c r="A67" s="828"/>
      <c r="B67" s="828"/>
      <c r="C67" s="828"/>
      <c r="D67" s="828"/>
      <c r="E67" s="828"/>
      <c r="F67" s="828"/>
      <c r="G67" s="828"/>
      <c r="H67" s="828"/>
      <c r="I67" s="828"/>
      <c r="J67" s="828"/>
      <c r="K67" s="828"/>
      <c r="L67" s="828"/>
      <c r="M67" s="828"/>
      <c r="N67" s="828"/>
      <c r="O67" s="828"/>
      <c r="P67" s="828"/>
      <c r="Q67" s="828"/>
      <c r="R67" s="828"/>
      <c r="S67" s="828"/>
      <c r="T67" s="828"/>
      <c r="U67" s="828"/>
      <c r="V67" s="828"/>
      <c r="W67" s="828"/>
      <c r="X67" s="828"/>
      <c r="Y67" s="828"/>
      <c r="Z67" s="828"/>
      <c r="AA67" s="828"/>
      <c r="AB67" s="828"/>
      <c r="AC67" s="828"/>
      <c r="AD67" s="828"/>
      <c r="AE67" s="828"/>
      <c r="AF67" s="828"/>
      <c r="AG67" s="828"/>
      <c r="AH67" s="828"/>
      <c r="AI67" s="828"/>
      <c r="AJ67" s="828"/>
    </row>
    <row r="68">
      <c r="A68" s="828"/>
      <c r="B68" s="828"/>
      <c r="C68" s="828"/>
      <c r="D68" s="828"/>
      <c r="E68" s="828"/>
      <c r="F68" s="828"/>
      <c r="G68" s="828"/>
      <c r="H68" s="828"/>
      <c r="I68" s="828"/>
      <c r="J68" s="828"/>
      <c r="K68" s="828"/>
      <c r="L68" s="828"/>
      <c r="M68" s="828"/>
      <c r="N68" s="828"/>
      <c r="O68" s="828"/>
      <c r="P68" s="828"/>
      <c r="Q68" s="828"/>
      <c r="R68" s="828"/>
      <c r="S68" s="828"/>
      <c r="T68" s="828"/>
      <c r="U68" s="828"/>
      <c r="V68" s="828"/>
      <c r="W68" s="828"/>
      <c r="X68" s="828"/>
      <c r="Y68" s="828"/>
      <c r="Z68" s="828"/>
      <c r="AA68" s="828"/>
      <c r="AB68" s="828"/>
      <c r="AC68" s="828"/>
      <c r="AD68" s="828"/>
      <c r="AE68" s="828"/>
      <c r="AF68" s="828"/>
      <c r="AG68" s="828"/>
      <c r="AH68" s="828"/>
      <c r="AI68" s="828"/>
      <c r="AJ68" s="828"/>
    </row>
    <row r="69">
      <c r="A69" s="828"/>
      <c r="B69" s="828"/>
      <c r="C69" s="828"/>
      <c r="D69" s="828"/>
      <c r="E69" s="828"/>
      <c r="F69" s="828"/>
      <c r="G69" s="828"/>
      <c r="H69" s="828"/>
      <c r="I69" s="828"/>
      <c r="J69" s="828"/>
      <c r="K69" s="828"/>
      <c r="L69" s="828"/>
      <c r="M69" s="828"/>
      <c r="N69" s="828"/>
      <c r="O69" s="828"/>
      <c r="P69" s="828"/>
      <c r="Q69" s="828"/>
      <c r="R69" s="828"/>
      <c r="S69" s="828"/>
      <c r="T69" s="828"/>
      <c r="U69" s="828"/>
      <c r="V69" s="828"/>
      <c r="W69" s="828"/>
      <c r="X69" s="828"/>
      <c r="Y69" s="828"/>
      <c r="Z69" s="828"/>
      <c r="AA69" s="828"/>
      <c r="AB69" s="828"/>
      <c r="AC69" s="828"/>
      <c r="AD69" s="828"/>
      <c r="AE69" s="828"/>
      <c r="AF69" s="828"/>
      <c r="AG69" s="828"/>
      <c r="AH69" s="828"/>
      <c r="AI69" s="828"/>
      <c r="AJ69" s="828"/>
    </row>
    <row r="70">
      <c r="A70" s="828"/>
      <c r="B70" s="828"/>
      <c r="C70" s="828"/>
      <c r="D70" s="828"/>
      <c r="E70" s="828"/>
      <c r="F70" s="828"/>
      <c r="G70" s="828"/>
      <c r="H70" s="828"/>
      <c r="I70" s="828"/>
      <c r="J70" s="828"/>
      <c r="K70" s="828"/>
      <c r="L70" s="828"/>
      <c r="M70" s="828"/>
      <c r="N70" s="828"/>
      <c r="O70" s="828"/>
      <c r="P70" s="828"/>
      <c r="Q70" s="828"/>
      <c r="R70" s="828"/>
      <c r="S70" s="828"/>
      <c r="T70" s="828"/>
      <c r="U70" s="828"/>
      <c r="V70" s="828"/>
      <c r="W70" s="828"/>
      <c r="X70" s="828"/>
      <c r="Y70" s="828"/>
      <c r="Z70" s="828"/>
      <c r="AA70" s="828"/>
      <c r="AB70" s="828"/>
      <c r="AC70" s="828"/>
      <c r="AD70" s="828"/>
      <c r="AE70" s="828"/>
      <c r="AF70" s="828"/>
      <c r="AG70" s="828"/>
      <c r="AH70" s="828"/>
      <c r="AI70" s="828"/>
      <c r="AJ70" s="828"/>
    </row>
    <row r="71">
      <c r="A71" s="828"/>
      <c r="B71" s="828"/>
      <c r="C71" s="828"/>
      <c r="D71" s="828"/>
      <c r="E71" s="828"/>
      <c r="F71" s="828"/>
      <c r="G71" s="828"/>
      <c r="H71" s="828"/>
      <c r="I71" s="828"/>
      <c r="J71" s="828"/>
      <c r="K71" s="828"/>
      <c r="L71" s="828"/>
      <c r="M71" s="828"/>
      <c r="N71" s="828"/>
      <c r="O71" s="828"/>
      <c r="P71" s="828"/>
      <c r="Q71" s="828"/>
      <c r="R71" s="828"/>
      <c r="S71" s="828"/>
      <c r="T71" s="828"/>
      <c r="U71" s="828"/>
      <c r="V71" s="828"/>
      <c r="W71" s="828"/>
      <c r="X71" s="828"/>
      <c r="Y71" s="828"/>
      <c r="Z71" s="828"/>
      <c r="AA71" s="828"/>
      <c r="AB71" s="828"/>
      <c r="AC71" s="828"/>
      <c r="AD71" s="828"/>
      <c r="AE71" s="828"/>
      <c r="AF71" s="828"/>
      <c r="AG71" s="828"/>
      <c r="AH71" s="828"/>
      <c r="AI71" s="828"/>
      <c r="AJ71" s="828"/>
    </row>
    <row r="72">
      <c r="A72" s="828"/>
      <c r="B72" s="828"/>
      <c r="C72" s="828"/>
      <c r="D72" s="828"/>
      <c r="E72" s="828"/>
      <c r="F72" s="828"/>
      <c r="G72" s="828"/>
      <c r="H72" s="828"/>
      <c r="I72" s="828"/>
      <c r="J72" s="828"/>
      <c r="K72" s="828"/>
      <c r="L72" s="828"/>
      <c r="M72" s="828"/>
      <c r="N72" s="828"/>
      <c r="O72" s="828"/>
      <c r="P72" s="828"/>
      <c r="Q72" s="828"/>
      <c r="R72" s="828"/>
      <c r="S72" s="828"/>
      <c r="T72" s="828"/>
      <c r="U72" s="828"/>
      <c r="V72" s="828"/>
      <c r="W72" s="828"/>
      <c r="X72" s="828"/>
      <c r="Y72" s="828"/>
      <c r="Z72" s="828"/>
      <c r="AA72" s="828"/>
      <c r="AB72" s="828"/>
      <c r="AC72" s="828"/>
      <c r="AD72" s="828"/>
      <c r="AE72" s="828"/>
      <c r="AF72" s="828"/>
      <c r="AG72" s="828"/>
      <c r="AH72" s="828"/>
      <c r="AI72" s="828"/>
      <c r="AJ72" s="828"/>
    </row>
    <row r="73">
      <c r="A73" s="828"/>
      <c r="B73" s="828"/>
      <c r="C73" s="828"/>
      <c r="D73" s="828"/>
      <c r="E73" s="828"/>
      <c r="F73" s="828"/>
      <c r="G73" s="828"/>
      <c r="H73" s="828"/>
      <c r="I73" s="828"/>
      <c r="J73" s="828"/>
      <c r="K73" s="828"/>
      <c r="L73" s="828"/>
      <c r="M73" s="828"/>
      <c r="N73" s="828"/>
      <c r="O73" s="828"/>
      <c r="P73" s="828"/>
      <c r="Q73" s="828"/>
      <c r="R73" s="828"/>
      <c r="S73" s="828"/>
      <c r="T73" s="828"/>
      <c r="U73" s="828"/>
      <c r="V73" s="828"/>
      <c r="W73" s="828"/>
      <c r="X73" s="828"/>
      <c r="Y73" s="828"/>
      <c r="Z73" s="828"/>
      <c r="AA73" s="828"/>
      <c r="AB73" s="828"/>
      <c r="AC73" s="828"/>
      <c r="AD73" s="828"/>
      <c r="AE73" s="828"/>
      <c r="AF73" s="828"/>
      <c r="AG73" s="828"/>
      <c r="AH73" s="828"/>
      <c r="AI73" s="828"/>
      <c r="AJ73" s="828"/>
    </row>
    <row r="74">
      <c r="A74" s="828"/>
      <c r="B74" s="828"/>
      <c r="C74" s="828"/>
      <c r="D74" s="828"/>
      <c r="E74" s="828"/>
      <c r="F74" s="828"/>
      <c r="G74" s="828"/>
      <c r="H74" s="828"/>
      <c r="I74" s="828"/>
      <c r="J74" s="828"/>
      <c r="K74" s="828"/>
      <c r="L74" s="828"/>
      <c r="M74" s="828"/>
      <c r="N74" s="828"/>
      <c r="O74" s="828"/>
      <c r="P74" s="828"/>
      <c r="Q74" s="828"/>
      <c r="R74" s="828"/>
      <c r="S74" s="828"/>
      <c r="T74" s="828"/>
      <c r="U74" s="828"/>
      <c r="V74" s="828"/>
      <c r="W74" s="828"/>
      <c r="X74" s="828"/>
      <c r="Y74" s="828"/>
      <c r="Z74" s="828"/>
      <c r="AA74" s="828"/>
      <c r="AB74" s="828"/>
      <c r="AC74" s="828"/>
      <c r="AD74" s="828"/>
      <c r="AE74" s="828"/>
      <c r="AF74" s="828"/>
      <c r="AG74" s="828"/>
      <c r="AH74" s="828"/>
      <c r="AI74" s="828"/>
      <c r="AJ74" s="828"/>
    </row>
    <row r="75">
      <c r="A75" s="828"/>
      <c r="B75" s="828"/>
      <c r="C75" s="828"/>
      <c r="D75" s="828"/>
      <c r="E75" s="828"/>
      <c r="F75" s="828"/>
      <c r="G75" s="828"/>
      <c r="H75" s="828"/>
      <c r="I75" s="828"/>
      <c r="J75" s="828"/>
      <c r="K75" s="828"/>
      <c r="L75" s="828"/>
      <c r="M75" s="828"/>
      <c r="N75" s="828"/>
      <c r="O75" s="828"/>
      <c r="P75" s="828"/>
      <c r="Q75" s="828"/>
      <c r="R75" s="828"/>
      <c r="S75" s="828"/>
      <c r="T75" s="828"/>
      <c r="U75" s="828"/>
      <c r="V75" s="828"/>
      <c r="W75" s="828"/>
      <c r="X75" s="828"/>
      <c r="Y75" s="828"/>
      <c r="Z75" s="828"/>
      <c r="AA75" s="828"/>
      <c r="AB75" s="828"/>
      <c r="AC75" s="828"/>
      <c r="AD75" s="828"/>
      <c r="AE75" s="828"/>
      <c r="AF75" s="828"/>
      <c r="AG75" s="828"/>
      <c r="AH75" s="828"/>
      <c r="AI75" s="828"/>
      <c r="AJ75" s="828"/>
    </row>
    <row r="76">
      <c r="A76" s="828"/>
      <c r="B76" s="828"/>
      <c r="C76" s="828"/>
      <c r="D76" s="828"/>
      <c r="E76" s="828"/>
      <c r="F76" s="828"/>
      <c r="G76" s="828"/>
      <c r="H76" s="828"/>
      <c r="I76" s="828"/>
      <c r="J76" s="828"/>
      <c r="K76" s="828"/>
      <c r="L76" s="828"/>
      <c r="M76" s="828"/>
      <c r="N76" s="828"/>
      <c r="O76" s="828"/>
      <c r="P76" s="828"/>
      <c r="Q76" s="828"/>
      <c r="R76" s="828"/>
      <c r="S76" s="828"/>
      <c r="T76" s="828"/>
      <c r="U76" s="828"/>
      <c r="V76" s="828"/>
      <c r="W76" s="828"/>
      <c r="X76" s="828"/>
      <c r="Y76" s="828"/>
      <c r="Z76" s="828"/>
      <c r="AA76" s="828"/>
      <c r="AB76" s="828"/>
      <c r="AC76" s="828"/>
      <c r="AD76" s="828"/>
      <c r="AE76" s="828"/>
      <c r="AF76" s="828"/>
      <c r="AG76" s="828"/>
      <c r="AH76" s="828"/>
      <c r="AI76" s="828"/>
      <c r="AJ76" s="828"/>
    </row>
    <row r="77">
      <c r="A77" s="828"/>
      <c r="B77" s="828"/>
      <c r="C77" s="828"/>
      <c r="D77" s="828"/>
      <c r="E77" s="828"/>
      <c r="F77" s="828"/>
      <c r="G77" s="828"/>
      <c r="H77" s="828"/>
      <c r="I77" s="828"/>
      <c r="J77" s="828"/>
      <c r="K77" s="828"/>
      <c r="L77" s="828"/>
      <c r="M77" s="828"/>
      <c r="N77" s="828"/>
      <c r="O77" s="828"/>
      <c r="P77" s="828"/>
      <c r="Q77" s="828"/>
      <c r="R77" s="828"/>
      <c r="S77" s="828"/>
      <c r="T77" s="828"/>
      <c r="U77" s="828"/>
      <c r="V77" s="828"/>
      <c r="W77" s="828"/>
      <c r="X77" s="828"/>
      <c r="Y77" s="828"/>
      <c r="Z77" s="828"/>
      <c r="AA77" s="828"/>
      <c r="AB77" s="828"/>
      <c r="AC77" s="828"/>
      <c r="AD77" s="828"/>
      <c r="AE77" s="828"/>
      <c r="AF77" s="828"/>
      <c r="AG77" s="828"/>
      <c r="AH77" s="828"/>
      <c r="AI77" s="828"/>
      <c r="AJ77" s="828"/>
    </row>
    <row r="78">
      <c r="A78" s="828"/>
      <c r="B78" s="828"/>
      <c r="C78" s="828"/>
      <c r="D78" s="828"/>
      <c r="E78" s="828"/>
      <c r="F78" s="828"/>
      <c r="G78" s="828"/>
      <c r="H78" s="828"/>
      <c r="I78" s="828"/>
      <c r="J78" s="828"/>
      <c r="K78" s="828"/>
      <c r="L78" s="828"/>
      <c r="M78" s="828"/>
      <c r="N78" s="828"/>
      <c r="O78" s="828"/>
      <c r="P78" s="828"/>
      <c r="Q78" s="828"/>
      <c r="R78" s="828"/>
      <c r="S78" s="828"/>
      <c r="T78" s="828"/>
      <c r="U78" s="828"/>
      <c r="V78" s="828"/>
      <c r="W78" s="828"/>
      <c r="X78" s="828"/>
      <c r="Y78" s="828"/>
      <c r="Z78" s="828"/>
      <c r="AA78" s="828"/>
      <c r="AB78" s="828"/>
      <c r="AC78" s="828"/>
      <c r="AD78" s="828"/>
      <c r="AE78" s="828"/>
      <c r="AF78" s="828"/>
      <c r="AG78" s="828"/>
      <c r="AH78" s="828"/>
      <c r="AI78" s="828"/>
      <c r="AJ78" s="828"/>
    </row>
    <row r="79">
      <c r="A79" s="828"/>
      <c r="B79" s="828"/>
      <c r="C79" s="828"/>
      <c r="D79" s="828"/>
      <c r="E79" s="828"/>
      <c r="F79" s="828"/>
      <c r="G79" s="828"/>
      <c r="H79" s="828"/>
      <c r="I79" s="828"/>
      <c r="J79" s="828"/>
      <c r="K79" s="828"/>
      <c r="L79" s="828"/>
      <c r="M79" s="828"/>
      <c r="N79" s="828"/>
      <c r="O79" s="828"/>
      <c r="P79" s="828"/>
      <c r="Q79" s="828"/>
      <c r="R79" s="828"/>
      <c r="S79" s="828"/>
      <c r="T79" s="828"/>
      <c r="U79" s="828"/>
      <c r="V79" s="828"/>
      <c r="W79" s="828"/>
      <c r="X79" s="828"/>
      <c r="Y79" s="828"/>
      <c r="Z79" s="828"/>
      <c r="AA79" s="828"/>
      <c r="AB79" s="828"/>
      <c r="AC79" s="828"/>
      <c r="AD79" s="828"/>
      <c r="AE79" s="828"/>
      <c r="AF79" s="828"/>
      <c r="AG79" s="828"/>
      <c r="AH79" s="828"/>
      <c r="AI79" s="828"/>
      <c r="AJ79" s="828"/>
    </row>
    <row r="80">
      <c r="A80" s="828"/>
      <c r="B80" s="828"/>
      <c r="C80" s="828"/>
      <c r="D80" s="828"/>
      <c r="E80" s="828"/>
      <c r="F80" s="828"/>
      <c r="G80" s="828"/>
      <c r="H80" s="828"/>
      <c r="I80" s="828"/>
      <c r="J80" s="828"/>
      <c r="K80" s="828"/>
      <c r="L80" s="828"/>
      <c r="M80" s="828"/>
      <c r="N80" s="828"/>
      <c r="O80" s="828"/>
      <c r="P80" s="828"/>
      <c r="Q80" s="828"/>
      <c r="R80" s="828"/>
      <c r="S80" s="828"/>
      <c r="T80" s="828"/>
      <c r="U80" s="828"/>
      <c r="V80" s="828"/>
      <c r="W80" s="828"/>
      <c r="X80" s="828"/>
      <c r="Y80" s="828"/>
      <c r="Z80" s="828"/>
      <c r="AA80" s="828"/>
      <c r="AB80" s="828"/>
      <c r="AC80" s="828"/>
      <c r="AD80" s="828"/>
      <c r="AE80" s="828"/>
      <c r="AF80" s="828"/>
      <c r="AG80" s="828"/>
      <c r="AH80" s="828"/>
      <c r="AI80" s="828"/>
      <c r="AJ80" s="828"/>
    </row>
    <row r="81">
      <c r="A81" s="828"/>
      <c r="B81" s="828"/>
      <c r="C81" s="828"/>
      <c r="D81" s="828"/>
      <c r="E81" s="828"/>
      <c r="F81" s="828"/>
      <c r="G81" s="828"/>
      <c r="H81" s="828"/>
      <c r="I81" s="828"/>
      <c r="J81" s="828"/>
      <c r="K81" s="828"/>
      <c r="L81" s="828"/>
      <c r="M81" s="828"/>
      <c r="N81" s="828"/>
      <c r="O81" s="828"/>
      <c r="P81" s="828"/>
      <c r="Q81" s="828"/>
      <c r="R81" s="828"/>
      <c r="S81" s="828"/>
      <c r="T81" s="828"/>
      <c r="U81" s="828"/>
      <c r="V81" s="828"/>
      <c r="W81" s="828"/>
      <c r="X81" s="828"/>
      <c r="Y81" s="828"/>
      <c r="Z81" s="828"/>
      <c r="AA81" s="828"/>
      <c r="AB81" s="828"/>
      <c r="AC81" s="828"/>
      <c r="AD81" s="828"/>
      <c r="AE81" s="828"/>
      <c r="AF81" s="828"/>
      <c r="AG81" s="828"/>
      <c r="AH81" s="828"/>
      <c r="AI81" s="828"/>
      <c r="AJ81" s="828"/>
    </row>
    <row r="82">
      <c r="A82" s="828"/>
      <c r="B82" s="828"/>
      <c r="C82" s="828"/>
      <c r="D82" s="828"/>
      <c r="E82" s="828"/>
      <c r="F82" s="828"/>
      <c r="G82" s="828"/>
      <c r="H82" s="828"/>
      <c r="I82" s="828"/>
      <c r="J82" s="828"/>
      <c r="K82" s="828"/>
      <c r="L82" s="828"/>
      <c r="M82" s="828"/>
      <c r="N82" s="828"/>
      <c r="O82" s="828"/>
      <c r="P82" s="828"/>
      <c r="Q82" s="828"/>
      <c r="R82" s="828"/>
      <c r="S82" s="828"/>
      <c r="T82" s="828"/>
      <c r="U82" s="828"/>
      <c r="V82" s="828"/>
      <c r="W82" s="828"/>
      <c r="X82" s="828"/>
      <c r="Y82" s="828"/>
      <c r="Z82" s="828"/>
      <c r="AA82" s="828"/>
      <c r="AB82" s="828"/>
      <c r="AC82" s="828"/>
      <c r="AD82" s="828"/>
      <c r="AE82" s="828"/>
      <c r="AF82" s="828"/>
      <c r="AG82" s="828"/>
      <c r="AH82" s="828"/>
      <c r="AI82" s="828"/>
      <c r="AJ82" s="828"/>
    </row>
    <row r="83">
      <c r="A83" s="828"/>
      <c r="B83" s="828"/>
      <c r="C83" s="828"/>
      <c r="D83" s="828"/>
      <c r="E83" s="828"/>
      <c r="F83" s="828"/>
      <c r="G83" s="828"/>
      <c r="H83" s="828"/>
      <c r="I83" s="828"/>
      <c r="J83" s="828"/>
      <c r="K83" s="828"/>
      <c r="L83" s="828"/>
      <c r="M83" s="828"/>
      <c r="N83" s="828"/>
      <c r="O83" s="828"/>
      <c r="P83" s="828"/>
      <c r="Q83" s="828"/>
      <c r="R83" s="828"/>
      <c r="S83" s="828"/>
      <c r="T83" s="828"/>
      <c r="U83" s="828"/>
      <c r="V83" s="828"/>
      <c r="W83" s="828"/>
      <c r="X83" s="828"/>
      <c r="Y83" s="828"/>
      <c r="Z83" s="828"/>
      <c r="AA83" s="828"/>
      <c r="AB83" s="828"/>
      <c r="AC83" s="828"/>
      <c r="AD83" s="828"/>
      <c r="AE83" s="828"/>
      <c r="AF83" s="828"/>
      <c r="AG83" s="828"/>
      <c r="AH83" s="828"/>
      <c r="AI83" s="828"/>
      <c r="AJ83" s="828"/>
    </row>
    <row r="84">
      <c r="A84" s="828"/>
      <c r="B84" s="828"/>
      <c r="C84" s="828"/>
      <c r="D84" s="828"/>
      <c r="E84" s="828"/>
      <c r="F84" s="828"/>
      <c r="G84" s="828"/>
      <c r="H84" s="828"/>
      <c r="I84" s="828"/>
      <c r="J84" s="828"/>
      <c r="K84" s="828"/>
      <c r="L84" s="828"/>
      <c r="M84" s="828"/>
      <c r="N84" s="828"/>
      <c r="O84" s="828"/>
      <c r="P84" s="828"/>
      <c r="Q84" s="828"/>
      <c r="R84" s="828"/>
      <c r="S84" s="828"/>
      <c r="T84" s="828"/>
      <c r="U84" s="828"/>
      <c r="V84" s="828"/>
      <c r="W84" s="828"/>
      <c r="X84" s="828"/>
      <c r="Y84" s="828"/>
      <c r="Z84" s="828"/>
      <c r="AA84" s="828"/>
      <c r="AB84" s="828"/>
      <c r="AC84" s="828"/>
      <c r="AD84" s="828"/>
      <c r="AE84" s="828"/>
      <c r="AF84" s="828"/>
      <c r="AG84" s="828"/>
      <c r="AH84" s="828"/>
      <c r="AI84" s="828"/>
      <c r="AJ84" s="828"/>
    </row>
    <row r="85">
      <c r="A85" s="828"/>
      <c r="B85" s="828"/>
      <c r="C85" s="828"/>
      <c r="D85" s="828"/>
      <c r="E85" s="828"/>
      <c r="F85" s="828"/>
      <c r="G85" s="828"/>
      <c r="H85" s="828"/>
      <c r="I85" s="828"/>
      <c r="J85" s="828"/>
      <c r="K85" s="828"/>
      <c r="L85" s="828"/>
      <c r="M85" s="828"/>
      <c r="N85" s="828"/>
      <c r="O85" s="828"/>
      <c r="P85" s="828"/>
      <c r="Q85" s="828"/>
      <c r="R85" s="828"/>
      <c r="S85" s="828"/>
      <c r="T85" s="828"/>
      <c r="U85" s="828"/>
      <c r="V85" s="828"/>
      <c r="W85" s="828"/>
      <c r="X85" s="828"/>
      <c r="Y85" s="828"/>
      <c r="Z85" s="828"/>
      <c r="AA85" s="828"/>
      <c r="AB85" s="828"/>
      <c r="AC85" s="828"/>
      <c r="AD85" s="828"/>
      <c r="AE85" s="828"/>
      <c r="AF85" s="828"/>
      <c r="AG85" s="828"/>
      <c r="AH85" s="828"/>
      <c r="AI85" s="828"/>
      <c r="AJ85" s="828"/>
    </row>
    <row r="86">
      <c r="A86" s="828"/>
      <c r="B86" s="828"/>
      <c r="C86" s="828"/>
      <c r="D86" s="828"/>
      <c r="E86" s="828"/>
      <c r="F86" s="828"/>
      <c r="G86" s="828"/>
      <c r="H86" s="828"/>
      <c r="I86" s="828"/>
      <c r="J86" s="828"/>
      <c r="K86" s="828"/>
      <c r="L86" s="828"/>
      <c r="M86" s="828"/>
      <c r="N86" s="828"/>
      <c r="O86" s="828"/>
      <c r="P86" s="828"/>
      <c r="Q86" s="828"/>
      <c r="R86" s="828"/>
      <c r="S86" s="828"/>
      <c r="T86" s="828"/>
      <c r="U86" s="828"/>
      <c r="V86" s="828"/>
      <c r="W86" s="828"/>
      <c r="X86" s="828"/>
      <c r="Y86" s="828"/>
      <c r="Z86" s="828"/>
      <c r="AA86" s="828"/>
      <c r="AB86" s="828"/>
      <c r="AC86" s="828"/>
      <c r="AD86" s="828"/>
      <c r="AE86" s="828"/>
      <c r="AF86" s="828"/>
      <c r="AG86" s="828"/>
      <c r="AH86" s="828"/>
      <c r="AI86" s="828"/>
      <c r="AJ86" s="828"/>
    </row>
    <row r="87">
      <c r="A87" s="828"/>
      <c r="B87" s="828"/>
      <c r="C87" s="828"/>
      <c r="D87" s="828"/>
      <c r="E87" s="828"/>
      <c r="F87" s="828"/>
      <c r="G87" s="828"/>
      <c r="H87" s="828"/>
      <c r="I87" s="828"/>
      <c r="J87" s="828"/>
      <c r="K87" s="828"/>
      <c r="L87" s="828"/>
      <c r="M87" s="828"/>
      <c r="N87" s="828"/>
      <c r="O87" s="828"/>
      <c r="P87" s="828"/>
      <c r="Q87" s="828"/>
      <c r="R87" s="828"/>
      <c r="S87" s="828"/>
      <c r="T87" s="828"/>
      <c r="U87" s="828"/>
      <c r="V87" s="828"/>
      <c r="W87" s="828"/>
      <c r="X87" s="828"/>
      <c r="Y87" s="828"/>
      <c r="Z87" s="828"/>
      <c r="AA87" s="828"/>
      <c r="AB87" s="828"/>
      <c r="AC87" s="828"/>
      <c r="AD87" s="828"/>
      <c r="AE87" s="828"/>
      <c r="AF87" s="828"/>
      <c r="AG87" s="828"/>
      <c r="AH87" s="828"/>
      <c r="AI87" s="828"/>
      <c r="AJ87" s="828"/>
    </row>
    <row r="88">
      <c r="A88" s="828"/>
      <c r="B88" s="828"/>
      <c r="C88" s="828"/>
      <c r="D88" s="828"/>
      <c r="E88" s="828"/>
      <c r="F88" s="828"/>
      <c r="G88" s="828"/>
      <c r="H88" s="828"/>
      <c r="I88" s="828"/>
      <c r="J88" s="828"/>
      <c r="K88" s="828"/>
      <c r="L88" s="828"/>
      <c r="M88" s="828"/>
      <c r="N88" s="828"/>
      <c r="O88" s="828"/>
      <c r="P88" s="828"/>
      <c r="Q88" s="828"/>
      <c r="R88" s="828"/>
      <c r="S88" s="828"/>
      <c r="T88" s="828"/>
      <c r="U88" s="828"/>
      <c r="V88" s="828"/>
      <c r="W88" s="828"/>
      <c r="X88" s="828"/>
      <c r="Y88" s="828"/>
      <c r="Z88" s="828"/>
      <c r="AA88" s="828"/>
      <c r="AB88" s="828"/>
      <c r="AC88" s="828"/>
      <c r="AD88" s="828"/>
      <c r="AE88" s="828"/>
      <c r="AF88" s="828"/>
      <c r="AG88" s="828"/>
      <c r="AH88" s="828"/>
      <c r="AI88" s="828"/>
      <c r="AJ88" s="828"/>
    </row>
    <row r="89">
      <c r="A89" s="828"/>
      <c r="B89" s="828"/>
      <c r="C89" s="828"/>
      <c r="D89" s="828"/>
      <c r="E89" s="828"/>
      <c r="F89" s="828"/>
      <c r="G89" s="828"/>
      <c r="H89" s="828"/>
      <c r="I89" s="828"/>
      <c r="J89" s="828"/>
      <c r="K89" s="828"/>
      <c r="L89" s="828"/>
      <c r="M89" s="828"/>
      <c r="N89" s="828"/>
      <c r="O89" s="828"/>
      <c r="P89" s="828"/>
      <c r="Q89" s="828"/>
      <c r="R89" s="828"/>
      <c r="S89" s="828"/>
      <c r="T89" s="828"/>
      <c r="U89" s="828"/>
      <c r="V89" s="828"/>
      <c r="W89" s="828"/>
      <c r="X89" s="828"/>
      <c r="Y89" s="828"/>
      <c r="Z89" s="828"/>
      <c r="AA89" s="828"/>
      <c r="AB89" s="828"/>
      <c r="AC89" s="828"/>
      <c r="AD89" s="828"/>
      <c r="AE89" s="828"/>
      <c r="AF89" s="828"/>
      <c r="AG89" s="828"/>
      <c r="AH89" s="828"/>
      <c r="AI89" s="828"/>
      <c r="AJ89" s="828"/>
    </row>
    <row r="90">
      <c r="A90" s="828"/>
      <c r="B90" s="828"/>
      <c r="C90" s="828"/>
      <c r="D90" s="828"/>
      <c r="E90" s="828"/>
      <c r="F90" s="828"/>
      <c r="G90" s="828"/>
      <c r="H90" s="828"/>
      <c r="I90" s="828"/>
      <c r="J90" s="828"/>
      <c r="K90" s="828"/>
      <c r="L90" s="828"/>
      <c r="M90" s="828"/>
      <c r="N90" s="828"/>
      <c r="O90" s="828"/>
      <c r="P90" s="828"/>
      <c r="Q90" s="828"/>
      <c r="R90" s="828"/>
      <c r="S90" s="828"/>
      <c r="T90" s="828"/>
      <c r="U90" s="828"/>
      <c r="V90" s="828"/>
      <c r="W90" s="828"/>
      <c r="X90" s="828"/>
      <c r="Y90" s="828"/>
      <c r="Z90" s="828"/>
      <c r="AA90" s="828"/>
      <c r="AB90" s="828"/>
      <c r="AC90" s="828"/>
      <c r="AD90" s="828"/>
      <c r="AE90" s="828"/>
      <c r="AF90" s="828"/>
      <c r="AG90" s="828"/>
      <c r="AH90" s="828"/>
      <c r="AI90" s="828"/>
      <c r="AJ90" s="828"/>
    </row>
    <row r="91">
      <c r="A91" s="828"/>
      <c r="B91" s="828"/>
      <c r="C91" s="828"/>
      <c r="D91" s="828"/>
      <c r="E91" s="828"/>
      <c r="F91" s="828"/>
      <c r="G91" s="828"/>
      <c r="H91" s="828"/>
      <c r="I91" s="828"/>
      <c r="J91" s="828"/>
      <c r="K91" s="828"/>
      <c r="L91" s="828"/>
      <c r="M91" s="828"/>
      <c r="N91" s="828"/>
      <c r="O91" s="828"/>
      <c r="P91" s="828"/>
      <c r="Q91" s="828"/>
      <c r="R91" s="828"/>
      <c r="S91" s="828"/>
      <c r="T91" s="828"/>
      <c r="U91" s="828"/>
      <c r="V91" s="828"/>
      <c r="W91" s="828"/>
      <c r="X91" s="828"/>
      <c r="Y91" s="828"/>
      <c r="Z91" s="828"/>
      <c r="AA91" s="828"/>
      <c r="AB91" s="828"/>
      <c r="AC91" s="828"/>
      <c r="AD91" s="828"/>
      <c r="AE91" s="828"/>
      <c r="AF91" s="828"/>
      <c r="AG91" s="828"/>
      <c r="AH91" s="828"/>
      <c r="AI91" s="828"/>
      <c r="AJ91" s="828"/>
    </row>
    <row r="92">
      <c r="A92" s="828"/>
      <c r="B92" s="828"/>
      <c r="C92" s="828"/>
      <c r="D92" s="828"/>
      <c r="E92" s="828"/>
      <c r="F92" s="828"/>
      <c r="G92" s="828"/>
      <c r="H92" s="828"/>
      <c r="I92" s="828"/>
      <c r="J92" s="828"/>
      <c r="K92" s="828"/>
      <c r="L92" s="828"/>
      <c r="M92" s="828"/>
      <c r="N92" s="828"/>
      <c r="O92" s="828"/>
      <c r="P92" s="828"/>
      <c r="Q92" s="828"/>
      <c r="R92" s="828"/>
      <c r="S92" s="828"/>
      <c r="T92" s="828"/>
      <c r="U92" s="828"/>
      <c r="V92" s="828"/>
      <c r="W92" s="828"/>
      <c r="X92" s="828"/>
      <c r="Y92" s="828"/>
      <c r="Z92" s="828"/>
      <c r="AA92" s="828"/>
      <c r="AB92" s="828"/>
      <c r="AC92" s="828"/>
      <c r="AD92" s="828"/>
      <c r="AE92" s="828"/>
      <c r="AF92" s="828"/>
      <c r="AG92" s="828"/>
      <c r="AH92" s="828"/>
      <c r="AI92" s="828"/>
      <c r="AJ92" s="828"/>
    </row>
    <row r="93">
      <c r="A93" s="828"/>
      <c r="B93" s="828"/>
      <c r="C93" s="828"/>
      <c r="D93" s="828"/>
      <c r="E93" s="828"/>
      <c r="F93" s="828"/>
      <c r="G93" s="828"/>
      <c r="H93" s="828"/>
      <c r="I93" s="828"/>
      <c r="J93" s="828"/>
      <c r="K93" s="828"/>
      <c r="L93" s="828"/>
      <c r="M93" s="828"/>
      <c r="N93" s="828"/>
      <c r="O93" s="828"/>
      <c r="P93" s="828"/>
      <c r="Q93" s="828"/>
      <c r="R93" s="828"/>
      <c r="S93" s="828"/>
      <c r="T93" s="828"/>
      <c r="U93" s="828"/>
      <c r="V93" s="828"/>
      <c r="W93" s="828"/>
      <c r="X93" s="828"/>
      <c r="Y93" s="828"/>
      <c r="Z93" s="828"/>
      <c r="AA93" s="828"/>
      <c r="AB93" s="828"/>
      <c r="AC93" s="828"/>
      <c r="AD93" s="828"/>
      <c r="AE93" s="828"/>
      <c r="AF93" s="828"/>
      <c r="AG93" s="828"/>
      <c r="AH93" s="828"/>
      <c r="AI93" s="828"/>
      <c r="AJ93" s="828"/>
    </row>
    <row r="94">
      <c r="A94" s="828"/>
      <c r="B94" s="828"/>
      <c r="C94" s="828"/>
      <c r="D94" s="828"/>
      <c r="E94" s="828"/>
      <c r="F94" s="828"/>
      <c r="G94" s="828"/>
      <c r="H94" s="828"/>
      <c r="I94" s="828"/>
      <c r="J94" s="828"/>
      <c r="K94" s="828"/>
      <c r="L94" s="828"/>
      <c r="M94" s="828"/>
      <c r="N94" s="828"/>
      <c r="O94" s="828"/>
      <c r="P94" s="828"/>
      <c r="Q94" s="828"/>
      <c r="R94" s="828"/>
      <c r="S94" s="828"/>
      <c r="T94" s="828"/>
      <c r="U94" s="828"/>
      <c r="V94" s="828"/>
      <c r="W94" s="828"/>
      <c r="X94" s="828"/>
      <c r="Y94" s="828"/>
      <c r="Z94" s="828"/>
      <c r="AA94" s="828"/>
      <c r="AB94" s="828"/>
      <c r="AC94" s="828"/>
      <c r="AD94" s="828"/>
      <c r="AE94" s="828"/>
      <c r="AF94" s="828"/>
      <c r="AG94" s="828"/>
      <c r="AH94" s="828"/>
      <c r="AI94" s="828"/>
      <c r="AJ94" s="828"/>
    </row>
    <row r="95">
      <c r="A95" s="828"/>
      <c r="B95" s="828"/>
      <c r="C95" s="828"/>
      <c r="D95" s="828"/>
      <c r="E95" s="828"/>
      <c r="F95" s="828"/>
      <c r="G95" s="828"/>
      <c r="H95" s="828"/>
      <c r="I95" s="828"/>
      <c r="J95" s="828"/>
      <c r="K95" s="828"/>
      <c r="L95" s="828"/>
      <c r="M95" s="828"/>
      <c r="N95" s="828"/>
      <c r="O95" s="828"/>
      <c r="P95" s="828"/>
      <c r="Q95" s="828"/>
      <c r="R95" s="828"/>
      <c r="S95" s="828"/>
      <c r="T95" s="828"/>
      <c r="U95" s="828"/>
      <c r="V95" s="828"/>
      <c r="W95" s="828"/>
      <c r="X95" s="828"/>
      <c r="Y95" s="828"/>
      <c r="Z95" s="828"/>
      <c r="AA95" s="828"/>
      <c r="AB95" s="828"/>
      <c r="AC95" s="828"/>
      <c r="AD95" s="828"/>
      <c r="AE95" s="828"/>
      <c r="AF95" s="828"/>
      <c r="AG95" s="828"/>
      <c r="AH95" s="828"/>
      <c r="AI95" s="828"/>
      <c r="AJ95" s="828"/>
    </row>
    <row r="96">
      <c r="A96" s="828"/>
      <c r="B96" s="828"/>
      <c r="C96" s="828"/>
      <c r="D96" s="828"/>
      <c r="E96" s="828"/>
      <c r="F96" s="828"/>
      <c r="G96" s="828"/>
      <c r="H96" s="828"/>
      <c r="I96" s="828"/>
      <c r="J96" s="828"/>
      <c r="K96" s="828"/>
      <c r="L96" s="828"/>
      <c r="M96" s="828"/>
      <c r="N96" s="828"/>
      <c r="O96" s="828"/>
      <c r="P96" s="828"/>
      <c r="Q96" s="828"/>
      <c r="R96" s="828"/>
      <c r="S96" s="828"/>
      <c r="T96" s="828"/>
      <c r="U96" s="828"/>
      <c r="V96" s="828"/>
      <c r="W96" s="828"/>
      <c r="X96" s="828"/>
      <c r="Y96" s="828"/>
      <c r="Z96" s="828"/>
      <c r="AA96" s="828"/>
      <c r="AB96" s="828"/>
      <c r="AC96" s="828"/>
      <c r="AD96" s="828"/>
      <c r="AE96" s="828"/>
      <c r="AF96" s="828"/>
      <c r="AG96" s="828"/>
      <c r="AH96" s="828"/>
      <c r="AI96" s="828"/>
      <c r="AJ96" s="828"/>
    </row>
    <row r="97">
      <c r="A97" s="828"/>
      <c r="B97" s="828"/>
      <c r="C97" s="828"/>
      <c r="D97" s="828"/>
      <c r="E97" s="828"/>
      <c r="F97" s="828"/>
      <c r="G97" s="828"/>
      <c r="H97" s="828"/>
      <c r="I97" s="828"/>
      <c r="J97" s="828"/>
      <c r="K97" s="828"/>
      <c r="L97" s="828"/>
      <c r="M97" s="828"/>
      <c r="N97" s="828"/>
      <c r="O97" s="828"/>
      <c r="P97" s="828"/>
      <c r="Q97" s="828"/>
      <c r="R97" s="828"/>
      <c r="S97" s="828"/>
      <c r="T97" s="828"/>
      <c r="U97" s="828"/>
      <c r="V97" s="828"/>
      <c r="W97" s="828"/>
      <c r="X97" s="828"/>
      <c r="Y97" s="828"/>
      <c r="Z97" s="828"/>
      <c r="AA97" s="828"/>
      <c r="AB97" s="828"/>
      <c r="AC97" s="828"/>
      <c r="AD97" s="828"/>
      <c r="AE97" s="828"/>
      <c r="AF97" s="828"/>
      <c r="AG97" s="828"/>
      <c r="AH97" s="828"/>
      <c r="AI97" s="828"/>
      <c r="AJ97" s="828"/>
    </row>
    <row r="98">
      <c r="A98" s="828"/>
      <c r="B98" s="828"/>
      <c r="C98" s="828"/>
      <c r="D98" s="828"/>
      <c r="E98" s="828"/>
      <c r="F98" s="828"/>
      <c r="G98" s="828"/>
      <c r="H98" s="828"/>
      <c r="I98" s="828"/>
      <c r="J98" s="828"/>
      <c r="K98" s="828"/>
      <c r="L98" s="828"/>
      <c r="M98" s="828"/>
      <c r="N98" s="828"/>
      <c r="O98" s="828"/>
      <c r="P98" s="828"/>
      <c r="Q98" s="828"/>
      <c r="R98" s="828"/>
      <c r="S98" s="828"/>
      <c r="T98" s="828"/>
      <c r="U98" s="828"/>
      <c r="V98" s="828"/>
      <c r="W98" s="828"/>
      <c r="X98" s="828"/>
      <c r="Y98" s="828"/>
      <c r="Z98" s="828"/>
      <c r="AA98" s="828"/>
      <c r="AB98" s="828"/>
      <c r="AC98" s="828"/>
      <c r="AD98" s="828"/>
      <c r="AE98" s="828"/>
      <c r="AF98" s="828"/>
      <c r="AG98" s="828"/>
      <c r="AH98" s="828"/>
      <c r="AI98" s="828"/>
      <c r="AJ98" s="828"/>
    </row>
    <row r="99">
      <c r="A99" s="828"/>
      <c r="B99" s="828"/>
      <c r="C99" s="828"/>
      <c r="D99" s="828"/>
      <c r="E99" s="828"/>
      <c r="F99" s="828"/>
      <c r="G99" s="828"/>
      <c r="H99" s="828"/>
      <c r="I99" s="828"/>
      <c r="J99" s="828"/>
      <c r="K99" s="828"/>
      <c r="L99" s="828"/>
      <c r="M99" s="828"/>
      <c r="N99" s="828"/>
      <c r="O99" s="828"/>
      <c r="P99" s="828"/>
      <c r="Q99" s="828"/>
      <c r="R99" s="828"/>
      <c r="S99" s="828"/>
      <c r="T99" s="828"/>
      <c r="U99" s="828"/>
      <c r="V99" s="828"/>
      <c r="W99" s="828"/>
      <c r="X99" s="828"/>
      <c r="Y99" s="828"/>
      <c r="Z99" s="828"/>
      <c r="AA99" s="828"/>
      <c r="AB99" s="828"/>
      <c r="AC99" s="828"/>
      <c r="AD99" s="828"/>
      <c r="AE99" s="828"/>
      <c r="AF99" s="828"/>
      <c r="AG99" s="828"/>
      <c r="AH99" s="828"/>
      <c r="AI99" s="828"/>
      <c r="AJ99" s="828"/>
    </row>
    <row r="100">
      <c r="A100" s="828"/>
      <c r="B100" s="828"/>
      <c r="C100" s="828"/>
      <c r="D100" s="828"/>
      <c r="E100" s="828"/>
      <c r="F100" s="828"/>
      <c r="G100" s="828"/>
      <c r="H100" s="828"/>
      <c r="I100" s="828"/>
      <c r="J100" s="828"/>
      <c r="K100" s="828"/>
      <c r="L100" s="828"/>
      <c r="M100" s="828"/>
      <c r="N100" s="828"/>
      <c r="O100" s="828"/>
      <c r="P100" s="828"/>
      <c r="Q100" s="828"/>
      <c r="R100" s="828"/>
      <c r="S100" s="828"/>
      <c r="T100" s="828"/>
      <c r="U100" s="828"/>
      <c r="V100" s="828"/>
      <c r="W100" s="828"/>
      <c r="X100" s="828"/>
      <c r="Y100" s="828"/>
      <c r="Z100" s="828"/>
      <c r="AA100" s="828"/>
      <c r="AB100" s="828"/>
      <c r="AC100" s="828"/>
      <c r="AD100" s="828"/>
      <c r="AE100" s="828"/>
      <c r="AF100" s="828"/>
      <c r="AG100" s="828"/>
      <c r="AH100" s="828"/>
      <c r="AI100" s="828"/>
      <c r="AJ100" s="828"/>
    </row>
    <row r="101">
      <c r="A101" s="828"/>
      <c r="B101" s="828"/>
      <c r="C101" s="828"/>
      <c r="D101" s="828"/>
      <c r="E101" s="828"/>
      <c r="F101" s="828"/>
      <c r="G101" s="828"/>
      <c r="H101" s="828"/>
      <c r="I101" s="828"/>
      <c r="J101" s="828"/>
      <c r="K101" s="828"/>
      <c r="L101" s="828"/>
      <c r="M101" s="828"/>
      <c r="N101" s="828"/>
      <c r="O101" s="828"/>
      <c r="P101" s="828"/>
      <c r="Q101" s="828"/>
      <c r="R101" s="828"/>
      <c r="S101" s="828"/>
      <c r="T101" s="828"/>
      <c r="U101" s="828"/>
      <c r="V101" s="828"/>
      <c r="W101" s="828"/>
      <c r="X101" s="828"/>
      <c r="Y101" s="828"/>
      <c r="Z101" s="828"/>
      <c r="AA101" s="828"/>
      <c r="AB101" s="828"/>
      <c r="AC101" s="828"/>
      <c r="AD101" s="828"/>
      <c r="AE101" s="828"/>
      <c r="AF101" s="828"/>
      <c r="AG101" s="828"/>
      <c r="AH101" s="828"/>
      <c r="AI101" s="828"/>
      <c r="AJ101" s="828"/>
    </row>
    <row r="102">
      <c r="A102" s="828"/>
      <c r="B102" s="828"/>
      <c r="C102" s="828"/>
      <c r="D102" s="828"/>
      <c r="E102" s="828"/>
      <c r="F102" s="828"/>
      <c r="G102" s="828"/>
      <c r="H102" s="828"/>
      <c r="I102" s="828"/>
      <c r="J102" s="828"/>
      <c r="K102" s="828"/>
      <c r="L102" s="828"/>
      <c r="M102" s="828"/>
      <c r="N102" s="828"/>
      <c r="O102" s="828"/>
      <c r="P102" s="828"/>
      <c r="Q102" s="828"/>
      <c r="R102" s="828"/>
      <c r="S102" s="828"/>
      <c r="T102" s="828"/>
      <c r="U102" s="828"/>
      <c r="V102" s="828"/>
      <c r="W102" s="828"/>
      <c r="X102" s="828"/>
      <c r="Y102" s="828"/>
      <c r="Z102" s="828"/>
      <c r="AA102" s="828"/>
      <c r="AB102" s="828"/>
      <c r="AC102" s="828"/>
      <c r="AD102" s="828"/>
      <c r="AE102" s="828"/>
      <c r="AF102" s="828"/>
      <c r="AG102" s="828"/>
      <c r="AH102" s="828"/>
      <c r="AI102" s="828"/>
      <c r="AJ102" s="828"/>
    </row>
    <row r="103">
      <c r="A103" s="828"/>
      <c r="B103" s="828"/>
      <c r="C103" s="828"/>
      <c r="D103" s="828"/>
      <c r="E103" s="828"/>
      <c r="F103" s="828"/>
      <c r="G103" s="828"/>
      <c r="H103" s="828"/>
      <c r="I103" s="828"/>
      <c r="J103" s="828"/>
      <c r="K103" s="828"/>
      <c r="L103" s="828"/>
      <c r="M103" s="828"/>
      <c r="N103" s="828"/>
      <c r="O103" s="828"/>
      <c r="P103" s="828"/>
      <c r="Q103" s="828"/>
      <c r="R103" s="828"/>
      <c r="S103" s="828"/>
      <c r="T103" s="828"/>
      <c r="U103" s="828"/>
      <c r="V103" s="828"/>
      <c r="W103" s="828"/>
      <c r="X103" s="828"/>
      <c r="Y103" s="828"/>
      <c r="Z103" s="828"/>
      <c r="AA103" s="828"/>
      <c r="AB103" s="828"/>
      <c r="AC103" s="828"/>
      <c r="AD103" s="828"/>
      <c r="AE103" s="828"/>
      <c r="AF103" s="828"/>
      <c r="AG103" s="828"/>
      <c r="AH103" s="828"/>
      <c r="AI103" s="828"/>
      <c r="AJ103" s="828"/>
    </row>
    <row r="104">
      <c r="A104" s="828"/>
      <c r="B104" s="828"/>
      <c r="C104" s="828"/>
      <c r="D104" s="828"/>
      <c r="E104" s="828"/>
      <c r="F104" s="828"/>
      <c r="G104" s="828"/>
      <c r="H104" s="828"/>
      <c r="I104" s="828"/>
      <c r="J104" s="828"/>
      <c r="K104" s="828"/>
      <c r="L104" s="828"/>
      <c r="M104" s="828"/>
      <c r="N104" s="828"/>
      <c r="O104" s="828"/>
      <c r="P104" s="828"/>
      <c r="Q104" s="828"/>
      <c r="R104" s="828"/>
      <c r="S104" s="828"/>
      <c r="T104" s="828"/>
      <c r="U104" s="828"/>
      <c r="V104" s="828"/>
      <c r="W104" s="828"/>
      <c r="X104" s="828"/>
      <c r="Y104" s="828"/>
      <c r="Z104" s="828"/>
      <c r="AA104" s="828"/>
      <c r="AB104" s="828"/>
      <c r="AC104" s="828"/>
      <c r="AD104" s="828"/>
      <c r="AE104" s="828"/>
      <c r="AF104" s="828"/>
      <c r="AG104" s="828"/>
      <c r="AH104" s="828"/>
      <c r="AI104" s="828"/>
      <c r="AJ104" s="828"/>
    </row>
    <row r="105">
      <c r="A105" s="828"/>
      <c r="B105" s="828"/>
      <c r="C105" s="828"/>
      <c r="D105" s="828"/>
      <c r="E105" s="828"/>
      <c r="F105" s="828"/>
      <c r="G105" s="828"/>
      <c r="H105" s="828"/>
      <c r="I105" s="828"/>
      <c r="J105" s="828"/>
      <c r="K105" s="828"/>
      <c r="L105" s="828"/>
      <c r="M105" s="828"/>
      <c r="N105" s="828"/>
      <c r="O105" s="828"/>
      <c r="P105" s="828"/>
      <c r="Q105" s="828"/>
      <c r="R105" s="828"/>
      <c r="S105" s="828"/>
      <c r="T105" s="828"/>
      <c r="U105" s="828"/>
      <c r="V105" s="828"/>
      <c r="W105" s="828"/>
      <c r="X105" s="828"/>
      <c r="Y105" s="828"/>
      <c r="Z105" s="828"/>
      <c r="AA105" s="828"/>
      <c r="AB105" s="828"/>
      <c r="AC105" s="828"/>
      <c r="AD105" s="828"/>
      <c r="AE105" s="828"/>
      <c r="AF105" s="828"/>
      <c r="AG105" s="828"/>
      <c r="AH105" s="828"/>
      <c r="AI105" s="828"/>
      <c r="AJ105" s="828"/>
    </row>
    <row r="106">
      <c r="A106" s="828"/>
      <c r="B106" s="828"/>
      <c r="C106" s="828"/>
      <c r="D106" s="828"/>
      <c r="E106" s="828"/>
      <c r="F106" s="828"/>
      <c r="G106" s="828"/>
      <c r="H106" s="828"/>
      <c r="I106" s="828"/>
      <c r="J106" s="828"/>
      <c r="K106" s="828"/>
      <c r="L106" s="828"/>
      <c r="M106" s="828"/>
      <c r="N106" s="828"/>
      <c r="O106" s="828"/>
      <c r="P106" s="828"/>
      <c r="Q106" s="828"/>
      <c r="R106" s="828"/>
      <c r="S106" s="828"/>
      <c r="T106" s="828"/>
      <c r="U106" s="828"/>
      <c r="V106" s="828"/>
      <c r="W106" s="828"/>
      <c r="X106" s="828"/>
      <c r="Y106" s="828"/>
      <c r="Z106" s="828"/>
      <c r="AA106" s="828"/>
      <c r="AB106" s="828"/>
      <c r="AC106" s="828"/>
      <c r="AD106" s="828"/>
      <c r="AE106" s="828"/>
      <c r="AF106" s="828"/>
      <c r="AG106" s="828"/>
      <c r="AH106" s="828"/>
      <c r="AI106" s="828"/>
      <c r="AJ106" s="828"/>
    </row>
    <row r="107">
      <c r="A107" s="828"/>
      <c r="B107" s="828"/>
      <c r="C107" s="828"/>
      <c r="D107" s="828"/>
      <c r="E107" s="828"/>
      <c r="F107" s="828"/>
      <c r="G107" s="828"/>
      <c r="H107" s="828"/>
      <c r="I107" s="828"/>
      <c r="J107" s="828"/>
      <c r="K107" s="828"/>
      <c r="L107" s="828"/>
      <c r="M107" s="828"/>
      <c r="N107" s="828"/>
      <c r="O107" s="828"/>
      <c r="P107" s="828"/>
      <c r="Q107" s="828"/>
      <c r="R107" s="828"/>
      <c r="S107" s="828"/>
      <c r="T107" s="828"/>
      <c r="U107" s="828"/>
      <c r="V107" s="828"/>
      <c r="W107" s="828"/>
      <c r="X107" s="828"/>
      <c r="Y107" s="828"/>
      <c r="Z107" s="828"/>
      <c r="AA107" s="828"/>
      <c r="AB107" s="828"/>
      <c r="AC107" s="828"/>
      <c r="AD107" s="828"/>
      <c r="AE107" s="828"/>
      <c r="AF107" s="828"/>
      <c r="AG107" s="828"/>
      <c r="AH107" s="828"/>
      <c r="AI107" s="828"/>
      <c r="AJ107" s="828"/>
    </row>
    <row r="108">
      <c r="A108" s="828"/>
      <c r="B108" s="828"/>
      <c r="C108" s="828"/>
      <c r="D108" s="828"/>
      <c r="E108" s="828"/>
      <c r="F108" s="828"/>
      <c r="G108" s="828"/>
      <c r="H108" s="828"/>
      <c r="I108" s="828"/>
      <c r="J108" s="828"/>
      <c r="K108" s="828"/>
      <c r="L108" s="828"/>
      <c r="M108" s="828"/>
      <c r="N108" s="828"/>
      <c r="O108" s="828"/>
      <c r="P108" s="828"/>
      <c r="Q108" s="828"/>
      <c r="R108" s="828"/>
      <c r="S108" s="828"/>
      <c r="T108" s="828"/>
      <c r="U108" s="828"/>
      <c r="V108" s="828"/>
      <c r="W108" s="828"/>
      <c r="X108" s="828"/>
      <c r="Y108" s="828"/>
      <c r="Z108" s="828"/>
      <c r="AA108" s="828"/>
      <c r="AB108" s="828"/>
      <c r="AC108" s="828"/>
      <c r="AD108" s="828"/>
      <c r="AE108" s="828"/>
      <c r="AF108" s="828"/>
      <c r="AG108" s="828"/>
      <c r="AH108" s="828"/>
      <c r="AI108" s="828"/>
      <c r="AJ108" s="828"/>
    </row>
    <row r="109">
      <c r="A109" s="828"/>
      <c r="B109" s="828"/>
      <c r="C109" s="828"/>
      <c r="D109" s="828"/>
      <c r="E109" s="828"/>
      <c r="F109" s="828"/>
      <c r="G109" s="828"/>
      <c r="H109" s="828"/>
      <c r="I109" s="828"/>
      <c r="J109" s="828"/>
      <c r="K109" s="828"/>
      <c r="L109" s="828"/>
      <c r="M109" s="828"/>
      <c r="N109" s="828"/>
      <c r="O109" s="828"/>
      <c r="P109" s="828"/>
      <c r="Q109" s="828"/>
      <c r="R109" s="828"/>
      <c r="S109" s="828"/>
      <c r="T109" s="828"/>
      <c r="U109" s="828"/>
      <c r="V109" s="828"/>
      <c r="W109" s="828"/>
      <c r="X109" s="828"/>
      <c r="Y109" s="828"/>
      <c r="Z109" s="828"/>
      <c r="AA109" s="828"/>
      <c r="AB109" s="828"/>
      <c r="AC109" s="828"/>
      <c r="AD109" s="828"/>
      <c r="AE109" s="828"/>
      <c r="AF109" s="828"/>
      <c r="AG109" s="828"/>
      <c r="AH109" s="828"/>
      <c r="AI109" s="828"/>
      <c r="AJ109" s="828"/>
    </row>
    <row r="110">
      <c r="A110" s="828"/>
      <c r="B110" s="828"/>
      <c r="C110" s="828"/>
      <c r="D110" s="828"/>
      <c r="E110" s="828"/>
      <c r="F110" s="828"/>
      <c r="G110" s="828"/>
      <c r="H110" s="828"/>
      <c r="I110" s="828"/>
      <c r="J110" s="828"/>
      <c r="K110" s="828"/>
      <c r="L110" s="828"/>
      <c r="M110" s="828"/>
      <c r="N110" s="828"/>
      <c r="O110" s="828"/>
      <c r="P110" s="828"/>
      <c r="Q110" s="828"/>
      <c r="R110" s="828"/>
      <c r="S110" s="828"/>
      <c r="T110" s="828"/>
      <c r="U110" s="828"/>
      <c r="V110" s="828"/>
      <c r="W110" s="828"/>
      <c r="X110" s="828"/>
      <c r="Y110" s="828"/>
      <c r="Z110" s="828"/>
      <c r="AA110" s="828"/>
      <c r="AB110" s="828"/>
      <c r="AC110" s="828"/>
      <c r="AD110" s="828"/>
      <c r="AE110" s="828"/>
      <c r="AF110" s="828"/>
      <c r="AG110" s="828"/>
      <c r="AH110" s="828"/>
      <c r="AI110" s="828"/>
      <c r="AJ110" s="828"/>
    </row>
    <row r="111">
      <c r="A111" s="828"/>
      <c r="B111" s="828"/>
      <c r="C111" s="828"/>
      <c r="D111" s="828"/>
      <c r="E111" s="828"/>
      <c r="F111" s="828"/>
      <c r="G111" s="828"/>
      <c r="H111" s="828"/>
      <c r="I111" s="828"/>
      <c r="J111" s="828"/>
      <c r="K111" s="828"/>
      <c r="L111" s="828"/>
      <c r="M111" s="828"/>
      <c r="N111" s="828"/>
      <c r="O111" s="828"/>
      <c r="P111" s="828"/>
      <c r="Q111" s="828"/>
      <c r="R111" s="828"/>
      <c r="S111" s="828"/>
      <c r="T111" s="828"/>
      <c r="U111" s="828"/>
      <c r="V111" s="828"/>
      <c r="W111" s="828"/>
      <c r="X111" s="828"/>
      <c r="Y111" s="828"/>
      <c r="Z111" s="828"/>
      <c r="AA111" s="828"/>
      <c r="AB111" s="828"/>
      <c r="AC111" s="828"/>
      <c r="AD111" s="828"/>
      <c r="AE111" s="828"/>
      <c r="AF111" s="828"/>
      <c r="AG111" s="828"/>
      <c r="AH111" s="828"/>
      <c r="AI111" s="828"/>
      <c r="AJ111" s="828"/>
    </row>
    <row r="112">
      <c r="A112" s="828"/>
      <c r="B112" s="828"/>
      <c r="C112" s="828"/>
      <c r="D112" s="828"/>
      <c r="E112" s="828"/>
      <c r="F112" s="828"/>
      <c r="G112" s="828"/>
      <c r="H112" s="828"/>
      <c r="I112" s="828"/>
      <c r="J112" s="828"/>
      <c r="K112" s="828"/>
      <c r="L112" s="828"/>
      <c r="M112" s="828"/>
      <c r="N112" s="828"/>
      <c r="O112" s="828"/>
      <c r="P112" s="828"/>
      <c r="Q112" s="828"/>
      <c r="R112" s="828"/>
      <c r="S112" s="828"/>
      <c r="T112" s="828"/>
      <c r="U112" s="828"/>
      <c r="V112" s="828"/>
      <c r="W112" s="828"/>
      <c r="X112" s="828"/>
      <c r="Y112" s="828"/>
      <c r="Z112" s="828"/>
      <c r="AA112" s="828"/>
      <c r="AB112" s="828"/>
      <c r="AC112" s="828"/>
      <c r="AD112" s="828"/>
      <c r="AE112" s="828"/>
      <c r="AF112" s="828"/>
      <c r="AG112" s="828"/>
      <c r="AH112" s="828"/>
      <c r="AI112" s="828"/>
      <c r="AJ112" s="828"/>
    </row>
    <row r="113">
      <c r="A113" s="828"/>
      <c r="B113" s="828"/>
      <c r="C113" s="828"/>
      <c r="D113" s="828"/>
      <c r="E113" s="828"/>
      <c r="F113" s="828"/>
      <c r="G113" s="828"/>
      <c r="H113" s="828"/>
      <c r="I113" s="828"/>
      <c r="J113" s="828"/>
      <c r="K113" s="828"/>
      <c r="L113" s="828"/>
      <c r="M113" s="828"/>
      <c r="N113" s="828"/>
      <c r="O113" s="828"/>
      <c r="P113" s="828"/>
      <c r="Q113" s="828"/>
      <c r="R113" s="828"/>
      <c r="S113" s="828"/>
      <c r="T113" s="828"/>
      <c r="U113" s="828"/>
      <c r="V113" s="828"/>
      <c r="W113" s="828"/>
      <c r="X113" s="828"/>
      <c r="Y113" s="828"/>
      <c r="Z113" s="828"/>
      <c r="AA113" s="828"/>
      <c r="AB113" s="828"/>
      <c r="AC113" s="828"/>
      <c r="AD113" s="828"/>
      <c r="AE113" s="828"/>
      <c r="AF113" s="828"/>
      <c r="AG113" s="828"/>
      <c r="AH113" s="828"/>
      <c r="AI113" s="828"/>
      <c r="AJ113" s="828"/>
    </row>
    <row r="114">
      <c r="A114" s="828"/>
      <c r="B114" s="828"/>
      <c r="C114" s="828"/>
      <c r="D114" s="828"/>
      <c r="E114" s="828"/>
      <c r="F114" s="828"/>
      <c r="G114" s="828"/>
      <c r="H114" s="828"/>
      <c r="I114" s="828"/>
      <c r="J114" s="828"/>
      <c r="K114" s="828"/>
      <c r="L114" s="828"/>
      <c r="M114" s="828"/>
      <c r="N114" s="828"/>
      <c r="O114" s="828"/>
      <c r="P114" s="828"/>
      <c r="Q114" s="828"/>
      <c r="R114" s="828"/>
      <c r="S114" s="828"/>
      <c r="T114" s="828"/>
      <c r="U114" s="828"/>
      <c r="V114" s="828"/>
      <c r="W114" s="828"/>
      <c r="X114" s="828"/>
      <c r="Y114" s="828"/>
      <c r="Z114" s="828"/>
      <c r="AA114" s="828"/>
      <c r="AB114" s="828"/>
      <c r="AC114" s="828"/>
      <c r="AD114" s="828"/>
      <c r="AE114" s="828"/>
      <c r="AF114" s="828"/>
      <c r="AG114" s="828"/>
      <c r="AH114" s="828"/>
      <c r="AI114" s="828"/>
      <c r="AJ114" s="828"/>
    </row>
    <row r="115">
      <c r="A115" s="828"/>
      <c r="B115" s="828"/>
      <c r="C115" s="828"/>
      <c r="D115" s="828"/>
      <c r="E115" s="828"/>
      <c r="F115" s="828"/>
      <c r="G115" s="828"/>
      <c r="H115" s="828"/>
      <c r="I115" s="828"/>
      <c r="J115" s="828"/>
      <c r="K115" s="828"/>
      <c r="L115" s="828"/>
      <c r="M115" s="828"/>
      <c r="N115" s="828"/>
      <c r="O115" s="828"/>
      <c r="P115" s="828"/>
      <c r="Q115" s="828"/>
      <c r="R115" s="828"/>
      <c r="S115" s="828"/>
      <c r="T115" s="828"/>
      <c r="U115" s="828"/>
      <c r="V115" s="828"/>
      <c r="W115" s="828"/>
      <c r="X115" s="828"/>
      <c r="Y115" s="828"/>
      <c r="Z115" s="828"/>
      <c r="AA115" s="828"/>
      <c r="AB115" s="828"/>
      <c r="AC115" s="828"/>
      <c r="AD115" s="828"/>
      <c r="AE115" s="828"/>
      <c r="AF115" s="828"/>
      <c r="AG115" s="828"/>
      <c r="AH115" s="828"/>
      <c r="AI115" s="828"/>
      <c r="AJ115" s="828"/>
    </row>
    <row r="116">
      <c r="A116" s="828"/>
      <c r="B116" s="828"/>
      <c r="C116" s="828"/>
      <c r="D116" s="828"/>
      <c r="E116" s="828"/>
      <c r="F116" s="828"/>
      <c r="G116" s="828"/>
      <c r="H116" s="828"/>
      <c r="I116" s="828"/>
      <c r="J116" s="828"/>
      <c r="K116" s="828"/>
      <c r="L116" s="828"/>
      <c r="M116" s="828"/>
      <c r="N116" s="828"/>
      <c r="O116" s="828"/>
      <c r="P116" s="828"/>
      <c r="Q116" s="828"/>
      <c r="R116" s="828"/>
      <c r="S116" s="828"/>
      <c r="T116" s="828"/>
      <c r="U116" s="828"/>
      <c r="V116" s="828"/>
      <c r="W116" s="828"/>
      <c r="X116" s="828"/>
      <c r="Y116" s="828"/>
      <c r="Z116" s="828"/>
      <c r="AA116" s="828"/>
      <c r="AB116" s="828"/>
      <c r="AC116" s="828"/>
      <c r="AD116" s="828"/>
      <c r="AE116" s="828"/>
      <c r="AF116" s="828"/>
      <c r="AG116" s="828"/>
      <c r="AH116" s="828"/>
      <c r="AI116" s="828"/>
      <c r="AJ116" s="828"/>
    </row>
    <row r="117">
      <c r="A117" s="828"/>
      <c r="B117" s="828"/>
      <c r="C117" s="828"/>
      <c r="D117" s="828"/>
      <c r="E117" s="828"/>
      <c r="F117" s="828"/>
      <c r="G117" s="828"/>
      <c r="H117" s="828"/>
      <c r="I117" s="828"/>
      <c r="J117" s="828"/>
      <c r="K117" s="828"/>
      <c r="L117" s="828"/>
      <c r="M117" s="828"/>
      <c r="N117" s="828"/>
      <c r="O117" s="828"/>
      <c r="P117" s="828"/>
      <c r="Q117" s="828"/>
      <c r="R117" s="828"/>
      <c r="S117" s="828"/>
      <c r="T117" s="828"/>
      <c r="U117" s="828"/>
      <c r="V117" s="828"/>
      <c r="W117" s="828"/>
      <c r="X117" s="828"/>
      <c r="Y117" s="828"/>
      <c r="Z117" s="828"/>
      <c r="AA117" s="828"/>
      <c r="AB117" s="828"/>
      <c r="AC117" s="828"/>
      <c r="AD117" s="828"/>
      <c r="AE117" s="828"/>
      <c r="AF117" s="828"/>
      <c r="AG117" s="828"/>
      <c r="AH117" s="828"/>
      <c r="AI117" s="828"/>
      <c r="AJ117" s="828"/>
    </row>
    <row r="118">
      <c r="A118" s="828"/>
      <c r="B118" s="828"/>
      <c r="C118" s="828"/>
      <c r="D118" s="828"/>
      <c r="E118" s="828"/>
      <c r="F118" s="828"/>
      <c r="G118" s="828"/>
      <c r="H118" s="828"/>
      <c r="I118" s="828"/>
      <c r="J118" s="828"/>
      <c r="K118" s="828"/>
      <c r="L118" s="828"/>
      <c r="M118" s="828"/>
      <c r="N118" s="828"/>
      <c r="O118" s="828"/>
      <c r="P118" s="828"/>
      <c r="Q118" s="828"/>
      <c r="R118" s="828"/>
      <c r="S118" s="828"/>
      <c r="T118" s="828"/>
      <c r="U118" s="828"/>
      <c r="V118" s="828"/>
      <c r="W118" s="828"/>
      <c r="X118" s="828"/>
      <c r="Y118" s="828"/>
      <c r="Z118" s="828"/>
      <c r="AA118" s="828"/>
      <c r="AB118" s="828"/>
      <c r="AC118" s="828"/>
      <c r="AD118" s="828"/>
      <c r="AE118" s="828"/>
      <c r="AF118" s="828"/>
      <c r="AG118" s="828"/>
      <c r="AH118" s="828"/>
      <c r="AI118" s="828"/>
      <c r="AJ118" s="828"/>
    </row>
    <row r="119">
      <c r="A119" s="828"/>
      <c r="B119" s="828"/>
      <c r="C119" s="828"/>
      <c r="D119" s="828"/>
      <c r="E119" s="828"/>
      <c r="F119" s="828"/>
      <c r="G119" s="828"/>
      <c r="H119" s="828"/>
      <c r="I119" s="828"/>
      <c r="J119" s="828"/>
      <c r="K119" s="828"/>
      <c r="L119" s="828"/>
      <c r="M119" s="828"/>
      <c r="N119" s="828"/>
      <c r="O119" s="828"/>
      <c r="P119" s="828"/>
      <c r="Q119" s="828"/>
      <c r="R119" s="828"/>
      <c r="S119" s="828"/>
      <c r="T119" s="828"/>
      <c r="U119" s="828"/>
      <c r="V119" s="828"/>
      <c r="W119" s="828"/>
      <c r="X119" s="828"/>
      <c r="Y119" s="828"/>
      <c r="Z119" s="828"/>
      <c r="AA119" s="828"/>
      <c r="AB119" s="828"/>
      <c r="AC119" s="828"/>
      <c r="AD119" s="828"/>
      <c r="AE119" s="828"/>
      <c r="AF119" s="828"/>
      <c r="AG119" s="828"/>
      <c r="AH119" s="828"/>
      <c r="AI119" s="828"/>
      <c r="AJ119" s="828"/>
    </row>
    <row r="120">
      <c r="A120" s="828"/>
      <c r="B120" s="828"/>
      <c r="C120" s="828"/>
      <c r="D120" s="828"/>
      <c r="E120" s="828"/>
      <c r="F120" s="828"/>
      <c r="G120" s="828"/>
      <c r="H120" s="828"/>
      <c r="I120" s="828"/>
      <c r="J120" s="828"/>
      <c r="K120" s="828"/>
      <c r="L120" s="828"/>
      <c r="M120" s="828"/>
      <c r="N120" s="828"/>
      <c r="O120" s="828"/>
      <c r="P120" s="828"/>
      <c r="Q120" s="828"/>
      <c r="R120" s="828"/>
      <c r="S120" s="828"/>
      <c r="T120" s="828"/>
      <c r="U120" s="828"/>
      <c r="V120" s="828"/>
      <c r="W120" s="828"/>
      <c r="X120" s="828"/>
      <c r="Y120" s="828"/>
      <c r="Z120" s="828"/>
      <c r="AA120" s="828"/>
      <c r="AB120" s="828"/>
      <c r="AC120" s="828"/>
      <c r="AD120" s="828"/>
      <c r="AE120" s="828"/>
      <c r="AF120" s="828"/>
      <c r="AG120" s="828"/>
      <c r="AH120" s="828"/>
      <c r="AI120" s="828"/>
      <c r="AJ120" s="828"/>
    </row>
    <row r="121">
      <c r="A121" s="828"/>
      <c r="B121" s="828"/>
      <c r="C121" s="828"/>
      <c r="D121" s="828"/>
      <c r="E121" s="828"/>
      <c r="F121" s="828"/>
      <c r="G121" s="828"/>
      <c r="H121" s="828"/>
      <c r="I121" s="828"/>
      <c r="J121" s="828"/>
      <c r="K121" s="828"/>
      <c r="L121" s="828"/>
      <c r="M121" s="828"/>
      <c r="N121" s="828"/>
      <c r="O121" s="828"/>
      <c r="P121" s="828"/>
      <c r="Q121" s="828"/>
      <c r="R121" s="828"/>
      <c r="S121" s="828"/>
      <c r="T121" s="828"/>
      <c r="U121" s="828"/>
      <c r="V121" s="828"/>
      <c r="W121" s="828"/>
      <c r="X121" s="828"/>
      <c r="Y121" s="828"/>
      <c r="Z121" s="828"/>
      <c r="AA121" s="828"/>
      <c r="AB121" s="828"/>
      <c r="AC121" s="828"/>
      <c r="AD121" s="828"/>
      <c r="AE121" s="828"/>
      <c r="AF121" s="828"/>
      <c r="AG121" s="828"/>
      <c r="AH121" s="828"/>
      <c r="AI121" s="828"/>
      <c r="AJ121" s="828"/>
    </row>
    <row r="122">
      <c r="A122" s="828"/>
      <c r="B122" s="828"/>
      <c r="C122" s="828"/>
      <c r="D122" s="828"/>
      <c r="E122" s="828"/>
      <c r="F122" s="828"/>
      <c r="G122" s="828"/>
      <c r="H122" s="828"/>
      <c r="I122" s="828"/>
      <c r="J122" s="828"/>
      <c r="K122" s="828"/>
      <c r="L122" s="828"/>
      <c r="M122" s="828"/>
      <c r="N122" s="828"/>
      <c r="O122" s="828"/>
      <c r="P122" s="828"/>
      <c r="Q122" s="828"/>
      <c r="R122" s="828"/>
      <c r="S122" s="828"/>
      <c r="T122" s="828"/>
      <c r="U122" s="828"/>
      <c r="V122" s="828"/>
      <c r="W122" s="828"/>
      <c r="X122" s="828"/>
      <c r="Y122" s="828"/>
      <c r="Z122" s="828"/>
      <c r="AA122" s="828"/>
      <c r="AB122" s="828"/>
      <c r="AC122" s="828"/>
      <c r="AD122" s="828"/>
      <c r="AE122" s="828"/>
      <c r="AF122" s="828"/>
      <c r="AG122" s="828"/>
      <c r="AH122" s="828"/>
      <c r="AI122" s="828"/>
      <c r="AJ122" s="828"/>
    </row>
    <row r="123">
      <c r="A123" s="828"/>
      <c r="B123" s="828"/>
      <c r="C123" s="828"/>
      <c r="D123" s="828"/>
      <c r="E123" s="828"/>
      <c r="F123" s="828"/>
      <c r="G123" s="828"/>
      <c r="H123" s="828"/>
      <c r="I123" s="828"/>
      <c r="J123" s="828"/>
      <c r="K123" s="828"/>
      <c r="L123" s="828"/>
      <c r="M123" s="828"/>
      <c r="N123" s="828"/>
      <c r="O123" s="828"/>
      <c r="P123" s="828"/>
      <c r="Q123" s="828"/>
      <c r="R123" s="828"/>
      <c r="S123" s="828"/>
      <c r="T123" s="828"/>
      <c r="U123" s="828"/>
      <c r="V123" s="828"/>
      <c r="W123" s="828"/>
      <c r="X123" s="828"/>
      <c r="Y123" s="828"/>
      <c r="Z123" s="828"/>
      <c r="AA123" s="828"/>
      <c r="AB123" s="828"/>
      <c r="AC123" s="828"/>
      <c r="AD123" s="828"/>
      <c r="AE123" s="828"/>
      <c r="AF123" s="828"/>
      <c r="AG123" s="828"/>
      <c r="AH123" s="828"/>
      <c r="AI123" s="828"/>
      <c r="AJ123" s="828"/>
    </row>
    <row r="124">
      <c r="A124" s="828"/>
      <c r="B124" s="828"/>
      <c r="C124" s="828"/>
      <c r="D124" s="828"/>
      <c r="E124" s="828"/>
      <c r="F124" s="828"/>
      <c r="G124" s="828"/>
      <c r="H124" s="828"/>
      <c r="I124" s="828"/>
      <c r="J124" s="828"/>
      <c r="K124" s="828"/>
      <c r="L124" s="828"/>
      <c r="M124" s="828"/>
      <c r="N124" s="828"/>
      <c r="O124" s="828"/>
      <c r="P124" s="828"/>
      <c r="Q124" s="828"/>
      <c r="R124" s="828"/>
      <c r="S124" s="828"/>
      <c r="T124" s="828"/>
      <c r="U124" s="828"/>
      <c r="V124" s="828"/>
      <c r="W124" s="828"/>
      <c r="X124" s="828"/>
      <c r="Y124" s="828"/>
      <c r="Z124" s="828"/>
      <c r="AA124" s="828"/>
      <c r="AB124" s="828"/>
      <c r="AC124" s="828"/>
      <c r="AD124" s="828"/>
      <c r="AE124" s="828"/>
      <c r="AF124" s="828"/>
      <c r="AG124" s="828"/>
      <c r="AH124" s="828"/>
      <c r="AI124" s="828"/>
      <c r="AJ124" s="828"/>
    </row>
    <row r="125">
      <c r="A125" s="828"/>
      <c r="B125" s="828"/>
      <c r="C125" s="828"/>
      <c r="D125" s="828"/>
      <c r="E125" s="828"/>
      <c r="F125" s="828"/>
      <c r="G125" s="828"/>
      <c r="H125" s="828"/>
      <c r="I125" s="828"/>
      <c r="J125" s="828"/>
      <c r="K125" s="828"/>
      <c r="L125" s="828"/>
      <c r="M125" s="828"/>
      <c r="N125" s="828"/>
      <c r="O125" s="828"/>
      <c r="P125" s="828"/>
      <c r="Q125" s="828"/>
      <c r="R125" s="828"/>
      <c r="S125" s="828"/>
      <c r="T125" s="828"/>
      <c r="U125" s="828"/>
      <c r="V125" s="828"/>
      <c r="W125" s="828"/>
      <c r="X125" s="828"/>
      <c r="Y125" s="828"/>
      <c r="Z125" s="828"/>
      <c r="AA125" s="828"/>
      <c r="AB125" s="828"/>
      <c r="AC125" s="828"/>
      <c r="AD125" s="828"/>
      <c r="AE125" s="828"/>
      <c r="AF125" s="828"/>
      <c r="AG125" s="828"/>
      <c r="AH125" s="828"/>
      <c r="AI125" s="828"/>
      <c r="AJ125" s="828"/>
    </row>
    <row r="126">
      <c r="A126" s="828"/>
      <c r="B126" s="828"/>
      <c r="C126" s="828"/>
      <c r="D126" s="828"/>
      <c r="E126" s="828"/>
      <c r="F126" s="828"/>
      <c r="G126" s="828"/>
      <c r="H126" s="828"/>
      <c r="I126" s="828"/>
      <c r="J126" s="828"/>
      <c r="K126" s="828"/>
      <c r="L126" s="828"/>
      <c r="M126" s="828"/>
      <c r="N126" s="828"/>
      <c r="O126" s="828"/>
      <c r="P126" s="828"/>
      <c r="Q126" s="828"/>
      <c r="R126" s="828"/>
      <c r="S126" s="828"/>
      <c r="T126" s="828"/>
      <c r="U126" s="828"/>
      <c r="V126" s="828"/>
      <c r="W126" s="828"/>
      <c r="X126" s="828"/>
      <c r="Y126" s="828"/>
      <c r="Z126" s="828"/>
      <c r="AA126" s="828"/>
      <c r="AB126" s="828"/>
      <c r="AC126" s="828"/>
      <c r="AD126" s="828"/>
      <c r="AE126" s="828"/>
      <c r="AF126" s="828"/>
      <c r="AG126" s="828"/>
      <c r="AH126" s="828"/>
      <c r="AI126" s="828"/>
      <c r="AJ126" s="828"/>
    </row>
    <row r="127">
      <c r="A127" s="828"/>
      <c r="B127" s="828"/>
      <c r="C127" s="828"/>
      <c r="D127" s="828"/>
      <c r="E127" s="828"/>
      <c r="F127" s="828"/>
      <c r="G127" s="828"/>
      <c r="H127" s="828"/>
      <c r="I127" s="828"/>
      <c r="J127" s="828"/>
      <c r="K127" s="828"/>
      <c r="L127" s="828"/>
      <c r="M127" s="828"/>
      <c r="N127" s="828"/>
      <c r="O127" s="828"/>
      <c r="P127" s="828"/>
      <c r="Q127" s="828"/>
      <c r="R127" s="828"/>
      <c r="S127" s="828"/>
      <c r="T127" s="828"/>
      <c r="U127" s="828"/>
      <c r="V127" s="828"/>
      <c r="W127" s="828"/>
      <c r="X127" s="828"/>
      <c r="Y127" s="828"/>
      <c r="Z127" s="828"/>
      <c r="AA127" s="828"/>
      <c r="AB127" s="828"/>
      <c r="AC127" s="828"/>
      <c r="AD127" s="828"/>
      <c r="AE127" s="828"/>
      <c r="AF127" s="828"/>
      <c r="AG127" s="828"/>
      <c r="AH127" s="828"/>
      <c r="AI127" s="828"/>
      <c r="AJ127" s="828"/>
    </row>
    <row r="128">
      <c r="A128" s="828"/>
      <c r="B128" s="828"/>
      <c r="C128" s="828"/>
      <c r="D128" s="828"/>
      <c r="E128" s="828"/>
      <c r="F128" s="828"/>
      <c r="G128" s="828"/>
      <c r="H128" s="828"/>
      <c r="I128" s="828"/>
      <c r="J128" s="828"/>
      <c r="K128" s="828"/>
      <c r="L128" s="828"/>
      <c r="M128" s="828"/>
      <c r="N128" s="828"/>
      <c r="O128" s="828"/>
      <c r="P128" s="828"/>
      <c r="Q128" s="828"/>
      <c r="R128" s="828"/>
      <c r="S128" s="828"/>
      <c r="T128" s="828"/>
      <c r="U128" s="828"/>
      <c r="V128" s="828"/>
      <c r="W128" s="828"/>
      <c r="X128" s="828"/>
      <c r="Y128" s="828"/>
      <c r="Z128" s="828"/>
      <c r="AA128" s="828"/>
      <c r="AB128" s="828"/>
      <c r="AC128" s="828"/>
      <c r="AD128" s="828"/>
      <c r="AE128" s="828"/>
      <c r="AF128" s="828"/>
      <c r="AG128" s="828"/>
      <c r="AH128" s="828"/>
      <c r="AI128" s="828"/>
      <c r="AJ128" s="828"/>
    </row>
    <row r="129">
      <c r="A129" s="828"/>
      <c r="B129" s="828"/>
      <c r="C129" s="828"/>
      <c r="D129" s="828"/>
      <c r="E129" s="828"/>
      <c r="F129" s="828"/>
      <c r="G129" s="828"/>
      <c r="H129" s="828"/>
      <c r="I129" s="828"/>
      <c r="J129" s="828"/>
      <c r="K129" s="828"/>
      <c r="L129" s="828"/>
      <c r="M129" s="828"/>
      <c r="N129" s="828"/>
      <c r="O129" s="828"/>
      <c r="P129" s="828"/>
      <c r="Q129" s="828"/>
      <c r="R129" s="828"/>
      <c r="S129" s="828"/>
      <c r="T129" s="828"/>
      <c r="U129" s="828"/>
      <c r="V129" s="828"/>
      <c r="W129" s="828"/>
      <c r="X129" s="828"/>
      <c r="Y129" s="828"/>
      <c r="Z129" s="828"/>
      <c r="AA129" s="828"/>
      <c r="AB129" s="828"/>
      <c r="AC129" s="828"/>
      <c r="AD129" s="828"/>
      <c r="AE129" s="828"/>
      <c r="AF129" s="828"/>
      <c r="AG129" s="828"/>
      <c r="AH129" s="828"/>
      <c r="AI129" s="828"/>
      <c r="AJ129" s="828"/>
    </row>
    <row r="130">
      <c r="A130" s="828"/>
      <c r="B130" s="828"/>
      <c r="C130" s="828"/>
      <c r="D130" s="828"/>
      <c r="E130" s="828"/>
      <c r="F130" s="828"/>
      <c r="G130" s="828"/>
      <c r="H130" s="828"/>
      <c r="I130" s="828"/>
      <c r="J130" s="828"/>
      <c r="K130" s="828"/>
      <c r="L130" s="828"/>
      <c r="M130" s="828"/>
      <c r="N130" s="828"/>
      <c r="O130" s="828"/>
      <c r="P130" s="828"/>
      <c r="Q130" s="828"/>
      <c r="R130" s="828"/>
      <c r="S130" s="828"/>
      <c r="T130" s="828"/>
      <c r="U130" s="828"/>
      <c r="V130" s="828"/>
      <c r="W130" s="828"/>
      <c r="X130" s="828"/>
      <c r="Y130" s="828"/>
      <c r="Z130" s="828"/>
      <c r="AA130" s="828"/>
      <c r="AB130" s="828"/>
      <c r="AC130" s="828"/>
      <c r="AD130" s="828"/>
      <c r="AE130" s="828"/>
      <c r="AF130" s="828"/>
      <c r="AG130" s="828"/>
      <c r="AH130" s="828"/>
      <c r="AI130" s="828"/>
      <c r="AJ130" s="828"/>
    </row>
    <row r="131">
      <c r="A131" s="828"/>
      <c r="B131" s="828"/>
      <c r="C131" s="828"/>
      <c r="D131" s="828"/>
      <c r="E131" s="828"/>
      <c r="F131" s="828"/>
      <c r="G131" s="828"/>
      <c r="H131" s="828"/>
      <c r="I131" s="828"/>
      <c r="J131" s="828"/>
      <c r="K131" s="828"/>
      <c r="L131" s="828"/>
      <c r="M131" s="828"/>
      <c r="N131" s="828"/>
      <c r="O131" s="828"/>
      <c r="P131" s="828"/>
      <c r="Q131" s="828"/>
      <c r="R131" s="828"/>
      <c r="S131" s="828"/>
      <c r="T131" s="828"/>
      <c r="U131" s="828"/>
      <c r="V131" s="828"/>
      <c r="W131" s="828"/>
      <c r="X131" s="828"/>
      <c r="Y131" s="828"/>
      <c r="Z131" s="828"/>
      <c r="AA131" s="828"/>
      <c r="AB131" s="828"/>
      <c r="AC131" s="828"/>
      <c r="AD131" s="828"/>
      <c r="AE131" s="828"/>
      <c r="AF131" s="828"/>
      <c r="AG131" s="828"/>
      <c r="AH131" s="828"/>
      <c r="AI131" s="828"/>
      <c r="AJ131" s="828"/>
    </row>
    <row r="132">
      <c r="A132" s="828"/>
      <c r="B132" s="828"/>
      <c r="C132" s="828"/>
      <c r="D132" s="828"/>
      <c r="E132" s="828"/>
      <c r="F132" s="828"/>
      <c r="G132" s="828"/>
      <c r="H132" s="828"/>
      <c r="I132" s="828"/>
      <c r="J132" s="828"/>
      <c r="K132" s="828"/>
      <c r="L132" s="828"/>
      <c r="M132" s="828"/>
      <c r="N132" s="828"/>
      <c r="O132" s="828"/>
      <c r="P132" s="828"/>
      <c r="Q132" s="828"/>
      <c r="R132" s="828"/>
      <c r="S132" s="828"/>
      <c r="T132" s="828"/>
      <c r="U132" s="828"/>
      <c r="V132" s="828"/>
      <c r="W132" s="828"/>
      <c r="X132" s="828"/>
      <c r="Y132" s="828"/>
      <c r="Z132" s="828"/>
      <c r="AA132" s="828"/>
      <c r="AB132" s="828"/>
      <c r="AC132" s="828"/>
      <c r="AD132" s="828"/>
      <c r="AE132" s="828"/>
      <c r="AF132" s="828"/>
      <c r="AG132" s="828"/>
      <c r="AH132" s="828"/>
      <c r="AI132" s="828"/>
      <c r="AJ132" s="828"/>
    </row>
    <row r="133">
      <c r="A133" s="828"/>
      <c r="B133" s="828"/>
      <c r="C133" s="828"/>
      <c r="D133" s="828"/>
      <c r="E133" s="828"/>
      <c r="F133" s="828"/>
      <c r="G133" s="828"/>
      <c r="H133" s="828"/>
      <c r="I133" s="828"/>
      <c r="J133" s="828"/>
      <c r="K133" s="828"/>
      <c r="L133" s="828"/>
      <c r="M133" s="828"/>
      <c r="N133" s="828"/>
      <c r="O133" s="828"/>
      <c r="P133" s="828"/>
      <c r="Q133" s="828"/>
      <c r="R133" s="828"/>
      <c r="S133" s="828"/>
      <c r="T133" s="828"/>
      <c r="U133" s="828"/>
      <c r="V133" s="828"/>
      <c r="W133" s="828"/>
      <c r="X133" s="828"/>
      <c r="Y133" s="828"/>
      <c r="Z133" s="828"/>
      <c r="AA133" s="828"/>
      <c r="AB133" s="828"/>
      <c r="AC133" s="828"/>
      <c r="AD133" s="828"/>
      <c r="AE133" s="828"/>
      <c r="AF133" s="828"/>
      <c r="AG133" s="828"/>
      <c r="AH133" s="828"/>
      <c r="AI133" s="828"/>
      <c r="AJ133" s="828"/>
    </row>
    <row r="134">
      <c r="A134" s="828"/>
      <c r="B134" s="828"/>
      <c r="C134" s="828"/>
      <c r="D134" s="828"/>
      <c r="E134" s="828"/>
      <c r="F134" s="828"/>
      <c r="G134" s="828"/>
      <c r="H134" s="828"/>
      <c r="I134" s="828"/>
      <c r="J134" s="828"/>
      <c r="K134" s="828"/>
      <c r="L134" s="828"/>
      <c r="M134" s="828"/>
      <c r="N134" s="828"/>
      <c r="O134" s="828"/>
      <c r="P134" s="828"/>
      <c r="Q134" s="828"/>
      <c r="R134" s="828"/>
      <c r="S134" s="828"/>
      <c r="T134" s="828"/>
      <c r="U134" s="828"/>
      <c r="V134" s="828"/>
      <c r="W134" s="828"/>
      <c r="X134" s="828"/>
      <c r="Y134" s="828"/>
      <c r="Z134" s="828"/>
      <c r="AA134" s="828"/>
      <c r="AB134" s="828"/>
      <c r="AC134" s="828"/>
      <c r="AD134" s="828"/>
      <c r="AE134" s="828"/>
      <c r="AF134" s="828"/>
      <c r="AG134" s="828"/>
      <c r="AH134" s="828"/>
      <c r="AI134" s="828"/>
      <c r="AJ134" s="828"/>
    </row>
    <row r="135">
      <c r="A135" s="828"/>
      <c r="B135" s="828"/>
      <c r="C135" s="828"/>
      <c r="D135" s="828"/>
      <c r="E135" s="828"/>
      <c r="F135" s="828"/>
      <c r="G135" s="828"/>
      <c r="H135" s="828"/>
      <c r="I135" s="828"/>
      <c r="J135" s="828"/>
      <c r="K135" s="828"/>
      <c r="L135" s="828"/>
      <c r="M135" s="828"/>
      <c r="N135" s="828"/>
      <c r="O135" s="828"/>
      <c r="P135" s="828"/>
      <c r="Q135" s="828"/>
      <c r="R135" s="828"/>
      <c r="S135" s="828"/>
      <c r="T135" s="828"/>
      <c r="U135" s="828"/>
      <c r="V135" s="828"/>
      <c r="W135" s="828"/>
      <c r="X135" s="828"/>
      <c r="Y135" s="828"/>
      <c r="Z135" s="828"/>
      <c r="AA135" s="828"/>
      <c r="AB135" s="828"/>
      <c r="AC135" s="828"/>
      <c r="AD135" s="828"/>
      <c r="AE135" s="828"/>
      <c r="AF135" s="828"/>
      <c r="AG135" s="828"/>
      <c r="AH135" s="828"/>
      <c r="AI135" s="828"/>
      <c r="AJ135" s="828"/>
    </row>
    <row r="136">
      <c r="A136" s="828"/>
      <c r="B136" s="828"/>
      <c r="C136" s="828"/>
      <c r="D136" s="828"/>
      <c r="E136" s="828"/>
      <c r="F136" s="828"/>
      <c r="G136" s="828"/>
      <c r="H136" s="828"/>
      <c r="I136" s="828"/>
      <c r="J136" s="828"/>
      <c r="K136" s="828"/>
      <c r="L136" s="828"/>
      <c r="M136" s="828"/>
      <c r="N136" s="828"/>
      <c r="O136" s="828"/>
      <c r="P136" s="828"/>
      <c r="Q136" s="828"/>
      <c r="R136" s="828"/>
      <c r="S136" s="828"/>
      <c r="T136" s="828"/>
      <c r="U136" s="828"/>
      <c r="V136" s="828"/>
      <c r="W136" s="828"/>
      <c r="X136" s="828"/>
      <c r="Y136" s="828"/>
      <c r="Z136" s="828"/>
      <c r="AA136" s="828"/>
      <c r="AB136" s="828"/>
      <c r="AC136" s="828"/>
      <c r="AD136" s="828"/>
      <c r="AE136" s="828"/>
      <c r="AF136" s="828"/>
      <c r="AG136" s="828"/>
      <c r="AH136" s="828"/>
      <c r="AI136" s="828"/>
      <c r="AJ136" s="828"/>
    </row>
    <row r="137">
      <c r="A137" s="828"/>
      <c r="B137" s="828"/>
      <c r="C137" s="828"/>
      <c r="D137" s="828"/>
      <c r="E137" s="828"/>
      <c r="F137" s="828"/>
      <c r="G137" s="828"/>
      <c r="H137" s="828"/>
      <c r="I137" s="828"/>
      <c r="J137" s="828"/>
      <c r="K137" s="828"/>
      <c r="L137" s="828"/>
      <c r="M137" s="828"/>
      <c r="N137" s="828"/>
      <c r="O137" s="828"/>
      <c r="P137" s="828"/>
      <c r="Q137" s="828"/>
      <c r="R137" s="828"/>
      <c r="S137" s="828"/>
      <c r="T137" s="828"/>
      <c r="U137" s="828"/>
      <c r="V137" s="828"/>
      <c r="W137" s="828"/>
      <c r="X137" s="828"/>
      <c r="Y137" s="828"/>
      <c r="Z137" s="828"/>
      <c r="AA137" s="828"/>
      <c r="AB137" s="828"/>
      <c r="AC137" s="828"/>
      <c r="AD137" s="828"/>
      <c r="AE137" s="828"/>
      <c r="AF137" s="828"/>
      <c r="AG137" s="828"/>
      <c r="AH137" s="828"/>
      <c r="AI137" s="828"/>
      <c r="AJ137" s="828"/>
    </row>
    <row r="138">
      <c r="A138" s="828"/>
      <c r="B138" s="828"/>
      <c r="C138" s="828"/>
      <c r="D138" s="828"/>
      <c r="E138" s="828"/>
      <c r="F138" s="828"/>
      <c r="G138" s="828"/>
      <c r="H138" s="828"/>
      <c r="I138" s="828"/>
      <c r="J138" s="828"/>
      <c r="K138" s="828"/>
      <c r="L138" s="828"/>
      <c r="M138" s="828"/>
      <c r="N138" s="828"/>
      <c r="O138" s="828"/>
      <c r="P138" s="828"/>
      <c r="Q138" s="828"/>
      <c r="R138" s="828"/>
      <c r="S138" s="828"/>
      <c r="T138" s="828"/>
      <c r="U138" s="828"/>
      <c r="V138" s="828"/>
      <c r="W138" s="828"/>
      <c r="X138" s="828"/>
      <c r="Y138" s="828"/>
      <c r="Z138" s="828"/>
      <c r="AA138" s="828"/>
      <c r="AB138" s="828"/>
      <c r="AC138" s="828"/>
      <c r="AD138" s="828"/>
      <c r="AE138" s="828"/>
      <c r="AF138" s="828"/>
      <c r="AG138" s="828"/>
      <c r="AH138" s="828"/>
      <c r="AI138" s="828"/>
      <c r="AJ138" s="828"/>
    </row>
    <row r="139">
      <c r="A139" s="828"/>
      <c r="B139" s="828"/>
      <c r="C139" s="828"/>
      <c r="D139" s="828"/>
      <c r="E139" s="828"/>
      <c r="F139" s="828"/>
      <c r="G139" s="828"/>
      <c r="H139" s="828"/>
      <c r="I139" s="828"/>
      <c r="J139" s="828"/>
      <c r="K139" s="828"/>
      <c r="L139" s="828"/>
      <c r="M139" s="828"/>
      <c r="N139" s="828"/>
      <c r="O139" s="828"/>
      <c r="P139" s="828"/>
      <c r="Q139" s="828"/>
      <c r="R139" s="828"/>
      <c r="S139" s="828"/>
      <c r="T139" s="828"/>
      <c r="U139" s="828"/>
      <c r="V139" s="828"/>
      <c r="W139" s="828"/>
      <c r="X139" s="828"/>
      <c r="Y139" s="828"/>
      <c r="Z139" s="828"/>
      <c r="AA139" s="828"/>
      <c r="AB139" s="828"/>
      <c r="AC139" s="828"/>
      <c r="AD139" s="828"/>
      <c r="AE139" s="828"/>
      <c r="AF139" s="828"/>
      <c r="AG139" s="828"/>
      <c r="AH139" s="828"/>
      <c r="AI139" s="828"/>
      <c r="AJ139" s="828"/>
    </row>
    <row r="140">
      <c r="A140" s="828"/>
      <c r="B140" s="828"/>
      <c r="C140" s="828"/>
      <c r="D140" s="828"/>
      <c r="E140" s="828"/>
      <c r="F140" s="828"/>
      <c r="G140" s="828"/>
      <c r="H140" s="828"/>
      <c r="I140" s="828"/>
      <c r="J140" s="828"/>
      <c r="K140" s="828"/>
      <c r="L140" s="828"/>
      <c r="M140" s="828"/>
      <c r="N140" s="828"/>
      <c r="O140" s="828"/>
      <c r="P140" s="828"/>
      <c r="Q140" s="828"/>
      <c r="R140" s="828"/>
      <c r="S140" s="828"/>
      <c r="T140" s="828"/>
      <c r="U140" s="828"/>
      <c r="V140" s="828"/>
      <c r="W140" s="828"/>
      <c r="X140" s="828"/>
      <c r="Y140" s="828"/>
      <c r="Z140" s="828"/>
      <c r="AA140" s="828"/>
      <c r="AB140" s="828"/>
      <c r="AC140" s="828"/>
      <c r="AD140" s="828"/>
      <c r="AE140" s="828"/>
      <c r="AF140" s="828"/>
      <c r="AG140" s="828"/>
      <c r="AH140" s="828"/>
      <c r="AI140" s="828"/>
      <c r="AJ140" s="828"/>
    </row>
    <row r="141">
      <c r="A141" s="828"/>
      <c r="B141" s="828"/>
      <c r="C141" s="828"/>
      <c r="D141" s="828"/>
      <c r="E141" s="828"/>
      <c r="F141" s="828"/>
      <c r="G141" s="828"/>
      <c r="H141" s="828"/>
      <c r="I141" s="828"/>
      <c r="J141" s="828"/>
      <c r="K141" s="828"/>
      <c r="L141" s="828"/>
      <c r="M141" s="828"/>
      <c r="N141" s="828"/>
      <c r="O141" s="828"/>
      <c r="P141" s="828"/>
      <c r="Q141" s="828"/>
      <c r="R141" s="828"/>
      <c r="S141" s="828"/>
      <c r="T141" s="828"/>
      <c r="U141" s="828"/>
      <c r="V141" s="828"/>
      <c r="W141" s="828"/>
      <c r="X141" s="828"/>
      <c r="Y141" s="828"/>
      <c r="Z141" s="828"/>
      <c r="AA141" s="828"/>
      <c r="AB141" s="828"/>
      <c r="AC141" s="828"/>
      <c r="AD141" s="828"/>
      <c r="AE141" s="828"/>
      <c r="AF141" s="828"/>
      <c r="AG141" s="828"/>
      <c r="AH141" s="828"/>
      <c r="AI141" s="828"/>
      <c r="AJ141" s="828"/>
    </row>
    <row r="142">
      <c r="A142" s="828"/>
      <c r="B142" s="828"/>
      <c r="C142" s="828"/>
      <c r="D142" s="828"/>
      <c r="E142" s="828"/>
      <c r="F142" s="828"/>
      <c r="G142" s="828"/>
      <c r="H142" s="828"/>
      <c r="I142" s="828"/>
      <c r="J142" s="828"/>
      <c r="K142" s="828"/>
      <c r="L142" s="828"/>
      <c r="M142" s="828"/>
      <c r="N142" s="828"/>
      <c r="O142" s="828"/>
      <c r="P142" s="828"/>
      <c r="Q142" s="828"/>
      <c r="R142" s="828"/>
      <c r="S142" s="828"/>
      <c r="T142" s="828"/>
      <c r="U142" s="828"/>
      <c r="V142" s="828"/>
      <c r="W142" s="828"/>
      <c r="X142" s="828"/>
      <c r="Y142" s="828"/>
      <c r="Z142" s="828"/>
      <c r="AA142" s="828"/>
      <c r="AB142" s="828"/>
      <c r="AC142" s="828"/>
      <c r="AD142" s="828"/>
      <c r="AE142" s="828"/>
      <c r="AF142" s="828"/>
      <c r="AG142" s="828"/>
      <c r="AH142" s="828"/>
      <c r="AI142" s="828"/>
      <c r="AJ142" s="828"/>
    </row>
    <row r="143">
      <c r="A143" s="828"/>
      <c r="B143" s="828"/>
      <c r="C143" s="828"/>
      <c r="D143" s="828"/>
      <c r="E143" s="828"/>
      <c r="F143" s="828"/>
      <c r="G143" s="828"/>
      <c r="H143" s="828"/>
      <c r="I143" s="828"/>
      <c r="J143" s="828"/>
      <c r="K143" s="828"/>
      <c r="L143" s="828"/>
      <c r="M143" s="828"/>
      <c r="N143" s="828"/>
      <c r="O143" s="828"/>
      <c r="P143" s="828"/>
      <c r="Q143" s="828"/>
      <c r="R143" s="828"/>
      <c r="S143" s="828"/>
      <c r="T143" s="828"/>
      <c r="U143" s="828"/>
      <c r="V143" s="828"/>
      <c r="W143" s="828"/>
      <c r="X143" s="828"/>
      <c r="Y143" s="828"/>
      <c r="Z143" s="828"/>
      <c r="AA143" s="828"/>
      <c r="AB143" s="828"/>
      <c r="AC143" s="828"/>
      <c r="AD143" s="828"/>
      <c r="AE143" s="828"/>
      <c r="AF143" s="828"/>
      <c r="AG143" s="828"/>
      <c r="AH143" s="828"/>
      <c r="AI143" s="828"/>
      <c r="AJ143" s="828"/>
    </row>
    <row r="144">
      <c r="A144" s="828"/>
      <c r="B144" s="828"/>
      <c r="C144" s="828"/>
      <c r="D144" s="828"/>
      <c r="E144" s="828"/>
      <c r="F144" s="828"/>
      <c r="G144" s="828"/>
      <c r="H144" s="828"/>
      <c r="I144" s="828"/>
      <c r="J144" s="828"/>
      <c r="K144" s="828"/>
      <c r="L144" s="828"/>
      <c r="M144" s="828"/>
      <c r="N144" s="828"/>
      <c r="O144" s="828"/>
      <c r="P144" s="828"/>
      <c r="Q144" s="828"/>
      <c r="R144" s="828"/>
      <c r="S144" s="828"/>
      <c r="T144" s="828"/>
      <c r="U144" s="828"/>
      <c r="V144" s="828"/>
      <c r="W144" s="828"/>
      <c r="X144" s="828"/>
      <c r="Y144" s="828"/>
      <c r="Z144" s="828"/>
      <c r="AA144" s="828"/>
      <c r="AB144" s="828"/>
      <c r="AC144" s="828"/>
      <c r="AD144" s="828"/>
      <c r="AE144" s="828"/>
      <c r="AF144" s="828"/>
      <c r="AG144" s="828"/>
      <c r="AH144" s="828"/>
      <c r="AI144" s="828"/>
      <c r="AJ144" s="828"/>
    </row>
    <row r="145">
      <c r="A145" s="828"/>
      <c r="B145" s="828"/>
      <c r="C145" s="828"/>
      <c r="D145" s="828"/>
      <c r="E145" s="828"/>
      <c r="F145" s="828"/>
      <c r="G145" s="828"/>
      <c r="H145" s="828"/>
      <c r="I145" s="828"/>
      <c r="J145" s="828"/>
      <c r="K145" s="828"/>
      <c r="L145" s="828"/>
      <c r="M145" s="828"/>
      <c r="N145" s="828"/>
      <c r="O145" s="828"/>
      <c r="P145" s="828"/>
      <c r="Q145" s="828"/>
      <c r="R145" s="828"/>
      <c r="S145" s="828"/>
      <c r="T145" s="828"/>
      <c r="U145" s="828"/>
      <c r="V145" s="828"/>
      <c r="W145" s="828"/>
      <c r="X145" s="828"/>
      <c r="Y145" s="828"/>
      <c r="Z145" s="828"/>
      <c r="AA145" s="828"/>
      <c r="AB145" s="828"/>
      <c r="AC145" s="828"/>
      <c r="AD145" s="828"/>
      <c r="AE145" s="828"/>
      <c r="AF145" s="828"/>
      <c r="AG145" s="828"/>
      <c r="AH145" s="828"/>
      <c r="AI145" s="828"/>
      <c r="AJ145" s="828"/>
    </row>
    <row r="146">
      <c r="A146" s="828"/>
      <c r="B146" s="828"/>
      <c r="C146" s="828"/>
      <c r="D146" s="828"/>
      <c r="E146" s="828"/>
      <c r="F146" s="828"/>
      <c r="G146" s="828"/>
      <c r="H146" s="828"/>
      <c r="I146" s="828"/>
      <c r="J146" s="828"/>
      <c r="K146" s="828"/>
      <c r="L146" s="828"/>
      <c r="M146" s="828"/>
      <c r="N146" s="828"/>
      <c r="O146" s="828"/>
      <c r="P146" s="828"/>
      <c r="Q146" s="828"/>
      <c r="R146" s="828"/>
      <c r="S146" s="828"/>
      <c r="T146" s="828"/>
      <c r="U146" s="828"/>
      <c r="V146" s="828"/>
      <c r="W146" s="828"/>
      <c r="X146" s="828"/>
      <c r="Y146" s="828"/>
      <c r="Z146" s="828"/>
      <c r="AA146" s="828"/>
      <c r="AB146" s="828"/>
      <c r="AC146" s="828"/>
      <c r="AD146" s="828"/>
      <c r="AE146" s="828"/>
      <c r="AF146" s="828"/>
      <c r="AG146" s="828"/>
      <c r="AH146" s="828"/>
      <c r="AI146" s="828"/>
      <c r="AJ146" s="828"/>
    </row>
    <row r="147">
      <c r="A147" s="828"/>
      <c r="B147" s="828"/>
      <c r="C147" s="828"/>
      <c r="D147" s="828"/>
      <c r="E147" s="828"/>
      <c r="F147" s="828"/>
      <c r="G147" s="828"/>
      <c r="H147" s="828"/>
      <c r="I147" s="828"/>
      <c r="J147" s="828"/>
      <c r="K147" s="828"/>
      <c r="L147" s="828"/>
      <c r="M147" s="828"/>
      <c r="N147" s="828"/>
      <c r="O147" s="828"/>
      <c r="P147" s="828"/>
      <c r="Q147" s="828"/>
      <c r="R147" s="828"/>
      <c r="S147" s="828"/>
      <c r="T147" s="828"/>
      <c r="U147" s="828"/>
      <c r="V147" s="828"/>
      <c r="W147" s="828"/>
      <c r="X147" s="828"/>
      <c r="Y147" s="828"/>
      <c r="Z147" s="828"/>
      <c r="AA147" s="828"/>
      <c r="AB147" s="828"/>
      <c r="AC147" s="828"/>
      <c r="AD147" s="828"/>
      <c r="AE147" s="828"/>
      <c r="AF147" s="828"/>
      <c r="AG147" s="828"/>
      <c r="AH147" s="828"/>
      <c r="AI147" s="828"/>
      <c r="AJ147" s="828"/>
    </row>
    <row r="148">
      <c r="A148" s="828"/>
      <c r="B148" s="828"/>
      <c r="C148" s="828"/>
      <c r="D148" s="828"/>
      <c r="E148" s="828"/>
      <c r="F148" s="828"/>
      <c r="G148" s="828"/>
      <c r="H148" s="828"/>
      <c r="I148" s="828"/>
      <c r="J148" s="828"/>
      <c r="K148" s="828"/>
      <c r="L148" s="828"/>
      <c r="M148" s="828"/>
      <c r="N148" s="828"/>
      <c r="O148" s="828"/>
      <c r="P148" s="828"/>
      <c r="Q148" s="828"/>
      <c r="R148" s="828"/>
      <c r="S148" s="828"/>
      <c r="T148" s="828"/>
      <c r="U148" s="828"/>
      <c r="V148" s="828"/>
      <c r="W148" s="828"/>
      <c r="X148" s="828"/>
      <c r="Y148" s="828"/>
      <c r="Z148" s="828"/>
      <c r="AA148" s="828"/>
      <c r="AB148" s="828"/>
      <c r="AC148" s="828"/>
      <c r="AD148" s="828"/>
      <c r="AE148" s="828"/>
      <c r="AF148" s="828"/>
      <c r="AG148" s="828"/>
      <c r="AH148" s="828"/>
      <c r="AI148" s="828"/>
      <c r="AJ148" s="828"/>
    </row>
    <row r="149">
      <c r="A149" s="828"/>
      <c r="B149" s="828"/>
      <c r="C149" s="828"/>
      <c r="D149" s="828"/>
      <c r="E149" s="828"/>
      <c r="F149" s="828"/>
      <c r="G149" s="828"/>
      <c r="H149" s="828"/>
      <c r="I149" s="828"/>
      <c r="J149" s="828"/>
      <c r="K149" s="828"/>
      <c r="L149" s="828"/>
      <c r="M149" s="828"/>
      <c r="N149" s="828"/>
      <c r="O149" s="828"/>
      <c r="P149" s="828"/>
      <c r="Q149" s="828"/>
      <c r="R149" s="828"/>
      <c r="S149" s="828"/>
      <c r="T149" s="828"/>
      <c r="U149" s="828"/>
      <c r="V149" s="828"/>
      <c r="W149" s="828"/>
      <c r="X149" s="828"/>
      <c r="Y149" s="828"/>
      <c r="Z149" s="828"/>
      <c r="AA149" s="828"/>
      <c r="AB149" s="828"/>
      <c r="AC149" s="828"/>
      <c r="AD149" s="828"/>
      <c r="AE149" s="828"/>
      <c r="AF149" s="828"/>
      <c r="AG149" s="828"/>
      <c r="AH149" s="828"/>
      <c r="AI149" s="828"/>
      <c r="AJ149" s="828"/>
    </row>
    <row r="150">
      <c r="A150" s="828"/>
      <c r="B150" s="828"/>
      <c r="C150" s="828"/>
      <c r="D150" s="828"/>
      <c r="E150" s="828"/>
      <c r="F150" s="828"/>
      <c r="G150" s="828"/>
      <c r="H150" s="828"/>
      <c r="I150" s="828"/>
      <c r="J150" s="828"/>
      <c r="K150" s="828"/>
      <c r="L150" s="828"/>
      <c r="M150" s="828"/>
      <c r="N150" s="828"/>
      <c r="O150" s="828"/>
      <c r="P150" s="828"/>
      <c r="Q150" s="828"/>
      <c r="R150" s="828"/>
      <c r="S150" s="828"/>
      <c r="T150" s="828"/>
      <c r="U150" s="828"/>
      <c r="V150" s="828"/>
      <c r="W150" s="828"/>
      <c r="X150" s="828"/>
      <c r="Y150" s="828"/>
      <c r="Z150" s="828"/>
      <c r="AA150" s="828"/>
      <c r="AB150" s="828"/>
      <c r="AC150" s="828"/>
      <c r="AD150" s="828"/>
      <c r="AE150" s="828"/>
      <c r="AF150" s="828"/>
      <c r="AG150" s="828"/>
      <c r="AH150" s="828"/>
      <c r="AI150" s="828"/>
      <c r="AJ150" s="828"/>
    </row>
    <row r="151">
      <c r="A151" s="828"/>
      <c r="B151" s="828"/>
      <c r="C151" s="828"/>
      <c r="D151" s="828"/>
      <c r="E151" s="828"/>
      <c r="F151" s="828"/>
      <c r="G151" s="828"/>
      <c r="H151" s="828"/>
      <c r="I151" s="828"/>
      <c r="J151" s="828"/>
      <c r="K151" s="828"/>
      <c r="L151" s="828"/>
      <c r="M151" s="828"/>
      <c r="N151" s="828"/>
      <c r="O151" s="828"/>
      <c r="P151" s="828"/>
      <c r="Q151" s="828"/>
      <c r="R151" s="828"/>
      <c r="S151" s="828"/>
      <c r="T151" s="828"/>
      <c r="U151" s="828"/>
      <c r="V151" s="828"/>
      <c r="W151" s="828"/>
      <c r="X151" s="828"/>
      <c r="Y151" s="828"/>
      <c r="Z151" s="828"/>
      <c r="AA151" s="828"/>
      <c r="AB151" s="828"/>
      <c r="AC151" s="828"/>
      <c r="AD151" s="828"/>
      <c r="AE151" s="828"/>
      <c r="AF151" s="828"/>
      <c r="AG151" s="828"/>
      <c r="AH151" s="828"/>
      <c r="AI151" s="828"/>
      <c r="AJ151" s="828"/>
    </row>
    <row r="152">
      <c r="A152" s="828"/>
      <c r="B152" s="828"/>
      <c r="C152" s="828"/>
      <c r="D152" s="828"/>
      <c r="E152" s="828"/>
      <c r="F152" s="828"/>
      <c r="G152" s="828"/>
      <c r="H152" s="828"/>
      <c r="I152" s="828"/>
      <c r="J152" s="828"/>
      <c r="K152" s="828"/>
      <c r="L152" s="828"/>
      <c r="M152" s="828"/>
      <c r="N152" s="828"/>
      <c r="O152" s="828"/>
      <c r="P152" s="828"/>
      <c r="Q152" s="828"/>
      <c r="R152" s="828"/>
      <c r="S152" s="828"/>
      <c r="T152" s="828"/>
      <c r="U152" s="828"/>
      <c r="V152" s="828"/>
      <c r="W152" s="828"/>
      <c r="X152" s="828"/>
      <c r="Y152" s="828"/>
      <c r="Z152" s="828"/>
      <c r="AA152" s="828"/>
      <c r="AB152" s="828"/>
      <c r="AC152" s="828"/>
      <c r="AD152" s="828"/>
      <c r="AE152" s="828"/>
      <c r="AF152" s="828"/>
      <c r="AG152" s="828"/>
      <c r="AH152" s="828"/>
      <c r="AI152" s="828"/>
      <c r="AJ152" s="828"/>
    </row>
    <row r="153">
      <c r="A153" s="828"/>
      <c r="B153" s="828"/>
      <c r="C153" s="828"/>
      <c r="D153" s="828"/>
      <c r="E153" s="828"/>
      <c r="F153" s="828"/>
      <c r="G153" s="828"/>
      <c r="H153" s="828"/>
      <c r="I153" s="828"/>
      <c r="J153" s="828"/>
      <c r="K153" s="828"/>
      <c r="L153" s="828"/>
      <c r="M153" s="828"/>
      <c r="N153" s="828"/>
      <c r="O153" s="828"/>
      <c r="P153" s="828"/>
      <c r="Q153" s="828"/>
      <c r="R153" s="828"/>
      <c r="S153" s="828"/>
      <c r="T153" s="828"/>
      <c r="U153" s="828"/>
      <c r="V153" s="828"/>
      <c r="W153" s="828"/>
      <c r="X153" s="828"/>
      <c r="Y153" s="828"/>
      <c r="Z153" s="828"/>
      <c r="AA153" s="828"/>
      <c r="AB153" s="828"/>
      <c r="AC153" s="828"/>
      <c r="AD153" s="828"/>
      <c r="AE153" s="828"/>
      <c r="AF153" s="828"/>
      <c r="AG153" s="828"/>
      <c r="AH153" s="828"/>
      <c r="AI153" s="828"/>
      <c r="AJ153" s="828"/>
    </row>
    <row r="154">
      <c r="A154" s="828"/>
      <c r="B154" s="828"/>
      <c r="C154" s="828"/>
      <c r="D154" s="828"/>
      <c r="E154" s="828"/>
      <c r="F154" s="828"/>
      <c r="G154" s="828"/>
      <c r="H154" s="828"/>
      <c r="I154" s="828"/>
      <c r="J154" s="828"/>
      <c r="K154" s="828"/>
      <c r="L154" s="828"/>
      <c r="M154" s="828"/>
      <c r="N154" s="828"/>
      <c r="O154" s="828"/>
      <c r="P154" s="828"/>
      <c r="Q154" s="828"/>
      <c r="R154" s="828"/>
      <c r="S154" s="828"/>
      <c r="T154" s="828"/>
      <c r="U154" s="828"/>
      <c r="V154" s="828"/>
      <c r="W154" s="828"/>
      <c r="X154" s="828"/>
      <c r="Y154" s="828"/>
      <c r="Z154" s="828"/>
      <c r="AA154" s="828"/>
      <c r="AB154" s="828"/>
      <c r="AC154" s="828"/>
      <c r="AD154" s="828"/>
      <c r="AE154" s="828"/>
      <c r="AF154" s="828"/>
      <c r="AG154" s="828"/>
      <c r="AH154" s="828"/>
      <c r="AI154" s="828"/>
      <c r="AJ154" s="828"/>
    </row>
    <row r="155">
      <c r="A155" s="828"/>
      <c r="B155" s="828"/>
      <c r="C155" s="828"/>
      <c r="D155" s="828"/>
      <c r="E155" s="828"/>
      <c r="F155" s="828"/>
      <c r="G155" s="828"/>
      <c r="H155" s="828"/>
      <c r="I155" s="828"/>
      <c r="J155" s="828"/>
      <c r="K155" s="828"/>
      <c r="L155" s="828"/>
      <c r="M155" s="828"/>
      <c r="N155" s="828"/>
      <c r="O155" s="828"/>
      <c r="P155" s="828"/>
      <c r="Q155" s="828"/>
      <c r="R155" s="828"/>
      <c r="S155" s="828"/>
      <c r="T155" s="828"/>
      <c r="U155" s="828"/>
      <c r="V155" s="828"/>
      <c r="W155" s="828"/>
      <c r="X155" s="828"/>
      <c r="Y155" s="828"/>
      <c r="Z155" s="828"/>
      <c r="AA155" s="828"/>
      <c r="AB155" s="828"/>
      <c r="AC155" s="828"/>
      <c r="AD155" s="828"/>
      <c r="AE155" s="828"/>
      <c r="AF155" s="828"/>
      <c r="AG155" s="828"/>
      <c r="AH155" s="828"/>
      <c r="AI155" s="828"/>
      <c r="AJ155" s="828"/>
    </row>
    <row r="156">
      <c r="A156" s="828"/>
      <c r="B156" s="828"/>
      <c r="C156" s="828"/>
      <c r="D156" s="828"/>
      <c r="E156" s="828"/>
      <c r="F156" s="828"/>
      <c r="G156" s="828"/>
      <c r="H156" s="828"/>
      <c r="I156" s="828"/>
      <c r="J156" s="828"/>
      <c r="K156" s="828"/>
      <c r="L156" s="828"/>
      <c r="M156" s="828"/>
      <c r="N156" s="828"/>
      <c r="O156" s="828"/>
      <c r="P156" s="828"/>
      <c r="Q156" s="828"/>
      <c r="R156" s="828"/>
      <c r="S156" s="828"/>
      <c r="T156" s="828"/>
      <c r="U156" s="828"/>
      <c r="V156" s="828"/>
      <c r="W156" s="828"/>
      <c r="X156" s="828"/>
      <c r="Y156" s="828"/>
      <c r="Z156" s="828"/>
      <c r="AA156" s="828"/>
      <c r="AB156" s="828"/>
      <c r="AC156" s="828"/>
      <c r="AD156" s="828"/>
      <c r="AE156" s="828"/>
      <c r="AF156" s="828"/>
      <c r="AG156" s="828"/>
      <c r="AH156" s="828"/>
      <c r="AI156" s="828"/>
      <c r="AJ156" s="828"/>
    </row>
    <row r="157">
      <c r="A157" s="828"/>
      <c r="B157" s="828"/>
      <c r="C157" s="828"/>
      <c r="D157" s="828"/>
      <c r="E157" s="828"/>
      <c r="F157" s="828"/>
      <c r="G157" s="828"/>
      <c r="H157" s="828"/>
      <c r="I157" s="828"/>
      <c r="J157" s="828"/>
      <c r="K157" s="828"/>
      <c r="L157" s="828"/>
      <c r="M157" s="828"/>
      <c r="N157" s="828"/>
      <c r="O157" s="828"/>
      <c r="P157" s="828"/>
      <c r="Q157" s="828"/>
      <c r="R157" s="828"/>
      <c r="S157" s="828"/>
      <c r="T157" s="828"/>
      <c r="U157" s="828"/>
      <c r="V157" s="828"/>
      <c r="W157" s="828"/>
      <c r="X157" s="828"/>
      <c r="Y157" s="828"/>
      <c r="Z157" s="828"/>
      <c r="AA157" s="828"/>
      <c r="AB157" s="828"/>
      <c r="AC157" s="828"/>
      <c r="AD157" s="828"/>
      <c r="AE157" s="828"/>
      <c r="AF157" s="828"/>
      <c r="AG157" s="828"/>
      <c r="AH157" s="828"/>
      <c r="AI157" s="828"/>
      <c r="AJ157" s="828"/>
    </row>
    <row r="158">
      <c r="A158" s="828"/>
      <c r="B158" s="828"/>
      <c r="C158" s="828"/>
      <c r="D158" s="828"/>
      <c r="E158" s="828"/>
      <c r="F158" s="828"/>
      <c r="G158" s="828"/>
      <c r="H158" s="828"/>
      <c r="I158" s="828"/>
      <c r="J158" s="828"/>
      <c r="K158" s="828"/>
      <c r="L158" s="828"/>
      <c r="M158" s="828"/>
      <c r="N158" s="828"/>
      <c r="O158" s="828"/>
      <c r="P158" s="828"/>
      <c r="Q158" s="828"/>
      <c r="R158" s="828"/>
      <c r="S158" s="828"/>
      <c r="T158" s="828"/>
      <c r="U158" s="828"/>
      <c r="V158" s="828"/>
      <c r="W158" s="828"/>
      <c r="X158" s="828"/>
      <c r="Y158" s="828"/>
      <c r="Z158" s="828"/>
      <c r="AA158" s="828"/>
      <c r="AB158" s="828"/>
      <c r="AC158" s="828"/>
      <c r="AD158" s="828"/>
      <c r="AE158" s="828"/>
      <c r="AF158" s="828"/>
      <c r="AG158" s="828"/>
      <c r="AH158" s="828"/>
      <c r="AI158" s="828"/>
      <c r="AJ158" s="828"/>
    </row>
    <row r="159">
      <c r="A159" s="828"/>
      <c r="B159" s="828"/>
      <c r="C159" s="828"/>
      <c r="D159" s="828"/>
      <c r="E159" s="828"/>
      <c r="F159" s="828"/>
      <c r="G159" s="828"/>
      <c r="H159" s="828"/>
      <c r="I159" s="828"/>
      <c r="J159" s="828"/>
      <c r="K159" s="828"/>
      <c r="L159" s="828"/>
      <c r="M159" s="828"/>
      <c r="N159" s="828"/>
      <c r="O159" s="828"/>
      <c r="P159" s="828"/>
      <c r="Q159" s="828"/>
      <c r="R159" s="828"/>
      <c r="S159" s="828"/>
      <c r="T159" s="828"/>
      <c r="U159" s="828"/>
      <c r="V159" s="828"/>
      <c r="W159" s="828"/>
      <c r="X159" s="828"/>
      <c r="Y159" s="828"/>
      <c r="Z159" s="828"/>
      <c r="AA159" s="828"/>
      <c r="AB159" s="828"/>
      <c r="AC159" s="828"/>
      <c r="AD159" s="828"/>
      <c r="AE159" s="828"/>
      <c r="AF159" s="828"/>
      <c r="AG159" s="828"/>
      <c r="AH159" s="828"/>
      <c r="AI159" s="828"/>
      <c r="AJ159" s="828"/>
    </row>
    <row r="160">
      <c r="A160" s="828"/>
      <c r="B160" s="828"/>
      <c r="C160" s="828"/>
      <c r="D160" s="828"/>
      <c r="E160" s="828"/>
      <c r="F160" s="828"/>
      <c r="G160" s="828"/>
      <c r="H160" s="828"/>
      <c r="I160" s="828"/>
      <c r="J160" s="828"/>
      <c r="K160" s="828"/>
      <c r="L160" s="828"/>
      <c r="M160" s="828"/>
      <c r="N160" s="828"/>
      <c r="O160" s="828"/>
      <c r="P160" s="828"/>
      <c r="Q160" s="828"/>
      <c r="R160" s="828"/>
      <c r="S160" s="828"/>
      <c r="T160" s="828"/>
      <c r="U160" s="828"/>
      <c r="V160" s="828"/>
      <c r="W160" s="828"/>
      <c r="X160" s="828"/>
      <c r="Y160" s="828"/>
      <c r="Z160" s="828"/>
      <c r="AA160" s="828"/>
      <c r="AB160" s="828"/>
      <c r="AC160" s="828"/>
      <c r="AD160" s="828"/>
      <c r="AE160" s="828"/>
      <c r="AF160" s="828"/>
      <c r="AG160" s="828"/>
      <c r="AH160" s="828"/>
      <c r="AI160" s="828"/>
      <c r="AJ160" s="828"/>
    </row>
    <row r="161">
      <c r="A161" s="828"/>
      <c r="B161" s="828"/>
      <c r="C161" s="828"/>
      <c r="D161" s="828"/>
      <c r="E161" s="828"/>
      <c r="F161" s="828"/>
      <c r="G161" s="828"/>
      <c r="H161" s="828"/>
      <c r="I161" s="828"/>
      <c r="J161" s="828"/>
      <c r="K161" s="828"/>
      <c r="L161" s="828"/>
      <c r="M161" s="828"/>
      <c r="N161" s="828"/>
      <c r="O161" s="828"/>
      <c r="P161" s="828"/>
      <c r="Q161" s="828"/>
      <c r="R161" s="828"/>
      <c r="S161" s="828"/>
      <c r="T161" s="828"/>
      <c r="U161" s="828"/>
      <c r="V161" s="828"/>
      <c r="W161" s="828"/>
      <c r="X161" s="828"/>
      <c r="Y161" s="828"/>
      <c r="Z161" s="828"/>
      <c r="AA161" s="828"/>
      <c r="AB161" s="828"/>
      <c r="AC161" s="828"/>
      <c r="AD161" s="828"/>
      <c r="AE161" s="828"/>
      <c r="AF161" s="828"/>
      <c r="AG161" s="828"/>
      <c r="AH161" s="828"/>
      <c r="AI161" s="828"/>
      <c r="AJ161" s="828"/>
    </row>
    <row r="162">
      <c r="A162" s="828"/>
      <c r="B162" s="828"/>
      <c r="C162" s="828"/>
      <c r="D162" s="828"/>
      <c r="E162" s="828"/>
      <c r="F162" s="828"/>
      <c r="G162" s="828"/>
      <c r="H162" s="828"/>
      <c r="I162" s="828"/>
      <c r="J162" s="828"/>
      <c r="K162" s="828"/>
      <c r="L162" s="828"/>
      <c r="M162" s="828"/>
      <c r="N162" s="828"/>
      <c r="O162" s="828"/>
      <c r="P162" s="828"/>
      <c r="Q162" s="828"/>
      <c r="R162" s="828"/>
      <c r="S162" s="828"/>
      <c r="T162" s="828"/>
      <c r="U162" s="828"/>
      <c r="V162" s="828"/>
      <c r="W162" s="828"/>
      <c r="X162" s="828"/>
      <c r="Y162" s="828"/>
      <c r="Z162" s="828"/>
      <c r="AA162" s="828"/>
      <c r="AB162" s="828"/>
      <c r="AC162" s="828"/>
      <c r="AD162" s="828"/>
      <c r="AE162" s="828"/>
      <c r="AF162" s="828"/>
      <c r="AG162" s="828"/>
      <c r="AH162" s="828"/>
      <c r="AI162" s="828"/>
      <c r="AJ162" s="828"/>
    </row>
    <row r="163">
      <c r="A163" s="828"/>
      <c r="B163" s="828"/>
      <c r="C163" s="828"/>
      <c r="D163" s="828"/>
      <c r="E163" s="828"/>
      <c r="F163" s="828"/>
      <c r="G163" s="828"/>
      <c r="H163" s="828"/>
      <c r="I163" s="828"/>
      <c r="J163" s="828"/>
      <c r="K163" s="828"/>
      <c r="L163" s="828"/>
      <c r="M163" s="828"/>
      <c r="N163" s="828"/>
      <c r="O163" s="828"/>
      <c r="P163" s="828"/>
      <c r="Q163" s="828"/>
      <c r="R163" s="828"/>
      <c r="S163" s="828"/>
      <c r="T163" s="828"/>
      <c r="U163" s="828"/>
      <c r="V163" s="828"/>
      <c r="W163" s="828"/>
      <c r="X163" s="828"/>
      <c r="Y163" s="828"/>
      <c r="Z163" s="828"/>
      <c r="AA163" s="828"/>
      <c r="AB163" s="828"/>
      <c r="AC163" s="828"/>
      <c r="AD163" s="828"/>
      <c r="AE163" s="828"/>
      <c r="AF163" s="828"/>
      <c r="AG163" s="828"/>
      <c r="AH163" s="828"/>
      <c r="AI163" s="828"/>
      <c r="AJ163" s="828"/>
    </row>
    <row r="164">
      <c r="A164" s="828"/>
      <c r="B164" s="828"/>
      <c r="C164" s="828"/>
      <c r="D164" s="828"/>
      <c r="E164" s="828"/>
      <c r="F164" s="828"/>
      <c r="G164" s="828"/>
      <c r="H164" s="828"/>
      <c r="I164" s="828"/>
      <c r="J164" s="828"/>
      <c r="K164" s="828"/>
      <c r="L164" s="828"/>
      <c r="M164" s="828"/>
      <c r="N164" s="828"/>
      <c r="O164" s="828"/>
      <c r="P164" s="828"/>
      <c r="Q164" s="828"/>
      <c r="R164" s="828"/>
      <c r="S164" s="828"/>
      <c r="T164" s="828"/>
      <c r="U164" s="828"/>
      <c r="V164" s="828"/>
      <c r="W164" s="828"/>
      <c r="X164" s="828"/>
      <c r="Y164" s="828"/>
      <c r="Z164" s="828"/>
      <c r="AA164" s="828"/>
      <c r="AB164" s="828"/>
      <c r="AC164" s="828"/>
      <c r="AD164" s="828"/>
      <c r="AE164" s="828"/>
      <c r="AF164" s="828"/>
      <c r="AG164" s="828"/>
      <c r="AH164" s="828"/>
      <c r="AI164" s="828"/>
      <c r="AJ164" s="828"/>
    </row>
    <row r="165">
      <c r="A165" s="828"/>
      <c r="B165" s="828"/>
      <c r="C165" s="828"/>
      <c r="D165" s="828"/>
      <c r="E165" s="828"/>
      <c r="F165" s="828"/>
      <c r="G165" s="828"/>
      <c r="H165" s="828"/>
      <c r="I165" s="828"/>
      <c r="J165" s="828"/>
      <c r="K165" s="828"/>
      <c r="L165" s="828"/>
      <c r="M165" s="828"/>
      <c r="N165" s="828"/>
      <c r="O165" s="828"/>
      <c r="P165" s="828"/>
      <c r="Q165" s="828"/>
      <c r="R165" s="828"/>
      <c r="S165" s="828"/>
      <c r="T165" s="828"/>
      <c r="U165" s="828"/>
      <c r="V165" s="828"/>
      <c r="W165" s="828"/>
      <c r="X165" s="828"/>
      <c r="Y165" s="828"/>
      <c r="Z165" s="828"/>
      <c r="AA165" s="828"/>
      <c r="AB165" s="828"/>
      <c r="AC165" s="828"/>
      <c r="AD165" s="828"/>
      <c r="AE165" s="828"/>
      <c r="AF165" s="828"/>
      <c r="AG165" s="828"/>
      <c r="AH165" s="828"/>
      <c r="AI165" s="828"/>
      <c r="AJ165" s="828"/>
    </row>
    <row r="166">
      <c r="A166" s="828"/>
      <c r="B166" s="828"/>
      <c r="C166" s="828"/>
      <c r="D166" s="828"/>
      <c r="E166" s="828"/>
      <c r="F166" s="828"/>
      <c r="G166" s="828"/>
      <c r="H166" s="828"/>
      <c r="I166" s="828"/>
      <c r="J166" s="828"/>
      <c r="K166" s="828"/>
      <c r="L166" s="828"/>
      <c r="M166" s="828"/>
      <c r="N166" s="828"/>
      <c r="O166" s="828"/>
      <c r="P166" s="828"/>
      <c r="Q166" s="828"/>
      <c r="R166" s="828"/>
      <c r="S166" s="828"/>
      <c r="T166" s="828"/>
      <c r="U166" s="828"/>
      <c r="V166" s="828"/>
      <c r="W166" s="828"/>
      <c r="X166" s="828"/>
      <c r="Y166" s="828"/>
      <c r="Z166" s="828"/>
      <c r="AA166" s="828"/>
      <c r="AB166" s="828"/>
      <c r="AC166" s="828"/>
      <c r="AD166" s="828"/>
      <c r="AE166" s="828"/>
      <c r="AF166" s="828"/>
      <c r="AG166" s="828"/>
      <c r="AH166" s="828"/>
      <c r="AI166" s="828"/>
      <c r="AJ166" s="828"/>
    </row>
    <row r="167">
      <c r="A167" s="828"/>
      <c r="B167" s="828"/>
      <c r="C167" s="828"/>
      <c r="D167" s="828"/>
      <c r="E167" s="828"/>
      <c r="F167" s="828"/>
      <c r="G167" s="828"/>
      <c r="H167" s="828"/>
      <c r="I167" s="828"/>
      <c r="J167" s="828"/>
      <c r="K167" s="828"/>
      <c r="L167" s="828"/>
      <c r="M167" s="828"/>
      <c r="N167" s="828"/>
      <c r="O167" s="828"/>
      <c r="P167" s="828"/>
      <c r="Q167" s="828"/>
      <c r="R167" s="828"/>
      <c r="S167" s="828"/>
      <c r="T167" s="828"/>
      <c r="U167" s="828"/>
      <c r="V167" s="828"/>
      <c r="W167" s="828"/>
      <c r="X167" s="828"/>
      <c r="Y167" s="828"/>
      <c r="Z167" s="828"/>
      <c r="AA167" s="828"/>
      <c r="AB167" s="828"/>
      <c r="AC167" s="828"/>
      <c r="AD167" s="828"/>
      <c r="AE167" s="828"/>
      <c r="AF167" s="828"/>
      <c r="AG167" s="828"/>
      <c r="AH167" s="828"/>
      <c r="AI167" s="828"/>
      <c r="AJ167" s="828"/>
    </row>
    <row r="168">
      <c r="A168" s="828"/>
      <c r="B168" s="828"/>
      <c r="C168" s="828"/>
      <c r="D168" s="828"/>
      <c r="E168" s="828"/>
      <c r="F168" s="828"/>
      <c r="G168" s="828"/>
      <c r="H168" s="828"/>
      <c r="I168" s="828"/>
      <c r="J168" s="828"/>
      <c r="K168" s="828"/>
      <c r="L168" s="828"/>
      <c r="M168" s="828"/>
      <c r="N168" s="828"/>
      <c r="O168" s="828"/>
      <c r="P168" s="828"/>
      <c r="Q168" s="828"/>
      <c r="R168" s="828"/>
      <c r="S168" s="828"/>
      <c r="T168" s="828"/>
      <c r="U168" s="828"/>
      <c r="V168" s="828"/>
      <c r="W168" s="828"/>
      <c r="X168" s="828"/>
      <c r="Y168" s="828"/>
      <c r="Z168" s="828"/>
      <c r="AA168" s="828"/>
      <c r="AB168" s="828"/>
      <c r="AC168" s="828"/>
      <c r="AD168" s="828"/>
      <c r="AE168" s="828"/>
      <c r="AF168" s="828"/>
      <c r="AG168" s="828"/>
      <c r="AH168" s="828"/>
      <c r="AI168" s="828"/>
      <c r="AJ168" s="828"/>
    </row>
    <row r="169">
      <c r="A169" s="828"/>
      <c r="B169" s="828"/>
      <c r="C169" s="828"/>
      <c r="D169" s="828"/>
      <c r="E169" s="828"/>
      <c r="F169" s="828"/>
      <c r="G169" s="828"/>
      <c r="H169" s="828"/>
      <c r="I169" s="828"/>
      <c r="J169" s="828"/>
      <c r="K169" s="828"/>
      <c r="L169" s="828"/>
      <c r="M169" s="828"/>
      <c r="N169" s="828"/>
      <c r="O169" s="828"/>
      <c r="P169" s="828"/>
      <c r="Q169" s="828"/>
      <c r="R169" s="828"/>
      <c r="S169" s="828"/>
      <c r="T169" s="828"/>
      <c r="U169" s="828"/>
      <c r="V169" s="828"/>
      <c r="W169" s="828"/>
      <c r="X169" s="828"/>
      <c r="Y169" s="828"/>
      <c r="Z169" s="828"/>
      <c r="AA169" s="828"/>
      <c r="AB169" s="828"/>
      <c r="AC169" s="828"/>
      <c r="AD169" s="828"/>
      <c r="AE169" s="828"/>
      <c r="AF169" s="828"/>
      <c r="AG169" s="828"/>
      <c r="AH169" s="828"/>
      <c r="AI169" s="828"/>
      <c r="AJ169" s="828"/>
    </row>
    <row r="170">
      <c r="A170" s="828"/>
      <c r="B170" s="828"/>
      <c r="C170" s="828"/>
      <c r="D170" s="828"/>
      <c r="E170" s="828"/>
      <c r="F170" s="828"/>
      <c r="G170" s="828"/>
      <c r="H170" s="828"/>
      <c r="I170" s="828"/>
      <c r="J170" s="828"/>
      <c r="K170" s="828"/>
      <c r="L170" s="828"/>
      <c r="M170" s="828"/>
      <c r="N170" s="828"/>
      <c r="O170" s="828"/>
      <c r="P170" s="828"/>
      <c r="Q170" s="828"/>
      <c r="R170" s="828"/>
      <c r="S170" s="828"/>
      <c r="T170" s="828"/>
      <c r="U170" s="828"/>
      <c r="V170" s="828"/>
      <c r="W170" s="828"/>
      <c r="X170" s="828"/>
      <c r="Y170" s="828"/>
      <c r="Z170" s="828"/>
      <c r="AA170" s="828"/>
      <c r="AB170" s="828"/>
      <c r="AC170" s="828"/>
      <c r="AD170" s="828"/>
      <c r="AE170" s="828"/>
      <c r="AF170" s="828"/>
      <c r="AG170" s="828"/>
      <c r="AH170" s="828"/>
      <c r="AI170" s="828"/>
      <c r="AJ170" s="828"/>
    </row>
    <row r="171">
      <c r="A171" s="828"/>
      <c r="B171" s="828"/>
      <c r="C171" s="828"/>
      <c r="D171" s="828"/>
      <c r="E171" s="828"/>
      <c r="F171" s="828"/>
      <c r="G171" s="828"/>
      <c r="H171" s="828"/>
      <c r="I171" s="828"/>
      <c r="J171" s="828"/>
      <c r="K171" s="828"/>
      <c r="L171" s="828"/>
      <c r="M171" s="828"/>
      <c r="N171" s="828"/>
      <c r="O171" s="828"/>
      <c r="P171" s="828"/>
      <c r="Q171" s="828"/>
      <c r="R171" s="828"/>
      <c r="S171" s="828"/>
      <c r="T171" s="828"/>
      <c r="U171" s="828"/>
      <c r="V171" s="828"/>
      <c r="W171" s="828"/>
      <c r="X171" s="828"/>
      <c r="Y171" s="828"/>
      <c r="Z171" s="828"/>
      <c r="AA171" s="828"/>
      <c r="AB171" s="828"/>
      <c r="AC171" s="828"/>
      <c r="AD171" s="828"/>
      <c r="AE171" s="828"/>
      <c r="AF171" s="828"/>
      <c r="AG171" s="828"/>
      <c r="AH171" s="828"/>
      <c r="AI171" s="828"/>
      <c r="AJ171" s="828"/>
    </row>
    <row r="172">
      <c r="A172" s="828"/>
      <c r="B172" s="828"/>
      <c r="C172" s="828"/>
      <c r="D172" s="828"/>
      <c r="E172" s="828"/>
      <c r="F172" s="828"/>
      <c r="G172" s="828"/>
      <c r="H172" s="828"/>
      <c r="I172" s="828"/>
      <c r="J172" s="828"/>
      <c r="K172" s="828"/>
      <c r="L172" s="828"/>
      <c r="M172" s="828"/>
      <c r="N172" s="828"/>
      <c r="O172" s="828"/>
      <c r="P172" s="828"/>
      <c r="Q172" s="828"/>
      <c r="R172" s="828"/>
      <c r="S172" s="828"/>
      <c r="T172" s="828"/>
      <c r="U172" s="828"/>
      <c r="V172" s="828"/>
      <c r="W172" s="828"/>
      <c r="X172" s="828"/>
      <c r="Y172" s="828"/>
      <c r="Z172" s="828"/>
      <c r="AA172" s="828"/>
      <c r="AB172" s="828"/>
      <c r="AC172" s="828"/>
      <c r="AD172" s="828"/>
      <c r="AE172" s="828"/>
      <c r="AF172" s="828"/>
      <c r="AG172" s="828"/>
      <c r="AH172" s="828"/>
      <c r="AI172" s="828"/>
      <c r="AJ172" s="828"/>
    </row>
    <row r="173">
      <c r="A173" s="828"/>
      <c r="B173" s="828"/>
      <c r="C173" s="828"/>
      <c r="D173" s="828"/>
      <c r="E173" s="828"/>
      <c r="F173" s="828"/>
      <c r="G173" s="828"/>
      <c r="H173" s="828"/>
      <c r="I173" s="828"/>
      <c r="J173" s="828"/>
      <c r="K173" s="828"/>
      <c r="L173" s="828"/>
      <c r="M173" s="828"/>
      <c r="N173" s="828"/>
      <c r="O173" s="828"/>
      <c r="P173" s="828"/>
      <c r="Q173" s="828"/>
      <c r="R173" s="828"/>
      <c r="S173" s="828"/>
      <c r="T173" s="828"/>
      <c r="U173" s="828"/>
      <c r="V173" s="828"/>
      <c r="W173" s="828"/>
      <c r="X173" s="828"/>
      <c r="Y173" s="828"/>
      <c r="Z173" s="828"/>
      <c r="AA173" s="828"/>
      <c r="AB173" s="828"/>
      <c r="AC173" s="828"/>
      <c r="AD173" s="828"/>
      <c r="AE173" s="828"/>
      <c r="AF173" s="828"/>
      <c r="AG173" s="828"/>
      <c r="AH173" s="828"/>
      <c r="AI173" s="828"/>
      <c r="AJ173" s="828"/>
    </row>
    <row r="174">
      <c r="A174" s="828"/>
      <c r="B174" s="828"/>
      <c r="C174" s="828"/>
      <c r="D174" s="828"/>
      <c r="E174" s="828"/>
      <c r="F174" s="828"/>
      <c r="G174" s="828"/>
      <c r="H174" s="828"/>
      <c r="I174" s="828"/>
      <c r="J174" s="828"/>
      <c r="K174" s="828"/>
      <c r="L174" s="828"/>
      <c r="M174" s="828"/>
      <c r="N174" s="828"/>
      <c r="O174" s="828"/>
      <c r="P174" s="828"/>
      <c r="Q174" s="828"/>
      <c r="R174" s="828"/>
      <c r="S174" s="828"/>
      <c r="T174" s="828"/>
      <c r="U174" s="828"/>
      <c r="V174" s="828"/>
      <c r="W174" s="828"/>
      <c r="X174" s="828"/>
      <c r="Y174" s="828"/>
      <c r="Z174" s="828"/>
      <c r="AA174" s="828"/>
      <c r="AB174" s="828"/>
      <c r="AC174" s="828"/>
      <c r="AD174" s="828"/>
      <c r="AE174" s="828"/>
      <c r="AF174" s="828"/>
      <c r="AG174" s="828"/>
      <c r="AH174" s="828"/>
      <c r="AI174" s="828"/>
      <c r="AJ174" s="828"/>
    </row>
    <row r="175">
      <c r="A175" s="828"/>
      <c r="B175" s="828"/>
      <c r="C175" s="828"/>
      <c r="D175" s="828"/>
      <c r="E175" s="828"/>
      <c r="F175" s="828"/>
      <c r="G175" s="828"/>
      <c r="H175" s="828"/>
      <c r="I175" s="828"/>
      <c r="J175" s="828"/>
      <c r="K175" s="828"/>
      <c r="L175" s="828"/>
      <c r="M175" s="828"/>
      <c r="N175" s="828"/>
      <c r="O175" s="828"/>
      <c r="P175" s="828"/>
      <c r="Q175" s="828"/>
      <c r="R175" s="828"/>
      <c r="S175" s="828"/>
      <c r="T175" s="828"/>
      <c r="U175" s="828"/>
      <c r="V175" s="828"/>
      <c r="W175" s="828"/>
      <c r="X175" s="828"/>
      <c r="Y175" s="828"/>
      <c r="Z175" s="828"/>
      <c r="AA175" s="828"/>
      <c r="AB175" s="828"/>
      <c r="AC175" s="828"/>
      <c r="AD175" s="828"/>
      <c r="AE175" s="828"/>
      <c r="AF175" s="828"/>
      <c r="AG175" s="828"/>
      <c r="AH175" s="828"/>
      <c r="AI175" s="828"/>
      <c r="AJ175" s="828"/>
    </row>
    <row r="176">
      <c r="A176" s="828"/>
      <c r="B176" s="828"/>
      <c r="C176" s="828"/>
      <c r="D176" s="828"/>
      <c r="E176" s="828"/>
      <c r="F176" s="828"/>
      <c r="G176" s="828"/>
      <c r="H176" s="828"/>
      <c r="I176" s="828"/>
      <c r="J176" s="828"/>
      <c r="K176" s="828"/>
      <c r="L176" s="828"/>
      <c r="M176" s="828"/>
      <c r="N176" s="828"/>
      <c r="O176" s="828"/>
      <c r="P176" s="828"/>
      <c r="Q176" s="828"/>
      <c r="R176" s="828"/>
      <c r="S176" s="828"/>
      <c r="T176" s="828"/>
      <c r="U176" s="828"/>
      <c r="V176" s="828"/>
      <c r="W176" s="828"/>
      <c r="X176" s="828"/>
      <c r="Y176" s="828"/>
      <c r="Z176" s="828"/>
      <c r="AA176" s="828"/>
      <c r="AB176" s="828"/>
      <c r="AC176" s="828"/>
      <c r="AD176" s="828"/>
      <c r="AE176" s="828"/>
      <c r="AF176" s="828"/>
      <c r="AG176" s="828"/>
      <c r="AH176" s="828"/>
      <c r="AI176" s="828"/>
      <c r="AJ176" s="828"/>
    </row>
    <row r="177">
      <c r="A177" s="828"/>
      <c r="B177" s="828"/>
      <c r="C177" s="828"/>
      <c r="D177" s="828"/>
      <c r="E177" s="828"/>
      <c r="F177" s="828"/>
      <c r="G177" s="828"/>
      <c r="H177" s="828"/>
      <c r="I177" s="828"/>
      <c r="J177" s="828"/>
      <c r="K177" s="828"/>
      <c r="L177" s="828"/>
      <c r="M177" s="828"/>
      <c r="N177" s="828"/>
      <c r="O177" s="828"/>
      <c r="P177" s="828"/>
      <c r="Q177" s="828"/>
      <c r="R177" s="828"/>
      <c r="S177" s="828"/>
      <c r="T177" s="828"/>
      <c r="U177" s="828"/>
      <c r="V177" s="828"/>
      <c r="W177" s="828"/>
      <c r="X177" s="828"/>
      <c r="Y177" s="828"/>
      <c r="Z177" s="828"/>
      <c r="AA177" s="828"/>
      <c r="AB177" s="828"/>
      <c r="AC177" s="828"/>
      <c r="AD177" s="828"/>
      <c r="AE177" s="828"/>
      <c r="AF177" s="828"/>
      <c r="AG177" s="828"/>
      <c r="AH177" s="828"/>
      <c r="AI177" s="828"/>
      <c r="AJ177" s="828"/>
    </row>
    <row r="178">
      <c r="A178" s="828"/>
      <c r="B178" s="828"/>
      <c r="C178" s="828"/>
      <c r="D178" s="828"/>
      <c r="E178" s="828"/>
      <c r="F178" s="828"/>
      <c r="G178" s="828"/>
      <c r="H178" s="828"/>
      <c r="I178" s="828"/>
      <c r="J178" s="828"/>
      <c r="K178" s="828"/>
      <c r="L178" s="828"/>
      <c r="M178" s="828"/>
      <c r="N178" s="828"/>
      <c r="O178" s="828"/>
      <c r="P178" s="828"/>
      <c r="Q178" s="828"/>
      <c r="R178" s="828"/>
      <c r="S178" s="828"/>
      <c r="T178" s="828"/>
      <c r="U178" s="828"/>
      <c r="V178" s="828"/>
      <c r="W178" s="828"/>
      <c r="X178" s="828"/>
      <c r="Y178" s="828"/>
      <c r="Z178" s="828"/>
      <c r="AA178" s="828"/>
      <c r="AB178" s="828"/>
      <c r="AC178" s="828"/>
      <c r="AD178" s="828"/>
      <c r="AE178" s="828"/>
      <c r="AF178" s="828"/>
      <c r="AG178" s="828"/>
      <c r="AH178" s="828"/>
      <c r="AI178" s="828"/>
      <c r="AJ178" s="828"/>
    </row>
    <row r="179">
      <c r="A179" s="828"/>
      <c r="B179" s="828"/>
      <c r="C179" s="828"/>
      <c r="D179" s="828"/>
      <c r="E179" s="828"/>
      <c r="F179" s="828"/>
      <c r="G179" s="828"/>
      <c r="H179" s="828"/>
      <c r="I179" s="828"/>
      <c r="J179" s="828"/>
      <c r="K179" s="828"/>
      <c r="L179" s="828"/>
      <c r="M179" s="828"/>
      <c r="N179" s="828"/>
      <c r="O179" s="828"/>
      <c r="P179" s="828"/>
      <c r="Q179" s="828"/>
      <c r="R179" s="828"/>
      <c r="S179" s="828"/>
      <c r="T179" s="828"/>
      <c r="U179" s="828"/>
      <c r="V179" s="828"/>
      <c r="W179" s="828"/>
      <c r="X179" s="828"/>
      <c r="Y179" s="828"/>
      <c r="Z179" s="828"/>
      <c r="AA179" s="828"/>
      <c r="AB179" s="828"/>
      <c r="AC179" s="828"/>
      <c r="AD179" s="828"/>
      <c r="AE179" s="828"/>
      <c r="AF179" s="828"/>
      <c r="AG179" s="828"/>
      <c r="AH179" s="828"/>
      <c r="AI179" s="828"/>
      <c r="AJ179" s="828"/>
    </row>
    <row r="180">
      <c r="A180" s="828"/>
      <c r="B180" s="828"/>
      <c r="C180" s="828"/>
      <c r="D180" s="828"/>
      <c r="E180" s="828"/>
      <c r="F180" s="828"/>
      <c r="G180" s="828"/>
      <c r="H180" s="828"/>
      <c r="I180" s="828"/>
      <c r="J180" s="828"/>
      <c r="K180" s="828"/>
      <c r="L180" s="828"/>
      <c r="M180" s="828"/>
      <c r="N180" s="828"/>
      <c r="O180" s="828"/>
      <c r="P180" s="828"/>
      <c r="Q180" s="828"/>
      <c r="R180" s="828"/>
      <c r="S180" s="828"/>
      <c r="T180" s="828"/>
      <c r="U180" s="828"/>
      <c r="V180" s="828"/>
      <c r="W180" s="828"/>
      <c r="X180" s="828"/>
      <c r="Y180" s="828"/>
      <c r="Z180" s="828"/>
      <c r="AA180" s="828"/>
      <c r="AB180" s="828"/>
      <c r="AC180" s="828"/>
      <c r="AD180" s="828"/>
      <c r="AE180" s="828"/>
      <c r="AF180" s="828"/>
      <c r="AG180" s="828"/>
      <c r="AH180" s="828"/>
      <c r="AI180" s="828"/>
      <c r="AJ180" s="828"/>
    </row>
    <row r="181">
      <c r="A181" s="828"/>
      <c r="B181" s="828"/>
      <c r="C181" s="828"/>
      <c r="D181" s="828"/>
      <c r="E181" s="828"/>
      <c r="F181" s="828"/>
      <c r="G181" s="828"/>
      <c r="H181" s="828"/>
      <c r="I181" s="828"/>
      <c r="J181" s="828"/>
      <c r="K181" s="828"/>
      <c r="L181" s="828"/>
      <c r="M181" s="828"/>
      <c r="N181" s="828"/>
      <c r="O181" s="828"/>
      <c r="P181" s="828"/>
      <c r="Q181" s="828"/>
      <c r="R181" s="828"/>
      <c r="S181" s="828"/>
      <c r="T181" s="828"/>
      <c r="U181" s="828"/>
      <c r="V181" s="828"/>
      <c r="W181" s="828"/>
      <c r="X181" s="828"/>
      <c r="Y181" s="828"/>
      <c r="Z181" s="828"/>
      <c r="AA181" s="828"/>
      <c r="AB181" s="828"/>
      <c r="AC181" s="828"/>
      <c r="AD181" s="828"/>
      <c r="AE181" s="828"/>
      <c r="AF181" s="828"/>
      <c r="AG181" s="828"/>
      <c r="AH181" s="828"/>
      <c r="AI181" s="828"/>
      <c r="AJ181" s="828"/>
    </row>
    <row r="182">
      <c r="A182" s="828"/>
      <c r="B182" s="828"/>
      <c r="C182" s="828"/>
      <c r="D182" s="828"/>
      <c r="E182" s="828"/>
      <c r="F182" s="828"/>
      <c r="G182" s="828"/>
      <c r="H182" s="828"/>
      <c r="I182" s="828"/>
      <c r="J182" s="828"/>
      <c r="K182" s="828"/>
      <c r="L182" s="828"/>
      <c r="M182" s="828"/>
      <c r="N182" s="828"/>
      <c r="O182" s="828"/>
      <c r="P182" s="828"/>
      <c r="Q182" s="828"/>
      <c r="R182" s="828"/>
      <c r="S182" s="828"/>
      <c r="T182" s="828"/>
      <c r="U182" s="828"/>
      <c r="V182" s="828"/>
      <c r="W182" s="828"/>
      <c r="X182" s="828"/>
      <c r="Y182" s="828"/>
      <c r="Z182" s="828"/>
      <c r="AA182" s="828"/>
      <c r="AB182" s="828"/>
      <c r="AC182" s="828"/>
      <c r="AD182" s="828"/>
      <c r="AE182" s="828"/>
      <c r="AF182" s="828"/>
      <c r="AG182" s="828"/>
      <c r="AH182" s="828"/>
      <c r="AI182" s="828"/>
      <c r="AJ182" s="828"/>
    </row>
    <row r="183">
      <c r="A183" s="828"/>
      <c r="B183" s="828"/>
      <c r="C183" s="828"/>
      <c r="D183" s="828"/>
      <c r="E183" s="828"/>
      <c r="F183" s="828"/>
      <c r="G183" s="828"/>
      <c r="H183" s="828"/>
      <c r="I183" s="828"/>
      <c r="J183" s="828"/>
      <c r="K183" s="828"/>
      <c r="L183" s="828"/>
      <c r="M183" s="828"/>
      <c r="N183" s="828"/>
      <c r="O183" s="828"/>
      <c r="P183" s="828"/>
      <c r="Q183" s="828"/>
      <c r="R183" s="828"/>
      <c r="S183" s="828"/>
      <c r="T183" s="828"/>
      <c r="U183" s="828"/>
      <c r="V183" s="828"/>
      <c r="W183" s="828"/>
      <c r="X183" s="828"/>
      <c r="Y183" s="828"/>
      <c r="Z183" s="828"/>
      <c r="AA183" s="828"/>
      <c r="AB183" s="828"/>
      <c r="AC183" s="828"/>
      <c r="AD183" s="828"/>
      <c r="AE183" s="828"/>
      <c r="AF183" s="828"/>
      <c r="AG183" s="828"/>
      <c r="AH183" s="828"/>
      <c r="AI183" s="828"/>
      <c r="AJ183" s="828"/>
    </row>
    <row r="184">
      <c r="A184" s="828"/>
      <c r="B184" s="828"/>
      <c r="C184" s="828"/>
      <c r="D184" s="828"/>
      <c r="E184" s="828"/>
      <c r="F184" s="828"/>
      <c r="G184" s="828"/>
      <c r="H184" s="828"/>
      <c r="I184" s="828"/>
      <c r="J184" s="828"/>
      <c r="K184" s="828"/>
      <c r="L184" s="828"/>
      <c r="M184" s="828"/>
      <c r="N184" s="828"/>
      <c r="O184" s="828"/>
      <c r="P184" s="828"/>
      <c r="Q184" s="828"/>
      <c r="R184" s="828"/>
      <c r="S184" s="828"/>
      <c r="T184" s="828"/>
      <c r="U184" s="828"/>
      <c r="V184" s="828"/>
      <c r="W184" s="828"/>
      <c r="X184" s="828"/>
      <c r="Y184" s="828"/>
      <c r="Z184" s="828"/>
      <c r="AA184" s="828"/>
      <c r="AB184" s="828"/>
      <c r="AC184" s="828"/>
      <c r="AD184" s="828"/>
      <c r="AE184" s="828"/>
      <c r="AF184" s="828"/>
      <c r="AG184" s="828"/>
      <c r="AH184" s="828"/>
      <c r="AI184" s="828"/>
      <c r="AJ184" s="828"/>
    </row>
    <row r="185">
      <c r="A185" s="828"/>
      <c r="B185" s="828"/>
      <c r="C185" s="828"/>
      <c r="D185" s="828"/>
      <c r="E185" s="828"/>
      <c r="F185" s="828"/>
      <c r="G185" s="828"/>
      <c r="H185" s="828"/>
      <c r="I185" s="828"/>
      <c r="J185" s="828"/>
      <c r="K185" s="828"/>
      <c r="L185" s="828"/>
      <c r="M185" s="828"/>
      <c r="N185" s="828"/>
      <c r="O185" s="828"/>
      <c r="P185" s="828"/>
      <c r="Q185" s="828"/>
      <c r="R185" s="828"/>
      <c r="S185" s="828"/>
      <c r="T185" s="828"/>
      <c r="U185" s="828"/>
      <c r="V185" s="828"/>
      <c r="W185" s="828"/>
      <c r="X185" s="828"/>
      <c r="Y185" s="828"/>
      <c r="Z185" s="828"/>
      <c r="AA185" s="828"/>
      <c r="AB185" s="828"/>
      <c r="AC185" s="828"/>
      <c r="AD185" s="828"/>
      <c r="AE185" s="828"/>
      <c r="AF185" s="828"/>
      <c r="AG185" s="828"/>
      <c r="AH185" s="828"/>
      <c r="AI185" s="828"/>
      <c r="AJ185" s="828"/>
    </row>
    <row r="186">
      <c r="A186" s="828"/>
      <c r="B186" s="828"/>
      <c r="C186" s="828"/>
      <c r="D186" s="828"/>
      <c r="E186" s="828"/>
      <c r="F186" s="828"/>
      <c r="G186" s="828"/>
      <c r="H186" s="828"/>
      <c r="I186" s="828"/>
      <c r="J186" s="828"/>
      <c r="K186" s="828"/>
      <c r="L186" s="828"/>
      <c r="M186" s="828"/>
      <c r="N186" s="828"/>
      <c r="O186" s="828"/>
      <c r="P186" s="828"/>
      <c r="Q186" s="828"/>
      <c r="R186" s="828"/>
      <c r="S186" s="828"/>
      <c r="T186" s="828"/>
      <c r="U186" s="828"/>
      <c r="V186" s="828"/>
      <c r="W186" s="828"/>
      <c r="X186" s="828"/>
      <c r="Y186" s="828"/>
      <c r="Z186" s="828"/>
      <c r="AA186" s="828"/>
      <c r="AB186" s="828"/>
      <c r="AC186" s="828"/>
      <c r="AD186" s="828"/>
      <c r="AE186" s="828"/>
      <c r="AF186" s="828"/>
      <c r="AG186" s="828"/>
      <c r="AH186" s="828"/>
      <c r="AI186" s="828"/>
      <c r="AJ186" s="828"/>
    </row>
    <row r="187">
      <c r="A187" s="828"/>
      <c r="B187" s="828"/>
      <c r="C187" s="828"/>
      <c r="D187" s="828"/>
      <c r="E187" s="828"/>
      <c r="F187" s="828"/>
      <c r="G187" s="828"/>
      <c r="H187" s="828"/>
      <c r="I187" s="828"/>
      <c r="J187" s="828"/>
      <c r="K187" s="828"/>
      <c r="L187" s="828"/>
      <c r="M187" s="828"/>
      <c r="N187" s="828"/>
      <c r="O187" s="828"/>
      <c r="P187" s="828"/>
      <c r="Q187" s="828"/>
      <c r="R187" s="828"/>
      <c r="S187" s="828"/>
      <c r="T187" s="828"/>
      <c r="U187" s="828"/>
      <c r="V187" s="828"/>
      <c r="W187" s="828"/>
      <c r="X187" s="828"/>
      <c r="Y187" s="828"/>
      <c r="Z187" s="828"/>
      <c r="AA187" s="828"/>
      <c r="AB187" s="828"/>
      <c r="AC187" s="828"/>
      <c r="AD187" s="828"/>
      <c r="AE187" s="828"/>
      <c r="AF187" s="828"/>
      <c r="AG187" s="828"/>
      <c r="AH187" s="828"/>
      <c r="AI187" s="828"/>
      <c r="AJ187" s="828"/>
    </row>
    <row r="188">
      <c r="A188" s="828"/>
      <c r="B188" s="828"/>
      <c r="C188" s="828"/>
      <c r="D188" s="828"/>
      <c r="E188" s="828"/>
      <c r="F188" s="828"/>
      <c r="G188" s="828"/>
      <c r="H188" s="828"/>
      <c r="I188" s="828"/>
      <c r="J188" s="828"/>
      <c r="K188" s="828"/>
      <c r="L188" s="828"/>
      <c r="M188" s="828"/>
      <c r="N188" s="828"/>
      <c r="O188" s="828"/>
      <c r="P188" s="828"/>
      <c r="Q188" s="828"/>
      <c r="R188" s="828"/>
      <c r="S188" s="828"/>
      <c r="T188" s="828"/>
      <c r="U188" s="828"/>
      <c r="V188" s="828"/>
      <c r="W188" s="828"/>
      <c r="X188" s="828"/>
      <c r="Y188" s="828"/>
      <c r="Z188" s="828"/>
      <c r="AA188" s="828"/>
      <c r="AB188" s="828"/>
      <c r="AC188" s="828"/>
      <c r="AD188" s="828"/>
      <c r="AE188" s="828"/>
      <c r="AF188" s="828"/>
      <c r="AG188" s="828"/>
      <c r="AH188" s="828"/>
      <c r="AI188" s="828"/>
      <c r="AJ188" s="828"/>
    </row>
    <row r="189">
      <c r="A189" s="828"/>
      <c r="B189" s="828"/>
      <c r="C189" s="828"/>
      <c r="D189" s="828"/>
      <c r="E189" s="828"/>
      <c r="F189" s="828"/>
      <c r="G189" s="828"/>
      <c r="H189" s="828"/>
      <c r="I189" s="828"/>
      <c r="J189" s="828"/>
      <c r="K189" s="828"/>
      <c r="L189" s="828"/>
      <c r="M189" s="828"/>
      <c r="N189" s="828"/>
      <c r="O189" s="828"/>
      <c r="P189" s="828"/>
      <c r="Q189" s="828"/>
      <c r="R189" s="828"/>
      <c r="S189" s="828"/>
      <c r="T189" s="828"/>
      <c r="U189" s="828"/>
      <c r="V189" s="828"/>
      <c r="W189" s="828"/>
      <c r="X189" s="828"/>
      <c r="Y189" s="828"/>
      <c r="Z189" s="828"/>
      <c r="AA189" s="828"/>
      <c r="AB189" s="828"/>
      <c r="AC189" s="828"/>
      <c r="AD189" s="828"/>
      <c r="AE189" s="828"/>
      <c r="AF189" s="828"/>
      <c r="AG189" s="828"/>
      <c r="AH189" s="828"/>
      <c r="AI189" s="828"/>
      <c r="AJ189" s="828"/>
    </row>
    <row r="190">
      <c r="A190" s="828"/>
      <c r="B190" s="828"/>
      <c r="C190" s="828"/>
      <c r="D190" s="828"/>
      <c r="E190" s="828"/>
      <c r="F190" s="828"/>
      <c r="G190" s="828"/>
      <c r="H190" s="828"/>
      <c r="I190" s="828"/>
      <c r="J190" s="828"/>
      <c r="K190" s="828"/>
      <c r="L190" s="828"/>
      <c r="M190" s="828"/>
      <c r="N190" s="828"/>
      <c r="O190" s="828"/>
      <c r="P190" s="828"/>
      <c r="Q190" s="828"/>
      <c r="R190" s="828"/>
      <c r="S190" s="828"/>
      <c r="T190" s="828"/>
      <c r="U190" s="828"/>
      <c r="V190" s="828"/>
      <c r="W190" s="828"/>
      <c r="X190" s="828"/>
      <c r="Y190" s="828"/>
      <c r="Z190" s="828"/>
      <c r="AA190" s="828"/>
      <c r="AB190" s="828"/>
      <c r="AC190" s="828"/>
      <c r="AD190" s="828"/>
      <c r="AE190" s="828"/>
      <c r="AF190" s="828"/>
      <c r="AG190" s="828"/>
      <c r="AH190" s="828"/>
      <c r="AI190" s="828"/>
      <c r="AJ190" s="828"/>
    </row>
    <row r="191">
      <c r="A191" s="828"/>
      <c r="B191" s="828"/>
      <c r="C191" s="828"/>
      <c r="D191" s="828"/>
      <c r="E191" s="828"/>
      <c r="F191" s="828"/>
      <c r="G191" s="828"/>
      <c r="H191" s="828"/>
      <c r="I191" s="828"/>
      <c r="J191" s="828"/>
      <c r="K191" s="828"/>
      <c r="L191" s="828"/>
      <c r="M191" s="828"/>
      <c r="N191" s="828"/>
      <c r="O191" s="828"/>
      <c r="P191" s="828"/>
      <c r="Q191" s="828"/>
      <c r="R191" s="828"/>
      <c r="S191" s="828"/>
      <c r="T191" s="828"/>
      <c r="U191" s="828"/>
      <c r="V191" s="828"/>
      <c r="W191" s="828"/>
      <c r="X191" s="828"/>
      <c r="Y191" s="828"/>
      <c r="Z191" s="828"/>
      <c r="AA191" s="828"/>
      <c r="AB191" s="828"/>
      <c r="AC191" s="828"/>
      <c r="AD191" s="828"/>
      <c r="AE191" s="828"/>
      <c r="AF191" s="828"/>
      <c r="AG191" s="828"/>
      <c r="AH191" s="828"/>
      <c r="AI191" s="828"/>
      <c r="AJ191" s="828"/>
    </row>
    <row r="192">
      <c r="A192" s="828"/>
      <c r="B192" s="828"/>
      <c r="C192" s="828"/>
      <c r="D192" s="828"/>
      <c r="E192" s="828"/>
      <c r="F192" s="828"/>
      <c r="G192" s="828"/>
      <c r="H192" s="828"/>
      <c r="I192" s="828"/>
      <c r="J192" s="828"/>
      <c r="K192" s="828"/>
      <c r="L192" s="828"/>
      <c r="M192" s="828"/>
      <c r="N192" s="828"/>
      <c r="O192" s="828"/>
      <c r="P192" s="828"/>
      <c r="Q192" s="828"/>
      <c r="R192" s="828"/>
      <c r="S192" s="828"/>
      <c r="T192" s="828"/>
      <c r="U192" s="828"/>
      <c r="V192" s="828"/>
      <c r="W192" s="828"/>
      <c r="X192" s="828"/>
      <c r="Y192" s="828"/>
      <c r="Z192" s="828"/>
      <c r="AA192" s="828"/>
      <c r="AB192" s="828"/>
      <c r="AC192" s="828"/>
      <c r="AD192" s="828"/>
      <c r="AE192" s="828"/>
      <c r="AF192" s="828"/>
      <c r="AG192" s="828"/>
      <c r="AH192" s="828"/>
      <c r="AI192" s="828"/>
      <c r="AJ192" s="828"/>
    </row>
    <row r="193">
      <c r="A193" s="828"/>
      <c r="B193" s="828"/>
      <c r="C193" s="828"/>
      <c r="D193" s="828"/>
      <c r="E193" s="828"/>
      <c r="F193" s="828"/>
      <c r="G193" s="828"/>
      <c r="H193" s="828"/>
      <c r="I193" s="828"/>
      <c r="J193" s="828"/>
      <c r="K193" s="828"/>
      <c r="L193" s="828"/>
      <c r="M193" s="828"/>
      <c r="N193" s="828"/>
      <c r="O193" s="828"/>
      <c r="P193" s="828"/>
      <c r="Q193" s="828"/>
      <c r="R193" s="828"/>
      <c r="S193" s="828"/>
      <c r="T193" s="828"/>
      <c r="U193" s="828"/>
      <c r="V193" s="828"/>
      <c r="W193" s="828"/>
      <c r="X193" s="828"/>
      <c r="Y193" s="828"/>
      <c r="Z193" s="828"/>
      <c r="AA193" s="828"/>
      <c r="AB193" s="828"/>
      <c r="AC193" s="828"/>
      <c r="AD193" s="828"/>
      <c r="AE193" s="828"/>
      <c r="AF193" s="828"/>
      <c r="AG193" s="828"/>
      <c r="AH193" s="828"/>
      <c r="AI193" s="828"/>
      <c r="AJ193" s="828"/>
    </row>
    <row r="194">
      <c r="A194" s="828"/>
      <c r="B194" s="828"/>
      <c r="C194" s="828"/>
      <c r="D194" s="828"/>
      <c r="E194" s="828"/>
      <c r="F194" s="828"/>
      <c r="G194" s="828"/>
      <c r="H194" s="828"/>
      <c r="I194" s="828"/>
      <c r="J194" s="828"/>
      <c r="K194" s="828"/>
      <c r="L194" s="828"/>
      <c r="M194" s="828"/>
      <c r="N194" s="828"/>
      <c r="O194" s="828"/>
      <c r="P194" s="828"/>
      <c r="Q194" s="828"/>
      <c r="R194" s="828"/>
      <c r="S194" s="828"/>
      <c r="T194" s="828"/>
      <c r="U194" s="828"/>
      <c r="V194" s="828"/>
      <c r="W194" s="828"/>
      <c r="X194" s="828"/>
      <c r="Y194" s="828"/>
      <c r="Z194" s="828"/>
      <c r="AA194" s="828"/>
      <c r="AB194" s="828"/>
      <c r="AC194" s="828"/>
      <c r="AD194" s="828"/>
      <c r="AE194" s="828"/>
      <c r="AF194" s="828"/>
      <c r="AG194" s="828"/>
      <c r="AH194" s="828"/>
      <c r="AI194" s="828"/>
      <c r="AJ194" s="828"/>
    </row>
    <row r="195">
      <c r="A195" s="828"/>
      <c r="B195" s="828"/>
      <c r="C195" s="828"/>
      <c r="D195" s="828"/>
      <c r="E195" s="828"/>
      <c r="F195" s="828"/>
      <c r="G195" s="828"/>
      <c r="H195" s="828"/>
      <c r="I195" s="828"/>
      <c r="J195" s="828"/>
      <c r="K195" s="828"/>
      <c r="L195" s="828"/>
      <c r="M195" s="828"/>
      <c r="N195" s="828"/>
      <c r="O195" s="828"/>
      <c r="P195" s="828"/>
      <c r="Q195" s="828"/>
      <c r="R195" s="828"/>
      <c r="S195" s="828"/>
      <c r="T195" s="828"/>
      <c r="U195" s="828"/>
      <c r="V195" s="828"/>
      <c r="W195" s="828"/>
      <c r="X195" s="828"/>
      <c r="Y195" s="828"/>
      <c r="Z195" s="828"/>
      <c r="AA195" s="828"/>
      <c r="AB195" s="828"/>
      <c r="AC195" s="828"/>
      <c r="AD195" s="828"/>
      <c r="AE195" s="828"/>
      <c r="AF195" s="828"/>
      <c r="AG195" s="828"/>
      <c r="AH195" s="828"/>
      <c r="AI195" s="828"/>
      <c r="AJ195" s="828"/>
    </row>
    <row r="196">
      <c r="A196" s="828"/>
      <c r="B196" s="828"/>
      <c r="C196" s="828"/>
      <c r="D196" s="828"/>
      <c r="E196" s="828"/>
      <c r="F196" s="828"/>
      <c r="G196" s="828"/>
      <c r="H196" s="828"/>
      <c r="I196" s="828"/>
      <c r="J196" s="828"/>
      <c r="K196" s="828"/>
      <c r="L196" s="828"/>
      <c r="M196" s="828"/>
      <c r="N196" s="828"/>
      <c r="O196" s="828"/>
      <c r="P196" s="828"/>
      <c r="Q196" s="828"/>
      <c r="R196" s="828"/>
      <c r="S196" s="828"/>
      <c r="T196" s="828"/>
      <c r="U196" s="828"/>
      <c r="V196" s="828"/>
      <c r="W196" s="828"/>
      <c r="X196" s="828"/>
      <c r="Y196" s="828"/>
      <c r="Z196" s="828"/>
      <c r="AA196" s="828"/>
      <c r="AB196" s="828"/>
      <c r="AC196" s="828"/>
      <c r="AD196" s="828"/>
      <c r="AE196" s="828"/>
      <c r="AF196" s="828"/>
      <c r="AG196" s="828"/>
      <c r="AH196" s="828"/>
      <c r="AI196" s="828"/>
      <c r="AJ196" s="828"/>
    </row>
    <row r="197">
      <c r="A197" s="828"/>
      <c r="B197" s="828"/>
      <c r="C197" s="828"/>
      <c r="D197" s="828"/>
      <c r="E197" s="828"/>
      <c r="F197" s="828"/>
      <c r="G197" s="828"/>
      <c r="H197" s="828"/>
      <c r="I197" s="828"/>
      <c r="J197" s="828"/>
      <c r="K197" s="828"/>
      <c r="L197" s="828"/>
      <c r="M197" s="828"/>
      <c r="N197" s="828"/>
      <c r="O197" s="828"/>
      <c r="P197" s="828"/>
      <c r="Q197" s="828"/>
      <c r="R197" s="828"/>
      <c r="S197" s="828"/>
      <c r="T197" s="828"/>
      <c r="U197" s="828"/>
      <c r="V197" s="828"/>
      <c r="W197" s="828"/>
      <c r="X197" s="828"/>
      <c r="Y197" s="828"/>
      <c r="Z197" s="828"/>
      <c r="AA197" s="828"/>
      <c r="AB197" s="828"/>
      <c r="AC197" s="828"/>
      <c r="AD197" s="828"/>
      <c r="AE197" s="828"/>
      <c r="AF197" s="828"/>
      <c r="AG197" s="828"/>
      <c r="AH197" s="828"/>
      <c r="AI197" s="828"/>
      <c r="AJ197" s="828"/>
    </row>
    <row r="198">
      <c r="A198" s="828"/>
      <c r="B198" s="828"/>
      <c r="C198" s="828"/>
      <c r="D198" s="828"/>
      <c r="E198" s="828"/>
      <c r="F198" s="828"/>
      <c r="G198" s="828"/>
      <c r="H198" s="828"/>
      <c r="I198" s="828"/>
      <c r="J198" s="828"/>
      <c r="K198" s="828"/>
      <c r="L198" s="828"/>
      <c r="M198" s="828"/>
      <c r="N198" s="828"/>
      <c r="O198" s="828"/>
      <c r="P198" s="828"/>
      <c r="Q198" s="828"/>
      <c r="R198" s="828"/>
      <c r="S198" s="828"/>
      <c r="T198" s="828"/>
      <c r="U198" s="828"/>
      <c r="V198" s="828"/>
      <c r="W198" s="828"/>
      <c r="X198" s="828"/>
      <c r="Y198" s="828"/>
      <c r="Z198" s="828"/>
      <c r="AA198" s="828"/>
      <c r="AB198" s="828"/>
      <c r="AC198" s="828"/>
      <c r="AD198" s="828"/>
      <c r="AE198" s="828"/>
      <c r="AF198" s="828"/>
      <c r="AG198" s="828"/>
      <c r="AH198" s="828"/>
      <c r="AI198" s="828"/>
      <c r="AJ198" s="828"/>
    </row>
    <row r="199">
      <c r="A199" s="828"/>
      <c r="B199" s="828"/>
      <c r="C199" s="828"/>
      <c r="D199" s="828"/>
      <c r="E199" s="828"/>
      <c r="F199" s="828"/>
      <c r="G199" s="828"/>
      <c r="H199" s="828"/>
      <c r="I199" s="828"/>
      <c r="J199" s="828"/>
      <c r="K199" s="828"/>
      <c r="L199" s="828"/>
      <c r="M199" s="828"/>
      <c r="N199" s="828"/>
      <c r="O199" s="828"/>
      <c r="P199" s="828"/>
      <c r="Q199" s="828"/>
      <c r="R199" s="828"/>
      <c r="S199" s="828"/>
      <c r="T199" s="828"/>
      <c r="U199" s="828"/>
      <c r="V199" s="828"/>
      <c r="W199" s="828"/>
      <c r="X199" s="828"/>
      <c r="Y199" s="828"/>
      <c r="Z199" s="828"/>
      <c r="AA199" s="828"/>
      <c r="AB199" s="828"/>
      <c r="AC199" s="828"/>
      <c r="AD199" s="828"/>
      <c r="AE199" s="828"/>
      <c r="AF199" s="828"/>
      <c r="AG199" s="828"/>
      <c r="AH199" s="828"/>
      <c r="AI199" s="828"/>
      <c r="AJ199" s="828"/>
    </row>
    <row r="200">
      <c r="A200" s="828"/>
      <c r="B200" s="828"/>
      <c r="C200" s="828"/>
      <c r="D200" s="828"/>
      <c r="E200" s="828"/>
      <c r="F200" s="828"/>
      <c r="G200" s="828"/>
      <c r="H200" s="828"/>
      <c r="I200" s="828"/>
      <c r="J200" s="828"/>
      <c r="K200" s="828"/>
      <c r="L200" s="828"/>
      <c r="M200" s="828"/>
      <c r="N200" s="828"/>
      <c r="O200" s="828"/>
      <c r="P200" s="828"/>
      <c r="Q200" s="828"/>
      <c r="R200" s="828"/>
      <c r="S200" s="828"/>
      <c r="T200" s="828"/>
      <c r="U200" s="828"/>
      <c r="V200" s="828"/>
      <c r="W200" s="828"/>
      <c r="X200" s="828"/>
      <c r="Y200" s="828"/>
      <c r="Z200" s="828"/>
      <c r="AA200" s="828"/>
      <c r="AB200" s="828"/>
      <c r="AC200" s="828"/>
      <c r="AD200" s="828"/>
      <c r="AE200" s="828"/>
      <c r="AF200" s="828"/>
      <c r="AG200" s="828"/>
      <c r="AH200" s="828"/>
      <c r="AI200" s="828"/>
      <c r="AJ200" s="828"/>
    </row>
    <row r="201">
      <c r="A201" s="828"/>
      <c r="B201" s="828"/>
      <c r="C201" s="828"/>
      <c r="D201" s="828"/>
      <c r="E201" s="828"/>
      <c r="F201" s="828"/>
      <c r="G201" s="828"/>
      <c r="H201" s="828"/>
      <c r="I201" s="828"/>
      <c r="J201" s="828"/>
      <c r="K201" s="828"/>
      <c r="L201" s="828"/>
      <c r="M201" s="828"/>
      <c r="N201" s="828"/>
      <c r="O201" s="828"/>
      <c r="P201" s="828"/>
      <c r="Q201" s="828"/>
      <c r="R201" s="828"/>
      <c r="S201" s="828"/>
      <c r="T201" s="828"/>
      <c r="U201" s="828"/>
      <c r="V201" s="828"/>
      <c r="W201" s="828"/>
      <c r="X201" s="828"/>
      <c r="Y201" s="828"/>
      <c r="Z201" s="828"/>
      <c r="AA201" s="828"/>
      <c r="AB201" s="828"/>
      <c r="AC201" s="828"/>
      <c r="AD201" s="828"/>
      <c r="AE201" s="828"/>
      <c r="AF201" s="828"/>
      <c r="AG201" s="828"/>
      <c r="AH201" s="828"/>
      <c r="AI201" s="828"/>
      <c r="AJ201" s="828"/>
    </row>
    <row r="202">
      <c r="A202" s="828"/>
      <c r="B202" s="828"/>
      <c r="C202" s="828"/>
      <c r="D202" s="828"/>
      <c r="E202" s="828"/>
      <c r="F202" s="828"/>
      <c r="G202" s="828"/>
      <c r="H202" s="828"/>
      <c r="I202" s="828"/>
      <c r="J202" s="828"/>
      <c r="K202" s="828"/>
      <c r="L202" s="828"/>
      <c r="M202" s="828"/>
      <c r="N202" s="828"/>
      <c r="O202" s="828"/>
      <c r="P202" s="828"/>
      <c r="Q202" s="828"/>
      <c r="R202" s="828"/>
      <c r="S202" s="828"/>
      <c r="T202" s="828"/>
      <c r="U202" s="828"/>
      <c r="V202" s="828"/>
      <c r="W202" s="828"/>
      <c r="X202" s="828"/>
      <c r="Y202" s="828"/>
      <c r="Z202" s="828"/>
      <c r="AA202" s="828"/>
      <c r="AB202" s="828"/>
      <c r="AC202" s="828"/>
      <c r="AD202" s="828"/>
      <c r="AE202" s="828"/>
      <c r="AF202" s="828"/>
      <c r="AG202" s="828"/>
      <c r="AH202" s="828"/>
      <c r="AI202" s="828"/>
      <c r="AJ202" s="828"/>
    </row>
    <row r="203">
      <c r="A203" s="828"/>
      <c r="B203" s="828"/>
      <c r="C203" s="828"/>
      <c r="D203" s="828"/>
      <c r="E203" s="828"/>
      <c r="F203" s="828"/>
      <c r="G203" s="828"/>
      <c r="H203" s="828"/>
      <c r="I203" s="828"/>
      <c r="J203" s="828"/>
      <c r="K203" s="828"/>
      <c r="L203" s="828"/>
      <c r="M203" s="828"/>
      <c r="N203" s="828"/>
      <c r="O203" s="828"/>
      <c r="P203" s="828"/>
      <c r="Q203" s="828"/>
      <c r="R203" s="828"/>
      <c r="S203" s="828"/>
      <c r="T203" s="828"/>
      <c r="U203" s="828"/>
      <c r="V203" s="828"/>
      <c r="W203" s="828"/>
      <c r="X203" s="828"/>
      <c r="Y203" s="828"/>
      <c r="Z203" s="828"/>
      <c r="AA203" s="828"/>
      <c r="AB203" s="828"/>
      <c r="AC203" s="828"/>
      <c r="AD203" s="828"/>
      <c r="AE203" s="828"/>
      <c r="AF203" s="828"/>
      <c r="AG203" s="828"/>
      <c r="AH203" s="828"/>
      <c r="AI203" s="828"/>
      <c r="AJ203" s="828"/>
    </row>
    <row r="204">
      <c r="A204" s="828"/>
      <c r="B204" s="828"/>
      <c r="C204" s="828"/>
      <c r="D204" s="828"/>
      <c r="E204" s="828"/>
      <c r="F204" s="828"/>
      <c r="G204" s="828"/>
      <c r="H204" s="828"/>
      <c r="I204" s="828"/>
      <c r="J204" s="828"/>
      <c r="K204" s="828"/>
      <c r="L204" s="828"/>
      <c r="M204" s="828"/>
      <c r="N204" s="828"/>
      <c r="O204" s="828"/>
      <c r="P204" s="828"/>
      <c r="Q204" s="828"/>
      <c r="R204" s="828"/>
      <c r="S204" s="828"/>
      <c r="T204" s="828"/>
      <c r="U204" s="828"/>
      <c r="V204" s="828"/>
      <c r="W204" s="828"/>
      <c r="X204" s="828"/>
      <c r="Y204" s="828"/>
      <c r="Z204" s="828"/>
      <c r="AA204" s="828"/>
      <c r="AB204" s="828"/>
      <c r="AC204" s="828"/>
      <c r="AD204" s="828"/>
      <c r="AE204" s="828"/>
      <c r="AF204" s="828"/>
      <c r="AG204" s="828"/>
      <c r="AH204" s="828"/>
      <c r="AI204" s="828"/>
      <c r="AJ204" s="828"/>
    </row>
    <row r="205">
      <c r="A205" s="828"/>
      <c r="B205" s="828"/>
      <c r="C205" s="828"/>
      <c r="D205" s="828"/>
      <c r="E205" s="828"/>
      <c r="F205" s="828"/>
      <c r="G205" s="828"/>
      <c r="H205" s="828"/>
      <c r="I205" s="828"/>
      <c r="J205" s="828"/>
      <c r="K205" s="828"/>
      <c r="L205" s="828"/>
      <c r="M205" s="828"/>
      <c r="N205" s="828"/>
      <c r="O205" s="828"/>
      <c r="P205" s="828"/>
      <c r="Q205" s="828"/>
      <c r="R205" s="828"/>
      <c r="S205" s="828"/>
      <c r="T205" s="828"/>
      <c r="U205" s="828"/>
      <c r="V205" s="828"/>
      <c r="W205" s="828"/>
      <c r="X205" s="828"/>
      <c r="Y205" s="828"/>
      <c r="Z205" s="828"/>
      <c r="AA205" s="828"/>
      <c r="AB205" s="828"/>
      <c r="AC205" s="828"/>
      <c r="AD205" s="828"/>
      <c r="AE205" s="828"/>
      <c r="AF205" s="828"/>
      <c r="AG205" s="828"/>
      <c r="AH205" s="828"/>
      <c r="AI205" s="828"/>
      <c r="AJ205" s="828"/>
    </row>
    <row r="206">
      <c r="A206" s="828"/>
      <c r="B206" s="828"/>
      <c r="C206" s="828"/>
      <c r="D206" s="828"/>
      <c r="E206" s="828"/>
      <c r="F206" s="828"/>
      <c r="G206" s="828"/>
      <c r="H206" s="828"/>
      <c r="I206" s="828"/>
      <c r="J206" s="828"/>
      <c r="K206" s="828"/>
      <c r="L206" s="828"/>
      <c r="M206" s="828"/>
      <c r="N206" s="828"/>
      <c r="O206" s="828"/>
      <c r="P206" s="828"/>
      <c r="Q206" s="828"/>
      <c r="R206" s="828"/>
      <c r="S206" s="828"/>
      <c r="T206" s="828"/>
      <c r="U206" s="828"/>
      <c r="V206" s="828"/>
      <c r="W206" s="828"/>
      <c r="X206" s="828"/>
      <c r="Y206" s="828"/>
      <c r="Z206" s="828"/>
      <c r="AA206" s="828"/>
      <c r="AB206" s="828"/>
      <c r="AC206" s="828"/>
      <c r="AD206" s="828"/>
      <c r="AE206" s="828"/>
      <c r="AF206" s="828"/>
      <c r="AG206" s="828"/>
      <c r="AH206" s="828"/>
      <c r="AI206" s="828"/>
      <c r="AJ206" s="828"/>
    </row>
    <row r="207">
      <c r="A207" s="828"/>
      <c r="B207" s="828"/>
      <c r="C207" s="828"/>
      <c r="D207" s="828"/>
      <c r="E207" s="828"/>
      <c r="F207" s="828"/>
      <c r="G207" s="828"/>
      <c r="H207" s="828"/>
      <c r="I207" s="828"/>
      <c r="J207" s="828"/>
      <c r="K207" s="828"/>
      <c r="L207" s="828"/>
      <c r="M207" s="828"/>
      <c r="N207" s="828"/>
      <c r="O207" s="828"/>
      <c r="P207" s="828"/>
      <c r="Q207" s="828"/>
      <c r="R207" s="828"/>
      <c r="S207" s="828"/>
      <c r="T207" s="828"/>
      <c r="U207" s="828"/>
      <c r="V207" s="828"/>
      <c r="W207" s="828"/>
      <c r="X207" s="828"/>
      <c r="Y207" s="828"/>
      <c r="Z207" s="828"/>
      <c r="AA207" s="828"/>
      <c r="AB207" s="828"/>
      <c r="AC207" s="828"/>
      <c r="AD207" s="828"/>
      <c r="AE207" s="828"/>
      <c r="AF207" s="828"/>
      <c r="AG207" s="828"/>
      <c r="AH207" s="828"/>
      <c r="AI207" s="828"/>
      <c r="AJ207" s="828"/>
    </row>
    <row r="208">
      <c r="A208" s="828"/>
      <c r="B208" s="828"/>
      <c r="C208" s="828"/>
      <c r="D208" s="828"/>
      <c r="E208" s="828"/>
      <c r="F208" s="828"/>
      <c r="G208" s="828"/>
      <c r="H208" s="828"/>
      <c r="I208" s="828"/>
      <c r="J208" s="828"/>
      <c r="K208" s="828"/>
      <c r="L208" s="828"/>
      <c r="M208" s="828"/>
      <c r="N208" s="828"/>
      <c r="O208" s="828"/>
      <c r="P208" s="828"/>
      <c r="Q208" s="828"/>
      <c r="R208" s="828"/>
      <c r="S208" s="828"/>
      <c r="T208" s="828"/>
      <c r="U208" s="828"/>
      <c r="V208" s="828"/>
      <c r="W208" s="828"/>
      <c r="X208" s="828"/>
      <c r="Y208" s="828"/>
      <c r="Z208" s="828"/>
      <c r="AA208" s="828"/>
      <c r="AB208" s="828"/>
      <c r="AC208" s="828"/>
      <c r="AD208" s="828"/>
      <c r="AE208" s="828"/>
      <c r="AF208" s="828"/>
      <c r="AG208" s="828"/>
      <c r="AH208" s="828"/>
      <c r="AI208" s="828"/>
      <c r="AJ208" s="828"/>
    </row>
    <row r="209">
      <c r="A209" s="828"/>
      <c r="B209" s="828"/>
      <c r="C209" s="828"/>
      <c r="D209" s="828"/>
      <c r="E209" s="828"/>
      <c r="F209" s="828"/>
      <c r="G209" s="828"/>
      <c r="H209" s="828"/>
      <c r="I209" s="828"/>
      <c r="J209" s="828"/>
      <c r="K209" s="828"/>
      <c r="L209" s="828"/>
      <c r="M209" s="828"/>
      <c r="N209" s="828"/>
      <c r="O209" s="828"/>
      <c r="P209" s="828"/>
      <c r="Q209" s="828"/>
      <c r="R209" s="828"/>
      <c r="S209" s="828"/>
      <c r="T209" s="828"/>
      <c r="U209" s="828"/>
      <c r="V209" s="828"/>
      <c r="W209" s="828"/>
      <c r="X209" s="828"/>
      <c r="Y209" s="828"/>
      <c r="Z209" s="828"/>
      <c r="AA209" s="828"/>
      <c r="AB209" s="828"/>
      <c r="AC209" s="828"/>
      <c r="AD209" s="828"/>
      <c r="AE209" s="828"/>
      <c r="AF209" s="828"/>
      <c r="AG209" s="828"/>
      <c r="AH209" s="828"/>
      <c r="AI209" s="828"/>
      <c r="AJ209" s="828"/>
    </row>
    <row r="210">
      <c r="A210" s="828"/>
      <c r="B210" s="828"/>
      <c r="C210" s="828"/>
      <c r="D210" s="828"/>
      <c r="E210" s="828"/>
      <c r="F210" s="828"/>
      <c r="G210" s="828"/>
      <c r="H210" s="828"/>
      <c r="I210" s="828"/>
      <c r="J210" s="828"/>
      <c r="K210" s="828"/>
      <c r="L210" s="828"/>
      <c r="M210" s="828"/>
      <c r="N210" s="828"/>
      <c r="O210" s="828"/>
      <c r="P210" s="828"/>
      <c r="Q210" s="828"/>
      <c r="R210" s="828"/>
      <c r="S210" s="828"/>
      <c r="T210" s="828"/>
      <c r="U210" s="828"/>
      <c r="V210" s="828"/>
      <c r="W210" s="828"/>
      <c r="X210" s="828"/>
      <c r="Y210" s="828"/>
      <c r="Z210" s="828"/>
      <c r="AA210" s="828"/>
      <c r="AB210" s="828"/>
      <c r="AC210" s="828"/>
      <c r="AD210" s="828"/>
      <c r="AE210" s="828"/>
      <c r="AF210" s="828"/>
      <c r="AG210" s="828"/>
      <c r="AH210" s="828"/>
      <c r="AI210" s="828"/>
      <c r="AJ210" s="828"/>
    </row>
    <row r="211">
      <c r="A211" s="828"/>
      <c r="B211" s="828"/>
      <c r="C211" s="828"/>
      <c r="D211" s="828"/>
      <c r="E211" s="828"/>
      <c r="F211" s="828"/>
      <c r="G211" s="828"/>
      <c r="H211" s="828"/>
      <c r="I211" s="828"/>
      <c r="J211" s="828"/>
      <c r="K211" s="828"/>
      <c r="L211" s="828"/>
      <c r="M211" s="828"/>
      <c r="N211" s="828"/>
      <c r="O211" s="828"/>
      <c r="P211" s="828"/>
      <c r="Q211" s="828"/>
      <c r="R211" s="828"/>
      <c r="S211" s="828"/>
      <c r="T211" s="828"/>
      <c r="U211" s="828"/>
      <c r="V211" s="828"/>
      <c r="W211" s="828"/>
      <c r="X211" s="828"/>
      <c r="Y211" s="828"/>
      <c r="Z211" s="828"/>
      <c r="AA211" s="828"/>
      <c r="AB211" s="828"/>
      <c r="AC211" s="828"/>
      <c r="AD211" s="828"/>
      <c r="AE211" s="828"/>
      <c r="AF211" s="828"/>
      <c r="AG211" s="828"/>
      <c r="AH211" s="828"/>
      <c r="AI211" s="828"/>
      <c r="AJ211" s="828"/>
    </row>
    <row r="212">
      <c r="A212" s="828"/>
      <c r="B212" s="828"/>
      <c r="C212" s="828"/>
      <c r="D212" s="828"/>
      <c r="E212" s="828"/>
      <c r="F212" s="828"/>
      <c r="G212" s="828"/>
      <c r="H212" s="828"/>
      <c r="I212" s="828"/>
      <c r="J212" s="828"/>
      <c r="K212" s="828"/>
      <c r="L212" s="828"/>
      <c r="M212" s="828"/>
      <c r="N212" s="828"/>
      <c r="O212" s="828"/>
      <c r="P212" s="828"/>
      <c r="Q212" s="828"/>
      <c r="R212" s="828"/>
      <c r="S212" s="828"/>
      <c r="T212" s="828"/>
      <c r="U212" s="828"/>
      <c r="V212" s="828"/>
      <c r="W212" s="828"/>
      <c r="X212" s="828"/>
      <c r="Y212" s="828"/>
      <c r="Z212" s="828"/>
      <c r="AA212" s="828"/>
      <c r="AB212" s="828"/>
      <c r="AC212" s="828"/>
      <c r="AD212" s="828"/>
      <c r="AE212" s="828"/>
      <c r="AF212" s="828"/>
      <c r="AG212" s="828"/>
      <c r="AH212" s="828"/>
      <c r="AI212" s="828"/>
      <c r="AJ212" s="828"/>
    </row>
    <row r="213">
      <c r="A213" s="828"/>
      <c r="B213" s="828"/>
      <c r="C213" s="828"/>
      <c r="D213" s="828"/>
      <c r="E213" s="828"/>
      <c r="F213" s="828"/>
      <c r="G213" s="828"/>
      <c r="H213" s="828"/>
      <c r="I213" s="828"/>
      <c r="J213" s="828"/>
      <c r="K213" s="828"/>
      <c r="L213" s="828"/>
      <c r="M213" s="828"/>
      <c r="N213" s="828"/>
      <c r="O213" s="828"/>
      <c r="P213" s="828"/>
      <c r="Q213" s="828"/>
      <c r="R213" s="828"/>
      <c r="S213" s="828"/>
      <c r="T213" s="828"/>
      <c r="U213" s="828"/>
      <c r="V213" s="828"/>
      <c r="W213" s="828"/>
      <c r="X213" s="828"/>
      <c r="Y213" s="828"/>
      <c r="Z213" s="828"/>
      <c r="AA213" s="828"/>
      <c r="AB213" s="828"/>
      <c r="AC213" s="828"/>
      <c r="AD213" s="828"/>
      <c r="AE213" s="828"/>
      <c r="AF213" s="828"/>
      <c r="AG213" s="828"/>
      <c r="AH213" s="828"/>
      <c r="AI213" s="828"/>
      <c r="AJ213" s="828"/>
    </row>
    <row r="214">
      <c r="A214" s="828"/>
      <c r="B214" s="828"/>
      <c r="C214" s="828"/>
      <c r="D214" s="828"/>
      <c r="E214" s="828"/>
      <c r="F214" s="828"/>
      <c r="G214" s="828"/>
      <c r="H214" s="828"/>
      <c r="I214" s="828"/>
      <c r="J214" s="828"/>
      <c r="K214" s="828"/>
      <c r="L214" s="828"/>
      <c r="M214" s="828"/>
      <c r="N214" s="828"/>
      <c r="O214" s="828"/>
      <c r="P214" s="828"/>
      <c r="Q214" s="828"/>
      <c r="R214" s="828"/>
      <c r="S214" s="828"/>
      <c r="T214" s="828"/>
      <c r="U214" s="828"/>
      <c r="V214" s="828"/>
      <c r="W214" s="828"/>
      <c r="X214" s="828"/>
      <c r="Y214" s="828"/>
      <c r="Z214" s="828"/>
      <c r="AA214" s="828"/>
      <c r="AB214" s="828"/>
      <c r="AC214" s="828"/>
      <c r="AD214" s="828"/>
      <c r="AE214" s="828"/>
      <c r="AF214" s="828"/>
      <c r="AG214" s="828"/>
      <c r="AH214" s="828"/>
      <c r="AI214" s="828"/>
      <c r="AJ214" s="828"/>
    </row>
    <row r="215">
      <c r="A215" s="828"/>
      <c r="B215" s="828"/>
      <c r="C215" s="828"/>
      <c r="D215" s="828"/>
      <c r="E215" s="828"/>
      <c r="F215" s="828"/>
      <c r="G215" s="828"/>
      <c r="H215" s="828"/>
      <c r="I215" s="828"/>
      <c r="J215" s="828"/>
      <c r="K215" s="828"/>
      <c r="L215" s="828"/>
      <c r="M215" s="828"/>
      <c r="N215" s="828"/>
      <c r="O215" s="828"/>
      <c r="P215" s="828"/>
      <c r="Q215" s="828"/>
      <c r="R215" s="828"/>
      <c r="S215" s="828"/>
      <c r="T215" s="828"/>
      <c r="U215" s="828"/>
      <c r="V215" s="828"/>
      <c r="W215" s="828"/>
      <c r="X215" s="828"/>
      <c r="Y215" s="828"/>
      <c r="Z215" s="828"/>
      <c r="AA215" s="828"/>
      <c r="AB215" s="828"/>
      <c r="AC215" s="828"/>
      <c r="AD215" s="828"/>
      <c r="AE215" s="828"/>
      <c r="AF215" s="828"/>
      <c r="AG215" s="828"/>
      <c r="AH215" s="828"/>
      <c r="AI215" s="828"/>
      <c r="AJ215" s="828"/>
    </row>
    <row r="216">
      <c r="A216" s="828"/>
      <c r="B216" s="828"/>
      <c r="C216" s="828"/>
      <c r="D216" s="828"/>
      <c r="E216" s="828"/>
      <c r="F216" s="828"/>
      <c r="G216" s="828"/>
      <c r="H216" s="828"/>
      <c r="I216" s="828"/>
      <c r="J216" s="828"/>
      <c r="K216" s="828"/>
      <c r="L216" s="828"/>
      <c r="M216" s="828"/>
      <c r="N216" s="828"/>
      <c r="O216" s="828"/>
      <c r="P216" s="828"/>
      <c r="Q216" s="828"/>
      <c r="R216" s="828"/>
      <c r="S216" s="828"/>
      <c r="T216" s="828"/>
      <c r="U216" s="828"/>
      <c r="V216" s="828"/>
      <c r="W216" s="828"/>
      <c r="X216" s="828"/>
      <c r="Y216" s="828"/>
      <c r="Z216" s="828"/>
      <c r="AA216" s="828"/>
      <c r="AB216" s="828"/>
      <c r="AC216" s="828"/>
      <c r="AD216" s="828"/>
      <c r="AE216" s="828"/>
      <c r="AF216" s="828"/>
      <c r="AG216" s="828"/>
      <c r="AH216" s="828"/>
      <c r="AI216" s="828"/>
      <c r="AJ216" s="828"/>
    </row>
    <row r="217">
      <c r="A217" s="828"/>
      <c r="B217" s="828"/>
      <c r="C217" s="828"/>
      <c r="D217" s="828"/>
      <c r="E217" s="828"/>
      <c r="F217" s="828"/>
      <c r="G217" s="828"/>
      <c r="H217" s="828"/>
      <c r="I217" s="828"/>
      <c r="J217" s="828"/>
      <c r="K217" s="828"/>
      <c r="L217" s="828"/>
      <c r="M217" s="828"/>
      <c r="N217" s="828"/>
      <c r="O217" s="828"/>
      <c r="P217" s="828"/>
      <c r="Q217" s="828"/>
      <c r="R217" s="828"/>
      <c r="S217" s="828"/>
      <c r="T217" s="828"/>
      <c r="U217" s="828"/>
      <c r="V217" s="828"/>
      <c r="W217" s="828"/>
      <c r="X217" s="828"/>
      <c r="Y217" s="828"/>
      <c r="Z217" s="828"/>
      <c r="AA217" s="828"/>
      <c r="AB217" s="828"/>
      <c r="AC217" s="828"/>
      <c r="AD217" s="828"/>
      <c r="AE217" s="828"/>
      <c r="AF217" s="828"/>
      <c r="AG217" s="828"/>
      <c r="AH217" s="828"/>
      <c r="AI217" s="828"/>
      <c r="AJ217" s="828"/>
    </row>
    <row r="218">
      <c r="A218" s="828"/>
      <c r="B218" s="828"/>
      <c r="C218" s="828"/>
      <c r="D218" s="828"/>
      <c r="E218" s="828"/>
      <c r="F218" s="828"/>
      <c r="G218" s="828"/>
      <c r="H218" s="828"/>
      <c r="I218" s="828"/>
      <c r="J218" s="828"/>
      <c r="K218" s="828"/>
      <c r="L218" s="828"/>
      <c r="M218" s="828"/>
      <c r="N218" s="828"/>
      <c r="O218" s="828"/>
      <c r="P218" s="828"/>
      <c r="Q218" s="828"/>
      <c r="R218" s="828"/>
      <c r="S218" s="828"/>
      <c r="T218" s="828"/>
      <c r="U218" s="828"/>
      <c r="V218" s="828"/>
      <c r="W218" s="828"/>
      <c r="X218" s="828"/>
      <c r="Y218" s="828"/>
      <c r="Z218" s="828"/>
      <c r="AA218" s="828"/>
      <c r="AB218" s="828"/>
      <c r="AC218" s="828"/>
      <c r="AD218" s="828"/>
      <c r="AE218" s="828"/>
      <c r="AF218" s="828"/>
      <c r="AG218" s="828"/>
      <c r="AH218" s="828"/>
      <c r="AI218" s="828"/>
      <c r="AJ218" s="828"/>
    </row>
    <row r="219">
      <c r="A219" s="828"/>
      <c r="B219" s="828"/>
      <c r="C219" s="828"/>
      <c r="D219" s="828"/>
      <c r="E219" s="828"/>
      <c r="F219" s="828"/>
      <c r="G219" s="828"/>
      <c r="H219" s="828"/>
      <c r="I219" s="828"/>
      <c r="J219" s="828"/>
      <c r="K219" s="828"/>
      <c r="L219" s="828"/>
      <c r="M219" s="828"/>
      <c r="N219" s="828"/>
      <c r="O219" s="828"/>
      <c r="P219" s="828"/>
      <c r="Q219" s="828"/>
      <c r="R219" s="828"/>
      <c r="S219" s="828"/>
      <c r="T219" s="828"/>
      <c r="U219" s="828"/>
      <c r="V219" s="828"/>
      <c r="W219" s="828"/>
      <c r="X219" s="828"/>
      <c r="Y219" s="828"/>
      <c r="Z219" s="828"/>
      <c r="AA219" s="828"/>
      <c r="AB219" s="828"/>
      <c r="AC219" s="828"/>
      <c r="AD219" s="828"/>
      <c r="AE219" s="828"/>
      <c r="AF219" s="828"/>
      <c r="AG219" s="828"/>
      <c r="AH219" s="828"/>
      <c r="AI219" s="828"/>
      <c r="AJ219" s="828"/>
    </row>
    <row r="220">
      <c r="A220" s="828"/>
      <c r="B220" s="828"/>
      <c r="C220" s="828"/>
      <c r="D220" s="828"/>
      <c r="E220" s="828"/>
      <c r="F220" s="828"/>
      <c r="G220" s="828"/>
      <c r="H220" s="828"/>
      <c r="I220" s="828"/>
      <c r="J220" s="828"/>
      <c r="K220" s="828"/>
      <c r="L220" s="828"/>
      <c r="M220" s="828"/>
      <c r="N220" s="828"/>
      <c r="O220" s="828"/>
      <c r="P220" s="828"/>
      <c r="Q220" s="828"/>
      <c r="R220" s="828"/>
      <c r="S220" s="828"/>
      <c r="T220" s="828"/>
      <c r="U220" s="828"/>
      <c r="V220" s="828"/>
      <c r="W220" s="828"/>
      <c r="X220" s="828"/>
      <c r="Y220" s="828"/>
      <c r="Z220" s="828"/>
      <c r="AA220" s="828"/>
      <c r="AB220" s="828"/>
      <c r="AC220" s="828"/>
      <c r="AD220" s="828"/>
      <c r="AE220" s="828"/>
      <c r="AF220" s="828"/>
      <c r="AG220" s="828"/>
      <c r="AH220" s="828"/>
      <c r="AI220" s="828"/>
      <c r="AJ220" s="828"/>
    </row>
    <row r="221">
      <c r="A221" s="828"/>
      <c r="B221" s="828"/>
      <c r="C221" s="828"/>
      <c r="D221" s="828"/>
      <c r="E221" s="828"/>
      <c r="F221" s="828"/>
      <c r="G221" s="828"/>
      <c r="H221" s="828"/>
      <c r="I221" s="828"/>
      <c r="J221" s="828"/>
      <c r="K221" s="828"/>
      <c r="L221" s="828"/>
      <c r="M221" s="828"/>
      <c r="N221" s="828"/>
      <c r="O221" s="828"/>
      <c r="P221" s="828"/>
      <c r="Q221" s="828"/>
      <c r="R221" s="828"/>
      <c r="S221" s="828"/>
      <c r="T221" s="828"/>
      <c r="U221" s="828"/>
      <c r="V221" s="828"/>
      <c r="W221" s="828"/>
      <c r="X221" s="828"/>
      <c r="Y221" s="828"/>
      <c r="Z221" s="828"/>
      <c r="AA221" s="828"/>
      <c r="AB221" s="828"/>
      <c r="AC221" s="828"/>
      <c r="AD221" s="828"/>
      <c r="AE221" s="828"/>
      <c r="AF221" s="828"/>
      <c r="AG221" s="828"/>
      <c r="AH221" s="828"/>
      <c r="AI221" s="828"/>
      <c r="AJ221" s="828"/>
    </row>
    <row r="222">
      <c r="A222" s="828"/>
      <c r="B222" s="828"/>
      <c r="C222" s="828"/>
      <c r="D222" s="828"/>
      <c r="E222" s="828"/>
      <c r="F222" s="828"/>
      <c r="G222" s="828"/>
      <c r="H222" s="828"/>
      <c r="I222" s="828"/>
      <c r="J222" s="828"/>
      <c r="K222" s="828"/>
      <c r="L222" s="828"/>
      <c r="M222" s="828"/>
      <c r="N222" s="828"/>
      <c r="O222" s="828"/>
      <c r="P222" s="828"/>
      <c r="Q222" s="828"/>
      <c r="R222" s="828"/>
      <c r="S222" s="828"/>
      <c r="T222" s="828"/>
      <c r="U222" s="828"/>
      <c r="V222" s="828"/>
      <c r="W222" s="828"/>
      <c r="X222" s="828"/>
      <c r="Y222" s="828"/>
      <c r="Z222" s="828"/>
      <c r="AA222" s="828"/>
      <c r="AB222" s="828"/>
      <c r="AC222" s="828"/>
      <c r="AD222" s="828"/>
      <c r="AE222" s="828"/>
      <c r="AF222" s="828"/>
      <c r="AG222" s="828"/>
      <c r="AH222" s="828"/>
      <c r="AI222" s="828"/>
      <c r="AJ222" s="828"/>
    </row>
    <row r="223">
      <c r="A223" s="828"/>
      <c r="B223" s="828"/>
      <c r="C223" s="828"/>
      <c r="D223" s="828"/>
      <c r="E223" s="828"/>
      <c r="F223" s="828"/>
      <c r="G223" s="828"/>
      <c r="H223" s="828"/>
      <c r="I223" s="828"/>
      <c r="J223" s="828"/>
      <c r="K223" s="828"/>
      <c r="L223" s="828"/>
      <c r="M223" s="828"/>
      <c r="N223" s="828"/>
      <c r="O223" s="828"/>
      <c r="P223" s="828"/>
      <c r="Q223" s="828"/>
      <c r="R223" s="828"/>
      <c r="S223" s="828"/>
      <c r="T223" s="828"/>
      <c r="U223" s="828"/>
      <c r="V223" s="828"/>
      <c r="W223" s="828"/>
      <c r="X223" s="828"/>
      <c r="Y223" s="828"/>
      <c r="Z223" s="828"/>
      <c r="AA223" s="828"/>
      <c r="AB223" s="828"/>
      <c r="AC223" s="828"/>
      <c r="AD223" s="828"/>
      <c r="AE223" s="828"/>
      <c r="AF223" s="828"/>
      <c r="AG223" s="828"/>
      <c r="AH223" s="828"/>
      <c r="AI223" s="828"/>
      <c r="AJ223" s="828"/>
    </row>
    <row r="224">
      <c r="A224" s="828"/>
      <c r="B224" s="828"/>
      <c r="C224" s="828"/>
      <c r="D224" s="828"/>
      <c r="E224" s="828"/>
      <c r="F224" s="828"/>
      <c r="G224" s="828"/>
      <c r="H224" s="828"/>
      <c r="I224" s="828"/>
      <c r="J224" s="828"/>
      <c r="K224" s="828"/>
      <c r="L224" s="828"/>
      <c r="M224" s="828"/>
      <c r="N224" s="828"/>
      <c r="O224" s="828"/>
      <c r="P224" s="828"/>
      <c r="Q224" s="828"/>
      <c r="R224" s="828"/>
      <c r="S224" s="828"/>
      <c r="T224" s="828"/>
      <c r="U224" s="828"/>
      <c r="V224" s="828"/>
      <c r="W224" s="828"/>
      <c r="X224" s="828"/>
      <c r="Y224" s="828"/>
      <c r="Z224" s="828"/>
      <c r="AA224" s="828"/>
      <c r="AB224" s="828"/>
      <c r="AC224" s="828"/>
      <c r="AD224" s="828"/>
      <c r="AE224" s="828"/>
      <c r="AF224" s="828"/>
      <c r="AG224" s="828"/>
      <c r="AH224" s="828"/>
      <c r="AI224" s="828"/>
      <c r="AJ224" s="828"/>
    </row>
    <row r="225">
      <c r="A225" s="828"/>
      <c r="B225" s="828"/>
      <c r="C225" s="828"/>
      <c r="D225" s="828"/>
      <c r="E225" s="828"/>
      <c r="F225" s="828"/>
      <c r="G225" s="828"/>
      <c r="H225" s="828"/>
      <c r="I225" s="828"/>
      <c r="J225" s="828"/>
      <c r="K225" s="828"/>
      <c r="L225" s="828"/>
      <c r="M225" s="828"/>
      <c r="N225" s="828"/>
      <c r="O225" s="828"/>
      <c r="P225" s="828"/>
      <c r="Q225" s="828"/>
      <c r="R225" s="828"/>
      <c r="S225" s="828"/>
      <c r="T225" s="828"/>
      <c r="U225" s="828"/>
      <c r="V225" s="828"/>
      <c r="W225" s="828"/>
      <c r="X225" s="828"/>
      <c r="Y225" s="828"/>
      <c r="Z225" s="828"/>
      <c r="AA225" s="828"/>
      <c r="AB225" s="828"/>
      <c r="AC225" s="828"/>
      <c r="AD225" s="828"/>
      <c r="AE225" s="828"/>
      <c r="AF225" s="828"/>
      <c r="AG225" s="828"/>
      <c r="AH225" s="828"/>
      <c r="AI225" s="828"/>
      <c r="AJ225" s="828"/>
    </row>
    <row r="226">
      <c r="A226" s="828"/>
      <c r="B226" s="828"/>
      <c r="C226" s="828"/>
      <c r="D226" s="828"/>
      <c r="E226" s="828"/>
      <c r="F226" s="828"/>
      <c r="G226" s="828"/>
      <c r="H226" s="828"/>
      <c r="I226" s="828"/>
      <c r="J226" s="828"/>
      <c r="K226" s="828"/>
      <c r="L226" s="828"/>
      <c r="M226" s="828"/>
      <c r="N226" s="828"/>
      <c r="O226" s="828"/>
      <c r="P226" s="828"/>
      <c r="Q226" s="828"/>
      <c r="R226" s="828"/>
      <c r="S226" s="828"/>
      <c r="T226" s="828"/>
      <c r="U226" s="828"/>
      <c r="V226" s="828"/>
      <c r="W226" s="828"/>
      <c r="X226" s="828"/>
      <c r="Y226" s="828"/>
      <c r="Z226" s="828"/>
      <c r="AA226" s="828"/>
      <c r="AB226" s="828"/>
      <c r="AC226" s="828"/>
      <c r="AD226" s="828"/>
      <c r="AE226" s="828"/>
      <c r="AF226" s="828"/>
      <c r="AG226" s="828"/>
      <c r="AH226" s="828"/>
      <c r="AI226" s="828"/>
      <c r="AJ226" s="828"/>
    </row>
    <row r="227">
      <c r="A227" s="828"/>
      <c r="B227" s="828"/>
      <c r="C227" s="828"/>
      <c r="D227" s="828"/>
      <c r="E227" s="828"/>
      <c r="F227" s="828"/>
      <c r="G227" s="828"/>
      <c r="H227" s="828"/>
      <c r="I227" s="828"/>
      <c r="J227" s="828"/>
      <c r="K227" s="828"/>
      <c r="L227" s="828"/>
      <c r="M227" s="828"/>
      <c r="N227" s="828"/>
      <c r="O227" s="828"/>
      <c r="P227" s="828"/>
      <c r="Q227" s="828"/>
      <c r="R227" s="828"/>
      <c r="S227" s="828"/>
      <c r="T227" s="828"/>
      <c r="U227" s="828"/>
      <c r="V227" s="828"/>
      <c r="W227" s="828"/>
      <c r="X227" s="828"/>
      <c r="Y227" s="828"/>
      <c r="Z227" s="828"/>
      <c r="AA227" s="828"/>
      <c r="AB227" s="828"/>
      <c r="AC227" s="828"/>
      <c r="AD227" s="828"/>
      <c r="AE227" s="828"/>
      <c r="AF227" s="828"/>
      <c r="AG227" s="828"/>
      <c r="AH227" s="828"/>
      <c r="AI227" s="828"/>
      <c r="AJ227" s="828"/>
    </row>
    <row r="228">
      <c r="A228" s="828"/>
      <c r="B228" s="828"/>
      <c r="C228" s="828"/>
      <c r="D228" s="828"/>
      <c r="E228" s="828"/>
      <c r="F228" s="828"/>
      <c r="G228" s="828"/>
      <c r="H228" s="828"/>
      <c r="I228" s="828"/>
      <c r="J228" s="828"/>
      <c r="K228" s="828"/>
      <c r="L228" s="828"/>
      <c r="M228" s="828"/>
      <c r="N228" s="828"/>
      <c r="O228" s="828"/>
      <c r="P228" s="828"/>
      <c r="Q228" s="828"/>
      <c r="R228" s="828"/>
      <c r="S228" s="828"/>
      <c r="T228" s="828"/>
      <c r="U228" s="828"/>
      <c r="V228" s="828"/>
      <c r="W228" s="828"/>
      <c r="X228" s="828"/>
      <c r="Y228" s="828"/>
      <c r="Z228" s="828"/>
      <c r="AA228" s="828"/>
      <c r="AB228" s="828"/>
      <c r="AC228" s="828"/>
      <c r="AD228" s="828"/>
      <c r="AE228" s="828"/>
      <c r="AF228" s="828"/>
      <c r="AG228" s="828"/>
      <c r="AH228" s="828"/>
      <c r="AI228" s="828"/>
      <c r="AJ228" s="828"/>
    </row>
    <row r="229">
      <c r="A229" s="828"/>
      <c r="B229" s="828"/>
      <c r="C229" s="828"/>
      <c r="D229" s="828"/>
      <c r="E229" s="828"/>
      <c r="F229" s="828"/>
      <c r="G229" s="828"/>
      <c r="H229" s="828"/>
      <c r="I229" s="828"/>
      <c r="J229" s="828"/>
      <c r="K229" s="828"/>
      <c r="L229" s="828"/>
      <c r="M229" s="828"/>
      <c r="N229" s="828"/>
      <c r="O229" s="828"/>
      <c r="P229" s="828"/>
      <c r="Q229" s="828"/>
      <c r="R229" s="828"/>
      <c r="S229" s="828"/>
      <c r="T229" s="828"/>
      <c r="U229" s="828"/>
      <c r="V229" s="828"/>
      <c r="W229" s="828"/>
      <c r="X229" s="828"/>
      <c r="Y229" s="828"/>
      <c r="Z229" s="828"/>
      <c r="AA229" s="828"/>
      <c r="AB229" s="828"/>
      <c r="AC229" s="828"/>
      <c r="AD229" s="828"/>
      <c r="AE229" s="828"/>
      <c r="AF229" s="828"/>
      <c r="AG229" s="828"/>
      <c r="AH229" s="828"/>
      <c r="AI229" s="828"/>
      <c r="AJ229" s="828"/>
    </row>
    <row r="230">
      <c r="A230" s="828"/>
      <c r="B230" s="828"/>
      <c r="C230" s="828"/>
      <c r="D230" s="828"/>
      <c r="E230" s="828"/>
      <c r="F230" s="828"/>
      <c r="G230" s="828"/>
      <c r="H230" s="828"/>
      <c r="I230" s="828"/>
      <c r="J230" s="828"/>
      <c r="K230" s="828"/>
      <c r="L230" s="828"/>
      <c r="M230" s="828"/>
      <c r="N230" s="828"/>
      <c r="O230" s="828"/>
      <c r="P230" s="828"/>
      <c r="Q230" s="828"/>
      <c r="R230" s="828"/>
      <c r="S230" s="828"/>
      <c r="T230" s="828"/>
      <c r="U230" s="828"/>
      <c r="V230" s="828"/>
      <c r="W230" s="828"/>
      <c r="X230" s="828"/>
      <c r="Y230" s="828"/>
      <c r="Z230" s="828"/>
      <c r="AA230" s="828"/>
      <c r="AB230" s="828"/>
      <c r="AC230" s="828"/>
      <c r="AD230" s="828"/>
      <c r="AE230" s="828"/>
      <c r="AF230" s="828"/>
      <c r="AG230" s="828"/>
      <c r="AH230" s="828"/>
      <c r="AI230" s="828"/>
      <c r="AJ230" s="828"/>
    </row>
    <row r="231">
      <c r="A231" s="828"/>
      <c r="B231" s="828"/>
      <c r="C231" s="828"/>
      <c r="D231" s="828"/>
      <c r="E231" s="828"/>
      <c r="F231" s="828"/>
      <c r="G231" s="828"/>
      <c r="H231" s="828"/>
      <c r="I231" s="828"/>
      <c r="J231" s="828"/>
      <c r="K231" s="828"/>
      <c r="L231" s="828"/>
      <c r="M231" s="828"/>
      <c r="N231" s="828"/>
      <c r="O231" s="828"/>
      <c r="P231" s="828"/>
      <c r="Q231" s="828"/>
      <c r="R231" s="828"/>
      <c r="S231" s="828"/>
      <c r="T231" s="828"/>
      <c r="U231" s="828"/>
      <c r="V231" s="828"/>
      <c r="W231" s="828"/>
      <c r="X231" s="828"/>
      <c r="Y231" s="828"/>
      <c r="Z231" s="828"/>
      <c r="AA231" s="828"/>
      <c r="AB231" s="828"/>
      <c r="AC231" s="828"/>
      <c r="AD231" s="828"/>
      <c r="AE231" s="828"/>
      <c r="AF231" s="828"/>
      <c r="AG231" s="828"/>
      <c r="AH231" s="828"/>
      <c r="AI231" s="828"/>
      <c r="AJ231" s="828"/>
    </row>
    <row r="232">
      <c r="A232" s="828"/>
      <c r="B232" s="828"/>
      <c r="C232" s="828"/>
      <c r="D232" s="828"/>
      <c r="E232" s="828"/>
      <c r="F232" s="828"/>
      <c r="G232" s="828"/>
      <c r="H232" s="828"/>
      <c r="I232" s="828"/>
      <c r="J232" s="828"/>
      <c r="K232" s="828"/>
      <c r="L232" s="828"/>
      <c r="M232" s="828"/>
      <c r="N232" s="828"/>
      <c r="O232" s="828"/>
      <c r="P232" s="828"/>
      <c r="Q232" s="828"/>
      <c r="R232" s="828"/>
      <c r="S232" s="828"/>
      <c r="T232" s="828"/>
      <c r="U232" s="828"/>
      <c r="V232" s="828"/>
      <c r="W232" s="828"/>
      <c r="X232" s="828"/>
      <c r="Y232" s="828"/>
      <c r="Z232" s="828"/>
      <c r="AA232" s="828"/>
      <c r="AB232" s="828"/>
      <c r="AC232" s="828"/>
      <c r="AD232" s="828"/>
      <c r="AE232" s="828"/>
      <c r="AF232" s="828"/>
      <c r="AG232" s="828"/>
      <c r="AH232" s="828"/>
      <c r="AI232" s="828"/>
      <c r="AJ232" s="828"/>
    </row>
    <row r="233">
      <c r="A233" s="828"/>
      <c r="B233" s="828"/>
      <c r="C233" s="828"/>
      <c r="D233" s="828"/>
      <c r="E233" s="828"/>
      <c r="F233" s="828"/>
      <c r="G233" s="828"/>
      <c r="H233" s="828"/>
      <c r="I233" s="828"/>
      <c r="J233" s="828"/>
      <c r="K233" s="828"/>
      <c r="L233" s="828"/>
      <c r="M233" s="828"/>
      <c r="N233" s="828"/>
      <c r="O233" s="828"/>
      <c r="P233" s="828"/>
      <c r="Q233" s="828"/>
      <c r="R233" s="828"/>
      <c r="S233" s="828"/>
      <c r="T233" s="828"/>
      <c r="U233" s="828"/>
      <c r="V233" s="828"/>
      <c r="W233" s="828"/>
      <c r="X233" s="828"/>
      <c r="Y233" s="828"/>
      <c r="Z233" s="828"/>
      <c r="AA233" s="828"/>
      <c r="AB233" s="828"/>
      <c r="AC233" s="828"/>
      <c r="AD233" s="828"/>
      <c r="AE233" s="828"/>
      <c r="AF233" s="828"/>
      <c r="AG233" s="828"/>
      <c r="AH233" s="828"/>
      <c r="AI233" s="828"/>
      <c r="AJ233" s="828"/>
    </row>
    <row r="234">
      <c r="A234" s="828"/>
      <c r="B234" s="828"/>
      <c r="C234" s="828"/>
      <c r="D234" s="828"/>
      <c r="E234" s="828"/>
      <c r="F234" s="828"/>
      <c r="G234" s="828"/>
      <c r="H234" s="828"/>
      <c r="I234" s="828"/>
      <c r="J234" s="828"/>
      <c r="K234" s="828"/>
      <c r="L234" s="828"/>
      <c r="M234" s="828"/>
      <c r="N234" s="828"/>
      <c r="O234" s="828"/>
      <c r="P234" s="828"/>
      <c r="Q234" s="828"/>
      <c r="R234" s="828"/>
      <c r="S234" s="828"/>
      <c r="T234" s="828"/>
      <c r="U234" s="828"/>
      <c r="V234" s="828"/>
      <c r="W234" s="828"/>
      <c r="X234" s="828"/>
      <c r="Y234" s="828"/>
      <c r="Z234" s="828"/>
      <c r="AA234" s="828"/>
      <c r="AB234" s="828"/>
      <c r="AC234" s="828"/>
      <c r="AD234" s="828"/>
      <c r="AE234" s="828"/>
      <c r="AF234" s="828"/>
      <c r="AG234" s="828"/>
      <c r="AH234" s="828"/>
      <c r="AI234" s="828"/>
      <c r="AJ234" s="828"/>
    </row>
    <row r="235">
      <c r="A235" s="828"/>
      <c r="B235" s="828"/>
      <c r="C235" s="828"/>
      <c r="D235" s="828"/>
      <c r="E235" s="828"/>
      <c r="F235" s="828"/>
      <c r="G235" s="828"/>
      <c r="H235" s="828"/>
      <c r="I235" s="828"/>
      <c r="J235" s="828"/>
      <c r="K235" s="828"/>
      <c r="L235" s="828"/>
      <c r="M235" s="828"/>
      <c r="N235" s="828"/>
      <c r="O235" s="828"/>
      <c r="P235" s="828"/>
      <c r="Q235" s="828"/>
      <c r="R235" s="828"/>
      <c r="S235" s="828"/>
      <c r="T235" s="828"/>
      <c r="U235" s="828"/>
      <c r="V235" s="828"/>
      <c r="W235" s="828"/>
      <c r="X235" s="828"/>
      <c r="Y235" s="828"/>
      <c r="Z235" s="828"/>
      <c r="AA235" s="828"/>
      <c r="AB235" s="828"/>
      <c r="AC235" s="828"/>
      <c r="AD235" s="828"/>
      <c r="AE235" s="828"/>
      <c r="AF235" s="828"/>
      <c r="AG235" s="828"/>
      <c r="AH235" s="828"/>
      <c r="AI235" s="828"/>
      <c r="AJ235" s="828"/>
    </row>
    <row r="236">
      <c r="A236" s="828"/>
      <c r="B236" s="828"/>
      <c r="C236" s="828"/>
      <c r="D236" s="828"/>
      <c r="E236" s="828"/>
      <c r="F236" s="828"/>
      <c r="G236" s="828"/>
      <c r="H236" s="828"/>
      <c r="I236" s="828"/>
      <c r="J236" s="828"/>
      <c r="K236" s="828"/>
      <c r="L236" s="828"/>
      <c r="M236" s="828"/>
      <c r="N236" s="828"/>
      <c r="O236" s="828"/>
      <c r="P236" s="828"/>
      <c r="Q236" s="828"/>
      <c r="R236" s="828"/>
      <c r="S236" s="828"/>
      <c r="T236" s="828"/>
      <c r="U236" s="828"/>
      <c r="V236" s="828"/>
      <c r="W236" s="828"/>
      <c r="X236" s="828"/>
      <c r="Y236" s="828"/>
      <c r="Z236" s="828"/>
      <c r="AA236" s="828"/>
      <c r="AB236" s="828"/>
      <c r="AC236" s="828"/>
      <c r="AD236" s="828"/>
      <c r="AE236" s="828"/>
      <c r="AF236" s="828"/>
      <c r="AG236" s="828"/>
      <c r="AH236" s="828"/>
      <c r="AI236" s="828"/>
      <c r="AJ236" s="828"/>
    </row>
    <row r="237">
      <c r="A237" s="828"/>
      <c r="B237" s="828"/>
      <c r="C237" s="828"/>
      <c r="D237" s="828"/>
      <c r="E237" s="828"/>
      <c r="F237" s="828"/>
      <c r="G237" s="828"/>
      <c r="H237" s="828"/>
      <c r="I237" s="828"/>
      <c r="J237" s="828"/>
      <c r="K237" s="828"/>
      <c r="L237" s="828"/>
      <c r="M237" s="828"/>
      <c r="N237" s="828"/>
      <c r="O237" s="828"/>
      <c r="P237" s="828"/>
      <c r="Q237" s="828"/>
      <c r="R237" s="828"/>
      <c r="S237" s="828"/>
      <c r="T237" s="828"/>
      <c r="U237" s="828"/>
      <c r="V237" s="828"/>
      <c r="W237" s="828"/>
      <c r="X237" s="828"/>
      <c r="Y237" s="828"/>
      <c r="Z237" s="828"/>
      <c r="AA237" s="828"/>
      <c r="AB237" s="828"/>
      <c r="AC237" s="828"/>
      <c r="AD237" s="828"/>
      <c r="AE237" s="828"/>
      <c r="AF237" s="828"/>
      <c r="AG237" s="828"/>
      <c r="AH237" s="828"/>
      <c r="AI237" s="828"/>
      <c r="AJ237" s="828"/>
    </row>
    <row r="238">
      <c r="A238" s="828"/>
      <c r="B238" s="828"/>
      <c r="C238" s="828"/>
      <c r="D238" s="828"/>
      <c r="E238" s="828"/>
      <c r="F238" s="828"/>
      <c r="G238" s="828"/>
      <c r="H238" s="828"/>
      <c r="I238" s="828"/>
      <c r="J238" s="828"/>
      <c r="K238" s="828"/>
      <c r="L238" s="828"/>
      <c r="M238" s="828"/>
      <c r="N238" s="828"/>
      <c r="O238" s="828"/>
      <c r="P238" s="828"/>
      <c r="Q238" s="828"/>
      <c r="R238" s="828"/>
      <c r="S238" s="828"/>
      <c r="T238" s="828"/>
      <c r="U238" s="828"/>
      <c r="V238" s="828"/>
      <c r="W238" s="828"/>
      <c r="X238" s="828"/>
      <c r="Y238" s="828"/>
      <c r="Z238" s="828"/>
      <c r="AA238" s="828"/>
      <c r="AB238" s="828"/>
      <c r="AC238" s="828"/>
      <c r="AD238" s="828"/>
      <c r="AE238" s="828"/>
      <c r="AF238" s="828"/>
      <c r="AG238" s="828"/>
      <c r="AH238" s="828"/>
      <c r="AI238" s="828"/>
      <c r="AJ238" s="828"/>
    </row>
    <row r="239">
      <c r="A239" s="828"/>
      <c r="B239" s="828"/>
      <c r="C239" s="828"/>
      <c r="D239" s="828"/>
      <c r="E239" s="828"/>
      <c r="F239" s="828"/>
      <c r="G239" s="828"/>
      <c r="H239" s="828"/>
      <c r="I239" s="828"/>
      <c r="J239" s="828"/>
      <c r="K239" s="828"/>
      <c r="L239" s="828"/>
      <c r="M239" s="828"/>
      <c r="N239" s="828"/>
      <c r="O239" s="828"/>
      <c r="P239" s="828"/>
      <c r="Q239" s="828"/>
      <c r="R239" s="828"/>
      <c r="S239" s="828"/>
      <c r="T239" s="828"/>
      <c r="U239" s="828"/>
      <c r="V239" s="828"/>
      <c r="W239" s="828"/>
      <c r="X239" s="828"/>
      <c r="Y239" s="828"/>
      <c r="Z239" s="828"/>
      <c r="AA239" s="828"/>
      <c r="AB239" s="828"/>
      <c r="AC239" s="828"/>
      <c r="AD239" s="828"/>
      <c r="AE239" s="828"/>
      <c r="AF239" s="828"/>
      <c r="AG239" s="828"/>
      <c r="AH239" s="828"/>
      <c r="AI239" s="828"/>
      <c r="AJ239" s="828"/>
    </row>
    <row r="240">
      <c r="A240" s="828"/>
      <c r="B240" s="828"/>
      <c r="C240" s="828"/>
      <c r="D240" s="828"/>
      <c r="E240" s="828"/>
      <c r="F240" s="828"/>
      <c r="G240" s="828"/>
      <c r="H240" s="828"/>
      <c r="I240" s="828"/>
      <c r="J240" s="828"/>
      <c r="K240" s="828"/>
      <c r="L240" s="828"/>
      <c r="M240" s="828"/>
      <c r="N240" s="828"/>
      <c r="O240" s="828"/>
      <c r="P240" s="828"/>
      <c r="Q240" s="828"/>
      <c r="R240" s="828"/>
      <c r="S240" s="828"/>
      <c r="T240" s="828"/>
      <c r="U240" s="828"/>
      <c r="V240" s="828"/>
      <c r="W240" s="828"/>
      <c r="X240" s="828"/>
      <c r="Y240" s="828"/>
      <c r="Z240" s="828"/>
      <c r="AA240" s="828"/>
      <c r="AB240" s="828"/>
      <c r="AC240" s="828"/>
      <c r="AD240" s="828"/>
      <c r="AE240" s="828"/>
      <c r="AF240" s="828"/>
      <c r="AG240" s="828"/>
      <c r="AH240" s="828"/>
      <c r="AI240" s="828"/>
      <c r="AJ240" s="828"/>
    </row>
    <row r="241">
      <c r="A241" s="828"/>
      <c r="B241" s="828"/>
      <c r="C241" s="828"/>
      <c r="D241" s="828"/>
      <c r="E241" s="828"/>
      <c r="F241" s="828"/>
      <c r="G241" s="828"/>
      <c r="H241" s="828"/>
      <c r="I241" s="828"/>
      <c r="J241" s="828"/>
      <c r="K241" s="828"/>
      <c r="L241" s="828"/>
      <c r="M241" s="828"/>
      <c r="N241" s="828"/>
      <c r="O241" s="828"/>
      <c r="P241" s="828"/>
      <c r="Q241" s="828"/>
      <c r="R241" s="828"/>
      <c r="S241" s="828"/>
      <c r="T241" s="828"/>
      <c r="U241" s="828"/>
      <c r="V241" s="828"/>
      <c r="W241" s="828"/>
      <c r="X241" s="828"/>
      <c r="Y241" s="828"/>
      <c r="Z241" s="828"/>
      <c r="AA241" s="828"/>
      <c r="AB241" s="828"/>
      <c r="AC241" s="828"/>
      <c r="AD241" s="828"/>
      <c r="AE241" s="828"/>
      <c r="AF241" s="828"/>
      <c r="AG241" s="828"/>
      <c r="AH241" s="828"/>
      <c r="AI241" s="828"/>
      <c r="AJ241" s="828"/>
    </row>
    <row r="242">
      <c r="A242" s="828"/>
      <c r="B242" s="828"/>
      <c r="C242" s="828"/>
      <c r="D242" s="828"/>
      <c r="E242" s="828"/>
      <c r="F242" s="828"/>
      <c r="G242" s="828"/>
      <c r="H242" s="828"/>
      <c r="I242" s="828"/>
      <c r="J242" s="828"/>
      <c r="K242" s="828"/>
      <c r="L242" s="828"/>
      <c r="M242" s="828"/>
      <c r="N242" s="828"/>
      <c r="O242" s="828"/>
      <c r="P242" s="828"/>
      <c r="Q242" s="828"/>
      <c r="R242" s="828"/>
      <c r="S242" s="828"/>
      <c r="T242" s="828"/>
      <c r="U242" s="828"/>
      <c r="V242" s="828"/>
      <c r="W242" s="828"/>
      <c r="X242" s="828"/>
      <c r="Y242" s="828"/>
      <c r="Z242" s="828"/>
      <c r="AA242" s="828"/>
      <c r="AB242" s="828"/>
      <c r="AC242" s="828"/>
      <c r="AD242" s="828"/>
      <c r="AE242" s="828"/>
      <c r="AF242" s="828"/>
      <c r="AG242" s="828"/>
      <c r="AH242" s="828"/>
      <c r="AI242" s="828"/>
      <c r="AJ242" s="828"/>
    </row>
    <row r="243">
      <c r="A243" s="828"/>
      <c r="B243" s="828"/>
      <c r="C243" s="828"/>
      <c r="D243" s="828"/>
      <c r="E243" s="828"/>
      <c r="F243" s="828"/>
      <c r="G243" s="828"/>
      <c r="H243" s="828"/>
      <c r="I243" s="828"/>
      <c r="J243" s="828"/>
      <c r="K243" s="828"/>
      <c r="L243" s="828"/>
      <c r="M243" s="828"/>
      <c r="N243" s="828"/>
      <c r="O243" s="828"/>
      <c r="P243" s="828"/>
      <c r="Q243" s="828"/>
      <c r="R243" s="828"/>
      <c r="S243" s="828"/>
      <c r="T243" s="828"/>
      <c r="U243" s="828"/>
      <c r="V243" s="828"/>
      <c r="W243" s="828"/>
      <c r="X243" s="828"/>
      <c r="Y243" s="828"/>
      <c r="Z243" s="828"/>
      <c r="AA243" s="828"/>
      <c r="AB243" s="828"/>
      <c r="AC243" s="828"/>
      <c r="AD243" s="828"/>
      <c r="AE243" s="828"/>
      <c r="AF243" s="828"/>
      <c r="AG243" s="828"/>
      <c r="AH243" s="828"/>
      <c r="AI243" s="828"/>
      <c r="AJ243" s="828"/>
    </row>
    <row r="244">
      <c r="A244" s="828"/>
      <c r="B244" s="828"/>
      <c r="C244" s="828"/>
      <c r="D244" s="828"/>
      <c r="E244" s="828"/>
      <c r="F244" s="828"/>
      <c r="G244" s="828"/>
      <c r="H244" s="828"/>
      <c r="I244" s="828"/>
      <c r="J244" s="828"/>
      <c r="K244" s="828"/>
      <c r="L244" s="828"/>
      <c r="M244" s="828"/>
      <c r="N244" s="828"/>
      <c r="O244" s="828"/>
      <c r="P244" s="828"/>
      <c r="Q244" s="828"/>
      <c r="R244" s="828"/>
      <c r="S244" s="828"/>
      <c r="T244" s="828"/>
      <c r="U244" s="828"/>
      <c r="V244" s="828"/>
      <c r="W244" s="828"/>
      <c r="X244" s="828"/>
      <c r="Y244" s="828"/>
      <c r="Z244" s="828"/>
      <c r="AA244" s="828"/>
      <c r="AB244" s="828"/>
      <c r="AC244" s="828"/>
      <c r="AD244" s="828"/>
      <c r="AE244" s="828"/>
      <c r="AF244" s="828"/>
      <c r="AG244" s="828"/>
      <c r="AH244" s="828"/>
      <c r="AI244" s="828"/>
      <c r="AJ244" s="828"/>
    </row>
    <row r="245">
      <c r="A245" s="828"/>
      <c r="B245" s="828"/>
      <c r="C245" s="828"/>
      <c r="D245" s="828"/>
      <c r="E245" s="828"/>
      <c r="F245" s="828"/>
      <c r="G245" s="828"/>
      <c r="H245" s="828"/>
      <c r="I245" s="828"/>
      <c r="J245" s="828"/>
      <c r="K245" s="828"/>
      <c r="L245" s="828"/>
      <c r="M245" s="828"/>
      <c r="N245" s="828"/>
      <c r="O245" s="828"/>
      <c r="P245" s="828"/>
      <c r="Q245" s="828"/>
      <c r="R245" s="828"/>
      <c r="S245" s="828"/>
      <c r="T245" s="828"/>
      <c r="U245" s="828"/>
      <c r="V245" s="828"/>
      <c r="W245" s="828"/>
      <c r="X245" s="828"/>
      <c r="Y245" s="828"/>
      <c r="Z245" s="828"/>
      <c r="AA245" s="828"/>
      <c r="AB245" s="828"/>
      <c r="AC245" s="828"/>
      <c r="AD245" s="828"/>
      <c r="AE245" s="828"/>
      <c r="AF245" s="828"/>
      <c r="AG245" s="828"/>
      <c r="AH245" s="828"/>
      <c r="AI245" s="828"/>
      <c r="AJ245" s="828"/>
    </row>
    <row r="246">
      <c r="A246" s="828"/>
      <c r="B246" s="828"/>
      <c r="C246" s="828"/>
      <c r="D246" s="828"/>
      <c r="E246" s="828"/>
      <c r="F246" s="828"/>
      <c r="G246" s="828"/>
      <c r="H246" s="828"/>
      <c r="I246" s="828"/>
      <c r="J246" s="828"/>
      <c r="K246" s="828"/>
      <c r="L246" s="828"/>
      <c r="M246" s="828"/>
      <c r="N246" s="828"/>
      <c r="O246" s="828"/>
      <c r="P246" s="828"/>
      <c r="Q246" s="828"/>
      <c r="R246" s="828"/>
      <c r="S246" s="828"/>
      <c r="T246" s="828"/>
      <c r="U246" s="828"/>
      <c r="V246" s="828"/>
      <c r="W246" s="828"/>
      <c r="X246" s="828"/>
      <c r="Y246" s="828"/>
      <c r="Z246" s="828"/>
      <c r="AA246" s="828"/>
      <c r="AB246" s="828"/>
      <c r="AC246" s="828"/>
      <c r="AD246" s="828"/>
      <c r="AE246" s="828"/>
      <c r="AF246" s="828"/>
      <c r="AG246" s="828"/>
      <c r="AH246" s="828"/>
      <c r="AI246" s="828"/>
      <c r="AJ246" s="828"/>
    </row>
    <row r="247">
      <c r="A247" s="828"/>
      <c r="B247" s="828"/>
      <c r="C247" s="828"/>
      <c r="D247" s="828"/>
      <c r="E247" s="828"/>
      <c r="F247" s="828"/>
      <c r="G247" s="828"/>
      <c r="H247" s="828"/>
      <c r="I247" s="828"/>
      <c r="J247" s="828"/>
      <c r="K247" s="828"/>
      <c r="L247" s="828"/>
      <c r="M247" s="828"/>
      <c r="N247" s="828"/>
      <c r="O247" s="828"/>
      <c r="P247" s="828"/>
      <c r="Q247" s="828"/>
      <c r="R247" s="828"/>
      <c r="S247" s="828"/>
      <c r="T247" s="828"/>
      <c r="U247" s="828"/>
      <c r="V247" s="828"/>
      <c r="W247" s="828"/>
      <c r="X247" s="828"/>
      <c r="Y247" s="828"/>
      <c r="Z247" s="828"/>
      <c r="AA247" s="828"/>
      <c r="AB247" s="828"/>
      <c r="AC247" s="828"/>
      <c r="AD247" s="828"/>
      <c r="AE247" s="828"/>
      <c r="AF247" s="828"/>
      <c r="AG247" s="828"/>
      <c r="AH247" s="828"/>
      <c r="AI247" s="828"/>
      <c r="AJ247" s="828"/>
    </row>
    <row r="248">
      <c r="A248" s="828"/>
      <c r="B248" s="828"/>
      <c r="C248" s="828"/>
      <c r="D248" s="828"/>
      <c r="E248" s="828"/>
      <c r="F248" s="828"/>
      <c r="G248" s="828"/>
      <c r="H248" s="828"/>
      <c r="I248" s="828"/>
      <c r="J248" s="828"/>
      <c r="K248" s="828"/>
      <c r="L248" s="828"/>
      <c r="M248" s="828"/>
      <c r="N248" s="828"/>
      <c r="O248" s="828"/>
      <c r="P248" s="828"/>
      <c r="Q248" s="828"/>
      <c r="R248" s="828"/>
      <c r="S248" s="828"/>
      <c r="T248" s="828"/>
      <c r="U248" s="828"/>
      <c r="V248" s="828"/>
      <c r="W248" s="828"/>
      <c r="X248" s="828"/>
      <c r="Y248" s="828"/>
      <c r="Z248" s="828"/>
      <c r="AA248" s="828"/>
      <c r="AB248" s="828"/>
      <c r="AC248" s="828"/>
      <c r="AD248" s="828"/>
      <c r="AE248" s="828"/>
      <c r="AF248" s="828"/>
      <c r="AG248" s="828"/>
      <c r="AH248" s="828"/>
      <c r="AI248" s="828"/>
      <c r="AJ248" s="828"/>
    </row>
    <row r="249">
      <c r="A249" s="828"/>
      <c r="B249" s="828"/>
      <c r="C249" s="828"/>
      <c r="D249" s="828"/>
      <c r="E249" s="828"/>
      <c r="F249" s="828"/>
      <c r="G249" s="828"/>
      <c r="H249" s="828"/>
      <c r="I249" s="828"/>
      <c r="J249" s="828"/>
      <c r="K249" s="828"/>
      <c r="L249" s="828"/>
      <c r="M249" s="828"/>
      <c r="N249" s="828"/>
      <c r="O249" s="828"/>
      <c r="P249" s="828"/>
      <c r="Q249" s="828"/>
      <c r="R249" s="828"/>
      <c r="S249" s="828"/>
      <c r="T249" s="828"/>
      <c r="U249" s="828"/>
      <c r="V249" s="828"/>
      <c r="W249" s="828"/>
      <c r="X249" s="828"/>
      <c r="Y249" s="828"/>
      <c r="Z249" s="828"/>
      <c r="AA249" s="828"/>
      <c r="AB249" s="828"/>
      <c r="AC249" s="828"/>
      <c r="AD249" s="828"/>
      <c r="AE249" s="828"/>
      <c r="AF249" s="828"/>
      <c r="AG249" s="828"/>
      <c r="AH249" s="828"/>
      <c r="AI249" s="828"/>
      <c r="AJ249" s="828"/>
    </row>
    <row r="250">
      <c r="A250" s="828"/>
      <c r="B250" s="828"/>
      <c r="C250" s="828"/>
      <c r="D250" s="828"/>
      <c r="E250" s="828"/>
      <c r="F250" s="828"/>
      <c r="G250" s="828"/>
      <c r="H250" s="828"/>
      <c r="I250" s="828"/>
      <c r="J250" s="828"/>
      <c r="K250" s="828"/>
      <c r="L250" s="828"/>
      <c r="M250" s="828"/>
      <c r="N250" s="828"/>
      <c r="O250" s="828"/>
      <c r="P250" s="828"/>
      <c r="Q250" s="828"/>
      <c r="R250" s="828"/>
      <c r="S250" s="828"/>
      <c r="T250" s="828"/>
      <c r="U250" s="828"/>
      <c r="V250" s="828"/>
      <c r="W250" s="828"/>
      <c r="X250" s="828"/>
      <c r="Y250" s="828"/>
      <c r="Z250" s="828"/>
      <c r="AA250" s="828"/>
      <c r="AB250" s="828"/>
      <c r="AC250" s="828"/>
      <c r="AD250" s="828"/>
      <c r="AE250" s="828"/>
      <c r="AF250" s="828"/>
      <c r="AG250" s="828"/>
      <c r="AH250" s="828"/>
      <c r="AI250" s="828"/>
      <c r="AJ250" s="828"/>
    </row>
    <row r="251">
      <c r="A251" s="828"/>
      <c r="B251" s="828"/>
      <c r="C251" s="828"/>
      <c r="D251" s="828"/>
      <c r="E251" s="828"/>
      <c r="F251" s="828"/>
      <c r="G251" s="828"/>
      <c r="H251" s="828"/>
      <c r="I251" s="828"/>
      <c r="J251" s="828"/>
      <c r="K251" s="828"/>
      <c r="L251" s="828"/>
      <c r="M251" s="828"/>
      <c r="N251" s="828"/>
      <c r="O251" s="828"/>
      <c r="P251" s="828"/>
      <c r="Q251" s="828"/>
      <c r="R251" s="828"/>
      <c r="S251" s="828"/>
      <c r="T251" s="828"/>
      <c r="U251" s="828"/>
      <c r="V251" s="828"/>
      <c r="W251" s="828"/>
      <c r="X251" s="828"/>
      <c r="Y251" s="828"/>
      <c r="Z251" s="828"/>
      <c r="AA251" s="828"/>
      <c r="AB251" s="828"/>
      <c r="AC251" s="828"/>
      <c r="AD251" s="828"/>
      <c r="AE251" s="828"/>
      <c r="AF251" s="828"/>
      <c r="AG251" s="828"/>
      <c r="AH251" s="828"/>
      <c r="AI251" s="828"/>
      <c r="AJ251" s="828"/>
    </row>
    <row r="252">
      <c r="A252" s="828"/>
      <c r="B252" s="828"/>
      <c r="C252" s="828"/>
      <c r="D252" s="828"/>
      <c r="E252" s="828"/>
      <c r="F252" s="828"/>
      <c r="G252" s="828"/>
      <c r="H252" s="828"/>
      <c r="I252" s="828"/>
      <c r="J252" s="828"/>
      <c r="K252" s="828"/>
      <c r="L252" s="828"/>
      <c r="M252" s="828"/>
      <c r="N252" s="828"/>
      <c r="O252" s="828"/>
      <c r="P252" s="828"/>
      <c r="Q252" s="828"/>
      <c r="R252" s="828"/>
      <c r="S252" s="828"/>
      <c r="T252" s="828"/>
      <c r="U252" s="828"/>
      <c r="V252" s="828"/>
      <c r="W252" s="828"/>
      <c r="X252" s="828"/>
      <c r="Y252" s="828"/>
      <c r="Z252" s="828"/>
      <c r="AA252" s="828"/>
      <c r="AB252" s="828"/>
      <c r="AC252" s="828"/>
      <c r="AD252" s="828"/>
      <c r="AE252" s="828"/>
      <c r="AF252" s="828"/>
      <c r="AG252" s="828"/>
      <c r="AH252" s="828"/>
      <c r="AI252" s="828"/>
      <c r="AJ252" s="828"/>
    </row>
    <row r="253">
      <c r="A253" s="828"/>
      <c r="B253" s="828"/>
      <c r="C253" s="828"/>
      <c r="D253" s="828"/>
      <c r="E253" s="828"/>
      <c r="F253" s="828"/>
      <c r="G253" s="828"/>
      <c r="H253" s="828"/>
      <c r="I253" s="828"/>
      <c r="J253" s="828"/>
      <c r="K253" s="828"/>
      <c r="L253" s="828"/>
      <c r="M253" s="828"/>
      <c r="N253" s="828"/>
      <c r="O253" s="828"/>
      <c r="P253" s="828"/>
      <c r="Q253" s="828"/>
      <c r="R253" s="828"/>
      <c r="S253" s="828"/>
      <c r="T253" s="828"/>
      <c r="U253" s="828"/>
      <c r="V253" s="828"/>
      <c r="W253" s="828"/>
      <c r="X253" s="828"/>
      <c r="Y253" s="828"/>
      <c r="Z253" s="828"/>
      <c r="AA253" s="828"/>
      <c r="AB253" s="828"/>
      <c r="AC253" s="828"/>
      <c r="AD253" s="828"/>
      <c r="AE253" s="828"/>
      <c r="AF253" s="828"/>
      <c r="AG253" s="828"/>
      <c r="AH253" s="828"/>
      <c r="AI253" s="828"/>
      <c r="AJ253" s="828"/>
    </row>
    <row r="254">
      <c r="A254" s="828"/>
      <c r="B254" s="828"/>
      <c r="C254" s="828"/>
      <c r="D254" s="828"/>
      <c r="E254" s="828"/>
      <c r="F254" s="828"/>
      <c r="G254" s="828"/>
      <c r="H254" s="828"/>
      <c r="I254" s="828"/>
      <c r="J254" s="828"/>
      <c r="K254" s="828"/>
      <c r="L254" s="828"/>
      <c r="M254" s="828"/>
      <c r="N254" s="828"/>
      <c r="O254" s="828"/>
      <c r="P254" s="828"/>
      <c r="Q254" s="828"/>
      <c r="R254" s="828"/>
      <c r="S254" s="828"/>
      <c r="T254" s="828"/>
      <c r="U254" s="828"/>
      <c r="V254" s="828"/>
      <c r="W254" s="828"/>
      <c r="X254" s="828"/>
      <c r="Y254" s="828"/>
      <c r="Z254" s="828"/>
      <c r="AA254" s="828"/>
      <c r="AB254" s="828"/>
      <c r="AC254" s="828"/>
      <c r="AD254" s="828"/>
      <c r="AE254" s="828"/>
      <c r="AF254" s="828"/>
      <c r="AG254" s="828"/>
      <c r="AH254" s="828"/>
      <c r="AI254" s="828"/>
      <c r="AJ254" s="828"/>
    </row>
    <row r="255">
      <c r="A255" s="828"/>
      <c r="B255" s="828"/>
      <c r="C255" s="828"/>
      <c r="D255" s="828"/>
      <c r="E255" s="828"/>
      <c r="F255" s="828"/>
      <c r="G255" s="828"/>
      <c r="H255" s="828"/>
      <c r="I255" s="828"/>
      <c r="J255" s="828"/>
      <c r="K255" s="828"/>
      <c r="L255" s="828"/>
      <c r="M255" s="828"/>
      <c r="N255" s="828"/>
      <c r="O255" s="828"/>
      <c r="P255" s="828"/>
      <c r="Q255" s="828"/>
      <c r="R255" s="828"/>
      <c r="S255" s="828"/>
      <c r="T255" s="828"/>
      <c r="U255" s="828"/>
      <c r="V255" s="828"/>
      <c r="W255" s="828"/>
      <c r="X255" s="828"/>
      <c r="Y255" s="828"/>
      <c r="Z255" s="828"/>
      <c r="AA255" s="828"/>
      <c r="AB255" s="828"/>
      <c r="AC255" s="828"/>
      <c r="AD255" s="828"/>
      <c r="AE255" s="828"/>
      <c r="AF255" s="828"/>
      <c r="AG255" s="828"/>
      <c r="AH255" s="828"/>
      <c r="AI255" s="828"/>
      <c r="AJ255" s="828"/>
    </row>
    <row r="256">
      <c r="A256" s="828"/>
      <c r="B256" s="828"/>
      <c r="C256" s="828"/>
      <c r="D256" s="828"/>
      <c r="E256" s="828"/>
      <c r="F256" s="828"/>
      <c r="G256" s="828"/>
      <c r="H256" s="828"/>
      <c r="I256" s="828"/>
      <c r="J256" s="828"/>
      <c r="K256" s="828"/>
      <c r="L256" s="828"/>
      <c r="M256" s="828"/>
      <c r="N256" s="828"/>
      <c r="O256" s="828"/>
      <c r="P256" s="828"/>
      <c r="Q256" s="828"/>
      <c r="R256" s="828"/>
      <c r="S256" s="828"/>
      <c r="T256" s="828"/>
      <c r="U256" s="828"/>
      <c r="V256" s="828"/>
      <c r="W256" s="828"/>
      <c r="X256" s="828"/>
      <c r="Y256" s="828"/>
      <c r="Z256" s="828"/>
      <c r="AA256" s="828"/>
      <c r="AB256" s="828"/>
      <c r="AC256" s="828"/>
      <c r="AD256" s="828"/>
      <c r="AE256" s="828"/>
      <c r="AF256" s="828"/>
      <c r="AG256" s="828"/>
      <c r="AH256" s="828"/>
      <c r="AI256" s="828"/>
      <c r="AJ256" s="828"/>
    </row>
    <row r="257">
      <c r="A257" s="828"/>
      <c r="B257" s="828"/>
      <c r="C257" s="828"/>
      <c r="D257" s="828"/>
      <c r="E257" s="828"/>
      <c r="F257" s="828"/>
      <c r="G257" s="828"/>
      <c r="H257" s="828"/>
      <c r="I257" s="828"/>
      <c r="J257" s="828"/>
      <c r="K257" s="828"/>
      <c r="L257" s="828"/>
      <c r="M257" s="828"/>
      <c r="N257" s="828"/>
      <c r="O257" s="828"/>
      <c r="P257" s="828"/>
      <c r="Q257" s="828"/>
      <c r="R257" s="828"/>
      <c r="S257" s="828"/>
      <c r="T257" s="828"/>
      <c r="U257" s="828"/>
      <c r="V257" s="828"/>
      <c r="W257" s="828"/>
      <c r="X257" s="828"/>
      <c r="Y257" s="828"/>
      <c r="Z257" s="828"/>
      <c r="AA257" s="828"/>
      <c r="AB257" s="828"/>
      <c r="AC257" s="828"/>
      <c r="AD257" s="828"/>
      <c r="AE257" s="828"/>
      <c r="AF257" s="828"/>
      <c r="AG257" s="828"/>
      <c r="AH257" s="828"/>
      <c r="AI257" s="828"/>
      <c r="AJ257" s="828"/>
    </row>
    <row r="258">
      <c r="A258" s="828"/>
      <c r="B258" s="828"/>
      <c r="C258" s="828"/>
      <c r="D258" s="828"/>
      <c r="E258" s="828"/>
      <c r="F258" s="828"/>
      <c r="G258" s="828"/>
      <c r="H258" s="828"/>
      <c r="I258" s="828"/>
      <c r="J258" s="828"/>
      <c r="K258" s="828"/>
      <c r="L258" s="828"/>
      <c r="M258" s="828"/>
      <c r="N258" s="828"/>
      <c r="O258" s="828"/>
      <c r="P258" s="828"/>
      <c r="Q258" s="828"/>
      <c r="R258" s="828"/>
      <c r="S258" s="828"/>
      <c r="T258" s="828"/>
      <c r="U258" s="828"/>
      <c r="V258" s="828"/>
      <c r="W258" s="828"/>
      <c r="X258" s="828"/>
      <c r="Y258" s="828"/>
      <c r="Z258" s="828"/>
      <c r="AA258" s="828"/>
      <c r="AB258" s="828"/>
      <c r="AC258" s="828"/>
      <c r="AD258" s="828"/>
      <c r="AE258" s="828"/>
      <c r="AF258" s="828"/>
      <c r="AG258" s="828"/>
      <c r="AH258" s="828"/>
      <c r="AI258" s="828"/>
      <c r="AJ258" s="828"/>
    </row>
    <row r="259">
      <c r="A259" s="828"/>
      <c r="B259" s="828"/>
      <c r="C259" s="828"/>
      <c r="D259" s="828"/>
      <c r="E259" s="828"/>
      <c r="F259" s="828"/>
      <c r="G259" s="828"/>
      <c r="H259" s="828"/>
      <c r="I259" s="828"/>
      <c r="J259" s="828"/>
      <c r="K259" s="828"/>
      <c r="L259" s="828"/>
      <c r="M259" s="828"/>
      <c r="N259" s="828"/>
      <c r="O259" s="828"/>
      <c r="P259" s="828"/>
      <c r="Q259" s="828"/>
      <c r="R259" s="828"/>
      <c r="S259" s="828"/>
      <c r="T259" s="828"/>
      <c r="U259" s="828"/>
      <c r="V259" s="828"/>
      <c r="W259" s="828"/>
      <c r="X259" s="828"/>
      <c r="Y259" s="828"/>
      <c r="Z259" s="828"/>
      <c r="AA259" s="828"/>
      <c r="AB259" s="828"/>
      <c r="AC259" s="828"/>
      <c r="AD259" s="828"/>
      <c r="AE259" s="828"/>
      <c r="AF259" s="828"/>
      <c r="AG259" s="828"/>
      <c r="AH259" s="828"/>
      <c r="AI259" s="828"/>
      <c r="AJ259" s="828"/>
    </row>
    <row r="260">
      <c r="A260" s="828"/>
      <c r="B260" s="828"/>
      <c r="C260" s="828"/>
      <c r="D260" s="828"/>
      <c r="E260" s="828"/>
      <c r="F260" s="828"/>
      <c r="G260" s="828"/>
      <c r="H260" s="828"/>
      <c r="I260" s="828"/>
      <c r="J260" s="828"/>
      <c r="K260" s="828"/>
      <c r="L260" s="828"/>
      <c r="M260" s="828"/>
      <c r="N260" s="828"/>
      <c r="O260" s="828"/>
      <c r="P260" s="828"/>
      <c r="Q260" s="828"/>
      <c r="R260" s="828"/>
      <c r="S260" s="828"/>
      <c r="T260" s="828"/>
      <c r="U260" s="828"/>
      <c r="V260" s="828"/>
      <c r="W260" s="828"/>
      <c r="X260" s="828"/>
      <c r="Y260" s="828"/>
      <c r="Z260" s="828"/>
      <c r="AA260" s="828"/>
      <c r="AB260" s="828"/>
      <c r="AC260" s="828"/>
      <c r="AD260" s="828"/>
      <c r="AE260" s="828"/>
      <c r="AF260" s="828"/>
      <c r="AG260" s="828"/>
      <c r="AH260" s="828"/>
      <c r="AI260" s="828"/>
      <c r="AJ260" s="828"/>
    </row>
    <row r="261">
      <c r="A261" s="828"/>
      <c r="B261" s="828"/>
      <c r="C261" s="828"/>
      <c r="D261" s="828"/>
      <c r="E261" s="828"/>
      <c r="F261" s="828"/>
      <c r="G261" s="828"/>
      <c r="H261" s="828"/>
      <c r="I261" s="828"/>
      <c r="J261" s="828"/>
      <c r="K261" s="828"/>
      <c r="L261" s="828"/>
      <c r="M261" s="828"/>
      <c r="N261" s="828"/>
      <c r="O261" s="828"/>
      <c r="P261" s="828"/>
      <c r="Q261" s="828"/>
      <c r="R261" s="828"/>
      <c r="S261" s="828"/>
      <c r="T261" s="828"/>
      <c r="U261" s="828"/>
      <c r="V261" s="828"/>
      <c r="W261" s="828"/>
      <c r="X261" s="828"/>
      <c r="Y261" s="828"/>
      <c r="Z261" s="828"/>
      <c r="AA261" s="828"/>
      <c r="AB261" s="828"/>
      <c r="AC261" s="828"/>
      <c r="AD261" s="828"/>
      <c r="AE261" s="828"/>
      <c r="AF261" s="828"/>
      <c r="AG261" s="828"/>
      <c r="AH261" s="828"/>
      <c r="AI261" s="828"/>
      <c r="AJ261" s="828"/>
    </row>
    <row r="262">
      <c r="A262" s="828"/>
      <c r="B262" s="828"/>
      <c r="C262" s="828"/>
      <c r="D262" s="828"/>
      <c r="E262" s="828"/>
      <c r="F262" s="828"/>
      <c r="G262" s="828"/>
      <c r="H262" s="828"/>
      <c r="I262" s="828"/>
      <c r="J262" s="828"/>
      <c r="K262" s="828"/>
      <c r="L262" s="828"/>
      <c r="M262" s="828"/>
      <c r="N262" s="828"/>
      <c r="O262" s="828"/>
      <c r="P262" s="828"/>
      <c r="Q262" s="828"/>
      <c r="R262" s="828"/>
      <c r="S262" s="828"/>
      <c r="T262" s="828"/>
      <c r="U262" s="828"/>
      <c r="V262" s="828"/>
      <c r="W262" s="828"/>
      <c r="X262" s="828"/>
      <c r="Y262" s="828"/>
      <c r="Z262" s="828"/>
      <c r="AA262" s="828"/>
      <c r="AB262" s="828"/>
      <c r="AC262" s="828"/>
      <c r="AD262" s="828"/>
      <c r="AE262" s="828"/>
      <c r="AF262" s="828"/>
      <c r="AG262" s="828"/>
      <c r="AH262" s="828"/>
      <c r="AI262" s="828"/>
      <c r="AJ262" s="828"/>
    </row>
    <row r="263">
      <c r="A263" s="828"/>
      <c r="B263" s="828"/>
      <c r="C263" s="828"/>
      <c r="D263" s="828"/>
      <c r="E263" s="828"/>
      <c r="F263" s="828"/>
      <c r="G263" s="828"/>
      <c r="H263" s="828"/>
      <c r="I263" s="828"/>
      <c r="J263" s="828"/>
      <c r="K263" s="828"/>
      <c r="L263" s="828"/>
      <c r="M263" s="828"/>
      <c r="N263" s="828"/>
      <c r="O263" s="828"/>
      <c r="P263" s="828"/>
      <c r="Q263" s="828"/>
      <c r="R263" s="828"/>
      <c r="S263" s="828"/>
      <c r="T263" s="828"/>
      <c r="U263" s="828"/>
      <c r="V263" s="828"/>
      <c r="W263" s="828"/>
      <c r="X263" s="828"/>
      <c r="Y263" s="828"/>
      <c r="Z263" s="828"/>
      <c r="AA263" s="828"/>
      <c r="AB263" s="828"/>
      <c r="AC263" s="828"/>
      <c r="AD263" s="828"/>
      <c r="AE263" s="828"/>
      <c r="AF263" s="828"/>
      <c r="AG263" s="828"/>
      <c r="AH263" s="828"/>
      <c r="AI263" s="828"/>
      <c r="AJ263" s="828"/>
    </row>
    <row r="264">
      <c r="A264" s="828"/>
      <c r="B264" s="828"/>
      <c r="C264" s="828"/>
      <c r="D264" s="828"/>
      <c r="E264" s="828"/>
      <c r="F264" s="828"/>
      <c r="G264" s="828"/>
      <c r="H264" s="828"/>
      <c r="I264" s="828"/>
      <c r="J264" s="828"/>
      <c r="K264" s="828"/>
      <c r="L264" s="828"/>
      <c r="M264" s="828"/>
      <c r="N264" s="828"/>
      <c r="O264" s="828"/>
      <c r="P264" s="828"/>
      <c r="Q264" s="828"/>
      <c r="R264" s="828"/>
      <c r="S264" s="828"/>
      <c r="T264" s="828"/>
      <c r="U264" s="828"/>
      <c r="V264" s="828"/>
      <c r="W264" s="828"/>
      <c r="X264" s="828"/>
      <c r="Y264" s="828"/>
      <c r="Z264" s="828"/>
      <c r="AA264" s="828"/>
      <c r="AB264" s="828"/>
      <c r="AC264" s="828"/>
      <c r="AD264" s="828"/>
      <c r="AE264" s="828"/>
      <c r="AF264" s="828"/>
      <c r="AG264" s="828"/>
      <c r="AH264" s="828"/>
      <c r="AI264" s="828"/>
      <c r="AJ264" s="828"/>
    </row>
    <row r="265">
      <c r="A265" s="828"/>
      <c r="B265" s="828"/>
      <c r="C265" s="828"/>
      <c r="D265" s="828"/>
      <c r="E265" s="828"/>
      <c r="F265" s="828"/>
      <c r="G265" s="828"/>
      <c r="H265" s="828"/>
      <c r="I265" s="828"/>
      <c r="J265" s="828"/>
      <c r="K265" s="828"/>
      <c r="L265" s="828"/>
      <c r="M265" s="828"/>
      <c r="N265" s="828"/>
      <c r="O265" s="828"/>
      <c r="P265" s="828"/>
      <c r="Q265" s="828"/>
      <c r="R265" s="828"/>
      <c r="S265" s="828"/>
      <c r="T265" s="828"/>
      <c r="U265" s="828"/>
      <c r="V265" s="828"/>
      <c r="W265" s="828"/>
      <c r="X265" s="828"/>
      <c r="Y265" s="828"/>
      <c r="Z265" s="828"/>
      <c r="AA265" s="828"/>
      <c r="AB265" s="828"/>
      <c r="AC265" s="828"/>
      <c r="AD265" s="828"/>
      <c r="AE265" s="828"/>
      <c r="AF265" s="828"/>
      <c r="AG265" s="828"/>
      <c r="AH265" s="828"/>
      <c r="AI265" s="828"/>
      <c r="AJ265" s="828"/>
    </row>
    <row r="266">
      <c r="A266" s="828"/>
      <c r="B266" s="828"/>
      <c r="C266" s="828"/>
      <c r="D266" s="828"/>
      <c r="E266" s="828"/>
      <c r="F266" s="828"/>
      <c r="G266" s="828"/>
      <c r="H266" s="828"/>
      <c r="I266" s="828"/>
      <c r="J266" s="828"/>
      <c r="K266" s="828"/>
      <c r="L266" s="828"/>
      <c r="M266" s="828"/>
      <c r="N266" s="828"/>
      <c r="O266" s="828"/>
      <c r="P266" s="828"/>
      <c r="Q266" s="828"/>
      <c r="R266" s="828"/>
      <c r="S266" s="828"/>
      <c r="T266" s="828"/>
      <c r="U266" s="828"/>
      <c r="V266" s="828"/>
      <c r="W266" s="828"/>
      <c r="X266" s="828"/>
      <c r="Y266" s="828"/>
      <c r="Z266" s="828"/>
      <c r="AA266" s="828"/>
      <c r="AB266" s="828"/>
      <c r="AC266" s="828"/>
      <c r="AD266" s="828"/>
      <c r="AE266" s="828"/>
      <c r="AF266" s="828"/>
      <c r="AG266" s="828"/>
      <c r="AH266" s="828"/>
      <c r="AI266" s="828"/>
      <c r="AJ266" s="828"/>
    </row>
    <row r="267">
      <c r="A267" s="828"/>
      <c r="B267" s="828"/>
      <c r="C267" s="828"/>
      <c r="D267" s="828"/>
      <c r="E267" s="828"/>
      <c r="F267" s="828"/>
      <c r="G267" s="828"/>
      <c r="H267" s="828"/>
      <c r="I267" s="828"/>
      <c r="J267" s="828"/>
      <c r="K267" s="828"/>
      <c r="L267" s="828"/>
      <c r="M267" s="828"/>
      <c r="N267" s="828"/>
      <c r="O267" s="828"/>
      <c r="P267" s="828"/>
      <c r="Q267" s="828"/>
      <c r="R267" s="828"/>
      <c r="S267" s="828"/>
      <c r="T267" s="828"/>
      <c r="U267" s="828"/>
      <c r="V267" s="828"/>
      <c r="W267" s="828"/>
      <c r="X267" s="828"/>
      <c r="Y267" s="828"/>
      <c r="Z267" s="828"/>
      <c r="AA267" s="828"/>
      <c r="AB267" s="828"/>
      <c r="AC267" s="828"/>
      <c r="AD267" s="828"/>
      <c r="AE267" s="828"/>
      <c r="AF267" s="828"/>
      <c r="AG267" s="828"/>
      <c r="AH267" s="828"/>
      <c r="AI267" s="828"/>
      <c r="AJ267" s="828"/>
    </row>
    <row r="268">
      <c r="A268" s="828"/>
      <c r="B268" s="828"/>
      <c r="C268" s="828"/>
      <c r="D268" s="828"/>
      <c r="E268" s="828"/>
      <c r="F268" s="828"/>
      <c r="G268" s="828"/>
      <c r="H268" s="828"/>
      <c r="I268" s="828"/>
      <c r="J268" s="828"/>
      <c r="K268" s="828"/>
      <c r="L268" s="828"/>
      <c r="M268" s="828"/>
      <c r="N268" s="828"/>
      <c r="O268" s="828"/>
      <c r="P268" s="828"/>
      <c r="Q268" s="828"/>
      <c r="R268" s="828"/>
      <c r="S268" s="828"/>
      <c r="T268" s="828"/>
      <c r="U268" s="828"/>
      <c r="V268" s="828"/>
      <c r="W268" s="828"/>
      <c r="X268" s="828"/>
      <c r="Y268" s="828"/>
      <c r="Z268" s="828"/>
      <c r="AA268" s="828"/>
      <c r="AB268" s="828"/>
      <c r="AC268" s="828"/>
      <c r="AD268" s="828"/>
      <c r="AE268" s="828"/>
      <c r="AF268" s="828"/>
      <c r="AG268" s="828"/>
      <c r="AH268" s="828"/>
      <c r="AI268" s="828"/>
      <c r="AJ268" s="828"/>
    </row>
    <row r="269">
      <c r="A269" s="828"/>
      <c r="B269" s="828"/>
      <c r="C269" s="828"/>
      <c r="D269" s="828"/>
      <c r="E269" s="828"/>
      <c r="F269" s="828"/>
      <c r="G269" s="828"/>
      <c r="H269" s="828"/>
      <c r="I269" s="828"/>
      <c r="J269" s="828"/>
      <c r="K269" s="828"/>
      <c r="L269" s="828"/>
      <c r="M269" s="828"/>
      <c r="N269" s="828"/>
      <c r="O269" s="828"/>
      <c r="P269" s="828"/>
      <c r="Q269" s="828"/>
      <c r="R269" s="828"/>
      <c r="S269" s="828"/>
      <c r="T269" s="828"/>
      <c r="U269" s="828"/>
      <c r="V269" s="828"/>
      <c r="W269" s="828"/>
      <c r="X269" s="828"/>
      <c r="Y269" s="828"/>
      <c r="Z269" s="828"/>
      <c r="AA269" s="828"/>
      <c r="AB269" s="828"/>
      <c r="AC269" s="828"/>
      <c r="AD269" s="828"/>
      <c r="AE269" s="828"/>
      <c r="AF269" s="828"/>
      <c r="AG269" s="828"/>
      <c r="AH269" s="828"/>
      <c r="AI269" s="828"/>
      <c r="AJ269" s="828"/>
    </row>
    <row r="270">
      <c r="A270" s="828"/>
      <c r="B270" s="828"/>
      <c r="C270" s="828"/>
      <c r="D270" s="828"/>
      <c r="E270" s="828"/>
      <c r="F270" s="828"/>
      <c r="G270" s="828"/>
      <c r="H270" s="828"/>
      <c r="I270" s="828"/>
      <c r="J270" s="828"/>
      <c r="K270" s="828"/>
      <c r="L270" s="828"/>
      <c r="M270" s="828"/>
      <c r="N270" s="828"/>
      <c r="O270" s="828"/>
      <c r="P270" s="828"/>
      <c r="Q270" s="828"/>
      <c r="R270" s="828"/>
      <c r="S270" s="828"/>
      <c r="T270" s="828"/>
      <c r="U270" s="828"/>
      <c r="V270" s="828"/>
      <c r="W270" s="828"/>
      <c r="X270" s="828"/>
      <c r="Y270" s="828"/>
      <c r="Z270" s="828"/>
      <c r="AA270" s="828"/>
      <c r="AB270" s="828"/>
      <c r="AC270" s="828"/>
      <c r="AD270" s="828"/>
      <c r="AE270" s="828"/>
      <c r="AF270" s="828"/>
      <c r="AG270" s="828"/>
      <c r="AH270" s="828"/>
      <c r="AI270" s="828"/>
      <c r="AJ270" s="828"/>
    </row>
    <row r="271">
      <c r="A271" s="828"/>
      <c r="B271" s="828"/>
      <c r="C271" s="828"/>
      <c r="D271" s="828"/>
      <c r="E271" s="828"/>
      <c r="F271" s="828"/>
      <c r="G271" s="828"/>
      <c r="H271" s="828"/>
      <c r="I271" s="828"/>
      <c r="J271" s="828"/>
      <c r="K271" s="828"/>
      <c r="L271" s="828"/>
      <c r="M271" s="828"/>
      <c r="N271" s="828"/>
      <c r="O271" s="828"/>
      <c r="P271" s="828"/>
      <c r="Q271" s="828"/>
      <c r="R271" s="828"/>
      <c r="S271" s="828"/>
      <c r="T271" s="828"/>
      <c r="U271" s="828"/>
      <c r="V271" s="828"/>
      <c r="W271" s="828"/>
      <c r="X271" s="828"/>
      <c r="Y271" s="828"/>
      <c r="Z271" s="828"/>
      <c r="AA271" s="828"/>
      <c r="AB271" s="828"/>
      <c r="AC271" s="828"/>
      <c r="AD271" s="828"/>
      <c r="AE271" s="828"/>
      <c r="AF271" s="828"/>
      <c r="AG271" s="828"/>
      <c r="AH271" s="828"/>
      <c r="AI271" s="828"/>
      <c r="AJ271" s="828"/>
    </row>
    <row r="272">
      <c r="A272" s="828"/>
      <c r="B272" s="828"/>
      <c r="C272" s="828"/>
      <c r="D272" s="828"/>
      <c r="E272" s="828"/>
      <c r="F272" s="828"/>
      <c r="G272" s="828"/>
      <c r="H272" s="828"/>
      <c r="I272" s="828"/>
      <c r="J272" s="828"/>
      <c r="K272" s="828"/>
      <c r="L272" s="828"/>
      <c r="M272" s="828"/>
      <c r="N272" s="828"/>
      <c r="O272" s="828"/>
      <c r="P272" s="828"/>
      <c r="Q272" s="828"/>
      <c r="R272" s="828"/>
      <c r="S272" s="828"/>
      <c r="T272" s="828"/>
      <c r="U272" s="828"/>
      <c r="V272" s="828"/>
      <c r="W272" s="828"/>
      <c r="X272" s="828"/>
      <c r="Y272" s="828"/>
      <c r="Z272" s="828"/>
      <c r="AA272" s="828"/>
      <c r="AB272" s="828"/>
      <c r="AC272" s="828"/>
      <c r="AD272" s="828"/>
      <c r="AE272" s="828"/>
      <c r="AF272" s="828"/>
      <c r="AG272" s="828"/>
      <c r="AH272" s="828"/>
      <c r="AI272" s="828"/>
      <c r="AJ272" s="828"/>
    </row>
    <row r="273">
      <c r="A273" s="828"/>
      <c r="B273" s="828"/>
      <c r="C273" s="828"/>
      <c r="D273" s="828"/>
      <c r="E273" s="828"/>
      <c r="F273" s="828"/>
      <c r="G273" s="828"/>
      <c r="H273" s="828"/>
      <c r="I273" s="828"/>
      <c r="J273" s="828"/>
      <c r="K273" s="828"/>
      <c r="L273" s="828"/>
      <c r="M273" s="828"/>
      <c r="N273" s="828"/>
      <c r="O273" s="828"/>
      <c r="P273" s="828"/>
      <c r="Q273" s="828"/>
      <c r="R273" s="828"/>
      <c r="S273" s="828"/>
      <c r="T273" s="828"/>
      <c r="U273" s="828"/>
      <c r="V273" s="828"/>
      <c r="W273" s="828"/>
      <c r="X273" s="828"/>
      <c r="Y273" s="828"/>
      <c r="Z273" s="828"/>
      <c r="AA273" s="828"/>
      <c r="AB273" s="828"/>
      <c r="AC273" s="828"/>
      <c r="AD273" s="828"/>
      <c r="AE273" s="828"/>
      <c r="AF273" s="828"/>
      <c r="AG273" s="828"/>
      <c r="AH273" s="828"/>
      <c r="AI273" s="828"/>
      <c r="AJ273" s="828"/>
    </row>
    <row r="274">
      <c r="A274" s="828"/>
      <c r="B274" s="828"/>
      <c r="C274" s="828"/>
      <c r="D274" s="828"/>
      <c r="E274" s="828"/>
      <c r="F274" s="828"/>
      <c r="G274" s="828"/>
      <c r="H274" s="828"/>
      <c r="I274" s="828"/>
      <c r="J274" s="828"/>
      <c r="K274" s="828"/>
      <c r="L274" s="828"/>
      <c r="M274" s="828"/>
      <c r="N274" s="828"/>
      <c r="O274" s="828"/>
      <c r="P274" s="828"/>
      <c r="Q274" s="828"/>
      <c r="R274" s="828"/>
      <c r="S274" s="828"/>
      <c r="T274" s="828"/>
      <c r="U274" s="828"/>
      <c r="V274" s="828"/>
      <c r="W274" s="828"/>
      <c r="X274" s="828"/>
      <c r="Y274" s="828"/>
      <c r="Z274" s="828"/>
      <c r="AA274" s="828"/>
      <c r="AB274" s="828"/>
      <c r="AC274" s="828"/>
      <c r="AD274" s="828"/>
      <c r="AE274" s="828"/>
      <c r="AF274" s="828"/>
      <c r="AG274" s="828"/>
      <c r="AH274" s="828"/>
      <c r="AI274" s="828"/>
      <c r="AJ274" s="828"/>
    </row>
    <row r="275">
      <c r="A275" s="828"/>
      <c r="B275" s="828"/>
      <c r="C275" s="828"/>
      <c r="D275" s="828"/>
      <c r="E275" s="828"/>
      <c r="F275" s="828"/>
      <c r="G275" s="828"/>
      <c r="H275" s="828"/>
      <c r="I275" s="828"/>
      <c r="J275" s="828"/>
      <c r="K275" s="828"/>
      <c r="L275" s="828"/>
      <c r="M275" s="828"/>
      <c r="N275" s="828"/>
      <c r="O275" s="828"/>
      <c r="P275" s="828"/>
      <c r="Q275" s="828"/>
      <c r="R275" s="828"/>
      <c r="S275" s="828"/>
      <c r="T275" s="828"/>
      <c r="U275" s="828"/>
      <c r="V275" s="828"/>
      <c r="W275" s="828"/>
      <c r="X275" s="828"/>
      <c r="Y275" s="828"/>
      <c r="Z275" s="828"/>
      <c r="AA275" s="828"/>
      <c r="AB275" s="828"/>
      <c r="AC275" s="828"/>
      <c r="AD275" s="828"/>
      <c r="AE275" s="828"/>
      <c r="AF275" s="828"/>
      <c r="AG275" s="828"/>
      <c r="AH275" s="828"/>
      <c r="AI275" s="828"/>
      <c r="AJ275" s="828"/>
    </row>
    <row r="276">
      <c r="A276" s="828"/>
      <c r="B276" s="828"/>
      <c r="C276" s="828"/>
      <c r="D276" s="828"/>
      <c r="E276" s="828"/>
      <c r="F276" s="828"/>
      <c r="G276" s="828"/>
      <c r="H276" s="828"/>
      <c r="I276" s="828"/>
      <c r="J276" s="828"/>
      <c r="K276" s="828"/>
      <c r="L276" s="828"/>
      <c r="M276" s="828"/>
      <c r="N276" s="828"/>
      <c r="O276" s="828"/>
      <c r="P276" s="828"/>
      <c r="Q276" s="828"/>
      <c r="R276" s="828"/>
      <c r="S276" s="828"/>
      <c r="T276" s="828"/>
      <c r="U276" s="828"/>
      <c r="V276" s="828"/>
      <c r="W276" s="828"/>
      <c r="X276" s="828"/>
      <c r="Y276" s="828"/>
      <c r="Z276" s="828"/>
      <c r="AA276" s="828"/>
      <c r="AB276" s="828"/>
      <c r="AC276" s="828"/>
      <c r="AD276" s="828"/>
      <c r="AE276" s="828"/>
      <c r="AF276" s="828"/>
      <c r="AG276" s="828"/>
      <c r="AH276" s="828"/>
      <c r="AI276" s="828"/>
      <c r="AJ276" s="828"/>
    </row>
    <row r="277">
      <c r="A277" s="828"/>
      <c r="B277" s="828"/>
      <c r="C277" s="828"/>
      <c r="D277" s="828"/>
      <c r="E277" s="828"/>
      <c r="F277" s="828"/>
      <c r="G277" s="828"/>
      <c r="H277" s="828"/>
      <c r="I277" s="828"/>
      <c r="J277" s="828"/>
      <c r="K277" s="828"/>
      <c r="L277" s="828"/>
      <c r="M277" s="828"/>
      <c r="N277" s="828"/>
      <c r="O277" s="828"/>
      <c r="P277" s="828"/>
      <c r="Q277" s="828"/>
      <c r="R277" s="828"/>
      <c r="S277" s="828"/>
      <c r="T277" s="828"/>
      <c r="U277" s="828"/>
      <c r="V277" s="828"/>
      <c r="W277" s="828"/>
      <c r="X277" s="828"/>
      <c r="Y277" s="828"/>
      <c r="Z277" s="828"/>
      <c r="AA277" s="828"/>
      <c r="AB277" s="828"/>
      <c r="AC277" s="828"/>
      <c r="AD277" s="828"/>
      <c r="AE277" s="828"/>
      <c r="AF277" s="828"/>
      <c r="AG277" s="828"/>
      <c r="AH277" s="828"/>
      <c r="AI277" s="828"/>
      <c r="AJ277" s="828"/>
    </row>
    <row r="278">
      <c r="A278" s="828"/>
      <c r="B278" s="828"/>
      <c r="C278" s="828"/>
      <c r="D278" s="828"/>
      <c r="E278" s="828"/>
      <c r="F278" s="828"/>
      <c r="G278" s="828"/>
      <c r="H278" s="828"/>
      <c r="I278" s="828"/>
      <c r="J278" s="828"/>
      <c r="K278" s="828"/>
      <c r="L278" s="828"/>
      <c r="M278" s="828"/>
      <c r="N278" s="828"/>
      <c r="O278" s="828"/>
      <c r="P278" s="828"/>
      <c r="Q278" s="828"/>
      <c r="R278" s="828"/>
      <c r="S278" s="828"/>
      <c r="T278" s="828"/>
      <c r="U278" s="828"/>
      <c r="V278" s="828"/>
      <c r="W278" s="828"/>
      <c r="X278" s="828"/>
      <c r="Y278" s="828"/>
      <c r="Z278" s="828"/>
      <c r="AA278" s="828"/>
      <c r="AB278" s="828"/>
      <c r="AC278" s="828"/>
      <c r="AD278" s="828"/>
      <c r="AE278" s="828"/>
      <c r="AF278" s="828"/>
      <c r="AG278" s="828"/>
      <c r="AH278" s="828"/>
      <c r="AI278" s="828"/>
      <c r="AJ278" s="828"/>
    </row>
    <row r="279">
      <c r="A279" s="828"/>
      <c r="B279" s="828"/>
      <c r="C279" s="828"/>
      <c r="D279" s="828"/>
      <c r="E279" s="828"/>
      <c r="F279" s="828"/>
      <c r="G279" s="828"/>
      <c r="H279" s="828"/>
      <c r="I279" s="828"/>
      <c r="J279" s="828"/>
      <c r="K279" s="828"/>
      <c r="L279" s="828"/>
      <c r="M279" s="828"/>
      <c r="N279" s="828"/>
      <c r="O279" s="828"/>
      <c r="P279" s="828"/>
      <c r="Q279" s="828"/>
      <c r="R279" s="828"/>
      <c r="S279" s="828"/>
      <c r="T279" s="828"/>
      <c r="U279" s="828"/>
      <c r="V279" s="828"/>
      <c r="W279" s="828"/>
      <c r="X279" s="828"/>
      <c r="Y279" s="828"/>
      <c r="Z279" s="828"/>
      <c r="AA279" s="828"/>
      <c r="AB279" s="828"/>
      <c r="AC279" s="828"/>
      <c r="AD279" s="828"/>
      <c r="AE279" s="828"/>
      <c r="AF279" s="828"/>
      <c r="AG279" s="828"/>
      <c r="AH279" s="828"/>
      <c r="AI279" s="828"/>
      <c r="AJ279" s="828"/>
    </row>
    <row r="280">
      <c r="A280" s="828"/>
      <c r="B280" s="828"/>
      <c r="C280" s="828"/>
      <c r="D280" s="828"/>
      <c r="E280" s="828"/>
      <c r="F280" s="828"/>
      <c r="G280" s="828"/>
      <c r="H280" s="828"/>
      <c r="I280" s="828"/>
      <c r="J280" s="828"/>
      <c r="K280" s="828"/>
      <c r="L280" s="828"/>
      <c r="M280" s="828"/>
      <c r="N280" s="828"/>
      <c r="O280" s="828"/>
      <c r="P280" s="828"/>
      <c r="Q280" s="828"/>
      <c r="R280" s="828"/>
      <c r="S280" s="828"/>
      <c r="T280" s="828"/>
      <c r="U280" s="828"/>
      <c r="V280" s="828"/>
      <c r="W280" s="828"/>
      <c r="X280" s="828"/>
      <c r="Y280" s="828"/>
      <c r="Z280" s="828"/>
      <c r="AA280" s="828"/>
      <c r="AB280" s="828"/>
      <c r="AC280" s="828"/>
      <c r="AD280" s="828"/>
      <c r="AE280" s="828"/>
      <c r="AF280" s="828"/>
      <c r="AG280" s="828"/>
      <c r="AH280" s="828"/>
      <c r="AI280" s="828"/>
      <c r="AJ280" s="828"/>
    </row>
    <row r="281">
      <c r="A281" s="828"/>
      <c r="B281" s="828"/>
      <c r="C281" s="828"/>
      <c r="D281" s="828"/>
      <c r="E281" s="828"/>
      <c r="F281" s="828"/>
      <c r="G281" s="828"/>
      <c r="H281" s="828"/>
      <c r="I281" s="828"/>
      <c r="J281" s="828"/>
      <c r="K281" s="828"/>
      <c r="L281" s="828"/>
      <c r="M281" s="828"/>
      <c r="N281" s="828"/>
      <c r="O281" s="828"/>
      <c r="P281" s="828"/>
      <c r="Q281" s="828"/>
      <c r="R281" s="828"/>
      <c r="S281" s="828"/>
      <c r="T281" s="828"/>
      <c r="U281" s="828"/>
      <c r="V281" s="828"/>
      <c r="W281" s="828"/>
      <c r="X281" s="828"/>
      <c r="Y281" s="828"/>
      <c r="Z281" s="828"/>
      <c r="AA281" s="828"/>
      <c r="AB281" s="828"/>
      <c r="AC281" s="828"/>
      <c r="AD281" s="828"/>
      <c r="AE281" s="828"/>
      <c r="AF281" s="828"/>
      <c r="AG281" s="828"/>
      <c r="AH281" s="828"/>
      <c r="AI281" s="828"/>
      <c r="AJ281" s="828"/>
    </row>
    <row r="282">
      <c r="A282" s="828"/>
      <c r="B282" s="828"/>
      <c r="C282" s="828"/>
      <c r="D282" s="828"/>
      <c r="E282" s="828"/>
      <c r="F282" s="828"/>
      <c r="G282" s="828"/>
      <c r="H282" s="828"/>
      <c r="I282" s="828"/>
      <c r="J282" s="828"/>
      <c r="K282" s="828"/>
      <c r="L282" s="828"/>
      <c r="M282" s="828"/>
      <c r="N282" s="828"/>
      <c r="O282" s="828"/>
      <c r="P282" s="828"/>
      <c r="Q282" s="828"/>
      <c r="R282" s="828"/>
      <c r="S282" s="828"/>
      <c r="T282" s="828"/>
      <c r="U282" s="828"/>
      <c r="V282" s="828"/>
      <c r="W282" s="828"/>
      <c r="X282" s="828"/>
      <c r="Y282" s="828"/>
      <c r="Z282" s="828"/>
      <c r="AA282" s="828"/>
      <c r="AB282" s="828"/>
      <c r="AC282" s="828"/>
      <c r="AD282" s="828"/>
      <c r="AE282" s="828"/>
      <c r="AF282" s="828"/>
      <c r="AG282" s="828"/>
      <c r="AH282" s="828"/>
      <c r="AI282" s="828"/>
      <c r="AJ282" s="828"/>
    </row>
    <row r="283">
      <c r="A283" s="828"/>
      <c r="B283" s="828"/>
      <c r="C283" s="828"/>
      <c r="D283" s="828"/>
      <c r="E283" s="828"/>
      <c r="F283" s="828"/>
      <c r="G283" s="828"/>
      <c r="H283" s="828"/>
      <c r="I283" s="828"/>
      <c r="J283" s="828"/>
      <c r="K283" s="828"/>
      <c r="L283" s="828"/>
      <c r="M283" s="828"/>
      <c r="N283" s="828"/>
      <c r="O283" s="828"/>
      <c r="P283" s="828"/>
      <c r="Q283" s="828"/>
      <c r="R283" s="828"/>
      <c r="S283" s="828"/>
      <c r="T283" s="828"/>
      <c r="U283" s="828"/>
      <c r="V283" s="828"/>
      <c r="W283" s="828"/>
      <c r="X283" s="828"/>
      <c r="Y283" s="828"/>
      <c r="Z283" s="828"/>
      <c r="AA283" s="828"/>
      <c r="AB283" s="828"/>
      <c r="AC283" s="828"/>
      <c r="AD283" s="828"/>
      <c r="AE283" s="828"/>
      <c r="AF283" s="828"/>
      <c r="AG283" s="828"/>
      <c r="AH283" s="828"/>
      <c r="AI283" s="828"/>
      <c r="AJ283" s="828"/>
    </row>
    <row r="284">
      <c r="A284" s="828"/>
      <c r="B284" s="828"/>
      <c r="C284" s="828"/>
      <c r="D284" s="828"/>
      <c r="E284" s="828"/>
      <c r="F284" s="828"/>
      <c r="G284" s="828"/>
      <c r="H284" s="828"/>
      <c r="I284" s="828"/>
      <c r="J284" s="828"/>
      <c r="K284" s="828"/>
      <c r="L284" s="828"/>
      <c r="M284" s="828"/>
      <c r="N284" s="828"/>
      <c r="O284" s="828"/>
      <c r="P284" s="828"/>
      <c r="Q284" s="828"/>
      <c r="R284" s="828"/>
      <c r="S284" s="828"/>
      <c r="T284" s="828"/>
      <c r="U284" s="828"/>
      <c r="V284" s="828"/>
      <c r="W284" s="828"/>
      <c r="X284" s="828"/>
      <c r="Y284" s="828"/>
      <c r="Z284" s="828"/>
      <c r="AA284" s="828"/>
      <c r="AB284" s="828"/>
      <c r="AC284" s="828"/>
      <c r="AD284" s="828"/>
      <c r="AE284" s="828"/>
      <c r="AF284" s="828"/>
      <c r="AG284" s="828"/>
      <c r="AH284" s="828"/>
      <c r="AI284" s="828"/>
      <c r="AJ284" s="828"/>
    </row>
    <row r="285">
      <c r="A285" s="828"/>
      <c r="B285" s="828"/>
      <c r="C285" s="828"/>
      <c r="D285" s="828"/>
      <c r="E285" s="828"/>
      <c r="F285" s="828"/>
      <c r="G285" s="828"/>
      <c r="H285" s="828"/>
      <c r="I285" s="828"/>
      <c r="J285" s="828"/>
      <c r="K285" s="828"/>
      <c r="L285" s="828"/>
      <c r="M285" s="828"/>
      <c r="N285" s="828"/>
      <c r="O285" s="828"/>
      <c r="P285" s="828"/>
      <c r="Q285" s="828"/>
      <c r="R285" s="828"/>
      <c r="S285" s="828"/>
      <c r="T285" s="828"/>
      <c r="U285" s="828"/>
      <c r="V285" s="828"/>
      <c r="W285" s="828"/>
      <c r="X285" s="828"/>
      <c r="Y285" s="828"/>
      <c r="Z285" s="828"/>
      <c r="AA285" s="828"/>
      <c r="AB285" s="828"/>
      <c r="AC285" s="828"/>
      <c r="AD285" s="828"/>
      <c r="AE285" s="828"/>
      <c r="AF285" s="828"/>
      <c r="AG285" s="828"/>
      <c r="AH285" s="828"/>
      <c r="AI285" s="828"/>
      <c r="AJ285" s="828"/>
    </row>
    <row r="286">
      <c r="A286" s="828"/>
      <c r="B286" s="828"/>
      <c r="C286" s="828"/>
      <c r="D286" s="828"/>
      <c r="E286" s="828"/>
      <c r="F286" s="828"/>
      <c r="G286" s="828"/>
      <c r="H286" s="828"/>
      <c r="I286" s="828"/>
      <c r="J286" s="828"/>
      <c r="K286" s="828"/>
      <c r="L286" s="828"/>
      <c r="M286" s="828"/>
      <c r="N286" s="828"/>
      <c r="O286" s="828"/>
      <c r="P286" s="828"/>
      <c r="Q286" s="828"/>
      <c r="R286" s="828"/>
      <c r="S286" s="828"/>
      <c r="T286" s="828"/>
      <c r="U286" s="828"/>
      <c r="V286" s="828"/>
      <c r="W286" s="828"/>
      <c r="X286" s="828"/>
      <c r="Y286" s="828"/>
      <c r="Z286" s="828"/>
      <c r="AA286" s="828"/>
      <c r="AB286" s="828"/>
      <c r="AC286" s="828"/>
      <c r="AD286" s="828"/>
      <c r="AE286" s="828"/>
      <c r="AF286" s="828"/>
      <c r="AG286" s="828"/>
      <c r="AH286" s="828"/>
      <c r="AI286" s="828"/>
      <c r="AJ286" s="828"/>
    </row>
    <row r="287">
      <c r="A287" s="828"/>
      <c r="B287" s="828"/>
      <c r="C287" s="828"/>
      <c r="D287" s="828"/>
      <c r="E287" s="828"/>
      <c r="F287" s="828"/>
      <c r="G287" s="828"/>
      <c r="H287" s="828"/>
      <c r="I287" s="828"/>
      <c r="J287" s="828"/>
      <c r="K287" s="828"/>
      <c r="L287" s="828"/>
      <c r="M287" s="828"/>
      <c r="N287" s="828"/>
      <c r="O287" s="828"/>
      <c r="P287" s="828"/>
      <c r="Q287" s="828"/>
      <c r="R287" s="828"/>
      <c r="S287" s="828"/>
      <c r="T287" s="828"/>
      <c r="U287" s="828"/>
      <c r="V287" s="828"/>
      <c r="W287" s="828"/>
      <c r="X287" s="828"/>
      <c r="Y287" s="828"/>
      <c r="Z287" s="828"/>
      <c r="AA287" s="828"/>
      <c r="AB287" s="828"/>
      <c r="AC287" s="828"/>
      <c r="AD287" s="828"/>
      <c r="AE287" s="828"/>
      <c r="AF287" s="828"/>
      <c r="AG287" s="828"/>
      <c r="AH287" s="828"/>
      <c r="AI287" s="828"/>
      <c r="AJ287" s="828"/>
    </row>
    <row r="288">
      <c r="A288" s="828"/>
      <c r="B288" s="828"/>
      <c r="C288" s="828"/>
      <c r="D288" s="828"/>
      <c r="E288" s="828"/>
      <c r="F288" s="828"/>
      <c r="G288" s="828"/>
      <c r="H288" s="828"/>
      <c r="I288" s="828"/>
      <c r="J288" s="828"/>
      <c r="K288" s="828"/>
      <c r="L288" s="828"/>
      <c r="M288" s="828"/>
      <c r="N288" s="828"/>
      <c r="O288" s="828"/>
      <c r="P288" s="828"/>
      <c r="Q288" s="828"/>
      <c r="R288" s="828"/>
      <c r="S288" s="828"/>
      <c r="T288" s="828"/>
      <c r="U288" s="828"/>
      <c r="V288" s="828"/>
      <c r="W288" s="828"/>
      <c r="X288" s="828"/>
      <c r="Y288" s="828"/>
      <c r="Z288" s="828"/>
      <c r="AA288" s="828"/>
      <c r="AB288" s="828"/>
      <c r="AC288" s="828"/>
      <c r="AD288" s="828"/>
      <c r="AE288" s="828"/>
      <c r="AF288" s="828"/>
      <c r="AG288" s="828"/>
      <c r="AH288" s="828"/>
      <c r="AI288" s="828"/>
      <c r="AJ288" s="828"/>
    </row>
    <row r="289">
      <c r="A289" s="828"/>
      <c r="B289" s="828"/>
      <c r="C289" s="828"/>
      <c r="D289" s="828"/>
      <c r="E289" s="828"/>
      <c r="F289" s="828"/>
      <c r="G289" s="828"/>
      <c r="H289" s="828"/>
      <c r="I289" s="828"/>
      <c r="J289" s="828"/>
      <c r="K289" s="828"/>
      <c r="L289" s="828"/>
      <c r="M289" s="828"/>
      <c r="N289" s="828"/>
      <c r="O289" s="828"/>
      <c r="P289" s="828"/>
      <c r="Q289" s="828"/>
      <c r="R289" s="828"/>
      <c r="S289" s="828"/>
      <c r="T289" s="828"/>
      <c r="U289" s="828"/>
      <c r="V289" s="828"/>
      <c r="W289" s="828"/>
      <c r="X289" s="828"/>
      <c r="Y289" s="828"/>
      <c r="Z289" s="828"/>
      <c r="AA289" s="828"/>
      <c r="AB289" s="828"/>
      <c r="AC289" s="828"/>
      <c r="AD289" s="828"/>
      <c r="AE289" s="828"/>
      <c r="AF289" s="828"/>
      <c r="AG289" s="828"/>
      <c r="AH289" s="828"/>
      <c r="AI289" s="828"/>
      <c r="AJ289" s="828"/>
    </row>
    <row r="290">
      <c r="A290" s="828"/>
      <c r="B290" s="828"/>
      <c r="C290" s="828"/>
      <c r="D290" s="828"/>
      <c r="E290" s="828"/>
      <c r="F290" s="828"/>
      <c r="G290" s="828"/>
      <c r="H290" s="828"/>
      <c r="I290" s="828"/>
      <c r="J290" s="828"/>
      <c r="K290" s="828"/>
      <c r="L290" s="828"/>
      <c r="M290" s="828"/>
      <c r="N290" s="828"/>
      <c r="O290" s="828"/>
      <c r="P290" s="828"/>
      <c r="Q290" s="828"/>
      <c r="R290" s="828"/>
      <c r="S290" s="828"/>
      <c r="T290" s="828"/>
      <c r="U290" s="828"/>
      <c r="V290" s="828"/>
      <c r="W290" s="828"/>
      <c r="X290" s="828"/>
      <c r="Y290" s="828"/>
      <c r="Z290" s="828"/>
      <c r="AA290" s="828"/>
      <c r="AB290" s="828"/>
      <c r="AC290" s="828"/>
      <c r="AD290" s="828"/>
      <c r="AE290" s="828"/>
      <c r="AF290" s="828"/>
      <c r="AG290" s="828"/>
      <c r="AH290" s="828"/>
      <c r="AI290" s="828"/>
      <c r="AJ290" s="828"/>
    </row>
    <row r="291">
      <c r="A291" s="828"/>
      <c r="B291" s="828"/>
      <c r="C291" s="828"/>
      <c r="D291" s="828"/>
      <c r="E291" s="828"/>
      <c r="F291" s="828"/>
      <c r="G291" s="828"/>
      <c r="H291" s="828"/>
      <c r="I291" s="828"/>
      <c r="J291" s="828"/>
      <c r="K291" s="828"/>
      <c r="L291" s="828"/>
      <c r="M291" s="828"/>
      <c r="N291" s="828"/>
      <c r="O291" s="828"/>
      <c r="P291" s="828"/>
      <c r="Q291" s="828"/>
      <c r="R291" s="828"/>
      <c r="S291" s="828"/>
      <c r="T291" s="828"/>
      <c r="U291" s="828"/>
      <c r="V291" s="828"/>
      <c r="W291" s="828"/>
      <c r="X291" s="828"/>
      <c r="Y291" s="828"/>
      <c r="Z291" s="828"/>
      <c r="AA291" s="828"/>
      <c r="AB291" s="828"/>
      <c r="AC291" s="828"/>
      <c r="AD291" s="828"/>
      <c r="AE291" s="828"/>
      <c r="AF291" s="828"/>
      <c r="AG291" s="828"/>
      <c r="AH291" s="828"/>
      <c r="AI291" s="828"/>
      <c r="AJ291" s="828"/>
    </row>
    <row r="292">
      <c r="A292" s="828"/>
      <c r="B292" s="828"/>
      <c r="C292" s="828"/>
      <c r="D292" s="828"/>
      <c r="E292" s="828"/>
      <c r="F292" s="828"/>
      <c r="G292" s="828"/>
      <c r="H292" s="828"/>
      <c r="I292" s="828"/>
      <c r="J292" s="828"/>
      <c r="K292" s="828"/>
      <c r="L292" s="828"/>
      <c r="M292" s="828"/>
      <c r="N292" s="828"/>
      <c r="O292" s="828"/>
      <c r="P292" s="828"/>
      <c r="Q292" s="828"/>
      <c r="R292" s="828"/>
      <c r="S292" s="828"/>
      <c r="T292" s="828"/>
      <c r="U292" s="828"/>
      <c r="V292" s="828"/>
      <c r="W292" s="828"/>
      <c r="X292" s="828"/>
      <c r="Y292" s="828"/>
      <c r="Z292" s="828"/>
      <c r="AA292" s="828"/>
      <c r="AB292" s="828"/>
      <c r="AC292" s="828"/>
      <c r="AD292" s="828"/>
      <c r="AE292" s="828"/>
      <c r="AF292" s="828"/>
      <c r="AG292" s="828"/>
      <c r="AH292" s="828"/>
      <c r="AI292" s="828"/>
      <c r="AJ292" s="828"/>
    </row>
    <row r="293">
      <c r="A293" s="828"/>
      <c r="B293" s="828"/>
      <c r="C293" s="828"/>
      <c r="D293" s="828"/>
      <c r="E293" s="828"/>
      <c r="F293" s="828"/>
      <c r="G293" s="828"/>
      <c r="H293" s="828"/>
      <c r="I293" s="828"/>
      <c r="J293" s="828"/>
      <c r="K293" s="828"/>
      <c r="L293" s="828"/>
      <c r="M293" s="828"/>
      <c r="N293" s="828"/>
      <c r="O293" s="828"/>
      <c r="P293" s="828"/>
      <c r="Q293" s="828"/>
      <c r="R293" s="828"/>
      <c r="S293" s="828"/>
      <c r="T293" s="828"/>
      <c r="U293" s="828"/>
      <c r="V293" s="828"/>
      <c r="W293" s="828"/>
      <c r="X293" s="828"/>
      <c r="Y293" s="828"/>
      <c r="Z293" s="828"/>
      <c r="AA293" s="828"/>
      <c r="AB293" s="828"/>
      <c r="AC293" s="828"/>
      <c r="AD293" s="828"/>
      <c r="AE293" s="828"/>
      <c r="AF293" s="828"/>
      <c r="AG293" s="828"/>
      <c r="AH293" s="828"/>
      <c r="AI293" s="828"/>
      <c r="AJ293" s="828"/>
    </row>
    <row r="294">
      <c r="A294" s="828"/>
      <c r="B294" s="828"/>
      <c r="C294" s="828"/>
      <c r="D294" s="828"/>
      <c r="E294" s="828"/>
      <c r="F294" s="828"/>
      <c r="G294" s="828"/>
      <c r="H294" s="828"/>
      <c r="I294" s="828"/>
      <c r="J294" s="828"/>
      <c r="K294" s="828"/>
      <c r="L294" s="828"/>
      <c r="M294" s="828"/>
      <c r="N294" s="828"/>
      <c r="O294" s="828"/>
      <c r="P294" s="828"/>
      <c r="Q294" s="828"/>
      <c r="R294" s="828"/>
      <c r="S294" s="828"/>
      <c r="T294" s="828"/>
      <c r="U294" s="828"/>
      <c r="V294" s="828"/>
      <c r="W294" s="828"/>
      <c r="X294" s="828"/>
      <c r="Y294" s="828"/>
      <c r="Z294" s="828"/>
      <c r="AA294" s="828"/>
      <c r="AB294" s="828"/>
      <c r="AC294" s="828"/>
      <c r="AD294" s="828"/>
      <c r="AE294" s="828"/>
      <c r="AF294" s="828"/>
      <c r="AG294" s="828"/>
      <c r="AH294" s="828"/>
      <c r="AI294" s="828"/>
      <c r="AJ294" s="828"/>
    </row>
    <row r="295">
      <c r="A295" s="828"/>
      <c r="B295" s="828"/>
      <c r="C295" s="828"/>
      <c r="D295" s="828"/>
      <c r="E295" s="828"/>
      <c r="F295" s="828"/>
      <c r="G295" s="828"/>
      <c r="H295" s="828"/>
      <c r="I295" s="828"/>
      <c r="J295" s="828"/>
      <c r="K295" s="828"/>
      <c r="L295" s="828"/>
      <c r="M295" s="828"/>
      <c r="N295" s="828"/>
      <c r="O295" s="828"/>
      <c r="P295" s="828"/>
      <c r="Q295" s="828"/>
      <c r="R295" s="828"/>
      <c r="S295" s="828"/>
      <c r="T295" s="828"/>
      <c r="U295" s="828"/>
      <c r="V295" s="828"/>
      <c r="W295" s="828"/>
      <c r="X295" s="828"/>
      <c r="Y295" s="828"/>
      <c r="Z295" s="828"/>
      <c r="AA295" s="828"/>
      <c r="AB295" s="828"/>
      <c r="AC295" s="828"/>
      <c r="AD295" s="828"/>
      <c r="AE295" s="828"/>
      <c r="AF295" s="828"/>
      <c r="AG295" s="828"/>
      <c r="AH295" s="828"/>
      <c r="AI295" s="828"/>
      <c r="AJ295" s="828"/>
    </row>
    <row r="296">
      <c r="A296" s="828"/>
      <c r="B296" s="828"/>
      <c r="C296" s="828"/>
      <c r="D296" s="828"/>
      <c r="E296" s="828"/>
      <c r="F296" s="828"/>
      <c r="G296" s="828"/>
      <c r="H296" s="828"/>
      <c r="I296" s="828"/>
      <c r="J296" s="828"/>
      <c r="K296" s="828"/>
      <c r="L296" s="828"/>
      <c r="M296" s="828"/>
      <c r="N296" s="828"/>
      <c r="O296" s="828"/>
      <c r="P296" s="828"/>
      <c r="Q296" s="828"/>
      <c r="R296" s="828"/>
      <c r="S296" s="828"/>
      <c r="T296" s="828"/>
      <c r="U296" s="828"/>
      <c r="V296" s="828"/>
      <c r="W296" s="828"/>
      <c r="X296" s="828"/>
      <c r="Y296" s="828"/>
      <c r="Z296" s="828"/>
      <c r="AA296" s="828"/>
      <c r="AB296" s="828"/>
      <c r="AC296" s="828"/>
      <c r="AD296" s="828"/>
      <c r="AE296" s="828"/>
      <c r="AF296" s="828"/>
      <c r="AG296" s="828"/>
      <c r="AH296" s="828"/>
      <c r="AI296" s="828"/>
      <c r="AJ296" s="828"/>
    </row>
    <row r="297">
      <c r="A297" s="828"/>
      <c r="B297" s="828"/>
      <c r="C297" s="828"/>
      <c r="D297" s="828"/>
      <c r="E297" s="828"/>
      <c r="F297" s="828"/>
      <c r="G297" s="828"/>
      <c r="H297" s="828"/>
      <c r="I297" s="828"/>
      <c r="J297" s="828"/>
      <c r="K297" s="828"/>
      <c r="L297" s="828"/>
      <c r="M297" s="828"/>
      <c r="N297" s="828"/>
      <c r="O297" s="828"/>
      <c r="P297" s="828"/>
      <c r="Q297" s="828"/>
      <c r="R297" s="828"/>
      <c r="S297" s="828"/>
      <c r="T297" s="828"/>
      <c r="U297" s="828"/>
      <c r="V297" s="828"/>
      <c r="W297" s="828"/>
      <c r="X297" s="828"/>
      <c r="Y297" s="828"/>
      <c r="Z297" s="828"/>
      <c r="AA297" s="828"/>
      <c r="AB297" s="828"/>
      <c r="AC297" s="828"/>
      <c r="AD297" s="828"/>
      <c r="AE297" s="828"/>
      <c r="AF297" s="828"/>
      <c r="AG297" s="828"/>
      <c r="AH297" s="828"/>
      <c r="AI297" s="828"/>
      <c r="AJ297" s="828"/>
    </row>
    <row r="298">
      <c r="A298" s="828"/>
      <c r="B298" s="828"/>
      <c r="C298" s="828"/>
      <c r="D298" s="828"/>
      <c r="E298" s="828"/>
      <c r="F298" s="828"/>
      <c r="G298" s="828"/>
      <c r="H298" s="828"/>
      <c r="I298" s="828"/>
      <c r="J298" s="828"/>
      <c r="K298" s="828"/>
      <c r="L298" s="828"/>
      <c r="M298" s="828"/>
      <c r="N298" s="828"/>
      <c r="O298" s="828"/>
      <c r="P298" s="828"/>
      <c r="Q298" s="828"/>
      <c r="R298" s="828"/>
      <c r="S298" s="828"/>
      <c r="T298" s="828"/>
      <c r="U298" s="828"/>
      <c r="V298" s="828"/>
      <c r="W298" s="828"/>
      <c r="X298" s="828"/>
      <c r="Y298" s="828"/>
      <c r="Z298" s="828"/>
      <c r="AA298" s="828"/>
      <c r="AB298" s="828"/>
      <c r="AC298" s="828"/>
      <c r="AD298" s="828"/>
      <c r="AE298" s="828"/>
      <c r="AF298" s="828"/>
      <c r="AG298" s="828"/>
      <c r="AH298" s="828"/>
      <c r="AI298" s="828"/>
      <c r="AJ298" s="828"/>
    </row>
    <row r="299">
      <c r="A299" s="828"/>
      <c r="B299" s="828"/>
      <c r="C299" s="828"/>
      <c r="D299" s="828"/>
      <c r="E299" s="828"/>
      <c r="F299" s="828"/>
      <c r="G299" s="828"/>
      <c r="H299" s="828"/>
      <c r="I299" s="828"/>
      <c r="J299" s="828"/>
      <c r="K299" s="828"/>
      <c r="L299" s="828"/>
      <c r="M299" s="828"/>
      <c r="N299" s="828"/>
      <c r="O299" s="828"/>
      <c r="P299" s="828"/>
      <c r="Q299" s="828"/>
      <c r="R299" s="828"/>
      <c r="S299" s="828"/>
      <c r="T299" s="828"/>
      <c r="U299" s="828"/>
      <c r="V299" s="828"/>
      <c r="W299" s="828"/>
      <c r="X299" s="828"/>
      <c r="Y299" s="828"/>
      <c r="Z299" s="828"/>
      <c r="AA299" s="828"/>
      <c r="AB299" s="828"/>
      <c r="AC299" s="828"/>
      <c r="AD299" s="828"/>
      <c r="AE299" s="828"/>
      <c r="AF299" s="828"/>
      <c r="AG299" s="828"/>
      <c r="AH299" s="828"/>
      <c r="AI299" s="828"/>
      <c r="AJ299" s="828"/>
    </row>
    <row r="300">
      <c r="A300" s="828"/>
      <c r="B300" s="828"/>
      <c r="C300" s="828"/>
      <c r="D300" s="828"/>
      <c r="E300" s="828"/>
      <c r="F300" s="828"/>
      <c r="G300" s="828"/>
      <c r="H300" s="828"/>
      <c r="I300" s="828"/>
      <c r="J300" s="828"/>
      <c r="K300" s="828"/>
      <c r="L300" s="828"/>
      <c r="M300" s="828"/>
      <c r="N300" s="828"/>
      <c r="O300" s="828"/>
      <c r="P300" s="828"/>
      <c r="Q300" s="828"/>
      <c r="R300" s="828"/>
      <c r="S300" s="828"/>
      <c r="T300" s="828"/>
      <c r="U300" s="828"/>
      <c r="V300" s="828"/>
      <c r="W300" s="828"/>
      <c r="X300" s="828"/>
      <c r="Y300" s="828"/>
      <c r="Z300" s="828"/>
      <c r="AA300" s="828"/>
      <c r="AB300" s="828"/>
      <c r="AC300" s="828"/>
      <c r="AD300" s="828"/>
      <c r="AE300" s="828"/>
      <c r="AF300" s="828"/>
      <c r="AG300" s="828"/>
      <c r="AH300" s="828"/>
      <c r="AI300" s="828"/>
      <c r="AJ300" s="828"/>
    </row>
    <row r="301">
      <c r="A301" s="828"/>
      <c r="B301" s="828"/>
      <c r="C301" s="828"/>
      <c r="D301" s="828"/>
      <c r="E301" s="828"/>
      <c r="F301" s="828"/>
      <c r="G301" s="828"/>
      <c r="H301" s="828"/>
      <c r="I301" s="828"/>
      <c r="J301" s="828"/>
      <c r="K301" s="828"/>
      <c r="L301" s="828"/>
      <c r="M301" s="828"/>
      <c r="N301" s="828"/>
      <c r="O301" s="828"/>
      <c r="P301" s="828"/>
      <c r="Q301" s="828"/>
      <c r="R301" s="828"/>
      <c r="S301" s="828"/>
      <c r="T301" s="828"/>
      <c r="U301" s="828"/>
      <c r="V301" s="828"/>
      <c r="W301" s="828"/>
      <c r="X301" s="828"/>
      <c r="Y301" s="828"/>
      <c r="Z301" s="828"/>
      <c r="AA301" s="828"/>
      <c r="AB301" s="828"/>
      <c r="AC301" s="828"/>
      <c r="AD301" s="828"/>
      <c r="AE301" s="828"/>
      <c r="AF301" s="828"/>
      <c r="AG301" s="828"/>
      <c r="AH301" s="828"/>
      <c r="AI301" s="828"/>
      <c r="AJ301" s="828"/>
    </row>
    <row r="302">
      <c r="A302" s="828"/>
      <c r="B302" s="828"/>
      <c r="C302" s="828"/>
      <c r="D302" s="828"/>
      <c r="E302" s="828"/>
      <c r="F302" s="828"/>
      <c r="G302" s="828"/>
      <c r="H302" s="828"/>
      <c r="I302" s="828"/>
      <c r="J302" s="828"/>
      <c r="K302" s="828"/>
      <c r="L302" s="828"/>
      <c r="M302" s="828"/>
      <c r="N302" s="828"/>
      <c r="O302" s="828"/>
      <c r="P302" s="828"/>
      <c r="Q302" s="828"/>
      <c r="R302" s="828"/>
      <c r="S302" s="828"/>
      <c r="T302" s="828"/>
      <c r="U302" s="828"/>
      <c r="V302" s="828"/>
      <c r="W302" s="828"/>
      <c r="X302" s="828"/>
      <c r="Y302" s="828"/>
      <c r="Z302" s="828"/>
      <c r="AA302" s="828"/>
      <c r="AB302" s="828"/>
      <c r="AC302" s="828"/>
      <c r="AD302" s="828"/>
      <c r="AE302" s="828"/>
      <c r="AF302" s="828"/>
      <c r="AG302" s="828"/>
      <c r="AH302" s="828"/>
      <c r="AI302" s="828"/>
      <c r="AJ302" s="828"/>
    </row>
    <row r="303">
      <c r="A303" s="828"/>
      <c r="B303" s="828"/>
      <c r="C303" s="828"/>
      <c r="D303" s="828"/>
      <c r="E303" s="828"/>
      <c r="F303" s="828"/>
      <c r="G303" s="828"/>
      <c r="H303" s="828"/>
      <c r="I303" s="828"/>
      <c r="J303" s="828"/>
      <c r="K303" s="828"/>
      <c r="L303" s="828"/>
      <c r="M303" s="828"/>
      <c r="N303" s="828"/>
      <c r="O303" s="828"/>
      <c r="P303" s="828"/>
      <c r="Q303" s="828"/>
      <c r="R303" s="828"/>
      <c r="S303" s="828"/>
      <c r="T303" s="828"/>
      <c r="U303" s="828"/>
      <c r="V303" s="828"/>
      <c r="W303" s="828"/>
      <c r="X303" s="828"/>
      <c r="Y303" s="828"/>
      <c r="Z303" s="828"/>
      <c r="AA303" s="828"/>
      <c r="AB303" s="828"/>
      <c r="AC303" s="828"/>
      <c r="AD303" s="828"/>
      <c r="AE303" s="828"/>
      <c r="AF303" s="828"/>
      <c r="AG303" s="828"/>
      <c r="AH303" s="828"/>
      <c r="AI303" s="828"/>
      <c r="AJ303" s="828"/>
    </row>
    <row r="304">
      <c r="A304" s="828"/>
      <c r="B304" s="828"/>
      <c r="C304" s="828"/>
      <c r="D304" s="828"/>
      <c r="E304" s="828"/>
      <c r="F304" s="828"/>
      <c r="G304" s="828"/>
      <c r="H304" s="828"/>
      <c r="I304" s="828"/>
      <c r="J304" s="828"/>
      <c r="K304" s="828"/>
      <c r="L304" s="828"/>
      <c r="M304" s="828"/>
      <c r="N304" s="828"/>
      <c r="O304" s="828"/>
      <c r="P304" s="828"/>
      <c r="Q304" s="828"/>
      <c r="R304" s="828"/>
      <c r="S304" s="828"/>
      <c r="T304" s="828"/>
      <c r="U304" s="828"/>
      <c r="V304" s="828"/>
      <c r="W304" s="828"/>
      <c r="X304" s="828"/>
      <c r="Y304" s="828"/>
      <c r="Z304" s="828"/>
      <c r="AA304" s="828"/>
      <c r="AB304" s="828"/>
      <c r="AC304" s="828"/>
      <c r="AD304" s="828"/>
      <c r="AE304" s="828"/>
      <c r="AF304" s="828"/>
      <c r="AG304" s="828"/>
      <c r="AH304" s="828"/>
      <c r="AI304" s="828"/>
      <c r="AJ304" s="828"/>
    </row>
    <row r="305">
      <c r="A305" s="828"/>
      <c r="B305" s="828"/>
      <c r="C305" s="828"/>
      <c r="D305" s="828"/>
      <c r="E305" s="828"/>
      <c r="F305" s="828"/>
      <c r="G305" s="828"/>
      <c r="H305" s="828"/>
      <c r="I305" s="828"/>
      <c r="J305" s="828"/>
      <c r="K305" s="828"/>
      <c r="L305" s="828"/>
      <c r="M305" s="828"/>
      <c r="N305" s="828"/>
      <c r="O305" s="828"/>
      <c r="P305" s="828"/>
      <c r="Q305" s="828"/>
      <c r="R305" s="828"/>
      <c r="S305" s="828"/>
      <c r="T305" s="828"/>
      <c r="U305" s="828"/>
      <c r="V305" s="828"/>
      <c r="W305" s="828"/>
      <c r="X305" s="828"/>
      <c r="Y305" s="828"/>
      <c r="Z305" s="828"/>
      <c r="AA305" s="828"/>
      <c r="AB305" s="828"/>
      <c r="AC305" s="828"/>
      <c r="AD305" s="828"/>
      <c r="AE305" s="828"/>
      <c r="AF305" s="828"/>
      <c r="AG305" s="828"/>
      <c r="AH305" s="828"/>
      <c r="AI305" s="828"/>
      <c r="AJ305" s="828"/>
    </row>
    <row r="306">
      <c r="A306" s="828"/>
      <c r="B306" s="828"/>
      <c r="C306" s="828"/>
      <c r="D306" s="828"/>
      <c r="E306" s="828"/>
      <c r="F306" s="828"/>
      <c r="G306" s="828"/>
      <c r="H306" s="828"/>
      <c r="I306" s="828"/>
      <c r="J306" s="828"/>
      <c r="K306" s="828"/>
      <c r="L306" s="828"/>
      <c r="M306" s="828"/>
      <c r="N306" s="828"/>
      <c r="O306" s="828"/>
      <c r="P306" s="828"/>
      <c r="Q306" s="828"/>
      <c r="R306" s="828"/>
      <c r="S306" s="828"/>
      <c r="T306" s="828"/>
      <c r="U306" s="828"/>
      <c r="V306" s="828"/>
      <c r="W306" s="828"/>
      <c r="X306" s="828"/>
      <c r="Y306" s="828"/>
      <c r="Z306" s="828"/>
      <c r="AA306" s="828"/>
      <c r="AB306" s="828"/>
      <c r="AC306" s="828"/>
      <c r="AD306" s="828"/>
      <c r="AE306" s="828"/>
      <c r="AF306" s="828"/>
      <c r="AG306" s="828"/>
      <c r="AH306" s="828"/>
      <c r="AI306" s="828"/>
      <c r="AJ306" s="828"/>
    </row>
    <row r="307">
      <c r="A307" s="828"/>
      <c r="B307" s="828"/>
      <c r="C307" s="828"/>
      <c r="D307" s="828"/>
      <c r="E307" s="828"/>
      <c r="F307" s="828"/>
      <c r="G307" s="828"/>
      <c r="H307" s="828"/>
      <c r="I307" s="828"/>
      <c r="J307" s="828"/>
      <c r="K307" s="828"/>
      <c r="L307" s="828"/>
      <c r="M307" s="828"/>
      <c r="N307" s="828"/>
      <c r="O307" s="828"/>
      <c r="P307" s="828"/>
      <c r="Q307" s="828"/>
      <c r="R307" s="828"/>
      <c r="S307" s="828"/>
      <c r="T307" s="828"/>
      <c r="U307" s="828"/>
      <c r="V307" s="828"/>
      <c r="W307" s="828"/>
      <c r="X307" s="828"/>
      <c r="Y307" s="828"/>
      <c r="Z307" s="828"/>
      <c r="AA307" s="828"/>
      <c r="AB307" s="828"/>
      <c r="AC307" s="828"/>
      <c r="AD307" s="828"/>
      <c r="AE307" s="828"/>
      <c r="AF307" s="828"/>
      <c r="AG307" s="828"/>
      <c r="AH307" s="828"/>
      <c r="AI307" s="828"/>
      <c r="AJ307" s="828"/>
    </row>
    <row r="308">
      <c r="A308" s="828"/>
      <c r="B308" s="828"/>
      <c r="C308" s="828"/>
      <c r="D308" s="828"/>
      <c r="E308" s="828"/>
      <c r="F308" s="828"/>
      <c r="G308" s="828"/>
      <c r="H308" s="828"/>
      <c r="I308" s="828"/>
      <c r="J308" s="828"/>
      <c r="K308" s="828"/>
      <c r="L308" s="828"/>
      <c r="M308" s="828"/>
      <c r="N308" s="828"/>
      <c r="O308" s="828"/>
      <c r="P308" s="828"/>
      <c r="Q308" s="828"/>
      <c r="R308" s="828"/>
      <c r="S308" s="828"/>
      <c r="T308" s="828"/>
      <c r="U308" s="828"/>
      <c r="V308" s="828"/>
      <c r="W308" s="828"/>
      <c r="X308" s="828"/>
      <c r="Y308" s="828"/>
      <c r="Z308" s="828"/>
      <c r="AA308" s="828"/>
      <c r="AB308" s="828"/>
      <c r="AC308" s="828"/>
      <c r="AD308" s="828"/>
      <c r="AE308" s="828"/>
      <c r="AF308" s="828"/>
      <c r="AG308" s="828"/>
      <c r="AH308" s="828"/>
      <c r="AI308" s="828"/>
      <c r="AJ308" s="828"/>
    </row>
    <row r="309">
      <c r="A309" s="828"/>
      <c r="B309" s="828"/>
      <c r="C309" s="828"/>
      <c r="D309" s="828"/>
      <c r="E309" s="828"/>
      <c r="F309" s="828"/>
      <c r="G309" s="828"/>
      <c r="H309" s="828"/>
      <c r="I309" s="828"/>
      <c r="J309" s="828"/>
      <c r="K309" s="828"/>
      <c r="L309" s="828"/>
      <c r="M309" s="828"/>
      <c r="N309" s="828"/>
      <c r="O309" s="828"/>
      <c r="P309" s="828"/>
      <c r="Q309" s="828"/>
      <c r="R309" s="828"/>
      <c r="S309" s="828"/>
      <c r="T309" s="828"/>
      <c r="U309" s="828"/>
      <c r="V309" s="828"/>
      <c r="W309" s="828"/>
      <c r="X309" s="828"/>
      <c r="Y309" s="828"/>
      <c r="Z309" s="828"/>
      <c r="AA309" s="828"/>
      <c r="AB309" s="828"/>
      <c r="AC309" s="828"/>
      <c r="AD309" s="828"/>
      <c r="AE309" s="828"/>
      <c r="AF309" s="828"/>
      <c r="AG309" s="828"/>
      <c r="AH309" s="828"/>
      <c r="AI309" s="828"/>
      <c r="AJ309" s="828"/>
    </row>
    <row r="310">
      <c r="A310" s="828"/>
      <c r="B310" s="828"/>
      <c r="C310" s="828"/>
      <c r="D310" s="828"/>
      <c r="E310" s="828"/>
      <c r="F310" s="828"/>
      <c r="G310" s="828"/>
      <c r="H310" s="828"/>
      <c r="I310" s="828"/>
      <c r="J310" s="828"/>
      <c r="K310" s="828"/>
      <c r="L310" s="828"/>
      <c r="M310" s="828"/>
      <c r="N310" s="828"/>
      <c r="O310" s="828"/>
      <c r="P310" s="828"/>
      <c r="Q310" s="828"/>
      <c r="R310" s="828"/>
      <c r="S310" s="828"/>
      <c r="T310" s="828"/>
      <c r="U310" s="828"/>
      <c r="V310" s="828"/>
      <c r="W310" s="828"/>
      <c r="X310" s="828"/>
      <c r="Y310" s="828"/>
      <c r="Z310" s="828"/>
      <c r="AA310" s="828"/>
      <c r="AB310" s="828"/>
      <c r="AC310" s="828"/>
      <c r="AD310" s="828"/>
      <c r="AE310" s="828"/>
      <c r="AF310" s="828"/>
      <c r="AG310" s="828"/>
      <c r="AH310" s="828"/>
      <c r="AI310" s="828"/>
      <c r="AJ310" s="828"/>
    </row>
    <row r="311">
      <c r="A311" s="828"/>
      <c r="B311" s="828"/>
      <c r="C311" s="828"/>
      <c r="D311" s="828"/>
      <c r="E311" s="828"/>
      <c r="F311" s="828"/>
      <c r="G311" s="828"/>
      <c r="H311" s="828"/>
      <c r="I311" s="828"/>
      <c r="J311" s="828"/>
      <c r="K311" s="828"/>
      <c r="L311" s="828"/>
      <c r="M311" s="828"/>
      <c r="N311" s="828"/>
      <c r="O311" s="828"/>
      <c r="P311" s="828"/>
      <c r="Q311" s="828"/>
      <c r="R311" s="828"/>
      <c r="S311" s="828"/>
      <c r="T311" s="828"/>
      <c r="U311" s="828"/>
      <c r="V311" s="828"/>
      <c r="W311" s="828"/>
      <c r="X311" s="828"/>
      <c r="Y311" s="828"/>
      <c r="Z311" s="828"/>
      <c r="AA311" s="828"/>
      <c r="AB311" s="828"/>
      <c r="AC311" s="828"/>
      <c r="AD311" s="828"/>
      <c r="AE311" s="828"/>
      <c r="AF311" s="828"/>
      <c r="AG311" s="828"/>
      <c r="AH311" s="828"/>
      <c r="AI311" s="828"/>
      <c r="AJ311" s="828"/>
    </row>
    <row r="312">
      <c r="A312" s="828"/>
      <c r="B312" s="828"/>
      <c r="C312" s="828"/>
      <c r="D312" s="828"/>
      <c r="E312" s="828"/>
      <c r="F312" s="828"/>
      <c r="G312" s="828"/>
      <c r="H312" s="828"/>
      <c r="I312" s="828"/>
      <c r="J312" s="828"/>
      <c r="K312" s="828"/>
      <c r="L312" s="828"/>
      <c r="M312" s="828"/>
      <c r="N312" s="828"/>
      <c r="O312" s="828"/>
      <c r="P312" s="828"/>
      <c r="Q312" s="828"/>
      <c r="R312" s="828"/>
      <c r="S312" s="828"/>
      <c r="T312" s="828"/>
      <c r="U312" s="828"/>
      <c r="V312" s="828"/>
      <c r="W312" s="828"/>
      <c r="X312" s="828"/>
      <c r="Y312" s="828"/>
      <c r="Z312" s="828"/>
      <c r="AA312" s="828"/>
      <c r="AB312" s="828"/>
      <c r="AC312" s="828"/>
      <c r="AD312" s="828"/>
      <c r="AE312" s="828"/>
      <c r="AF312" s="828"/>
      <c r="AG312" s="828"/>
      <c r="AH312" s="828"/>
      <c r="AI312" s="828"/>
      <c r="AJ312" s="828"/>
    </row>
    <row r="313">
      <c r="A313" s="828"/>
      <c r="B313" s="828"/>
      <c r="C313" s="828"/>
      <c r="D313" s="828"/>
      <c r="E313" s="828"/>
      <c r="F313" s="828"/>
      <c r="G313" s="828"/>
      <c r="H313" s="828"/>
      <c r="I313" s="828"/>
      <c r="J313" s="828"/>
      <c r="K313" s="828"/>
      <c r="L313" s="828"/>
      <c r="M313" s="828"/>
      <c r="N313" s="828"/>
      <c r="O313" s="828"/>
      <c r="P313" s="828"/>
      <c r="Q313" s="828"/>
      <c r="R313" s="828"/>
      <c r="S313" s="828"/>
      <c r="T313" s="828"/>
      <c r="U313" s="828"/>
      <c r="V313" s="828"/>
      <c r="W313" s="828"/>
      <c r="X313" s="828"/>
      <c r="Y313" s="828"/>
      <c r="Z313" s="828"/>
      <c r="AA313" s="828"/>
      <c r="AB313" s="828"/>
      <c r="AC313" s="828"/>
      <c r="AD313" s="828"/>
      <c r="AE313" s="828"/>
      <c r="AF313" s="828"/>
      <c r="AG313" s="828"/>
      <c r="AH313" s="828"/>
      <c r="AI313" s="828"/>
      <c r="AJ313" s="828"/>
    </row>
    <row r="314">
      <c r="A314" s="828"/>
      <c r="B314" s="828"/>
      <c r="C314" s="828"/>
      <c r="D314" s="828"/>
      <c r="E314" s="828"/>
      <c r="F314" s="828"/>
      <c r="G314" s="828"/>
      <c r="H314" s="828"/>
      <c r="I314" s="828"/>
      <c r="J314" s="828"/>
      <c r="K314" s="828"/>
      <c r="L314" s="828"/>
      <c r="M314" s="828"/>
      <c r="N314" s="828"/>
      <c r="O314" s="828"/>
      <c r="P314" s="828"/>
      <c r="Q314" s="828"/>
      <c r="R314" s="828"/>
      <c r="S314" s="828"/>
      <c r="T314" s="828"/>
      <c r="U314" s="828"/>
      <c r="V314" s="828"/>
      <c r="W314" s="828"/>
      <c r="X314" s="828"/>
      <c r="Y314" s="828"/>
      <c r="Z314" s="828"/>
      <c r="AA314" s="828"/>
      <c r="AB314" s="828"/>
      <c r="AC314" s="828"/>
      <c r="AD314" s="828"/>
      <c r="AE314" s="828"/>
      <c r="AF314" s="828"/>
      <c r="AG314" s="828"/>
      <c r="AH314" s="828"/>
      <c r="AI314" s="828"/>
      <c r="AJ314" s="828"/>
    </row>
    <row r="315">
      <c r="A315" s="828"/>
      <c r="B315" s="828"/>
      <c r="C315" s="828"/>
      <c r="D315" s="828"/>
      <c r="E315" s="828"/>
      <c r="F315" s="828"/>
      <c r="G315" s="828"/>
      <c r="H315" s="828"/>
      <c r="I315" s="828"/>
      <c r="J315" s="828"/>
      <c r="K315" s="828"/>
      <c r="L315" s="828"/>
      <c r="M315" s="828"/>
      <c r="N315" s="828"/>
      <c r="O315" s="828"/>
      <c r="P315" s="828"/>
      <c r="Q315" s="828"/>
      <c r="R315" s="828"/>
      <c r="S315" s="828"/>
      <c r="T315" s="828"/>
      <c r="U315" s="828"/>
      <c r="V315" s="828"/>
      <c r="W315" s="828"/>
      <c r="X315" s="828"/>
      <c r="Y315" s="828"/>
      <c r="Z315" s="828"/>
      <c r="AA315" s="828"/>
      <c r="AB315" s="828"/>
      <c r="AC315" s="828"/>
      <c r="AD315" s="828"/>
      <c r="AE315" s="828"/>
      <c r="AF315" s="828"/>
      <c r="AG315" s="828"/>
      <c r="AH315" s="828"/>
      <c r="AI315" s="828"/>
      <c r="AJ315" s="828"/>
    </row>
    <row r="316">
      <c r="A316" s="828"/>
      <c r="B316" s="828"/>
      <c r="C316" s="828"/>
      <c r="D316" s="828"/>
      <c r="E316" s="828"/>
      <c r="F316" s="828"/>
      <c r="G316" s="828"/>
      <c r="H316" s="828"/>
      <c r="I316" s="828"/>
      <c r="J316" s="828"/>
      <c r="K316" s="828"/>
      <c r="L316" s="828"/>
      <c r="M316" s="828"/>
      <c r="N316" s="828"/>
      <c r="O316" s="828"/>
      <c r="P316" s="828"/>
      <c r="Q316" s="828"/>
      <c r="R316" s="828"/>
      <c r="S316" s="828"/>
      <c r="T316" s="828"/>
      <c r="U316" s="828"/>
      <c r="V316" s="828"/>
      <c r="W316" s="828"/>
      <c r="X316" s="828"/>
      <c r="Y316" s="828"/>
      <c r="Z316" s="828"/>
      <c r="AA316" s="828"/>
      <c r="AB316" s="828"/>
      <c r="AC316" s="828"/>
      <c r="AD316" s="828"/>
      <c r="AE316" s="828"/>
      <c r="AF316" s="828"/>
      <c r="AG316" s="828"/>
      <c r="AH316" s="828"/>
      <c r="AI316" s="828"/>
      <c r="AJ316" s="828"/>
    </row>
    <row r="317">
      <c r="A317" s="828"/>
      <c r="B317" s="828"/>
      <c r="C317" s="828"/>
      <c r="D317" s="828"/>
      <c r="E317" s="828"/>
      <c r="F317" s="828"/>
      <c r="G317" s="828"/>
      <c r="H317" s="828"/>
      <c r="I317" s="828"/>
      <c r="J317" s="828"/>
      <c r="K317" s="828"/>
      <c r="L317" s="828"/>
      <c r="M317" s="828"/>
      <c r="N317" s="828"/>
      <c r="O317" s="828"/>
      <c r="P317" s="828"/>
      <c r="Q317" s="828"/>
      <c r="R317" s="828"/>
      <c r="S317" s="828"/>
      <c r="T317" s="828"/>
      <c r="U317" s="828"/>
      <c r="V317" s="828"/>
      <c r="W317" s="828"/>
      <c r="X317" s="828"/>
      <c r="Y317" s="828"/>
      <c r="Z317" s="828"/>
      <c r="AA317" s="828"/>
      <c r="AB317" s="828"/>
      <c r="AC317" s="828"/>
      <c r="AD317" s="828"/>
      <c r="AE317" s="828"/>
      <c r="AF317" s="828"/>
      <c r="AG317" s="828"/>
      <c r="AH317" s="828"/>
      <c r="AI317" s="828"/>
      <c r="AJ317" s="828"/>
    </row>
    <row r="318">
      <c r="A318" s="828"/>
      <c r="B318" s="828"/>
      <c r="C318" s="828"/>
      <c r="D318" s="828"/>
      <c r="E318" s="828"/>
      <c r="F318" s="828"/>
      <c r="G318" s="828"/>
      <c r="H318" s="828"/>
      <c r="I318" s="828"/>
      <c r="J318" s="828"/>
      <c r="K318" s="828"/>
      <c r="L318" s="828"/>
      <c r="M318" s="828"/>
      <c r="N318" s="828"/>
      <c r="O318" s="828"/>
      <c r="P318" s="828"/>
      <c r="Q318" s="828"/>
      <c r="R318" s="828"/>
      <c r="S318" s="828"/>
      <c r="T318" s="828"/>
      <c r="U318" s="828"/>
      <c r="V318" s="828"/>
      <c r="W318" s="828"/>
      <c r="X318" s="828"/>
      <c r="Y318" s="828"/>
      <c r="Z318" s="828"/>
      <c r="AA318" s="828"/>
      <c r="AB318" s="828"/>
      <c r="AC318" s="828"/>
      <c r="AD318" s="828"/>
      <c r="AE318" s="828"/>
      <c r="AF318" s="828"/>
      <c r="AG318" s="828"/>
      <c r="AH318" s="828"/>
      <c r="AI318" s="828"/>
      <c r="AJ318" s="828"/>
    </row>
    <row r="319">
      <c r="A319" s="828"/>
      <c r="B319" s="828"/>
      <c r="C319" s="828"/>
      <c r="D319" s="828"/>
      <c r="E319" s="828"/>
      <c r="F319" s="828"/>
      <c r="G319" s="828"/>
      <c r="H319" s="828"/>
      <c r="I319" s="828"/>
      <c r="J319" s="828"/>
      <c r="K319" s="828"/>
      <c r="L319" s="828"/>
      <c r="M319" s="828"/>
      <c r="N319" s="828"/>
      <c r="O319" s="828"/>
      <c r="P319" s="828"/>
      <c r="Q319" s="828"/>
      <c r="R319" s="828"/>
      <c r="S319" s="828"/>
      <c r="T319" s="828"/>
      <c r="U319" s="828"/>
      <c r="V319" s="828"/>
      <c r="W319" s="828"/>
      <c r="X319" s="828"/>
      <c r="Y319" s="828"/>
      <c r="Z319" s="828"/>
      <c r="AA319" s="828"/>
      <c r="AB319" s="828"/>
      <c r="AC319" s="828"/>
      <c r="AD319" s="828"/>
      <c r="AE319" s="828"/>
      <c r="AF319" s="828"/>
      <c r="AG319" s="828"/>
      <c r="AH319" s="828"/>
      <c r="AI319" s="828"/>
      <c r="AJ319" s="828"/>
    </row>
    <row r="320">
      <c r="A320" s="828"/>
      <c r="B320" s="828"/>
      <c r="C320" s="828"/>
      <c r="D320" s="828"/>
      <c r="E320" s="828"/>
      <c r="F320" s="828"/>
      <c r="G320" s="828"/>
      <c r="H320" s="828"/>
      <c r="I320" s="828"/>
      <c r="J320" s="828"/>
      <c r="K320" s="828"/>
      <c r="L320" s="828"/>
      <c r="M320" s="828"/>
      <c r="N320" s="828"/>
      <c r="O320" s="828"/>
      <c r="P320" s="828"/>
      <c r="Q320" s="828"/>
      <c r="R320" s="828"/>
      <c r="S320" s="828"/>
      <c r="T320" s="828"/>
      <c r="U320" s="828"/>
      <c r="V320" s="828"/>
      <c r="W320" s="828"/>
      <c r="X320" s="828"/>
      <c r="Y320" s="828"/>
      <c r="Z320" s="828"/>
      <c r="AA320" s="828"/>
      <c r="AB320" s="828"/>
      <c r="AC320" s="828"/>
      <c r="AD320" s="828"/>
      <c r="AE320" s="828"/>
      <c r="AF320" s="828"/>
      <c r="AG320" s="828"/>
      <c r="AH320" s="828"/>
      <c r="AI320" s="828"/>
      <c r="AJ320" s="828"/>
    </row>
    <row r="321">
      <c r="A321" s="828"/>
      <c r="B321" s="828"/>
      <c r="C321" s="828"/>
      <c r="D321" s="828"/>
      <c r="E321" s="828"/>
      <c r="F321" s="828"/>
      <c r="G321" s="828"/>
      <c r="H321" s="828"/>
      <c r="I321" s="828"/>
      <c r="J321" s="828"/>
      <c r="K321" s="828"/>
      <c r="L321" s="828"/>
      <c r="M321" s="828"/>
      <c r="N321" s="828"/>
      <c r="O321" s="828"/>
      <c r="P321" s="828"/>
      <c r="Q321" s="828"/>
      <c r="R321" s="828"/>
      <c r="S321" s="828"/>
      <c r="T321" s="828"/>
      <c r="U321" s="828"/>
      <c r="V321" s="828"/>
      <c r="W321" s="828"/>
      <c r="X321" s="828"/>
      <c r="Y321" s="828"/>
      <c r="Z321" s="828"/>
      <c r="AA321" s="828"/>
      <c r="AB321" s="828"/>
      <c r="AC321" s="828"/>
      <c r="AD321" s="828"/>
      <c r="AE321" s="828"/>
      <c r="AF321" s="828"/>
      <c r="AG321" s="828"/>
      <c r="AH321" s="828"/>
      <c r="AI321" s="828"/>
      <c r="AJ321" s="828"/>
    </row>
    <row r="322">
      <c r="A322" s="828"/>
      <c r="B322" s="828"/>
      <c r="C322" s="828"/>
      <c r="D322" s="828"/>
      <c r="E322" s="828"/>
      <c r="F322" s="828"/>
      <c r="G322" s="828"/>
      <c r="H322" s="828"/>
      <c r="I322" s="828"/>
      <c r="J322" s="828"/>
      <c r="K322" s="828"/>
      <c r="L322" s="828"/>
      <c r="M322" s="828"/>
      <c r="N322" s="828"/>
      <c r="O322" s="828"/>
      <c r="P322" s="828"/>
      <c r="Q322" s="828"/>
      <c r="R322" s="828"/>
      <c r="S322" s="828"/>
      <c r="T322" s="828"/>
      <c r="U322" s="828"/>
      <c r="V322" s="828"/>
      <c r="W322" s="828"/>
      <c r="X322" s="828"/>
      <c r="Y322" s="828"/>
      <c r="Z322" s="828"/>
      <c r="AA322" s="828"/>
      <c r="AB322" s="828"/>
      <c r="AC322" s="828"/>
      <c r="AD322" s="828"/>
      <c r="AE322" s="828"/>
      <c r="AF322" s="828"/>
      <c r="AG322" s="828"/>
      <c r="AH322" s="828"/>
      <c r="AI322" s="828"/>
      <c r="AJ322" s="828"/>
    </row>
    <row r="323">
      <c r="A323" s="828"/>
      <c r="B323" s="828"/>
      <c r="C323" s="828"/>
      <c r="D323" s="828"/>
      <c r="E323" s="828"/>
      <c r="F323" s="828"/>
      <c r="G323" s="828"/>
      <c r="H323" s="828"/>
      <c r="I323" s="828"/>
      <c r="J323" s="828"/>
      <c r="K323" s="828"/>
      <c r="L323" s="828"/>
      <c r="M323" s="828"/>
      <c r="N323" s="828"/>
      <c r="O323" s="828"/>
      <c r="P323" s="828"/>
      <c r="Q323" s="828"/>
      <c r="R323" s="828"/>
      <c r="S323" s="828"/>
      <c r="T323" s="828"/>
      <c r="U323" s="828"/>
      <c r="V323" s="828"/>
      <c r="W323" s="828"/>
      <c r="X323" s="828"/>
      <c r="Y323" s="828"/>
      <c r="Z323" s="828"/>
      <c r="AA323" s="828"/>
      <c r="AB323" s="828"/>
      <c r="AC323" s="828"/>
      <c r="AD323" s="828"/>
      <c r="AE323" s="828"/>
      <c r="AF323" s="828"/>
      <c r="AG323" s="828"/>
      <c r="AH323" s="828"/>
      <c r="AI323" s="828"/>
      <c r="AJ323" s="828"/>
    </row>
    <row r="324">
      <c r="A324" s="828"/>
      <c r="B324" s="828"/>
      <c r="C324" s="828"/>
      <c r="D324" s="828"/>
      <c r="E324" s="828"/>
      <c r="F324" s="828"/>
      <c r="G324" s="828"/>
      <c r="H324" s="828"/>
      <c r="I324" s="828"/>
      <c r="J324" s="828"/>
      <c r="K324" s="828"/>
      <c r="L324" s="828"/>
      <c r="M324" s="828"/>
      <c r="N324" s="828"/>
      <c r="O324" s="828"/>
      <c r="P324" s="828"/>
      <c r="Q324" s="828"/>
      <c r="R324" s="828"/>
      <c r="S324" s="828"/>
      <c r="T324" s="828"/>
      <c r="U324" s="828"/>
      <c r="V324" s="828"/>
      <c r="W324" s="828"/>
      <c r="X324" s="828"/>
      <c r="Y324" s="828"/>
      <c r="Z324" s="828"/>
      <c r="AA324" s="828"/>
      <c r="AB324" s="828"/>
      <c r="AC324" s="828"/>
      <c r="AD324" s="828"/>
      <c r="AE324" s="828"/>
      <c r="AF324" s="828"/>
      <c r="AG324" s="828"/>
      <c r="AH324" s="828"/>
      <c r="AI324" s="828"/>
      <c r="AJ324" s="828"/>
    </row>
    <row r="325">
      <c r="A325" s="828"/>
      <c r="B325" s="828"/>
      <c r="C325" s="828"/>
      <c r="D325" s="828"/>
      <c r="E325" s="828"/>
      <c r="F325" s="828"/>
      <c r="G325" s="828"/>
      <c r="H325" s="828"/>
      <c r="I325" s="828"/>
      <c r="J325" s="828"/>
      <c r="K325" s="828"/>
      <c r="L325" s="828"/>
      <c r="M325" s="828"/>
      <c r="N325" s="828"/>
      <c r="O325" s="828"/>
      <c r="P325" s="828"/>
      <c r="Q325" s="828"/>
      <c r="R325" s="828"/>
      <c r="S325" s="828"/>
      <c r="T325" s="828"/>
      <c r="U325" s="828"/>
      <c r="V325" s="828"/>
      <c r="W325" s="828"/>
      <c r="X325" s="828"/>
      <c r="Y325" s="828"/>
      <c r="Z325" s="828"/>
      <c r="AA325" s="828"/>
      <c r="AB325" s="828"/>
      <c r="AC325" s="828"/>
      <c r="AD325" s="828"/>
      <c r="AE325" s="828"/>
      <c r="AF325" s="828"/>
      <c r="AG325" s="828"/>
      <c r="AH325" s="828"/>
      <c r="AI325" s="828"/>
      <c r="AJ325" s="828"/>
    </row>
    <row r="326">
      <c r="A326" s="828"/>
      <c r="B326" s="828"/>
      <c r="C326" s="828"/>
      <c r="D326" s="828"/>
      <c r="E326" s="828"/>
      <c r="F326" s="828"/>
      <c r="G326" s="828"/>
      <c r="H326" s="828"/>
      <c r="I326" s="828"/>
      <c r="J326" s="828"/>
      <c r="K326" s="828"/>
      <c r="L326" s="828"/>
      <c r="M326" s="828"/>
      <c r="N326" s="828"/>
      <c r="O326" s="828"/>
      <c r="P326" s="828"/>
      <c r="Q326" s="828"/>
      <c r="R326" s="828"/>
      <c r="S326" s="828"/>
      <c r="T326" s="828"/>
      <c r="U326" s="828"/>
      <c r="V326" s="828"/>
      <c r="W326" s="828"/>
      <c r="X326" s="828"/>
      <c r="Y326" s="828"/>
      <c r="Z326" s="828"/>
      <c r="AA326" s="828"/>
      <c r="AB326" s="828"/>
      <c r="AC326" s="828"/>
      <c r="AD326" s="828"/>
      <c r="AE326" s="828"/>
      <c r="AF326" s="828"/>
      <c r="AG326" s="828"/>
      <c r="AH326" s="828"/>
      <c r="AI326" s="828"/>
      <c r="AJ326" s="828"/>
    </row>
    <row r="327">
      <c r="A327" s="828"/>
      <c r="B327" s="828"/>
      <c r="C327" s="828"/>
      <c r="D327" s="828"/>
      <c r="E327" s="828"/>
      <c r="F327" s="828"/>
      <c r="G327" s="828"/>
      <c r="H327" s="828"/>
      <c r="I327" s="828"/>
      <c r="J327" s="828"/>
      <c r="K327" s="828"/>
      <c r="L327" s="828"/>
      <c r="M327" s="828"/>
      <c r="N327" s="828"/>
      <c r="O327" s="828"/>
      <c r="P327" s="828"/>
      <c r="Q327" s="828"/>
      <c r="R327" s="828"/>
      <c r="S327" s="828"/>
      <c r="T327" s="828"/>
      <c r="U327" s="828"/>
      <c r="V327" s="828"/>
      <c r="W327" s="828"/>
      <c r="X327" s="828"/>
      <c r="Y327" s="828"/>
      <c r="Z327" s="828"/>
      <c r="AA327" s="828"/>
      <c r="AB327" s="828"/>
      <c r="AC327" s="828"/>
      <c r="AD327" s="828"/>
      <c r="AE327" s="828"/>
      <c r="AF327" s="828"/>
      <c r="AG327" s="828"/>
      <c r="AH327" s="828"/>
      <c r="AI327" s="828"/>
      <c r="AJ327" s="828"/>
    </row>
    <row r="328">
      <c r="A328" s="828"/>
      <c r="B328" s="828"/>
      <c r="C328" s="828"/>
      <c r="D328" s="828"/>
      <c r="E328" s="828"/>
      <c r="F328" s="828"/>
      <c r="G328" s="828"/>
      <c r="H328" s="828"/>
      <c r="I328" s="828"/>
      <c r="J328" s="828"/>
      <c r="K328" s="828"/>
      <c r="L328" s="828"/>
      <c r="M328" s="828"/>
      <c r="N328" s="828"/>
      <c r="O328" s="828"/>
      <c r="P328" s="828"/>
      <c r="Q328" s="828"/>
      <c r="R328" s="828"/>
      <c r="S328" s="828"/>
      <c r="T328" s="828"/>
      <c r="U328" s="828"/>
      <c r="V328" s="828"/>
      <c r="W328" s="828"/>
      <c r="X328" s="828"/>
      <c r="Y328" s="828"/>
      <c r="Z328" s="828"/>
      <c r="AA328" s="828"/>
      <c r="AB328" s="828"/>
      <c r="AC328" s="828"/>
      <c r="AD328" s="828"/>
      <c r="AE328" s="828"/>
      <c r="AF328" s="828"/>
      <c r="AG328" s="828"/>
      <c r="AH328" s="828"/>
      <c r="AI328" s="828"/>
      <c r="AJ328" s="828"/>
    </row>
    <row r="329">
      <c r="A329" s="828"/>
      <c r="B329" s="828"/>
      <c r="C329" s="828"/>
      <c r="D329" s="828"/>
      <c r="E329" s="828"/>
      <c r="F329" s="828"/>
      <c r="G329" s="828"/>
      <c r="H329" s="828"/>
      <c r="I329" s="828"/>
      <c r="J329" s="828"/>
      <c r="K329" s="828"/>
      <c r="L329" s="828"/>
      <c r="M329" s="828"/>
      <c r="N329" s="828"/>
      <c r="O329" s="828"/>
      <c r="P329" s="828"/>
      <c r="Q329" s="828"/>
      <c r="R329" s="828"/>
      <c r="S329" s="828"/>
      <c r="T329" s="828"/>
      <c r="U329" s="828"/>
      <c r="V329" s="828"/>
      <c r="W329" s="828"/>
      <c r="X329" s="828"/>
      <c r="Y329" s="828"/>
      <c r="Z329" s="828"/>
      <c r="AA329" s="828"/>
      <c r="AB329" s="828"/>
      <c r="AC329" s="828"/>
      <c r="AD329" s="828"/>
      <c r="AE329" s="828"/>
      <c r="AF329" s="828"/>
      <c r="AG329" s="828"/>
      <c r="AH329" s="828"/>
      <c r="AI329" s="828"/>
      <c r="AJ329" s="828"/>
    </row>
    <row r="330">
      <c r="A330" s="828"/>
      <c r="B330" s="828"/>
      <c r="C330" s="828"/>
      <c r="D330" s="828"/>
      <c r="E330" s="828"/>
      <c r="F330" s="828"/>
      <c r="G330" s="828"/>
      <c r="H330" s="828"/>
      <c r="I330" s="828"/>
      <c r="J330" s="828"/>
      <c r="K330" s="828"/>
      <c r="L330" s="828"/>
      <c r="M330" s="828"/>
      <c r="N330" s="828"/>
      <c r="O330" s="828"/>
      <c r="P330" s="828"/>
      <c r="Q330" s="828"/>
      <c r="R330" s="828"/>
      <c r="S330" s="828"/>
      <c r="T330" s="828"/>
      <c r="U330" s="828"/>
      <c r="V330" s="828"/>
      <c r="W330" s="828"/>
      <c r="X330" s="828"/>
      <c r="Y330" s="828"/>
      <c r="Z330" s="828"/>
      <c r="AA330" s="828"/>
      <c r="AB330" s="828"/>
      <c r="AC330" s="828"/>
      <c r="AD330" s="828"/>
      <c r="AE330" s="828"/>
      <c r="AF330" s="828"/>
      <c r="AG330" s="828"/>
      <c r="AH330" s="828"/>
      <c r="AI330" s="828"/>
      <c r="AJ330" s="828"/>
    </row>
    <row r="331">
      <c r="A331" s="828"/>
      <c r="B331" s="828"/>
      <c r="C331" s="828"/>
      <c r="D331" s="828"/>
      <c r="E331" s="828"/>
      <c r="F331" s="828"/>
      <c r="G331" s="828"/>
      <c r="H331" s="828"/>
      <c r="I331" s="828"/>
      <c r="J331" s="828"/>
      <c r="K331" s="828"/>
      <c r="L331" s="828"/>
      <c r="M331" s="828"/>
      <c r="N331" s="828"/>
      <c r="O331" s="828"/>
      <c r="P331" s="828"/>
      <c r="Q331" s="828"/>
      <c r="R331" s="828"/>
      <c r="S331" s="828"/>
      <c r="T331" s="828"/>
      <c r="U331" s="828"/>
      <c r="V331" s="828"/>
      <c r="W331" s="828"/>
      <c r="X331" s="828"/>
      <c r="Y331" s="828"/>
      <c r="Z331" s="828"/>
      <c r="AA331" s="828"/>
      <c r="AB331" s="828"/>
      <c r="AC331" s="828"/>
      <c r="AD331" s="828"/>
      <c r="AE331" s="828"/>
      <c r="AF331" s="828"/>
      <c r="AG331" s="828"/>
      <c r="AH331" s="828"/>
      <c r="AI331" s="828"/>
      <c r="AJ331" s="828"/>
    </row>
    <row r="332">
      <c r="A332" s="828"/>
      <c r="B332" s="828"/>
      <c r="C332" s="828"/>
      <c r="D332" s="828"/>
      <c r="E332" s="828"/>
      <c r="F332" s="828"/>
      <c r="G332" s="828"/>
      <c r="H332" s="828"/>
      <c r="I332" s="828"/>
      <c r="J332" s="828"/>
      <c r="K332" s="828"/>
      <c r="L332" s="828"/>
      <c r="M332" s="828"/>
      <c r="N332" s="828"/>
      <c r="O332" s="828"/>
      <c r="P332" s="828"/>
      <c r="Q332" s="828"/>
      <c r="R332" s="828"/>
      <c r="S332" s="828"/>
      <c r="T332" s="828"/>
      <c r="U332" s="828"/>
      <c r="V332" s="828"/>
      <c r="W332" s="828"/>
      <c r="X332" s="828"/>
      <c r="Y332" s="828"/>
      <c r="Z332" s="828"/>
      <c r="AA332" s="828"/>
      <c r="AB332" s="828"/>
      <c r="AC332" s="828"/>
      <c r="AD332" s="828"/>
      <c r="AE332" s="828"/>
      <c r="AF332" s="828"/>
      <c r="AG332" s="828"/>
      <c r="AH332" s="828"/>
      <c r="AI332" s="828"/>
      <c r="AJ332" s="828"/>
    </row>
    <row r="333">
      <c r="A333" s="828"/>
      <c r="B333" s="828"/>
      <c r="C333" s="828"/>
      <c r="D333" s="828"/>
      <c r="E333" s="828"/>
      <c r="F333" s="828"/>
      <c r="G333" s="828"/>
      <c r="H333" s="828"/>
      <c r="I333" s="828"/>
      <c r="J333" s="828"/>
      <c r="K333" s="828"/>
      <c r="L333" s="828"/>
      <c r="M333" s="828"/>
      <c r="N333" s="828"/>
      <c r="O333" s="828"/>
      <c r="P333" s="828"/>
      <c r="Q333" s="828"/>
      <c r="R333" s="828"/>
      <c r="S333" s="828"/>
      <c r="T333" s="828"/>
      <c r="U333" s="828"/>
      <c r="V333" s="828"/>
      <c r="W333" s="828"/>
      <c r="X333" s="828"/>
      <c r="Y333" s="828"/>
      <c r="Z333" s="828"/>
      <c r="AA333" s="828"/>
      <c r="AB333" s="828"/>
      <c r="AC333" s="828"/>
      <c r="AD333" s="828"/>
      <c r="AE333" s="828"/>
      <c r="AF333" s="828"/>
      <c r="AG333" s="828"/>
      <c r="AH333" s="828"/>
      <c r="AI333" s="828"/>
      <c r="AJ333" s="828"/>
    </row>
    <row r="334">
      <c r="A334" s="828"/>
      <c r="B334" s="828"/>
      <c r="C334" s="828"/>
      <c r="D334" s="828"/>
      <c r="E334" s="828"/>
      <c r="F334" s="828"/>
      <c r="G334" s="828"/>
      <c r="H334" s="828"/>
      <c r="I334" s="828"/>
      <c r="J334" s="828"/>
      <c r="K334" s="828"/>
      <c r="L334" s="828"/>
      <c r="M334" s="828"/>
      <c r="N334" s="828"/>
      <c r="O334" s="828"/>
      <c r="P334" s="828"/>
      <c r="Q334" s="828"/>
      <c r="R334" s="828"/>
      <c r="S334" s="828"/>
      <c r="T334" s="828"/>
      <c r="U334" s="828"/>
      <c r="V334" s="828"/>
      <c r="W334" s="828"/>
      <c r="X334" s="828"/>
      <c r="Y334" s="828"/>
      <c r="Z334" s="828"/>
      <c r="AA334" s="828"/>
      <c r="AB334" s="828"/>
      <c r="AC334" s="828"/>
      <c r="AD334" s="828"/>
      <c r="AE334" s="828"/>
      <c r="AF334" s="828"/>
      <c r="AG334" s="828"/>
      <c r="AH334" s="828"/>
      <c r="AI334" s="828"/>
      <c r="AJ334" s="828"/>
    </row>
    <row r="335">
      <c r="A335" s="828"/>
      <c r="B335" s="828"/>
      <c r="C335" s="828"/>
      <c r="D335" s="828"/>
      <c r="E335" s="828"/>
      <c r="F335" s="828"/>
      <c r="G335" s="828"/>
      <c r="H335" s="828"/>
      <c r="I335" s="828"/>
      <c r="J335" s="828"/>
      <c r="K335" s="828"/>
      <c r="L335" s="828"/>
      <c r="M335" s="828"/>
      <c r="N335" s="828"/>
      <c r="O335" s="828"/>
      <c r="P335" s="828"/>
      <c r="Q335" s="828"/>
      <c r="R335" s="828"/>
      <c r="S335" s="828"/>
      <c r="T335" s="828"/>
      <c r="U335" s="828"/>
      <c r="V335" s="828"/>
      <c r="W335" s="828"/>
      <c r="X335" s="828"/>
      <c r="Y335" s="828"/>
      <c r="Z335" s="828"/>
      <c r="AA335" s="828"/>
      <c r="AB335" s="828"/>
      <c r="AC335" s="828"/>
      <c r="AD335" s="828"/>
      <c r="AE335" s="828"/>
      <c r="AF335" s="828"/>
      <c r="AG335" s="828"/>
      <c r="AH335" s="828"/>
      <c r="AI335" s="828"/>
      <c r="AJ335" s="828"/>
    </row>
    <row r="336">
      <c r="A336" s="828"/>
      <c r="B336" s="828"/>
      <c r="C336" s="828"/>
      <c r="D336" s="828"/>
      <c r="E336" s="828"/>
      <c r="F336" s="828"/>
      <c r="G336" s="828"/>
      <c r="H336" s="828"/>
      <c r="I336" s="828"/>
      <c r="J336" s="828"/>
      <c r="K336" s="828"/>
      <c r="L336" s="828"/>
      <c r="M336" s="828"/>
      <c r="N336" s="828"/>
      <c r="O336" s="828"/>
      <c r="P336" s="828"/>
      <c r="Q336" s="828"/>
      <c r="R336" s="828"/>
      <c r="S336" s="828"/>
      <c r="T336" s="828"/>
      <c r="U336" s="828"/>
      <c r="V336" s="828"/>
      <c r="W336" s="828"/>
      <c r="X336" s="828"/>
      <c r="Y336" s="828"/>
      <c r="Z336" s="828"/>
      <c r="AA336" s="828"/>
      <c r="AB336" s="828"/>
      <c r="AC336" s="828"/>
      <c r="AD336" s="828"/>
      <c r="AE336" s="828"/>
      <c r="AF336" s="828"/>
      <c r="AG336" s="828"/>
      <c r="AH336" s="828"/>
      <c r="AI336" s="828"/>
      <c r="AJ336" s="828"/>
    </row>
    <row r="337">
      <c r="A337" s="828"/>
      <c r="B337" s="828"/>
      <c r="C337" s="828"/>
      <c r="D337" s="828"/>
      <c r="E337" s="828"/>
      <c r="F337" s="828"/>
      <c r="G337" s="828"/>
      <c r="H337" s="828"/>
      <c r="I337" s="828"/>
      <c r="J337" s="828"/>
      <c r="K337" s="828"/>
      <c r="L337" s="828"/>
      <c r="M337" s="828"/>
      <c r="N337" s="828"/>
      <c r="O337" s="828"/>
      <c r="P337" s="828"/>
      <c r="Q337" s="828"/>
      <c r="R337" s="828"/>
      <c r="S337" s="828"/>
      <c r="T337" s="828"/>
      <c r="U337" s="828"/>
      <c r="V337" s="828"/>
      <c r="W337" s="828"/>
      <c r="X337" s="828"/>
      <c r="Y337" s="828"/>
      <c r="Z337" s="828"/>
      <c r="AA337" s="828"/>
      <c r="AB337" s="828"/>
      <c r="AC337" s="828"/>
      <c r="AD337" s="828"/>
      <c r="AE337" s="828"/>
      <c r="AF337" s="828"/>
      <c r="AG337" s="828"/>
      <c r="AH337" s="828"/>
      <c r="AI337" s="828"/>
      <c r="AJ337" s="828"/>
    </row>
    <row r="338">
      <c r="A338" s="828"/>
      <c r="B338" s="828"/>
      <c r="C338" s="828"/>
      <c r="D338" s="828"/>
      <c r="E338" s="828"/>
      <c r="F338" s="828"/>
      <c r="G338" s="828"/>
      <c r="H338" s="828"/>
      <c r="I338" s="828"/>
      <c r="J338" s="828"/>
      <c r="K338" s="828"/>
      <c r="L338" s="828"/>
      <c r="M338" s="828"/>
      <c r="N338" s="828"/>
      <c r="O338" s="828"/>
      <c r="P338" s="828"/>
      <c r="Q338" s="828"/>
      <c r="R338" s="828"/>
      <c r="S338" s="828"/>
      <c r="T338" s="828"/>
      <c r="U338" s="828"/>
      <c r="V338" s="828"/>
      <c r="W338" s="828"/>
      <c r="X338" s="828"/>
      <c r="Y338" s="828"/>
      <c r="Z338" s="828"/>
      <c r="AA338" s="828"/>
      <c r="AB338" s="828"/>
      <c r="AC338" s="828"/>
      <c r="AD338" s="828"/>
      <c r="AE338" s="828"/>
      <c r="AF338" s="828"/>
      <c r="AG338" s="828"/>
      <c r="AH338" s="828"/>
      <c r="AI338" s="828"/>
      <c r="AJ338" s="828"/>
    </row>
    <row r="339">
      <c r="A339" s="828"/>
      <c r="B339" s="828"/>
      <c r="C339" s="828"/>
      <c r="D339" s="828"/>
      <c r="E339" s="828"/>
      <c r="F339" s="828"/>
      <c r="G339" s="828"/>
      <c r="H339" s="828"/>
      <c r="I339" s="828"/>
      <c r="J339" s="828"/>
      <c r="K339" s="828"/>
      <c r="L339" s="828"/>
      <c r="M339" s="828"/>
      <c r="N339" s="828"/>
      <c r="O339" s="828"/>
      <c r="P339" s="828"/>
      <c r="Q339" s="828"/>
      <c r="R339" s="828"/>
      <c r="S339" s="828"/>
      <c r="T339" s="828"/>
      <c r="U339" s="828"/>
      <c r="V339" s="828"/>
      <c r="W339" s="828"/>
      <c r="X339" s="828"/>
      <c r="Y339" s="828"/>
      <c r="Z339" s="828"/>
      <c r="AA339" s="828"/>
      <c r="AB339" s="828"/>
      <c r="AC339" s="828"/>
      <c r="AD339" s="828"/>
      <c r="AE339" s="828"/>
      <c r="AF339" s="828"/>
      <c r="AG339" s="828"/>
      <c r="AH339" s="828"/>
      <c r="AI339" s="828"/>
      <c r="AJ339" s="828"/>
    </row>
    <row r="340">
      <c r="A340" s="828"/>
      <c r="B340" s="828"/>
      <c r="C340" s="828"/>
      <c r="D340" s="828"/>
      <c r="E340" s="828"/>
      <c r="F340" s="828"/>
      <c r="G340" s="828"/>
      <c r="H340" s="828"/>
      <c r="I340" s="828"/>
      <c r="J340" s="828"/>
      <c r="K340" s="828"/>
      <c r="L340" s="828"/>
      <c r="M340" s="828"/>
      <c r="N340" s="828"/>
      <c r="O340" s="828"/>
      <c r="P340" s="828"/>
      <c r="Q340" s="828"/>
      <c r="R340" s="828"/>
      <c r="S340" s="828"/>
      <c r="T340" s="828"/>
      <c r="U340" s="828"/>
      <c r="V340" s="828"/>
      <c r="W340" s="828"/>
      <c r="X340" s="828"/>
      <c r="Y340" s="828"/>
      <c r="Z340" s="828"/>
      <c r="AA340" s="828"/>
      <c r="AB340" s="828"/>
      <c r="AC340" s="828"/>
      <c r="AD340" s="828"/>
      <c r="AE340" s="828"/>
      <c r="AF340" s="828"/>
      <c r="AG340" s="828"/>
      <c r="AH340" s="828"/>
      <c r="AI340" s="828"/>
      <c r="AJ340" s="828"/>
    </row>
    <row r="341">
      <c r="A341" s="828"/>
      <c r="B341" s="828"/>
      <c r="C341" s="828"/>
      <c r="D341" s="828"/>
      <c r="E341" s="828"/>
      <c r="F341" s="828"/>
      <c r="G341" s="828"/>
      <c r="H341" s="828"/>
      <c r="I341" s="828"/>
      <c r="J341" s="828"/>
      <c r="K341" s="828"/>
      <c r="L341" s="828"/>
      <c r="M341" s="828"/>
      <c r="N341" s="828"/>
      <c r="O341" s="828"/>
      <c r="P341" s="828"/>
      <c r="Q341" s="828"/>
      <c r="R341" s="828"/>
      <c r="S341" s="828"/>
      <c r="T341" s="828"/>
      <c r="U341" s="828"/>
      <c r="V341" s="828"/>
      <c r="W341" s="828"/>
      <c r="X341" s="828"/>
      <c r="Y341" s="828"/>
      <c r="Z341" s="828"/>
      <c r="AA341" s="828"/>
      <c r="AB341" s="828"/>
      <c r="AC341" s="828"/>
      <c r="AD341" s="828"/>
      <c r="AE341" s="828"/>
      <c r="AF341" s="828"/>
      <c r="AG341" s="828"/>
      <c r="AH341" s="828"/>
      <c r="AI341" s="828"/>
      <c r="AJ341" s="828"/>
    </row>
    <row r="342">
      <c r="A342" s="828"/>
      <c r="B342" s="828"/>
      <c r="C342" s="828"/>
      <c r="D342" s="828"/>
      <c r="E342" s="828"/>
      <c r="F342" s="828"/>
      <c r="G342" s="828"/>
      <c r="H342" s="828"/>
      <c r="I342" s="828"/>
      <c r="J342" s="828"/>
      <c r="K342" s="828"/>
      <c r="L342" s="828"/>
      <c r="M342" s="828"/>
      <c r="N342" s="828"/>
      <c r="O342" s="828"/>
      <c r="P342" s="828"/>
      <c r="Q342" s="828"/>
      <c r="R342" s="828"/>
      <c r="S342" s="828"/>
      <c r="T342" s="828"/>
      <c r="U342" s="828"/>
      <c r="V342" s="828"/>
      <c r="W342" s="828"/>
      <c r="X342" s="828"/>
      <c r="Y342" s="828"/>
      <c r="Z342" s="828"/>
      <c r="AA342" s="828"/>
      <c r="AB342" s="828"/>
      <c r="AC342" s="828"/>
      <c r="AD342" s="828"/>
      <c r="AE342" s="828"/>
      <c r="AF342" s="828"/>
      <c r="AG342" s="828"/>
      <c r="AH342" s="828"/>
      <c r="AI342" s="828"/>
      <c r="AJ342" s="828"/>
    </row>
    <row r="343">
      <c r="A343" s="828"/>
      <c r="B343" s="828"/>
      <c r="C343" s="828"/>
      <c r="D343" s="828"/>
      <c r="E343" s="828"/>
      <c r="F343" s="828"/>
      <c r="G343" s="828"/>
      <c r="H343" s="828"/>
      <c r="I343" s="828"/>
      <c r="J343" s="828"/>
      <c r="K343" s="828"/>
      <c r="L343" s="828"/>
      <c r="M343" s="828"/>
      <c r="N343" s="828"/>
      <c r="O343" s="828"/>
      <c r="P343" s="828"/>
      <c r="Q343" s="828"/>
      <c r="R343" s="828"/>
      <c r="S343" s="828"/>
      <c r="T343" s="828"/>
      <c r="U343" s="828"/>
      <c r="V343" s="828"/>
      <c r="W343" s="828"/>
      <c r="X343" s="828"/>
      <c r="Y343" s="828"/>
      <c r="Z343" s="828"/>
      <c r="AA343" s="828"/>
      <c r="AB343" s="828"/>
      <c r="AC343" s="828"/>
      <c r="AD343" s="828"/>
      <c r="AE343" s="828"/>
      <c r="AF343" s="828"/>
      <c r="AG343" s="828"/>
      <c r="AH343" s="828"/>
      <c r="AI343" s="828"/>
      <c r="AJ343" s="828"/>
    </row>
    <row r="344">
      <c r="A344" s="828"/>
      <c r="B344" s="828"/>
      <c r="C344" s="828"/>
      <c r="D344" s="828"/>
      <c r="E344" s="828"/>
      <c r="F344" s="828"/>
      <c r="G344" s="828"/>
      <c r="H344" s="828"/>
      <c r="I344" s="828"/>
      <c r="J344" s="828"/>
      <c r="K344" s="828"/>
      <c r="L344" s="828"/>
      <c r="M344" s="828"/>
      <c r="N344" s="828"/>
      <c r="O344" s="828"/>
      <c r="P344" s="828"/>
      <c r="Q344" s="828"/>
      <c r="R344" s="828"/>
      <c r="S344" s="828"/>
      <c r="T344" s="828"/>
      <c r="U344" s="828"/>
      <c r="V344" s="828"/>
      <c r="W344" s="828"/>
      <c r="X344" s="828"/>
      <c r="Y344" s="828"/>
      <c r="Z344" s="828"/>
      <c r="AA344" s="828"/>
      <c r="AB344" s="828"/>
      <c r="AC344" s="828"/>
      <c r="AD344" s="828"/>
      <c r="AE344" s="828"/>
      <c r="AF344" s="828"/>
      <c r="AG344" s="828"/>
      <c r="AH344" s="828"/>
      <c r="AI344" s="828"/>
      <c r="AJ344" s="828"/>
    </row>
    <row r="345">
      <c r="A345" s="828"/>
      <c r="B345" s="828"/>
      <c r="C345" s="828"/>
      <c r="D345" s="828"/>
      <c r="E345" s="828"/>
      <c r="F345" s="828"/>
      <c r="G345" s="828"/>
      <c r="H345" s="828"/>
      <c r="I345" s="828"/>
      <c r="J345" s="828"/>
      <c r="K345" s="828"/>
      <c r="L345" s="828"/>
      <c r="M345" s="828"/>
      <c r="N345" s="828"/>
      <c r="O345" s="828"/>
      <c r="P345" s="828"/>
      <c r="Q345" s="828"/>
      <c r="R345" s="828"/>
      <c r="S345" s="828"/>
      <c r="T345" s="828"/>
      <c r="U345" s="828"/>
      <c r="V345" s="828"/>
      <c r="W345" s="828"/>
      <c r="X345" s="828"/>
      <c r="Y345" s="828"/>
      <c r="Z345" s="828"/>
      <c r="AA345" s="828"/>
      <c r="AB345" s="828"/>
      <c r="AC345" s="828"/>
      <c r="AD345" s="828"/>
      <c r="AE345" s="828"/>
      <c r="AF345" s="828"/>
      <c r="AG345" s="828"/>
      <c r="AH345" s="828"/>
      <c r="AI345" s="828"/>
      <c r="AJ345" s="828"/>
    </row>
    <row r="346">
      <c r="A346" s="828"/>
      <c r="B346" s="828"/>
      <c r="C346" s="828"/>
      <c r="D346" s="828"/>
      <c r="E346" s="828"/>
      <c r="F346" s="828"/>
      <c r="G346" s="828"/>
      <c r="H346" s="828"/>
      <c r="I346" s="828"/>
      <c r="J346" s="828"/>
      <c r="K346" s="828"/>
      <c r="L346" s="828"/>
      <c r="M346" s="828"/>
      <c r="N346" s="828"/>
      <c r="O346" s="828"/>
      <c r="P346" s="828"/>
      <c r="Q346" s="828"/>
      <c r="R346" s="828"/>
      <c r="S346" s="828"/>
      <c r="T346" s="828"/>
      <c r="U346" s="828"/>
      <c r="V346" s="828"/>
      <c r="W346" s="828"/>
      <c r="X346" s="828"/>
      <c r="Y346" s="828"/>
      <c r="Z346" s="828"/>
      <c r="AA346" s="828"/>
      <c r="AB346" s="828"/>
      <c r="AC346" s="828"/>
      <c r="AD346" s="828"/>
      <c r="AE346" s="828"/>
      <c r="AF346" s="828"/>
      <c r="AG346" s="828"/>
      <c r="AH346" s="828"/>
      <c r="AI346" s="828"/>
      <c r="AJ346" s="828"/>
    </row>
    <row r="347">
      <c r="A347" s="828"/>
      <c r="B347" s="828"/>
      <c r="C347" s="828"/>
      <c r="D347" s="828"/>
      <c r="E347" s="828"/>
      <c r="F347" s="828"/>
      <c r="G347" s="828"/>
      <c r="H347" s="828"/>
      <c r="I347" s="828"/>
      <c r="J347" s="828"/>
      <c r="K347" s="828"/>
      <c r="L347" s="828"/>
      <c r="M347" s="828"/>
      <c r="N347" s="828"/>
      <c r="O347" s="828"/>
      <c r="P347" s="828"/>
      <c r="Q347" s="828"/>
      <c r="R347" s="828"/>
      <c r="S347" s="828"/>
      <c r="T347" s="828"/>
      <c r="U347" s="828"/>
      <c r="V347" s="828"/>
      <c r="W347" s="828"/>
      <c r="X347" s="828"/>
      <c r="Y347" s="828"/>
      <c r="Z347" s="828"/>
      <c r="AA347" s="828"/>
      <c r="AB347" s="828"/>
      <c r="AC347" s="828"/>
      <c r="AD347" s="828"/>
      <c r="AE347" s="828"/>
      <c r="AF347" s="828"/>
      <c r="AG347" s="828"/>
      <c r="AH347" s="828"/>
      <c r="AI347" s="828"/>
      <c r="AJ347" s="828"/>
    </row>
    <row r="348">
      <c r="A348" s="828"/>
      <c r="B348" s="828"/>
      <c r="C348" s="828"/>
      <c r="D348" s="828"/>
      <c r="E348" s="828"/>
      <c r="F348" s="828"/>
      <c r="G348" s="828"/>
      <c r="H348" s="828"/>
      <c r="I348" s="828"/>
      <c r="J348" s="828"/>
      <c r="K348" s="828"/>
      <c r="L348" s="828"/>
      <c r="M348" s="828"/>
      <c r="N348" s="828"/>
      <c r="O348" s="828"/>
      <c r="P348" s="828"/>
      <c r="Q348" s="828"/>
      <c r="R348" s="828"/>
      <c r="S348" s="828"/>
      <c r="T348" s="828"/>
      <c r="U348" s="828"/>
      <c r="V348" s="828"/>
      <c r="W348" s="828"/>
      <c r="X348" s="828"/>
      <c r="Y348" s="828"/>
      <c r="Z348" s="828"/>
      <c r="AA348" s="828"/>
      <c r="AB348" s="828"/>
      <c r="AC348" s="828"/>
      <c r="AD348" s="828"/>
      <c r="AE348" s="828"/>
      <c r="AF348" s="828"/>
      <c r="AG348" s="828"/>
      <c r="AH348" s="828"/>
      <c r="AI348" s="828"/>
      <c r="AJ348" s="828"/>
    </row>
    <row r="349">
      <c r="A349" s="828"/>
      <c r="B349" s="828"/>
      <c r="C349" s="828"/>
      <c r="D349" s="828"/>
      <c r="E349" s="828"/>
      <c r="F349" s="828"/>
      <c r="G349" s="828"/>
      <c r="H349" s="828"/>
      <c r="I349" s="828"/>
      <c r="J349" s="828"/>
      <c r="K349" s="828"/>
      <c r="L349" s="828"/>
      <c r="M349" s="828"/>
      <c r="N349" s="828"/>
      <c r="O349" s="828"/>
      <c r="P349" s="828"/>
      <c r="Q349" s="828"/>
      <c r="R349" s="828"/>
      <c r="S349" s="828"/>
      <c r="T349" s="828"/>
      <c r="U349" s="828"/>
      <c r="V349" s="828"/>
      <c r="W349" s="828"/>
      <c r="X349" s="828"/>
      <c r="Y349" s="828"/>
      <c r="Z349" s="828"/>
      <c r="AA349" s="828"/>
      <c r="AB349" s="828"/>
      <c r="AC349" s="828"/>
      <c r="AD349" s="828"/>
      <c r="AE349" s="828"/>
      <c r="AF349" s="828"/>
      <c r="AG349" s="828"/>
      <c r="AH349" s="828"/>
      <c r="AI349" s="828"/>
      <c r="AJ349" s="828"/>
    </row>
    <row r="350">
      <c r="A350" s="828"/>
      <c r="B350" s="828"/>
      <c r="C350" s="828"/>
      <c r="D350" s="828"/>
      <c r="E350" s="828"/>
      <c r="F350" s="828"/>
      <c r="G350" s="828"/>
      <c r="H350" s="828"/>
      <c r="I350" s="828"/>
      <c r="J350" s="828"/>
      <c r="K350" s="828"/>
      <c r="L350" s="828"/>
      <c r="M350" s="828"/>
      <c r="N350" s="828"/>
      <c r="O350" s="828"/>
      <c r="P350" s="828"/>
      <c r="Q350" s="828"/>
      <c r="R350" s="828"/>
      <c r="S350" s="828"/>
      <c r="T350" s="828"/>
      <c r="U350" s="828"/>
      <c r="V350" s="828"/>
      <c r="W350" s="828"/>
      <c r="X350" s="828"/>
      <c r="Y350" s="828"/>
      <c r="Z350" s="828"/>
      <c r="AA350" s="828"/>
      <c r="AB350" s="828"/>
      <c r="AC350" s="828"/>
      <c r="AD350" s="828"/>
      <c r="AE350" s="828"/>
      <c r="AF350" s="828"/>
      <c r="AG350" s="828"/>
      <c r="AH350" s="828"/>
      <c r="AI350" s="828"/>
      <c r="AJ350" s="828"/>
    </row>
    <row r="351">
      <c r="A351" s="828"/>
      <c r="B351" s="828"/>
      <c r="C351" s="828"/>
      <c r="D351" s="828"/>
      <c r="E351" s="828"/>
      <c r="F351" s="828"/>
      <c r="G351" s="828"/>
      <c r="H351" s="828"/>
      <c r="I351" s="828"/>
      <c r="J351" s="828"/>
      <c r="K351" s="828"/>
      <c r="L351" s="828"/>
      <c r="M351" s="828"/>
      <c r="N351" s="828"/>
      <c r="O351" s="828"/>
      <c r="P351" s="828"/>
      <c r="Q351" s="828"/>
      <c r="R351" s="828"/>
      <c r="S351" s="828"/>
      <c r="T351" s="828"/>
      <c r="U351" s="828"/>
      <c r="V351" s="828"/>
      <c r="W351" s="828"/>
      <c r="X351" s="828"/>
      <c r="Y351" s="828"/>
      <c r="Z351" s="828"/>
      <c r="AA351" s="828"/>
      <c r="AB351" s="828"/>
      <c r="AC351" s="828"/>
      <c r="AD351" s="828"/>
      <c r="AE351" s="828"/>
      <c r="AF351" s="828"/>
      <c r="AG351" s="828"/>
      <c r="AH351" s="828"/>
      <c r="AI351" s="828"/>
      <c r="AJ351" s="828"/>
    </row>
    <row r="352">
      <c r="A352" s="828"/>
      <c r="B352" s="828"/>
      <c r="C352" s="828"/>
      <c r="D352" s="828"/>
      <c r="E352" s="828"/>
      <c r="F352" s="828"/>
      <c r="G352" s="828"/>
      <c r="H352" s="828"/>
      <c r="I352" s="828"/>
      <c r="J352" s="828"/>
      <c r="K352" s="828"/>
      <c r="L352" s="828"/>
      <c r="M352" s="828"/>
      <c r="N352" s="828"/>
      <c r="O352" s="828"/>
      <c r="P352" s="828"/>
      <c r="Q352" s="828"/>
      <c r="R352" s="828"/>
      <c r="S352" s="828"/>
      <c r="T352" s="828"/>
      <c r="U352" s="828"/>
      <c r="V352" s="828"/>
      <c r="W352" s="828"/>
      <c r="X352" s="828"/>
      <c r="Y352" s="828"/>
      <c r="Z352" s="828"/>
      <c r="AA352" s="828"/>
      <c r="AB352" s="828"/>
      <c r="AC352" s="828"/>
      <c r="AD352" s="828"/>
      <c r="AE352" s="828"/>
      <c r="AF352" s="828"/>
      <c r="AG352" s="828"/>
      <c r="AH352" s="828"/>
      <c r="AI352" s="828"/>
      <c r="AJ352" s="828"/>
    </row>
    <row r="353">
      <c r="A353" s="828"/>
      <c r="B353" s="828"/>
      <c r="C353" s="828"/>
      <c r="D353" s="828"/>
      <c r="E353" s="828"/>
      <c r="F353" s="828"/>
      <c r="G353" s="828"/>
      <c r="H353" s="828"/>
      <c r="I353" s="828"/>
      <c r="J353" s="828"/>
      <c r="K353" s="828"/>
      <c r="L353" s="828"/>
      <c r="M353" s="828"/>
      <c r="N353" s="828"/>
      <c r="O353" s="828"/>
      <c r="P353" s="828"/>
      <c r="Q353" s="828"/>
      <c r="R353" s="828"/>
      <c r="S353" s="828"/>
      <c r="T353" s="828"/>
      <c r="U353" s="828"/>
      <c r="V353" s="828"/>
      <c r="W353" s="828"/>
      <c r="X353" s="828"/>
      <c r="Y353" s="828"/>
      <c r="Z353" s="828"/>
      <c r="AA353" s="828"/>
      <c r="AB353" s="828"/>
      <c r="AC353" s="828"/>
      <c r="AD353" s="828"/>
      <c r="AE353" s="828"/>
      <c r="AF353" s="828"/>
      <c r="AG353" s="828"/>
      <c r="AH353" s="828"/>
      <c r="AI353" s="828"/>
      <c r="AJ353" s="828"/>
    </row>
    <row r="354">
      <c r="A354" s="828"/>
      <c r="B354" s="828"/>
      <c r="C354" s="828"/>
      <c r="D354" s="828"/>
      <c r="E354" s="828"/>
      <c r="F354" s="828"/>
      <c r="G354" s="828"/>
      <c r="H354" s="828"/>
      <c r="I354" s="828"/>
      <c r="J354" s="828"/>
      <c r="K354" s="828"/>
      <c r="L354" s="828"/>
      <c r="M354" s="828"/>
      <c r="N354" s="828"/>
      <c r="O354" s="828"/>
      <c r="P354" s="828"/>
      <c r="Q354" s="828"/>
      <c r="R354" s="828"/>
      <c r="S354" s="828"/>
      <c r="T354" s="828"/>
      <c r="U354" s="828"/>
      <c r="V354" s="828"/>
      <c r="W354" s="828"/>
      <c r="X354" s="828"/>
      <c r="Y354" s="828"/>
      <c r="Z354" s="828"/>
      <c r="AA354" s="828"/>
      <c r="AB354" s="828"/>
      <c r="AC354" s="828"/>
      <c r="AD354" s="828"/>
      <c r="AE354" s="828"/>
      <c r="AF354" s="828"/>
      <c r="AG354" s="828"/>
      <c r="AH354" s="828"/>
      <c r="AI354" s="828"/>
      <c r="AJ354" s="828"/>
    </row>
    <row r="355">
      <c r="A355" s="828"/>
      <c r="B355" s="828"/>
      <c r="C355" s="828"/>
      <c r="D355" s="828"/>
      <c r="E355" s="828"/>
      <c r="F355" s="828"/>
      <c r="G355" s="828"/>
      <c r="H355" s="828"/>
      <c r="I355" s="828"/>
      <c r="J355" s="828"/>
      <c r="K355" s="828"/>
      <c r="L355" s="828"/>
      <c r="M355" s="828"/>
      <c r="N355" s="828"/>
      <c r="O355" s="828"/>
      <c r="P355" s="828"/>
      <c r="Q355" s="828"/>
      <c r="R355" s="828"/>
      <c r="S355" s="828"/>
      <c r="T355" s="828"/>
      <c r="U355" s="828"/>
      <c r="V355" s="828"/>
      <c r="W355" s="828"/>
      <c r="X355" s="828"/>
      <c r="Y355" s="828"/>
      <c r="Z355" s="828"/>
      <c r="AA355" s="828"/>
      <c r="AB355" s="828"/>
      <c r="AC355" s="828"/>
      <c r="AD355" s="828"/>
      <c r="AE355" s="828"/>
      <c r="AF355" s="828"/>
      <c r="AG355" s="828"/>
      <c r="AH355" s="828"/>
      <c r="AI355" s="828"/>
      <c r="AJ355" s="828"/>
    </row>
    <row r="356">
      <c r="A356" s="828"/>
      <c r="B356" s="828"/>
      <c r="C356" s="828"/>
      <c r="D356" s="828"/>
      <c r="E356" s="828"/>
      <c r="F356" s="828"/>
      <c r="G356" s="828"/>
      <c r="H356" s="828"/>
      <c r="I356" s="828"/>
      <c r="J356" s="828"/>
      <c r="K356" s="828"/>
      <c r="L356" s="828"/>
      <c r="M356" s="828"/>
      <c r="N356" s="828"/>
      <c r="O356" s="828"/>
      <c r="P356" s="828"/>
      <c r="Q356" s="828"/>
      <c r="R356" s="828"/>
      <c r="S356" s="828"/>
      <c r="T356" s="828"/>
      <c r="U356" s="828"/>
      <c r="V356" s="828"/>
      <c r="W356" s="828"/>
      <c r="X356" s="828"/>
      <c r="Y356" s="828"/>
      <c r="Z356" s="828"/>
      <c r="AA356" s="828"/>
      <c r="AB356" s="828"/>
      <c r="AC356" s="828"/>
      <c r="AD356" s="828"/>
      <c r="AE356" s="828"/>
      <c r="AF356" s="828"/>
      <c r="AG356" s="828"/>
      <c r="AH356" s="828"/>
      <c r="AI356" s="828"/>
      <c r="AJ356" s="828"/>
    </row>
    <row r="357">
      <c r="A357" s="828"/>
      <c r="B357" s="828"/>
      <c r="C357" s="828"/>
      <c r="D357" s="828"/>
      <c r="E357" s="828"/>
      <c r="F357" s="828"/>
      <c r="G357" s="828"/>
      <c r="H357" s="828"/>
      <c r="I357" s="828"/>
      <c r="J357" s="828"/>
      <c r="K357" s="828"/>
      <c r="L357" s="828"/>
      <c r="M357" s="828"/>
      <c r="N357" s="828"/>
      <c r="O357" s="828"/>
      <c r="P357" s="828"/>
      <c r="Q357" s="828"/>
      <c r="R357" s="828"/>
      <c r="S357" s="828"/>
      <c r="T357" s="828"/>
      <c r="U357" s="828"/>
      <c r="V357" s="828"/>
      <c r="W357" s="828"/>
      <c r="X357" s="828"/>
      <c r="Y357" s="828"/>
      <c r="Z357" s="828"/>
      <c r="AA357" s="828"/>
      <c r="AB357" s="828"/>
      <c r="AC357" s="828"/>
      <c r="AD357" s="828"/>
      <c r="AE357" s="828"/>
      <c r="AF357" s="828"/>
      <c r="AG357" s="828"/>
      <c r="AH357" s="828"/>
      <c r="AI357" s="828"/>
      <c r="AJ357" s="828"/>
    </row>
    <row r="358">
      <c r="A358" s="828"/>
      <c r="B358" s="828"/>
      <c r="C358" s="828"/>
      <c r="D358" s="828"/>
      <c r="E358" s="828"/>
      <c r="F358" s="828"/>
      <c r="G358" s="828"/>
      <c r="H358" s="828"/>
      <c r="I358" s="828"/>
      <c r="J358" s="828"/>
      <c r="K358" s="828"/>
      <c r="L358" s="828"/>
      <c r="M358" s="828"/>
      <c r="N358" s="828"/>
      <c r="O358" s="828"/>
      <c r="P358" s="828"/>
      <c r="Q358" s="828"/>
      <c r="R358" s="828"/>
      <c r="S358" s="828"/>
      <c r="T358" s="828"/>
      <c r="U358" s="828"/>
      <c r="V358" s="828"/>
      <c r="W358" s="828"/>
      <c r="X358" s="828"/>
      <c r="Y358" s="828"/>
      <c r="Z358" s="828"/>
      <c r="AA358" s="828"/>
      <c r="AB358" s="828"/>
      <c r="AC358" s="828"/>
      <c r="AD358" s="828"/>
      <c r="AE358" s="828"/>
      <c r="AF358" s="828"/>
      <c r="AG358" s="828"/>
      <c r="AH358" s="828"/>
      <c r="AI358" s="828"/>
      <c r="AJ358" s="828"/>
    </row>
    <row r="359">
      <c r="A359" s="828"/>
      <c r="B359" s="828"/>
      <c r="C359" s="828"/>
      <c r="D359" s="828"/>
      <c r="E359" s="828"/>
      <c r="F359" s="828"/>
      <c r="G359" s="828"/>
      <c r="H359" s="828"/>
      <c r="I359" s="828"/>
      <c r="J359" s="828"/>
      <c r="K359" s="828"/>
      <c r="L359" s="828"/>
      <c r="M359" s="828"/>
      <c r="N359" s="828"/>
      <c r="O359" s="828"/>
      <c r="P359" s="828"/>
      <c r="Q359" s="828"/>
      <c r="R359" s="828"/>
      <c r="S359" s="828"/>
      <c r="T359" s="828"/>
      <c r="U359" s="828"/>
      <c r="V359" s="828"/>
      <c r="W359" s="828"/>
      <c r="X359" s="828"/>
      <c r="Y359" s="828"/>
      <c r="Z359" s="828"/>
      <c r="AA359" s="828"/>
      <c r="AB359" s="828"/>
      <c r="AC359" s="828"/>
      <c r="AD359" s="828"/>
      <c r="AE359" s="828"/>
      <c r="AF359" s="828"/>
      <c r="AG359" s="828"/>
      <c r="AH359" s="828"/>
      <c r="AI359" s="828"/>
      <c r="AJ359" s="828"/>
    </row>
    <row r="360">
      <c r="A360" s="828"/>
      <c r="B360" s="828"/>
      <c r="C360" s="828"/>
      <c r="D360" s="828"/>
      <c r="E360" s="828"/>
      <c r="F360" s="828"/>
      <c r="G360" s="828"/>
      <c r="H360" s="828"/>
      <c r="I360" s="828"/>
      <c r="J360" s="828"/>
      <c r="K360" s="828"/>
      <c r="L360" s="828"/>
      <c r="M360" s="828"/>
      <c r="N360" s="828"/>
      <c r="O360" s="828"/>
      <c r="P360" s="828"/>
      <c r="Q360" s="828"/>
      <c r="R360" s="828"/>
      <c r="S360" s="828"/>
      <c r="T360" s="828"/>
      <c r="U360" s="828"/>
      <c r="V360" s="828"/>
      <c r="W360" s="828"/>
      <c r="X360" s="828"/>
      <c r="Y360" s="828"/>
      <c r="Z360" s="828"/>
      <c r="AA360" s="828"/>
      <c r="AB360" s="828"/>
      <c r="AC360" s="828"/>
      <c r="AD360" s="828"/>
      <c r="AE360" s="828"/>
      <c r="AF360" s="828"/>
      <c r="AG360" s="828"/>
      <c r="AH360" s="828"/>
      <c r="AI360" s="828"/>
      <c r="AJ360" s="828"/>
    </row>
    <row r="361">
      <c r="A361" s="828"/>
      <c r="B361" s="828"/>
      <c r="C361" s="828"/>
      <c r="D361" s="828"/>
      <c r="E361" s="828"/>
      <c r="F361" s="828"/>
      <c r="G361" s="828"/>
      <c r="H361" s="828"/>
      <c r="I361" s="828"/>
      <c r="J361" s="828"/>
      <c r="K361" s="828"/>
      <c r="L361" s="828"/>
      <c r="M361" s="828"/>
      <c r="N361" s="828"/>
      <c r="O361" s="828"/>
      <c r="P361" s="828"/>
      <c r="Q361" s="828"/>
      <c r="R361" s="828"/>
      <c r="S361" s="828"/>
      <c r="T361" s="828"/>
      <c r="U361" s="828"/>
      <c r="V361" s="828"/>
      <c r="W361" s="828"/>
      <c r="X361" s="828"/>
      <c r="Y361" s="828"/>
      <c r="Z361" s="828"/>
      <c r="AA361" s="828"/>
      <c r="AB361" s="828"/>
      <c r="AC361" s="828"/>
      <c r="AD361" s="828"/>
      <c r="AE361" s="828"/>
      <c r="AF361" s="828"/>
      <c r="AG361" s="828"/>
      <c r="AH361" s="828"/>
      <c r="AI361" s="828"/>
      <c r="AJ361" s="828"/>
    </row>
    <row r="362">
      <c r="A362" s="828"/>
      <c r="B362" s="828"/>
      <c r="C362" s="828"/>
      <c r="D362" s="828"/>
      <c r="E362" s="828"/>
      <c r="F362" s="828"/>
      <c r="G362" s="828"/>
      <c r="H362" s="828"/>
      <c r="I362" s="828"/>
      <c r="J362" s="828"/>
      <c r="K362" s="828"/>
      <c r="L362" s="828"/>
      <c r="M362" s="828"/>
      <c r="N362" s="828"/>
      <c r="O362" s="828"/>
      <c r="P362" s="828"/>
      <c r="Q362" s="828"/>
      <c r="R362" s="828"/>
      <c r="S362" s="828"/>
      <c r="T362" s="828"/>
      <c r="U362" s="828"/>
      <c r="V362" s="828"/>
      <c r="W362" s="828"/>
      <c r="X362" s="828"/>
      <c r="Y362" s="828"/>
      <c r="Z362" s="828"/>
      <c r="AA362" s="828"/>
      <c r="AB362" s="828"/>
      <c r="AC362" s="828"/>
      <c r="AD362" s="828"/>
      <c r="AE362" s="828"/>
      <c r="AF362" s="828"/>
      <c r="AG362" s="828"/>
      <c r="AH362" s="828"/>
      <c r="AI362" s="828"/>
      <c r="AJ362" s="828"/>
    </row>
    <row r="363">
      <c r="A363" s="828"/>
      <c r="B363" s="828"/>
      <c r="C363" s="828"/>
      <c r="D363" s="828"/>
      <c r="E363" s="828"/>
      <c r="F363" s="828"/>
      <c r="G363" s="828"/>
      <c r="H363" s="828"/>
      <c r="I363" s="828"/>
      <c r="J363" s="828"/>
      <c r="K363" s="828"/>
      <c r="L363" s="828"/>
      <c r="M363" s="828"/>
      <c r="N363" s="828"/>
      <c r="O363" s="828"/>
      <c r="P363" s="828"/>
      <c r="Q363" s="828"/>
      <c r="R363" s="828"/>
      <c r="S363" s="828"/>
      <c r="T363" s="828"/>
      <c r="U363" s="828"/>
      <c r="V363" s="828"/>
      <c r="W363" s="828"/>
      <c r="X363" s="828"/>
      <c r="Y363" s="828"/>
      <c r="Z363" s="828"/>
      <c r="AA363" s="828"/>
      <c r="AB363" s="828"/>
      <c r="AC363" s="828"/>
      <c r="AD363" s="828"/>
      <c r="AE363" s="828"/>
      <c r="AF363" s="828"/>
      <c r="AG363" s="828"/>
      <c r="AH363" s="828"/>
      <c r="AI363" s="828"/>
      <c r="AJ363" s="828"/>
    </row>
    <row r="364">
      <c r="A364" s="828"/>
      <c r="B364" s="828"/>
      <c r="C364" s="828"/>
      <c r="D364" s="828"/>
      <c r="E364" s="828"/>
      <c r="F364" s="828"/>
      <c r="G364" s="828"/>
      <c r="H364" s="828"/>
      <c r="I364" s="828"/>
      <c r="J364" s="828"/>
      <c r="K364" s="828"/>
      <c r="L364" s="828"/>
      <c r="M364" s="828"/>
      <c r="N364" s="828"/>
      <c r="O364" s="828"/>
      <c r="P364" s="828"/>
      <c r="Q364" s="828"/>
      <c r="R364" s="828"/>
      <c r="S364" s="828"/>
      <c r="T364" s="828"/>
      <c r="U364" s="828"/>
      <c r="V364" s="828"/>
      <c r="W364" s="828"/>
      <c r="X364" s="828"/>
      <c r="Y364" s="828"/>
      <c r="Z364" s="828"/>
      <c r="AA364" s="828"/>
      <c r="AB364" s="828"/>
      <c r="AC364" s="828"/>
      <c r="AD364" s="828"/>
      <c r="AE364" s="828"/>
      <c r="AF364" s="828"/>
      <c r="AG364" s="828"/>
      <c r="AH364" s="828"/>
      <c r="AI364" s="828"/>
      <c r="AJ364" s="828"/>
    </row>
    <row r="365">
      <c r="A365" s="828"/>
      <c r="B365" s="828"/>
      <c r="C365" s="828"/>
      <c r="D365" s="828"/>
      <c r="E365" s="828"/>
      <c r="F365" s="828"/>
      <c r="G365" s="828"/>
      <c r="H365" s="828"/>
      <c r="I365" s="828"/>
      <c r="J365" s="828"/>
      <c r="K365" s="828"/>
      <c r="L365" s="828"/>
      <c r="M365" s="828"/>
      <c r="N365" s="828"/>
      <c r="O365" s="828"/>
      <c r="P365" s="828"/>
      <c r="Q365" s="828"/>
      <c r="R365" s="828"/>
      <c r="S365" s="828"/>
      <c r="T365" s="828"/>
      <c r="U365" s="828"/>
      <c r="V365" s="828"/>
      <c r="W365" s="828"/>
      <c r="X365" s="828"/>
      <c r="Y365" s="828"/>
      <c r="Z365" s="828"/>
      <c r="AA365" s="828"/>
      <c r="AB365" s="828"/>
      <c r="AC365" s="828"/>
      <c r="AD365" s="828"/>
      <c r="AE365" s="828"/>
      <c r="AF365" s="828"/>
      <c r="AG365" s="828"/>
      <c r="AH365" s="828"/>
      <c r="AI365" s="828"/>
      <c r="AJ365" s="828"/>
    </row>
    <row r="366">
      <c r="A366" s="828"/>
      <c r="B366" s="828"/>
      <c r="C366" s="828"/>
      <c r="D366" s="828"/>
      <c r="E366" s="828"/>
      <c r="F366" s="828"/>
      <c r="G366" s="828"/>
      <c r="H366" s="828"/>
      <c r="I366" s="828"/>
      <c r="J366" s="828"/>
      <c r="K366" s="828"/>
      <c r="L366" s="828"/>
      <c r="M366" s="828"/>
      <c r="N366" s="828"/>
      <c r="O366" s="828"/>
      <c r="P366" s="828"/>
      <c r="Q366" s="828"/>
      <c r="R366" s="828"/>
      <c r="S366" s="828"/>
      <c r="T366" s="828"/>
      <c r="U366" s="828"/>
      <c r="V366" s="828"/>
      <c r="W366" s="828"/>
      <c r="X366" s="828"/>
      <c r="Y366" s="828"/>
      <c r="Z366" s="828"/>
      <c r="AA366" s="828"/>
      <c r="AB366" s="828"/>
      <c r="AC366" s="828"/>
      <c r="AD366" s="828"/>
      <c r="AE366" s="828"/>
      <c r="AF366" s="828"/>
      <c r="AG366" s="828"/>
      <c r="AH366" s="828"/>
      <c r="AI366" s="828"/>
      <c r="AJ366" s="828"/>
    </row>
    <row r="367">
      <c r="A367" s="828"/>
      <c r="B367" s="828"/>
      <c r="C367" s="828"/>
      <c r="D367" s="828"/>
      <c r="E367" s="828"/>
      <c r="F367" s="828"/>
      <c r="G367" s="828"/>
      <c r="H367" s="828"/>
      <c r="I367" s="828"/>
      <c r="J367" s="828"/>
      <c r="K367" s="828"/>
      <c r="L367" s="828"/>
      <c r="M367" s="828"/>
      <c r="N367" s="828"/>
      <c r="O367" s="828"/>
      <c r="P367" s="828"/>
      <c r="Q367" s="828"/>
      <c r="R367" s="828"/>
      <c r="S367" s="828"/>
      <c r="T367" s="828"/>
      <c r="U367" s="828"/>
      <c r="V367" s="828"/>
      <c r="W367" s="828"/>
      <c r="X367" s="828"/>
      <c r="Y367" s="828"/>
      <c r="Z367" s="828"/>
      <c r="AA367" s="828"/>
      <c r="AB367" s="828"/>
      <c r="AC367" s="828"/>
      <c r="AD367" s="828"/>
      <c r="AE367" s="828"/>
      <c r="AF367" s="828"/>
      <c r="AG367" s="828"/>
      <c r="AH367" s="828"/>
      <c r="AI367" s="828"/>
      <c r="AJ367" s="828"/>
    </row>
    <row r="368">
      <c r="A368" s="828"/>
      <c r="B368" s="828"/>
      <c r="C368" s="828"/>
      <c r="D368" s="828"/>
      <c r="E368" s="828"/>
      <c r="F368" s="828"/>
      <c r="G368" s="828"/>
      <c r="H368" s="828"/>
      <c r="I368" s="828"/>
      <c r="J368" s="828"/>
      <c r="K368" s="828"/>
      <c r="L368" s="828"/>
      <c r="M368" s="828"/>
      <c r="N368" s="828"/>
      <c r="O368" s="828"/>
      <c r="P368" s="828"/>
      <c r="Q368" s="828"/>
      <c r="R368" s="828"/>
      <c r="S368" s="828"/>
      <c r="T368" s="828"/>
      <c r="U368" s="828"/>
      <c r="V368" s="828"/>
      <c r="W368" s="828"/>
      <c r="X368" s="828"/>
      <c r="Y368" s="828"/>
      <c r="Z368" s="828"/>
      <c r="AA368" s="828"/>
      <c r="AB368" s="828"/>
      <c r="AC368" s="828"/>
      <c r="AD368" s="828"/>
      <c r="AE368" s="828"/>
      <c r="AF368" s="828"/>
      <c r="AG368" s="828"/>
      <c r="AH368" s="828"/>
      <c r="AI368" s="828"/>
      <c r="AJ368" s="828"/>
    </row>
    <row r="369">
      <c r="A369" s="828"/>
      <c r="B369" s="828"/>
      <c r="C369" s="828"/>
      <c r="D369" s="828"/>
      <c r="E369" s="828"/>
      <c r="F369" s="828"/>
      <c r="G369" s="828"/>
      <c r="H369" s="828"/>
      <c r="I369" s="828"/>
      <c r="J369" s="828"/>
      <c r="K369" s="828"/>
      <c r="L369" s="828"/>
      <c r="M369" s="828"/>
      <c r="N369" s="828"/>
      <c r="O369" s="828"/>
      <c r="P369" s="828"/>
      <c r="Q369" s="828"/>
      <c r="R369" s="828"/>
      <c r="S369" s="828"/>
      <c r="T369" s="828"/>
      <c r="U369" s="828"/>
      <c r="V369" s="828"/>
      <c r="W369" s="828"/>
      <c r="X369" s="828"/>
      <c r="Y369" s="828"/>
      <c r="Z369" s="828"/>
      <c r="AA369" s="828"/>
      <c r="AB369" s="828"/>
      <c r="AC369" s="828"/>
      <c r="AD369" s="828"/>
      <c r="AE369" s="828"/>
      <c r="AF369" s="828"/>
      <c r="AG369" s="828"/>
      <c r="AH369" s="828"/>
      <c r="AI369" s="828"/>
      <c r="AJ369" s="828"/>
    </row>
    <row r="370">
      <c r="A370" s="828"/>
      <c r="B370" s="828"/>
      <c r="C370" s="828"/>
      <c r="D370" s="828"/>
      <c r="E370" s="828"/>
      <c r="F370" s="828"/>
      <c r="G370" s="828"/>
      <c r="H370" s="828"/>
      <c r="I370" s="828"/>
      <c r="J370" s="828"/>
      <c r="K370" s="828"/>
      <c r="L370" s="828"/>
      <c r="M370" s="828"/>
      <c r="N370" s="828"/>
      <c r="O370" s="828"/>
      <c r="P370" s="828"/>
      <c r="Q370" s="828"/>
      <c r="R370" s="828"/>
      <c r="S370" s="828"/>
      <c r="T370" s="828"/>
      <c r="U370" s="828"/>
      <c r="V370" s="828"/>
      <c r="W370" s="828"/>
      <c r="X370" s="828"/>
      <c r="Y370" s="828"/>
      <c r="Z370" s="828"/>
      <c r="AA370" s="828"/>
      <c r="AB370" s="828"/>
      <c r="AC370" s="828"/>
      <c r="AD370" s="828"/>
      <c r="AE370" s="828"/>
      <c r="AF370" s="828"/>
      <c r="AG370" s="828"/>
      <c r="AH370" s="828"/>
      <c r="AI370" s="828"/>
      <c r="AJ370" s="828"/>
    </row>
    <row r="371">
      <c r="A371" s="828"/>
      <c r="B371" s="828"/>
      <c r="C371" s="828"/>
      <c r="D371" s="828"/>
      <c r="E371" s="828"/>
      <c r="F371" s="828"/>
      <c r="G371" s="828"/>
      <c r="H371" s="828"/>
      <c r="I371" s="828"/>
      <c r="J371" s="828"/>
      <c r="K371" s="828"/>
      <c r="L371" s="828"/>
      <c r="M371" s="828"/>
      <c r="N371" s="828"/>
      <c r="O371" s="828"/>
      <c r="P371" s="828"/>
      <c r="Q371" s="828"/>
      <c r="R371" s="828"/>
      <c r="S371" s="828"/>
      <c r="T371" s="828"/>
      <c r="U371" s="828"/>
      <c r="V371" s="828"/>
      <c r="W371" s="828"/>
      <c r="X371" s="828"/>
      <c r="Y371" s="828"/>
      <c r="Z371" s="828"/>
      <c r="AA371" s="828"/>
      <c r="AB371" s="828"/>
      <c r="AC371" s="828"/>
      <c r="AD371" s="828"/>
      <c r="AE371" s="828"/>
      <c r="AF371" s="828"/>
      <c r="AG371" s="828"/>
      <c r="AH371" s="828"/>
      <c r="AI371" s="828"/>
      <c r="AJ371" s="828"/>
    </row>
    <row r="372">
      <c r="A372" s="828"/>
      <c r="B372" s="828"/>
      <c r="C372" s="828"/>
      <c r="D372" s="828"/>
      <c r="E372" s="828"/>
      <c r="F372" s="828"/>
      <c r="G372" s="828"/>
      <c r="H372" s="828"/>
      <c r="I372" s="828"/>
      <c r="J372" s="828"/>
      <c r="K372" s="828"/>
      <c r="L372" s="828"/>
      <c r="M372" s="828"/>
      <c r="N372" s="828"/>
      <c r="O372" s="828"/>
      <c r="P372" s="828"/>
      <c r="Q372" s="828"/>
      <c r="R372" s="828"/>
      <c r="S372" s="828"/>
      <c r="T372" s="828"/>
      <c r="U372" s="828"/>
      <c r="V372" s="828"/>
      <c r="W372" s="828"/>
      <c r="X372" s="828"/>
      <c r="Y372" s="828"/>
      <c r="Z372" s="828"/>
      <c r="AA372" s="828"/>
      <c r="AB372" s="828"/>
      <c r="AC372" s="828"/>
      <c r="AD372" s="828"/>
      <c r="AE372" s="828"/>
      <c r="AF372" s="828"/>
      <c r="AG372" s="828"/>
      <c r="AH372" s="828"/>
      <c r="AI372" s="828"/>
      <c r="AJ372" s="828"/>
    </row>
    <row r="373">
      <c r="A373" s="828"/>
      <c r="B373" s="828"/>
      <c r="C373" s="828"/>
      <c r="D373" s="828"/>
      <c r="E373" s="828"/>
      <c r="F373" s="828"/>
      <c r="G373" s="828"/>
      <c r="H373" s="828"/>
      <c r="I373" s="828"/>
      <c r="J373" s="828"/>
      <c r="K373" s="828"/>
      <c r="L373" s="828"/>
      <c r="M373" s="828"/>
      <c r="N373" s="828"/>
      <c r="O373" s="828"/>
      <c r="P373" s="828"/>
      <c r="Q373" s="828"/>
      <c r="R373" s="828"/>
      <c r="S373" s="828"/>
      <c r="T373" s="828"/>
      <c r="U373" s="828"/>
      <c r="V373" s="828"/>
      <c r="W373" s="828"/>
      <c r="X373" s="828"/>
      <c r="Y373" s="828"/>
      <c r="Z373" s="828"/>
      <c r="AA373" s="828"/>
      <c r="AB373" s="828"/>
      <c r="AC373" s="828"/>
      <c r="AD373" s="828"/>
      <c r="AE373" s="828"/>
      <c r="AF373" s="828"/>
      <c r="AG373" s="828"/>
      <c r="AH373" s="828"/>
      <c r="AI373" s="828"/>
      <c r="AJ373" s="828"/>
    </row>
    <row r="374">
      <c r="A374" s="828"/>
      <c r="B374" s="828"/>
      <c r="C374" s="828"/>
      <c r="D374" s="828"/>
      <c r="E374" s="828"/>
      <c r="F374" s="828"/>
      <c r="G374" s="828"/>
      <c r="H374" s="828"/>
      <c r="I374" s="828"/>
      <c r="J374" s="828"/>
      <c r="K374" s="828"/>
      <c r="L374" s="828"/>
      <c r="M374" s="828"/>
      <c r="N374" s="828"/>
      <c r="O374" s="828"/>
      <c r="P374" s="828"/>
      <c r="Q374" s="828"/>
      <c r="R374" s="828"/>
      <c r="S374" s="828"/>
      <c r="T374" s="828"/>
      <c r="U374" s="828"/>
      <c r="V374" s="828"/>
      <c r="W374" s="828"/>
      <c r="X374" s="828"/>
      <c r="Y374" s="828"/>
      <c r="Z374" s="828"/>
      <c r="AA374" s="828"/>
      <c r="AB374" s="828"/>
      <c r="AC374" s="828"/>
      <c r="AD374" s="828"/>
      <c r="AE374" s="828"/>
      <c r="AF374" s="828"/>
      <c r="AG374" s="828"/>
      <c r="AH374" s="828"/>
      <c r="AI374" s="828"/>
      <c r="AJ374" s="828"/>
    </row>
    <row r="375">
      <c r="A375" s="828"/>
      <c r="B375" s="828"/>
      <c r="C375" s="828"/>
      <c r="D375" s="828"/>
      <c r="E375" s="828"/>
      <c r="F375" s="828"/>
      <c r="G375" s="828"/>
      <c r="H375" s="828"/>
      <c r="I375" s="828"/>
      <c r="J375" s="828"/>
      <c r="K375" s="828"/>
      <c r="L375" s="828"/>
      <c r="M375" s="828"/>
      <c r="N375" s="828"/>
      <c r="O375" s="828"/>
      <c r="P375" s="828"/>
      <c r="Q375" s="828"/>
      <c r="R375" s="828"/>
      <c r="S375" s="828"/>
      <c r="T375" s="828"/>
      <c r="U375" s="828"/>
      <c r="V375" s="828"/>
      <c r="W375" s="828"/>
      <c r="X375" s="828"/>
      <c r="Y375" s="828"/>
      <c r="Z375" s="828"/>
      <c r="AA375" s="828"/>
      <c r="AB375" s="828"/>
      <c r="AC375" s="828"/>
      <c r="AD375" s="828"/>
      <c r="AE375" s="828"/>
      <c r="AF375" s="828"/>
      <c r="AG375" s="828"/>
      <c r="AH375" s="828"/>
      <c r="AI375" s="828"/>
      <c r="AJ375" s="828"/>
    </row>
    <row r="376">
      <c r="A376" s="828"/>
      <c r="B376" s="828"/>
      <c r="C376" s="828"/>
      <c r="D376" s="828"/>
      <c r="E376" s="828"/>
      <c r="F376" s="828"/>
      <c r="G376" s="828"/>
      <c r="H376" s="828"/>
      <c r="I376" s="828"/>
      <c r="J376" s="828"/>
      <c r="K376" s="828"/>
      <c r="L376" s="828"/>
      <c r="M376" s="828"/>
      <c r="N376" s="828"/>
      <c r="O376" s="828"/>
      <c r="P376" s="828"/>
      <c r="Q376" s="828"/>
      <c r="R376" s="828"/>
      <c r="S376" s="828"/>
      <c r="T376" s="828"/>
      <c r="U376" s="828"/>
      <c r="V376" s="828"/>
      <c r="W376" s="828"/>
      <c r="X376" s="828"/>
      <c r="Y376" s="828"/>
      <c r="Z376" s="828"/>
      <c r="AA376" s="828"/>
      <c r="AB376" s="828"/>
      <c r="AC376" s="828"/>
      <c r="AD376" s="828"/>
      <c r="AE376" s="828"/>
      <c r="AF376" s="828"/>
      <c r="AG376" s="828"/>
      <c r="AH376" s="828"/>
      <c r="AI376" s="828"/>
      <c r="AJ376" s="828"/>
    </row>
    <row r="377">
      <c r="A377" s="828"/>
      <c r="B377" s="828"/>
      <c r="C377" s="828"/>
      <c r="D377" s="828"/>
      <c r="E377" s="828"/>
      <c r="F377" s="828"/>
      <c r="G377" s="828"/>
      <c r="H377" s="828"/>
      <c r="I377" s="828"/>
      <c r="J377" s="828"/>
      <c r="K377" s="828"/>
      <c r="L377" s="828"/>
      <c r="M377" s="828"/>
      <c r="N377" s="828"/>
      <c r="O377" s="828"/>
      <c r="P377" s="828"/>
      <c r="Q377" s="828"/>
      <c r="R377" s="828"/>
      <c r="S377" s="828"/>
      <c r="T377" s="828"/>
      <c r="U377" s="828"/>
      <c r="V377" s="828"/>
      <c r="W377" s="828"/>
      <c r="X377" s="828"/>
      <c r="Y377" s="828"/>
      <c r="Z377" s="828"/>
      <c r="AA377" s="828"/>
      <c r="AB377" s="828"/>
      <c r="AC377" s="828"/>
      <c r="AD377" s="828"/>
      <c r="AE377" s="828"/>
      <c r="AF377" s="828"/>
      <c r="AG377" s="828"/>
      <c r="AH377" s="828"/>
      <c r="AI377" s="828"/>
      <c r="AJ377" s="828"/>
    </row>
    <row r="378">
      <c r="A378" s="828"/>
      <c r="B378" s="828"/>
      <c r="C378" s="828"/>
      <c r="D378" s="828"/>
      <c r="E378" s="828"/>
      <c r="F378" s="828"/>
      <c r="G378" s="828"/>
      <c r="H378" s="828"/>
      <c r="I378" s="828"/>
      <c r="J378" s="828"/>
      <c r="K378" s="828"/>
      <c r="L378" s="828"/>
      <c r="M378" s="828"/>
      <c r="N378" s="828"/>
      <c r="O378" s="828"/>
      <c r="P378" s="828"/>
      <c r="Q378" s="828"/>
      <c r="R378" s="828"/>
      <c r="S378" s="828"/>
      <c r="T378" s="828"/>
      <c r="U378" s="828"/>
      <c r="V378" s="828"/>
      <c r="W378" s="828"/>
      <c r="X378" s="828"/>
      <c r="Y378" s="828"/>
      <c r="Z378" s="828"/>
      <c r="AA378" s="828"/>
      <c r="AB378" s="828"/>
      <c r="AC378" s="828"/>
      <c r="AD378" s="828"/>
      <c r="AE378" s="828"/>
      <c r="AF378" s="828"/>
      <c r="AG378" s="828"/>
      <c r="AH378" s="828"/>
      <c r="AI378" s="828"/>
      <c r="AJ378" s="828"/>
    </row>
    <row r="379">
      <c r="A379" s="828"/>
      <c r="B379" s="828"/>
      <c r="C379" s="828"/>
      <c r="D379" s="828"/>
      <c r="E379" s="828"/>
      <c r="F379" s="828"/>
      <c r="G379" s="828"/>
      <c r="H379" s="828"/>
      <c r="I379" s="828"/>
      <c r="J379" s="828"/>
      <c r="K379" s="828"/>
      <c r="L379" s="828"/>
      <c r="M379" s="828"/>
      <c r="N379" s="828"/>
      <c r="O379" s="828"/>
      <c r="P379" s="828"/>
      <c r="Q379" s="828"/>
      <c r="R379" s="828"/>
      <c r="S379" s="828"/>
      <c r="T379" s="828"/>
      <c r="U379" s="828"/>
      <c r="V379" s="828"/>
      <c r="W379" s="828"/>
      <c r="X379" s="828"/>
      <c r="Y379" s="828"/>
      <c r="Z379" s="828"/>
      <c r="AA379" s="828"/>
      <c r="AB379" s="828"/>
      <c r="AC379" s="828"/>
      <c r="AD379" s="828"/>
      <c r="AE379" s="828"/>
      <c r="AF379" s="828"/>
      <c r="AG379" s="828"/>
      <c r="AH379" s="828"/>
      <c r="AI379" s="828"/>
      <c r="AJ379" s="828"/>
    </row>
    <row r="380">
      <c r="A380" s="828"/>
      <c r="B380" s="828"/>
      <c r="C380" s="828"/>
      <c r="D380" s="828"/>
      <c r="E380" s="828"/>
      <c r="F380" s="828"/>
      <c r="G380" s="828"/>
      <c r="H380" s="828"/>
      <c r="I380" s="828"/>
      <c r="J380" s="828"/>
      <c r="K380" s="828"/>
      <c r="L380" s="828"/>
      <c r="M380" s="828"/>
      <c r="N380" s="828"/>
      <c r="O380" s="828"/>
      <c r="P380" s="828"/>
      <c r="Q380" s="828"/>
      <c r="R380" s="828"/>
      <c r="S380" s="828"/>
      <c r="T380" s="828"/>
      <c r="U380" s="828"/>
      <c r="V380" s="828"/>
      <c r="W380" s="828"/>
      <c r="X380" s="828"/>
      <c r="Y380" s="828"/>
      <c r="Z380" s="828"/>
      <c r="AA380" s="828"/>
      <c r="AB380" s="828"/>
      <c r="AC380" s="828"/>
      <c r="AD380" s="828"/>
      <c r="AE380" s="828"/>
      <c r="AF380" s="828"/>
      <c r="AG380" s="828"/>
      <c r="AH380" s="828"/>
      <c r="AI380" s="828"/>
      <c r="AJ380" s="828"/>
    </row>
    <row r="381">
      <c r="A381" s="828"/>
      <c r="B381" s="828"/>
      <c r="C381" s="828"/>
      <c r="D381" s="828"/>
      <c r="E381" s="828"/>
      <c r="F381" s="828"/>
      <c r="G381" s="828"/>
      <c r="H381" s="828"/>
      <c r="I381" s="828"/>
      <c r="J381" s="828"/>
      <c r="K381" s="828"/>
      <c r="L381" s="828"/>
      <c r="M381" s="828"/>
      <c r="N381" s="828"/>
      <c r="O381" s="828"/>
      <c r="P381" s="828"/>
      <c r="Q381" s="828"/>
      <c r="R381" s="828"/>
      <c r="S381" s="828"/>
      <c r="T381" s="828"/>
      <c r="U381" s="828"/>
      <c r="V381" s="828"/>
      <c r="W381" s="828"/>
      <c r="X381" s="828"/>
      <c r="Y381" s="828"/>
      <c r="Z381" s="828"/>
      <c r="AA381" s="828"/>
      <c r="AB381" s="828"/>
      <c r="AC381" s="828"/>
      <c r="AD381" s="828"/>
      <c r="AE381" s="828"/>
      <c r="AF381" s="828"/>
      <c r="AG381" s="828"/>
      <c r="AH381" s="828"/>
      <c r="AI381" s="828"/>
      <c r="AJ381" s="828"/>
    </row>
    <row r="382">
      <c r="A382" s="828"/>
      <c r="B382" s="828"/>
      <c r="C382" s="828"/>
      <c r="D382" s="828"/>
      <c r="E382" s="828"/>
      <c r="F382" s="828"/>
      <c r="G382" s="828"/>
      <c r="H382" s="828"/>
      <c r="I382" s="828"/>
      <c r="J382" s="828"/>
      <c r="K382" s="828"/>
      <c r="L382" s="828"/>
      <c r="M382" s="828"/>
      <c r="N382" s="828"/>
      <c r="O382" s="828"/>
      <c r="P382" s="828"/>
      <c r="Q382" s="828"/>
      <c r="R382" s="828"/>
      <c r="S382" s="828"/>
      <c r="T382" s="828"/>
      <c r="U382" s="828"/>
      <c r="V382" s="828"/>
      <c r="W382" s="828"/>
      <c r="X382" s="828"/>
      <c r="Y382" s="828"/>
      <c r="Z382" s="828"/>
      <c r="AA382" s="828"/>
      <c r="AB382" s="828"/>
      <c r="AC382" s="828"/>
      <c r="AD382" s="828"/>
      <c r="AE382" s="828"/>
      <c r="AF382" s="828"/>
      <c r="AG382" s="828"/>
      <c r="AH382" s="828"/>
      <c r="AI382" s="828"/>
      <c r="AJ382" s="828"/>
    </row>
    <row r="383">
      <c r="A383" s="828"/>
      <c r="B383" s="828"/>
      <c r="C383" s="828"/>
      <c r="D383" s="828"/>
      <c r="E383" s="828"/>
      <c r="F383" s="828"/>
      <c r="G383" s="828"/>
      <c r="H383" s="828"/>
      <c r="I383" s="828"/>
      <c r="J383" s="828"/>
      <c r="K383" s="828"/>
      <c r="L383" s="828"/>
      <c r="M383" s="828"/>
      <c r="N383" s="828"/>
      <c r="O383" s="828"/>
      <c r="P383" s="828"/>
      <c r="Q383" s="828"/>
      <c r="R383" s="828"/>
      <c r="S383" s="828"/>
      <c r="T383" s="828"/>
      <c r="U383" s="828"/>
      <c r="V383" s="828"/>
      <c r="W383" s="828"/>
      <c r="X383" s="828"/>
      <c r="Y383" s="828"/>
      <c r="Z383" s="828"/>
      <c r="AA383" s="828"/>
      <c r="AB383" s="828"/>
      <c r="AC383" s="828"/>
      <c r="AD383" s="828"/>
      <c r="AE383" s="828"/>
      <c r="AF383" s="828"/>
      <c r="AG383" s="828"/>
      <c r="AH383" s="828"/>
      <c r="AI383" s="828"/>
      <c r="AJ383" s="828"/>
    </row>
    <row r="384">
      <c r="A384" s="828"/>
      <c r="B384" s="828"/>
      <c r="C384" s="828"/>
      <c r="D384" s="828"/>
      <c r="E384" s="828"/>
      <c r="F384" s="828"/>
      <c r="G384" s="828"/>
      <c r="H384" s="828"/>
      <c r="I384" s="828"/>
      <c r="J384" s="828"/>
      <c r="K384" s="828"/>
      <c r="L384" s="828"/>
      <c r="M384" s="828"/>
      <c r="N384" s="828"/>
      <c r="O384" s="828"/>
      <c r="P384" s="828"/>
      <c r="Q384" s="828"/>
      <c r="R384" s="828"/>
      <c r="S384" s="828"/>
      <c r="T384" s="828"/>
      <c r="U384" s="828"/>
      <c r="V384" s="828"/>
      <c r="W384" s="828"/>
      <c r="X384" s="828"/>
      <c r="Y384" s="828"/>
      <c r="Z384" s="828"/>
      <c r="AA384" s="828"/>
      <c r="AB384" s="828"/>
      <c r="AC384" s="828"/>
      <c r="AD384" s="828"/>
      <c r="AE384" s="828"/>
      <c r="AF384" s="828"/>
      <c r="AG384" s="828"/>
      <c r="AH384" s="828"/>
      <c r="AI384" s="828"/>
      <c r="AJ384" s="828"/>
    </row>
    <row r="385">
      <c r="A385" s="828"/>
      <c r="B385" s="828"/>
      <c r="C385" s="828"/>
      <c r="D385" s="828"/>
      <c r="E385" s="828"/>
      <c r="F385" s="828"/>
      <c r="G385" s="828"/>
      <c r="H385" s="828"/>
      <c r="I385" s="828"/>
      <c r="J385" s="828"/>
      <c r="K385" s="828"/>
      <c r="L385" s="828"/>
      <c r="M385" s="828"/>
      <c r="N385" s="828"/>
      <c r="O385" s="828"/>
      <c r="P385" s="828"/>
      <c r="Q385" s="828"/>
      <c r="R385" s="828"/>
      <c r="S385" s="828"/>
      <c r="T385" s="828"/>
      <c r="U385" s="828"/>
      <c r="V385" s="828"/>
      <c r="W385" s="828"/>
      <c r="X385" s="828"/>
      <c r="Y385" s="828"/>
      <c r="Z385" s="828"/>
      <c r="AA385" s="828"/>
      <c r="AB385" s="828"/>
      <c r="AC385" s="828"/>
      <c r="AD385" s="828"/>
      <c r="AE385" s="828"/>
      <c r="AF385" s="828"/>
      <c r="AG385" s="828"/>
      <c r="AH385" s="828"/>
      <c r="AI385" s="828"/>
      <c r="AJ385" s="828"/>
    </row>
    <row r="386">
      <c r="A386" s="828"/>
      <c r="B386" s="828"/>
      <c r="C386" s="828"/>
      <c r="D386" s="828"/>
      <c r="E386" s="828"/>
      <c r="F386" s="828"/>
      <c r="G386" s="828"/>
      <c r="H386" s="828"/>
      <c r="I386" s="828"/>
      <c r="J386" s="828"/>
      <c r="K386" s="828"/>
      <c r="L386" s="828"/>
      <c r="M386" s="828"/>
      <c r="N386" s="828"/>
      <c r="O386" s="828"/>
      <c r="P386" s="828"/>
      <c r="Q386" s="828"/>
      <c r="R386" s="828"/>
      <c r="S386" s="828"/>
      <c r="T386" s="828"/>
      <c r="U386" s="828"/>
      <c r="V386" s="828"/>
      <c r="W386" s="828"/>
      <c r="X386" s="828"/>
      <c r="Y386" s="828"/>
      <c r="Z386" s="828"/>
      <c r="AA386" s="828"/>
      <c r="AB386" s="828"/>
      <c r="AC386" s="828"/>
      <c r="AD386" s="828"/>
      <c r="AE386" s="828"/>
      <c r="AF386" s="828"/>
      <c r="AG386" s="828"/>
      <c r="AH386" s="828"/>
      <c r="AI386" s="828"/>
      <c r="AJ386" s="828"/>
    </row>
    <row r="387">
      <c r="A387" s="828"/>
      <c r="B387" s="828"/>
      <c r="C387" s="828"/>
      <c r="D387" s="828"/>
      <c r="E387" s="828"/>
      <c r="F387" s="828"/>
      <c r="G387" s="828"/>
      <c r="H387" s="828"/>
      <c r="I387" s="828"/>
      <c r="J387" s="828"/>
      <c r="K387" s="828"/>
      <c r="L387" s="828"/>
      <c r="M387" s="828"/>
      <c r="N387" s="828"/>
      <c r="O387" s="828"/>
      <c r="P387" s="828"/>
      <c r="Q387" s="828"/>
      <c r="R387" s="828"/>
      <c r="S387" s="828"/>
      <c r="T387" s="828"/>
      <c r="U387" s="828"/>
      <c r="V387" s="828"/>
      <c r="W387" s="828"/>
      <c r="X387" s="828"/>
      <c r="Y387" s="828"/>
      <c r="Z387" s="828"/>
      <c r="AA387" s="828"/>
      <c r="AB387" s="828"/>
      <c r="AC387" s="828"/>
      <c r="AD387" s="828"/>
      <c r="AE387" s="828"/>
      <c r="AF387" s="828"/>
      <c r="AG387" s="828"/>
      <c r="AH387" s="828"/>
      <c r="AI387" s="828"/>
      <c r="AJ387" s="828"/>
    </row>
    <row r="388">
      <c r="A388" s="828"/>
      <c r="B388" s="828"/>
      <c r="C388" s="828"/>
      <c r="D388" s="828"/>
      <c r="E388" s="828"/>
      <c r="F388" s="828"/>
      <c r="G388" s="828"/>
      <c r="H388" s="828"/>
      <c r="I388" s="828"/>
      <c r="J388" s="828"/>
      <c r="K388" s="828"/>
      <c r="L388" s="828"/>
      <c r="M388" s="828"/>
      <c r="N388" s="828"/>
      <c r="O388" s="828"/>
      <c r="P388" s="828"/>
      <c r="Q388" s="828"/>
      <c r="R388" s="828"/>
      <c r="S388" s="828"/>
      <c r="T388" s="828"/>
      <c r="U388" s="828"/>
      <c r="V388" s="828"/>
      <c r="W388" s="828"/>
      <c r="X388" s="828"/>
      <c r="Y388" s="828"/>
      <c r="Z388" s="828"/>
      <c r="AA388" s="828"/>
      <c r="AB388" s="828"/>
      <c r="AC388" s="828"/>
      <c r="AD388" s="828"/>
      <c r="AE388" s="828"/>
      <c r="AF388" s="828"/>
      <c r="AG388" s="828"/>
      <c r="AH388" s="828"/>
      <c r="AI388" s="828"/>
      <c r="AJ388" s="828"/>
    </row>
    <row r="389">
      <c r="A389" s="828"/>
      <c r="B389" s="828"/>
      <c r="C389" s="828"/>
      <c r="D389" s="828"/>
      <c r="E389" s="828"/>
      <c r="F389" s="828"/>
      <c r="G389" s="828"/>
      <c r="H389" s="828"/>
      <c r="I389" s="828"/>
      <c r="J389" s="828"/>
      <c r="K389" s="828"/>
      <c r="L389" s="828"/>
      <c r="M389" s="828"/>
      <c r="N389" s="828"/>
      <c r="O389" s="828"/>
      <c r="P389" s="828"/>
      <c r="Q389" s="828"/>
      <c r="R389" s="828"/>
      <c r="S389" s="828"/>
      <c r="T389" s="828"/>
      <c r="U389" s="828"/>
      <c r="V389" s="828"/>
      <c r="W389" s="828"/>
      <c r="X389" s="828"/>
      <c r="Y389" s="828"/>
      <c r="Z389" s="828"/>
      <c r="AA389" s="828"/>
      <c r="AB389" s="828"/>
      <c r="AC389" s="828"/>
      <c r="AD389" s="828"/>
      <c r="AE389" s="828"/>
      <c r="AF389" s="828"/>
      <c r="AG389" s="828"/>
      <c r="AH389" s="828"/>
      <c r="AI389" s="828"/>
      <c r="AJ389" s="828"/>
    </row>
    <row r="390">
      <c r="A390" s="828"/>
      <c r="B390" s="828"/>
      <c r="C390" s="828"/>
      <c r="D390" s="828"/>
      <c r="E390" s="828"/>
      <c r="F390" s="828"/>
      <c r="G390" s="828"/>
      <c r="H390" s="828"/>
      <c r="I390" s="828"/>
      <c r="J390" s="828"/>
      <c r="K390" s="828"/>
      <c r="L390" s="828"/>
      <c r="M390" s="828"/>
      <c r="N390" s="828"/>
      <c r="O390" s="828"/>
      <c r="P390" s="828"/>
      <c r="Q390" s="828"/>
      <c r="R390" s="828"/>
      <c r="S390" s="828"/>
      <c r="T390" s="828"/>
      <c r="U390" s="828"/>
      <c r="V390" s="828"/>
      <c r="W390" s="828"/>
      <c r="X390" s="828"/>
      <c r="Y390" s="828"/>
      <c r="Z390" s="828"/>
      <c r="AA390" s="828"/>
      <c r="AB390" s="828"/>
      <c r="AC390" s="828"/>
      <c r="AD390" s="828"/>
      <c r="AE390" s="828"/>
      <c r="AF390" s="828"/>
      <c r="AG390" s="828"/>
      <c r="AH390" s="828"/>
      <c r="AI390" s="828"/>
      <c r="AJ390" s="828"/>
    </row>
    <row r="391">
      <c r="A391" s="828"/>
      <c r="B391" s="828"/>
      <c r="C391" s="828"/>
      <c r="D391" s="828"/>
      <c r="E391" s="828"/>
      <c r="F391" s="828"/>
      <c r="G391" s="828"/>
      <c r="H391" s="828"/>
      <c r="I391" s="828"/>
      <c r="J391" s="828"/>
      <c r="K391" s="828"/>
      <c r="L391" s="828"/>
      <c r="M391" s="828"/>
      <c r="N391" s="828"/>
      <c r="O391" s="828"/>
      <c r="P391" s="828"/>
      <c r="Q391" s="828"/>
      <c r="R391" s="828"/>
      <c r="S391" s="828"/>
      <c r="T391" s="828"/>
      <c r="U391" s="828"/>
      <c r="V391" s="828"/>
      <c r="W391" s="828"/>
      <c r="X391" s="828"/>
      <c r="Y391" s="828"/>
      <c r="Z391" s="828"/>
      <c r="AA391" s="828"/>
      <c r="AB391" s="828"/>
      <c r="AC391" s="828"/>
      <c r="AD391" s="828"/>
      <c r="AE391" s="828"/>
      <c r="AF391" s="828"/>
      <c r="AG391" s="828"/>
      <c r="AH391" s="828"/>
      <c r="AI391" s="828"/>
      <c r="AJ391" s="828"/>
    </row>
    <row r="392">
      <c r="A392" s="828"/>
      <c r="B392" s="828"/>
      <c r="C392" s="828"/>
      <c r="D392" s="828"/>
      <c r="E392" s="828"/>
      <c r="F392" s="828"/>
      <c r="G392" s="828"/>
      <c r="H392" s="828"/>
      <c r="I392" s="828"/>
      <c r="J392" s="828"/>
      <c r="K392" s="828"/>
      <c r="L392" s="828"/>
      <c r="M392" s="828"/>
      <c r="N392" s="828"/>
      <c r="O392" s="828"/>
      <c r="P392" s="828"/>
      <c r="Q392" s="828"/>
      <c r="R392" s="828"/>
      <c r="S392" s="828"/>
      <c r="T392" s="828"/>
      <c r="U392" s="828"/>
      <c r="V392" s="828"/>
      <c r="W392" s="828"/>
      <c r="X392" s="828"/>
      <c r="Y392" s="828"/>
      <c r="Z392" s="828"/>
      <c r="AA392" s="828"/>
      <c r="AB392" s="828"/>
      <c r="AC392" s="828"/>
      <c r="AD392" s="828"/>
      <c r="AE392" s="828"/>
      <c r="AF392" s="828"/>
      <c r="AG392" s="828"/>
      <c r="AH392" s="828"/>
      <c r="AI392" s="828"/>
      <c r="AJ392" s="828"/>
    </row>
    <row r="393">
      <c r="A393" s="828"/>
      <c r="B393" s="828"/>
      <c r="C393" s="828"/>
      <c r="D393" s="828"/>
      <c r="E393" s="828"/>
      <c r="F393" s="828"/>
      <c r="G393" s="828"/>
      <c r="H393" s="828"/>
      <c r="I393" s="828"/>
      <c r="J393" s="828"/>
      <c r="K393" s="828"/>
      <c r="L393" s="828"/>
      <c r="M393" s="828"/>
      <c r="N393" s="828"/>
      <c r="O393" s="828"/>
      <c r="P393" s="828"/>
      <c r="Q393" s="828"/>
      <c r="R393" s="828"/>
      <c r="S393" s="828"/>
      <c r="T393" s="828"/>
      <c r="U393" s="828"/>
      <c r="V393" s="828"/>
      <c r="W393" s="828"/>
      <c r="X393" s="828"/>
      <c r="Y393" s="828"/>
      <c r="Z393" s="828"/>
      <c r="AA393" s="828"/>
      <c r="AB393" s="828"/>
      <c r="AC393" s="828"/>
      <c r="AD393" s="828"/>
      <c r="AE393" s="828"/>
      <c r="AF393" s="828"/>
      <c r="AG393" s="828"/>
      <c r="AH393" s="828"/>
      <c r="AI393" s="828"/>
      <c r="AJ393" s="828"/>
    </row>
    <row r="394">
      <c r="A394" s="828"/>
      <c r="B394" s="828"/>
      <c r="C394" s="828"/>
      <c r="D394" s="828"/>
      <c r="E394" s="828"/>
      <c r="F394" s="828"/>
      <c r="G394" s="828"/>
      <c r="H394" s="828"/>
      <c r="I394" s="828"/>
      <c r="J394" s="828"/>
      <c r="K394" s="828"/>
      <c r="L394" s="828"/>
      <c r="M394" s="828"/>
      <c r="N394" s="828"/>
      <c r="O394" s="828"/>
      <c r="P394" s="828"/>
      <c r="Q394" s="828"/>
      <c r="R394" s="828"/>
      <c r="S394" s="828"/>
      <c r="T394" s="828"/>
      <c r="U394" s="828"/>
      <c r="V394" s="828"/>
      <c r="W394" s="828"/>
      <c r="X394" s="828"/>
      <c r="Y394" s="828"/>
      <c r="Z394" s="828"/>
      <c r="AA394" s="828"/>
      <c r="AB394" s="828"/>
      <c r="AC394" s="828"/>
      <c r="AD394" s="828"/>
      <c r="AE394" s="828"/>
      <c r="AF394" s="828"/>
      <c r="AG394" s="828"/>
      <c r="AH394" s="828"/>
      <c r="AI394" s="828"/>
      <c r="AJ394" s="828"/>
    </row>
    <row r="395">
      <c r="A395" s="828"/>
      <c r="B395" s="828"/>
      <c r="C395" s="828"/>
      <c r="D395" s="828"/>
      <c r="E395" s="828"/>
      <c r="F395" s="828"/>
      <c r="G395" s="828"/>
      <c r="H395" s="828"/>
      <c r="I395" s="828"/>
      <c r="J395" s="828"/>
      <c r="K395" s="828"/>
      <c r="L395" s="828"/>
      <c r="M395" s="828"/>
      <c r="N395" s="828"/>
      <c r="O395" s="828"/>
      <c r="P395" s="828"/>
      <c r="Q395" s="828"/>
      <c r="R395" s="828"/>
      <c r="S395" s="828"/>
      <c r="T395" s="828"/>
      <c r="U395" s="828"/>
      <c r="V395" s="828"/>
      <c r="W395" s="828"/>
      <c r="X395" s="828"/>
      <c r="Y395" s="828"/>
      <c r="Z395" s="828"/>
      <c r="AA395" s="828"/>
      <c r="AB395" s="828"/>
      <c r="AC395" s="828"/>
      <c r="AD395" s="828"/>
      <c r="AE395" s="828"/>
      <c r="AF395" s="828"/>
      <c r="AG395" s="828"/>
      <c r="AH395" s="828"/>
      <c r="AI395" s="828"/>
      <c r="AJ395" s="828"/>
    </row>
    <row r="396">
      <c r="A396" s="828"/>
      <c r="B396" s="828"/>
      <c r="C396" s="828"/>
      <c r="D396" s="828"/>
      <c r="E396" s="828"/>
      <c r="F396" s="828"/>
      <c r="G396" s="828"/>
      <c r="H396" s="828"/>
      <c r="I396" s="828"/>
      <c r="J396" s="828"/>
      <c r="K396" s="828"/>
      <c r="L396" s="828"/>
      <c r="M396" s="828"/>
      <c r="N396" s="828"/>
      <c r="O396" s="828"/>
      <c r="P396" s="828"/>
      <c r="Q396" s="828"/>
      <c r="R396" s="828"/>
      <c r="S396" s="828"/>
      <c r="T396" s="828"/>
      <c r="U396" s="828"/>
      <c r="V396" s="828"/>
      <c r="W396" s="828"/>
      <c r="X396" s="828"/>
      <c r="Y396" s="828"/>
      <c r="Z396" s="828"/>
      <c r="AA396" s="828"/>
      <c r="AB396" s="828"/>
      <c r="AC396" s="828"/>
      <c r="AD396" s="828"/>
      <c r="AE396" s="828"/>
      <c r="AF396" s="828"/>
      <c r="AG396" s="828"/>
      <c r="AH396" s="828"/>
      <c r="AI396" s="828"/>
      <c r="AJ396" s="828"/>
    </row>
    <row r="397">
      <c r="A397" s="828"/>
      <c r="B397" s="828"/>
      <c r="C397" s="828"/>
      <c r="D397" s="828"/>
      <c r="E397" s="828"/>
      <c r="F397" s="828"/>
      <c r="G397" s="828"/>
      <c r="H397" s="828"/>
      <c r="I397" s="828"/>
      <c r="J397" s="828"/>
      <c r="K397" s="828"/>
      <c r="L397" s="828"/>
      <c r="M397" s="828"/>
      <c r="N397" s="828"/>
      <c r="O397" s="828"/>
      <c r="P397" s="828"/>
      <c r="Q397" s="828"/>
      <c r="R397" s="828"/>
      <c r="S397" s="828"/>
      <c r="T397" s="828"/>
      <c r="U397" s="828"/>
      <c r="V397" s="828"/>
      <c r="W397" s="828"/>
      <c r="X397" s="828"/>
      <c r="Y397" s="828"/>
      <c r="Z397" s="828"/>
      <c r="AA397" s="828"/>
      <c r="AB397" s="828"/>
      <c r="AC397" s="828"/>
      <c r="AD397" s="828"/>
      <c r="AE397" s="828"/>
      <c r="AF397" s="828"/>
      <c r="AG397" s="828"/>
      <c r="AH397" s="828"/>
      <c r="AI397" s="828"/>
      <c r="AJ397" s="828"/>
    </row>
    <row r="398">
      <c r="A398" s="828"/>
      <c r="B398" s="828"/>
      <c r="C398" s="828"/>
      <c r="D398" s="828"/>
      <c r="E398" s="828"/>
      <c r="F398" s="828"/>
      <c r="G398" s="828"/>
      <c r="H398" s="828"/>
      <c r="I398" s="828"/>
      <c r="J398" s="828"/>
      <c r="K398" s="828"/>
      <c r="L398" s="828"/>
      <c r="M398" s="828"/>
      <c r="N398" s="828"/>
      <c r="O398" s="828"/>
      <c r="P398" s="828"/>
      <c r="Q398" s="828"/>
      <c r="R398" s="828"/>
      <c r="S398" s="828"/>
      <c r="T398" s="828"/>
      <c r="U398" s="828"/>
      <c r="V398" s="828"/>
      <c r="W398" s="828"/>
      <c r="X398" s="828"/>
      <c r="Y398" s="828"/>
      <c r="Z398" s="828"/>
      <c r="AA398" s="828"/>
      <c r="AB398" s="828"/>
      <c r="AC398" s="828"/>
      <c r="AD398" s="828"/>
      <c r="AE398" s="828"/>
      <c r="AF398" s="828"/>
      <c r="AG398" s="828"/>
      <c r="AH398" s="828"/>
      <c r="AI398" s="828"/>
      <c r="AJ398" s="828"/>
    </row>
    <row r="399">
      <c r="A399" s="828"/>
      <c r="B399" s="828"/>
      <c r="C399" s="828"/>
      <c r="D399" s="828"/>
      <c r="E399" s="828"/>
      <c r="F399" s="828"/>
      <c r="G399" s="828"/>
      <c r="H399" s="828"/>
      <c r="I399" s="828"/>
      <c r="J399" s="828"/>
      <c r="K399" s="828"/>
      <c r="L399" s="828"/>
      <c r="M399" s="828"/>
      <c r="N399" s="828"/>
      <c r="O399" s="828"/>
      <c r="P399" s="828"/>
      <c r="Q399" s="828"/>
      <c r="R399" s="828"/>
      <c r="S399" s="828"/>
      <c r="T399" s="828"/>
      <c r="U399" s="828"/>
      <c r="V399" s="828"/>
      <c r="W399" s="828"/>
      <c r="X399" s="828"/>
      <c r="Y399" s="828"/>
      <c r="Z399" s="828"/>
      <c r="AA399" s="828"/>
      <c r="AB399" s="828"/>
      <c r="AC399" s="828"/>
      <c r="AD399" s="828"/>
      <c r="AE399" s="828"/>
      <c r="AF399" s="828"/>
      <c r="AG399" s="828"/>
      <c r="AH399" s="828"/>
      <c r="AI399" s="828"/>
      <c r="AJ399" s="828"/>
    </row>
    <row r="400">
      <c r="A400" s="828"/>
      <c r="B400" s="828"/>
      <c r="C400" s="828"/>
      <c r="D400" s="828"/>
      <c r="E400" s="828"/>
      <c r="F400" s="828"/>
      <c r="G400" s="828"/>
      <c r="H400" s="828"/>
      <c r="I400" s="828"/>
      <c r="J400" s="828"/>
      <c r="K400" s="828"/>
      <c r="L400" s="828"/>
      <c r="M400" s="828"/>
      <c r="N400" s="828"/>
      <c r="O400" s="828"/>
      <c r="P400" s="828"/>
      <c r="Q400" s="828"/>
      <c r="R400" s="828"/>
      <c r="S400" s="828"/>
      <c r="T400" s="828"/>
      <c r="U400" s="828"/>
      <c r="V400" s="828"/>
      <c r="W400" s="828"/>
      <c r="X400" s="828"/>
      <c r="Y400" s="828"/>
      <c r="Z400" s="828"/>
      <c r="AA400" s="828"/>
      <c r="AB400" s="828"/>
      <c r="AC400" s="828"/>
      <c r="AD400" s="828"/>
      <c r="AE400" s="828"/>
      <c r="AF400" s="828"/>
      <c r="AG400" s="828"/>
      <c r="AH400" s="828"/>
      <c r="AI400" s="828"/>
      <c r="AJ400" s="828"/>
    </row>
    <row r="401">
      <c r="A401" s="828"/>
      <c r="B401" s="828"/>
      <c r="C401" s="828"/>
      <c r="D401" s="828"/>
      <c r="E401" s="828"/>
      <c r="F401" s="828"/>
      <c r="G401" s="828"/>
      <c r="H401" s="828"/>
      <c r="I401" s="828"/>
      <c r="J401" s="828"/>
      <c r="K401" s="828"/>
      <c r="L401" s="828"/>
      <c r="M401" s="828"/>
      <c r="N401" s="828"/>
      <c r="O401" s="828"/>
      <c r="P401" s="828"/>
      <c r="Q401" s="828"/>
      <c r="R401" s="828"/>
      <c r="S401" s="828"/>
      <c r="T401" s="828"/>
      <c r="U401" s="828"/>
      <c r="V401" s="828"/>
      <c r="W401" s="828"/>
      <c r="X401" s="828"/>
      <c r="Y401" s="828"/>
      <c r="Z401" s="828"/>
      <c r="AA401" s="828"/>
      <c r="AB401" s="828"/>
      <c r="AC401" s="828"/>
      <c r="AD401" s="828"/>
      <c r="AE401" s="828"/>
      <c r="AF401" s="828"/>
      <c r="AG401" s="828"/>
      <c r="AH401" s="828"/>
      <c r="AI401" s="828"/>
      <c r="AJ401" s="828"/>
    </row>
    <row r="402">
      <c r="A402" s="828"/>
      <c r="B402" s="828"/>
      <c r="C402" s="828"/>
      <c r="D402" s="828"/>
      <c r="E402" s="828"/>
      <c r="F402" s="828"/>
      <c r="G402" s="828"/>
      <c r="H402" s="828"/>
      <c r="I402" s="828"/>
      <c r="J402" s="828"/>
      <c r="K402" s="828"/>
      <c r="L402" s="828"/>
      <c r="M402" s="828"/>
      <c r="N402" s="828"/>
      <c r="O402" s="828"/>
      <c r="P402" s="828"/>
      <c r="Q402" s="828"/>
      <c r="R402" s="828"/>
      <c r="S402" s="828"/>
      <c r="T402" s="828"/>
      <c r="U402" s="828"/>
      <c r="V402" s="828"/>
      <c r="W402" s="828"/>
      <c r="X402" s="828"/>
      <c r="Y402" s="828"/>
      <c r="Z402" s="828"/>
      <c r="AA402" s="828"/>
      <c r="AB402" s="828"/>
      <c r="AC402" s="828"/>
      <c r="AD402" s="828"/>
      <c r="AE402" s="828"/>
      <c r="AF402" s="828"/>
      <c r="AG402" s="828"/>
      <c r="AH402" s="828"/>
      <c r="AI402" s="828"/>
      <c r="AJ402" s="828"/>
    </row>
    <row r="403">
      <c r="A403" s="828"/>
      <c r="B403" s="828"/>
      <c r="C403" s="828"/>
      <c r="D403" s="828"/>
      <c r="E403" s="828"/>
      <c r="F403" s="828"/>
      <c r="G403" s="828"/>
      <c r="H403" s="828"/>
      <c r="I403" s="828"/>
      <c r="J403" s="828"/>
      <c r="K403" s="828"/>
      <c r="L403" s="828"/>
      <c r="M403" s="828"/>
      <c r="N403" s="828"/>
      <c r="O403" s="828"/>
      <c r="P403" s="828"/>
      <c r="Q403" s="828"/>
      <c r="R403" s="828"/>
      <c r="S403" s="828"/>
      <c r="T403" s="828"/>
      <c r="U403" s="828"/>
      <c r="V403" s="828"/>
      <c r="W403" s="828"/>
      <c r="X403" s="828"/>
      <c r="Y403" s="828"/>
      <c r="Z403" s="828"/>
      <c r="AA403" s="828"/>
      <c r="AB403" s="828"/>
      <c r="AC403" s="828"/>
      <c r="AD403" s="828"/>
      <c r="AE403" s="828"/>
      <c r="AF403" s="828"/>
      <c r="AG403" s="828"/>
      <c r="AH403" s="828"/>
      <c r="AI403" s="828"/>
      <c r="AJ403" s="828"/>
    </row>
    <row r="404">
      <c r="A404" s="828"/>
      <c r="B404" s="828"/>
      <c r="C404" s="828"/>
      <c r="D404" s="828"/>
      <c r="E404" s="828"/>
      <c r="F404" s="828"/>
      <c r="G404" s="828"/>
      <c r="H404" s="828"/>
      <c r="I404" s="828"/>
      <c r="J404" s="828"/>
      <c r="K404" s="828"/>
      <c r="L404" s="828"/>
      <c r="M404" s="828"/>
      <c r="N404" s="828"/>
      <c r="O404" s="828"/>
      <c r="P404" s="828"/>
      <c r="Q404" s="828"/>
      <c r="R404" s="828"/>
      <c r="S404" s="828"/>
      <c r="T404" s="828"/>
      <c r="U404" s="828"/>
      <c r="V404" s="828"/>
      <c r="W404" s="828"/>
      <c r="X404" s="828"/>
      <c r="Y404" s="828"/>
      <c r="Z404" s="828"/>
      <c r="AA404" s="828"/>
      <c r="AB404" s="828"/>
      <c r="AC404" s="828"/>
      <c r="AD404" s="828"/>
      <c r="AE404" s="828"/>
      <c r="AF404" s="828"/>
      <c r="AG404" s="828"/>
      <c r="AH404" s="828"/>
      <c r="AI404" s="828"/>
      <c r="AJ404" s="828"/>
    </row>
    <row r="405">
      <c r="A405" s="828"/>
      <c r="B405" s="828"/>
      <c r="C405" s="828"/>
      <c r="D405" s="828"/>
      <c r="E405" s="828"/>
      <c r="F405" s="828"/>
      <c r="G405" s="828"/>
      <c r="H405" s="828"/>
      <c r="I405" s="828"/>
      <c r="J405" s="828"/>
      <c r="K405" s="828"/>
      <c r="L405" s="828"/>
      <c r="M405" s="828"/>
      <c r="N405" s="828"/>
      <c r="O405" s="828"/>
      <c r="P405" s="828"/>
      <c r="Q405" s="828"/>
      <c r="R405" s="828"/>
      <c r="S405" s="828"/>
      <c r="T405" s="828"/>
      <c r="U405" s="828"/>
      <c r="V405" s="828"/>
      <c r="W405" s="828"/>
      <c r="X405" s="828"/>
      <c r="Y405" s="828"/>
      <c r="Z405" s="828"/>
      <c r="AA405" s="828"/>
      <c r="AB405" s="828"/>
      <c r="AC405" s="828"/>
      <c r="AD405" s="828"/>
      <c r="AE405" s="828"/>
      <c r="AF405" s="828"/>
      <c r="AG405" s="828"/>
      <c r="AH405" s="828"/>
      <c r="AI405" s="828"/>
      <c r="AJ405" s="828"/>
    </row>
    <row r="406">
      <c r="A406" s="828"/>
      <c r="B406" s="828"/>
      <c r="C406" s="828"/>
      <c r="D406" s="828"/>
      <c r="E406" s="828"/>
      <c r="F406" s="828"/>
      <c r="G406" s="828"/>
      <c r="H406" s="828"/>
      <c r="I406" s="828"/>
      <c r="J406" s="828"/>
      <c r="K406" s="828"/>
      <c r="L406" s="828"/>
      <c r="M406" s="828"/>
      <c r="N406" s="828"/>
      <c r="O406" s="828"/>
      <c r="P406" s="828"/>
      <c r="Q406" s="828"/>
      <c r="R406" s="828"/>
      <c r="S406" s="828"/>
      <c r="T406" s="828"/>
      <c r="U406" s="828"/>
      <c r="V406" s="828"/>
      <c r="W406" s="828"/>
      <c r="X406" s="828"/>
      <c r="Y406" s="828"/>
      <c r="Z406" s="828"/>
      <c r="AA406" s="828"/>
      <c r="AB406" s="828"/>
      <c r="AC406" s="828"/>
      <c r="AD406" s="828"/>
      <c r="AE406" s="828"/>
      <c r="AF406" s="828"/>
      <c r="AG406" s="828"/>
      <c r="AH406" s="828"/>
      <c r="AI406" s="828"/>
      <c r="AJ406" s="828"/>
    </row>
    <row r="407">
      <c r="A407" s="828"/>
      <c r="B407" s="828"/>
      <c r="C407" s="828"/>
      <c r="D407" s="828"/>
      <c r="E407" s="828"/>
      <c r="F407" s="828"/>
      <c r="G407" s="828"/>
      <c r="H407" s="828"/>
      <c r="I407" s="828"/>
      <c r="J407" s="828"/>
      <c r="K407" s="828"/>
      <c r="L407" s="828"/>
      <c r="M407" s="828"/>
      <c r="N407" s="828"/>
      <c r="O407" s="828"/>
      <c r="P407" s="828"/>
      <c r="Q407" s="828"/>
      <c r="R407" s="828"/>
      <c r="S407" s="828"/>
      <c r="T407" s="828"/>
      <c r="U407" s="828"/>
      <c r="V407" s="828"/>
      <c r="W407" s="828"/>
      <c r="X407" s="828"/>
      <c r="Y407" s="828"/>
      <c r="Z407" s="828"/>
      <c r="AA407" s="828"/>
      <c r="AB407" s="828"/>
      <c r="AC407" s="828"/>
      <c r="AD407" s="828"/>
      <c r="AE407" s="828"/>
      <c r="AF407" s="828"/>
      <c r="AG407" s="828"/>
      <c r="AH407" s="828"/>
      <c r="AI407" s="828"/>
      <c r="AJ407" s="828"/>
    </row>
    <row r="408">
      <c r="A408" s="828"/>
      <c r="B408" s="828"/>
      <c r="C408" s="828"/>
      <c r="D408" s="828"/>
      <c r="E408" s="828"/>
      <c r="F408" s="828"/>
      <c r="G408" s="828"/>
      <c r="H408" s="828"/>
      <c r="I408" s="828"/>
      <c r="J408" s="828"/>
      <c r="K408" s="828"/>
      <c r="L408" s="828"/>
      <c r="M408" s="828"/>
      <c r="N408" s="828"/>
      <c r="O408" s="828"/>
      <c r="P408" s="828"/>
      <c r="Q408" s="828"/>
      <c r="R408" s="828"/>
      <c r="S408" s="828"/>
      <c r="T408" s="828"/>
      <c r="U408" s="828"/>
      <c r="V408" s="828"/>
      <c r="W408" s="828"/>
      <c r="X408" s="828"/>
      <c r="Y408" s="828"/>
      <c r="Z408" s="828"/>
      <c r="AA408" s="828"/>
      <c r="AB408" s="828"/>
      <c r="AC408" s="828"/>
      <c r="AD408" s="828"/>
      <c r="AE408" s="828"/>
      <c r="AF408" s="828"/>
      <c r="AG408" s="828"/>
      <c r="AH408" s="828"/>
      <c r="AI408" s="828"/>
      <c r="AJ408" s="828"/>
    </row>
    <row r="409">
      <c r="A409" s="828"/>
      <c r="B409" s="828"/>
      <c r="C409" s="828"/>
      <c r="D409" s="828"/>
      <c r="E409" s="828"/>
      <c r="F409" s="828"/>
      <c r="G409" s="828"/>
      <c r="H409" s="828"/>
      <c r="I409" s="828"/>
      <c r="J409" s="828"/>
      <c r="K409" s="828"/>
      <c r="L409" s="828"/>
      <c r="M409" s="828"/>
      <c r="N409" s="828"/>
      <c r="O409" s="828"/>
      <c r="P409" s="828"/>
      <c r="Q409" s="828"/>
      <c r="R409" s="828"/>
      <c r="S409" s="828"/>
      <c r="T409" s="828"/>
      <c r="U409" s="828"/>
      <c r="V409" s="828"/>
      <c r="W409" s="828"/>
      <c r="X409" s="828"/>
      <c r="Y409" s="828"/>
      <c r="Z409" s="828"/>
      <c r="AA409" s="828"/>
      <c r="AB409" s="828"/>
      <c r="AC409" s="828"/>
      <c r="AD409" s="828"/>
      <c r="AE409" s="828"/>
      <c r="AF409" s="828"/>
      <c r="AG409" s="828"/>
      <c r="AH409" s="828"/>
      <c r="AI409" s="828"/>
      <c r="AJ409" s="828"/>
    </row>
    <row r="410">
      <c r="A410" s="828"/>
      <c r="B410" s="828"/>
      <c r="C410" s="828"/>
      <c r="D410" s="828"/>
      <c r="E410" s="828"/>
      <c r="F410" s="828"/>
      <c r="G410" s="828"/>
      <c r="H410" s="828"/>
      <c r="I410" s="828"/>
      <c r="J410" s="828"/>
      <c r="K410" s="828"/>
      <c r="L410" s="828"/>
      <c r="M410" s="828"/>
      <c r="N410" s="828"/>
      <c r="O410" s="828"/>
      <c r="P410" s="828"/>
      <c r="Q410" s="828"/>
      <c r="R410" s="828"/>
      <c r="S410" s="828"/>
      <c r="T410" s="828"/>
      <c r="U410" s="828"/>
      <c r="V410" s="828"/>
      <c r="W410" s="828"/>
      <c r="X410" s="828"/>
      <c r="Y410" s="828"/>
      <c r="Z410" s="828"/>
      <c r="AA410" s="828"/>
      <c r="AB410" s="828"/>
      <c r="AC410" s="828"/>
      <c r="AD410" s="828"/>
      <c r="AE410" s="828"/>
      <c r="AF410" s="828"/>
      <c r="AG410" s="828"/>
      <c r="AH410" s="828"/>
      <c r="AI410" s="828"/>
      <c r="AJ410" s="828"/>
    </row>
    <row r="411">
      <c r="A411" s="828"/>
      <c r="B411" s="828"/>
      <c r="C411" s="828"/>
      <c r="D411" s="828"/>
      <c r="E411" s="828"/>
      <c r="F411" s="828"/>
      <c r="G411" s="828"/>
      <c r="H411" s="828"/>
      <c r="I411" s="828"/>
      <c r="J411" s="828"/>
      <c r="K411" s="828"/>
      <c r="L411" s="828"/>
      <c r="M411" s="828"/>
      <c r="N411" s="828"/>
      <c r="O411" s="828"/>
      <c r="P411" s="828"/>
      <c r="Q411" s="828"/>
      <c r="R411" s="828"/>
      <c r="S411" s="828"/>
      <c r="T411" s="828"/>
      <c r="U411" s="828"/>
      <c r="V411" s="828"/>
      <c r="W411" s="828"/>
      <c r="X411" s="828"/>
      <c r="Y411" s="828"/>
      <c r="Z411" s="828"/>
      <c r="AA411" s="828"/>
      <c r="AB411" s="828"/>
      <c r="AC411" s="828"/>
      <c r="AD411" s="828"/>
      <c r="AE411" s="828"/>
      <c r="AF411" s="828"/>
      <c r="AG411" s="828"/>
      <c r="AH411" s="828"/>
      <c r="AI411" s="828"/>
      <c r="AJ411" s="828"/>
    </row>
    <row r="412">
      <c r="A412" s="828"/>
      <c r="B412" s="828"/>
      <c r="C412" s="828"/>
      <c r="D412" s="828"/>
      <c r="E412" s="828"/>
      <c r="F412" s="828"/>
      <c r="G412" s="828"/>
      <c r="H412" s="828"/>
      <c r="I412" s="828"/>
      <c r="J412" s="828"/>
      <c r="K412" s="828"/>
      <c r="L412" s="828"/>
      <c r="M412" s="828"/>
      <c r="N412" s="828"/>
      <c r="O412" s="828"/>
      <c r="P412" s="828"/>
      <c r="Q412" s="828"/>
      <c r="R412" s="828"/>
      <c r="S412" s="828"/>
      <c r="T412" s="828"/>
      <c r="U412" s="828"/>
      <c r="V412" s="828"/>
      <c r="W412" s="828"/>
      <c r="X412" s="828"/>
      <c r="Y412" s="828"/>
      <c r="Z412" s="828"/>
      <c r="AA412" s="828"/>
      <c r="AB412" s="828"/>
      <c r="AC412" s="828"/>
      <c r="AD412" s="828"/>
      <c r="AE412" s="828"/>
      <c r="AF412" s="828"/>
      <c r="AG412" s="828"/>
      <c r="AH412" s="828"/>
      <c r="AI412" s="828"/>
      <c r="AJ412" s="828"/>
    </row>
    <row r="413">
      <c r="A413" s="828"/>
      <c r="B413" s="828"/>
      <c r="C413" s="828"/>
      <c r="D413" s="828"/>
      <c r="E413" s="828"/>
      <c r="F413" s="828"/>
      <c r="G413" s="828"/>
      <c r="H413" s="828"/>
      <c r="I413" s="828"/>
      <c r="J413" s="828"/>
      <c r="K413" s="828"/>
      <c r="L413" s="828"/>
      <c r="M413" s="828"/>
      <c r="N413" s="828"/>
      <c r="O413" s="828"/>
      <c r="P413" s="828"/>
      <c r="Q413" s="828"/>
      <c r="R413" s="828"/>
      <c r="S413" s="828"/>
      <c r="T413" s="828"/>
      <c r="U413" s="828"/>
      <c r="V413" s="828"/>
      <c r="W413" s="828"/>
      <c r="X413" s="828"/>
      <c r="Y413" s="828"/>
      <c r="Z413" s="828"/>
      <c r="AA413" s="828"/>
      <c r="AB413" s="828"/>
      <c r="AC413" s="828"/>
      <c r="AD413" s="828"/>
      <c r="AE413" s="828"/>
      <c r="AF413" s="828"/>
      <c r="AG413" s="828"/>
      <c r="AH413" s="828"/>
      <c r="AI413" s="828"/>
      <c r="AJ413" s="828"/>
    </row>
    <row r="414">
      <c r="A414" s="828"/>
      <c r="B414" s="828"/>
      <c r="C414" s="828"/>
      <c r="D414" s="828"/>
      <c r="E414" s="828"/>
      <c r="F414" s="828"/>
      <c r="G414" s="828"/>
      <c r="H414" s="828"/>
      <c r="I414" s="828"/>
      <c r="J414" s="828"/>
      <c r="K414" s="828"/>
      <c r="L414" s="828"/>
      <c r="M414" s="828"/>
      <c r="N414" s="828"/>
      <c r="O414" s="828"/>
      <c r="P414" s="828"/>
      <c r="Q414" s="828"/>
      <c r="R414" s="828"/>
      <c r="S414" s="828"/>
      <c r="T414" s="828"/>
      <c r="U414" s="828"/>
      <c r="V414" s="828"/>
      <c r="W414" s="828"/>
      <c r="X414" s="828"/>
      <c r="Y414" s="828"/>
      <c r="Z414" s="828"/>
      <c r="AA414" s="828"/>
      <c r="AB414" s="828"/>
      <c r="AC414" s="828"/>
      <c r="AD414" s="828"/>
      <c r="AE414" s="828"/>
      <c r="AF414" s="828"/>
      <c r="AG414" s="828"/>
      <c r="AH414" s="828"/>
      <c r="AI414" s="828"/>
      <c r="AJ414" s="828"/>
    </row>
    <row r="415">
      <c r="A415" s="828"/>
      <c r="B415" s="828"/>
      <c r="C415" s="828"/>
      <c r="D415" s="828"/>
      <c r="E415" s="828"/>
      <c r="F415" s="828"/>
      <c r="G415" s="828"/>
      <c r="H415" s="828"/>
      <c r="I415" s="828"/>
      <c r="J415" s="828"/>
      <c r="K415" s="828"/>
      <c r="L415" s="828"/>
      <c r="M415" s="828"/>
      <c r="N415" s="828"/>
      <c r="O415" s="828"/>
      <c r="P415" s="828"/>
      <c r="Q415" s="828"/>
      <c r="R415" s="828"/>
      <c r="S415" s="828"/>
      <c r="T415" s="828"/>
      <c r="U415" s="828"/>
      <c r="V415" s="828"/>
      <c r="W415" s="828"/>
      <c r="X415" s="828"/>
      <c r="Y415" s="828"/>
      <c r="Z415" s="828"/>
      <c r="AA415" s="828"/>
      <c r="AB415" s="828"/>
      <c r="AC415" s="828"/>
      <c r="AD415" s="828"/>
      <c r="AE415" s="828"/>
      <c r="AF415" s="828"/>
      <c r="AG415" s="828"/>
      <c r="AH415" s="828"/>
      <c r="AI415" s="828"/>
      <c r="AJ415" s="828"/>
    </row>
    <row r="416">
      <c r="A416" s="828"/>
      <c r="B416" s="828"/>
      <c r="C416" s="828"/>
      <c r="D416" s="828"/>
      <c r="E416" s="828"/>
      <c r="F416" s="828"/>
      <c r="G416" s="828"/>
      <c r="H416" s="828"/>
      <c r="I416" s="828"/>
      <c r="J416" s="828"/>
      <c r="K416" s="828"/>
      <c r="L416" s="828"/>
      <c r="M416" s="828"/>
      <c r="N416" s="828"/>
      <c r="O416" s="828"/>
      <c r="P416" s="828"/>
      <c r="Q416" s="828"/>
      <c r="R416" s="828"/>
      <c r="S416" s="828"/>
      <c r="T416" s="828"/>
      <c r="U416" s="828"/>
      <c r="V416" s="828"/>
      <c r="W416" s="828"/>
      <c r="X416" s="828"/>
      <c r="Y416" s="828"/>
      <c r="Z416" s="828"/>
      <c r="AA416" s="828"/>
      <c r="AB416" s="828"/>
      <c r="AC416" s="828"/>
      <c r="AD416" s="828"/>
      <c r="AE416" s="828"/>
      <c r="AF416" s="828"/>
      <c r="AG416" s="828"/>
      <c r="AH416" s="828"/>
      <c r="AI416" s="828"/>
      <c r="AJ416" s="828"/>
    </row>
    <row r="417">
      <c r="A417" s="828"/>
      <c r="B417" s="828"/>
      <c r="C417" s="828"/>
      <c r="D417" s="828"/>
      <c r="E417" s="828"/>
      <c r="F417" s="828"/>
      <c r="G417" s="828"/>
      <c r="H417" s="828"/>
      <c r="I417" s="828"/>
      <c r="J417" s="828"/>
      <c r="K417" s="828"/>
      <c r="L417" s="828"/>
      <c r="M417" s="828"/>
      <c r="N417" s="828"/>
      <c r="O417" s="828"/>
      <c r="P417" s="828"/>
      <c r="Q417" s="828"/>
      <c r="R417" s="828"/>
      <c r="S417" s="828"/>
      <c r="T417" s="828"/>
      <c r="U417" s="828"/>
      <c r="V417" s="828"/>
      <c r="W417" s="828"/>
      <c r="X417" s="828"/>
      <c r="Y417" s="828"/>
      <c r="Z417" s="828"/>
      <c r="AA417" s="828"/>
      <c r="AB417" s="828"/>
      <c r="AC417" s="828"/>
      <c r="AD417" s="828"/>
      <c r="AE417" s="828"/>
      <c r="AF417" s="828"/>
      <c r="AG417" s="828"/>
      <c r="AH417" s="828"/>
      <c r="AI417" s="828"/>
      <c r="AJ417" s="828"/>
    </row>
    <row r="418">
      <c r="A418" s="828"/>
      <c r="B418" s="828"/>
      <c r="C418" s="828"/>
      <c r="D418" s="828"/>
      <c r="E418" s="828"/>
      <c r="F418" s="828"/>
      <c r="G418" s="828"/>
      <c r="H418" s="828"/>
      <c r="I418" s="828"/>
      <c r="J418" s="828"/>
      <c r="K418" s="828"/>
      <c r="L418" s="828"/>
      <c r="M418" s="828"/>
      <c r="N418" s="828"/>
      <c r="O418" s="828"/>
      <c r="P418" s="828"/>
      <c r="Q418" s="828"/>
      <c r="R418" s="828"/>
      <c r="S418" s="828"/>
      <c r="T418" s="828"/>
      <c r="U418" s="828"/>
      <c r="V418" s="828"/>
      <c r="W418" s="828"/>
      <c r="X418" s="828"/>
      <c r="Y418" s="828"/>
      <c r="Z418" s="828"/>
      <c r="AA418" s="828"/>
      <c r="AB418" s="828"/>
      <c r="AC418" s="828"/>
      <c r="AD418" s="828"/>
      <c r="AE418" s="828"/>
      <c r="AF418" s="828"/>
      <c r="AG418" s="828"/>
      <c r="AH418" s="828"/>
      <c r="AI418" s="828"/>
      <c r="AJ418" s="828"/>
    </row>
    <row r="419">
      <c r="A419" s="828"/>
      <c r="B419" s="828"/>
      <c r="C419" s="828"/>
      <c r="D419" s="828"/>
      <c r="E419" s="828"/>
      <c r="F419" s="828"/>
      <c r="G419" s="828"/>
      <c r="H419" s="828"/>
      <c r="I419" s="828"/>
      <c r="J419" s="828"/>
      <c r="K419" s="828"/>
      <c r="L419" s="828"/>
      <c r="M419" s="828"/>
      <c r="N419" s="828"/>
      <c r="O419" s="828"/>
      <c r="P419" s="828"/>
      <c r="Q419" s="828"/>
      <c r="R419" s="828"/>
      <c r="S419" s="828"/>
      <c r="T419" s="828"/>
      <c r="U419" s="828"/>
      <c r="V419" s="828"/>
      <c r="W419" s="828"/>
      <c r="X419" s="828"/>
      <c r="Y419" s="828"/>
      <c r="Z419" s="828"/>
      <c r="AA419" s="828"/>
      <c r="AB419" s="828"/>
      <c r="AC419" s="828"/>
      <c r="AD419" s="828"/>
      <c r="AE419" s="828"/>
      <c r="AF419" s="828"/>
      <c r="AG419" s="828"/>
      <c r="AH419" s="828"/>
      <c r="AI419" s="828"/>
      <c r="AJ419" s="828"/>
    </row>
    <row r="420">
      <c r="A420" s="828"/>
      <c r="B420" s="828"/>
      <c r="C420" s="828"/>
      <c r="D420" s="828"/>
      <c r="E420" s="828"/>
      <c r="F420" s="828"/>
      <c r="G420" s="828"/>
      <c r="H420" s="828"/>
      <c r="I420" s="828"/>
      <c r="J420" s="828"/>
      <c r="K420" s="828"/>
      <c r="L420" s="828"/>
      <c r="M420" s="828"/>
      <c r="N420" s="828"/>
      <c r="O420" s="828"/>
      <c r="P420" s="828"/>
      <c r="Q420" s="828"/>
      <c r="R420" s="828"/>
      <c r="S420" s="828"/>
      <c r="T420" s="828"/>
      <c r="U420" s="828"/>
      <c r="V420" s="828"/>
      <c r="W420" s="828"/>
      <c r="X420" s="828"/>
      <c r="Y420" s="828"/>
      <c r="Z420" s="828"/>
      <c r="AA420" s="828"/>
      <c r="AB420" s="828"/>
      <c r="AC420" s="828"/>
      <c r="AD420" s="828"/>
      <c r="AE420" s="828"/>
      <c r="AF420" s="828"/>
      <c r="AG420" s="828"/>
      <c r="AH420" s="828"/>
      <c r="AI420" s="828"/>
      <c r="AJ420" s="828"/>
    </row>
    <row r="421">
      <c r="A421" s="828"/>
      <c r="B421" s="828"/>
      <c r="C421" s="828"/>
      <c r="D421" s="828"/>
      <c r="E421" s="828"/>
      <c r="F421" s="828"/>
      <c r="G421" s="828"/>
      <c r="H421" s="828"/>
      <c r="I421" s="828"/>
      <c r="J421" s="828"/>
      <c r="K421" s="828"/>
      <c r="L421" s="828"/>
      <c r="M421" s="828"/>
      <c r="N421" s="828"/>
      <c r="O421" s="828"/>
      <c r="P421" s="828"/>
      <c r="Q421" s="828"/>
      <c r="R421" s="828"/>
      <c r="S421" s="828"/>
      <c r="T421" s="828"/>
      <c r="U421" s="828"/>
      <c r="V421" s="828"/>
      <c r="W421" s="828"/>
      <c r="X421" s="828"/>
      <c r="Y421" s="828"/>
      <c r="Z421" s="828"/>
      <c r="AA421" s="828"/>
      <c r="AB421" s="828"/>
      <c r="AC421" s="828"/>
      <c r="AD421" s="828"/>
      <c r="AE421" s="828"/>
      <c r="AF421" s="828"/>
      <c r="AG421" s="828"/>
      <c r="AH421" s="828"/>
      <c r="AI421" s="828"/>
      <c r="AJ421" s="828"/>
    </row>
    <row r="422">
      <c r="A422" s="828"/>
      <c r="B422" s="828"/>
      <c r="C422" s="828"/>
      <c r="D422" s="828"/>
      <c r="E422" s="828"/>
      <c r="F422" s="828"/>
      <c r="G422" s="828"/>
      <c r="H422" s="828"/>
      <c r="I422" s="828"/>
      <c r="J422" s="828"/>
      <c r="K422" s="828"/>
      <c r="L422" s="828"/>
      <c r="M422" s="828"/>
      <c r="N422" s="828"/>
      <c r="O422" s="828"/>
      <c r="P422" s="828"/>
      <c r="Q422" s="828"/>
      <c r="R422" s="828"/>
      <c r="S422" s="828"/>
      <c r="T422" s="828"/>
      <c r="U422" s="828"/>
      <c r="V422" s="828"/>
      <c r="W422" s="828"/>
      <c r="X422" s="828"/>
      <c r="Y422" s="828"/>
      <c r="Z422" s="828"/>
      <c r="AA422" s="828"/>
      <c r="AB422" s="828"/>
      <c r="AC422" s="828"/>
      <c r="AD422" s="828"/>
      <c r="AE422" s="828"/>
      <c r="AF422" s="828"/>
      <c r="AG422" s="828"/>
      <c r="AH422" s="828"/>
      <c r="AI422" s="828"/>
      <c r="AJ422" s="828"/>
    </row>
    <row r="423">
      <c r="A423" s="828"/>
      <c r="B423" s="828"/>
      <c r="C423" s="828"/>
      <c r="D423" s="828"/>
      <c r="E423" s="828"/>
      <c r="F423" s="828"/>
      <c r="G423" s="828"/>
      <c r="H423" s="828"/>
      <c r="I423" s="828"/>
      <c r="J423" s="828"/>
      <c r="K423" s="828"/>
      <c r="L423" s="828"/>
      <c r="M423" s="828"/>
      <c r="N423" s="828"/>
      <c r="O423" s="828"/>
      <c r="P423" s="828"/>
      <c r="Q423" s="828"/>
      <c r="R423" s="828"/>
      <c r="S423" s="828"/>
      <c r="T423" s="828"/>
      <c r="U423" s="828"/>
      <c r="V423" s="828"/>
      <c r="W423" s="828"/>
      <c r="X423" s="828"/>
      <c r="Y423" s="828"/>
      <c r="Z423" s="828"/>
      <c r="AA423" s="828"/>
      <c r="AB423" s="828"/>
      <c r="AC423" s="828"/>
      <c r="AD423" s="828"/>
      <c r="AE423" s="828"/>
      <c r="AF423" s="828"/>
      <c r="AG423" s="828"/>
      <c r="AH423" s="828"/>
      <c r="AI423" s="828"/>
      <c r="AJ423" s="828"/>
    </row>
    <row r="424">
      <c r="A424" s="828"/>
      <c r="B424" s="828"/>
      <c r="C424" s="828"/>
      <c r="D424" s="828"/>
      <c r="E424" s="828"/>
      <c r="F424" s="828"/>
      <c r="G424" s="828"/>
      <c r="H424" s="828"/>
      <c r="I424" s="828"/>
      <c r="J424" s="828"/>
      <c r="K424" s="828"/>
      <c r="L424" s="828"/>
      <c r="M424" s="828"/>
      <c r="N424" s="828"/>
      <c r="O424" s="828"/>
      <c r="P424" s="828"/>
      <c r="Q424" s="828"/>
      <c r="R424" s="828"/>
      <c r="S424" s="828"/>
      <c r="T424" s="828"/>
      <c r="U424" s="828"/>
      <c r="V424" s="828"/>
      <c r="W424" s="828"/>
      <c r="X424" s="828"/>
      <c r="Y424" s="828"/>
      <c r="Z424" s="828"/>
      <c r="AA424" s="828"/>
      <c r="AB424" s="828"/>
      <c r="AC424" s="828"/>
      <c r="AD424" s="828"/>
      <c r="AE424" s="828"/>
      <c r="AF424" s="828"/>
      <c r="AG424" s="828"/>
      <c r="AH424" s="828"/>
      <c r="AI424" s="828"/>
      <c r="AJ424" s="828"/>
    </row>
    <row r="425">
      <c r="A425" s="828"/>
      <c r="B425" s="828"/>
      <c r="C425" s="828"/>
      <c r="D425" s="828"/>
      <c r="E425" s="828"/>
      <c r="F425" s="828"/>
      <c r="G425" s="828"/>
      <c r="H425" s="828"/>
      <c r="I425" s="828"/>
      <c r="J425" s="828"/>
      <c r="K425" s="828"/>
      <c r="L425" s="828"/>
      <c r="M425" s="828"/>
      <c r="N425" s="828"/>
      <c r="O425" s="828"/>
      <c r="P425" s="828"/>
      <c r="Q425" s="828"/>
      <c r="R425" s="828"/>
      <c r="S425" s="828"/>
      <c r="T425" s="828"/>
      <c r="U425" s="828"/>
      <c r="V425" s="828"/>
      <c r="W425" s="828"/>
      <c r="X425" s="828"/>
      <c r="Y425" s="828"/>
      <c r="Z425" s="828"/>
      <c r="AA425" s="828"/>
      <c r="AB425" s="828"/>
      <c r="AC425" s="828"/>
      <c r="AD425" s="828"/>
      <c r="AE425" s="828"/>
      <c r="AF425" s="828"/>
      <c r="AG425" s="828"/>
      <c r="AH425" s="828"/>
      <c r="AI425" s="828"/>
      <c r="AJ425" s="828"/>
    </row>
    <row r="426">
      <c r="A426" s="828"/>
      <c r="B426" s="828"/>
      <c r="C426" s="828"/>
      <c r="D426" s="828"/>
      <c r="E426" s="828"/>
      <c r="F426" s="828"/>
      <c r="G426" s="828"/>
      <c r="H426" s="828"/>
      <c r="I426" s="828"/>
      <c r="J426" s="828"/>
      <c r="K426" s="828"/>
      <c r="L426" s="828"/>
      <c r="M426" s="828"/>
      <c r="N426" s="828"/>
      <c r="O426" s="828"/>
      <c r="P426" s="828"/>
      <c r="Q426" s="828"/>
      <c r="R426" s="828"/>
      <c r="S426" s="828"/>
      <c r="T426" s="828"/>
      <c r="U426" s="828"/>
      <c r="V426" s="828"/>
      <c r="W426" s="828"/>
      <c r="X426" s="828"/>
      <c r="Y426" s="828"/>
      <c r="Z426" s="828"/>
      <c r="AA426" s="828"/>
      <c r="AB426" s="828"/>
      <c r="AC426" s="828"/>
      <c r="AD426" s="828"/>
      <c r="AE426" s="828"/>
      <c r="AF426" s="828"/>
      <c r="AG426" s="828"/>
      <c r="AH426" s="828"/>
      <c r="AI426" s="828"/>
      <c r="AJ426" s="828"/>
    </row>
    <row r="427">
      <c r="A427" s="828"/>
      <c r="B427" s="828"/>
      <c r="C427" s="828"/>
      <c r="D427" s="828"/>
      <c r="E427" s="828"/>
      <c r="F427" s="828"/>
      <c r="G427" s="828"/>
      <c r="H427" s="828"/>
      <c r="I427" s="828"/>
      <c r="J427" s="828"/>
      <c r="K427" s="828"/>
      <c r="L427" s="828"/>
      <c r="M427" s="828"/>
      <c r="N427" s="828"/>
      <c r="O427" s="828"/>
      <c r="P427" s="828"/>
      <c r="Q427" s="828"/>
      <c r="R427" s="828"/>
      <c r="S427" s="828"/>
      <c r="T427" s="828"/>
      <c r="U427" s="828"/>
      <c r="V427" s="828"/>
      <c r="W427" s="828"/>
      <c r="X427" s="828"/>
      <c r="Y427" s="828"/>
      <c r="Z427" s="828"/>
      <c r="AA427" s="828"/>
      <c r="AB427" s="828"/>
      <c r="AC427" s="828"/>
      <c r="AD427" s="828"/>
      <c r="AE427" s="828"/>
      <c r="AF427" s="828"/>
      <c r="AG427" s="828"/>
      <c r="AH427" s="828"/>
      <c r="AI427" s="828"/>
      <c r="AJ427" s="828"/>
    </row>
    <row r="428">
      <c r="A428" s="828"/>
      <c r="B428" s="828"/>
      <c r="C428" s="828"/>
      <c r="D428" s="828"/>
      <c r="E428" s="828"/>
      <c r="F428" s="828"/>
      <c r="G428" s="828"/>
      <c r="H428" s="828"/>
      <c r="I428" s="828"/>
      <c r="J428" s="828"/>
      <c r="K428" s="828"/>
      <c r="L428" s="828"/>
      <c r="M428" s="828"/>
      <c r="N428" s="828"/>
      <c r="O428" s="828"/>
      <c r="P428" s="828"/>
      <c r="Q428" s="828"/>
      <c r="R428" s="828"/>
      <c r="S428" s="828"/>
      <c r="T428" s="828"/>
      <c r="U428" s="828"/>
      <c r="V428" s="828"/>
      <c r="W428" s="828"/>
      <c r="X428" s="828"/>
      <c r="Y428" s="828"/>
      <c r="Z428" s="828"/>
      <c r="AA428" s="828"/>
      <c r="AB428" s="828"/>
      <c r="AC428" s="828"/>
      <c r="AD428" s="828"/>
      <c r="AE428" s="828"/>
      <c r="AF428" s="828"/>
      <c r="AG428" s="828"/>
      <c r="AH428" s="828"/>
      <c r="AI428" s="828"/>
      <c r="AJ428" s="828"/>
    </row>
    <row r="429">
      <c r="A429" s="828"/>
      <c r="B429" s="828"/>
      <c r="C429" s="828"/>
      <c r="D429" s="828"/>
      <c r="E429" s="828"/>
      <c r="F429" s="828"/>
      <c r="G429" s="828"/>
      <c r="H429" s="828"/>
      <c r="I429" s="828"/>
      <c r="J429" s="828"/>
      <c r="K429" s="828"/>
      <c r="L429" s="828"/>
      <c r="M429" s="828"/>
      <c r="N429" s="828"/>
      <c r="O429" s="828"/>
      <c r="P429" s="828"/>
      <c r="Q429" s="828"/>
      <c r="R429" s="828"/>
      <c r="S429" s="828"/>
      <c r="T429" s="828"/>
      <c r="U429" s="828"/>
      <c r="V429" s="828"/>
      <c r="W429" s="828"/>
      <c r="X429" s="828"/>
      <c r="Y429" s="828"/>
      <c r="Z429" s="828"/>
      <c r="AA429" s="828"/>
      <c r="AB429" s="828"/>
      <c r="AC429" s="828"/>
      <c r="AD429" s="828"/>
      <c r="AE429" s="828"/>
      <c r="AF429" s="828"/>
      <c r="AG429" s="828"/>
      <c r="AH429" s="828"/>
      <c r="AI429" s="828"/>
      <c r="AJ429" s="828"/>
    </row>
    <row r="430">
      <c r="A430" s="828"/>
      <c r="B430" s="828"/>
      <c r="C430" s="828"/>
      <c r="D430" s="828"/>
      <c r="E430" s="828"/>
      <c r="F430" s="828"/>
      <c r="G430" s="828"/>
      <c r="H430" s="828"/>
      <c r="I430" s="828"/>
      <c r="J430" s="828"/>
      <c r="K430" s="828"/>
      <c r="L430" s="828"/>
      <c r="M430" s="828"/>
      <c r="N430" s="828"/>
      <c r="O430" s="828"/>
      <c r="P430" s="828"/>
      <c r="Q430" s="828"/>
      <c r="R430" s="828"/>
      <c r="S430" s="828"/>
      <c r="T430" s="828"/>
      <c r="U430" s="828"/>
      <c r="V430" s="828"/>
      <c r="W430" s="828"/>
      <c r="X430" s="828"/>
      <c r="Y430" s="828"/>
      <c r="Z430" s="828"/>
      <c r="AA430" s="828"/>
      <c r="AB430" s="828"/>
      <c r="AC430" s="828"/>
      <c r="AD430" s="828"/>
      <c r="AE430" s="828"/>
      <c r="AF430" s="828"/>
      <c r="AG430" s="828"/>
      <c r="AH430" s="828"/>
      <c r="AI430" s="828"/>
      <c r="AJ430" s="828"/>
    </row>
    <row r="431">
      <c r="A431" s="828"/>
      <c r="B431" s="828"/>
      <c r="C431" s="828"/>
      <c r="D431" s="828"/>
      <c r="E431" s="828"/>
      <c r="F431" s="828"/>
      <c r="G431" s="828"/>
      <c r="H431" s="828"/>
      <c r="I431" s="828"/>
      <c r="J431" s="828"/>
      <c r="K431" s="828"/>
      <c r="L431" s="828"/>
      <c r="M431" s="828"/>
      <c r="N431" s="828"/>
      <c r="O431" s="828"/>
      <c r="P431" s="828"/>
      <c r="Q431" s="828"/>
      <c r="R431" s="828"/>
      <c r="S431" s="828"/>
      <c r="T431" s="828"/>
      <c r="U431" s="828"/>
      <c r="V431" s="828"/>
      <c r="W431" s="828"/>
      <c r="X431" s="828"/>
      <c r="Y431" s="828"/>
      <c r="Z431" s="828"/>
      <c r="AA431" s="828"/>
      <c r="AB431" s="828"/>
      <c r="AC431" s="828"/>
      <c r="AD431" s="828"/>
      <c r="AE431" s="828"/>
      <c r="AF431" s="828"/>
      <c r="AG431" s="828"/>
      <c r="AH431" s="828"/>
      <c r="AI431" s="828"/>
      <c r="AJ431" s="828"/>
    </row>
    <row r="432">
      <c r="A432" s="828"/>
      <c r="B432" s="828"/>
      <c r="C432" s="828"/>
      <c r="D432" s="828"/>
      <c r="E432" s="828"/>
      <c r="F432" s="828"/>
      <c r="G432" s="828"/>
      <c r="H432" s="828"/>
      <c r="I432" s="828"/>
      <c r="J432" s="828"/>
      <c r="K432" s="828"/>
      <c r="L432" s="828"/>
      <c r="M432" s="828"/>
      <c r="N432" s="828"/>
      <c r="O432" s="828"/>
      <c r="P432" s="828"/>
      <c r="Q432" s="828"/>
      <c r="R432" s="828"/>
      <c r="S432" s="828"/>
      <c r="T432" s="828"/>
      <c r="U432" s="828"/>
      <c r="V432" s="828"/>
      <c r="W432" s="828"/>
      <c r="X432" s="828"/>
      <c r="Y432" s="828"/>
      <c r="Z432" s="828"/>
      <c r="AA432" s="828"/>
      <c r="AB432" s="828"/>
      <c r="AC432" s="828"/>
      <c r="AD432" s="828"/>
      <c r="AE432" s="828"/>
      <c r="AF432" s="828"/>
      <c r="AG432" s="828"/>
      <c r="AH432" s="828"/>
      <c r="AI432" s="828"/>
      <c r="AJ432" s="828"/>
    </row>
    <row r="433">
      <c r="A433" s="828"/>
      <c r="B433" s="828"/>
      <c r="C433" s="828"/>
      <c r="D433" s="828"/>
      <c r="E433" s="828"/>
      <c r="F433" s="828"/>
      <c r="G433" s="828"/>
      <c r="H433" s="828"/>
      <c r="I433" s="828"/>
      <c r="J433" s="828"/>
      <c r="K433" s="828"/>
      <c r="L433" s="828"/>
      <c r="M433" s="828"/>
      <c r="N433" s="828"/>
      <c r="O433" s="828"/>
      <c r="P433" s="828"/>
      <c r="Q433" s="828"/>
      <c r="R433" s="828"/>
      <c r="S433" s="828"/>
      <c r="T433" s="828"/>
      <c r="U433" s="828"/>
      <c r="V433" s="828"/>
      <c r="W433" s="828"/>
      <c r="X433" s="828"/>
      <c r="Y433" s="828"/>
      <c r="Z433" s="828"/>
      <c r="AA433" s="828"/>
      <c r="AB433" s="828"/>
      <c r="AC433" s="828"/>
      <c r="AD433" s="828"/>
      <c r="AE433" s="828"/>
      <c r="AF433" s="828"/>
      <c r="AG433" s="828"/>
      <c r="AH433" s="828"/>
      <c r="AI433" s="828"/>
      <c r="AJ433" s="828"/>
    </row>
    <row r="434">
      <c r="A434" s="828"/>
      <c r="B434" s="828"/>
      <c r="C434" s="828"/>
      <c r="D434" s="828"/>
      <c r="E434" s="828"/>
      <c r="F434" s="828"/>
      <c r="G434" s="828"/>
      <c r="H434" s="828"/>
      <c r="I434" s="828"/>
      <c r="J434" s="828"/>
      <c r="K434" s="828"/>
      <c r="L434" s="828"/>
      <c r="M434" s="828"/>
      <c r="N434" s="828"/>
      <c r="O434" s="828"/>
      <c r="P434" s="828"/>
      <c r="Q434" s="828"/>
      <c r="R434" s="828"/>
      <c r="S434" s="828"/>
      <c r="T434" s="828"/>
      <c r="U434" s="828"/>
      <c r="V434" s="828"/>
      <c r="W434" s="828"/>
      <c r="X434" s="828"/>
      <c r="Y434" s="828"/>
      <c r="Z434" s="828"/>
      <c r="AA434" s="828"/>
      <c r="AB434" s="828"/>
      <c r="AC434" s="828"/>
      <c r="AD434" s="828"/>
      <c r="AE434" s="828"/>
      <c r="AF434" s="828"/>
      <c r="AG434" s="828"/>
      <c r="AH434" s="828"/>
      <c r="AI434" s="828"/>
      <c r="AJ434" s="828"/>
    </row>
    <row r="435">
      <c r="A435" s="828"/>
      <c r="B435" s="828"/>
      <c r="C435" s="828"/>
      <c r="D435" s="828"/>
      <c r="E435" s="828"/>
      <c r="F435" s="828"/>
      <c r="G435" s="828"/>
      <c r="H435" s="828"/>
      <c r="I435" s="828"/>
      <c r="J435" s="828"/>
      <c r="K435" s="828"/>
      <c r="L435" s="828"/>
      <c r="M435" s="828"/>
      <c r="N435" s="828"/>
      <c r="O435" s="828"/>
      <c r="P435" s="828"/>
      <c r="Q435" s="828"/>
      <c r="R435" s="828"/>
      <c r="S435" s="828"/>
      <c r="T435" s="828"/>
      <c r="U435" s="828"/>
      <c r="V435" s="828"/>
      <c r="W435" s="828"/>
      <c r="X435" s="828"/>
      <c r="Y435" s="828"/>
      <c r="Z435" s="828"/>
      <c r="AA435" s="828"/>
      <c r="AB435" s="828"/>
      <c r="AC435" s="828"/>
      <c r="AD435" s="828"/>
      <c r="AE435" s="828"/>
      <c r="AF435" s="828"/>
      <c r="AG435" s="828"/>
      <c r="AH435" s="828"/>
      <c r="AI435" s="828"/>
      <c r="AJ435" s="828"/>
    </row>
    <row r="436">
      <c r="A436" s="828"/>
      <c r="B436" s="828"/>
      <c r="C436" s="828"/>
      <c r="D436" s="828"/>
      <c r="E436" s="828"/>
      <c r="F436" s="828"/>
      <c r="G436" s="828"/>
      <c r="H436" s="828"/>
      <c r="I436" s="828"/>
      <c r="J436" s="828"/>
      <c r="K436" s="828"/>
      <c r="L436" s="828"/>
      <c r="M436" s="828"/>
      <c r="N436" s="828"/>
      <c r="O436" s="828"/>
      <c r="P436" s="828"/>
      <c r="Q436" s="828"/>
      <c r="R436" s="828"/>
      <c r="S436" s="828"/>
      <c r="T436" s="828"/>
      <c r="U436" s="828"/>
      <c r="V436" s="828"/>
      <c r="W436" s="828"/>
      <c r="X436" s="828"/>
      <c r="Y436" s="828"/>
      <c r="Z436" s="828"/>
      <c r="AA436" s="828"/>
      <c r="AB436" s="828"/>
      <c r="AC436" s="828"/>
      <c r="AD436" s="828"/>
      <c r="AE436" s="828"/>
      <c r="AF436" s="828"/>
      <c r="AG436" s="828"/>
      <c r="AH436" s="828"/>
      <c r="AI436" s="828"/>
      <c r="AJ436" s="828"/>
    </row>
    <row r="437">
      <c r="A437" s="828"/>
      <c r="B437" s="828"/>
      <c r="C437" s="828"/>
      <c r="D437" s="828"/>
      <c r="E437" s="828"/>
      <c r="F437" s="828"/>
      <c r="G437" s="828"/>
      <c r="H437" s="828"/>
      <c r="I437" s="828"/>
      <c r="J437" s="828"/>
      <c r="K437" s="828"/>
      <c r="L437" s="828"/>
      <c r="M437" s="828"/>
      <c r="N437" s="828"/>
      <c r="O437" s="828"/>
      <c r="P437" s="828"/>
      <c r="Q437" s="828"/>
      <c r="R437" s="828"/>
      <c r="S437" s="828"/>
      <c r="T437" s="828"/>
      <c r="U437" s="828"/>
      <c r="V437" s="828"/>
      <c r="W437" s="828"/>
      <c r="X437" s="828"/>
      <c r="Y437" s="828"/>
      <c r="Z437" s="828"/>
      <c r="AA437" s="828"/>
      <c r="AB437" s="828"/>
      <c r="AC437" s="828"/>
      <c r="AD437" s="828"/>
      <c r="AE437" s="828"/>
      <c r="AF437" s="828"/>
      <c r="AG437" s="828"/>
      <c r="AH437" s="828"/>
      <c r="AI437" s="828"/>
      <c r="AJ437" s="828"/>
    </row>
    <row r="438">
      <c r="A438" s="828"/>
      <c r="B438" s="828"/>
      <c r="C438" s="828"/>
      <c r="D438" s="828"/>
      <c r="E438" s="828"/>
      <c r="F438" s="828"/>
      <c r="G438" s="828"/>
      <c r="H438" s="828"/>
      <c r="I438" s="828"/>
      <c r="J438" s="828"/>
      <c r="K438" s="828"/>
      <c r="L438" s="828"/>
      <c r="M438" s="828"/>
      <c r="N438" s="828"/>
      <c r="O438" s="828"/>
      <c r="P438" s="828"/>
      <c r="Q438" s="828"/>
      <c r="R438" s="828"/>
      <c r="S438" s="828"/>
      <c r="T438" s="828"/>
      <c r="U438" s="828"/>
      <c r="V438" s="828"/>
      <c r="W438" s="828"/>
      <c r="X438" s="828"/>
      <c r="Y438" s="828"/>
      <c r="Z438" s="828"/>
      <c r="AA438" s="828"/>
      <c r="AB438" s="828"/>
      <c r="AC438" s="828"/>
      <c r="AD438" s="828"/>
      <c r="AE438" s="828"/>
      <c r="AF438" s="828"/>
      <c r="AG438" s="828"/>
      <c r="AH438" s="828"/>
      <c r="AI438" s="828"/>
      <c r="AJ438" s="828"/>
    </row>
    <row r="439">
      <c r="A439" s="828"/>
      <c r="B439" s="828"/>
      <c r="C439" s="828"/>
      <c r="D439" s="828"/>
      <c r="E439" s="828"/>
      <c r="F439" s="828"/>
      <c r="G439" s="828"/>
      <c r="H439" s="828"/>
      <c r="I439" s="828"/>
      <c r="J439" s="828"/>
      <c r="K439" s="828"/>
      <c r="L439" s="828"/>
      <c r="M439" s="828"/>
      <c r="N439" s="828"/>
      <c r="O439" s="828"/>
      <c r="P439" s="828"/>
      <c r="Q439" s="828"/>
      <c r="R439" s="828"/>
      <c r="S439" s="828"/>
      <c r="T439" s="828"/>
      <c r="U439" s="828"/>
      <c r="V439" s="828"/>
      <c r="W439" s="828"/>
      <c r="X439" s="828"/>
      <c r="Y439" s="828"/>
      <c r="Z439" s="828"/>
      <c r="AA439" s="828"/>
      <c r="AB439" s="828"/>
      <c r="AC439" s="828"/>
      <c r="AD439" s="828"/>
      <c r="AE439" s="828"/>
      <c r="AF439" s="828"/>
      <c r="AG439" s="828"/>
      <c r="AH439" s="828"/>
      <c r="AI439" s="828"/>
      <c r="AJ439" s="828"/>
    </row>
    <row r="440">
      <c r="A440" s="828"/>
      <c r="B440" s="828"/>
      <c r="C440" s="828"/>
      <c r="D440" s="828"/>
      <c r="E440" s="828"/>
      <c r="F440" s="828"/>
      <c r="G440" s="828"/>
      <c r="H440" s="828"/>
      <c r="I440" s="828"/>
      <c r="J440" s="828"/>
      <c r="K440" s="828"/>
      <c r="L440" s="828"/>
      <c r="M440" s="828"/>
      <c r="N440" s="828"/>
      <c r="O440" s="828"/>
      <c r="P440" s="828"/>
      <c r="Q440" s="828"/>
      <c r="R440" s="828"/>
      <c r="S440" s="828"/>
      <c r="T440" s="828"/>
      <c r="U440" s="828"/>
      <c r="V440" s="828"/>
      <c r="W440" s="828"/>
      <c r="X440" s="828"/>
      <c r="Y440" s="828"/>
      <c r="Z440" s="828"/>
      <c r="AA440" s="828"/>
      <c r="AB440" s="828"/>
      <c r="AC440" s="828"/>
      <c r="AD440" s="828"/>
      <c r="AE440" s="828"/>
      <c r="AF440" s="828"/>
      <c r="AG440" s="828"/>
      <c r="AH440" s="828"/>
      <c r="AI440" s="828"/>
      <c r="AJ440" s="828"/>
    </row>
    <row r="441">
      <c r="A441" s="828"/>
      <c r="B441" s="828"/>
      <c r="C441" s="828"/>
      <c r="D441" s="828"/>
      <c r="E441" s="828"/>
      <c r="F441" s="828"/>
      <c r="G441" s="828"/>
      <c r="H441" s="828"/>
      <c r="I441" s="828"/>
      <c r="J441" s="828"/>
      <c r="K441" s="828"/>
      <c r="L441" s="828"/>
      <c r="M441" s="828"/>
      <c r="N441" s="828"/>
      <c r="O441" s="828"/>
      <c r="P441" s="828"/>
      <c r="Q441" s="828"/>
      <c r="R441" s="828"/>
      <c r="S441" s="828"/>
      <c r="T441" s="828"/>
      <c r="U441" s="828"/>
      <c r="V441" s="828"/>
      <c r="W441" s="828"/>
      <c r="X441" s="828"/>
      <c r="Y441" s="828"/>
      <c r="Z441" s="828"/>
      <c r="AA441" s="828"/>
      <c r="AB441" s="828"/>
      <c r="AC441" s="828"/>
      <c r="AD441" s="828"/>
      <c r="AE441" s="828"/>
      <c r="AF441" s="828"/>
      <c r="AG441" s="828"/>
      <c r="AH441" s="828"/>
      <c r="AI441" s="828"/>
      <c r="AJ441" s="828"/>
    </row>
    <row r="442">
      <c r="A442" s="828"/>
      <c r="B442" s="828"/>
      <c r="C442" s="828"/>
      <c r="D442" s="828"/>
      <c r="E442" s="828"/>
      <c r="F442" s="828"/>
      <c r="G442" s="828"/>
      <c r="H442" s="828"/>
      <c r="I442" s="828"/>
      <c r="J442" s="828"/>
      <c r="K442" s="828"/>
      <c r="L442" s="828"/>
      <c r="M442" s="828"/>
      <c r="N442" s="828"/>
      <c r="O442" s="828"/>
      <c r="P442" s="828"/>
      <c r="Q442" s="828"/>
      <c r="R442" s="828"/>
      <c r="S442" s="828"/>
      <c r="T442" s="828"/>
      <c r="U442" s="828"/>
      <c r="V442" s="828"/>
      <c r="W442" s="828"/>
      <c r="X442" s="828"/>
      <c r="Y442" s="828"/>
      <c r="Z442" s="828"/>
      <c r="AA442" s="828"/>
      <c r="AB442" s="828"/>
      <c r="AC442" s="828"/>
      <c r="AD442" s="828"/>
      <c r="AE442" s="828"/>
      <c r="AF442" s="828"/>
      <c r="AG442" s="828"/>
      <c r="AH442" s="828"/>
      <c r="AI442" s="828"/>
      <c r="AJ442" s="828"/>
    </row>
    <row r="443">
      <c r="A443" s="828"/>
      <c r="B443" s="828"/>
      <c r="C443" s="828"/>
      <c r="D443" s="828"/>
      <c r="E443" s="828"/>
      <c r="F443" s="828"/>
      <c r="G443" s="828"/>
      <c r="H443" s="828"/>
      <c r="I443" s="828"/>
      <c r="J443" s="828"/>
      <c r="K443" s="828"/>
      <c r="L443" s="828"/>
      <c r="M443" s="828"/>
      <c r="N443" s="828"/>
      <c r="O443" s="828"/>
      <c r="P443" s="828"/>
      <c r="Q443" s="828"/>
      <c r="R443" s="828"/>
      <c r="S443" s="828"/>
      <c r="T443" s="828"/>
      <c r="U443" s="828"/>
      <c r="V443" s="828"/>
      <c r="W443" s="828"/>
      <c r="X443" s="828"/>
      <c r="Y443" s="828"/>
      <c r="Z443" s="828"/>
      <c r="AA443" s="828"/>
      <c r="AB443" s="828"/>
      <c r="AC443" s="828"/>
      <c r="AD443" s="828"/>
      <c r="AE443" s="828"/>
      <c r="AF443" s="828"/>
      <c r="AG443" s="828"/>
      <c r="AH443" s="828"/>
      <c r="AI443" s="828"/>
      <c r="AJ443" s="828"/>
    </row>
    <row r="444">
      <c r="A444" s="828"/>
      <c r="B444" s="828"/>
      <c r="C444" s="828"/>
      <c r="D444" s="828"/>
      <c r="E444" s="828"/>
      <c r="F444" s="828"/>
      <c r="G444" s="828"/>
      <c r="H444" s="828"/>
      <c r="I444" s="828"/>
      <c r="J444" s="828"/>
      <c r="K444" s="828"/>
      <c r="L444" s="828"/>
      <c r="M444" s="828"/>
      <c r="N444" s="828"/>
      <c r="O444" s="828"/>
      <c r="P444" s="828"/>
      <c r="Q444" s="828"/>
      <c r="R444" s="828"/>
      <c r="S444" s="828"/>
      <c r="T444" s="828"/>
      <c r="U444" s="828"/>
      <c r="V444" s="828"/>
      <c r="W444" s="828"/>
      <c r="X444" s="828"/>
      <c r="Y444" s="828"/>
      <c r="Z444" s="828"/>
      <c r="AA444" s="828"/>
      <c r="AB444" s="828"/>
      <c r="AC444" s="828"/>
      <c r="AD444" s="828"/>
      <c r="AE444" s="828"/>
      <c r="AF444" s="828"/>
      <c r="AG444" s="828"/>
      <c r="AH444" s="828"/>
      <c r="AI444" s="828"/>
      <c r="AJ444" s="828"/>
    </row>
    <row r="445">
      <c r="A445" s="828"/>
      <c r="B445" s="828"/>
      <c r="C445" s="828"/>
      <c r="D445" s="828"/>
      <c r="E445" s="828"/>
      <c r="F445" s="828"/>
      <c r="G445" s="828"/>
      <c r="H445" s="828"/>
      <c r="I445" s="828"/>
      <c r="J445" s="828"/>
      <c r="K445" s="828"/>
      <c r="L445" s="828"/>
      <c r="M445" s="828"/>
      <c r="N445" s="828"/>
      <c r="O445" s="828"/>
      <c r="P445" s="828"/>
      <c r="Q445" s="828"/>
      <c r="R445" s="828"/>
      <c r="S445" s="828"/>
      <c r="T445" s="828"/>
      <c r="U445" s="828"/>
      <c r="V445" s="828"/>
      <c r="W445" s="828"/>
      <c r="X445" s="828"/>
      <c r="Y445" s="828"/>
      <c r="Z445" s="828"/>
      <c r="AA445" s="828"/>
      <c r="AB445" s="828"/>
      <c r="AC445" s="828"/>
      <c r="AD445" s="828"/>
      <c r="AE445" s="828"/>
      <c r="AF445" s="828"/>
      <c r="AG445" s="828"/>
      <c r="AH445" s="828"/>
      <c r="AI445" s="828"/>
      <c r="AJ445" s="828"/>
    </row>
    <row r="446">
      <c r="A446" s="828"/>
      <c r="B446" s="828"/>
      <c r="C446" s="828"/>
      <c r="D446" s="828"/>
      <c r="E446" s="828"/>
      <c r="F446" s="828"/>
      <c r="G446" s="828"/>
      <c r="H446" s="828"/>
      <c r="I446" s="828"/>
      <c r="J446" s="828"/>
      <c r="K446" s="828"/>
      <c r="L446" s="828"/>
      <c r="M446" s="828"/>
      <c r="N446" s="828"/>
      <c r="O446" s="828"/>
      <c r="P446" s="828"/>
      <c r="Q446" s="828"/>
      <c r="R446" s="828"/>
      <c r="S446" s="828"/>
      <c r="T446" s="828"/>
      <c r="U446" s="828"/>
      <c r="V446" s="828"/>
      <c r="W446" s="828"/>
      <c r="X446" s="828"/>
      <c r="Y446" s="828"/>
      <c r="Z446" s="828"/>
      <c r="AA446" s="828"/>
      <c r="AB446" s="828"/>
      <c r="AC446" s="828"/>
      <c r="AD446" s="828"/>
      <c r="AE446" s="828"/>
      <c r="AF446" s="828"/>
      <c r="AG446" s="828"/>
      <c r="AH446" s="828"/>
      <c r="AI446" s="828"/>
      <c r="AJ446" s="828"/>
    </row>
    <row r="447">
      <c r="A447" s="828"/>
      <c r="B447" s="828"/>
      <c r="C447" s="828"/>
      <c r="D447" s="828"/>
      <c r="E447" s="828"/>
      <c r="F447" s="828"/>
      <c r="G447" s="828"/>
      <c r="H447" s="828"/>
      <c r="I447" s="828"/>
      <c r="J447" s="828"/>
      <c r="K447" s="828"/>
      <c r="L447" s="828"/>
      <c r="M447" s="828"/>
      <c r="N447" s="828"/>
      <c r="O447" s="828"/>
      <c r="P447" s="828"/>
      <c r="Q447" s="828"/>
      <c r="R447" s="828"/>
      <c r="S447" s="828"/>
      <c r="T447" s="828"/>
      <c r="U447" s="828"/>
      <c r="V447" s="828"/>
      <c r="W447" s="828"/>
      <c r="X447" s="828"/>
      <c r="Y447" s="828"/>
      <c r="Z447" s="828"/>
      <c r="AA447" s="828"/>
      <c r="AB447" s="828"/>
      <c r="AC447" s="828"/>
      <c r="AD447" s="828"/>
      <c r="AE447" s="828"/>
      <c r="AF447" s="828"/>
      <c r="AG447" s="828"/>
      <c r="AH447" s="828"/>
      <c r="AI447" s="828"/>
      <c r="AJ447" s="828"/>
    </row>
    <row r="448">
      <c r="A448" s="828"/>
      <c r="B448" s="828"/>
      <c r="C448" s="828"/>
      <c r="D448" s="828"/>
      <c r="E448" s="828"/>
      <c r="F448" s="828"/>
      <c r="G448" s="828"/>
      <c r="H448" s="828"/>
      <c r="I448" s="828"/>
      <c r="J448" s="828"/>
      <c r="K448" s="828"/>
      <c r="L448" s="828"/>
      <c r="M448" s="828"/>
      <c r="N448" s="828"/>
      <c r="O448" s="828"/>
      <c r="P448" s="828"/>
      <c r="Q448" s="828"/>
      <c r="R448" s="828"/>
      <c r="S448" s="828"/>
      <c r="T448" s="828"/>
      <c r="U448" s="828"/>
      <c r="V448" s="828"/>
      <c r="W448" s="828"/>
      <c r="X448" s="828"/>
      <c r="Y448" s="828"/>
      <c r="Z448" s="828"/>
      <c r="AA448" s="828"/>
      <c r="AB448" s="828"/>
      <c r="AC448" s="828"/>
      <c r="AD448" s="828"/>
      <c r="AE448" s="828"/>
      <c r="AF448" s="828"/>
      <c r="AG448" s="828"/>
      <c r="AH448" s="828"/>
      <c r="AI448" s="828"/>
      <c r="AJ448" s="828"/>
    </row>
    <row r="449">
      <c r="A449" s="828"/>
      <c r="B449" s="828"/>
      <c r="C449" s="828"/>
      <c r="D449" s="828"/>
      <c r="E449" s="828"/>
      <c r="F449" s="828"/>
      <c r="G449" s="828"/>
      <c r="H449" s="828"/>
      <c r="I449" s="828"/>
      <c r="J449" s="828"/>
      <c r="K449" s="828"/>
      <c r="L449" s="828"/>
      <c r="M449" s="828"/>
      <c r="N449" s="828"/>
      <c r="O449" s="828"/>
      <c r="P449" s="828"/>
      <c r="Q449" s="828"/>
      <c r="R449" s="828"/>
      <c r="S449" s="828"/>
      <c r="T449" s="828"/>
      <c r="U449" s="828"/>
      <c r="V449" s="828"/>
      <c r="W449" s="828"/>
      <c r="X449" s="828"/>
      <c r="Y449" s="828"/>
      <c r="Z449" s="828"/>
      <c r="AA449" s="828"/>
      <c r="AB449" s="828"/>
      <c r="AC449" s="828"/>
      <c r="AD449" s="828"/>
      <c r="AE449" s="828"/>
      <c r="AF449" s="828"/>
      <c r="AG449" s="828"/>
      <c r="AH449" s="828"/>
      <c r="AI449" s="828"/>
      <c r="AJ449" s="828"/>
    </row>
    <row r="450">
      <c r="A450" s="828"/>
      <c r="B450" s="828"/>
      <c r="C450" s="828"/>
      <c r="D450" s="828"/>
      <c r="E450" s="828"/>
      <c r="F450" s="828"/>
      <c r="G450" s="828"/>
      <c r="H450" s="828"/>
      <c r="I450" s="828"/>
      <c r="J450" s="828"/>
      <c r="K450" s="828"/>
      <c r="L450" s="828"/>
      <c r="M450" s="828"/>
      <c r="N450" s="828"/>
      <c r="O450" s="828"/>
      <c r="P450" s="828"/>
      <c r="Q450" s="828"/>
      <c r="R450" s="828"/>
      <c r="S450" s="828"/>
      <c r="T450" s="828"/>
      <c r="U450" s="828"/>
      <c r="V450" s="828"/>
      <c r="W450" s="828"/>
      <c r="X450" s="828"/>
      <c r="Y450" s="828"/>
      <c r="Z450" s="828"/>
      <c r="AA450" s="828"/>
      <c r="AB450" s="828"/>
      <c r="AC450" s="828"/>
      <c r="AD450" s="828"/>
      <c r="AE450" s="828"/>
      <c r="AF450" s="828"/>
      <c r="AG450" s="828"/>
      <c r="AH450" s="828"/>
      <c r="AI450" s="828"/>
      <c r="AJ450" s="828"/>
    </row>
    <row r="451">
      <c r="A451" s="828"/>
      <c r="B451" s="828"/>
      <c r="C451" s="828"/>
      <c r="D451" s="828"/>
      <c r="E451" s="828"/>
      <c r="F451" s="828"/>
      <c r="G451" s="828"/>
      <c r="H451" s="828"/>
      <c r="I451" s="828"/>
      <c r="J451" s="828"/>
      <c r="K451" s="828"/>
      <c r="L451" s="828"/>
      <c r="M451" s="828"/>
      <c r="N451" s="828"/>
      <c r="O451" s="828"/>
      <c r="P451" s="828"/>
      <c r="Q451" s="828"/>
      <c r="R451" s="828"/>
      <c r="S451" s="828"/>
      <c r="T451" s="828"/>
      <c r="U451" s="828"/>
      <c r="V451" s="828"/>
      <c r="W451" s="828"/>
      <c r="X451" s="828"/>
      <c r="Y451" s="828"/>
      <c r="Z451" s="828"/>
      <c r="AA451" s="828"/>
      <c r="AB451" s="828"/>
      <c r="AC451" s="828"/>
      <c r="AD451" s="828"/>
      <c r="AE451" s="828"/>
      <c r="AF451" s="828"/>
      <c r="AG451" s="828"/>
      <c r="AH451" s="828"/>
      <c r="AI451" s="828"/>
      <c r="AJ451" s="828"/>
    </row>
    <row r="452">
      <c r="A452" s="828"/>
      <c r="B452" s="828"/>
      <c r="C452" s="828"/>
      <c r="D452" s="828"/>
      <c r="E452" s="828"/>
      <c r="F452" s="828"/>
      <c r="G452" s="828"/>
      <c r="H452" s="828"/>
      <c r="I452" s="828"/>
      <c r="J452" s="828"/>
      <c r="K452" s="828"/>
      <c r="L452" s="828"/>
      <c r="M452" s="828"/>
      <c r="N452" s="828"/>
      <c r="O452" s="828"/>
      <c r="P452" s="828"/>
      <c r="Q452" s="828"/>
      <c r="R452" s="828"/>
      <c r="S452" s="828"/>
      <c r="T452" s="828"/>
      <c r="U452" s="828"/>
      <c r="V452" s="828"/>
      <c r="W452" s="828"/>
      <c r="X452" s="828"/>
      <c r="Y452" s="828"/>
      <c r="Z452" s="828"/>
      <c r="AA452" s="828"/>
      <c r="AB452" s="828"/>
      <c r="AC452" s="828"/>
      <c r="AD452" s="828"/>
      <c r="AE452" s="828"/>
      <c r="AF452" s="828"/>
      <c r="AG452" s="828"/>
      <c r="AH452" s="828"/>
      <c r="AI452" s="828"/>
      <c r="AJ452" s="828"/>
    </row>
    <row r="453">
      <c r="A453" s="828"/>
      <c r="B453" s="828"/>
      <c r="C453" s="828"/>
      <c r="D453" s="828"/>
      <c r="E453" s="828"/>
      <c r="F453" s="828"/>
      <c r="G453" s="828"/>
      <c r="H453" s="828"/>
      <c r="I453" s="828"/>
      <c r="J453" s="828"/>
      <c r="K453" s="828"/>
      <c r="L453" s="828"/>
      <c r="M453" s="828"/>
      <c r="N453" s="828"/>
      <c r="O453" s="828"/>
      <c r="P453" s="828"/>
      <c r="Q453" s="828"/>
      <c r="R453" s="828"/>
      <c r="S453" s="828"/>
      <c r="T453" s="828"/>
      <c r="U453" s="828"/>
      <c r="V453" s="828"/>
      <c r="W453" s="828"/>
      <c r="X453" s="828"/>
      <c r="Y453" s="828"/>
      <c r="Z453" s="828"/>
      <c r="AA453" s="828"/>
      <c r="AB453" s="828"/>
      <c r="AC453" s="828"/>
      <c r="AD453" s="828"/>
      <c r="AE453" s="828"/>
      <c r="AF453" s="828"/>
      <c r="AG453" s="828"/>
      <c r="AH453" s="828"/>
      <c r="AI453" s="828"/>
      <c r="AJ453" s="828"/>
    </row>
    <row r="454">
      <c r="A454" s="828"/>
      <c r="B454" s="828"/>
      <c r="C454" s="828"/>
      <c r="D454" s="828"/>
      <c r="E454" s="828"/>
      <c r="F454" s="828"/>
      <c r="G454" s="828"/>
      <c r="H454" s="828"/>
      <c r="I454" s="828"/>
      <c r="J454" s="828"/>
      <c r="K454" s="828"/>
      <c r="L454" s="828"/>
      <c r="M454" s="828"/>
      <c r="N454" s="828"/>
      <c r="O454" s="828"/>
      <c r="P454" s="828"/>
      <c r="Q454" s="828"/>
      <c r="R454" s="828"/>
      <c r="S454" s="828"/>
      <c r="T454" s="828"/>
      <c r="U454" s="828"/>
      <c r="V454" s="828"/>
      <c r="W454" s="828"/>
      <c r="X454" s="828"/>
      <c r="Y454" s="828"/>
      <c r="Z454" s="828"/>
      <c r="AA454" s="828"/>
      <c r="AB454" s="828"/>
      <c r="AC454" s="828"/>
      <c r="AD454" s="828"/>
      <c r="AE454" s="828"/>
      <c r="AF454" s="828"/>
      <c r="AG454" s="828"/>
      <c r="AH454" s="828"/>
      <c r="AI454" s="828"/>
      <c r="AJ454" s="828"/>
    </row>
    <row r="455">
      <c r="A455" s="828"/>
      <c r="B455" s="828"/>
      <c r="C455" s="828"/>
      <c r="D455" s="828"/>
      <c r="E455" s="828"/>
      <c r="F455" s="828"/>
      <c r="G455" s="828"/>
      <c r="H455" s="828"/>
      <c r="I455" s="828"/>
      <c r="J455" s="828"/>
      <c r="K455" s="828"/>
      <c r="L455" s="828"/>
      <c r="M455" s="828"/>
      <c r="N455" s="828"/>
      <c r="O455" s="828"/>
      <c r="P455" s="828"/>
      <c r="Q455" s="828"/>
      <c r="R455" s="828"/>
      <c r="S455" s="828"/>
      <c r="T455" s="828"/>
      <c r="U455" s="828"/>
      <c r="V455" s="828"/>
      <c r="W455" s="828"/>
      <c r="X455" s="828"/>
      <c r="Y455" s="828"/>
      <c r="Z455" s="828"/>
      <c r="AA455" s="828"/>
      <c r="AB455" s="828"/>
      <c r="AC455" s="828"/>
      <c r="AD455" s="828"/>
      <c r="AE455" s="828"/>
      <c r="AF455" s="828"/>
      <c r="AG455" s="828"/>
      <c r="AH455" s="828"/>
      <c r="AI455" s="828"/>
      <c r="AJ455" s="828"/>
    </row>
    <row r="456">
      <c r="A456" s="828"/>
      <c r="B456" s="828"/>
      <c r="C456" s="828"/>
      <c r="D456" s="828"/>
      <c r="E456" s="828"/>
      <c r="F456" s="828"/>
      <c r="G456" s="828"/>
      <c r="H456" s="828"/>
      <c r="I456" s="828"/>
      <c r="J456" s="828"/>
      <c r="K456" s="828"/>
      <c r="L456" s="828"/>
      <c r="M456" s="828"/>
      <c r="N456" s="828"/>
      <c r="O456" s="828"/>
      <c r="P456" s="828"/>
      <c r="Q456" s="828"/>
      <c r="R456" s="828"/>
      <c r="S456" s="828"/>
      <c r="T456" s="828"/>
      <c r="U456" s="828"/>
      <c r="V456" s="828"/>
      <c r="W456" s="828"/>
      <c r="X456" s="828"/>
      <c r="Y456" s="828"/>
      <c r="Z456" s="828"/>
      <c r="AA456" s="828"/>
      <c r="AB456" s="828"/>
      <c r="AC456" s="828"/>
      <c r="AD456" s="828"/>
      <c r="AE456" s="828"/>
      <c r="AF456" s="828"/>
      <c r="AG456" s="828"/>
      <c r="AH456" s="828"/>
      <c r="AI456" s="828"/>
      <c r="AJ456" s="828"/>
    </row>
    <row r="457">
      <c r="A457" s="828"/>
      <c r="B457" s="828"/>
      <c r="C457" s="828"/>
      <c r="D457" s="828"/>
      <c r="E457" s="828"/>
      <c r="F457" s="828"/>
      <c r="G457" s="828"/>
      <c r="H457" s="828"/>
      <c r="I457" s="828"/>
      <c r="J457" s="828"/>
      <c r="K457" s="828"/>
      <c r="L457" s="828"/>
      <c r="M457" s="828"/>
      <c r="N457" s="828"/>
      <c r="O457" s="828"/>
      <c r="P457" s="828"/>
      <c r="Q457" s="828"/>
      <c r="R457" s="828"/>
      <c r="S457" s="828"/>
      <c r="T457" s="828"/>
      <c r="U457" s="828"/>
      <c r="V457" s="828"/>
      <c r="W457" s="828"/>
      <c r="X457" s="828"/>
      <c r="Y457" s="828"/>
      <c r="Z457" s="828"/>
      <c r="AA457" s="828"/>
      <c r="AB457" s="828"/>
      <c r="AC457" s="828"/>
      <c r="AD457" s="828"/>
      <c r="AE457" s="828"/>
      <c r="AF457" s="828"/>
      <c r="AG457" s="828"/>
      <c r="AH457" s="828"/>
      <c r="AI457" s="828"/>
      <c r="AJ457" s="828"/>
    </row>
    <row r="458">
      <c r="A458" s="828"/>
      <c r="B458" s="828"/>
      <c r="C458" s="828"/>
      <c r="D458" s="828"/>
      <c r="E458" s="828"/>
      <c r="F458" s="828"/>
      <c r="G458" s="828"/>
      <c r="H458" s="828"/>
      <c r="I458" s="828"/>
      <c r="J458" s="828"/>
      <c r="K458" s="828"/>
      <c r="L458" s="828"/>
      <c r="M458" s="828"/>
      <c r="N458" s="828"/>
      <c r="O458" s="828"/>
      <c r="P458" s="828"/>
      <c r="Q458" s="828"/>
      <c r="R458" s="828"/>
      <c r="S458" s="828"/>
      <c r="T458" s="828"/>
      <c r="U458" s="828"/>
      <c r="V458" s="828"/>
      <c r="W458" s="828"/>
      <c r="X458" s="828"/>
      <c r="Y458" s="828"/>
      <c r="Z458" s="828"/>
      <c r="AA458" s="828"/>
      <c r="AB458" s="828"/>
      <c r="AC458" s="828"/>
      <c r="AD458" s="828"/>
      <c r="AE458" s="828"/>
      <c r="AF458" s="828"/>
      <c r="AG458" s="828"/>
      <c r="AH458" s="828"/>
      <c r="AI458" s="828"/>
      <c r="AJ458" s="828"/>
    </row>
    <row r="459">
      <c r="A459" s="828"/>
      <c r="B459" s="828"/>
      <c r="C459" s="828"/>
      <c r="D459" s="828"/>
      <c r="E459" s="828"/>
      <c r="F459" s="828"/>
      <c r="G459" s="828"/>
      <c r="H459" s="828"/>
      <c r="I459" s="828"/>
      <c r="J459" s="828"/>
      <c r="K459" s="828"/>
      <c r="L459" s="828"/>
      <c r="M459" s="828"/>
      <c r="N459" s="828"/>
      <c r="O459" s="828"/>
      <c r="P459" s="828"/>
      <c r="Q459" s="828"/>
      <c r="R459" s="828"/>
      <c r="S459" s="828"/>
      <c r="T459" s="828"/>
      <c r="U459" s="828"/>
      <c r="V459" s="828"/>
      <c r="W459" s="828"/>
      <c r="X459" s="828"/>
      <c r="Y459" s="828"/>
      <c r="Z459" s="828"/>
      <c r="AA459" s="828"/>
      <c r="AB459" s="828"/>
      <c r="AC459" s="828"/>
      <c r="AD459" s="828"/>
      <c r="AE459" s="828"/>
      <c r="AF459" s="828"/>
      <c r="AG459" s="828"/>
      <c r="AH459" s="828"/>
      <c r="AI459" s="828"/>
      <c r="AJ459" s="828"/>
    </row>
    <row r="460">
      <c r="A460" s="828"/>
      <c r="B460" s="828"/>
      <c r="C460" s="828"/>
      <c r="D460" s="828"/>
      <c r="E460" s="828"/>
      <c r="F460" s="828"/>
      <c r="G460" s="828"/>
      <c r="H460" s="828"/>
      <c r="I460" s="828"/>
      <c r="J460" s="828"/>
      <c r="K460" s="828"/>
      <c r="L460" s="828"/>
      <c r="M460" s="828"/>
      <c r="N460" s="828"/>
      <c r="O460" s="828"/>
      <c r="P460" s="828"/>
      <c r="Q460" s="828"/>
      <c r="R460" s="828"/>
      <c r="S460" s="828"/>
      <c r="T460" s="828"/>
      <c r="U460" s="828"/>
      <c r="V460" s="828"/>
      <c r="W460" s="828"/>
      <c r="X460" s="828"/>
      <c r="Y460" s="828"/>
      <c r="Z460" s="828"/>
      <c r="AA460" s="828"/>
      <c r="AB460" s="828"/>
      <c r="AC460" s="828"/>
      <c r="AD460" s="828"/>
      <c r="AE460" s="828"/>
      <c r="AF460" s="828"/>
      <c r="AG460" s="828"/>
      <c r="AH460" s="828"/>
      <c r="AI460" s="828"/>
      <c r="AJ460" s="828"/>
    </row>
    <row r="461">
      <c r="A461" s="828"/>
      <c r="B461" s="828"/>
      <c r="C461" s="828"/>
      <c r="D461" s="828"/>
      <c r="E461" s="828"/>
      <c r="F461" s="828"/>
      <c r="G461" s="828"/>
      <c r="H461" s="828"/>
      <c r="I461" s="828"/>
      <c r="J461" s="828"/>
      <c r="K461" s="828"/>
      <c r="L461" s="828"/>
      <c r="M461" s="828"/>
      <c r="N461" s="828"/>
      <c r="O461" s="828"/>
      <c r="P461" s="828"/>
      <c r="Q461" s="828"/>
      <c r="R461" s="828"/>
      <c r="S461" s="828"/>
      <c r="T461" s="828"/>
      <c r="U461" s="828"/>
      <c r="V461" s="828"/>
      <c r="W461" s="828"/>
      <c r="X461" s="828"/>
      <c r="Y461" s="828"/>
      <c r="Z461" s="828"/>
      <c r="AA461" s="828"/>
      <c r="AB461" s="828"/>
      <c r="AC461" s="828"/>
      <c r="AD461" s="828"/>
      <c r="AE461" s="828"/>
      <c r="AF461" s="828"/>
      <c r="AG461" s="828"/>
      <c r="AH461" s="828"/>
      <c r="AI461" s="828"/>
      <c r="AJ461" s="828"/>
    </row>
    <row r="462">
      <c r="A462" s="828"/>
      <c r="B462" s="828"/>
      <c r="C462" s="828"/>
      <c r="D462" s="828"/>
      <c r="E462" s="828"/>
      <c r="F462" s="828"/>
      <c r="G462" s="828"/>
      <c r="H462" s="828"/>
      <c r="I462" s="828"/>
      <c r="J462" s="828"/>
      <c r="K462" s="828"/>
      <c r="L462" s="828"/>
      <c r="M462" s="828"/>
      <c r="N462" s="828"/>
      <c r="O462" s="828"/>
      <c r="P462" s="828"/>
      <c r="Q462" s="828"/>
      <c r="R462" s="828"/>
      <c r="S462" s="828"/>
      <c r="T462" s="828"/>
      <c r="U462" s="828"/>
      <c r="V462" s="828"/>
      <c r="W462" s="828"/>
      <c r="X462" s="828"/>
      <c r="Y462" s="828"/>
      <c r="Z462" s="828"/>
      <c r="AA462" s="828"/>
      <c r="AB462" s="828"/>
      <c r="AC462" s="828"/>
      <c r="AD462" s="828"/>
      <c r="AE462" s="828"/>
      <c r="AF462" s="828"/>
      <c r="AG462" s="828"/>
      <c r="AH462" s="828"/>
      <c r="AI462" s="828"/>
      <c r="AJ462" s="828"/>
    </row>
    <row r="463">
      <c r="A463" s="828"/>
      <c r="B463" s="828"/>
      <c r="C463" s="828"/>
      <c r="D463" s="828"/>
      <c r="E463" s="828"/>
      <c r="F463" s="828"/>
      <c r="G463" s="828"/>
      <c r="H463" s="828"/>
      <c r="I463" s="828"/>
      <c r="J463" s="828"/>
      <c r="K463" s="828"/>
      <c r="L463" s="828"/>
      <c r="M463" s="828"/>
      <c r="N463" s="828"/>
      <c r="O463" s="828"/>
      <c r="P463" s="828"/>
      <c r="Q463" s="828"/>
      <c r="R463" s="828"/>
      <c r="S463" s="828"/>
      <c r="T463" s="828"/>
      <c r="U463" s="828"/>
      <c r="V463" s="828"/>
      <c r="W463" s="828"/>
      <c r="X463" s="828"/>
      <c r="Y463" s="828"/>
      <c r="Z463" s="828"/>
      <c r="AA463" s="828"/>
      <c r="AB463" s="828"/>
      <c r="AC463" s="828"/>
      <c r="AD463" s="828"/>
      <c r="AE463" s="828"/>
      <c r="AF463" s="828"/>
      <c r="AG463" s="828"/>
      <c r="AH463" s="828"/>
      <c r="AI463" s="828"/>
      <c r="AJ463" s="828"/>
    </row>
    <row r="464">
      <c r="A464" s="828"/>
      <c r="B464" s="828"/>
      <c r="C464" s="828"/>
      <c r="D464" s="828"/>
      <c r="E464" s="828"/>
      <c r="F464" s="828"/>
      <c r="G464" s="828"/>
      <c r="H464" s="828"/>
      <c r="I464" s="828"/>
      <c r="J464" s="828"/>
      <c r="K464" s="828"/>
      <c r="L464" s="828"/>
      <c r="M464" s="828"/>
      <c r="N464" s="828"/>
      <c r="O464" s="828"/>
      <c r="P464" s="828"/>
      <c r="Q464" s="828"/>
      <c r="R464" s="828"/>
      <c r="S464" s="828"/>
      <c r="T464" s="828"/>
      <c r="U464" s="828"/>
      <c r="V464" s="828"/>
      <c r="W464" s="828"/>
      <c r="X464" s="828"/>
      <c r="Y464" s="828"/>
      <c r="Z464" s="828"/>
      <c r="AA464" s="828"/>
      <c r="AB464" s="828"/>
      <c r="AC464" s="828"/>
      <c r="AD464" s="828"/>
      <c r="AE464" s="828"/>
      <c r="AF464" s="828"/>
      <c r="AG464" s="828"/>
      <c r="AH464" s="828"/>
      <c r="AI464" s="828"/>
      <c r="AJ464" s="828"/>
    </row>
    <row r="465">
      <c r="A465" s="828"/>
      <c r="B465" s="828"/>
      <c r="C465" s="828"/>
      <c r="D465" s="828"/>
      <c r="E465" s="828"/>
      <c r="F465" s="828"/>
      <c r="G465" s="828"/>
      <c r="H465" s="828"/>
      <c r="I465" s="828"/>
      <c r="J465" s="828"/>
      <c r="K465" s="828"/>
      <c r="L465" s="828"/>
      <c r="M465" s="828"/>
      <c r="N465" s="828"/>
      <c r="O465" s="828"/>
      <c r="P465" s="828"/>
      <c r="Q465" s="828"/>
      <c r="R465" s="828"/>
      <c r="S465" s="828"/>
      <c r="T465" s="828"/>
      <c r="U465" s="828"/>
      <c r="V465" s="828"/>
      <c r="W465" s="828"/>
      <c r="X465" s="828"/>
      <c r="Y465" s="828"/>
      <c r="Z465" s="828"/>
      <c r="AA465" s="828"/>
      <c r="AB465" s="828"/>
      <c r="AC465" s="828"/>
      <c r="AD465" s="828"/>
      <c r="AE465" s="828"/>
      <c r="AF465" s="828"/>
      <c r="AG465" s="828"/>
      <c r="AH465" s="828"/>
      <c r="AI465" s="828"/>
      <c r="AJ465" s="828"/>
    </row>
    <row r="466">
      <c r="A466" s="828"/>
      <c r="B466" s="828"/>
      <c r="C466" s="828"/>
      <c r="D466" s="828"/>
      <c r="E466" s="828"/>
      <c r="F466" s="828"/>
      <c r="G466" s="828"/>
      <c r="H466" s="828"/>
      <c r="I466" s="828"/>
      <c r="J466" s="828"/>
      <c r="K466" s="828"/>
      <c r="L466" s="828"/>
      <c r="M466" s="828"/>
      <c r="N466" s="828"/>
      <c r="O466" s="828"/>
      <c r="P466" s="828"/>
      <c r="Q466" s="828"/>
      <c r="R466" s="828"/>
      <c r="S466" s="828"/>
      <c r="T466" s="828"/>
      <c r="U466" s="828"/>
      <c r="V466" s="828"/>
      <c r="W466" s="828"/>
      <c r="X466" s="828"/>
      <c r="Y466" s="828"/>
      <c r="Z466" s="828"/>
      <c r="AA466" s="828"/>
      <c r="AB466" s="828"/>
      <c r="AC466" s="828"/>
      <c r="AD466" s="828"/>
      <c r="AE466" s="828"/>
      <c r="AF466" s="828"/>
      <c r="AG466" s="828"/>
      <c r="AH466" s="828"/>
      <c r="AI466" s="828"/>
      <c r="AJ466" s="828"/>
    </row>
    <row r="467">
      <c r="A467" s="828"/>
      <c r="B467" s="828"/>
      <c r="C467" s="828"/>
      <c r="D467" s="828"/>
      <c r="E467" s="828"/>
      <c r="F467" s="828"/>
      <c r="G467" s="828"/>
      <c r="H467" s="828"/>
      <c r="I467" s="828"/>
      <c r="J467" s="828"/>
      <c r="K467" s="828"/>
      <c r="L467" s="828"/>
      <c r="M467" s="828"/>
      <c r="N467" s="828"/>
      <c r="O467" s="828"/>
      <c r="P467" s="828"/>
      <c r="Q467" s="828"/>
      <c r="R467" s="828"/>
      <c r="S467" s="828"/>
      <c r="T467" s="828"/>
      <c r="U467" s="828"/>
      <c r="V467" s="828"/>
      <c r="W467" s="828"/>
      <c r="X467" s="828"/>
      <c r="Y467" s="828"/>
      <c r="Z467" s="828"/>
      <c r="AA467" s="828"/>
      <c r="AB467" s="828"/>
      <c r="AC467" s="828"/>
      <c r="AD467" s="828"/>
      <c r="AE467" s="828"/>
      <c r="AF467" s="828"/>
      <c r="AG467" s="828"/>
      <c r="AH467" s="828"/>
      <c r="AI467" s="828"/>
      <c r="AJ467" s="828"/>
    </row>
    <row r="468">
      <c r="A468" s="828"/>
      <c r="B468" s="828"/>
      <c r="C468" s="828"/>
      <c r="D468" s="828"/>
      <c r="E468" s="828"/>
      <c r="F468" s="828"/>
      <c r="G468" s="828"/>
      <c r="H468" s="828"/>
      <c r="I468" s="828"/>
      <c r="J468" s="828"/>
      <c r="K468" s="828"/>
      <c r="L468" s="828"/>
      <c r="M468" s="828"/>
      <c r="N468" s="828"/>
      <c r="O468" s="828"/>
      <c r="P468" s="828"/>
      <c r="Q468" s="828"/>
      <c r="R468" s="828"/>
      <c r="S468" s="828"/>
      <c r="T468" s="828"/>
      <c r="U468" s="828"/>
      <c r="V468" s="828"/>
      <c r="W468" s="828"/>
      <c r="X468" s="828"/>
      <c r="Y468" s="828"/>
      <c r="Z468" s="828"/>
      <c r="AA468" s="828"/>
      <c r="AB468" s="828"/>
      <c r="AC468" s="828"/>
      <c r="AD468" s="828"/>
      <c r="AE468" s="828"/>
      <c r="AF468" s="828"/>
      <c r="AG468" s="828"/>
      <c r="AH468" s="828"/>
      <c r="AI468" s="828"/>
      <c r="AJ468" s="828"/>
    </row>
    <row r="469">
      <c r="A469" s="828"/>
      <c r="B469" s="828"/>
      <c r="C469" s="828"/>
      <c r="D469" s="828"/>
      <c r="E469" s="828"/>
      <c r="F469" s="828"/>
      <c r="G469" s="828"/>
      <c r="H469" s="828"/>
      <c r="I469" s="828"/>
      <c r="J469" s="828"/>
      <c r="K469" s="828"/>
      <c r="L469" s="828"/>
      <c r="M469" s="828"/>
      <c r="N469" s="828"/>
      <c r="O469" s="828"/>
      <c r="P469" s="828"/>
      <c r="Q469" s="828"/>
      <c r="R469" s="828"/>
      <c r="S469" s="828"/>
      <c r="T469" s="828"/>
      <c r="U469" s="828"/>
      <c r="V469" s="828"/>
      <c r="W469" s="828"/>
      <c r="X469" s="828"/>
      <c r="Y469" s="828"/>
      <c r="Z469" s="828"/>
      <c r="AA469" s="828"/>
      <c r="AB469" s="828"/>
      <c r="AC469" s="828"/>
      <c r="AD469" s="828"/>
      <c r="AE469" s="828"/>
      <c r="AF469" s="828"/>
      <c r="AG469" s="828"/>
      <c r="AH469" s="828"/>
      <c r="AI469" s="828"/>
      <c r="AJ469" s="828"/>
    </row>
    <row r="470">
      <c r="A470" s="828"/>
      <c r="B470" s="828"/>
      <c r="C470" s="828"/>
      <c r="D470" s="828"/>
      <c r="E470" s="828"/>
      <c r="F470" s="828"/>
      <c r="G470" s="828"/>
      <c r="H470" s="828"/>
      <c r="I470" s="828"/>
      <c r="J470" s="828"/>
      <c r="K470" s="828"/>
      <c r="L470" s="828"/>
      <c r="M470" s="828"/>
      <c r="N470" s="828"/>
      <c r="O470" s="828"/>
      <c r="P470" s="828"/>
      <c r="Q470" s="828"/>
      <c r="R470" s="828"/>
      <c r="S470" s="828"/>
      <c r="T470" s="828"/>
      <c r="U470" s="828"/>
      <c r="V470" s="828"/>
      <c r="W470" s="828"/>
      <c r="X470" s="828"/>
      <c r="Y470" s="828"/>
      <c r="Z470" s="828"/>
      <c r="AA470" s="828"/>
      <c r="AB470" s="828"/>
      <c r="AC470" s="828"/>
      <c r="AD470" s="828"/>
      <c r="AE470" s="828"/>
      <c r="AF470" s="828"/>
      <c r="AG470" s="828"/>
      <c r="AH470" s="828"/>
      <c r="AI470" s="828"/>
      <c r="AJ470" s="828"/>
    </row>
    <row r="471">
      <c r="A471" s="828"/>
      <c r="B471" s="828"/>
      <c r="C471" s="828"/>
      <c r="D471" s="828"/>
      <c r="E471" s="828"/>
      <c r="F471" s="828"/>
      <c r="G471" s="828"/>
      <c r="H471" s="828"/>
      <c r="I471" s="828"/>
      <c r="J471" s="828"/>
      <c r="K471" s="828"/>
      <c r="L471" s="828"/>
      <c r="M471" s="828"/>
      <c r="N471" s="828"/>
      <c r="O471" s="828"/>
      <c r="P471" s="828"/>
      <c r="Q471" s="828"/>
      <c r="R471" s="828"/>
      <c r="S471" s="828"/>
      <c r="T471" s="828"/>
      <c r="U471" s="828"/>
      <c r="V471" s="828"/>
      <c r="W471" s="828"/>
      <c r="X471" s="828"/>
      <c r="Y471" s="828"/>
      <c r="Z471" s="828"/>
      <c r="AA471" s="828"/>
      <c r="AB471" s="828"/>
      <c r="AC471" s="828"/>
      <c r="AD471" s="828"/>
      <c r="AE471" s="828"/>
      <c r="AF471" s="828"/>
      <c r="AG471" s="828"/>
      <c r="AH471" s="828"/>
      <c r="AI471" s="828"/>
      <c r="AJ471" s="828"/>
    </row>
    <row r="472">
      <c r="A472" s="828"/>
      <c r="B472" s="828"/>
      <c r="C472" s="828"/>
      <c r="D472" s="828"/>
      <c r="E472" s="828"/>
      <c r="F472" s="828"/>
      <c r="G472" s="828"/>
      <c r="H472" s="828"/>
      <c r="I472" s="828"/>
      <c r="J472" s="828"/>
      <c r="K472" s="828"/>
      <c r="L472" s="828"/>
      <c r="M472" s="828"/>
      <c r="N472" s="828"/>
      <c r="O472" s="828"/>
      <c r="P472" s="828"/>
      <c r="Q472" s="828"/>
      <c r="R472" s="828"/>
      <c r="S472" s="828"/>
      <c r="T472" s="828"/>
      <c r="U472" s="828"/>
      <c r="V472" s="828"/>
      <c r="W472" s="828"/>
      <c r="X472" s="828"/>
      <c r="Y472" s="828"/>
      <c r="Z472" s="828"/>
      <c r="AA472" s="828"/>
      <c r="AB472" s="828"/>
      <c r="AC472" s="828"/>
      <c r="AD472" s="828"/>
      <c r="AE472" s="828"/>
      <c r="AF472" s="828"/>
      <c r="AG472" s="828"/>
      <c r="AH472" s="828"/>
      <c r="AI472" s="828"/>
      <c r="AJ472" s="828"/>
    </row>
    <row r="473">
      <c r="A473" s="828"/>
      <c r="B473" s="828"/>
      <c r="C473" s="828"/>
      <c r="D473" s="828"/>
      <c r="E473" s="828"/>
      <c r="F473" s="828"/>
      <c r="G473" s="828"/>
      <c r="H473" s="828"/>
      <c r="I473" s="828"/>
      <c r="J473" s="828"/>
      <c r="K473" s="828"/>
      <c r="L473" s="828"/>
      <c r="M473" s="828"/>
      <c r="N473" s="828"/>
      <c r="O473" s="828"/>
      <c r="P473" s="828"/>
      <c r="Q473" s="828"/>
      <c r="R473" s="828"/>
      <c r="S473" s="828"/>
      <c r="T473" s="828"/>
      <c r="U473" s="828"/>
      <c r="V473" s="828"/>
      <c r="W473" s="828"/>
      <c r="X473" s="828"/>
      <c r="Y473" s="828"/>
      <c r="Z473" s="828"/>
      <c r="AA473" s="828"/>
      <c r="AB473" s="828"/>
      <c r="AC473" s="828"/>
      <c r="AD473" s="828"/>
      <c r="AE473" s="828"/>
      <c r="AF473" s="828"/>
      <c r="AG473" s="828"/>
      <c r="AH473" s="828"/>
      <c r="AI473" s="828"/>
      <c r="AJ473" s="828"/>
    </row>
    <row r="474">
      <c r="A474" s="828"/>
      <c r="B474" s="828"/>
      <c r="C474" s="828"/>
      <c r="D474" s="828"/>
      <c r="E474" s="828"/>
      <c r="F474" s="828"/>
      <c r="G474" s="828"/>
      <c r="H474" s="828"/>
      <c r="I474" s="828"/>
      <c r="J474" s="828"/>
      <c r="K474" s="828"/>
      <c r="L474" s="828"/>
      <c r="M474" s="828"/>
      <c r="N474" s="828"/>
      <c r="O474" s="828"/>
      <c r="P474" s="828"/>
      <c r="Q474" s="828"/>
      <c r="R474" s="828"/>
      <c r="S474" s="828"/>
      <c r="T474" s="828"/>
      <c r="U474" s="828"/>
      <c r="V474" s="828"/>
      <c r="W474" s="828"/>
      <c r="X474" s="828"/>
      <c r="Y474" s="828"/>
      <c r="Z474" s="828"/>
      <c r="AA474" s="828"/>
      <c r="AB474" s="828"/>
      <c r="AC474" s="828"/>
      <c r="AD474" s="828"/>
      <c r="AE474" s="828"/>
      <c r="AF474" s="828"/>
      <c r="AG474" s="828"/>
      <c r="AH474" s="828"/>
      <c r="AI474" s="828"/>
      <c r="AJ474" s="828"/>
    </row>
    <row r="475">
      <c r="A475" s="828"/>
      <c r="B475" s="828"/>
      <c r="C475" s="828"/>
      <c r="D475" s="828"/>
      <c r="E475" s="828"/>
      <c r="F475" s="828"/>
      <c r="G475" s="828"/>
      <c r="H475" s="828"/>
      <c r="I475" s="828"/>
      <c r="J475" s="828"/>
      <c r="K475" s="828"/>
      <c r="L475" s="828"/>
      <c r="M475" s="828"/>
      <c r="N475" s="828"/>
      <c r="O475" s="828"/>
      <c r="P475" s="828"/>
      <c r="Q475" s="828"/>
      <c r="R475" s="828"/>
      <c r="S475" s="828"/>
      <c r="T475" s="828"/>
      <c r="U475" s="828"/>
      <c r="V475" s="828"/>
      <c r="W475" s="828"/>
      <c r="X475" s="828"/>
      <c r="Y475" s="828"/>
      <c r="Z475" s="828"/>
      <c r="AA475" s="828"/>
      <c r="AB475" s="828"/>
      <c r="AC475" s="828"/>
      <c r="AD475" s="828"/>
      <c r="AE475" s="828"/>
      <c r="AF475" s="828"/>
      <c r="AG475" s="828"/>
      <c r="AH475" s="828"/>
      <c r="AI475" s="828"/>
      <c r="AJ475" s="828"/>
    </row>
    <row r="476">
      <c r="A476" s="828"/>
      <c r="B476" s="828"/>
      <c r="C476" s="828"/>
      <c r="D476" s="828"/>
      <c r="E476" s="828"/>
      <c r="F476" s="828"/>
      <c r="G476" s="828"/>
      <c r="H476" s="828"/>
      <c r="I476" s="828"/>
      <c r="J476" s="828"/>
      <c r="K476" s="828"/>
      <c r="L476" s="828"/>
      <c r="M476" s="828"/>
      <c r="N476" s="828"/>
      <c r="O476" s="828"/>
      <c r="P476" s="828"/>
      <c r="Q476" s="828"/>
      <c r="R476" s="828"/>
      <c r="S476" s="828"/>
      <c r="T476" s="828"/>
      <c r="U476" s="828"/>
      <c r="V476" s="828"/>
      <c r="W476" s="828"/>
      <c r="X476" s="828"/>
      <c r="Y476" s="828"/>
      <c r="Z476" s="828"/>
      <c r="AA476" s="828"/>
      <c r="AB476" s="828"/>
      <c r="AC476" s="828"/>
      <c r="AD476" s="828"/>
      <c r="AE476" s="828"/>
      <c r="AF476" s="828"/>
      <c r="AG476" s="828"/>
      <c r="AH476" s="828"/>
      <c r="AI476" s="828"/>
      <c r="AJ476" s="828"/>
    </row>
    <row r="477">
      <c r="A477" s="828"/>
      <c r="B477" s="828"/>
      <c r="C477" s="828"/>
      <c r="D477" s="828"/>
      <c r="E477" s="828"/>
      <c r="F477" s="828"/>
      <c r="G477" s="828"/>
      <c r="H477" s="828"/>
      <c r="I477" s="828"/>
      <c r="J477" s="828"/>
      <c r="K477" s="828"/>
      <c r="L477" s="828"/>
      <c r="M477" s="828"/>
      <c r="N477" s="828"/>
      <c r="O477" s="828"/>
      <c r="P477" s="828"/>
      <c r="Q477" s="828"/>
      <c r="R477" s="828"/>
      <c r="S477" s="828"/>
      <c r="T477" s="828"/>
      <c r="U477" s="828"/>
      <c r="V477" s="828"/>
      <c r="W477" s="828"/>
      <c r="X477" s="828"/>
      <c r="Y477" s="828"/>
      <c r="Z477" s="828"/>
      <c r="AA477" s="828"/>
      <c r="AB477" s="828"/>
      <c r="AC477" s="828"/>
      <c r="AD477" s="828"/>
      <c r="AE477" s="828"/>
      <c r="AF477" s="828"/>
      <c r="AG477" s="828"/>
      <c r="AH477" s="828"/>
      <c r="AI477" s="828"/>
      <c r="AJ477" s="828"/>
    </row>
    <row r="478">
      <c r="A478" s="828"/>
      <c r="B478" s="828"/>
      <c r="C478" s="828"/>
      <c r="D478" s="828"/>
      <c r="E478" s="828"/>
      <c r="F478" s="828"/>
      <c r="G478" s="828"/>
      <c r="H478" s="828"/>
      <c r="I478" s="828"/>
      <c r="J478" s="828"/>
      <c r="K478" s="828"/>
      <c r="L478" s="828"/>
      <c r="M478" s="828"/>
      <c r="N478" s="828"/>
      <c r="O478" s="828"/>
      <c r="P478" s="828"/>
      <c r="Q478" s="828"/>
      <c r="R478" s="828"/>
      <c r="S478" s="828"/>
      <c r="T478" s="828"/>
      <c r="U478" s="828"/>
      <c r="V478" s="828"/>
      <c r="W478" s="828"/>
      <c r="X478" s="828"/>
      <c r="Y478" s="828"/>
      <c r="Z478" s="828"/>
      <c r="AA478" s="828"/>
      <c r="AB478" s="828"/>
      <c r="AC478" s="828"/>
      <c r="AD478" s="828"/>
      <c r="AE478" s="828"/>
      <c r="AF478" s="828"/>
      <c r="AG478" s="828"/>
      <c r="AH478" s="828"/>
      <c r="AI478" s="828"/>
      <c r="AJ478" s="828"/>
    </row>
    <row r="479">
      <c r="A479" s="828"/>
      <c r="B479" s="828"/>
      <c r="C479" s="828"/>
      <c r="D479" s="828"/>
      <c r="E479" s="828"/>
      <c r="F479" s="828"/>
      <c r="G479" s="828"/>
      <c r="H479" s="828"/>
      <c r="I479" s="828"/>
      <c r="J479" s="828"/>
      <c r="K479" s="828"/>
      <c r="L479" s="828"/>
      <c r="M479" s="828"/>
      <c r="N479" s="828"/>
      <c r="O479" s="828"/>
      <c r="P479" s="828"/>
      <c r="Q479" s="828"/>
      <c r="R479" s="828"/>
      <c r="S479" s="828"/>
      <c r="T479" s="828"/>
      <c r="U479" s="828"/>
      <c r="V479" s="828"/>
      <c r="W479" s="828"/>
      <c r="X479" s="828"/>
      <c r="Y479" s="828"/>
      <c r="Z479" s="828"/>
      <c r="AA479" s="828"/>
      <c r="AB479" s="828"/>
      <c r="AC479" s="828"/>
      <c r="AD479" s="828"/>
      <c r="AE479" s="828"/>
      <c r="AF479" s="828"/>
      <c r="AG479" s="828"/>
      <c r="AH479" s="828"/>
      <c r="AI479" s="828"/>
      <c r="AJ479" s="828"/>
    </row>
    <row r="480">
      <c r="A480" s="828"/>
      <c r="B480" s="828"/>
      <c r="C480" s="828"/>
      <c r="D480" s="828"/>
      <c r="E480" s="828"/>
      <c r="F480" s="828"/>
      <c r="G480" s="828"/>
      <c r="H480" s="828"/>
      <c r="I480" s="828"/>
      <c r="J480" s="828"/>
      <c r="K480" s="828"/>
      <c r="L480" s="828"/>
      <c r="M480" s="828"/>
      <c r="N480" s="828"/>
      <c r="O480" s="828"/>
      <c r="P480" s="828"/>
      <c r="Q480" s="828"/>
      <c r="R480" s="828"/>
      <c r="S480" s="828"/>
      <c r="T480" s="828"/>
      <c r="U480" s="828"/>
      <c r="V480" s="828"/>
      <c r="W480" s="828"/>
      <c r="X480" s="828"/>
      <c r="Y480" s="828"/>
      <c r="Z480" s="828"/>
      <c r="AA480" s="828"/>
      <c r="AB480" s="828"/>
      <c r="AC480" s="828"/>
      <c r="AD480" s="828"/>
      <c r="AE480" s="828"/>
      <c r="AF480" s="828"/>
      <c r="AG480" s="828"/>
      <c r="AH480" s="828"/>
      <c r="AI480" s="828"/>
      <c r="AJ480" s="828"/>
    </row>
    <row r="481">
      <c r="A481" s="828"/>
      <c r="B481" s="828"/>
      <c r="C481" s="828"/>
      <c r="D481" s="828"/>
      <c r="E481" s="828"/>
      <c r="F481" s="828"/>
      <c r="G481" s="828"/>
      <c r="H481" s="828"/>
      <c r="I481" s="828"/>
      <c r="J481" s="828"/>
      <c r="K481" s="828"/>
      <c r="L481" s="828"/>
      <c r="M481" s="828"/>
      <c r="N481" s="828"/>
      <c r="O481" s="828"/>
      <c r="P481" s="828"/>
      <c r="Q481" s="828"/>
      <c r="R481" s="828"/>
      <c r="S481" s="828"/>
      <c r="T481" s="828"/>
      <c r="U481" s="828"/>
      <c r="V481" s="828"/>
      <c r="W481" s="828"/>
      <c r="X481" s="828"/>
      <c r="Y481" s="828"/>
      <c r="Z481" s="828"/>
      <c r="AA481" s="828"/>
      <c r="AB481" s="828"/>
      <c r="AC481" s="828"/>
      <c r="AD481" s="828"/>
      <c r="AE481" s="828"/>
      <c r="AF481" s="828"/>
      <c r="AG481" s="828"/>
      <c r="AH481" s="828"/>
      <c r="AI481" s="828"/>
      <c r="AJ481" s="828"/>
    </row>
    <row r="482">
      <c r="A482" s="828"/>
      <c r="B482" s="828"/>
      <c r="C482" s="828"/>
      <c r="D482" s="828"/>
      <c r="E482" s="828"/>
      <c r="F482" s="828"/>
      <c r="G482" s="828"/>
      <c r="H482" s="828"/>
      <c r="I482" s="828"/>
      <c r="J482" s="828"/>
      <c r="K482" s="828"/>
      <c r="L482" s="828"/>
      <c r="M482" s="828"/>
      <c r="N482" s="828"/>
      <c r="O482" s="828"/>
      <c r="P482" s="828"/>
      <c r="Q482" s="828"/>
      <c r="R482" s="828"/>
      <c r="S482" s="828"/>
      <c r="T482" s="828"/>
      <c r="U482" s="828"/>
      <c r="V482" s="828"/>
      <c r="W482" s="828"/>
      <c r="X482" s="828"/>
      <c r="Y482" s="828"/>
      <c r="Z482" s="828"/>
      <c r="AA482" s="828"/>
      <c r="AB482" s="828"/>
      <c r="AC482" s="828"/>
      <c r="AD482" s="828"/>
      <c r="AE482" s="828"/>
      <c r="AF482" s="828"/>
      <c r="AG482" s="828"/>
      <c r="AH482" s="828"/>
      <c r="AI482" s="828"/>
      <c r="AJ482" s="828"/>
    </row>
    <row r="483">
      <c r="A483" s="828"/>
      <c r="B483" s="828"/>
      <c r="C483" s="828"/>
      <c r="D483" s="828"/>
      <c r="E483" s="828"/>
      <c r="F483" s="828"/>
      <c r="G483" s="828"/>
      <c r="H483" s="828"/>
      <c r="I483" s="828"/>
      <c r="J483" s="828"/>
      <c r="K483" s="828"/>
      <c r="L483" s="828"/>
      <c r="M483" s="828"/>
      <c r="N483" s="828"/>
      <c r="O483" s="828"/>
      <c r="P483" s="828"/>
      <c r="Q483" s="828"/>
      <c r="R483" s="828"/>
      <c r="S483" s="828"/>
      <c r="T483" s="828"/>
      <c r="U483" s="828"/>
      <c r="V483" s="828"/>
      <c r="W483" s="828"/>
      <c r="X483" s="828"/>
      <c r="Y483" s="828"/>
      <c r="Z483" s="828"/>
      <c r="AA483" s="828"/>
      <c r="AB483" s="828"/>
      <c r="AC483" s="828"/>
      <c r="AD483" s="828"/>
      <c r="AE483" s="828"/>
      <c r="AF483" s="828"/>
      <c r="AG483" s="828"/>
      <c r="AH483" s="828"/>
      <c r="AI483" s="828"/>
      <c r="AJ483" s="828"/>
    </row>
    <row r="484">
      <c r="A484" s="828"/>
      <c r="B484" s="828"/>
      <c r="C484" s="828"/>
      <c r="D484" s="828"/>
      <c r="E484" s="828"/>
      <c r="F484" s="828"/>
      <c r="G484" s="828"/>
      <c r="H484" s="828"/>
      <c r="I484" s="828"/>
      <c r="J484" s="828"/>
      <c r="K484" s="828"/>
      <c r="L484" s="828"/>
      <c r="M484" s="828"/>
      <c r="N484" s="828"/>
      <c r="O484" s="828"/>
      <c r="P484" s="828"/>
      <c r="Q484" s="828"/>
      <c r="R484" s="828"/>
      <c r="S484" s="828"/>
      <c r="T484" s="828"/>
      <c r="U484" s="828"/>
      <c r="V484" s="828"/>
      <c r="W484" s="828"/>
      <c r="X484" s="828"/>
      <c r="Y484" s="828"/>
      <c r="Z484" s="828"/>
      <c r="AA484" s="828"/>
      <c r="AB484" s="828"/>
      <c r="AC484" s="828"/>
      <c r="AD484" s="828"/>
      <c r="AE484" s="828"/>
      <c r="AF484" s="828"/>
      <c r="AG484" s="828"/>
      <c r="AH484" s="828"/>
      <c r="AI484" s="828"/>
      <c r="AJ484" s="828"/>
    </row>
    <row r="485">
      <c r="A485" s="828"/>
      <c r="B485" s="828"/>
      <c r="C485" s="828"/>
      <c r="D485" s="828"/>
      <c r="E485" s="828"/>
      <c r="F485" s="828"/>
      <c r="G485" s="828"/>
      <c r="H485" s="828"/>
      <c r="I485" s="828"/>
      <c r="J485" s="828"/>
      <c r="K485" s="828"/>
      <c r="L485" s="828"/>
      <c r="M485" s="828"/>
      <c r="N485" s="828"/>
      <c r="O485" s="828"/>
      <c r="P485" s="828"/>
      <c r="Q485" s="828"/>
      <c r="R485" s="828"/>
      <c r="S485" s="828"/>
      <c r="T485" s="828"/>
      <c r="U485" s="828"/>
      <c r="V485" s="828"/>
      <c r="W485" s="828"/>
      <c r="X485" s="828"/>
      <c r="Y485" s="828"/>
      <c r="Z485" s="828"/>
      <c r="AA485" s="828"/>
      <c r="AB485" s="828"/>
      <c r="AC485" s="828"/>
      <c r="AD485" s="828"/>
      <c r="AE485" s="828"/>
      <c r="AF485" s="828"/>
      <c r="AG485" s="828"/>
      <c r="AH485" s="828"/>
      <c r="AI485" s="828"/>
      <c r="AJ485" s="828"/>
    </row>
    <row r="486">
      <c r="A486" s="828"/>
      <c r="B486" s="828"/>
      <c r="C486" s="828"/>
      <c r="D486" s="828"/>
      <c r="E486" s="828"/>
      <c r="F486" s="828"/>
      <c r="G486" s="828"/>
      <c r="H486" s="828"/>
      <c r="I486" s="828"/>
      <c r="J486" s="828"/>
      <c r="K486" s="828"/>
      <c r="L486" s="828"/>
      <c r="M486" s="828"/>
      <c r="N486" s="828"/>
      <c r="O486" s="828"/>
      <c r="P486" s="828"/>
      <c r="Q486" s="828"/>
      <c r="R486" s="828"/>
      <c r="S486" s="828"/>
      <c r="T486" s="828"/>
      <c r="U486" s="828"/>
      <c r="V486" s="828"/>
      <c r="W486" s="828"/>
      <c r="X486" s="828"/>
      <c r="Y486" s="828"/>
      <c r="Z486" s="828"/>
      <c r="AA486" s="828"/>
      <c r="AB486" s="828"/>
      <c r="AC486" s="828"/>
      <c r="AD486" s="828"/>
      <c r="AE486" s="828"/>
      <c r="AF486" s="828"/>
      <c r="AG486" s="828"/>
      <c r="AH486" s="828"/>
      <c r="AI486" s="828"/>
      <c r="AJ486" s="828"/>
    </row>
    <row r="487">
      <c r="A487" s="828"/>
      <c r="B487" s="828"/>
      <c r="C487" s="828"/>
      <c r="D487" s="828"/>
      <c r="E487" s="828"/>
      <c r="F487" s="828"/>
      <c r="G487" s="828"/>
      <c r="H487" s="828"/>
      <c r="I487" s="828"/>
      <c r="J487" s="828"/>
      <c r="K487" s="828"/>
      <c r="L487" s="828"/>
      <c r="M487" s="828"/>
      <c r="N487" s="828"/>
      <c r="O487" s="828"/>
      <c r="P487" s="828"/>
      <c r="Q487" s="828"/>
      <c r="R487" s="828"/>
      <c r="S487" s="828"/>
      <c r="T487" s="828"/>
      <c r="U487" s="828"/>
      <c r="V487" s="828"/>
      <c r="W487" s="828"/>
      <c r="X487" s="828"/>
      <c r="Y487" s="828"/>
      <c r="Z487" s="828"/>
      <c r="AA487" s="828"/>
      <c r="AB487" s="828"/>
      <c r="AC487" s="828"/>
      <c r="AD487" s="828"/>
      <c r="AE487" s="828"/>
      <c r="AF487" s="828"/>
      <c r="AG487" s="828"/>
      <c r="AH487" s="828"/>
      <c r="AI487" s="828"/>
      <c r="AJ487" s="828"/>
    </row>
    <row r="488">
      <c r="A488" s="828"/>
      <c r="B488" s="828"/>
      <c r="C488" s="828"/>
      <c r="D488" s="828"/>
      <c r="E488" s="828"/>
      <c r="F488" s="828"/>
      <c r="G488" s="828"/>
      <c r="H488" s="828"/>
      <c r="I488" s="828"/>
      <c r="J488" s="828"/>
      <c r="K488" s="828"/>
      <c r="L488" s="828"/>
      <c r="M488" s="828"/>
      <c r="N488" s="828"/>
      <c r="O488" s="828"/>
      <c r="P488" s="828"/>
      <c r="Q488" s="828"/>
      <c r="R488" s="828"/>
      <c r="S488" s="828"/>
      <c r="T488" s="828"/>
      <c r="U488" s="828"/>
      <c r="V488" s="828"/>
      <c r="W488" s="828"/>
      <c r="X488" s="828"/>
      <c r="Y488" s="828"/>
      <c r="Z488" s="828"/>
      <c r="AA488" s="828"/>
      <c r="AB488" s="828"/>
      <c r="AC488" s="828"/>
      <c r="AD488" s="828"/>
      <c r="AE488" s="828"/>
      <c r="AF488" s="828"/>
      <c r="AG488" s="828"/>
      <c r="AH488" s="828"/>
      <c r="AI488" s="828"/>
      <c r="AJ488" s="828"/>
    </row>
    <row r="489">
      <c r="A489" s="828"/>
      <c r="B489" s="828"/>
      <c r="C489" s="828"/>
      <c r="D489" s="828"/>
      <c r="E489" s="828"/>
      <c r="F489" s="828"/>
      <c r="G489" s="828"/>
      <c r="H489" s="828"/>
      <c r="I489" s="828"/>
      <c r="J489" s="828"/>
      <c r="K489" s="828"/>
      <c r="L489" s="828"/>
      <c r="M489" s="828"/>
      <c r="N489" s="828"/>
      <c r="O489" s="828"/>
      <c r="P489" s="828"/>
      <c r="Q489" s="828"/>
      <c r="R489" s="828"/>
      <c r="S489" s="828"/>
      <c r="T489" s="828"/>
      <c r="U489" s="828"/>
      <c r="V489" s="828"/>
      <c r="W489" s="828"/>
      <c r="X489" s="828"/>
      <c r="Y489" s="828"/>
      <c r="Z489" s="828"/>
      <c r="AA489" s="828"/>
      <c r="AB489" s="828"/>
      <c r="AC489" s="828"/>
      <c r="AD489" s="828"/>
      <c r="AE489" s="828"/>
      <c r="AF489" s="828"/>
      <c r="AG489" s="828"/>
      <c r="AH489" s="828"/>
      <c r="AI489" s="828"/>
      <c r="AJ489" s="828"/>
    </row>
    <row r="490">
      <c r="A490" s="828"/>
      <c r="B490" s="828"/>
      <c r="C490" s="828"/>
      <c r="D490" s="828"/>
      <c r="E490" s="828"/>
      <c r="F490" s="828"/>
      <c r="G490" s="828"/>
      <c r="H490" s="828"/>
      <c r="I490" s="828"/>
      <c r="J490" s="828"/>
      <c r="K490" s="828"/>
      <c r="L490" s="828"/>
      <c r="M490" s="828"/>
      <c r="N490" s="828"/>
      <c r="O490" s="828"/>
      <c r="P490" s="828"/>
      <c r="Q490" s="828"/>
      <c r="R490" s="828"/>
      <c r="S490" s="828"/>
      <c r="T490" s="828"/>
      <c r="U490" s="828"/>
      <c r="V490" s="828"/>
      <c r="W490" s="828"/>
      <c r="X490" s="828"/>
      <c r="Y490" s="828"/>
      <c r="Z490" s="828"/>
      <c r="AA490" s="828"/>
      <c r="AB490" s="828"/>
      <c r="AC490" s="828"/>
      <c r="AD490" s="828"/>
      <c r="AE490" s="828"/>
      <c r="AF490" s="828"/>
      <c r="AG490" s="828"/>
      <c r="AH490" s="828"/>
      <c r="AI490" s="828"/>
      <c r="AJ490" s="828"/>
    </row>
    <row r="491">
      <c r="A491" s="828"/>
      <c r="B491" s="828"/>
      <c r="C491" s="828"/>
      <c r="D491" s="828"/>
      <c r="E491" s="828"/>
      <c r="F491" s="828"/>
      <c r="G491" s="828"/>
      <c r="H491" s="828"/>
      <c r="I491" s="828"/>
      <c r="J491" s="828"/>
      <c r="K491" s="828"/>
      <c r="L491" s="828"/>
      <c r="M491" s="828"/>
      <c r="N491" s="828"/>
      <c r="O491" s="828"/>
      <c r="P491" s="828"/>
      <c r="Q491" s="828"/>
      <c r="R491" s="828"/>
      <c r="S491" s="828"/>
      <c r="T491" s="828"/>
      <c r="U491" s="828"/>
      <c r="V491" s="828"/>
      <c r="W491" s="828"/>
      <c r="X491" s="828"/>
      <c r="Y491" s="828"/>
      <c r="Z491" s="828"/>
      <c r="AA491" s="828"/>
      <c r="AB491" s="828"/>
      <c r="AC491" s="828"/>
      <c r="AD491" s="828"/>
      <c r="AE491" s="828"/>
      <c r="AF491" s="828"/>
      <c r="AG491" s="828"/>
      <c r="AH491" s="828"/>
      <c r="AI491" s="828"/>
      <c r="AJ491" s="828"/>
    </row>
    <row r="492">
      <c r="A492" s="828"/>
      <c r="B492" s="828"/>
      <c r="C492" s="828"/>
      <c r="D492" s="828"/>
      <c r="E492" s="828"/>
      <c r="F492" s="828"/>
      <c r="G492" s="828"/>
      <c r="H492" s="828"/>
      <c r="I492" s="828"/>
      <c r="J492" s="828"/>
      <c r="K492" s="828"/>
      <c r="L492" s="828"/>
      <c r="M492" s="828"/>
      <c r="N492" s="828"/>
      <c r="O492" s="828"/>
      <c r="P492" s="828"/>
      <c r="Q492" s="828"/>
      <c r="R492" s="828"/>
      <c r="S492" s="828"/>
      <c r="T492" s="828"/>
      <c r="U492" s="828"/>
      <c r="V492" s="828"/>
      <c r="W492" s="828"/>
      <c r="X492" s="828"/>
      <c r="Y492" s="828"/>
      <c r="Z492" s="828"/>
      <c r="AA492" s="828"/>
      <c r="AB492" s="828"/>
      <c r="AC492" s="828"/>
      <c r="AD492" s="828"/>
      <c r="AE492" s="828"/>
      <c r="AF492" s="828"/>
      <c r="AG492" s="828"/>
      <c r="AH492" s="828"/>
      <c r="AI492" s="828"/>
      <c r="AJ492" s="828"/>
    </row>
    <row r="493">
      <c r="A493" s="828"/>
      <c r="B493" s="828"/>
      <c r="C493" s="828"/>
      <c r="D493" s="828"/>
      <c r="E493" s="828"/>
      <c r="F493" s="828"/>
      <c r="G493" s="828"/>
      <c r="H493" s="828"/>
      <c r="I493" s="828"/>
      <c r="J493" s="828"/>
      <c r="K493" s="828"/>
      <c r="L493" s="828"/>
      <c r="M493" s="828"/>
      <c r="N493" s="828"/>
      <c r="O493" s="828"/>
      <c r="P493" s="828"/>
      <c r="Q493" s="828"/>
      <c r="R493" s="828"/>
      <c r="S493" s="828"/>
      <c r="T493" s="828"/>
      <c r="U493" s="828"/>
      <c r="V493" s="828"/>
      <c r="W493" s="828"/>
      <c r="X493" s="828"/>
      <c r="Y493" s="828"/>
      <c r="Z493" s="828"/>
      <c r="AA493" s="828"/>
      <c r="AB493" s="828"/>
      <c r="AC493" s="828"/>
      <c r="AD493" s="828"/>
      <c r="AE493" s="828"/>
      <c r="AF493" s="828"/>
      <c r="AG493" s="828"/>
      <c r="AH493" s="828"/>
      <c r="AI493" s="828"/>
      <c r="AJ493" s="828"/>
    </row>
    <row r="494">
      <c r="A494" s="828"/>
      <c r="B494" s="828"/>
      <c r="C494" s="828"/>
      <c r="D494" s="828"/>
      <c r="E494" s="828"/>
      <c r="F494" s="828"/>
      <c r="G494" s="828"/>
      <c r="H494" s="828"/>
      <c r="I494" s="828"/>
      <c r="J494" s="828"/>
      <c r="K494" s="828"/>
      <c r="L494" s="828"/>
      <c r="M494" s="828"/>
      <c r="N494" s="828"/>
      <c r="O494" s="828"/>
      <c r="P494" s="828"/>
      <c r="Q494" s="828"/>
      <c r="R494" s="828"/>
      <c r="S494" s="828"/>
      <c r="T494" s="828"/>
      <c r="U494" s="828"/>
      <c r="V494" s="828"/>
      <c r="W494" s="828"/>
      <c r="X494" s="828"/>
      <c r="Y494" s="828"/>
      <c r="Z494" s="828"/>
      <c r="AA494" s="828"/>
      <c r="AB494" s="828"/>
      <c r="AC494" s="828"/>
      <c r="AD494" s="828"/>
      <c r="AE494" s="828"/>
      <c r="AF494" s="828"/>
      <c r="AG494" s="828"/>
      <c r="AH494" s="828"/>
      <c r="AI494" s="828"/>
      <c r="AJ494" s="828"/>
    </row>
    <row r="495">
      <c r="A495" s="828"/>
      <c r="B495" s="828"/>
      <c r="C495" s="828"/>
      <c r="D495" s="828"/>
      <c r="E495" s="828"/>
      <c r="F495" s="828"/>
      <c r="G495" s="828"/>
      <c r="H495" s="828"/>
      <c r="I495" s="828"/>
      <c r="J495" s="828"/>
      <c r="K495" s="828"/>
      <c r="L495" s="828"/>
      <c r="M495" s="828"/>
      <c r="N495" s="828"/>
      <c r="O495" s="828"/>
      <c r="P495" s="828"/>
      <c r="Q495" s="828"/>
      <c r="R495" s="828"/>
      <c r="S495" s="828"/>
      <c r="T495" s="828"/>
      <c r="U495" s="828"/>
      <c r="V495" s="828"/>
      <c r="W495" s="828"/>
      <c r="X495" s="828"/>
      <c r="Y495" s="828"/>
      <c r="Z495" s="828"/>
      <c r="AA495" s="828"/>
      <c r="AB495" s="828"/>
      <c r="AC495" s="828"/>
      <c r="AD495" s="828"/>
      <c r="AE495" s="828"/>
      <c r="AF495" s="828"/>
      <c r="AG495" s="828"/>
      <c r="AH495" s="828"/>
      <c r="AI495" s="828"/>
      <c r="AJ495" s="828"/>
    </row>
    <row r="496">
      <c r="A496" s="828"/>
      <c r="B496" s="828"/>
      <c r="C496" s="828"/>
      <c r="D496" s="828"/>
      <c r="E496" s="828"/>
      <c r="F496" s="828"/>
      <c r="G496" s="828"/>
      <c r="H496" s="828"/>
      <c r="I496" s="828"/>
      <c r="J496" s="828"/>
      <c r="K496" s="828"/>
      <c r="L496" s="828"/>
      <c r="M496" s="828"/>
      <c r="N496" s="828"/>
      <c r="O496" s="828"/>
      <c r="P496" s="828"/>
      <c r="Q496" s="828"/>
      <c r="R496" s="828"/>
      <c r="S496" s="828"/>
      <c r="T496" s="828"/>
      <c r="U496" s="828"/>
      <c r="V496" s="828"/>
      <c r="W496" s="828"/>
      <c r="X496" s="828"/>
      <c r="Y496" s="828"/>
      <c r="Z496" s="828"/>
      <c r="AA496" s="828"/>
      <c r="AB496" s="828"/>
      <c r="AC496" s="828"/>
      <c r="AD496" s="828"/>
      <c r="AE496" s="828"/>
      <c r="AF496" s="828"/>
      <c r="AG496" s="828"/>
      <c r="AH496" s="828"/>
      <c r="AI496" s="828"/>
      <c r="AJ496" s="828"/>
    </row>
    <row r="497">
      <c r="A497" s="828"/>
      <c r="B497" s="828"/>
      <c r="C497" s="828"/>
      <c r="D497" s="828"/>
      <c r="E497" s="828"/>
      <c r="F497" s="828"/>
      <c r="G497" s="828"/>
      <c r="H497" s="828"/>
      <c r="I497" s="828"/>
      <c r="J497" s="828"/>
      <c r="K497" s="828"/>
      <c r="L497" s="828"/>
      <c r="M497" s="828"/>
      <c r="N497" s="828"/>
      <c r="O497" s="828"/>
      <c r="P497" s="828"/>
      <c r="Q497" s="828"/>
      <c r="R497" s="828"/>
      <c r="S497" s="828"/>
      <c r="T497" s="828"/>
      <c r="U497" s="828"/>
      <c r="V497" s="828"/>
      <c r="W497" s="828"/>
      <c r="X497" s="828"/>
      <c r="Y497" s="828"/>
      <c r="Z497" s="828"/>
      <c r="AA497" s="828"/>
      <c r="AB497" s="828"/>
      <c r="AC497" s="828"/>
      <c r="AD497" s="828"/>
      <c r="AE497" s="828"/>
      <c r="AF497" s="828"/>
      <c r="AG497" s="828"/>
      <c r="AH497" s="828"/>
      <c r="AI497" s="828"/>
      <c r="AJ497" s="828"/>
    </row>
    <row r="498">
      <c r="A498" s="828"/>
      <c r="B498" s="828"/>
      <c r="C498" s="828"/>
      <c r="D498" s="828"/>
      <c r="E498" s="828"/>
      <c r="F498" s="828"/>
      <c r="G498" s="828"/>
      <c r="H498" s="828"/>
      <c r="I498" s="828"/>
      <c r="J498" s="828"/>
      <c r="K498" s="828"/>
      <c r="L498" s="828"/>
      <c r="M498" s="828"/>
      <c r="N498" s="828"/>
      <c r="O498" s="828"/>
      <c r="P498" s="828"/>
      <c r="Q498" s="828"/>
      <c r="R498" s="828"/>
      <c r="S498" s="828"/>
      <c r="T498" s="828"/>
      <c r="U498" s="828"/>
      <c r="V498" s="828"/>
      <c r="W498" s="828"/>
      <c r="X498" s="828"/>
      <c r="Y498" s="828"/>
      <c r="Z498" s="828"/>
      <c r="AA498" s="828"/>
      <c r="AB498" s="828"/>
      <c r="AC498" s="828"/>
      <c r="AD498" s="828"/>
      <c r="AE498" s="828"/>
      <c r="AF498" s="828"/>
      <c r="AG498" s="828"/>
      <c r="AH498" s="828"/>
      <c r="AI498" s="828"/>
      <c r="AJ498" s="828"/>
    </row>
    <row r="499">
      <c r="A499" s="828"/>
      <c r="B499" s="828"/>
      <c r="C499" s="828"/>
      <c r="D499" s="828"/>
      <c r="E499" s="828"/>
      <c r="F499" s="828"/>
      <c r="G499" s="828"/>
      <c r="H499" s="828"/>
      <c r="I499" s="828"/>
      <c r="J499" s="828"/>
      <c r="K499" s="828"/>
      <c r="L499" s="828"/>
      <c r="M499" s="828"/>
      <c r="N499" s="828"/>
      <c r="O499" s="828"/>
      <c r="P499" s="828"/>
      <c r="Q499" s="828"/>
      <c r="R499" s="828"/>
      <c r="S499" s="828"/>
      <c r="T499" s="828"/>
      <c r="U499" s="828"/>
      <c r="V499" s="828"/>
      <c r="W499" s="828"/>
      <c r="X499" s="828"/>
      <c r="Y499" s="828"/>
      <c r="Z499" s="828"/>
      <c r="AA499" s="828"/>
      <c r="AB499" s="828"/>
      <c r="AC499" s="828"/>
      <c r="AD499" s="828"/>
      <c r="AE499" s="828"/>
      <c r="AF499" s="828"/>
      <c r="AG499" s="828"/>
      <c r="AH499" s="828"/>
      <c r="AI499" s="828"/>
      <c r="AJ499" s="828"/>
    </row>
    <row r="500">
      <c r="A500" s="828"/>
      <c r="B500" s="828"/>
      <c r="C500" s="828"/>
      <c r="D500" s="828"/>
      <c r="E500" s="828"/>
      <c r="F500" s="828"/>
      <c r="G500" s="828"/>
      <c r="H500" s="828"/>
      <c r="I500" s="828"/>
      <c r="J500" s="828"/>
      <c r="K500" s="828"/>
      <c r="L500" s="828"/>
      <c r="M500" s="828"/>
      <c r="N500" s="828"/>
      <c r="O500" s="828"/>
      <c r="P500" s="828"/>
      <c r="Q500" s="828"/>
      <c r="R500" s="828"/>
      <c r="S500" s="828"/>
      <c r="T500" s="828"/>
      <c r="U500" s="828"/>
      <c r="V500" s="828"/>
      <c r="W500" s="828"/>
      <c r="X500" s="828"/>
      <c r="Y500" s="828"/>
      <c r="Z500" s="828"/>
      <c r="AA500" s="828"/>
      <c r="AB500" s="828"/>
      <c r="AC500" s="828"/>
      <c r="AD500" s="828"/>
      <c r="AE500" s="828"/>
      <c r="AF500" s="828"/>
      <c r="AG500" s="828"/>
      <c r="AH500" s="828"/>
      <c r="AI500" s="828"/>
      <c r="AJ500" s="828"/>
    </row>
    <row r="501">
      <c r="A501" s="828"/>
      <c r="B501" s="828"/>
      <c r="C501" s="828"/>
      <c r="D501" s="828"/>
      <c r="E501" s="828"/>
      <c r="F501" s="828"/>
      <c r="G501" s="828"/>
      <c r="H501" s="828"/>
      <c r="I501" s="828"/>
      <c r="J501" s="828"/>
      <c r="K501" s="828"/>
      <c r="L501" s="828"/>
      <c r="M501" s="828"/>
      <c r="N501" s="828"/>
      <c r="O501" s="828"/>
      <c r="P501" s="828"/>
      <c r="Q501" s="828"/>
      <c r="R501" s="828"/>
      <c r="S501" s="828"/>
      <c r="T501" s="828"/>
      <c r="U501" s="828"/>
      <c r="V501" s="828"/>
      <c r="W501" s="828"/>
      <c r="X501" s="828"/>
      <c r="Y501" s="828"/>
      <c r="Z501" s="828"/>
      <c r="AA501" s="828"/>
      <c r="AB501" s="828"/>
      <c r="AC501" s="828"/>
      <c r="AD501" s="828"/>
      <c r="AE501" s="828"/>
      <c r="AF501" s="828"/>
      <c r="AG501" s="828"/>
      <c r="AH501" s="828"/>
      <c r="AI501" s="828"/>
      <c r="AJ501" s="828"/>
    </row>
    <row r="502">
      <c r="A502" s="828"/>
      <c r="B502" s="828"/>
      <c r="C502" s="828"/>
      <c r="D502" s="828"/>
      <c r="E502" s="828"/>
      <c r="F502" s="828"/>
      <c r="G502" s="828"/>
      <c r="H502" s="828"/>
      <c r="I502" s="828"/>
      <c r="J502" s="828"/>
      <c r="K502" s="828"/>
      <c r="L502" s="828"/>
      <c r="M502" s="828"/>
      <c r="N502" s="828"/>
      <c r="O502" s="828"/>
      <c r="P502" s="828"/>
      <c r="Q502" s="828"/>
      <c r="R502" s="828"/>
      <c r="S502" s="828"/>
      <c r="T502" s="828"/>
      <c r="U502" s="828"/>
      <c r="V502" s="828"/>
      <c r="W502" s="828"/>
      <c r="X502" s="828"/>
      <c r="Y502" s="828"/>
      <c r="Z502" s="828"/>
      <c r="AA502" s="828"/>
      <c r="AB502" s="828"/>
      <c r="AC502" s="828"/>
      <c r="AD502" s="828"/>
      <c r="AE502" s="828"/>
      <c r="AF502" s="828"/>
      <c r="AG502" s="828"/>
      <c r="AH502" s="828"/>
      <c r="AI502" s="828"/>
      <c r="AJ502" s="828"/>
    </row>
    <row r="503">
      <c r="A503" s="828"/>
      <c r="B503" s="828"/>
      <c r="C503" s="828"/>
      <c r="D503" s="828"/>
      <c r="E503" s="828"/>
      <c r="F503" s="828"/>
      <c r="G503" s="828"/>
      <c r="H503" s="828"/>
      <c r="I503" s="828"/>
      <c r="J503" s="828"/>
      <c r="K503" s="828"/>
      <c r="L503" s="828"/>
      <c r="M503" s="828"/>
      <c r="N503" s="828"/>
      <c r="O503" s="828"/>
      <c r="P503" s="828"/>
      <c r="Q503" s="828"/>
      <c r="R503" s="828"/>
      <c r="S503" s="828"/>
      <c r="T503" s="828"/>
      <c r="U503" s="828"/>
      <c r="V503" s="828"/>
      <c r="W503" s="828"/>
      <c r="X503" s="828"/>
      <c r="Y503" s="828"/>
      <c r="Z503" s="828"/>
      <c r="AA503" s="828"/>
      <c r="AB503" s="828"/>
      <c r="AC503" s="828"/>
      <c r="AD503" s="828"/>
      <c r="AE503" s="828"/>
      <c r="AF503" s="828"/>
      <c r="AG503" s="828"/>
      <c r="AH503" s="828"/>
      <c r="AI503" s="828"/>
      <c r="AJ503" s="828"/>
    </row>
    <row r="504">
      <c r="A504" s="828"/>
      <c r="B504" s="828"/>
      <c r="C504" s="828"/>
      <c r="D504" s="828"/>
      <c r="E504" s="828"/>
      <c r="F504" s="828"/>
      <c r="G504" s="828"/>
      <c r="H504" s="828"/>
      <c r="I504" s="828"/>
      <c r="J504" s="828"/>
      <c r="K504" s="828"/>
      <c r="L504" s="828"/>
      <c r="M504" s="828"/>
      <c r="N504" s="828"/>
      <c r="O504" s="828"/>
      <c r="P504" s="828"/>
      <c r="Q504" s="828"/>
      <c r="R504" s="828"/>
      <c r="S504" s="828"/>
      <c r="T504" s="828"/>
      <c r="U504" s="828"/>
      <c r="V504" s="828"/>
      <c r="W504" s="828"/>
      <c r="X504" s="828"/>
      <c r="Y504" s="828"/>
      <c r="Z504" s="828"/>
      <c r="AA504" s="828"/>
      <c r="AB504" s="828"/>
      <c r="AC504" s="828"/>
      <c r="AD504" s="828"/>
      <c r="AE504" s="828"/>
      <c r="AF504" s="828"/>
      <c r="AG504" s="828"/>
      <c r="AH504" s="828"/>
      <c r="AI504" s="828"/>
      <c r="AJ504" s="828"/>
    </row>
    <row r="505">
      <c r="A505" s="828"/>
      <c r="B505" s="828"/>
      <c r="C505" s="828"/>
      <c r="D505" s="828"/>
      <c r="E505" s="828"/>
      <c r="F505" s="828"/>
      <c r="G505" s="828"/>
      <c r="H505" s="828"/>
      <c r="I505" s="828"/>
      <c r="J505" s="828"/>
      <c r="K505" s="828"/>
      <c r="L505" s="828"/>
      <c r="M505" s="828"/>
      <c r="N505" s="828"/>
      <c r="O505" s="828"/>
      <c r="P505" s="828"/>
      <c r="Q505" s="828"/>
      <c r="R505" s="828"/>
      <c r="S505" s="828"/>
      <c r="T505" s="828"/>
      <c r="U505" s="828"/>
      <c r="V505" s="828"/>
      <c r="W505" s="828"/>
      <c r="X505" s="828"/>
      <c r="Y505" s="828"/>
      <c r="Z505" s="828"/>
      <c r="AA505" s="828"/>
      <c r="AB505" s="828"/>
      <c r="AC505" s="828"/>
      <c r="AD505" s="828"/>
      <c r="AE505" s="828"/>
      <c r="AF505" s="828"/>
      <c r="AG505" s="828"/>
      <c r="AH505" s="828"/>
      <c r="AI505" s="828"/>
      <c r="AJ505" s="828"/>
    </row>
    <row r="506">
      <c r="A506" s="828"/>
      <c r="B506" s="828"/>
      <c r="C506" s="828"/>
      <c r="D506" s="828"/>
      <c r="E506" s="828"/>
      <c r="F506" s="828"/>
      <c r="G506" s="828"/>
      <c r="H506" s="828"/>
      <c r="I506" s="828"/>
      <c r="J506" s="828"/>
      <c r="K506" s="828"/>
      <c r="L506" s="828"/>
      <c r="M506" s="828"/>
      <c r="N506" s="828"/>
      <c r="O506" s="828"/>
      <c r="P506" s="828"/>
      <c r="Q506" s="828"/>
      <c r="R506" s="828"/>
      <c r="S506" s="828"/>
      <c r="T506" s="828"/>
      <c r="U506" s="828"/>
      <c r="V506" s="828"/>
      <c r="W506" s="828"/>
      <c r="X506" s="828"/>
      <c r="Y506" s="828"/>
      <c r="Z506" s="828"/>
      <c r="AA506" s="828"/>
      <c r="AB506" s="828"/>
      <c r="AC506" s="828"/>
      <c r="AD506" s="828"/>
      <c r="AE506" s="828"/>
      <c r="AF506" s="828"/>
      <c r="AG506" s="828"/>
      <c r="AH506" s="828"/>
      <c r="AI506" s="828"/>
      <c r="AJ506" s="828"/>
    </row>
    <row r="507">
      <c r="A507" s="828"/>
      <c r="B507" s="828"/>
      <c r="C507" s="828"/>
      <c r="D507" s="828"/>
      <c r="E507" s="828"/>
      <c r="F507" s="828"/>
      <c r="G507" s="828"/>
      <c r="H507" s="828"/>
      <c r="I507" s="828"/>
      <c r="J507" s="828"/>
      <c r="K507" s="828"/>
      <c r="L507" s="828"/>
      <c r="M507" s="828"/>
      <c r="N507" s="828"/>
      <c r="O507" s="828"/>
      <c r="P507" s="828"/>
      <c r="Q507" s="828"/>
      <c r="R507" s="828"/>
      <c r="S507" s="828"/>
      <c r="T507" s="828"/>
      <c r="U507" s="828"/>
      <c r="V507" s="828"/>
      <c r="W507" s="828"/>
      <c r="X507" s="828"/>
      <c r="Y507" s="828"/>
      <c r="Z507" s="828"/>
      <c r="AA507" s="828"/>
      <c r="AB507" s="828"/>
      <c r="AC507" s="828"/>
      <c r="AD507" s="828"/>
      <c r="AE507" s="828"/>
      <c r="AF507" s="828"/>
      <c r="AG507" s="828"/>
      <c r="AH507" s="828"/>
      <c r="AI507" s="828"/>
      <c r="AJ507" s="828"/>
    </row>
    <row r="508">
      <c r="A508" s="828"/>
      <c r="B508" s="828"/>
      <c r="C508" s="828"/>
      <c r="D508" s="828"/>
      <c r="E508" s="828"/>
      <c r="F508" s="828"/>
      <c r="G508" s="828"/>
      <c r="H508" s="828"/>
      <c r="I508" s="828"/>
      <c r="J508" s="828"/>
      <c r="K508" s="828"/>
      <c r="L508" s="828"/>
      <c r="M508" s="828"/>
      <c r="N508" s="828"/>
      <c r="O508" s="828"/>
      <c r="P508" s="828"/>
      <c r="Q508" s="828"/>
      <c r="R508" s="828"/>
      <c r="S508" s="828"/>
      <c r="T508" s="828"/>
      <c r="U508" s="828"/>
      <c r="V508" s="828"/>
      <c r="W508" s="828"/>
      <c r="X508" s="828"/>
      <c r="Y508" s="828"/>
      <c r="Z508" s="828"/>
      <c r="AA508" s="828"/>
      <c r="AB508" s="828"/>
      <c r="AC508" s="828"/>
      <c r="AD508" s="828"/>
      <c r="AE508" s="828"/>
      <c r="AF508" s="828"/>
      <c r="AG508" s="828"/>
      <c r="AH508" s="828"/>
      <c r="AI508" s="828"/>
      <c r="AJ508" s="828"/>
    </row>
    <row r="509">
      <c r="A509" s="828"/>
      <c r="B509" s="828"/>
      <c r="C509" s="828"/>
      <c r="D509" s="828"/>
      <c r="E509" s="828"/>
      <c r="F509" s="828"/>
      <c r="G509" s="828"/>
      <c r="H509" s="828"/>
      <c r="I509" s="828"/>
      <c r="J509" s="828"/>
      <c r="K509" s="828"/>
      <c r="L509" s="828"/>
      <c r="M509" s="828"/>
      <c r="N509" s="828"/>
      <c r="O509" s="828"/>
      <c r="P509" s="828"/>
      <c r="Q509" s="828"/>
      <c r="R509" s="828"/>
      <c r="S509" s="828"/>
      <c r="T509" s="828"/>
      <c r="U509" s="828"/>
      <c r="V509" s="828"/>
      <c r="W509" s="828"/>
      <c r="X509" s="828"/>
      <c r="Y509" s="828"/>
      <c r="Z509" s="828"/>
      <c r="AA509" s="828"/>
      <c r="AB509" s="828"/>
      <c r="AC509" s="828"/>
      <c r="AD509" s="828"/>
      <c r="AE509" s="828"/>
      <c r="AF509" s="828"/>
      <c r="AG509" s="828"/>
      <c r="AH509" s="828"/>
      <c r="AI509" s="828"/>
      <c r="AJ509" s="828"/>
    </row>
    <row r="510">
      <c r="A510" s="828"/>
      <c r="B510" s="828"/>
      <c r="C510" s="828"/>
      <c r="D510" s="828"/>
      <c r="E510" s="828"/>
      <c r="F510" s="828"/>
      <c r="G510" s="828"/>
      <c r="H510" s="828"/>
      <c r="I510" s="828"/>
      <c r="J510" s="828"/>
      <c r="K510" s="828"/>
      <c r="L510" s="828"/>
      <c r="M510" s="828"/>
      <c r="N510" s="828"/>
      <c r="O510" s="828"/>
      <c r="P510" s="828"/>
      <c r="Q510" s="828"/>
      <c r="R510" s="828"/>
      <c r="S510" s="828"/>
      <c r="T510" s="828"/>
      <c r="U510" s="828"/>
      <c r="V510" s="828"/>
      <c r="W510" s="828"/>
      <c r="X510" s="828"/>
      <c r="Y510" s="828"/>
      <c r="Z510" s="828"/>
      <c r="AA510" s="828"/>
      <c r="AB510" s="828"/>
      <c r="AC510" s="828"/>
      <c r="AD510" s="828"/>
      <c r="AE510" s="828"/>
      <c r="AF510" s="828"/>
      <c r="AG510" s="828"/>
      <c r="AH510" s="828"/>
      <c r="AI510" s="828"/>
      <c r="AJ510" s="828"/>
    </row>
    <row r="511">
      <c r="A511" s="828"/>
      <c r="B511" s="828"/>
      <c r="C511" s="828"/>
      <c r="D511" s="828"/>
      <c r="E511" s="828"/>
      <c r="F511" s="828"/>
      <c r="G511" s="828"/>
      <c r="H511" s="828"/>
      <c r="I511" s="828"/>
      <c r="J511" s="828"/>
      <c r="K511" s="828"/>
      <c r="L511" s="828"/>
      <c r="M511" s="828"/>
      <c r="N511" s="828"/>
      <c r="O511" s="828"/>
      <c r="P511" s="828"/>
      <c r="Q511" s="828"/>
      <c r="R511" s="828"/>
      <c r="S511" s="828"/>
      <c r="T511" s="828"/>
      <c r="U511" s="828"/>
      <c r="V511" s="828"/>
      <c r="W511" s="828"/>
      <c r="X511" s="828"/>
      <c r="Y511" s="828"/>
      <c r="Z511" s="828"/>
      <c r="AA511" s="828"/>
      <c r="AB511" s="828"/>
      <c r="AC511" s="828"/>
      <c r="AD511" s="828"/>
      <c r="AE511" s="828"/>
      <c r="AF511" s="828"/>
      <c r="AG511" s="828"/>
      <c r="AH511" s="828"/>
      <c r="AI511" s="828"/>
      <c r="AJ511" s="828"/>
    </row>
    <row r="512">
      <c r="A512" s="828"/>
      <c r="B512" s="828"/>
      <c r="C512" s="828"/>
      <c r="D512" s="828"/>
      <c r="E512" s="828"/>
      <c r="F512" s="828"/>
      <c r="G512" s="828"/>
      <c r="H512" s="828"/>
      <c r="I512" s="828"/>
      <c r="J512" s="828"/>
      <c r="K512" s="828"/>
      <c r="L512" s="828"/>
      <c r="M512" s="828"/>
      <c r="N512" s="828"/>
      <c r="O512" s="828"/>
      <c r="P512" s="828"/>
      <c r="Q512" s="828"/>
      <c r="R512" s="828"/>
      <c r="S512" s="828"/>
      <c r="T512" s="828"/>
      <c r="U512" s="828"/>
      <c r="V512" s="828"/>
      <c r="W512" s="828"/>
      <c r="X512" s="828"/>
      <c r="Y512" s="828"/>
      <c r="Z512" s="828"/>
      <c r="AA512" s="828"/>
      <c r="AB512" s="828"/>
      <c r="AC512" s="828"/>
      <c r="AD512" s="828"/>
      <c r="AE512" s="828"/>
      <c r="AF512" s="828"/>
      <c r="AG512" s="828"/>
      <c r="AH512" s="828"/>
      <c r="AI512" s="828"/>
      <c r="AJ512" s="828"/>
    </row>
    <row r="513">
      <c r="A513" s="828"/>
      <c r="B513" s="828"/>
      <c r="C513" s="828"/>
      <c r="D513" s="828"/>
      <c r="E513" s="828"/>
      <c r="F513" s="828"/>
      <c r="G513" s="828"/>
      <c r="H513" s="828"/>
      <c r="I513" s="828"/>
      <c r="J513" s="828"/>
      <c r="K513" s="828"/>
      <c r="L513" s="828"/>
      <c r="M513" s="828"/>
      <c r="N513" s="828"/>
      <c r="O513" s="828"/>
      <c r="P513" s="828"/>
      <c r="Q513" s="828"/>
      <c r="R513" s="828"/>
      <c r="S513" s="828"/>
      <c r="T513" s="828"/>
      <c r="U513" s="828"/>
      <c r="V513" s="828"/>
      <c r="W513" s="828"/>
      <c r="X513" s="828"/>
      <c r="Y513" s="828"/>
      <c r="Z513" s="828"/>
      <c r="AA513" s="828"/>
      <c r="AB513" s="828"/>
      <c r="AC513" s="828"/>
      <c r="AD513" s="828"/>
      <c r="AE513" s="828"/>
      <c r="AF513" s="828"/>
      <c r="AG513" s="828"/>
      <c r="AH513" s="828"/>
      <c r="AI513" s="828"/>
      <c r="AJ513" s="828"/>
    </row>
    <row r="514">
      <c r="A514" s="828"/>
      <c r="B514" s="828"/>
      <c r="C514" s="828"/>
      <c r="D514" s="828"/>
      <c r="E514" s="828"/>
      <c r="F514" s="828"/>
      <c r="G514" s="828"/>
      <c r="H514" s="828"/>
      <c r="I514" s="828"/>
      <c r="J514" s="828"/>
      <c r="K514" s="828"/>
      <c r="L514" s="828"/>
      <c r="M514" s="828"/>
      <c r="N514" s="828"/>
      <c r="O514" s="828"/>
      <c r="P514" s="828"/>
      <c r="Q514" s="828"/>
      <c r="R514" s="828"/>
      <c r="S514" s="828"/>
      <c r="T514" s="828"/>
      <c r="U514" s="828"/>
      <c r="V514" s="828"/>
      <c r="W514" s="828"/>
      <c r="X514" s="828"/>
      <c r="Y514" s="828"/>
      <c r="Z514" s="828"/>
      <c r="AA514" s="828"/>
      <c r="AB514" s="828"/>
      <c r="AC514" s="828"/>
      <c r="AD514" s="828"/>
      <c r="AE514" s="828"/>
      <c r="AF514" s="828"/>
      <c r="AG514" s="828"/>
      <c r="AH514" s="828"/>
      <c r="AI514" s="828"/>
      <c r="AJ514" s="828"/>
    </row>
    <row r="515">
      <c r="A515" s="828"/>
      <c r="B515" s="828"/>
      <c r="C515" s="828"/>
      <c r="D515" s="828"/>
      <c r="E515" s="828"/>
      <c r="F515" s="828"/>
      <c r="G515" s="828"/>
      <c r="H515" s="828"/>
      <c r="I515" s="828"/>
      <c r="J515" s="828"/>
      <c r="K515" s="828"/>
      <c r="L515" s="828"/>
      <c r="M515" s="828"/>
      <c r="N515" s="828"/>
      <c r="O515" s="828"/>
      <c r="P515" s="828"/>
      <c r="Q515" s="828"/>
      <c r="R515" s="828"/>
      <c r="S515" s="828"/>
      <c r="T515" s="828"/>
      <c r="U515" s="828"/>
      <c r="V515" s="828"/>
      <c r="W515" s="828"/>
      <c r="X515" s="828"/>
      <c r="Y515" s="828"/>
      <c r="Z515" s="828"/>
      <c r="AA515" s="828"/>
      <c r="AB515" s="828"/>
      <c r="AC515" s="828"/>
      <c r="AD515" s="828"/>
      <c r="AE515" s="828"/>
      <c r="AF515" s="828"/>
      <c r="AG515" s="828"/>
      <c r="AH515" s="828"/>
      <c r="AI515" s="828"/>
      <c r="AJ515" s="828"/>
    </row>
    <row r="516">
      <c r="A516" s="828"/>
      <c r="B516" s="828"/>
      <c r="C516" s="828"/>
      <c r="D516" s="828"/>
      <c r="E516" s="828"/>
      <c r="F516" s="828"/>
      <c r="G516" s="828"/>
      <c r="H516" s="828"/>
      <c r="I516" s="828"/>
      <c r="J516" s="828"/>
      <c r="K516" s="828"/>
      <c r="L516" s="828"/>
      <c r="M516" s="828"/>
      <c r="N516" s="828"/>
      <c r="O516" s="828"/>
      <c r="P516" s="828"/>
      <c r="Q516" s="828"/>
      <c r="R516" s="828"/>
      <c r="S516" s="828"/>
      <c r="T516" s="828"/>
      <c r="U516" s="828"/>
      <c r="V516" s="828"/>
      <c r="W516" s="828"/>
      <c r="X516" s="828"/>
      <c r="Y516" s="828"/>
      <c r="Z516" s="828"/>
      <c r="AA516" s="828"/>
      <c r="AB516" s="828"/>
      <c r="AC516" s="828"/>
      <c r="AD516" s="828"/>
      <c r="AE516" s="828"/>
      <c r="AF516" s="828"/>
      <c r="AG516" s="828"/>
      <c r="AH516" s="828"/>
      <c r="AI516" s="828"/>
      <c r="AJ516" s="828"/>
    </row>
    <row r="517">
      <c r="A517" s="828"/>
      <c r="B517" s="828"/>
      <c r="C517" s="828"/>
      <c r="D517" s="828"/>
      <c r="E517" s="828"/>
      <c r="F517" s="828"/>
      <c r="G517" s="828"/>
      <c r="H517" s="828"/>
      <c r="I517" s="828"/>
      <c r="J517" s="828"/>
      <c r="K517" s="828"/>
      <c r="L517" s="828"/>
      <c r="M517" s="828"/>
      <c r="N517" s="828"/>
      <c r="O517" s="828"/>
      <c r="P517" s="828"/>
      <c r="Q517" s="828"/>
      <c r="R517" s="828"/>
      <c r="S517" s="828"/>
      <c r="T517" s="828"/>
      <c r="U517" s="828"/>
      <c r="V517" s="828"/>
      <c r="W517" s="828"/>
      <c r="X517" s="828"/>
      <c r="Y517" s="828"/>
      <c r="Z517" s="828"/>
      <c r="AA517" s="828"/>
      <c r="AB517" s="828"/>
      <c r="AC517" s="828"/>
      <c r="AD517" s="828"/>
      <c r="AE517" s="828"/>
      <c r="AF517" s="828"/>
      <c r="AG517" s="828"/>
      <c r="AH517" s="828"/>
      <c r="AI517" s="828"/>
      <c r="AJ517" s="828"/>
    </row>
    <row r="518">
      <c r="A518" s="828"/>
      <c r="B518" s="828"/>
      <c r="C518" s="828"/>
      <c r="D518" s="828"/>
      <c r="E518" s="828"/>
      <c r="F518" s="828"/>
      <c r="G518" s="828"/>
      <c r="H518" s="828"/>
      <c r="I518" s="828"/>
      <c r="J518" s="828"/>
      <c r="K518" s="828"/>
      <c r="L518" s="828"/>
      <c r="M518" s="828"/>
      <c r="N518" s="828"/>
      <c r="O518" s="828"/>
      <c r="P518" s="828"/>
      <c r="Q518" s="828"/>
      <c r="R518" s="828"/>
      <c r="S518" s="828"/>
      <c r="T518" s="828"/>
      <c r="U518" s="828"/>
      <c r="V518" s="828"/>
      <c r="W518" s="828"/>
      <c r="X518" s="828"/>
      <c r="Y518" s="828"/>
      <c r="Z518" s="828"/>
      <c r="AA518" s="828"/>
      <c r="AB518" s="828"/>
      <c r="AC518" s="828"/>
      <c r="AD518" s="828"/>
      <c r="AE518" s="828"/>
      <c r="AF518" s="828"/>
      <c r="AG518" s="828"/>
      <c r="AH518" s="828"/>
      <c r="AI518" s="828"/>
      <c r="AJ518" s="828"/>
    </row>
    <row r="519">
      <c r="A519" s="828"/>
      <c r="B519" s="828"/>
      <c r="C519" s="828"/>
      <c r="D519" s="828"/>
      <c r="E519" s="828"/>
      <c r="F519" s="828"/>
      <c r="G519" s="828"/>
      <c r="H519" s="828"/>
      <c r="I519" s="828"/>
      <c r="J519" s="828"/>
      <c r="K519" s="828"/>
      <c r="L519" s="828"/>
      <c r="M519" s="828"/>
      <c r="N519" s="828"/>
      <c r="O519" s="828"/>
      <c r="P519" s="828"/>
      <c r="Q519" s="828"/>
      <c r="R519" s="828"/>
      <c r="S519" s="828"/>
      <c r="T519" s="828"/>
      <c r="U519" s="828"/>
      <c r="V519" s="828"/>
      <c r="W519" s="828"/>
      <c r="X519" s="828"/>
      <c r="Y519" s="828"/>
      <c r="Z519" s="828"/>
      <c r="AA519" s="828"/>
      <c r="AB519" s="828"/>
      <c r="AC519" s="828"/>
      <c r="AD519" s="828"/>
      <c r="AE519" s="828"/>
      <c r="AF519" s="828"/>
      <c r="AG519" s="828"/>
      <c r="AH519" s="828"/>
      <c r="AI519" s="828"/>
      <c r="AJ519" s="828"/>
    </row>
    <row r="520">
      <c r="A520" s="828"/>
      <c r="B520" s="828"/>
      <c r="C520" s="828"/>
      <c r="D520" s="828"/>
      <c r="E520" s="828"/>
      <c r="F520" s="828"/>
      <c r="G520" s="828"/>
      <c r="H520" s="828"/>
      <c r="I520" s="828"/>
      <c r="J520" s="828"/>
      <c r="K520" s="828"/>
      <c r="L520" s="828"/>
      <c r="M520" s="828"/>
      <c r="N520" s="828"/>
      <c r="O520" s="828"/>
      <c r="P520" s="828"/>
      <c r="Q520" s="828"/>
      <c r="R520" s="828"/>
      <c r="S520" s="828"/>
      <c r="T520" s="828"/>
      <c r="U520" s="828"/>
      <c r="V520" s="828"/>
      <c r="W520" s="828"/>
      <c r="X520" s="828"/>
      <c r="Y520" s="828"/>
      <c r="Z520" s="828"/>
      <c r="AA520" s="828"/>
      <c r="AB520" s="828"/>
      <c r="AC520" s="828"/>
      <c r="AD520" s="828"/>
      <c r="AE520" s="828"/>
      <c r="AF520" s="828"/>
      <c r="AG520" s="828"/>
      <c r="AH520" s="828"/>
      <c r="AI520" s="828"/>
      <c r="AJ520" s="828"/>
    </row>
    <row r="521">
      <c r="A521" s="828"/>
      <c r="B521" s="828"/>
      <c r="C521" s="828"/>
      <c r="D521" s="828"/>
      <c r="E521" s="828"/>
      <c r="F521" s="828"/>
      <c r="G521" s="828"/>
      <c r="H521" s="828"/>
      <c r="I521" s="828"/>
      <c r="J521" s="828"/>
      <c r="K521" s="828"/>
      <c r="L521" s="828"/>
      <c r="M521" s="828"/>
      <c r="N521" s="828"/>
      <c r="O521" s="828"/>
      <c r="P521" s="828"/>
      <c r="Q521" s="828"/>
      <c r="R521" s="828"/>
      <c r="S521" s="828"/>
      <c r="T521" s="828"/>
      <c r="U521" s="828"/>
      <c r="V521" s="828"/>
      <c r="W521" s="828"/>
      <c r="X521" s="828"/>
      <c r="Y521" s="828"/>
      <c r="Z521" s="828"/>
      <c r="AA521" s="828"/>
      <c r="AB521" s="828"/>
      <c r="AC521" s="828"/>
      <c r="AD521" s="828"/>
      <c r="AE521" s="828"/>
      <c r="AF521" s="828"/>
      <c r="AG521" s="828"/>
      <c r="AH521" s="828"/>
      <c r="AI521" s="828"/>
      <c r="AJ521" s="828"/>
    </row>
    <row r="522">
      <c r="A522" s="828"/>
      <c r="B522" s="828"/>
      <c r="C522" s="828"/>
      <c r="D522" s="828"/>
      <c r="E522" s="828"/>
      <c r="F522" s="828"/>
      <c r="G522" s="828"/>
      <c r="H522" s="828"/>
      <c r="I522" s="828"/>
      <c r="J522" s="828"/>
      <c r="K522" s="828"/>
      <c r="L522" s="828"/>
      <c r="M522" s="828"/>
      <c r="N522" s="828"/>
      <c r="O522" s="828"/>
      <c r="P522" s="828"/>
      <c r="Q522" s="828"/>
      <c r="R522" s="828"/>
      <c r="S522" s="828"/>
      <c r="T522" s="828"/>
      <c r="U522" s="828"/>
      <c r="V522" s="828"/>
      <c r="W522" s="828"/>
      <c r="X522" s="828"/>
      <c r="Y522" s="828"/>
      <c r="Z522" s="828"/>
      <c r="AA522" s="828"/>
      <c r="AB522" s="828"/>
      <c r="AC522" s="828"/>
      <c r="AD522" s="828"/>
      <c r="AE522" s="828"/>
      <c r="AF522" s="828"/>
      <c r="AG522" s="828"/>
      <c r="AH522" s="828"/>
      <c r="AI522" s="828"/>
      <c r="AJ522" s="828"/>
    </row>
    <row r="523">
      <c r="A523" s="828"/>
      <c r="B523" s="828"/>
      <c r="C523" s="828"/>
      <c r="D523" s="828"/>
      <c r="E523" s="828"/>
      <c r="F523" s="828"/>
      <c r="G523" s="828"/>
      <c r="H523" s="828"/>
      <c r="I523" s="828"/>
      <c r="J523" s="828"/>
      <c r="K523" s="828"/>
      <c r="L523" s="828"/>
      <c r="M523" s="828"/>
      <c r="N523" s="828"/>
      <c r="O523" s="828"/>
      <c r="P523" s="828"/>
      <c r="Q523" s="828"/>
      <c r="R523" s="828"/>
      <c r="S523" s="828"/>
      <c r="T523" s="828"/>
      <c r="U523" s="828"/>
      <c r="V523" s="828"/>
      <c r="W523" s="828"/>
      <c r="X523" s="828"/>
      <c r="Y523" s="828"/>
      <c r="Z523" s="828"/>
      <c r="AA523" s="828"/>
      <c r="AB523" s="828"/>
      <c r="AC523" s="828"/>
      <c r="AD523" s="828"/>
      <c r="AE523" s="828"/>
      <c r="AF523" s="828"/>
      <c r="AG523" s="828"/>
      <c r="AH523" s="828"/>
      <c r="AI523" s="828"/>
      <c r="AJ523" s="828"/>
    </row>
    <row r="524">
      <c r="A524" s="828"/>
      <c r="B524" s="828"/>
      <c r="C524" s="828"/>
      <c r="D524" s="828"/>
      <c r="E524" s="828"/>
      <c r="F524" s="828"/>
      <c r="G524" s="828"/>
      <c r="H524" s="828"/>
      <c r="I524" s="828"/>
      <c r="J524" s="828"/>
      <c r="K524" s="828"/>
      <c r="L524" s="828"/>
      <c r="M524" s="828"/>
      <c r="N524" s="828"/>
      <c r="O524" s="828"/>
      <c r="P524" s="828"/>
      <c r="Q524" s="828"/>
      <c r="R524" s="828"/>
      <c r="S524" s="828"/>
      <c r="T524" s="828"/>
      <c r="U524" s="828"/>
      <c r="V524" s="828"/>
      <c r="W524" s="828"/>
      <c r="X524" s="828"/>
      <c r="Y524" s="828"/>
      <c r="Z524" s="828"/>
      <c r="AA524" s="828"/>
      <c r="AB524" s="828"/>
      <c r="AC524" s="828"/>
      <c r="AD524" s="828"/>
      <c r="AE524" s="828"/>
      <c r="AF524" s="828"/>
      <c r="AG524" s="828"/>
      <c r="AH524" s="828"/>
      <c r="AI524" s="828"/>
      <c r="AJ524" s="828"/>
    </row>
    <row r="525">
      <c r="A525" s="828"/>
      <c r="B525" s="828"/>
      <c r="C525" s="828"/>
      <c r="D525" s="828"/>
      <c r="E525" s="828"/>
      <c r="F525" s="828"/>
      <c r="G525" s="828"/>
      <c r="H525" s="828"/>
      <c r="I525" s="828"/>
      <c r="J525" s="828"/>
      <c r="K525" s="828"/>
      <c r="L525" s="828"/>
      <c r="M525" s="828"/>
      <c r="N525" s="828"/>
      <c r="O525" s="828"/>
      <c r="P525" s="828"/>
      <c r="Q525" s="828"/>
      <c r="R525" s="828"/>
      <c r="S525" s="828"/>
      <c r="T525" s="828"/>
      <c r="U525" s="828"/>
      <c r="V525" s="828"/>
      <c r="W525" s="828"/>
      <c r="X525" s="828"/>
      <c r="Y525" s="828"/>
      <c r="Z525" s="828"/>
      <c r="AA525" s="828"/>
      <c r="AB525" s="828"/>
      <c r="AC525" s="828"/>
      <c r="AD525" s="828"/>
      <c r="AE525" s="828"/>
      <c r="AF525" s="828"/>
      <c r="AG525" s="828"/>
      <c r="AH525" s="828"/>
      <c r="AI525" s="828"/>
      <c r="AJ525" s="828"/>
    </row>
    <row r="526">
      <c r="A526" s="828"/>
      <c r="B526" s="828"/>
      <c r="C526" s="828"/>
      <c r="D526" s="828"/>
      <c r="E526" s="828"/>
      <c r="F526" s="828"/>
      <c r="G526" s="828"/>
      <c r="H526" s="828"/>
      <c r="I526" s="828"/>
      <c r="J526" s="828"/>
      <c r="K526" s="828"/>
      <c r="L526" s="828"/>
      <c r="M526" s="828"/>
      <c r="N526" s="828"/>
      <c r="O526" s="828"/>
      <c r="P526" s="828"/>
      <c r="Q526" s="828"/>
      <c r="R526" s="828"/>
      <c r="S526" s="828"/>
      <c r="T526" s="828"/>
      <c r="U526" s="828"/>
      <c r="V526" s="828"/>
      <c r="W526" s="828"/>
      <c r="X526" s="828"/>
      <c r="Y526" s="828"/>
      <c r="Z526" s="828"/>
      <c r="AA526" s="828"/>
      <c r="AB526" s="828"/>
      <c r="AC526" s="828"/>
      <c r="AD526" s="828"/>
      <c r="AE526" s="828"/>
      <c r="AF526" s="828"/>
      <c r="AG526" s="828"/>
      <c r="AH526" s="828"/>
      <c r="AI526" s="828"/>
      <c r="AJ526" s="828"/>
    </row>
    <row r="527">
      <c r="A527" s="828"/>
      <c r="B527" s="828"/>
      <c r="C527" s="828"/>
      <c r="D527" s="828"/>
      <c r="E527" s="828"/>
      <c r="F527" s="828"/>
      <c r="G527" s="828"/>
      <c r="H527" s="828"/>
      <c r="I527" s="828"/>
      <c r="J527" s="828"/>
      <c r="K527" s="828"/>
      <c r="L527" s="828"/>
      <c r="M527" s="828"/>
      <c r="N527" s="828"/>
      <c r="O527" s="828"/>
      <c r="P527" s="828"/>
      <c r="Q527" s="828"/>
      <c r="R527" s="828"/>
      <c r="S527" s="828"/>
      <c r="T527" s="828"/>
      <c r="U527" s="828"/>
      <c r="V527" s="828"/>
      <c r="W527" s="828"/>
      <c r="X527" s="828"/>
      <c r="Y527" s="828"/>
      <c r="Z527" s="828"/>
      <c r="AA527" s="828"/>
      <c r="AB527" s="828"/>
      <c r="AC527" s="828"/>
      <c r="AD527" s="828"/>
      <c r="AE527" s="828"/>
      <c r="AF527" s="828"/>
      <c r="AG527" s="828"/>
      <c r="AH527" s="828"/>
      <c r="AI527" s="828"/>
      <c r="AJ527" s="828"/>
    </row>
    <row r="528">
      <c r="A528" s="828"/>
      <c r="B528" s="828"/>
      <c r="C528" s="828"/>
      <c r="D528" s="828"/>
      <c r="E528" s="828"/>
      <c r="F528" s="828"/>
      <c r="G528" s="828"/>
      <c r="H528" s="828"/>
      <c r="I528" s="828"/>
      <c r="J528" s="828"/>
      <c r="K528" s="828"/>
      <c r="L528" s="828"/>
      <c r="M528" s="828"/>
      <c r="N528" s="828"/>
      <c r="O528" s="828"/>
      <c r="P528" s="828"/>
      <c r="Q528" s="828"/>
      <c r="R528" s="828"/>
      <c r="S528" s="828"/>
      <c r="T528" s="828"/>
      <c r="U528" s="828"/>
      <c r="V528" s="828"/>
      <c r="W528" s="828"/>
      <c r="X528" s="828"/>
      <c r="Y528" s="828"/>
      <c r="Z528" s="828"/>
      <c r="AA528" s="828"/>
      <c r="AB528" s="828"/>
      <c r="AC528" s="828"/>
      <c r="AD528" s="828"/>
      <c r="AE528" s="828"/>
      <c r="AF528" s="828"/>
      <c r="AG528" s="828"/>
      <c r="AH528" s="828"/>
      <c r="AI528" s="828"/>
      <c r="AJ528" s="828"/>
    </row>
    <row r="529">
      <c r="A529" s="828"/>
      <c r="B529" s="828"/>
      <c r="C529" s="828"/>
      <c r="D529" s="828"/>
      <c r="E529" s="828"/>
      <c r="F529" s="828"/>
      <c r="G529" s="828"/>
      <c r="H529" s="828"/>
      <c r="I529" s="828"/>
      <c r="J529" s="828"/>
      <c r="K529" s="828"/>
      <c r="L529" s="828"/>
      <c r="M529" s="828"/>
      <c r="N529" s="828"/>
      <c r="O529" s="828"/>
      <c r="P529" s="828"/>
      <c r="Q529" s="828"/>
      <c r="R529" s="828"/>
      <c r="S529" s="828"/>
      <c r="T529" s="828"/>
      <c r="U529" s="828"/>
      <c r="V529" s="828"/>
      <c r="W529" s="828"/>
      <c r="X529" s="828"/>
      <c r="Y529" s="828"/>
      <c r="Z529" s="828"/>
      <c r="AA529" s="828"/>
      <c r="AB529" s="828"/>
      <c r="AC529" s="828"/>
      <c r="AD529" s="828"/>
      <c r="AE529" s="828"/>
      <c r="AF529" s="828"/>
      <c r="AG529" s="828"/>
      <c r="AH529" s="828"/>
      <c r="AI529" s="828"/>
      <c r="AJ529" s="828"/>
    </row>
    <row r="530">
      <c r="A530" s="828"/>
      <c r="B530" s="828"/>
      <c r="C530" s="828"/>
      <c r="D530" s="828"/>
      <c r="E530" s="828"/>
      <c r="F530" s="828"/>
      <c r="G530" s="828"/>
      <c r="H530" s="828"/>
      <c r="I530" s="828"/>
      <c r="J530" s="828"/>
      <c r="K530" s="828"/>
      <c r="L530" s="828"/>
      <c r="M530" s="828"/>
      <c r="N530" s="828"/>
      <c r="O530" s="828"/>
      <c r="P530" s="828"/>
      <c r="Q530" s="828"/>
      <c r="R530" s="828"/>
      <c r="S530" s="828"/>
      <c r="T530" s="828"/>
      <c r="U530" s="828"/>
      <c r="V530" s="828"/>
      <c r="W530" s="828"/>
      <c r="X530" s="828"/>
      <c r="Y530" s="828"/>
      <c r="Z530" s="828"/>
      <c r="AA530" s="828"/>
      <c r="AB530" s="828"/>
      <c r="AC530" s="828"/>
      <c r="AD530" s="828"/>
      <c r="AE530" s="828"/>
      <c r="AF530" s="828"/>
      <c r="AG530" s="828"/>
      <c r="AH530" s="828"/>
      <c r="AI530" s="828"/>
      <c r="AJ530" s="828"/>
    </row>
    <row r="531">
      <c r="A531" s="828"/>
      <c r="B531" s="828"/>
      <c r="C531" s="828"/>
      <c r="D531" s="828"/>
      <c r="E531" s="828"/>
      <c r="F531" s="828"/>
      <c r="G531" s="828"/>
      <c r="H531" s="828"/>
      <c r="I531" s="828"/>
      <c r="J531" s="828"/>
      <c r="K531" s="828"/>
      <c r="L531" s="828"/>
      <c r="M531" s="828"/>
      <c r="N531" s="828"/>
      <c r="O531" s="828"/>
      <c r="P531" s="828"/>
      <c r="Q531" s="828"/>
      <c r="R531" s="828"/>
      <c r="S531" s="828"/>
      <c r="T531" s="828"/>
      <c r="U531" s="828"/>
      <c r="V531" s="828"/>
      <c r="W531" s="828"/>
      <c r="X531" s="828"/>
      <c r="Y531" s="828"/>
      <c r="Z531" s="828"/>
      <c r="AA531" s="828"/>
      <c r="AB531" s="828"/>
      <c r="AC531" s="828"/>
      <c r="AD531" s="828"/>
      <c r="AE531" s="828"/>
      <c r="AF531" s="828"/>
      <c r="AG531" s="828"/>
      <c r="AH531" s="828"/>
      <c r="AI531" s="828"/>
      <c r="AJ531" s="828"/>
    </row>
    <row r="532">
      <c r="A532" s="828"/>
      <c r="B532" s="828"/>
      <c r="C532" s="828"/>
      <c r="D532" s="828"/>
      <c r="E532" s="828"/>
      <c r="F532" s="828"/>
      <c r="G532" s="828"/>
      <c r="H532" s="828"/>
      <c r="I532" s="828"/>
      <c r="J532" s="828"/>
      <c r="K532" s="828"/>
      <c r="L532" s="828"/>
      <c r="M532" s="828"/>
      <c r="N532" s="828"/>
      <c r="O532" s="828"/>
      <c r="P532" s="828"/>
      <c r="Q532" s="828"/>
      <c r="R532" s="828"/>
      <c r="S532" s="828"/>
      <c r="T532" s="828"/>
      <c r="U532" s="828"/>
      <c r="V532" s="828"/>
      <c r="W532" s="828"/>
      <c r="X532" s="828"/>
      <c r="Y532" s="828"/>
      <c r="Z532" s="828"/>
      <c r="AA532" s="828"/>
      <c r="AB532" s="828"/>
      <c r="AC532" s="828"/>
      <c r="AD532" s="828"/>
      <c r="AE532" s="828"/>
      <c r="AF532" s="828"/>
      <c r="AG532" s="828"/>
      <c r="AH532" s="828"/>
      <c r="AI532" s="828"/>
      <c r="AJ532" s="828"/>
    </row>
    <row r="533">
      <c r="A533" s="828"/>
      <c r="B533" s="828"/>
      <c r="C533" s="828"/>
      <c r="D533" s="828"/>
      <c r="E533" s="828"/>
      <c r="F533" s="828"/>
      <c r="G533" s="828"/>
      <c r="H533" s="828"/>
      <c r="I533" s="828"/>
      <c r="J533" s="828"/>
      <c r="K533" s="828"/>
      <c r="L533" s="828"/>
      <c r="M533" s="828"/>
      <c r="N533" s="828"/>
      <c r="O533" s="828"/>
      <c r="P533" s="828"/>
      <c r="Q533" s="828"/>
      <c r="R533" s="828"/>
      <c r="S533" s="828"/>
      <c r="T533" s="828"/>
      <c r="U533" s="828"/>
      <c r="V533" s="828"/>
      <c r="W533" s="828"/>
      <c r="X533" s="828"/>
      <c r="Y533" s="828"/>
      <c r="Z533" s="828"/>
      <c r="AA533" s="828"/>
      <c r="AB533" s="828"/>
      <c r="AC533" s="828"/>
      <c r="AD533" s="828"/>
      <c r="AE533" s="828"/>
      <c r="AF533" s="828"/>
      <c r="AG533" s="828"/>
      <c r="AH533" s="828"/>
      <c r="AI533" s="828"/>
      <c r="AJ533" s="828"/>
    </row>
    <row r="534">
      <c r="A534" s="828"/>
      <c r="B534" s="828"/>
      <c r="C534" s="828"/>
      <c r="D534" s="828"/>
      <c r="E534" s="828"/>
      <c r="F534" s="828"/>
      <c r="G534" s="828"/>
      <c r="H534" s="828"/>
      <c r="I534" s="828"/>
      <c r="J534" s="828"/>
      <c r="K534" s="828"/>
      <c r="L534" s="828"/>
      <c r="M534" s="828"/>
      <c r="N534" s="828"/>
      <c r="O534" s="828"/>
      <c r="P534" s="828"/>
      <c r="Q534" s="828"/>
      <c r="R534" s="828"/>
      <c r="S534" s="828"/>
      <c r="T534" s="828"/>
      <c r="U534" s="828"/>
      <c r="V534" s="828"/>
      <c r="W534" s="828"/>
      <c r="X534" s="828"/>
      <c r="Y534" s="828"/>
      <c r="Z534" s="828"/>
      <c r="AA534" s="828"/>
      <c r="AB534" s="828"/>
      <c r="AC534" s="828"/>
      <c r="AD534" s="828"/>
      <c r="AE534" s="828"/>
      <c r="AF534" s="828"/>
      <c r="AG534" s="828"/>
      <c r="AH534" s="828"/>
      <c r="AI534" s="828"/>
      <c r="AJ534" s="828"/>
    </row>
    <row r="535">
      <c r="A535" s="828"/>
      <c r="B535" s="828"/>
      <c r="C535" s="828"/>
      <c r="D535" s="828"/>
      <c r="E535" s="828"/>
      <c r="F535" s="828"/>
      <c r="G535" s="828"/>
      <c r="H535" s="828"/>
      <c r="I535" s="828"/>
      <c r="J535" s="828"/>
      <c r="K535" s="828"/>
      <c r="L535" s="828"/>
      <c r="M535" s="828"/>
      <c r="N535" s="828"/>
      <c r="O535" s="828"/>
      <c r="P535" s="828"/>
      <c r="Q535" s="828"/>
      <c r="R535" s="828"/>
      <c r="S535" s="828"/>
      <c r="T535" s="828"/>
      <c r="U535" s="828"/>
      <c r="V535" s="828"/>
      <c r="W535" s="828"/>
      <c r="X535" s="828"/>
      <c r="Y535" s="828"/>
      <c r="Z535" s="828"/>
      <c r="AA535" s="828"/>
      <c r="AB535" s="828"/>
      <c r="AC535" s="828"/>
      <c r="AD535" s="828"/>
      <c r="AE535" s="828"/>
      <c r="AF535" s="828"/>
      <c r="AG535" s="828"/>
      <c r="AH535" s="828"/>
      <c r="AI535" s="828"/>
      <c r="AJ535" s="828"/>
    </row>
    <row r="536">
      <c r="A536" s="828"/>
      <c r="B536" s="828"/>
      <c r="C536" s="828"/>
      <c r="D536" s="828"/>
      <c r="E536" s="828"/>
      <c r="F536" s="828"/>
      <c r="G536" s="828"/>
      <c r="H536" s="828"/>
      <c r="I536" s="828"/>
      <c r="J536" s="828"/>
      <c r="K536" s="828"/>
      <c r="L536" s="828"/>
      <c r="M536" s="828"/>
      <c r="N536" s="828"/>
      <c r="O536" s="828"/>
      <c r="P536" s="828"/>
      <c r="Q536" s="828"/>
      <c r="R536" s="828"/>
      <c r="S536" s="828"/>
      <c r="T536" s="828"/>
      <c r="U536" s="828"/>
      <c r="V536" s="828"/>
      <c r="W536" s="828"/>
      <c r="X536" s="828"/>
      <c r="Y536" s="828"/>
      <c r="Z536" s="828"/>
      <c r="AA536" s="828"/>
      <c r="AB536" s="828"/>
      <c r="AC536" s="828"/>
      <c r="AD536" s="828"/>
      <c r="AE536" s="828"/>
      <c r="AF536" s="828"/>
      <c r="AG536" s="828"/>
      <c r="AH536" s="828"/>
      <c r="AI536" s="828"/>
      <c r="AJ536" s="828"/>
    </row>
    <row r="537">
      <c r="A537" s="828"/>
      <c r="B537" s="828"/>
      <c r="C537" s="828"/>
      <c r="D537" s="828"/>
      <c r="E537" s="828"/>
      <c r="F537" s="828"/>
      <c r="G537" s="828"/>
      <c r="H537" s="828"/>
      <c r="I537" s="828"/>
      <c r="J537" s="828"/>
      <c r="K537" s="828"/>
      <c r="L537" s="828"/>
      <c r="M537" s="828"/>
      <c r="N537" s="828"/>
      <c r="O537" s="828"/>
      <c r="P537" s="828"/>
      <c r="Q537" s="828"/>
      <c r="R537" s="828"/>
      <c r="S537" s="828"/>
      <c r="T537" s="828"/>
      <c r="U537" s="828"/>
      <c r="V537" s="828"/>
      <c r="W537" s="828"/>
      <c r="X537" s="828"/>
      <c r="Y537" s="828"/>
      <c r="Z537" s="828"/>
      <c r="AA537" s="828"/>
      <c r="AB537" s="828"/>
      <c r="AC537" s="828"/>
      <c r="AD537" s="828"/>
      <c r="AE537" s="828"/>
      <c r="AF537" s="828"/>
      <c r="AG537" s="828"/>
      <c r="AH537" s="828"/>
      <c r="AI537" s="828"/>
      <c r="AJ537" s="828"/>
    </row>
    <row r="538">
      <c r="A538" s="828"/>
      <c r="B538" s="828"/>
      <c r="C538" s="828"/>
      <c r="D538" s="828"/>
      <c r="E538" s="828"/>
      <c r="F538" s="828"/>
      <c r="G538" s="828"/>
      <c r="H538" s="828"/>
      <c r="I538" s="828"/>
      <c r="J538" s="828"/>
      <c r="K538" s="828"/>
      <c r="L538" s="828"/>
      <c r="M538" s="828"/>
      <c r="N538" s="828"/>
      <c r="O538" s="828"/>
      <c r="P538" s="828"/>
      <c r="Q538" s="828"/>
      <c r="R538" s="828"/>
      <c r="S538" s="828"/>
      <c r="T538" s="828"/>
      <c r="U538" s="828"/>
      <c r="V538" s="828"/>
      <c r="W538" s="828"/>
      <c r="X538" s="828"/>
      <c r="Y538" s="828"/>
      <c r="Z538" s="828"/>
      <c r="AA538" s="828"/>
      <c r="AB538" s="828"/>
      <c r="AC538" s="828"/>
      <c r="AD538" s="828"/>
      <c r="AE538" s="828"/>
      <c r="AF538" s="828"/>
      <c r="AG538" s="828"/>
      <c r="AH538" s="828"/>
      <c r="AI538" s="828"/>
      <c r="AJ538" s="828"/>
    </row>
    <row r="539">
      <c r="A539" s="828"/>
      <c r="B539" s="828"/>
      <c r="C539" s="828"/>
      <c r="D539" s="828"/>
      <c r="E539" s="828"/>
      <c r="F539" s="828"/>
      <c r="G539" s="828"/>
      <c r="H539" s="828"/>
      <c r="I539" s="828"/>
      <c r="J539" s="828"/>
      <c r="K539" s="828"/>
      <c r="L539" s="828"/>
      <c r="M539" s="828"/>
      <c r="N539" s="828"/>
      <c r="O539" s="828"/>
      <c r="P539" s="828"/>
      <c r="Q539" s="828"/>
      <c r="R539" s="828"/>
      <c r="S539" s="828"/>
      <c r="T539" s="828"/>
      <c r="U539" s="828"/>
      <c r="V539" s="828"/>
      <c r="W539" s="828"/>
      <c r="X539" s="828"/>
      <c r="Y539" s="828"/>
      <c r="Z539" s="828"/>
      <c r="AA539" s="828"/>
      <c r="AB539" s="828"/>
      <c r="AC539" s="828"/>
      <c r="AD539" s="828"/>
      <c r="AE539" s="828"/>
      <c r="AF539" s="828"/>
      <c r="AG539" s="828"/>
      <c r="AH539" s="828"/>
      <c r="AI539" s="828"/>
      <c r="AJ539" s="828"/>
    </row>
    <row r="540">
      <c r="A540" s="828"/>
      <c r="B540" s="828"/>
      <c r="C540" s="828"/>
      <c r="D540" s="828"/>
      <c r="E540" s="828"/>
      <c r="F540" s="828"/>
      <c r="G540" s="828"/>
      <c r="H540" s="828"/>
      <c r="I540" s="828"/>
      <c r="J540" s="828"/>
      <c r="K540" s="828"/>
      <c r="L540" s="828"/>
      <c r="M540" s="828"/>
      <c r="N540" s="828"/>
      <c r="O540" s="828"/>
      <c r="P540" s="828"/>
      <c r="Q540" s="828"/>
      <c r="R540" s="828"/>
      <c r="S540" s="828"/>
      <c r="T540" s="828"/>
      <c r="U540" s="828"/>
      <c r="V540" s="828"/>
      <c r="W540" s="828"/>
      <c r="X540" s="828"/>
      <c r="Y540" s="828"/>
      <c r="Z540" s="828"/>
      <c r="AA540" s="828"/>
      <c r="AB540" s="828"/>
      <c r="AC540" s="828"/>
      <c r="AD540" s="828"/>
      <c r="AE540" s="828"/>
      <c r="AF540" s="828"/>
      <c r="AG540" s="828"/>
      <c r="AH540" s="828"/>
      <c r="AI540" s="828"/>
      <c r="AJ540" s="828"/>
    </row>
    <row r="541">
      <c r="A541" s="828"/>
      <c r="B541" s="828"/>
      <c r="C541" s="828"/>
      <c r="D541" s="828"/>
      <c r="E541" s="828"/>
      <c r="F541" s="828"/>
      <c r="G541" s="828"/>
      <c r="H541" s="828"/>
      <c r="I541" s="828"/>
      <c r="J541" s="828"/>
      <c r="K541" s="828"/>
      <c r="L541" s="828"/>
      <c r="M541" s="828"/>
      <c r="N541" s="828"/>
      <c r="O541" s="828"/>
      <c r="P541" s="828"/>
      <c r="Q541" s="828"/>
      <c r="R541" s="828"/>
      <c r="S541" s="828"/>
      <c r="T541" s="828"/>
      <c r="U541" s="828"/>
      <c r="V541" s="828"/>
      <c r="W541" s="828"/>
      <c r="X541" s="828"/>
      <c r="Y541" s="828"/>
      <c r="Z541" s="828"/>
      <c r="AA541" s="828"/>
      <c r="AB541" s="828"/>
      <c r="AC541" s="828"/>
      <c r="AD541" s="828"/>
      <c r="AE541" s="828"/>
      <c r="AF541" s="828"/>
      <c r="AG541" s="828"/>
      <c r="AH541" s="828"/>
      <c r="AI541" s="828"/>
      <c r="AJ541" s="828"/>
    </row>
    <row r="542">
      <c r="A542" s="828"/>
      <c r="B542" s="828"/>
      <c r="C542" s="828"/>
      <c r="D542" s="828"/>
      <c r="E542" s="828"/>
      <c r="F542" s="828"/>
      <c r="G542" s="828"/>
      <c r="H542" s="828"/>
      <c r="I542" s="828"/>
      <c r="J542" s="828"/>
      <c r="K542" s="828"/>
      <c r="L542" s="828"/>
      <c r="M542" s="828"/>
      <c r="N542" s="828"/>
      <c r="O542" s="828"/>
      <c r="P542" s="828"/>
      <c r="Q542" s="828"/>
      <c r="R542" s="828"/>
      <c r="S542" s="828"/>
      <c r="T542" s="828"/>
      <c r="U542" s="828"/>
      <c r="V542" s="828"/>
      <c r="W542" s="828"/>
      <c r="X542" s="828"/>
      <c r="Y542" s="828"/>
      <c r="Z542" s="828"/>
      <c r="AA542" s="828"/>
      <c r="AB542" s="828"/>
      <c r="AC542" s="828"/>
      <c r="AD542" s="828"/>
      <c r="AE542" s="828"/>
      <c r="AF542" s="828"/>
      <c r="AG542" s="828"/>
      <c r="AH542" s="828"/>
      <c r="AI542" s="828"/>
      <c r="AJ542" s="828"/>
    </row>
    <row r="543">
      <c r="A543" s="828"/>
      <c r="B543" s="828"/>
      <c r="C543" s="828"/>
      <c r="D543" s="828"/>
      <c r="E543" s="828"/>
      <c r="F543" s="828"/>
      <c r="G543" s="828"/>
      <c r="H543" s="828"/>
      <c r="I543" s="828"/>
      <c r="J543" s="828"/>
      <c r="K543" s="828"/>
      <c r="L543" s="828"/>
      <c r="M543" s="828"/>
      <c r="N543" s="828"/>
      <c r="O543" s="828"/>
      <c r="P543" s="828"/>
      <c r="Q543" s="828"/>
      <c r="R543" s="828"/>
      <c r="S543" s="828"/>
      <c r="T543" s="828"/>
      <c r="U543" s="828"/>
      <c r="V543" s="828"/>
      <c r="W543" s="828"/>
      <c r="X543" s="828"/>
      <c r="Y543" s="828"/>
      <c r="Z543" s="828"/>
      <c r="AA543" s="828"/>
      <c r="AB543" s="828"/>
      <c r="AC543" s="828"/>
      <c r="AD543" s="828"/>
      <c r="AE543" s="828"/>
      <c r="AF543" s="828"/>
      <c r="AG543" s="828"/>
      <c r="AH543" s="828"/>
      <c r="AI543" s="828"/>
      <c r="AJ543" s="828"/>
    </row>
    <row r="544">
      <c r="A544" s="828"/>
      <c r="B544" s="828"/>
      <c r="C544" s="828"/>
      <c r="D544" s="828"/>
      <c r="E544" s="828"/>
      <c r="F544" s="828"/>
      <c r="G544" s="828"/>
      <c r="H544" s="828"/>
      <c r="I544" s="828"/>
      <c r="J544" s="828"/>
      <c r="K544" s="828"/>
      <c r="L544" s="828"/>
      <c r="M544" s="828"/>
      <c r="N544" s="828"/>
      <c r="O544" s="828"/>
      <c r="P544" s="828"/>
      <c r="Q544" s="828"/>
      <c r="R544" s="828"/>
      <c r="S544" s="828"/>
      <c r="T544" s="828"/>
      <c r="U544" s="828"/>
      <c r="V544" s="828"/>
      <c r="W544" s="828"/>
      <c r="X544" s="828"/>
      <c r="Y544" s="828"/>
      <c r="Z544" s="828"/>
      <c r="AA544" s="828"/>
      <c r="AB544" s="828"/>
      <c r="AC544" s="828"/>
      <c r="AD544" s="828"/>
      <c r="AE544" s="828"/>
      <c r="AF544" s="828"/>
      <c r="AG544" s="828"/>
      <c r="AH544" s="828"/>
      <c r="AI544" s="828"/>
      <c r="AJ544" s="828"/>
    </row>
    <row r="545">
      <c r="A545" s="828"/>
      <c r="B545" s="828"/>
      <c r="C545" s="828"/>
      <c r="D545" s="828"/>
      <c r="E545" s="828"/>
      <c r="F545" s="828"/>
      <c r="G545" s="828"/>
      <c r="H545" s="828"/>
      <c r="I545" s="828"/>
      <c r="J545" s="828"/>
      <c r="K545" s="828"/>
      <c r="L545" s="828"/>
      <c r="M545" s="828"/>
      <c r="N545" s="828"/>
      <c r="O545" s="828"/>
      <c r="P545" s="828"/>
      <c r="Q545" s="828"/>
      <c r="R545" s="828"/>
      <c r="S545" s="828"/>
      <c r="T545" s="828"/>
      <c r="U545" s="828"/>
      <c r="V545" s="828"/>
      <c r="W545" s="828"/>
      <c r="X545" s="828"/>
      <c r="Y545" s="828"/>
      <c r="Z545" s="828"/>
      <c r="AA545" s="828"/>
      <c r="AB545" s="828"/>
      <c r="AC545" s="828"/>
      <c r="AD545" s="828"/>
      <c r="AE545" s="828"/>
      <c r="AF545" s="828"/>
      <c r="AG545" s="828"/>
      <c r="AH545" s="828"/>
      <c r="AI545" s="828"/>
      <c r="AJ545" s="828"/>
    </row>
    <row r="546">
      <c r="A546" s="828"/>
      <c r="B546" s="828"/>
      <c r="C546" s="828"/>
      <c r="D546" s="828"/>
      <c r="E546" s="828"/>
      <c r="F546" s="828"/>
      <c r="G546" s="828"/>
      <c r="H546" s="828"/>
      <c r="I546" s="828"/>
      <c r="J546" s="828"/>
      <c r="K546" s="828"/>
      <c r="L546" s="828"/>
      <c r="M546" s="828"/>
      <c r="N546" s="828"/>
      <c r="O546" s="828"/>
      <c r="P546" s="828"/>
      <c r="Q546" s="828"/>
      <c r="R546" s="828"/>
      <c r="S546" s="828"/>
      <c r="T546" s="828"/>
      <c r="U546" s="828"/>
      <c r="V546" s="828"/>
      <c r="W546" s="828"/>
      <c r="X546" s="828"/>
      <c r="Y546" s="828"/>
      <c r="Z546" s="828"/>
      <c r="AA546" s="828"/>
      <c r="AB546" s="828"/>
      <c r="AC546" s="828"/>
      <c r="AD546" s="828"/>
      <c r="AE546" s="828"/>
      <c r="AF546" s="828"/>
      <c r="AG546" s="828"/>
      <c r="AH546" s="828"/>
      <c r="AI546" s="828"/>
      <c r="AJ546" s="828"/>
    </row>
    <row r="547">
      <c r="A547" s="828"/>
      <c r="B547" s="828"/>
      <c r="C547" s="828"/>
      <c r="D547" s="828"/>
      <c r="E547" s="828"/>
      <c r="F547" s="828"/>
      <c r="G547" s="828"/>
      <c r="H547" s="828"/>
      <c r="I547" s="828"/>
      <c r="J547" s="828"/>
      <c r="K547" s="828"/>
      <c r="L547" s="828"/>
      <c r="M547" s="828"/>
      <c r="N547" s="828"/>
      <c r="O547" s="828"/>
      <c r="P547" s="828"/>
      <c r="Q547" s="828"/>
      <c r="R547" s="828"/>
      <c r="S547" s="828"/>
      <c r="T547" s="828"/>
      <c r="U547" s="828"/>
      <c r="V547" s="828"/>
      <c r="W547" s="828"/>
      <c r="X547" s="828"/>
      <c r="Y547" s="828"/>
      <c r="Z547" s="828"/>
      <c r="AA547" s="828"/>
      <c r="AB547" s="828"/>
      <c r="AC547" s="828"/>
      <c r="AD547" s="828"/>
      <c r="AE547" s="828"/>
      <c r="AF547" s="828"/>
      <c r="AG547" s="828"/>
      <c r="AH547" s="828"/>
      <c r="AI547" s="828"/>
      <c r="AJ547" s="828"/>
    </row>
    <row r="548">
      <c r="A548" s="828"/>
      <c r="B548" s="828"/>
      <c r="C548" s="828"/>
      <c r="D548" s="828"/>
      <c r="E548" s="828"/>
      <c r="F548" s="828"/>
      <c r="G548" s="828"/>
      <c r="H548" s="828"/>
      <c r="I548" s="828"/>
      <c r="J548" s="828"/>
      <c r="K548" s="828"/>
      <c r="L548" s="828"/>
      <c r="M548" s="828"/>
      <c r="N548" s="828"/>
      <c r="O548" s="828"/>
      <c r="P548" s="828"/>
      <c r="Q548" s="828"/>
      <c r="R548" s="828"/>
      <c r="S548" s="828"/>
      <c r="T548" s="828"/>
      <c r="U548" s="828"/>
      <c r="V548" s="828"/>
      <c r="W548" s="828"/>
      <c r="X548" s="828"/>
      <c r="Y548" s="828"/>
      <c r="Z548" s="828"/>
      <c r="AA548" s="828"/>
      <c r="AB548" s="828"/>
      <c r="AC548" s="828"/>
      <c r="AD548" s="828"/>
      <c r="AE548" s="828"/>
      <c r="AF548" s="828"/>
      <c r="AG548" s="828"/>
      <c r="AH548" s="828"/>
      <c r="AI548" s="828"/>
      <c r="AJ548" s="828"/>
    </row>
    <row r="549">
      <c r="A549" s="828"/>
      <c r="B549" s="828"/>
      <c r="C549" s="828"/>
      <c r="D549" s="828"/>
      <c r="E549" s="828"/>
      <c r="F549" s="828"/>
      <c r="G549" s="828"/>
      <c r="H549" s="828"/>
      <c r="I549" s="828"/>
      <c r="J549" s="828"/>
      <c r="K549" s="828"/>
      <c r="L549" s="828"/>
      <c r="M549" s="828"/>
      <c r="N549" s="828"/>
      <c r="O549" s="828"/>
      <c r="P549" s="828"/>
      <c r="Q549" s="828"/>
      <c r="R549" s="828"/>
      <c r="S549" s="828"/>
      <c r="T549" s="828"/>
      <c r="U549" s="828"/>
      <c r="V549" s="828"/>
      <c r="W549" s="828"/>
      <c r="X549" s="828"/>
      <c r="Y549" s="828"/>
      <c r="Z549" s="828"/>
      <c r="AA549" s="828"/>
      <c r="AB549" s="828"/>
      <c r="AC549" s="828"/>
      <c r="AD549" s="828"/>
      <c r="AE549" s="828"/>
      <c r="AF549" s="828"/>
      <c r="AG549" s="828"/>
      <c r="AH549" s="828"/>
      <c r="AI549" s="828"/>
      <c r="AJ549" s="828"/>
    </row>
    <row r="550">
      <c r="A550" s="828"/>
      <c r="B550" s="828"/>
      <c r="C550" s="828"/>
      <c r="D550" s="828"/>
      <c r="E550" s="828"/>
      <c r="F550" s="828"/>
      <c r="G550" s="828"/>
      <c r="H550" s="828"/>
      <c r="I550" s="828"/>
      <c r="J550" s="828"/>
      <c r="K550" s="828"/>
      <c r="L550" s="828"/>
      <c r="M550" s="828"/>
      <c r="N550" s="828"/>
      <c r="O550" s="828"/>
      <c r="P550" s="828"/>
      <c r="Q550" s="828"/>
      <c r="R550" s="828"/>
      <c r="S550" s="828"/>
      <c r="T550" s="828"/>
      <c r="U550" s="828"/>
      <c r="V550" s="828"/>
      <c r="W550" s="828"/>
      <c r="X550" s="828"/>
      <c r="Y550" s="828"/>
      <c r="Z550" s="828"/>
      <c r="AA550" s="828"/>
      <c r="AB550" s="828"/>
      <c r="AC550" s="828"/>
      <c r="AD550" s="828"/>
      <c r="AE550" s="828"/>
      <c r="AF550" s="828"/>
      <c r="AG550" s="828"/>
      <c r="AH550" s="828"/>
      <c r="AI550" s="828"/>
      <c r="AJ550" s="828"/>
    </row>
    <row r="551">
      <c r="A551" s="828"/>
      <c r="B551" s="828"/>
      <c r="C551" s="828"/>
      <c r="D551" s="828"/>
      <c r="E551" s="828"/>
      <c r="F551" s="828"/>
      <c r="G551" s="828"/>
      <c r="H551" s="828"/>
      <c r="I551" s="828"/>
      <c r="J551" s="828"/>
      <c r="K551" s="828"/>
      <c r="L551" s="828"/>
      <c r="M551" s="828"/>
      <c r="N551" s="828"/>
      <c r="O551" s="828"/>
      <c r="P551" s="828"/>
      <c r="Q551" s="828"/>
      <c r="R551" s="828"/>
      <c r="S551" s="828"/>
      <c r="T551" s="828"/>
      <c r="U551" s="828"/>
      <c r="V551" s="828"/>
      <c r="W551" s="828"/>
      <c r="X551" s="828"/>
      <c r="Y551" s="828"/>
      <c r="Z551" s="828"/>
      <c r="AA551" s="828"/>
      <c r="AB551" s="828"/>
      <c r="AC551" s="828"/>
      <c r="AD551" s="828"/>
      <c r="AE551" s="828"/>
      <c r="AF551" s="828"/>
      <c r="AG551" s="828"/>
      <c r="AH551" s="828"/>
      <c r="AI551" s="828"/>
      <c r="AJ551" s="828"/>
    </row>
    <row r="552">
      <c r="A552" s="828"/>
      <c r="B552" s="828"/>
      <c r="C552" s="828"/>
      <c r="D552" s="828"/>
      <c r="E552" s="828"/>
      <c r="F552" s="828"/>
      <c r="G552" s="828"/>
      <c r="H552" s="828"/>
      <c r="I552" s="828"/>
      <c r="J552" s="828"/>
      <c r="K552" s="828"/>
      <c r="L552" s="828"/>
      <c r="M552" s="828"/>
      <c r="N552" s="828"/>
      <c r="O552" s="828"/>
      <c r="P552" s="828"/>
      <c r="Q552" s="828"/>
      <c r="R552" s="828"/>
      <c r="S552" s="828"/>
      <c r="T552" s="828"/>
      <c r="U552" s="828"/>
      <c r="V552" s="828"/>
      <c r="W552" s="828"/>
      <c r="X552" s="828"/>
      <c r="Y552" s="828"/>
      <c r="Z552" s="828"/>
      <c r="AA552" s="828"/>
      <c r="AB552" s="828"/>
      <c r="AC552" s="828"/>
      <c r="AD552" s="828"/>
      <c r="AE552" s="828"/>
      <c r="AF552" s="828"/>
      <c r="AG552" s="828"/>
      <c r="AH552" s="828"/>
      <c r="AI552" s="828"/>
      <c r="AJ552" s="828"/>
    </row>
    <row r="553">
      <c r="A553" s="828"/>
      <c r="B553" s="828"/>
      <c r="C553" s="828"/>
      <c r="D553" s="828"/>
      <c r="E553" s="828"/>
      <c r="F553" s="828"/>
      <c r="G553" s="828"/>
      <c r="H553" s="828"/>
      <c r="I553" s="828"/>
      <c r="J553" s="828"/>
      <c r="K553" s="828"/>
      <c r="L553" s="828"/>
      <c r="M553" s="828"/>
      <c r="N553" s="828"/>
      <c r="O553" s="828"/>
      <c r="P553" s="828"/>
      <c r="Q553" s="828"/>
      <c r="R553" s="828"/>
      <c r="S553" s="828"/>
      <c r="T553" s="828"/>
      <c r="U553" s="828"/>
      <c r="V553" s="828"/>
      <c r="W553" s="828"/>
      <c r="X553" s="828"/>
      <c r="Y553" s="828"/>
      <c r="Z553" s="828"/>
      <c r="AA553" s="828"/>
      <c r="AB553" s="828"/>
      <c r="AC553" s="828"/>
      <c r="AD553" s="828"/>
      <c r="AE553" s="828"/>
      <c r="AF553" s="828"/>
      <c r="AG553" s="828"/>
      <c r="AH553" s="828"/>
      <c r="AI553" s="828"/>
      <c r="AJ553" s="828"/>
    </row>
    <row r="554">
      <c r="A554" s="828"/>
      <c r="B554" s="828"/>
      <c r="C554" s="828"/>
      <c r="D554" s="828"/>
      <c r="E554" s="828"/>
      <c r="F554" s="828"/>
      <c r="G554" s="828"/>
      <c r="H554" s="828"/>
      <c r="I554" s="828"/>
      <c r="J554" s="828"/>
      <c r="K554" s="828"/>
      <c r="L554" s="828"/>
      <c r="M554" s="828"/>
      <c r="N554" s="828"/>
      <c r="O554" s="828"/>
      <c r="P554" s="828"/>
      <c r="Q554" s="828"/>
      <c r="R554" s="828"/>
      <c r="S554" s="828"/>
      <c r="T554" s="828"/>
      <c r="U554" s="828"/>
      <c r="V554" s="828"/>
      <c r="W554" s="828"/>
      <c r="X554" s="828"/>
      <c r="Y554" s="828"/>
      <c r="Z554" s="828"/>
      <c r="AA554" s="828"/>
      <c r="AB554" s="828"/>
      <c r="AC554" s="828"/>
      <c r="AD554" s="828"/>
      <c r="AE554" s="828"/>
      <c r="AF554" s="828"/>
      <c r="AG554" s="828"/>
      <c r="AH554" s="828"/>
      <c r="AI554" s="828"/>
      <c r="AJ554" s="828"/>
    </row>
    <row r="555">
      <c r="A555" s="828"/>
      <c r="B555" s="828"/>
      <c r="C555" s="828"/>
      <c r="D555" s="828"/>
      <c r="E555" s="828"/>
      <c r="F555" s="828"/>
      <c r="G555" s="828"/>
      <c r="H555" s="828"/>
      <c r="I555" s="828"/>
      <c r="J555" s="828"/>
      <c r="K555" s="828"/>
      <c r="L555" s="828"/>
      <c r="M555" s="828"/>
      <c r="N555" s="828"/>
      <c r="O555" s="828"/>
      <c r="P555" s="828"/>
      <c r="Q555" s="828"/>
      <c r="R555" s="828"/>
      <c r="S555" s="828"/>
      <c r="T555" s="828"/>
      <c r="U555" s="828"/>
      <c r="V555" s="828"/>
      <c r="W555" s="828"/>
      <c r="X555" s="828"/>
      <c r="Y555" s="828"/>
      <c r="Z555" s="828"/>
      <c r="AA555" s="828"/>
      <c r="AB555" s="828"/>
      <c r="AC555" s="828"/>
      <c r="AD555" s="828"/>
      <c r="AE555" s="828"/>
      <c r="AF555" s="828"/>
      <c r="AG555" s="828"/>
      <c r="AH555" s="828"/>
      <c r="AI555" s="828"/>
      <c r="AJ555" s="828"/>
    </row>
    <row r="556">
      <c r="A556" s="828"/>
      <c r="B556" s="828"/>
      <c r="C556" s="828"/>
      <c r="D556" s="828"/>
      <c r="E556" s="828"/>
      <c r="F556" s="828"/>
      <c r="G556" s="828"/>
      <c r="H556" s="828"/>
      <c r="I556" s="828"/>
      <c r="J556" s="828"/>
      <c r="K556" s="828"/>
      <c r="L556" s="828"/>
      <c r="M556" s="828"/>
      <c r="N556" s="828"/>
      <c r="O556" s="828"/>
      <c r="P556" s="828"/>
      <c r="Q556" s="828"/>
      <c r="R556" s="828"/>
      <c r="S556" s="828"/>
      <c r="T556" s="828"/>
      <c r="U556" s="828"/>
      <c r="V556" s="828"/>
      <c r="W556" s="828"/>
      <c r="X556" s="828"/>
      <c r="Y556" s="828"/>
      <c r="Z556" s="828"/>
      <c r="AA556" s="828"/>
      <c r="AB556" s="828"/>
      <c r="AC556" s="828"/>
      <c r="AD556" s="828"/>
      <c r="AE556" s="828"/>
      <c r="AF556" s="828"/>
      <c r="AG556" s="828"/>
      <c r="AH556" s="828"/>
      <c r="AI556" s="828"/>
      <c r="AJ556" s="828"/>
    </row>
    <row r="557">
      <c r="A557" s="828"/>
      <c r="B557" s="828"/>
      <c r="C557" s="828"/>
      <c r="D557" s="828"/>
      <c r="E557" s="828"/>
      <c r="F557" s="828"/>
      <c r="G557" s="828"/>
      <c r="H557" s="828"/>
      <c r="I557" s="828"/>
      <c r="J557" s="828"/>
      <c r="K557" s="828"/>
      <c r="L557" s="828"/>
      <c r="M557" s="828"/>
      <c r="N557" s="828"/>
      <c r="O557" s="828"/>
      <c r="P557" s="828"/>
      <c r="Q557" s="828"/>
      <c r="R557" s="828"/>
      <c r="S557" s="828"/>
      <c r="T557" s="828"/>
      <c r="U557" s="828"/>
      <c r="V557" s="828"/>
      <c r="W557" s="828"/>
      <c r="X557" s="828"/>
      <c r="Y557" s="828"/>
      <c r="Z557" s="828"/>
      <c r="AA557" s="828"/>
      <c r="AB557" s="828"/>
      <c r="AC557" s="828"/>
      <c r="AD557" s="828"/>
      <c r="AE557" s="828"/>
      <c r="AF557" s="828"/>
      <c r="AG557" s="828"/>
      <c r="AH557" s="828"/>
      <c r="AI557" s="828"/>
      <c r="AJ557" s="828"/>
    </row>
    <row r="558">
      <c r="A558" s="828"/>
      <c r="B558" s="828"/>
      <c r="C558" s="828"/>
      <c r="D558" s="828"/>
      <c r="E558" s="828"/>
      <c r="F558" s="828"/>
      <c r="G558" s="828"/>
      <c r="H558" s="828"/>
      <c r="I558" s="828"/>
      <c r="J558" s="828"/>
      <c r="K558" s="828"/>
      <c r="L558" s="828"/>
      <c r="M558" s="828"/>
      <c r="N558" s="828"/>
      <c r="O558" s="828"/>
      <c r="P558" s="828"/>
      <c r="Q558" s="828"/>
      <c r="R558" s="828"/>
      <c r="S558" s="828"/>
      <c r="T558" s="828"/>
      <c r="U558" s="828"/>
      <c r="V558" s="828"/>
      <c r="W558" s="828"/>
      <c r="X558" s="828"/>
      <c r="Y558" s="828"/>
      <c r="Z558" s="828"/>
      <c r="AA558" s="828"/>
      <c r="AB558" s="828"/>
      <c r="AC558" s="828"/>
      <c r="AD558" s="828"/>
      <c r="AE558" s="828"/>
      <c r="AF558" s="828"/>
      <c r="AG558" s="828"/>
      <c r="AH558" s="828"/>
      <c r="AI558" s="828"/>
      <c r="AJ558" s="828"/>
    </row>
    <row r="559">
      <c r="A559" s="828"/>
      <c r="B559" s="828"/>
      <c r="C559" s="828"/>
      <c r="D559" s="828"/>
      <c r="E559" s="828"/>
      <c r="F559" s="828"/>
      <c r="G559" s="828"/>
      <c r="H559" s="828"/>
      <c r="I559" s="828"/>
      <c r="J559" s="828"/>
      <c r="K559" s="828"/>
      <c r="L559" s="828"/>
      <c r="M559" s="828"/>
      <c r="N559" s="828"/>
      <c r="O559" s="828"/>
      <c r="P559" s="828"/>
      <c r="Q559" s="828"/>
      <c r="R559" s="828"/>
      <c r="S559" s="828"/>
      <c r="T559" s="828"/>
      <c r="U559" s="828"/>
      <c r="V559" s="828"/>
      <c r="W559" s="828"/>
      <c r="X559" s="828"/>
      <c r="Y559" s="828"/>
      <c r="Z559" s="828"/>
      <c r="AA559" s="828"/>
      <c r="AB559" s="828"/>
      <c r="AC559" s="828"/>
      <c r="AD559" s="828"/>
      <c r="AE559" s="828"/>
      <c r="AF559" s="828"/>
      <c r="AG559" s="828"/>
      <c r="AH559" s="828"/>
      <c r="AI559" s="828"/>
      <c r="AJ559" s="828"/>
    </row>
    <row r="560">
      <c r="A560" s="828"/>
      <c r="B560" s="828"/>
      <c r="C560" s="828"/>
      <c r="D560" s="828"/>
      <c r="E560" s="828"/>
      <c r="F560" s="828"/>
      <c r="G560" s="828"/>
      <c r="H560" s="828"/>
      <c r="I560" s="828"/>
      <c r="J560" s="828"/>
      <c r="K560" s="828"/>
      <c r="L560" s="828"/>
      <c r="M560" s="828"/>
      <c r="N560" s="828"/>
      <c r="O560" s="828"/>
      <c r="P560" s="828"/>
      <c r="Q560" s="828"/>
      <c r="R560" s="828"/>
      <c r="S560" s="828"/>
      <c r="T560" s="828"/>
      <c r="U560" s="828"/>
      <c r="V560" s="828"/>
      <c r="W560" s="828"/>
      <c r="X560" s="828"/>
      <c r="Y560" s="828"/>
      <c r="Z560" s="828"/>
      <c r="AA560" s="828"/>
      <c r="AB560" s="828"/>
      <c r="AC560" s="828"/>
      <c r="AD560" s="828"/>
      <c r="AE560" s="828"/>
      <c r="AF560" s="828"/>
      <c r="AG560" s="828"/>
      <c r="AH560" s="828"/>
      <c r="AI560" s="828"/>
      <c r="AJ560" s="828"/>
    </row>
    <row r="561">
      <c r="A561" s="828"/>
      <c r="B561" s="828"/>
      <c r="C561" s="828"/>
      <c r="D561" s="828"/>
      <c r="E561" s="828"/>
      <c r="F561" s="828"/>
      <c r="G561" s="828"/>
      <c r="H561" s="828"/>
      <c r="I561" s="828"/>
      <c r="J561" s="828"/>
      <c r="K561" s="828"/>
      <c r="L561" s="828"/>
      <c r="M561" s="828"/>
      <c r="N561" s="828"/>
      <c r="O561" s="828"/>
      <c r="P561" s="828"/>
      <c r="Q561" s="828"/>
      <c r="R561" s="828"/>
      <c r="S561" s="828"/>
      <c r="T561" s="828"/>
      <c r="U561" s="828"/>
      <c r="V561" s="828"/>
      <c r="W561" s="828"/>
      <c r="X561" s="828"/>
      <c r="Y561" s="828"/>
      <c r="Z561" s="828"/>
      <c r="AA561" s="828"/>
      <c r="AB561" s="828"/>
      <c r="AC561" s="828"/>
      <c r="AD561" s="828"/>
      <c r="AE561" s="828"/>
      <c r="AF561" s="828"/>
      <c r="AG561" s="828"/>
      <c r="AH561" s="828"/>
      <c r="AI561" s="828"/>
      <c r="AJ561" s="828"/>
    </row>
    <row r="562">
      <c r="A562" s="828"/>
      <c r="B562" s="828"/>
      <c r="C562" s="828"/>
      <c r="D562" s="828"/>
      <c r="E562" s="828"/>
      <c r="F562" s="828"/>
      <c r="G562" s="828"/>
      <c r="H562" s="828"/>
      <c r="I562" s="828"/>
      <c r="J562" s="828"/>
      <c r="K562" s="828"/>
      <c r="L562" s="828"/>
      <c r="M562" s="828"/>
      <c r="N562" s="828"/>
      <c r="O562" s="828"/>
      <c r="P562" s="828"/>
      <c r="Q562" s="828"/>
      <c r="R562" s="828"/>
      <c r="S562" s="828"/>
      <c r="T562" s="828"/>
      <c r="U562" s="828"/>
      <c r="V562" s="828"/>
      <c r="W562" s="828"/>
      <c r="X562" s="828"/>
      <c r="Y562" s="828"/>
      <c r="Z562" s="828"/>
      <c r="AA562" s="828"/>
      <c r="AB562" s="828"/>
      <c r="AC562" s="828"/>
      <c r="AD562" s="828"/>
      <c r="AE562" s="828"/>
      <c r="AF562" s="828"/>
      <c r="AG562" s="828"/>
      <c r="AH562" s="828"/>
      <c r="AI562" s="828"/>
      <c r="AJ562" s="828"/>
    </row>
    <row r="563">
      <c r="A563" s="828"/>
      <c r="B563" s="828"/>
      <c r="C563" s="828"/>
      <c r="D563" s="828"/>
      <c r="E563" s="828"/>
      <c r="F563" s="828"/>
      <c r="G563" s="828"/>
      <c r="H563" s="828"/>
      <c r="I563" s="828"/>
      <c r="J563" s="828"/>
      <c r="K563" s="828"/>
      <c r="L563" s="828"/>
      <c r="M563" s="828"/>
      <c r="N563" s="828"/>
      <c r="O563" s="828"/>
      <c r="P563" s="828"/>
      <c r="Q563" s="828"/>
      <c r="R563" s="828"/>
      <c r="S563" s="828"/>
      <c r="T563" s="828"/>
      <c r="U563" s="828"/>
      <c r="V563" s="828"/>
      <c r="W563" s="828"/>
      <c r="X563" s="828"/>
      <c r="Y563" s="828"/>
      <c r="Z563" s="828"/>
      <c r="AA563" s="828"/>
      <c r="AB563" s="828"/>
      <c r="AC563" s="828"/>
      <c r="AD563" s="828"/>
      <c r="AE563" s="828"/>
      <c r="AF563" s="828"/>
      <c r="AG563" s="828"/>
      <c r="AH563" s="828"/>
      <c r="AI563" s="828"/>
      <c r="AJ563" s="828"/>
    </row>
    <row r="564">
      <c r="A564" s="828"/>
      <c r="B564" s="828"/>
      <c r="C564" s="828"/>
      <c r="D564" s="828"/>
      <c r="E564" s="828"/>
      <c r="F564" s="828"/>
      <c r="G564" s="828"/>
      <c r="H564" s="828"/>
      <c r="I564" s="828"/>
      <c r="J564" s="828"/>
      <c r="K564" s="828"/>
      <c r="L564" s="828"/>
      <c r="M564" s="828"/>
      <c r="N564" s="828"/>
      <c r="O564" s="828"/>
      <c r="P564" s="828"/>
      <c r="Q564" s="828"/>
      <c r="R564" s="828"/>
      <c r="S564" s="828"/>
      <c r="T564" s="828"/>
      <c r="U564" s="828"/>
      <c r="V564" s="828"/>
      <c r="W564" s="828"/>
      <c r="X564" s="828"/>
      <c r="Y564" s="828"/>
      <c r="Z564" s="828"/>
      <c r="AA564" s="828"/>
      <c r="AB564" s="828"/>
      <c r="AC564" s="828"/>
      <c r="AD564" s="828"/>
      <c r="AE564" s="828"/>
      <c r="AF564" s="828"/>
      <c r="AG564" s="828"/>
      <c r="AH564" s="828"/>
      <c r="AI564" s="828"/>
      <c r="AJ564" s="828"/>
    </row>
    <row r="565">
      <c r="A565" s="828"/>
      <c r="B565" s="828"/>
      <c r="C565" s="828"/>
      <c r="D565" s="828"/>
      <c r="E565" s="828"/>
      <c r="F565" s="828"/>
      <c r="G565" s="828"/>
      <c r="H565" s="828"/>
      <c r="I565" s="828"/>
      <c r="J565" s="828"/>
      <c r="K565" s="828"/>
      <c r="L565" s="828"/>
      <c r="M565" s="828"/>
      <c r="N565" s="828"/>
      <c r="O565" s="828"/>
      <c r="P565" s="828"/>
      <c r="Q565" s="828"/>
      <c r="R565" s="828"/>
      <c r="S565" s="828"/>
      <c r="T565" s="828"/>
      <c r="U565" s="828"/>
      <c r="V565" s="828"/>
      <c r="W565" s="828"/>
      <c r="X565" s="828"/>
      <c r="Y565" s="828"/>
      <c r="Z565" s="828"/>
      <c r="AA565" s="828"/>
      <c r="AB565" s="828"/>
      <c r="AC565" s="828"/>
      <c r="AD565" s="828"/>
      <c r="AE565" s="828"/>
      <c r="AF565" s="828"/>
      <c r="AG565" s="828"/>
      <c r="AH565" s="828"/>
      <c r="AI565" s="828"/>
      <c r="AJ565" s="828"/>
    </row>
    <row r="566">
      <c r="A566" s="828"/>
      <c r="B566" s="828"/>
      <c r="C566" s="828"/>
      <c r="D566" s="828"/>
      <c r="E566" s="828"/>
      <c r="F566" s="828"/>
      <c r="G566" s="828"/>
      <c r="H566" s="828"/>
      <c r="I566" s="828"/>
      <c r="J566" s="828"/>
      <c r="K566" s="828"/>
      <c r="L566" s="828"/>
      <c r="M566" s="828"/>
      <c r="N566" s="828"/>
      <c r="O566" s="828"/>
      <c r="P566" s="828"/>
      <c r="Q566" s="828"/>
      <c r="R566" s="828"/>
      <c r="S566" s="828"/>
      <c r="T566" s="828"/>
      <c r="U566" s="828"/>
      <c r="V566" s="828"/>
      <c r="W566" s="828"/>
      <c r="X566" s="828"/>
      <c r="Y566" s="828"/>
      <c r="Z566" s="828"/>
      <c r="AA566" s="828"/>
      <c r="AB566" s="828"/>
      <c r="AC566" s="828"/>
      <c r="AD566" s="828"/>
      <c r="AE566" s="828"/>
      <c r="AF566" s="828"/>
      <c r="AG566" s="828"/>
      <c r="AH566" s="828"/>
      <c r="AI566" s="828"/>
      <c r="AJ566" s="828"/>
    </row>
    <row r="567">
      <c r="A567" s="828"/>
      <c r="B567" s="828"/>
      <c r="C567" s="828"/>
      <c r="D567" s="828"/>
      <c r="E567" s="828"/>
      <c r="F567" s="828"/>
      <c r="G567" s="828"/>
      <c r="H567" s="828"/>
      <c r="I567" s="828"/>
      <c r="J567" s="828"/>
      <c r="K567" s="828"/>
      <c r="L567" s="828"/>
      <c r="M567" s="828"/>
      <c r="N567" s="828"/>
      <c r="O567" s="828"/>
      <c r="P567" s="828"/>
      <c r="Q567" s="828"/>
      <c r="R567" s="828"/>
      <c r="S567" s="828"/>
      <c r="T567" s="828"/>
      <c r="U567" s="828"/>
      <c r="V567" s="828"/>
      <c r="W567" s="828"/>
      <c r="X567" s="828"/>
      <c r="Y567" s="828"/>
      <c r="Z567" s="828"/>
      <c r="AA567" s="828"/>
      <c r="AB567" s="828"/>
      <c r="AC567" s="828"/>
      <c r="AD567" s="828"/>
      <c r="AE567" s="828"/>
      <c r="AF567" s="828"/>
      <c r="AG567" s="828"/>
      <c r="AH567" s="828"/>
      <c r="AI567" s="828"/>
      <c r="AJ567" s="828"/>
    </row>
    <row r="568">
      <c r="A568" s="828"/>
      <c r="B568" s="828"/>
      <c r="C568" s="828"/>
      <c r="D568" s="828"/>
      <c r="E568" s="828"/>
      <c r="F568" s="828"/>
      <c r="G568" s="828"/>
      <c r="H568" s="828"/>
      <c r="I568" s="828"/>
      <c r="J568" s="828"/>
      <c r="K568" s="828"/>
      <c r="L568" s="828"/>
      <c r="M568" s="828"/>
      <c r="N568" s="828"/>
      <c r="O568" s="828"/>
      <c r="P568" s="828"/>
      <c r="Q568" s="828"/>
      <c r="R568" s="828"/>
      <c r="S568" s="828"/>
      <c r="T568" s="828"/>
      <c r="U568" s="828"/>
      <c r="V568" s="828"/>
      <c r="W568" s="828"/>
      <c r="X568" s="828"/>
      <c r="Y568" s="828"/>
      <c r="Z568" s="828"/>
      <c r="AA568" s="828"/>
      <c r="AB568" s="828"/>
      <c r="AC568" s="828"/>
      <c r="AD568" s="828"/>
      <c r="AE568" s="828"/>
      <c r="AF568" s="828"/>
      <c r="AG568" s="828"/>
      <c r="AH568" s="828"/>
      <c r="AI568" s="828"/>
      <c r="AJ568" s="828"/>
    </row>
    <row r="569">
      <c r="A569" s="828"/>
      <c r="B569" s="828"/>
      <c r="C569" s="828"/>
      <c r="D569" s="828"/>
      <c r="E569" s="828"/>
      <c r="F569" s="828"/>
      <c r="G569" s="828"/>
      <c r="H569" s="828"/>
      <c r="I569" s="828"/>
      <c r="J569" s="828"/>
      <c r="K569" s="828"/>
      <c r="L569" s="828"/>
      <c r="M569" s="828"/>
      <c r="N569" s="828"/>
      <c r="O569" s="828"/>
      <c r="P569" s="828"/>
      <c r="Q569" s="828"/>
      <c r="R569" s="828"/>
      <c r="S569" s="828"/>
      <c r="T569" s="828"/>
      <c r="U569" s="828"/>
      <c r="V569" s="828"/>
      <c r="W569" s="828"/>
      <c r="X569" s="828"/>
      <c r="Y569" s="828"/>
      <c r="Z569" s="828"/>
      <c r="AA569" s="828"/>
      <c r="AB569" s="828"/>
      <c r="AC569" s="828"/>
      <c r="AD569" s="828"/>
      <c r="AE569" s="828"/>
      <c r="AF569" s="828"/>
      <c r="AG569" s="828"/>
      <c r="AH569" s="828"/>
      <c r="AI569" s="828"/>
      <c r="AJ569" s="828"/>
    </row>
    <row r="570">
      <c r="A570" s="828"/>
      <c r="B570" s="828"/>
      <c r="C570" s="828"/>
      <c r="D570" s="828"/>
      <c r="E570" s="828"/>
      <c r="F570" s="828"/>
      <c r="G570" s="828"/>
      <c r="H570" s="828"/>
      <c r="I570" s="828"/>
      <c r="J570" s="828"/>
      <c r="K570" s="828"/>
      <c r="L570" s="828"/>
      <c r="M570" s="828"/>
      <c r="N570" s="828"/>
      <c r="O570" s="828"/>
      <c r="P570" s="828"/>
      <c r="Q570" s="828"/>
      <c r="R570" s="828"/>
      <c r="S570" s="828"/>
      <c r="T570" s="828"/>
      <c r="U570" s="828"/>
      <c r="V570" s="828"/>
      <c r="W570" s="828"/>
      <c r="X570" s="828"/>
      <c r="Y570" s="828"/>
      <c r="Z570" s="828"/>
      <c r="AA570" s="828"/>
      <c r="AB570" s="828"/>
      <c r="AC570" s="828"/>
      <c r="AD570" s="828"/>
      <c r="AE570" s="828"/>
      <c r="AF570" s="828"/>
      <c r="AG570" s="828"/>
      <c r="AH570" s="828"/>
      <c r="AI570" s="828"/>
      <c r="AJ570" s="828"/>
    </row>
    <row r="571">
      <c r="A571" s="828"/>
      <c r="B571" s="828"/>
      <c r="C571" s="828"/>
      <c r="D571" s="828"/>
      <c r="E571" s="828"/>
      <c r="F571" s="828"/>
      <c r="G571" s="828"/>
      <c r="H571" s="828"/>
      <c r="I571" s="828"/>
      <c r="J571" s="828"/>
      <c r="K571" s="828"/>
      <c r="L571" s="828"/>
      <c r="M571" s="828"/>
      <c r="N571" s="828"/>
      <c r="O571" s="828"/>
      <c r="P571" s="828"/>
      <c r="Q571" s="828"/>
      <c r="R571" s="828"/>
      <c r="S571" s="828"/>
      <c r="T571" s="828"/>
      <c r="U571" s="828"/>
      <c r="V571" s="828"/>
      <c r="W571" s="828"/>
      <c r="X571" s="828"/>
      <c r="Y571" s="828"/>
      <c r="Z571" s="828"/>
      <c r="AA571" s="828"/>
      <c r="AB571" s="828"/>
      <c r="AC571" s="828"/>
      <c r="AD571" s="828"/>
      <c r="AE571" s="828"/>
      <c r="AF571" s="828"/>
      <c r="AG571" s="828"/>
      <c r="AH571" s="828"/>
      <c r="AI571" s="828"/>
      <c r="AJ571" s="828"/>
    </row>
    <row r="572">
      <c r="A572" s="828"/>
      <c r="B572" s="828"/>
      <c r="C572" s="828"/>
      <c r="D572" s="828"/>
      <c r="E572" s="828"/>
      <c r="F572" s="828"/>
      <c r="G572" s="828"/>
      <c r="H572" s="828"/>
      <c r="I572" s="828"/>
      <c r="J572" s="828"/>
      <c r="K572" s="828"/>
      <c r="L572" s="828"/>
      <c r="M572" s="828"/>
      <c r="N572" s="828"/>
      <c r="O572" s="828"/>
      <c r="P572" s="828"/>
      <c r="Q572" s="828"/>
      <c r="R572" s="828"/>
      <c r="S572" s="828"/>
      <c r="T572" s="828"/>
      <c r="U572" s="828"/>
      <c r="V572" s="828"/>
      <c r="W572" s="828"/>
      <c r="X572" s="828"/>
      <c r="Y572" s="828"/>
      <c r="Z572" s="828"/>
      <c r="AA572" s="828"/>
      <c r="AB572" s="828"/>
      <c r="AC572" s="828"/>
      <c r="AD572" s="828"/>
      <c r="AE572" s="828"/>
      <c r="AF572" s="828"/>
      <c r="AG572" s="828"/>
      <c r="AH572" s="828"/>
      <c r="AI572" s="828"/>
      <c r="AJ572" s="828"/>
    </row>
    <row r="573">
      <c r="A573" s="828"/>
      <c r="B573" s="828"/>
      <c r="C573" s="828"/>
      <c r="D573" s="828"/>
      <c r="E573" s="828"/>
      <c r="F573" s="828"/>
      <c r="G573" s="828"/>
      <c r="H573" s="828"/>
      <c r="I573" s="828"/>
      <c r="J573" s="828"/>
      <c r="K573" s="828"/>
      <c r="L573" s="828"/>
      <c r="M573" s="828"/>
      <c r="N573" s="828"/>
      <c r="O573" s="828"/>
      <c r="P573" s="828"/>
      <c r="Q573" s="828"/>
      <c r="R573" s="828"/>
      <c r="S573" s="828"/>
      <c r="T573" s="828"/>
      <c r="U573" s="828"/>
      <c r="V573" s="828"/>
      <c r="W573" s="828"/>
      <c r="X573" s="828"/>
      <c r="Y573" s="828"/>
      <c r="Z573" s="828"/>
      <c r="AA573" s="828"/>
      <c r="AB573" s="828"/>
      <c r="AC573" s="828"/>
      <c r="AD573" s="828"/>
      <c r="AE573" s="828"/>
      <c r="AF573" s="828"/>
      <c r="AG573" s="828"/>
      <c r="AH573" s="828"/>
      <c r="AI573" s="828"/>
      <c r="AJ573" s="828"/>
    </row>
    <row r="574">
      <c r="A574" s="828"/>
      <c r="B574" s="828"/>
      <c r="C574" s="828"/>
      <c r="D574" s="828"/>
      <c r="E574" s="828"/>
      <c r="F574" s="828"/>
      <c r="G574" s="828"/>
      <c r="H574" s="828"/>
      <c r="I574" s="828"/>
      <c r="J574" s="828"/>
      <c r="K574" s="828"/>
      <c r="L574" s="828"/>
      <c r="M574" s="828"/>
      <c r="N574" s="828"/>
      <c r="O574" s="828"/>
      <c r="P574" s="828"/>
      <c r="Q574" s="828"/>
      <c r="R574" s="828"/>
      <c r="S574" s="828"/>
      <c r="T574" s="828"/>
      <c r="U574" s="828"/>
      <c r="V574" s="828"/>
      <c r="W574" s="828"/>
      <c r="X574" s="828"/>
      <c r="Y574" s="828"/>
      <c r="Z574" s="828"/>
      <c r="AA574" s="828"/>
      <c r="AB574" s="828"/>
      <c r="AC574" s="828"/>
      <c r="AD574" s="828"/>
      <c r="AE574" s="828"/>
      <c r="AF574" s="828"/>
      <c r="AG574" s="828"/>
      <c r="AH574" s="828"/>
      <c r="AI574" s="828"/>
      <c r="AJ574" s="828"/>
    </row>
    <row r="575">
      <c r="A575" s="828"/>
      <c r="B575" s="828"/>
      <c r="C575" s="828"/>
      <c r="D575" s="828"/>
      <c r="E575" s="828"/>
      <c r="F575" s="828"/>
      <c r="G575" s="828"/>
      <c r="H575" s="828"/>
      <c r="I575" s="828"/>
      <c r="J575" s="828"/>
      <c r="K575" s="828"/>
      <c r="L575" s="828"/>
      <c r="M575" s="828"/>
      <c r="N575" s="828"/>
      <c r="O575" s="828"/>
      <c r="P575" s="828"/>
      <c r="Q575" s="828"/>
      <c r="R575" s="828"/>
      <c r="S575" s="828"/>
      <c r="T575" s="828"/>
      <c r="U575" s="828"/>
      <c r="V575" s="828"/>
      <c r="W575" s="828"/>
      <c r="X575" s="828"/>
      <c r="Y575" s="828"/>
      <c r="Z575" s="828"/>
      <c r="AA575" s="828"/>
      <c r="AB575" s="828"/>
      <c r="AC575" s="828"/>
      <c r="AD575" s="828"/>
      <c r="AE575" s="828"/>
      <c r="AF575" s="828"/>
      <c r="AG575" s="828"/>
      <c r="AH575" s="828"/>
      <c r="AI575" s="828"/>
      <c r="AJ575" s="828"/>
    </row>
    <row r="576">
      <c r="A576" s="828"/>
      <c r="B576" s="828"/>
      <c r="C576" s="828"/>
      <c r="D576" s="828"/>
      <c r="E576" s="828"/>
      <c r="F576" s="828"/>
      <c r="G576" s="828"/>
      <c r="H576" s="828"/>
      <c r="I576" s="828"/>
      <c r="J576" s="828"/>
      <c r="K576" s="828"/>
      <c r="L576" s="828"/>
      <c r="M576" s="828"/>
      <c r="N576" s="828"/>
      <c r="O576" s="828"/>
      <c r="P576" s="828"/>
      <c r="Q576" s="828"/>
      <c r="R576" s="828"/>
      <c r="S576" s="828"/>
      <c r="T576" s="828"/>
      <c r="U576" s="828"/>
      <c r="V576" s="828"/>
      <c r="W576" s="828"/>
      <c r="X576" s="828"/>
      <c r="Y576" s="828"/>
      <c r="Z576" s="828"/>
      <c r="AA576" s="828"/>
      <c r="AB576" s="828"/>
      <c r="AC576" s="828"/>
      <c r="AD576" s="828"/>
      <c r="AE576" s="828"/>
      <c r="AF576" s="828"/>
      <c r="AG576" s="828"/>
      <c r="AH576" s="828"/>
      <c r="AI576" s="828"/>
      <c r="AJ576" s="828"/>
    </row>
    <row r="577">
      <c r="A577" s="828"/>
      <c r="B577" s="828"/>
      <c r="C577" s="828"/>
      <c r="D577" s="828"/>
      <c r="E577" s="828"/>
      <c r="F577" s="828"/>
      <c r="G577" s="828"/>
      <c r="H577" s="828"/>
      <c r="I577" s="828"/>
      <c r="J577" s="828"/>
      <c r="K577" s="828"/>
      <c r="L577" s="828"/>
      <c r="M577" s="828"/>
      <c r="N577" s="828"/>
      <c r="O577" s="828"/>
      <c r="P577" s="828"/>
      <c r="Q577" s="828"/>
      <c r="R577" s="828"/>
      <c r="S577" s="828"/>
      <c r="T577" s="828"/>
      <c r="U577" s="828"/>
      <c r="V577" s="828"/>
      <c r="W577" s="828"/>
      <c r="X577" s="828"/>
      <c r="Y577" s="828"/>
      <c r="Z577" s="828"/>
      <c r="AA577" s="828"/>
      <c r="AB577" s="828"/>
      <c r="AC577" s="828"/>
      <c r="AD577" s="828"/>
      <c r="AE577" s="828"/>
      <c r="AF577" s="828"/>
      <c r="AG577" s="828"/>
      <c r="AH577" s="828"/>
      <c r="AI577" s="828"/>
      <c r="AJ577" s="828"/>
    </row>
    <row r="578">
      <c r="A578" s="828"/>
      <c r="B578" s="828"/>
      <c r="C578" s="828"/>
      <c r="D578" s="828"/>
      <c r="E578" s="828"/>
      <c r="F578" s="828"/>
      <c r="G578" s="828"/>
      <c r="H578" s="828"/>
      <c r="I578" s="828"/>
      <c r="J578" s="828"/>
      <c r="K578" s="828"/>
      <c r="L578" s="828"/>
      <c r="M578" s="828"/>
      <c r="N578" s="828"/>
      <c r="O578" s="828"/>
      <c r="P578" s="828"/>
      <c r="Q578" s="828"/>
      <c r="R578" s="828"/>
      <c r="S578" s="828"/>
      <c r="T578" s="828"/>
      <c r="U578" s="828"/>
      <c r="V578" s="828"/>
      <c r="W578" s="828"/>
      <c r="X578" s="828"/>
      <c r="Y578" s="828"/>
      <c r="Z578" s="828"/>
      <c r="AA578" s="828"/>
      <c r="AB578" s="828"/>
      <c r="AC578" s="828"/>
      <c r="AD578" s="828"/>
      <c r="AE578" s="828"/>
      <c r="AF578" s="828"/>
      <c r="AG578" s="828"/>
      <c r="AH578" s="828"/>
      <c r="AI578" s="828"/>
      <c r="AJ578" s="828"/>
    </row>
    <row r="579">
      <c r="A579" s="828"/>
      <c r="B579" s="828"/>
      <c r="C579" s="828"/>
      <c r="D579" s="828"/>
      <c r="E579" s="828"/>
      <c r="F579" s="828"/>
      <c r="G579" s="828"/>
      <c r="H579" s="828"/>
      <c r="I579" s="828"/>
      <c r="J579" s="828"/>
      <c r="K579" s="828"/>
      <c r="L579" s="828"/>
      <c r="M579" s="828"/>
      <c r="N579" s="828"/>
      <c r="O579" s="828"/>
      <c r="P579" s="828"/>
      <c r="Q579" s="828"/>
      <c r="R579" s="828"/>
      <c r="S579" s="828"/>
      <c r="T579" s="828"/>
      <c r="U579" s="828"/>
      <c r="V579" s="828"/>
      <c r="W579" s="828"/>
      <c r="X579" s="828"/>
      <c r="Y579" s="828"/>
      <c r="Z579" s="828"/>
      <c r="AA579" s="828"/>
      <c r="AB579" s="828"/>
      <c r="AC579" s="828"/>
      <c r="AD579" s="828"/>
      <c r="AE579" s="828"/>
      <c r="AF579" s="828"/>
      <c r="AG579" s="828"/>
      <c r="AH579" s="828"/>
      <c r="AI579" s="828"/>
      <c r="AJ579" s="828"/>
    </row>
    <row r="580">
      <c r="A580" s="828"/>
      <c r="B580" s="828"/>
      <c r="C580" s="828"/>
      <c r="D580" s="828"/>
      <c r="E580" s="828"/>
      <c r="F580" s="828"/>
      <c r="G580" s="828"/>
      <c r="H580" s="828"/>
      <c r="I580" s="828"/>
      <c r="J580" s="828"/>
      <c r="K580" s="828"/>
      <c r="L580" s="828"/>
      <c r="M580" s="828"/>
      <c r="N580" s="828"/>
      <c r="O580" s="828"/>
      <c r="P580" s="828"/>
      <c r="Q580" s="828"/>
      <c r="R580" s="828"/>
      <c r="S580" s="828"/>
      <c r="T580" s="828"/>
      <c r="U580" s="828"/>
      <c r="V580" s="828"/>
      <c r="W580" s="828"/>
      <c r="X580" s="828"/>
      <c r="Y580" s="828"/>
      <c r="Z580" s="828"/>
      <c r="AA580" s="828"/>
      <c r="AB580" s="828"/>
      <c r="AC580" s="828"/>
      <c r="AD580" s="828"/>
      <c r="AE580" s="828"/>
      <c r="AF580" s="828"/>
      <c r="AG580" s="828"/>
      <c r="AH580" s="828"/>
      <c r="AI580" s="828"/>
      <c r="AJ580" s="828"/>
    </row>
    <row r="581">
      <c r="A581" s="828"/>
      <c r="B581" s="828"/>
      <c r="C581" s="828"/>
      <c r="D581" s="828"/>
      <c r="E581" s="828"/>
      <c r="F581" s="828"/>
      <c r="G581" s="828"/>
      <c r="H581" s="828"/>
      <c r="I581" s="828"/>
      <c r="J581" s="828"/>
      <c r="K581" s="828"/>
      <c r="L581" s="828"/>
      <c r="M581" s="828"/>
      <c r="N581" s="828"/>
      <c r="O581" s="828"/>
      <c r="P581" s="828"/>
      <c r="Q581" s="828"/>
      <c r="R581" s="828"/>
      <c r="S581" s="828"/>
      <c r="T581" s="828"/>
      <c r="U581" s="828"/>
      <c r="V581" s="828"/>
      <c r="W581" s="828"/>
      <c r="X581" s="828"/>
      <c r="Y581" s="828"/>
      <c r="Z581" s="828"/>
      <c r="AA581" s="828"/>
      <c r="AB581" s="828"/>
      <c r="AC581" s="828"/>
      <c r="AD581" s="828"/>
      <c r="AE581" s="828"/>
      <c r="AF581" s="828"/>
      <c r="AG581" s="828"/>
      <c r="AH581" s="828"/>
      <c r="AI581" s="828"/>
      <c r="AJ581" s="828"/>
    </row>
    <row r="582">
      <c r="A582" s="828"/>
      <c r="B582" s="828"/>
      <c r="C582" s="828"/>
      <c r="D582" s="828"/>
      <c r="E582" s="828"/>
      <c r="F582" s="828"/>
      <c r="G582" s="828"/>
      <c r="H582" s="828"/>
      <c r="I582" s="828"/>
      <c r="J582" s="828"/>
      <c r="K582" s="828"/>
      <c r="L582" s="828"/>
      <c r="M582" s="828"/>
      <c r="N582" s="828"/>
      <c r="O582" s="828"/>
      <c r="P582" s="828"/>
      <c r="Q582" s="828"/>
      <c r="R582" s="828"/>
      <c r="S582" s="828"/>
      <c r="T582" s="828"/>
      <c r="U582" s="828"/>
      <c r="V582" s="828"/>
      <c r="W582" s="828"/>
      <c r="X582" s="828"/>
      <c r="Y582" s="828"/>
      <c r="Z582" s="828"/>
      <c r="AA582" s="828"/>
      <c r="AB582" s="828"/>
      <c r="AC582" s="828"/>
      <c r="AD582" s="828"/>
      <c r="AE582" s="828"/>
      <c r="AF582" s="828"/>
      <c r="AG582" s="828"/>
      <c r="AH582" s="828"/>
      <c r="AI582" s="828"/>
      <c r="AJ582" s="828"/>
    </row>
    <row r="583">
      <c r="A583" s="828"/>
      <c r="B583" s="828"/>
      <c r="C583" s="828"/>
      <c r="D583" s="828"/>
      <c r="E583" s="828"/>
      <c r="F583" s="828"/>
      <c r="G583" s="828"/>
      <c r="H583" s="828"/>
      <c r="I583" s="828"/>
      <c r="J583" s="828"/>
      <c r="K583" s="828"/>
      <c r="L583" s="828"/>
      <c r="M583" s="828"/>
      <c r="N583" s="828"/>
      <c r="O583" s="828"/>
      <c r="P583" s="828"/>
      <c r="Q583" s="828"/>
      <c r="R583" s="828"/>
      <c r="S583" s="828"/>
      <c r="T583" s="828"/>
      <c r="U583" s="828"/>
      <c r="V583" s="828"/>
      <c r="W583" s="828"/>
      <c r="X583" s="828"/>
      <c r="Y583" s="828"/>
      <c r="Z583" s="828"/>
      <c r="AA583" s="828"/>
      <c r="AB583" s="828"/>
      <c r="AC583" s="828"/>
      <c r="AD583" s="828"/>
      <c r="AE583" s="828"/>
      <c r="AF583" s="828"/>
      <c r="AG583" s="828"/>
      <c r="AH583" s="828"/>
      <c r="AI583" s="828"/>
      <c r="AJ583" s="828"/>
    </row>
    <row r="584">
      <c r="A584" s="828"/>
      <c r="B584" s="828"/>
      <c r="C584" s="828"/>
      <c r="D584" s="828"/>
      <c r="E584" s="828"/>
      <c r="F584" s="828"/>
      <c r="G584" s="828"/>
      <c r="H584" s="828"/>
      <c r="I584" s="828"/>
      <c r="J584" s="828"/>
      <c r="K584" s="828"/>
      <c r="L584" s="828"/>
      <c r="M584" s="828"/>
      <c r="N584" s="828"/>
      <c r="O584" s="828"/>
      <c r="P584" s="828"/>
      <c r="Q584" s="828"/>
      <c r="R584" s="828"/>
      <c r="S584" s="828"/>
      <c r="T584" s="828"/>
      <c r="U584" s="828"/>
      <c r="V584" s="828"/>
      <c r="W584" s="828"/>
      <c r="X584" s="828"/>
      <c r="Y584" s="828"/>
      <c r="Z584" s="828"/>
      <c r="AA584" s="828"/>
      <c r="AB584" s="828"/>
      <c r="AC584" s="828"/>
      <c r="AD584" s="828"/>
      <c r="AE584" s="828"/>
      <c r="AF584" s="828"/>
      <c r="AG584" s="828"/>
      <c r="AH584" s="828"/>
      <c r="AI584" s="828"/>
      <c r="AJ584" s="828"/>
    </row>
    <row r="585">
      <c r="A585" s="828"/>
      <c r="B585" s="828"/>
      <c r="C585" s="828"/>
      <c r="D585" s="828"/>
      <c r="E585" s="828"/>
      <c r="F585" s="828"/>
      <c r="G585" s="828"/>
      <c r="H585" s="828"/>
      <c r="I585" s="828"/>
      <c r="J585" s="828"/>
      <c r="K585" s="828"/>
      <c r="L585" s="828"/>
      <c r="M585" s="828"/>
      <c r="N585" s="828"/>
      <c r="O585" s="828"/>
      <c r="P585" s="828"/>
      <c r="Q585" s="828"/>
      <c r="R585" s="828"/>
      <c r="S585" s="828"/>
      <c r="T585" s="828"/>
      <c r="U585" s="828"/>
      <c r="V585" s="828"/>
      <c r="W585" s="828"/>
      <c r="X585" s="828"/>
      <c r="Y585" s="828"/>
      <c r="Z585" s="828"/>
      <c r="AA585" s="828"/>
      <c r="AB585" s="828"/>
      <c r="AC585" s="828"/>
      <c r="AD585" s="828"/>
      <c r="AE585" s="828"/>
      <c r="AF585" s="828"/>
      <c r="AG585" s="828"/>
      <c r="AH585" s="828"/>
      <c r="AI585" s="828"/>
      <c r="AJ585" s="828"/>
    </row>
    <row r="586">
      <c r="A586" s="828"/>
      <c r="B586" s="828"/>
      <c r="C586" s="828"/>
      <c r="D586" s="828"/>
      <c r="E586" s="828"/>
      <c r="F586" s="828"/>
      <c r="G586" s="828"/>
      <c r="H586" s="828"/>
      <c r="I586" s="828"/>
      <c r="J586" s="828"/>
      <c r="K586" s="828"/>
      <c r="L586" s="828"/>
      <c r="M586" s="828"/>
      <c r="N586" s="828"/>
      <c r="O586" s="828"/>
      <c r="P586" s="828"/>
      <c r="Q586" s="828"/>
      <c r="R586" s="828"/>
      <c r="S586" s="828"/>
      <c r="T586" s="828"/>
      <c r="U586" s="828"/>
      <c r="V586" s="828"/>
      <c r="W586" s="828"/>
      <c r="X586" s="828"/>
      <c r="Y586" s="828"/>
      <c r="Z586" s="828"/>
      <c r="AA586" s="828"/>
      <c r="AB586" s="828"/>
      <c r="AC586" s="828"/>
      <c r="AD586" s="828"/>
      <c r="AE586" s="828"/>
      <c r="AF586" s="828"/>
      <c r="AG586" s="828"/>
      <c r="AH586" s="828"/>
      <c r="AI586" s="828"/>
      <c r="AJ586" s="828"/>
    </row>
    <row r="587">
      <c r="A587" s="828"/>
      <c r="B587" s="828"/>
      <c r="C587" s="828"/>
      <c r="D587" s="828"/>
      <c r="E587" s="828"/>
      <c r="F587" s="828"/>
      <c r="G587" s="828"/>
      <c r="H587" s="828"/>
      <c r="I587" s="828"/>
      <c r="J587" s="828"/>
      <c r="K587" s="828"/>
      <c r="L587" s="828"/>
      <c r="M587" s="828"/>
      <c r="N587" s="828"/>
      <c r="O587" s="828"/>
      <c r="P587" s="828"/>
      <c r="Q587" s="828"/>
      <c r="R587" s="828"/>
      <c r="S587" s="828"/>
      <c r="T587" s="828"/>
      <c r="U587" s="828"/>
      <c r="V587" s="828"/>
      <c r="W587" s="828"/>
      <c r="X587" s="828"/>
      <c r="Y587" s="828"/>
      <c r="Z587" s="828"/>
      <c r="AA587" s="828"/>
      <c r="AB587" s="828"/>
      <c r="AC587" s="828"/>
      <c r="AD587" s="828"/>
      <c r="AE587" s="828"/>
      <c r="AF587" s="828"/>
      <c r="AG587" s="828"/>
      <c r="AH587" s="828"/>
      <c r="AI587" s="828"/>
      <c r="AJ587" s="828"/>
    </row>
    <row r="588">
      <c r="A588" s="828"/>
      <c r="B588" s="828"/>
      <c r="C588" s="828"/>
      <c r="D588" s="828"/>
      <c r="E588" s="828"/>
      <c r="F588" s="828"/>
      <c r="G588" s="828"/>
      <c r="H588" s="828"/>
      <c r="I588" s="828"/>
      <c r="J588" s="828"/>
      <c r="K588" s="828"/>
      <c r="L588" s="828"/>
      <c r="M588" s="828"/>
      <c r="N588" s="828"/>
      <c r="O588" s="828"/>
      <c r="P588" s="828"/>
      <c r="Q588" s="828"/>
      <c r="R588" s="828"/>
      <c r="S588" s="828"/>
      <c r="T588" s="828"/>
      <c r="U588" s="828"/>
      <c r="V588" s="828"/>
      <c r="W588" s="828"/>
      <c r="X588" s="828"/>
      <c r="Y588" s="828"/>
      <c r="Z588" s="828"/>
      <c r="AA588" s="828"/>
      <c r="AB588" s="828"/>
      <c r="AC588" s="828"/>
      <c r="AD588" s="828"/>
      <c r="AE588" s="828"/>
      <c r="AF588" s="828"/>
      <c r="AG588" s="828"/>
      <c r="AH588" s="828"/>
      <c r="AI588" s="828"/>
      <c r="AJ588" s="828"/>
    </row>
    <row r="589">
      <c r="A589" s="828"/>
      <c r="B589" s="828"/>
      <c r="C589" s="828"/>
      <c r="D589" s="828"/>
      <c r="E589" s="828"/>
      <c r="F589" s="828"/>
      <c r="G589" s="828"/>
      <c r="H589" s="828"/>
      <c r="I589" s="828"/>
      <c r="J589" s="828"/>
      <c r="K589" s="828"/>
      <c r="L589" s="828"/>
      <c r="M589" s="828"/>
      <c r="N589" s="828"/>
      <c r="O589" s="828"/>
      <c r="P589" s="828"/>
      <c r="Q589" s="828"/>
      <c r="R589" s="828"/>
      <c r="S589" s="828"/>
      <c r="T589" s="828"/>
      <c r="U589" s="828"/>
      <c r="V589" s="828"/>
      <c r="W589" s="828"/>
      <c r="X589" s="828"/>
      <c r="Y589" s="828"/>
      <c r="Z589" s="828"/>
      <c r="AA589" s="828"/>
      <c r="AB589" s="828"/>
      <c r="AC589" s="828"/>
      <c r="AD589" s="828"/>
      <c r="AE589" s="828"/>
      <c r="AF589" s="828"/>
      <c r="AG589" s="828"/>
      <c r="AH589" s="828"/>
      <c r="AI589" s="828"/>
      <c r="AJ589" s="828"/>
    </row>
    <row r="590">
      <c r="A590" s="828"/>
      <c r="B590" s="828"/>
      <c r="C590" s="828"/>
      <c r="D590" s="828"/>
      <c r="E590" s="828"/>
      <c r="F590" s="828"/>
      <c r="G590" s="828"/>
      <c r="H590" s="828"/>
      <c r="I590" s="828"/>
      <c r="J590" s="828"/>
      <c r="K590" s="828"/>
      <c r="L590" s="828"/>
      <c r="M590" s="828"/>
      <c r="N590" s="828"/>
      <c r="O590" s="828"/>
      <c r="P590" s="828"/>
      <c r="Q590" s="828"/>
      <c r="R590" s="828"/>
      <c r="S590" s="828"/>
      <c r="T590" s="828"/>
      <c r="U590" s="828"/>
      <c r="V590" s="828"/>
      <c r="W590" s="828"/>
      <c r="X590" s="828"/>
      <c r="Y590" s="828"/>
      <c r="Z590" s="828"/>
      <c r="AA590" s="828"/>
      <c r="AB590" s="828"/>
      <c r="AC590" s="828"/>
      <c r="AD590" s="828"/>
      <c r="AE590" s="828"/>
      <c r="AF590" s="828"/>
      <c r="AG590" s="828"/>
      <c r="AH590" s="828"/>
      <c r="AI590" s="828"/>
      <c r="AJ590" s="828"/>
    </row>
    <row r="591">
      <c r="A591" s="828"/>
      <c r="B591" s="828"/>
      <c r="C591" s="828"/>
      <c r="D591" s="828"/>
      <c r="E591" s="828"/>
      <c r="F591" s="828"/>
      <c r="G591" s="828"/>
      <c r="H591" s="828"/>
      <c r="I591" s="828"/>
      <c r="J591" s="828"/>
      <c r="K591" s="828"/>
      <c r="L591" s="828"/>
      <c r="M591" s="828"/>
      <c r="N591" s="828"/>
      <c r="O591" s="828"/>
      <c r="P591" s="828"/>
      <c r="Q591" s="828"/>
      <c r="R591" s="828"/>
      <c r="S591" s="828"/>
      <c r="T591" s="828"/>
      <c r="U591" s="828"/>
      <c r="V591" s="828"/>
      <c r="W591" s="828"/>
      <c r="X591" s="828"/>
      <c r="Y591" s="828"/>
      <c r="Z591" s="828"/>
      <c r="AA591" s="828"/>
      <c r="AB591" s="828"/>
      <c r="AC591" s="828"/>
      <c r="AD591" s="828"/>
      <c r="AE591" s="828"/>
      <c r="AF591" s="828"/>
      <c r="AG591" s="828"/>
      <c r="AH591" s="828"/>
      <c r="AI591" s="828"/>
      <c r="AJ591" s="828"/>
    </row>
    <row r="592">
      <c r="A592" s="828"/>
      <c r="B592" s="828"/>
      <c r="C592" s="828"/>
      <c r="D592" s="828"/>
      <c r="E592" s="828"/>
      <c r="F592" s="828"/>
      <c r="G592" s="828"/>
      <c r="H592" s="828"/>
      <c r="I592" s="828"/>
      <c r="J592" s="828"/>
      <c r="K592" s="828"/>
      <c r="L592" s="828"/>
      <c r="M592" s="828"/>
      <c r="N592" s="828"/>
      <c r="O592" s="828"/>
      <c r="P592" s="828"/>
      <c r="Q592" s="828"/>
      <c r="R592" s="828"/>
      <c r="S592" s="828"/>
      <c r="T592" s="828"/>
      <c r="U592" s="828"/>
      <c r="V592" s="828"/>
      <c r="W592" s="828"/>
      <c r="X592" s="828"/>
      <c r="Y592" s="828"/>
      <c r="Z592" s="828"/>
      <c r="AA592" s="828"/>
      <c r="AB592" s="828"/>
      <c r="AC592" s="828"/>
      <c r="AD592" s="828"/>
      <c r="AE592" s="828"/>
      <c r="AF592" s="828"/>
      <c r="AG592" s="828"/>
      <c r="AH592" s="828"/>
      <c r="AI592" s="828"/>
      <c r="AJ592" s="828"/>
    </row>
    <row r="593">
      <c r="A593" s="828"/>
      <c r="B593" s="828"/>
      <c r="C593" s="828"/>
      <c r="D593" s="828"/>
      <c r="E593" s="828"/>
      <c r="F593" s="828"/>
      <c r="G593" s="828"/>
      <c r="H593" s="828"/>
      <c r="I593" s="828"/>
      <c r="J593" s="828"/>
      <c r="K593" s="828"/>
      <c r="L593" s="828"/>
      <c r="M593" s="828"/>
      <c r="N593" s="828"/>
      <c r="O593" s="828"/>
      <c r="P593" s="828"/>
      <c r="Q593" s="828"/>
      <c r="R593" s="828"/>
      <c r="S593" s="828"/>
      <c r="T593" s="828"/>
      <c r="U593" s="828"/>
      <c r="V593" s="828"/>
      <c r="W593" s="828"/>
      <c r="X593" s="828"/>
      <c r="Y593" s="828"/>
      <c r="Z593" s="828"/>
      <c r="AA593" s="828"/>
      <c r="AB593" s="828"/>
      <c r="AC593" s="828"/>
      <c r="AD593" s="828"/>
      <c r="AE593" s="828"/>
      <c r="AF593" s="828"/>
      <c r="AG593" s="828"/>
      <c r="AH593" s="828"/>
      <c r="AI593" s="828"/>
      <c r="AJ593" s="828"/>
    </row>
    <row r="594">
      <c r="A594" s="828"/>
      <c r="B594" s="828"/>
      <c r="C594" s="828"/>
      <c r="D594" s="828"/>
      <c r="E594" s="828"/>
      <c r="F594" s="828"/>
      <c r="G594" s="828"/>
      <c r="H594" s="828"/>
      <c r="I594" s="828"/>
      <c r="J594" s="828"/>
      <c r="K594" s="828"/>
      <c r="L594" s="828"/>
      <c r="M594" s="828"/>
      <c r="N594" s="828"/>
      <c r="O594" s="828"/>
      <c r="P594" s="828"/>
      <c r="Q594" s="828"/>
      <c r="R594" s="828"/>
      <c r="S594" s="828"/>
      <c r="T594" s="828"/>
      <c r="U594" s="828"/>
      <c r="V594" s="828"/>
      <c r="W594" s="828"/>
      <c r="X594" s="828"/>
      <c r="Y594" s="828"/>
      <c r="Z594" s="828"/>
      <c r="AA594" s="828"/>
      <c r="AB594" s="828"/>
      <c r="AC594" s="828"/>
      <c r="AD594" s="828"/>
      <c r="AE594" s="828"/>
      <c r="AF594" s="828"/>
      <c r="AG594" s="828"/>
      <c r="AH594" s="828"/>
      <c r="AI594" s="828"/>
      <c r="AJ594" s="828"/>
    </row>
    <row r="595">
      <c r="A595" s="828"/>
      <c r="B595" s="828"/>
      <c r="C595" s="828"/>
      <c r="D595" s="828"/>
      <c r="E595" s="828"/>
      <c r="F595" s="828"/>
      <c r="G595" s="828"/>
      <c r="H595" s="828"/>
      <c r="I595" s="828"/>
      <c r="J595" s="828"/>
      <c r="K595" s="828"/>
      <c r="L595" s="828"/>
      <c r="M595" s="828"/>
      <c r="N595" s="828"/>
      <c r="O595" s="828"/>
      <c r="P595" s="828"/>
      <c r="Q595" s="828"/>
      <c r="R595" s="828"/>
      <c r="S595" s="828"/>
      <c r="T595" s="828"/>
      <c r="U595" s="828"/>
      <c r="V595" s="828"/>
      <c r="W595" s="828"/>
      <c r="X595" s="828"/>
      <c r="Y595" s="828"/>
      <c r="Z595" s="828"/>
      <c r="AA595" s="828"/>
      <c r="AB595" s="828"/>
      <c r="AC595" s="828"/>
      <c r="AD595" s="828"/>
      <c r="AE595" s="828"/>
      <c r="AF595" s="828"/>
      <c r="AG595" s="828"/>
      <c r="AH595" s="828"/>
      <c r="AI595" s="828"/>
      <c r="AJ595" s="828"/>
    </row>
    <row r="596">
      <c r="A596" s="828"/>
      <c r="B596" s="828"/>
      <c r="C596" s="828"/>
      <c r="D596" s="828"/>
      <c r="E596" s="828"/>
      <c r="F596" s="828"/>
      <c r="G596" s="828"/>
      <c r="H596" s="828"/>
      <c r="I596" s="828"/>
      <c r="J596" s="828"/>
      <c r="K596" s="828"/>
      <c r="L596" s="828"/>
      <c r="M596" s="828"/>
      <c r="N596" s="828"/>
      <c r="O596" s="828"/>
      <c r="P596" s="828"/>
      <c r="Q596" s="828"/>
      <c r="R596" s="828"/>
      <c r="S596" s="828"/>
      <c r="T596" s="828"/>
      <c r="U596" s="828"/>
      <c r="V596" s="828"/>
      <c r="W596" s="828"/>
      <c r="X596" s="828"/>
      <c r="Y596" s="828"/>
      <c r="Z596" s="828"/>
      <c r="AA596" s="828"/>
      <c r="AB596" s="828"/>
      <c r="AC596" s="828"/>
      <c r="AD596" s="828"/>
      <c r="AE596" s="828"/>
      <c r="AF596" s="828"/>
      <c r="AG596" s="828"/>
      <c r="AH596" s="828"/>
      <c r="AI596" s="828"/>
      <c r="AJ596" s="828"/>
    </row>
    <row r="597">
      <c r="A597" s="828"/>
      <c r="B597" s="828"/>
      <c r="C597" s="828"/>
      <c r="D597" s="828"/>
      <c r="E597" s="828"/>
      <c r="F597" s="828"/>
      <c r="G597" s="828"/>
      <c r="H597" s="828"/>
      <c r="I597" s="828"/>
      <c r="J597" s="828"/>
      <c r="K597" s="828"/>
      <c r="L597" s="828"/>
      <c r="M597" s="828"/>
      <c r="N597" s="828"/>
      <c r="O597" s="828"/>
      <c r="P597" s="828"/>
      <c r="Q597" s="828"/>
      <c r="R597" s="828"/>
      <c r="S597" s="828"/>
      <c r="T597" s="828"/>
      <c r="U597" s="828"/>
      <c r="V597" s="828"/>
      <c r="W597" s="828"/>
      <c r="X597" s="828"/>
      <c r="Y597" s="828"/>
      <c r="Z597" s="828"/>
      <c r="AA597" s="828"/>
      <c r="AB597" s="828"/>
      <c r="AC597" s="828"/>
      <c r="AD597" s="828"/>
      <c r="AE597" s="828"/>
      <c r="AF597" s="828"/>
      <c r="AG597" s="828"/>
      <c r="AH597" s="828"/>
      <c r="AI597" s="828"/>
      <c r="AJ597" s="828"/>
    </row>
    <row r="598">
      <c r="A598" s="828"/>
      <c r="B598" s="828"/>
      <c r="C598" s="828"/>
      <c r="D598" s="828"/>
      <c r="E598" s="828"/>
      <c r="F598" s="828"/>
      <c r="G598" s="828"/>
      <c r="H598" s="828"/>
      <c r="I598" s="828"/>
      <c r="J598" s="828"/>
      <c r="K598" s="828"/>
      <c r="L598" s="828"/>
      <c r="M598" s="828"/>
      <c r="N598" s="828"/>
      <c r="O598" s="828"/>
      <c r="P598" s="828"/>
      <c r="Q598" s="828"/>
      <c r="R598" s="828"/>
      <c r="S598" s="828"/>
      <c r="T598" s="828"/>
      <c r="U598" s="828"/>
      <c r="V598" s="828"/>
      <c r="W598" s="828"/>
      <c r="X598" s="828"/>
      <c r="Y598" s="828"/>
      <c r="Z598" s="828"/>
      <c r="AA598" s="828"/>
      <c r="AB598" s="828"/>
      <c r="AC598" s="828"/>
      <c r="AD598" s="828"/>
      <c r="AE598" s="828"/>
      <c r="AF598" s="828"/>
      <c r="AG598" s="828"/>
      <c r="AH598" s="828"/>
      <c r="AI598" s="828"/>
      <c r="AJ598" s="828"/>
    </row>
    <row r="599">
      <c r="A599" s="828"/>
      <c r="B599" s="828"/>
      <c r="C599" s="828"/>
      <c r="D599" s="828"/>
      <c r="E599" s="828"/>
      <c r="F599" s="828"/>
      <c r="G599" s="828"/>
      <c r="H599" s="828"/>
      <c r="I599" s="828"/>
      <c r="J599" s="828"/>
      <c r="K599" s="828"/>
      <c r="L599" s="828"/>
      <c r="M599" s="828"/>
      <c r="N599" s="828"/>
      <c r="O599" s="828"/>
      <c r="P599" s="828"/>
      <c r="Q599" s="828"/>
      <c r="R599" s="828"/>
      <c r="S599" s="828"/>
      <c r="T599" s="828"/>
      <c r="U599" s="828"/>
      <c r="V599" s="828"/>
      <c r="W599" s="828"/>
      <c r="X599" s="828"/>
      <c r="Y599" s="828"/>
      <c r="Z599" s="828"/>
      <c r="AA599" s="828"/>
      <c r="AB599" s="828"/>
      <c r="AC599" s="828"/>
      <c r="AD599" s="828"/>
      <c r="AE599" s="828"/>
      <c r="AF599" s="828"/>
      <c r="AG599" s="828"/>
      <c r="AH599" s="828"/>
      <c r="AI599" s="828"/>
      <c r="AJ599" s="828"/>
    </row>
    <row r="600">
      <c r="A600" s="828"/>
      <c r="B600" s="828"/>
      <c r="C600" s="828"/>
      <c r="D600" s="828"/>
      <c r="E600" s="828"/>
      <c r="F600" s="828"/>
      <c r="G600" s="828"/>
      <c r="H600" s="828"/>
      <c r="I600" s="828"/>
      <c r="J600" s="828"/>
      <c r="K600" s="828"/>
      <c r="L600" s="828"/>
      <c r="M600" s="828"/>
      <c r="N600" s="828"/>
      <c r="O600" s="828"/>
      <c r="P600" s="828"/>
      <c r="Q600" s="828"/>
      <c r="R600" s="828"/>
      <c r="S600" s="828"/>
      <c r="T600" s="828"/>
      <c r="U600" s="828"/>
      <c r="V600" s="828"/>
      <c r="W600" s="828"/>
      <c r="X600" s="828"/>
      <c r="Y600" s="828"/>
      <c r="Z600" s="828"/>
      <c r="AA600" s="828"/>
      <c r="AB600" s="828"/>
      <c r="AC600" s="828"/>
      <c r="AD600" s="828"/>
      <c r="AE600" s="828"/>
      <c r="AF600" s="828"/>
      <c r="AG600" s="828"/>
      <c r="AH600" s="828"/>
      <c r="AI600" s="828"/>
      <c r="AJ600" s="828"/>
    </row>
    <row r="601">
      <c r="A601" s="828"/>
      <c r="B601" s="828"/>
      <c r="C601" s="828"/>
      <c r="D601" s="828"/>
      <c r="E601" s="828"/>
      <c r="F601" s="828"/>
      <c r="G601" s="828"/>
      <c r="H601" s="828"/>
      <c r="I601" s="828"/>
      <c r="J601" s="828"/>
      <c r="K601" s="828"/>
      <c r="L601" s="828"/>
      <c r="M601" s="828"/>
      <c r="N601" s="828"/>
      <c r="O601" s="828"/>
      <c r="P601" s="828"/>
      <c r="Q601" s="828"/>
      <c r="R601" s="828"/>
      <c r="S601" s="828"/>
      <c r="T601" s="828"/>
      <c r="U601" s="828"/>
      <c r="V601" s="828"/>
      <c r="W601" s="828"/>
      <c r="X601" s="828"/>
      <c r="Y601" s="828"/>
      <c r="Z601" s="828"/>
      <c r="AA601" s="828"/>
      <c r="AB601" s="828"/>
      <c r="AC601" s="828"/>
      <c r="AD601" s="828"/>
      <c r="AE601" s="828"/>
      <c r="AF601" s="828"/>
      <c r="AG601" s="828"/>
      <c r="AH601" s="828"/>
      <c r="AI601" s="828"/>
      <c r="AJ601" s="828"/>
    </row>
    <row r="602">
      <c r="A602" s="828"/>
      <c r="B602" s="828"/>
      <c r="C602" s="828"/>
      <c r="D602" s="828"/>
      <c r="E602" s="828"/>
      <c r="F602" s="828"/>
      <c r="G602" s="828"/>
      <c r="H602" s="828"/>
      <c r="I602" s="828"/>
      <c r="J602" s="828"/>
      <c r="K602" s="828"/>
      <c r="L602" s="828"/>
      <c r="M602" s="828"/>
      <c r="N602" s="828"/>
      <c r="O602" s="828"/>
      <c r="P602" s="828"/>
      <c r="Q602" s="828"/>
      <c r="R602" s="828"/>
      <c r="S602" s="828"/>
      <c r="T602" s="828"/>
      <c r="U602" s="828"/>
      <c r="V602" s="828"/>
      <c r="W602" s="828"/>
      <c r="X602" s="828"/>
      <c r="Y602" s="828"/>
      <c r="Z602" s="828"/>
      <c r="AA602" s="828"/>
      <c r="AB602" s="828"/>
      <c r="AC602" s="828"/>
      <c r="AD602" s="828"/>
      <c r="AE602" s="828"/>
      <c r="AF602" s="828"/>
      <c r="AG602" s="828"/>
      <c r="AH602" s="828"/>
      <c r="AI602" s="828"/>
      <c r="AJ602" s="828"/>
    </row>
    <row r="603">
      <c r="A603" s="828"/>
      <c r="B603" s="828"/>
      <c r="C603" s="828"/>
      <c r="D603" s="828"/>
      <c r="E603" s="828"/>
      <c r="F603" s="828"/>
      <c r="G603" s="828"/>
      <c r="H603" s="828"/>
      <c r="I603" s="828"/>
      <c r="J603" s="828"/>
      <c r="K603" s="828"/>
      <c r="L603" s="828"/>
      <c r="M603" s="828"/>
      <c r="N603" s="828"/>
      <c r="O603" s="828"/>
      <c r="P603" s="828"/>
      <c r="Q603" s="828"/>
      <c r="R603" s="828"/>
      <c r="S603" s="828"/>
      <c r="T603" s="828"/>
      <c r="U603" s="828"/>
      <c r="V603" s="828"/>
      <c r="W603" s="828"/>
      <c r="X603" s="828"/>
      <c r="Y603" s="828"/>
      <c r="Z603" s="828"/>
      <c r="AA603" s="828"/>
      <c r="AB603" s="828"/>
      <c r="AC603" s="828"/>
      <c r="AD603" s="828"/>
      <c r="AE603" s="828"/>
      <c r="AF603" s="828"/>
      <c r="AG603" s="828"/>
      <c r="AH603" s="828"/>
      <c r="AI603" s="828"/>
      <c r="AJ603" s="828"/>
    </row>
    <row r="604">
      <c r="A604" s="828"/>
      <c r="B604" s="828"/>
      <c r="C604" s="828"/>
      <c r="D604" s="828"/>
      <c r="E604" s="828"/>
      <c r="F604" s="828"/>
      <c r="G604" s="828"/>
      <c r="H604" s="828"/>
      <c r="I604" s="828"/>
      <c r="J604" s="828"/>
      <c r="K604" s="828"/>
      <c r="L604" s="828"/>
      <c r="M604" s="828"/>
      <c r="N604" s="828"/>
      <c r="O604" s="828"/>
      <c r="P604" s="828"/>
      <c r="Q604" s="828"/>
      <c r="R604" s="828"/>
      <c r="S604" s="828"/>
      <c r="T604" s="828"/>
      <c r="U604" s="828"/>
      <c r="V604" s="828"/>
      <c r="W604" s="828"/>
      <c r="X604" s="828"/>
      <c r="Y604" s="828"/>
      <c r="Z604" s="828"/>
      <c r="AA604" s="828"/>
      <c r="AB604" s="828"/>
      <c r="AC604" s="828"/>
      <c r="AD604" s="828"/>
      <c r="AE604" s="828"/>
      <c r="AF604" s="828"/>
      <c r="AG604" s="828"/>
      <c r="AH604" s="828"/>
      <c r="AI604" s="828"/>
      <c r="AJ604" s="828"/>
    </row>
    <row r="605">
      <c r="A605" s="828"/>
      <c r="B605" s="828"/>
      <c r="C605" s="828"/>
      <c r="D605" s="828"/>
      <c r="E605" s="828"/>
      <c r="F605" s="828"/>
      <c r="G605" s="828"/>
      <c r="H605" s="828"/>
      <c r="I605" s="828"/>
      <c r="J605" s="828"/>
      <c r="K605" s="828"/>
      <c r="L605" s="828"/>
      <c r="M605" s="828"/>
      <c r="N605" s="828"/>
      <c r="O605" s="828"/>
      <c r="P605" s="828"/>
      <c r="Q605" s="828"/>
      <c r="R605" s="828"/>
      <c r="S605" s="828"/>
      <c r="T605" s="828"/>
      <c r="U605" s="828"/>
      <c r="V605" s="828"/>
      <c r="W605" s="828"/>
      <c r="X605" s="828"/>
      <c r="Y605" s="828"/>
      <c r="Z605" s="828"/>
      <c r="AA605" s="828"/>
      <c r="AB605" s="828"/>
      <c r="AC605" s="828"/>
      <c r="AD605" s="828"/>
      <c r="AE605" s="828"/>
      <c r="AF605" s="828"/>
      <c r="AG605" s="828"/>
      <c r="AH605" s="828"/>
      <c r="AI605" s="828"/>
      <c r="AJ605" s="828"/>
    </row>
    <row r="606">
      <c r="A606" s="828"/>
      <c r="B606" s="828"/>
      <c r="C606" s="828"/>
      <c r="D606" s="828"/>
      <c r="E606" s="828"/>
      <c r="F606" s="828"/>
      <c r="G606" s="828"/>
      <c r="H606" s="828"/>
      <c r="I606" s="828"/>
      <c r="J606" s="828"/>
      <c r="K606" s="828"/>
      <c r="L606" s="828"/>
      <c r="M606" s="828"/>
      <c r="N606" s="828"/>
      <c r="O606" s="828"/>
      <c r="P606" s="828"/>
      <c r="Q606" s="828"/>
      <c r="R606" s="828"/>
      <c r="S606" s="828"/>
      <c r="T606" s="828"/>
      <c r="U606" s="828"/>
      <c r="V606" s="828"/>
      <c r="W606" s="828"/>
      <c r="X606" s="828"/>
      <c r="Y606" s="828"/>
      <c r="Z606" s="828"/>
      <c r="AA606" s="828"/>
      <c r="AB606" s="828"/>
      <c r="AC606" s="828"/>
      <c r="AD606" s="828"/>
      <c r="AE606" s="828"/>
      <c r="AF606" s="828"/>
      <c r="AG606" s="828"/>
      <c r="AH606" s="828"/>
      <c r="AI606" s="828"/>
      <c r="AJ606" s="828"/>
    </row>
    <row r="607">
      <c r="A607" s="828"/>
      <c r="B607" s="828"/>
      <c r="C607" s="828"/>
      <c r="D607" s="828"/>
      <c r="E607" s="828"/>
      <c r="F607" s="828"/>
      <c r="G607" s="828"/>
      <c r="H607" s="828"/>
      <c r="I607" s="828"/>
      <c r="J607" s="828"/>
      <c r="K607" s="828"/>
      <c r="L607" s="828"/>
      <c r="M607" s="828"/>
      <c r="N607" s="828"/>
      <c r="O607" s="828"/>
      <c r="P607" s="828"/>
      <c r="Q607" s="828"/>
      <c r="R607" s="828"/>
      <c r="S607" s="828"/>
      <c r="T607" s="828"/>
      <c r="U607" s="828"/>
      <c r="V607" s="828"/>
      <c r="W607" s="828"/>
      <c r="X607" s="828"/>
      <c r="Y607" s="828"/>
      <c r="Z607" s="828"/>
      <c r="AA607" s="828"/>
      <c r="AB607" s="828"/>
      <c r="AC607" s="828"/>
      <c r="AD607" s="828"/>
      <c r="AE607" s="828"/>
      <c r="AF607" s="828"/>
      <c r="AG607" s="828"/>
      <c r="AH607" s="828"/>
      <c r="AI607" s="828"/>
      <c r="AJ607" s="828"/>
    </row>
    <row r="608">
      <c r="A608" s="828"/>
      <c r="B608" s="828"/>
      <c r="C608" s="828"/>
      <c r="D608" s="828"/>
      <c r="E608" s="828"/>
      <c r="F608" s="828"/>
      <c r="G608" s="828"/>
      <c r="H608" s="828"/>
      <c r="I608" s="828"/>
      <c r="J608" s="828"/>
      <c r="K608" s="828"/>
      <c r="L608" s="828"/>
      <c r="M608" s="828"/>
      <c r="N608" s="828"/>
      <c r="O608" s="828"/>
      <c r="P608" s="828"/>
      <c r="Q608" s="828"/>
      <c r="R608" s="828"/>
      <c r="S608" s="828"/>
      <c r="T608" s="828"/>
      <c r="U608" s="828"/>
      <c r="V608" s="828"/>
      <c r="W608" s="828"/>
      <c r="X608" s="828"/>
      <c r="Y608" s="828"/>
      <c r="Z608" s="828"/>
      <c r="AA608" s="828"/>
      <c r="AB608" s="828"/>
      <c r="AC608" s="828"/>
      <c r="AD608" s="828"/>
      <c r="AE608" s="828"/>
      <c r="AF608" s="828"/>
      <c r="AG608" s="828"/>
      <c r="AH608" s="828"/>
      <c r="AI608" s="828"/>
      <c r="AJ608" s="828"/>
    </row>
    <row r="609">
      <c r="A609" s="828"/>
      <c r="B609" s="828"/>
      <c r="C609" s="828"/>
      <c r="D609" s="828"/>
      <c r="E609" s="828"/>
      <c r="F609" s="828"/>
      <c r="G609" s="828"/>
      <c r="H609" s="828"/>
      <c r="I609" s="828"/>
      <c r="J609" s="828"/>
      <c r="K609" s="828"/>
      <c r="L609" s="828"/>
      <c r="M609" s="828"/>
      <c r="N609" s="828"/>
      <c r="O609" s="828"/>
      <c r="P609" s="828"/>
      <c r="Q609" s="828"/>
      <c r="R609" s="828"/>
      <c r="S609" s="828"/>
      <c r="T609" s="828"/>
      <c r="U609" s="828"/>
      <c r="V609" s="828"/>
      <c r="W609" s="828"/>
      <c r="X609" s="828"/>
      <c r="Y609" s="828"/>
      <c r="Z609" s="828"/>
      <c r="AA609" s="828"/>
      <c r="AB609" s="828"/>
      <c r="AC609" s="828"/>
      <c r="AD609" s="828"/>
      <c r="AE609" s="828"/>
      <c r="AF609" s="828"/>
      <c r="AG609" s="828"/>
      <c r="AH609" s="828"/>
      <c r="AI609" s="828"/>
      <c r="AJ609" s="828"/>
    </row>
    <row r="610">
      <c r="A610" s="828"/>
      <c r="B610" s="828"/>
      <c r="C610" s="828"/>
      <c r="D610" s="828"/>
      <c r="E610" s="828"/>
      <c r="F610" s="828"/>
      <c r="G610" s="828"/>
      <c r="H610" s="828"/>
      <c r="I610" s="828"/>
      <c r="J610" s="828"/>
      <c r="K610" s="828"/>
      <c r="L610" s="828"/>
      <c r="M610" s="828"/>
      <c r="N610" s="828"/>
      <c r="O610" s="828"/>
      <c r="P610" s="828"/>
      <c r="Q610" s="828"/>
      <c r="R610" s="828"/>
      <c r="S610" s="828"/>
      <c r="T610" s="828"/>
      <c r="U610" s="828"/>
      <c r="V610" s="828"/>
      <c r="W610" s="828"/>
      <c r="X610" s="828"/>
      <c r="Y610" s="828"/>
      <c r="Z610" s="828"/>
      <c r="AA610" s="828"/>
      <c r="AB610" s="828"/>
      <c r="AC610" s="828"/>
      <c r="AD610" s="828"/>
      <c r="AE610" s="828"/>
      <c r="AF610" s="828"/>
      <c r="AG610" s="828"/>
      <c r="AH610" s="828"/>
      <c r="AI610" s="828"/>
      <c r="AJ610" s="828"/>
    </row>
    <row r="611">
      <c r="A611" s="828"/>
      <c r="B611" s="828"/>
      <c r="C611" s="828"/>
      <c r="D611" s="828"/>
      <c r="E611" s="828"/>
      <c r="F611" s="828"/>
      <c r="G611" s="828"/>
      <c r="H611" s="828"/>
      <c r="I611" s="828"/>
      <c r="J611" s="828"/>
      <c r="K611" s="828"/>
      <c r="L611" s="828"/>
      <c r="M611" s="828"/>
      <c r="N611" s="828"/>
      <c r="O611" s="828"/>
      <c r="P611" s="828"/>
      <c r="Q611" s="828"/>
      <c r="R611" s="828"/>
      <c r="S611" s="828"/>
      <c r="T611" s="828"/>
      <c r="U611" s="828"/>
      <c r="V611" s="828"/>
      <c r="W611" s="828"/>
      <c r="X611" s="828"/>
      <c r="Y611" s="828"/>
      <c r="Z611" s="828"/>
      <c r="AA611" s="828"/>
      <c r="AB611" s="828"/>
      <c r="AC611" s="828"/>
      <c r="AD611" s="828"/>
      <c r="AE611" s="828"/>
      <c r="AF611" s="828"/>
      <c r="AG611" s="828"/>
      <c r="AH611" s="828"/>
      <c r="AI611" s="828"/>
      <c r="AJ611" s="828"/>
    </row>
    <row r="612">
      <c r="A612" s="828"/>
      <c r="B612" s="828"/>
      <c r="C612" s="828"/>
      <c r="D612" s="828"/>
      <c r="E612" s="828"/>
      <c r="F612" s="828"/>
      <c r="G612" s="828"/>
      <c r="H612" s="828"/>
      <c r="I612" s="828"/>
      <c r="J612" s="828"/>
      <c r="K612" s="828"/>
      <c r="L612" s="828"/>
      <c r="M612" s="828"/>
      <c r="N612" s="828"/>
      <c r="O612" s="828"/>
      <c r="P612" s="828"/>
      <c r="Q612" s="828"/>
      <c r="R612" s="828"/>
      <c r="S612" s="828"/>
      <c r="T612" s="828"/>
      <c r="U612" s="828"/>
      <c r="V612" s="828"/>
      <c r="W612" s="828"/>
      <c r="X612" s="828"/>
      <c r="Y612" s="828"/>
      <c r="Z612" s="828"/>
      <c r="AA612" s="828"/>
      <c r="AB612" s="828"/>
      <c r="AC612" s="828"/>
      <c r="AD612" s="828"/>
      <c r="AE612" s="828"/>
      <c r="AF612" s="828"/>
      <c r="AG612" s="828"/>
      <c r="AH612" s="828"/>
      <c r="AI612" s="828"/>
      <c r="AJ612" s="828"/>
    </row>
    <row r="613">
      <c r="A613" s="828"/>
      <c r="B613" s="828"/>
      <c r="C613" s="828"/>
      <c r="D613" s="828"/>
      <c r="E613" s="828"/>
      <c r="F613" s="828"/>
      <c r="G613" s="828"/>
      <c r="H613" s="828"/>
      <c r="I613" s="828"/>
      <c r="J613" s="828"/>
      <c r="K613" s="828"/>
      <c r="L613" s="828"/>
      <c r="M613" s="828"/>
      <c r="N613" s="828"/>
      <c r="O613" s="828"/>
      <c r="P613" s="828"/>
      <c r="Q613" s="828"/>
      <c r="R613" s="828"/>
      <c r="S613" s="828"/>
      <c r="T613" s="828"/>
      <c r="U613" s="828"/>
      <c r="V613" s="828"/>
      <c r="W613" s="828"/>
      <c r="X613" s="828"/>
      <c r="Y613" s="828"/>
      <c r="Z613" s="828"/>
      <c r="AA613" s="828"/>
      <c r="AB613" s="828"/>
      <c r="AC613" s="828"/>
      <c r="AD613" s="828"/>
      <c r="AE613" s="828"/>
      <c r="AF613" s="828"/>
      <c r="AG613" s="828"/>
      <c r="AH613" s="828"/>
      <c r="AI613" s="828"/>
      <c r="AJ613" s="828"/>
    </row>
    <row r="614">
      <c r="A614" s="828"/>
      <c r="B614" s="828"/>
      <c r="C614" s="828"/>
      <c r="D614" s="828"/>
      <c r="E614" s="828"/>
      <c r="F614" s="828"/>
      <c r="G614" s="828"/>
      <c r="H614" s="828"/>
      <c r="I614" s="828"/>
      <c r="J614" s="828"/>
      <c r="K614" s="828"/>
      <c r="L614" s="828"/>
      <c r="M614" s="828"/>
      <c r="N614" s="828"/>
      <c r="O614" s="828"/>
      <c r="P614" s="828"/>
      <c r="Q614" s="828"/>
      <c r="R614" s="828"/>
      <c r="S614" s="828"/>
      <c r="T614" s="828"/>
      <c r="U614" s="828"/>
      <c r="V614" s="828"/>
      <c r="W614" s="828"/>
      <c r="X614" s="828"/>
      <c r="Y614" s="828"/>
      <c r="Z614" s="828"/>
      <c r="AA614" s="828"/>
      <c r="AB614" s="828"/>
      <c r="AC614" s="828"/>
      <c r="AD614" s="828"/>
      <c r="AE614" s="828"/>
      <c r="AF614" s="828"/>
      <c r="AG614" s="828"/>
      <c r="AH614" s="828"/>
      <c r="AI614" s="828"/>
      <c r="AJ614" s="828"/>
    </row>
    <row r="615">
      <c r="A615" s="828"/>
      <c r="B615" s="828"/>
      <c r="C615" s="828"/>
      <c r="D615" s="828"/>
      <c r="E615" s="828"/>
      <c r="F615" s="828"/>
      <c r="G615" s="828"/>
      <c r="H615" s="828"/>
      <c r="I615" s="828"/>
      <c r="J615" s="828"/>
      <c r="K615" s="828"/>
      <c r="L615" s="828"/>
      <c r="M615" s="828"/>
      <c r="N615" s="828"/>
      <c r="O615" s="828"/>
      <c r="P615" s="828"/>
      <c r="Q615" s="828"/>
      <c r="R615" s="828"/>
      <c r="S615" s="828"/>
      <c r="T615" s="828"/>
      <c r="U615" s="828"/>
      <c r="V615" s="828"/>
      <c r="W615" s="828"/>
      <c r="X615" s="828"/>
      <c r="Y615" s="828"/>
      <c r="Z615" s="828"/>
      <c r="AA615" s="828"/>
      <c r="AB615" s="828"/>
      <c r="AC615" s="828"/>
      <c r="AD615" s="828"/>
      <c r="AE615" s="828"/>
      <c r="AF615" s="828"/>
      <c r="AG615" s="828"/>
      <c r="AH615" s="828"/>
      <c r="AI615" s="828"/>
      <c r="AJ615" s="828"/>
    </row>
    <row r="616">
      <c r="A616" s="828"/>
      <c r="B616" s="828"/>
      <c r="C616" s="828"/>
      <c r="D616" s="828"/>
      <c r="E616" s="828"/>
      <c r="F616" s="828"/>
      <c r="G616" s="828"/>
      <c r="H616" s="828"/>
      <c r="I616" s="828"/>
      <c r="J616" s="828"/>
      <c r="K616" s="828"/>
      <c r="L616" s="828"/>
      <c r="M616" s="828"/>
      <c r="N616" s="828"/>
      <c r="O616" s="828"/>
      <c r="P616" s="828"/>
      <c r="Q616" s="828"/>
      <c r="R616" s="828"/>
      <c r="S616" s="828"/>
      <c r="T616" s="828"/>
      <c r="U616" s="828"/>
      <c r="V616" s="828"/>
      <c r="W616" s="828"/>
      <c r="X616" s="828"/>
      <c r="Y616" s="828"/>
      <c r="Z616" s="828"/>
      <c r="AA616" s="828"/>
      <c r="AB616" s="828"/>
      <c r="AC616" s="828"/>
      <c r="AD616" s="828"/>
      <c r="AE616" s="828"/>
      <c r="AF616" s="828"/>
      <c r="AG616" s="828"/>
      <c r="AH616" s="828"/>
      <c r="AI616" s="828"/>
      <c r="AJ616" s="828"/>
    </row>
    <row r="617">
      <c r="A617" s="828"/>
      <c r="B617" s="828"/>
      <c r="C617" s="828"/>
      <c r="D617" s="828"/>
      <c r="E617" s="828"/>
      <c r="F617" s="828"/>
      <c r="G617" s="828"/>
      <c r="H617" s="828"/>
      <c r="I617" s="828"/>
      <c r="J617" s="828"/>
      <c r="K617" s="828"/>
      <c r="L617" s="828"/>
      <c r="M617" s="828"/>
      <c r="N617" s="828"/>
      <c r="O617" s="828"/>
      <c r="P617" s="828"/>
      <c r="Q617" s="828"/>
      <c r="R617" s="828"/>
      <c r="S617" s="828"/>
      <c r="T617" s="828"/>
      <c r="U617" s="828"/>
      <c r="V617" s="828"/>
      <c r="W617" s="828"/>
      <c r="X617" s="828"/>
      <c r="Y617" s="828"/>
      <c r="Z617" s="828"/>
      <c r="AA617" s="828"/>
      <c r="AB617" s="828"/>
      <c r="AC617" s="828"/>
      <c r="AD617" s="828"/>
      <c r="AE617" s="828"/>
      <c r="AF617" s="828"/>
      <c r="AG617" s="828"/>
      <c r="AH617" s="828"/>
      <c r="AI617" s="828"/>
      <c r="AJ617" s="828"/>
    </row>
    <row r="618">
      <c r="A618" s="828"/>
      <c r="B618" s="828"/>
      <c r="C618" s="828"/>
      <c r="D618" s="828"/>
      <c r="E618" s="828"/>
      <c r="F618" s="828"/>
      <c r="G618" s="828"/>
      <c r="H618" s="828"/>
      <c r="I618" s="828"/>
      <c r="J618" s="828"/>
      <c r="K618" s="828"/>
      <c r="L618" s="828"/>
      <c r="M618" s="828"/>
      <c r="N618" s="828"/>
      <c r="O618" s="828"/>
      <c r="P618" s="828"/>
      <c r="Q618" s="828"/>
      <c r="R618" s="828"/>
      <c r="S618" s="828"/>
      <c r="T618" s="828"/>
      <c r="U618" s="828"/>
      <c r="V618" s="828"/>
      <c r="W618" s="828"/>
      <c r="X618" s="828"/>
      <c r="Y618" s="828"/>
      <c r="Z618" s="828"/>
      <c r="AA618" s="828"/>
      <c r="AB618" s="828"/>
      <c r="AC618" s="828"/>
      <c r="AD618" s="828"/>
      <c r="AE618" s="828"/>
      <c r="AF618" s="828"/>
      <c r="AG618" s="828"/>
      <c r="AH618" s="828"/>
      <c r="AI618" s="828"/>
      <c r="AJ618" s="828"/>
    </row>
    <row r="619">
      <c r="A619" s="828"/>
      <c r="B619" s="828"/>
      <c r="C619" s="828"/>
      <c r="D619" s="828"/>
      <c r="E619" s="828"/>
      <c r="F619" s="828"/>
      <c r="G619" s="828"/>
      <c r="H619" s="828"/>
      <c r="I619" s="828"/>
      <c r="J619" s="828"/>
      <c r="K619" s="828"/>
      <c r="L619" s="828"/>
      <c r="M619" s="828"/>
      <c r="N619" s="828"/>
      <c r="O619" s="828"/>
      <c r="P619" s="828"/>
      <c r="Q619" s="828"/>
      <c r="R619" s="828"/>
      <c r="S619" s="828"/>
      <c r="T619" s="828"/>
      <c r="U619" s="828"/>
      <c r="V619" s="828"/>
      <c r="W619" s="828"/>
      <c r="X619" s="828"/>
      <c r="Y619" s="828"/>
      <c r="Z619" s="828"/>
      <c r="AA619" s="828"/>
      <c r="AB619" s="828"/>
      <c r="AC619" s="828"/>
      <c r="AD619" s="828"/>
      <c r="AE619" s="828"/>
      <c r="AF619" s="828"/>
      <c r="AG619" s="828"/>
      <c r="AH619" s="828"/>
      <c r="AI619" s="828"/>
      <c r="AJ619" s="828"/>
    </row>
    <row r="620">
      <c r="A620" s="828"/>
      <c r="B620" s="828"/>
      <c r="C620" s="828"/>
      <c r="D620" s="828"/>
      <c r="E620" s="828"/>
      <c r="F620" s="828"/>
      <c r="G620" s="828"/>
      <c r="H620" s="828"/>
      <c r="I620" s="828"/>
      <c r="J620" s="828"/>
      <c r="K620" s="828"/>
      <c r="L620" s="828"/>
      <c r="M620" s="828"/>
      <c r="N620" s="828"/>
      <c r="O620" s="828"/>
      <c r="P620" s="828"/>
      <c r="Q620" s="828"/>
      <c r="R620" s="828"/>
      <c r="S620" s="828"/>
      <c r="T620" s="828"/>
      <c r="U620" s="828"/>
      <c r="V620" s="828"/>
      <c r="W620" s="828"/>
      <c r="X620" s="828"/>
      <c r="Y620" s="828"/>
      <c r="Z620" s="828"/>
      <c r="AA620" s="828"/>
      <c r="AB620" s="828"/>
      <c r="AC620" s="828"/>
      <c r="AD620" s="828"/>
      <c r="AE620" s="828"/>
      <c r="AF620" s="828"/>
      <c r="AG620" s="828"/>
      <c r="AH620" s="828"/>
      <c r="AI620" s="828"/>
      <c r="AJ620" s="828"/>
    </row>
    <row r="621">
      <c r="A621" s="828"/>
      <c r="B621" s="828"/>
      <c r="C621" s="828"/>
      <c r="D621" s="828"/>
      <c r="E621" s="828"/>
      <c r="F621" s="828"/>
      <c r="G621" s="828"/>
      <c r="H621" s="828"/>
      <c r="I621" s="828"/>
      <c r="J621" s="828"/>
      <c r="K621" s="828"/>
      <c r="L621" s="828"/>
      <c r="M621" s="828"/>
      <c r="N621" s="828"/>
      <c r="O621" s="828"/>
      <c r="P621" s="828"/>
      <c r="Q621" s="828"/>
      <c r="R621" s="828"/>
      <c r="S621" s="828"/>
      <c r="T621" s="828"/>
      <c r="U621" s="828"/>
      <c r="V621" s="828"/>
      <c r="W621" s="828"/>
      <c r="X621" s="828"/>
      <c r="Y621" s="828"/>
      <c r="Z621" s="828"/>
      <c r="AA621" s="828"/>
      <c r="AB621" s="828"/>
      <c r="AC621" s="828"/>
      <c r="AD621" s="828"/>
      <c r="AE621" s="828"/>
      <c r="AF621" s="828"/>
      <c r="AG621" s="828"/>
      <c r="AH621" s="828"/>
      <c r="AI621" s="828"/>
      <c r="AJ621" s="828"/>
    </row>
    <row r="622">
      <c r="A622" s="828"/>
      <c r="B622" s="828"/>
      <c r="C622" s="828"/>
      <c r="D622" s="828"/>
      <c r="E622" s="828"/>
      <c r="F622" s="828"/>
      <c r="G622" s="828"/>
      <c r="H622" s="828"/>
      <c r="I622" s="828"/>
      <c r="J622" s="828"/>
      <c r="K622" s="828"/>
      <c r="L622" s="828"/>
      <c r="M622" s="828"/>
      <c r="N622" s="828"/>
      <c r="O622" s="828"/>
      <c r="P622" s="828"/>
      <c r="Q622" s="828"/>
      <c r="R622" s="828"/>
      <c r="S622" s="828"/>
      <c r="T622" s="828"/>
      <c r="U622" s="828"/>
      <c r="V622" s="828"/>
      <c r="W622" s="828"/>
      <c r="X622" s="828"/>
      <c r="Y622" s="828"/>
      <c r="Z622" s="828"/>
      <c r="AA622" s="828"/>
      <c r="AB622" s="828"/>
      <c r="AC622" s="828"/>
      <c r="AD622" s="828"/>
      <c r="AE622" s="828"/>
      <c r="AF622" s="828"/>
      <c r="AG622" s="828"/>
      <c r="AH622" s="828"/>
      <c r="AI622" s="828"/>
      <c r="AJ622" s="828"/>
    </row>
    <row r="623">
      <c r="A623" s="828"/>
      <c r="B623" s="828"/>
      <c r="C623" s="828"/>
      <c r="D623" s="828"/>
      <c r="E623" s="828"/>
      <c r="F623" s="828"/>
      <c r="G623" s="828"/>
      <c r="H623" s="828"/>
      <c r="I623" s="828"/>
      <c r="J623" s="828"/>
      <c r="K623" s="828"/>
      <c r="L623" s="828"/>
      <c r="M623" s="828"/>
      <c r="N623" s="828"/>
      <c r="O623" s="828"/>
      <c r="P623" s="828"/>
      <c r="Q623" s="828"/>
      <c r="R623" s="828"/>
      <c r="S623" s="828"/>
      <c r="T623" s="828"/>
      <c r="U623" s="828"/>
      <c r="V623" s="828"/>
      <c r="W623" s="828"/>
      <c r="X623" s="828"/>
      <c r="Y623" s="828"/>
      <c r="Z623" s="828"/>
      <c r="AA623" s="828"/>
      <c r="AB623" s="828"/>
      <c r="AC623" s="828"/>
      <c r="AD623" s="828"/>
      <c r="AE623" s="828"/>
      <c r="AF623" s="828"/>
      <c r="AG623" s="828"/>
      <c r="AH623" s="828"/>
      <c r="AI623" s="828"/>
      <c r="AJ623" s="828"/>
    </row>
    <row r="624">
      <c r="A624" s="828"/>
      <c r="B624" s="828"/>
      <c r="C624" s="828"/>
      <c r="D624" s="828"/>
      <c r="E624" s="828"/>
      <c r="F624" s="828"/>
      <c r="G624" s="828"/>
      <c r="H624" s="828"/>
      <c r="I624" s="828"/>
      <c r="J624" s="828"/>
      <c r="K624" s="828"/>
      <c r="L624" s="828"/>
      <c r="M624" s="828"/>
      <c r="N624" s="828"/>
      <c r="O624" s="828"/>
      <c r="P624" s="828"/>
      <c r="Q624" s="828"/>
      <c r="R624" s="828"/>
      <c r="S624" s="828"/>
      <c r="T624" s="828"/>
      <c r="U624" s="828"/>
      <c r="V624" s="828"/>
      <c r="W624" s="828"/>
      <c r="X624" s="828"/>
      <c r="Y624" s="828"/>
      <c r="Z624" s="828"/>
      <c r="AA624" s="828"/>
      <c r="AB624" s="828"/>
      <c r="AC624" s="828"/>
      <c r="AD624" s="828"/>
      <c r="AE624" s="828"/>
      <c r="AF624" s="828"/>
      <c r="AG624" s="828"/>
      <c r="AH624" s="828"/>
      <c r="AI624" s="828"/>
      <c r="AJ624" s="828"/>
    </row>
    <row r="625">
      <c r="A625" s="828"/>
      <c r="B625" s="828"/>
      <c r="C625" s="828"/>
      <c r="D625" s="828"/>
      <c r="E625" s="828"/>
      <c r="F625" s="828"/>
      <c r="G625" s="828"/>
      <c r="H625" s="828"/>
      <c r="I625" s="828"/>
      <c r="J625" s="828"/>
      <c r="K625" s="828"/>
      <c r="L625" s="828"/>
      <c r="M625" s="828"/>
      <c r="N625" s="828"/>
      <c r="O625" s="828"/>
      <c r="P625" s="828"/>
      <c r="Q625" s="828"/>
      <c r="R625" s="828"/>
      <c r="S625" s="828"/>
      <c r="T625" s="828"/>
      <c r="U625" s="828"/>
      <c r="V625" s="828"/>
      <c r="W625" s="828"/>
      <c r="X625" s="828"/>
      <c r="Y625" s="828"/>
      <c r="Z625" s="828"/>
      <c r="AA625" s="828"/>
      <c r="AB625" s="828"/>
      <c r="AC625" s="828"/>
      <c r="AD625" s="828"/>
      <c r="AE625" s="828"/>
      <c r="AF625" s="828"/>
      <c r="AG625" s="828"/>
      <c r="AH625" s="828"/>
      <c r="AI625" s="828"/>
      <c r="AJ625" s="828"/>
    </row>
    <row r="626">
      <c r="A626" s="828"/>
      <c r="B626" s="828"/>
      <c r="C626" s="828"/>
      <c r="D626" s="828"/>
      <c r="E626" s="828"/>
      <c r="F626" s="828"/>
      <c r="G626" s="828"/>
      <c r="H626" s="828"/>
      <c r="I626" s="828"/>
      <c r="J626" s="828"/>
      <c r="K626" s="828"/>
      <c r="L626" s="828"/>
      <c r="M626" s="828"/>
      <c r="N626" s="828"/>
      <c r="O626" s="828"/>
      <c r="P626" s="828"/>
      <c r="Q626" s="828"/>
      <c r="R626" s="828"/>
      <c r="S626" s="828"/>
      <c r="T626" s="828"/>
      <c r="U626" s="828"/>
      <c r="V626" s="828"/>
      <c r="W626" s="828"/>
      <c r="X626" s="828"/>
      <c r="Y626" s="828"/>
      <c r="Z626" s="828"/>
      <c r="AA626" s="828"/>
      <c r="AB626" s="828"/>
      <c r="AC626" s="828"/>
      <c r="AD626" s="828"/>
      <c r="AE626" s="828"/>
      <c r="AF626" s="828"/>
      <c r="AG626" s="828"/>
      <c r="AH626" s="828"/>
      <c r="AI626" s="828"/>
      <c r="AJ626" s="828"/>
    </row>
    <row r="627">
      <c r="A627" s="828"/>
      <c r="B627" s="828"/>
      <c r="C627" s="828"/>
      <c r="D627" s="828"/>
      <c r="E627" s="828"/>
      <c r="F627" s="828"/>
      <c r="G627" s="828"/>
      <c r="H627" s="828"/>
      <c r="I627" s="828"/>
      <c r="J627" s="828"/>
      <c r="K627" s="828"/>
      <c r="L627" s="828"/>
      <c r="M627" s="828"/>
      <c r="N627" s="828"/>
      <c r="O627" s="828"/>
      <c r="P627" s="828"/>
      <c r="Q627" s="828"/>
      <c r="R627" s="828"/>
      <c r="S627" s="828"/>
      <c r="T627" s="828"/>
      <c r="U627" s="828"/>
      <c r="V627" s="828"/>
      <c r="W627" s="828"/>
      <c r="X627" s="828"/>
      <c r="Y627" s="828"/>
      <c r="Z627" s="828"/>
      <c r="AA627" s="828"/>
      <c r="AB627" s="828"/>
      <c r="AC627" s="828"/>
      <c r="AD627" s="828"/>
      <c r="AE627" s="828"/>
      <c r="AF627" s="828"/>
      <c r="AG627" s="828"/>
      <c r="AH627" s="828"/>
      <c r="AI627" s="828"/>
      <c r="AJ627" s="828"/>
    </row>
    <row r="628">
      <c r="A628" s="828"/>
      <c r="B628" s="828"/>
      <c r="C628" s="828"/>
      <c r="D628" s="828"/>
      <c r="E628" s="828"/>
      <c r="F628" s="828"/>
      <c r="G628" s="828"/>
      <c r="H628" s="828"/>
      <c r="I628" s="828"/>
      <c r="J628" s="828"/>
      <c r="K628" s="828"/>
      <c r="L628" s="828"/>
      <c r="M628" s="828"/>
      <c r="N628" s="828"/>
      <c r="O628" s="828"/>
      <c r="P628" s="828"/>
      <c r="Q628" s="828"/>
      <c r="R628" s="828"/>
      <c r="S628" s="828"/>
      <c r="T628" s="828"/>
      <c r="U628" s="828"/>
      <c r="V628" s="828"/>
      <c r="W628" s="828"/>
      <c r="X628" s="828"/>
      <c r="Y628" s="828"/>
      <c r="Z628" s="828"/>
      <c r="AA628" s="828"/>
      <c r="AB628" s="828"/>
      <c r="AC628" s="828"/>
      <c r="AD628" s="828"/>
      <c r="AE628" s="828"/>
      <c r="AF628" s="828"/>
      <c r="AG628" s="828"/>
      <c r="AH628" s="828"/>
      <c r="AI628" s="828"/>
      <c r="AJ628" s="828"/>
    </row>
    <row r="629">
      <c r="A629" s="828"/>
      <c r="B629" s="828"/>
      <c r="C629" s="828"/>
      <c r="D629" s="828"/>
      <c r="E629" s="828"/>
      <c r="F629" s="828"/>
      <c r="G629" s="828"/>
      <c r="H629" s="828"/>
      <c r="I629" s="828"/>
      <c r="J629" s="828"/>
      <c r="K629" s="828"/>
      <c r="L629" s="828"/>
      <c r="M629" s="828"/>
      <c r="N629" s="828"/>
      <c r="O629" s="828"/>
      <c r="P629" s="828"/>
      <c r="Q629" s="828"/>
      <c r="R629" s="828"/>
      <c r="S629" s="828"/>
      <c r="T629" s="828"/>
      <c r="U629" s="828"/>
      <c r="V629" s="828"/>
      <c r="W629" s="828"/>
      <c r="X629" s="828"/>
      <c r="Y629" s="828"/>
      <c r="Z629" s="828"/>
      <c r="AA629" s="828"/>
      <c r="AB629" s="828"/>
      <c r="AC629" s="828"/>
      <c r="AD629" s="828"/>
      <c r="AE629" s="828"/>
      <c r="AF629" s="828"/>
      <c r="AG629" s="828"/>
      <c r="AH629" s="828"/>
      <c r="AI629" s="828"/>
      <c r="AJ629" s="828"/>
    </row>
    <row r="630">
      <c r="A630" s="828"/>
      <c r="B630" s="828"/>
      <c r="C630" s="828"/>
      <c r="D630" s="828"/>
      <c r="E630" s="828"/>
      <c r="F630" s="828"/>
      <c r="G630" s="828"/>
      <c r="H630" s="828"/>
      <c r="I630" s="828"/>
      <c r="J630" s="828"/>
      <c r="K630" s="828"/>
      <c r="L630" s="828"/>
      <c r="M630" s="828"/>
      <c r="N630" s="828"/>
      <c r="O630" s="828"/>
      <c r="P630" s="828"/>
      <c r="Q630" s="828"/>
      <c r="R630" s="828"/>
      <c r="S630" s="828"/>
      <c r="T630" s="828"/>
      <c r="U630" s="828"/>
      <c r="V630" s="828"/>
      <c r="W630" s="828"/>
      <c r="X630" s="828"/>
      <c r="Y630" s="828"/>
      <c r="Z630" s="828"/>
      <c r="AA630" s="828"/>
      <c r="AB630" s="828"/>
      <c r="AC630" s="828"/>
      <c r="AD630" s="828"/>
      <c r="AE630" s="828"/>
      <c r="AF630" s="828"/>
      <c r="AG630" s="828"/>
      <c r="AH630" s="828"/>
      <c r="AI630" s="828"/>
      <c r="AJ630" s="828"/>
    </row>
    <row r="631">
      <c r="A631" s="828"/>
      <c r="B631" s="828"/>
      <c r="C631" s="828"/>
      <c r="D631" s="828"/>
      <c r="E631" s="828"/>
      <c r="F631" s="828"/>
      <c r="G631" s="828"/>
      <c r="H631" s="828"/>
      <c r="I631" s="828"/>
      <c r="J631" s="828"/>
      <c r="K631" s="828"/>
      <c r="L631" s="828"/>
      <c r="M631" s="828"/>
      <c r="N631" s="828"/>
      <c r="O631" s="828"/>
      <c r="P631" s="828"/>
      <c r="Q631" s="828"/>
      <c r="R631" s="828"/>
      <c r="S631" s="828"/>
      <c r="T631" s="828"/>
      <c r="U631" s="828"/>
      <c r="V631" s="828"/>
      <c r="W631" s="828"/>
      <c r="X631" s="828"/>
      <c r="Y631" s="828"/>
      <c r="Z631" s="828"/>
      <c r="AA631" s="828"/>
      <c r="AB631" s="828"/>
      <c r="AC631" s="828"/>
      <c r="AD631" s="828"/>
      <c r="AE631" s="828"/>
      <c r="AF631" s="828"/>
      <c r="AG631" s="828"/>
      <c r="AH631" s="828"/>
      <c r="AI631" s="828"/>
      <c r="AJ631" s="828"/>
    </row>
    <row r="632">
      <c r="A632" s="828"/>
      <c r="B632" s="828"/>
      <c r="C632" s="828"/>
      <c r="D632" s="828"/>
      <c r="E632" s="828"/>
      <c r="F632" s="828"/>
      <c r="G632" s="828"/>
      <c r="H632" s="828"/>
      <c r="I632" s="828"/>
      <c r="J632" s="828"/>
      <c r="K632" s="828"/>
      <c r="L632" s="828"/>
      <c r="M632" s="828"/>
      <c r="N632" s="828"/>
      <c r="O632" s="828"/>
      <c r="P632" s="828"/>
      <c r="Q632" s="828"/>
      <c r="R632" s="828"/>
      <c r="S632" s="828"/>
      <c r="T632" s="828"/>
      <c r="U632" s="828"/>
      <c r="V632" s="828"/>
      <c r="W632" s="828"/>
      <c r="X632" s="828"/>
      <c r="Y632" s="828"/>
      <c r="Z632" s="828"/>
      <c r="AA632" s="828"/>
      <c r="AB632" s="828"/>
      <c r="AC632" s="828"/>
      <c r="AD632" s="828"/>
      <c r="AE632" s="828"/>
      <c r="AF632" s="828"/>
      <c r="AG632" s="828"/>
      <c r="AH632" s="828"/>
      <c r="AI632" s="828"/>
      <c r="AJ632" s="828"/>
    </row>
    <row r="633">
      <c r="A633" s="828"/>
      <c r="B633" s="828"/>
      <c r="C633" s="828"/>
      <c r="D633" s="828"/>
      <c r="E633" s="828"/>
      <c r="F633" s="828"/>
      <c r="G633" s="828"/>
      <c r="H633" s="828"/>
      <c r="I633" s="828"/>
      <c r="J633" s="828"/>
      <c r="K633" s="828"/>
      <c r="L633" s="828"/>
      <c r="M633" s="828"/>
      <c r="N633" s="828"/>
      <c r="O633" s="828"/>
      <c r="P633" s="828"/>
      <c r="Q633" s="828"/>
      <c r="R633" s="828"/>
      <c r="S633" s="828"/>
      <c r="T633" s="828"/>
      <c r="U633" s="828"/>
      <c r="V633" s="828"/>
      <c r="W633" s="828"/>
      <c r="X633" s="828"/>
      <c r="Y633" s="828"/>
      <c r="Z633" s="828"/>
      <c r="AA633" s="828"/>
      <c r="AB633" s="828"/>
      <c r="AC633" s="828"/>
      <c r="AD633" s="828"/>
      <c r="AE633" s="828"/>
      <c r="AF633" s="828"/>
      <c r="AG633" s="828"/>
      <c r="AH633" s="828"/>
      <c r="AI633" s="828"/>
      <c r="AJ633" s="828"/>
    </row>
    <row r="634">
      <c r="A634" s="828"/>
      <c r="B634" s="828"/>
      <c r="C634" s="828"/>
      <c r="D634" s="828"/>
      <c r="E634" s="828"/>
      <c r="F634" s="828"/>
      <c r="G634" s="828"/>
      <c r="H634" s="828"/>
      <c r="I634" s="828"/>
      <c r="J634" s="828"/>
      <c r="K634" s="828"/>
      <c r="L634" s="828"/>
      <c r="M634" s="828"/>
      <c r="N634" s="828"/>
      <c r="O634" s="828"/>
      <c r="P634" s="828"/>
      <c r="Q634" s="828"/>
      <c r="R634" s="828"/>
      <c r="S634" s="828"/>
      <c r="T634" s="828"/>
      <c r="U634" s="828"/>
      <c r="V634" s="828"/>
      <c r="W634" s="828"/>
      <c r="X634" s="828"/>
      <c r="Y634" s="828"/>
      <c r="Z634" s="828"/>
      <c r="AA634" s="828"/>
      <c r="AB634" s="828"/>
      <c r="AC634" s="828"/>
      <c r="AD634" s="828"/>
      <c r="AE634" s="828"/>
      <c r="AF634" s="828"/>
      <c r="AG634" s="828"/>
      <c r="AH634" s="828"/>
      <c r="AI634" s="828"/>
      <c r="AJ634" s="828"/>
    </row>
    <row r="635">
      <c r="A635" s="828"/>
      <c r="B635" s="828"/>
      <c r="C635" s="828"/>
      <c r="D635" s="828"/>
      <c r="E635" s="828"/>
      <c r="F635" s="828"/>
      <c r="G635" s="828"/>
      <c r="H635" s="828"/>
      <c r="I635" s="828"/>
      <c r="J635" s="828"/>
      <c r="K635" s="828"/>
      <c r="L635" s="828"/>
      <c r="M635" s="828"/>
      <c r="N635" s="828"/>
      <c r="O635" s="828"/>
      <c r="P635" s="828"/>
      <c r="Q635" s="828"/>
      <c r="R635" s="828"/>
      <c r="S635" s="828"/>
      <c r="T635" s="828"/>
      <c r="U635" s="828"/>
      <c r="V635" s="828"/>
      <c r="W635" s="828"/>
      <c r="X635" s="828"/>
      <c r="Y635" s="828"/>
      <c r="Z635" s="828"/>
      <c r="AA635" s="828"/>
      <c r="AB635" s="828"/>
      <c r="AC635" s="828"/>
      <c r="AD635" s="828"/>
      <c r="AE635" s="828"/>
      <c r="AF635" s="828"/>
      <c r="AG635" s="828"/>
      <c r="AH635" s="828"/>
      <c r="AI635" s="828"/>
      <c r="AJ635" s="828"/>
    </row>
    <row r="636">
      <c r="A636" s="828"/>
      <c r="B636" s="828"/>
      <c r="C636" s="828"/>
      <c r="D636" s="828"/>
      <c r="E636" s="828"/>
      <c r="F636" s="828"/>
      <c r="G636" s="828"/>
      <c r="H636" s="828"/>
      <c r="I636" s="828"/>
      <c r="J636" s="828"/>
      <c r="K636" s="828"/>
      <c r="L636" s="828"/>
      <c r="M636" s="828"/>
      <c r="N636" s="828"/>
      <c r="O636" s="828"/>
      <c r="P636" s="828"/>
      <c r="Q636" s="828"/>
      <c r="R636" s="828"/>
      <c r="S636" s="828"/>
      <c r="T636" s="828"/>
      <c r="U636" s="828"/>
      <c r="V636" s="828"/>
      <c r="W636" s="828"/>
      <c r="X636" s="828"/>
      <c r="Y636" s="828"/>
      <c r="Z636" s="828"/>
      <c r="AA636" s="828"/>
      <c r="AB636" s="828"/>
      <c r="AC636" s="828"/>
      <c r="AD636" s="828"/>
      <c r="AE636" s="828"/>
      <c r="AF636" s="828"/>
      <c r="AG636" s="828"/>
      <c r="AH636" s="828"/>
      <c r="AI636" s="828"/>
      <c r="AJ636" s="828"/>
    </row>
    <row r="637">
      <c r="A637" s="828"/>
      <c r="B637" s="828"/>
      <c r="C637" s="828"/>
      <c r="D637" s="828"/>
      <c r="E637" s="828"/>
      <c r="F637" s="828"/>
      <c r="G637" s="828"/>
      <c r="H637" s="828"/>
      <c r="I637" s="828"/>
      <c r="J637" s="828"/>
      <c r="K637" s="828"/>
      <c r="L637" s="828"/>
      <c r="M637" s="828"/>
      <c r="N637" s="828"/>
      <c r="O637" s="828"/>
      <c r="P637" s="828"/>
      <c r="Q637" s="828"/>
      <c r="R637" s="828"/>
      <c r="S637" s="828"/>
      <c r="T637" s="828"/>
      <c r="U637" s="828"/>
      <c r="V637" s="828"/>
      <c r="W637" s="828"/>
      <c r="X637" s="828"/>
      <c r="Y637" s="828"/>
      <c r="Z637" s="828"/>
      <c r="AA637" s="828"/>
      <c r="AB637" s="828"/>
      <c r="AC637" s="828"/>
      <c r="AD637" s="828"/>
      <c r="AE637" s="828"/>
      <c r="AF637" s="828"/>
      <c r="AG637" s="828"/>
      <c r="AH637" s="828"/>
      <c r="AI637" s="828"/>
      <c r="AJ637" s="828"/>
    </row>
    <row r="638">
      <c r="A638" s="828"/>
      <c r="B638" s="828"/>
      <c r="C638" s="828"/>
      <c r="D638" s="828"/>
      <c r="E638" s="828"/>
      <c r="F638" s="828"/>
      <c r="G638" s="828"/>
      <c r="H638" s="828"/>
      <c r="I638" s="828"/>
      <c r="J638" s="828"/>
      <c r="K638" s="828"/>
      <c r="L638" s="828"/>
      <c r="M638" s="828"/>
      <c r="N638" s="828"/>
      <c r="O638" s="828"/>
      <c r="P638" s="828"/>
      <c r="Q638" s="828"/>
      <c r="R638" s="828"/>
      <c r="S638" s="828"/>
      <c r="T638" s="828"/>
      <c r="U638" s="828"/>
      <c r="V638" s="828"/>
      <c r="W638" s="828"/>
      <c r="X638" s="828"/>
      <c r="Y638" s="828"/>
      <c r="Z638" s="828"/>
      <c r="AA638" s="828"/>
      <c r="AB638" s="828"/>
      <c r="AC638" s="828"/>
      <c r="AD638" s="828"/>
      <c r="AE638" s="828"/>
      <c r="AF638" s="828"/>
      <c r="AG638" s="828"/>
      <c r="AH638" s="828"/>
      <c r="AI638" s="828"/>
      <c r="AJ638" s="828"/>
    </row>
    <row r="639">
      <c r="A639" s="828"/>
      <c r="B639" s="828"/>
      <c r="C639" s="828"/>
      <c r="D639" s="828"/>
      <c r="E639" s="828"/>
      <c r="F639" s="828"/>
      <c r="G639" s="828"/>
      <c r="H639" s="828"/>
      <c r="I639" s="828"/>
      <c r="J639" s="828"/>
      <c r="K639" s="828"/>
      <c r="L639" s="828"/>
      <c r="M639" s="828"/>
      <c r="N639" s="828"/>
      <c r="O639" s="828"/>
      <c r="P639" s="828"/>
      <c r="Q639" s="828"/>
      <c r="R639" s="828"/>
      <c r="S639" s="828"/>
      <c r="T639" s="828"/>
      <c r="U639" s="828"/>
      <c r="V639" s="828"/>
      <c r="W639" s="828"/>
      <c r="X639" s="828"/>
      <c r="Y639" s="828"/>
      <c r="Z639" s="828"/>
      <c r="AA639" s="828"/>
      <c r="AB639" s="828"/>
      <c r="AC639" s="828"/>
      <c r="AD639" s="828"/>
      <c r="AE639" s="828"/>
      <c r="AF639" s="828"/>
      <c r="AG639" s="828"/>
      <c r="AH639" s="828"/>
      <c r="AI639" s="828"/>
      <c r="AJ639" s="828"/>
    </row>
    <row r="640">
      <c r="A640" s="828"/>
      <c r="B640" s="828"/>
      <c r="C640" s="828"/>
      <c r="D640" s="828"/>
      <c r="E640" s="828"/>
      <c r="F640" s="828"/>
      <c r="G640" s="828"/>
      <c r="H640" s="828"/>
      <c r="I640" s="828"/>
      <c r="J640" s="828"/>
      <c r="K640" s="828"/>
      <c r="L640" s="828"/>
      <c r="M640" s="828"/>
      <c r="N640" s="828"/>
      <c r="O640" s="828"/>
      <c r="P640" s="828"/>
      <c r="Q640" s="828"/>
      <c r="R640" s="828"/>
      <c r="S640" s="828"/>
      <c r="T640" s="828"/>
      <c r="U640" s="828"/>
      <c r="V640" s="828"/>
      <c r="W640" s="828"/>
      <c r="X640" s="828"/>
      <c r="Y640" s="828"/>
      <c r="Z640" s="828"/>
      <c r="AA640" s="828"/>
      <c r="AB640" s="828"/>
      <c r="AC640" s="828"/>
      <c r="AD640" s="828"/>
      <c r="AE640" s="828"/>
      <c r="AF640" s="828"/>
      <c r="AG640" s="828"/>
      <c r="AH640" s="828"/>
      <c r="AI640" s="828"/>
      <c r="AJ640" s="828"/>
    </row>
    <row r="641">
      <c r="A641" s="828"/>
      <c r="B641" s="828"/>
      <c r="C641" s="828"/>
      <c r="D641" s="828"/>
      <c r="E641" s="828"/>
      <c r="F641" s="828"/>
      <c r="G641" s="828"/>
      <c r="H641" s="828"/>
      <c r="I641" s="828"/>
      <c r="J641" s="828"/>
      <c r="K641" s="828"/>
      <c r="L641" s="828"/>
      <c r="M641" s="828"/>
      <c r="N641" s="828"/>
      <c r="O641" s="828"/>
      <c r="P641" s="828"/>
      <c r="Q641" s="828"/>
      <c r="R641" s="828"/>
      <c r="S641" s="828"/>
      <c r="T641" s="828"/>
      <c r="U641" s="828"/>
      <c r="V641" s="828"/>
      <c r="W641" s="828"/>
      <c r="X641" s="828"/>
      <c r="Y641" s="828"/>
      <c r="Z641" s="828"/>
      <c r="AA641" s="828"/>
      <c r="AB641" s="828"/>
      <c r="AC641" s="828"/>
      <c r="AD641" s="828"/>
      <c r="AE641" s="828"/>
      <c r="AF641" s="828"/>
      <c r="AG641" s="828"/>
      <c r="AH641" s="828"/>
      <c r="AI641" s="828"/>
      <c r="AJ641" s="828"/>
    </row>
    <row r="642">
      <c r="A642" s="828"/>
      <c r="B642" s="828"/>
      <c r="C642" s="828"/>
      <c r="D642" s="828"/>
      <c r="E642" s="828"/>
      <c r="F642" s="828"/>
      <c r="G642" s="828"/>
      <c r="H642" s="828"/>
      <c r="I642" s="828"/>
      <c r="J642" s="828"/>
      <c r="K642" s="828"/>
      <c r="L642" s="828"/>
      <c r="M642" s="828"/>
      <c r="N642" s="828"/>
      <c r="O642" s="828"/>
      <c r="P642" s="828"/>
      <c r="Q642" s="828"/>
      <c r="R642" s="828"/>
      <c r="S642" s="828"/>
      <c r="T642" s="828"/>
      <c r="U642" s="828"/>
      <c r="V642" s="828"/>
      <c r="W642" s="828"/>
      <c r="X642" s="828"/>
      <c r="Y642" s="828"/>
      <c r="Z642" s="828"/>
      <c r="AA642" s="828"/>
      <c r="AB642" s="828"/>
      <c r="AC642" s="828"/>
      <c r="AD642" s="828"/>
      <c r="AE642" s="828"/>
      <c r="AF642" s="828"/>
      <c r="AG642" s="828"/>
      <c r="AH642" s="828"/>
      <c r="AI642" s="828"/>
      <c r="AJ642" s="828"/>
    </row>
    <row r="643">
      <c r="A643" s="828"/>
      <c r="B643" s="828"/>
      <c r="C643" s="828"/>
      <c r="D643" s="828"/>
      <c r="E643" s="828"/>
      <c r="F643" s="828"/>
      <c r="G643" s="828"/>
      <c r="H643" s="828"/>
      <c r="I643" s="828"/>
      <c r="J643" s="828"/>
      <c r="K643" s="828"/>
      <c r="L643" s="828"/>
      <c r="M643" s="828"/>
      <c r="N643" s="828"/>
      <c r="O643" s="828"/>
      <c r="P643" s="828"/>
      <c r="Q643" s="828"/>
      <c r="R643" s="828"/>
      <c r="S643" s="828"/>
      <c r="T643" s="828"/>
      <c r="U643" s="828"/>
      <c r="V643" s="828"/>
      <c r="W643" s="828"/>
      <c r="X643" s="828"/>
      <c r="Y643" s="828"/>
      <c r="Z643" s="828"/>
      <c r="AA643" s="828"/>
      <c r="AB643" s="828"/>
      <c r="AC643" s="828"/>
      <c r="AD643" s="828"/>
      <c r="AE643" s="828"/>
      <c r="AF643" s="828"/>
      <c r="AG643" s="828"/>
      <c r="AH643" s="828"/>
      <c r="AI643" s="828"/>
      <c r="AJ643" s="828"/>
    </row>
    <row r="644">
      <c r="A644" s="828"/>
      <c r="B644" s="828"/>
      <c r="C644" s="828"/>
      <c r="D644" s="828"/>
      <c r="E644" s="828"/>
      <c r="F644" s="828"/>
      <c r="G644" s="828"/>
      <c r="H644" s="828"/>
      <c r="I644" s="828"/>
      <c r="J644" s="828"/>
      <c r="K644" s="828"/>
      <c r="L644" s="828"/>
      <c r="M644" s="828"/>
      <c r="N644" s="828"/>
      <c r="O644" s="828"/>
      <c r="P644" s="828"/>
      <c r="Q644" s="828"/>
      <c r="R644" s="828"/>
      <c r="S644" s="828"/>
      <c r="T644" s="828"/>
      <c r="U644" s="828"/>
      <c r="V644" s="828"/>
      <c r="W644" s="828"/>
      <c r="X644" s="828"/>
      <c r="Y644" s="828"/>
      <c r="Z644" s="828"/>
      <c r="AA644" s="828"/>
      <c r="AB644" s="828"/>
      <c r="AC644" s="828"/>
      <c r="AD644" s="828"/>
      <c r="AE644" s="828"/>
      <c r="AF644" s="828"/>
      <c r="AG644" s="828"/>
      <c r="AH644" s="828"/>
      <c r="AI644" s="828"/>
      <c r="AJ644" s="828"/>
    </row>
    <row r="645">
      <c r="A645" s="828"/>
      <c r="B645" s="828"/>
      <c r="C645" s="828"/>
      <c r="D645" s="828"/>
      <c r="E645" s="828"/>
      <c r="F645" s="828"/>
      <c r="G645" s="828"/>
      <c r="H645" s="828"/>
      <c r="I645" s="828"/>
      <c r="J645" s="828"/>
      <c r="K645" s="828"/>
      <c r="L645" s="828"/>
      <c r="M645" s="828"/>
      <c r="N645" s="828"/>
      <c r="O645" s="828"/>
      <c r="P645" s="828"/>
      <c r="Q645" s="828"/>
      <c r="R645" s="828"/>
      <c r="S645" s="828"/>
      <c r="T645" s="828"/>
      <c r="U645" s="828"/>
      <c r="V645" s="828"/>
      <c r="W645" s="828"/>
      <c r="X645" s="828"/>
      <c r="Y645" s="828"/>
      <c r="Z645" s="828"/>
      <c r="AA645" s="828"/>
      <c r="AB645" s="828"/>
      <c r="AC645" s="828"/>
      <c r="AD645" s="828"/>
      <c r="AE645" s="828"/>
      <c r="AF645" s="828"/>
      <c r="AG645" s="828"/>
      <c r="AH645" s="828"/>
      <c r="AI645" s="828"/>
      <c r="AJ645" s="828"/>
    </row>
    <row r="646">
      <c r="A646" s="828"/>
      <c r="B646" s="828"/>
      <c r="C646" s="828"/>
      <c r="D646" s="828"/>
      <c r="E646" s="828"/>
      <c r="F646" s="828"/>
      <c r="G646" s="828"/>
      <c r="H646" s="828"/>
      <c r="I646" s="828"/>
      <c r="J646" s="828"/>
      <c r="K646" s="828"/>
      <c r="L646" s="828"/>
      <c r="M646" s="828"/>
      <c r="N646" s="828"/>
      <c r="O646" s="828"/>
      <c r="P646" s="828"/>
      <c r="Q646" s="828"/>
      <c r="R646" s="828"/>
      <c r="S646" s="828"/>
      <c r="T646" s="828"/>
      <c r="U646" s="828"/>
      <c r="V646" s="828"/>
      <c r="W646" s="828"/>
      <c r="X646" s="828"/>
      <c r="Y646" s="828"/>
      <c r="Z646" s="828"/>
      <c r="AA646" s="828"/>
      <c r="AB646" s="828"/>
      <c r="AC646" s="828"/>
      <c r="AD646" s="828"/>
      <c r="AE646" s="828"/>
      <c r="AF646" s="828"/>
      <c r="AG646" s="828"/>
      <c r="AH646" s="828"/>
      <c r="AI646" s="828"/>
      <c r="AJ646" s="828"/>
    </row>
    <row r="647">
      <c r="A647" s="828"/>
      <c r="B647" s="828"/>
      <c r="C647" s="828"/>
      <c r="D647" s="828"/>
      <c r="E647" s="828"/>
      <c r="F647" s="828"/>
      <c r="G647" s="828"/>
      <c r="H647" s="828"/>
      <c r="I647" s="828"/>
      <c r="J647" s="828"/>
      <c r="K647" s="828"/>
      <c r="L647" s="828"/>
      <c r="M647" s="828"/>
      <c r="N647" s="828"/>
      <c r="O647" s="828"/>
      <c r="P647" s="828"/>
      <c r="Q647" s="828"/>
      <c r="R647" s="828"/>
      <c r="S647" s="828"/>
      <c r="T647" s="828"/>
      <c r="U647" s="828"/>
      <c r="V647" s="828"/>
      <c r="W647" s="828"/>
      <c r="X647" s="828"/>
      <c r="Y647" s="828"/>
      <c r="Z647" s="828"/>
      <c r="AA647" s="828"/>
      <c r="AB647" s="828"/>
      <c r="AC647" s="828"/>
      <c r="AD647" s="828"/>
      <c r="AE647" s="828"/>
      <c r="AF647" s="828"/>
      <c r="AG647" s="828"/>
      <c r="AH647" s="828"/>
      <c r="AI647" s="828"/>
      <c r="AJ647" s="828"/>
    </row>
    <row r="648">
      <c r="A648" s="828"/>
      <c r="B648" s="828"/>
      <c r="C648" s="828"/>
      <c r="D648" s="828"/>
      <c r="E648" s="828"/>
      <c r="F648" s="828"/>
      <c r="G648" s="828"/>
      <c r="H648" s="828"/>
      <c r="I648" s="828"/>
      <c r="J648" s="828"/>
      <c r="K648" s="828"/>
      <c r="L648" s="828"/>
      <c r="M648" s="828"/>
      <c r="N648" s="828"/>
      <c r="O648" s="828"/>
      <c r="P648" s="828"/>
      <c r="Q648" s="828"/>
      <c r="R648" s="828"/>
      <c r="S648" s="828"/>
      <c r="T648" s="828"/>
      <c r="U648" s="828"/>
      <c r="V648" s="828"/>
      <c r="W648" s="828"/>
      <c r="X648" s="828"/>
      <c r="Y648" s="828"/>
      <c r="Z648" s="828"/>
      <c r="AA648" s="828"/>
      <c r="AB648" s="828"/>
      <c r="AC648" s="828"/>
      <c r="AD648" s="828"/>
      <c r="AE648" s="828"/>
      <c r="AF648" s="828"/>
      <c r="AG648" s="828"/>
      <c r="AH648" s="828"/>
      <c r="AI648" s="828"/>
      <c r="AJ648" s="828"/>
    </row>
    <row r="649">
      <c r="A649" s="828"/>
      <c r="B649" s="828"/>
      <c r="C649" s="828"/>
      <c r="D649" s="828"/>
      <c r="E649" s="828"/>
      <c r="F649" s="828"/>
      <c r="G649" s="828"/>
      <c r="H649" s="828"/>
      <c r="I649" s="828"/>
      <c r="J649" s="828"/>
      <c r="K649" s="828"/>
      <c r="L649" s="828"/>
      <c r="M649" s="828"/>
      <c r="N649" s="828"/>
      <c r="O649" s="828"/>
      <c r="P649" s="828"/>
      <c r="Q649" s="828"/>
      <c r="R649" s="828"/>
      <c r="S649" s="828"/>
      <c r="T649" s="828"/>
      <c r="U649" s="828"/>
      <c r="V649" s="828"/>
      <c r="W649" s="828"/>
      <c r="X649" s="828"/>
      <c r="Y649" s="828"/>
      <c r="Z649" s="828"/>
      <c r="AA649" s="828"/>
      <c r="AB649" s="828"/>
      <c r="AC649" s="828"/>
      <c r="AD649" s="828"/>
      <c r="AE649" s="828"/>
      <c r="AF649" s="828"/>
      <c r="AG649" s="828"/>
      <c r="AH649" s="828"/>
      <c r="AI649" s="828"/>
      <c r="AJ649" s="828"/>
    </row>
    <row r="650">
      <c r="A650" s="828"/>
      <c r="B650" s="828"/>
      <c r="C650" s="828"/>
      <c r="D650" s="828"/>
      <c r="E650" s="828"/>
      <c r="F650" s="828"/>
      <c r="G650" s="828"/>
      <c r="H650" s="828"/>
      <c r="I650" s="828"/>
      <c r="J650" s="828"/>
      <c r="K650" s="828"/>
      <c r="L650" s="828"/>
      <c r="M650" s="828"/>
      <c r="N650" s="828"/>
      <c r="O650" s="828"/>
      <c r="P650" s="828"/>
      <c r="Q650" s="828"/>
      <c r="R650" s="828"/>
      <c r="S650" s="828"/>
      <c r="T650" s="828"/>
      <c r="U650" s="828"/>
      <c r="V650" s="828"/>
      <c r="W650" s="828"/>
      <c r="X650" s="828"/>
      <c r="Y650" s="828"/>
      <c r="Z650" s="828"/>
      <c r="AA650" s="828"/>
      <c r="AB650" s="828"/>
      <c r="AC650" s="828"/>
      <c r="AD650" s="828"/>
      <c r="AE650" s="828"/>
      <c r="AF650" s="828"/>
      <c r="AG650" s="828"/>
      <c r="AH650" s="828"/>
      <c r="AI650" s="828"/>
      <c r="AJ650" s="828"/>
    </row>
    <row r="651">
      <c r="A651" s="828"/>
      <c r="B651" s="828"/>
      <c r="C651" s="828"/>
      <c r="D651" s="828"/>
      <c r="E651" s="828"/>
      <c r="F651" s="828"/>
      <c r="G651" s="828"/>
      <c r="H651" s="828"/>
      <c r="I651" s="828"/>
      <c r="J651" s="828"/>
      <c r="K651" s="828"/>
      <c r="L651" s="828"/>
      <c r="M651" s="828"/>
      <c r="N651" s="828"/>
      <c r="O651" s="828"/>
      <c r="P651" s="828"/>
      <c r="Q651" s="828"/>
      <c r="R651" s="828"/>
      <c r="S651" s="828"/>
      <c r="T651" s="828"/>
      <c r="U651" s="828"/>
      <c r="V651" s="828"/>
      <c r="W651" s="828"/>
      <c r="X651" s="828"/>
      <c r="Y651" s="828"/>
      <c r="Z651" s="828"/>
      <c r="AA651" s="828"/>
      <c r="AB651" s="828"/>
      <c r="AC651" s="828"/>
      <c r="AD651" s="828"/>
      <c r="AE651" s="828"/>
      <c r="AF651" s="828"/>
      <c r="AG651" s="828"/>
      <c r="AH651" s="828"/>
      <c r="AI651" s="828"/>
      <c r="AJ651" s="828"/>
    </row>
    <row r="652">
      <c r="A652" s="828"/>
      <c r="B652" s="828"/>
      <c r="C652" s="828"/>
      <c r="D652" s="828"/>
      <c r="E652" s="828"/>
      <c r="F652" s="828"/>
      <c r="G652" s="828"/>
      <c r="H652" s="828"/>
      <c r="I652" s="828"/>
      <c r="J652" s="828"/>
      <c r="K652" s="828"/>
      <c r="L652" s="828"/>
      <c r="M652" s="828"/>
      <c r="N652" s="828"/>
      <c r="O652" s="828"/>
      <c r="P652" s="828"/>
      <c r="Q652" s="828"/>
      <c r="R652" s="828"/>
      <c r="S652" s="828"/>
      <c r="T652" s="828"/>
      <c r="U652" s="828"/>
      <c r="V652" s="828"/>
      <c r="W652" s="828"/>
      <c r="X652" s="828"/>
      <c r="Y652" s="828"/>
      <c r="Z652" s="828"/>
      <c r="AA652" s="828"/>
      <c r="AB652" s="828"/>
      <c r="AC652" s="828"/>
      <c r="AD652" s="828"/>
      <c r="AE652" s="828"/>
      <c r="AF652" s="828"/>
      <c r="AG652" s="828"/>
      <c r="AH652" s="828"/>
      <c r="AI652" s="828"/>
      <c r="AJ652" s="828"/>
    </row>
    <row r="653">
      <c r="A653" s="828"/>
      <c r="B653" s="828"/>
      <c r="C653" s="828"/>
      <c r="D653" s="828"/>
      <c r="E653" s="828"/>
      <c r="F653" s="828"/>
      <c r="G653" s="828"/>
      <c r="H653" s="828"/>
      <c r="I653" s="828"/>
      <c r="J653" s="828"/>
      <c r="K653" s="828"/>
      <c r="L653" s="828"/>
      <c r="M653" s="828"/>
      <c r="N653" s="828"/>
      <c r="O653" s="828"/>
      <c r="P653" s="828"/>
      <c r="Q653" s="828"/>
      <c r="R653" s="828"/>
      <c r="S653" s="828"/>
      <c r="T653" s="828"/>
      <c r="U653" s="828"/>
      <c r="V653" s="828"/>
      <c r="W653" s="828"/>
      <c r="X653" s="828"/>
      <c r="Y653" s="828"/>
      <c r="Z653" s="828"/>
      <c r="AA653" s="828"/>
      <c r="AB653" s="828"/>
      <c r="AC653" s="828"/>
      <c r="AD653" s="828"/>
      <c r="AE653" s="828"/>
      <c r="AF653" s="828"/>
      <c r="AG653" s="828"/>
      <c r="AH653" s="828"/>
      <c r="AI653" s="828"/>
      <c r="AJ653" s="828"/>
    </row>
    <row r="654">
      <c r="A654" s="828"/>
      <c r="B654" s="828"/>
      <c r="C654" s="828"/>
      <c r="D654" s="828"/>
      <c r="E654" s="828"/>
      <c r="F654" s="828"/>
      <c r="G654" s="828"/>
      <c r="H654" s="828"/>
      <c r="I654" s="828"/>
      <c r="J654" s="828"/>
      <c r="K654" s="828"/>
      <c r="L654" s="828"/>
      <c r="M654" s="828"/>
      <c r="N654" s="828"/>
      <c r="O654" s="828"/>
      <c r="P654" s="828"/>
      <c r="Q654" s="828"/>
      <c r="R654" s="828"/>
      <c r="S654" s="828"/>
      <c r="T654" s="828"/>
      <c r="U654" s="828"/>
      <c r="V654" s="828"/>
      <c r="W654" s="828"/>
      <c r="X654" s="828"/>
      <c r="Y654" s="828"/>
      <c r="Z654" s="828"/>
      <c r="AA654" s="828"/>
      <c r="AB654" s="828"/>
      <c r="AC654" s="828"/>
      <c r="AD654" s="828"/>
      <c r="AE654" s="828"/>
      <c r="AF654" s="828"/>
      <c r="AG654" s="828"/>
      <c r="AH654" s="828"/>
      <c r="AI654" s="828"/>
      <c r="AJ654" s="828"/>
    </row>
    <row r="655">
      <c r="A655" s="828"/>
      <c r="B655" s="828"/>
      <c r="C655" s="828"/>
      <c r="D655" s="828"/>
      <c r="E655" s="828"/>
      <c r="F655" s="828"/>
      <c r="G655" s="828"/>
      <c r="H655" s="828"/>
      <c r="I655" s="828"/>
      <c r="J655" s="828"/>
      <c r="K655" s="828"/>
      <c r="L655" s="828"/>
      <c r="M655" s="828"/>
      <c r="N655" s="828"/>
      <c r="O655" s="828"/>
      <c r="P655" s="828"/>
      <c r="Q655" s="828"/>
      <c r="R655" s="828"/>
      <c r="S655" s="828"/>
      <c r="T655" s="828"/>
      <c r="U655" s="828"/>
      <c r="V655" s="828"/>
      <c r="W655" s="828"/>
      <c r="X655" s="828"/>
      <c r="Y655" s="828"/>
      <c r="Z655" s="828"/>
      <c r="AA655" s="828"/>
      <c r="AB655" s="828"/>
      <c r="AC655" s="828"/>
      <c r="AD655" s="828"/>
      <c r="AE655" s="828"/>
      <c r="AF655" s="828"/>
      <c r="AG655" s="828"/>
      <c r="AH655" s="828"/>
      <c r="AI655" s="828"/>
      <c r="AJ655" s="828"/>
    </row>
    <row r="656">
      <c r="A656" s="828"/>
      <c r="B656" s="828"/>
      <c r="C656" s="828"/>
      <c r="D656" s="828"/>
      <c r="E656" s="828"/>
      <c r="F656" s="828"/>
      <c r="G656" s="828"/>
      <c r="H656" s="828"/>
      <c r="I656" s="828"/>
      <c r="J656" s="828"/>
      <c r="K656" s="828"/>
      <c r="L656" s="828"/>
      <c r="M656" s="828"/>
      <c r="N656" s="828"/>
      <c r="O656" s="828"/>
      <c r="P656" s="828"/>
      <c r="Q656" s="828"/>
      <c r="R656" s="828"/>
      <c r="S656" s="828"/>
      <c r="T656" s="828"/>
      <c r="U656" s="828"/>
      <c r="V656" s="828"/>
      <c r="W656" s="828"/>
      <c r="X656" s="828"/>
      <c r="Y656" s="828"/>
      <c r="Z656" s="828"/>
      <c r="AA656" s="828"/>
      <c r="AB656" s="828"/>
      <c r="AC656" s="828"/>
      <c r="AD656" s="828"/>
      <c r="AE656" s="828"/>
      <c r="AF656" s="828"/>
      <c r="AG656" s="828"/>
      <c r="AH656" s="828"/>
      <c r="AI656" s="828"/>
      <c r="AJ656" s="828"/>
    </row>
    <row r="657">
      <c r="A657" s="828"/>
      <c r="B657" s="828"/>
      <c r="C657" s="828"/>
      <c r="D657" s="828"/>
      <c r="E657" s="828"/>
      <c r="F657" s="828"/>
      <c r="G657" s="828"/>
      <c r="H657" s="828"/>
      <c r="I657" s="828"/>
      <c r="J657" s="828"/>
      <c r="K657" s="828"/>
      <c r="L657" s="828"/>
      <c r="M657" s="828"/>
      <c r="N657" s="828"/>
      <c r="O657" s="828"/>
      <c r="P657" s="828"/>
      <c r="Q657" s="828"/>
      <c r="R657" s="828"/>
      <c r="S657" s="828"/>
      <c r="T657" s="828"/>
      <c r="U657" s="828"/>
      <c r="V657" s="828"/>
      <c r="W657" s="828"/>
      <c r="X657" s="828"/>
      <c r="Y657" s="828"/>
      <c r="Z657" s="828"/>
      <c r="AA657" s="828"/>
      <c r="AB657" s="828"/>
      <c r="AC657" s="828"/>
      <c r="AD657" s="828"/>
      <c r="AE657" s="828"/>
      <c r="AF657" s="828"/>
      <c r="AG657" s="828"/>
      <c r="AH657" s="828"/>
      <c r="AI657" s="828"/>
      <c r="AJ657" s="828"/>
    </row>
    <row r="658">
      <c r="A658" s="828"/>
      <c r="B658" s="828"/>
      <c r="C658" s="828"/>
      <c r="D658" s="828"/>
      <c r="E658" s="828"/>
      <c r="F658" s="828"/>
      <c r="G658" s="828"/>
      <c r="H658" s="828"/>
      <c r="I658" s="828"/>
      <c r="J658" s="828"/>
      <c r="K658" s="828"/>
      <c r="L658" s="828"/>
      <c r="M658" s="828"/>
      <c r="N658" s="828"/>
      <c r="O658" s="828"/>
      <c r="P658" s="828"/>
      <c r="Q658" s="828"/>
      <c r="R658" s="828"/>
      <c r="S658" s="828"/>
      <c r="T658" s="828"/>
      <c r="U658" s="828"/>
      <c r="V658" s="828"/>
      <c r="W658" s="828"/>
      <c r="X658" s="828"/>
      <c r="Y658" s="828"/>
      <c r="Z658" s="828"/>
      <c r="AA658" s="828"/>
      <c r="AB658" s="828"/>
      <c r="AC658" s="828"/>
      <c r="AD658" s="828"/>
      <c r="AE658" s="828"/>
      <c r="AF658" s="828"/>
      <c r="AG658" s="828"/>
      <c r="AH658" s="828"/>
      <c r="AI658" s="828"/>
      <c r="AJ658" s="828"/>
    </row>
    <row r="659">
      <c r="A659" s="828"/>
      <c r="B659" s="828"/>
      <c r="C659" s="828"/>
      <c r="D659" s="828"/>
      <c r="E659" s="828"/>
      <c r="F659" s="828"/>
      <c r="G659" s="828"/>
      <c r="H659" s="828"/>
      <c r="I659" s="828"/>
      <c r="J659" s="828"/>
      <c r="K659" s="828"/>
      <c r="L659" s="828"/>
      <c r="M659" s="828"/>
      <c r="N659" s="828"/>
      <c r="O659" s="828"/>
      <c r="P659" s="828"/>
      <c r="Q659" s="828"/>
      <c r="R659" s="828"/>
      <c r="S659" s="828"/>
      <c r="T659" s="828"/>
      <c r="U659" s="828"/>
      <c r="V659" s="828"/>
      <c r="W659" s="828"/>
      <c r="X659" s="828"/>
      <c r="Y659" s="828"/>
      <c r="Z659" s="828"/>
      <c r="AA659" s="828"/>
      <c r="AB659" s="828"/>
      <c r="AC659" s="828"/>
      <c r="AD659" s="828"/>
      <c r="AE659" s="828"/>
      <c r="AF659" s="828"/>
      <c r="AG659" s="828"/>
      <c r="AH659" s="828"/>
      <c r="AI659" s="828"/>
      <c r="AJ659" s="828"/>
    </row>
    <row r="660">
      <c r="A660" s="828"/>
      <c r="B660" s="828"/>
      <c r="C660" s="828"/>
      <c r="D660" s="828"/>
      <c r="E660" s="828"/>
      <c r="F660" s="828"/>
      <c r="G660" s="828"/>
      <c r="H660" s="828"/>
      <c r="I660" s="828"/>
      <c r="J660" s="828"/>
      <c r="K660" s="828"/>
      <c r="L660" s="828"/>
      <c r="M660" s="828"/>
      <c r="N660" s="828"/>
      <c r="O660" s="828"/>
      <c r="P660" s="828"/>
      <c r="Q660" s="828"/>
      <c r="R660" s="828"/>
      <c r="S660" s="828"/>
      <c r="T660" s="828"/>
      <c r="U660" s="828"/>
      <c r="V660" s="828"/>
      <c r="W660" s="828"/>
      <c r="X660" s="828"/>
      <c r="Y660" s="828"/>
      <c r="Z660" s="828"/>
      <c r="AA660" s="828"/>
      <c r="AB660" s="828"/>
      <c r="AC660" s="828"/>
      <c r="AD660" s="828"/>
      <c r="AE660" s="828"/>
      <c r="AF660" s="828"/>
      <c r="AG660" s="828"/>
      <c r="AH660" s="828"/>
      <c r="AI660" s="828"/>
      <c r="AJ660" s="828"/>
    </row>
    <row r="661">
      <c r="A661" s="828"/>
      <c r="B661" s="828"/>
      <c r="C661" s="828"/>
      <c r="D661" s="828"/>
      <c r="E661" s="828"/>
      <c r="F661" s="828"/>
      <c r="G661" s="828"/>
      <c r="H661" s="828"/>
      <c r="I661" s="828"/>
      <c r="J661" s="828"/>
      <c r="K661" s="828"/>
      <c r="L661" s="828"/>
      <c r="M661" s="828"/>
      <c r="N661" s="828"/>
      <c r="O661" s="828"/>
      <c r="P661" s="828"/>
      <c r="Q661" s="828"/>
      <c r="R661" s="828"/>
      <c r="S661" s="828"/>
      <c r="T661" s="828"/>
      <c r="U661" s="828"/>
      <c r="V661" s="828"/>
      <c r="W661" s="828"/>
      <c r="X661" s="828"/>
      <c r="Y661" s="828"/>
      <c r="Z661" s="828"/>
      <c r="AA661" s="828"/>
      <c r="AB661" s="828"/>
      <c r="AC661" s="828"/>
      <c r="AD661" s="828"/>
      <c r="AE661" s="828"/>
      <c r="AF661" s="828"/>
      <c r="AG661" s="828"/>
      <c r="AH661" s="828"/>
      <c r="AI661" s="828"/>
      <c r="AJ661" s="828"/>
    </row>
    <row r="662">
      <c r="A662" s="828"/>
      <c r="B662" s="828"/>
      <c r="C662" s="828"/>
      <c r="D662" s="828"/>
      <c r="E662" s="828"/>
      <c r="F662" s="828"/>
      <c r="G662" s="828"/>
      <c r="H662" s="828"/>
      <c r="I662" s="828"/>
      <c r="J662" s="828"/>
      <c r="K662" s="828"/>
      <c r="L662" s="828"/>
      <c r="M662" s="828"/>
      <c r="N662" s="828"/>
      <c r="O662" s="828"/>
      <c r="P662" s="828"/>
      <c r="Q662" s="828"/>
      <c r="R662" s="828"/>
      <c r="S662" s="828"/>
      <c r="T662" s="828"/>
      <c r="U662" s="828"/>
      <c r="V662" s="828"/>
      <c r="W662" s="828"/>
      <c r="X662" s="828"/>
      <c r="Y662" s="828"/>
      <c r="Z662" s="828"/>
      <c r="AA662" s="828"/>
      <c r="AB662" s="828"/>
      <c r="AC662" s="828"/>
      <c r="AD662" s="828"/>
      <c r="AE662" s="828"/>
      <c r="AF662" s="828"/>
      <c r="AG662" s="828"/>
      <c r="AH662" s="828"/>
      <c r="AI662" s="828"/>
      <c r="AJ662" s="828"/>
    </row>
    <row r="663">
      <c r="A663" s="828"/>
      <c r="B663" s="828"/>
      <c r="C663" s="828"/>
      <c r="D663" s="828"/>
      <c r="E663" s="828"/>
      <c r="F663" s="828"/>
      <c r="G663" s="828"/>
      <c r="H663" s="828"/>
      <c r="I663" s="828"/>
      <c r="J663" s="828"/>
      <c r="K663" s="828"/>
      <c r="L663" s="828"/>
      <c r="M663" s="828"/>
      <c r="N663" s="828"/>
      <c r="O663" s="828"/>
      <c r="P663" s="828"/>
      <c r="Q663" s="828"/>
      <c r="R663" s="828"/>
      <c r="S663" s="828"/>
      <c r="T663" s="828"/>
      <c r="U663" s="828"/>
      <c r="V663" s="828"/>
      <c r="W663" s="828"/>
      <c r="X663" s="828"/>
      <c r="Y663" s="828"/>
      <c r="Z663" s="828"/>
      <c r="AA663" s="828"/>
      <c r="AB663" s="828"/>
      <c r="AC663" s="828"/>
      <c r="AD663" s="828"/>
      <c r="AE663" s="828"/>
      <c r="AF663" s="828"/>
      <c r="AG663" s="828"/>
      <c r="AH663" s="828"/>
      <c r="AI663" s="828"/>
      <c r="AJ663" s="828"/>
    </row>
    <row r="664">
      <c r="A664" s="828"/>
      <c r="B664" s="828"/>
      <c r="C664" s="828"/>
      <c r="D664" s="828"/>
      <c r="E664" s="828"/>
      <c r="F664" s="828"/>
      <c r="G664" s="828"/>
      <c r="H664" s="828"/>
      <c r="I664" s="828"/>
      <c r="J664" s="828"/>
      <c r="K664" s="828"/>
      <c r="L664" s="828"/>
      <c r="M664" s="828"/>
      <c r="N664" s="828"/>
      <c r="O664" s="828"/>
      <c r="P664" s="828"/>
      <c r="Q664" s="828"/>
      <c r="R664" s="828"/>
      <c r="S664" s="828"/>
      <c r="T664" s="828"/>
      <c r="U664" s="828"/>
      <c r="V664" s="828"/>
      <c r="W664" s="828"/>
      <c r="X664" s="828"/>
      <c r="Y664" s="828"/>
      <c r="Z664" s="828"/>
      <c r="AA664" s="828"/>
      <c r="AB664" s="828"/>
      <c r="AC664" s="828"/>
      <c r="AD664" s="828"/>
      <c r="AE664" s="828"/>
      <c r="AF664" s="828"/>
      <c r="AG664" s="828"/>
      <c r="AH664" s="828"/>
      <c r="AI664" s="828"/>
      <c r="AJ664" s="828"/>
    </row>
    <row r="665">
      <c r="A665" s="828"/>
      <c r="B665" s="828"/>
      <c r="C665" s="828"/>
      <c r="D665" s="828"/>
      <c r="E665" s="828"/>
      <c r="F665" s="828"/>
      <c r="G665" s="828"/>
      <c r="H665" s="828"/>
      <c r="I665" s="828"/>
      <c r="J665" s="828"/>
      <c r="K665" s="828"/>
      <c r="L665" s="828"/>
      <c r="M665" s="828"/>
      <c r="N665" s="828"/>
      <c r="O665" s="828"/>
      <c r="P665" s="828"/>
      <c r="Q665" s="828"/>
      <c r="R665" s="828"/>
      <c r="S665" s="828"/>
      <c r="T665" s="828"/>
      <c r="U665" s="828"/>
      <c r="V665" s="828"/>
      <c r="W665" s="828"/>
      <c r="X665" s="828"/>
      <c r="Y665" s="828"/>
      <c r="Z665" s="828"/>
      <c r="AA665" s="828"/>
      <c r="AB665" s="828"/>
      <c r="AC665" s="828"/>
      <c r="AD665" s="828"/>
      <c r="AE665" s="828"/>
      <c r="AF665" s="828"/>
      <c r="AG665" s="828"/>
      <c r="AH665" s="828"/>
      <c r="AI665" s="828"/>
      <c r="AJ665" s="828"/>
    </row>
    <row r="666">
      <c r="A666" s="828"/>
      <c r="B666" s="828"/>
      <c r="C666" s="828"/>
      <c r="D666" s="828"/>
      <c r="E666" s="828"/>
      <c r="F666" s="828"/>
      <c r="G666" s="828"/>
      <c r="H666" s="828"/>
      <c r="I666" s="828"/>
      <c r="J666" s="828"/>
      <c r="K666" s="828"/>
      <c r="L666" s="828"/>
      <c r="M666" s="828"/>
      <c r="N666" s="828"/>
      <c r="O666" s="828"/>
      <c r="P666" s="828"/>
      <c r="Q666" s="828"/>
      <c r="R666" s="828"/>
      <c r="S666" s="828"/>
      <c r="T666" s="828"/>
      <c r="U666" s="828"/>
      <c r="V666" s="828"/>
      <c r="W666" s="828"/>
      <c r="X666" s="828"/>
      <c r="Y666" s="828"/>
      <c r="Z666" s="828"/>
      <c r="AA666" s="828"/>
      <c r="AB666" s="828"/>
      <c r="AC666" s="828"/>
      <c r="AD666" s="828"/>
      <c r="AE666" s="828"/>
      <c r="AF666" s="828"/>
      <c r="AG666" s="828"/>
      <c r="AH666" s="828"/>
      <c r="AI666" s="828"/>
      <c r="AJ666" s="828"/>
    </row>
    <row r="667">
      <c r="A667" s="828"/>
      <c r="B667" s="828"/>
      <c r="C667" s="828"/>
      <c r="D667" s="828"/>
      <c r="E667" s="828"/>
      <c r="F667" s="828"/>
      <c r="G667" s="828"/>
      <c r="H667" s="828"/>
      <c r="I667" s="828"/>
      <c r="J667" s="828"/>
      <c r="K667" s="828"/>
      <c r="L667" s="828"/>
      <c r="M667" s="828"/>
      <c r="N667" s="828"/>
      <c r="O667" s="828"/>
      <c r="P667" s="828"/>
      <c r="Q667" s="828"/>
      <c r="R667" s="828"/>
      <c r="S667" s="828"/>
      <c r="T667" s="828"/>
      <c r="U667" s="828"/>
      <c r="V667" s="828"/>
      <c r="W667" s="828"/>
      <c r="X667" s="828"/>
      <c r="Y667" s="828"/>
      <c r="Z667" s="828"/>
      <c r="AA667" s="828"/>
      <c r="AB667" s="828"/>
      <c r="AC667" s="828"/>
      <c r="AD667" s="828"/>
      <c r="AE667" s="828"/>
      <c r="AF667" s="828"/>
      <c r="AG667" s="828"/>
      <c r="AH667" s="828"/>
      <c r="AI667" s="828"/>
      <c r="AJ667" s="828"/>
    </row>
    <row r="668">
      <c r="A668" s="828"/>
      <c r="B668" s="828"/>
      <c r="C668" s="828"/>
      <c r="D668" s="828"/>
      <c r="E668" s="828"/>
      <c r="F668" s="828"/>
      <c r="G668" s="828"/>
      <c r="H668" s="828"/>
      <c r="I668" s="828"/>
      <c r="J668" s="828"/>
      <c r="K668" s="828"/>
      <c r="L668" s="828"/>
      <c r="M668" s="828"/>
      <c r="N668" s="828"/>
      <c r="O668" s="828"/>
      <c r="P668" s="828"/>
      <c r="Q668" s="828"/>
      <c r="R668" s="828"/>
      <c r="S668" s="828"/>
      <c r="T668" s="828"/>
      <c r="U668" s="828"/>
      <c r="V668" s="828"/>
      <c r="W668" s="828"/>
      <c r="X668" s="828"/>
      <c r="Y668" s="828"/>
      <c r="Z668" s="828"/>
      <c r="AA668" s="828"/>
      <c r="AB668" s="828"/>
      <c r="AC668" s="828"/>
      <c r="AD668" s="828"/>
      <c r="AE668" s="828"/>
      <c r="AF668" s="828"/>
      <c r="AG668" s="828"/>
      <c r="AH668" s="828"/>
      <c r="AI668" s="828"/>
      <c r="AJ668" s="828"/>
    </row>
    <row r="669">
      <c r="A669" s="828"/>
      <c r="B669" s="828"/>
      <c r="C669" s="828"/>
      <c r="D669" s="828"/>
      <c r="E669" s="828"/>
      <c r="F669" s="828"/>
      <c r="G669" s="828"/>
      <c r="H669" s="828"/>
      <c r="I669" s="828"/>
      <c r="J669" s="828"/>
      <c r="K669" s="828"/>
      <c r="L669" s="828"/>
      <c r="M669" s="828"/>
      <c r="N669" s="828"/>
      <c r="O669" s="828"/>
      <c r="P669" s="828"/>
      <c r="Q669" s="828"/>
      <c r="R669" s="828"/>
      <c r="S669" s="828"/>
      <c r="T669" s="828"/>
      <c r="U669" s="828"/>
      <c r="V669" s="828"/>
      <c r="W669" s="828"/>
      <c r="X669" s="828"/>
      <c r="Y669" s="828"/>
      <c r="Z669" s="828"/>
      <c r="AA669" s="828"/>
      <c r="AB669" s="828"/>
      <c r="AC669" s="828"/>
      <c r="AD669" s="828"/>
      <c r="AE669" s="828"/>
      <c r="AF669" s="828"/>
      <c r="AG669" s="828"/>
      <c r="AH669" s="828"/>
      <c r="AI669" s="828"/>
      <c r="AJ669" s="828"/>
    </row>
    <row r="670">
      <c r="A670" s="828"/>
      <c r="B670" s="828"/>
      <c r="C670" s="828"/>
      <c r="D670" s="828"/>
      <c r="E670" s="828"/>
      <c r="F670" s="828"/>
      <c r="G670" s="828"/>
      <c r="H670" s="828"/>
      <c r="I670" s="828"/>
      <c r="J670" s="828"/>
      <c r="K670" s="828"/>
      <c r="L670" s="828"/>
      <c r="M670" s="828"/>
      <c r="N670" s="828"/>
      <c r="O670" s="828"/>
      <c r="P670" s="828"/>
      <c r="Q670" s="828"/>
      <c r="R670" s="828"/>
      <c r="S670" s="828"/>
      <c r="T670" s="828"/>
      <c r="U670" s="828"/>
      <c r="V670" s="828"/>
      <c r="W670" s="828"/>
      <c r="X670" s="828"/>
      <c r="Y670" s="828"/>
      <c r="Z670" s="828"/>
      <c r="AA670" s="828"/>
      <c r="AB670" s="828"/>
      <c r="AC670" s="828"/>
      <c r="AD670" s="828"/>
      <c r="AE670" s="828"/>
      <c r="AF670" s="828"/>
      <c r="AG670" s="828"/>
      <c r="AH670" s="828"/>
      <c r="AI670" s="828"/>
      <c r="AJ670" s="828"/>
    </row>
    <row r="671">
      <c r="A671" s="828"/>
      <c r="B671" s="828"/>
      <c r="C671" s="828"/>
      <c r="D671" s="828"/>
      <c r="E671" s="828"/>
      <c r="F671" s="828"/>
      <c r="G671" s="828"/>
      <c r="H671" s="828"/>
      <c r="I671" s="828"/>
      <c r="J671" s="828"/>
      <c r="K671" s="828"/>
      <c r="L671" s="828"/>
      <c r="M671" s="828"/>
      <c r="N671" s="828"/>
      <c r="O671" s="828"/>
      <c r="P671" s="828"/>
      <c r="Q671" s="828"/>
      <c r="R671" s="828"/>
      <c r="S671" s="828"/>
      <c r="T671" s="828"/>
      <c r="U671" s="828"/>
      <c r="V671" s="828"/>
      <c r="W671" s="828"/>
      <c r="X671" s="828"/>
      <c r="Y671" s="828"/>
      <c r="Z671" s="828"/>
      <c r="AA671" s="828"/>
      <c r="AB671" s="828"/>
      <c r="AC671" s="828"/>
      <c r="AD671" s="828"/>
      <c r="AE671" s="828"/>
      <c r="AF671" s="828"/>
      <c r="AG671" s="828"/>
      <c r="AH671" s="828"/>
      <c r="AI671" s="828"/>
      <c r="AJ671" s="828"/>
    </row>
    <row r="672">
      <c r="A672" s="828"/>
      <c r="B672" s="828"/>
      <c r="C672" s="828"/>
      <c r="D672" s="828"/>
      <c r="E672" s="828"/>
      <c r="F672" s="828"/>
      <c r="G672" s="828"/>
      <c r="H672" s="828"/>
      <c r="I672" s="828"/>
      <c r="J672" s="828"/>
      <c r="K672" s="828"/>
      <c r="L672" s="828"/>
      <c r="M672" s="828"/>
      <c r="N672" s="828"/>
      <c r="O672" s="828"/>
      <c r="P672" s="828"/>
      <c r="Q672" s="828"/>
      <c r="R672" s="828"/>
      <c r="S672" s="828"/>
      <c r="T672" s="828"/>
      <c r="U672" s="828"/>
      <c r="V672" s="828"/>
      <c r="W672" s="828"/>
      <c r="X672" s="828"/>
      <c r="Y672" s="828"/>
      <c r="Z672" s="828"/>
      <c r="AA672" s="828"/>
      <c r="AB672" s="828"/>
      <c r="AC672" s="828"/>
      <c r="AD672" s="828"/>
      <c r="AE672" s="828"/>
      <c r="AF672" s="828"/>
      <c r="AG672" s="828"/>
      <c r="AH672" s="828"/>
      <c r="AI672" s="828"/>
      <c r="AJ672" s="828"/>
    </row>
    <row r="673">
      <c r="A673" s="828"/>
      <c r="B673" s="828"/>
      <c r="C673" s="828"/>
      <c r="D673" s="828"/>
      <c r="E673" s="828"/>
      <c r="F673" s="828"/>
      <c r="G673" s="828"/>
      <c r="H673" s="828"/>
      <c r="I673" s="828"/>
      <c r="J673" s="828"/>
      <c r="K673" s="828"/>
      <c r="L673" s="828"/>
      <c r="M673" s="828"/>
      <c r="N673" s="828"/>
      <c r="O673" s="828"/>
      <c r="P673" s="828"/>
      <c r="Q673" s="828"/>
      <c r="R673" s="828"/>
      <c r="S673" s="828"/>
      <c r="T673" s="828"/>
      <c r="U673" s="828"/>
      <c r="V673" s="828"/>
      <c r="W673" s="828"/>
      <c r="X673" s="828"/>
      <c r="Y673" s="828"/>
      <c r="Z673" s="828"/>
      <c r="AA673" s="828"/>
      <c r="AB673" s="828"/>
      <c r="AC673" s="828"/>
      <c r="AD673" s="828"/>
      <c r="AE673" s="828"/>
      <c r="AF673" s="828"/>
      <c r="AG673" s="828"/>
      <c r="AH673" s="828"/>
      <c r="AI673" s="828"/>
      <c r="AJ673" s="828"/>
    </row>
    <row r="674">
      <c r="A674" s="828"/>
      <c r="B674" s="828"/>
      <c r="C674" s="828"/>
      <c r="D674" s="828"/>
      <c r="E674" s="828"/>
      <c r="F674" s="828"/>
      <c r="G674" s="828"/>
      <c r="H674" s="828"/>
      <c r="I674" s="828"/>
      <c r="J674" s="828"/>
      <c r="K674" s="828"/>
      <c r="L674" s="828"/>
      <c r="M674" s="828"/>
      <c r="N674" s="828"/>
      <c r="O674" s="828"/>
      <c r="P674" s="828"/>
      <c r="Q674" s="828"/>
      <c r="R674" s="828"/>
      <c r="S674" s="828"/>
      <c r="T674" s="828"/>
      <c r="U674" s="828"/>
      <c r="V674" s="828"/>
      <c r="W674" s="828"/>
      <c r="X674" s="828"/>
      <c r="Y674" s="828"/>
      <c r="Z674" s="828"/>
      <c r="AA674" s="828"/>
      <c r="AB674" s="828"/>
      <c r="AC674" s="828"/>
      <c r="AD674" s="828"/>
      <c r="AE674" s="828"/>
      <c r="AF674" s="828"/>
      <c r="AG674" s="828"/>
      <c r="AH674" s="828"/>
      <c r="AI674" s="828"/>
      <c r="AJ674" s="828"/>
    </row>
    <row r="675">
      <c r="A675" s="828"/>
      <c r="B675" s="828"/>
      <c r="C675" s="828"/>
      <c r="D675" s="828"/>
      <c r="E675" s="828"/>
      <c r="F675" s="828"/>
      <c r="G675" s="828"/>
      <c r="H675" s="828"/>
      <c r="I675" s="828"/>
      <c r="J675" s="828"/>
      <c r="K675" s="828"/>
      <c r="L675" s="828"/>
      <c r="M675" s="828"/>
      <c r="N675" s="828"/>
      <c r="O675" s="828"/>
      <c r="P675" s="828"/>
      <c r="Q675" s="828"/>
      <c r="R675" s="828"/>
      <c r="S675" s="828"/>
      <c r="T675" s="828"/>
      <c r="U675" s="828"/>
      <c r="V675" s="828"/>
      <c r="W675" s="828"/>
      <c r="X675" s="828"/>
      <c r="Y675" s="828"/>
      <c r="Z675" s="828"/>
      <c r="AA675" s="828"/>
      <c r="AB675" s="828"/>
      <c r="AC675" s="828"/>
      <c r="AD675" s="828"/>
      <c r="AE675" s="828"/>
      <c r="AF675" s="828"/>
      <c r="AG675" s="828"/>
      <c r="AH675" s="828"/>
      <c r="AI675" s="828"/>
      <c r="AJ675" s="828"/>
    </row>
    <row r="676">
      <c r="A676" s="828"/>
      <c r="B676" s="828"/>
      <c r="C676" s="828"/>
      <c r="D676" s="828"/>
      <c r="E676" s="828"/>
      <c r="F676" s="828"/>
      <c r="G676" s="828"/>
      <c r="H676" s="828"/>
      <c r="I676" s="828"/>
      <c r="J676" s="828"/>
      <c r="K676" s="828"/>
      <c r="L676" s="828"/>
      <c r="M676" s="828"/>
      <c r="N676" s="828"/>
      <c r="O676" s="828"/>
      <c r="P676" s="828"/>
      <c r="Q676" s="828"/>
      <c r="R676" s="828"/>
      <c r="S676" s="828"/>
      <c r="T676" s="828"/>
      <c r="U676" s="828"/>
      <c r="V676" s="828"/>
      <c r="W676" s="828"/>
      <c r="X676" s="828"/>
      <c r="Y676" s="828"/>
      <c r="Z676" s="828"/>
      <c r="AA676" s="828"/>
      <c r="AB676" s="828"/>
      <c r="AC676" s="828"/>
      <c r="AD676" s="828"/>
      <c r="AE676" s="828"/>
      <c r="AF676" s="828"/>
      <c r="AG676" s="828"/>
      <c r="AH676" s="828"/>
      <c r="AI676" s="828"/>
      <c r="AJ676" s="828"/>
    </row>
    <row r="677">
      <c r="A677" s="828"/>
      <c r="B677" s="828"/>
      <c r="C677" s="828"/>
      <c r="D677" s="828"/>
      <c r="E677" s="828"/>
      <c r="F677" s="828"/>
      <c r="G677" s="828"/>
      <c r="H677" s="828"/>
      <c r="I677" s="828"/>
      <c r="J677" s="828"/>
      <c r="K677" s="828"/>
      <c r="L677" s="828"/>
      <c r="M677" s="828"/>
      <c r="N677" s="828"/>
      <c r="O677" s="828"/>
      <c r="P677" s="828"/>
      <c r="Q677" s="828"/>
      <c r="R677" s="828"/>
      <c r="S677" s="828"/>
      <c r="T677" s="828"/>
      <c r="U677" s="828"/>
      <c r="V677" s="828"/>
      <c r="W677" s="828"/>
      <c r="X677" s="828"/>
      <c r="Y677" s="828"/>
      <c r="Z677" s="828"/>
      <c r="AA677" s="828"/>
      <c r="AB677" s="828"/>
      <c r="AC677" s="828"/>
      <c r="AD677" s="828"/>
      <c r="AE677" s="828"/>
      <c r="AF677" s="828"/>
      <c r="AG677" s="828"/>
      <c r="AH677" s="828"/>
      <c r="AI677" s="828"/>
      <c r="AJ677" s="828"/>
    </row>
    <row r="678">
      <c r="A678" s="828"/>
      <c r="B678" s="828"/>
      <c r="C678" s="828"/>
      <c r="D678" s="828"/>
      <c r="E678" s="828"/>
      <c r="F678" s="828"/>
      <c r="G678" s="828"/>
      <c r="H678" s="828"/>
      <c r="I678" s="828"/>
      <c r="J678" s="828"/>
      <c r="K678" s="828"/>
      <c r="L678" s="828"/>
      <c r="M678" s="828"/>
      <c r="N678" s="828"/>
      <c r="O678" s="828"/>
      <c r="P678" s="828"/>
      <c r="Q678" s="828"/>
      <c r="R678" s="828"/>
      <c r="S678" s="828"/>
      <c r="T678" s="828"/>
      <c r="U678" s="828"/>
      <c r="V678" s="828"/>
      <c r="W678" s="828"/>
      <c r="X678" s="828"/>
      <c r="Y678" s="828"/>
      <c r="Z678" s="828"/>
      <c r="AA678" s="828"/>
      <c r="AB678" s="828"/>
      <c r="AC678" s="828"/>
      <c r="AD678" s="828"/>
      <c r="AE678" s="828"/>
      <c r="AF678" s="828"/>
      <c r="AG678" s="828"/>
      <c r="AH678" s="828"/>
      <c r="AI678" s="828"/>
      <c r="AJ678" s="828"/>
    </row>
    <row r="679">
      <c r="A679" s="828"/>
      <c r="B679" s="828"/>
      <c r="C679" s="828"/>
      <c r="D679" s="828"/>
      <c r="E679" s="828"/>
      <c r="F679" s="828"/>
      <c r="G679" s="828"/>
      <c r="H679" s="828"/>
      <c r="I679" s="828"/>
      <c r="J679" s="828"/>
      <c r="K679" s="828"/>
      <c r="L679" s="828"/>
      <c r="M679" s="828"/>
      <c r="N679" s="828"/>
      <c r="O679" s="828"/>
      <c r="P679" s="828"/>
      <c r="Q679" s="828"/>
      <c r="R679" s="828"/>
      <c r="S679" s="828"/>
      <c r="T679" s="828"/>
      <c r="U679" s="828"/>
      <c r="V679" s="828"/>
      <c r="W679" s="828"/>
      <c r="X679" s="828"/>
      <c r="Y679" s="828"/>
      <c r="Z679" s="828"/>
      <c r="AA679" s="828"/>
      <c r="AB679" s="828"/>
      <c r="AC679" s="828"/>
      <c r="AD679" s="828"/>
      <c r="AE679" s="828"/>
      <c r="AF679" s="828"/>
      <c r="AG679" s="828"/>
      <c r="AH679" s="828"/>
      <c r="AI679" s="828"/>
      <c r="AJ679" s="828"/>
    </row>
    <row r="680">
      <c r="A680" s="828"/>
      <c r="B680" s="828"/>
      <c r="C680" s="828"/>
      <c r="D680" s="828"/>
      <c r="E680" s="828"/>
      <c r="F680" s="828"/>
      <c r="G680" s="828"/>
      <c r="H680" s="828"/>
      <c r="I680" s="828"/>
      <c r="J680" s="828"/>
      <c r="K680" s="828"/>
      <c r="L680" s="828"/>
      <c r="M680" s="828"/>
      <c r="N680" s="828"/>
      <c r="O680" s="828"/>
      <c r="P680" s="828"/>
      <c r="Q680" s="828"/>
      <c r="R680" s="828"/>
      <c r="S680" s="828"/>
      <c r="T680" s="828"/>
      <c r="U680" s="828"/>
      <c r="V680" s="828"/>
      <c r="W680" s="828"/>
      <c r="X680" s="828"/>
      <c r="Y680" s="828"/>
      <c r="Z680" s="828"/>
      <c r="AA680" s="828"/>
      <c r="AB680" s="828"/>
      <c r="AC680" s="828"/>
      <c r="AD680" s="828"/>
      <c r="AE680" s="828"/>
      <c r="AF680" s="828"/>
      <c r="AG680" s="828"/>
      <c r="AH680" s="828"/>
      <c r="AI680" s="828"/>
      <c r="AJ680" s="828"/>
    </row>
    <row r="681">
      <c r="A681" s="828"/>
      <c r="B681" s="828"/>
      <c r="C681" s="828"/>
      <c r="D681" s="828"/>
      <c r="E681" s="828"/>
      <c r="F681" s="828"/>
      <c r="G681" s="828"/>
      <c r="H681" s="828"/>
      <c r="I681" s="828"/>
      <c r="J681" s="828"/>
      <c r="K681" s="828"/>
      <c r="L681" s="828"/>
      <c r="M681" s="828"/>
      <c r="N681" s="828"/>
      <c r="O681" s="828"/>
      <c r="P681" s="828"/>
      <c r="Q681" s="828"/>
      <c r="R681" s="828"/>
      <c r="S681" s="828"/>
      <c r="T681" s="828"/>
      <c r="U681" s="828"/>
      <c r="V681" s="828"/>
      <c r="W681" s="828"/>
      <c r="X681" s="828"/>
      <c r="Y681" s="828"/>
      <c r="Z681" s="828"/>
      <c r="AA681" s="828"/>
      <c r="AB681" s="828"/>
      <c r="AC681" s="828"/>
      <c r="AD681" s="828"/>
      <c r="AE681" s="828"/>
      <c r="AF681" s="828"/>
      <c r="AG681" s="828"/>
      <c r="AH681" s="828"/>
      <c r="AI681" s="828"/>
      <c r="AJ681" s="828"/>
    </row>
    <row r="682">
      <c r="A682" s="828"/>
      <c r="B682" s="828"/>
      <c r="C682" s="828"/>
      <c r="D682" s="828"/>
      <c r="E682" s="828"/>
      <c r="F682" s="828"/>
      <c r="G682" s="828"/>
      <c r="H682" s="828"/>
      <c r="I682" s="828"/>
      <c r="J682" s="828"/>
      <c r="K682" s="828"/>
      <c r="L682" s="828"/>
      <c r="M682" s="828"/>
      <c r="N682" s="828"/>
      <c r="O682" s="828"/>
      <c r="P682" s="828"/>
      <c r="Q682" s="828"/>
      <c r="R682" s="828"/>
      <c r="S682" s="828"/>
      <c r="T682" s="828"/>
      <c r="U682" s="828"/>
      <c r="V682" s="828"/>
      <c r="W682" s="828"/>
      <c r="X682" s="828"/>
      <c r="Y682" s="828"/>
      <c r="Z682" s="828"/>
      <c r="AA682" s="828"/>
      <c r="AB682" s="828"/>
      <c r="AC682" s="828"/>
      <c r="AD682" s="828"/>
      <c r="AE682" s="828"/>
      <c r="AF682" s="828"/>
      <c r="AG682" s="828"/>
      <c r="AH682" s="828"/>
      <c r="AI682" s="828"/>
      <c r="AJ682" s="828"/>
    </row>
    <row r="683">
      <c r="A683" s="828"/>
      <c r="B683" s="828"/>
      <c r="C683" s="828"/>
      <c r="D683" s="828"/>
      <c r="E683" s="828"/>
      <c r="F683" s="828"/>
      <c r="G683" s="828"/>
      <c r="H683" s="828"/>
      <c r="I683" s="828"/>
      <c r="J683" s="828"/>
      <c r="K683" s="828"/>
      <c r="L683" s="828"/>
      <c r="M683" s="828"/>
      <c r="N683" s="828"/>
      <c r="O683" s="828"/>
      <c r="P683" s="828"/>
      <c r="Q683" s="828"/>
      <c r="R683" s="828"/>
      <c r="S683" s="828"/>
      <c r="T683" s="828"/>
      <c r="U683" s="828"/>
      <c r="V683" s="828"/>
      <c r="W683" s="828"/>
      <c r="X683" s="828"/>
      <c r="Y683" s="828"/>
      <c r="Z683" s="828"/>
      <c r="AA683" s="828"/>
      <c r="AB683" s="828"/>
      <c r="AC683" s="828"/>
      <c r="AD683" s="828"/>
      <c r="AE683" s="828"/>
      <c r="AF683" s="828"/>
      <c r="AG683" s="828"/>
      <c r="AH683" s="828"/>
      <c r="AI683" s="828"/>
      <c r="AJ683" s="828"/>
    </row>
    <row r="684">
      <c r="A684" s="828"/>
      <c r="B684" s="828"/>
      <c r="C684" s="828"/>
      <c r="D684" s="828"/>
      <c r="E684" s="828"/>
      <c r="F684" s="828"/>
      <c r="G684" s="828"/>
      <c r="H684" s="828"/>
      <c r="I684" s="828"/>
      <c r="J684" s="828"/>
      <c r="K684" s="828"/>
      <c r="L684" s="828"/>
      <c r="M684" s="828"/>
      <c r="N684" s="828"/>
      <c r="O684" s="828"/>
      <c r="P684" s="828"/>
      <c r="Q684" s="828"/>
      <c r="R684" s="828"/>
      <c r="S684" s="828"/>
      <c r="T684" s="828"/>
      <c r="U684" s="828"/>
      <c r="V684" s="828"/>
      <c r="W684" s="828"/>
      <c r="X684" s="828"/>
      <c r="Y684" s="828"/>
      <c r="Z684" s="828"/>
      <c r="AA684" s="828"/>
      <c r="AB684" s="828"/>
      <c r="AC684" s="828"/>
      <c r="AD684" s="828"/>
      <c r="AE684" s="828"/>
      <c r="AF684" s="828"/>
      <c r="AG684" s="828"/>
      <c r="AH684" s="828"/>
      <c r="AI684" s="828"/>
      <c r="AJ684" s="828"/>
    </row>
    <row r="685">
      <c r="A685" s="828"/>
      <c r="B685" s="828"/>
      <c r="C685" s="828"/>
      <c r="D685" s="828"/>
      <c r="E685" s="828"/>
      <c r="F685" s="828"/>
      <c r="G685" s="828"/>
      <c r="H685" s="828"/>
      <c r="I685" s="828"/>
      <c r="J685" s="828"/>
      <c r="K685" s="828"/>
      <c r="L685" s="828"/>
      <c r="M685" s="828"/>
      <c r="N685" s="828"/>
      <c r="O685" s="828"/>
      <c r="P685" s="828"/>
      <c r="Q685" s="828"/>
      <c r="R685" s="828"/>
      <c r="S685" s="828"/>
      <c r="T685" s="828"/>
      <c r="U685" s="828"/>
      <c r="V685" s="828"/>
      <c r="W685" s="828"/>
      <c r="X685" s="828"/>
      <c r="Y685" s="828"/>
      <c r="Z685" s="828"/>
      <c r="AA685" s="828"/>
      <c r="AB685" s="828"/>
      <c r="AC685" s="828"/>
      <c r="AD685" s="828"/>
      <c r="AE685" s="828"/>
      <c r="AF685" s="828"/>
      <c r="AG685" s="828"/>
      <c r="AH685" s="828"/>
      <c r="AI685" s="828"/>
      <c r="AJ685" s="828"/>
    </row>
    <row r="686">
      <c r="A686" s="828"/>
      <c r="B686" s="828"/>
      <c r="C686" s="828"/>
      <c r="D686" s="828"/>
      <c r="E686" s="828"/>
      <c r="F686" s="828"/>
      <c r="G686" s="828"/>
      <c r="H686" s="828"/>
      <c r="I686" s="828"/>
      <c r="J686" s="828"/>
      <c r="K686" s="828"/>
      <c r="L686" s="828"/>
      <c r="M686" s="828"/>
      <c r="N686" s="828"/>
      <c r="O686" s="828"/>
      <c r="P686" s="828"/>
      <c r="Q686" s="828"/>
      <c r="R686" s="828"/>
      <c r="S686" s="828"/>
      <c r="T686" s="828"/>
      <c r="U686" s="828"/>
      <c r="V686" s="828"/>
      <c r="W686" s="828"/>
      <c r="X686" s="828"/>
      <c r="Y686" s="828"/>
      <c r="Z686" s="828"/>
      <c r="AA686" s="828"/>
      <c r="AB686" s="828"/>
      <c r="AC686" s="828"/>
      <c r="AD686" s="828"/>
      <c r="AE686" s="828"/>
      <c r="AF686" s="828"/>
      <c r="AG686" s="828"/>
      <c r="AH686" s="828"/>
      <c r="AI686" s="828"/>
      <c r="AJ686" s="828"/>
    </row>
    <row r="687">
      <c r="A687" s="828"/>
      <c r="B687" s="828"/>
      <c r="C687" s="828"/>
      <c r="D687" s="828"/>
      <c r="E687" s="828"/>
      <c r="F687" s="828"/>
      <c r="G687" s="828"/>
      <c r="H687" s="828"/>
      <c r="I687" s="828"/>
      <c r="J687" s="828"/>
      <c r="K687" s="828"/>
      <c r="L687" s="828"/>
      <c r="M687" s="828"/>
      <c r="N687" s="828"/>
      <c r="O687" s="828"/>
      <c r="P687" s="828"/>
      <c r="Q687" s="828"/>
      <c r="R687" s="828"/>
      <c r="S687" s="828"/>
      <c r="T687" s="828"/>
      <c r="U687" s="828"/>
      <c r="V687" s="828"/>
      <c r="W687" s="828"/>
      <c r="X687" s="828"/>
      <c r="Y687" s="828"/>
      <c r="Z687" s="828"/>
      <c r="AA687" s="828"/>
      <c r="AB687" s="828"/>
      <c r="AC687" s="828"/>
      <c r="AD687" s="828"/>
      <c r="AE687" s="828"/>
      <c r="AF687" s="828"/>
      <c r="AG687" s="828"/>
      <c r="AH687" s="828"/>
      <c r="AI687" s="828"/>
      <c r="AJ687" s="828"/>
    </row>
    <row r="688">
      <c r="A688" s="828"/>
      <c r="B688" s="828"/>
      <c r="C688" s="828"/>
      <c r="D688" s="828"/>
      <c r="E688" s="828"/>
      <c r="F688" s="828"/>
      <c r="G688" s="828"/>
      <c r="H688" s="828"/>
      <c r="I688" s="828"/>
      <c r="J688" s="828"/>
      <c r="K688" s="828"/>
      <c r="L688" s="828"/>
      <c r="M688" s="828"/>
      <c r="N688" s="828"/>
      <c r="O688" s="828"/>
      <c r="P688" s="828"/>
      <c r="Q688" s="828"/>
      <c r="R688" s="828"/>
      <c r="S688" s="828"/>
      <c r="T688" s="828"/>
      <c r="U688" s="828"/>
      <c r="V688" s="828"/>
      <c r="W688" s="828"/>
      <c r="X688" s="828"/>
      <c r="Y688" s="828"/>
      <c r="Z688" s="828"/>
      <c r="AA688" s="828"/>
      <c r="AB688" s="828"/>
      <c r="AC688" s="828"/>
      <c r="AD688" s="828"/>
      <c r="AE688" s="828"/>
      <c r="AF688" s="828"/>
      <c r="AG688" s="828"/>
      <c r="AH688" s="828"/>
      <c r="AI688" s="828"/>
      <c r="AJ688" s="828"/>
    </row>
    <row r="689">
      <c r="A689" s="828"/>
      <c r="B689" s="828"/>
      <c r="C689" s="828"/>
      <c r="D689" s="828"/>
      <c r="E689" s="828"/>
      <c r="F689" s="828"/>
      <c r="G689" s="828"/>
      <c r="H689" s="828"/>
      <c r="I689" s="828"/>
      <c r="J689" s="828"/>
      <c r="K689" s="828"/>
      <c r="L689" s="828"/>
      <c r="M689" s="828"/>
      <c r="N689" s="828"/>
      <c r="O689" s="828"/>
      <c r="P689" s="828"/>
      <c r="Q689" s="828"/>
      <c r="R689" s="828"/>
      <c r="S689" s="828"/>
      <c r="T689" s="828"/>
      <c r="U689" s="828"/>
      <c r="V689" s="828"/>
      <c r="W689" s="828"/>
      <c r="X689" s="828"/>
      <c r="Y689" s="828"/>
      <c r="Z689" s="828"/>
      <c r="AA689" s="828"/>
      <c r="AB689" s="828"/>
      <c r="AC689" s="828"/>
      <c r="AD689" s="828"/>
      <c r="AE689" s="828"/>
      <c r="AF689" s="828"/>
      <c r="AG689" s="828"/>
      <c r="AH689" s="828"/>
      <c r="AI689" s="828"/>
      <c r="AJ689" s="828"/>
    </row>
    <row r="690">
      <c r="A690" s="828"/>
      <c r="B690" s="828"/>
      <c r="C690" s="828"/>
      <c r="D690" s="828"/>
      <c r="E690" s="828"/>
      <c r="F690" s="828"/>
      <c r="G690" s="828"/>
      <c r="H690" s="828"/>
      <c r="I690" s="828"/>
      <c r="J690" s="828"/>
      <c r="K690" s="828"/>
      <c r="L690" s="828"/>
      <c r="M690" s="828"/>
      <c r="N690" s="828"/>
      <c r="O690" s="828"/>
      <c r="P690" s="828"/>
      <c r="Q690" s="828"/>
      <c r="R690" s="828"/>
      <c r="S690" s="828"/>
      <c r="T690" s="828"/>
      <c r="U690" s="828"/>
      <c r="V690" s="828"/>
      <c r="W690" s="828"/>
      <c r="X690" s="828"/>
      <c r="Y690" s="828"/>
      <c r="Z690" s="828"/>
      <c r="AA690" s="828"/>
      <c r="AB690" s="828"/>
      <c r="AC690" s="828"/>
      <c r="AD690" s="828"/>
      <c r="AE690" s="828"/>
      <c r="AF690" s="828"/>
      <c r="AG690" s="828"/>
      <c r="AH690" s="828"/>
      <c r="AI690" s="828"/>
      <c r="AJ690" s="828"/>
    </row>
    <row r="691">
      <c r="A691" s="828"/>
      <c r="B691" s="828"/>
      <c r="C691" s="828"/>
      <c r="D691" s="828"/>
      <c r="E691" s="828"/>
      <c r="F691" s="828"/>
      <c r="G691" s="828"/>
      <c r="H691" s="828"/>
      <c r="I691" s="828"/>
      <c r="J691" s="828"/>
      <c r="K691" s="828"/>
      <c r="L691" s="828"/>
      <c r="M691" s="828"/>
      <c r="N691" s="828"/>
      <c r="O691" s="828"/>
      <c r="P691" s="828"/>
      <c r="Q691" s="828"/>
      <c r="R691" s="828"/>
      <c r="S691" s="828"/>
      <c r="T691" s="828"/>
      <c r="U691" s="828"/>
      <c r="V691" s="828"/>
      <c r="W691" s="828"/>
      <c r="X691" s="828"/>
      <c r="Y691" s="828"/>
      <c r="Z691" s="828"/>
      <c r="AA691" s="828"/>
      <c r="AB691" s="828"/>
      <c r="AC691" s="828"/>
      <c r="AD691" s="828"/>
      <c r="AE691" s="828"/>
      <c r="AF691" s="828"/>
      <c r="AG691" s="828"/>
      <c r="AH691" s="828"/>
      <c r="AI691" s="828"/>
      <c r="AJ691" s="828"/>
    </row>
    <row r="692">
      <c r="A692" s="828"/>
      <c r="B692" s="828"/>
      <c r="C692" s="828"/>
      <c r="D692" s="828"/>
      <c r="E692" s="828"/>
      <c r="F692" s="828"/>
      <c r="G692" s="828"/>
      <c r="H692" s="828"/>
      <c r="I692" s="828"/>
      <c r="J692" s="828"/>
      <c r="K692" s="828"/>
      <c r="L692" s="828"/>
      <c r="M692" s="828"/>
      <c r="N692" s="828"/>
      <c r="O692" s="828"/>
      <c r="P692" s="828"/>
      <c r="Q692" s="828"/>
      <c r="R692" s="828"/>
      <c r="S692" s="828"/>
      <c r="T692" s="828"/>
      <c r="U692" s="828"/>
      <c r="V692" s="828"/>
      <c r="W692" s="828"/>
      <c r="X692" s="828"/>
      <c r="Y692" s="828"/>
      <c r="Z692" s="828"/>
      <c r="AA692" s="828"/>
      <c r="AB692" s="828"/>
      <c r="AC692" s="828"/>
      <c r="AD692" s="828"/>
      <c r="AE692" s="828"/>
      <c r="AF692" s="828"/>
      <c r="AG692" s="828"/>
      <c r="AH692" s="828"/>
      <c r="AI692" s="828"/>
      <c r="AJ692" s="828"/>
    </row>
    <row r="693">
      <c r="A693" s="828"/>
      <c r="B693" s="828"/>
      <c r="C693" s="828"/>
      <c r="D693" s="828"/>
      <c r="E693" s="828"/>
      <c r="F693" s="828"/>
      <c r="G693" s="828"/>
      <c r="H693" s="828"/>
      <c r="I693" s="828"/>
      <c r="J693" s="828"/>
      <c r="K693" s="828"/>
      <c r="L693" s="828"/>
      <c r="M693" s="828"/>
      <c r="N693" s="828"/>
      <c r="O693" s="828"/>
      <c r="P693" s="828"/>
      <c r="Q693" s="828"/>
      <c r="R693" s="828"/>
      <c r="S693" s="828"/>
      <c r="T693" s="828"/>
      <c r="U693" s="828"/>
      <c r="V693" s="828"/>
      <c r="W693" s="828"/>
      <c r="X693" s="828"/>
      <c r="Y693" s="828"/>
      <c r="Z693" s="828"/>
      <c r="AA693" s="828"/>
      <c r="AB693" s="828"/>
      <c r="AC693" s="828"/>
      <c r="AD693" s="828"/>
      <c r="AE693" s="828"/>
      <c r="AF693" s="828"/>
      <c r="AG693" s="828"/>
      <c r="AH693" s="828"/>
      <c r="AI693" s="828"/>
      <c r="AJ693" s="828"/>
    </row>
    <row r="694">
      <c r="A694" s="828"/>
      <c r="B694" s="828"/>
      <c r="C694" s="828"/>
      <c r="D694" s="828"/>
      <c r="E694" s="828"/>
      <c r="F694" s="828"/>
      <c r="G694" s="828"/>
      <c r="H694" s="828"/>
      <c r="I694" s="828"/>
      <c r="J694" s="828"/>
      <c r="K694" s="828"/>
      <c r="L694" s="828"/>
      <c r="M694" s="828"/>
      <c r="N694" s="828"/>
      <c r="O694" s="828"/>
      <c r="P694" s="828"/>
      <c r="Q694" s="828"/>
      <c r="R694" s="828"/>
      <c r="S694" s="828"/>
      <c r="T694" s="828"/>
      <c r="U694" s="828"/>
      <c r="V694" s="828"/>
      <c r="W694" s="828"/>
      <c r="X694" s="828"/>
      <c r="Y694" s="828"/>
      <c r="Z694" s="828"/>
      <c r="AA694" s="828"/>
      <c r="AB694" s="828"/>
      <c r="AC694" s="828"/>
      <c r="AD694" s="828"/>
      <c r="AE694" s="828"/>
      <c r="AF694" s="828"/>
      <c r="AG694" s="828"/>
      <c r="AH694" s="828"/>
      <c r="AI694" s="828"/>
      <c r="AJ694" s="828"/>
    </row>
    <row r="695">
      <c r="A695" s="828"/>
      <c r="B695" s="828"/>
      <c r="C695" s="828"/>
      <c r="D695" s="828"/>
      <c r="E695" s="828"/>
      <c r="F695" s="828"/>
      <c r="G695" s="828"/>
      <c r="H695" s="828"/>
      <c r="I695" s="828"/>
      <c r="J695" s="828"/>
      <c r="K695" s="828"/>
      <c r="L695" s="828"/>
      <c r="M695" s="828"/>
      <c r="N695" s="828"/>
      <c r="O695" s="828"/>
      <c r="P695" s="828"/>
      <c r="Q695" s="828"/>
      <c r="R695" s="828"/>
      <c r="S695" s="828"/>
      <c r="T695" s="828"/>
      <c r="U695" s="828"/>
      <c r="V695" s="828"/>
      <c r="W695" s="828"/>
      <c r="X695" s="828"/>
      <c r="Y695" s="828"/>
      <c r="Z695" s="828"/>
      <c r="AA695" s="828"/>
      <c r="AB695" s="828"/>
      <c r="AC695" s="828"/>
      <c r="AD695" s="828"/>
      <c r="AE695" s="828"/>
      <c r="AF695" s="828"/>
      <c r="AG695" s="828"/>
      <c r="AH695" s="828"/>
      <c r="AI695" s="828"/>
      <c r="AJ695" s="828"/>
    </row>
    <row r="696">
      <c r="A696" s="828"/>
      <c r="B696" s="828"/>
      <c r="C696" s="828"/>
      <c r="D696" s="828"/>
      <c r="E696" s="828"/>
      <c r="F696" s="828"/>
      <c r="G696" s="828"/>
      <c r="H696" s="828"/>
      <c r="I696" s="828"/>
      <c r="J696" s="828"/>
      <c r="K696" s="828"/>
      <c r="L696" s="828"/>
      <c r="M696" s="828"/>
      <c r="N696" s="828"/>
      <c r="O696" s="828"/>
      <c r="P696" s="828"/>
      <c r="Q696" s="828"/>
      <c r="R696" s="828"/>
      <c r="S696" s="828"/>
      <c r="T696" s="828"/>
      <c r="U696" s="828"/>
      <c r="V696" s="828"/>
      <c r="W696" s="828"/>
      <c r="X696" s="828"/>
      <c r="Y696" s="828"/>
      <c r="Z696" s="828"/>
      <c r="AA696" s="828"/>
      <c r="AB696" s="828"/>
      <c r="AC696" s="828"/>
      <c r="AD696" s="828"/>
      <c r="AE696" s="828"/>
      <c r="AF696" s="828"/>
      <c r="AG696" s="828"/>
      <c r="AH696" s="828"/>
      <c r="AI696" s="828"/>
      <c r="AJ696" s="828"/>
    </row>
    <row r="697">
      <c r="A697" s="828"/>
      <c r="B697" s="828"/>
      <c r="C697" s="828"/>
      <c r="D697" s="828"/>
      <c r="E697" s="828"/>
      <c r="F697" s="828"/>
      <c r="G697" s="828"/>
      <c r="H697" s="828"/>
      <c r="I697" s="828"/>
      <c r="J697" s="828"/>
      <c r="K697" s="828"/>
      <c r="L697" s="828"/>
      <c r="M697" s="828"/>
      <c r="N697" s="828"/>
      <c r="O697" s="828"/>
      <c r="P697" s="828"/>
      <c r="Q697" s="828"/>
      <c r="R697" s="828"/>
      <c r="S697" s="828"/>
      <c r="T697" s="828"/>
      <c r="U697" s="828"/>
      <c r="V697" s="828"/>
      <c r="W697" s="828"/>
      <c r="X697" s="828"/>
      <c r="Y697" s="828"/>
      <c r="Z697" s="828"/>
      <c r="AA697" s="828"/>
      <c r="AB697" s="828"/>
      <c r="AC697" s="828"/>
      <c r="AD697" s="828"/>
      <c r="AE697" s="828"/>
      <c r="AF697" s="828"/>
      <c r="AG697" s="828"/>
      <c r="AH697" s="828"/>
      <c r="AI697" s="828"/>
      <c r="AJ697" s="828"/>
    </row>
    <row r="698">
      <c r="A698" s="828"/>
      <c r="B698" s="828"/>
      <c r="C698" s="828"/>
      <c r="D698" s="828"/>
      <c r="E698" s="828"/>
      <c r="F698" s="828"/>
      <c r="G698" s="828"/>
      <c r="H698" s="828"/>
      <c r="I698" s="828"/>
      <c r="J698" s="828"/>
      <c r="K698" s="828"/>
      <c r="L698" s="828"/>
      <c r="M698" s="828"/>
      <c r="N698" s="828"/>
      <c r="O698" s="828"/>
      <c r="P698" s="828"/>
      <c r="Q698" s="828"/>
      <c r="R698" s="828"/>
      <c r="S698" s="828"/>
      <c r="T698" s="828"/>
      <c r="U698" s="828"/>
      <c r="V698" s="828"/>
      <c r="W698" s="828"/>
      <c r="X698" s="828"/>
      <c r="Y698" s="828"/>
      <c r="Z698" s="828"/>
      <c r="AA698" s="828"/>
      <c r="AB698" s="828"/>
      <c r="AC698" s="828"/>
      <c r="AD698" s="828"/>
      <c r="AE698" s="828"/>
      <c r="AF698" s="828"/>
      <c r="AG698" s="828"/>
      <c r="AH698" s="828"/>
      <c r="AI698" s="828"/>
      <c r="AJ698" s="828"/>
    </row>
    <row r="699">
      <c r="A699" s="828"/>
      <c r="B699" s="828"/>
      <c r="C699" s="828"/>
      <c r="D699" s="828"/>
      <c r="E699" s="828"/>
      <c r="F699" s="828"/>
      <c r="G699" s="828"/>
      <c r="H699" s="828"/>
      <c r="I699" s="828"/>
      <c r="J699" s="828"/>
      <c r="K699" s="828"/>
      <c r="L699" s="828"/>
      <c r="M699" s="828"/>
      <c r="N699" s="828"/>
      <c r="O699" s="828"/>
      <c r="P699" s="828"/>
      <c r="Q699" s="828"/>
      <c r="R699" s="828"/>
      <c r="S699" s="828"/>
      <c r="T699" s="828"/>
      <c r="U699" s="828"/>
      <c r="V699" s="828"/>
      <c r="W699" s="828"/>
      <c r="X699" s="828"/>
      <c r="Y699" s="828"/>
      <c r="Z699" s="828"/>
      <c r="AA699" s="828"/>
      <c r="AB699" s="828"/>
      <c r="AC699" s="828"/>
      <c r="AD699" s="828"/>
      <c r="AE699" s="828"/>
      <c r="AF699" s="828"/>
      <c r="AG699" s="828"/>
      <c r="AH699" s="828"/>
      <c r="AI699" s="828"/>
      <c r="AJ699" s="828"/>
    </row>
    <row r="700">
      <c r="A700" s="828"/>
      <c r="B700" s="828"/>
      <c r="C700" s="828"/>
      <c r="D700" s="828"/>
      <c r="E700" s="828"/>
      <c r="F700" s="828"/>
      <c r="G700" s="828"/>
      <c r="H700" s="828"/>
      <c r="I700" s="828"/>
      <c r="J700" s="828"/>
      <c r="K700" s="828"/>
      <c r="L700" s="828"/>
      <c r="M700" s="828"/>
      <c r="N700" s="828"/>
      <c r="O700" s="828"/>
      <c r="P700" s="828"/>
      <c r="Q700" s="828"/>
      <c r="R700" s="828"/>
      <c r="S700" s="828"/>
      <c r="T700" s="828"/>
      <c r="U700" s="828"/>
      <c r="V700" s="828"/>
      <c r="W700" s="828"/>
      <c r="X700" s="828"/>
      <c r="Y700" s="828"/>
      <c r="Z700" s="828"/>
      <c r="AA700" s="828"/>
      <c r="AB700" s="828"/>
      <c r="AC700" s="828"/>
      <c r="AD700" s="828"/>
      <c r="AE700" s="828"/>
      <c r="AF700" s="828"/>
      <c r="AG700" s="828"/>
      <c r="AH700" s="828"/>
      <c r="AI700" s="828"/>
      <c r="AJ700" s="828"/>
    </row>
    <row r="701">
      <c r="A701" s="828"/>
      <c r="B701" s="828"/>
      <c r="C701" s="828"/>
      <c r="D701" s="828"/>
      <c r="E701" s="828"/>
      <c r="F701" s="828"/>
      <c r="G701" s="828"/>
      <c r="H701" s="828"/>
      <c r="I701" s="828"/>
      <c r="J701" s="828"/>
      <c r="K701" s="828"/>
      <c r="L701" s="828"/>
      <c r="M701" s="828"/>
      <c r="N701" s="828"/>
      <c r="O701" s="828"/>
      <c r="P701" s="828"/>
      <c r="Q701" s="828"/>
      <c r="R701" s="828"/>
      <c r="S701" s="828"/>
      <c r="T701" s="828"/>
      <c r="U701" s="828"/>
      <c r="V701" s="828"/>
      <c r="W701" s="828"/>
      <c r="X701" s="828"/>
      <c r="Y701" s="828"/>
      <c r="Z701" s="828"/>
      <c r="AA701" s="828"/>
      <c r="AB701" s="828"/>
      <c r="AC701" s="828"/>
      <c r="AD701" s="828"/>
      <c r="AE701" s="828"/>
      <c r="AF701" s="828"/>
      <c r="AG701" s="828"/>
      <c r="AH701" s="828"/>
      <c r="AI701" s="828"/>
      <c r="AJ701" s="828"/>
    </row>
    <row r="702">
      <c r="A702" s="828"/>
      <c r="B702" s="828"/>
      <c r="C702" s="828"/>
      <c r="D702" s="828"/>
      <c r="E702" s="828"/>
      <c r="F702" s="828"/>
      <c r="G702" s="828"/>
      <c r="H702" s="828"/>
      <c r="I702" s="828"/>
      <c r="J702" s="828"/>
      <c r="K702" s="828"/>
      <c r="L702" s="828"/>
      <c r="M702" s="828"/>
      <c r="N702" s="828"/>
      <c r="O702" s="828"/>
      <c r="P702" s="828"/>
      <c r="Q702" s="828"/>
      <c r="R702" s="828"/>
      <c r="S702" s="828"/>
      <c r="T702" s="828"/>
      <c r="U702" s="828"/>
      <c r="V702" s="828"/>
      <c r="W702" s="828"/>
      <c r="X702" s="828"/>
      <c r="Y702" s="828"/>
      <c r="Z702" s="828"/>
      <c r="AA702" s="828"/>
      <c r="AB702" s="828"/>
      <c r="AC702" s="828"/>
      <c r="AD702" s="828"/>
      <c r="AE702" s="828"/>
      <c r="AF702" s="828"/>
      <c r="AG702" s="828"/>
      <c r="AH702" s="828"/>
      <c r="AI702" s="828"/>
      <c r="AJ702" s="828"/>
    </row>
    <row r="703">
      <c r="A703" s="828"/>
      <c r="B703" s="828"/>
      <c r="C703" s="828"/>
      <c r="D703" s="828"/>
      <c r="E703" s="828"/>
      <c r="F703" s="828"/>
      <c r="G703" s="828"/>
      <c r="H703" s="828"/>
      <c r="I703" s="828"/>
      <c r="J703" s="828"/>
      <c r="K703" s="828"/>
      <c r="L703" s="828"/>
      <c r="M703" s="828"/>
      <c r="N703" s="828"/>
      <c r="O703" s="828"/>
      <c r="P703" s="828"/>
      <c r="Q703" s="828"/>
      <c r="R703" s="828"/>
      <c r="S703" s="828"/>
      <c r="T703" s="828"/>
      <c r="U703" s="828"/>
      <c r="V703" s="828"/>
      <c r="W703" s="828"/>
      <c r="X703" s="828"/>
      <c r="Y703" s="828"/>
      <c r="Z703" s="828"/>
      <c r="AA703" s="828"/>
      <c r="AB703" s="828"/>
      <c r="AC703" s="828"/>
      <c r="AD703" s="828"/>
      <c r="AE703" s="828"/>
      <c r="AF703" s="828"/>
      <c r="AG703" s="828"/>
      <c r="AH703" s="828"/>
      <c r="AI703" s="828"/>
      <c r="AJ703" s="828"/>
    </row>
    <row r="704">
      <c r="A704" s="828"/>
      <c r="B704" s="828"/>
      <c r="C704" s="828"/>
      <c r="D704" s="828"/>
      <c r="E704" s="828"/>
      <c r="F704" s="828"/>
      <c r="G704" s="828"/>
      <c r="H704" s="828"/>
      <c r="I704" s="828"/>
      <c r="J704" s="828"/>
      <c r="K704" s="828"/>
      <c r="L704" s="828"/>
      <c r="M704" s="828"/>
      <c r="N704" s="828"/>
      <c r="O704" s="828"/>
      <c r="P704" s="828"/>
      <c r="Q704" s="828"/>
      <c r="R704" s="828"/>
      <c r="S704" s="828"/>
      <c r="T704" s="828"/>
      <c r="U704" s="828"/>
      <c r="V704" s="828"/>
      <c r="W704" s="828"/>
      <c r="X704" s="828"/>
      <c r="Y704" s="828"/>
      <c r="Z704" s="828"/>
      <c r="AA704" s="828"/>
      <c r="AB704" s="828"/>
      <c r="AC704" s="828"/>
      <c r="AD704" s="828"/>
      <c r="AE704" s="828"/>
      <c r="AF704" s="828"/>
      <c r="AG704" s="828"/>
      <c r="AH704" s="828"/>
      <c r="AI704" s="828"/>
      <c r="AJ704" s="828"/>
    </row>
    <row r="705">
      <c r="A705" s="828"/>
      <c r="B705" s="828"/>
      <c r="C705" s="828"/>
      <c r="D705" s="828"/>
      <c r="E705" s="828"/>
      <c r="F705" s="828"/>
      <c r="G705" s="828"/>
      <c r="H705" s="828"/>
      <c r="I705" s="828"/>
      <c r="J705" s="828"/>
      <c r="K705" s="828"/>
      <c r="L705" s="828"/>
      <c r="M705" s="828"/>
      <c r="N705" s="828"/>
      <c r="O705" s="828"/>
      <c r="P705" s="828"/>
      <c r="Q705" s="828"/>
      <c r="R705" s="828"/>
      <c r="S705" s="828"/>
      <c r="T705" s="828"/>
      <c r="U705" s="828"/>
      <c r="V705" s="828"/>
      <c r="W705" s="828"/>
      <c r="X705" s="828"/>
      <c r="Y705" s="828"/>
      <c r="Z705" s="828"/>
      <c r="AA705" s="828"/>
      <c r="AB705" s="828"/>
      <c r="AC705" s="828"/>
      <c r="AD705" s="828"/>
      <c r="AE705" s="828"/>
      <c r="AF705" s="828"/>
      <c r="AG705" s="828"/>
      <c r="AH705" s="828"/>
      <c r="AI705" s="828"/>
      <c r="AJ705" s="828"/>
    </row>
    <row r="706">
      <c r="A706" s="828"/>
      <c r="B706" s="828"/>
      <c r="C706" s="828"/>
      <c r="D706" s="828"/>
      <c r="E706" s="828"/>
      <c r="F706" s="828"/>
      <c r="G706" s="828"/>
      <c r="H706" s="828"/>
      <c r="I706" s="828"/>
      <c r="J706" s="828"/>
      <c r="K706" s="828"/>
      <c r="L706" s="828"/>
      <c r="M706" s="828"/>
      <c r="N706" s="828"/>
      <c r="O706" s="828"/>
      <c r="P706" s="828"/>
      <c r="Q706" s="828"/>
      <c r="R706" s="828"/>
      <c r="S706" s="828"/>
      <c r="T706" s="828"/>
      <c r="U706" s="828"/>
      <c r="V706" s="828"/>
      <c r="W706" s="828"/>
      <c r="X706" s="828"/>
      <c r="Y706" s="828"/>
      <c r="Z706" s="828"/>
      <c r="AA706" s="828"/>
      <c r="AB706" s="828"/>
      <c r="AC706" s="828"/>
      <c r="AD706" s="828"/>
      <c r="AE706" s="828"/>
      <c r="AF706" s="828"/>
      <c r="AG706" s="828"/>
      <c r="AH706" s="828"/>
      <c r="AI706" s="828"/>
      <c r="AJ706" s="828"/>
    </row>
    <row r="707">
      <c r="A707" s="828"/>
      <c r="B707" s="828"/>
      <c r="C707" s="828"/>
      <c r="D707" s="828"/>
      <c r="E707" s="828"/>
      <c r="F707" s="828"/>
      <c r="G707" s="828"/>
      <c r="H707" s="828"/>
      <c r="I707" s="828"/>
      <c r="J707" s="828"/>
      <c r="K707" s="828"/>
      <c r="L707" s="828"/>
      <c r="M707" s="828"/>
      <c r="N707" s="828"/>
      <c r="O707" s="828"/>
      <c r="P707" s="828"/>
      <c r="Q707" s="828"/>
      <c r="R707" s="828"/>
      <c r="S707" s="828"/>
      <c r="T707" s="828"/>
      <c r="U707" s="828"/>
      <c r="V707" s="828"/>
      <c r="W707" s="828"/>
      <c r="X707" s="828"/>
      <c r="Y707" s="828"/>
      <c r="Z707" s="828"/>
      <c r="AA707" s="828"/>
      <c r="AB707" s="828"/>
      <c r="AC707" s="828"/>
      <c r="AD707" s="828"/>
      <c r="AE707" s="828"/>
      <c r="AF707" s="828"/>
      <c r="AG707" s="828"/>
      <c r="AH707" s="828"/>
      <c r="AI707" s="828"/>
      <c r="AJ707" s="828"/>
    </row>
    <row r="708">
      <c r="A708" s="828"/>
      <c r="B708" s="828"/>
      <c r="C708" s="828"/>
      <c r="D708" s="828"/>
      <c r="E708" s="828"/>
      <c r="F708" s="828"/>
      <c r="G708" s="828"/>
      <c r="H708" s="828"/>
      <c r="I708" s="828"/>
      <c r="J708" s="828"/>
      <c r="K708" s="828"/>
      <c r="L708" s="828"/>
      <c r="M708" s="828"/>
      <c r="N708" s="828"/>
      <c r="O708" s="828"/>
      <c r="P708" s="828"/>
      <c r="Q708" s="828"/>
      <c r="R708" s="828"/>
      <c r="S708" s="828"/>
      <c r="T708" s="828"/>
      <c r="U708" s="828"/>
      <c r="V708" s="828"/>
      <c r="W708" s="828"/>
      <c r="X708" s="828"/>
      <c r="Y708" s="828"/>
      <c r="Z708" s="828"/>
      <c r="AA708" s="828"/>
      <c r="AB708" s="828"/>
      <c r="AC708" s="828"/>
      <c r="AD708" s="828"/>
      <c r="AE708" s="828"/>
      <c r="AF708" s="828"/>
      <c r="AG708" s="828"/>
      <c r="AH708" s="828"/>
      <c r="AI708" s="828"/>
      <c r="AJ708" s="828"/>
    </row>
    <row r="709">
      <c r="A709" s="828"/>
      <c r="B709" s="828"/>
      <c r="C709" s="828"/>
      <c r="D709" s="828"/>
      <c r="E709" s="828"/>
      <c r="F709" s="828"/>
      <c r="G709" s="828"/>
      <c r="H709" s="828"/>
      <c r="I709" s="828"/>
      <c r="J709" s="828"/>
      <c r="K709" s="828"/>
      <c r="L709" s="828"/>
      <c r="M709" s="828"/>
      <c r="N709" s="828"/>
      <c r="O709" s="828"/>
      <c r="P709" s="828"/>
      <c r="Q709" s="828"/>
      <c r="R709" s="828"/>
      <c r="S709" s="828"/>
      <c r="T709" s="828"/>
      <c r="U709" s="828"/>
      <c r="V709" s="828"/>
      <c r="W709" s="828"/>
      <c r="X709" s="828"/>
      <c r="Y709" s="828"/>
      <c r="Z709" s="828"/>
      <c r="AA709" s="828"/>
      <c r="AB709" s="828"/>
      <c r="AC709" s="828"/>
      <c r="AD709" s="828"/>
      <c r="AE709" s="828"/>
      <c r="AF709" s="828"/>
      <c r="AG709" s="828"/>
      <c r="AH709" s="828"/>
      <c r="AI709" s="828"/>
      <c r="AJ709" s="828"/>
    </row>
    <row r="710">
      <c r="A710" s="828"/>
      <c r="B710" s="828"/>
      <c r="C710" s="828"/>
      <c r="D710" s="828"/>
      <c r="E710" s="828"/>
      <c r="F710" s="828"/>
      <c r="G710" s="828"/>
      <c r="H710" s="828"/>
      <c r="I710" s="828"/>
      <c r="J710" s="828"/>
      <c r="K710" s="828"/>
      <c r="L710" s="828"/>
      <c r="M710" s="828"/>
      <c r="N710" s="828"/>
      <c r="O710" s="828"/>
      <c r="P710" s="828"/>
      <c r="Q710" s="828"/>
      <c r="R710" s="828"/>
      <c r="S710" s="828"/>
      <c r="T710" s="828"/>
      <c r="U710" s="828"/>
      <c r="V710" s="828"/>
      <c r="W710" s="828"/>
      <c r="X710" s="828"/>
      <c r="Y710" s="828"/>
      <c r="Z710" s="828"/>
      <c r="AA710" s="828"/>
      <c r="AB710" s="828"/>
      <c r="AC710" s="828"/>
      <c r="AD710" s="828"/>
      <c r="AE710" s="828"/>
      <c r="AF710" s="828"/>
      <c r="AG710" s="828"/>
      <c r="AH710" s="828"/>
      <c r="AI710" s="828"/>
      <c r="AJ710" s="828"/>
    </row>
    <row r="711">
      <c r="A711" s="828"/>
      <c r="B711" s="828"/>
      <c r="C711" s="828"/>
      <c r="D711" s="828"/>
      <c r="E711" s="828"/>
      <c r="F711" s="828"/>
      <c r="G711" s="828"/>
      <c r="H711" s="828"/>
      <c r="I711" s="828"/>
      <c r="J711" s="828"/>
      <c r="K711" s="828"/>
      <c r="L711" s="828"/>
      <c r="M711" s="828"/>
      <c r="N711" s="828"/>
      <c r="O711" s="828"/>
      <c r="P711" s="828"/>
      <c r="Q711" s="828"/>
      <c r="R711" s="828"/>
      <c r="S711" s="828"/>
      <c r="T711" s="828"/>
      <c r="U711" s="828"/>
      <c r="V711" s="828"/>
      <c r="W711" s="828"/>
      <c r="X711" s="828"/>
      <c r="Y711" s="828"/>
      <c r="Z711" s="828"/>
      <c r="AA711" s="828"/>
      <c r="AB711" s="828"/>
      <c r="AC711" s="828"/>
      <c r="AD711" s="828"/>
      <c r="AE711" s="828"/>
      <c r="AF711" s="828"/>
      <c r="AG711" s="828"/>
      <c r="AH711" s="828"/>
      <c r="AI711" s="828"/>
      <c r="AJ711" s="828"/>
    </row>
    <row r="712">
      <c r="A712" s="828"/>
      <c r="B712" s="828"/>
      <c r="C712" s="828"/>
      <c r="D712" s="828"/>
      <c r="E712" s="828"/>
      <c r="F712" s="828"/>
      <c r="G712" s="828"/>
      <c r="H712" s="828"/>
      <c r="I712" s="828"/>
      <c r="J712" s="828"/>
      <c r="K712" s="828"/>
      <c r="L712" s="828"/>
      <c r="M712" s="828"/>
      <c r="N712" s="828"/>
      <c r="O712" s="828"/>
      <c r="P712" s="828"/>
      <c r="Q712" s="828"/>
      <c r="R712" s="828"/>
      <c r="S712" s="828"/>
      <c r="T712" s="828"/>
      <c r="U712" s="828"/>
      <c r="V712" s="828"/>
      <c r="W712" s="828"/>
      <c r="X712" s="828"/>
      <c r="Y712" s="828"/>
      <c r="Z712" s="828"/>
      <c r="AA712" s="828"/>
      <c r="AB712" s="828"/>
      <c r="AC712" s="828"/>
      <c r="AD712" s="828"/>
      <c r="AE712" s="828"/>
      <c r="AF712" s="828"/>
      <c r="AG712" s="828"/>
      <c r="AH712" s="828"/>
      <c r="AI712" s="828"/>
      <c r="AJ712" s="828"/>
    </row>
    <row r="713">
      <c r="A713" s="828"/>
      <c r="B713" s="828"/>
      <c r="C713" s="828"/>
      <c r="D713" s="828"/>
      <c r="E713" s="828"/>
      <c r="F713" s="828"/>
      <c r="G713" s="828"/>
      <c r="H713" s="828"/>
      <c r="I713" s="828"/>
      <c r="J713" s="828"/>
      <c r="K713" s="828"/>
      <c r="L713" s="828"/>
      <c r="M713" s="828"/>
      <c r="N713" s="828"/>
      <c r="O713" s="828"/>
      <c r="P713" s="828"/>
      <c r="Q713" s="828"/>
      <c r="R713" s="828"/>
      <c r="S713" s="828"/>
      <c r="T713" s="828"/>
      <c r="U713" s="828"/>
      <c r="V713" s="828"/>
      <c r="W713" s="828"/>
      <c r="X713" s="828"/>
      <c r="Y713" s="828"/>
      <c r="Z713" s="828"/>
      <c r="AA713" s="828"/>
      <c r="AB713" s="828"/>
      <c r="AC713" s="828"/>
      <c r="AD713" s="828"/>
      <c r="AE713" s="828"/>
      <c r="AF713" s="828"/>
      <c r="AG713" s="828"/>
      <c r="AH713" s="828"/>
      <c r="AI713" s="828"/>
      <c r="AJ713" s="828"/>
    </row>
    <row r="714">
      <c r="A714" s="828"/>
      <c r="B714" s="828"/>
      <c r="C714" s="828"/>
      <c r="D714" s="828"/>
      <c r="E714" s="828"/>
      <c r="F714" s="828"/>
      <c r="G714" s="828"/>
      <c r="H714" s="828"/>
      <c r="I714" s="828"/>
      <c r="J714" s="828"/>
      <c r="K714" s="828"/>
      <c r="L714" s="828"/>
      <c r="M714" s="828"/>
      <c r="N714" s="828"/>
      <c r="O714" s="828"/>
      <c r="P714" s="828"/>
      <c r="Q714" s="828"/>
      <c r="R714" s="828"/>
      <c r="S714" s="828"/>
      <c r="T714" s="828"/>
      <c r="U714" s="828"/>
      <c r="V714" s="828"/>
      <c r="W714" s="828"/>
      <c r="X714" s="828"/>
      <c r="Y714" s="828"/>
      <c r="Z714" s="828"/>
      <c r="AA714" s="828"/>
      <c r="AB714" s="828"/>
      <c r="AC714" s="828"/>
      <c r="AD714" s="828"/>
      <c r="AE714" s="828"/>
      <c r="AF714" s="828"/>
      <c r="AG714" s="828"/>
      <c r="AH714" s="828"/>
      <c r="AI714" s="828"/>
      <c r="AJ714" s="828"/>
    </row>
    <row r="715">
      <c r="A715" s="828"/>
      <c r="B715" s="828"/>
      <c r="C715" s="828"/>
      <c r="D715" s="828"/>
      <c r="E715" s="828"/>
      <c r="F715" s="828"/>
      <c r="G715" s="828"/>
      <c r="H715" s="828"/>
      <c r="I715" s="828"/>
      <c r="J715" s="828"/>
      <c r="K715" s="828"/>
      <c r="L715" s="828"/>
      <c r="M715" s="828"/>
      <c r="N715" s="828"/>
      <c r="O715" s="828"/>
      <c r="P715" s="828"/>
      <c r="Q715" s="828"/>
      <c r="R715" s="828"/>
      <c r="S715" s="828"/>
      <c r="T715" s="828"/>
      <c r="U715" s="828"/>
      <c r="V715" s="828"/>
      <c r="W715" s="828"/>
      <c r="X715" s="828"/>
      <c r="Y715" s="828"/>
      <c r="Z715" s="828"/>
      <c r="AA715" s="828"/>
      <c r="AB715" s="828"/>
      <c r="AC715" s="828"/>
      <c r="AD715" s="828"/>
      <c r="AE715" s="828"/>
      <c r="AF715" s="828"/>
      <c r="AG715" s="828"/>
      <c r="AH715" s="828"/>
      <c r="AI715" s="828"/>
      <c r="AJ715" s="828"/>
    </row>
    <row r="716">
      <c r="A716" s="828"/>
      <c r="B716" s="828"/>
      <c r="C716" s="828"/>
      <c r="D716" s="828"/>
      <c r="E716" s="828"/>
      <c r="F716" s="828"/>
      <c r="G716" s="828"/>
      <c r="H716" s="828"/>
      <c r="I716" s="828"/>
      <c r="J716" s="828"/>
      <c r="K716" s="828"/>
      <c r="L716" s="828"/>
      <c r="M716" s="828"/>
      <c r="N716" s="828"/>
      <c r="O716" s="828"/>
      <c r="P716" s="828"/>
      <c r="Q716" s="828"/>
      <c r="R716" s="828"/>
      <c r="S716" s="828"/>
      <c r="T716" s="828"/>
      <c r="U716" s="828"/>
      <c r="V716" s="828"/>
      <c r="W716" s="828"/>
      <c r="X716" s="828"/>
      <c r="Y716" s="828"/>
      <c r="Z716" s="828"/>
      <c r="AA716" s="828"/>
      <c r="AB716" s="828"/>
      <c r="AC716" s="828"/>
      <c r="AD716" s="828"/>
      <c r="AE716" s="828"/>
      <c r="AF716" s="828"/>
      <c r="AG716" s="828"/>
      <c r="AH716" s="828"/>
      <c r="AI716" s="828"/>
      <c r="AJ716" s="828"/>
    </row>
    <row r="717">
      <c r="A717" s="828"/>
      <c r="B717" s="828"/>
      <c r="C717" s="828"/>
      <c r="D717" s="828"/>
      <c r="E717" s="828"/>
      <c r="F717" s="828"/>
      <c r="G717" s="828"/>
      <c r="H717" s="828"/>
      <c r="I717" s="828"/>
      <c r="J717" s="828"/>
      <c r="K717" s="828"/>
      <c r="L717" s="828"/>
      <c r="M717" s="828"/>
      <c r="N717" s="828"/>
      <c r="O717" s="828"/>
      <c r="P717" s="828"/>
      <c r="Q717" s="828"/>
      <c r="R717" s="828"/>
      <c r="S717" s="828"/>
      <c r="T717" s="828"/>
      <c r="U717" s="828"/>
      <c r="V717" s="828"/>
      <c r="W717" s="828"/>
      <c r="X717" s="828"/>
      <c r="Y717" s="828"/>
      <c r="Z717" s="828"/>
      <c r="AA717" s="828"/>
      <c r="AB717" s="828"/>
      <c r="AC717" s="828"/>
      <c r="AD717" s="828"/>
      <c r="AE717" s="828"/>
      <c r="AF717" s="828"/>
      <c r="AG717" s="828"/>
      <c r="AH717" s="828"/>
      <c r="AI717" s="828"/>
      <c r="AJ717" s="828"/>
    </row>
    <row r="718">
      <c r="A718" s="828"/>
      <c r="B718" s="828"/>
      <c r="C718" s="828"/>
      <c r="D718" s="828"/>
      <c r="E718" s="828"/>
      <c r="F718" s="828"/>
      <c r="G718" s="828"/>
      <c r="H718" s="828"/>
      <c r="I718" s="828"/>
      <c r="J718" s="828"/>
      <c r="K718" s="828"/>
      <c r="L718" s="828"/>
      <c r="M718" s="828"/>
      <c r="N718" s="828"/>
      <c r="O718" s="828"/>
      <c r="P718" s="828"/>
      <c r="Q718" s="828"/>
      <c r="R718" s="828"/>
      <c r="S718" s="828"/>
      <c r="T718" s="828"/>
      <c r="U718" s="828"/>
      <c r="V718" s="828"/>
      <c r="W718" s="828"/>
      <c r="X718" s="828"/>
      <c r="Y718" s="828"/>
      <c r="Z718" s="828"/>
      <c r="AA718" s="828"/>
      <c r="AB718" s="828"/>
      <c r="AC718" s="828"/>
      <c r="AD718" s="828"/>
      <c r="AE718" s="828"/>
      <c r="AF718" s="828"/>
      <c r="AG718" s="828"/>
      <c r="AH718" s="828"/>
      <c r="AI718" s="828"/>
      <c r="AJ718" s="828"/>
    </row>
    <row r="719">
      <c r="A719" s="828"/>
      <c r="B719" s="828"/>
      <c r="C719" s="828"/>
      <c r="D719" s="828"/>
      <c r="E719" s="828"/>
      <c r="F719" s="828"/>
      <c r="G719" s="828"/>
      <c r="H719" s="828"/>
      <c r="I719" s="828"/>
      <c r="J719" s="828"/>
      <c r="K719" s="828"/>
      <c r="L719" s="828"/>
      <c r="M719" s="828"/>
      <c r="N719" s="828"/>
      <c r="O719" s="828"/>
      <c r="P719" s="828"/>
      <c r="Q719" s="828"/>
      <c r="R719" s="828"/>
      <c r="S719" s="828"/>
      <c r="T719" s="828"/>
      <c r="U719" s="828"/>
      <c r="V719" s="828"/>
      <c r="W719" s="828"/>
      <c r="X719" s="828"/>
      <c r="Y719" s="828"/>
      <c r="Z719" s="828"/>
      <c r="AA719" s="828"/>
      <c r="AB719" s="828"/>
      <c r="AC719" s="828"/>
      <c r="AD719" s="828"/>
      <c r="AE719" s="828"/>
      <c r="AF719" s="828"/>
      <c r="AG719" s="828"/>
      <c r="AH719" s="828"/>
      <c r="AI719" s="828"/>
      <c r="AJ719" s="828"/>
    </row>
    <row r="720">
      <c r="A720" s="828"/>
      <c r="B720" s="828"/>
      <c r="C720" s="828"/>
      <c r="D720" s="828"/>
      <c r="E720" s="828"/>
      <c r="F720" s="828"/>
      <c r="G720" s="828"/>
      <c r="H720" s="828"/>
      <c r="I720" s="828"/>
      <c r="J720" s="828"/>
      <c r="K720" s="828"/>
      <c r="L720" s="828"/>
      <c r="M720" s="828"/>
      <c r="N720" s="828"/>
      <c r="O720" s="828"/>
      <c r="P720" s="828"/>
      <c r="Q720" s="828"/>
      <c r="R720" s="828"/>
      <c r="S720" s="828"/>
      <c r="T720" s="828"/>
      <c r="U720" s="828"/>
      <c r="V720" s="828"/>
      <c r="W720" s="828"/>
      <c r="X720" s="828"/>
      <c r="Y720" s="828"/>
      <c r="Z720" s="828"/>
      <c r="AA720" s="828"/>
      <c r="AB720" s="828"/>
      <c r="AC720" s="828"/>
      <c r="AD720" s="828"/>
      <c r="AE720" s="828"/>
      <c r="AF720" s="828"/>
      <c r="AG720" s="828"/>
      <c r="AH720" s="828"/>
      <c r="AI720" s="828"/>
      <c r="AJ720" s="828"/>
    </row>
    <row r="721">
      <c r="A721" s="828"/>
      <c r="B721" s="828"/>
      <c r="C721" s="828"/>
      <c r="D721" s="828"/>
      <c r="E721" s="828"/>
      <c r="F721" s="828"/>
      <c r="G721" s="828"/>
      <c r="H721" s="828"/>
      <c r="I721" s="828"/>
      <c r="J721" s="828"/>
      <c r="K721" s="828"/>
      <c r="L721" s="828"/>
      <c r="M721" s="828"/>
      <c r="N721" s="828"/>
      <c r="O721" s="828"/>
      <c r="P721" s="828"/>
      <c r="Q721" s="828"/>
      <c r="R721" s="828"/>
      <c r="S721" s="828"/>
      <c r="T721" s="828"/>
      <c r="U721" s="828"/>
      <c r="V721" s="828"/>
      <c r="W721" s="828"/>
      <c r="X721" s="828"/>
      <c r="Y721" s="828"/>
      <c r="Z721" s="828"/>
      <c r="AA721" s="828"/>
      <c r="AB721" s="828"/>
      <c r="AC721" s="828"/>
      <c r="AD721" s="828"/>
      <c r="AE721" s="828"/>
      <c r="AF721" s="828"/>
      <c r="AG721" s="828"/>
      <c r="AH721" s="828"/>
      <c r="AI721" s="828"/>
      <c r="AJ721" s="828"/>
    </row>
    <row r="722">
      <c r="A722" s="828"/>
      <c r="B722" s="828"/>
      <c r="C722" s="828"/>
      <c r="D722" s="828"/>
      <c r="E722" s="828"/>
      <c r="F722" s="828"/>
      <c r="G722" s="828"/>
      <c r="H722" s="828"/>
      <c r="I722" s="828"/>
      <c r="J722" s="828"/>
      <c r="K722" s="828"/>
      <c r="L722" s="828"/>
      <c r="M722" s="828"/>
      <c r="N722" s="828"/>
      <c r="O722" s="828"/>
      <c r="P722" s="828"/>
      <c r="Q722" s="828"/>
      <c r="R722" s="828"/>
      <c r="S722" s="828"/>
      <c r="T722" s="828"/>
      <c r="U722" s="828"/>
      <c r="V722" s="828"/>
      <c r="W722" s="828"/>
      <c r="X722" s="828"/>
      <c r="Y722" s="828"/>
      <c r="Z722" s="828"/>
      <c r="AA722" s="828"/>
      <c r="AB722" s="828"/>
      <c r="AC722" s="828"/>
      <c r="AD722" s="828"/>
      <c r="AE722" s="828"/>
      <c r="AF722" s="828"/>
      <c r="AG722" s="828"/>
      <c r="AH722" s="828"/>
      <c r="AI722" s="828"/>
      <c r="AJ722" s="828"/>
    </row>
    <row r="723">
      <c r="A723" s="828"/>
      <c r="B723" s="828"/>
      <c r="C723" s="828"/>
      <c r="D723" s="828"/>
      <c r="E723" s="828"/>
      <c r="F723" s="828"/>
      <c r="G723" s="828"/>
      <c r="H723" s="828"/>
      <c r="I723" s="828"/>
      <c r="J723" s="828"/>
      <c r="K723" s="828"/>
      <c r="L723" s="828"/>
      <c r="M723" s="828"/>
      <c r="N723" s="828"/>
      <c r="O723" s="828"/>
      <c r="P723" s="828"/>
      <c r="Q723" s="828"/>
      <c r="R723" s="828"/>
      <c r="S723" s="828"/>
      <c r="T723" s="828"/>
      <c r="U723" s="828"/>
      <c r="V723" s="828"/>
      <c r="W723" s="828"/>
      <c r="X723" s="828"/>
      <c r="Y723" s="828"/>
      <c r="Z723" s="828"/>
      <c r="AA723" s="828"/>
      <c r="AB723" s="828"/>
      <c r="AC723" s="828"/>
      <c r="AD723" s="828"/>
      <c r="AE723" s="828"/>
      <c r="AF723" s="828"/>
      <c r="AG723" s="828"/>
      <c r="AH723" s="828"/>
      <c r="AI723" s="828"/>
      <c r="AJ723" s="828"/>
    </row>
    <row r="724">
      <c r="A724" s="828"/>
      <c r="B724" s="828"/>
      <c r="C724" s="828"/>
      <c r="D724" s="828"/>
      <c r="E724" s="828"/>
      <c r="F724" s="828"/>
      <c r="G724" s="828"/>
      <c r="H724" s="828"/>
      <c r="I724" s="828"/>
      <c r="J724" s="828"/>
      <c r="K724" s="828"/>
      <c r="L724" s="828"/>
      <c r="M724" s="828"/>
      <c r="N724" s="828"/>
      <c r="O724" s="828"/>
      <c r="P724" s="828"/>
      <c r="Q724" s="828"/>
      <c r="R724" s="828"/>
      <c r="S724" s="828"/>
      <c r="T724" s="828"/>
      <c r="U724" s="828"/>
      <c r="V724" s="828"/>
      <c r="W724" s="828"/>
      <c r="X724" s="828"/>
      <c r="Y724" s="828"/>
      <c r="Z724" s="828"/>
      <c r="AA724" s="828"/>
      <c r="AB724" s="828"/>
      <c r="AC724" s="828"/>
      <c r="AD724" s="828"/>
      <c r="AE724" s="828"/>
      <c r="AF724" s="828"/>
      <c r="AG724" s="828"/>
      <c r="AH724" s="828"/>
      <c r="AI724" s="828"/>
      <c r="AJ724" s="828"/>
    </row>
    <row r="725">
      <c r="A725" s="828"/>
      <c r="B725" s="828"/>
      <c r="C725" s="828"/>
      <c r="D725" s="828"/>
      <c r="E725" s="828"/>
      <c r="F725" s="828"/>
      <c r="G725" s="828"/>
      <c r="H725" s="828"/>
      <c r="I725" s="828"/>
      <c r="J725" s="828"/>
      <c r="K725" s="828"/>
      <c r="L725" s="828"/>
      <c r="M725" s="828"/>
      <c r="N725" s="828"/>
      <c r="O725" s="828"/>
      <c r="P725" s="828"/>
      <c r="Q725" s="828"/>
      <c r="R725" s="828"/>
      <c r="S725" s="828"/>
      <c r="T725" s="828"/>
      <c r="U725" s="828"/>
      <c r="V725" s="828"/>
      <c r="W725" s="828"/>
      <c r="X725" s="828"/>
      <c r="Y725" s="828"/>
      <c r="Z725" s="828"/>
      <c r="AA725" s="828"/>
      <c r="AB725" s="828"/>
      <c r="AC725" s="828"/>
      <c r="AD725" s="828"/>
      <c r="AE725" s="828"/>
      <c r="AF725" s="828"/>
      <c r="AG725" s="828"/>
      <c r="AH725" s="828"/>
      <c r="AI725" s="828"/>
      <c r="AJ725" s="828"/>
    </row>
    <row r="726">
      <c r="A726" s="828"/>
      <c r="B726" s="828"/>
      <c r="C726" s="828"/>
      <c r="D726" s="828"/>
      <c r="E726" s="828"/>
      <c r="F726" s="828"/>
      <c r="G726" s="828"/>
      <c r="H726" s="828"/>
      <c r="I726" s="828"/>
      <c r="J726" s="828"/>
      <c r="K726" s="828"/>
      <c r="L726" s="828"/>
      <c r="M726" s="828"/>
      <c r="N726" s="828"/>
      <c r="O726" s="828"/>
      <c r="P726" s="828"/>
      <c r="Q726" s="828"/>
      <c r="R726" s="828"/>
      <c r="S726" s="828"/>
      <c r="T726" s="828"/>
      <c r="U726" s="828"/>
      <c r="V726" s="828"/>
      <c r="W726" s="828"/>
      <c r="X726" s="828"/>
      <c r="Y726" s="828"/>
      <c r="Z726" s="828"/>
      <c r="AA726" s="828"/>
      <c r="AB726" s="828"/>
      <c r="AC726" s="828"/>
      <c r="AD726" s="828"/>
      <c r="AE726" s="828"/>
      <c r="AF726" s="828"/>
      <c r="AG726" s="828"/>
      <c r="AH726" s="828"/>
      <c r="AI726" s="828"/>
      <c r="AJ726" s="828"/>
    </row>
    <row r="727">
      <c r="A727" s="828"/>
      <c r="B727" s="828"/>
      <c r="C727" s="828"/>
      <c r="D727" s="828"/>
      <c r="E727" s="828"/>
      <c r="F727" s="828"/>
      <c r="G727" s="828"/>
      <c r="H727" s="828"/>
      <c r="I727" s="828"/>
      <c r="J727" s="828"/>
      <c r="K727" s="828"/>
      <c r="L727" s="828"/>
      <c r="M727" s="828"/>
      <c r="N727" s="828"/>
      <c r="O727" s="828"/>
      <c r="P727" s="828"/>
      <c r="Q727" s="828"/>
      <c r="R727" s="828"/>
      <c r="S727" s="828"/>
      <c r="T727" s="828"/>
      <c r="U727" s="828"/>
      <c r="V727" s="828"/>
      <c r="W727" s="828"/>
      <c r="X727" s="828"/>
      <c r="Y727" s="828"/>
      <c r="Z727" s="828"/>
      <c r="AA727" s="828"/>
      <c r="AB727" s="828"/>
      <c r="AC727" s="828"/>
      <c r="AD727" s="828"/>
      <c r="AE727" s="828"/>
      <c r="AF727" s="828"/>
      <c r="AG727" s="828"/>
      <c r="AH727" s="828"/>
      <c r="AI727" s="828"/>
      <c r="AJ727" s="828"/>
    </row>
    <row r="728">
      <c r="A728" s="828"/>
      <c r="B728" s="828"/>
      <c r="C728" s="828"/>
      <c r="D728" s="828"/>
      <c r="E728" s="828"/>
      <c r="F728" s="828"/>
      <c r="G728" s="828"/>
      <c r="H728" s="828"/>
      <c r="I728" s="828"/>
      <c r="J728" s="828"/>
      <c r="K728" s="828"/>
      <c r="L728" s="828"/>
      <c r="M728" s="828"/>
      <c r="N728" s="828"/>
      <c r="O728" s="828"/>
      <c r="P728" s="828"/>
      <c r="Q728" s="828"/>
      <c r="R728" s="828"/>
      <c r="S728" s="828"/>
      <c r="T728" s="828"/>
      <c r="U728" s="828"/>
      <c r="V728" s="828"/>
      <c r="W728" s="828"/>
      <c r="X728" s="828"/>
      <c r="Y728" s="828"/>
      <c r="Z728" s="828"/>
      <c r="AA728" s="828"/>
      <c r="AB728" s="828"/>
      <c r="AC728" s="828"/>
      <c r="AD728" s="828"/>
      <c r="AE728" s="828"/>
      <c r="AF728" s="828"/>
      <c r="AG728" s="828"/>
      <c r="AH728" s="828"/>
      <c r="AI728" s="828"/>
      <c r="AJ728" s="828"/>
    </row>
    <row r="729">
      <c r="A729" s="828"/>
      <c r="B729" s="828"/>
      <c r="C729" s="828"/>
      <c r="D729" s="828"/>
      <c r="E729" s="828"/>
      <c r="F729" s="828"/>
      <c r="G729" s="828"/>
      <c r="H729" s="828"/>
      <c r="I729" s="828"/>
      <c r="J729" s="828"/>
      <c r="K729" s="828"/>
      <c r="L729" s="828"/>
      <c r="M729" s="828"/>
      <c r="N729" s="828"/>
      <c r="O729" s="828"/>
      <c r="P729" s="828"/>
      <c r="Q729" s="828"/>
      <c r="R729" s="828"/>
      <c r="S729" s="828"/>
      <c r="T729" s="828"/>
      <c r="U729" s="828"/>
      <c r="V729" s="828"/>
      <c r="W729" s="828"/>
      <c r="X729" s="828"/>
      <c r="Y729" s="828"/>
      <c r="Z729" s="828"/>
      <c r="AA729" s="828"/>
      <c r="AB729" s="828"/>
      <c r="AC729" s="828"/>
      <c r="AD729" s="828"/>
      <c r="AE729" s="828"/>
      <c r="AF729" s="828"/>
      <c r="AG729" s="828"/>
      <c r="AH729" s="828"/>
      <c r="AI729" s="828"/>
      <c r="AJ729" s="828"/>
    </row>
    <row r="730">
      <c r="A730" s="828"/>
      <c r="B730" s="828"/>
      <c r="C730" s="828"/>
      <c r="D730" s="828"/>
      <c r="E730" s="828"/>
      <c r="F730" s="828"/>
      <c r="G730" s="828"/>
      <c r="H730" s="828"/>
      <c r="I730" s="828"/>
      <c r="J730" s="828"/>
      <c r="K730" s="828"/>
      <c r="L730" s="828"/>
      <c r="M730" s="828"/>
      <c r="N730" s="828"/>
      <c r="O730" s="828"/>
      <c r="P730" s="828"/>
      <c r="Q730" s="828"/>
      <c r="R730" s="828"/>
      <c r="S730" s="828"/>
      <c r="T730" s="828"/>
      <c r="U730" s="828"/>
      <c r="V730" s="828"/>
      <c r="W730" s="828"/>
      <c r="X730" s="828"/>
      <c r="Y730" s="828"/>
      <c r="Z730" s="828"/>
      <c r="AA730" s="828"/>
      <c r="AB730" s="828"/>
      <c r="AC730" s="828"/>
      <c r="AD730" s="828"/>
      <c r="AE730" s="828"/>
      <c r="AF730" s="828"/>
      <c r="AG730" s="828"/>
      <c r="AH730" s="828"/>
      <c r="AI730" s="828"/>
      <c r="AJ730" s="828"/>
    </row>
    <row r="731">
      <c r="A731" s="828"/>
      <c r="B731" s="828"/>
      <c r="C731" s="828"/>
      <c r="D731" s="828"/>
      <c r="E731" s="828"/>
      <c r="F731" s="828"/>
      <c r="G731" s="828"/>
      <c r="H731" s="828"/>
      <c r="I731" s="828"/>
      <c r="J731" s="828"/>
      <c r="K731" s="828"/>
      <c r="L731" s="828"/>
      <c r="M731" s="828"/>
      <c r="N731" s="828"/>
      <c r="O731" s="828"/>
      <c r="P731" s="828"/>
      <c r="Q731" s="828"/>
      <c r="R731" s="828"/>
      <c r="S731" s="828"/>
      <c r="T731" s="828"/>
      <c r="U731" s="828"/>
      <c r="V731" s="828"/>
      <c r="W731" s="828"/>
      <c r="X731" s="828"/>
      <c r="Y731" s="828"/>
      <c r="Z731" s="828"/>
      <c r="AA731" s="828"/>
      <c r="AB731" s="828"/>
      <c r="AC731" s="828"/>
      <c r="AD731" s="828"/>
      <c r="AE731" s="828"/>
      <c r="AF731" s="828"/>
      <c r="AG731" s="828"/>
      <c r="AH731" s="828"/>
      <c r="AI731" s="828"/>
      <c r="AJ731" s="828"/>
    </row>
    <row r="732">
      <c r="A732" s="828"/>
      <c r="B732" s="828"/>
      <c r="C732" s="828"/>
      <c r="D732" s="828"/>
      <c r="E732" s="828"/>
      <c r="F732" s="828"/>
      <c r="G732" s="828"/>
      <c r="H732" s="828"/>
      <c r="I732" s="828"/>
      <c r="J732" s="828"/>
      <c r="K732" s="828"/>
      <c r="L732" s="828"/>
      <c r="M732" s="828"/>
      <c r="N732" s="828"/>
      <c r="O732" s="828"/>
      <c r="P732" s="828"/>
      <c r="Q732" s="828"/>
      <c r="R732" s="828"/>
      <c r="S732" s="828"/>
      <c r="T732" s="828"/>
      <c r="U732" s="828"/>
      <c r="V732" s="828"/>
      <c r="W732" s="828"/>
      <c r="X732" s="828"/>
      <c r="Y732" s="828"/>
      <c r="Z732" s="828"/>
      <c r="AA732" s="828"/>
      <c r="AB732" s="828"/>
      <c r="AC732" s="828"/>
      <c r="AD732" s="828"/>
      <c r="AE732" s="828"/>
      <c r="AF732" s="828"/>
      <c r="AG732" s="828"/>
      <c r="AH732" s="828"/>
      <c r="AI732" s="828"/>
      <c r="AJ732" s="828"/>
    </row>
    <row r="733">
      <c r="A733" s="828"/>
      <c r="B733" s="828"/>
      <c r="C733" s="828"/>
      <c r="D733" s="828"/>
      <c r="E733" s="828"/>
      <c r="F733" s="828"/>
      <c r="G733" s="828"/>
      <c r="H733" s="828"/>
      <c r="I733" s="828"/>
      <c r="J733" s="828"/>
      <c r="K733" s="828"/>
      <c r="L733" s="828"/>
      <c r="M733" s="828"/>
      <c r="N733" s="828"/>
      <c r="O733" s="828"/>
      <c r="P733" s="828"/>
      <c r="Q733" s="828"/>
      <c r="R733" s="828"/>
      <c r="S733" s="828"/>
      <c r="T733" s="828"/>
      <c r="U733" s="828"/>
      <c r="V733" s="828"/>
      <c r="W733" s="828"/>
      <c r="X733" s="828"/>
      <c r="Y733" s="828"/>
      <c r="Z733" s="828"/>
      <c r="AA733" s="828"/>
      <c r="AB733" s="828"/>
      <c r="AC733" s="828"/>
      <c r="AD733" s="828"/>
      <c r="AE733" s="828"/>
      <c r="AF733" s="828"/>
      <c r="AG733" s="828"/>
      <c r="AH733" s="828"/>
      <c r="AI733" s="828"/>
      <c r="AJ733" s="828"/>
    </row>
    <row r="734">
      <c r="A734" s="828"/>
      <c r="B734" s="828"/>
      <c r="C734" s="828"/>
      <c r="D734" s="828"/>
      <c r="E734" s="828"/>
      <c r="F734" s="828"/>
      <c r="G734" s="828"/>
      <c r="H734" s="828"/>
      <c r="I734" s="828"/>
      <c r="J734" s="828"/>
      <c r="K734" s="828"/>
      <c r="L734" s="828"/>
      <c r="M734" s="828"/>
      <c r="N734" s="828"/>
      <c r="O734" s="828"/>
      <c r="P734" s="828"/>
      <c r="Q734" s="828"/>
      <c r="R734" s="828"/>
      <c r="S734" s="828"/>
      <c r="T734" s="828"/>
      <c r="U734" s="828"/>
      <c r="V734" s="828"/>
      <c r="W734" s="828"/>
      <c r="X734" s="828"/>
      <c r="Y734" s="828"/>
      <c r="Z734" s="828"/>
      <c r="AA734" s="828"/>
      <c r="AB734" s="828"/>
      <c r="AC734" s="828"/>
      <c r="AD734" s="828"/>
      <c r="AE734" s="828"/>
      <c r="AF734" s="828"/>
      <c r="AG734" s="828"/>
      <c r="AH734" s="828"/>
      <c r="AI734" s="828"/>
      <c r="AJ734" s="828"/>
    </row>
    <row r="735">
      <c r="A735" s="828"/>
      <c r="B735" s="828"/>
      <c r="C735" s="828"/>
      <c r="D735" s="828"/>
      <c r="E735" s="828"/>
      <c r="F735" s="828"/>
      <c r="G735" s="828"/>
      <c r="H735" s="828"/>
      <c r="I735" s="828"/>
      <c r="J735" s="828"/>
      <c r="K735" s="828"/>
      <c r="L735" s="828"/>
      <c r="M735" s="828"/>
      <c r="N735" s="828"/>
      <c r="O735" s="828"/>
      <c r="P735" s="828"/>
      <c r="Q735" s="828"/>
      <c r="R735" s="828"/>
      <c r="S735" s="828"/>
      <c r="T735" s="828"/>
      <c r="U735" s="828"/>
      <c r="V735" s="828"/>
      <c r="W735" s="828"/>
      <c r="X735" s="828"/>
      <c r="Y735" s="828"/>
      <c r="Z735" s="828"/>
      <c r="AA735" s="828"/>
      <c r="AB735" s="828"/>
      <c r="AC735" s="828"/>
      <c r="AD735" s="828"/>
      <c r="AE735" s="828"/>
      <c r="AF735" s="828"/>
      <c r="AG735" s="828"/>
      <c r="AH735" s="828"/>
      <c r="AI735" s="828"/>
      <c r="AJ735" s="828"/>
    </row>
    <row r="736">
      <c r="A736" s="828"/>
      <c r="B736" s="828"/>
      <c r="C736" s="828"/>
      <c r="D736" s="828"/>
      <c r="E736" s="828"/>
      <c r="F736" s="828"/>
      <c r="G736" s="828"/>
      <c r="H736" s="828"/>
      <c r="I736" s="828"/>
      <c r="J736" s="828"/>
      <c r="K736" s="828"/>
      <c r="L736" s="828"/>
      <c r="M736" s="828"/>
      <c r="N736" s="828"/>
      <c r="O736" s="828"/>
      <c r="P736" s="828"/>
      <c r="Q736" s="828"/>
      <c r="R736" s="828"/>
      <c r="S736" s="828"/>
      <c r="T736" s="828"/>
      <c r="U736" s="828"/>
      <c r="V736" s="828"/>
      <c r="W736" s="828"/>
      <c r="X736" s="828"/>
      <c r="Y736" s="828"/>
      <c r="Z736" s="828"/>
      <c r="AA736" s="828"/>
      <c r="AB736" s="828"/>
      <c r="AC736" s="828"/>
      <c r="AD736" s="828"/>
      <c r="AE736" s="828"/>
      <c r="AF736" s="828"/>
      <c r="AG736" s="828"/>
      <c r="AH736" s="828"/>
      <c r="AI736" s="828"/>
      <c r="AJ736" s="828"/>
    </row>
    <row r="737">
      <c r="A737" s="828"/>
      <c r="B737" s="828"/>
      <c r="C737" s="828"/>
      <c r="D737" s="828"/>
      <c r="E737" s="828"/>
      <c r="F737" s="828"/>
      <c r="G737" s="828"/>
      <c r="H737" s="828"/>
      <c r="I737" s="828"/>
      <c r="J737" s="828"/>
      <c r="K737" s="828"/>
      <c r="L737" s="828"/>
      <c r="M737" s="828"/>
      <c r="N737" s="828"/>
      <c r="O737" s="828"/>
      <c r="P737" s="828"/>
      <c r="Q737" s="828"/>
      <c r="R737" s="828"/>
      <c r="S737" s="828"/>
      <c r="T737" s="828"/>
      <c r="U737" s="828"/>
      <c r="V737" s="828"/>
      <c r="W737" s="828"/>
      <c r="X737" s="828"/>
      <c r="Y737" s="828"/>
      <c r="Z737" s="828"/>
      <c r="AA737" s="828"/>
      <c r="AB737" s="828"/>
      <c r="AC737" s="828"/>
      <c r="AD737" s="828"/>
      <c r="AE737" s="828"/>
      <c r="AF737" s="828"/>
      <c r="AG737" s="828"/>
      <c r="AH737" s="828"/>
      <c r="AI737" s="828"/>
      <c r="AJ737" s="828"/>
    </row>
    <row r="738">
      <c r="A738" s="828"/>
      <c r="B738" s="828"/>
      <c r="C738" s="828"/>
      <c r="D738" s="828"/>
      <c r="E738" s="828"/>
      <c r="F738" s="828"/>
      <c r="G738" s="828"/>
      <c r="H738" s="828"/>
      <c r="I738" s="828"/>
      <c r="J738" s="828"/>
      <c r="K738" s="828"/>
      <c r="L738" s="828"/>
      <c r="M738" s="828"/>
      <c r="N738" s="828"/>
      <c r="O738" s="828"/>
      <c r="P738" s="828"/>
      <c r="Q738" s="828"/>
      <c r="R738" s="828"/>
      <c r="S738" s="828"/>
      <c r="T738" s="828"/>
      <c r="U738" s="828"/>
      <c r="V738" s="828"/>
      <c r="W738" s="828"/>
      <c r="X738" s="828"/>
      <c r="Y738" s="828"/>
      <c r="Z738" s="828"/>
      <c r="AA738" s="828"/>
      <c r="AB738" s="828"/>
      <c r="AC738" s="828"/>
      <c r="AD738" s="828"/>
      <c r="AE738" s="828"/>
      <c r="AF738" s="828"/>
      <c r="AG738" s="828"/>
      <c r="AH738" s="828"/>
      <c r="AI738" s="828"/>
      <c r="AJ738" s="828"/>
    </row>
    <row r="739">
      <c r="A739" s="828"/>
      <c r="B739" s="828"/>
      <c r="C739" s="828"/>
      <c r="D739" s="828"/>
      <c r="E739" s="828"/>
      <c r="F739" s="828"/>
      <c r="G739" s="828"/>
      <c r="H739" s="828"/>
      <c r="I739" s="828"/>
      <c r="J739" s="828"/>
      <c r="K739" s="828"/>
      <c r="L739" s="828"/>
      <c r="M739" s="828"/>
      <c r="N739" s="828"/>
      <c r="O739" s="828"/>
      <c r="P739" s="828"/>
      <c r="Q739" s="828"/>
      <c r="R739" s="828"/>
      <c r="S739" s="828"/>
      <c r="T739" s="828"/>
      <c r="U739" s="828"/>
      <c r="V739" s="828"/>
      <c r="W739" s="828"/>
      <c r="X739" s="828"/>
      <c r="Y739" s="828"/>
      <c r="Z739" s="828"/>
      <c r="AA739" s="828"/>
      <c r="AB739" s="828"/>
      <c r="AC739" s="828"/>
      <c r="AD739" s="828"/>
      <c r="AE739" s="828"/>
      <c r="AF739" s="828"/>
      <c r="AG739" s="828"/>
      <c r="AH739" s="828"/>
      <c r="AI739" s="828"/>
      <c r="AJ739" s="828"/>
    </row>
    <row r="740">
      <c r="A740" s="828"/>
      <c r="B740" s="828"/>
      <c r="C740" s="828"/>
      <c r="D740" s="828"/>
      <c r="E740" s="828"/>
      <c r="F740" s="828"/>
      <c r="G740" s="828"/>
      <c r="H740" s="828"/>
      <c r="I740" s="828"/>
      <c r="J740" s="828"/>
      <c r="K740" s="828"/>
      <c r="L740" s="828"/>
      <c r="M740" s="828"/>
      <c r="N740" s="828"/>
      <c r="O740" s="828"/>
      <c r="P740" s="828"/>
      <c r="Q740" s="828"/>
      <c r="R740" s="828"/>
      <c r="S740" s="828"/>
      <c r="T740" s="828"/>
      <c r="U740" s="828"/>
      <c r="V740" s="828"/>
      <c r="W740" s="828"/>
      <c r="X740" s="828"/>
      <c r="Y740" s="828"/>
      <c r="Z740" s="828"/>
      <c r="AA740" s="828"/>
      <c r="AB740" s="828"/>
      <c r="AC740" s="828"/>
      <c r="AD740" s="828"/>
      <c r="AE740" s="828"/>
      <c r="AF740" s="828"/>
      <c r="AG740" s="828"/>
      <c r="AH740" s="828"/>
      <c r="AI740" s="828"/>
      <c r="AJ740" s="828"/>
    </row>
    <row r="741">
      <c r="A741" s="828"/>
      <c r="B741" s="828"/>
      <c r="C741" s="828"/>
      <c r="D741" s="828"/>
      <c r="E741" s="828"/>
      <c r="F741" s="828"/>
      <c r="G741" s="828"/>
      <c r="H741" s="828"/>
      <c r="I741" s="828"/>
      <c r="J741" s="828"/>
      <c r="K741" s="828"/>
      <c r="L741" s="828"/>
      <c r="M741" s="828"/>
      <c r="N741" s="828"/>
      <c r="O741" s="828"/>
      <c r="P741" s="828"/>
      <c r="Q741" s="828"/>
      <c r="R741" s="828"/>
      <c r="S741" s="828"/>
      <c r="T741" s="828"/>
      <c r="U741" s="828"/>
      <c r="V741" s="828"/>
      <c r="W741" s="828"/>
      <c r="X741" s="828"/>
      <c r="Y741" s="828"/>
      <c r="Z741" s="828"/>
      <c r="AA741" s="828"/>
      <c r="AB741" s="828"/>
      <c r="AC741" s="828"/>
      <c r="AD741" s="828"/>
      <c r="AE741" s="828"/>
      <c r="AF741" s="828"/>
      <c r="AG741" s="828"/>
      <c r="AH741" s="828"/>
      <c r="AI741" s="828"/>
      <c r="AJ741" s="828"/>
    </row>
    <row r="742">
      <c r="A742" s="828"/>
      <c r="B742" s="828"/>
      <c r="C742" s="828"/>
      <c r="D742" s="828"/>
      <c r="E742" s="828"/>
      <c r="F742" s="828"/>
      <c r="G742" s="828"/>
      <c r="H742" s="828"/>
      <c r="I742" s="828"/>
      <c r="J742" s="828"/>
      <c r="K742" s="828"/>
      <c r="L742" s="828"/>
      <c r="M742" s="828"/>
      <c r="N742" s="828"/>
      <c r="O742" s="828"/>
      <c r="P742" s="828"/>
      <c r="Q742" s="828"/>
      <c r="R742" s="828"/>
      <c r="S742" s="828"/>
      <c r="T742" s="828"/>
      <c r="U742" s="828"/>
      <c r="V742" s="828"/>
      <c r="W742" s="828"/>
      <c r="X742" s="828"/>
      <c r="Y742" s="828"/>
      <c r="Z742" s="828"/>
      <c r="AA742" s="828"/>
      <c r="AB742" s="828"/>
      <c r="AC742" s="828"/>
      <c r="AD742" s="828"/>
      <c r="AE742" s="828"/>
      <c r="AF742" s="828"/>
      <c r="AG742" s="828"/>
      <c r="AH742" s="828"/>
      <c r="AI742" s="828"/>
      <c r="AJ742" s="828"/>
    </row>
    <row r="743">
      <c r="A743" s="828"/>
      <c r="B743" s="828"/>
      <c r="C743" s="828"/>
      <c r="D743" s="828"/>
      <c r="E743" s="828"/>
      <c r="F743" s="828"/>
      <c r="G743" s="828"/>
      <c r="H743" s="828"/>
      <c r="I743" s="828"/>
      <c r="J743" s="828"/>
      <c r="K743" s="828"/>
      <c r="L743" s="828"/>
      <c r="M743" s="828"/>
      <c r="N743" s="828"/>
      <c r="O743" s="828"/>
      <c r="P743" s="828"/>
      <c r="Q743" s="828"/>
      <c r="R743" s="828"/>
      <c r="S743" s="828"/>
      <c r="T743" s="828"/>
      <c r="U743" s="828"/>
      <c r="V743" s="828"/>
      <c r="W743" s="828"/>
      <c r="X743" s="828"/>
      <c r="Y743" s="828"/>
      <c r="Z743" s="828"/>
      <c r="AA743" s="828"/>
      <c r="AB743" s="828"/>
      <c r="AC743" s="828"/>
      <c r="AD743" s="828"/>
      <c r="AE743" s="828"/>
      <c r="AF743" s="828"/>
      <c r="AG743" s="828"/>
      <c r="AH743" s="828"/>
      <c r="AI743" s="828"/>
      <c r="AJ743" s="828"/>
    </row>
    <row r="744">
      <c r="A744" s="828"/>
      <c r="B744" s="828"/>
      <c r="C744" s="828"/>
      <c r="D744" s="828"/>
      <c r="E744" s="828"/>
      <c r="F744" s="828"/>
      <c r="G744" s="828"/>
      <c r="H744" s="828"/>
      <c r="I744" s="828"/>
      <c r="J744" s="828"/>
      <c r="K744" s="828"/>
      <c r="L744" s="828"/>
      <c r="M744" s="828"/>
      <c r="N744" s="828"/>
      <c r="O744" s="828"/>
      <c r="P744" s="828"/>
      <c r="Q744" s="828"/>
      <c r="R744" s="828"/>
      <c r="S744" s="828"/>
      <c r="T744" s="828"/>
      <c r="U744" s="828"/>
      <c r="V744" s="828"/>
      <c r="W744" s="828"/>
      <c r="X744" s="828"/>
      <c r="Y744" s="828"/>
      <c r="Z744" s="828"/>
      <c r="AA744" s="828"/>
      <c r="AB744" s="828"/>
      <c r="AC744" s="828"/>
      <c r="AD744" s="828"/>
      <c r="AE744" s="828"/>
      <c r="AF744" s="828"/>
      <c r="AG744" s="828"/>
      <c r="AH744" s="828"/>
      <c r="AI744" s="828"/>
      <c r="AJ744" s="828"/>
    </row>
    <row r="745">
      <c r="A745" s="828"/>
      <c r="B745" s="828"/>
      <c r="C745" s="828"/>
      <c r="D745" s="828"/>
      <c r="E745" s="828"/>
      <c r="F745" s="828"/>
      <c r="G745" s="828"/>
      <c r="H745" s="828"/>
      <c r="I745" s="828"/>
      <c r="J745" s="828"/>
      <c r="K745" s="828"/>
      <c r="L745" s="828"/>
      <c r="M745" s="828"/>
      <c r="N745" s="828"/>
      <c r="O745" s="828"/>
      <c r="P745" s="828"/>
      <c r="Q745" s="828"/>
      <c r="R745" s="828"/>
      <c r="S745" s="828"/>
      <c r="T745" s="828"/>
      <c r="U745" s="828"/>
      <c r="V745" s="828"/>
      <c r="W745" s="828"/>
      <c r="X745" s="828"/>
      <c r="Y745" s="828"/>
      <c r="Z745" s="828"/>
      <c r="AA745" s="828"/>
      <c r="AB745" s="828"/>
      <c r="AC745" s="828"/>
      <c r="AD745" s="828"/>
      <c r="AE745" s="828"/>
      <c r="AF745" s="828"/>
      <c r="AG745" s="828"/>
      <c r="AH745" s="828"/>
      <c r="AI745" s="828"/>
      <c r="AJ745" s="828"/>
    </row>
    <row r="746">
      <c r="A746" s="828"/>
      <c r="B746" s="828"/>
      <c r="C746" s="828"/>
      <c r="D746" s="828"/>
      <c r="E746" s="828"/>
      <c r="F746" s="828"/>
      <c r="G746" s="828"/>
      <c r="H746" s="828"/>
      <c r="I746" s="828"/>
      <c r="J746" s="828"/>
      <c r="K746" s="828"/>
      <c r="L746" s="828"/>
      <c r="M746" s="828"/>
      <c r="N746" s="828"/>
      <c r="O746" s="828"/>
      <c r="P746" s="828"/>
      <c r="Q746" s="828"/>
      <c r="R746" s="828"/>
      <c r="S746" s="828"/>
      <c r="T746" s="828"/>
      <c r="U746" s="828"/>
      <c r="V746" s="828"/>
      <c r="W746" s="828"/>
      <c r="X746" s="828"/>
      <c r="Y746" s="828"/>
      <c r="Z746" s="828"/>
      <c r="AA746" s="828"/>
      <c r="AB746" s="828"/>
      <c r="AC746" s="828"/>
      <c r="AD746" s="828"/>
      <c r="AE746" s="828"/>
      <c r="AF746" s="828"/>
      <c r="AG746" s="828"/>
      <c r="AH746" s="828"/>
      <c r="AI746" s="828"/>
      <c r="AJ746" s="828"/>
    </row>
    <row r="747">
      <c r="A747" s="828"/>
      <c r="B747" s="828"/>
      <c r="C747" s="828"/>
      <c r="D747" s="828"/>
      <c r="E747" s="828"/>
      <c r="F747" s="828"/>
      <c r="G747" s="828"/>
      <c r="H747" s="828"/>
      <c r="I747" s="828"/>
      <c r="J747" s="828"/>
      <c r="K747" s="828"/>
      <c r="L747" s="828"/>
      <c r="M747" s="828"/>
      <c r="N747" s="828"/>
      <c r="O747" s="828"/>
      <c r="P747" s="828"/>
      <c r="Q747" s="828"/>
      <c r="R747" s="828"/>
      <c r="S747" s="828"/>
      <c r="T747" s="828"/>
      <c r="U747" s="828"/>
      <c r="V747" s="828"/>
      <c r="W747" s="828"/>
      <c r="X747" s="828"/>
      <c r="Y747" s="828"/>
      <c r="Z747" s="828"/>
      <c r="AA747" s="828"/>
      <c r="AB747" s="828"/>
      <c r="AC747" s="828"/>
      <c r="AD747" s="828"/>
      <c r="AE747" s="828"/>
      <c r="AF747" s="828"/>
      <c r="AG747" s="828"/>
      <c r="AH747" s="828"/>
      <c r="AI747" s="828"/>
      <c r="AJ747" s="828"/>
    </row>
    <row r="748">
      <c r="A748" s="828"/>
      <c r="B748" s="828"/>
      <c r="C748" s="828"/>
      <c r="D748" s="828"/>
      <c r="E748" s="828"/>
      <c r="F748" s="828"/>
      <c r="G748" s="828"/>
      <c r="H748" s="828"/>
      <c r="I748" s="828"/>
      <c r="J748" s="828"/>
      <c r="K748" s="828"/>
      <c r="L748" s="828"/>
      <c r="M748" s="828"/>
      <c r="N748" s="828"/>
      <c r="O748" s="828"/>
      <c r="P748" s="828"/>
      <c r="Q748" s="828"/>
      <c r="R748" s="828"/>
      <c r="S748" s="828"/>
      <c r="T748" s="828"/>
      <c r="U748" s="828"/>
      <c r="V748" s="828"/>
      <c r="W748" s="828"/>
      <c r="X748" s="828"/>
      <c r="Y748" s="828"/>
      <c r="Z748" s="828"/>
      <c r="AA748" s="828"/>
      <c r="AB748" s="828"/>
      <c r="AC748" s="828"/>
      <c r="AD748" s="828"/>
      <c r="AE748" s="828"/>
      <c r="AF748" s="828"/>
      <c r="AG748" s="828"/>
      <c r="AH748" s="828"/>
      <c r="AI748" s="828"/>
      <c r="AJ748" s="828"/>
    </row>
    <row r="749">
      <c r="A749" s="828"/>
      <c r="B749" s="828"/>
      <c r="C749" s="828"/>
      <c r="D749" s="828"/>
      <c r="E749" s="828"/>
      <c r="F749" s="828"/>
      <c r="G749" s="828"/>
      <c r="H749" s="828"/>
      <c r="I749" s="828"/>
      <c r="J749" s="828"/>
      <c r="K749" s="828"/>
      <c r="L749" s="828"/>
      <c r="M749" s="828"/>
      <c r="N749" s="828"/>
      <c r="O749" s="828"/>
      <c r="P749" s="828"/>
      <c r="Q749" s="828"/>
      <c r="R749" s="828"/>
      <c r="S749" s="828"/>
      <c r="T749" s="828"/>
      <c r="U749" s="828"/>
      <c r="V749" s="828"/>
      <c r="W749" s="828"/>
      <c r="X749" s="828"/>
      <c r="Y749" s="828"/>
      <c r="Z749" s="828"/>
      <c r="AA749" s="828"/>
      <c r="AB749" s="828"/>
      <c r="AC749" s="828"/>
      <c r="AD749" s="828"/>
      <c r="AE749" s="828"/>
      <c r="AF749" s="828"/>
      <c r="AG749" s="828"/>
      <c r="AH749" s="828"/>
      <c r="AI749" s="828"/>
      <c r="AJ749" s="828"/>
    </row>
    <row r="750">
      <c r="A750" s="828"/>
      <c r="B750" s="828"/>
      <c r="C750" s="828"/>
      <c r="D750" s="828"/>
      <c r="E750" s="828"/>
      <c r="F750" s="828"/>
      <c r="G750" s="828"/>
      <c r="H750" s="828"/>
      <c r="I750" s="828"/>
      <c r="J750" s="828"/>
      <c r="K750" s="828"/>
      <c r="L750" s="828"/>
      <c r="M750" s="828"/>
      <c r="N750" s="828"/>
      <c r="O750" s="828"/>
      <c r="P750" s="828"/>
      <c r="Q750" s="828"/>
      <c r="R750" s="828"/>
      <c r="S750" s="828"/>
      <c r="T750" s="828"/>
      <c r="U750" s="828"/>
      <c r="V750" s="828"/>
      <c r="W750" s="828"/>
      <c r="X750" s="828"/>
      <c r="Y750" s="828"/>
      <c r="Z750" s="828"/>
      <c r="AA750" s="828"/>
      <c r="AB750" s="828"/>
      <c r="AC750" s="828"/>
      <c r="AD750" s="828"/>
      <c r="AE750" s="828"/>
      <c r="AF750" s="828"/>
      <c r="AG750" s="828"/>
      <c r="AH750" s="828"/>
      <c r="AI750" s="828"/>
      <c r="AJ750" s="828"/>
    </row>
    <row r="751">
      <c r="A751" s="828"/>
      <c r="B751" s="828"/>
      <c r="C751" s="828"/>
      <c r="D751" s="828"/>
      <c r="E751" s="828"/>
      <c r="F751" s="828"/>
      <c r="G751" s="828"/>
      <c r="H751" s="828"/>
      <c r="I751" s="828"/>
      <c r="J751" s="828"/>
      <c r="K751" s="828"/>
      <c r="L751" s="828"/>
      <c r="M751" s="828"/>
      <c r="N751" s="828"/>
      <c r="O751" s="828"/>
      <c r="P751" s="828"/>
      <c r="Q751" s="828"/>
      <c r="R751" s="828"/>
      <c r="S751" s="828"/>
      <c r="T751" s="828"/>
      <c r="U751" s="828"/>
      <c r="V751" s="828"/>
      <c r="W751" s="828"/>
      <c r="X751" s="828"/>
      <c r="Y751" s="828"/>
      <c r="Z751" s="828"/>
      <c r="AA751" s="828"/>
      <c r="AB751" s="828"/>
      <c r="AC751" s="828"/>
      <c r="AD751" s="828"/>
      <c r="AE751" s="828"/>
      <c r="AF751" s="828"/>
      <c r="AG751" s="828"/>
      <c r="AH751" s="828"/>
      <c r="AI751" s="828"/>
      <c r="AJ751" s="828"/>
    </row>
    <row r="752">
      <c r="A752" s="828"/>
      <c r="B752" s="828"/>
      <c r="C752" s="828"/>
      <c r="D752" s="828"/>
      <c r="E752" s="828"/>
      <c r="F752" s="828"/>
      <c r="G752" s="828"/>
      <c r="H752" s="828"/>
      <c r="I752" s="828"/>
      <c r="J752" s="828"/>
      <c r="K752" s="828"/>
      <c r="L752" s="828"/>
      <c r="M752" s="828"/>
      <c r="N752" s="828"/>
      <c r="O752" s="828"/>
      <c r="P752" s="828"/>
      <c r="Q752" s="828"/>
      <c r="R752" s="828"/>
      <c r="S752" s="828"/>
      <c r="T752" s="828"/>
      <c r="U752" s="828"/>
      <c r="V752" s="828"/>
      <c r="W752" s="828"/>
      <c r="X752" s="828"/>
      <c r="Y752" s="828"/>
      <c r="Z752" s="828"/>
      <c r="AA752" s="828"/>
      <c r="AB752" s="828"/>
      <c r="AC752" s="828"/>
      <c r="AD752" s="828"/>
      <c r="AE752" s="828"/>
      <c r="AF752" s="828"/>
      <c r="AG752" s="828"/>
      <c r="AH752" s="828"/>
      <c r="AI752" s="828"/>
      <c r="AJ752" s="828"/>
    </row>
    <row r="753">
      <c r="A753" s="828"/>
      <c r="B753" s="828"/>
      <c r="C753" s="828"/>
      <c r="D753" s="828"/>
      <c r="E753" s="828"/>
      <c r="F753" s="828"/>
      <c r="G753" s="828"/>
      <c r="H753" s="828"/>
      <c r="I753" s="828"/>
      <c r="J753" s="828"/>
      <c r="K753" s="828"/>
      <c r="L753" s="828"/>
      <c r="M753" s="828"/>
      <c r="N753" s="828"/>
      <c r="O753" s="828"/>
      <c r="P753" s="828"/>
      <c r="Q753" s="828"/>
      <c r="R753" s="828"/>
      <c r="S753" s="828"/>
      <c r="T753" s="828"/>
      <c r="U753" s="828"/>
      <c r="V753" s="828"/>
      <c r="W753" s="828"/>
      <c r="X753" s="828"/>
      <c r="Y753" s="828"/>
      <c r="Z753" s="828"/>
      <c r="AA753" s="828"/>
      <c r="AB753" s="828"/>
      <c r="AC753" s="828"/>
      <c r="AD753" s="828"/>
      <c r="AE753" s="828"/>
      <c r="AF753" s="828"/>
      <c r="AG753" s="828"/>
      <c r="AH753" s="828"/>
      <c r="AI753" s="828"/>
      <c r="AJ753" s="828"/>
    </row>
    <row r="754">
      <c r="A754" s="828"/>
      <c r="B754" s="828"/>
      <c r="C754" s="828"/>
      <c r="D754" s="828"/>
      <c r="E754" s="828"/>
      <c r="F754" s="828"/>
      <c r="G754" s="828"/>
      <c r="H754" s="828"/>
      <c r="I754" s="828"/>
      <c r="J754" s="828"/>
      <c r="K754" s="828"/>
      <c r="L754" s="828"/>
      <c r="M754" s="828"/>
      <c r="N754" s="828"/>
      <c r="O754" s="828"/>
      <c r="P754" s="828"/>
      <c r="Q754" s="828"/>
      <c r="R754" s="828"/>
      <c r="S754" s="828"/>
      <c r="T754" s="828"/>
      <c r="U754" s="828"/>
      <c r="V754" s="828"/>
      <c r="W754" s="828"/>
      <c r="X754" s="828"/>
      <c r="Y754" s="828"/>
      <c r="Z754" s="828"/>
      <c r="AA754" s="828"/>
      <c r="AB754" s="828"/>
      <c r="AC754" s="828"/>
      <c r="AD754" s="828"/>
      <c r="AE754" s="828"/>
      <c r="AF754" s="828"/>
      <c r="AG754" s="828"/>
      <c r="AH754" s="828"/>
      <c r="AI754" s="828"/>
      <c r="AJ754" s="828"/>
    </row>
    <row r="755">
      <c r="A755" s="828"/>
      <c r="B755" s="828"/>
      <c r="C755" s="828"/>
      <c r="D755" s="828"/>
      <c r="E755" s="828"/>
      <c r="F755" s="828"/>
      <c r="G755" s="828"/>
      <c r="H755" s="828"/>
      <c r="I755" s="828"/>
      <c r="J755" s="828"/>
      <c r="K755" s="828"/>
      <c r="L755" s="828"/>
      <c r="M755" s="828"/>
      <c r="N755" s="828"/>
      <c r="O755" s="828"/>
      <c r="P755" s="828"/>
      <c r="Q755" s="828"/>
      <c r="R755" s="828"/>
      <c r="S755" s="828"/>
      <c r="T755" s="828"/>
      <c r="U755" s="828"/>
      <c r="V755" s="828"/>
      <c r="W755" s="828"/>
      <c r="X755" s="828"/>
      <c r="Y755" s="828"/>
      <c r="Z755" s="828"/>
      <c r="AA755" s="828"/>
      <c r="AB755" s="828"/>
      <c r="AC755" s="828"/>
      <c r="AD755" s="828"/>
      <c r="AE755" s="828"/>
      <c r="AF755" s="828"/>
      <c r="AG755" s="828"/>
      <c r="AH755" s="828"/>
      <c r="AI755" s="828"/>
      <c r="AJ755" s="828"/>
    </row>
    <row r="756">
      <c r="A756" s="828"/>
      <c r="B756" s="828"/>
      <c r="C756" s="828"/>
      <c r="D756" s="828"/>
      <c r="E756" s="828"/>
      <c r="F756" s="828"/>
      <c r="G756" s="828"/>
      <c r="H756" s="828"/>
      <c r="I756" s="828"/>
      <c r="J756" s="828"/>
      <c r="K756" s="828"/>
      <c r="L756" s="828"/>
      <c r="M756" s="828"/>
      <c r="N756" s="828"/>
      <c r="O756" s="828"/>
      <c r="P756" s="828"/>
      <c r="Q756" s="828"/>
      <c r="R756" s="828"/>
      <c r="S756" s="828"/>
      <c r="T756" s="828"/>
      <c r="U756" s="828"/>
      <c r="V756" s="828"/>
      <c r="W756" s="828"/>
      <c r="X756" s="828"/>
      <c r="Y756" s="828"/>
      <c r="Z756" s="828"/>
      <c r="AA756" s="828"/>
      <c r="AB756" s="828"/>
      <c r="AC756" s="828"/>
      <c r="AD756" s="828"/>
      <c r="AE756" s="828"/>
      <c r="AF756" s="828"/>
      <c r="AG756" s="828"/>
      <c r="AH756" s="828"/>
      <c r="AI756" s="828"/>
      <c r="AJ756" s="828"/>
    </row>
    <row r="757">
      <c r="A757" s="828"/>
      <c r="B757" s="828"/>
      <c r="C757" s="828"/>
      <c r="D757" s="828"/>
      <c r="E757" s="828"/>
      <c r="F757" s="828"/>
      <c r="G757" s="828"/>
      <c r="H757" s="828"/>
      <c r="I757" s="828"/>
      <c r="J757" s="828"/>
      <c r="K757" s="828"/>
      <c r="L757" s="828"/>
      <c r="M757" s="828"/>
      <c r="N757" s="828"/>
      <c r="O757" s="828"/>
      <c r="P757" s="828"/>
      <c r="Q757" s="828"/>
      <c r="R757" s="828"/>
      <c r="S757" s="828"/>
      <c r="T757" s="828"/>
      <c r="U757" s="828"/>
      <c r="V757" s="828"/>
      <c r="W757" s="828"/>
      <c r="X757" s="828"/>
      <c r="Y757" s="828"/>
      <c r="Z757" s="828"/>
      <c r="AA757" s="828"/>
      <c r="AB757" s="828"/>
      <c r="AC757" s="828"/>
      <c r="AD757" s="828"/>
      <c r="AE757" s="828"/>
      <c r="AF757" s="828"/>
      <c r="AG757" s="828"/>
      <c r="AH757" s="828"/>
      <c r="AI757" s="828"/>
      <c r="AJ757" s="828"/>
    </row>
    <row r="758">
      <c r="A758" s="828"/>
      <c r="B758" s="828"/>
      <c r="C758" s="828"/>
      <c r="D758" s="828"/>
      <c r="E758" s="828"/>
      <c r="F758" s="828"/>
      <c r="G758" s="828"/>
      <c r="H758" s="828"/>
      <c r="I758" s="828"/>
      <c r="J758" s="828"/>
      <c r="K758" s="828"/>
      <c r="L758" s="828"/>
      <c r="M758" s="828"/>
      <c r="N758" s="828"/>
      <c r="O758" s="828"/>
      <c r="P758" s="828"/>
      <c r="Q758" s="828"/>
      <c r="R758" s="828"/>
      <c r="S758" s="828"/>
      <c r="T758" s="828"/>
      <c r="U758" s="828"/>
      <c r="V758" s="828"/>
      <c r="W758" s="828"/>
      <c r="X758" s="828"/>
      <c r="Y758" s="828"/>
      <c r="Z758" s="828"/>
      <c r="AA758" s="828"/>
      <c r="AB758" s="828"/>
      <c r="AC758" s="828"/>
      <c r="AD758" s="828"/>
      <c r="AE758" s="828"/>
      <c r="AF758" s="828"/>
      <c r="AG758" s="828"/>
      <c r="AH758" s="828"/>
      <c r="AI758" s="828"/>
      <c r="AJ758" s="828"/>
    </row>
    <row r="759">
      <c r="A759" s="828"/>
      <c r="B759" s="828"/>
      <c r="C759" s="828"/>
      <c r="D759" s="828"/>
      <c r="E759" s="828"/>
      <c r="F759" s="828"/>
      <c r="G759" s="828"/>
      <c r="H759" s="828"/>
      <c r="I759" s="828"/>
      <c r="J759" s="828"/>
      <c r="K759" s="828"/>
      <c r="L759" s="828"/>
      <c r="M759" s="828"/>
      <c r="N759" s="828"/>
      <c r="O759" s="828"/>
      <c r="P759" s="828"/>
      <c r="Q759" s="828"/>
      <c r="R759" s="828"/>
      <c r="S759" s="828"/>
      <c r="T759" s="828"/>
      <c r="U759" s="828"/>
      <c r="V759" s="828"/>
      <c r="W759" s="828"/>
      <c r="X759" s="828"/>
      <c r="Y759" s="828"/>
      <c r="Z759" s="828"/>
      <c r="AA759" s="828"/>
      <c r="AB759" s="828"/>
      <c r="AC759" s="828"/>
      <c r="AD759" s="828"/>
      <c r="AE759" s="828"/>
      <c r="AF759" s="828"/>
      <c r="AG759" s="828"/>
      <c r="AH759" s="828"/>
      <c r="AI759" s="828"/>
      <c r="AJ759" s="828"/>
    </row>
    <row r="760">
      <c r="A760" s="828"/>
      <c r="B760" s="828"/>
      <c r="C760" s="828"/>
      <c r="D760" s="828"/>
      <c r="E760" s="828"/>
      <c r="F760" s="828"/>
      <c r="G760" s="828"/>
      <c r="H760" s="828"/>
      <c r="I760" s="828"/>
      <c r="J760" s="828"/>
      <c r="K760" s="828"/>
      <c r="L760" s="828"/>
      <c r="M760" s="828"/>
      <c r="N760" s="828"/>
      <c r="O760" s="828"/>
      <c r="P760" s="828"/>
      <c r="Q760" s="828"/>
      <c r="R760" s="828"/>
      <c r="S760" s="828"/>
      <c r="T760" s="828"/>
      <c r="U760" s="828"/>
      <c r="V760" s="828"/>
      <c r="W760" s="828"/>
      <c r="X760" s="828"/>
      <c r="Y760" s="828"/>
      <c r="Z760" s="828"/>
      <c r="AA760" s="828"/>
      <c r="AB760" s="828"/>
      <c r="AC760" s="828"/>
      <c r="AD760" s="828"/>
      <c r="AE760" s="828"/>
      <c r="AF760" s="828"/>
      <c r="AG760" s="828"/>
      <c r="AH760" s="828"/>
      <c r="AI760" s="828"/>
      <c r="AJ760" s="828"/>
    </row>
    <row r="761">
      <c r="A761" s="828"/>
      <c r="B761" s="828"/>
      <c r="C761" s="828"/>
      <c r="D761" s="828"/>
      <c r="E761" s="828"/>
      <c r="F761" s="828"/>
      <c r="G761" s="828"/>
      <c r="H761" s="828"/>
      <c r="I761" s="828"/>
      <c r="J761" s="828"/>
      <c r="K761" s="828"/>
      <c r="L761" s="828"/>
      <c r="M761" s="828"/>
      <c r="N761" s="828"/>
      <c r="O761" s="828"/>
      <c r="P761" s="828"/>
      <c r="Q761" s="828"/>
      <c r="R761" s="828"/>
      <c r="S761" s="828"/>
      <c r="T761" s="828"/>
      <c r="U761" s="828"/>
      <c r="V761" s="828"/>
      <c r="W761" s="828"/>
      <c r="X761" s="828"/>
      <c r="Y761" s="828"/>
      <c r="Z761" s="828"/>
      <c r="AA761" s="828"/>
      <c r="AB761" s="828"/>
      <c r="AC761" s="828"/>
      <c r="AD761" s="828"/>
      <c r="AE761" s="828"/>
      <c r="AF761" s="828"/>
      <c r="AG761" s="828"/>
      <c r="AH761" s="828"/>
      <c r="AI761" s="828"/>
      <c r="AJ761" s="828"/>
    </row>
    <row r="762">
      <c r="A762" s="828"/>
      <c r="B762" s="828"/>
      <c r="C762" s="828"/>
      <c r="D762" s="828"/>
      <c r="E762" s="828"/>
      <c r="F762" s="828"/>
      <c r="G762" s="828"/>
      <c r="H762" s="828"/>
      <c r="I762" s="828"/>
      <c r="J762" s="828"/>
      <c r="K762" s="828"/>
      <c r="L762" s="828"/>
      <c r="M762" s="828"/>
      <c r="N762" s="828"/>
      <c r="O762" s="828"/>
      <c r="P762" s="828"/>
      <c r="Q762" s="828"/>
      <c r="R762" s="828"/>
      <c r="S762" s="828"/>
      <c r="T762" s="828"/>
      <c r="U762" s="828"/>
      <c r="V762" s="828"/>
      <c r="W762" s="828"/>
      <c r="X762" s="828"/>
      <c r="Y762" s="828"/>
      <c r="Z762" s="828"/>
      <c r="AA762" s="828"/>
      <c r="AB762" s="828"/>
      <c r="AC762" s="828"/>
      <c r="AD762" s="828"/>
      <c r="AE762" s="828"/>
      <c r="AF762" s="828"/>
      <c r="AG762" s="828"/>
      <c r="AH762" s="828"/>
      <c r="AI762" s="828"/>
      <c r="AJ762" s="828"/>
    </row>
    <row r="763">
      <c r="A763" s="828"/>
      <c r="B763" s="828"/>
      <c r="C763" s="828"/>
      <c r="D763" s="828"/>
      <c r="E763" s="828"/>
      <c r="F763" s="828"/>
      <c r="G763" s="828"/>
      <c r="H763" s="828"/>
      <c r="I763" s="828"/>
      <c r="J763" s="828"/>
      <c r="K763" s="828"/>
      <c r="L763" s="828"/>
      <c r="M763" s="828"/>
      <c r="N763" s="828"/>
      <c r="O763" s="828"/>
      <c r="P763" s="828"/>
      <c r="Q763" s="828"/>
      <c r="R763" s="828"/>
      <c r="S763" s="828"/>
      <c r="T763" s="828"/>
      <c r="U763" s="828"/>
      <c r="V763" s="828"/>
      <c r="W763" s="828"/>
      <c r="X763" s="828"/>
      <c r="Y763" s="828"/>
      <c r="Z763" s="828"/>
      <c r="AA763" s="828"/>
      <c r="AB763" s="828"/>
      <c r="AC763" s="828"/>
      <c r="AD763" s="828"/>
      <c r="AE763" s="828"/>
      <c r="AF763" s="828"/>
      <c r="AG763" s="828"/>
      <c r="AH763" s="828"/>
      <c r="AI763" s="828"/>
      <c r="AJ763" s="828"/>
    </row>
    <row r="764">
      <c r="A764" s="828"/>
      <c r="B764" s="828"/>
      <c r="C764" s="828"/>
      <c r="D764" s="828"/>
      <c r="E764" s="828"/>
      <c r="F764" s="828"/>
      <c r="G764" s="828"/>
      <c r="H764" s="828"/>
      <c r="I764" s="828"/>
      <c r="J764" s="828"/>
      <c r="K764" s="828"/>
      <c r="L764" s="828"/>
      <c r="M764" s="828"/>
      <c r="N764" s="828"/>
      <c r="O764" s="828"/>
      <c r="P764" s="828"/>
      <c r="Q764" s="828"/>
      <c r="R764" s="828"/>
      <c r="S764" s="828"/>
      <c r="T764" s="828"/>
      <c r="U764" s="828"/>
      <c r="V764" s="828"/>
      <c r="W764" s="828"/>
      <c r="X764" s="828"/>
      <c r="Y764" s="828"/>
      <c r="Z764" s="828"/>
      <c r="AA764" s="828"/>
      <c r="AB764" s="828"/>
      <c r="AC764" s="828"/>
      <c r="AD764" s="828"/>
      <c r="AE764" s="828"/>
      <c r="AF764" s="828"/>
      <c r="AG764" s="828"/>
      <c r="AH764" s="828"/>
      <c r="AI764" s="828"/>
      <c r="AJ764" s="828"/>
    </row>
    <row r="765">
      <c r="A765" s="828"/>
      <c r="B765" s="828"/>
      <c r="C765" s="828"/>
      <c r="D765" s="828"/>
      <c r="E765" s="828"/>
      <c r="F765" s="828"/>
      <c r="G765" s="828"/>
      <c r="H765" s="828"/>
      <c r="I765" s="828"/>
      <c r="J765" s="828"/>
      <c r="K765" s="828"/>
      <c r="L765" s="828"/>
      <c r="M765" s="828"/>
      <c r="N765" s="828"/>
      <c r="O765" s="828"/>
      <c r="P765" s="828"/>
      <c r="Q765" s="828"/>
      <c r="R765" s="828"/>
      <c r="S765" s="828"/>
      <c r="T765" s="828"/>
      <c r="U765" s="828"/>
      <c r="V765" s="828"/>
      <c r="W765" s="828"/>
      <c r="X765" s="828"/>
      <c r="Y765" s="828"/>
      <c r="Z765" s="828"/>
      <c r="AA765" s="828"/>
      <c r="AB765" s="828"/>
      <c r="AC765" s="828"/>
      <c r="AD765" s="828"/>
      <c r="AE765" s="828"/>
      <c r="AF765" s="828"/>
      <c r="AG765" s="828"/>
      <c r="AH765" s="828"/>
      <c r="AI765" s="828"/>
      <c r="AJ765" s="828"/>
    </row>
    <row r="766">
      <c r="A766" s="828"/>
      <c r="B766" s="828"/>
      <c r="C766" s="828"/>
      <c r="D766" s="828"/>
      <c r="E766" s="828"/>
      <c r="F766" s="828"/>
      <c r="G766" s="828"/>
      <c r="H766" s="828"/>
      <c r="I766" s="828"/>
      <c r="J766" s="828"/>
      <c r="K766" s="828"/>
      <c r="L766" s="828"/>
      <c r="M766" s="828"/>
      <c r="N766" s="828"/>
      <c r="O766" s="828"/>
      <c r="P766" s="828"/>
      <c r="Q766" s="828"/>
      <c r="R766" s="828"/>
      <c r="S766" s="828"/>
      <c r="T766" s="828"/>
      <c r="U766" s="828"/>
      <c r="V766" s="828"/>
      <c r="W766" s="828"/>
      <c r="X766" s="828"/>
      <c r="Y766" s="828"/>
      <c r="Z766" s="828"/>
      <c r="AA766" s="828"/>
      <c r="AB766" s="828"/>
      <c r="AC766" s="828"/>
      <c r="AD766" s="828"/>
      <c r="AE766" s="828"/>
      <c r="AF766" s="828"/>
      <c r="AG766" s="828"/>
      <c r="AH766" s="828"/>
      <c r="AI766" s="828"/>
      <c r="AJ766" s="828"/>
    </row>
    <row r="767">
      <c r="A767" s="828"/>
      <c r="B767" s="828"/>
      <c r="C767" s="828"/>
      <c r="D767" s="828"/>
      <c r="E767" s="828"/>
      <c r="F767" s="828"/>
      <c r="G767" s="828"/>
      <c r="H767" s="828"/>
      <c r="I767" s="828"/>
      <c r="J767" s="828"/>
      <c r="K767" s="828"/>
      <c r="L767" s="828"/>
      <c r="M767" s="828"/>
      <c r="N767" s="828"/>
      <c r="O767" s="828"/>
      <c r="P767" s="828"/>
      <c r="Q767" s="828"/>
      <c r="R767" s="828"/>
      <c r="S767" s="828"/>
      <c r="T767" s="828"/>
      <c r="U767" s="828"/>
      <c r="V767" s="828"/>
      <c r="W767" s="828"/>
      <c r="X767" s="828"/>
      <c r="Y767" s="828"/>
      <c r="Z767" s="828"/>
      <c r="AA767" s="828"/>
      <c r="AB767" s="828"/>
      <c r="AC767" s="828"/>
      <c r="AD767" s="828"/>
      <c r="AE767" s="828"/>
      <c r="AF767" s="828"/>
      <c r="AG767" s="828"/>
      <c r="AH767" s="828"/>
      <c r="AI767" s="828"/>
      <c r="AJ767" s="828"/>
    </row>
    <row r="768">
      <c r="A768" s="828"/>
      <c r="B768" s="828"/>
      <c r="C768" s="828"/>
      <c r="D768" s="828"/>
      <c r="E768" s="828"/>
      <c r="F768" s="828"/>
      <c r="G768" s="828"/>
      <c r="H768" s="828"/>
      <c r="I768" s="828"/>
      <c r="J768" s="828"/>
      <c r="K768" s="828"/>
      <c r="L768" s="828"/>
      <c r="M768" s="828"/>
      <c r="N768" s="828"/>
      <c r="O768" s="828"/>
      <c r="P768" s="828"/>
      <c r="Q768" s="828"/>
      <c r="R768" s="828"/>
      <c r="S768" s="828"/>
      <c r="T768" s="828"/>
      <c r="U768" s="828"/>
      <c r="V768" s="828"/>
      <c r="W768" s="828"/>
      <c r="X768" s="828"/>
      <c r="Y768" s="828"/>
      <c r="Z768" s="828"/>
      <c r="AA768" s="828"/>
      <c r="AB768" s="828"/>
      <c r="AC768" s="828"/>
      <c r="AD768" s="828"/>
      <c r="AE768" s="828"/>
      <c r="AF768" s="828"/>
      <c r="AG768" s="828"/>
      <c r="AH768" s="828"/>
      <c r="AI768" s="828"/>
      <c r="AJ768" s="828"/>
    </row>
    <row r="769">
      <c r="A769" s="828"/>
      <c r="B769" s="828"/>
      <c r="C769" s="828"/>
      <c r="D769" s="828"/>
      <c r="E769" s="828"/>
      <c r="F769" s="828"/>
      <c r="G769" s="828"/>
      <c r="H769" s="828"/>
      <c r="I769" s="828"/>
      <c r="J769" s="828"/>
      <c r="K769" s="828"/>
      <c r="L769" s="828"/>
      <c r="M769" s="828"/>
      <c r="N769" s="828"/>
      <c r="O769" s="828"/>
      <c r="P769" s="828"/>
      <c r="Q769" s="828"/>
      <c r="R769" s="828"/>
      <c r="S769" s="828"/>
      <c r="T769" s="828"/>
      <c r="U769" s="828"/>
      <c r="V769" s="828"/>
      <c r="W769" s="828"/>
      <c r="X769" s="828"/>
      <c r="Y769" s="828"/>
      <c r="Z769" s="828"/>
      <c r="AA769" s="828"/>
      <c r="AB769" s="828"/>
      <c r="AC769" s="828"/>
      <c r="AD769" s="828"/>
      <c r="AE769" s="828"/>
      <c r="AF769" s="828"/>
      <c r="AG769" s="828"/>
      <c r="AH769" s="828"/>
      <c r="AI769" s="828"/>
      <c r="AJ769" s="828"/>
    </row>
    <row r="770">
      <c r="A770" s="828"/>
      <c r="B770" s="828"/>
      <c r="C770" s="828"/>
      <c r="D770" s="828"/>
      <c r="E770" s="828"/>
      <c r="F770" s="828"/>
      <c r="G770" s="828"/>
      <c r="H770" s="828"/>
      <c r="I770" s="828"/>
      <c r="J770" s="828"/>
      <c r="K770" s="828"/>
      <c r="L770" s="828"/>
      <c r="M770" s="828"/>
      <c r="N770" s="828"/>
      <c r="O770" s="828"/>
      <c r="P770" s="828"/>
      <c r="Q770" s="828"/>
      <c r="R770" s="828"/>
      <c r="S770" s="828"/>
      <c r="T770" s="828"/>
      <c r="U770" s="828"/>
      <c r="V770" s="828"/>
      <c r="W770" s="828"/>
      <c r="X770" s="828"/>
      <c r="Y770" s="828"/>
      <c r="Z770" s="828"/>
      <c r="AA770" s="828"/>
      <c r="AB770" s="828"/>
      <c r="AC770" s="828"/>
      <c r="AD770" s="828"/>
      <c r="AE770" s="828"/>
      <c r="AF770" s="828"/>
      <c r="AG770" s="828"/>
      <c r="AH770" s="828"/>
      <c r="AI770" s="828"/>
      <c r="AJ770" s="828"/>
    </row>
    <row r="771">
      <c r="A771" s="828"/>
      <c r="B771" s="828"/>
      <c r="C771" s="828"/>
      <c r="D771" s="828"/>
      <c r="E771" s="828"/>
      <c r="F771" s="828"/>
      <c r="G771" s="828"/>
      <c r="H771" s="828"/>
      <c r="I771" s="828"/>
      <c r="J771" s="828"/>
      <c r="K771" s="828"/>
      <c r="L771" s="828"/>
      <c r="M771" s="828"/>
      <c r="N771" s="828"/>
      <c r="O771" s="828"/>
      <c r="P771" s="828"/>
      <c r="Q771" s="828"/>
      <c r="R771" s="828"/>
      <c r="S771" s="828"/>
      <c r="T771" s="828"/>
      <c r="U771" s="828"/>
      <c r="V771" s="828"/>
      <c r="W771" s="828"/>
      <c r="X771" s="828"/>
      <c r="Y771" s="828"/>
      <c r="Z771" s="828"/>
      <c r="AA771" s="828"/>
      <c r="AB771" s="828"/>
      <c r="AC771" s="828"/>
      <c r="AD771" s="828"/>
      <c r="AE771" s="828"/>
      <c r="AF771" s="828"/>
      <c r="AG771" s="828"/>
      <c r="AH771" s="828"/>
      <c r="AI771" s="828"/>
      <c r="AJ771" s="828"/>
    </row>
    <row r="772">
      <c r="A772" s="828"/>
      <c r="B772" s="828"/>
      <c r="C772" s="828"/>
      <c r="D772" s="828"/>
      <c r="E772" s="828"/>
      <c r="F772" s="828"/>
      <c r="G772" s="828"/>
      <c r="H772" s="828"/>
      <c r="I772" s="828"/>
      <c r="J772" s="828"/>
      <c r="K772" s="828"/>
      <c r="L772" s="828"/>
      <c r="M772" s="828"/>
      <c r="N772" s="828"/>
      <c r="O772" s="828"/>
      <c r="P772" s="828"/>
      <c r="Q772" s="828"/>
      <c r="R772" s="828"/>
      <c r="S772" s="828"/>
      <c r="T772" s="828"/>
      <c r="U772" s="828"/>
      <c r="V772" s="828"/>
      <c r="W772" s="828"/>
      <c r="X772" s="828"/>
      <c r="Y772" s="828"/>
      <c r="Z772" s="828"/>
      <c r="AA772" s="828"/>
      <c r="AB772" s="828"/>
      <c r="AC772" s="828"/>
      <c r="AD772" s="828"/>
      <c r="AE772" s="828"/>
      <c r="AF772" s="828"/>
      <c r="AG772" s="828"/>
      <c r="AH772" s="828"/>
      <c r="AI772" s="828"/>
      <c r="AJ772" s="828"/>
    </row>
    <row r="773">
      <c r="A773" s="828"/>
      <c r="B773" s="828"/>
      <c r="C773" s="828"/>
      <c r="D773" s="828"/>
      <c r="E773" s="828"/>
      <c r="F773" s="828"/>
      <c r="G773" s="828"/>
      <c r="H773" s="828"/>
      <c r="I773" s="828"/>
      <c r="J773" s="828"/>
      <c r="K773" s="828"/>
      <c r="L773" s="828"/>
      <c r="M773" s="828"/>
      <c r="N773" s="828"/>
      <c r="O773" s="828"/>
      <c r="P773" s="828"/>
      <c r="Q773" s="828"/>
      <c r="R773" s="828"/>
      <c r="S773" s="828"/>
      <c r="T773" s="828"/>
      <c r="U773" s="828"/>
      <c r="V773" s="828"/>
      <c r="W773" s="828"/>
      <c r="X773" s="828"/>
      <c r="Y773" s="828"/>
      <c r="Z773" s="828"/>
      <c r="AA773" s="828"/>
      <c r="AB773" s="828"/>
      <c r="AC773" s="828"/>
      <c r="AD773" s="828"/>
      <c r="AE773" s="828"/>
      <c r="AF773" s="828"/>
      <c r="AG773" s="828"/>
      <c r="AH773" s="828"/>
      <c r="AI773" s="828"/>
      <c r="AJ773" s="828"/>
    </row>
    <row r="774">
      <c r="A774" s="828"/>
      <c r="B774" s="828"/>
      <c r="C774" s="828"/>
      <c r="D774" s="828"/>
      <c r="E774" s="828"/>
      <c r="F774" s="828"/>
      <c r="G774" s="828"/>
      <c r="H774" s="828"/>
      <c r="I774" s="828"/>
      <c r="J774" s="828"/>
      <c r="K774" s="828"/>
      <c r="L774" s="828"/>
      <c r="M774" s="828"/>
      <c r="N774" s="828"/>
      <c r="O774" s="828"/>
      <c r="P774" s="828"/>
      <c r="Q774" s="828"/>
      <c r="R774" s="828"/>
      <c r="S774" s="828"/>
      <c r="T774" s="828"/>
      <c r="U774" s="828"/>
      <c r="V774" s="828"/>
      <c r="W774" s="828"/>
      <c r="X774" s="828"/>
      <c r="Y774" s="828"/>
      <c r="Z774" s="828"/>
      <c r="AA774" s="828"/>
      <c r="AB774" s="828"/>
      <c r="AC774" s="828"/>
      <c r="AD774" s="828"/>
      <c r="AE774" s="828"/>
      <c r="AF774" s="828"/>
      <c r="AG774" s="828"/>
      <c r="AH774" s="828"/>
      <c r="AI774" s="828"/>
      <c r="AJ774" s="828"/>
    </row>
    <row r="775">
      <c r="A775" s="828"/>
      <c r="B775" s="828"/>
      <c r="C775" s="828"/>
      <c r="D775" s="828"/>
      <c r="E775" s="828"/>
      <c r="F775" s="828"/>
      <c r="G775" s="828"/>
      <c r="H775" s="828"/>
      <c r="I775" s="828"/>
      <c r="J775" s="828"/>
      <c r="K775" s="828"/>
      <c r="L775" s="828"/>
      <c r="M775" s="828"/>
      <c r="N775" s="828"/>
      <c r="O775" s="828"/>
      <c r="P775" s="828"/>
      <c r="Q775" s="828"/>
      <c r="R775" s="828"/>
      <c r="S775" s="828"/>
      <c r="T775" s="828"/>
      <c r="U775" s="828"/>
      <c r="V775" s="828"/>
      <c r="W775" s="828"/>
      <c r="X775" s="828"/>
      <c r="Y775" s="828"/>
      <c r="Z775" s="828"/>
      <c r="AA775" s="828"/>
      <c r="AB775" s="828"/>
      <c r="AC775" s="828"/>
      <c r="AD775" s="828"/>
      <c r="AE775" s="828"/>
      <c r="AF775" s="828"/>
      <c r="AG775" s="828"/>
      <c r="AH775" s="828"/>
      <c r="AI775" s="828"/>
      <c r="AJ775" s="828"/>
    </row>
    <row r="776">
      <c r="A776" s="828"/>
      <c r="B776" s="828"/>
      <c r="C776" s="828"/>
      <c r="D776" s="828"/>
      <c r="E776" s="828"/>
      <c r="F776" s="828"/>
      <c r="G776" s="828"/>
      <c r="H776" s="828"/>
      <c r="I776" s="828"/>
      <c r="J776" s="828"/>
      <c r="K776" s="828"/>
      <c r="L776" s="828"/>
      <c r="M776" s="828"/>
      <c r="N776" s="828"/>
      <c r="O776" s="828"/>
      <c r="P776" s="828"/>
      <c r="Q776" s="828"/>
      <c r="R776" s="828"/>
      <c r="S776" s="828"/>
      <c r="T776" s="828"/>
      <c r="U776" s="828"/>
      <c r="V776" s="828"/>
      <c r="W776" s="828"/>
      <c r="X776" s="828"/>
      <c r="Y776" s="828"/>
      <c r="Z776" s="828"/>
      <c r="AA776" s="828"/>
      <c r="AB776" s="828"/>
      <c r="AC776" s="828"/>
      <c r="AD776" s="828"/>
      <c r="AE776" s="828"/>
      <c r="AF776" s="828"/>
      <c r="AG776" s="828"/>
      <c r="AH776" s="828"/>
      <c r="AI776" s="828"/>
      <c r="AJ776" s="828"/>
    </row>
    <row r="777">
      <c r="A777" s="828"/>
      <c r="B777" s="828"/>
      <c r="C777" s="828"/>
      <c r="D777" s="828"/>
      <c r="E777" s="828"/>
      <c r="F777" s="828"/>
      <c r="G777" s="828"/>
      <c r="H777" s="828"/>
      <c r="I777" s="828"/>
      <c r="J777" s="828"/>
      <c r="K777" s="828"/>
      <c r="L777" s="828"/>
      <c r="M777" s="828"/>
      <c r="N777" s="828"/>
      <c r="O777" s="828"/>
      <c r="P777" s="828"/>
      <c r="Q777" s="828"/>
      <c r="R777" s="828"/>
      <c r="S777" s="828"/>
      <c r="T777" s="828"/>
      <c r="U777" s="828"/>
      <c r="V777" s="828"/>
      <c r="W777" s="828"/>
      <c r="X777" s="828"/>
      <c r="Y777" s="828"/>
      <c r="Z777" s="828"/>
      <c r="AA777" s="828"/>
      <c r="AB777" s="828"/>
      <c r="AC777" s="828"/>
      <c r="AD777" s="828"/>
      <c r="AE777" s="828"/>
      <c r="AF777" s="828"/>
      <c r="AG777" s="828"/>
      <c r="AH777" s="828"/>
      <c r="AI777" s="828"/>
      <c r="AJ777" s="828"/>
    </row>
    <row r="778">
      <c r="A778" s="828"/>
      <c r="B778" s="828"/>
      <c r="C778" s="828"/>
      <c r="D778" s="828"/>
      <c r="E778" s="828"/>
      <c r="F778" s="828"/>
      <c r="G778" s="828"/>
      <c r="H778" s="828"/>
      <c r="I778" s="828"/>
      <c r="J778" s="828"/>
      <c r="K778" s="828"/>
      <c r="L778" s="828"/>
      <c r="M778" s="828"/>
      <c r="N778" s="828"/>
      <c r="O778" s="828"/>
      <c r="P778" s="828"/>
      <c r="Q778" s="828"/>
      <c r="R778" s="828"/>
      <c r="S778" s="828"/>
      <c r="T778" s="828"/>
      <c r="U778" s="828"/>
      <c r="V778" s="828"/>
      <c r="W778" s="828"/>
      <c r="X778" s="828"/>
      <c r="Y778" s="828"/>
      <c r="Z778" s="828"/>
      <c r="AA778" s="828"/>
      <c r="AB778" s="828"/>
      <c r="AC778" s="828"/>
      <c r="AD778" s="828"/>
      <c r="AE778" s="828"/>
      <c r="AF778" s="828"/>
      <c r="AG778" s="828"/>
      <c r="AH778" s="828"/>
      <c r="AI778" s="828"/>
      <c r="AJ778" s="828"/>
    </row>
    <row r="779">
      <c r="A779" s="828"/>
      <c r="B779" s="828"/>
      <c r="C779" s="828"/>
      <c r="D779" s="828"/>
      <c r="E779" s="828"/>
      <c r="F779" s="828"/>
      <c r="G779" s="828"/>
      <c r="H779" s="828"/>
      <c r="I779" s="828"/>
      <c r="J779" s="828"/>
      <c r="K779" s="828"/>
      <c r="L779" s="828"/>
      <c r="M779" s="828"/>
      <c r="N779" s="828"/>
      <c r="O779" s="828"/>
      <c r="P779" s="828"/>
      <c r="Q779" s="828"/>
      <c r="R779" s="828"/>
      <c r="S779" s="828"/>
      <c r="T779" s="828"/>
      <c r="U779" s="828"/>
      <c r="V779" s="828"/>
      <c r="W779" s="828"/>
      <c r="X779" s="828"/>
      <c r="Y779" s="828"/>
      <c r="Z779" s="828"/>
      <c r="AA779" s="828"/>
      <c r="AB779" s="828"/>
      <c r="AC779" s="828"/>
      <c r="AD779" s="828"/>
      <c r="AE779" s="828"/>
      <c r="AF779" s="828"/>
      <c r="AG779" s="828"/>
      <c r="AH779" s="828"/>
      <c r="AI779" s="828"/>
      <c r="AJ779" s="828"/>
    </row>
    <row r="780">
      <c r="A780" s="828"/>
      <c r="B780" s="828"/>
      <c r="C780" s="828"/>
      <c r="D780" s="828"/>
      <c r="E780" s="828"/>
      <c r="F780" s="828"/>
      <c r="G780" s="828"/>
      <c r="H780" s="828"/>
      <c r="I780" s="828"/>
      <c r="J780" s="828"/>
      <c r="K780" s="828"/>
      <c r="L780" s="828"/>
      <c r="M780" s="828"/>
      <c r="N780" s="828"/>
      <c r="O780" s="828"/>
      <c r="P780" s="828"/>
      <c r="Q780" s="828"/>
      <c r="R780" s="828"/>
      <c r="S780" s="828"/>
      <c r="T780" s="828"/>
      <c r="U780" s="828"/>
      <c r="V780" s="828"/>
      <c r="W780" s="828"/>
      <c r="X780" s="828"/>
      <c r="Y780" s="828"/>
      <c r="Z780" s="828"/>
      <c r="AA780" s="828"/>
      <c r="AB780" s="828"/>
      <c r="AC780" s="828"/>
      <c r="AD780" s="828"/>
      <c r="AE780" s="828"/>
      <c r="AF780" s="828"/>
      <c r="AG780" s="828"/>
      <c r="AH780" s="828"/>
      <c r="AI780" s="828"/>
      <c r="AJ780" s="828"/>
    </row>
    <row r="781">
      <c r="A781" s="828"/>
      <c r="B781" s="828"/>
      <c r="C781" s="828"/>
      <c r="D781" s="828"/>
      <c r="E781" s="828"/>
      <c r="F781" s="828"/>
      <c r="G781" s="828"/>
      <c r="H781" s="828"/>
      <c r="I781" s="828"/>
      <c r="J781" s="828"/>
      <c r="K781" s="828"/>
      <c r="L781" s="828"/>
      <c r="M781" s="828"/>
      <c r="N781" s="828"/>
      <c r="O781" s="828"/>
      <c r="P781" s="828"/>
      <c r="Q781" s="828"/>
      <c r="R781" s="828"/>
      <c r="S781" s="828"/>
      <c r="T781" s="828"/>
      <c r="U781" s="828"/>
      <c r="V781" s="828"/>
      <c r="W781" s="828"/>
      <c r="X781" s="828"/>
      <c r="Y781" s="828"/>
      <c r="Z781" s="828"/>
      <c r="AA781" s="828"/>
      <c r="AB781" s="828"/>
      <c r="AC781" s="828"/>
      <c r="AD781" s="828"/>
      <c r="AE781" s="828"/>
      <c r="AF781" s="828"/>
      <c r="AG781" s="828"/>
      <c r="AH781" s="828"/>
      <c r="AI781" s="828"/>
      <c r="AJ781" s="828"/>
    </row>
    <row r="782">
      <c r="A782" s="828"/>
      <c r="B782" s="828"/>
      <c r="C782" s="828"/>
      <c r="D782" s="828"/>
      <c r="E782" s="828"/>
      <c r="F782" s="828"/>
      <c r="G782" s="828"/>
      <c r="H782" s="828"/>
      <c r="I782" s="828"/>
      <c r="J782" s="828"/>
      <c r="K782" s="828"/>
      <c r="L782" s="828"/>
      <c r="M782" s="828"/>
      <c r="N782" s="828"/>
      <c r="O782" s="828"/>
      <c r="P782" s="828"/>
      <c r="Q782" s="828"/>
      <c r="R782" s="828"/>
      <c r="S782" s="828"/>
      <c r="T782" s="828"/>
      <c r="U782" s="828"/>
      <c r="V782" s="828"/>
      <c r="W782" s="828"/>
      <c r="X782" s="828"/>
      <c r="Y782" s="828"/>
      <c r="Z782" s="828"/>
      <c r="AA782" s="828"/>
      <c r="AB782" s="828"/>
      <c r="AC782" s="828"/>
      <c r="AD782" s="828"/>
      <c r="AE782" s="828"/>
      <c r="AF782" s="828"/>
      <c r="AG782" s="828"/>
      <c r="AH782" s="828"/>
      <c r="AI782" s="828"/>
      <c r="AJ782" s="828"/>
    </row>
    <row r="783">
      <c r="A783" s="828"/>
      <c r="B783" s="828"/>
      <c r="C783" s="828"/>
      <c r="D783" s="828"/>
      <c r="E783" s="828"/>
      <c r="F783" s="828"/>
      <c r="G783" s="828"/>
      <c r="H783" s="828"/>
      <c r="I783" s="828"/>
      <c r="J783" s="828"/>
      <c r="K783" s="828"/>
      <c r="L783" s="828"/>
      <c r="M783" s="828"/>
      <c r="N783" s="828"/>
      <c r="O783" s="828"/>
      <c r="P783" s="828"/>
      <c r="Q783" s="828"/>
      <c r="R783" s="828"/>
      <c r="S783" s="828"/>
      <c r="T783" s="828"/>
      <c r="U783" s="828"/>
      <c r="V783" s="828"/>
      <c r="W783" s="828"/>
      <c r="X783" s="828"/>
      <c r="Y783" s="828"/>
      <c r="Z783" s="828"/>
      <c r="AA783" s="828"/>
      <c r="AB783" s="828"/>
      <c r="AC783" s="828"/>
      <c r="AD783" s="828"/>
      <c r="AE783" s="828"/>
      <c r="AF783" s="828"/>
      <c r="AG783" s="828"/>
      <c r="AH783" s="828"/>
      <c r="AI783" s="828"/>
      <c r="AJ783" s="828"/>
    </row>
    <row r="784">
      <c r="A784" s="828"/>
      <c r="B784" s="828"/>
      <c r="C784" s="828"/>
      <c r="D784" s="828"/>
      <c r="E784" s="828"/>
      <c r="F784" s="828"/>
      <c r="G784" s="828"/>
      <c r="H784" s="828"/>
      <c r="I784" s="828"/>
      <c r="J784" s="828"/>
      <c r="K784" s="828"/>
      <c r="L784" s="828"/>
      <c r="M784" s="828"/>
      <c r="N784" s="828"/>
      <c r="O784" s="828"/>
      <c r="P784" s="828"/>
      <c r="Q784" s="828"/>
      <c r="R784" s="828"/>
      <c r="S784" s="828"/>
      <c r="T784" s="828"/>
      <c r="U784" s="828"/>
      <c r="V784" s="828"/>
      <c r="W784" s="828"/>
      <c r="X784" s="828"/>
      <c r="Y784" s="828"/>
      <c r="Z784" s="828"/>
      <c r="AA784" s="828"/>
      <c r="AB784" s="828"/>
      <c r="AC784" s="828"/>
      <c r="AD784" s="828"/>
      <c r="AE784" s="828"/>
      <c r="AF784" s="828"/>
      <c r="AG784" s="828"/>
      <c r="AH784" s="828"/>
      <c r="AI784" s="828"/>
      <c r="AJ784" s="828"/>
    </row>
    <row r="785">
      <c r="A785" s="828"/>
      <c r="B785" s="828"/>
      <c r="C785" s="828"/>
      <c r="D785" s="828"/>
      <c r="E785" s="828"/>
      <c r="F785" s="828"/>
      <c r="G785" s="828"/>
      <c r="H785" s="828"/>
      <c r="I785" s="828"/>
      <c r="J785" s="828"/>
      <c r="K785" s="828"/>
      <c r="L785" s="828"/>
      <c r="M785" s="828"/>
      <c r="N785" s="828"/>
      <c r="O785" s="828"/>
      <c r="P785" s="828"/>
      <c r="Q785" s="828"/>
      <c r="R785" s="828"/>
      <c r="S785" s="828"/>
      <c r="T785" s="828"/>
      <c r="U785" s="828"/>
      <c r="V785" s="828"/>
      <c r="W785" s="828"/>
      <c r="X785" s="828"/>
      <c r="Y785" s="828"/>
      <c r="Z785" s="828"/>
      <c r="AA785" s="828"/>
      <c r="AB785" s="828"/>
      <c r="AC785" s="828"/>
      <c r="AD785" s="828"/>
      <c r="AE785" s="828"/>
      <c r="AF785" s="828"/>
      <c r="AG785" s="828"/>
      <c r="AH785" s="828"/>
      <c r="AI785" s="828"/>
      <c r="AJ785" s="828"/>
    </row>
    <row r="786">
      <c r="A786" s="828"/>
      <c r="B786" s="828"/>
      <c r="C786" s="828"/>
      <c r="D786" s="828"/>
      <c r="E786" s="828"/>
      <c r="F786" s="828"/>
      <c r="G786" s="828"/>
      <c r="H786" s="828"/>
      <c r="I786" s="828"/>
      <c r="J786" s="828"/>
      <c r="K786" s="828"/>
      <c r="L786" s="828"/>
      <c r="M786" s="828"/>
      <c r="N786" s="828"/>
      <c r="O786" s="828"/>
      <c r="P786" s="828"/>
      <c r="Q786" s="828"/>
      <c r="R786" s="828"/>
      <c r="S786" s="828"/>
      <c r="T786" s="828"/>
      <c r="U786" s="828"/>
      <c r="V786" s="828"/>
      <c r="W786" s="828"/>
      <c r="X786" s="828"/>
      <c r="Y786" s="828"/>
      <c r="Z786" s="828"/>
      <c r="AA786" s="828"/>
      <c r="AB786" s="828"/>
      <c r="AC786" s="828"/>
      <c r="AD786" s="828"/>
      <c r="AE786" s="828"/>
      <c r="AF786" s="828"/>
      <c r="AG786" s="828"/>
      <c r="AH786" s="828"/>
      <c r="AI786" s="828"/>
      <c r="AJ786" s="828"/>
    </row>
    <row r="787">
      <c r="A787" s="828"/>
      <c r="B787" s="828"/>
      <c r="C787" s="828"/>
      <c r="D787" s="828"/>
      <c r="E787" s="828"/>
      <c r="F787" s="828"/>
      <c r="G787" s="828"/>
      <c r="H787" s="828"/>
      <c r="I787" s="828"/>
      <c r="J787" s="828"/>
      <c r="K787" s="828"/>
      <c r="L787" s="828"/>
      <c r="M787" s="828"/>
      <c r="N787" s="828"/>
      <c r="O787" s="828"/>
      <c r="P787" s="828"/>
      <c r="Q787" s="828"/>
      <c r="R787" s="828"/>
      <c r="S787" s="828"/>
      <c r="T787" s="828"/>
      <c r="U787" s="828"/>
      <c r="V787" s="828"/>
      <c r="W787" s="828"/>
      <c r="X787" s="828"/>
      <c r="Y787" s="828"/>
      <c r="Z787" s="828"/>
      <c r="AA787" s="828"/>
      <c r="AB787" s="828"/>
      <c r="AC787" s="828"/>
      <c r="AD787" s="828"/>
      <c r="AE787" s="828"/>
      <c r="AF787" s="828"/>
      <c r="AG787" s="828"/>
      <c r="AH787" s="828"/>
      <c r="AI787" s="828"/>
      <c r="AJ787" s="828"/>
    </row>
    <row r="788">
      <c r="A788" s="828"/>
      <c r="B788" s="828"/>
      <c r="C788" s="828"/>
      <c r="D788" s="828"/>
      <c r="E788" s="828"/>
      <c r="F788" s="828"/>
      <c r="G788" s="828"/>
      <c r="H788" s="828"/>
      <c r="I788" s="828"/>
      <c r="J788" s="828"/>
      <c r="K788" s="828"/>
      <c r="L788" s="828"/>
      <c r="M788" s="828"/>
      <c r="N788" s="828"/>
      <c r="O788" s="828"/>
      <c r="P788" s="828"/>
      <c r="Q788" s="828"/>
      <c r="R788" s="828"/>
      <c r="S788" s="828"/>
      <c r="T788" s="828"/>
      <c r="U788" s="828"/>
      <c r="V788" s="828"/>
      <c r="W788" s="828"/>
      <c r="X788" s="828"/>
      <c r="Y788" s="828"/>
      <c r="Z788" s="828"/>
      <c r="AA788" s="828"/>
      <c r="AB788" s="828"/>
      <c r="AC788" s="828"/>
      <c r="AD788" s="828"/>
      <c r="AE788" s="828"/>
      <c r="AF788" s="828"/>
      <c r="AG788" s="828"/>
      <c r="AH788" s="828"/>
      <c r="AI788" s="828"/>
      <c r="AJ788" s="828"/>
    </row>
    <row r="789">
      <c r="A789" s="828"/>
      <c r="B789" s="828"/>
      <c r="C789" s="828"/>
      <c r="D789" s="828"/>
      <c r="E789" s="828"/>
      <c r="F789" s="828"/>
      <c r="G789" s="828"/>
      <c r="H789" s="828"/>
      <c r="I789" s="828"/>
      <c r="J789" s="828"/>
      <c r="K789" s="828"/>
      <c r="L789" s="828"/>
      <c r="M789" s="828"/>
      <c r="N789" s="828"/>
      <c r="O789" s="828"/>
      <c r="P789" s="828"/>
      <c r="Q789" s="828"/>
      <c r="R789" s="828"/>
      <c r="S789" s="828"/>
      <c r="T789" s="828"/>
      <c r="U789" s="828"/>
      <c r="V789" s="828"/>
      <c r="W789" s="828"/>
      <c r="X789" s="828"/>
      <c r="Y789" s="828"/>
      <c r="Z789" s="828"/>
      <c r="AA789" s="828"/>
      <c r="AB789" s="828"/>
      <c r="AC789" s="828"/>
      <c r="AD789" s="828"/>
      <c r="AE789" s="828"/>
      <c r="AF789" s="828"/>
      <c r="AG789" s="828"/>
      <c r="AH789" s="828"/>
      <c r="AI789" s="828"/>
      <c r="AJ789" s="828"/>
    </row>
    <row r="790">
      <c r="A790" s="828"/>
      <c r="B790" s="828"/>
      <c r="C790" s="828"/>
      <c r="D790" s="828"/>
      <c r="E790" s="828"/>
      <c r="F790" s="828"/>
      <c r="G790" s="828"/>
      <c r="H790" s="828"/>
      <c r="I790" s="828"/>
      <c r="J790" s="828"/>
      <c r="K790" s="828"/>
      <c r="L790" s="828"/>
      <c r="M790" s="828"/>
      <c r="N790" s="828"/>
      <c r="O790" s="828"/>
      <c r="P790" s="828"/>
      <c r="Q790" s="828"/>
      <c r="R790" s="828"/>
      <c r="S790" s="828"/>
      <c r="T790" s="828"/>
      <c r="U790" s="828"/>
      <c r="V790" s="828"/>
      <c r="W790" s="828"/>
      <c r="X790" s="828"/>
      <c r="Y790" s="828"/>
      <c r="Z790" s="828"/>
      <c r="AA790" s="828"/>
      <c r="AB790" s="828"/>
      <c r="AC790" s="828"/>
      <c r="AD790" s="828"/>
      <c r="AE790" s="828"/>
      <c r="AF790" s="828"/>
      <c r="AG790" s="828"/>
      <c r="AH790" s="828"/>
      <c r="AI790" s="828"/>
      <c r="AJ790" s="828"/>
    </row>
    <row r="791">
      <c r="A791" s="828"/>
      <c r="B791" s="828"/>
      <c r="C791" s="828"/>
      <c r="D791" s="828"/>
      <c r="E791" s="828"/>
      <c r="F791" s="828"/>
      <c r="G791" s="828"/>
      <c r="H791" s="828"/>
      <c r="I791" s="828"/>
      <c r="J791" s="828"/>
      <c r="K791" s="828"/>
      <c r="L791" s="828"/>
      <c r="M791" s="828"/>
      <c r="N791" s="828"/>
      <c r="O791" s="828"/>
      <c r="P791" s="828"/>
      <c r="Q791" s="828"/>
      <c r="R791" s="828"/>
      <c r="S791" s="828"/>
      <c r="T791" s="828"/>
      <c r="U791" s="828"/>
      <c r="V791" s="828"/>
      <c r="W791" s="828"/>
      <c r="X791" s="828"/>
      <c r="Y791" s="828"/>
      <c r="Z791" s="828"/>
      <c r="AA791" s="828"/>
      <c r="AB791" s="828"/>
      <c r="AC791" s="828"/>
      <c r="AD791" s="828"/>
      <c r="AE791" s="828"/>
      <c r="AF791" s="828"/>
      <c r="AG791" s="828"/>
      <c r="AH791" s="828"/>
      <c r="AI791" s="828"/>
      <c r="AJ791" s="828"/>
    </row>
    <row r="792">
      <c r="A792" s="828"/>
      <c r="B792" s="828"/>
      <c r="C792" s="828"/>
      <c r="D792" s="828"/>
      <c r="E792" s="828"/>
      <c r="F792" s="828"/>
      <c r="G792" s="828"/>
      <c r="H792" s="828"/>
      <c r="I792" s="828"/>
      <c r="J792" s="828"/>
      <c r="K792" s="828"/>
      <c r="L792" s="828"/>
      <c r="M792" s="828"/>
      <c r="N792" s="828"/>
      <c r="O792" s="828"/>
      <c r="P792" s="828"/>
      <c r="Q792" s="828"/>
      <c r="R792" s="828"/>
      <c r="S792" s="828"/>
      <c r="T792" s="828"/>
      <c r="U792" s="828"/>
      <c r="V792" s="828"/>
      <c r="W792" s="828"/>
      <c r="X792" s="828"/>
      <c r="Y792" s="828"/>
      <c r="Z792" s="828"/>
      <c r="AA792" s="828"/>
      <c r="AB792" s="828"/>
      <c r="AC792" s="828"/>
      <c r="AD792" s="828"/>
      <c r="AE792" s="828"/>
      <c r="AF792" s="828"/>
      <c r="AG792" s="828"/>
      <c r="AH792" s="828"/>
      <c r="AI792" s="828"/>
      <c r="AJ792" s="828"/>
    </row>
    <row r="793">
      <c r="A793" s="828"/>
      <c r="B793" s="828"/>
      <c r="C793" s="828"/>
      <c r="D793" s="828"/>
      <c r="E793" s="828"/>
      <c r="F793" s="828"/>
      <c r="G793" s="828"/>
      <c r="H793" s="828"/>
      <c r="I793" s="828"/>
      <c r="J793" s="828"/>
      <c r="K793" s="828"/>
      <c r="L793" s="828"/>
      <c r="M793" s="828"/>
      <c r="N793" s="828"/>
      <c r="O793" s="828"/>
      <c r="P793" s="828"/>
      <c r="Q793" s="828"/>
      <c r="R793" s="828"/>
      <c r="S793" s="828"/>
      <c r="T793" s="828"/>
      <c r="U793" s="828"/>
      <c r="V793" s="828"/>
      <c r="W793" s="828"/>
      <c r="X793" s="828"/>
      <c r="Y793" s="828"/>
      <c r="Z793" s="828"/>
      <c r="AA793" s="828"/>
      <c r="AB793" s="828"/>
      <c r="AC793" s="828"/>
      <c r="AD793" s="828"/>
      <c r="AE793" s="828"/>
      <c r="AF793" s="828"/>
      <c r="AG793" s="828"/>
      <c r="AH793" s="828"/>
      <c r="AI793" s="828"/>
      <c r="AJ793" s="828"/>
    </row>
    <row r="794">
      <c r="A794" s="828"/>
      <c r="B794" s="828"/>
      <c r="C794" s="828"/>
      <c r="D794" s="828"/>
      <c r="E794" s="828"/>
      <c r="F794" s="828"/>
      <c r="G794" s="828"/>
      <c r="H794" s="828"/>
      <c r="I794" s="828"/>
      <c r="J794" s="828"/>
      <c r="K794" s="828"/>
      <c r="L794" s="828"/>
      <c r="M794" s="828"/>
      <c r="N794" s="828"/>
      <c r="O794" s="828"/>
      <c r="P794" s="828"/>
      <c r="Q794" s="828"/>
      <c r="R794" s="828"/>
      <c r="S794" s="828"/>
      <c r="T794" s="828"/>
      <c r="U794" s="828"/>
      <c r="V794" s="828"/>
      <c r="W794" s="828"/>
      <c r="X794" s="828"/>
      <c r="Y794" s="828"/>
      <c r="Z794" s="828"/>
      <c r="AA794" s="828"/>
      <c r="AB794" s="828"/>
      <c r="AC794" s="828"/>
      <c r="AD794" s="828"/>
      <c r="AE794" s="828"/>
      <c r="AF794" s="828"/>
      <c r="AG794" s="828"/>
      <c r="AH794" s="828"/>
      <c r="AI794" s="828"/>
      <c r="AJ794" s="828"/>
    </row>
    <row r="795">
      <c r="A795" s="828"/>
      <c r="B795" s="828"/>
      <c r="C795" s="828"/>
      <c r="D795" s="828"/>
      <c r="E795" s="828"/>
      <c r="F795" s="828"/>
      <c r="G795" s="828"/>
      <c r="H795" s="828"/>
      <c r="I795" s="828"/>
      <c r="J795" s="828"/>
      <c r="K795" s="828"/>
      <c r="L795" s="828"/>
      <c r="M795" s="828"/>
      <c r="N795" s="828"/>
      <c r="O795" s="828"/>
      <c r="P795" s="828"/>
      <c r="Q795" s="828"/>
      <c r="R795" s="828"/>
      <c r="S795" s="828"/>
      <c r="T795" s="828"/>
      <c r="U795" s="828"/>
      <c r="V795" s="828"/>
      <c r="W795" s="828"/>
      <c r="X795" s="828"/>
      <c r="Y795" s="828"/>
      <c r="Z795" s="828"/>
      <c r="AA795" s="828"/>
      <c r="AB795" s="828"/>
      <c r="AC795" s="828"/>
      <c r="AD795" s="828"/>
      <c r="AE795" s="828"/>
      <c r="AF795" s="828"/>
      <c r="AG795" s="828"/>
      <c r="AH795" s="828"/>
      <c r="AI795" s="828"/>
      <c r="AJ795" s="828"/>
    </row>
    <row r="796">
      <c r="A796" s="828"/>
      <c r="B796" s="828"/>
      <c r="C796" s="828"/>
      <c r="D796" s="828"/>
      <c r="E796" s="828"/>
      <c r="F796" s="828"/>
      <c r="G796" s="828"/>
      <c r="H796" s="828"/>
      <c r="I796" s="828"/>
      <c r="J796" s="828"/>
      <c r="K796" s="828"/>
      <c r="L796" s="828"/>
      <c r="M796" s="828"/>
      <c r="N796" s="828"/>
      <c r="O796" s="828"/>
      <c r="P796" s="828"/>
      <c r="Q796" s="828"/>
      <c r="R796" s="828"/>
      <c r="S796" s="828"/>
      <c r="T796" s="828"/>
      <c r="U796" s="828"/>
      <c r="V796" s="828"/>
      <c r="W796" s="828"/>
      <c r="X796" s="828"/>
      <c r="Y796" s="828"/>
      <c r="Z796" s="828"/>
      <c r="AA796" s="828"/>
      <c r="AB796" s="828"/>
      <c r="AC796" s="828"/>
      <c r="AD796" s="828"/>
      <c r="AE796" s="828"/>
      <c r="AF796" s="828"/>
      <c r="AG796" s="828"/>
      <c r="AH796" s="828"/>
      <c r="AI796" s="828"/>
      <c r="AJ796" s="828"/>
    </row>
    <row r="797">
      <c r="A797" s="828"/>
      <c r="B797" s="828"/>
      <c r="C797" s="828"/>
      <c r="D797" s="828"/>
      <c r="E797" s="828"/>
      <c r="F797" s="828"/>
      <c r="G797" s="828"/>
      <c r="H797" s="828"/>
      <c r="I797" s="828"/>
      <c r="J797" s="828"/>
      <c r="K797" s="828"/>
      <c r="L797" s="828"/>
      <c r="M797" s="828"/>
      <c r="N797" s="828"/>
      <c r="O797" s="828"/>
      <c r="P797" s="828"/>
      <c r="Q797" s="828"/>
      <c r="R797" s="828"/>
      <c r="S797" s="828"/>
      <c r="T797" s="828"/>
      <c r="U797" s="828"/>
      <c r="V797" s="828"/>
      <c r="W797" s="828"/>
      <c r="X797" s="828"/>
      <c r="Y797" s="828"/>
      <c r="Z797" s="828"/>
      <c r="AA797" s="828"/>
      <c r="AB797" s="828"/>
      <c r="AC797" s="828"/>
      <c r="AD797" s="828"/>
      <c r="AE797" s="828"/>
      <c r="AF797" s="828"/>
      <c r="AG797" s="828"/>
      <c r="AH797" s="828"/>
      <c r="AI797" s="828"/>
      <c r="AJ797" s="828"/>
    </row>
    <row r="798">
      <c r="A798" s="828"/>
      <c r="B798" s="828"/>
      <c r="C798" s="828"/>
      <c r="D798" s="828"/>
      <c r="E798" s="828"/>
      <c r="F798" s="828"/>
      <c r="G798" s="828"/>
      <c r="H798" s="828"/>
      <c r="I798" s="828"/>
      <c r="J798" s="828"/>
      <c r="K798" s="828"/>
      <c r="L798" s="828"/>
      <c r="M798" s="828"/>
      <c r="N798" s="828"/>
      <c r="O798" s="828"/>
      <c r="P798" s="828"/>
      <c r="Q798" s="828"/>
      <c r="R798" s="828"/>
      <c r="S798" s="828"/>
      <c r="T798" s="828"/>
      <c r="U798" s="828"/>
      <c r="V798" s="828"/>
      <c r="W798" s="828"/>
      <c r="X798" s="828"/>
      <c r="Y798" s="828"/>
      <c r="Z798" s="828"/>
      <c r="AA798" s="828"/>
      <c r="AB798" s="828"/>
      <c r="AC798" s="828"/>
      <c r="AD798" s="828"/>
      <c r="AE798" s="828"/>
      <c r="AF798" s="828"/>
      <c r="AG798" s="828"/>
      <c r="AH798" s="828"/>
      <c r="AI798" s="828"/>
      <c r="AJ798" s="828"/>
    </row>
    <row r="799">
      <c r="A799" s="828"/>
      <c r="B799" s="828"/>
      <c r="C799" s="828"/>
      <c r="D799" s="828"/>
      <c r="E799" s="828"/>
      <c r="F799" s="828"/>
      <c r="G799" s="828"/>
      <c r="H799" s="828"/>
      <c r="I799" s="828"/>
      <c r="J799" s="828"/>
      <c r="K799" s="828"/>
      <c r="L799" s="828"/>
      <c r="M799" s="828"/>
      <c r="N799" s="828"/>
      <c r="O799" s="828"/>
      <c r="P799" s="828"/>
      <c r="Q799" s="828"/>
      <c r="R799" s="828"/>
      <c r="S799" s="828"/>
      <c r="T799" s="828"/>
      <c r="U799" s="828"/>
      <c r="V799" s="828"/>
      <c r="W799" s="828"/>
      <c r="X799" s="828"/>
      <c r="Y799" s="828"/>
      <c r="Z799" s="828"/>
      <c r="AA799" s="828"/>
      <c r="AB799" s="828"/>
      <c r="AC799" s="828"/>
      <c r="AD799" s="828"/>
      <c r="AE799" s="828"/>
      <c r="AF799" s="828"/>
      <c r="AG799" s="828"/>
      <c r="AH799" s="828"/>
      <c r="AI799" s="828"/>
      <c r="AJ799" s="828"/>
    </row>
    <row r="800">
      <c r="A800" s="828"/>
      <c r="B800" s="828"/>
      <c r="C800" s="828"/>
      <c r="D800" s="828"/>
      <c r="E800" s="828"/>
      <c r="F800" s="828"/>
      <c r="G800" s="828"/>
      <c r="H800" s="828"/>
      <c r="I800" s="828"/>
      <c r="J800" s="828"/>
      <c r="K800" s="828"/>
      <c r="L800" s="828"/>
      <c r="M800" s="828"/>
      <c r="N800" s="828"/>
      <c r="O800" s="828"/>
      <c r="P800" s="828"/>
      <c r="Q800" s="828"/>
      <c r="R800" s="828"/>
      <c r="S800" s="828"/>
      <c r="T800" s="828"/>
      <c r="U800" s="828"/>
      <c r="V800" s="828"/>
      <c r="W800" s="828"/>
      <c r="X800" s="828"/>
      <c r="Y800" s="828"/>
      <c r="Z800" s="828"/>
      <c r="AA800" s="828"/>
      <c r="AB800" s="828"/>
      <c r="AC800" s="828"/>
      <c r="AD800" s="828"/>
      <c r="AE800" s="828"/>
      <c r="AF800" s="828"/>
      <c r="AG800" s="828"/>
      <c r="AH800" s="828"/>
      <c r="AI800" s="828"/>
      <c r="AJ800" s="828"/>
    </row>
    <row r="801">
      <c r="A801" s="828"/>
      <c r="B801" s="828"/>
      <c r="C801" s="828"/>
      <c r="D801" s="828"/>
      <c r="E801" s="828"/>
      <c r="F801" s="828"/>
      <c r="G801" s="828"/>
      <c r="H801" s="828"/>
      <c r="I801" s="828"/>
      <c r="J801" s="828"/>
      <c r="K801" s="828"/>
      <c r="L801" s="828"/>
      <c r="M801" s="828"/>
      <c r="N801" s="828"/>
      <c r="O801" s="828"/>
      <c r="P801" s="828"/>
      <c r="Q801" s="828"/>
      <c r="R801" s="828"/>
      <c r="S801" s="828"/>
      <c r="T801" s="828"/>
      <c r="U801" s="828"/>
      <c r="V801" s="828"/>
      <c r="W801" s="828"/>
      <c r="X801" s="828"/>
      <c r="Y801" s="828"/>
      <c r="Z801" s="828"/>
      <c r="AA801" s="828"/>
      <c r="AB801" s="828"/>
      <c r="AC801" s="828"/>
      <c r="AD801" s="828"/>
      <c r="AE801" s="828"/>
      <c r="AF801" s="828"/>
      <c r="AG801" s="828"/>
      <c r="AH801" s="828"/>
      <c r="AI801" s="828"/>
      <c r="AJ801" s="828"/>
    </row>
    <row r="802">
      <c r="A802" s="828"/>
      <c r="B802" s="828"/>
      <c r="C802" s="828"/>
      <c r="D802" s="828"/>
      <c r="E802" s="828"/>
      <c r="F802" s="828"/>
      <c r="G802" s="828"/>
      <c r="H802" s="828"/>
      <c r="I802" s="828"/>
      <c r="J802" s="828"/>
      <c r="K802" s="828"/>
      <c r="L802" s="828"/>
      <c r="M802" s="828"/>
      <c r="N802" s="828"/>
      <c r="O802" s="828"/>
      <c r="P802" s="828"/>
      <c r="Q802" s="828"/>
      <c r="R802" s="828"/>
      <c r="S802" s="828"/>
      <c r="T802" s="828"/>
      <c r="U802" s="828"/>
      <c r="V802" s="828"/>
      <c r="W802" s="828"/>
      <c r="X802" s="828"/>
      <c r="Y802" s="828"/>
      <c r="Z802" s="828"/>
      <c r="AA802" s="828"/>
      <c r="AB802" s="828"/>
      <c r="AC802" s="828"/>
      <c r="AD802" s="828"/>
      <c r="AE802" s="828"/>
      <c r="AF802" s="828"/>
      <c r="AG802" s="828"/>
      <c r="AH802" s="828"/>
      <c r="AI802" s="828"/>
      <c r="AJ802" s="828"/>
    </row>
    <row r="803">
      <c r="A803" s="828"/>
      <c r="B803" s="828"/>
      <c r="C803" s="828"/>
      <c r="D803" s="828"/>
      <c r="E803" s="828"/>
      <c r="F803" s="828"/>
      <c r="G803" s="828"/>
      <c r="H803" s="828"/>
      <c r="I803" s="828"/>
      <c r="J803" s="828"/>
      <c r="K803" s="828"/>
      <c r="L803" s="828"/>
      <c r="M803" s="828"/>
      <c r="N803" s="828"/>
      <c r="O803" s="828"/>
      <c r="P803" s="828"/>
      <c r="Q803" s="828"/>
      <c r="R803" s="828"/>
      <c r="S803" s="828"/>
      <c r="T803" s="828"/>
      <c r="U803" s="828"/>
      <c r="V803" s="828"/>
      <c r="W803" s="828"/>
      <c r="X803" s="828"/>
      <c r="Y803" s="828"/>
      <c r="Z803" s="828"/>
      <c r="AA803" s="828"/>
      <c r="AB803" s="828"/>
      <c r="AC803" s="828"/>
      <c r="AD803" s="828"/>
      <c r="AE803" s="828"/>
      <c r="AF803" s="828"/>
      <c r="AG803" s="828"/>
      <c r="AH803" s="828"/>
      <c r="AI803" s="828"/>
      <c r="AJ803" s="828"/>
    </row>
    <row r="804">
      <c r="A804" s="828"/>
      <c r="B804" s="828"/>
      <c r="C804" s="828"/>
      <c r="D804" s="828"/>
      <c r="E804" s="828"/>
      <c r="F804" s="828"/>
      <c r="G804" s="828"/>
      <c r="H804" s="828"/>
      <c r="I804" s="828"/>
      <c r="J804" s="828"/>
      <c r="K804" s="828"/>
      <c r="L804" s="828"/>
      <c r="M804" s="828"/>
      <c r="N804" s="828"/>
      <c r="O804" s="828"/>
      <c r="P804" s="828"/>
      <c r="Q804" s="828"/>
      <c r="R804" s="828"/>
      <c r="S804" s="828"/>
      <c r="T804" s="828"/>
      <c r="U804" s="828"/>
      <c r="V804" s="828"/>
      <c r="W804" s="828"/>
      <c r="X804" s="828"/>
      <c r="Y804" s="828"/>
      <c r="Z804" s="828"/>
      <c r="AA804" s="828"/>
      <c r="AB804" s="828"/>
      <c r="AC804" s="828"/>
      <c r="AD804" s="828"/>
      <c r="AE804" s="828"/>
      <c r="AF804" s="828"/>
      <c r="AG804" s="828"/>
      <c r="AH804" s="828"/>
      <c r="AI804" s="828"/>
      <c r="AJ804" s="828"/>
    </row>
    <row r="805">
      <c r="A805" s="828"/>
      <c r="B805" s="828"/>
      <c r="C805" s="828"/>
      <c r="D805" s="828"/>
      <c r="E805" s="828"/>
      <c r="F805" s="828"/>
      <c r="G805" s="828"/>
      <c r="H805" s="828"/>
      <c r="I805" s="828"/>
      <c r="J805" s="828"/>
      <c r="K805" s="828"/>
      <c r="L805" s="828"/>
      <c r="M805" s="828"/>
      <c r="N805" s="828"/>
      <c r="O805" s="828"/>
      <c r="P805" s="828"/>
      <c r="Q805" s="828"/>
      <c r="R805" s="828"/>
      <c r="S805" s="828"/>
      <c r="T805" s="828"/>
      <c r="U805" s="828"/>
      <c r="V805" s="828"/>
      <c r="W805" s="828"/>
      <c r="X805" s="828"/>
      <c r="Y805" s="828"/>
      <c r="Z805" s="828"/>
      <c r="AA805" s="828"/>
      <c r="AB805" s="828"/>
      <c r="AC805" s="828"/>
      <c r="AD805" s="828"/>
      <c r="AE805" s="828"/>
      <c r="AF805" s="828"/>
      <c r="AG805" s="828"/>
      <c r="AH805" s="828"/>
      <c r="AI805" s="828"/>
      <c r="AJ805" s="828"/>
    </row>
    <row r="806">
      <c r="A806" s="828"/>
      <c r="B806" s="828"/>
      <c r="C806" s="828"/>
      <c r="D806" s="828"/>
      <c r="E806" s="828"/>
      <c r="F806" s="828"/>
      <c r="G806" s="828"/>
      <c r="H806" s="828"/>
      <c r="I806" s="828"/>
      <c r="J806" s="828"/>
      <c r="K806" s="828"/>
      <c r="L806" s="828"/>
      <c r="M806" s="828"/>
      <c r="N806" s="828"/>
      <c r="O806" s="828"/>
      <c r="P806" s="828"/>
      <c r="Q806" s="828"/>
      <c r="R806" s="828"/>
      <c r="S806" s="828"/>
      <c r="T806" s="828"/>
      <c r="U806" s="828"/>
      <c r="V806" s="828"/>
      <c r="W806" s="828"/>
      <c r="X806" s="828"/>
      <c r="Y806" s="828"/>
      <c r="Z806" s="828"/>
      <c r="AA806" s="828"/>
      <c r="AB806" s="828"/>
      <c r="AC806" s="828"/>
      <c r="AD806" s="828"/>
      <c r="AE806" s="828"/>
      <c r="AF806" s="828"/>
      <c r="AG806" s="828"/>
      <c r="AH806" s="828"/>
      <c r="AI806" s="828"/>
      <c r="AJ806" s="828"/>
    </row>
    <row r="807">
      <c r="A807" s="828"/>
      <c r="B807" s="828"/>
      <c r="C807" s="828"/>
      <c r="D807" s="828"/>
      <c r="E807" s="828"/>
      <c r="F807" s="828"/>
      <c r="G807" s="828"/>
      <c r="H807" s="828"/>
      <c r="I807" s="828"/>
      <c r="J807" s="828"/>
      <c r="K807" s="828"/>
      <c r="L807" s="828"/>
      <c r="M807" s="828"/>
      <c r="N807" s="828"/>
      <c r="O807" s="828"/>
      <c r="P807" s="828"/>
      <c r="Q807" s="828"/>
      <c r="R807" s="828"/>
      <c r="S807" s="828"/>
      <c r="T807" s="828"/>
      <c r="U807" s="828"/>
      <c r="V807" s="828"/>
      <c r="W807" s="828"/>
      <c r="X807" s="828"/>
      <c r="Y807" s="828"/>
      <c r="Z807" s="828"/>
      <c r="AA807" s="828"/>
      <c r="AB807" s="828"/>
      <c r="AC807" s="828"/>
      <c r="AD807" s="828"/>
      <c r="AE807" s="828"/>
      <c r="AF807" s="828"/>
      <c r="AG807" s="828"/>
      <c r="AH807" s="828"/>
      <c r="AI807" s="828"/>
      <c r="AJ807" s="828"/>
    </row>
    <row r="808">
      <c r="A808" s="828"/>
      <c r="B808" s="828"/>
      <c r="C808" s="828"/>
      <c r="D808" s="828"/>
      <c r="E808" s="828"/>
      <c r="F808" s="828"/>
      <c r="G808" s="828"/>
      <c r="H808" s="828"/>
      <c r="I808" s="828"/>
      <c r="J808" s="828"/>
      <c r="K808" s="828"/>
      <c r="L808" s="828"/>
      <c r="M808" s="828"/>
      <c r="N808" s="828"/>
      <c r="O808" s="828"/>
      <c r="P808" s="828"/>
      <c r="Q808" s="828"/>
      <c r="R808" s="828"/>
      <c r="S808" s="828"/>
      <c r="T808" s="828"/>
      <c r="U808" s="828"/>
      <c r="V808" s="828"/>
      <c r="W808" s="828"/>
      <c r="X808" s="828"/>
      <c r="Y808" s="828"/>
      <c r="Z808" s="828"/>
      <c r="AA808" s="828"/>
      <c r="AB808" s="828"/>
      <c r="AC808" s="828"/>
      <c r="AD808" s="828"/>
      <c r="AE808" s="828"/>
      <c r="AF808" s="828"/>
      <c r="AG808" s="828"/>
      <c r="AH808" s="828"/>
      <c r="AI808" s="828"/>
      <c r="AJ808" s="828"/>
    </row>
    <row r="809">
      <c r="A809" s="828"/>
      <c r="B809" s="828"/>
      <c r="C809" s="828"/>
      <c r="D809" s="828"/>
      <c r="E809" s="828"/>
      <c r="F809" s="828"/>
      <c r="G809" s="828"/>
      <c r="H809" s="828"/>
      <c r="I809" s="828"/>
      <c r="J809" s="828"/>
      <c r="K809" s="828"/>
      <c r="L809" s="828"/>
      <c r="M809" s="828"/>
      <c r="N809" s="828"/>
      <c r="O809" s="828"/>
      <c r="P809" s="828"/>
      <c r="Q809" s="828"/>
      <c r="R809" s="828"/>
      <c r="S809" s="828"/>
      <c r="T809" s="828"/>
      <c r="U809" s="828"/>
      <c r="V809" s="828"/>
      <c r="W809" s="828"/>
      <c r="X809" s="828"/>
      <c r="Y809" s="828"/>
      <c r="Z809" s="828"/>
      <c r="AA809" s="828"/>
      <c r="AB809" s="828"/>
      <c r="AC809" s="828"/>
      <c r="AD809" s="828"/>
      <c r="AE809" s="828"/>
      <c r="AF809" s="828"/>
      <c r="AG809" s="828"/>
      <c r="AH809" s="828"/>
      <c r="AI809" s="828"/>
      <c r="AJ809" s="828"/>
    </row>
    <row r="810">
      <c r="A810" s="828"/>
      <c r="B810" s="828"/>
      <c r="C810" s="828"/>
      <c r="D810" s="828"/>
      <c r="E810" s="828"/>
      <c r="F810" s="828"/>
      <c r="G810" s="828"/>
      <c r="H810" s="828"/>
      <c r="I810" s="828"/>
      <c r="J810" s="828"/>
      <c r="K810" s="828"/>
      <c r="L810" s="828"/>
      <c r="M810" s="828"/>
      <c r="N810" s="828"/>
      <c r="O810" s="828"/>
      <c r="P810" s="828"/>
      <c r="Q810" s="828"/>
      <c r="R810" s="828"/>
      <c r="S810" s="828"/>
      <c r="T810" s="828"/>
      <c r="U810" s="828"/>
      <c r="V810" s="828"/>
      <c r="W810" s="828"/>
      <c r="X810" s="828"/>
      <c r="Y810" s="828"/>
      <c r="Z810" s="828"/>
      <c r="AA810" s="828"/>
      <c r="AB810" s="828"/>
      <c r="AC810" s="828"/>
      <c r="AD810" s="828"/>
      <c r="AE810" s="828"/>
      <c r="AF810" s="828"/>
      <c r="AG810" s="828"/>
      <c r="AH810" s="828"/>
      <c r="AI810" s="828"/>
      <c r="AJ810" s="828"/>
    </row>
    <row r="811">
      <c r="A811" s="828"/>
      <c r="B811" s="828"/>
      <c r="C811" s="828"/>
      <c r="D811" s="828"/>
      <c r="E811" s="828"/>
      <c r="F811" s="828"/>
      <c r="G811" s="828"/>
      <c r="H811" s="828"/>
      <c r="I811" s="828"/>
      <c r="J811" s="828"/>
      <c r="K811" s="828"/>
      <c r="L811" s="828"/>
      <c r="M811" s="828"/>
      <c r="N811" s="828"/>
      <c r="O811" s="828"/>
      <c r="P811" s="828"/>
      <c r="Q811" s="828"/>
      <c r="R811" s="828"/>
      <c r="S811" s="828"/>
      <c r="T811" s="828"/>
      <c r="U811" s="828"/>
      <c r="V811" s="828"/>
      <c r="W811" s="828"/>
      <c r="X811" s="828"/>
      <c r="Y811" s="828"/>
      <c r="Z811" s="828"/>
      <c r="AA811" s="828"/>
      <c r="AB811" s="828"/>
      <c r="AC811" s="828"/>
      <c r="AD811" s="828"/>
      <c r="AE811" s="828"/>
      <c r="AF811" s="828"/>
      <c r="AG811" s="828"/>
      <c r="AH811" s="828"/>
      <c r="AI811" s="828"/>
      <c r="AJ811" s="828"/>
    </row>
    <row r="812">
      <c r="A812" s="828"/>
      <c r="B812" s="828"/>
      <c r="C812" s="828"/>
      <c r="D812" s="828"/>
      <c r="E812" s="828"/>
      <c r="F812" s="828"/>
      <c r="G812" s="828"/>
      <c r="H812" s="828"/>
      <c r="I812" s="828"/>
      <c r="J812" s="828"/>
      <c r="K812" s="828"/>
      <c r="L812" s="828"/>
      <c r="M812" s="828"/>
      <c r="N812" s="828"/>
      <c r="O812" s="828"/>
      <c r="P812" s="828"/>
      <c r="Q812" s="828"/>
      <c r="R812" s="828"/>
      <c r="S812" s="828"/>
      <c r="T812" s="828"/>
      <c r="U812" s="828"/>
      <c r="V812" s="828"/>
      <c r="W812" s="828"/>
      <c r="X812" s="828"/>
      <c r="Y812" s="828"/>
      <c r="Z812" s="828"/>
      <c r="AA812" s="828"/>
      <c r="AB812" s="828"/>
      <c r="AC812" s="828"/>
      <c r="AD812" s="828"/>
      <c r="AE812" s="828"/>
      <c r="AF812" s="828"/>
      <c r="AG812" s="828"/>
      <c r="AH812" s="828"/>
      <c r="AI812" s="828"/>
      <c r="AJ812" s="828"/>
    </row>
    <row r="813">
      <c r="A813" s="828"/>
      <c r="B813" s="828"/>
      <c r="C813" s="828"/>
      <c r="D813" s="828"/>
      <c r="E813" s="828"/>
      <c r="F813" s="828"/>
      <c r="G813" s="828"/>
      <c r="H813" s="828"/>
      <c r="I813" s="828"/>
      <c r="J813" s="828"/>
      <c r="K813" s="828"/>
      <c r="L813" s="828"/>
      <c r="M813" s="828"/>
      <c r="N813" s="828"/>
      <c r="O813" s="828"/>
      <c r="P813" s="828"/>
      <c r="Q813" s="828"/>
      <c r="R813" s="828"/>
      <c r="S813" s="828"/>
      <c r="T813" s="828"/>
      <c r="U813" s="828"/>
      <c r="V813" s="828"/>
      <c r="W813" s="828"/>
      <c r="X813" s="828"/>
      <c r="Y813" s="828"/>
      <c r="Z813" s="828"/>
      <c r="AA813" s="828"/>
      <c r="AB813" s="828"/>
      <c r="AC813" s="828"/>
      <c r="AD813" s="828"/>
      <c r="AE813" s="828"/>
      <c r="AF813" s="828"/>
      <c r="AG813" s="828"/>
      <c r="AH813" s="828"/>
      <c r="AI813" s="828"/>
      <c r="AJ813" s="828"/>
    </row>
    <row r="814">
      <c r="A814" s="828"/>
      <c r="B814" s="828"/>
      <c r="C814" s="828"/>
      <c r="D814" s="828"/>
      <c r="E814" s="828"/>
      <c r="F814" s="828"/>
      <c r="G814" s="828"/>
      <c r="H814" s="828"/>
      <c r="I814" s="828"/>
      <c r="J814" s="828"/>
      <c r="K814" s="828"/>
      <c r="L814" s="828"/>
      <c r="M814" s="828"/>
      <c r="N814" s="828"/>
      <c r="O814" s="828"/>
      <c r="P814" s="828"/>
      <c r="Q814" s="828"/>
      <c r="R814" s="828"/>
      <c r="S814" s="828"/>
      <c r="T814" s="828"/>
      <c r="U814" s="828"/>
      <c r="V814" s="828"/>
      <c r="W814" s="828"/>
      <c r="X814" s="828"/>
      <c r="Y814" s="828"/>
      <c r="Z814" s="828"/>
      <c r="AA814" s="828"/>
      <c r="AB814" s="828"/>
      <c r="AC814" s="828"/>
      <c r="AD814" s="828"/>
      <c r="AE814" s="828"/>
      <c r="AF814" s="828"/>
      <c r="AG814" s="828"/>
      <c r="AH814" s="828"/>
      <c r="AI814" s="828"/>
      <c r="AJ814" s="828"/>
    </row>
    <row r="815">
      <c r="A815" s="828"/>
      <c r="B815" s="828"/>
      <c r="C815" s="828"/>
      <c r="D815" s="828"/>
      <c r="E815" s="828"/>
      <c r="F815" s="828"/>
      <c r="G815" s="828"/>
      <c r="H815" s="828"/>
      <c r="I815" s="828"/>
      <c r="J815" s="828"/>
      <c r="K815" s="828"/>
      <c r="L815" s="828"/>
      <c r="M815" s="828"/>
      <c r="N815" s="828"/>
      <c r="O815" s="828"/>
      <c r="P815" s="828"/>
      <c r="Q815" s="828"/>
      <c r="R815" s="828"/>
      <c r="S815" s="828"/>
      <c r="T815" s="828"/>
      <c r="U815" s="828"/>
      <c r="V815" s="828"/>
      <c r="W815" s="828"/>
      <c r="X815" s="828"/>
      <c r="Y815" s="828"/>
      <c r="Z815" s="828"/>
      <c r="AA815" s="828"/>
      <c r="AB815" s="828"/>
      <c r="AC815" s="828"/>
      <c r="AD815" s="828"/>
      <c r="AE815" s="828"/>
      <c r="AF815" s="828"/>
      <c r="AG815" s="828"/>
      <c r="AH815" s="828"/>
      <c r="AI815" s="828"/>
      <c r="AJ815" s="828"/>
    </row>
    <row r="816">
      <c r="A816" s="828"/>
      <c r="B816" s="828"/>
      <c r="C816" s="828"/>
      <c r="D816" s="828"/>
      <c r="E816" s="828"/>
      <c r="F816" s="828"/>
      <c r="G816" s="828"/>
      <c r="H816" s="828"/>
      <c r="I816" s="828"/>
      <c r="J816" s="828"/>
      <c r="K816" s="828"/>
      <c r="L816" s="828"/>
      <c r="M816" s="828"/>
      <c r="N816" s="828"/>
      <c r="O816" s="828"/>
      <c r="P816" s="828"/>
      <c r="Q816" s="828"/>
      <c r="R816" s="828"/>
      <c r="S816" s="828"/>
      <c r="T816" s="828"/>
      <c r="U816" s="828"/>
      <c r="V816" s="828"/>
      <c r="W816" s="828"/>
      <c r="X816" s="828"/>
      <c r="Y816" s="828"/>
      <c r="Z816" s="828"/>
      <c r="AA816" s="828"/>
      <c r="AB816" s="828"/>
      <c r="AC816" s="828"/>
      <c r="AD816" s="828"/>
      <c r="AE816" s="828"/>
      <c r="AF816" s="828"/>
      <c r="AG816" s="828"/>
      <c r="AH816" s="828"/>
      <c r="AI816" s="828"/>
      <c r="AJ816" s="828"/>
    </row>
    <row r="817">
      <c r="A817" s="828"/>
      <c r="B817" s="828"/>
      <c r="C817" s="828"/>
      <c r="D817" s="828"/>
      <c r="E817" s="828"/>
      <c r="F817" s="828"/>
      <c r="G817" s="828"/>
      <c r="H817" s="828"/>
      <c r="I817" s="828"/>
      <c r="J817" s="828"/>
      <c r="K817" s="828"/>
      <c r="L817" s="828"/>
      <c r="M817" s="828"/>
      <c r="N817" s="828"/>
      <c r="O817" s="828"/>
      <c r="P817" s="828"/>
      <c r="Q817" s="828"/>
      <c r="R817" s="828"/>
      <c r="S817" s="828"/>
      <c r="T817" s="828"/>
      <c r="U817" s="828"/>
      <c r="V817" s="828"/>
      <c r="W817" s="828"/>
      <c r="X817" s="828"/>
      <c r="Y817" s="828"/>
      <c r="Z817" s="828"/>
      <c r="AA817" s="828"/>
      <c r="AB817" s="828"/>
      <c r="AC817" s="828"/>
      <c r="AD817" s="828"/>
      <c r="AE817" s="828"/>
      <c r="AF817" s="828"/>
      <c r="AG817" s="828"/>
      <c r="AH817" s="828"/>
      <c r="AI817" s="828"/>
      <c r="AJ817" s="828"/>
    </row>
    <row r="818">
      <c r="A818" s="828"/>
      <c r="B818" s="828"/>
      <c r="C818" s="828"/>
      <c r="D818" s="828"/>
      <c r="E818" s="828"/>
      <c r="F818" s="828"/>
      <c r="G818" s="828"/>
      <c r="H818" s="828"/>
      <c r="I818" s="828"/>
      <c r="J818" s="828"/>
      <c r="K818" s="828"/>
      <c r="L818" s="828"/>
      <c r="M818" s="828"/>
      <c r="N818" s="828"/>
      <c r="O818" s="828"/>
      <c r="P818" s="828"/>
      <c r="Q818" s="828"/>
      <c r="R818" s="828"/>
      <c r="S818" s="828"/>
      <c r="T818" s="828"/>
      <c r="U818" s="828"/>
      <c r="V818" s="828"/>
      <c r="W818" s="828"/>
      <c r="X818" s="828"/>
      <c r="Y818" s="828"/>
      <c r="Z818" s="828"/>
      <c r="AA818" s="828"/>
      <c r="AB818" s="828"/>
      <c r="AC818" s="828"/>
      <c r="AD818" s="828"/>
      <c r="AE818" s="828"/>
      <c r="AF818" s="828"/>
      <c r="AG818" s="828"/>
      <c r="AH818" s="828"/>
      <c r="AI818" s="828"/>
      <c r="AJ818" s="828"/>
    </row>
    <row r="819">
      <c r="A819" s="828"/>
      <c r="B819" s="828"/>
      <c r="C819" s="828"/>
      <c r="D819" s="828"/>
      <c r="E819" s="828"/>
      <c r="F819" s="828"/>
      <c r="G819" s="828"/>
      <c r="H819" s="828"/>
      <c r="I819" s="828"/>
      <c r="J819" s="828"/>
      <c r="K819" s="828"/>
      <c r="L819" s="828"/>
      <c r="M819" s="828"/>
      <c r="N819" s="828"/>
      <c r="O819" s="828"/>
      <c r="P819" s="828"/>
      <c r="Q819" s="828"/>
      <c r="R819" s="828"/>
      <c r="S819" s="828"/>
      <c r="T819" s="828"/>
      <c r="U819" s="828"/>
      <c r="V819" s="828"/>
      <c r="W819" s="828"/>
      <c r="X819" s="828"/>
      <c r="Y819" s="828"/>
      <c r="Z819" s="828"/>
      <c r="AA819" s="828"/>
      <c r="AB819" s="828"/>
      <c r="AC819" s="828"/>
      <c r="AD819" s="828"/>
      <c r="AE819" s="828"/>
      <c r="AF819" s="828"/>
      <c r="AG819" s="828"/>
      <c r="AH819" s="828"/>
      <c r="AI819" s="828"/>
      <c r="AJ819" s="828"/>
    </row>
    <row r="820">
      <c r="A820" s="828"/>
      <c r="B820" s="828"/>
      <c r="C820" s="828"/>
      <c r="D820" s="828"/>
      <c r="E820" s="828"/>
      <c r="F820" s="828"/>
      <c r="G820" s="828"/>
      <c r="H820" s="828"/>
      <c r="I820" s="828"/>
      <c r="J820" s="828"/>
      <c r="K820" s="828"/>
      <c r="L820" s="828"/>
      <c r="M820" s="828"/>
      <c r="N820" s="828"/>
      <c r="O820" s="828"/>
      <c r="P820" s="828"/>
      <c r="Q820" s="828"/>
      <c r="R820" s="828"/>
      <c r="S820" s="828"/>
      <c r="T820" s="828"/>
      <c r="U820" s="828"/>
      <c r="V820" s="828"/>
      <c r="W820" s="828"/>
      <c r="X820" s="828"/>
      <c r="Y820" s="828"/>
      <c r="Z820" s="828"/>
      <c r="AA820" s="828"/>
      <c r="AB820" s="828"/>
      <c r="AC820" s="828"/>
      <c r="AD820" s="828"/>
      <c r="AE820" s="828"/>
      <c r="AF820" s="828"/>
      <c r="AG820" s="828"/>
      <c r="AH820" s="828"/>
      <c r="AI820" s="828"/>
      <c r="AJ820" s="828"/>
    </row>
    <row r="821">
      <c r="A821" s="828"/>
      <c r="B821" s="828"/>
      <c r="C821" s="828"/>
      <c r="D821" s="828"/>
      <c r="E821" s="828"/>
      <c r="F821" s="828"/>
      <c r="G821" s="828"/>
      <c r="H821" s="828"/>
      <c r="I821" s="828"/>
      <c r="J821" s="828"/>
      <c r="K821" s="828"/>
      <c r="L821" s="828"/>
      <c r="M821" s="828"/>
      <c r="N821" s="828"/>
      <c r="O821" s="828"/>
      <c r="P821" s="828"/>
      <c r="Q821" s="828"/>
      <c r="R821" s="828"/>
      <c r="S821" s="828"/>
      <c r="T821" s="828"/>
      <c r="U821" s="828"/>
      <c r="V821" s="828"/>
      <c r="W821" s="828"/>
      <c r="X821" s="828"/>
      <c r="Y821" s="828"/>
      <c r="Z821" s="828"/>
      <c r="AA821" s="828"/>
      <c r="AB821" s="828"/>
      <c r="AC821" s="828"/>
      <c r="AD821" s="828"/>
      <c r="AE821" s="828"/>
      <c r="AF821" s="828"/>
      <c r="AG821" s="828"/>
      <c r="AH821" s="828"/>
      <c r="AI821" s="828"/>
      <c r="AJ821" s="828"/>
    </row>
    <row r="822">
      <c r="A822" s="828"/>
      <c r="B822" s="828"/>
      <c r="C822" s="828"/>
      <c r="D822" s="828"/>
      <c r="E822" s="828"/>
      <c r="F822" s="828"/>
      <c r="G822" s="828"/>
      <c r="H822" s="828"/>
      <c r="I822" s="828"/>
      <c r="J822" s="828"/>
      <c r="K822" s="828"/>
      <c r="L822" s="828"/>
      <c r="M822" s="828"/>
      <c r="N822" s="828"/>
      <c r="O822" s="828"/>
      <c r="P822" s="828"/>
      <c r="Q822" s="828"/>
      <c r="R822" s="828"/>
      <c r="S822" s="828"/>
      <c r="T822" s="828"/>
      <c r="U822" s="828"/>
      <c r="V822" s="828"/>
      <c r="W822" s="828"/>
      <c r="X822" s="828"/>
      <c r="Y822" s="828"/>
      <c r="Z822" s="828"/>
      <c r="AA822" s="828"/>
      <c r="AB822" s="828"/>
      <c r="AC822" s="828"/>
      <c r="AD822" s="828"/>
      <c r="AE822" s="828"/>
      <c r="AF822" s="828"/>
      <c r="AG822" s="828"/>
      <c r="AH822" s="828"/>
      <c r="AI822" s="828"/>
      <c r="AJ822" s="828"/>
    </row>
    <row r="823">
      <c r="A823" s="828"/>
      <c r="B823" s="828"/>
      <c r="C823" s="828"/>
      <c r="D823" s="828"/>
      <c r="E823" s="828"/>
      <c r="F823" s="828"/>
      <c r="G823" s="828"/>
      <c r="H823" s="828"/>
      <c r="I823" s="828"/>
      <c r="J823" s="828"/>
      <c r="K823" s="828"/>
      <c r="L823" s="828"/>
      <c r="M823" s="828"/>
      <c r="N823" s="828"/>
      <c r="O823" s="828"/>
      <c r="P823" s="828"/>
      <c r="Q823" s="828"/>
      <c r="R823" s="828"/>
      <c r="S823" s="828"/>
      <c r="T823" s="828"/>
      <c r="U823" s="828"/>
      <c r="V823" s="828"/>
      <c r="W823" s="828"/>
      <c r="X823" s="828"/>
      <c r="Y823" s="828"/>
      <c r="Z823" s="828"/>
      <c r="AA823" s="828"/>
      <c r="AB823" s="828"/>
      <c r="AC823" s="828"/>
      <c r="AD823" s="828"/>
      <c r="AE823" s="828"/>
      <c r="AF823" s="828"/>
      <c r="AG823" s="828"/>
      <c r="AH823" s="828"/>
      <c r="AI823" s="828"/>
      <c r="AJ823" s="828"/>
    </row>
    <row r="824">
      <c r="A824" s="828"/>
      <c r="B824" s="828"/>
      <c r="C824" s="828"/>
      <c r="D824" s="828"/>
      <c r="E824" s="828"/>
      <c r="F824" s="828"/>
      <c r="G824" s="828"/>
      <c r="H824" s="828"/>
      <c r="I824" s="828"/>
      <c r="J824" s="828"/>
      <c r="K824" s="828"/>
      <c r="L824" s="828"/>
      <c r="M824" s="828"/>
      <c r="N824" s="828"/>
      <c r="O824" s="828"/>
      <c r="P824" s="828"/>
      <c r="Q824" s="828"/>
      <c r="R824" s="828"/>
      <c r="S824" s="828"/>
      <c r="T824" s="828"/>
      <c r="U824" s="828"/>
      <c r="V824" s="828"/>
      <c r="W824" s="828"/>
      <c r="X824" s="828"/>
      <c r="Y824" s="828"/>
      <c r="Z824" s="828"/>
      <c r="AA824" s="828"/>
      <c r="AB824" s="828"/>
      <c r="AC824" s="828"/>
      <c r="AD824" s="828"/>
      <c r="AE824" s="828"/>
      <c r="AF824" s="828"/>
      <c r="AG824" s="828"/>
      <c r="AH824" s="828"/>
      <c r="AI824" s="828"/>
      <c r="AJ824" s="828"/>
    </row>
    <row r="825">
      <c r="A825" s="828"/>
      <c r="B825" s="828"/>
      <c r="C825" s="828"/>
      <c r="D825" s="828"/>
      <c r="E825" s="828"/>
      <c r="F825" s="828"/>
      <c r="G825" s="828"/>
      <c r="H825" s="828"/>
      <c r="I825" s="828"/>
      <c r="J825" s="828"/>
      <c r="K825" s="828"/>
      <c r="L825" s="828"/>
      <c r="M825" s="828"/>
      <c r="N825" s="828"/>
      <c r="O825" s="828"/>
      <c r="P825" s="828"/>
      <c r="Q825" s="828"/>
      <c r="R825" s="828"/>
      <c r="S825" s="828"/>
      <c r="T825" s="828"/>
      <c r="U825" s="828"/>
      <c r="V825" s="828"/>
      <c r="W825" s="828"/>
      <c r="X825" s="828"/>
      <c r="Y825" s="828"/>
      <c r="Z825" s="828"/>
      <c r="AA825" s="828"/>
      <c r="AB825" s="828"/>
      <c r="AC825" s="828"/>
      <c r="AD825" s="828"/>
      <c r="AE825" s="828"/>
      <c r="AF825" s="828"/>
      <c r="AG825" s="828"/>
      <c r="AH825" s="828"/>
      <c r="AI825" s="828"/>
      <c r="AJ825" s="828"/>
    </row>
    <row r="826">
      <c r="A826" s="828"/>
      <c r="B826" s="828"/>
      <c r="C826" s="828"/>
      <c r="D826" s="828"/>
      <c r="E826" s="828"/>
      <c r="F826" s="828"/>
      <c r="G826" s="828"/>
      <c r="H826" s="828"/>
      <c r="I826" s="828"/>
      <c r="J826" s="828"/>
      <c r="K826" s="828"/>
      <c r="L826" s="828"/>
      <c r="M826" s="828"/>
      <c r="N826" s="828"/>
      <c r="O826" s="828"/>
      <c r="P826" s="828"/>
      <c r="Q826" s="828"/>
      <c r="R826" s="828"/>
      <c r="S826" s="828"/>
      <c r="T826" s="828"/>
      <c r="U826" s="828"/>
      <c r="V826" s="828"/>
      <c r="W826" s="828"/>
      <c r="X826" s="828"/>
      <c r="Y826" s="828"/>
      <c r="Z826" s="828"/>
      <c r="AA826" s="828"/>
      <c r="AB826" s="828"/>
      <c r="AC826" s="828"/>
      <c r="AD826" s="828"/>
      <c r="AE826" s="828"/>
      <c r="AF826" s="828"/>
      <c r="AG826" s="828"/>
      <c r="AH826" s="828"/>
      <c r="AI826" s="828"/>
      <c r="AJ826" s="828"/>
    </row>
    <row r="827">
      <c r="A827" s="828"/>
      <c r="B827" s="828"/>
      <c r="C827" s="828"/>
      <c r="D827" s="828"/>
      <c r="E827" s="828"/>
      <c r="F827" s="828"/>
      <c r="G827" s="828"/>
      <c r="H827" s="828"/>
      <c r="I827" s="828"/>
      <c r="J827" s="828"/>
      <c r="K827" s="828"/>
      <c r="L827" s="828"/>
      <c r="M827" s="828"/>
      <c r="N827" s="828"/>
      <c r="O827" s="828"/>
      <c r="P827" s="828"/>
      <c r="Q827" s="828"/>
      <c r="R827" s="828"/>
      <c r="S827" s="828"/>
      <c r="T827" s="828"/>
      <c r="U827" s="828"/>
      <c r="V827" s="828"/>
      <c r="W827" s="828"/>
      <c r="X827" s="828"/>
      <c r="Y827" s="828"/>
      <c r="Z827" s="828"/>
      <c r="AA827" s="828"/>
      <c r="AB827" s="828"/>
      <c r="AC827" s="828"/>
      <c r="AD827" s="828"/>
      <c r="AE827" s="828"/>
      <c r="AF827" s="828"/>
      <c r="AG827" s="828"/>
      <c r="AH827" s="828"/>
      <c r="AI827" s="828"/>
      <c r="AJ827" s="828"/>
    </row>
    <row r="828">
      <c r="A828" s="828"/>
      <c r="B828" s="828"/>
      <c r="C828" s="828"/>
      <c r="D828" s="828"/>
      <c r="E828" s="828"/>
      <c r="F828" s="828"/>
      <c r="G828" s="828"/>
      <c r="H828" s="828"/>
      <c r="I828" s="828"/>
      <c r="J828" s="828"/>
      <c r="K828" s="828"/>
      <c r="L828" s="828"/>
      <c r="M828" s="828"/>
      <c r="N828" s="828"/>
      <c r="O828" s="828"/>
      <c r="P828" s="828"/>
      <c r="Q828" s="828"/>
      <c r="R828" s="828"/>
      <c r="S828" s="828"/>
      <c r="T828" s="828"/>
      <c r="U828" s="828"/>
      <c r="V828" s="828"/>
      <c r="W828" s="828"/>
      <c r="X828" s="828"/>
      <c r="Y828" s="828"/>
      <c r="Z828" s="828"/>
      <c r="AA828" s="828"/>
      <c r="AB828" s="828"/>
      <c r="AC828" s="828"/>
      <c r="AD828" s="828"/>
      <c r="AE828" s="828"/>
      <c r="AF828" s="828"/>
      <c r="AG828" s="828"/>
      <c r="AH828" s="828"/>
      <c r="AI828" s="828"/>
      <c r="AJ828" s="828"/>
    </row>
    <row r="829">
      <c r="A829" s="828"/>
      <c r="B829" s="828"/>
      <c r="C829" s="828"/>
      <c r="D829" s="828"/>
      <c r="E829" s="828"/>
      <c r="F829" s="828"/>
      <c r="G829" s="828"/>
      <c r="H829" s="828"/>
      <c r="I829" s="828"/>
      <c r="J829" s="828"/>
      <c r="K829" s="828"/>
      <c r="L829" s="828"/>
      <c r="M829" s="828"/>
      <c r="N829" s="828"/>
      <c r="O829" s="828"/>
      <c r="P829" s="828"/>
      <c r="Q829" s="828"/>
      <c r="R829" s="828"/>
      <c r="S829" s="828"/>
      <c r="T829" s="828"/>
      <c r="U829" s="828"/>
      <c r="V829" s="828"/>
      <c r="W829" s="828"/>
      <c r="X829" s="828"/>
      <c r="Y829" s="828"/>
      <c r="Z829" s="828"/>
      <c r="AA829" s="828"/>
      <c r="AB829" s="828"/>
      <c r="AC829" s="828"/>
      <c r="AD829" s="828"/>
      <c r="AE829" s="828"/>
      <c r="AF829" s="828"/>
      <c r="AG829" s="828"/>
      <c r="AH829" s="828"/>
      <c r="AI829" s="828"/>
      <c r="AJ829" s="828"/>
    </row>
    <row r="830">
      <c r="A830" s="828"/>
      <c r="B830" s="828"/>
      <c r="C830" s="828"/>
      <c r="D830" s="828"/>
      <c r="E830" s="828"/>
      <c r="F830" s="828"/>
      <c r="G830" s="828"/>
      <c r="H830" s="828"/>
      <c r="I830" s="828"/>
      <c r="J830" s="828"/>
      <c r="K830" s="828"/>
      <c r="L830" s="828"/>
      <c r="M830" s="828"/>
      <c r="N830" s="828"/>
      <c r="O830" s="828"/>
      <c r="P830" s="828"/>
      <c r="Q830" s="828"/>
      <c r="R830" s="828"/>
      <c r="S830" s="828"/>
      <c r="T830" s="828"/>
      <c r="U830" s="828"/>
      <c r="V830" s="828"/>
      <c r="W830" s="828"/>
      <c r="X830" s="828"/>
      <c r="Y830" s="828"/>
      <c r="Z830" s="828"/>
      <c r="AA830" s="828"/>
      <c r="AB830" s="828"/>
      <c r="AC830" s="828"/>
      <c r="AD830" s="828"/>
      <c r="AE830" s="828"/>
      <c r="AF830" s="828"/>
      <c r="AG830" s="828"/>
      <c r="AH830" s="828"/>
      <c r="AI830" s="828"/>
      <c r="AJ830" s="828"/>
    </row>
    <row r="831">
      <c r="A831" s="828"/>
      <c r="B831" s="828"/>
      <c r="C831" s="828"/>
      <c r="D831" s="828"/>
      <c r="E831" s="828"/>
      <c r="F831" s="828"/>
      <c r="G831" s="828"/>
      <c r="H831" s="828"/>
      <c r="I831" s="828"/>
      <c r="J831" s="828"/>
      <c r="K831" s="828"/>
      <c r="L831" s="828"/>
      <c r="M831" s="828"/>
      <c r="N831" s="828"/>
      <c r="O831" s="828"/>
      <c r="P831" s="828"/>
      <c r="Q831" s="828"/>
      <c r="R831" s="828"/>
      <c r="S831" s="828"/>
      <c r="T831" s="828"/>
      <c r="U831" s="828"/>
      <c r="V831" s="828"/>
      <c r="W831" s="828"/>
      <c r="X831" s="828"/>
      <c r="Y831" s="828"/>
      <c r="Z831" s="828"/>
      <c r="AA831" s="828"/>
      <c r="AB831" s="828"/>
      <c r="AC831" s="828"/>
      <c r="AD831" s="828"/>
      <c r="AE831" s="828"/>
      <c r="AF831" s="828"/>
      <c r="AG831" s="828"/>
      <c r="AH831" s="828"/>
      <c r="AI831" s="828"/>
      <c r="AJ831" s="828"/>
    </row>
    <row r="832">
      <c r="A832" s="828"/>
      <c r="B832" s="828"/>
      <c r="C832" s="828"/>
      <c r="D832" s="828"/>
      <c r="E832" s="828"/>
      <c r="F832" s="828"/>
      <c r="G832" s="828"/>
      <c r="H832" s="828"/>
      <c r="I832" s="828"/>
      <c r="J832" s="828"/>
      <c r="K832" s="828"/>
      <c r="L832" s="828"/>
      <c r="M832" s="828"/>
      <c r="N832" s="828"/>
      <c r="O832" s="828"/>
      <c r="P832" s="828"/>
      <c r="Q832" s="828"/>
      <c r="R832" s="828"/>
      <c r="S832" s="828"/>
      <c r="T832" s="828"/>
      <c r="U832" s="828"/>
      <c r="V832" s="828"/>
      <c r="W832" s="828"/>
      <c r="X832" s="828"/>
      <c r="Y832" s="828"/>
      <c r="Z832" s="828"/>
      <c r="AA832" s="828"/>
      <c r="AB832" s="828"/>
      <c r="AC832" s="828"/>
      <c r="AD832" s="828"/>
      <c r="AE832" s="828"/>
      <c r="AF832" s="828"/>
      <c r="AG832" s="828"/>
      <c r="AH832" s="828"/>
      <c r="AI832" s="828"/>
      <c r="AJ832" s="828"/>
    </row>
    <row r="833">
      <c r="A833" s="828"/>
      <c r="B833" s="828"/>
      <c r="C833" s="828"/>
      <c r="D833" s="828"/>
      <c r="E833" s="828"/>
      <c r="F833" s="828"/>
      <c r="G833" s="828"/>
      <c r="H833" s="828"/>
      <c r="I833" s="828"/>
      <c r="J833" s="828"/>
      <c r="K833" s="828"/>
      <c r="L833" s="828"/>
      <c r="M833" s="828"/>
      <c r="N833" s="828"/>
      <c r="O833" s="828"/>
      <c r="P833" s="828"/>
      <c r="Q833" s="828"/>
      <c r="R833" s="828"/>
      <c r="S833" s="828"/>
      <c r="T833" s="828"/>
      <c r="U833" s="828"/>
      <c r="V833" s="828"/>
      <c r="W833" s="828"/>
      <c r="X833" s="828"/>
      <c r="Y833" s="828"/>
      <c r="Z833" s="828"/>
      <c r="AA833" s="828"/>
      <c r="AB833" s="828"/>
      <c r="AC833" s="828"/>
      <c r="AD833" s="828"/>
      <c r="AE833" s="828"/>
      <c r="AF833" s="828"/>
      <c r="AG833" s="828"/>
      <c r="AH833" s="828"/>
      <c r="AI833" s="828"/>
      <c r="AJ833" s="828"/>
    </row>
    <row r="834">
      <c r="A834" s="828"/>
      <c r="B834" s="828"/>
      <c r="C834" s="828"/>
      <c r="D834" s="828"/>
      <c r="E834" s="828"/>
      <c r="F834" s="828"/>
      <c r="G834" s="828"/>
      <c r="H834" s="828"/>
      <c r="I834" s="828"/>
      <c r="J834" s="828"/>
      <c r="K834" s="828"/>
      <c r="L834" s="828"/>
      <c r="M834" s="828"/>
      <c r="N834" s="828"/>
      <c r="O834" s="828"/>
      <c r="P834" s="828"/>
      <c r="Q834" s="828"/>
      <c r="R834" s="828"/>
      <c r="S834" s="828"/>
      <c r="T834" s="828"/>
      <c r="U834" s="828"/>
      <c r="V834" s="828"/>
      <c r="W834" s="828"/>
      <c r="X834" s="828"/>
      <c r="Y834" s="828"/>
      <c r="Z834" s="828"/>
      <c r="AA834" s="828"/>
      <c r="AB834" s="828"/>
      <c r="AC834" s="828"/>
      <c r="AD834" s="828"/>
      <c r="AE834" s="828"/>
      <c r="AF834" s="828"/>
      <c r="AG834" s="828"/>
      <c r="AH834" s="828"/>
      <c r="AI834" s="828"/>
      <c r="AJ834" s="828"/>
    </row>
    <row r="835">
      <c r="A835" s="828"/>
      <c r="B835" s="828"/>
      <c r="C835" s="828"/>
      <c r="D835" s="828"/>
      <c r="E835" s="828"/>
      <c r="F835" s="828"/>
      <c r="G835" s="828"/>
      <c r="H835" s="828"/>
      <c r="I835" s="828"/>
      <c r="J835" s="828"/>
      <c r="K835" s="828"/>
      <c r="L835" s="828"/>
      <c r="M835" s="828"/>
      <c r="N835" s="828"/>
      <c r="O835" s="828"/>
      <c r="P835" s="828"/>
      <c r="Q835" s="828"/>
      <c r="R835" s="828"/>
      <c r="S835" s="828"/>
      <c r="T835" s="828"/>
      <c r="U835" s="828"/>
      <c r="V835" s="828"/>
      <c r="W835" s="828"/>
      <c r="X835" s="828"/>
      <c r="Y835" s="828"/>
      <c r="Z835" s="828"/>
      <c r="AA835" s="828"/>
      <c r="AB835" s="828"/>
      <c r="AC835" s="828"/>
      <c r="AD835" s="828"/>
      <c r="AE835" s="828"/>
      <c r="AF835" s="828"/>
      <c r="AG835" s="828"/>
      <c r="AH835" s="828"/>
      <c r="AI835" s="828"/>
      <c r="AJ835" s="828"/>
    </row>
    <row r="836">
      <c r="A836" s="828"/>
      <c r="B836" s="828"/>
      <c r="C836" s="828"/>
      <c r="D836" s="828"/>
      <c r="E836" s="828"/>
      <c r="F836" s="828"/>
      <c r="G836" s="828"/>
      <c r="H836" s="828"/>
      <c r="I836" s="828"/>
      <c r="J836" s="828"/>
      <c r="K836" s="828"/>
      <c r="L836" s="828"/>
      <c r="M836" s="828"/>
      <c r="N836" s="828"/>
      <c r="O836" s="828"/>
      <c r="P836" s="828"/>
      <c r="Q836" s="828"/>
      <c r="R836" s="828"/>
      <c r="S836" s="828"/>
      <c r="T836" s="828"/>
      <c r="U836" s="828"/>
      <c r="V836" s="828"/>
      <c r="W836" s="828"/>
      <c r="X836" s="828"/>
      <c r="Y836" s="828"/>
      <c r="Z836" s="828"/>
      <c r="AA836" s="828"/>
      <c r="AB836" s="828"/>
      <c r="AC836" s="828"/>
      <c r="AD836" s="828"/>
      <c r="AE836" s="828"/>
      <c r="AF836" s="828"/>
      <c r="AG836" s="828"/>
      <c r="AH836" s="828"/>
      <c r="AI836" s="828"/>
      <c r="AJ836" s="828"/>
    </row>
    <row r="837">
      <c r="A837" s="828"/>
      <c r="B837" s="828"/>
      <c r="C837" s="828"/>
      <c r="D837" s="828"/>
      <c r="E837" s="828"/>
      <c r="F837" s="828"/>
      <c r="G837" s="828"/>
      <c r="H837" s="828"/>
      <c r="I837" s="828"/>
      <c r="J837" s="828"/>
      <c r="K837" s="828"/>
      <c r="L837" s="828"/>
      <c r="M837" s="828"/>
      <c r="N837" s="828"/>
      <c r="O837" s="828"/>
      <c r="P837" s="828"/>
      <c r="Q837" s="828"/>
      <c r="R837" s="828"/>
      <c r="S837" s="828"/>
      <c r="T837" s="828"/>
      <c r="U837" s="828"/>
      <c r="V837" s="828"/>
      <c r="W837" s="828"/>
      <c r="X837" s="828"/>
      <c r="Y837" s="828"/>
      <c r="Z837" s="828"/>
      <c r="AA837" s="828"/>
      <c r="AB837" s="828"/>
      <c r="AC837" s="828"/>
      <c r="AD837" s="828"/>
      <c r="AE837" s="828"/>
      <c r="AF837" s="828"/>
      <c r="AG837" s="828"/>
      <c r="AH837" s="828"/>
      <c r="AI837" s="828"/>
      <c r="AJ837" s="828"/>
    </row>
    <row r="838">
      <c r="A838" s="828"/>
      <c r="B838" s="828"/>
      <c r="C838" s="828"/>
      <c r="D838" s="828"/>
      <c r="E838" s="828"/>
      <c r="F838" s="828"/>
      <c r="G838" s="828"/>
      <c r="H838" s="828"/>
      <c r="I838" s="828"/>
      <c r="J838" s="828"/>
      <c r="K838" s="828"/>
      <c r="L838" s="828"/>
      <c r="M838" s="828"/>
      <c r="N838" s="828"/>
      <c r="O838" s="828"/>
      <c r="P838" s="828"/>
      <c r="Q838" s="828"/>
      <c r="R838" s="828"/>
      <c r="S838" s="828"/>
      <c r="T838" s="828"/>
      <c r="U838" s="828"/>
      <c r="V838" s="828"/>
      <c r="W838" s="828"/>
      <c r="X838" s="828"/>
      <c r="Y838" s="828"/>
      <c r="Z838" s="828"/>
      <c r="AA838" s="828"/>
      <c r="AB838" s="828"/>
      <c r="AC838" s="828"/>
      <c r="AD838" s="828"/>
      <c r="AE838" s="828"/>
      <c r="AF838" s="828"/>
      <c r="AG838" s="828"/>
      <c r="AH838" s="828"/>
      <c r="AI838" s="828"/>
      <c r="AJ838" s="828"/>
    </row>
    <row r="839">
      <c r="A839" s="828"/>
      <c r="B839" s="828"/>
      <c r="C839" s="828"/>
      <c r="D839" s="828"/>
      <c r="E839" s="828"/>
      <c r="F839" s="828"/>
      <c r="G839" s="828"/>
      <c r="H839" s="828"/>
      <c r="I839" s="828"/>
      <c r="J839" s="828"/>
      <c r="K839" s="828"/>
      <c r="L839" s="828"/>
      <c r="M839" s="828"/>
      <c r="N839" s="828"/>
      <c r="O839" s="828"/>
      <c r="P839" s="828"/>
      <c r="Q839" s="828"/>
      <c r="R839" s="828"/>
      <c r="S839" s="828"/>
      <c r="T839" s="828"/>
      <c r="U839" s="828"/>
      <c r="V839" s="828"/>
      <c r="W839" s="828"/>
      <c r="X839" s="828"/>
      <c r="Y839" s="828"/>
      <c r="Z839" s="828"/>
      <c r="AA839" s="828"/>
      <c r="AB839" s="828"/>
      <c r="AC839" s="828"/>
      <c r="AD839" s="828"/>
      <c r="AE839" s="828"/>
      <c r="AF839" s="828"/>
      <c r="AG839" s="828"/>
      <c r="AH839" s="828"/>
      <c r="AI839" s="828"/>
      <c r="AJ839" s="828"/>
    </row>
    <row r="840">
      <c r="A840" s="828"/>
      <c r="B840" s="828"/>
      <c r="C840" s="828"/>
      <c r="D840" s="828"/>
      <c r="E840" s="828"/>
      <c r="F840" s="828"/>
      <c r="G840" s="828"/>
      <c r="H840" s="828"/>
      <c r="I840" s="828"/>
      <c r="J840" s="828"/>
      <c r="K840" s="828"/>
      <c r="L840" s="828"/>
      <c r="M840" s="828"/>
      <c r="N840" s="828"/>
      <c r="O840" s="828"/>
      <c r="P840" s="828"/>
      <c r="Q840" s="828"/>
      <c r="R840" s="828"/>
      <c r="S840" s="828"/>
      <c r="T840" s="828"/>
      <c r="U840" s="828"/>
      <c r="V840" s="828"/>
      <c r="W840" s="828"/>
      <c r="X840" s="828"/>
      <c r="Y840" s="828"/>
      <c r="Z840" s="828"/>
      <c r="AA840" s="828"/>
      <c r="AB840" s="828"/>
      <c r="AC840" s="828"/>
      <c r="AD840" s="828"/>
      <c r="AE840" s="828"/>
      <c r="AF840" s="828"/>
      <c r="AG840" s="828"/>
      <c r="AH840" s="828"/>
      <c r="AI840" s="828"/>
      <c r="AJ840" s="828"/>
    </row>
    <row r="841">
      <c r="A841" s="828"/>
      <c r="B841" s="828"/>
      <c r="C841" s="828"/>
      <c r="D841" s="828"/>
      <c r="E841" s="828"/>
      <c r="F841" s="828"/>
      <c r="G841" s="828"/>
      <c r="H841" s="828"/>
      <c r="I841" s="828"/>
      <c r="J841" s="828"/>
      <c r="K841" s="828"/>
      <c r="L841" s="828"/>
      <c r="M841" s="828"/>
      <c r="N841" s="828"/>
      <c r="O841" s="828"/>
      <c r="P841" s="828"/>
      <c r="Q841" s="828"/>
      <c r="R841" s="828"/>
      <c r="S841" s="828"/>
      <c r="T841" s="828"/>
      <c r="U841" s="828"/>
      <c r="V841" s="828"/>
      <c r="W841" s="828"/>
      <c r="X841" s="828"/>
      <c r="Y841" s="828"/>
      <c r="Z841" s="828"/>
      <c r="AA841" s="828"/>
      <c r="AB841" s="828"/>
      <c r="AC841" s="828"/>
      <c r="AD841" s="828"/>
      <c r="AE841" s="828"/>
      <c r="AF841" s="828"/>
      <c r="AG841" s="828"/>
      <c r="AH841" s="828"/>
      <c r="AI841" s="828"/>
      <c r="AJ841" s="828"/>
    </row>
    <row r="842">
      <c r="A842" s="828"/>
      <c r="B842" s="828"/>
      <c r="C842" s="828"/>
      <c r="D842" s="828"/>
      <c r="E842" s="828"/>
      <c r="F842" s="828"/>
      <c r="G842" s="828"/>
      <c r="H842" s="828"/>
      <c r="I842" s="828"/>
      <c r="J842" s="828"/>
      <c r="K842" s="828"/>
      <c r="L842" s="828"/>
      <c r="M842" s="828"/>
      <c r="N842" s="828"/>
      <c r="O842" s="828"/>
      <c r="P842" s="828"/>
      <c r="Q842" s="828"/>
      <c r="R842" s="828"/>
      <c r="S842" s="828"/>
      <c r="T842" s="828"/>
      <c r="U842" s="828"/>
      <c r="V842" s="828"/>
      <c r="W842" s="828"/>
      <c r="X842" s="828"/>
      <c r="Y842" s="828"/>
      <c r="Z842" s="828"/>
      <c r="AA842" s="828"/>
      <c r="AB842" s="828"/>
      <c r="AC842" s="828"/>
      <c r="AD842" s="828"/>
      <c r="AE842" s="828"/>
      <c r="AF842" s="828"/>
      <c r="AG842" s="828"/>
      <c r="AH842" s="828"/>
      <c r="AI842" s="828"/>
      <c r="AJ842" s="828"/>
    </row>
    <row r="843">
      <c r="A843" s="828"/>
      <c r="B843" s="828"/>
      <c r="C843" s="828"/>
      <c r="D843" s="828"/>
      <c r="E843" s="828"/>
      <c r="F843" s="828"/>
      <c r="G843" s="828"/>
      <c r="H843" s="828"/>
      <c r="I843" s="828"/>
      <c r="J843" s="828"/>
      <c r="K843" s="828"/>
      <c r="L843" s="828"/>
      <c r="M843" s="828"/>
      <c r="N843" s="828"/>
      <c r="O843" s="828"/>
      <c r="P843" s="828"/>
      <c r="Q843" s="828"/>
      <c r="R843" s="828"/>
      <c r="S843" s="828"/>
      <c r="T843" s="828"/>
      <c r="U843" s="828"/>
      <c r="V843" s="828"/>
      <c r="W843" s="828"/>
      <c r="X843" s="828"/>
      <c r="Y843" s="828"/>
      <c r="Z843" s="828"/>
      <c r="AA843" s="828"/>
      <c r="AB843" s="828"/>
      <c r="AC843" s="828"/>
      <c r="AD843" s="828"/>
      <c r="AE843" s="828"/>
      <c r="AF843" s="828"/>
      <c r="AG843" s="828"/>
      <c r="AH843" s="828"/>
      <c r="AI843" s="828"/>
      <c r="AJ843" s="828"/>
    </row>
    <row r="844">
      <c r="A844" s="828"/>
      <c r="B844" s="828"/>
      <c r="C844" s="828"/>
      <c r="D844" s="828"/>
      <c r="E844" s="828"/>
      <c r="F844" s="828"/>
      <c r="G844" s="828"/>
      <c r="H844" s="828"/>
      <c r="I844" s="828"/>
      <c r="J844" s="828"/>
      <c r="K844" s="828"/>
      <c r="L844" s="828"/>
      <c r="M844" s="828"/>
      <c r="N844" s="828"/>
      <c r="O844" s="828"/>
      <c r="P844" s="828"/>
      <c r="Q844" s="828"/>
      <c r="R844" s="828"/>
      <c r="S844" s="828"/>
      <c r="T844" s="828"/>
      <c r="U844" s="828"/>
      <c r="V844" s="828"/>
      <c r="W844" s="828"/>
      <c r="X844" s="828"/>
      <c r="Y844" s="828"/>
      <c r="Z844" s="828"/>
      <c r="AA844" s="828"/>
      <c r="AB844" s="828"/>
      <c r="AC844" s="828"/>
      <c r="AD844" s="828"/>
      <c r="AE844" s="828"/>
      <c r="AF844" s="828"/>
      <c r="AG844" s="828"/>
      <c r="AH844" s="828"/>
      <c r="AI844" s="828"/>
      <c r="AJ844" s="828"/>
    </row>
    <row r="845">
      <c r="A845" s="828"/>
      <c r="B845" s="828"/>
      <c r="C845" s="828"/>
      <c r="D845" s="828"/>
      <c r="E845" s="828"/>
      <c r="F845" s="828"/>
      <c r="G845" s="828"/>
      <c r="H845" s="828"/>
      <c r="I845" s="828"/>
      <c r="J845" s="828"/>
      <c r="K845" s="828"/>
      <c r="L845" s="828"/>
      <c r="M845" s="828"/>
      <c r="N845" s="828"/>
      <c r="O845" s="828"/>
      <c r="P845" s="828"/>
      <c r="Q845" s="828"/>
      <c r="R845" s="828"/>
      <c r="S845" s="828"/>
      <c r="T845" s="828"/>
      <c r="U845" s="828"/>
      <c r="V845" s="828"/>
      <c r="W845" s="828"/>
      <c r="X845" s="828"/>
      <c r="Y845" s="828"/>
      <c r="Z845" s="828"/>
      <c r="AA845" s="828"/>
      <c r="AB845" s="828"/>
      <c r="AC845" s="828"/>
      <c r="AD845" s="828"/>
      <c r="AE845" s="828"/>
      <c r="AF845" s="828"/>
      <c r="AG845" s="828"/>
      <c r="AH845" s="828"/>
      <c r="AI845" s="828"/>
      <c r="AJ845" s="828"/>
    </row>
    <row r="846">
      <c r="A846" s="828"/>
      <c r="B846" s="828"/>
      <c r="C846" s="828"/>
      <c r="D846" s="828"/>
      <c r="E846" s="828"/>
      <c r="F846" s="828"/>
      <c r="G846" s="828"/>
      <c r="H846" s="828"/>
      <c r="I846" s="828"/>
      <c r="J846" s="828"/>
      <c r="K846" s="828"/>
      <c r="L846" s="828"/>
      <c r="M846" s="828"/>
      <c r="N846" s="828"/>
      <c r="O846" s="828"/>
      <c r="P846" s="828"/>
      <c r="Q846" s="828"/>
      <c r="R846" s="828"/>
      <c r="S846" s="828"/>
      <c r="T846" s="828"/>
      <c r="U846" s="828"/>
      <c r="V846" s="828"/>
      <c r="W846" s="828"/>
      <c r="X846" s="828"/>
      <c r="Y846" s="828"/>
      <c r="Z846" s="828"/>
      <c r="AA846" s="828"/>
      <c r="AB846" s="828"/>
      <c r="AC846" s="828"/>
      <c r="AD846" s="828"/>
      <c r="AE846" s="828"/>
      <c r="AF846" s="828"/>
      <c r="AG846" s="828"/>
      <c r="AH846" s="828"/>
      <c r="AI846" s="828"/>
      <c r="AJ846" s="828"/>
    </row>
    <row r="847">
      <c r="A847" s="828"/>
      <c r="B847" s="828"/>
      <c r="C847" s="828"/>
      <c r="D847" s="828"/>
      <c r="E847" s="828"/>
      <c r="F847" s="828"/>
      <c r="G847" s="828"/>
      <c r="H847" s="828"/>
      <c r="I847" s="828"/>
      <c r="J847" s="828"/>
      <c r="K847" s="828"/>
      <c r="L847" s="828"/>
      <c r="M847" s="828"/>
      <c r="N847" s="828"/>
      <c r="O847" s="828"/>
      <c r="P847" s="828"/>
      <c r="Q847" s="828"/>
      <c r="R847" s="828"/>
      <c r="S847" s="828"/>
      <c r="T847" s="828"/>
      <c r="U847" s="828"/>
      <c r="V847" s="828"/>
      <c r="W847" s="828"/>
      <c r="X847" s="828"/>
      <c r="Y847" s="828"/>
      <c r="Z847" s="828"/>
      <c r="AA847" s="828"/>
      <c r="AB847" s="828"/>
      <c r="AC847" s="828"/>
      <c r="AD847" s="828"/>
      <c r="AE847" s="828"/>
      <c r="AF847" s="828"/>
      <c r="AG847" s="828"/>
      <c r="AH847" s="828"/>
      <c r="AI847" s="828"/>
      <c r="AJ847" s="828"/>
    </row>
    <row r="848">
      <c r="A848" s="828"/>
      <c r="B848" s="828"/>
      <c r="C848" s="828"/>
      <c r="D848" s="828"/>
      <c r="E848" s="828"/>
      <c r="F848" s="828"/>
      <c r="G848" s="828"/>
      <c r="H848" s="828"/>
      <c r="I848" s="828"/>
      <c r="J848" s="828"/>
      <c r="K848" s="828"/>
      <c r="L848" s="828"/>
      <c r="M848" s="828"/>
      <c r="N848" s="828"/>
      <c r="O848" s="828"/>
      <c r="P848" s="828"/>
      <c r="Q848" s="828"/>
      <c r="R848" s="828"/>
      <c r="S848" s="828"/>
      <c r="T848" s="828"/>
      <c r="U848" s="828"/>
      <c r="V848" s="828"/>
      <c r="W848" s="828"/>
      <c r="X848" s="828"/>
      <c r="Y848" s="828"/>
      <c r="Z848" s="828"/>
      <c r="AA848" s="828"/>
      <c r="AB848" s="828"/>
      <c r="AC848" s="828"/>
      <c r="AD848" s="828"/>
      <c r="AE848" s="828"/>
      <c r="AF848" s="828"/>
      <c r="AG848" s="828"/>
      <c r="AH848" s="828"/>
      <c r="AI848" s="828"/>
      <c r="AJ848" s="828"/>
    </row>
    <row r="849">
      <c r="A849" s="828"/>
      <c r="B849" s="828"/>
      <c r="C849" s="828"/>
      <c r="D849" s="828"/>
      <c r="E849" s="828"/>
      <c r="F849" s="828"/>
      <c r="G849" s="828"/>
      <c r="H849" s="828"/>
      <c r="I849" s="828"/>
      <c r="J849" s="828"/>
      <c r="K849" s="828"/>
      <c r="L849" s="828"/>
      <c r="M849" s="828"/>
      <c r="N849" s="828"/>
      <c r="O849" s="828"/>
      <c r="P849" s="828"/>
      <c r="Q849" s="828"/>
      <c r="R849" s="828"/>
      <c r="S849" s="828"/>
      <c r="T849" s="828"/>
      <c r="U849" s="828"/>
      <c r="V849" s="828"/>
      <c r="W849" s="828"/>
      <c r="X849" s="828"/>
      <c r="Y849" s="828"/>
      <c r="Z849" s="828"/>
      <c r="AA849" s="828"/>
      <c r="AB849" s="828"/>
      <c r="AC849" s="828"/>
      <c r="AD849" s="828"/>
      <c r="AE849" s="828"/>
      <c r="AF849" s="828"/>
      <c r="AG849" s="828"/>
      <c r="AH849" s="828"/>
      <c r="AI849" s="828"/>
      <c r="AJ849" s="828"/>
    </row>
    <row r="850">
      <c r="A850" s="828"/>
      <c r="B850" s="828"/>
      <c r="C850" s="828"/>
      <c r="D850" s="828"/>
      <c r="E850" s="828"/>
      <c r="F850" s="828"/>
      <c r="G850" s="828"/>
      <c r="H850" s="828"/>
      <c r="I850" s="828"/>
      <c r="J850" s="828"/>
      <c r="K850" s="828"/>
      <c r="L850" s="828"/>
      <c r="M850" s="828"/>
      <c r="N850" s="828"/>
      <c r="O850" s="828"/>
      <c r="P850" s="828"/>
      <c r="Q850" s="828"/>
      <c r="R850" s="828"/>
      <c r="S850" s="828"/>
      <c r="T850" s="828"/>
      <c r="U850" s="828"/>
      <c r="V850" s="828"/>
      <c r="W850" s="828"/>
      <c r="X850" s="828"/>
      <c r="Y850" s="828"/>
      <c r="Z850" s="828"/>
      <c r="AA850" s="828"/>
      <c r="AB850" s="828"/>
      <c r="AC850" s="828"/>
      <c r="AD850" s="828"/>
      <c r="AE850" s="828"/>
      <c r="AF850" s="828"/>
      <c r="AG850" s="828"/>
      <c r="AH850" s="828"/>
      <c r="AI850" s="828"/>
      <c r="AJ850" s="828"/>
    </row>
    <row r="851">
      <c r="A851" s="828"/>
      <c r="B851" s="828"/>
      <c r="C851" s="828"/>
      <c r="D851" s="828"/>
      <c r="E851" s="828"/>
      <c r="F851" s="828"/>
      <c r="G851" s="828"/>
      <c r="H851" s="828"/>
      <c r="I851" s="828"/>
      <c r="J851" s="828"/>
      <c r="K851" s="828"/>
      <c r="L851" s="828"/>
      <c r="M851" s="828"/>
      <c r="N851" s="828"/>
      <c r="O851" s="828"/>
      <c r="P851" s="828"/>
      <c r="Q851" s="828"/>
      <c r="R851" s="828"/>
      <c r="S851" s="828"/>
      <c r="T851" s="828"/>
      <c r="U851" s="828"/>
      <c r="V851" s="828"/>
      <c r="W851" s="828"/>
      <c r="X851" s="828"/>
      <c r="Y851" s="828"/>
      <c r="Z851" s="828"/>
      <c r="AA851" s="828"/>
      <c r="AB851" s="828"/>
      <c r="AC851" s="828"/>
      <c r="AD851" s="828"/>
      <c r="AE851" s="828"/>
      <c r="AF851" s="828"/>
      <c r="AG851" s="828"/>
      <c r="AH851" s="828"/>
      <c r="AI851" s="828"/>
      <c r="AJ851" s="828"/>
    </row>
    <row r="852">
      <c r="A852" s="828"/>
      <c r="B852" s="828"/>
      <c r="C852" s="828"/>
      <c r="D852" s="828"/>
      <c r="E852" s="828"/>
      <c r="F852" s="828"/>
      <c r="G852" s="828"/>
      <c r="H852" s="828"/>
      <c r="I852" s="828"/>
      <c r="J852" s="828"/>
      <c r="K852" s="828"/>
      <c r="L852" s="828"/>
      <c r="M852" s="828"/>
      <c r="N852" s="828"/>
      <c r="O852" s="828"/>
      <c r="P852" s="828"/>
      <c r="Q852" s="828"/>
      <c r="R852" s="828"/>
      <c r="S852" s="828"/>
      <c r="T852" s="828"/>
      <c r="U852" s="828"/>
      <c r="V852" s="828"/>
      <c r="W852" s="828"/>
      <c r="X852" s="828"/>
      <c r="Y852" s="828"/>
      <c r="Z852" s="828"/>
      <c r="AA852" s="828"/>
      <c r="AB852" s="828"/>
      <c r="AC852" s="828"/>
      <c r="AD852" s="828"/>
      <c r="AE852" s="828"/>
      <c r="AF852" s="828"/>
      <c r="AG852" s="828"/>
      <c r="AH852" s="828"/>
      <c r="AI852" s="828"/>
      <c r="AJ852" s="828"/>
    </row>
    <row r="853">
      <c r="A853" s="828"/>
      <c r="B853" s="828"/>
      <c r="C853" s="828"/>
      <c r="D853" s="828"/>
      <c r="E853" s="828"/>
      <c r="F853" s="828"/>
      <c r="G853" s="828"/>
      <c r="H853" s="828"/>
      <c r="I853" s="828"/>
      <c r="J853" s="828"/>
      <c r="K853" s="828"/>
      <c r="L853" s="828"/>
      <c r="M853" s="828"/>
      <c r="N853" s="828"/>
      <c r="O853" s="828"/>
      <c r="P853" s="828"/>
      <c r="Q853" s="828"/>
      <c r="R853" s="828"/>
      <c r="S853" s="828"/>
      <c r="T853" s="828"/>
      <c r="U853" s="828"/>
      <c r="V853" s="828"/>
      <c r="W853" s="828"/>
      <c r="X853" s="828"/>
      <c r="Y853" s="828"/>
      <c r="Z853" s="828"/>
      <c r="AA853" s="828"/>
      <c r="AB853" s="828"/>
      <c r="AC853" s="828"/>
      <c r="AD853" s="828"/>
      <c r="AE853" s="828"/>
      <c r="AF853" s="828"/>
      <c r="AG853" s="828"/>
      <c r="AH853" s="828"/>
      <c r="AI853" s="828"/>
      <c r="AJ853" s="828"/>
    </row>
    <row r="854">
      <c r="A854" s="828"/>
      <c r="B854" s="828"/>
      <c r="C854" s="828"/>
      <c r="D854" s="828"/>
      <c r="E854" s="828"/>
      <c r="F854" s="828"/>
      <c r="G854" s="828"/>
      <c r="H854" s="828"/>
      <c r="I854" s="828"/>
      <c r="J854" s="828"/>
      <c r="K854" s="828"/>
      <c r="L854" s="828"/>
      <c r="M854" s="828"/>
      <c r="N854" s="828"/>
      <c r="O854" s="828"/>
      <c r="P854" s="828"/>
      <c r="Q854" s="828"/>
      <c r="R854" s="828"/>
      <c r="S854" s="828"/>
      <c r="T854" s="828"/>
      <c r="U854" s="828"/>
      <c r="V854" s="828"/>
      <c r="W854" s="828"/>
      <c r="X854" s="828"/>
      <c r="Y854" s="828"/>
      <c r="Z854" s="828"/>
      <c r="AA854" s="828"/>
      <c r="AB854" s="828"/>
      <c r="AC854" s="828"/>
      <c r="AD854" s="828"/>
      <c r="AE854" s="828"/>
      <c r="AF854" s="828"/>
      <c r="AG854" s="828"/>
      <c r="AH854" s="828"/>
      <c r="AI854" s="828"/>
      <c r="AJ854" s="828"/>
    </row>
    <row r="855">
      <c r="A855" s="828"/>
      <c r="B855" s="828"/>
      <c r="C855" s="828"/>
      <c r="D855" s="828"/>
      <c r="E855" s="828"/>
      <c r="F855" s="828"/>
      <c r="G855" s="828"/>
      <c r="H855" s="828"/>
      <c r="I855" s="828"/>
      <c r="J855" s="828"/>
      <c r="K855" s="828"/>
      <c r="L855" s="828"/>
      <c r="M855" s="828"/>
      <c r="N855" s="828"/>
      <c r="O855" s="828"/>
      <c r="P855" s="828"/>
      <c r="Q855" s="828"/>
      <c r="R855" s="828"/>
      <c r="S855" s="828"/>
      <c r="T855" s="828"/>
      <c r="U855" s="828"/>
      <c r="V855" s="828"/>
      <c r="W855" s="828"/>
      <c r="X855" s="828"/>
      <c r="Y855" s="828"/>
      <c r="Z855" s="828"/>
      <c r="AA855" s="828"/>
      <c r="AB855" s="828"/>
      <c r="AC855" s="828"/>
      <c r="AD855" s="828"/>
      <c r="AE855" s="828"/>
      <c r="AF855" s="828"/>
      <c r="AG855" s="828"/>
      <c r="AH855" s="828"/>
      <c r="AI855" s="828"/>
      <c r="AJ855" s="828"/>
    </row>
    <row r="856">
      <c r="A856" s="828"/>
      <c r="B856" s="828"/>
      <c r="C856" s="828"/>
      <c r="D856" s="828"/>
      <c r="E856" s="828"/>
      <c r="F856" s="828"/>
      <c r="G856" s="828"/>
      <c r="H856" s="828"/>
      <c r="I856" s="828"/>
      <c r="J856" s="828"/>
      <c r="K856" s="828"/>
      <c r="L856" s="828"/>
      <c r="M856" s="828"/>
      <c r="N856" s="828"/>
      <c r="O856" s="828"/>
      <c r="P856" s="828"/>
      <c r="Q856" s="828"/>
      <c r="R856" s="828"/>
      <c r="S856" s="828"/>
      <c r="T856" s="828"/>
      <c r="U856" s="828"/>
      <c r="V856" s="828"/>
      <c r="W856" s="828"/>
      <c r="X856" s="828"/>
      <c r="Y856" s="828"/>
      <c r="Z856" s="828"/>
      <c r="AA856" s="828"/>
      <c r="AB856" s="828"/>
      <c r="AC856" s="828"/>
      <c r="AD856" s="828"/>
      <c r="AE856" s="828"/>
      <c r="AF856" s="828"/>
      <c r="AG856" s="828"/>
      <c r="AH856" s="828"/>
      <c r="AI856" s="828"/>
      <c r="AJ856" s="828"/>
    </row>
    <row r="857">
      <c r="A857" s="828"/>
      <c r="B857" s="828"/>
      <c r="C857" s="828"/>
      <c r="D857" s="828"/>
      <c r="E857" s="828"/>
      <c r="F857" s="828"/>
      <c r="G857" s="828"/>
      <c r="H857" s="828"/>
      <c r="I857" s="828"/>
      <c r="J857" s="828"/>
      <c r="K857" s="828"/>
      <c r="L857" s="828"/>
      <c r="M857" s="828"/>
      <c r="N857" s="828"/>
      <c r="O857" s="828"/>
      <c r="P857" s="828"/>
      <c r="Q857" s="828"/>
      <c r="R857" s="828"/>
      <c r="S857" s="828"/>
      <c r="T857" s="828"/>
      <c r="U857" s="828"/>
      <c r="V857" s="828"/>
      <c r="W857" s="828"/>
      <c r="X857" s="828"/>
      <c r="Y857" s="828"/>
      <c r="Z857" s="828"/>
      <c r="AA857" s="828"/>
      <c r="AB857" s="828"/>
      <c r="AC857" s="828"/>
      <c r="AD857" s="828"/>
      <c r="AE857" s="828"/>
      <c r="AF857" s="828"/>
      <c r="AG857" s="828"/>
      <c r="AH857" s="828"/>
      <c r="AI857" s="828"/>
      <c r="AJ857" s="828"/>
    </row>
    <row r="858">
      <c r="A858" s="828"/>
      <c r="B858" s="828"/>
      <c r="C858" s="828"/>
      <c r="D858" s="828"/>
      <c r="E858" s="828"/>
      <c r="F858" s="828"/>
      <c r="G858" s="828"/>
      <c r="H858" s="828"/>
      <c r="I858" s="828"/>
      <c r="J858" s="828"/>
      <c r="K858" s="828"/>
      <c r="L858" s="828"/>
      <c r="M858" s="828"/>
      <c r="N858" s="828"/>
      <c r="O858" s="828"/>
      <c r="P858" s="828"/>
      <c r="Q858" s="828"/>
      <c r="R858" s="828"/>
      <c r="S858" s="828"/>
      <c r="T858" s="828"/>
      <c r="U858" s="828"/>
      <c r="V858" s="828"/>
      <c r="W858" s="828"/>
      <c r="X858" s="828"/>
      <c r="Y858" s="828"/>
      <c r="Z858" s="828"/>
      <c r="AA858" s="828"/>
      <c r="AB858" s="828"/>
      <c r="AC858" s="828"/>
      <c r="AD858" s="828"/>
      <c r="AE858" s="828"/>
      <c r="AF858" s="828"/>
      <c r="AG858" s="828"/>
      <c r="AH858" s="828"/>
      <c r="AI858" s="828"/>
      <c r="AJ858" s="828"/>
    </row>
    <row r="859">
      <c r="A859" s="828"/>
      <c r="B859" s="828"/>
      <c r="C859" s="828"/>
      <c r="D859" s="828"/>
      <c r="E859" s="828"/>
      <c r="F859" s="828"/>
      <c r="G859" s="828"/>
      <c r="H859" s="828"/>
      <c r="I859" s="828"/>
      <c r="J859" s="828"/>
      <c r="K859" s="828"/>
      <c r="L859" s="828"/>
      <c r="M859" s="828"/>
      <c r="N859" s="828"/>
      <c r="O859" s="828"/>
      <c r="P859" s="828"/>
      <c r="Q859" s="828"/>
      <c r="R859" s="828"/>
      <c r="S859" s="828"/>
      <c r="T859" s="828"/>
      <c r="U859" s="828"/>
      <c r="V859" s="828"/>
      <c r="W859" s="828"/>
      <c r="X859" s="828"/>
      <c r="Y859" s="828"/>
      <c r="Z859" s="828"/>
      <c r="AA859" s="828"/>
      <c r="AB859" s="828"/>
      <c r="AC859" s="828"/>
      <c r="AD859" s="828"/>
      <c r="AE859" s="828"/>
      <c r="AF859" s="828"/>
      <c r="AG859" s="828"/>
      <c r="AH859" s="828"/>
      <c r="AI859" s="828"/>
      <c r="AJ859" s="828"/>
    </row>
    <row r="860">
      <c r="A860" s="828"/>
      <c r="B860" s="828"/>
      <c r="C860" s="828"/>
      <c r="D860" s="828"/>
      <c r="E860" s="828"/>
      <c r="F860" s="828"/>
      <c r="G860" s="828"/>
      <c r="H860" s="828"/>
      <c r="I860" s="828"/>
      <c r="J860" s="828"/>
      <c r="K860" s="828"/>
      <c r="L860" s="828"/>
      <c r="M860" s="828"/>
      <c r="N860" s="828"/>
      <c r="O860" s="828"/>
      <c r="P860" s="828"/>
      <c r="Q860" s="828"/>
      <c r="R860" s="828"/>
      <c r="S860" s="828"/>
      <c r="T860" s="828"/>
      <c r="U860" s="828"/>
      <c r="V860" s="828"/>
      <c r="W860" s="828"/>
      <c r="X860" s="828"/>
      <c r="Y860" s="828"/>
      <c r="Z860" s="828"/>
      <c r="AA860" s="828"/>
      <c r="AB860" s="828"/>
      <c r="AC860" s="828"/>
      <c r="AD860" s="828"/>
      <c r="AE860" s="828"/>
      <c r="AF860" s="828"/>
      <c r="AG860" s="828"/>
      <c r="AH860" s="828"/>
      <c r="AI860" s="828"/>
      <c r="AJ860" s="828"/>
    </row>
    <row r="861">
      <c r="A861" s="828"/>
      <c r="B861" s="828"/>
      <c r="C861" s="828"/>
      <c r="D861" s="828"/>
      <c r="E861" s="828"/>
      <c r="F861" s="828"/>
      <c r="G861" s="828"/>
      <c r="H861" s="828"/>
      <c r="I861" s="828"/>
      <c r="J861" s="828"/>
      <c r="K861" s="828"/>
      <c r="L861" s="828"/>
      <c r="M861" s="828"/>
      <c r="N861" s="828"/>
      <c r="O861" s="828"/>
      <c r="P861" s="828"/>
      <c r="Q861" s="828"/>
      <c r="R861" s="828"/>
      <c r="S861" s="828"/>
      <c r="T861" s="828"/>
      <c r="U861" s="828"/>
      <c r="V861" s="828"/>
      <c r="W861" s="828"/>
      <c r="X861" s="828"/>
      <c r="Y861" s="828"/>
      <c r="Z861" s="828"/>
      <c r="AA861" s="828"/>
      <c r="AB861" s="828"/>
      <c r="AC861" s="828"/>
      <c r="AD861" s="828"/>
      <c r="AE861" s="828"/>
      <c r="AF861" s="828"/>
      <c r="AG861" s="828"/>
      <c r="AH861" s="828"/>
      <c r="AI861" s="828"/>
      <c r="AJ861" s="828"/>
    </row>
    <row r="862">
      <c r="A862" s="828"/>
      <c r="B862" s="828"/>
      <c r="C862" s="828"/>
      <c r="D862" s="828"/>
      <c r="E862" s="828"/>
      <c r="F862" s="828"/>
      <c r="G862" s="828"/>
      <c r="H862" s="828"/>
      <c r="I862" s="828"/>
      <c r="J862" s="828"/>
      <c r="K862" s="828"/>
      <c r="L862" s="828"/>
      <c r="M862" s="828"/>
      <c r="N862" s="828"/>
      <c r="O862" s="828"/>
      <c r="P862" s="828"/>
      <c r="Q862" s="828"/>
      <c r="R862" s="828"/>
      <c r="S862" s="828"/>
      <c r="T862" s="828"/>
      <c r="U862" s="828"/>
      <c r="V862" s="828"/>
      <c r="W862" s="828"/>
      <c r="X862" s="828"/>
      <c r="Y862" s="828"/>
      <c r="Z862" s="828"/>
      <c r="AA862" s="828"/>
      <c r="AB862" s="828"/>
      <c r="AC862" s="828"/>
      <c r="AD862" s="828"/>
      <c r="AE862" s="828"/>
      <c r="AF862" s="828"/>
      <c r="AG862" s="828"/>
      <c r="AH862" s="828"/>
      <c r="AI862" s="828"/>
      <c r="AJ862" s="828"/>
    </row>
    <row r="863">
      <c r="A863" s="828"/>
      <c r="B863" s="828"/>
      <c r="C863" s="828"/>
      <c r="D863" s="828"/>
      <c r="E863" s="828"/>
      <c r="F863" s="828"/>
      <c r="G863" s="828"/>
      <c r="H863" s="828"/>
      <c r="I863" s="828"/>
      <c r="J863" s="828"/>
      <c r="K863" s="828"/>
      <c r="L863" s="828"/>
      <c r="M863" s="828"/>
      <c r="N863" s="828"/>
      <c r="O863" s="828"/>
      <c r="P863" s="828"/>
      <c r="Q863" s="828"/>
      <c r="R863" s="828"/>
      <c r="S863" s="828"/>
      <c r="T863" s="828"/>
      <c r="U863" s="828"/>
      <c r="V863" s="828"/>
      <c r="W863" s="828"/>
      <c r="X863" s="828"/>
      <c r="Y863" s="828"/>
      <c r="Z863" s="828"/>
      <c r="AA863" s="828"/>
      <c r="AB863" s="828"/>
      <c r="AC863" s="828"/>
      <c r="AD863" s="828"/>
      <c r="AE863" s="828"/>
      <c r="AF863" s="828"/>
      <c r="AG863" s="828"/>
      <c r="AH863" s="828"/>
      <c r="AI863" s="828"/>
      <c r="AJ863" s="828"/>
    </row>
    <row r="864">
      <c r="A864" s="828"/>
      <c r="B864" s="828"/>
      <c r="C864" s="828"/>
      <c r="D864" s="828"/>
      <c r="E864" s="828"/>
      <c r="F864" s="828"/>
      <c r="G864" s="828"/>
      <c r="H864" s="828"/>
      <c r="I864" s="828"/>
      <c r="J864" s="828"/>
      <c r="K864" s="828"/>
      <c r="L864" s="828"/>
      <c r="M864" s="828"/>
      <c r="N864" s="828"/>
      <c r="O864" s="828"/>
      <c r="P864" s="828"/>
      <c r="Q864" s="828"/>
      <c r="R864" s="828"/>
      <c r="S864" s="828"/>
      <c r="T864" s="828"/>
      <c r="U864" s="828"/>
      <c r="V864" s="828"/>
      <c r="W864" s="828"/>
      <c r="X864" s="828"/>
      <c r="Y864" s="828"/>
      <c r="Z864" s="828"/>
      <c r="AA864" s="828"/>
      <c r="AB864" s="828"/>
      <c r="AC864" s="828"/>
      <c r="AD864" s="828"/>
      <c r="AE864" s="828"/>
      <c r="AF864" s="828"/>
      <c r="AG864" s="828"/>
      <c r="AH864" s="828"/>
      <c r="AI864" s="828"/>
      <c r="AJ864" s="828"/>
    </row>
    <row r="865">
      <c r="A865" s="828"/>
      <c r="B865" s="828"/>
      <c r="C865" s="828"/>
      <c r="D865" s="828"/>
      <c r="E865" s="828"/>
      <c r="F865" s="828"/>
      <c r="G865" s="828"/>
      <c r="H865" s="828"/>
      <c r="I865" s="828"/>
      <c r="J865" s="828"/>
      <c r="K865" s="828"/>
      <c r="L865" s="828"/>
      <c r="M865" s="828"/>
      <c r="N865" s="828"/>
      <c r="O865" s="828"/>
      <c r="P865" s="828"/>
      <c r="Q865" s="828"/>
      <c r="R865" s="828"/>
      <c r="S865" s="828"/>
      <c r="T865" s="828"/>
      <c r="U865" s="828"/>
      <c r="V865" s="828"/>
      <c r="W865" s="828"/>
      <c r="X865" s="828"/>
      <c r="Y865" s="828"/>
      <c r="Z865" s="828"/>
      <c r="AA865" s="828"/>
      <c r="AB865" s="828"/>
      <c r="AC865" s="828"/>
      <c r="AD865" s="828"/>
      <c r="AE865" s="828"/>
      <c r="AF865" s="828"/>
      <c r="AG865" s="828"/>
      <c r="AH865" s="828"/>
      <c r="AI865" s="828"/>
      <c r="AJ865" s="828"/>
    </row>
    <row r="866">
      <c r="A866" s="828"/>
      <c r="B866" s="828"/>
      <c r="C866" s="828"/>
      <c r="D866" s="828"/>
      <c r="E866" s="828"/>
      <c r="F866" s="828"/>
      <c r="G866" s="828"/>
      <c r="H866" s="828"/>
      <c r="I866" s="828"/>
      <c r="J866" s="828"/>
      <c r="K866" s="828"/>
      <c r="L866" s="828"/>
      <c r="M866" s="828"/>
      <c r="N866" s="828"/>
      <c r="O866" s="828"/>
      <c r="P866" s="828"/>
      <c r="Q866" s="828"/>
      <c r="R866" s="828"/>
      <c r="S866" s="828"/>
      <c r="T866" s="828"/>
      <c r="U866" s="828"/>
      <c r="V866" s="828"/>
      <c r="W866" s="828"/>
      <c r="X866" s="828"/>
      <c r="Y866" s="828"/>
      <c r="Z866" s="828"/>
      <c r="AA866" s="828"/>
      <c r="AB866" s="828"/>
      <c r="AC866" s="828"/>
      <c r="AD866" s="828"/>
      <c r="AE866" s="828"/>
      <c r="AF866" s="828"/>
      <c r="AG866" s="828"/>
      <c r="AH866" s="828"/>
      <c r="AI866" s="828"/>
      <c r="AJ866" s="828"/>
    </row>
    <row r="867">
      <c r="A867" s="828"/>
      <c r="B867" s="828"/>
      <c r="C867" s="828"/>
      <c r="D867" s="828"/>
      <c r="E867" s="828"/>
      <c r="F867" s="828"/>
      <c r="G867" s="828"/>
      <c r="H867" s="828"/>
      <c r="I867" s="828"/>
      <c r="J867" s="828"/>
      <c r="K867" s="828"/>
      <c r="L867" s="828"/>
      <c r="M867" s="828"/>
      <c r="N867" s="828"/>
      <c r="O867" s="828"/>
      <c r="P867" s="828"/>
      <c r="Q867" s="828"/>
      <c r="R867" s="828"/>
      <c r="S867" s="828"/>
      <c r="T867" s="828"/>
      <c r="U867" s="828"/>
      <c r="V867" s="828"/>
      <c r="W867" s="828"/>
      <c r="X867" s="828"/>
      <c r="Y867" s="828"/>
      <c r="Z867" s="828"/>
      <c r="AA867" s="828"/>
      <c r="AB867" s="828"/>
      <c r="AC867" s="828"/>
      <c r="AD867" s="828"/>
      <c r="AE867" s="828"/>
      <c r="AF867" s="828"/>
      <c r="AG867" s="828"/>
      <c r="AH867" s="828"/>
      <c r="AI867" s="828"/>
      <c r="AJ867" s="828"/>
    </row>
    <row r="868">
      <c r="A868" s="828"/>
      <c r="B868" s="828"/>
      <c r="C868" s="828"/>
      <c r="D868" s="828"/>
      <c r="E868" s="828"/>
      <c r="F868" s="828"/>
      <c r="G868" s="828"/>
      <c r="H868" s="828"/>
      <c r="I868" s="828"/>
      <c r="J868" s="828"/>
      <c r="K868" s="828"/>
      <c r="L868" s="828"/>
      <c r="M868" s="828"/>
      <c r="N868" s="828"/>
      <c r="O868" s="828"/>
      <c r="P868" s="828"/>
      <c r="Q868" s="828"/>
      <c r="R868" s="828"/>
      <c r="S868" s="828"/>
      <c r="T868" s="828"/>
      <c r="U868" s="828"/>
      <c r="V868" s="828"/>
      <c r="W868" s="828"/>
      <c r="X868" s="828"/>
      <c r="Y868" s="828"/>
      <c r="Z868" s="828"/>
      <c r="AA868" s="828"/>
      <c r="AB868" s="828"/>
      <c r="AC868" s="828"/>
      <c r="AD868" s="828"/>
      <c r="AE868" s="828"/>
      <c r="AF868" s="828"/>
      <c r="AG868" s="828"/>
      <c r="AH868" s="828"/>
      <c r="AI868" s="828"/>
      <c r="AJ868" s="828"/>
    </row>
    <row r="869">
      <c r="A869" s="828"/>
      <c r="B869" s="828"/>
      <c r="C869" s="828"/>
      <c r="D869" s="828"/>
      <c r="E869" s="828"/>
      <c r="F869" s="828"/>
      <c r="G869" s="828"/>
      <c r="H869" s="828"/>
      <c r="I869" s="828"/>
      <c r="J869" s="828"/>
      <c r="K869" s="828"/>
      <c r="L869" s="828"/>
      <c r="M869" s="828"/>
      <c r="N869" s="828"/>
      <c r="O869" s="828"/>
      <c r="P869" s="828"/>
      <c r="Q869" s="828"/>
      <c r="R869" s="828"/>
      <c r="S869" s="828"/>
      <c r="T869" s="828"/>
      <c r="U869" s="828"/>
      <c r="V869" s="828"/>
      <c r="W869" s="828"/>
      <c r="X869" s="828"/>
      <c r="Y869" s="828"/>
      <c r="Z869" s="828"/>
      <c r="AA869" s="828"/>
      <c r="AB869" s="828"/>
      <c r="AC869" s="828"/>
      <c r="AD869" s="828"/>
      <c r="AE869" s="828"/>
      <c r="AF869" s="828"/>
      <c r="AG869" s="828"/>
      <c r="AH869" s="828"/>
      <c r="AI869" s="828"/>
      <c r="AJ869" s="828"/>
    </row>
    <row r="870">
      <c r="A870" s="828"/>
      <c r="B870" s="828"/>
      <c r="C870" s="828"/>
      <c r="D870" s="828"/>
      <c r="E870" s="828"/>
      <c r="F870" s="828"/>
      <c r="G870" s="828"/>
      <c r="H870" s="828"/>
      <c r="I870" s="828"/>
      <c r="J870" s="828"/>
      <c r="K870" s="828"/>
      <c r="L870" s="828"/>
      <c r="M870" s="828"/>
      <c r="N870" s="828"/>
      <c r="O870" s="828"/>
      <c r="P870" s="828"/>
      <c r="Q870" s="828"/>
      <c r="R870" s="828"/>
      <c r="S870" s="828"/>
      <c r="T870" s="828"/>
      <c r="U870" s="828"/>
      <c r="V870" s="828"/>
      <c r="W870" s="828"/>
      <c r="X870" s="828"/>
      <c r="Y870" s="828"/>
      <c r="Z870" s="828"/>
      <c r="AA870" s="828"/>
      <c r="AB870" s="828"/>
      <c r="AC870" s="828"/>
      <c r="AD870" s="828"/>
      <c r="AE870" s="828"/>
      <c r="AF870" s="828"/>
      <c r="AG870" s="828"/>
      <c r="AH870" s="828"/>
      <c r="AI870" s="828"/>
      <c r="AJ870" s="828"/>
    </row>
    <row r="871">
      <c r="A871" s="828"/>
      <c r="B871" s="828"/>
      <c r="C871" s="828"/>
      <c r="D871" s="828"/>
      <c r="E871" s="828"/>
      <c r="F871" s="828"/>
      <c r="G871" s="828"/>
      <c r="H871" s="828"/>
      <c r="I871" s="828"/>
      <c r="J871" s="828"/>
      <c r="K871" s="828"/>
      <c r="L871" s="828"/>
      <c r="M871" s="828"/>
      <c r="N871" s="828"/>
      <c r="O871" s="828"/>
      <c r="P871" s="828"/>
      <c r="Q871" s="828"/>
      <c r="R871" s="828"/>
      <c r="S871" s="828"/>
      <c r="T871" s="828"/>
      <c r="U871" s="828"/>
      <c r="V871" s="828"/>
      <c r="W871" s="828"/>
      <c r="X871" s="828"/>
      <c r="Y871" s="828"/>
      <c r="Z871" s="828"/>
      <c r="AA871" s="828"/>
      <c r="AB871" s="828"/>
      <c r="AC871" s="828"/>
      <c r="AD871" s="828"/>
      <c r="AE871" s="828"/>
      <c r="AF871" s="828"/>
      <c r="AG871" s="828"/>
      <c r="AH871" s="828"/>
      <c r="AI871" s="828"/>
      <c r="AJ871" s="828"/>
    </row>
    <row r="872">
      <c r="A872" s="828"/>
      <c r="B872" s="828"/>
      <c r="C872" s="828"/>
      <c r="D872" s="828"/>
      <c r="E872" s="828"/>
      <c r="F872" s="828"/>
      <c r="G872" s="828"/>
      <c r="H872" s="828"/>
      <c r="I872" s="828"/>
      <c r="J872" s="828"/>
      <c r="K872" s="828"/>
      <c r="L872" s="828"/>
      <c r="M872" s="828"/>
      <c r="N872" s="828"/>
      <c r="O872" s="828"/>
      <c r="P872" s="828"/>
      <c r="Q872" s="828"/>
      <c r="R872" s="828"/>
      <c r="S872" s="828"/>
      <c r="T872" s="828"/>
      <c r="U872" s="828"/>
      <c r="V872" s="828"/>
      <c r="W872" s="828"/>
      <c r="X872" s="828"/>
      <c r="Y872" s="828"/>
      <c r="Z872" s="828"/>
      <c r="AA872" s="828"/>
      <c r="AB872" s="828"/>
      <c r="AC872" s="828"/>
      <c r="AD872" s="828"/>
      <c r="AE872" s="828"/>
      <c r="AF872" s="828"/>
      <c r="AG872" s="828"/>
      <c r="AH872" s="828"/>
      <c r="AI872" s="828"/>
      <c r="AJ872" s="828"/>
    </row>
    <row r="873">
      <c r="A873" s="828"/>
      <c r="B873" s="828"/>
      <c r="C873" s="828"/>
      <c r="D873" s="828"/>
      <c r="E873" s="828"/>
      <c r="F873" s="828"/>
      <c r="G873" s="828"/>
      <c r="H873" s="828"/>
      <c r="I873" s="828"/>
      <c r="J873" s="828"/>
      <c r="K873" s="828"/>
      <c r="L873" s="828"/>
      <c r="M873" s="828"/>
      <c r="N873" s="828"/>
      <c r="O873" s="828"/>
      <c r="P873" s="828"/>
      <c r="Q873" s="828"/>
      <c r="R873" s="828"/>
      <c r="S873" s="828"/>
      <c r="T873" s="828"/>
      <c r="U873" s="828"/>
      <c r="V873" s="828"/>
      <c r="W873" s="828"/>
      <c r="X873" s="828"/>
      <c r="Y873" s="828"/>
      <c r="Z873" s="828"/>
      <c r="AA873" s="828"/>
      <c r="AB873" s="828"/>
      <c r="AC873" s="828"/>
      <c r="AD873" s="828"/>
      <c r="AE873" s="828"/>
      <c r="AF873" s="828"/>
      <c r="AG873" s="828"/>
      <c r="AH873" s="828"/>
      <c r="AI873" s="828"/>
      <c r="AJ873" s="828"/>
    </row>
    <row r="874">
      <c r="A874" s="828"/>
      <c r="B874" s="828"/>
      <c r="C874" s="828"/>
      <c r="D874" s="828"/>
      <c r="E874" s="828"/>
      <c r="F874" s="828"/>
      <c r="G874" s="828"/>
      <c r="H874" s="828"/>
      <c r="I874" s="828"/>
      <c r="J874" s="828"/>
      <c r="K874" s="828"/>
      <c r="L874" s="828"/>
      <c r="M874" s="828"/>
      <c r="N874" s="828"/>
      <c r="O874" s="828"/>
      <c r="P874" s="828"/>
      <c r="Q874" s="828"/>
      <c r="R874" s="828"/>
      <c r="S874" s="828"/>
      <c r="T874" s="828"/>
      <c r="U874" s="828"/>
      <c r="V874" s="828"/>
      <c r="W874" s="828"/>
      <c r="X874" s="828"/>
      <c r="Y874" s="828"/>
      <c r="Z874" s="828"/>
      <c r="AA874" s="828"/>
      <c r="AB874" s="828"/>
      <c r="AC874" s="828"/>
      <c r="AD874" s="828"/>
      <c r="AE874" s="828"/>
      <c r="AF874" s="828"/>
      <c r="AG874" s="828"/>
      <c r="AH874" s="828"/>
      <c r="AI874" s="828"/>
      <c r="AJ874" s="828"/>
    </row>
    <row r="875">
      <c r="A875" s="828"/>
      <c r="B875" s="828"/>
      <c r="C875" s="828"/>
      <c r="D875" s="828"/>
      <c r="E875" s="828"/>
      <c r="F875" s="828"/>
      <c r="G875" s="828"/>
      <c r="H875" s="828"/>
      <c r="I875" s="828"/>
      <c r="J875" s="828"/>
      <c r="K875" s="828"/>
      <c r="L875" s="828"/>
      <c r="M875" s="828"/>
      <c r="N875" s="828"/>
      <c r="O875" s="828"/>
      <c r="P875" s="828"/>
      <c r="Q875" s="828"/>
      <c r="R875" s="828"/>
      <c r="S875" s="828"/>
      <c r="T875" s="828"/>
      <c r="U875" s="828"/>
      <c r="V875" s="828"/>
      <c r="W875" s="828"/>
      <c r="X875" s="828"/>
      <c r="Y875" s="828"/>
      <c r="Z875" s="828"/>
      <c r="AA875" s="828"/>
      <c r="AB875" s="828"/>
      <c r="AC875" s="828"/>
      <c r="AD875" s="828"/>
      <c r="AE875" s="828"/>
      <c r="AF875" s="828"/>
      <c r="AG875" s="828"/>
      <c r="AH875" s="828"/>
      <c r="AI875" s="828"/>
      <c r="AJ875" s="828"/>
    </row>
    <row r="876">
      <c r="A876" s="828"/>
      <c r="B876" s="828"/>
      <c r="C876" s="828"/>
      <c r="D876" s="828"/>
      <c r="E876" s="828"/>
      <c r="F876" s="828"/>
      <c r="G876" s="828"/>
      <c r="H876" s="828"/>
      <c r="I876" s="828"/>
      <c r="J876" s="828"/>
      <c r="K876" s="828"/>
      <c r="L876" s="828"/>
      <c r="M876" s="828"/>
      <c r="N876" s="828"/>
      <c r="O876" s="828"/>
      <c r="P876" s="828"/>
      <c r="Q876" s="828"/>
      <c r="R876" s="828"/>
      <c r="S876" s="828"/>
      <c r="T876" s="828"/>
      <c r="U876" s="828"/>
      <c r="V876" s="828"/>
      <c r="W876" s="828"/>
      <c r="X876" s="828"/>
      <c r="Y876" s="828"/>
      <c r="Z876" s="828"/>
      <c r="AA876" s="828"/>
      <c r="AB876" s="828"/>
      <c r="AC876" s="828"/>
      <c r="AD876" s="828"/>
      <c r="AE876" s="828"/>
      <c r="AF876" s="828"/>
      <c r="AG876" s="828"/>
      <c r="AH876" s="828"/>
      <c r="AI876" s="828"/>
      <c r="AJ876" s="828"/>
    </row>
    <row r="877">
      <c r="A877" s="828"/>
      <c r="B877" s="828"/>
      <c r="C877" s="828"/>
      <c r="D877" s="828"/>
      <c r="E877" s="828"/>
      <c r="F877" s="828"/>
      <c r="G877" s="828"/>
      <c r="H877" s="828"/>
      <c r="I877" s="828"/>
      <c r="J877" s="828"/>
      <c r="K877" s="828"/>
      <c r="L877" s="828"/>
      <c r="M877" s="828"/>
      <c r="N877" s="828"/>
      <c r="O877" s="828"/>
      <c r="P877" s="828"/>
      <c r="Q877" s="828"/>
      <c r="R877" s="828"/>
      <c r="S877" s="828"/>
      <c r="T877" s="828"/>
      <c r="U877" s="828"/>
      <c r="V877" s="828"/>
      <c r="W877" s="828"/>
      <c r="X877" s="828"/>
      <c r="Y877" s="828"/>
      <c r="Z877" s="828"/>
      <c r="AA877" s="828"/>
      <c r="AB877" s="828"/>
      <c r="AC877" s="828"/>
      <c r="AD877" s="828"/>
      <c r="AE877" s="828"/>
      <c r="AF877" s="828"/>
      <c r="AG877" s="828"/>
      <c r="AH877" s="828"/>
      <c r="AI877" s="828"/>
      <c r="AJ877" s="828"/>
    </row>
    <row r="878">
      <c r="A878" s="828"/>
      <c r="B878" s="828"/>
      <c r="C878" s="828"/>
      <c r="D878" s="828"/>
      <c r="E878" s="828"/>
      <c r="F878" s="828"/>
      <c r="G878" s="828"/>
      <c r="H878" s="828"/>
      <c r="I878" s="828"/>
      <c r="J878" s="828"/>
      <c r="K878" s="828"/>
      <c r="L878" s="828"/>
      <c r="M878" s="828"/>
      <c r="N878" s="828"/>
      <c r="O878" s="828"/>
      <c r="P878" s="828"/>
      <c r="Q878" s="828"/>
      <c r="R878" s="828"/>
      <c r="S878" s="828"/>
      <c r="T878" s="828"/>
      <c r="U878" s="828"/>
      <c r="V878" s="828"/>
      <c r="W878" s="828"/>
      <c r="X878" s="828"/>
      <c r="Y878" s="828"/>
      <c r="Z878" s="828"/>
      <c r="AA878" s="828"/>
      <c r="AB878" s="828"/>
      <c r="AC878" s="828"/>
      <c r="AD878" s="828"/>
      <c r="AE878" s="828"/>
      <c r="AF878" s="828"/>
      <c r="AG878" s="828"/>
      <c r="AH878" s="828"/>
      <c r="AI878" s="828"/>
      <c r="AJ878" s="828"/>
    </row>
    <row r="879">
      <c r="A879" s="828"/>
      <c r="B879" s="828"/>
      <c r="C879" s="828"/>
      <c r="D879" s="828"/>
      <c r="E879" s="828"/>
      <c r="F879" s="828"/>
      <c r="G879" s="828"/>
      <c r="H879" s="828"/>
      <c r="I879" s="828"/>
      <c r="J879" s="828"/>
      <c r="K879" s="828"/>
      <c r="L879" s="828"/>
      <c r="M879" s="828"/>
      <c r="N879" s="828"/>
      <c r="O879" s="828"/>
      <c r="P879" s="828"/>
      <c r="Q879" s="828"/>
      <c r="R879" s="828"/>
      <c r="S879" s="828"/>
      <c r="T879" s="828"/>
      <c r="U879" s="828"/>
      <c r="V879" s="828"/>
      <c r="W879" s="828"/>
      <c r="X879" s="828"/>
      <c r="Y879" s="828"/>
      <c r="Z879" s="828"/>
      <c r="AA879" s="828"/>
      <c r="AB879" s="828"/>
      <c r="AC879" s="828"/>
      <c r="AD879" s="828"/>
      <c r="AE879" s="828"/>
      <c r="AF879" s="828"/>
      <c r="AG879" s="828"/>
      <c r="AH879" s="828"/>
      <c r="AI879" s="828"/>
      <c r="AJ879" s="828"/>
    </row>
    <row r="880">
      <c r="A880" s="828"/>
      <c r="B880" s="828"/>
      <c r="C880" s="828"/>
      <c r="D880" s="828"/>
      <c r="E880" s="828"/>
      <c r="F880" s="828"/>
      <c r="G880" s="828"/>
      <c r="H880" s="828"/>
      <c r="I880" s="828"/>
      <c r="J880" s="828"/>
      <c r="K880" s="828"/>
      <c r="L880" s="828"/>
      <c r="M880" s="828"/>
      <c r="N880" s="828"/>
      <c r="O880" s="828"/>
      <c r="P880" s="828"/>
      <c r="Q880" s="828"/>
      <c r="R880" s="828"/>
      <c r="S880" s="828"/>
      <c r="T880" s="828"/>
      <c r="U880" s="828"/>
      <c r="V880" s="828"/>
      <c r="W880" s="828"/>
      <c r="X880" s="828"/>
      <c r="Y880" s="828"/>
      <c r="Z880" s="828"/>
      <c r="AA880" s="828"/>
      <c r="AB880" s="828"/>
      <c r="AC880" s="828"/>
      <c r="AD880" s="828"/>
      <c r="AE880" s="828"/>
      <c r="AF880" s="828"/>
      <c r="AG880" s="828"/>
      <c r="AH880" s="828"/>
      <c r="AI880" s="828"/>
      <c r="AJ880" s="828"/>
    </row>
    <row r="881">
      <c r="A881" s="828"/>
      <c r="B881" s="828"/>
      <c r="C881" s="828"/>
      <c r="D881" s="828"/>
      <c r="E881" s="828"/>
      <c r="F881" s="828"/>
      <c r="G881" s="828"/>
      <c r="H881" s="828"/>
      <c r="I881" s="828"/>
      <c r="J881" s="828"/>
      <c r="K881" s="828"/>
      <c r="L881" s="828"/>
      <c r="M881" s="828"/>
      <c r="N881" s="828"/>
      <c r="O881" s="828"/>
      <c r="P881" s="828"/>
      <c r="Q881" s="828"/>
      <c r="R881" s="828"/>
      <c r="S881" s="828"/>
      <c r="T881" s="828"/>
      <c r="U881" s="828"/>
      <c r="V881" s="828"/>
      <c r="W881" s="828"/>
      <c r="X881" s="828"/>
      <c r="Y881" s="828"/>
      <c r="Z881" s="828"/>
      <c r="AA881" s="828"/>
      <c r="AB881" s="828"/>
      <c r="AC881" s="828"/>
      <c r="AD881" s="828"/>
      <c r="AE881" s="828"/>
      <c r="AF881" s="828"/>
      <c r="AG881" s="828"/>
      <c r="AH881" s="828"/>
      <c r="AI881" s="828"/>
      <c r="AJ881" s="828"/>
    </row>
    <row r="882">
      <c r="A882" s="828"/>
      <c r="B882" s="828"/>
      <c r="C882" s="828"/>
      <c r="D882" s="828"/>
      <c r="E882" s="828"/>
      <c r="F882" s="828"/>
      <c r="G882" s="828"/>
      <c r="H882" s="828"/>
      <c r="I882" s="828"/>
      <c r="J882" s="828"/>
      <c r="K882" s="828"/>
      <c r="L882" s="828"/>
      <c r="M882" s="828"/>
      <c r="N882" s="828"/>
      <c r="O882" s="828"/>
      <c r="P882" s="828"/>
      <c r="Q882" s="828"/>
      <c r="R882" s="828"/>
      <c r="S882" s="828"/>
      <c r="T882" s="828"/>
      <c r="U882" s="828"/>
      <c r="V882" s="828"/>
      <c r="W882" s="828"/>
      <c r="X882" s="828"/>
      <c r="Y882" s="828"/>
      <c r="Z882" s="828"/>
      <c r="AA882" s="828"/>
      <c r="AB882" s="828"/>
      <c r="AC882" s="828"/>
      <c r="AD882" s="828"/>
      <c r="AE882" s="828"/>
      <c r="AF882" s="828"/>
      <c r="AG882" s="828"/>
      <c r="AH882" s="828"/>
      <c r="AI882" s="828"/>
      <c r="AJ882" s="828"/>
    </row>
    <row r="883">
      <c r="A883" s="828"/>
      <c r="B883" s="828"/>
      <c r="C883" s="828"/>
      <c r="D883" s="828"/>
      <c r="E883" s="828"/>
      <c r="F883" s="828"/>
      <c r="G883" s="828"/>
      <c r="H883" s="828"/>
      <c r="I883" s="828"/>
      <c r="J883" s="828"/>
      <c r="K883" s="828"/>
      <c r="L883" s="828"/>
      <c r="M883" s="828"/>
      <c r="N883" s="828"/>
      <c r="O883" s="828"/>
      <c r="P883" s="828"/>
      <c r="Q883" s="828"/>
      <c r="R883" s="828"/>
      <c r="S883" s="828"/>
      <c r="T883" s="828"/>
      <c r="U883" s="828"/>
      <c r="V883" s="828"/>
      <c r="W883" s="828"/>
      <c r="X883" s="828"/>
      <c r="Y883" s="828"/>
      <c r="Z883" s="828"/>
      <c r="AA883" s="828"/>
      <c r="AB883" s="828"/>
      <c r="AC883" s="828"/>
      <c r="AD883" s="828"/>
      <c r="AE883" s="828"/>
      <c r="AF883" s="828"/>
      <c r="AG883" s="828"/>
      <c r="AH883" s="828"/>
      <c r="AI883" s="828"/>
      <c r="AJ883" s="828"/>
    </row>
    <row r="884">
      <c r="A884" s="828"/>
      <c r="B884" s="828"/>
      <c r="C884" s="828"/>
      <c r="D884" s="828"/>
      <c r="E884" s="828"/>
      <c r="F884" s="828"/>
      <c r="G884" s="828"/>
      <c r="H884" s="828"/>
      <c r="I884" s="828"/>
      <c r="J884" s="828"/>
      <c r="K884" s="828"/>
      <c r="L884" s="828"/>
      <c r="M884" s="828"/>
      <c r="N884" s="828"/>
      <c r="O884" s="828"/>
      <c r="P884" s="828"/>
      <c r="Q884" s="828"/>
      <c r="R884" s="828"/>
      <c r="S884" s="828"/>
      <c r="T884" s="828"/>
      <c r="U884" s="828"/>
      <c r="V884" s="828"/>
      <c r="W884" s="828"/>
      <c r="X884" s="828"/>
      <c r="Y884" s="828"/>
      <c r="Z884" s="828"/>
      <c r="AA884" s="828"/>
      <c r="AB884" s="828"/>
      <c r="AC884" s="828"/>
      <c r="AD884" s="828"/>
      <c r="AE884" s="828"/>
      <c r="AF884" s="828"/>
      <c r="AG884" s="828"/>
      <c r="AH884" s="828"/>
      <c r="AI884" s="828"/>
      <c r="AJ884" s="828"/>
    </row>
    <row r="885">
      <c r="A885" s="828"/>
      <c r="B885" s="828"/>
      <c r="C885" s="828"/>
      <c r="D885" s="828"/>
      <c r="E885" s="828"/>
      <c r="F885" s="828"/>
      <c r="G885" s="828"/>
      <c r="H885" s="828"/>
      <c r="I885" s="828"/>
      <c r="J885" s="828"/>
      <c r="K885" s="828"/>
      <c r="L885" s="828"/>
      <c r="M885" s="828"/>
      <c r="N885" s="828"/>
      <c r="O885" s="828"/>
      <c r="P885" s="828"/>
      <c r="Q885" s="828"/>
      <c r="R885" s="828"/>
      <c r="S885" s="828"/>
      <c r="T885" s="828"/>
      <c r="U885" s="828"/>
      <c r="V885" s="828"/>
      <c r="W885" s="828"/>
      <c r="X885" s="828"/>
      <c r="Y885" s="828"/>
      <c r="Z885" s="828"/>
      <c r="AA885" s="828"/>
      <c r="AB885" s="828"/>
      <c r="AC885" s="828"/>
      <c r="AD885" s="828"/>
      <c r="AE885" s="828"/>
      <c r="AF885" s="828"/>
      <c r="AG885" s="828"/>
      <c r="AH885" s="828"/>
      <c r="AI885" s="828"/>
      <c r="AJ885" s="828"/>
    </row>
    <row r="886">
      <c r="A886" s="828"/>
      <c r="B886" s="828"/>
      <c r="C886" s="828"/>
      <c r="D886" s="828"/>
      <c r="E886" s="828"/>
      <c r="F886" s="828"/>
      <c r="G886" s="828"/>
      <c r="H886" s="828"/>
      <c r="I886" s="828"/>
      <c r="J886" s="828"/>
      <c r="K886" s="828"/>
      <c r="L886" s="828"/>
      <c r="M886" s="828"/>
      <c r="N886" s="828"/>
      <c r="O886" s="828"/>
      <c r="P886" s="828"/>
      <c r="Q886" s="828"/>
      <c r="R886" s="828"/>
      <c r="S886" s="828"/>
      <c r="T886" s="828"/>
      <c r="U886" s="828"/>
      <c r="V886" s="828"/>
      <c r="W886" s="828"/>
      <c r="X886" s="828"/>
      <c r="Y886" s="828"/>
      <c r="Z886" s="828"/>
      <c r="AA886" s="828"/>
      <c r="AB886" s="828"/>
      <c r="AC886" s="828"/>
      <c r="AD886" s="828"/>
      <c r="AE886" s="828"/>
      <c r="AF886" s="828"/>
      <c r="AG886" s="828"/>
      <c r="AH886" s="828"/>
      <c r="AI886" s="828"/>
      <c r="AJ886" s="828"/>
    </row>
    <row r="887">
      <c r="A887" s="828"/>
      <c r="B887" s="828"/>
      <c r="C887" s="828"/>
      <c r="D887" s="828"/>
      <c r="E887" s="828"/>
      <c r="F887" s="828"/>
      <c r="G887" s="828"/>
      <c r="H887" s="828"/>
      <c r="I887" s="828"/>
      <c r="J887" s="828"/>
      <c r="K887" s="828"/>
      <c r="L887" s="828"/>
      <c r="M887" s="828"/>
      <c r="N887" s="828"/>
      <c r="O887" s="828"/>
      <c r="P887" s="828"/>
      <c r="Q887" s="828"/>
      <c r="R887" s="828"/>
      <c r="S887" s="828"/>
      <c r="T887" s="828"/>
      <c r="U887" s="828"/>
      <c r="V887" s="828"/>
      <c r="W887" s="828"/>
      <c r="X887" s="828"/>
      <c r="Y887" s="828"/>
      <c r="Z887" s="828"/>
      <c r="AA887" s="828"/>
      <c r="AB887" s="828"/>
      <c r="AC887" s="828"/>
      <c r="AD887" s="828"/>
      <c r="AE887" s="828"/>
      <c r="AF887" s="828"/>
      <c r="AG887" s="828"/>
      <c r="AH887" s="828"/>
      <c r="AI887" s="828"/>
      <c r="AJ887" s="828"/>
    </row>
    <row r="888">
      <c r="A888" s="828"/>
      <c r="B888" s="828"/>
      <c r="C888" s="828"/>
      <c r="D888" s="828"/>
      <c r="E888" s="828"/>
      <c r="F888" s="828"/>
      <c r="G888" s="828"/>
      <c r="H888" s="828"/>
      <c r="I888" s="828"/>
      <c r="J888" s="828"/>
      <c r="K888" s="828"/>
      <c r="L888" s="828"/>
      <c r="M888" s="828"/>
      <c r="N888" s="828"/>
      <c r="O888" s="828"/>
      <c r="P888" s="828"/>
      <c r="Q888" s="828"/>
      <c r="R888" s="828"/>
      <c r="S888" s="828"/>
      <c r="T888" s="828"/>
      <c r="U888" s="828"/>
      <c r="V888" s="828"/>
      <c r="W888" s="828"/>
      <c r="X888" s="828"/>
      <c r="Y888" s="828"/>
      <c r="Z888" s="828"/>
      <c r="AA888" s="828"/>
      <c r="AB888" s="828"/>
      <c r="AC888" s="828"/>
      <c r="AD888" s="828"/>
      <c r="AE888" s="828"/>
      <c r="AF888" s="828"/>
      <c r="AG888" s="828"/>
      <c r="AH888" s="828"/>
      <c r="AI888" s="828"/>
      <c r="AJ888" s="828"/>
    </row>
    <row r="889">
      <c r="A889" s="828"/>
      <c r="B889" s="828"/>
      <c r="C889" s="828"/>
      <c r="D889" s="828"/>
      <c r="E889" s="828"/>
      <c r="F889" s="828"/>
      <c r="G889" s="828"/>
      <c r="H889" s="828"/>
      <c r="I889" s="828"/>
      <c r="J889" s="828"/>
      <c r="K889" s="828"/>
      <c r="L889" s="828"/>
      <c r="M889" s="828"/>
      <c r="N889" s="828"/>
      <c r="O889" s="828"/>
      <c r="P889" s="828"/>
      <c r="Q889" s="828"/>
      <c r="R889" s="828"/>
      <c r="S889" s="828"/>
      <c r="T889" s="828"/>
      <c r="U889" s="828"/>
      <c r="V889" s="828"/>
      <c r="W889" s="828"/>
      <c r="X889" s="828"/>
      <c r="Y889" s="828"/>
      <c r="Z889" s="828"/>
      <c r="AA889" s="828"/>
      <c r="AB889" s="828"/>
      <c r="AC889" s="828"/>
      <c r="AD889" s="828"/>
      <c r="AE889" s="828"/>
      <c r="AF889" s="828"/>
      <c r="AG889" s="828"/>
      <c r="AH889" s="828"/>
      <c r="AI889" s="828"/>
      <c r="AJ889" s="828"/>
    </row>
    <row r="890">
      <c r="A890" s="828"/>
      <c r="B890" s="828"/>
      <c r="C890" s="828"/>
      <c r="D890" s="828"/>
      <c r="E890" s="828"/>
      <c r="F890" s="828"/>
      <c r="G890" s="828"/>
      <c r="H890" s="828"/>
      <c r="I890" s="828"/>
      <c r="J890" s="828"/>
      <c r="K890" s="828"/>
      <c r="L890" s="828"/>
      <c r="M890" s="828"/>
      <c r="N890" s="828"/>
      <c r="O890" s="828"/>
      <c r="P890" s="828"/>
      <c r="Q890" s="828"/>
      <c r="R890" s="828"/>
      <c r="S890" s="828"/>
      <c r="T890" s="828"/>
      <c r="U890" s="828"/>
      <c r="V890" s="828"/>
      <c r="W890" s="828"/>
      <c r="X890" s="828"/>
      <c r="Y890" s="828"/>
      <c r="Z890" s="828"/>
      <c r="AA890" s="828"/>
      <c r="AB890" s="828"/>
      <c r="AC890" s="828"/>
      <c r="AD890" s="828"/>
      <c r="AE890" s="828"/>
      <c r="AF890" s="828"/>
      <c r="AG890" s="828"/>
      <c r="AH890" s="828"/>
      <c r="AI890" s="828"/>
      <c r="AJ890" s="828"/>
    </row>
    <row r="891">
      <c r="A891" s="828"/>
      <c r="B891" s="828"/>
      <c r="C891" s="828"/>
      <c r="D891" s="828"/>
      <c r="E891" s="828"/>
      <c r="F891" s="828"/>
      <c r="G891" s="828"/>
      <c r="H891" s="828"/>
      <c r="I891" s="828"/>
      <c r="J891" s="828"/>
      <c r="K891" s="828"/>
      <c r="L891" s="828"/>
      <c r="M891" s="828"/>
      <c r="N891" s="828"/>
      <c r="O891" s="828"/>
      <c r="P891" s="828"/>
      <c r="Q891" s="828"/>
      <c r="R891" s="828"/>
      <c r="S891" s="828"/>
      <c r="T891" s="828"/>
      <c r="U891" s="828"/>
      <c r="V891" s="828"/>
      <c r="W891" s="828"/>
      <c r="X891" s="828"/>
      <c r="Y891" s="828"/>
      <c r="Z891" s="828"/>
      <c r="AA891" s="828"/>
      <c r="AB891" s="828"/>
      <c r="AC891" s="828"/>
      <c r="AD891" s="828"/>
      <c r="AE891" s="828"/>
      <c r="AF891" s="828"/>
      <c r="AG891" s="828"/>
      <c r="AH891" s="828"/>
      <c r="AI891" s="828"/>
      <c r="AJ891" s="828"/>
    </row>
    <row r="892">
      <c r="A892" s="828"/>
      <c r="B892" s="828"/>
      <c r="C892" s="828"/>
      <c r="D892" s="828"/>
      <c r="E892" s="828"/>
      <c r="F892" s="828"/>
      <c r="G892" s="828"/>
      <c r="H892" s="828"/>
      <c r="I892" s="828"/>
      <c r="J892" s="828"/>
      <c r="K892" s="828"/>
      <c r="L892" s="828"/>
      <c r="M892" s="828"/>
      <c r="N892" s="828"/>
      <c r="O892" s="828"/>
      <c r="P892" s="828"/>
      <c r="Q892" s="828"/>
      <c r="R892" s="828"/>
      <c r="S892" s="828"/>
      <c r="T892" s="828"/>
      <c r="U892" s="828"/>
      <c r="V892" s="828"/>
      <c r="W892" s="828"/>
      <c r="X892" s="828"/>
      <c r="Y892" s="828"/>
      <c r="Z892" s="828"/>
      <c r="AA892" s="828"/>
      <c r="AB892" s="828"/>
      <c r="AC892" s="828"/>
      <c r="AD892" s="828"/>
      <c r="AE892" s="828"/>
      <c r="AF892" s="828"/>
      <c r="AG892" s="828"/>
      <c r="AH892" s="828"/>
      <c r="AI892" s="828"/>
      <c r="AJ892" s="828"/>
    </row>
    <row r="893">
      <c r="A893" s="828"/>
      <c r="B893" s="828"/>
      <c r="C893" s="828"/>
      <c r="D893" s="828"/>
      <c r="E893" s="828"/>
      <c r="F893" s="828"/>
      <c r="G893" s="828"/>
      <c r="H893" s="828"/>
      <c r="I893" s="828"/>
      <c r="J893" s="828"/>
      <c r="K893" s="828"/>
      <c r="L893" s="828"/>
      <c r="M893" s="828"/>
      <c r="N893" s="828"/>
      <c r="O893" s="828"/>
      <c r="P893" s="828"/>
      <c r="Q893" s="828"/>
      <c r="R893" s="828"/>
      <c r="S893" s="828"/>
      <c r="T893" s="828"/>
      <c r="U893" s="828"/>
      <c r="V893" s="828"/>
      <c r="W893" s="828"/>
      <c r="X893" s="828"/>
      <c r="Y893" s="828"/>
      <c r="Z893" s="828"/>
      <c r="AA893" s="828"/>
      <c r="AB893" s="828"/>
      <c r="AC893" s="828"/>
      <c r="AD893" s="828"/>
      <c r="AE893" s="828"/>
      <c r="AF893" s="828"/>
      <c r="AG893" s="828"/>
      <c r="AH893" s="828"/>
      <c r="AI893" s="828"/>
      <c r="AJ893" s="828"/>
    </row>
    <row r="894">
      <c r="A894" s="828"/>
      <c r="B894" s="828"/>
      <c r="C894" s="828"/>
      <c r="D894" s="828"/>
      <c r="E894" s="828"/>
      <c r="F894" s="828"/>
      <c r="G894" s="828"/>
      <c r="H894" s="828"/>
      <c r="I894" s="828"/>
      <c r="J894" s="828"/>
      <c r="K894" s="828"/>
      <c r="L894" s="828"/>
      <c r="M894" s="828"/>
      <c r="N894" s="828"/>
      <c r="O894" s="828"/>
      <c r="P894" s="828"/>
      <c r="Q894" s="828"/>
      <c r="R894" s="828"/>
      <c r="S894" s="828"/>
      <c r="T894" s="828"/>
      <c r="U894" s="828"/>
      <c r="V894" s="828"/>
      <c r="W894" s="828"/>
      <c r="X894" s="828"/>
      <c r="Y894" s="828"/>
      <c r="Z894" s="828"/>
      <c r="AA894" s="828"/>
      <c r="AB894" s="828"/>
      <c r="AC894" s="828"/>
      <c r="AD894" s="828"/>
      <c r="AE894" s="828"/>
      <c r="AF894" s="828"/>
      <c r="AG894" s="828"/>
      <c r="AH894" s="828"/>
      <c r="AI894" s="828"/>
      <c r="AJ894" s="828"/>
    </row>
    <row r="895">
      <c r="A895" s="828"/>
      <c r="B895" s="828"/>
      <c r="C895" s="828"/>
      <c r="D895" s="828"/>
      <c r="E895" s="828"/>
      <c r="F895" s="828"/>
      <c r="G895" s="828"/>
      <c r="H895" s="828"/>
      <c r="I895" s="828"/>
      <c r="J895" s="828"/>
      <c r="K895" s="828"/>
      <c r="L895" s="828"/>
      <c r="M895" s="828"/>
      <c r="N895" s="828"/>
      <c r="O895" s="828"/>
      <c r="P895" s="828"/>
      <c r="Q895" s="828"/>
      <c r="R895" s="828"/>
      <c r="S895" s="828"/>
      <c r="T895" s="828"/>
      <c r="U895" s="828"/>
      <c r="V895" s="828"/>
      <c r="W895" s="828"/>
      <c r="X895" s="828"/>
      <c r="Y895" s="828"/>
      <c r="Z895" s="828"/>
      <c r="AA895" s="828"/>
      <c r="AB895" s="828"/>
      <c r="AC895" s="828"/>
      <c r="AD895" s="828"/>
      <c r="AE895" s="828"/>
      <c r="AF895" s="828"/>
      <c r="AG895" s="828"/>
      <c r="AH895" s="828"/>
      <c r="AI895" s="828"/>
      <c r="AJ895" s="828"/>
    </row>
    <row r="896">
      <c r="A896" s="828"/>
      <c r="B896" s="828"/>
      <c r="C896" s="828"/>
      <c r="D896" s="828"/>
      <c r="E896" s="828"/>
      <c r="F896" s="828"/>
      <c r="G896" s="828"/>
      <c r="H896" s="828"/>
      <c r="I896" s="828"/>
      <c r="J896" s="828"/>
      <c r="K896" s="828"/>
      <c r="L896" s="828"/>
      <c r="M896" s="828"/>
      <c r="N896" s="828"/>
      <c r="O896" s="828"/>
      <c r="P896" s="828"/>
      <c r="Q896" s="828"/>
      <c r="R896" s="828"/>
      <c r="S896" s="828"/>
      <c r="T896" s="828"/>
      <c r="U896" s="828"/>
      <c r="V896" s="828"/>
      <c r="W896" s="828"/>
      <c r="X896" s="828"/>
      <c r="Y896" s="828"/>
      <c r="Z896" s="828"/>
      <c r="AA896" s="828"/>
      <c r="AB896" s="828"/>
      <c r="AC896" s="828"/>
      <c r="AD896" s="828"/>
      <c r="AE896" s="828"/>
      <c r="AF896" s="828"/>
      <c r="AG896" s="828"/>
      <c r="AH896" s="828"/>
      <c r="AI896" s="828"/>
      <c r="AJ896" s="828"/>
    </row>
    <row r="897">
      <c r="A897" s="828"/>
      <c r="B897" s="828"/>
      <c r="C897" s="828"/>
      <c r="D897" s="828"/>
      <c r="E897" s="828"/>
      <c r="F897" s="828"/>
      <c r="G897" s="828"/>
      <c r="H897" s="828"/>
      <c r="I897" s="828"/>
      <c r="J897" s="828"/>
      <c r="K897" s="828"/>
      <c r="L897" s="828"/>
      <c r="M897" s="828"/>
      <c r="N897" s="828"/>
      <c r="O897" s="828"/>
      <c r="P897" s="828"/>
      <c r="Q897" s="828"/>
      <c r="R897" s="828"/>
      <c r="S897" s="828"/>
      <c r="T897" s="828"/>
      <c r="U897" s="828"/>
      <c r="V897" s="828"/>
      <c r="W897" s="828"/>
      <c r="X897" s="828"/>
      <c r="Y897" s="828"/>
      <c r="Z897" s="828"/>
      <c r="AA897" s="828"/>
      <c r="AB897" s="828"/>
      <c r="AC897" s="828"/>
      <c r="AD897" s="828"/>
      <c r="AE897" s="828"/>
      <c r="AF897" s="828"/>
      <c r="AG897" s="828"/>
      <c r="AH897" s="828"/>
      <c r="AI897" s="828"/>
      <c r="AJ897" s="828"/>
    </row>
    <row r="898">
      <c r="A898" s="828"/>
      <c r="B898" s="828"/>
      <c r="C898" s="828"/>
      <c r="D898" s="828"/>
      <c r="E898" s="828"/>
      <c r="F898" s="828"/>
      <c r="G898" s="828"/>
      <c r="H898" s="828"/>
      <c r="I898" s="828"/>
      <c r="J898" s="828"/>
      <c r="K898" s="828"/>
      <c r="L898" s="828"/>
      <c r="M898" s="828"/>
      <c r="N898" s="828"/>
      <c r="O898" s="828"/>
      <c r="P898" s="828"/>
      <c r="Q898" s="828"/>
      <c r="R898" s="828"/>
      <c r="S898" s="828"/>
      <c r="T898" s="828"/>
      <c r="U898" s="828"/>
      <c r="V898" s="828"/>
      <c r="W898" s="828"/>
      <c r="X898" s="828"/>
      <c r="Y898" s="828"/>
      <c r="Z898" s="828"/>
      <c r="AA898" s="828"/>
      <c r="AB898" s="828"/>
      <c r="AC898" s="828"/>
      <c r="AD898" s="828"/>
      <c r="AE898" s="828"/>
      <c r="AF898" s="828"/>
      <c r="AG898" s="828"/>
      <c r="AH898" s="828"/>
      <c r="AI898" s="828"/>
      <c r="AJ898" s="828"/>
    </row>
    <row r="899">
      <c r="A899" s="828"/>
      <c r="B899" s="828"/>
      <c r="C899" s="828"/>
      <c r="D899" s="828"/>
      <c r="E899" s="828"/>
      <c r="F899" s="828"/>
      <c r="G899" s="828"/>
      <c r="H899" s="828"/>
      <c r="I899" s="828"/>
      <c r="J899" s="828"/>
      <c r="K899" s="828"/>
      <c r="L899" s="828"/>
      <c r="M899" s="828"/>
      <c r="N899" s="828"/>
      <c r="O899" s="828"/>
      <c r="P899" s="828"/>
      <c r="Q899" s="828"/>
      <c r="R899" s="828"/>
      <c r="S899" s="828"/>
      <c r="T899" s="828"/>
      <c r="U899" s="828"/>
      <c r="V899" s="828"/>
      <c r="W899" s="828"/>
      <c r="X899" s="828"/>
      <c r="Y899" s="828"/>
      <c r="Z899" s="828"/>
      <c r="AA899" s="828"/>
      <c r="AB899" s="828"/>
      <c r="AC899" s="828"/>
      <c r="AD899" s="828"/>
      <c r="AE899" s="828"/>
      <c r="AF899" s="828"/>
      <c r="AG899" s="828"/>
      <c r="AH899" s="828"/>
      <c r="AI899" s="828"/>
      <c r="AJ899" s="828"/>
    </row>
    <row r="900">
      <c r="A900" s="828"/>
      <c r="B900" s="828"/>
      <c r="C900" s="828"/>
      <c r="D900" s="828"/>
      <c r="E900" s="828"/>
      <c r="F900" s="828"/>
      <c r="G900" s="828"/>
      <c r="H900" s="828"/>
      <c r="I900" s="828"/>
      <c r="J900" s="828"/>
      <c r="K900" s="828"/>
      <c r="L900" s="828"/>
      <c r="M900" s="828"/>
      <c r="N900" s="828"/>
      <c r="O900" s="828"/>
      <c r="P900" s="828"/>
      <c r="Q900" s="828"/>
      <c r="R900" s="828"/>
      <c r="S900" s="828"/>
      <c r="T900" s="828"/>
      <c r="U900" s="828"/>
      <c r="V900" s="828"/>
      <c r="W900" s="828"/>
      <c r="X900" s="828"/>
      <c r="Y900" s="828"/>
      <c r="Z900" s="828"/>
      <c r="AA900" s="828"/>
      <c r="AB900" s="828"/>
      <c r="AC900" s="828"/>
      <c r="AD900" s="828"/>
      <c r="AE900" s="828"/>
      <c r="AF900" s="828"/>
      <c r="AG900" s="828"/>
      <c r="AH900" s="828"/>
      <c r="AI900" s="828"/>
      <c r="AJ900" s="828"/>
    </row>
    <row r="901">
      <c r="A901" s="828"/>
      <c r="B901" s="828"/>
      <c r="C901" s="828"/>
      <c r="D901" s="828"/>
      <c r="E901" s="828"/>
      <c r="F901" s="828"/>
      <c r="G901" s="828"/>
      <c r="H901" s="828"/>
      <c r="I901" s="828"/>
      <c r="J901" s="828"/>
      <c r="K901" s="828"/>
      <c r="L901" s="828"/>
      <c r="M901" s="828"/>
      <c r="N901" s="828"/>
      <c r="O901" s="828"/>
      <c r="P901" s="828"/>
      <c r="Q901" s="828"/>
      <c r="R901" s="828"/>
      <c r="S901" s="828"/>
      <c r="T901" s="828"/>
      <c r="U901" s="828"/>
      <c r="V901" s="828"/>
      <c r="W901" s="828"/>
      <c r="X901" s="828"/>
      <c r="Y901" s="828"/>
      <c r="Z901" s="828"/>
      <c r="AA901" s="828"/>
      <c r="AB901" s="828"/>
      <c r="AC901" s="828"/>
      <c r="AD901" s="828"/>
      <c r="AE901" s="828"/>
      <c r="AF901" s="828"/>
      <c r="AG901" s="828"/>
      <c r="AH901" s="828"/>
      <c r="AI901" s="828"/>
      <c r="AJ901" s="828"/>
    </row>
    <row r="902">
      <c r="A902" s="828"/>
      <c r="B902" s="828"/>
      <c r="C902" s="828"/>
      <c r="D902" s="828"/>
      <c r="E902" s="828"/>
      <c r="F902" s="828"/>
      <c r="G902" s="828"/>
      <c r="H902" s="828"/>
      <c r="I902" s="828"/>
      <c r="J902" s="828"/>
      <c r="K902" s="828"/>
      <c r="L902" s="828"/>
      <c r="M902" s="828"/>
      <c r="N902" s="828"/>
      <c r="O902" s="828"/>
      <c r="P902" s="828"/>
      <c r="Q902" s="828"/>
      <c r="R902" s="828"/>
      <c r="S902" s="828"/>
      <c r="T902" s="828"/>
      <c r="U902" s="828"/>
      <c r="V902" s="828"/>
      <c r="W902" s="828"/>
      <c r="X902" s="828"/>
      <c r="Y902" s="828"/>
      <c r="Z902" s="828"/>
      <c r="AA902" s="828"/>
      <c r="AB902" s="828"/>
      <c r="AC902" s="828"/>
      <c r="AD902" s="828"/>
      <c r="AE902" s="828"/>
      <c r="AF902" s="828"/>
      <c r="AG902" s="828"/>
      <c r="AH902" s="828"/>
      <c r="AI902" s="828"/>
      <c r="AJ902" s="828"/>
    </row>
    <row r="903">
      <c r="A903" s="828"/>
      <c r="B903" s="828"/>
      <c r="C903" s="828"/>
      <c r="D903" s="828"/>
      <c r="E903" s="828"/>
      <c r="F903" s="828"/>
      <c r="G903" s="828"/>
      <c r="H903" s="828"/>
      <c r="I903" s="828"/>
      <c r="J903" s="828"/>
      <c r="K903" s="828"/>
      <c r="L903" s="828"/>
      <c r="M903" s="828"/>
      <c r="N903" s="828"/>
      <c r="O903" s="828"/>
      <c r="P903" s="828"/>
      <c r="Q903" s="828"/>
      <c r="R903" s="828"/>
      <c r="S903" s="828"/>
      <c r="T903" s="828"/>
      <c r="U903" s="828"/>
      <c r="V903" s="828"/>
      <c r="W903" s="828"/>
      <c r="X903" s="828"/>
      <c r="Y903" s="828"/>
      <c r="Z903" s="828"/>
      <c r="AA903" s="828"/>
      <c r="AB903" s="828"/>
      <c r="AC903" s="828"/>
      <c r="AD903" s="828"/>
      <c r="AE903" s="828"/>
      <c r="AF903" s="828"/>
      <c r="AG903" s="828"/>
      <c r="AH903" s="828"/>
      <c r="AI903" s="828"/>
      <c r="AJ903" s="828"/>
    </row>
    <row r="904">
      <c r="A904" s="828"/>
      <c r="B904" s="828"/>
      <c r="C904" s="828"/>
      <c r="D904" s="828"/>
      <c r="E904" s="828"/>
      <c r="F904" s="828"/>
      <c r="G904" s="828"/>
      <c r="H904" s="828"/>
      <c r="I904" s="828"/>
      <c r="J904" s="828"/>
      <c r="K904" s="828"/>
      <c r="L904" s="828"/>
      <c r="M904" s="828"/>
      <c r="N904" s="828"/>
      <c r="O904" s="828"/>
      <c r="P904" s="828"/>
      <c r="Q904" s="828"/>
      <c r="R904" s="828"/>
      <c r="S904" s="828"/>
      <c r="T904" s="828"/>
      <c r="U904" s="828"/>
      <c r="V904" s="828"/>
      <c r="W904" s="828"/>
      <c r="X904" s="828"/>
      <c r="Y904" s="828"/>
      <c r="Z904" s="828"/>
      <c r="AA904" s="828"/>
      <c r="AB904" s="828"/>
      <c r="AC904" s="828"/>
      <c r="AD904" s="828"/>
      <c r="AE904" s="828"/>
      <c r="AF904" s="828"/>
      <c r="AG904" s="828"/>
      <c r="AH904" s="828"/>
      <c r="AI904" s="828"/>
      <c r="AJ904" s="828"/>
    </row>
    <row r="905">
      <c r="A905" s="828"/>
      <c r="B905" s="828"/>
      <c r="C905" s="828"/>
      <c r="D905" s="828"/>
      <c r="E905" s="828"/>
      <c r="F905" s="828"/>
      <c r="G905" s="828"/>
      <c r="H905" s="828"/>
      <c r="I905" s="828"/>
      <c r="J905" s="828"/>
      <c r="K905" s="828"/>
      <c r="L905" s="828"/>
      <c r="M905" s="828"/>
      <c r="N905" s="828"/>
      <c r="O905" s="828"/>
      <c r="P905" s="828"/>
      <c r="Q905" s="828"/>
      <c r="R905" s="828"/>
      <c r="S905" s="828"/>
      <c r="T905" s="828"/>
      <c r="U905" s="828"/>
      <c r="V905" s="828"/>
      <c r="W905" s="828"/>
      <c r="X905" s="828"/>
      <c r="Y905" s="828"/>
      <c r="Z905" s="828"/>
      <c r="AA905" s="828"/>
      <c r="AB905" s="828"/>
      <c r="AC905" s="828"/>
      <c r="AD905" s="828"/>
      <c r="AE905" s="828"/>
      <c r="AF905" s="828"/>
      <c r="AG905" s="828"/>
      <c r="AH905" s="828"/>
      <c r="AI905" s="828"/>
      <c r="AJ905" s="828"/>
    </row>
    <row r="906">
      <c r="A906" s="828"/>
      <c r="B906" s="828"/>
      <c r="C906" s="828"/>
      <c r="D906" s="828"/>
      <c r="E906" s="828"/>
      <c r="F906" s="828"/>
      <c r="G906" s="828"/>
      <c r="H906" s="828"/>
      <c r="I906" s="828"/>
      <c r="J906" s="828"/>
      <c r="K906" s="828"/>
      <c r="L906" s="828"/>
      <c r="M906" s="828"/>
      <c r="N906" s="828"/>
      <c r="O906" s="828"/>
      <c r="P906" s="828"/>
      <c r="Q906" s="828"/>
      <c r="R906" s="828"/>
      <c r="S906" s="828"/>
      <c r="T906" s="828"/>
      <c r="U906" s="828"/>
      <c r="V906" s="828"/>
      <c r="W906" s="828"/>
      <c r="X906" s="828"/>
      <c r="Y906" s="828"/>
      <c r="Z906" s="828"/>
      <c r="AA906" s="828"/>
      <c r="AB906" s="828"/>
      <c r="AC906" s="828"/>
      <c r="AD906" s="828"/>
      <c r="AE906" s="828"/>
      <c r="AF906" s="828"/>
      <c r="AG906" s="828"/>
      <c r="AH906" s="828"/>
      <c r="AI906" s="828"/>
      <c r="AJ906" s="828"/>
    </row>
    <row r="907">
      <c r="A907" s="828"/>
      <c r="B907" s="828"/>
      <c r="C907" s="828"/>
      <c r="D907" s="828"/>
      <c r="E907" s="828"/>
      <c r="F907" s="828"/>
      <c r="G907" s="828"/>
      <c r="H907" s="828"/>
      <c r="I907" s="828"/>
      <c r="J907" s="828"/>
      <c r="K907" s="828"/>
      <c r="L907" s="828"/>
      <c r="M907" s="828"/>
      <c r="N907" s="828"/>
      <c r="O907" s="828"/>
      <c r="P907" s="828"/>
      <c r="Q907" s="828"/>
      <c r="R907" s="828"/>
      <c r="S907" s="828"/>
      <c r="T907" s="828"/>
      <c r="U907" s="828"/>
      <c r="V907" s="828"/>
      <c r="W907" s="828"/>
      <c r="X907" s="828"/>
      <c r="Y907" s="828"/>
      <c r="Z907" s="828"/>
      <c r="AA907" s="828"/>
      <c r="AB907" s="828"/>
      <c r="AC907" s="828"/>
      <c r="AD907" s="828"/>
      <c r="AE907" s="828"/>
      <c r="AF907" s="828"/>
      <c r="AG907" s="828"/>
      <c r="AH907" s="828"/>
      <c r="AI907" s="828"/>
      <c r="AJ907" s="828"/>
    </row>
    <row r="908">
      <c r="A908" s="828"/>
      <c r="B908" s="828"/>
      <c r="C908" s="828"/>
      <c r="D908" s="828"/>
      <c r="E908" s="828"/>
      <c r="F908" s="828"/>
      <c r="G908" s="828"/>
      <c r="H908" s="828"/>
      <c r="I908" s="828"/>
      <c r="J908" s="828"/>
      <c r="K908" s="828"/>
      <c r="L908" s="828"/>
      <c r="M908" s="828"/>
      <c r="N908" s="828"/>
      <c r="O908" s="828"/>
      <c r="P908" s="828"/>
      <c r="Q908" s="828"/>
      <c r="R908" s="828"/>
      <c r="S908" s="828"/>
      <c r="T908" s="828"/>
      <c r="U908" s="828"/>
      <c r="V908" s="828"/>
      <c r="W908" s="828"/>
      <c r="X908" s="828"/>
      <c r="Y908" s="828"/>
      <c r="Z908" s="828"/>
      <c r="AA908" s="828"/>
      <c r="AB908" s="828"/>
      <c r="AC908" s="828"/>
      <c r="AD908" s="828"/>
      <c r="AE908" s="828"/>
      <c r="AF908" s="828"/>
      <c r="AG908" s="828"/>
      <c r="AH908" s="828"/>
      <c r="AI908" s="828"/>
      <c r="AJ908" s="828"/>
    </row>
    <row r="909">
      <c r="A909" s="828"/>
      <c r="B909" s="828"/>
      <c r="C909" s="828"/>
      <c r="D909" s="828"/>
      <c r="E909" s="828"/>
      <c r="F909" s="828"/>
      <c r="G909" s="828"/>
      <c r="H909" s="828"/>
      <c r="I909" s="828"/>
      <c r="J909" s="828"/>
      <c r="K909" s="828"/>
      <c r="L909" s="828"/>
      <c r="M909" s="828"/>
      <c r="N909" s="828"/>
      <c r="O909" s="828"/>
      <c r="P909" s="828"/>
      <c r="Q909" s="828"/>
      <c r="R909" s="828"/>
      <c r="S909" s="828"/>
      <c r="T909" s="828"/>
      <c r="U909" s="828"/>
      <c r="V909" s="828"/>
      <c r="W909" s="828"/>
      <c r="X909" s="828"/>
      <c r="Y909" s="828"/>
      <c r="Z909" s="828"/>
      <c r="AA909" s="828"/>
      <c r="AB909" s="828"/>
      <c r="AC909" s="828"/>
      <c r="AD909" s="828"/>
      <c r="AE909" s="828"/>
      <c r="AF909" s="828"/>
      <c r="AG909" s="828"/>
      <c r="AH909" s="828"/>
      <c r="AI909" s="828"/>
      <c r="AJ909" s="828"/>
    </row>
    <row r="910">
      <c r="A910" s="828"/>
      <c r="B910" s="828"/>
      <c r="C910" s="828"/>
      <c r="D910" s="828"/>
      <c r="E910" s="828"/>
      <c r="F910" s="828"/>
      <c r="G910" s="828"/>
      <c r="H910" s="828"/>
      <c r="I910" s="828"/>
      <c r="J910" s="828"/>
      <c r="K910" s="828"/>
      <c r="L910" s="828"/>
      <c r="M910" s="828"/>
      <c r="N910" s="828"/>
      <c r="O910" s="828"/>
      <c r="P910" s="828"/>
      <c r="Q910" s="828"/>
      <c r="R910" s="828"/>
      <c r="S910" s="828"/>
      <c r="T910" s="828"/>
      <c r="U910" s="828"/>
      <c r="V910" s="828"/>
      <c r="W910" s="828"/>
      <c r="X910" s="828"/>
      <c r="Y910" s="828"/>
      <c r="Z910" s="828"/>
      <c r="AA910" s="828"/>
      <c r="AB910" s="828"/>
      <c r="AC910" s="828"/>
      <c r="AD910" s="828"/>
      <c r="AE910" s="828"/>
      <c r="AF910" s="828"/>
      <c r="AG910" s="828"/>
      <c r="AH910" s="828"/>
      <c r="AI910" s="828"/>
      <c r="AJ910" s="828"/>
    </row>
    <row r="911">
      <c r="A911" s="828"/>
      <c r="B911" s="828"/>
      <c r="C911" s="828"/>
      <c r="D911" s="828"/>
      <c r="E911" s="828"/>
      <c r="F911" s="828"/>
      <c r="G911" s="828"/>
      <c r="H911" s="828"/>
      <c r="I911" s="828"/>
      <c r="J911" s="828"/>
      <c r="K911" s="828"/>
      <c r="L911" s="828"/>
      <c r="M911" s="828"/>
      <c r="N911" s="828"/>
      <c r="O911" s="828"/>
      <c r="P911" s="828"/>
      <c r="Q911" s="828"/>
      <c r="R911" s="828"/>
      <c r="S911" s="828"/>
      <c r="T911" s="828"/>
      <c r="U911" s="828"/>
      <c r="V911" s="828"/>
      <c r="W911" s="828"/>
      <c r="X911" s="828"/>
      <c r="Y911" s="828"/>
      <c r="Z911" s="828"/>
      <c r="AA911" s="828"/>
      <c r="AB911" s="828"/>
      <c r="AC911" s="828"/>
      <c r="AD911" s="828"/>
      <c r="AE911" s="828"/>
      <c r="AF911" s="828"/>
      <c r="AG911" s="828"/>
      <c r="AH911" s="828"/>
      <c r="AI911" s="828"/>
      <c r="AJ911" s="828"/>
    </row>
    <row r="912">
      <c r="A912" s="828"/>
      <c r="B912" s="828"/>
      <c r="C912" s="828"/>
      <c r="D912" s="828"/>
      <c r="E912" s="828"/>
      <c r="F912" s="828"/>
      <c r="G912" s="828"/>
      <c r="H912" s="828"/>
      <c r="I912" s="828"/>
      <c r="J912" s="828"/>
      <c r="K912" s="828"/>
      <c r="L912" s="828"/>
      <c r="M912" s="828"/>
      <c r="N912" s="828"/>
      <c r="O912" s="828"/>
      <c r="P912" s="828"/>
      <c r="Q912" s="828"/>
      <c r="R912" s="828"/>
      <c r="S912" s="828"/>
      <c r="T912" s="828"/>
      <c r="U912" s="828"/>
      <c r="V912" s="828"/>
      <c r="W912" s="828"/>
      <c r="X912" s="828"/>
      <c r="Y912" s="828"/>
      <c r="Z912" s="828"/>
      <c r="AA912" s="828"/>
      <c r="AB912" s="828"/>
      <c r="AC912" s="828"/>
      <c r="AD912" s="828"/>
      <c r="AE912" s="828"/>
      <c r="AF912" s="828"/>
      <c r="AG912" s="828"/>
      <c r="AH912" s="828"/>
      <c r="AI912" s="828"/>
      <c r="AJ912" s="828"/>
    </row>
    <row r="913">
      <c r="A913" s="828"/>
      <c r="B913" s="828"/>
      <c r="C913" s="828"/>
      <c r="D913" s="828"/>
      <c r="E913" s="828"/>
      <c r="F913" s="828"/>
      <c r="G913" s="828"/>
      <c r="H913" s="828"/>
      <c r="I913" s="828"/>
      <c r="J913" s="828"/>
      <c r="K913" s="828"/>
      <c r="L913" s="828"/>
      <c r="M913" s="828"/>
      <c r="N913" s="828"/>
      <c r="O913" s="828"/>
      <c r="P913" s="828"/>
      <c r="Q913" s="828"/>
      <c r="R913" s="828"/>
      <c r="S913" s="828"/>
      <c r="T913" s="828"/>
      <c r="U913" s="828"/>
      <c r="V913" s="828"/>
      <c r="W913" s="828"/>
      <c r="X913" s="828"/>
      <c r="Y913" s="828"/>
      <c r="Z913" s="828"/>
      <c r="AA913" s="828"/>
      <c r="AB913" s="828"/>
      <c r="AC913" s="828"/>
      <c r="AD913" s="828"/>
      <c r="AE913" s="828"/>
      <c r="AF913" s="828"/>
      <c r="AG913" s="828"/>
      <c r="AH913" s="828"/>
      <c r="AI913" s="828"/>
      <c r="AJ913" s="828"/>
    </row>
    <row r="914">
      <c r="A914" s="828"/>
      <c r="B914" s="828"/>
      <c r="C914" s="828"/>
      <c r="D914" s="828"/>
      <c r="E914" s="828"/>
      <c r="F914" s="828"/>
      <c r="G914" s="828"/>
      <c r="H914" s="828"/>
      <c r="I914" s="828"/>
      <c r="J914" s="828"/>
      <c r="K914" s="828"/>
      <c r="L914" s="828"/>
      <c r="M914" s="828"/>
      <c r="N914" s="828"/>
      <c r="O914" s="828"/>
      <c r="P914" s="828"/>
      <c r="Q914" s="828"/>
      <c r="R914" s="828"/>
      <c r="S914" s="828"/>
      <c r="T914" s="828"/>
      <c r="U914" s="828"/>
      <c r="V914" s="828"/>
      <c r="W914" s="828"/>
      <c r="X914" s="828"/>
      <c r="Y914" s="828"/>
      <c r="Z914" s="828"/>
      <c r="AA914" s="828"/>
      <c r="AB914" s="828"/>
      <c r="AC914" s="828"/>
      <c r="AD914" s="828"/>
      <c r="AE914" s="828"/>
      <c r="AF914" s="828"/>
      <c r="AG914" s="828"/>
      <c r="AH914" s="828"/>
      <c r="AI914" s="828"/>
      <c r="AJ914" s="828"/>
    </row>
    <row r="915">
      <c r="A915" s="828"/>
      <c r="B915" s="828"/>
      <c r="C915" s="828"/>
      <c r="D915" s="828"/>
      <c r="E915" s="828"/>
      <c r="F915" s="828"/>
      <c r="G915" s="828"/>
      <c r="H915" s="828"/>
      <c r="I915" s="828"/>
      <c r="J915" s="828"/>
      <c r="K915" s="828"/>
      <c r="L915" s="828"/>
      <c r="M915" s="828"/>
      <c r="N915" s="828"/>
      <c r="O915" s="828"/>
      <c r="P915" s="828"/>
      <c r="Q915" s="828"/>
      <c r="R915" s="828"/>
      <c r="S915" s="828"/>
      <c r="T915" s="828"/>
      <c r="U915" s="828"/>
      <c r="V915" s="828"/>
      <c r="W915" s="828"/>
      <c r="X915" s="828"/>
      <c r="Y915" s="828"/>
      <c r="Z915" s="828"/>
      <c r="AA915" s="828"/>
      <c r="AB915" s="828"/>
      <c r="AC915" s="828"/>
      <c r="AD915" s="828"/>
      <c r="AE915" s="828"/>
      <c r="AF915" s="828"/>
      <c r="AG915" s="828"/>
      <c r="AH915" s="828"/>
      <c r="AI915" s="828"/>
      <c r="AJ915" s="828"/>
    </row>
    <row r="916">
      <c r="A916" s="828"/>
      <c r="B916" s="828"/>
      <c r="C916" s="828"/>
      <c r="D916" s="828"/>
      <c r="E916" s="828"/>
      <c r="F916" s="828"/>
      <c r="G916" s="828"/>
      <c r="H916" s="828"/>
      <c r="I916" s="828"/>
      <c r="J916" s="828"/>
      <c r="K916" s="828"/>
      <c r="L916" s="828"/>
      <c r="M916" s="828"/>
      <c r="N916" s="828"/>
      <c r="O916" s="828"/>
      <c r="P916" s="828"/>
      <c r="Q916" s="828"/>
      <c r="R916" s="828"/>
      <c r="S916" s="828"/>
      <c r="T916" s="828"/>
      <c r="U916" s="828"/>
      <c r="V916" s="828"/>
      <c r="W916" s="828"/>
      <c r="X916" s="828"/>
      <c r="Y916" s="828"/>
      <c r="Z916" s="828"/>
      <c r="AA916" s="828"/>
      <c r="AB916" s="828"/>
      <c r="AC916" s="828"/>
      <c r="AD916" s="828"/>
      <c r="AE916" s="828"/>
      <c r="AF916" s="828"/>
      <c r="AG916" s="828"/>
      <c r="AH916" s="828"/>
      <c r="AI916" s="828"/>
      <c r="AJ916" s="828"/>
    </row>
    <row r="917">
      <c r="A917" s="828"/>
      <c r="B917" s="828"/>
      <c r="C917" s="828"/>
      <c r="D917" s="828"/>
      <c r="E917" s="828"/>
      <c r="F917" s="828"/>
      <c r="G917" s="828"/>
      <c r="H917" s="828"/>
      <c r="I917" s="828"/>
      <c r="J917" s="828"/>
      <c r="K917" s="828"/>
      <c r="L917" s="828"/>
      <c r="M917" s="828"/>
      <c r="N917" s="828"/>
      <c r="O917" s="828"/>
      <c r="P917" s="828"/>
      <c r="Q917" s="828"/>
      <c r="R917" s="828"/>
      <c r="S917" s="828"/>
      <c r="T917" s="828"/>
      <c r="U917" s="828"/>
      <c r="V917" s="828"/>
      <c r="W917" s="828"/>
      <c r="X917" s="828"/>
      <c r="Y917" s="828"/>
      <c r="Z917" s="828"/>
      <c r="AA917" s="828"/>
      <c r="AB917" s="828"/>
      <c r="AC917" s="828"/>
      <c r="AD917" s="828"/>
      <c r="AE917" s="828"/>
      <c r="AF917" s="828"/>
      <c r="AG917" s="828"/>
      <c r="AH917" s="828"/>
      <c r="AI917" s="828"/>
      <c r="AJ917" s="828"/>
    </row>
    <row r="918">
      <c r="A918" s="828"/>
      <c r="B918" s="828"/>
      <c r="C918" s="828"/>
      <c r="D918" s="828"/>
      <c r="E918" s="828"/>
      <c r="F918" s="828"/>
      <c r="G918" s="828"/>
      <c r="H918" s="828"/>
      <c r="I918" s="828"/>
      <c r="J918" s="828"/>
      <c r="K918" s="828"/>
      <c r="L918" s="828"/>
      <c r="M918" s="828"/>
      <c r="N918" s="828"/>
      <c r="O918" s="828"/>
      <c r="P918" s="828"/>
      <c r="Q918" s="828"/>
      <c r="R918" s="828"/>
      <c r="S918" s="828"/>
      <c r="T918" s="828"/>
      <c r="U918" s="828"/>
      <c r="V918" s="828"/>
      <c r="W918" s="828"/>
      <c r="X918" s="828"/>
      <c r="Y918" s="828"/>
      <c r="Z918" s="828"/>
      <c r="AA918" s="828"/>
      <c r="AB918" s="828"/>
      <c r="AC918" s="828"/>
      <c r="AD918" s="828"/>
      <c r="AE918" s="828"/>
      <c r="AF918" s="828"/>
      <c r="AG918" s="828"/>
      <c r="AH918" s="828"/>
      <c r="AI918" s="828"/>
      <c r="AJ918" s="828"/>
    </row>
    <row r="919">
      <c r="A919" s="828"/>
      <c r="B919" s="828"/>
      <c r="C919" s="828"/>
      <c r="D919" s="828"/>
      <c r="E919" s="828"/>
      <c r="F919" s="828"/>
      <c r="G919" s="828"/>
      <c r="H919" s="828"/>
      <c r="I919" s="828"/>
      <c r="J919" s="828"/>
      <c r="K919" s="828"/>
      <c r="L919" s="828"/>
      <c r="M919" s="828"/>
      <c r="N919" s="828"/>
      <c r="O919" s="828"/>
      <c r="P919" s="828"/>
      <c r="Q919" s="828"/>
      <c r="R919" s="828"/>
      <c r="S919" s="828"/>
      <c r="T919" s="828"/>
      <c r="U919" s="828"/>
      <c r="V919" s="828"/>
      <c r="W919" s="828"/>
      <c r="X919" s="828"/>
      <c r="Y919" s="828"/>
      <c r="Z919" s="828"/>
      <c r="AA919" s="828"/>
      <c r="AB919" s="828"/>
      <c r="AC919" s="828"/>
      <c r="AD919" s="828"/>
      <c r="AE919" s="828"/>
      <c r="AF919" s="828"/>
      <c r="AG919" s="828"/>
      <c r="AH919" s="828"/>
      <c r="AI919" s="828"/>
      <c r="AJ919" s="828"/>
    </row>
    <row r="920">
      <c r="A920" s="828"/>
      <c r="B920" s="828"/>
      <c r="C920" s="828"/>
      <c r="D920" s="828"/>
      <c r="E920" s="828"/>
      <c r="F920" s="828"/>
      <c r="G920" s="828"/>
      <c r="H920" s="828"/>
      <c r="I920" s="828"/>
      <c r="J920" s="828"/>
      <c r="K920" s="828"/>
      <c r="L920" s="828"/>
      <c r="M920" s="828"/>
      <c r="N920" s="828"/>
      <c r="O920" s="828"/>
      <c r="P920" s="828"/>
      <c r="Q920" s="828"/>
      <c r="R920" s="828"/>
      <c r="S920" s="828"/>
      <c r="T920" s="828"/>
      <c r="U920" s="828"/>
      <c r="V920" s="828"/>
      <c r="W920" s="828"/>
      <c r="X920" s="828"/>
      <c r="Y920" s="828"/>
      <c r="Z920" s="828"/>
      <c r="AA920" s="828"/>
      <c r="AB920" s="828"/>
      <c r="AC920" s="828"/>
      <c r="AD920" s="828"/>
      <c r="AE920" s="828"/>
      <c r="AF920" s="828"/>
      <c r="AG920" s="828"/>
      <c r="AH920" s="828"/>
      <c r="AI920" s="828"/>
      <c r="AJ920" s="828"/>
    </row>
    <row r="921">
      <c r="A921" s="828"/>
      <c r="B921" s="828"/>
      <c r="C921" s="828"/>
      <c r="D921" s="828"/>
      <c r="E921" s="828"/>
      <c r="F921" s="828"/>
      <c r="G921" s="828"/>
      <c r="H921" s="828"/>
      <c r="I921" s="828"/>
      <c r="J921" s="828"/>
      <c r="K921" s="828"/>
      <c r="L921" s="828"/>
      <c r="M921" s="828"/>
      <c r="N921" s="828"/>
      <c r="O921" s="828"/>
      <c r="P921" s="828"/>
      <c r="Q921" s="828"/>
      <c r="R921" s="828"/>
      <c r="S921" s="828"/>
      <c r="T921" s="828"/>
      <c r="U921" s="828"/>
      <c r="V921" s="828"/>
      <c r="W921" s="828"/>
      <c r="X921" s="828"/>
      <c r="Y921" s="828"/>
      <c r="Z921" s="828"/>
      <c r="AA921" s="828"/>
      <c r="AB921" s="828"/>
      <c r="AC921" s="828"/>
      <c r="AD921" s="828"/>
      <c r="AE921" s="828"/>
      <c r="AF921" s="828"/>
      <c r="AG921" s="828"/>
      <c r="AH921" s="828"/>
      <c r="AI921" s="828"/>
      <c r="AJ921" s="828"/>
    </row>
    <row r="922">
      <c r="A922" s="828"/>
      <c r="B922" s="828"/>
      <c r="C922" s="828"/>
      <c r="D922" s="828"/>
      <c r="E922" s="828"/>
      <c r="F922" s="828"/>
      <c r="G922" s="828"/>
      <c r="H922" s="828"/>
      <c r="I922" s="828"/>
      <c r="J922" s="828"/>
      <c r="K922" s="828"/>
      <c r="L922" s="828"/>
      <c r="M922" s="828"/>
      <c r="N922" s="828"/>
      <c r="O922" s="828"/>
      <c r="P922" s="828"/>
      <c r="Q922" s="828"/>
      <c r="R922" s="828"/>
      <c r="S922" s="828"/>
      <c r="T922" s="828"/>
      <c r="U922" s="828"/>
      <c r="V922" s="828"/>
      <c r="W922" s="828"/>
      <c r="X922" s="828"/>
      <c r="Y922" s="828"/>
      <c r="Z922" s="828"/>
      <c r="AA922" s="828"/>
      <c r="AB922" s="828"/>
      <c r="AC922" s="828"/>
      <c r="AD922" s="828"/>
      <c r="AE922" s="828"/>
      <c r="AF922" s="828"/>
      <c r="AG922" s="828"/>
      <c r="AH922" s="828"/>
      <c r="AI922" s="828"/>
      <c r="AJ922" s="828"/>
    </row>
    <row r="923">
      <c r="A923" s="828"/>
      <c r="B923" s="828"/>
      <c r="C923" s="828"/>
      <c r="D923" s="828"/>
      <c r="E923" s="828"/>
      <c r="F923" s="828"/>
      <c r="G923" s="828"/>
      <c r="H923" s="828"/>
      <c r="I923" s="828"/>
      <c r="J923" s="828"/>
      <c r="K923" s="828"/>
      <c r="L923" s="828"/>
      <c r="M923" s="828"/>
      <c r="N923" s="828"/>
      <c r="O923" s="828"/>
      <c r="P923" s="828"/>
      <c r="Q923" s="828"/>
      <c r="R923" s="828"/>
      <c r="S923" s="828"/>
      <c r="T923" s="828"/>
      <c r="U923" s="828"/>
      <c r="V923" s="828"/>
      <c r="W923" s="828"/>
      <c r="X923" s="828"/>
      <c r="Y923" s="828"/>
      <c r="Z923" s="828"/>
      <c r="AA923" s="828"/>
      <c r="AB923" s="828"/>
      <c r="AC923" s="828"/>
      <c r="AD923" s="828"/>
      <c r="AE923" s="828"/>
      <c r="AF923" s="828"/>
      <c r="AG923" s="828"/>
      <c r="AH923" s="828"/>
      <c r="AI923" s="828"/>
      <c r="AJ923" s="828"/>
    </row>
    <row r="924">
      <c r="A924" s="828"/>
      <c r="B924" s="828"/>
      <c r="C924" s="828"/>
      <c r="D924" s="828"/>
      <c r="E924" s="828"/>
      <c r="F924" s="828"/>
      <c r="G924" s="828"/>
      <c r="H924" s="828"/>
      <c r="I924" s="828"/>
      <c r="J924" s="828"/>
      <c r="K924" s="828"/>
      <c r="L924" s="828"/>
      <c r="M924" s="828"/>
      <c r="N924" s="828"/>
      <c r="O924" s="828"/>
      <c r="P924" s="828"/>
      <c r="Q924" s="828"/>
      <c r="R924" s="828"/>
      <c r="S924" s="828"/>
      <c r="T924" s="828"/>
      <c r="U924" s="828"/>
      <c r="V924" s="828"/>
      <c r="W924" s="828"/>
      <c r="X924" s="828"/>
      <c r="Y924" s="828"/>
      <c r="Z924" s="828"/>
      <c r="AA924" s="828"/>
      <c r="AB924" s="828"/>
      <c r="AC924" s="828"/>
      <c r="AD924" s="828"/>
      <c r="AE924" s="828"/>
      <c r="AF924" s="828"/>
      <c r="AG924" s="828"/>
      <c r="AH924" s="828"/>
      <c r="AI924" s="828"/>
      <c r="AJ924" s="828"/>
    </row>
    <row r="925">
      <c r="A925" s="828"/>
      <c r="B925" s="828"/>
      <c r="C925" s="828"/>
      <c r="D925" s="828"/>
      <c r="E925" s="828"/>
      <c r="F925" s="828"/>
      <c r="G925" s="828"/>
      <c r="H925" s="828"/>
      <c r="I925" s="828"/>
      <c r="J925" s="828"/>
      <c r="K925" s="828"/>
      <c r="L925" s="828"/>
      <c r="M925" s="828"/>
      <c r="N925" s="828"/>
      <c r="O925" s="828"/>
      <c r="P925" s="828"/>
      <c r="Q925" s="828"/>
      <c r="R925" s="828"/>
      <c r="S925" s="828"/>
      <c r="T925" s="828"/>
      <c r="U925" s="828"/>
      <c r="V925" s="828"/>
      <c r="W925" s="828"/>
      <c r="X925" s="828"/>
      <c r="Y925" s="828"/>
      <c r="Z925" s="828"/>
      <c r="AA925" s="828"/>
      <c r="AB925" s="828"/>
      <c r="AC925" s="828"/>
      <c r="AD925" s="828"/>
      <c r="AE925" s="828"/>
      <c r="AF925" s="828"/>
      <c r="AG925" s="828"/>
      <c r="AH925" s="828"/>
      <c r="AI925" s="828"/>
      <c r="AJ925" s="828"/>
    </row>
    <row r="926">
      <c r="A926" s="828"/>
      <c r="B926" s="828"/>
      <c r="C926" s="828"/>
      <c r="D926" s="828"/>
      <c r="E926" s="828"/>
      <c r="F926" s="828"/>
      <c r="G926" s="828"/>
      <c r="H926" s="828"/>
      <c r="I926" s="828"/>
      <c r="J926" s="828"/>
      <c r="K926" s="828"/>
      <c r="L926" s="828"/>
      <c r="M926" s="828"/>
      <c r="N926" s="828"/>
      <c r="O926" s="828"/>
      <c r="P926" s="828"/>
      <c r="Q926" s="828"/>
      <c r="R926" s="828"/>
      <c r="S926" s="828"/>
      <c r="T926" s="828"/>
      <c r="U926" s="828"/>
      <c r="V926" s="828"/>
      <c r="W926" s="828"/>
      <c r="X926" s="828"/>
      <c r="Y926" s="828"/>
      <c r="Z926" s="828"/>
      <c r="AA926" s="828"/>
      <c r="AB926" s="828"/>
      <c r="AC926" s="828"/>
      <c r="AD926" s="828"/>
      <c r="AE926" s="828"/>
      <c r="AF926" s="828"/>
      <c r="AG926" s="828"/>
      <c r="AH926" s="828"/>
      <c r="AI926" s="828"/>
      <c r="AJ926" s="828"/>
    </row>
    <row r="927">
      <c r="A927" s="828"/>
      <c r="B927" s="828"/>
      <c r="C927" s="828"/>
      <c r="D927" s="828"/>
      <c r="E927" s="828"/>
      <c r="F927" s="828"/>
      <c r="G927" s="828"/>
      <c r="H927" s="828"/>
      <c r="I927" s="828"/>
      <c r="J927" s="828"/>
      <c r="K927" s="828"/>
      <c r="L927" s="828"/>
      <c r="M927" s="828"/>
      <c r="N927" s="828"/>
      <c r="O927" s="828"/>
      <c r="P927" s="828"/>
      <c r="Q927" s="828"/>
      <c r="R927" s="828"/>
      <c r="S927" s="828"/>
      <c r="T927" s="828"/>
      <c r="U927" s="828"/>
      <c r="V927" s="828"/>
      <c r="W927" s="828"/>
      <c r="X927" s="828"/>
      <c r="Y927" s="828"/>
      <c r="Z927" s="828"/>
      <c r="AA927" s="828"/>
      <c r="AB927" s="828"/>
      <c r="AC927" s="828"/>
      <c r="AD927" s="828"/>
      <c r="AE927" s="828"/>
      <c r="AF927" s="828"/>
      <c r="AG927" s="828"/>
      <c r="AH927" s="828"/>
      <c r="AI927" s="828"/>
      <c r="AJ927" s="828"/>
    </row>
    <row r="928">
      <c r="A928" s="828"/>
      <c r="B928" s="828"/>
      <c r="C928" s="828"/>
      <c r="D928" s="828"/>
      <c r="E928" s="828"/>
      <c r="F928" s="828"/>
      <c r="G928" s="828"/>
      <c r="H928" s="828"/>
      <c r="I928" s="828"/>
      <c r="J928" s="828"/>
      <c r="K928" s="828"/>
      <c r="L928" s="828"/>
      <c r="M928" s="828"/>
      <c r="N928" s="828"/>
      <c r="O928" s="828"/>
      <c r="P928" s="828"/>
      <c r="Q928" s="828"/>
      <c r="R928" s="828"/>
      <c r="S928" s="828"/>
      <c r="T928" s="828"/>
      <c r="U928" s="828"/>
      <c r="V928" s="828"/>
      <c r="W928" s="828"/>
      <c r="X928" s="828"/>
      <c r="Y928" s="828"/>
      <c r="Z928" s="828"/>
      <c r="AA928" s="828"/>
      <c r="AB928" s="828"/>
      <c r="AC928" s="828"/>
      <c r="AD928" s="828"/>
      <c r="AE928" s="828"/>
      <c r="AF928" s="828"/>
      <c r="AG928" s="828"/>
      <c r="AH928" s="828"/>
      <c r="AI928" s="828"/>
      <c r="AJ928" s="828"/>
    </row>
    <row r="929">
      <c r="A929" s="828"/>
      <c r="B929" s="828"/>
      <c r="C929" s="828"/>
      <c r="D929" s="828"/>
      <c r="E929" s="828"/>
      <c r="F929" s="828"/>
      <c r="G929" s="828"/>
      <c r="H929" s="828"/>
      <c r="I929" s="828"/>
      <c r="J929" s="828"/>
      <c r="K929" s="828"/>
      <c r="L929" s="828"/>
      <c r="M929" s="828"/>
      <c r="N929" s="828"/>
      <c r="O929" s="828"/>
      <c r="P929" s="828"/>
      <c r="Q929" s="828"/>
      <c r="R929" s="828"/>
      <c r="S929" s="828"/>
      <c r="T929" s="828"/>
      <c r="U929" s="828"/>
      <c r="V929" s="828"/>
      <c r="W929" s="828"/>
      <c r="X929" s="828"/>
      <c r="Y929" s="828"/>
      <c r="Z929" s="828"/>
      <c r="AA929" s="828"/>
      <c r="AB929" s="828"/>
      <c r="AC929" s="828"/>
      <c r="AD929" s="828"/>
      <c r="AE929" s="828"/>
      <c r="AF929" s="828"/>
      <c r="AG929" s="828"/>
      <c r="AH929" s="828"/>
      <c r="AI929" s="828"/>
      <c r="AJ929" s="828"/>
    </row>
    <row r="930">
      <c r="A930" s="828"/>
      <c r="B930" s="828"/>
      <c r="C930" s="828"/>
      <c r="D930" s="828"/>
      <c r="E930" s="828"/>
      <c r="F930" s="828"/>
      <c r="G930" s="828"/>
      <c r="H930" s="828"/>
      <c r="I930" s="828"/>
      <c r="J930" s="828"/>
      <c r="K930" s="828"/>
      <c r="L930" s="828"/>
      <c r="M930" s="828"/>
      <c r="N930" s="828"/>
      <c r="O930" s="828"/>
      <c r="P930" s="828"/>
      <c r="Q930" s="828"/>
      <c r="R930" s="828"/>
      <c r="S930" s="828"/>
      <c r="T930" s="828"/>
      <c r="U930" s="828"/>
      <c r="V930" s="828"/>
      <c r="W930" s="828"/>
      <c r="X930" s="828"/>
      <c r="Y930" s="828"/>
      <c r="Z930" s="828"/>
      <c r="AA930" s="828"/>
      <c r="AB930" s="828"/>
      <c r="AC930" s="828"/>
      <c r="AD930" s="828"/>
      <c r="AE930" s="828"/>
      <c r="AF930" s="828"/>
      <c r="AG930" s="828"/>
      <c r="AH930" s="828"/>
      <c r="AI930" s="828"/>
      <c r="AJ930" s="828"/>
    </row>
    <row r="931">
      <c r="A931" s="828"/>
      <c r="B931" s="828"/>
      <c r="C931" s="828"/>
      <c r="D931" s="828"/>
      <c r="E931" s="828"/>
      <c r="F931" s="828"/>
      <c r="G931" s="828"/>
      <c r="H931" s="828"/>
      <c r="I931" s="828"/>
      <c r="J931" s="828"/>
      <c r="K931" s="828"/>
      <c r="L931" s="828"/>
      <c r="M931" s="828"/>
      <c r="N931" s="828"/>
      <c r="O931" s="828"/>
      <c r="P931" s="828"/>
      <c r="Q931" s="828"/>
      <c r="R931" s="828"/>
      <c r="S931" s="828"/>
      <c r="T931" s="828"/>
      <c r="U931" s="828"/>
      <c r="V931" s="828"/>
      <c r="W931" s="828"/>
      <c r="X931" s="828"/>
      <c r="Y931" s="828"/>
      <c r="Z931" s="828"/>
      <c r="AA931" s="828"/>
      <c r="AB931" s="828"/>
      <c r="AC931" s="828"/>
      <c r="AD931" s="828"/>
      <c r="AE931" s="828"/>
      <c r="AF931" s="828"/>
      <c r="AG931" s="828"/>
      <c r="AH931" s="828"/>
      <c r="AI931" s="828"/>
      <c r="AJ931" s="828"/>
    </row>
    <row r="932">
      <c r="A932" s="828"/>
      <c r="B932" s="828"/>
      <c r="C932" s="828"/>
      <c r="D932" s="828"/>
      <c r="E932" s="828"/>
      <c r="F932" s="828"/>
      <c r="G932" s="828"/>
      <c r="H932" s="828"/>
      <c r="I932" s="828"/>
      <c r="J932" s="828"/>
      <c r="K932" s="828"/>
      <c r="L932" s="828"/>
      <c r="M932" s="828"/>
      <c r="N932" s="828"/>
      <c r="O932" s="828"/>
      <c r="P932" s="828"/>
      <c r="Q932" s="828"/>
      <c r="R932" s="828"/>
      <c r="S932" s="828"/>
      <c r="T932" s="828"/>
      <c r="U932" s="828"/>
      <c r="V932" s="828"/>
      <c r="W932" s="828"/>
      <c r="X932" s="828"/>
      <c r="Y932" s="828"/>
      <c r="Z932" s="828"/>
      <c r="AA932" s="828"/>
      <c r="AB932" s="828"/>
      <c r="AC932" s="828"/>
      <c r="AD932" s="828"/>
      <c r="AE932" s="828"/>
      <c r="AF932" s="828"/>
      <c r="AG932" s="828"/>
      <c r="AH932" s="828"/>
      <c r="AI932" s="828"/>
      <c r="AJ932" s="828"/>
    </row>
    <row r="933">
      <c r="A933" s="828"/>
      <c r="B933" s="828"/>
      <c r="C933" s="828"/>
      <c r="D933" s="828"/>
      <c r="E933" s="828"/>
      <c r="F933" s="828"/>
      <c r="G933" s="828"/>
      <c r="H933" s="828"/>
      <c r="I933" s="828"/>
      <c r="J933" s="828"/>
      <c r="K933" s="828"/>
      <c r="L933" s="828"/>
      <c r="M933" s="828"/>
      <c r="N933" s="828"/>
      <c r="O933" s="828"/>
      <c r="P933" s="828"/>
      <c r="Q933" s="828"/>
      <c r="R933" s="828"/>
      <c r="S933" s="828"/>
      <c r="T933" s="828"/>
      <c r="U933" s="828"/>
      <c r="V933" s="828"/>
      <c r="W933" s="828"/>
      <c r="X933" s="828"/>
      <c r="Y933" s="828"/>
      <c r="Z933" s="828"/>
      <c r="AA933" s="828"/>
      <c r="AB933" s="828"/>
      <c r="AC933" s="828"/>
      <c r="AD933" s="828"/>
      <c r="AE933" s="828"/>
      <c r="AF933" s="828"/>
      <c r="AG933" s="828"/>
      <c r="AH933" s="828"/>
      <c r="AI933" s="828"/>
      <c r="AJ933" s="828"/>
    </row>
    <row r="934">
      <c r="A934" s="828"/>
      <c r="B934" s="828"/>
      <c r="C934" s="828"/>
      <c r="D934" s="828"/>
      <c r="E934" s="828"/>
      <c r="F934" s="828"/>
      <c r="G934" s="828"/>
      <c r="H934" s="828"/>
      <c r="I934" s="828"/>
      <c r="J934" s="828"/>
      <c r="K934" s="828"/>
      <c r="L934" s="828"/>
      <c r="M934" s="828"/>
      <c r="N934" s="828"/>
      <c r="O934" s="828"/>
      <c r="P934" s="828"/>
      <c r="Q934" s="828"/>
      <c r="R934" s="828"/>
      <c r="S934" s="828"/>
      <c r="T934" s="828"/>
      <c r="U934" s="828"/>
      <c r="V934" s="828"/>
      <c r="W934" s="828"/>
      <c r="X934" s="828"/>
      <c r="Y934" s="828"/>
      <c r="Z934" s="828"/>
      <c r="AA934" s="828"/>
      <c r="AB934" s="828"/>
      <c r="AC934" s="828"/>
      <c r="AD934" s="828"/>
      <c r="AE934" s="828"/>
      <c r="AF934" s="828"/>
      <c r="AG934" s="828"/>
      <c r="AH934" s="828"/>
      <c r="AI934" s="828"/>
      <c r="AJ934" s="828"/>
    </row>
    <row r="935">
      <c r="A935" s="828"/>
      <c r="B935" s="828"/>
      <c r="C935" s="828"/>
      <c r="D935" s="828"/>
      <c r="E935" s="828"/>
      <c r="F935" s="828"/>
      <c r="G935" s="828"/>
      <c r="H935" s="828"/>
      <c r="I935" s="828"/>
      <c r="J935" s="828"/>
      <c r="K935" s="828"/>
      <c r="L935" s="828"/>
      <c r="M935" s="828"/>
      <c r="N935" s="828"/>
      <c r="O935" s="828"/>
      <c r="P935" s="828"/>
      <c r="Q935" s="828"/>
      <c r="R935" s="828"/>
      <c r="S935" s="828"/>
      <c r="T935" s="828"/>
      <c r="U935" s="828"/>
      <c r="V935" s="828"/>
      <c r="W935" s="828"/>
      <c r="X935" s="828"/>
      <c r="Y935" s="828"/>
      <c r="Z935" s="828"/>
      <c r="AA935" s="828"/>
      <c r="AB935" s="828"/>
      <c r="AC935" s="828"/>
      <c r="AD935" s="828"/>
      <c r="AE935" s="828"/>
      <c r="AF935" s="828"/>
      <c r="AG935" s="828"/>
      <c r="AH935" s="828"/>
      <c r="AI935" s="828"/>
      <c r="AJ935" s="828"/>
    </row>
    <row r="936">
      <c r="A936" s="828"/>
      <c r="B936" s="828"/>
      <c r="C936" s="828"/>
      <c r="D936" s="828"/>
      <c r="E936" s="828"/>
      <c r="F936" s="828"/>
      <c r="G936" s="828"/>
      <c r="H936" s="828"/>
      <c r="I936" s="828"/>
      <c r="J936" s="828"/>
      <c r="K936" s="828"/>
      <c r="L936" s="828"/>
      <c r="M936" s="828"/>
      <c r="N936" s="828"/>
      <c r="O936" s="828"/>
      <c r="P936" s="828"/>
      <c r="Q936" s="828"/>
      <c r="R936" s="828"/>
      <c r="S936" s="828"/>
      <c r="T936" s="828"/>
      <c r="U936" s="828"/>
      <c r="V936" s="828"/>
      <c r="W936" s="828"/>
      <c r="X936" s="828"/>
      <c r="Y936" s="828"/>
      <c r="Z936" s="828"/>
      <c r="AA936" s="828"/>
      <c r="AB936" s="828"/>
      <c r="AC936" s="828"/>
      <c r="AD936" s="828"/>
      <c r="AE936" s="828"/>
      <c r="AF936" s="828"/>
      <c r="AG936" s="828"/>
      <c r="AH936" s="828"/>
      <c r="AI936" s="828"/>
      <c r="AJ936" s="828"/>
    </row>
    <row r="937">
      <c r="A937" s="828"/>
      <c r="B937" s="828"/>
      <c r="C937" s="828"/>
      <c r="D937" s="828"/>
      <c r="E937" s="828"/>
      <c r="F937" s="828"/>
      <c r="G937" s="828"/>
      <c r="H937" s="828"/>
      <c r="I937" s="828"/>
      <c r="J937" s="828"/>
      <c r="K937" s="828"/>
      <c r="L937" s="828"/>
      <c r="M937" s="828"/>
      <c r="N937" s="828"/>
      <c r="O937" s="828"/>
      <c r="P937" s="828"/>
      <c r="Q937" s="828"/>
      <c r="R937" s="828"/>
      <c r="S937" s="828"/>
      <c r="T937" s="828"/>
      <c r="U937" s="828"/>
      <c r="V937" s="828"/>
      <c r="W937" s="828"/>
      <c r="X937" s="828"/>
      <c r="Y937" s="828"/>
      <c r="Z937" s="828"/>
      <c r="AA937" s="828"/>
      <c r="AB937" s="828"/>
      <c r="AC937" s="828"/>
      <c r="AD937" s="828"/>
      <c r="AE937" s="828"/>
      <c r="AF937" s="828"/>
      <c r="AG937" s="828"/>
      <c r="AH937" s="828"/>
      <c r="AI937" s="828"/>
      <c r="AJ937" s="828"/>
    </row>
    <row r="938">
      <c r="A938" s="828"/>
      <c r="B938" s="828"/>
      <c r="C938" s="828"/>
      <c r="D938" s="828"/>
      <c r="E938" s="828"/>
      <c r="F938" s="828"/>
      <c r="G938" s="828"/>
      <c r="H938" s="828"/>
      <c r="I938" s="828"/>
      <c r="J938" s="828"/>
      <c r="K938" s="828"/>
      <c r="L938" s="828"/>
      <c r="M938" s="828"/>
      <c r="N938" s="828"/>
      <c r="O938" s="828"/>
      <c r="P938" s="828"/>
      <c r="Q938" s="828"/>
      <c r="R938" s="828"/>
      <c r="S938" s="828"/>
      <c r="T938" s="828"/>
      <c r="U938" s="828"/>
      <c r="V938" s="828"/>
      <c r="W938" s="828"/>
      <c r="X938" s="828"/>
      <c r="Y938" s="828"/>
      <c r="Z938" s="828"/>
      <c r="AA938" s="828"/>
      <c r="AB938" s="828"/>
      <c r="AC938" s="828"/>
      <c r="AD938" s="828"/>
      <c r="AE938" s="828"/>
      <c r="AF938" s="828"/>
      <c r="AG938" s="828"/>
      <c r="AH938" s="828"/>
      <c r="AI938" s="828"/>
      <c r="AJ938" s="828"/>
    </row>
    <row r="939">
      <c r="A939" s="828"/>
      <c r="B939" s="828"/>
      <c r="C939" s="828"/>
      <c r="D939" s="828"/>
      <c r="E939" s="828"/>
      <c r="F939" s="828"/>
      <c r="G939" s="828"/>
      <c r="H939" s="828"/>
      <c r="I939" s="828"/>
      <c r="J939" s="828"/>
      <c r="K939" s="828"/>
      <c r="L939" s="828"/>
      <c r="M939" s="828"/>
      <c r="N939" s="828"/>
      <c r="O939" s="828"/>
      <c r="P939" s="828"/>
      <c r="Q939" s="828"/>
      <c r="R939" s="828"/>
      <c r="S939" s="828"/>
      <c r="T939" s="828"/>
      <c r="U939" s="828"/>
      <c r="V939" s="828"/>
      <c r="W939" s="828"/>
      <c r="X939" s="828"/>
      <c r="Y939" s="828"/>
      <c r="Z939" s="828"/>
      <c r="AA939" s="828"/>
      <c r="AB939" s="828"/>
      <c r="AC939" s="828"/>
      <c r="AD939" s="828"/>
      <c r="AE939" s="828"/>
      <c r="AF939" s="828"/>
      <c r="AG939" s="828"/>
      <c r="AH939" s="828"/>
      <c r="AI939" s="828"/>
      <c r="AJ939" s="828"/>
    </row>
    <row r="940">
      <c r="A940" s="828"/>
      <c r="B940" s="828"/>
      <c r="C940" s="828"/>
      <c r="D940" s="828"/>
      <c r="E940" s="828"/>
      <c r="F940" s="828"/>
      <c r="G940" s="828"/>
      <c r="H940" s="828"/>
      <c r="I940" s="828"/>
      <c r="J940" s="828"/>
      <c r="K940" s="828"/>
      <c r="L940" s="828"/>
      <c r="M940" s="828"/>
      <c r="N940" s="828"/>
      <c r="O940" s="828"/>
      <c r="P940" s="828"/>
      <c r="Q940" s="828"/>
      <c r="R940" s="828"/>
      <c r="S940" s="828"/>
      <c r="T940" s="828"/>
      <c r="U940" s="828"/>
      <c r="V940" s="828"/>
      <c r="W940" s="828"/>
      <c r="X940" s="828"/>
      <c r="Y940" s="828"/>
      <c r="Z940" s="828"/>
      <c r="AA940" s="828"/>
      <c r="AB940" s="828"/>
      <c r="AC940" s="828"/>
      <c r="AD940" s="828"/>
      <c r="AE940" s="828"/>
      <c r="AF940" s="828"/>
      <c r="AG940" s="828"/>
      <c r="AH940" s="828"/>
      <c r="AI940" s="828"/>
      <c r="AJ940" s="828"/>
    </row>
    <row r="941">
      <c r="A941" s="828"/>
      <c r="B941" s="828"/>
      <c r="C941" s="828"/>
      <c r="D941" s="828"/>
      <c r="E941" s="828"/>
      <c r="F941" s="828"/>
      <c r="G941" s="828"/>
      <c r="H941" s="828"/>
      <c r="I941" s="828"/>
      <c r="J941" s="828"/>
      <c r="K941" s="828"/>
      <c r="L941" s="828"/>
      <c r="M941" s="828"/>
      <c r="N941" s="828"/>
      <c r="O941" s="828"/>
      <c r="P941" s="828"/>
      <c r="Q941" s="828"/>
      <c r="R941" s="828"/>
      <c r="S941" s="828"/>
      <c r="T941" s="828"/>
      <c r="U941" s="828"/>
      <c r="V941" s="828"/>
      <c r="W941" s="828"/>
      <c r="X941" s="828"/>
      <c r="Y941" s="828"/>
      <c r="Z941" s="828"/>
      <c r="AA941" s="828"/>
      <c r="AB941" s="828"/>
      <c r="AC941" s="828"/>
      <c r="AD941" s="828"/>
      <c r="AE941" s="828"/>
      <c r="AF941" s="828"/>
      <c r="AG941" s="828"/>
      <c r="AH941" s="828"/>
      <c r="AI941" s="828"/>
      <c r="AJ941" s="828"/>
    </row>
    <row r="942">
      <c r="A942" s="828"/>
      <c r="B942" s="828"/>
      <c r="C942" s="828"/>
      <c r="D942" s="828"/>
      <c r="E942" s="828"/>
      <c r="F942" s="828"/>
      <c r="G942" s="828"/>
      <c r="H942" s="828"/>
      <c r="I942" s="828"/>
      <c r="J942" s="828"/>
      <c r="K942" s="828"/>
      <c r="L942" s="828"/>
      <c r="M942" s="828"/>
      <c r="N942" s="828"/>
      <c r="O942" s="828"/>
      <c r="P942" s="828"/>
      <c r="Q942" s="828"/>
      <c r="R942" s="828"/>
      <c r="S942" s="828"/>
      <c r="T942" s="828"/>
      <c r="U942" s="828"/>
      <c r="V942" s="828"/>
      <c r="W942" s="828"/>
      <c r="X942" s="828"/>
      <c r="Y942" s="828"/>
      <c r="Z942" s="828"/>
      <c r="AA942" s="828"/>
      <c r="AB942" s="828"/>
      <c r="AC942" s="828"/>
      <c r="AD942" s="828"/>
      <c r="AE942" s="828"/>
      <c r="AF942" s="828"/>
      <c r="AG942" s="828"/>
      <c r="AH942" s="828"/>
      <c r="AI942" s="828"/>
      <c r="AJ942" s="828"/>
    </row>
    <row r="943">
      <c r="A943" s="828"/>
      <c r="B943" s="828"/>
      <c r="C943" s="828"/>
      <c r="D943" s="828"/>
      <c r="E943" s="828"/>
      <c r="F943" s="828"/>
      <c r="G943" s="828"/>
      <c r="H943" s="828"/>
      <c r="I943" s="828"/>
      <c r="J943" s="828"/>
      <c r="K943" s="828"/>
      <c r="L943" s="828"/>
      <c r="M943" s="828"/>
      <c r="N943" s="828"/>
      <c r="O943" s="828"/>
      <c r="P943" s="828"/>
      <c r="Q943" s="828"/>
      <c r="R943" s="828"/>
      <c r="S943" s="828"/>
      <c r="T943" s="828"/>
      <c r="U943" s="828"/>
      <c r="V943" s="828"/>
      <c r="W943" s="828"/>
      <c r="X943" s="828"/>
      <c r="Y943" s="828"/>
      <c r="Z943" s="828"/>
      <c r="AA943" s="828"/>
      <c r="AB943" s="828"/>
      <c r="AC943" s="828"/>
      <c r="AD943" s="828"/>
      <c r="AE943" s="828"/>
      <c r="AF943" s="828"/>
      <c r="AG943" s="828"/>
      <c r="AH943" s="828"/>
      <c r="AI943" s="828"/>
      <c r="AJ943" s="828"/>
    </row>
    <row r="944">
      <c r="A944" s="828"/>
      <c r="B944" s="828"/>
      <c r="C944" s="828"/>
      <c r="D944" s="828"/>
      <c r="E944" s="828"/>
      <c r="F944" s="828"/>
      <c r="G944" s="828"/>
      <c r="H944" s="828"/>
      <c r="I944" s="828"/>
      <c r="J944" s="828"/>
      <c r="K944" s="828"/>
      <c r="L944" s="828"/>
      <c r="M944" s="828"/>
      <c r="N944" s="828"/>
      <c r="O944" s="828"/>
      <c r="P944" s="828"/>
      <c r="Q944" s="828"/>
      <c r="R944" s="828"/>
      <c r="S944" s="828"/>
      <c r="T944" s="828"/>
      <c r="U944" s="828"/>
      <c r="V944" s="828"/>
      <c r="W944" s="828"/>
      <c r="X944" s="828"/>
      <c r="Y944" s="828"/>
      <c r="Z944" s="828"/>
      <c r="AA944" s="828"/>
      <c r="AB944" s="828"/>
      <c r="AC944" s="828"/>
      <c r="AD944" s="828"/>
      <c r="AE944" s="828"/>
      <c r="AF944" s="828"/>
      <c r="AG944" s="828"/>
      <c r="AH944" s="828"/>
      <c r="AI944" s="828"/>
      <c r="AJ944" s="828"/>
    </row>
    <row r="945">
      <c r="A945" s="828"/>
      <c r="B945" s="828"/>
      <c r="C945" s="828"/>
      <c r="D945" s="828"/>
      <c r="E945" s="828"/>
      <c r="F945" s="828"/>
      <c r="G945" s="828"/>
      <c r="H945" s="828"/>
      <c r="I945" s="828"/>
      <c r="J945" s="828"/>
      <c r="K945" s="828"/>
      <c r="L945" s="828"/>
      <c r="M945" s="828"/>
      <c r="N945" s="828"/>
      <c r="O945" s="828"/>
      <c r="P945" s="828"/>
      <c r="Q945" s="828"/>
      <c r="R945" s="828"/>
      <c r="S945" s="828"/>
      <c r="T945" s="828"/>
      <c r="U945" s="828"/>
      <c r="V945" s="828"/>
      <c r="W945" s="828"/>
      <c r="X945" s="828"/>
      <c r="Y945" s="828"/>
      <c r="Z945" s="828"/>
      <c r="AA945" s="828"/>
      <c r="AB945" s="828"/>
      <c r="AC945" s="828"/>
      <c r="AD945" s="828"/>
      <c r="AE945" s="828"/>
      <c r="AF945" s="828"/>
      <c r="AG945" s="828"/>
      <c r="AH945" s="828"/>
      <c r="AI945" s="828"/>
      <c r="AJ945" s="828"/>
    </row>
    <row r="946">
      <c r="A946" s="828"/>
      <c r="B946" s="828"/>
      <c r="C946" s="828"/>
      <c r="D946" s="828"/>
      <c r="E946" s="828"/>
      <c r="F946" s="828"/>
      <c r="G946" s="828"/>
      <c r="H946" s="828"/>
      <c r="I946" s="828"/>
      <c r="J946" s="828"/>
      <c r="K946" s="828"/>
      <c r="L946" s="828"/>
      <c r="M946" s="828"/>
      <c r="N946" s="828"/>
      <c r="O946" s="828"/>
      <c r="P946" s="828"/>
      <c r="Q946" s="828"/>
      <c r="R946" s="828"/>
      <c r="S946" s="828"/>
      <c r="T946" s="828"/>
      <c r="U946" s="828"/>
      <c r="V946" s="828"/>
      <c r="W946" s="828"/>
      <c r="X946" s="828"/>
      <c r="Y946" s="828"/>
      <c r="Z946" s="828"/>
      <c r="AA946" s="828"/>
      <c r="AB946" s="828"/>
      <c r="AC946" s="828"/>
      <c r="AD946" s="828"/>
      <c r="AE946" s="828"/>
      <c r="AF946" s="828"/>
      <c r="AG946" s="828"/>
      <c r="AH946" s="828"/>
      <c r="AI946" s="828"/>
      <c r="AJ946" s="828"/>
    </row>
    <row r="947">
      <c r="A947" s="828"/>
      <c r="B947" s="828"/>
      <c r="C947" s="828"/>
      <c r="D947" s="828"/>
      <c r="E947" s="828"/>
      <c r="F947" s="828"/>
      <c r="G947" s="828"/>
      <c r="H947" s="828"/>
      <c r="I947" s="828"/>
      <c r="J947" s="828"/>
      <c r="K947" s="828"/>
      <c r="L947" s="828"/>
      <c r="M947" s="828"/>
      <c r="N947" s="828"/>
      <c r="O947" s="828"/>
      <c r="P947" s="828"/>
      <c r="Q947" s="828"/>
      <c r="R947" s="828"/>
      <c r="S947" s="828"/>
      <c r="T947" s="828"/>
      <c r="U947" s="828"/>
      <c r="V947" s="828"/>
      <c r="W947" s="828"/>
      <c r="X947" s="828"/>
      <c r="Y947" s="828"/>
      <c r="Z947" s="828"/>
      <c r="AA947" s="828"/>
      <c r="AB947" s="828"/>
      <c r="AC947" s="828"/>
      <c r="AD947" s="828"/>
      <c r="AE947" s="828"/>
      <c r="AF947" s="828"/>
      <c r="AG947" s="828"/>
      <c r="AH947" s="828"/>
      <c r="AI947" s="828"/>
      <c r="AJ947" s="828"/>
    </row>
    <row r="948">
      <c r="A948" s="828"/>
      <c r="B948" s="828"/>
      <c r="C948" s="828"/>
      <c r="D948" s="828"/>
      <c r="E948" s="828"/>
      <c r="F948" s="828"/>
      <c r="G948" s="828"/>
      <c r="H948" s="828"/>
      <c r="I948" s="828"/>
      <c r="J948" s="828"/>
      <c r="K948" s="828"/>
      <c r="L948" s="828"/>
      <c r="M948" s="828"/>
      <c r="N948" s="828"/>
      <c r="O948" s="828"/>
      <c r="P948" s="828"/>
      <c r="Q948" s="828"/>
      <c r="R948" s="828"/>
      <c r="S948" s="828"/>
      <c r="T948" s="828"/>
      <c r="U948" s="828"/>
      <c r="V948" s="828"/>
      <c r="W948" s="828"/>
      <c r="X948" s="828"/>
      <c r="Y948" s="828"/>
      <c r="Z948" s="828"/>
      <c r="AA948" s="828"/>
      <c r="AB948" s="828"/>
      <c r="AC948" s="828"/>
      <c r="AD948" s="828"/>
      <c r="AE948" s="828"/>
      <c r="AF948" s="828"/>
      <c r="AG948" s="828"/>
      <c r="AH948" s="828"/>
      <c r="AI948" s="828"/>
      <c r="AJ948" s="828"/>
    </row>
    <row r="949">
      <c r="A949" s="828"/>
      <c r="B949" s="828"/>
      <c r="C949" s="828"/>
      <c r="D949" s="828"/>
      <c r="E949" s="828"/>
      <c r="F949" s="828"/>
      <c r="G949" s="828"/>
      <c r="H949" s="828"/>
      <c r="I949" s="828"/>
      <c r="J949" s="828"/>
      <c r="K949" s="828"/>
      <c r="L949" s="828"/>
      <c r="M949" s="828"/>
      <c r="N949" s="828"/>
      <c r="O949" s="828"/>
      <c r="P949" s="828"/>
      <c r="Q949" s="828"/>
      <c r="R949" s="828"/>
      <c r="S949" s="828"/>
      <c r="T949" s="828"/>
      <c r="U949" s="828"/>
      <c r="V949" s="828"/>
      <c r="W949" s="828"/>
      <c r="X949" s="828"/>
      <c r="Y949" s="828"/>
      <c r="Z949" s="828"/>
      <c r="AA949" s="828"/>
      <c r="AB949" s="828"/>
      <c r="AC949" s="828"/>
      <c r="AD949" s="828"/>
      <c r="AE949" s="828"/>
      <c r="AF949" s="828"/>
      <c r="AG949" s="828"/>
      <c r="AH949" s="828"/>
      <c r="AI949" s="828"/>
      <c r="AJ949" s="828"/>
    </row>
    <row r="950">
      <c r="A950" s="828"/>
      <c r="B950" s="828"/>
      <c r="C950" s="828"/>
      <c r="D950" s="828"/>
      <c r="E950" s="828"/>
      <c r="F950" s="828"/>
      <c r="G950" s="828"/>
      <c r="H950" s="828"/>
      <c r="I950" s="828"/>
      <c r="J950" s="828"/>
      <c r="K950" s="828"/>
      <c r="L950" s="828"/>
      <c r="M950" s="828"/>
      <c r="N950" s="828"/>
      <c r="O950" s="828"/>
      <c r="P950" s="828"/>
      <c r="Q950" s="828"/>
      <c r="R950" s="828"/>
      <c r="S950" s="828"/>
      <c r="T950" s="828"/>
      <c r="U950" s="828"/>
      <c r="V950" s="828"/>
      <c r="W950" s="828"/>
      <c r="X950" s="828"/>
      <c r="Y950" s="828"/>
      <c r="Z950" s="828"/>
      <c r="AA950" s="828"/>
      <c r="AB950" s="828"/>
      <c r="AC950" s="828"/>
      <c r="AD950" s="828"/>
      <c r="AE950" s="828"/>
      <c r="AF950" s="828"/>
      <c r="AG950" s="828"/>
      <c r="AH950" s="828"/>
      <c r="AI950" s="828"/>
      <c r="AJ950" s="828"/>
    </row>
    <row r="951">
      <c r="A951" s="828"/>
      <c r="B951" s="828"/>
      <c r="C951" s="828"/>
      <c r="D951" s="828"/>
      <c r="E951" s="828"/>
      <c r="F951" s="828"/>
      <c r="G951" s="828"/>
      <c r="H951" s="828"/>
      <c r="I951" s="828"/>
      <c r="J951" s="828"/>
      <c r="K951" s="828"/>
      <c r="L951" s="828"/>
      <c r="M951" s="828"/>
      <c r="N951" s="828"/>
      <c r="O951" s="828"/>
      <c r="P951" s="828"/>
      <c r="Q951" s="828"/>
      <c r="R951" s="828"/>
      <c r="S951" s="828"/>
      <c r="T951" s="828"/>
      <c r="U951" s="828"/>
      <c r="V951" s="828"/>
      <c r="W951" s="828"/>
      <c r="X951" s="828"/>
      <c r="Y951" s="828"/>
      <c r="Z951" s="828"/>
      <c r="AA951" s="828"/>
      <c r="AB951" s="828"/>
      <c r="AC951" s="828"/>
      <c r="AD951" s="828"/>
      <c r="AE951" s="828"/>
      <c r="AF951" s="828"/>
      <c r="AG951" s="828"/>
      <c r="AH951" s="828"/>
      <c r="AI951" s="828"/>
      <c r="AJ951" s="828"/>
    </row>
    <row r="952">
      <c r="A952" s="828"/>
      <c r="B952" s="828"/>
      <c r="C952" s="828"/>
      <c r="D952" s="828"/>
      <c r="E952" s="828"/>
      <c r="F952" s="828"/>
      <c r="G952" s="828"/>
      <c r="H952" s="828"/>
      <c r="I952" s="828"/>
      <c r="J952" s="828"/>
      <c r="K952" s="828"/>
      <c r="L952" s="828"/>
      <c r="M952" s="828"/>
      <c r="N952" s="828"/>
      <c r="O952" s="828"/>
      <c r="P952" s="828"/>
      <c r="Q952" s="828"/>
      <c r="R952" s="828"/>
      <c r="S952" s="828"/>
      <c r="T952" s="828"/>
      <c r="U952" s="828"/>
      <c r="V952" s="828"/>
      <c r="W952" s="828"/>
      <c r="X952" s="828"/>
      <c r="Y952" s="828"/>
      <c r="Z952" s="828"/>
      <c r="AA952" s="828"/>
      <c r="AB952" s="828"/>
      <c r="AC952" s="828"/>
      <c r="AD952" s="828"/>
      <c r="AE952" s="828"/>
      <c r="AF952" s="828"/>
      <c r="AG952" s="828"/>
      <c r="AH952" s="828"/>
      <c r="AI952" s="828"/>
      <c r="AJ952" s="828"/>
    </row>
    <row r="953">
      <c r="A953" s="828"/>
      <c r="B953" s="828"/>
      <c r="C953" s="828"/>
      <c r="D953" s="828"/>
      <c r="E953" s="828"/>
      <c r="F953" s="828"/>
      <c r="G953" s="828"/>
      <c r="H953" s="828"/>
      <c r="I953" s="828"/>
      <c r="J953" s="828"/>
      <c r="K953" s="828"/>
      <c r="L953" s="828"/>
      <c r="M953" s="828"/>
      <c r="N953" s="828"/>
      <c r="O953" s="828"/>
      <c r="P953" s="828"/>
      <c r="Q953" s="828"/>
      <c r="R953" s="828"/>
      <c r="S953" s="828"/>
      <c r="T953" s="828"/>
      <c r="U953" s="828"/>
      <c r="V953" s="828"/>
      <c r="W953" s="828"/>
      <c r="X953" s="828"/>
      <c r="Y953" s="828"/>
      <c r="Z953" s="828"/>
      <c r="AA953" s="828"/>
      <c r="AB953" s="828"/>
      <c r="AC953" s="828"/>
      <c r="AD953" s="828"/>
      <c r="AE953" s="828"/>
      <c r="AF953" s="828"/>
      <c r="AG953" s="828"/>
      <c r="AH953" s="828"/>
      <c r="AI953" s="828"/>
      <c r="AJ953" s="828"/>
    </row>
    <row r="954">
      <c r="A954" s="828"/>
      <c r="B954" s="828"/>
      <c r="C954" s="828"/>
      <c r="D954" s="828"/>
      <c r="E954" s="828"/>
      <c r="F954" s="828"/>
      <c r="G954" s="828"/>
      <c r="H954" s="828"/>
      <c r="I954" s="828"/>
      <c r="J954" s="828"/>
      <c r="K954" s="828"/>
      <c r="L954" s="828"/>
      <c r="M954" s="828"/>
      <c r="N954" s="828"/>
      <c r="O954" s="828"/>
      <c r="P954" s="828"/>
      <c r="Q954" s="828"/>
      <c r="R954" s="828"/>
      <c r="S954" s="828"/>
      <c r="T954" s="828"/>
      <c r="U954" s="828"/>
      <c r="V954" s="828"/>
      <c r="W954" s="828"/>
      <c r="X954" s="828"/>
      <c r="Y954" s="828"/>
      <c r="Z954" s="828"/>
      <c r="AA954" s="828"/>
      <c r="AB954" s="828"/>
      <c r="AC954" s="828"/>
      <c r="AD954" s="828"/>
      <c r="AE954" s="828"/>
      <c r="AF954" s="828"/>
      <c r="AG954" s="828"/>
      <c r="AH954" s="828"/>
      <c r="AI954" s="828"/>
      <c r="AJ954" s="828"/>
    </row>
    <row r="955">
      <c r="A955" s="828"/>
      <c r="B955" s="828"/>
      <c r="C955" s="828"/>
      <c r="D955" s="828"/>
      <c r="E955" s="828"/>
      <c r="F955" s="828"/>
      <c r="G955" s="828"/>
      <c r="H955" s="828"/>
      <c r="I955" s="828"/>
      <c r="J955" s="828"/>
      <c r="K955" s="828"/>
      <c r="L955" s="828"/>
      <c r="M955" s="828"/>
      <c r="N955" s="828"/>
      <c r="O955" s="828"/>
      <c r="P955" s="828"/>
      <c r="Q955" s="828"/>
      <c r="R955" s="828"/>
      <c r="S955" s="828"/>
      <c r="T955" s="828"/>
      <c r="U955" s="828"/>
      <c r="V955" s="828"/>
      <c r="W955" s="828"/>
      <c r="X955" s="828"/>
      <c r="Y955" s="828"/>
      <c r="Z955" s="828"/>
      <c r="AA955" s="828"/>
      <c r="AB955" s="828"/>
      <c r="AC955" s="828"/>
      <c r="AD955" s="828"/>
      <c r="AE955" s="828"/>
      <c r="AF955" s="828"/>
      <c r="AG955" s="828"/>
      <c r="AH955" s="828"/>
      <c r="AI955" s="828"/>
      <c r="AJ955" s="828"/>
    </row>
    <row r="956">
      <c r="A956" s="828"/>
      <c r="B956" s="828"/>
      <c r="C956" s="828"/>
      <c r="D956" s="828"/>
      <c r="E956" s="828"/>
      <c r="F956" s="828"/>
      <c r="G956" s="828"/>
      <c r="H956" s="828"/>
      <c r="I956" s="828"/>
      <c r="J956" s="828"/>
      <c r="K956" s="828"/>
      <c r="L956" s="828"/>
      <c r="M956" s="828"/>
      <c r="N956" s="828"/>
      <c r="O956" s="828"/>
      <c r="P956" s="828"/>
      <c r="Q956" s="828"/>
      <c r="R956" s="828"/>
      <c r="S956" s="828"/>
      <c r="T956" s="828"/>
      <c r="U956" s="828"/>
      <c r="V956" s="828"/>
      <c r="W956" s="828"/>
      <c r="X956" s="828"/>
      <c r="Y956" s="828"/>
      <c r="Z956" s="828"/>
      <c r="AA956" s="828"/>
      <c r="AB956" s="828"/>
      <c r="AC956" s="828"/>
      <c r="AD956" s="828"/>
      <c r="AE956" s="828"/>
      <c r="AF956" s="828"/>
      <c r="AG956" s="828"/>
      <c r="AH956" s="828"/>
      <c r="AI956" s="828"/>
      <c r="AJ956" s="828"/>
    </row>
    <row r="957">
      <c r="A957" s="828"/>
      <c r="B957" s="828"/>
      <c r="C957" s="828"/>
      <c r="D957" s="828"/>
      <c r="E957" s="828"/>
      <c r="F957" s="828"/>
      <c r="G957" s="828"/>
      <c r="H957" s="828"/>
      <c r="I957" s="828"/>
      <c r="J957" s="828"/>
      <c r="K957" s="828"/>
      <c r="L957" s="828"/>
      <c r="M957" s="828"/>
      <c r="N957" s="828"/>
      <c r="O957" s="828"/>
      <c r="P957" s="828"/>
      <c r="Q957" s="828"/>
      <c r="R957" s="828"/>
      <c r="S957" s="828"/>
      <c r="T957" s="828"/>
      <c r="U957" s="828"/>
      <c r="V957" s="828"/>
      <c r="W957" s="828"/>
      <c r="X957" s="828"/>
      <c r="Y957" s="828"/>
      <c r="Z957" s="828"/>
      <c r="AA957" s="828"/>
      <c r="AB957" s="828"/>
      <c r="AC957" s="828"/>
      <c r="AD957" s="828"/>
      <c r="AE957" s="828"/>
      <c r="AF957" s="828"/>
      <c r="AG957" s="828"/>
      <c r="AH957" s="828"/>
      <c r="AI957" s="828"/>
      <c r="AJ957" s="828"/>
    </row>
    <row r="958">
      <c r="A958" s="828"/>
      <c r="B958" s="828"/>
      <c r="C958" s="828"/>
      <c r="D958" s="828"/>
      <c r="E958" s="828"/>
      <c r="F958" s="828"/>
      <c r="G958" s="828"/>
      <c r="H958" s="828"/>
      <c r="I958" s="828"/>
      <c r="J958" s="828"/>
      <c r="K958" s="828"/>
      <c r="L958" s="828"/>
      <c r="M958" s="828"/>
      <c r="N958" s="828"/>
      <c r="O958" s="828"/>
      <c r="P958" s="828"/>
      <c r="Q958" s="828"/>
      <c r="R958" s="828"/>
      <c r="S958" s="828"/>
      <c r="T958" s="828"/>
      <c r="U958" s="828"/>
      <c r="V958" s="828"/>
      <c r="W958" s="828"/>
      <c r="X958" s="828"/>
      <c r="Y958" s="828"/>
      <c r="Z958" s="828"/>
      <c r="AA958" s="828"/>
      <c r="AB958" s="828"/>
      <c r="AC958" s="828"/>
      <c r="AD958" s="828"/>
      <c r="AE958" s="828"/>
      <c r="AF958" s="828"/>
      <c r="AG958" s="828"/>
      <c r="AH958" s="828"/>
      <c r="AI958" s="828"/>
      <c r="AJ958" s="828"/>
    </row>
    <row r="959">
      <c r="A959" s="828"/>
      <c r="B959" s="828"/>
      <c r="C959" s="828"/>
      <c r="D959" s="828"/>
      <c r="E959" s="828"/>
      <c r="F959" s="828"/>
      <c r="G959" s="828"/>
      <c r="H959" s="828"/>
      <c r="I959" s="828"/>
      <c r="J959" s="828"/>
      <c r="K959" s="828"/>
      <c r="L959" s="828"/>
      <c r="M959" s="828"/>
      <c r="N959" s="828"/>
      <c r="O959" s="828"/>
      <c r="P959" s="828"/>
      <c r="Q959" s="828"/>
      <c r="R959" s="828"/>
      <c r="S959" s="828"/>
      <c r="T959" s="828"/>
      <c r="U959" s="828"/>
      <c r="V959" s="828"/>
      <c r="W959" s="828"/>
      <c r="X959" s="828"/>
      <c r="Y959" s="828"/>
      <c r="Z959" s="828"/>
      <c r="AA959" s="828"/>
      <c r="AB959" s="828"/>
      <c r="AC959" s="828"/>
      <c r="AD959" s="828"/>
      <c r="AE959" s="828"/>
      <c r="AF959" s="828"/>
      <c r="AG959" s="828"/>
      <c r="AH959" s="828"/>
      <c r="AI959" s="828"/>
      <c r="AJ959" s="828"/>
    </row>
    <row r="960">
      <c r="A960" s="828"/>
      <c r="B960" s="828"/>
      <c r="C960" s="828"/>
      <c r="D960" s="828"/>
      <c r="E960" s="828"/>
      <c r="F960" s="828"/>
      <c r="G960" s="828"/>
      <c r="H960" s="828"/>
      <c r="I960" s="828"/>
      <c r="J960" s="828"/>
      <c r="K960" s="828"/>
      <c r="L960" s="828"/>
      <c r="M960" s="828"/>
      <c r="N960" s="828"/>
      <c r="O960" s="828"/>
      <c r="P960" s="828"/>
      <c r="Q960" s="828"/>
      <c r="R960" s="828"/>
      <c r="S960" s="828"/>
      <c r="T960" s="828"/>
      <c r="U960" s="828"/>
      <c r="V960" s="828"/>
      <c r="W960" s="828"/>
      <c r="X960" s="828"/>
      <c r="Y960" s="828"/>
      <c r="Z960" s="828"/>
      <c r="AA960" s="828"/>
      <c r="AB960" s="828"/>
      <c r="AC960" s="828"/>
      <c r="AD960" s="828"/>
      <c r="AE960" s="828"/>
      <c r="AF960" s="828"/>
      <c r="AG960" s="828"/>
      <c r="AH960" s="828"/>
      <c r="AI960" s="828"/>
      <c r="AJ960" s="828"/>
    </row>
    <row r="961">
      <c r="A961" s="828"/>
      <c r="B961" s="828"/>
      <c r="C961" s="828"/>
      <c r="D961" s="828"/>
      <c r="E961" s="828"/>
      <c r="F961" s="828"/>
      <c r="G961" s="828"/>
      <c r="H961" s="828"/>
      <c r="I961" s="828"/>
      <c r="J961" s="828"/>
      <c r="K961" s="828"/>
      <c r="L961" s="828"/>
      <c r="M961" s="828"/>
      <c r="N961" s="828"/>
      <c r="O961" s="828"/>
      <c r="P961" s="828"/>
      <c r="Q961" s="828"/>
      <c r="R961" s="828"/>
      <c r="S961" s="828"/>
      <c r="T961" s="828"/>
      <c r="U961" s="828"/>
      <c r="V961" s="828"/>
      <c r="W961" s="828"/>
      <c r="X961" s="828"/>
      <c r="Y961" s="828"/>
      <c r="Z961" s="828"/>
      <c r="AA961" s="828"/>
      <c r="AB961" s="828"/>
      <c r="AC961" s="828"/>
      <c r="AD961" s="828"/>
      <c r="AE961" s="828"/>
      <c r="AF961" s="828"/>
      <c r="AG961" s="828"/>
      <c r="AH961" s="828"/>
      <c r="AI961" s="828"/>
      <c r="AJ961" s="828"/>
    </row>
    <row r="962">
      <c r="A962" s="828"/>
      <c r="B962" s="828"/>
      <c r="C962" s="828"/>
      <c r="D962" s="828"/>
      <c r="E962" s="828"/>
      <c r="F962" s="828"/>
      <c r="G962" s="828"/>
      <c r="H962" s="828"/>
      <c r="I962" s="828"/>
      <c r="J962" s="828"/>
      <c r="K962" s="828"/>
      <c r="L962" s="828"/>
      <c r="M962" s="828"/>
      <c r="N962" s="828"/>
      <c r="O962" s="828"/>
      <c r="P962" s="828"/>
      <c r="Q962" s="828"/>
      <c r="R962" s="828"/>
      <c r="S962" s="828"/>
      <c r="T962" s="828"/>
      <c r="U962" s="828"/>
      <c r="V962" s="828"/>
      <c r="W962" s="828"/>
      <c r="X962" s="828"/>
      <c r="Y962" s="828"/>
      <c r="Z962" s="828"/>
      <c r="AA962" s="828"/>
      <c r="AB962" s="828"/>
      <c r="AC962" s="828"/>
      <c r="AD962" s="828"/>
      <c r="AE962" s="828"/>
      <c r="AF962" s="828"/>
      <c r="AG962" s="828"/>
      <c r="AH962" s="828"/>
      <c r="AI962" s="828"/>
      <c r="AJ962" s="828"/>
    </row>
    <row r="963">
      <c r="A963" s="828"/>
      <c r="B963" s="828"/>
      <c r="C963" s="828"/>
      <c r="D963" s="828"/>
      <c r="E963" s="828"/>
      <c r="F963" s="828"/>
      <c r="G963" s="828"/>
      <c r="H963" s="828"/>
      <c r="I963" s="828"/>
      <c r="J963" s="828"/>
      <c r="K963" s="828"/>
      <c r="L963" s="828"/>
      <c r="M963" s="828"/>
      <c r="N963" s="828"/>
      <c r="O963" s="828"/>
      <c r="P963" s="828"/>
      <c r="Q963" s="828"/>
      <c r="R963" s="828"/>
      <c r="S963" s="828"/>
      <c r="T963" s="828"/>
      <c r="U963" s="828"/>
      <c r="V963" s="828"/>
      <c r="W963" s="828"/>
      <c r="X963" s="828"/>
      <c r="Y963" s="828"/>
      <c r="Z963" s="828"/>
      <c r="AA963" s="828"/>
      <c r="AB963" s="828"/>
      <c r="AC963" s="828"/>
      <c r="AD963" s="828"/>
      <c r="AE963" s="828"/>
      <c r="AF963" s="828"/>
      <c r="AG963" s="828"/>
      <c r="AH963" s="828"/>
      <c r="AI963" s="828"/>
      <c r="AJ963" s="828"/>
    </row>
    <row r="964">
      <c r="A964" s="828"/>
      <c r="B964" s="828"/>
      <c r="C964" s="828"/>
      <c r="D964" s="828"/>
      <c r="E964" s="828"/>
      <c r="F964" s="828"/>
      <c r="G964" s="828"/>
      <c r="H964" s="828"/>
      <c r="I964" s="828"/>
      <c r="J964" s="828"/>
      <c r="K964" s="828"/>
      <c r="L964" s="828"/>
      <c r="M964" s="828"/>
      <c r="N964" s="828"/>
      <c r="O964" s="828"/>
      <c r="P964" s="828"/>
      <c r="Q964" s="828"/>
      <c r="R964" s="828"/>
      <c r="S964" s="828"/>
      <c r="T964" s="828"/>
      <c r="U964" s="828"/>
      <c r="V964" s="828"/>
      <c r="W964" s="828"/>
      <c r="X964" s="828"/>
      <c r="Y964" s="828"/>
      <c r="Z964" s="828"/>
      <c r="AA964" s="828"/>
      <c r="AB964" s="828"/>
      <c r="AC964" s="828"/>
      <c r="AD964" s="828"/>
      <c r="AE964" s="828"/>
      <c r="AF964" s="828"/>
      <c r="AG964" s="828"/>
      <c r="AH964" s="828"/>
      <c r="AI964" s="828"/>
      <c r="AJ964" s="828"/>
    </row>
    <row r="965">
      <c r="A965" s="828"/>
      <c r="B965" s="828"/>
      <c r="C965" s="828"/>
      <c r="D965" s="828"/>
      <c r="E965" s="828"/>
      <c r="F965" s="828"/>
      <c r="G965" s="828"/>
      <c r="H965" s="828"/>
      <c r="I965" s="828"/>
      <c r="J965" s="828"/>
      <c r="K965" s="828"/>
      <c r="L965" s="828"/>
      <c r="M965" s="828"/>
      <c r="N965" s="828"/>
      <c r="O965" s="828"/>
      <c r="P965" s="828"/>
      <c r="Q965" s="828"/>
      <c r="R965" s="828"/>
      <c r="S965" s="828"/>
      <c r="T965" s="828"/>
      <c r="U965" s="828"/>
      <c r="V965" s="828"/>
      <c r="W965" s="828"/>
      <c r="X965" s="828"/>
      <c r="Y965" s="828"/>
      <c r="Z965" s="828"/>
      <c r="AA965" s="828"/>
      <c r="AB965" s="828"/>
      <c r="AC965" s="828"/>
      <c r="AD965" s="828"/>
      <c r="AE965" s="828"/>
      <c r="AF965" s="828"/>
      <c r="AG965" s="828"/>
      <c r="AH965" s="828"/>
      <c r="AI965" s="828"/>
      <c r="AJ965" s="828"/>
    </row>
    <row r="966">
      <c r="A966" s="828"/>
      <c r="B966" s="828"/>
      <c r="C966" s="828"/>
      <c r="D966" s="828"/>
      <c r="E966" s="828"/>
      <c r="F966" s="828"/>
      <c r="G966" s="828"/>
      <c r="H966" s="828"/>
      <c r="I966" s="828"/>
      <c r="J966" s="828"/>
      <c r="K966" s="828"/>
      <c r="L966" s="828"/>
      <c r="M966" s="828"/>
      <c r="N966" s="828"/>
      <c r="O966" s="828"/>
      <c r="P966" s="828"/>
      <c r="Q966" s="828"/>
      <c r="R966" s="828"/>
      <c r="S966" s="828"/>
      <c r="T966" s="828"/>
      <c r="U966" s="828"/>
      <c r="V966" s="828"/>
      <c r="W966" s="828"/>
      <c r="X966" s="828"/>
      <c r="Y966" s="828"/>
      <c r="Z966" s="828"/>
      <c r="AA966" s="828"/>
      <c r="AB966" s="828"/>
      <c r="AC966" s="828"/>
      <c r="AD966" s="828"/>
      <c r="AE966" s="828"/>
      <c r="AF966" s="828"/>
      <c r="AG966" s="828"/>
      <c r="AH966" s="828"/>
      <c r="AI966" s="828"/>
      <c r="AJ966" s="828"/>
    </row>
    <row r="967">
      <c r="A967" s="828"/>
      <c r="B967" s="828"/>
      <c r="C967" s="828"/>
      <c r="D967" s="828"/>
      <c r="E967" s="828"/>
      <c r="F967" s="828"/>
      <c r="G967" s="828"/>
      <c r="H967" s="828"/>
      <c r="I967" s="828"/>
      <c r="J967" s="828"/>
      <c r="K967" s="828"/>
      <c r="L967" s="828"/>
      <c r="M967" s="828"/>
      <c r="N967" s="828"/>
      <c r="O967" s="828"/>
      <c r="P967" s="828"/>
      <c r="Q967" s="828"/>
      <c r="R967" s="828"/>
      <c r="S967" s="828"/>
      <c r="T967" s="828"/>
      <c r="U967" s="828"/>
      <c r="V967" s="828"/>
      <c r="W967" s="828"/>
      <c r="X967" s="828"/>
      <c r="Y967" s="828"/>
      <c r="Z967" s="828"/>
      <c r="AA967" s="828"/>
      <c r="AB967" s="828"/>
      <c r="AC967" s="828"/>
      <c r="AD967" s="828"/>
      <c r="AE967" s="828"/>
      <c r="AF967" s="828"/>
      <c r="AG967" s="828"/>
      <c r="AH967" s="828"/>
      <c r="AI967" s="828"/>
      <c r="AJ967" s="828"/>
    </row>
    <row r="968">
      <c r="A968" s="828"/>
      <c r="B968" s="828"/>
      <c r="C968" s="828"/>
      <c r="D968" s="828"/>
      <c r="E968" s="828"/>
      <c r="F968" s="828"/>
      <c r="G968" s="828"/>
      <c r="H968" s="828"/>
      <c r="I968" s="828"/>
      <c r="J968" s="828"/>
      <c r="K968" s="828"/>
      <c r="L968" s="828"/>
      <c r="M968" s="828"/>
      <c r="N968" s="828"/>
      <c r="O968" s="828"/>
      <c r="P968" s="828"/>
      <c r="Q968" s="828"/>
      <c r="R968" s="828"/>
      <c r="S968" s="828"/>
      <c r="T968" s="828"/>
      <c r="U968" s="828"/>
      <c r="V968" s="828"/>
      <c r="W968" s="828"/>
      <c r="X968" s="828"/>
      <c r="Y968" s="828"/>
      <c r="Z968" s="828"/>
      <c r="AA968" s="828"/>
      <c r="AB968" s="828"/>
      <c r="AC968" s="828"/>
      <c r="AD968" s="828"/>
      <c r="AE968" s="828"/>
      <c r="AF968" s="828"/>
      <c r="AG968" s="828"/>
      <c r="AH968" s="828"/>
      <c r="AI968" s="828"/>
      <c r="AJ968" s="828"/>
    </row>
    <row r="969">
      <c r="A969" s="828"/>
      <c r="B969" s="828"/>
      <c r="C969" s="828"/>
      <c r="D969" s="828"/>
      <c r="E969" s="828"/>
      <c r="F969" s="828"/>
      <c r="G969" s="828"/>
      <c r="H969" s="828"/>
      <c r="I969" s="828"/>
      <c r="J969" s="828"/>
      <c r="K969" s="828"/>
      <c r="L969" s="828"/>
      <c r="M969" s="828"/>
      <c r="N969" s="828"/>
      <c r="O969" s="828"/>
      <c r="P969" s="828"/>
      <c r="Q969" s="828"/>
      <c r="R969" s="828"/>
      <c r="S969" s="828"/>
      <c r="T969" s="828"/>
      <c r="U969" s="828"/>
      <c r="V969" s="828"/>
      <c r="W969" s="828"/>
      <c r="X969" s="828"/>
      <c r="Y969" s="828"/>
      <c r="Z969" s="828"/>
      <c r="AA969" s="828"/>
      <c r="AB969" s="828"/>
      <c r="AC969" s="828"/>
      <c r="AD969" s="828"/>
      <c r="AE969" s="828"/>
      <c r="AF969" s="828"/>
      <c r="AG969" s="828"/>
      <c r="AH969" s="828"/>
      <c r="AI969" s="828"/>
      <c r="AJ969" s="828"/>
    </row>
    <row r="970">
      <c r="A970" s="828"/>
      <c r="B970" s="828"/>
      <c r="C970" s="828"/>
      <c r="D970" s="828"/>
      <c r="E970" s="828"/>
      <c r="F970" s="828"/>
      <c r="G970" s="828"/>
      <c r="H970" s="828"/>
      <c r="I970" s="828"/>
      <c r="J970" s="828"/>
      <c r="K970" s="828"/>
      <c r="L970" s="828"/>
      <c r="M970" s="828"/>
      <c r="N970" s="828"/>
      <c r="O970" s="828"/>
      <c r="P970" s="828"/>
      <c r="Q970" s="828"/>
      <c r="R970" s="828"/>
      <c r="S970" s="828"/>
      <c r="T970" s="828"/>
      <c r="U970" s="828"/>
      <c r="V970" s="828"/>
      <c r="W970" s="828"/>
      <c r="X970" s="828"/>
      <c r="Y970" s="828"/>
      <c r="Z970" s="828"/>
      <c r="AA970" s="828"/>
      <c r="AB970" s="828"/>
      <c r="AC970" s="828"/>
      <c r="AD970" s="828"/>
      <c r="AE970" s="828"/>
      <c r="AF970" s="828"/>
      <c r="AG970" s="828"/>
      <c r="AH970" s="828"/>
      <c r="AI970" s="828"/>
      <c r="AJ970" s="828"/>
    </row>
    <row r="971">
      <c r="A971" s="828"/>
      <c r="B971" s="828"/>
      <c r="C971" s="828"/>
      <c r="D971" s="828"/>
      <c r="E971" s="828"/>
      <c r="F971" s="828"/>
      <c r="G971" s="828"/>
      <c r="H971" s="828"/>
      <c r="I971" s="828"/>
      <c r="J971" s="828"/>
      <c r="K971" s="828"/>
      <c r="L971" s="828"/>
      <c r="M971" s="828"/>
      <c r="N971" s="828"/>
      <c r="O971" s="828"/>
      <c r="P971" s="828"/>
      <c r="Q971" s="828"/>
      <c r="R971" s="828"/>
      <c r="S971" s="828"/>
      <c r="T971" s="828"/>
      <c r="U971" s="828"/>
      <c r="V971" s="828"/>
      <c r="W971" s="828"/>
      <c r="X971" s="828"/>
      <c r="Y971" s="828"/>
      <c r="Z971" s="828"/>
      <c r="AA971" s="828"/>
      <c r="AB971" s="828"/>
      <c r="AC971" s="828"/>
      <c r="AD971" s="828"/>
      <c r="AE971" s="828"/>
      <c r="AF971" s="828"/>
      <c r="AG971" s="828"/>
      <c r="AH971" s="828"/>
      <c r="AI971" s="828"/>
      <c r="AJ971" s="828"/>
    </row>
    <row r="972">
      <c r="A972" s="828"/>
      <c r="B972" s="828"/>
      <c r="C972" s="828"/>
      <c r="D972" s="828"/>
      <c r="E972" s="828"/>
      <c r="F972" s="828"/>
      <c r="G972" s="828"/>
      <c r="H972" s="828"/>
      <c r="I972" s="828"/>
      <c r="J972" s="828"/>
      <c r="K972" s="828"/>
      <c r="L972" s="828"/>
      <c r="M972" s="828"/>
      <c r="N972" s="828"/>
      <c r="O972" s="828"/>
      <c r="P972" s="828"/>
      <c r="Q972" s="828"/>
      <c r="R972" s="828"/>
      <c r="S972" s="828"/>
      <c r="T972" s="828"/>
      <c r="U972" s="828"/>
      <c r="V972" s="828"/>
      <c r="W972" s="828"/>
      <c r="X972" s="828"/>
      <c r="Y972" s="828"/>
      <c r="Z972" s="828"/>
      <c r="AA972" s="828"/>
      <c r="AB972" s="828"/>
      <c r="AC972" s="828"/>
      <c r="AD972" s="828"/>
      <c r="AE972" s="828"/>
      <c r="AF972" s="828"/>
      <c r="AG972" s="828"/>
      <c r="AH972" s="828"/>
      <c r="AI972" s="828"/>
      <c r="AJ972" s="828"/>
    </row>
    <row r="973">
      <c r="A973" s="828"/>
      <c r="B973" s="828"/>
      <c r="C973" s="828"/>
      <c r="D973" s="828"/>
      <c r="E973" s="828"/>
      <c r="F973" s="828"/>
      <c r="G973" s="828"/>
      <c r="H973" s="828"/>
      <c r="I973" s="828"/>
      <c r="J973" s="828"/>
      <c r="K973" s="828"/>
      <c r="L973" s="828"/>
      <c r="M973" s="828"/>
      <c r="N973" s="828"/>
      <c r="O973" s="828"/>
      <c r="P973" s="828"/>
      <c r="Q973" s="828"/>
      <c r="R973" s="828"/>
      <c r="S973" s="828"/>
      <c r="T973" s="828"/>
      <c r="U973" s="828"/>
      <c r="V973" s="828"/>
      <c r="W973" s="828"/>
      <c r="X973" s="828"/>
      <c r="Y973" s="828"/>
      <c r="Z973" s="828"/>
      <c r="AA973" s="828"/>
      <c r="AB973" s="828"/>
      <c r="AC973" s="828"/>
      <c r="AD973" s="828"/>
      <c r="AE973" s="828"/>
      <c r="AF973" s="828"/>
      <c r="AG973" s="828"/>
      <c r="AH973" s="828"/>
      <c r="AI973" s="828"/>
      <c r="AJ973" s="828"/>
    </row>
    <row r="974">
      <c r="A974" s="828"/>
      <c r="B974" s="828"/>
      <c r="C974" s="828"/>
      <c r="D974" s="828"/>
      <c r="E974" s="828"/>
      <c r="F974" s="828"/>
      <c r="G974" s="828"/>
      <c r="H974" s="828"/>
      <c r="I974" s="828"/>
      <c r="J974" s="828"/>
      <c r="K974" s="828"/>
      <c r="L974" s="828"/>
      <c r="M974" s="828"/>
      <c r="N974" s="828"/>
      <c r="O974" s="828"/>
      <c r="P974" s="828"/>
      <c r="Q974" s="828"/>
      <c r="R974" s="828"/>
      <c r="S974" s="828"/>
      <c r="T974" s="828"/>
      <c r="U974" s="828"/>
      <c r="V974" s="828"/>
      <c r="W974" s="828"/>
      <c r="X974" s="828"/>
      <c r="Y974" s="828"/>
      <c r="Z974" s="828"/>
      <c r="AA974" s="828"/>
      <c r="AB974" s="828"/>
      <c r="AC974" s="828"/>
      <c r="AD974" s="828"/>
      <c r="AE974" s="828"/>
      <c r="AF974" s="828"/>
      <c r="AG974" s="828"/>
      <c r="AH974" s="828"/>
      <c r="AI974" s="828"/>
      <c r="AJ974" s="828"/>
    </row>
    <row r="975">
      <c r="A975" s="828"/>
      <c r="B975" s="828"/>
      <c r="C975" s="828"/>
      <c r="D975" s="828"/>
      <c r="E975" s="828"/>
      <c r="F975" s="828"/>
      <c r="G975" s="828"/>
      <c r="H975" s="828"/>
      <c r="I975" s="828"/>
      <c r="J975" s="828"/>
      <c r="K975" s="828"/>
      <c r="L975" s="828"/>
      <c r="M975" s="828"/>
      <c r="N975" s="828"/>
      <c r="O975" s="828"/>
      <c r="P975" s="828"/>
      <c r="Q975" s="828"/>
      <c r="R975" s="828"/>
      <c r="S975" s="828"/>
      <c r="T975" s="828"/>
      <c r="U975" s="828"/>
      <c r="V975" s="828"/>
      <c r="W975" s="828"/>
      <c r="X975" s="828"/>
      <c r="Y975" s="828"/>
      <c r="Z975" s="828"/>
      <c r="AA975" s="828"/>
      <c r="AB975" s="828"/>
      <c r="AC975" s="828"/>
      <c r="AD975" s="828"/>
      <c r="AE975" s="828"/>
      <c r="AF975" s="828"/>
      <c r="AG975" s="828"/>
      <c r="AH975" s="828"/>
      <c r="AI975" s="828"/>
      <c r="AJ975" s="828"/>
    </row>
    <row r="976">
      <c r="A976" s="828"/>
      <c r="B976" s="828"/>
      <c r="C976" s="828"/>
      <c r="D976" s="828"/>
      <c r="E976" s="828"/>
      <c r="F976" s="828"/>
      <c r="G976" s="828"/>
      <c r="H976" s="828"/>
      <c r="I976" s="828"/>
      <c r="J976" s="828"/>
      <c r="K976" s="828"/>
      <c r="L976" s="828"/>
      <c r="M976" s="828"/>
      <c r="N976" s="828"/>
      <c r="O976" s="828"/>
      <c r="P976" s="828"/>
      <c r="Q976" s="828"/>
      <c r="R976" s="828"/>
      <c r="S976" s="828"/>
      <c r="T976" s="828"/>
      <c r="U976" s="828"/>
      <c r="V976" s="828"/>
      <c r="W976" s="828"/>
      <c r="X976" s="828"/>
      <c r="Y976" s="828"/>
      <c r="Z976" s="828"/>
      <c r="AA976" s="828"/>
      <c r="AB976" s="828"/>
      <c r="AC976" s="828"/>
      <c r="AD976" s="828"/>
      <c r="AE976" s="828"/>
      <c r="AF976" s="828"/>
      <c r="AG976" s="828"/>
      <c r="AH976" s="828"/>
      <c r="AI976" s="828"/>
      <c r="AJ976" s="828"/>
    </row>
    <row r="977">
      <c r="A977" s="828"/>
      <c r="B977" s="828"/>
      <c r="C977" s="828"/>
      <c r="D977" s="828"/>
      <c r="E977" s="828"/>
      <c r="F977" s="828"/>
      <c r="G977" s="828"/>
      <c r="H977" s="828"/>
      <c r="I977" s="828"/>
      <c r="J977" s="828"/>
      <c r="K977" s="828"/>
      <c r="L977" s="828"/>
      <c r="M977" s="828"/>
      <c r="N977" s="828"/>
      <c r="O977" s="828"/>
      <c r="P977" s="828"/>
      <c r="Q977" s="828"/>
      <c r="R977" s="828"/>
      <c r="S977" s="828"/>
      <c r="T977" s="828"/>
      <c r="U977" s="828"/>
      <c r="V977" s="828"/>
      <c r="W977" s="828"/>
      <c r="X977" s="828"/>
      <c r="Y977" s="828"/>
      <c r="Z977" s="828"/>
      <c r="AA977" s="828"/>
      <c r="AB977" s="828"/>
      <c r="AC977" s="828"/>
      <c r="AD977" s="828"/>
      <c r="AE977" s="828"/>
      <c r="AF977" s="828"/>
      <c r="AG977" s="828"/>
      <c r="AH977" s="828"/>
      <c r="AI977" s="828"/>
      <c r="AJ977" s="828"/>
    </row>
    <row r="978">
      <c r="A978" s="828"/>
      <c r="B978" s="828"/>
      <c r="C978" s="828"/>
      <c r="D978" s="828"/>
      <c r="E978" s="828"/>
      <c r="F978" s="828"/>
      <c r="G978" s="828"/>
      <c r="H978" s="828"/>
      <c r="I978" s="828"/>
      <c r="J978" s="828"/>
      <c r="K978" s="828"/>
      <c r="L978" s="828"/>
      <c r="M978" s="828"/>
      <c r="N978" s="828"/>
      <c r="O978" s="828"/>
      <c r="P978" s="828"/>
      <c r="Q978" s="828"/>
      <c r="R978" s="828"/>
      <c r="S978" s="828"/>
      <c r="T978" s="828"/>
      <c r="U978" s="828"/>
      <c r="V978" s="828"/>
      <c r="W978" s="828"/>
      <c r="X978" s="828"/>
      <c r="Y978" s="828"/>
      <c r="Z978" s="828"/>
      <c r="AA978" s="828"/>
      <c r="AB978" s="828"/>
      <c r="AC978" s="828"/>
      <c r="AD978" s="828"/>
      <c r="AE978" s="828"/>
      <c r="AF978" s="828"/>
      <c r="AG978" s="828"/>
      <c r="AH978" s="828"/>
      <c r="AI978" s="828"/>
      <c r="AJ978" s="828"/>
    </row>
    <row r="979">
      <c r="A979" s="828"/>
      <c r="B979" s="828"/>
      <c r="C979" s="828"/>
      <c r="D979" s="828"/>
      <c r="E979" s="828"/>
      <c r="F979" s="828"/>
      <c r="G979" s="828"/>
      <c r="H979" s="828"/>
      <c r="I979" s="828"/>
      <c r="J979" s="828"/>
      <c r="K979" s="828"/>
      <c r="L979" s="828"/>
      <c r="M979" s="828"/>
      <c r="N979" s="828"/>
      <c r="O979" s="828"/>
      <c r="P979" s="828"/>
      <c r="Q979" s="828"/>
      <c r="R979" s="828"/>
      <c r="S979" s="828"/>
      <c r="T979" s="828"/>
      <c r="U979" s="828"/>
      <c r="V979" s="828"/>
      <c r="W979" s="828"/>
      <c r="X979" s="828"/>
      <c r="Y979" s="828"/>
      <c r="Z979" s="828"/>
      <c r="AA979" s="828"/>
      <c r="AB979" s="828"/>
      <c r="AC979" s="828"/>
      <c r="AD979" s="828"/>
      <c r="AE979" s="828"/>
      <c r="AF979" s="828"/>
      <c r="AG979" s="828"/>
      <c r="AH979" s="828"/>
      <c r="AI979" s="828"/>
      <c r="AJ979" s="828"/>
    </row>
    <row r="980">
      <c r="A980" s="828"/>
      <c r="B980" s="828"/>
      <c r="C980" s="828"/>
      <c r="D980" s="828"/>
      <c r="E980" s="828"/>
      <c r="F980" s="828"/>
      <c r="G980" s="828"/>
      <c r="H980" s="828"/>
      <c r="I980" s="828"/>
      <c r="J980" s="828"/>
      <c r="K980" s="828"/>
      <c r="L980" s="828"/>
      <c r="M980" s="828"/>
      <c r="N980" s="828"/>
      <c r="O980" s="828"/>
      <c r="P980" s="828"/>
      <c r="Q980" s="828"/>
      <c r="R980" s="828"/>
      <c r="S980" s="828"/>
      <c r="T980" s="828"/>
      <c r="U980" s="828"/>
      <c r="V980" s="828"/>
      <c r="W980" s="828"/>
      <c r="X980" s="828"/>
      <c r="Y980" s="828"/>
      <c r="Z980" s="828"/>
      <c r="AA980" s="828"/>
      <c r="AB980" s="828"/>
      <c r="AC980" s="828"/>
      <c r="AD980" s="828"/>
      <c r="AE980" s="828"/>
      <c r="AF980" s="828"/>
      <c r="AG980" s="828"/>
      <c r="AH980" s="828"/>
      <c r="AI980" s="828"/>
      <c r="AJ980" s="828"/>
    </row>
    <row r="981">
      <c r="A981" s="828"/>
      <c r="B981" s="828"/>
      <c r="C981" s="828"/>
      <c r="D981" s="828"/>
      <c r="E981" s="828"/>
      <c r="F981" s="828"/>
      <c r="G981" s="828"/>
      <c r="H981" s="828"/>
      <c r="I981" s="828"/>
      <c r="J981" s="828"/>
      <c r="K981" s="828"/>
      <c r="L981" s="828"/>
      <c r="M981" s="828"/>
      <c r="N981" s="828"/>
      <c r="O981" s="828"/>
      <c r="P981" s="828"/>
      <c r="Q981" s="828"/>
      <c r="R981" s="828"/>
      <c r="S981" s="828"/>
      <c r="T981" s="828"/>
      <c r="U981" s="828"/>
      <c r="V981" s="828"/>
      <c r="W981" s="828"/>
      <c r="X981" s="828"/>
      <c r="Y981" s="828"/>
      <c r="Z981" s="828"/>
      <c r="AA981" s="828"/>
      <c r="AB981" s="828"/>
      <c r="AC981" s="828"/>
      <c r="AD981" s="828"/>
      <c r="AE981" s="828"/>
      <c r="AF981" s="828"/>
      <c r="AG981" s="828"/>
      <c r="AH981" s="828"/>
      <c r="AI981" s="828"/>
      <c r="AJ981" s="828"/>
    </row>
    <row r="982">
      <c r="A982" s="828"/>
      <c r="B982" s="828"/>
      <c r="C982" s="828"/>
      <c r="D982" s="828"/>
      <c r="E982" s="828"/>
      <c r="F982" s="828"/>
      <c r="G982" s="828"/>
      <c r="H982" s="828"/>
      <c r="I982" s="828"/>
      <c r="J982" s="828"/>
      <c r="K982" s="828"/>
      <c r="L982" s="828"/>
      <c r="M982" s="828"/>
      <c r="N982" s="828"/>
      <c r="O982" s="828"/>
      <c r="P982" s="828"/>
      <c r="Q982" s="828"/>
      <c r="R982" s="828"/>
      <c r="S982" s="828"/>
      <c r="T982" s="828"/>
      <c r="U982" s="828"/>
      <c r="V982" s="828"/>
      <c r="W982" s="828"/>
      <c r="X982" s="828"/>
      <c r="Y982" s="828"/>
      <c r="Z982" s="828"/>
      <c r="AA982" s="828"/>
      <c r="AB982" s="828"/>
      <c r="AC982" s="828"/>
      <c r="AD982" s="828"/>
      <c r="AE982" s="828"/>
      <c r="AF982" s="828"/>
      <c r="AG982" s="828"/>
      <c r="AH982" s="828"/>
      <c r="AI982" s="828"/>
      <c r="AJ982" s="828"/>
    </row>
    <row r="983">
      <c r="A983" s="828"/>
      <c r="B983" s="828"/>
      <c r="C983" s="828"/>
      <c r="D983" s="828"/>
      <c r="E983" s="828"/>
      <c r="F983" s="828"/>
      <c r="G983" s="828"/>
      <c r="H983" s="828"/>
      <c r="I983" s="828"/>
      <c r="J983" s="828"/>
      <c r="K983" s="828"/>
      <c r="L983" s="828"/>
      <c r="M983" s="828"/>
      <c r="N983" s="828"/>
      <c r="O983" s="828"/>
      <c r="P983" s="828"/>
      <c r="Q983" s="828"/>
      <c r="R983" s="828"/>
      <c r="S983" s="828"/>
      <c r="T983" s="828"/>
      <c r="U983" s="828"/>
      <c r="V983" s="828"/>
      <c r="W983" s="828"/>
      <c r="X983" s="828"/>
      <c r="Y983" s="828"/>
      <c r="Z983" s="828"/>
      <c r="AA983" s="828"/>
      <c r="AB983" s="828"/>
      <c r="AC983" s="828"/>
      <c r="AD983" s="828"/>
      <c r="AE983" s="828"/>
      <c r="AF983" s="828"/>
      <c r="AG983" s="828"/>
      <c r="AH983" s="828"/>
      <c r="AI983" s="828"/>
      <c r="AJ983" s="828"/>
    </row>
    <row r="984">
      <c r="A984" s="828"/>
      <c r="B984" s="828"/>
      <c r="C984" s="828"/>
      <c r="D984" s="828"/>
      <c r="E984" s="828"/>
      <c r="F984" s="828"/>
      <c r="G984" s="828"/>
      <c r="H984" s="828"/>
      <c r="I984" s="828"/>
      <c r="J984" s="828"/>
      <c r="K984" s="828"/>
      <c r="L984" s="828"/>
      <c r="M984" s="828"/>
      <c r="N984" s="828"/>
      <c r="O984" s="828"/>
      <c r="P984" s="828"/>
      <c r="Q984" s="828"/>
      <c r="R984" s="828"/>
      <c r="S984" s="828"/>
      <c r="T984" s="828"/>
      <c r="U984" s="828"/>
      <c r="V984" s="828"/>
      <c r="W984" s="828"/>
      <c r="X984" s="828"/>
      <c r="Y984" s="828"/>
      <c r="Z984" s="828"/>
      <c r="AA984" s="828"/>
      <c r="AB984" s="828"/>
      <c r="AC984" s="828"/>
      <c r="AD984" s="828"/>
      <c r="AE984" s="828"/>
      <c r="AF984" s="828"/>
      <c r="AG984" s="828"/>
      <c r="AH984" s="828"/>
      <c r="AI984" s="828"/>
      <c r="AJ984" s="828"/>
    </row>
    <row r="985">
      <c r="A985" s="828"/>
      <c r="B985" s="828"/>
      <c r="C985" s="828"/>
      <c r="D985" s="828"/>
      <c r="E985" s="828"/>
      <c r="F985" s="828"/>
      <c r="G985" s="828"/>
      <c r="H985" s="828"/>
      <c r="I985" s="828"/>
      <c r="J985" s="828"/>
      <c r="K985" s="828"/>
      <c r="L985" s="828"/>
      <c r="M985" s="828"/>
      <c r="N985" s="828"/>
      <c r="O985" s="828"/>
      <c r="P985" s="828"/>
      <c r="Q985" s="828"/>
      <c r="R985" s="828"/>
      <c r="S985" s="828"/>
      <c r="T985" s="828"/>
      <c r="U985" s="828"/>
      <c r="V985" s="828"/>
      <c r="W985" s="828"/>
      <c r="X985" s="828"/>
      <c r="Y985" s="828"/>
      <c r="Z985" s="828"/>
      <c r="AA985" s="828"/>
      <c r="AB985" s="828"/>
      <c r="AC985" s="828"/>
      <c r="AD985" s="828"/>
      <c r="AE985" s="828"/>
      <c r="AF985" s="828"/>
      <c r="AG985" s="828"/>
      <c r="AH985" s="828"/>
      <c r="AI985" s="828"/>
      <c r="AJ985" s="828"/>
    </row>
    <row r="986">
      <c r="A986" s="828"/>
      <c r="B986" s="828"/>
      <c r="C986" s="828"/>
      <c r="D986" s="828"/>
      <c r="E986" s="828"/>
      <c r="F986" s="828"/>
      <c r="G986" s="828"/>
      <c r="H986" s="828"/>
      <c r="I986" s="828"/>
      <c r="J986" s="828"/>
      <c r="K986" s="828"/>
      <c r="L986" s="828"/>
      <c r="M986" s="828"/>
      <c r="N986" s="828"/>
      <c r="O986" s="828"/>
      <c r="P986" s="828"/>
      <c r="Q986" s="828"/>
      <c r="R986" s="828"/>
      <c r="S986" s="828"/>
      <c r="T986" s="828"/>
      <c r="U986" s="828"/>
      <c r="V986" s="828"/>
      <c r="W986" s="828"/>
      <c r="X986" s="828"/>
      <c r="Y986" s="828"/>
      <c r="Z986" s="828"/>
      <c r="AA986" s="828"/>
      <c r="AB986" s="828"/>
      <c r="AC986" s="828"/>
      <c r="AD986" s="828"/>
      <c r="AE986" s="828"/>
      <c r="AF986" s="828"/>
      <c r="AG986" s="828"/>
      <c r="AH986" s="828"/>
      <c r="AI986" s="828"/>
      <c r="AJ986" s="828"/>
    </row>
    <row r="987">
      <c r="A987" s="828"/>
      <c r="B987" s="828"/>
      <c r="C987" s="828"/>
      <c r="D987" s="828"/>
      <c r="E987" s="828"/>
      <c r="F987" s="828"/>
      <c r="G987" s="828"/>
      <c r="H987" s="828"/>
      <c r="I987" s="828"/>
      <c r="J987" s="828"/>
      <c r="K987" s="828"/>
      <c r="L987" s="828"/>
      <c r="M987" s="828"/>
      <c r="N987" s="828"/>
      <c r="O987" s="828"/>
      <c r="P987" s="828"/>
      <c r="Q987" s="828"/>
      <c r="R987" s="828"/>
      <c r="S987" s="828"/>
      <c r="T987" s="828"/>
      <c r="U987" s="828"/>
      <c r="V987" s="828"/>
      <c r="W987" s="828"/>
      <c r="X987" s="828"/>
      <c r="Y987" s="828"/>
      <c r="Z987" s="828"/>
      <c r="AA987" s="828"/>
      <c r="AB987" s="828"/>
      <c r="AC987" s="828"/>
      <c r="AD987" s="828"/>
      <c r="AE987" s="828"/>
      <c r="AF987" s="828"/>
      <c r="AG987" s="828"/>
      <c r="AH987" s="828"/>
      <c r="AI987" s="828"/>
      <c r="AJ987" s="828"/>
    </row>
    <row r="988">
      <c r="A988" s="828"/>
      <c r="B988" s="828"/>
      <c r="C988" s="828"/>
      <c r="D988" s="828"/>
      <c r="E988" s="828"/>
      <c r="F988" s="828"/>
      <c r="G988" s="828"/>
      <c r="H988" s="828"/>
      <c r="I988" s="828"/>
      <c r="J988" s="828"/>
      <c r="K988" s="828"/>
      <c r="L988" s="828"/>
      <c r="M988" s="828"/>
      <c r="N988" s="828"/>
      <c r="O988" s="828"/>
      <c r="P988" s="828"/>
      <c r="Q988" s="828"/>
      <c r="R988" s="828"/>
      <c r="S988" s="828"/>
      <c r="T988" s="828"/>
      <c r="U988" s="828"/>
      <c r="V988" s="828"/>
      <c r="W988" s="828"/>
      <c r="X988" s="828"/>
      <c r="Y988" s="828"/>
      <c r="Z988" s="828"/>
      <c r="AA988" s="828"/>
      <c r="AB988" s="828"/>
      <c r="AC988" s="828"/>
      <c r="AD988" s="828"/>
      <c r="AE988" s="828"/>
      <c r="AF988" s="828"/>
      <c r="AG988" s="828"/>
      <c r="AH988" s="828"/>
      <c r="AI988" s="828"/>
      <c r="AJ988" s="828"/>
    </row>
    <row r="989">
      <c r="A989" s="828"/>
      <c r="B989" s="828"/>
      <c r="C989" s="828"/>
      <c r="D989" s="828"/>
      <c r="E989" s="828"/>
      <c r="F989" s="828"/>
      <c r="G989" s="828"/>
      <c r="H989" s="828"/>
      <c r="I989" s="828"/>
      <c r="J989" s="828"/>
      <c r="K989" s="828"/>
      <c r="L989" s="828"/>
      <c r="M989" s="828"/>
      <c r="N989" s="828"/>
      <c r="O989" s="828"/>
      <c r="P989" s="828"/>
      <c r="Q989" s="828"/>
      <c r="R989" s="828"/>
      <c r="S989" s="828"/>
      <c r="T989" s="828"/>
      <c r="U989" s="828"/>
      <c r="V989" s="828"/>
      <c r="W989" s="828"/>
      <c r="X989" s="828"/>
      <c r="Y989" s="828"/>
      <c r="Z989" s="828"/>
      <c r="AA989" s="828"/>
      <c r="AB989" s="828"/>
      <c r="AC989" s="828"/>
      <c r="AD989" s="828"/>
      <c r="AE989" s="828"/>
      <c r="AF989" s="828"/>
      <c r="AG989" s="828"/>
      <c r="AH989" s="828"/>
      <c r="AI989" s="828"/>
      <c r="AJ989" s="828"/>
    </row>
    <row r="990">
      <c r="A990" s="828"/>
      <c r="B990" s="828"/>
      <c r="C990" s="828"/>
      <c r="D990" s="828"/>
      <c r="E990" s="828"/>
      <c r="F990" s="828"/>
      <c r="G990" s="828"/>
      <c r="H990" s="828"/>
      <c r="I990" s="828"/>
      <c r="J990" s="828"/>
      <c r="K990" s="828"/>
      <c r="L990" s="828"/>
      <c r="M990" s="828"/>
      <c r="N990" s="828"/>
      <c r="O990" s="828"/>
      <c r="P990" s="828"/>
      <c r="Q990" s="828"/>
      <c r="R990" s="828"/>
      <c r="S990" s="828"/>
      <c r="T990" s="828"/>
      <c r="U990" s="828"/>
      <c r="V990" s="828"/>
      <c r="W990" s="828"/>
      <c r="X990" s="828"/>
      <c r="Y990" s="828"/>
      <c r="Z990" s="828"/>
      <c r="AA990" s="828"/>
      <c r="AB990" s="828"/>
      <c r="AC990" s="828"/>
      <c r="AD990" s="828"/>
      <c r="AE990" s="828"/>
      <c r="AF990" s="828"/>
      <c r="AG990" s="828"/>
      <c r="AH990" s="828"/>
      <c r="AI990" s="828"/>
      <c r="AJ990" s="828"/>
    </row>
    <row r="991">
      <c r="A991" s="828"/>
      <c r="B991" s="828"/>
      <c r="C991" s="828"/>
      <c r="D991" s="828"/>
      <c r="E991" s="828"/>
      <c r="F991" s="828"/>
      <c r="G991" s="828"/>
      <c r="H991" s="828"/>
      <c r="I991" s="828"/>
      <c r="J991" s="828"/>
      <c r="K991" s="828"/>
      <c r="L991" s="828"/>
      <c r="M991" s="828"/>
      <c r="N991" s="828"/>
      <c r="O991" s="828"/>
      <c r="P991" s="828"/>
      <c r="Q991" s="828"/>
      <c r="R991" s="828"/>
      <c r="S991" s="828"/>
      <c r="T991" s="828"/>
      <c r="U991" s="828"/>
      <c r="V991" s="828"/>
      <c r="W991" s="828"/>
      <c r="X991" s="828"/>
      <c r="Y991" s="828"/>
      <c r="Z991" s="828"/>
      <c r="AA991" s="828"/>
      <c r="AB991" s="828"/>
      <c r="AC991" s="828"/>
      <c r="AD991" s="828"/>
      <c r="AE991" s="828"/>
      <c r="AF991" s="828"/>
      <c r="AG991" s="828"/>
      <c r="AH991" s="828"/>
      <c r="AI991" s="828"/>
      <c r="AJ991" s="828"/>
    </row>
    <row r="992">
      <c r="A992" s="828"/>
      <c r="B992" s="828"/>
      <c r="C992" s="828"/>
      <c r="D992" s="828"/>
      <c r="E992" s="828"/>
      <c r="F992" s="828"/>
      <c r="G992" s="828"/>
      <c r="H992" s="828"/>
      <c r="I992" s="828"/>
      <c r="J992" s="828"/>
      <c r="K992" s="828"/>
      <c r="L992" s="828"/>
      <c r="M992" s="828"/>
      <c r="N992" s="828"/>
      <c r="O992" s="828"/>
      <c r="P992" s="828"/>
      <c r="Q992" s="828"/>
      <c r="R992" s="828"/>
      <c r="S992" s="828"/>
      <c r="T992" s="828"/>
      <c r="U992" s="828"/>
      <c r="V992" s="828"/>
      <c r="W992" s="828"/>
      <c r="X992" s="828"/>
      <c r="Y992" s="828"/>
      <c r="Z992" s="828"/>
      <c r="AA992" s="828"/>
      <c r="AB992" s="828"/>
      <c r="AC992" s="828"/>
      <c r="AD992" s="828"/>
      <c r="AE992" s="828"/>
      <c r="AF992" s="828"/>
      <c r="AG992" s="828"/>
      <c r="AH992" s="828"/>
      <c r="AI992" s="828"/>
      <c r="AJ992" s="828"/>
    </row>
    <row r="993">
      <c r="A993" s="828"/>
      <c r="B993" s="828"/>
      <c r="C993" s="828"/>
      <c r="D993" s="828"/>
      <c r="E993" s="828"/>
      <c r="F993" s="828"/>
      <c r="G993" s="828"/>
      <c r="H993" s="828"/>
      <c r="I993" s="828"/>
      <c r="J993" s="828"/>
      <c r="K993" s="828"/>
      <c r="L993" s="828"/>
      <c r="M993" s="828"/>
      <c r="N993" s="828"/>
      <c r="O993" s="828"/>
      <c r="P993" s="828"/>
      <c r="Q993" s="828"/>
      <c r="R993" s="828"/>
      <c r="S993" s="828"/>
      <c r="T993" s="828"/>
      <c r="U993" s="828"/>
      <c r="V993" s="828"/>
      <c r="W993" s="828"/>
      <c r="X993" s="828"/>
      <c r="Y993" s="828"/>
      <c r="Z993" s="828"/>
      <c r="AA993" s="828"/>
      <c r="AB993" s="828"/>
      <c r="AC993" s="828"/>
      <c r="AD993" s="828"/>
      <c r="AE993" s="828"/>
      <c r="AF993" s="828"/>
      <c r="AG993" s="828"/>
      <c r="AH993" s="828"/>
      <c r="AI993" s="828"/>
      <c r="AJ993" s="828"/>
    </row>
    <row r="994">
      <c r="A994" s="828"/>
      <c r="B994" s="828"/>
      <c r="C994" s="828"/>
      <c r="D994" s="828"/>
      <c r="E994" s="828"/>
      <c r="F994" s="828"/>
      <c r="G994" s="828"/>
      <c r="H994" s="828"/>
      <c r="I994" s="828"/>
      <c r="J994" s="828"/>
      <c r="K994" s="828"/>
      <c r="L994" s="828"/>
      <c r="M994" s="828"/>
      <c r="N994" s="828"/>
      <c r="O994" s="828"/>
      <c r="P994" s="828"/>
      <c r="Q994" s="828"/>
      <c r="R994" s="828"/>
      <c r="S994" s="828"/>
      <c r="T994" s="828"/>
      <c r="U994" s="828"/>
      <c r="V994" s="828"/>
      <c r="W994" s="828"/>
      <c r="X994" s="828"/>
      <c r="Y994" s="828"/>
      <c r="Z994" s="828"/>
      <c r="AA994" s="828"/>
      <c r="AB994" s="828"/>
      <c r="AC994" s="828"/>
      <c r="AD994" s="828"/>
      <c r="AE994" s="828"/>
      <c r="AF994" s="828"/>
      <c r="AG994" s="828"/>
      <c r="AH994" s="828"/>
      <c r="AI994" s="828"/>
      <c r="AJ994" s="828"/>
    </row>
    <row r="995">
      <c r="A995" s="828"/>
      <c r="B995" s="828"/>
      <c r="C995" s="828"/>
      <c r="D995" s="828"/>
      <c r="E995" s="828"/>
      <c r="F995" s="828"/>
      <c r="G995" s="828"/>
      <c r="H995" s="828"/>
      <c r="I995" s="828"/>
      <c r="J995" s="828"/>
      <c r="K995" s="828"/>
      <c r="L995" s="828"/>
      <c r="M995" s="828"/>
      <c r="N995" s="828"/>
      <c r="O995" s="828"/>
      <c r="P995" s="828"/>
      <c r="Q995" s="828"/>
      <c r="R995" s="828"/>
      <c r="S995" s="828"/>
      <c r="T995" s="828"/>
      <c r="U995" s="828"/>
      <c r="V995" s="828"/>
      <c r="W995" s="828"/>
      <c r="X995" s="828"/>
      <c r="Y995" s="828"/>
      <c r="Z995" s="828"/>
      <c r="AA995" s="828"/>
      <c r="AB995" s="828"/>
      <c r="AC995" s="828"/>
      <c r="AD995" s="828"/>
      <c r="AE995" s="828"/>
      <c r="AF995" s="828"/>
      <c r="AG995" s="828"/>
      <c r="AH995" s="828"/>
      <c r="AI995" s="828"/>
      <c r="AJ995" s="828"/>
    </row>
    <row r="996">
      <c r="A996" s="828"/>
      <c r="B996" s="828"/>
      <c r="C996" s="828"/>
      <c r="D996" s="828"/>
      <c r="E996" s="828"/>
      <c r="F996" s="828"/>
      <c r="G996" s="828"/>
      <c r="H996" s="828"/>
      <c r="I996" s="828"/>
      <c r="J996" s="828"/>
      <c r="K996" s="828"/>
      <c r="L996" s="828"/>
      <c r="M996" s="828"/>
      <c r="N996" s="828"/>
      <c r="O996" s="828"/>
      <c r="P996" s="828"/>
      <c r="Q996" s="828"/>
      <c r="R996" s="828"/>
      <c r="S996" s="828"/>
      <c r="T996" s="828"/>
      <c r="U996" s="828"/>
      <c r="V996" s="828"/>
      <c r="W996" s="828"/>
      <c r="X996" s="828"/>
      <c r="Y996" s="828"/>
      <c r="Z996" s="828"/>
      <c r="AA996" s="828"/>
      <c r="AB996" s="828"/>
      <c r="AC996" s="828"/>
      <c r="AD996" s="828"/>
      <c r="AE996" s="828"/>
      <c r="AF996" s="828"/>
      <c r="AG996" s="828"/>
      <c r="AH996" s="828"/>
      <c r="AI996" s="828"/>
      <c r="AJ996" s="828"/>
    </row>
    <row r="997">
      <c r="A997" s="828"/>
      <c r="B997" s="828"/>
      <c r="C997" s="828"/>
      <c r="D997" s="828"/>
      <c r="E997" s="828"/>
      <c r="F997" s="828"/>
      <c r="G997" s="828"/>
      <c r="H997" s="828"/>
      <c r="I997" s="828"/>
      <c r="J997" s="828"/>
      <c r="K997" s="828"/>
      <c r="L997" s="828"/>
      <c r="M997" s="828"/>
      <c r="N997" s="828"/>
      <c r="O997" s="828"/>
      <c r="P997" s="828"/>
      <c r="Q997" s="828"/>
      <c r="R997" s="828"/>
      <c r="S997" s="828"/>
      <c r="T997" s="828"/>
      <c r="U997" s="828"/>
      <c r="V997" s="828"/>
      <c r="W997" s="828"/>
      <c r="X997" s="828"/>
      <c r="Y997" s="828"/>
      <c r="Z997" s="828"/>
      <c r="AA997" s="828"/>
      <c r="AB997" s="828"/>
      <c r="AC997" s="828"/>
      <c r="AD997" s="828"/>
      <c r="AE997" s="828"/>
      <c r="AF997" s="828"/>
      <c r="AG997" s="828"/>
      <c r="AH997" s="828"/>
      <c r="AI997" s="828"/>
      <c r="AJ997" s="828"/>
    </row>
    <row r="998">
      <c r="A998" s="828"/>
      <c r="B998" s="828"/>
      <c r="C998" s="828"/>
      <c r="D998" s="828"/>
      <c r="E998" s="828"/>
      <c r="F998" s="828"/>
      <c r="G998" s="828"/>
      <c r="H998" s="828"/>
      <c r="I998" s="828"/>
      <c r="J998" s="828"/>
      <c r="K998" s="828"/>
      <c r="L998" s="828"/>
      <c r="M998" s="828"/>
      <c r="N998" s="828"/>
      <c r="O998" s="828"/>
      <c r="P998" s="828"/>
      <c r="Q998" s="828"/>
      <c r="R998" s="828"/>
      <c r="S998" s="828"/>
      <c r="T998" s="828"/>
      <c r="U998" s="828"/>
      <c r="V998" s="828"/>
      <c r="W998" s="828"/>
      <c r="X998" s="828"/>
      <c r="Y998" s="828"/>
      <c r="Z998" s="828"/>
      <c r="AA998" s="828"/>
      <c r="AB998" s="828"/>
      <c r="AC998" s="828"/>
      <c r="AD998" s="828"/>
      <c r="AE998" s="828"/>
      <c r="AF998" s="828"/>
      <c r="AG998" s="828"/>
      <c r="AH998" s="828"/>
      <c r="AI998" s="828"/>
      <c r="AJ998" s="828"/>
    </row>
    <row r="999">
      <c r="A999" s="828"/>
      <c r="B999" s="828"/>
      <c r="C999" s="828"/>
      <c r="D999" s="828"/>
      <c r="E999" s="828"/>
      <c r="F999" s="828"/>
      <c r="G999" s="828"/>
      <c r="H999" s="828"/>
      <c r="I999" s="828"/>
      <c r="J999" s="828"/>
      <c r="K999" s="828"/>
      <c r="L999" s="828"/>
      <c r="M999" s="828"/>
      <c r="N999" s="828"/>
      <c r="O999" s="828"/>
      <c r="P999" s="828"/>
      <c r="Q999" s="828"/>
      <c r="R999" s="828"/>
      <c r="S999" s="828"/>
      <c r="T999" s="828"/>
      <c r="U999" s="828"/>
      <c r="V999" s="828"/>
      <c r="W999" s="828"/>
      <c r="X999" s="828"/>
      <c r="Y999" s="828"/>
      <c r="Z999" s="828"/>
      <c r="AA999" s="828"/>
      <c r="AB999" s="828"/>
      <c r="AC999" s="828"/>
      <c r="AD999" s="828"/>
      <c r="AE999" s="828"/>
      <c r="AF999" s="828"/>
      <c r="AG999" s="828"/>
      <c r="AH999" s="828"/>
      <c r="AI999" s="828"/>
      <c r="AJ999" s="828"/>
    </row>
    <row r="1000">
      <c r="A1000" s="828"/>
      <c r="B1000" s="828"/>
      <c r="C1000" s="828"/>
      <c r="D1000" s="828"/>
      <c r="E1000" s="828"/>
      <c r="F1000" s="828"/>
      <c r="G1000" s="828"/>
      <c r="H1000" s="828"/>
      <c r="I1000" s="828"/>
      <c r="J1000" s="828"/>
      <c r="K1000" s="828"/>
      <c r="L1000" s="828"/>
      <c r="M1000" s="828"/>
      <c r="N1000" s="828"/>
      <c r="O1000" s="828"/>
      <c r="P1000" s="828"/>
      <c r="Q1000" s="828"/>
      <c r="R1000" s="828"/>
      <c r="S1000" s="828"/>
      <c r="T1000" s="828"/>
      <c r="U1000" s="828"/>
      <c r="V1000" s="828"/>
      <c r="W1000" s="828"/>
      <c r="X1000" s="828"/>
      <c r="Y1000" s="828"/>
      <c r="Z1000" s="828"/>
      <c r="AA1000" s="828"/>
      <c r="AB1000" s="828"/>
      <c r="AC1000" s="828"/>
      <c r="AD1000" s="828"/>
      <c r="AE1000" s="828"/>
      <c r="AF1000" s="828"/>
      <c r="AG1000" s="828"/>
      <c r="AH1000" s="828"/>
      <c r="AI1000" s="828"/>
      <c r="AJ1000" s="828"/>
    </row>
  </sheetData>
  <mergeCells count="4">
    <mergeCell ref="M1:O1"/>
    <mergeCell ref="P1:R1"/>
    <mergeCell ref="S1:U1"/>
    <mergeCell ref="V1:X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14"/>
    <col customWidth="1" min="2" max="3" width="9.14"/>
    <col customWidth="1" min="4" max="4" width="12.0"/>
    <col customWidth="1" min="5" max="5" width="18.14"/>
    <col customWidth="1" min="6" max="6" width="19.43"/>
    <col customWidth="1" min="7" max="7" width="21.57"/>
    <col customWidth="1" min="9" max="9" width="28.86"/>
    <col customWidth="1" min="16" max="16" width="9.29"/>
    <col customWidth="1" min="17" max="17" width="8.57"/>
    <col customWidth="1" min="21" max="21" width="22.14"/>
    <col customWidth="1" min="24" max="24" width="20.86"/>
    <col customWidth="1" min="26" max="26" width="12.43"/>
    <col customWidth="1" min="27" max="27" width="15.14"/>
    <col customWidth="1" hidden="1" min="33" max="33" width="2.14"/>
    <col hidden="1" min="34" max="34" width="14.43"/>
    <col hidden="1" min="36" max="37" width="14.43"/>
  </cols>
  <sheetData>
    <row r="1" ht="15.75" customHeight="1">
      <c r="A1" s="1285" t="s">
        <v>600</v>
      </c>
      <c r="B1" s="1286" t="s">
        <v>601</v>
      </c>
      <c r="C1" s="1287" t="s">
        <v>602</v>
      </c>
      <c r="D1" s="1288" t="s">
        <v>7</v>
      </c>
      <c r="E1" s="1289" t="s">
        <v>3451</v>
      </c>
      <c r="F1" s="1285" t="s">
        <v>3452</v>
      </c>
      <c r="G1" s="1290" t="s">
        <v>3453</v>
      </c>
      <c r="H1" s="1285" t="s">
        <v>1070</v>
      </c>
      <c r="I1" s="1285" t="s">
        <v>3454</v>
      </c>
      <c r="J1" s="1291" t="s">
        <v>618</v>
      </c>
      <c r="K1" s="1292" t="s">
        <v>619</v>
      </c>
      <c r="L1" s="1293" t="s">
        <v>27</v>
      </c>
      <c r="M1" s="94" t="s">
        <v>5</v>
      </c>
      <c r="N1" s="1287" t="s">
        <v>2894</v>
      </c>
      <c r="O1" s="1287" t="s">
        <v>2893</v>
      </c>
      <c r="P1" s="1294" t="s">
        <v>3455</v>
      </c>
      <c r="Q1" s="1294" t="s">
        <v>2892</v>
      </c>
      <c r="R1" s="1285" t="s">
        <v>610</v>
      </c>
      <c r="S1" s="1295" t="s">
        <v>3456</v>
      </c>
      <c r="T1" s="1295" t="s">
        <v>3457</v>
      </c>
      <c r="U1" s="1287" t="s">
        <v>2896</v>
      </c>
      <c r="V1" s="1296" t="s">
        <v>613</v>
      </c>
      <c r="W1" s="1297" t="s">
        <v>614</v>
      </c>
      <c r="X1" s="1297" t="s">
        <v>1527</v>
      </c>
      <c r="Y1" s="1287" t="s">
        <v>616</v>
      </c>
      <c r="Z1" s="1298" t="s">
        <v>617</v>
      </c>
      <c r="AA1" s="1297"/>
      <c r="AF1" s="1299" t="s">
        <v>620</v>
      </c>
      <c r="AG1" s="1290" t="s">
        <v>628</v>
      </c>
      <c r="AH1" s="1300" t="s">
        <v>629</v>
      </c>
      <c r="AI1" s="1299" t="s">
        <v>621</v>
      </c>
      <c r="AJ1" s="1290" t="s">
        <v>630</v>
      </c>
      <c r="AK1" s="1287" t="s">
        <v>631</v>
      </c>
      <c r="AL1" s="1299" t="s">
        <v>3458</v>
      </c>
      <c r="AM1" s="1290" t="s">
        <v>630</v>
      </c>
      <c r="AN1" s="1300" t="s">
        <v>631</v>
      </c>
      <c r="AO1" s="1299" t="s">
        <v>632</v>
      </c>
      <c r="AP1" s="1290" t="s">
        <v>633</v>
      </c>
      <c r="AQ1" s="1300" t="s">
        <v>634</v>
      </c>
      <c r="AR1" s="1299" t="s">
        <v>635</v>
      </c>
      <c r="AS1" s="1290" t="s">
        <v>636</v>
      </c>
      <c r="AT1" s="1300" t="s">
        <v>636</v>
      </c>
      <c r="AU1" s="1299" t="s">
        <v>637</v>
      </c>
      <c r="AV1" s="1290" t="s">
        <v>638</v>
      </c>
      <c r="AW1" s="1300" t="s">
        <v>639</v>
      </c>
      <c r="AX1" s="1299" t="s">
        <v>640</v>
      </c>
      <c r="AY1" s="1290" t="s">
        <v>641</v>
      </c>
      <c r="AZ1" s="1300" t="s">
        <v>642</v>
      </c>
      <c r="BA1" s="1299" t="s">
        <v>643</v>
      </c>
      <c r="BB1" s="1290" t="s">
        <v>644</v>
      </c>
      <c r="BC1" s="1300" t="s">
        <v>645</v>
      </c>
      <c r="BD1" s="1299" t="s">
        <v>646</v>
      </c>
      <c r="BE1" s="1290" t="s">
        <v>647</v>
      </c>
      <c r="BF1" s="1300" t="s">
        <v>648</v>
      </c>
      <c r="BG1" s="1299" t="s">
        <v>649</v>
      </c>
      <c r="BH1" s="1301" t="s">
        <v>649</v>
      </c>
      <c r="BI1" s="1301" t="s">
        <v>649</v>
      </c>
      <c r="BJ1" s="1302"/>
      <c r="BK1" s="1302"/>
      <c r="BL1" s="1302"/>
      <c r="BM1" s="1302"/>
      <c r="BN1" s="1302"/>
      <c r="BO1" s="1302"/>
      <c r="BP1" s="1302"/>
    </row>
    <row r="2" ht="15.75" customHeight="1">
      <c r="A2" s="985" t="s">
        <v>2889</v>
      </c>
      <c r="B2" s="986"/>
      <c r="C2" s="987"/>
      <c r="D2" s="988"/>
      <c r="E2" s="988"/>
      <c r="F2" s="988"/>
      <c r="G2" s="989"/>
      <c r="H2" s="990"/>
      <c r="I2" s="990"/>
      <c r="J2" s="990"/>
      <c r="K2" s="990"/>
      <c r="L2" s="990"/>
      <c r="M2" s="990"/>
      <c r="N2" s="987"/>
      <c r="O2" s="989"/>
      <c r="P2" s="991"/>
      <c r="Q2" s="987"/>
      <c r="R2" s="988"/>
      <c r="S2" s="992"/>
      <c r="T2" s="992"/>
      <c r="U2" s="993"/>
      <c r="V2" s="988" t="s">
        <v>2890</v>
      </c>
      <c r="W2" s="988"/>
      <c r="X2" s="988"/>
      <c r="Y2" s="994" t="str">
        <f>IF(R2&lt;&gt;"",MID(INFO("DIRECTORY"),10,LEN(INFO("DIRECTORY"))-LEN(MID(INFO("DIRECTORY"),FIND("\",INFO("DIRECTORY"),10),1000))-LEN("C:\Users\")),IF(S2&lt;&gt;"",MID(INFO("DIRECTORY"),10,LEN(INFO("DIRECTORY"))-LEN(MID(INFO("DIRECTORY"),FIND("\",INFO("DIRECTORY"),10),1000))-LEN("C:\Users\")),IF(T2&lt;&gt;"",MID(INFO("DIRECTORY"),10,LEN(INFO("DIRECTORY"))-LEN(MID(INFO("DIRECTORY"),FIND("\",INFO("DIRECTORY"),10),1000))-LEN("C:\Users\")),IF(U2&lt;&gt;"",MID(INFO("DIRECTORY"),10,LEN(INFO("DIRECTORY"))-LEN(MID(INFO("DIRECTORY"),FIND("\",INFO("DIRECTORY"),10),1000))-LEN("C:\Users\")),IF(V2&lt;&gt;"",MID(INFO("DIRECTORY"),10,LEN(INFO("DIRECTORY"))-LEN(MID(INFO("DIRECTORY"),FIND("\",INFO("DIRECTORY"),10),1000))-LEN("C:\Users\")),IF(W2&lt;&gt;"",NOW(),IF(X2&lt;&gt;"",MID(INFO("DIRECTORY"),10,LEN(INFO("DIRECTORY"))-LEN(MID(INFO("DIRECTORY"),FIND("\",INFO("DIRECTORY"),10),1000))-LEN("C:\Users\")),"")))))))</f>
        <v>#NAME?</v>
      </c>
      <c r="Z2" s="990"/>
      <c r="AA2" s="990"/>
      <c r="AF2" s="990"/>
      <c r="AG2" s="990"/>
      <c r="AH2" s="990"/>
      <c r="AI2" s="990"/>
      <c r="AJ2" s="995" t="str">
        <f>IFERROR($S2+VLOOKUP($R2,'Voyage days'!$F$94:$H$193,3,FALSE),"")</f>
        <v/>
      </c>
      <c r="AK2" s="995" t="str">
        <f>IFERROR($T2+VLOOKUP($R2,'Voyage days'!$F$94:$H$193,3,FALSE),"")</f>
        <v/>
      </c>
      <c r="AL2" s="990"/>
      <c r="AM2" s="990"/>
      <c r="AN2" s="990"/>
      <c r="AO2" s="990"/>
      <c r="AP2" s="990"/>
      <c r="AQ2" s="990"/>
      <c r="AR2" s="990"/>
      <c r="AS2" s="990"/>
      <c r="AT2" s="990"/>
      <c r="AU2" s="990"/>
      <c r="AV2" s="990"/>
      <c r="AW2" s="990"/>
      <c r="AX2" s="990"/>
      <c r="AY2" s="990"/>
      <c r="AZ2" s="990"/>
      <c r="BA2" s="990"/>
      <c r="BB2" s="990"/>
      <c r="BC2" s="990"/>
      <c r="BD2" s="990"/>
      <c r="BE2" s="990"/>
      <c r="BF2" s="990"/>
      <c r="BG2" s="990"/>
      <c r="BH2" s="496" t="str">
        <f>IFERROR($S2+VLOOKUP($R2,'Voyage days'!$F$702:$H$727,3,FALSE),"")</f>
        <v/>
      </c>
      <c r="BI2" s="496" t="str">
        <f>IFERROR($T2+VLOOKUP($R2,'Voyage days'!$F$702:$H$727,3,FALSE),"")</f>
        <v/>
      </c>
      <c r="BJ2" s="496"/>
      <c r="BK2" s="496"/>
      <c r="BL2" s="496"/>
      <c r="BM2" s="496"/>
      <c r="BN2" s="496"/>
      <c r="BO2" s="496"/>
      <c r="BP2" s="496"/>
    </row>
    <row r="3">
      <c r="A3" s="606" t="s">
        <v>2911</v>
      </c>
      <c r="B3" s="1005">
        <v>37591.0</v>
      </c>
      <c r="C3" s="25">
        <v>79514.0</v>
      </c>
      <c r="D3" s="1303"/>
      <c r="E3" s="603" t="s">
        <v>2899</v>
      </c>
      <c r="F3" s="686" t="s">
        <v>2901</v>
      </c>
      <c r="G3" s="1145"/>
      <c r="H3" s="1304"/>
      <c r="I3" s="1304"/>
      <c r="J3" s="1304" t="str">
        <f>IF(K3="","",VLOOKUP(K3,'Voyage days'!$A$3:$B$1480,2,FALSE))</f>
        <v>#N/A</v>
      </c>
      <c r="K3" s="1304" t="str">
        <f>IF(VLOOKUP(A3,'1) Kpler'!$E$2:$O$500,7, FALSE)="",VLOOKUP(A3,'1) Kpler'!$E$2:$O$500,10,FALSE),VLOOKUP(A3,'1) Kpler'!$E$2:$O$500,7, FALSE))</f>
        <v>#N/A</v>
      </c>
      <c r="L3" s="1305" t="str">
        <f>IF(VLOOKUP(A3,'1) Kpler'!$E$2:$O$500,8,FALSE)="","",VLOOKUP(A3,'1) Kpler'!$E$2:$O$500,8,FALSE))</f>
        <v>#N/A</v>
      </c>
      <c r="M3" s="1304" t="str">
        <f>VLOOKUP(A3,'1) Kpler'!$E$2:$H$400,3,FALSE)</f>
        <v>#N/A</v>
      </c>
      <c r="N3" s="1306">
        <v>45231.0</v>
      </c>
      <c r="O3" s="1145">
        <v>44063.0</v>
      </c>
      <c r="P3" s="1143" t="s">
        <v>1687</v>
      </c>
      <c r="Q3" s="1174"/>
      <c r="R3" s="603" t="s">
        <v>1231</v>
      </c>
      <c r="S3" s="1307">
        <v>45406.0</v>
      </c>
      <c r="T3" s="1308">
        <v>45407.0</v>
      </c>
      <c r="U3" s="1309"/>
      <c r="V3" s="603"/>
      <c r="W3" s="603"/>
      <c r="X3" s="603"/>
      <c r="Y3" s="1174"/>
      <c r="Z3" s="1310"/>
      <c r="AA3" s="1311"/>
      <c r="AF3" s="1312" t="str">
        <f t="shared" ref="AF3:AF6" si="1">IF(AG3="","",TEXT(AG3,"dd")&amp;"-"&amp;TEXT(AH3,"dd mmm"))</f>
        <v>03-04 May</v>
      </c>
      <c r="AG3" s="995">
        <f>IFERROR($S3+VLOOKUP($R3,'Voyage days'!$F$38:$H$89,3,FALSE),"")</f>
        <v>45415</v>
      </c>
      <c r="AH3" s="995">
        <f>IFERROR(T3+VLOOKUP($R3,'Voyage days'!$F$38:$H$89,3,FALSE),"")</f>
        <v>45416</v>
      </c>
      <c r="AI3" s="1312" t="str">
        <f t="shared" ref="AI3:AI6" si="2">IF(AJ3="","",TEXT(AJ3,"dd")&amp;"-"&amp;TEXT(AK3,"dd mmm"))</f>
        <v/>
      </c>
      <c r="AJ3" s="995" t="str">
        <f>IFERROR($S3+VLOOKUP($R3,'Voyage days'!$F$94:$H$193,3,FALSE),"")</f>
        <v/>
      </c>
      <c r="AK3" s="995" t="str">
        <f>IFERROR($T3+VLOOKUP($R3,'Voyage days'!$F$94:$H$193,3,FALSE),"")</f>
        <v/>
      </c>
      <c r="AL3" s="1312" t="str">
        <f t="shared" ref="AL3:AL6" si="3">IF(AM3="","",TEXT(AM3,"dd")&amp;"-"&amp;TEXT(AN3,"dd mmm"))</f>
        <v>30-31 May</v>
      </c>
      <c r="AM3" s="995">
        <f>IFERROR($S3+VLOOKUP($R3,'Voyage days'!$F$203:$H$256,3,FALSE),"")</f>
        <v>45442</v>
      </c>
      <c r="AN3" s="995">
        <f>IFERROR($T3+VLOOKUP($R3,'Voyage days'!$F$203:$H$256,3,FALSE),"")</f>
        <v>45443</v>
      </c>
      <c r="AO3" s="1312" t="str">
        <f t="shared" ref="AO3:AO6" si="4">IF(AP3="","",TEXT(AP3,"dd")&amp;"-"&amp;TEXT(AQ3,"dd mmm"))</f>
        <v>15-16 May</v>
      </c>
      <c r="AP3" s="995">
        <f>IFERROR($S3+VLOOKUP($R3,'Voyage days'!$F$294:$H$377,3,FALSE),"")</f>
        <v>45427</v>
      </c>
      <c r="AQ3" s="995">
        <f>IFERROR($T3+VLOOKUP($R3,'Voyage days'!$F$294:$H$377,3,FALSE),"")</f>
        <v>45428</v>
      </c>
      <c r="AR3" s="1312" t="str">
        <f t="shared" ref="AR3:AR6" si="5">IF(AS3="","",TEXT(AS3,"dd")&amp;"-"&amp;TEXT(AT3,"dd mmm"))</f>
        <v>22-23 May</v>
      </c>
      <c r="AS3" s="995">
        <f>IFERROR($S3+VLOOKUP($R3,'Voyage days'!$F$382:$H$446,3,FALSE),"")</f>
        <v>45434</v>
      </c>
      <c r="AT3" s="995">
        <f>IFERROR($T3+VLOOKUP($R3,'Voyage days'!$F$382:$H$446,3,FALSE),"")</f>
        <v>45435</v>
      </c>
      <c r="AU3" s="1312" t="str">
        <f t="shared" ref="AU3:AU6" si="6">IF(AV3="","",TEXT(AV3,"dd")&amp;"-"&amp;TEXT(AW3,"dd mmm"))</f>
        <v>24-25 Apr</v>
      </c>
      <c r="AV3" s="995">
        <f>IFERROR($S3+VLOOKUP($R3,'Voyage days'!$F$483:$H$538,3,FALSE),"")</f>
        <v>45406</v>
      </c>
      <c r="AW3" s="995">
        <f>IFERROR($T3+VLOOKUP($R3,'Voyage days'!$F$483:$H$538,3,FALSE),"")</f>
        <v>45407</v>
      </c>
      <c r="AX3" s="1312" t="str">
        <f t="shared" ref="AX3:AX6" si="7">IF(AY3="","",TEXT(AY3,"dd")&amp;"-"&amp;TEXT(AZ3,"dd mmm"))</f>
        <v/>
      </c>
      <c r="AY3" s="995" t="str">
        <f>IFERROR($S3+VLOOKUP($R3,'Voyage days'!$F$540:$H$613,3,FALSE),"")</f>
        <v/>
      </c>
      <c r="AZ3" s="995" t="str">
        <f>IFERROR($T3+VLOOKUP($R3,'Voyage days'!$F$540:$H$613,3,FALSE),"")</f>
        <v/>
      </c>
      <c r="BA3" s="1312" t="str">
        <f t="shared" ref="BA3:BA6" si="8">IF(BB3="","",TEXT(BB3,"dd")&amp;"-"&amp;TEXT(BC3,"dd mmm"))</f>
        <v/>
      </c>
      <c r="BB3" s="995" t="str">
        <f>IFERROR($S3+VLOOKUP($R3,'Voyage days'!$L$483:$N$535,3,FALSE),"")</f>
        <v/>
      </c>
      <c r="BC3" s="995" t="str">
        <f>IFERROR($T3+VLOOKUP($R3,'Voyage days'!$L$483:$N$535,3,FALSE),"")</f>
        <v/>
      </c>
      <c r="BD3" s="1312" t="str">
        <f t="shared" ref="BD3:BD6" si="9">IF(BE3="","",TEXT(BE3,"dd")&amp;"-"&amp;TEXT(BF3,"dd mmm"))</f>
        <v/>
      </c>
      <c r="BE3" s="995" t="str">
        <f>IFERROR($S3+VLOOKUP($R3,'Voyage days'!$F$620:$H$646,3,FALSE),"")</f>
        <v/>
      </c>
      <c r="BF3" s="995" t="str">
        <f>IFERROR($T3+VLOOKUP($R3,'Voyage days'!$F$620:$H$646,3,FALSE),"")</f>
        <v/>
      </c>
      <c r="BG3" s="1312" t="str">
        <f t="shared" ref="BG3:BG6" si="10">IF(BH3="","",TEXT(BH3,"dd")&amp;"-"&amp;TEXT(BI3,"dd mmm"))</f>
        <v/>
      </c>
      <c r="BH3" s="496" t="str">
        <f>IFERROR($S3+VLOOKUP($R3,'Voyage days'!$F$702:$H$727,3,FALSE),"")</f>
        <v/>
      </c>
      <c r="BI3" s="496" t="str">
        <f>IFERROR($T3+VLOOKUP($R3,'Voyage days'!$F$702:$H$727,3,FALSE),"")</f>
        <v/>
      </c>
      <c r="BJ3" s="496"/>
      <c r="BK3" s="496"/>
      <c r="BL3" s="496"/>
      <c r="BM3" s="496"/>
      <c r="BN3" s="496"/>
      <c r="BO3" s="496"/>
      <c r="BP3" s="496"/>
    </row>
    <row r="4" ht="16.5" customHeight="1">
      <c r="A4" s="606" t="s">
        <v>2898</v>
      </c>
      <c r="B4" s="561">
        <v>39692.0</v>
      </c>
      <c r="C4" s="25">
        <v>83800.0</v>
      </c>
      <c r="D4" s="1303"/>
      <c r="E4" s="603" t="s">
        <v>2899</v>
      </c>
      <c r="F4" s="603" t="s">
        <v>2899</v>
      </c>
      <c r="G4" s="1174"/>
      <c r="H4" s="1304"/>
      <c r="I4" s="1304"/>
      <c r="J4" s="1304" t="str">
        <f>IF(K4="","",VLOOKUP(K4,'Voyage days'!$A$3:$B$1480,2,FALSE))</f>
        <v>#N/A</v>
      </c>
      <c r="K4" s="1304" t="str">
        <f>IF(VLOOKUP(A4,'1) Kpler'!$E$2:$O$500,7, FALSE)="",VLOOKUP(A4,'1) Kpler'!$E$2:$O$500,10,FALSE),VLOOKUP(A4,'1) Kpler'!$E$2:$O$500,7, FALSE))</f>
        <v>#N/A</v>
      </c>
      <c r="L4" s="1305" t="str">
        <f>IF(VLOOKUP(A4,'1) Kpler'!$E$2:$O$500,8,FALSE)="","",VLOOKUP(A4,'1) Kpler'!$E$2:$O$500,8,FALSE))</f>
        <v>#N/A</v>
      </c>
      <c r="M4" s="1304" t="str">
        <f>VLOOKUP(A4,'1) Kpler'!$E$2:$H$400,3,FALSE)</f>
        <v>#N/A</v>
      </c>
      <c r="N4" s="1306">
        <v>45231.0</v>
      </c>
      <c r="O4" s="1145">
        <v>44440.0</v>
      </c>
      <c r="P4" s="1143" t="s">
        <v>1687</v>
      </c>
      <c r="Q4" s="1174"/>
      <c r="R4" s="603" t="s">
        <v>1085</v>
      </c>
      <c r="S4" s="1313">
        <v>45410.0</v>
      </c>
      <c r="T4" s="1308">
        <v>45411.0</v>
      </c>
      <c r="U4" s="1309"/>
      <c r="V4" s="603"/>
      <c r="W4" s="603"/>
      <c r="X4" s="603"/>
      <c r="Y4" s="1174"/>
      <c r="Z4" s="1314"/>
      <c r="AA4" s="1315"/>
      <c r="AF4" s="1312" t="str">
        <f t="shared" si="1"/>
        <v>03-04 May</v>
      </c>
      <c r="AG4" s="995">
        <f>IFERROR($S4+VLOOKUP($R4,'Voyage days'!$F$38:$H$89,3,FALSE),"")</f>
        <v>45415</v>
      </c>
      <c r="AH4" s="995">
        <f>IFERROR(T4+VLOOKUP($R4,'Voyage days'!$F$38:$H$89,3,FALSE),"")</f>
        <v>45416</v>
      </c>
      <c r="AI4" s="1312" t="str">
        <f t="shared" si="2"/>
        <v/>
      </c>
      <c r="AJ4" s="995" t="str">
        <f>IFERROR($S4+VLOOKUP($R4,'Voyage days'!$F$94:$H$193,3,FALSE),"")</f>
        <v/>
      </c>
      <c r="AK4" s="995" t="str">
        <f>IFERROR($T4+VLOOKUP($R4,'Voyage days'!$F$94:$H$193,3,FALSE),"")</f>
        <v/>
      </c>
      <c r="AL4" s="1312" t="str">
        <f t="shared" si="3"/>
        <v>30-31 May</v>
      </c>
      <c r="AM4" s="995">
        <f>IFERROR($S4+VLOOKUP($R4,'Voyage days'!$F$203:$H$256,3,FALSE),"")</f>
        <v>45442</v>
      </c>
      <c r="AN4" s="995">
        <f>IFERROR($T4+VLOOKUP($R4,'Voyage days'!$F$203:$H$256,3,FALSE),"")</f>
        <v>45443</v>
      </c>
      <c r="AO4" s="1312" t="str">
        <f t="shared" si="4"/>
        <v>17-18 May</v>
      </c>
      <c r="AP4" s="995">
        <f>IFERROR($S4+VLOOKUP($R4,'Voyage days'!$F$294:$H$377,3,FALSE),"")</f>
        <v>45429</v>
      </c>
      <c r="AQ4" s="995">
        <f>IFERROR($T4+VLOOKUP($R4,'Voyage days'!$F$294:$H$377,3,FALSE),"")</f>
        <v>45430</v>
      </c>
      <c r="AR4" s="1312" t="str">
        <f t="shared" si="5"/>
        <v>11-12 May</v>
      </c>
      <c r="AS4" s="995">
        <f>IFERROR($S4+VLOOKUP($R4,'Voyage days'!$F$382:$H$446,3,FALSE),"")</f>
        <v>45423</v>
      </c>
      <c r="AT4" s="995">
        <f>IFERROR($T4+VLOOKUP($R4,'Voyage days'!$F$382:$H$446,3,FALSE),"")</f>
        <v>45424</v>
      </c>
      <c r="AU4" s="1312" t="str">
        <f t="shared" si="6"/>
        <v/>
      </c>
      <c r="AV4" s="995" t="str">
        <f>IFERROR($S4+VLOOKUP($R4,'Voyage days'!$F$483:$H$538,3,FALSE),"")</f>
        <v/>
      </c>
      <c r="AW4" s="995" t="str">
        <f>IFERROR($T4+VLOOKUP($R4,'Voyage days'!$F$483:$H$538,3,FALSE),"")</f>
        <v/>
      </c>
      <c r="AX4" s="1312" t="str">
        <f t="shared" si="7"/>
        <v/>
      </c>
      <c r="AY4" s="995" t="str">
        <f>IFERROR($S4+VLOOKUP($R4,'Voyage days'!$F$540:$H$613,3,FALSE),"")</f>
        <v/>
      </c>
      <c r="AZ4" s="995" t="str">
        <f>IFERROR($T4+VLOOKUP($R4,'Voyage days'!$F$540:$H$613,3,FALSE),"")</f>
        <v/>
      </c>
      <c r="BA4" s="1312" t="str">
        <f t="shared" si="8"/>
        <v/>
      </c>
      <c r="BB4" s="995" t="str">
        <f>IFERROR($S4+VLOOKUP($R4,'Voyage days'!$L$483:$N$535,3,FALSE),"")</f>
        <v/>
      </c>
      <c r="BC4" s="995" t="str">
        <f>IFERROR($T4+VLOOKUP($R4,'Voyage days'!$L$483:$N$535,3,FALSE),"")</f>
        <v/>
      </c>
      <c r="BD4" s="1312" t="str">
        <f t="shared" si="9"/>
        <v/>
      </c>
      <c r="BE4" s="995" t="str">
        <f>IFERROR($S4+VLOOKUP($R4,'Voyage days'!$F$620:$H$646,3,FALSE),"")</f>
        <v/>
      </c>
      <c r="BF4" s="995" t="str">
        <f>IFERROR($T4+VLOOKUP($R4,'Voyage days'!$F$620:$H$646,3,FALSE),"")</f>
        <v/>
      </c>
      <c r="BG4" s="1312" t="str">
        <f t="shared" si="10"/>
        <v/>
      </c>
      <c r="BH4" s="496" t="str">
        <f>IFERROR($S4+VLOOKUP($R4,'Voyage days'!$F$702:$H$727,3,FALSE),"")</f>
        <v/>
      </c>
      <c r="BI4" s="496" t="str">
        <f>IFERROR($T4+VLOOKUP($R4,'Voyage days'!$F$702:$H$727,3,FALSE),"")</f>
        <v/>
      </c>
      <c r="BJ4" s="496"/>
      <c r="BK4" s="496"/>
      <c r="BL4" s="496"/>
      <c r="BM4" s="496"/>
      <c r="BN4" s="496"/>
      <c r="BO4" s="496"/>
      <c r="BP4" s="496"/>
    </row>
    <row r="5">
      <c r="A5" s="1316" t="s">
        <v>389</v>
      </c>
      <c r="B5" s="1002">
        <v>39052.0</v>
      </c>
      <c r="C5" s="25">
        <v>83000.0</v>
      </c>
      <c r="D5" s="1303"/>
      <c r="E5" s="603" t="s">
        <v>2899</v>
      </c>
      <c r="F5" s="686" t="s">
        <v>3459</v>
      </c>
      <c r="G5" s="1145"/>
      <c r="H5" s="1304"/>
      <c r="I5" s="1304"/>
      <c r="J5" s="1304" t="str">
        <f>IF(K5="","",VLOOKUP(K5,'Voyage days'!$A$3:$B$1480,2,FALSE))</f>
        <v>#N/A</v>
      </c>
      <c r="K5" s="1304">
        <f>IF(VLOOKUP(A5,'1) Kpler'!$E$2:$O$500,7, FALSE)="",VLOOKUP(A5,'1) Kpler'!$E$2:$O$500,10,FALSE),VLOOKUP(A5,'1) Kpler'!$E$2:$O$500,7, FALSE))</f>
        <v>9307750</v>
      </c>
      <c r="L5" s="1305" t="str">
        <f>IF(VLOOKUP(A5,'1) Kpler'!$E$2:$O$500,8,FALSE)="","",VLOOKUP(A5,'1) Kpler'!$E$2:$O$500,8,FALSE))</f>
        <v>Mumbai</v>
      </c>
      <c r="M5" s="1317">
        <f>VLOOKUP(A5,'1) Kpler'!$E$2:$H$400,3,FALSE)</f>
        <v>54450</v>
      </c>
      <c r="N5" s="1306">
        <v>45200.0</v>
      </c>
      <c r="O5" s="1145">
        <v>44156.0</v>
      </c>
      <c r="P5" s="1143" t="s">
        <v>570</v>
      </c>
      <c r="Q5" s="1174"/>
      <c r="R5" s="603" t="s">
        <v>1031</v>
      </c>
      <c r="S5" s="1308">
        <v>45393.0</v>
      </c>
      <c r="T5" s="1318">
        <v>45394.0</v>
      </c>
      <c r="U5" s="1319"/>
      <c r="V5" s="603"/>
      <c r="W5" s="686"/>
      <c r="X5" s="603"/>
      <c r="Y5" s="1174"/>
      <c r="Z5" s="1314"/>
      <c r="AA5" s="1315"/>
      <c r="AF5" s="1312" t="str">
        <f t="shared" si="1"/>
        <v>11-12 Apr</v>
      </c>
      <c r="AG5" s="995">
        <f>IFERROR($S5+VLOOKUP($R5,'Voyage days'!$F$38:$H$89,3,FALSE),"")</f>
        <v>45393</v>
      </c>
      <c r="AH5" s="995">
        <f>IFERROR(T5+VLOOKUP($R5,'Voyage days'!$F$38:$H$89,3,FALSE),"")</f>
        <v>45394</v>
      </c>
      <c r="AI5" s="1312" t="str">
        <f t="shared" si="2"/>
        <v/>
      </c>
      <c r="AJ5" s="995" t="str">
        <f>IFERROR($S5+VLOOKUP($R5,'Voyage days'!$F$94:$H$193,3,FALSE),"")</f>
        <v/>
      </c>
      <c r="AK5" s="995" t="str">
        <f>IFERROR($T5+VLOOKUP($R5,'Voyage days'!$F$94:$H$193,3,FALSE),"")</f>
        <v/>
      </c>
      <c r="AL5" s="1312" t="str">
        <f t="shared" si="3"/>
        <v/>
      </c>
      <c r="AM5" s="995" t="str">
        <f>IFERROR($S5+VLOOKUP($R5,'Voyage days'!$F$203:$H$256,3,FALSE),"")</f>
        <v/>
      </c>
      <c r="AN5" s="995" t="str">
        <f>IFERROR($T5+VLOOKUP($R5,'Voyage days'!$F$203:$H$256,3,FALSE),"")</f>
        <v/>
      </c>
      <c r="AO5" s="1312" t="str">
        <f t="shared" si="4"/>
        <v/>
      </c>
      <c r="AP5" s="995" t="str">
        <f>IFERROR($S5+VLOOKUP($R5,'Voyage days'!$F$294:$H$377,3,FALSE),"")</f>
        <v/>
      </c>
      <c r="AQ5" s="995" t="str">
        <f>IFERROR($T5+VLOOKUP($R5,'Voyage days'!$F$294:$H$377,3,FALSE),"")</f>
        <v/>
      </c>
      <c r="AR5" s="1312" t="str">
        <f t="shared" si="5"/>
        <v/>
      </c>
      <c r="AS5" s="995" t="str">
        <f>IFERROR($S5+VLOOKUP($R5,'Voyage days'!$F$382:$H$446,3,FALSE),"")</f>
        <v/>
      </c>
      <c r="AT5" s="995" t="str">
        <f>IFERROR($T5+VLOOKUP($R5,'Voyage days'!$F$382:$H$446,3,FALSE),"")</f>
        <v/>
      </c>
      <c r="AU5" s="1312" t="str">
        <f t="shared" si="6"/>
        <v/>
      </c>
      <c r="AV5" s="995" t="str">
        <f>IFERROR($S5+VLOOKUP($R5,'Voyage days'!$F$483:$H$538,3,FALSE),"")</f>
        <v/>
      </c>
      <c r="AW5" s="995" t="str">
        <f>IFERROR($T5+VLOOKUP($R5,'Voyage days'!$F$483:$H$538,3,FALSE),"")</f>
        <v/>
      </c>
      <c r="AX5" s="1312" t="str">
        <f t="shared" si="7"/>
        <v>30-01 May</v>
      </c>
      <c r="AY5" s="995">
        <f>IFERROR($S5+VLOOKUP($R5,'Voyage days'!$F$540:$H$613,3,FALSE),"")</f>
        <v>45412</v>
      </c>
      <c r="AZ5" s="995">
        <f>IFERROR($T5+VLOOKUP($R5,'Voyage days'!$F$540:$H$613,3,FALSE),"")</f>
        <v>45413</v>
      </c>
      <c r="BA5" s="1312" t="str">
        <f t="shared" si="8"/>
        <v/>
      </c>
      <c r="BB5" s="995" t="str">
        <f>IFERROR($S5+VLOOKUP($R5,'Voyage days'!$L$483:$N$535,3,FALSE),"")</f>
        <v/>
      </c>
      <c r="BC5" s="995" t="str">
        <f>IFERROR($T5+VLOOKUP($R5,'Voyage days'!$L$483:$N$535,3,FALSE),"")</f>
        <v/>
      </c>
      <c r="BD5" s="1312" t="str">
        <f t="shared" si="9"/>
        <v/>
      </c>
      <c r="BE5" s="995" t="str">
        <f>IFERROR($S5+VLOOKUP($R5,'Voyage days'!$F$620:$H$646,3,FALSE),"")</f>
        <v/>
      </c>
      <c r="BF5" s="995" t="str">
        <f>IFERROR($T5+VLOOKUP($R5,'Voyage days'!$F$620:$H$646,3,FALSE),"")</f>
        <v/>
      </c>
      <c r="BG5" s="1312" t="str">
        <f t="shared" si="10"/>
        <v/>
      </c>
      <c r="BH5" s="496" t="str">
        <f>IFERROR($S5+VLOOKUP($R5,'Voyage days'!$F$702:$H$727,3,FALSE),"")</f>
        <v/>
      </c>
      <c r="BI5" s="496" t="str">
        <f>IFERROR($T5+VLOOKUP($R5,'Voyage days'!$F$702:$H$727,3,FALSE),"")</f>
        <v/>
      </c>
      <c r="BJ5" s="496"/>
      <c r="BK5" s="496"/>
      <c r="BL5" s="496"/>
      <c r="BM5" s="496"/>
      <c r="BN5" s="496"/>
      <c r="BO5" s="496"/>
      <c r="BP5" s="496"/>
    </row>
    <row r="6">
      <c r="A6" s="1316" t="s">
        <v>541</v>
      </c>
      <c r="B6" s="1005">
        <v>37118.0</v>
      </c>
      <c r="C6" s="25">
        <v>84333.0</v>
      </c>
      <c r="D6" s="1303"/>
      <c r="E6" s="603" t="s">
        <v>2899</v>
      </c>
      <c r="F6" s="686" t="s">
        <v>3460</v>
      </c>
      <c r="G6" s="1320" t="s">
        <v>3461</v>
      </c>
      <c r="H6" s="1304" t="s">
        <v>3462</v>
      </c>
      <c r="I6" s="1304"/>
      <c r="J6" s="1304" t="str">
        <f>IF(K6="","",VLOOKUP(K6,'Voyage days'!$A$3:$B$1480,2,FALSE))</f>
        <v>#N/A</v>
      </c>
      <c r="K6" s="1304">
        <f>IF(VLOOKUP(A6,'1) Kpler'!$E$2:$O$500,7, FALSE)="",VLOOKUP(A6,'1) Kpler'!$E$2:$O$500,10,FALSE),VLOOKUP(A6,'1) Kpler'!$E$2:$O$500,7, FALSE))</f>
        <v>9208227</v>
      </c>
      <c r="L6" s="1305" t="str">
        <f>IF(VLOOKUP(A6,'1) Kpler'!$E$2:$O$500,8,FALSE)="","",VLOOKUP(A6,'1) Kpler'!$E$2:$O$500,8,FALSE))</f>
        <v>Guangzhou</v>
      </c>
      <c r="M6" s="1304" t="str">
        <f>VLOOKUP(A6,'1) Kpler'!$E$2:$H$400,3,FALSE)</f>
        <v>#N/A</v>
      </c>
      <c r="N6" s="1306">
        <v>45201.0</v>
      </c>
      <c r="O6" s="1145">
        <v>44157.0</v>
      </c>
      <c r="P6" s="1143" t="s">
        <v>570</v>
      </c>
      <c r="Q6" s="1174"/>
      <c r="R6" s="603" t="s">
        <v>1031</v>
      </c>
      <c r="S6" s="1308">
        <v>45394.0</v>
      </c>
      <c r="T6" s="1318">
        <v>45395.0</v>
      </c>
      <c r="U6" s="1319"/>
      <c r="V6" s="603"/>
      <c r="W6" s="686"/>
      <c r="X6" s="603"/>
      <c r="Y6" s="1174"/>
      <c r="Z6" s="1314"/>
      <c r="AA6" s="1315"/>
      <c r="AF6" s="1312" t="str">
        <f t="shared" si="1"/>
        <v>12-13 Apr</v>
      </c>
      <c r="AG6" s="995">
        <f>IFERROR($S6+VLOOKUP($R6,'Voyage days'!$F$38:$H$89,3,FALSE),"")</f>
        <v>45394</v>
      </c>
      <c r="AH6" s="995">
        <f>IFERROR(T6+VLOOKUP($R6,'Voyage days'!$F$38:$H$89,3,FALSE),"")</f>
        <v>45395</v>
      </c>
      <c r="AI6" s="1312" t="str">
        <f t="shared" si="2"/>
        <v/>
      </c>
      <c r="AJ6" s="995" t="str">
        <f>IFERROR($S6+VLOOKUP($R6,'Voyage days'!$F$94:$H$193,3,FALSE),"")</f>
        <v/>
      </c>
      <c r="AK6" s="995" t="str">
        <f>IFERROR($T6+VLOOKUP($R6,'Voyage days'!$F$94:$H$193,3,FALSE),"")</f>
        <v/>
      </c>
      <c r="AL6" s="1312" t="str">
        <f t="shared" si="3"/>
        <v/>
      </c>
      <c r="AM6" s="995" t="str">
        <f>IFERROR($S6+VLOOKUP($R6,'Voyage days'!$F$203:$H$256,3,FALSE),"")</f>
        <v/>
      </c>
      <c r="AN6" s="995" t="str">
        <f>IFERROR($T6+VLOOKUP($R6,'Voyage days'!$F$203:$H$256,3,FALSE),"")</f>
        <v/>
      </c>
      <c r="AO6" s="1312" t="str">
        <f t="shared" si="4"/>
        <v/>
      </c>
      <c r="AP6" s="995" t="str">
        <f>IFERROR($S6+VLOOKUP($R6,'Voyage days'!$F$294:$H$377,3,FALSE),"")</f>
        <v/>
      </c>
      <c r="AQ6" s="995" t="str">
        <f>IFERROR($T6+VLOOKUP($R6,'Voyage days'!$F$294:$H$377,3,FALSE),"")</f>
        <v/>
      </c>
      <c r="AR6" s="1312" t="str">
        <f t="shared" si="5"/>
        <v/>
      </c>
      <c r="AS6" s="995" t="str">
        <f>IFERROR($S6+VLOOKUP($R6,'Voyage days'!$F$382:$H$446,3,FALSE),"")</f>
        <v/>
      </c>
      <c r="AT6" s="995" t="str">
        <f>IFERROR($T6+VLOOKUP($R6,'Voyage days'!$F$382:$H$446,3,FALSE),"")</f>
        <v/>
      </c>
      <c r="AU6" s="1312" t="str">
        <f t="shared" si="6"/>
        <v/>
      </c>
      <c r="AV6" s="995" t="str">
        <f>IFERROR($S6+VLOOKUP($R6,'Voyage days'!$F$483:$H$538,3,FALSE),"")</f>
        <v/>
      </c>
      <c r="AW6" s="995" t="str">
        <f>IFERROR($T6+VLOOKUP($R6,'Voyage days'!$F$483:$H$538,3,FALSE),"")</f>
        <v/>
      </c>
      <c r="AX6" s="1312" t="str">
        <f t="shared" si="7"/>
        <v>01-02 May</v>
      </c>
      <c r="AY6" s="995">
        <f>IFERROR($S6+VLOOKUP($R6,'Voyage days'!$F$540:$H$613,3,FALSE),"")</f>
        <v>45413</v>
      </c>
      <c r="AZ6" s="995">
        <f>IFERROR($T6+VLOOKUP($R6,'Voyage days'!$F$540:$H$613,3,FALSE),"")</f>
        <v>45414</v>
      </c>
      <c r="BA6" s="1312" t="str">
        <f t="shared" si="8"/>
        <v/>
      </c>
      <c r="BB6" s="995" t="str">
        <f>IFERROR($S6+VLOOKUP($R6,'Voyage days'!$L$483:$N$535,3,FALSE),"")</f>
        <v/>
      </c>
      <c r="BC6" s="995" t="str">
        <f>IFERROR($T6+VLOOKUP($R6,'Voyage days'!$L$483:$N$535,3,FALSE),"")</f>
        <v/>
      </c>
      <c r="BD6" s="1312" t="str">
        <f t="shared" si="9"/>
        <v/>
      </c>
      <c r="BE6" s="995" t="str">
        <f>IFERROR($S6+VLOOKUP($R6,'Voyage days'!$F$620:$H$646,3,FALSE),"")</f>
        <v/>
      </c>
      <c r="BF6" s="995" t="str">
        <f>IFERROR($T6+VLOOKUP($R6,'Voyage days'!$F$620:$H$646,3,FALSE),"")</f>
        <v/>
      </c>
      <c r="BG6" s="1312" t="str">
        <f t="shared" si="10"/>
        <v/>
      </c>
      <c r="BH6" s="496" t="str">
        <f>IFERROR($S6+VLOOKUP($R6,'Voyage days'!$F$702:$H$727,3,FALSE),"")</f>
        <v/>
      </c>
      <c r="BI6" s="496" t="str">
        <f>IFERROR($T6+VLOOKUP($R6,'Voyage days'!$F$702:$H$727,3,FALSE),"")</f>
        <v/>
      </c>
      <c r="BJ6" s="496"/>
      <c r="BK6" s="496"/>
      <c r="BL6" s="496"/>
      <c r="BM6" s="496"/>
      <c r="BN6" s="496"/>
      <c r="BO6" s="496"/>
      <c r="BP6" s="496"/>
    </row>
    <row r="7" ht="15.75" customHeight="1">
      <c r="A7" s="23" t="s">
        <v>346</v>
      </c>
      <c r="B7" s="25">
        <v>2009.0</v>
      </c>
      <c r="C7" s="25">
        <v>82521.0</v>
      </c>
      <c r="D7" s="1303"/>
      <c r="E7" s="603" t="s">
        <v>2899</v>
      </c>
      <c r="F7" s="603"/>
      <c r="G7" s="1174" t="s">
        <v>3463</v>
      </c>
      <c r="H7" s="1304" t="s">
        <v>3464</v>
      </c>
      <c r="I7" s="1304"/>
      <c r="J7" s="1304" t="str">
        <f>IF(K7="","",VLOOKUP(K7,'Voyage days'!$A$3:$B$1480,2,FALSE))</f>
        <v>#N/A</v>
      </c>
      <c r="K7" s="1304">
        <f>IF(VLOOKUP(A7,'1) Kpler'!$E$2:$O$500,7, FALSE)="",VLOOKUP(A7,'1) Kpler'!$E$2:$O$500,10,FALSE),VLOOKUP(A7,'1) Kpler'!$E$2:$O$500,7, FALSE))</f>
        <v>9415686</v>
      </c>
      <c r="L7" s="1305" t="str">
        <f>IF(VLOOKUP(A7,'1) Kpler'!$E$2:$O$500,8,FALSE)="","",VLOOKUP(A7,'1) Kpler'!$E$2:$O$500,8,FALSE))</f>
        <v>Mundra</v>
      </c>
      <c r="M7" s="1317">
        <f>VLOOKUP(A7,'1) Kpler'!$E$2:$H$400,3,FALSE)</f>
        <v>58811</v>
      </c>
      <c r="N7" s="1306">
        <v>45202.0</v>
      </c>
      <c r="O7" s="1145">
        <v>44158.0</v>
      </c>
      <c r="P7" s="1143" t="s">
        <v>570</v>
      </c>
      <c r="Q7" s="1174"/>
      <c r="R7" s="603" t="s">
        <v>1031</v>
      </c>
      <c r="S7" s="1308">
        <v>45395.0</v>
      </c>
      <c r="T7" s="1318">
        <v>45396.0</v>
      </c>
      <c r="U7" s="1319"/>
      <c r="V7" s="603"/>
      <c r="W7" s="686"/>
      <c r="X7" s="603"/>
      <c r="Y7" s="1174"/>
      <c r="Z7" s="1314"/>
      <c r="AA7" s="1315"/>
      <c r="AB7" s="1321">
        <v>45638.0</v>
      </c>
      <c r="AC7" s="1321">
        <v>45639.0</v>
      </c>
      <c r="AD7" s="606" t="s">
        <v>570</v>
      </c>
      <c r="AE7" s="1321" t="s">
        <v>570</v>
      </c>
      <c r="AF7" s="995" t="s">
        <v>570</v>
      </c>
      <c r="AG7" s="1312" t="s">
        <v>570</v>
      </c>
      <c r="AH7" s="995" t="s">
        <v>570</v>
      </c>
      <c r="AI7" s="995" t="s">
        <v>570</v>
      </c>
      <c r="AJ7" s="1312" t="s">
        <v>570</v>
      </c>
      <c r="AK7" s="995" t="s">
        <v>570</v>
      </c>
      <c r="AL7" s="995" t="s">
        <v>570</v>
      </c>
      <c r="AM7" s="1312" t="s">
        <v>570</v>
      </c>
      <c r="AN7" s="995" t="s">
        <v>570</v>
      </c>
      <c r="AO7" s="995" t="s">
        <v>570</v>
      </c>
      <c r="AP7" s="1312" t="s">
        <v>570</v>
      </c>
      <c r="AQ7" s="995" t="s">
        <v>570</v>
      </c>
      <c r="AR7" s="995" t="s">
        <v>570</v>
      </c>
      <c r="AS7" s="1312" t="s">
        <v>570</v>
      </c>
      <c r="AT7" s="995" t="s">
        <v>570</v>
      </c>
      <c r="AU7" s="995" t="s">
        <v>570</v>
      </c>
      <c r="AV7" s="1312" t="s">
        <v>570</v>
      </c>
      <c r="AW7" s="995" t="s">
        <v>570</v>
      </c>
      <c r="AX7" s="995" t="s">
        <v>570</v>
      </c>
      <c r="AY7" s="1312" t="s">
        <v>570</v>
      </c>
      <c r="AZ7" s="995" t="s">
        <v>570</v>
      </c>
      <c r="BA7" s="995" t="s">
        <v>570</v>
      </c>
      <c r="BB7" s="1312" t="s">
        <v>570</v>
      </c>
      <c r="BC7" s="995" t="s">
        <v>570</v>
      </c>
      <c r="BD7" s="995" t="s">
        <v>570</v>
      </c>
      <c r="BE7" s="995"/>
      <c r="BF7" s="995"/>
      <c r="BG7" s="1312"/>
      <c r="BH7" s="496"/>
      <c r="BI7" s="496"/>
      <c r="BJ7" s="496"/>
      <c r="BK7" s="496"/>
      <c r="BL7" s="496"/>
      <c r="BM7" s="496"/>
      <c r="BN7" s="496"/>
      <c r="BO7" s="496"/>
      <c r="BP7" s="496"/>
    </row>
    <row r="8" ht="15.75" customHeight="1">
      <c r="A8" s="350" t="s">
        <v>348</v>
      </c>
      <c r="B8" s="1322">
        <v>39630.0</v>
      </c>
      <c r="C8" s="1008">
        <v>82500.0</v>
      </c>
      <c r="D8" s="1323"/>
      <c r="E8" s="1009" t="s">
        <v>2899</v>
      </c>
      <c r="F8" s="1009" t="s">
        <v>2945</v>
      </c>
      <c r="G8" s="1324"/>
      <c r="H8" s="1304"/>
      <c r="I8" s="1304"/>
      <c r="J8" s="1304" t="str">
        <f>IF(K8="","",VLOOKUP(K8,'Voyage days'!$A$3:$B$1480,2,FALSE))</f>
        <v>#N/A</v>
      </c>
      <c r="K8" s="1304">
        <f>IF(VLOOKUP(A8,'1) Kpler'!$E$2:$O$500,7, FALSE)="",VLOOKUP(A8,'1) Kpler'!$E$2:$O$500,10,FALSE),VLOOKUP(A8,'1) Kpler'!$E$2:$O$500,7, FALSE))</f>
        <v>9351919</v>
      </c>
      <c r="L8" s="1305" t="str">
        <f>IF(VLOOKUP(A8,'1) Kpler'!$E$2:$O$500,8,FALSE)="","",VLOOKUP(A8,'1) Kpler'!$E$2:$O$500,8,FALSE))</f>
        <v/>
      </c>
      <c r="M8" s="1317">
        <f>VLOOKUP(A8,'1) Kpler'!$E$2:$H$400,3,FALSE)</f>
        <v>58690</v>
      </c>
      <c r="N8" s="1324"/>
      <c r="O8" s="1325">
        <v>44562.0</v>
      </c>
      <c r="P8" s="1326" t="s">
        <v>1687</v>
      </c>
      <c r="Q8" s="1324"/>
      <c r="R8" s="1009" t="s">
        <v>1031</v>
      </c>
      <c r="S8" s="1327">
        <v>45413.0</v>
      </c>
      <c r="T8" s="1327">
        <v>45414.0</v>
      </c>
      <c r="U8" s="1328"/>
      <c r="V8" s="1329"/>
      <c r="W8" s="1009"/>
      <c r="X8" s="1009"/>
      <c r="Y8" s="1324"/>
      <c r="Z8" s="1330"/>
      <c r="AA8" s="1331"/>
      <c r="AF8" s="1312" t="str">
        <f>IF(AG8="","",TEXT(AG8,"dd")&amp;"-"&amp;TEXT(AH8,"dd mmm"))</f>
        <v>01-02 May</v>
      </c>
      <c r="AG8" s="995">
        <f>IFERROR($S8+VLOOKUP($R8,'Voyage days'!$F$38:$H$89,3,FALSE),"")</f>
        <v>45413</v>
      </c>
      <c r="AH8" s="995">
        <f>IFERROR(T8+VLOOKUP($R8,'Voyage days'!$F$38:$H$89,3,FALSE),"")</f>
        <v>45414</v>
      </c>
      <c r="AI8" s="1312" t="str">
        <f>IF(AJ8="","",TEXT(AJ8,"dd")&amp;"-"&amp;TEXT(AK8,"dd mmm"))</f>
        <v/>
      </c>
      <c r="AJ8" s="995" t="str">
        <f>IFERROR($S8+VLOOKUP($R8,'Voyage days'!$F$94:$H$193,3,FALSE),"")</f>
        <v/>
      </c>
      <c r="AK8" s="995" t="str">
        <f>IFERROR($T8+VLOOKUP($R8,'Voyage days'!$F$94:$H$193,3,FALSE),"")</f>
        <v/>
      </c>
      <c r="AL8" s="1312" t="str">
        <f>IF(AM8="","",TEXT(AM8,"dd")&amp;"-"&amp;TEXT(AN8,"dd mmm"))</f>
        <v/>
      </c>
      <c r="AM8" s="995" t="str">
        <f>IFERROR($S8+VLOOKUP($R8,'Voyage days'!$F$203:$H$256,3,FALSE),"")</f>
        <v/>
      </c>
      <c r="AN8" s="995" t="str">
        <f>IFERROR($T8+VLOOKUP($R8,'Voyage days'!$F$203:$H$256,3,FALSE),"")</f>
        <v/>
      </c>
      <c r="AO8" s="1312" t="str">
        <f>IF(AP8="","",TEXT(AP8,"dd")&amp;"-"&amp;TEXT(AQ8,"dd mmm"))</f>
        <v/>
      </c>
      <c r="AP8" s="995" t="str">
        <f>IFERROR($S8+VLOOKUP($R8,'Voyage days'!$F$294:$H$377,3,FALSE),"")</f>
        <v/>
      </c>
      <c r="AQ8" s="995" t="str">
        <f>IFERROR($T8+VLOOKUP($R8,'Voyage days'!$F$294:$H$377,3,FALSE),"")</f>
        <v/>
      </c>
      <c r="AR8" s="1312" t="str">
        <f>IF(AS8="","",TEXT(AS8,"dd")&amp;"-"&amp;TEXT(AT8,"dd mmm"))</f>
        <v/>
      </c>
      <c r="AS8" s="995" t="str">
        <f>IFERROR($S8+VLOOKUP($R8,'Voyage days'!$F$382:$H$446,3,FALSE),"")</f>
        <v/>
      </c>
      <c r="AT8" s="995" t="str">
        <f>IFERROR($T8+VLOOKUP($R8,'Voyage days'!$F$382:$H$446,3,FALSE),"")</f>
        <v/>
      </c>
      <c r="AU8" s="1312" t="str">
        <f>IF(AV8="","",TEXT(AV8,"dd")&amp;"-"&amp;TEXT(AW8,"dd mmm"))</f>
        <v/>
      </c>
      <c r="AV8" s="995" t="str">
        <f>IFERROR($S8+VLOOKUP($R8,'Voyage days'!$F$483:$H$538,3,FALSE),"")</f>
        <v/>
      </c>
      <c r="AW8" s="995" t="str">
        <f>IFERROR($T8+VLOOKUP($R8,'Voyage days'!$F$483:$H$538,3,FALSE),"")</f>
        <v/>
      </c>
      <c r="AX8" s="1312" t="str">
        <f>IF(AY8="","",TEXT(AY8,"dd")&amp;"-"&amp;TEXT(AZ8,"dd mmm"))</f>
        <v>20-21 May</v>
      </c>
      <c r="AY8" s="995">
        <f>IFERROR($S8+VLOOKUP($R8,'Voyage days'!$F$540:$H$613,3,FALSE),"")</f>
        <v>45432</v>
      </c>
      <c r="AZ8" s="995">
        <f>IFERROR($T8+VLOOKUP($R8,'Voyage days'!$F$540:$H$613,3,FALSE),"")</f>
        <v>45433</v>
      </c>
      <c r="BA8" s="1312" t="str">
        <f>IF(BB8="","",TEXT(BB8,"dd")&amp;"-"&amp;TEXT(BC8,"dd mmm"))</f>
        <v/>
      </c>
      <c r="BB8" s="995" t="str">
        <f>IFERROR($S8+VLOOKUP($R8,'Voyage days'!$L$483:$N$535,3,FALSE),"")</f>
        <v/>
      </c>
      <c r="BC8" s="995" t="str">
        <f>IFERROR($T8+VLOOKUP($R8,'Voyage days'!$L$483:$N$535,3,FALSE),"")</f>
        <v/>
      </c>
      <c r="BD8" s="1312" t="str">
        <f>IF(BE8="","",TEXT(BE8,"dd")&amp;"-"&amp;TEXT(BF8,"dd mmm"))</f>
        <v/>
      </c>
      <c r="BE8" s="995" t="str">
        <f>IFERROR($S8+VLOOKUP($R8,'Voyage days'!$F$620:$H$646,3,FALSE),"")</f>
        <v/>
      </c>
      <c r="BF8" s="995" t="str">
        <f>IFERROR($T8+VLOOKUP($R8,'Voyage days'!$F$620:$H$646,3,FALSE),"")</f>
        <v/>
      </c>
      <c r="BG8" s="1312" t="str">
        <f>IF(BH8="","",TEXT(BH8,"dd")&amp;"-"&amp;TEXT(BI8,"dd mmm"))</f>
        <v/>
      </c>
      <c r="BH8" s="123" t="str">
        <f>IFERROR($S8+VLOOKUP($R8,'Voyage days'!$F$702:$H$727,3,FALSE),"")</f>
        <v/>
      </c>
      <c r="BI8" s="123" t="str">
        <f>IFERROR($T8+VLOOKUP($R8,'Voyage days'!$F$702:$H$727,3,FALSE),"")</f>
        <v/>
      </c>
      <c r="BJ8" s="496"/>
      <c r="BK8" s="496"/>
      <c r="BL8" s="496"/>
      <c r="BM8" s="496"/>
      <c r="BN8" s="496"/>
      <c r="BO8" s="496"/>
      <c r="BP8" s="496"/>
    </row>
    <row r="9" ht="15.75" customHeight="1">
      <c r="A9" s="1332" t="s">
        <v>344</v>
      </c>
      <c r="B9" s="222">
        <v>40260.0</v>
      </c>
      <c r="C9" s="165">
        <v>82521.0</v>
      </c>
      <c r="D9" s="1333"/>
      <c r="E9" s="1334"/>
      <c r="F9" s="1335"/>
      <c r="G9" s="1336" t="s">
        <v>2904</v>
      </c>
      <c r="H9" s="606"/>
      <c r="I9" s="1337"/>
      <c r="J9" s="1337"/>
      <c r="K9" s="1337"/>
      <c r="L9" s="1338"/>
      <c r="M9" s="1337"/>
      <c r="N9" s="1339"/>
      <c r="O9" s="1340"/>
      <c r="P9" s="1335"/>
      <c r="Q9" s="1335"/>
      <c r="R9" s="1335"/>
      <c r="S9" s="1334"/>
      <c r="T9" s="1339"/>
      <c r="U9" s="1335"/>
      <c r="V9" s="1341"/>
      <c r="W9" s="1335"/>
      <c r="X9" s="1335"/>
      <c r="Y9" s="1335"/>
      <c r="Z9" s="1342"/>
      <c r="AA9" s="1321"/>
      <c r="AF9" s="1316"/>
      <c r="AG9" s="1343"/>
      <c r="AH9" s="1343"/>
      <c r="AI9" s="1316"/>
      <c r="AJ9" s="1343"/>
      <c r="AK9" s="1343"/>
      <c r="AL9" s="1316"/>
      <c r="AM9" s="1343"/>
      <c r="AN9" s="1343"/>
      <c r="AO9" s="1316"/>
      <c r="AP9" s="1343"/>
      <c r="AQ9" s="1343"/>
      <c r="AR9" s="1316"/>
      <c r="AS9" s="1343"/>
      <c r="AT9" s="1343"/>
      <c r="AU9" s="1316"/>
      <c r="AV9" s="1343"/>
      <c r="AW9" s="1343"/>
      <c r="AX9" s="1316"/>
      <c r="AY9" s="1343"/>
      <c r="AZ9" s="1343"/>
      <c r="BA9" s="1316"/>
      <c r="BB9" s="1343"/>
      <c r="BC9" s="1343"/>
      <c r="BD9" s="1316"/>
      <c r="BE9" s="1343"/>
      <c r="BF9" s="1343"/>
      <c r="BG9" s="1316"/>
      <c r="BH9" s="1321"/>
      <c r="BI9" s="1321"/>
      <c r="BJ9" s="1321"/>
      <c r="BK9" s="1321"/>
      <c r="BL9" s="1321"/>
      <c r="BM9" s="1321"/>
      <c r="BN9" s="1321"/>
      <c r="BO9" s="1321"/>
      <c r="BP9" s="1321"/>
    </row>
    <row r="10" ht="15.75" customHeight="1">
      <c r="A10" s="1248" t="s">
        <v>467</v>
      </c>
      <c r="B10" s="1002">
        <v>39417.0</v>
      </c>
      <c r="C10" s="1344">
        <v>83800.0</v>
      </c>
      <c r="D10" s="1333"/>
      <c r="E10" s="1345" t="s">
        <v>1362</v>
      </c>
      <c r="F10" s="686" t="s">
        <v>3465</v>
      </c>
      <c r="G10" s="1345"/>
      <c r="H10" s="1346"/>
      <c r="I10" s="1347"/>
      <c r="J10" s="1347" t="str">
        <f>IF(K10="","",VLOOKUP(K10,'Voyage days'!$A$3:$B$1480,2,FALSE))</f>
        <v>#N/A</v>
      </c>
      <c r="K10" s="1347">
        <f>IF(VLOOKUP(A10,'1) Kpler'!$E$2:$O$500,7, FALSE)="",VLOOKUP(A10,'1) Kpler'!$E$2:$O$500,10,FALSE),VLOOKUP(A10,'1) Kpler'!$E$2:$O$500,7, FALSE))</f>
        <v>9350288</v>
      </c>
      <c r="L10" s="1348" t="str">
        <f>IF(VLOOKUP(A10,'1) Kpler'!$E$2:$O$500,8,FALSE)="","",VLOOKUP(A10,'1) Kpler'!$E$2:$O$500,8,FALSE))</f>
        <v>Fujairah</v>
      </c>
      <c r="M10" s="1349">
        <f>VLOOKUP(A10,'1) Kpler'!$E$2:$H$400,3,FALSE)</f>
        <v>54975</v>
      </c>
      <c r="N10" s="1350"/>
      <c r="O10" s="1351"/>
      <c r="P10" s="686" t="s">
        <v>1687</v>
      </c>
      <c r="Q10" s="686"/>
      <c r="R10" s="686"/>
      <c r="S10" s="1345" t="s">
        <v>2086</v>
      </c>
      <c r="T10" s="1350">
        <v>45446.0</v>
      </c>
      <c r="U10" s="686"/>
      <c r="V10" s="1352" t="s">
        <v>3466</v>
      </c>
      <c r="W10" s="686"/>
      <c r="X10" s="686"/>
      <c r="Y10" s="686"/>
      <c r="Z10" s="1353"/>
      <c r="AA10" s="1321"/>
      <c r="AF10" s="1316" t="str">
        <f t="shared" ref="AF10:AF12" si="11">IF(AG10="","",TEXT(AG10,"dd")&amp;"-"&amp;TEXT(AH10,"dd mmm"))</f>
        <v/>
      </c>
      <c r="AG10" s="1343" t="str">
        <f>IFERROR($S10+VLOOKUP($R10,'Voyage days'!$F$38:$H$89,3,FALSE),"")</f>
        <v/>
      </c>
      <c r="AH10" s="1343" t="str">
        <f>IFERROR(T10+VLOOKUP($R10,'Voyage days'!$F$38:$H$89,3,FALSE),"")</f>
        <v/>
      </c>
      <c r="AI10" s="1316" t="str">
        <f t="shared" ref="AI10:AI12" si="12">IF(AJ10="","",TEXT(AJ10,"dd")&amp;"-"&amp;TEXT(AK10,"dd mmm"))</f>
        <v/>
      </c>
      <c r="AJ10" s="1343" t="str">
        <f>IF(P10="P",IFERROR($S10+VLOOKUP($R10,'Voyage days'!$F$94:$H$193,3,FALSE),""),"")</f>
        <v/>
      </c>
      <c r="AK10" s="1343" t="str">
        <f>IF(P10="P",IFERROR($T10+VLOOKUP($R10,'Voyage days'!$F$94:$H$193,3,FALSE),""),"")</f>
        <v/>
      </c>
      <c r="AL10" s="1316" t="str">
        <f t="shared" ref="AL10:AL12" si="13">IF(AM10="","",TEXT(AM10,"dd")&amp;"-"&amp;TEXT(AN10,"dd mmm"))</f>
        <v/>
      </c>
      <c r="AM10" s="1343" t="str">
        <f>IFERROR($S10+VLOOKUP($R10,'Voyage days'!$F$203:$H$256,3,FALSE),"")</f>
        <v/>
      </c>
      <c r="AN10" s="1343" t="str">
        <f>IFERROR($T10+VLOOKUP($R10,'Voyage days'!$F$203:$H$256,3,FALSE),"")</f>
        <v/>
      </c>
      <c r="AO10" s="1316" t="str">
        <f t="shared" ref="AO10:AO12" si="14">IF(AP10="","",TEXT(AP10,"dd")&amp;"-"&amp;TEXT(AQ10,"dd mmm"))</f>
        <v/>
      </c>
      <c r="AP10" s="1343" t="str">
        <f>IFERROR($S10+VLOOKUP($R10,'Voyage days'!$F$294:$H$377,3,FALSE),"")</f>
        <v/>
      </c>
      <c r="AQ10" s="1343" t="str">
        <f>IFERROR($T10+VLOOKUP($R10,'Voyage days'!$F$294:$H$377,3,FALSE),"")</f>
        <v/>
      </c>
      <c r="AR10" s="1316" t="str">
        <f t="shared" ref="AR10:AR12" si="15">IF(AS10="","",TEXT(AS10,"dd")&amp;"-"&amp;TEXT(AT10,"dd mmm"))</f>
        <v/>
      </c>
      <c r="AS10" s="1343" t="str">
        <f>IFERROR($S10+VLOOKUP($R10,'Voyage days'!$F$382:$H$446,3,FALSE),"")</f>
        <v/>
      </c>
      <c r="AT10" s="1343" t="str">
        <f>IFERROR($T10+VLOOKUP($R10,'Voyage days'!$F$382:$H$446,3,FALSE),"")</f>
        <v/>
      </c>
      <c r="AU10" s="1316" t="str">
        <f t="shared" ref="AU10:AU12" si="16">IF(AV10="","",TEXT(AV10,"dd")&amp;"-"&amp;TEXT(AW10,"dd mmm"))</f>
        <v/>
      </c>
      <c r="AV10" s="1343" t="str">
        <f>IFERROR($S10+VLOOKUP($R10,'Voyage days'!$F$483:$H$538,3,FALSE),"")</f>
        <v/>
      </c>
      <c r="AW10" s="1343" t="str">
        <f>IFERROR($T10+VLOOKUP($R10,'Voyage days'!$F$483:$H$538,3,FALSE),"")</f>
        <v/>
      </c>
      <c r="AX10" s="1316" t="str">
        <f t="shared" ref="AX10:AX12" si="17">IF(AY10="","",TEXT(AY10,"dd")&amp;"-"&amp;TEXT(AZ10,"dd mmm"))</f>
        <v/>
      </c>
      <c r="AY10" s="1343" t="str">
        <f>IFERROR($S10+VLOOKUP($R10,'Voyage days'!$F$540:$H$613,3,FALSE),"")</f>
        <v/>
      </c>
      <c r="AZ10" s="1343" t="str">
        <f>IFERROR($T10+VLOOKUP($R10,'Voyage days'!$F$540:$H$613,3,FALSE),"")</f>
        <v/>
      </c>
      <c r="BA10" s="1316" t="str">
        <f t="shared" ref="BA10:BA12" si="18">IF(BB10="","",TEXT(BB10,"dd")&amp;"-"&amp;TEXT(BC10,"dd mmm"))</f>
        <v/>
      </c>
      <c r="BB10" s="1343" t="str">
        <f>IFERROR($S10+VLOOKUP($R10,'Voyage days'!$L$483:$N$535,3,FALSE),"")</f>
        <v/>
      </c>
      <c r="BC10" s="1343" t="str">
        <f>IFERROR($T10+VLOOKUP($R10,'Voyage days'!$L$483:$N$535,3,FALSE),"")</f>
        <v/>
      </c>
      <c r="BD10" s="1316" t="str">
        <f t="shared" ref="BD10:BD12" si="19">IF(BE10="","",TEXT(BE10,"dd")&amp;"-"&amp;TEXT(BF10,"dd mmm"))</f>
        <v/>
      </c>
      <c r="BE10" s="1343" t="str">
        <f>IFERROR($S10+VLOOKUP($R10,'Voyage days'!$F$620:$H$646,3,FALSE),"")</f>
        <v/>
      </c>
      <c r="BF10" s="1343" t="str">
        <f>IFERROR($T10+VLOOKUP($R10,'Voyage days'!$F$620:$H$646,3,FALSE),"")</f>
        <v/>
      </c>
      <c r="BG10" s="1316" t="str">
        <f t="shared" ref="BG10:BG12" si="20">IF(BH10="","",TEXT(BH10,"dd")&amp;"-"&amp;TEXT(BI10,"dd mmm"))</f>
        <v/>
      </c>
      <c r="BH10" s="1321"/>
      <c r="BI10" s="1321"/>
      <c r="BJ10" s="1321"/>
      <c r="BK10" s="1321"/>
      <c r="BL10" s="1321"/>
      <c r="BM10" s="1321"/>
      <c r="BN10" s="1321"/>
      <c r="BO10" s="1321"/>
      <c r="BP10" s="1321"/>
    </row>
    <row r="11" ht="15.75" customHeight="1">
      <c r="A11" s="606" t="s">
        <v>1349</v>
      </c>
      <c r="B11" s="561">
        <v>39356.0</v>
      </c>
      <c r="C11" s="25">
        <v>82000.0</v>
      </c>
      <c r="D11" s="1303"/>
      <c r="E11" s="603" t="s">
        <v>1362</v>
      </c>
      <c r="F11" s="686" t="s">
        <v>2935</v>
      </c>
      <c r="G11" s="1354"/>
      <c r="H11" s="1304"/>
      <c r="I11" s="1304"/>
      <c r="J11" s="1304" t="str">
        <f>IF(K11="","",VLOOKUP(K11,'Voyage days'!$A$3:$B$1480,2,FALSE))</f>
        <v>#N/A</v>
      </c>
      <c r="K11" s="1304">
        <f>IF(VLOOKUP(A11,'1) Kpler'!$E$2:$O$500,7, FALSE)="",VLOOKUP(A11,'1) Kpler'!$E$2:$O$500,10,FALSE),VLOOKUP(A11,'1) Kpler'!$E$2:$O$500,7, FALSE))</f>
        <v>9320752</v>
      </c>
      <c r="L11" s="1305" t="str">
        <f>IF(VLOOKUP(A11,'1) Kpler'!$E$2:$O$500,8,FALSE)="","",VLOOKUP(A11,'1) Kpler'!$E$2:$O$500,8,FALSE))</f>
        <v/>
      </c>
      <c r="M11" s="1317">
        <f>VLOOKUP(A11,'1) Kpler'!$E$2:$H$400,3,FALSE)</f>
        <v>58136</v>
      </c>
      <c r="N11" s="1306">
        <v>45170.0</v>
      </c>
      <c r="O11" s="1145">
        <v>44136.0</v>
      </c>
      <c r="P11" s="1143" t="s">
        <v>1687</v>
      </c>
      <c r="Q11" s="1174"/>
      <c r="R11" s="603" t="s">
        <v>1085</v>
      </c>
      <c r="S11" s="1307">
        <v>45408.0</v>
      </c>
      <c r="T11" s="1307">
        <v>45409.0</v>
      </c>
      <c r="U11" s="1309"/>
      <c r="V11" s="1355"/>
      <c r="W11" s="603"/>
      <c r="X11" s="603"/>
      <c r="Y11" s="1174"/>
      <c r="Z11" s="1356"/>
      <c r="AA11" s="1311"/>
      <c r="AF11" s="1357" t="str">
        <f t="shared" si="11"/>
        <v>01-02 May</v>
      </c>
      <c r="AG11" s="1358">
        <f>IFERROR($S11+VLOOKUP($R11,'Voyage days'!$F$38:$H$89,3,FALSE),"")</f>
        <v>45413</v>
      </c>
      <c r="AH11" s="1358">
        <f>IFERROR(T11+VLOOKUP($R11,'Voyage days'!$F$38:$H$89,3,FALSE),"")</f>
        <v>45414</v>
      </c>
      <c r="AI11" s="1357" t="str">
        <f t="shared" si="12"/>
        <v/>
      </c>
      <c r="AJ11" s="1358" t="str">
        <f>IFERROR($S11+VLOOKUP($R11,'Voyage days'!$F$94:$H$193,3,FALSE),"")</f>
        <v/>
      </c>
      <c r="AK11" s="1358" t="str">
        <f>IFERROR($T11+VLOOKUP($R11,'Voyage days'!$F$94:$H$193,3,FALSE),"")</f>
        <v/>
      </c>
      <c r="AL11" s="1357" t="str">
        <f t="shared" si="13"/>
        <v>28-29 May</v>
      </c>
      <c r="AM11" s="1358">
        <f>IFERROR($S11+VLOOKUP($R11,'Voyage days'!$F$203:$H$256,3,FALSE),"")</f>
        <v>45440</v>
      </c>
      <c r="AN11" s="1358">
        <f>IFERROR($T11+VLOOKUP($R11,'Voyage days'!$F$203:$H$256,3,FALSE),"")</f>
        <v>45441</v>
      </c>
      <c r="AO11" s="1357" t="str">
        <f t="shared" si="14"/>
        <v>15-16 May</v>
      </c>
      <c r="AP11" s="1358">
        <f>IFERROR($S11+VLOOKUP($R11,'Voyage days'!$F$294:$H$377,3,FALSE),"")</f>
        <v>45427</v>
      </c>
      <c r="AQ11" s="1358">
        <f>IFERROR($T11+VLOOKUP($R11,'Voyage days'!$F$294:$H$377,3,FALSE),"")</f>
        <v>45428</v>
      </c>
      <c r="AR11" s="1357" t="str">
        <f t="shared" si="15"/>
        <v>09-10 May</v>
      </c>
      <c r="AS11" s="1358">
        <f>IFERROR($S11+VLOOKUP($R11,'Voyage days'!$F$382:$H$446,3,FALSE),"")</f>
        <v>45421</v>
      </c>
      <c r="AT11" s="1358">
        <f>IFERROR($T11+VLOOKUP($R11,'Voyage days'!$F$382:$H$446,3,FALSE),"")</f>
        <v>45422</v>
      </c>
      <c r="AU11" s="1357" t="str">
        <f t="shared" si="16"/>
        <v/>
      </c>
      <c r="AV11" s="1358" t="str">
        <f>IFERROR($S11+VLOOKUP($R11,'Voyage days'!$F$483:$H$538,3,FALSE),"")</f>
        <v/>
      </c>
      <c r="AW11" s="1358" t="str">
        <f>IFERROR($T11+VLOOKUP($R11,'Voyage days'!$F$483:$H$538,3,FALSE),"")</f>
        <v/>
      </c>
      <c r="AX11" s="1357" t="str">
        <f t="shared" si="17"/>
        <v/>
      </c>
      <c r="AY11" s="1358" t="str">
        <f>IFERROR($S11+VLOOKUP($R11,'Voyage days'!$F$540:$H$613,3,FALSE),"")</f>
        <v/>
      </c>
      <c r="AZ11" s="1358" t="str">
        <f>IFERROR($T11+VLOOKUP($R11,'Voyage days'!$F$540:$H$613,3,FALSE),"")</f>
        <v/>
      </c>
      <c r="BA11" s="1357" t="str">
        <f t="shared" si="18"/>
        <v/>
      </c>
      <c r="BB11" s="1358" t="str">
        <f>IFERROR($S11+VLOOKUP($R11,'Voyage days'!$L$483:$N$535,3,FALSE),"")</f>
        <v/>
      </c>
      <c r="BC11" s="1358" t="str">
        <f>IFERROR($T11+VLOOKUP($R11,'Voyage days'!$L$483:$N$535,3,FALSE),"")</f>
        <v/>
      </c>
      <c r="BD11" s="1357" t="str">
        <f t="shared" si="19"/>
        <v/>
      </c>
      <c r="BE11" s="1358" t="str">
        <f>IFERROR($S11+VLOOKUP($R11,'Voyage days'!$F$620:$H$646,3,FALSE),"")</f>
        <v/>
      </c>
      <c r="BF11" s="1358" t="str">
        <f>IFERROR($T11+VLOOKUP($R11,'Voyage days'!$F$620:$H$646,3,FALSE),"")</f>
        <v/>
      </c>
      <c r="BG11" s="1357" t="str">
        <f t="shared" si="20"/>
        <v/>
      </c>
      <c r="BH11" s="496" t="str">
        <f>IFERROR($S11+VLOOKUP($R11,'Voyage days'!$F$702:$H$727,3,FALSE),"")</f>
        <v/>
      </c>
      <c r="BI11" s="496" t="str">
        <f>IFERROR($T11+VLOOKUP($R11,'Voyage days'!$F$702:$H$727,3,FALSE),"")</f>
        <v/>
      </c>
      <c r="BJ11" s="496"/>
      <c r="BK11" s="496"/>
      <c r="BL11" s="496"/>
      <c r="BM11" s="496"/>
      <c r="BN11" s="496"/>
      <c r="BO11" s="496"/>
      <c r="BP11" s="496"/>
    </row>
    <row r="12" ht="15.75" customHeight="1">
      <c r="A12" s="606" t="s">
        <v>2924</v>
      </c>
      <c r="B12" s="561">
        <v>39508.0</v>
      </c>
      <c r="C12" s="25">
        <v>82000.0</v>
      </c>
      <c r="D12" s="1303"/>
      <c r="E12" s="603" t="s">
        <v>1362</v>
      </c>
      <c r="F12" s="1359" t="s">
        <v>2935</v>
      </c>
      <c r="G12" s="1174"/>
      <c r="H12" s="1304"/>
      <c r="I12" s="1304"/>
      <c r="J12" s="1304" t="str">
        <f>IF(K12="","",VLOOKUP(K12,'Voyage days'!$A$3:$B$1480,2,FALSE))</f>
        <v>#N/A</v>
      </c>
      <c r="K12" s="1304">
        <f>IF(VLOOKUP(A12,'1) Kpler'!$E$2:$O$500,7, FALSE)="",VLOOKUP(A12,'1) Kpler'!$E$2:$O$500,10,FALSE),VLOOKUP(A12,'1) Kpler'!$E$2:$O$500,7, FALSE))</f>
        <v>9346122</v>
      </c>
      <c r="L12" s="1305" t="str">
        <f>IF(VLOOKUP(A12,'1) Kpler'!$E$2:$O$500,8,FALSE)="","",VLOOKUP(A12,'1) Kpler'!$E$2:$O$500,8,FALSE))</f>
        <v/>
      </c>
      <c r="M12" s="1317">
        <f>VLOOKUP(A12,'1) Kpler'!$E$2:$H$400,3,FALSE)</f>
        <v>50700</v>
      </c>
      <c r="N12" s="1306">
        <v>45200.0</v>
      </c>
      <c r="O12" s="1145"/>
      <c r="P12" s="1143" t="s">
        <v>1687</v>
      </c>
      <c r="Q12" s="1174"/>
      <c r="R12" s="603" t="s">
        <v>1231</v>
      </c>
      <c r="S12" s="1308">
        <v>45408.0</v>
      </c>
      <c r="T12" s="1313">
        <v>45409.0</v>
      </c>
      <c r="U12" s="1309"/>
      <c r="V12" s="603"/>
      <c r="W12" s="603"/>
      <c r="X12" s="603"/>
      <c r="Y12" s="1174"/>
      <c r="Z12" s="1356"/>
      <c r="AA12" s="1311"/>
      <c r="AF12" s="1312" t="str">
        <f t="shared" si="11"/>
        <v>05-06 May</v>
      </c>
      <c r="AG12" s="995">
        <f>IFERROR($S12+VLOOKUP($R12,'Voyage days'!$F$38:$H$89,3,FALSE),"")</f>
        <v>45417</v>
      </c>
      <c r="AH12" s="995">
        <f>IFERROR(T12+VLOOKUP($R12,'Voyage days'!$F$38:$H$89,3,FALSE),"")</f>
        <v>45418</v>
      </c>
      <c r="AI12" s="1312" t="str">
        <f t="shared" si="12"/>
        <v/>
      </c>
      <c r="AJ12" s="995" t="str">
        <f>IFERROR($S12+VLOOKUP($R12,'Voyage days'!$F$94:$H$193,3,FALSE),"")</f>
        <v/>
      </c>
      <c r="AK12" s="995" t="str">
        <f>IFERROR($T12+VLOOKUP($R12,'Voyage days'!$F$94:$H$193,3,FALSE),"")</f>
        <v/>
      </c>
      <c r="AL12" s="1312" t="str">
        <f t="shared" si="13"/>
        <v>01-02 Jun</v>
      </c>
      <c r="AM12" s="995">
        <f>IFERROR($S12+VLOOKUP($R12,'Voyage days'!$F$203:$H$256,3,FALSE),"")</f>
        <v>45444</v>
      </c>
      <c r="AN12" s="995">
        <f>IFERROR($T12+VLOOKUP($R12,'Voyage days'!$F$203:$H$256,3,FALSE),"")</f>
        <v>45445</v>
      </c>
      <c r="AO12" s="1312" t="str">
        <f t="shared" si="14"/>
        <v>17-18 May</v>
      </c>
      <c r="AP12" s="995">
        <f>IFERROR($S12+VLOOKUP($R12,'Voyage days'!$F$294:$H$377,3,FALSE),"")</f>
        <v>45429</v>
      </c>
      <c r="AQ12" s="995">
        <f>IFERROR($T12+VLOOKUP($R12,'Voyage days'!$F$294:$H$377,3,FALSE),"")</f>
        <v>45430</v>
      </c>
      <c r="AR12" s="1312" t="str">
        <f t="shared" si="15"/>
        <v>24-25 May</v>
      </c>
      <c r="AS12" s="995">
        <f>IFERROR($S12+VLOOKUP($R12,'Voyage days'!$F$382:$H$446,3,FALSE),"")</f>
        <v>45436</v>
      </c>
      <c r="AT12" s="995">
        <f>IFERROR($T12+VLOOKUP($R12,'Voyage days'!$F$382:$H$446,3,FALSE),"")</f>
        <v>45437</v>
      </c>
      <c r="AU12" s="1312" t="str">
        <f t="shared" si="16"/>
        <v>26-27 Apr</v>
      </c>
      <c r="AV12" s="995">
        <f>IFERROR($S12+VLOOKUP($R12,'Voyage days'!$F$483:$H$538,3,FALSE),"")</f>
        <v>45408</v>
      </c>
      <c r="AW12" s="995">
        <f>IFERROR($T12+VLOOKUP($R12,'Voyage days'!$F$483:$H$538,3,FALSE),"")</f>
        <v>45409</v>
      </c>
      <c r="AX12" s="1312" t="str">
        <f t="shared" si="17"/>
        <v/>
      </c>
      <c r="AY12" s="995" t="str">
        <f>IFERROR($S12+VLOOKUP($R12,'Voyage days'!$F$540:$H$613,3,FALSE),"")</f>
        <v/>
      </c>
      <c r="AZ12" s="995" t="str">
        <f>IFERROR($T12+VLOOKUP($R12,'Voyage days'!$F$540:$H$613,3,FALSE),"")</f>
        <v/>
      </c>
      <c r="BA12" s="1312" t="str">
        <f t="shared" si="18"/>
        <v/>
      </c>
      <c r="BB12" s="995" t="str">
        <f>IFERROR($S12+VLOOKUP($R12,'Voyage days'!$L$483:$N$535,3,FALSE),"")</f>
        <v/>
      </c>
      <c r="BC12" s="995" t="str">
        <f>IFERROR($T12+VLOOKUP($R12,'Voyage days'!$L$483:$N$535,3,FALSE),"")</f>
        <v/>
      </c>
      <c r="BD12" s="1312" t="str">
        <f t="shared" si="19"/>
        <v/>
      </c>
      <c r="BE12" s="995" t="str">
        <f>IFERROR($S12+VLOOKUP($R12,'Voyage days'!$F$620:$H$646,3,FALSE),"")</f>
        <v/>
      </c>
      <c r="BF12" s="995" t="str">
        <f>IFERROR($T12+VLOOKUP($R12,'Voyage days'!$F$620:$H$646,3,FALSE),"")</f>
        <v/>
      </c>
      <c r="BG12" s="1312" t="str">
        <f t="shared" si="20"/>
        <v/>
      </c>
      <c r="BH12" s="496" t="str">
        <f>IFERROR($S12+VLOOKUP($R12,'Voyage days'!$F$702:$H$727,3,FALSE),"")</f>
        <v/>
      </c>
      <c r="BI12" s="496" t="str">
        <f>IFERROR($T12+VLOOKUP($R12,'Voyage days'!$F$702:$H$727,3,FALSE),"")</f>
        <v/>
      </c>
      <c r="BJ12" s="496"/>
      <c r="BK12" s="496"/>
      <c r="BL12" s="496"/>
      <c r="BM12" s="496"/>
      <c r="BN12" s="496"/>
      <c r="BO12" s="496"/>
      <c r="BP12" s="496"/>
    </row>
    <row r="13">
      <c r="A13" s="147" t="s">
        <v>1361</v>
      </c>
      <c r="B13" s="101">
        <v>39448.0</v>
      </c>
      <c r="C13" s="1045">
        <v>83800.0</v>
      </c>
      <c r="D13" s="383"/>
      <c r="E13" s="104" t="s">
        <v>1687</v>
      </c>
      <c r="F13" s="103"/>
      <c r="G13" s="604"/>
      <c r="H13" s="605"/>
      <c r="I13" s="103"/>
      <c r="J13" s="185" t="s">
        <v>1330</v>
      </c>
      <c r="K13" s="111" t="s">
        <v>2935</v>
      </c>
      <c r="L13" s="336" t="str">
        <f>IF(X13="","NO AIS",IF((X13-N13-1)&gt;0,"Update",""))</f>
        <v>NO AIS</v>
      </c>
      <c r="M13" s="108" t="s">
        <v>1231</v>
      </c>
      <c r="N13" s="109">
        <v>45782.0</v>
      </c>
      <c r="O13" s="109">
        <v>45784.0</v>
      </c>
      <c r="P13" s="191" t="s">
        <v>1448</v>
      </c>
      <c r="Q13" s="108" t="s">
        <v>3467</v>
      </c>
      <c r="R13" s="185"/>
      <c r="S13" s="185"/>
      <c r="T13" s="112" t="s">
        <v>2962</v>
      </c>
      <c r="U13" s="113">
        <v>45775.0</v>
      </c>
      <c r="V13" s="114" t="str">
        <f>IF(W13="","No AIS",VLOOKUP(W13,'Voyage days'!$A$3:$B$1480,2,FALSE))</f>
        <v>No AIS</v>
      </c>
      <c r="W13" s="115" t="str">
        <f>IF(VLOOKUP(A13,'1) Kpler'!$E$2:$P$1000,8, FALSE)="","",VLOOKUP(A13,'1) Kpler'!$E$2:$P$1000,8, FALSE))</f>
        <v/>
      </c>
      <c r="X13" s="116" t="str">
        <f>IF(VLOOKUP(A13,'1) Kpler'!$E$2:$P$1000,9,FALSE)="","",VLOOKUP(A13,'1) Kpler'!$E$2:$P$1000,9,FALSE))</f>
        <v/>
      </c>
      <c r="Y13" s="115" t="str">
        <f>VLOOKUP(A13,'1) Kpler'!$E$2:$I$1000,4,FALSE)</f>
        <v>loaded</v>
      </c>
      <c r="Z13" s="117" t="str">
        <f>AH13</f>
        <v>14-16 May</v>
      </c>
      <c r="AA13" s="117" t="str">
        <f>AK13</f>
        <v/>
      </c>
      <c r="AB13" s="117" t="str">
        <f>AN13</f>
        <v>10-12 Jun</v>
      </c>
      <c r="AC13" s="117" t="str">
        <f>AQ13</f>
        <v>26-28 May</v>
      </c>
      <c r="AD13" s="117" t="str">
        <f>AT13</f>
        <v>02-04 Jun</v>
      </c>
      <c r="AE13" s="117" t="str">
        <f>BC13</f>
        <v/>
      </c>
      <c r="AF13" s="118" t="str">
        <f>AZ13</f>
        <v/>
      </c>
      <c r="AG13" s="1260" t="str">
        <f>BK13</f>
        <v>12-14 Jun</v>
      </c>
      <c r="AH13" s="120" t="str">
        <f>IF(AI13="","",TEXT(AI13,"dd")&amp;"-"&amp;TEXT(AJ13,"dd mmm"))</f>
        <v>14-16 May</v>
      </c>
      <c r="AI13" s="121">
        <f>IFERROR($N13+VLOOKUP($M13,'Voyage days'!$F$38:$H$89,3,FALSE),"")</f>
        <v>45791</v>
      </c>
      <c r="AJ13" s="121">
        <f>IFERROR(O13+VLOOKUP($M13,'Voyage days'!$F$38:$H$89,3,FALSE),"")</f>
        <v>45793</v>
      </c>
      <c r="AK13" s="120" t="str">
        <f>IF(AL13="","",TEXT(AL13,"dd")&amp;"-"&amp;TEXT(AM13,"dd mmm"))</f>
        <v/>
      </c>
      <c r="AL13" s="121" t="str">
        <f>IFERROR($N13+VLOOKUP($M13,'Voyage days'!$F$94:$H$193,3,FALSE),"")</f>
        <v/>
      </c>
      <c r="AM13" s="121" t="str">
        <f>IFERROR($O13+VLOOKUP($M13,'Voyage days'!$F$94:$H$193,3,FALSE),"")</f>
        <v/>
      </c>
      <c r="AN13" s="120" t="str">
        <f>IF(AO13="","",TEXT(AO13,"dd")&amp;"-"&amp;TEXT(AP13,"dd mmm"))</f>
        <v>10-12 Jun</v>
      </c>
      <c r="AO13" s="121">
        <f>IFERROR($N13+VLOOKUP($M13,'Voyage days'!$F$203:$H$256,3,FALSE),"")</f>
        <v>45818</v>
      </c>
      <c r="AP13" s="121">
        <f>IFERROR($O13+VLOOKUP($M13,'Voyage days'!$F$203:$H$256,3,FALSE),"")</f>
        <v>45820</v>
      </c>
      <c r="AQ13" s="120" t="str">
        <f>IF(AR13="","",TEXT(AR13,"dd")&amp;"-"&amp;TEXT(AS13,"dd mmm"))</f>
        <v>26-28 May</v>
      </c>
      <c r="AR13" s="121">
        <f>IFERROR($N13+VLOOKUP($M13,'Voyage days'!$F$294:$H$377,3,FALSE),"")</f>
        <v>45803</v>
      </c>
      <c r="AS13" s="121">
        <f>IFERROR($O13+VLOOKUP($M13,'Voyage days'!$F$294:$H$377,3,FALSE),"")</f>
        <v>45805</v>
      </c>
      <c r="AT13" s="120" t="str">
        <f>IF(AU13="","",TEXT(AU13,"dd")&amp;"-"&amp;TEXT(AV13,"dd mmm"))</f>
        <v>02-04 Jun</v>
      </c>
      <c r="AU13" s="121">
        <f>IFERROR($N13+VLOOKUP($M13,'Voyage days'!$F$382:$H$446,3,FALSE),"")</f>
        <v>45810</v>
      </c>
      <c r="AV13" s="121">
        <f>IFERROR($O13+VLOOKUP($M13,'Voyage days'!$F$382:$H$446,3,FALSE),"")</f>
        <v>45812</v>
      </c>
      <c r="AW13" s="120" t="str">
        <f>IF(AX13="","",TEXT(AX13,"dd")&amp;"-"&amp;TEXT(AY13,"dd mmm"))</f>
        <v>05-07 May</v>
      </c>
      <c r="AX13" s="121">
        <f>IFERROR($N13+VLOOKUP($M13,'Voyage days'!$F$483:$H$538,3,FALSE),"")</f>
        <v>45782</v>
      </c>
      <c r="AY13" s="121">
        <f>IFERROR($O13+VLOOKUP($M13,'Voyage days'!$F$483:$H$538,3,FALSE),"")</f>
        <v>45784</v>
      </c>
      <c r="AZ13" s="120" t="str">
        <f>IF(BA13="","",TEXT(BA13,"dd")&amp;"-"&amp;TEXT(BB13,"dd mmm"))</f>
        <v/>
      </c>
      <c r="BA13" s="121" t="str">
        <f>IFERROR($N13+VLOOKUP($M13,'Voyage days'!$F$540:$H$613,3,FALSE),"")</f>
        <v/>
      </c>
      <c r="BB13" s="121" t="str">
        <f>IFERROR($O13+VLOOKUP($M13,'Voyage days'!$F$540:$H$613,3,FALSE),"")</f>
        <v/>
      </c>
      <c r="BC13" s="120" t="str">
        <f>IF(BD13="","",TEXT(BD13,"dd")&amp;"-"&amp;TEXT(BE13,"dd mmm"))</f>
        <v/>
      </c>
      <c r="BD13" s="121" t="str">
        <f>IFERROR($N13+VLOOKUP($M13,'Voyage days'!$L$483:$N$535,3,FALSE),"")</f>
        <v/>
      </c>
      <c r="BE13" s="121" t="str">
        <f>IFERROR($O13+VLOOKUP($M13,'Voyage days'!$L$483:$N$535,3,FALSE),"")</f>
        <v/>
      </c>
      <c r="BF13" s="120" t="str">
        <f>IF(BG13="","",TEXT(BG13,"dd")&amp;"-"&amp;TEXT(BH13,"dd mmm"))</f>
        <v/>
      </c>
      <c r="BG13" s="122" t="str">
        <f>IFERROR($N13+VLOOKUP($M13,'Voyage days'!$F$620:$H$646,3,FALSE),"")</f>
        <v/>
      </c>
      <c r="BH13" s="122" t="str">
        <f>IFERROR($O13+VLOOKUP($M13,'Voyage days'!$F$620:$H$646,3,FALSE),"")</f>
        <v/>
      </c>
      <c r="BI13" s="120" t="str">
        <f>IF(BJ13="","",TEXT(BJ13,"dd")&amp;"-"&amp;TEXT(BM13,"dd mmm"))</f>
        <v/>
      </c>
      <c r="BJ13" s="123" t="str">
        <f>IFERROR($N13+VLOOKUP($M13,'Voyage days'!$F$702:$H$727,3,FALSE),"")</f>
        <v/>
      </c>
      <c r="BK13" s="120" t="str">
        <f>IF(BL13="","",TEXT(BL13,"dd")&amp;"-"&amp;TEXT(BM13,"dd mmm"))</f>
        <v>12-14 Jun</v>
      </c>
      <c r="BL13" s="122">
        <f>IFERROR($N13+VLOOKUP($M13,'Voyage days'!$F$807:$H$878,3,FALSE),"")</f>
        <v>45820</v>
      </c>
      <c r="BM13" s="122">
        <f>IFERROR($O13+VLOOKUP($M13,'Voyage days'!$F$807:$H$878,3,FALSE),"")</f>
        <v>45822</v>
      </c>
      <c r="BN13" s="609"/>
      <c r="BO13" s="609"/>
      <c r="BP13" s="609"/>
    </row>
    <row r="14" ht="15.75" customHeight="1">
      <c r="A14" s="606" t="s">
        <v>3468</v>
      </c>
      <c r="B14" s="561">
        <v>39264.0</v>
      </c>
      <c r="C14" s="25">
        <v>82000.0</v>
      </c>
      <c r="D14" s="1303"/>
      <c r="E14" s="603" t="s">
        <v>1362</v>
      </c>
      <c r="F14" s="686" t="s">
        <v>2935</v>
      </c>
      <c r="G14" s="1174"/>
      <c r="H14" s="1304"/>
      <c r="I14" s="1304"/>
      <c r="J14" s="1304" t="str">
        <f>IF(K14="","",VLOOKUP(K14,'Voyage days'!$A$3:$B$1480,2,FALSE))</f>
        <v>#N/A</v>
      </c>
      <c r="K14" s="1304" t="str">
        <f>IF(VLOOKUP(A14,'1) Kpler'!$E$2:$O$500,7, FALSE)="",VLOOKUP(A14,'1) Kpler'!$E$2:$O$500,10,FALSE),VLOOKUP(A14,'1) Kpler'!$E$2:$O$500,7, FALSE))</f>
        <v>#N/A</v>
      </c>
      <c r="L14" s="1305" t="str">
        <f>IF(VLOOKUP(A14,'1) Kpler'!$E$2:$O$500,8,FALSE)="","",VLOOKUP(A14,'1) Kpler'!$E$2:$O$500,8,FALSE))</f>
        <v>#N/A</v>
      </c>
      <c r="M14" s="1304" t="str">
        <f>VLOOKUP(A14,'1) Kpler'!$E$2:$H$400,3,FALSE)</f>
        <v>#N/A</v>
      </c>
      <c r="N14" s="1174" t="s">
        <v>1611</v>
      </c>
      <c r="O14" s="1145">
        <v>44682.0</v>
      </c>
      <c r="P14" s="1143" t="s">
        <v>1687</v>
      </c>
      <c r="Q14" s="1174"/>
      <c r="R14" s="603" t="s">
        <v>1231</v>
      </c>
      <c r="S14" s="1308">
        <v>45403.0</v>
      </c>
      <c r="T14" s="1308">
        <v>45404.0</v>
      </c>
      <c r="U14" s="1309"/>
      <c r="V14" s="1359"/>
      <c r="W14" s="686"/>
      <c r="X14" s="686"/>
      <c r="Y14" s="1174"/>
      <c r="Z14" s="1314"/>
      <c r="AA14" s="23"/>
      <c r="AF14" s="1312" t="str">
        <f t="shared" ref="AF14:AF16" si="21">IF(AG14="","",TEXT(AG14,"dd")&amp;"-"&amp;TEXT(AH14,"dd mmm"))</f>
        <v>30-01 May</v>
      </c>
      <c r="AG14" s="995">
        <f>IFERROR($S14+VLOOKUP($R14,'Voyage days'!$F$38:$H$89,3,FALSE),"")</f>
        <v>45412</v>
      </c>
      <c r="AH14" s="995">
        <f>IFERROR(T14+VLOOKUP($R14,'Voyage days'!$F$38:$H$89,3,FALSE),"")</f>
        <v>45413</v>
      </c>
      <c r="AI14" s="1312" t="str">
        <f t="shared" ref="AI14:AI16" si="22">IF(AJ14="","",TEXT(AJ14,"dd")&amp;"-"&amp;TEXT(AK14,"dd mmm"))</f>
        <v/>
      </c>
      <c r="AJ14" s="995" t="str">
        <f>IFERROR($S14+VLOOKUP($R14,'Voyage days'!$F$94:$H$193,3,FALSE),"")</f>
        <v/>
      </c>
      <c r="AK14" s="995" t="str">
        <f>IFERROR($T14+VLOOKUP($R14,'Voyage days'!$F$94:$H$193,3,FALSE),"")</f>
        <v/>
      </c>
      <c r="AL14" s="1312" t="str">
        <f t="shared" ref="AL14:AL16" si="23">IF(AM14="","",TEXT(AM14,"dd")&amp;"-"&amp;TEXT(AN14,"dd mmm"))</f>
        <v>27-28 May</v>
      </c>
      <c r="AM14" s="995">
        <f>IFERROR($S14+VLOOKUP($R14,'Voyage days'!$F$203:$H$256,3,FALSE),"")</f>
        <v>45439</v>
      </c>
      <c r="AN14" s="995">
        <f>IFERROR($T14+VLOOKUP($R14,'Voyage days'!$F$203:$H$256,3,FALSE),"")</f>
        <v>45440</v>
      </c>
      <c r="AO14" s="1312" t="str">
        <f t="shared" ref="AO14:AO16" si="24">IF(AP14="","",TEXT(AP14,"dd")&amp;"-"&amp;TEXT(AQ14,"dd mmm"))</f>
        <v>12-13 May</v>
      </c>
      <c r="AP14" s="995">
        <f>IFERROR($S14+VLOOKUP($R14,'Voyage days'!$F$294:$H$377,3,FALSE),"")</f>
        <v>45424</v>
      </c>
      <c r="AQ14" s="995">
        <f>IFERROR($T14+VLOOKUP($R14,'Voyage days'!$F$294:$H$377,3,FALSE),"")</f>
        <v>45425</v>
      </c>
      <c r="AR14" s="1312" t="str">
        <f t="shared" ref="AR14:AR16" si="25">IF(AS14="","",TEXT(AS14,"dd")&amp;"-"&amp;TEXT(AT14,"dd mmm"))</f>
        <v>19-20 May</v>
      </c>
      <c r="AS14" s="995">
        <f>IFERROR($S14+VLOOKUP($R14,'Voyage days'!$F$382:$H$446,3,FALSE),"")</f>
        <v>45431</v>
      </c>
      <c r="AT14" s="995">
        <f>IFERROR($T14+VLOOKUP($R14,'Voyage days'!$F$382:$H$446,3,FALSE),"")</f>
        <v>45432</v>
      </c>
      <c r="AU14" s="1312" t="str">
        <f t="shared" ref="AU14:AU16" si="26">IF(AV14="","",TEXT(AV14,"dd")&amp;"-"&amp;TEXT(AW14,"dd mmm"))</f>
        <v>21-22 Apr</v>
      </c>
      <c r="AV14" s="995">
        <f>IFERROR($S14+VLOOKUP($R14,'Voyage days'!$F$483:$H$538,3,FALSE),"")</f>
        <v>45403</v>
      </c>
      <c r="AW14" s="995">
        <f>IFERROR($T14+VLOOKUP($R14,'Voyage days'!$F$483:$H$538,3,FALSE),"")</f>
        <v>45404</v>
      </c>
      <c r="AX14" s="1312" t="str">
        <f t="shared" ref="AX14:AX16" si="27">IF(AY14="","",TEXT(AY14,"dd")&amp;"-"&amp;TEXT(AZ14,"dd mmm"))</f>
        <v/>
      </c>
      <c r="AY14" s="995" t="str">
        <f>IFERROR($S14+VLOOKUP($R14,'Voyage days'!$F$540:$H$613,3,FALSE),"")</f>
        <v/>
      </c>
      <c r="AZ14" s="995" t="str">
        <f>IFERROR($T14+VLOOKUP($R14,'Voyage days'!$F$540:$H$613,3,FALSE),"")</f>
        <v/>
      </c>
      <c r="BA14" s="1312" t="str">
        <f t="shared" ref="BA14:BA16" si="28">IF(BB14="","",TEXT(BB14,"dd")&amp;"-"&amp;TEXT(BC14,"dd mmm"))</f>
        <v/>
      </c>
      <c r="BB14" s="995" t="str">
        <f>IFERROR($S14+VLOOKUP($R14,'Voyage days'!$L$483:$N$535,3,FALSE),"")</f>
        <v/>
      </c>
      <c r="BC14" s="995" t="str">
        <f>IFERROR($T14+VLOOKUP($R14,'Voyage days'!$L$483:$N$535,3,FALSE),"")</f>
        <v/>
      </c>
      <c r="BD14" s="1312" t="str">
        <f t="shared" ref="BD14:BD16" si="29">IF(BE14="","",TEXT(BE14,"dd")&amp;"-"&amp;TEXT(BF14,"dd mmm"))</f>
        <v/>
      </c>
      <c r="BE14" s="995" t="str">
        <f>IFERROR($S14+VLOOKUP($R14,'Voyage days'!$F$620:$H$646,3,FALSE),"")</f>
        <v/>
      </c>
      <c r="BF14" s="995" t="str">
        <f>IFERROR($T14+VLOOKUP($R14,'Voyage days'!$F$620:$H$646,3,FALSE),"")</f>
        <v/>
      </c>
      <c r="BG14" s="1312" t="str">
        <f t="shared" ref="BG14:BG16" si="30">IF(BH14="","",TEXT(BH14,"dd")&amp;"-"&amp;TEXT(BI14,"dd mmm"))</f>
        <v/>
      </c>
      <c r="BH14" s="496" t="str">
        <f>IFERROR($S14+VLOOKUP($R14,'Voyage days'!$F$702:$H$727,3,FALSE),"")</f>
        <v/>
      </c>
      <c r="BI14" s="496" t="str">
        <f>IFERROR($T14+VLOOKUP($R14,'Voyage days'!$F$702:$H$727,3,FALSE),"")</f>
        <v/>
      </c>
      <c r="BJ14" s="496"/>
      <c r="BK14" s="496"/>
      <c r="BL14" s="496"/>
      <c r="BM14" s="496"/>
      <c r="BN14" s="496"/>
      <c r="BO14" s="496"/>
      <c r="BP14" s="496"/>
    </row>
    <row r="15" ht="15.75" customHeight="1">
      <c r="A15" s="606" t="s">
        <v>435</v>
      </c>
      <c r="B15" s="25">
        <v>2009.0</v>
      </c>
      <c r="C15" s="25">
        <v>84597.0</v>
      </c>
      <c r="D15" s="1303"/>
      <c r="E15" s="603" t="s">
        <v>1362</v>
      </c>
      <c r="F15" s="603" t="s">
        <v>2937</v>
      </c>
      <c r="G15" s="1174"/>
      <c r="H15" s="1304"/>
      <c r="I15" s="1304"/>
      <c r="J15" s="1304" t="str">
        <f>IF(K15="","",VLOOKUP(K15,'Voyage days'!$A$3:$B$1480,2,FALSE))</f>
        <v>#N/A</v>
      </c>
      <c r="K15" s="1304">
        <f>IF(VLOOKUP(A15,'1) Kpler'!$E$2:$O$500,7, FALSE)="",VLOOKUP(A15,'1) Kpler'!$E$2:$O$500,10,FALSE),VLOOKUP(A15,'1) Kpler'!$E$2:$O$500,7, FALSE))</f>
        <v>9354935</v>
      </c>
      <c r="L15" s="1305" t="str">
        <f>IF(VLOOKUP(A15,'1) Kpler'!$E$2:$O$500,8,FALSE)="","",VLOOKUP(A15,'1) Kpler'!$E$2:$O$500,8,FALSE))</f>
        <v/>
      </c>
      <c r="M15" s="1317">
        <f>VLOOKUP(A15,'1) Kpler'!$E$2:$H$400,3,FALSE)</f>
        <v>54634</v>
      </c>
      <c r="N15" s="1306">
        <v>45200.0</v>
      </c>
      <c r="O15" s="1360">
        <v>44501.0</v>
      </c>
      <c r="P15" s="1143" t="s">
        <v>1687</v>
      </c>
      <c r="Q15" s="1174"/>
      <c r="R15" s="603" t="s">
        <v>1231</v>
      </c>
      <c r="S15" s="1313">
        <v>45369.0</v>
      </c>
      <c r="T15" s="1308">
        <v>45370.0</v>
      </c>
      <c r="U15" s="1309"/>
      <c r="V15" s="1361"/>
      <c r="W15" s="603" t="s">
        <v>3469</v>
      </c>
      <c r="X15" s="1359"/>
      <c r="Y15" s="1174"/>
      <c r="Z15" s="1310"/>
      <c r="AA15" s="1315"/>
      <c r="AF15" s="1312" t="str">
        <f t="shared" si="21"/>
        <v>27-28 Mar</v>
      </c>
      <c r="AG15" s="995">
        <f>IFERROR($S15+VLOOKUP($R15,'Voyage days'!$F$38:$H$89,3,FALSE),"")</f>
        <v>45378</v>
      </c>
      <c r="AH15" s="995">
        <f>IFERROR(T15+VLOOKUP($R15,'Voyage days'!$F$38:$H$89,3,FALSE),"")</f>
        <v>45379</v>
      </c>
      <c r="AI15" s="1312" t="str">
        <f t="shared" si="22"/>
        <v/>
      </c>
      <c r="AJ15" s="995" t="str">
        <f>IFERROR($S15+VLOOKUP($R15,'Voyage days'!$F$94:$H$193,3,FALSE),"")</f>
        <v/>
      </c>
      <c r="AK15" s="995" t="str">
        <f>IFERROR($T15+VLOOKUP($R15,'Voyage days'!$F$94:$H$193,3,FALSE),"")</f>
        <v/>
      </c>
      <c r="AL15" s="1312" t="str">
        <f t="shared" si="23"/>
        <v>23-24 Apr</v>
      </c>
      <c r="AM15" s="995">
        <f>IFERROR($S15+VLOOKUP($R15,'Voyage days'!$F$203:$H$256,3,FALSE),"")</f>
        <v>45405</v>
      </c>
      <c r="AN15" s="995">
        <f>IFERROR($T15+VLOOKUP($R15,'Voyage days'!$F$203:$H$256,3,FALSE),"")</f>
        <v>45406</v>
      </c>
      <c r="AO15" s="1312" t="str">
        <f t="shared" si="24"/>
        <v>08-09 Apr</v>
      </c>
      <c r="AP15" s="995">
        <f>IFERROR($S15+VLOOKUP($R15,'Voyage days'!$F$294:$H$377,3,FALSE),"")</f>
        <v>45390</v>
      </c>
      <c r="AQ15" s="995">
        <f>IFERROR($T15+VLOOKUP($R15,'Voyage days'!$F$294:$H$377,3,FALSE),"")</f>
        <v>45391</v>
      </c>
      <c r="AR15" s="1312" t="str">
        <f t="shared" si="25"/>
        <v>15-16 Apr</v>
      </c>
      <c r="AS15" s="995">
        <f>IFERROR($S15+VLOOKUP($R15,'Voyage days'!$F$382:$H$446,3,FALSE),"")</f>
        <v>45397</v>
      </c>
      <c r="AT15" s="995">
        <f>IFERROR($T15+VLOOKUP($R15,'Voyage days'!$F$382:$H$446,3,FALSE),"")</f>
        <v>45398</v>
      </c>
      <c r="AU15" s="1312" t="str">
        <f t="shared" si="26"/>
        <v>18-19 Mar</v>
      </c>
      <c r="AV15" s="995">
        <f>IFERROR($S15+VLOOKUP($R15,'Voyage days'!$F$483:$H$538,3,FALSE),"")</f>
        <v>45369</v>
      </c>
      <c r="AW15" s="995">
        <f>IFERROR($T15+VLOOKUP($R15,'Voyage days'!$F$483:$H$538,3,FALSE),"")</f>
        <v>45370</v>
      </c>
      <c r="AX15" s="1312" t="str">
        <f t="shared" si="27"/>
        <v/>
      </c>
      <c r="AY15" s="995" t="str">
        <f>IFERROR($S15+VLOOKUP($R15,'Voyage days'!$F$540:$H$613,3,FALSE),"")</f>
        <v/>
      </c>
      <c r="AZ15" s="995" t="str">
        <f>IFERROR($T15+VLOOKUP($R15,'Voyage days'!$F$540:$H$613,3,FALSE),"")</f>
        <v/>
      </c>
      <c r="BA15" s="1312" t="str">
        <f t="shared" si="28"/>
        <v/>
      </c>
      <c r="BB15" s="995" t="str">
        <f>IFERROR($S15+VLOOKUP($R15,'Voyage days'!$L$483:$N$535,3,FALSE),"")</f>
        <v/>
      </c>
      <c r="BC15" s="995" t="str">
        <f>IFERROR($T15+VLOOKUP($R15,'Voyage days'!$L$483:$N$535,3,FALSE),"")</f>
        <v/>
      </c>
      <c r="BD15" s="1312" t="str">
        <f t="shared" si="29"/>
        <v/>
      </c>
      <c r="BE15" s="995" t="str">
        <f>IFERROR($S15+VLOOKUP($R15,'Voyage days'!$F$620:$H$646,3,FALSE),"")</f>
        <v/>
      </c>
      <c r="BF15" s="995" t="str">
        <f>IFERROR($T15+VLOOKUP($R15,'Voyage days'!$F$620:$H$646,3,FALSE),"")</f>
        <v/>
      </c>
      <c r="BG15" s="1312" t="str">
        <f t="shared" si="30"/>
        <v/>
      </c>
      <c r="BH15" s="496" t="str">
        <f>IFERROR($S15+VLOOKUP($R15,'Voyage days'!$F$702:$H$727,3,FALSE),"")</f>
        <v/>
      </c>
      <c r="BI15" s="496" t="str">
        <f>IFERROR($T15+VLOOKUP($R15,'Voyage days'!$F$702:$H$727,3,FALSE),"")</f>
        <v/>
      </c>
      <c r="BJ15" s="496"/>
      <c r="BK15" s="496"/>
      <c r="BL15" s="496"/>
      <c r="BM15" s="496"/>
      <c r="BN15" s="496"/>
      <c r="BO15" s="496"/>
      <c r="BP15" s="496"/>
    </row>
    <row r="16" ht="15.75" customHeight="1">
      <c r="A16" s="1362" t="s">
        <v>2921</v>
      </c>
      <c r="B16" s="1322">
        <v>39448.0</v>
      </c>
      <c r="C16" s="1008">
        <v>82000.0</v>
      </c>
      <c r="D16" s="1323"/>
      <c r="E16" s="1009" t="s">
        <v>1362</v>
      </c>
      <c r="F16" s="1363" t="s">
        <v>2935</v>
      </c>
      <c r="G16" s="1364"/>
      <c r="H16" s="1365"/>
      <c r="I16" s="1365"/>
      <c r="J16" s="1365" t="str">
        <f>IF(K16="","",VLOOKUP(K16,'Voyage days'!$A$3:$B$1480,2,FALSE))</f>
        <v>#N/A</v>
      </c>
      <c r="K16" s="1365">
        <f>IF(VLOOKUP(A16,'1) Kpler'!$E$2:$O$500,7, FALSE)="",VLOOKUP(A16,'1) Kpler'!$E$2:$O$500,10,FALSE),VLOOKUP(A16,'1) Kpler'!$E$2:$O$500,7, FALSE))</f>
        <v>9320764</v>
      </c>
      <c r="L16" s="1366" t="str">
        <f>IF(VLOOKUP(A16,'1) Kpler'!$E$2:$O$500,8,FALSE)="","",VLOOKUP(A16,'1) Kpler'!$E$2:$O$500,8,FALSE))</f>
        <v>Kandla</v>
      </c>
      <c r="M16" s="1367">
        <f>VLOOKUP(A16,'1) Kpler'!$E$2:$H$400,3,FALSE)</f>
        <v>58159</v>
      </c>
      <c r="N16" s="1368">
        <v>45200.0</v>
      </c>
      <c r="O16" s="1325">
        <v>43983.0</v>
      </c>
      <c r="P16" s="1326" t="s">
        <v>1687</v>
      </c>
      <c r="Q16" s="1324"/>
      <c r="R16" s="1009" t="s">
        <v>1231</v>
      </c>
      <c r="S16" s="1327">
        <v>45412.0</v>
      </c>
      <c r="T16" s="1369">
        <v>45413.0</v>
      </c>
      <c r="U16" s="1328"/>
      <c r="V16" s="1009"/>
      <c r="W16" s="1009"/>
      <c r="X16" s="1009"/>
      <c r="Y16" s="1324"/>
      <c r="Z16" s="1330"/>
      <c r="AA16" s="1370"/>
      <c r="AF16" s="1371" t="str">
        <f t="shared" si="21"/>
        <v>09-10 May</v>
      </c>
      <c r="AG16" s="1372">
        <f>IFERROR($S16+VLOOKUP($R16,'Voyage days'!$F$38:$H$89,3,FALSE),"")</f>
        <v>45421</v>
      </c>
      <c r="AH16" s="1372">
        <f>IFERROR(T16+VLOOKUP($R16,'Voyage days'!$F$38:$H$89,3,FALSE),"")</f>
        <v>45422</v>
      </c>
      <c r="AI16" s="1371" t="str">
        <f t="shared" si="22"/>
        <v/>
      </c>
      <c r="AJ16" s="1372" t="str">
        <f>IFERROR($S16+VLOOKUP($R16,'Voyage days'!$F$94:$H$193,3,FALSE),"")</f>
        <v/>
      </c>
      <c r="AK16" s="1372" t="str">
        <f>IFERROR($T16+VLOOKUP($R16,'Voyage days'!$F$94:$H$193,3,FALSE),"")</f>
        <v/>
      </c>
      <c r="AL16" s="1371" t="str">
        <f t="shared" si="23"/>
        <v>05-06 Jun</v>
      </c>
      <c r="AM16" s="1372">
        <f>IFERROR($S16+VLOOKUP($R16,'Voyage days'!$F$203:$H$256,3,FALSE),"")</f>
        <v>45448</v>
      </c>
      <c r="AN16" s="1372">
        <f>IFERROR($T16+VLOOKUP($R16,'Voyage days'!$F$203:$H$256,3,FALSE),"")</f>
        <v>45449</v>
      </c>
      <c r="AO16" s="1371" t="str">
        <f t="shared" si="24"/>
        <v>21-22 May</v>
      </c>
      <c r="AP16" s="1372">
        <f>IFERROR($S16+VLOOKUP($R16,'Voyage days'!$F$294:$H$377,3,FALSE),"")</f>
        <v>45433</v>
      </c>
      <c r="AQ16" s="1372">
        <f>IFERROR($T16+VLOOKUP($R16,'Voyage days'!$F$294:$H$377,3,FALSE),"")</f>
        <v>45434</v>
      </c>
      <c r="AR16" s="1371" t="str">
        <f t="shared" si="25"/>
        <v>28-29 May</v>
      </c>
      <c r="AS16" s="1372">
        <f>IFERROR($S16+VLOOKUP($R16,'Voyage days'!$F$382:$H$446,3,FALSE),"")</f>
        <v>45440</v>
      </c>
      <c r="AT16" s="1372">
        <f>IFERROR($T16+VLOOKUP($R16,'Voyage days'!$F$382:$H$446,3,FALSE),"")</f>
        <v>45441</v>
      </c>
      <c r="AU16" s="1371" t="str">
        <f t="shared" si="26"/>
        <v>30-01 May</v>
      </c>
      <c r="AV16" s="1372">
        <f>IFERROR($S16+VLOOKUP($R16,'Voyage days'!$F$483:$H$538,3,FALSE),"")</f>
        <v>45412</v>
      </c>
      <c r="AW16" s="1372">
        <f>IFERROR($T16+VLOOKUP($R16,'Voyage days'!$F$483:$H$538,3,FALSE),"")</f>
        <v>45413</v>
      </c>
      <c r="AX16" s="1371" t="str">
        <f t="shared" si="27"/>
        <v/>
      </c>
      <c r="AY16" s="1372" t="str">
        <f>IFERROR($S16+VLOOKUP($R16,'Voyage days'!$F$540:$H$613,3,FALSE),"")</f>
        <v/>
      </c>
      <c r="AZ16" s="1372" t="str">
        <f>IFERROR($T16+VLOOKUP($R16,'Voyage days'!$F$540:$H$613,3,FALSE),"")</f>
        <v/>
      </c>
      <c r="BA16" s="1371" t="str">
        <f t="shared" si="28"/>
        <v/>
      </c>
      <c r="BB16" s="1372" t="str">
        <f>IFERROR($S16+VLOOKUP($R16,'Voyage days'!$L$483:$N$535,3,FALSE),"")</f>
        <v/>
      </c>
      <c r="BC16" s="1372" t="str">
        <f>IFERROR($T16+VLOOKUP($R16,'Voyage days'!$L$483:$N$535,3,FALSE),"")</f>
        <v/>
      </c>
      <c r="BD16" s="1371" t="str">
        <f t="shared" si="29"/>
        <v/>
      </c>
      <c r="BE16" s="1372" t="str">
        <f>IFERROR($S16+VLOOKUP($R16,'Voyage days'!$F$620:$H$646,3,FALSE),"")</f>
        <v/>
      </c>
      <c r="BF16" s="1372" t="str">
        <f>IFERROR($T16+VLOOKUP($R16,'Voyage days'!$F$620:$H$646,3,FALSE),"")</f>
        <v/>
      </c>
      <c r="BG16" s="1371" t="str">
        <f t="shared" si="30"/>
        <v/>
      </c>
      <c r="BH16" s="123" t="str">
        <f>IFERROR($S16+VLOOKUP($R16,'Voyage days'!$F$702:$H$727,3,FALSE),"")</f>
        <v/>
      </c>
      <c r="BI16" s="123" t="str">
        <f>IFERROR($T16+VLOOKUP($R16,'Voyage days'!$F$702:$H$727,3,FALSE),"")</f>
        <v/>
      </c>
      <c r="BJ16" s="496"/>
      <c r="BK16" s="496"/>
      <c r="BL16" s="496"/>
      <c r="BM16" s="496"/>
      <c r="BN16" s="496"/>
      <c r="BO16" s="496"/>
      <c r="BP16" s="496"/>
    </row>
    <row r="17" ht="15.75" customHeight="1">
      <c r="A17" s="341" t="s">
        <v>266</v>
      </c>
      <c r="B17" s="148">
        <v>2007.0</v>
      </c>
      <c r="C17" s="1045">
        <v>82000.0</v>
      </c>
      <c r="D17" s="1373"/>
      <c r="E17" s="111" t="s">
        <v>1695</v>
      </c>
      <c r="F17" s="103" t="s">
        <v>3269</v>
      </c>
      <c r="G17" s="604"/>
      <c r="H17" s="103" t="s">
        <v>2907</v>
      </c>
      <c r="I17" s="103"/>
      <c r="J17" s="185" t="s">
        <v>1466</v>
      </c>
      <c r="K17" s="111" t="s">
        <v>3327</v>
      </c>
      <c r="L17" s="336" t="str">
        <f>IF(X17="","NO AIS",IF((X17-N17-1)&gt;0,"Update",""))</f>
        <v>Update</v>
      </c>
      <c r="M17" s="108" t="s">
        <v>1231</v>
      </c>
      <c r="N17" s="109">
        <v>45792.0</v>
      </c>
      <c r="O17" s="109">
        <v>45797.0</v>
      </c>
      <c r="P17" s="110"/>
      <c r="Q17" s="1374" t="s">
        <v>3470</v>
      </c>
      <c r="R17" s="333"/>
      <c r="S17" s="185"/>
      <c r="T17" s="112" t="s">
        <v>2993</v>
      </c>
      <c r="U17" s="113">
        <v>45783.0</v>
      </c>
      <c r="V17" s="114" t="str">
        <f>IF(W17="","No AIS",VLOOKUP(W17,'Voyage days'!$A$3:$B$1480,2,FALSE))</f>
        <v>AG</v>
      </c>
      <c r="W17" s="115" t="str">
        <f>IF(VLOOKUP(A17,'1) Kpler'!$E$2:$P$1000,8, FALSE)="","",VLOOKUP(A17,'1) Kpler'!$E$2:$P$1000,8, FALSE))</f>
        <v>Fujairah</v>
      </c>
      <c r="X17" s="116">
        <f>IF(VLOOKUP(A17,'1) Kpler'!$E$2:$P$1000,9,FALSE)="","",VLOOKUP(A17,'1) Kpler'!$E$2:$P$1000,9,FALSE))</f>
        <v>46132.625</v>
      </c>
      <c r="Y17" s="115" t="str">
        <f>VLOOKUP(A17,'1) Kpler'!$E$2:$I$1000,4,FALSE)</f>
        <v>ballast</v>
      </c>
      <c r="Z17" s="117" t="str">
        <f>AH17</f>
        <v>24-29 May</v>
      </c>
      <c r="AA17" s="117" t="str">
        <f>AK17</f>
        <v/>
      </c>
      <c r="AB17" s="117" t="str">
        <f>AN17</f>
        <v>20-25 Jun</v>
      </c>
      <c r="AC17" s="117" t="str">
        <f>AQ17</f>
        <v>05-10 Jun</v>
      </c>
      <c r="AD17" s="117" t="str">
        <f>AT17</f>
        <v>12-17 Jun</v>
      </c>
      <c r="AE17" s="117" t="str">
        <f>BC17</f>
        <v/>
      </c>
      <c r="AF17" s="118" t="str">
        <f>AZ17</f>
        <v/>
      </c>
      <c r="AG17" s="1260" t="str">
        <f>BK17</f>
        <v>22-27 Jun</v>
      </c>
      <c r="AH17" s="120" t="str">
        <f>IF(AI17="","",TEXT(AI17,"dd")&amp;"-"&amp;TEXT(AJ17,"dd mmm"))</f>
        <v>24-29 May</v>
      </c>
      <c r="AI17" s="121">
        <f>IFERROR($N17+VLOOKUP($M17,'Voyage days'!$F$38:$H$89,3,FALSE),"")</f>
        <v>45801</v>
      </c>
      <c r="AJ17" s="121">
        <f>IFERROR(O17+VLOOKUP($M17,'Voyage days'!$F$38:$H$89,3,FALSE),"")</f>
        <v>45806</v>
      </c>
      <c r="AK17" s="120" t="str">
        <f>IF(AL17="","",TEXT(AL17,"dd")&amp;"-"&amp;TEXT(AM17,"dd mmm"))</f>
        <v/>
      </c>
      <c r="AL17" s="121" t="str">
        <f>IFERROR($N17+VLOOKUP($M17,'Voyage days'!$F$94:$H$193,3,FALSE),"")</f>
        <v/>
      </c>
      <c r="AM17" s="121" t="str">
        <f>IFERROR($O17+VLOOKUP($M17,'Voyage days'!$F$94:$H$193,3,FALSE),"")</f>
        <v/>
      </c>
      <c r="AN17" s="120" t="str">
        <f>IF(AO17="","",TEXT(AO17,"dd")&amp;"-"&amp;TEXT(AP17,"dd mmm"))</f>
        <v>20-25 Jun</v>
      </c>
      <c r="AO17" s="121">
        <f>IFERROR($N17+VLOOKUP($M17,'Voyage days'!$F$203:$H$256,3,FALSE),"")</f>
        <v>45828</v>
      </c>
      <c r="AP17" s="121">
        <f>IFERROR($O17+VLOOKUP($M17,'Voyage days'!$F$203:$H$256,3,FALSE),"")</f>
        <v>45833</v>
      </c>
      <c r="AQ17" s="120" t="str">
        <f>IF(AR17="","",TEXT(AR17,"dd")&amp;"-"&amp;TEXT(AS17,"dd mmm"))</f>
        <v>05-10 Jun</v>
      </c>
      <c r="AR17" s="121">
        <f>IFERROR($N17+VLOOKUP($M17,'Voyage days'!$F$294:$H$377,3,FALSE),"")</f>
        <v>45813</v>
      </c>
      <c r="AS17" s="121">
        <f>IFERROR($O17+VLOOKUP($M17,'Voyage days'!$F$294:$H$377,3,FALSE),"")</f>
        <v>45818</v>
      </c>
      <c r="AT17" s="120" t="str">
        <f>IF(AU17="","",TEXT(AU17,"dd")&amp;"-"&amp;TEXT(AV17,"dd mmm"))</f>
        <v>12-17 Jun</v>
      </c>
      <c r="AU17" s="121">
        <f>IFERROR($N17+VLOOKUP($M17,'Voyage days'!$F$382:$H$446,3,FALSE),"")</f>
        <v>45820</v>
      </c>
      <c r="AV17" s="121">
        <f>IFERROR($O17+VLOOKUP($M17,'Voyage days'!$F$382:$H$446,3,FALSE),"")</f>
        <v>45825</v>
      </c>
      <c r="AW17" s="120" t="str">
        <f>IF(AX17="","",TEXT(AX17,"dd")&amp;"-"&amp;TEXT(AY17,"dd mmm"))</f>
        <v>15-20 May</v>
      </c>
      <c r="AX17" s="121">
        <f>IFERROR($N17+VLOOKUP($M17,'Voyage days'!$F$483:$H$538,3,FALSE),"")</f>
        <v>45792</v>
      </c>
      <c r="AY17" s="121">
        <f>IFERROR($O17+VLOOKUP($M17,'Voyage days'!$F$483:$H$538,3,FALSE),"")</f>
        <v>45797</v>
      </c>
      <c r="AZ17" s="120" t="str">
        <f>IF(BA17="","",TEXT(BA17,"dd")&amp;"-"&amp;TEXT(BB17,"dd mmm"))</f>
        <v/>
      </c>
      <c r="BA17" s="121" t="str">
        <f>IFERROR($N17+VLOOKUP($M17,'Voyage days'!$F$540:$H$613,3,FALSE),"")</f>
        <v/>
      </c>
      <c r="BB17" s="121" t="str">
        <f>IFERROR($O17+VLOOKUP($M17,'Voyage days'!$F$540:$H$613,3,FALSE),"")</f>
        <v/>
      </c>
      <c r="BC17" s="120" t="str">
        <f>IF(BD17="","",TEXT(BD17,"dd")&amp;"-"&amp;TEXT(BE17,"dd mmm"))</f>
        <v/>
      </c>
      <c r="BD17" s="121" t="str">
        <f>IFERROR($N17+VLOOKUP($M17,'Voyage days'!$L$483:$N$535,3,FALSE),"")</f>
        <v/>
      </c>
      <c r="BE17" s="121" t="str">
        <f>IFERROR($O17+VLOOKUP($M17,'Voyage days'!$L$483:$N$535,3,FALSE),"")</f>
        <v/>
      </c>
      <c r="BF17" s="120" t="str">
        <f>IF(BG17="","",TEXT(BG17,"dd")&amp;"-"&amp;TEXT(BH17,"dd mmm"))</f>
        <v/>
      </c>
      <c r="BG17" s="122" t="str">
        <f>IFERROR($N17+VLOOKUP($M17,'Voyage days'!$F$620:$H$646,3,FALSE),"")</f>
        <v/>
      </c>
      <c r="BH17" s="122" t="str">
        <f>IFERROR($O17+VLOOKUP($M17,'Voyage days'!$F$620:$H$646,3,FALSE),"")</f>
        <v/>
      </c>
      <c r="BI17" s="120" t="str">
        <f>IF(BJ17="","",TEXT(BJ17,"dd")&amp;"-"&amp;TEXT(BM17,"dd mmm"))</f>
        <v/>
      </c>
      <c r="BJ17" s="123" t="str">
        <f>IFERROR($N17+VLOOKUP($M17,'Voyage days'!$F$702:$H$727,3,FALSE),"")</f>
        <v/>
      </c>
      <c r="BK17" s="120" t="str">
        <f>IF(BL17="","",TEXT(BL17,"dd")&amp;"-"&amp;TEXT(BM17,"dd mmm"))</f>
        <v>22-27 Jun</v>
      </c>
      <c r="BL17" s="122">
        <f>IFERROR($N17+VLOOKUP($M17,'Voyage days'!$F$807:$H$878,3,FALSE),"")</f>
        <v>45830</v>
      </c>
      <c r="BM17" s="122">
        <f>IFERROR($O17+VLOOKUP($M17,'Voyage days'!$F$807:$H$878,3,FALSE),"")</f>
        <v>45835</v>
      </c>
      <c r="BN17" s="609"/>
      <c r="BO17" s="609"/>
      <c r="BP17" s="609"/>
    </row>
    <row r="18" ht="15.75" customHeight="1">
      <c r="A18" s="1316" t="s">
        <v>45</v>
      </c>
      <c r="B18" s="1002">
        <v>40360.0</v>
      </c>
      <c r="C18" s="1344">
        <v>78908.0</v>
      </c>
      <c r="D18" s="1253"/>
      <c r="E18" s="686" t="s">
        <v>1190</v>
      </c>
      <c r="F18" s="686" t="s">
        <v>3471</v>
      </c>
      <c r="G18" s="686" t="s">
        <v>3472</v>
      </c>
      <c r="H18" s="1316"/>
      <c r="I18" s="1316"/>
      <c r="J18" s="1316" t="str">
        <f>IF(K18="","",VLOOKUP(K18,'Voyage days'!$A$3:$B$1480,2,FALSE))</f>
        <v>#N/A</v>
      </c>
      <c r="K18" s="1316">
        <f>IF(VLOOKUP(A18,'1) Kpler'!$E$2:$O$500,7, FALSE)="",VLOOKUP(A18,'1) Kpler'!$E$2:$O$500,10,FALSE),VLOOKUP(A18,'1) Kpler'!$E$2:$O$500,7, FALSE))</f>
        <v>9423322</v>
      </c>
      <c r="L18" s="1375" t="str">
        <f>IF(VLOOKUP(A18,'1) Kpler'!$E$2:$O$500,8,FALSE)="","",VLOOKUP(A18,'1) Kpler'!$E$2:$O$500,8,FALSE))</f>
        <v>Advario Oman</v>
      </c>
      <c r="M18" s="1376">
        <f>VLOOKUP(A18,'1) Kpler'!$E$2:$H$400,3,FALSE)</f>
        <v>49999</v>
      </c>
      <c r="N18" s="1377"/>
      <c r="O18" s="1351"/>
      <c r="P18" s="686" t="s">
        <v>1687</v>
      </c>
      <c r="Q18" s="686"/>
      <c r="R18" s="686"/>
      <c r="S18" s="1378"/>
      <c r="T18" s="1378"/>
      <c r="U18" s="686"/>
      <c r="V18" s="1352"/>
      <c r="W18" s="686"/>
      <c r="X18" s="686"/>
      <c r="Y18" s="686"/>
      <c r="Z18" s="1353"/>
      <c r="AA18" s="1321"/>
      <c r="AF18" s="1316" t="str">
        <f t="shared" ref="AF18:AF19" si="31">IF(AG18="","",TEXT(AG18,"dd")&amp;"-"&amp;TEXT(AH18,"dd mmm"))</f>
        <v/>
      </c>
      <c r="AG18" s="1343" t="str">
        <f>IFERROR($S18+VLOOKUP($R18,'Voyage days'!$F$38:$H$89,3,FALSE),"")</f>
        <v/>
      </c>
      <c r="AH18" s="1343" t="str">
        <f>IFERROR(T18+VLOOKUP($R18,'Voyage days'!$F$38:$H$89,3,FALSE),"")</f>
        <v/>
      </c>
      <c r="AI18" s="1316" t="str">
        <f t="shared" ref="AI18:AI19" si="32">IF(AJ18="","",TEXT(AJ18,"dd")&amp;"-"&amp;TEXT(AK18,"dd mmm"))</f>
        <v/>
      </c>
      <c r="AJ18" s="1343" t="str">
        <f>IF(P18="P",IFERROR($S18+VLOOKUP($R18,'Voyage days'!$F$94:$H$193,3,FALSE),""),"")</f>
        <v/>
      </c>
      <c r="AK18" s="1343" t="str">
        <f>IF(P18="P",IFERROR($T18+VLOOKUP($R18,'Voyage days'!$F$94:$H$193,3,FALSE),""),"")</f>
        <v/>
      </c>
      <c r="AL18" s="1316" t="str">
        <f t="shared" ref="AL18:AL19" si="33">IF(AM18="","",TEXT(AM18,"dd")&amp;"-"&amp;TEXT(AN18,"dd mmm"))</f>
        <v/>
      </c>
      <c r="AM18" s="1343" t="str">
        <f>IFERROR($S18+VLOOKUP($R18,'Voyage days'!$F$203:$H$256,3,FALSE),"")</f>
        <v/>
      </c>
      <c r="AN18" s="1343" t="str">
        <f>IFERROR($T18+VLOOKUP($R18,'Voyage days'!$F$203:$H$256,3,FALSE),"")</f>
        <v/>
      </c>
      <c r="AO18" s="1316" t="str">
        <f t="shared" ref="AO18:AO19" si="34">IF(AP18="","",TEXT(AP18,"dd")&amp;"-"&amp;TEXT(AQ18,"dd mmm"))</f>
        <v/>
      </c>
      <c r="AP18" s="1343" t="str">
        <f>IFERROR($S18+VLOOKUP($R18,'Voyage days'!$F$294:$H$377,3,FALSE),"")</f>
        <v/>
      </c>
      <c r="AQ18" s="1343" t="str">
        <f>IFERROR($T18+VLOOKUP($R18,'Voyage days'!$F$294:$H$377,3,FALSE),"")</f>
        <v/>
      </c>
      <c r="AR18" s="1316" t="str">
        <f t="shared" ref="AR18:AR19" si="35">IF(AS18="","",TEXT(AS18,"dd")&amp;"-"&amp;TEXT(AT18,"dd mmm"))</f>
        <v/>
      </c>
      <c r="AS18" s="1343" t="str">
        <f>IFERROR($S18+VLOOKUP($R18,'Voyage days'!$F$382:$H$446,3,FALSE),"")</f>
        <v/>
      </c>
      <c r="AT18" s="1343" t="str">
        <f>IFERROR($T18+VLOOKUP($R18,'Voyage days'!$F$382:$H$446,3,FALSE),"")</f>
        <v/>
      </c>
      <c r="AU18" s="1316" t="str">
        <f t="shared" ref="AU18:AU19" si="36">IF(AV18="","",TEXT(AV18,"dd")&amp;"-"&amp;TEXT(AW18,"dd mmm"))</f>
        <v/>
      </c>
      <c r="AV18" s="1343" t="str">
        <f>IFERROR($S18+VLOOKUP($R18,'Voyage days'!$F$483:$H$538,3,FALSE),"")</f>
        <v/>
      </c>
      <c r="AW18" s="1343" t="str">
        <f>IFERROR($T18+VLOOKUP($R18,'Voyage days'!$F$483:$H$538,3,FALSE),"")</f>
        <v/>
      </c>
      <c r="AX18" s="1316" t="str">
        <f t="shared" ref="AX18:AX19" si="37">IF(AY18="","",TEXT(AY18,"dd")&amp;"-"&amp;TEXT(AZ18,"dd mmm"))</f>
        <v/>
      </c>
      <c r="AY18" s="1343" t="str">
        <f>IFERROR($S18+VLOOKUP($R18,'Voyage days'!$F$540:$H$613,3,FALSE),"")</f>
        <v/>
      </c>
      <c r="AZ18" s="1343" t="str">
        <f>IFERROR($T18+VLOOKUP($R18,'Voyage days'!$F$540:$H$613,3,FALSE),"")</f>
        <v/>
      </c>
      <c r="BA18" s="1316" t="str">
        <f t="shared" ref="BA18:BA19" si="38">IF(BB18="","",TEXT(BB18,"dd")&amp;"-"&amp;TEXT(BC18,"dd mmm"))</f>
        <v/>
      </c>
      <c r="BB18" s="1343" t="str">
        <f>IFERROR($S18+VLOOKUP($R18,'Voyage days'!$L$483:$N$535,3,FALSE),"")</f>
        <v/>
      </c>
      <c r="BC18" s="1343" t="str">
        <f>IFERROR($T18+VLOOKUP($R18,'Voyage days'!$L$483:$N$535,3,FALSE),"")</f>
        <v/>
      </c>
      <c r="BD18" s="1316" t="str">
        <f t="shared" ref="BD18:BD19" si="39">IF(BE18="","",TEXT(BE18,"dd")&amp;"-"&amp;TEXT(BF18,"dd mmm"))</f>
        <v/>
      </c>
      <c r="BE18" s="1343" t="str">
        <f>IFERROR($S18+VLOOKUP($R18,'Voyage days'!$F$620:$H$646,3,FALSE),"")</f>
        <v/>
      </c>
      <c r="BF18" s="1343" t="str">
        <f>IFERROR($T18+VLOOKUP($R18,'Voyage days'!$F$620:$H$646,3,FALSE),"")</f>
        <v/>
      </c>
      <c r="BG18" s="1316" t="str">
        <f t="shared" ref="BG18:BG19" si="40">IF(BH18="","",TEXT(BH18,"dd")&amp;"-"&amp;TEXT(BI18,"dd mmm"))</f>
        <v/>
      </c>
      <c r="BH18" s="1321" t="str">
        <f>IFERROR($S18+VLOOKUP($R18,'Voyage days'!$F$702:$H$727,3,FALSE),"")</f>
        <v/>
      </c>
      <c r="BI18" s="1321" t="str">
        <f>IFERROR($T18+VLOOKUP($R18,'Voyage days'!$F$702:$H$727,3,FALSE),"")</f>
        <v/>
      </c>
      <c r="BJ18" s="1321"/>
      <c r="BK18" s="1321"/>
      <c r="BL18" s="1321"/>
      <c r="BM18" s="1321"/>
      <c r="BN18" s="1321"/>
      <c r="BO18" s="1321"/>
      <c r="BP18" s="1321"/>
    </row>
    <row r="19">
      <c r="A19" s="606" t="s">
        <v>2941</v>
      </c>
      <c r="B19" s="561">
        <v>39326.0</v>
      </c>
      <c r="C19" s="25">
        <v>82000.0</v>
      </c>
      <c r="D19" s="1303"/>
      <c r="E19" s="603" t="s">
        <v>1190</v>
      </c>
      <c r="F19" s="686" t="s">
        <v>2935</v>
      </c>
      <c r="G19" s="1354"/>
      <c r="H19" s="1304"/>
      <c r="I19" s="1304"/>
      <c r="J19" s="1304" t="str">
        <f>IF(K19="","",VLOOKUP(K19,'Voyage days'!$A$3:$B$1480,2,FALSE))</f>
        <v>#N/A</v>
      </c>
      <c r="K19" s="1304">
        <f>IF(VLOOKUP(A19,'1) Kpler'!$E$2:$O$500,7, FALSE)="",VLOOKUP(A19,'1) Kpler'!$E$2:$O$500,10,FALSE),VLOOKUP(A19,'1) Kpler'!$E$2:$O$500,7, FALSE))</f>
        <v>9320740</v>
      </c>
      <c r="L19" s="1305" t="str">
        <f>IF(VLOOKUP(A19,'1) Kpler'!$E$2:$O$500,8,FALSE)="","",VLOOKUP(A19,'1) Kpler'!$E$2:$O$500,8,FALSE))</f>
        <v>Ruwais Refinery</v>
      </c>
      <c r="M19" s="1317">
        <f>VLOOKUP(A19,'1) Kpler'!$E$2:$H$400,3,FALSE)</f>
        <v>58124</v>
      </c>
      <c r="N19" s="1306">
        <v>46235.0</v>
      </c>
      <c r="O19" s="1145">
        <v>44075.0</v>
      </c>
      <c r="P19" s="1143" t="s">
        <v>1687</v>
      </c>
      <c r="Q19" s="1174"/>
      <c r="R19" s="603" t="s">
        <v>1085</v>
      </c>
      <c r="S19" s="1308">
        <v>45410.0</v>
      </c>
      <c r="T19" s="1308">
        <v>45411.0</v>
      </c>
      <c r="U19" s="1309"/>
      <c r="V19" s="1359"/>
      <c r="W19" s="1359"/>
      <c r="X19" s="686"/>
      <c r="Y19" s="1174"/>
      <c r="Z19" s="1310"/>
      <c r="AA19" s="1379"/>
      <c r="AF19" s="1312" t="str">
        <f t="shared" si="31"/>
        <v>03-04 May</v>
      </c>
      <c r="AG19" s="995">
        <f>IFERROR($S19+VLOOKUP($R19,'Voyage days'!$F$38:$H$89,3,FALSE),"")</f>
        <v>45415</v>
      </c>
      <c r="AH19" s="995">
        <f>IFERROR(T19+VLOOKUP($R19,'Voyage days'!$F$38:$H$89,3,FALSE),"")</f>
        <v>45416</v>
      </c>
      <c r="AI19" s="1312" t="str">
        <f t="shared" si="32"/>
        <v/>
      </c>
      <c r="AJ19" s="995" t="str">
        <f>IFERROR($S19+VLOOKUP($R19,'Voyage days'!$F$94:$H$193,3,FALSE),"")</f>
        <v/>
      </c>
      <c r="AK19" s="995" t="str">
        <f>IFERROR($T19+VLOOKUP($R19,'Voyage days'!$F$94:$H$193,3,FALSE),"")</f>
        <v/>
      </c>
      <c r="AL19" s="1312" t="str">
        <f t="shared" si="33"/>
        <v>30-31 May</v>
      </c>
      <c r="AM19" s="995">
        <f>IFERROR($S19+VLOOKUP($R19,'Voyage days'!$F$203:$H$256,3,FALSE),"")</f>
        <v>45442</v>
      </c>
      <c r="AN19" s="995">
        <f>IFERROR($T19+VLOOKUP($R19,'Voyage days'!$F$203:$H$256,3,FALSE),"")</f>
        <v>45443</v>
      </c>
      <c r="AO19" s="1312" t="str">
        <f t="shared" si="34"/>
        <v>17-18 May</v>
      </c>
      <c r="AP19" s="995">
        <f>IFERROR($S19+VLOOKUP($R19,'Voyage days'!$F$294:$H$377,3,FALSE),"")</f>
        <v>45429</v>
      </c>
      <c r="AQ19" s="995">
        <f>IFERROR($T19+VLOOKUP($R19,'Voyage days'!$F$294:$H$377,3,FALSE),"")</f>
        <v>45430</v>
      </c>
      <c r="AR19" s="1312" t="str">
        <f t="shared" si="35"/>
        <v>11-12 May</v>
      </c>
      <c r="AS19" s="995">
        <f>IFERROR($S19+VLOOKUP($R19,'Voyage days'!$F$382:$H$446,3,FALSE),"")</f>
        <v>45423</v>
      </c>
      <c r="AT19" s="995">
        <f>IFERROR($T19+VLOOKUP($R19,'Voyage days'!$F$382:$H$446,3,FALSE),"")</f>
        <v>45424</v>
      </c>
      <c r="AU19" s="1312" t="str">
        <f t="shared" si="36"/>
        <v/>
      </c>
      <c r="AV19" s="995" t="str">
        <f>IFERROR($S19+VLOOKUP($R19,'Voyage days'!$F$483:$H$538,3,FALSE),"")</f>
        <v/>
      </c>
      <c r="AW19" s="995" t="str">
        <f>IFERROR($T19+VLOOKUP($R19,'Voyage days'!$F$483:$H$538,3,FALSE),"")</f>
        <v/>
      </c>
      <c r="AX19" s="1312" t="str">
        <f t="shared" si="37"/>
        <v/>
      </c>
      <c r="AY19" s="995" t="str">
        <f>IFERROR($S19+VLOOKUP($R19,'Voyage days'!$F$540:$H$613,3,FALSE),"")</f>
        <v/>
      </c>
      <c r="AZ19" s="995" t="str">
        <f>IFERROR($T19+VLOOKUP($R19,'Voyage days'!$F$540:$H$613,3,FALSE),"")</f>
        <v/>
      </c>
      <c r="BA19" s="1312" t="str">
        <f t="shared" si="38"/>
        <v/>
      </c>
      <c r="BB19" s="995" t="str">
        <f>IFERROR($S19+VLOOKUP($R19,'Voyage days'!$L$483:$N$535,3,FALSE),"")</f>
        <v/>
      </c>
      <c r="BC19" s="995" t="str">
        <f>IFERROR($T19+VLOOKUP($R19,'Voyage days'!$L$483:$N$535,3,FALSE),"")</f>
        <v/>
      </c>
      <c r="BD19" s="1312" t="str">
        <f t="shared" si="39"/>
        <v/>
      </c>
      <c r="BE19" s="995" t="str">
        <f>IFERROR($S19+VLOOKUP($R19,'Voyage days'!$F$620:$H$646,3,FALSE),"")</f>
        <v/>
      </c>
      <c r="BF19" s="995" t="str">
        <f>IFERROR($T19+VLOOKUP($R19,'Voyage days'!$F$620:$H$646,3,FALSE),"")</f>
        <v/>
      </c>
      <c r="BG19" s="1312" t="str">
        <f t="shared" si="40"/>
        <v/>
      </c>
      <c r="BH19" s="496" t="str">
        <f>IFERROR($S19+VLOOKUP($R19,'Voyage days'!$F$702:$H$727,3,FALSE),"")</f>
        <v/>
      </c>
      <c r="BI19" s="496" t="str">
        <f>IFERROR($T19+VLOOKUP($R19,'Voyage days'!$F$702:$H$727,3,FALSE),"")</f>
        <v/>
      </c>
      <c r="BJ19" s="496"/>
      <c r="BK19" s="496"/>
      <c r="BL19" s="496"/>
      <c r="BM19" s="496"/>
      <c r="BN19" s="496"/>
      <c r="BO19" s="496"/>
      <c r="BP19" s="496"/>
    </row>
    <row r="20" ht="15.75" customHeight="1">
      <c r="A20" s="3" t="s">
        <v>498</v>
      </c>
      <c r="B20" s="542">
        <v>39539.0</v>
      </c>
      <c r="C20" s="1193">
        <v>82000.0</v>
      </c>
      <c r="D20" s="1253"/>
      <c r="E20" s="1253" t="s">
        <v>1687</v>
      </c>
      <c r="F20" s="1046"/>
      <c r="G20" s="1250"/>
      <c r="H20" s="1251" t="s">
        <v>3473</v>
      </c>
      <c r="I20" s="1253"/>
      <c r="J20" s="1256" t="s">
        <v>1604</v>
      </c>
      <c r="K20" s="1253" t="s">
        <v>1604</v>
      </c>
      <c r="L20" s="1254" t="str">
        <f>IF(X20="","NO AIS",IF((X20-N20-1)&gt;0,"Update",""))</f>
        <v>Update</v>
      </c>
      <c r="M20" s="1256" t="s">
        <v>1031</v>
      </c>
      <c r="N20" s="109">
        <v>45683.0</v>
      </c>
      <c r="O20" s="109">
        <v>45684.0</v>
      </c>
      <c r="P20" s="1380"/>
      <c r="Q20" s="1256" t="s">
        <v>3474</v>
      </c>
      <c r="R20" s="1256"/>
      <c r="S20" s="1256" t="s">
        <v>3475</v>
      </c>
      <c r="T20" s="1046"/>
      <c r="U20" s="1381"/>
      <c r="V20" s="425" t="str">
        <f>IF(W20="","",VLOOKUP(W20,'Voyage days'!$A$3:$B$1480,2,FALSE))</f>
        <v>AG</v>
      </c>
      <c r="W20" s="425" t="str">
        <f>IF(VLOOKUP(A20,'1) Kpler'!$E$2:$P$1000,8, FALSE)="","",VLOOKUP(A20,'1) Kpler'!$E$2:$P$1000,8, FALSE))</f>
        <v>Ruwais Refinery</v>
      </c>
      <c r="X20" s="1055">
        <f>IF(VLOOKUP(A20,'1) Kpler'!$E$2:$P$1000,9,FALSE)="","",VLOOKUP(A20,'1) Kpler'!$E$2:$P$1000,9,FALSE))</f>
        <v>46133.52083</v>
      </c>
      <c r="Y20" s="425" t="str">
        <f>VLOOKUP(A20,'1) Kpler'!$E$2:$I$1000,4,FALSE)</f>
        <v>ballast</v>
      </c>
      <c r="Z20" s="441" t="str">
        <f>AH20</f>
        <v>26-27 Jan</v>
      </c>
      <c r="AA20" s="50" t="str">
        <f>AK20</f>
        <v/>
      </c>
      <c r="AB20" s="441" t="str">
        <f>AN20</f>
        <v/>
      </c>
      <c r="AC20" s="50" t="str">
        <f>AQ20</f>
        <v/>
      </c>
      <c r="AD20" s="50" t="str">
        <f>AT20</f>
        <v/>
      </c>
      <c r="AE20" s="50" t="str">
        <f>BC20</f>
        <v/>
      </c>
      <c r="AF20" s="50" t="str">
        <f>AZ20</f>
        <v>14-15 Feb</v>
      </c>
      <c r="AG20" s="1382"/>
      <c r="AH20" s="120" t="str">
        <f>IF(AI20="","",TEXT(AI20,"dd")&amp;"-"&amp;TEXT(AJ20,"dd mmm"))</f>
        <v>26-27 Jan</v>
      </c>
      <c r="AI20" s="121">
        <f>IFERROR($N20+VLOOKUP($M20,'Voyage days'!$F$38:$H$89,3,FALSE),"")</f>
        <v>45683</v>
      </c>
      <c r="AJ20" s="121">
        <f>IFERROR(O20+VLOOKUP($M20,'Voyage days'!$F$38:$H$89,3,FALSE),"")</f>
        <v>45684</v>
      </c>
      <c r="AK20" s="120" t="str">
        <f>IF(AL20="","",TEXT(AL20,"dd")&amp;"-"&amp;TEXT(AM20,"dd mmm"))</f>
        <v/>
      </c>
      <c r="AL20" s="121" t="str">
        <f>IFERROR($N20+VLOOKUP($M20,'Voyage days'!$F$94:$H$193,3,FALSE),"")</f>
        <v/>
      </c>
      <c r="AM20" s="121" t="str">
        <f>IFERROR($O20+VLOOKUP($M20,'Voyage days'!$F$94:$H$193,3,FALSE),"")</f>
        <v/>
      </c>
      <c r="AN20" s="120" t="str">
        <f>IF(AO20="","",TEXT(AO20,"dd")&amp;"-"&amp;TEXT(AP20,"dd mmm"))</f>
        <v/>
      </c>
      <c r="AO20" s="121" t="str">
        <f>IFERROR($N20+VLOOKUP($M20,'Voyage days'!$F$203:$H$256,3,FALSE),"")</f>
        <v/>
      </c>
      <c r="AP20" s="121" t="str">
        <f>IFERROR($O20+VLOOKUP($M20,'Voyage days'!$F$203:$H$256,3,FALSE),"")</f>
        <v/>
      </c>
      <c r="AQ20" s="120" t="str">
        <f>IF(AR20="","",TEXT(AR20,"dd")&amp;"-"&amp;TEXT(AS20,"dd mmm"))</f>
        <v/>
      </c>
      <c r="AR20" s="121" t="str">
        <f>IFERROR($N20+VLOOKUP($M20,'Voyage days'!$F$294:$H$377,3,FALSE),"")</f>
        <v/>
      </c>
      <c r="AS20" s="121" t="str">
        <f>IFERROR($O20+VLOOKUP($M20,'Voyage days'!$F$294:$H$377,3,FALSE),"")</f>
        <v/>
      </c>
      <c r="AT20" s="120" t="str">
        <f>IF(AU20="","",TEXT(AU20,"dd")&amp;"-"&amp;TEXT(AV20,"dd mmm"))</f>
        <v/>
      </c>
      <c r="AU20" s="121" t="str">
        <f>IFERROR($N20+VLOOKUP($M20,'Voyage days'!$F$382:$H$446,3,FALSE),"")</f>
        <v/>
      </c>
      <c r="AV20" s="121" t="str">
        <f>IFERROR($O20+VLOOKUP($M20,'Voyage days'!$F$382:$H$446,3,FALSE),"")</f>
        <v/>
      </c>
      <c r="AW20" s="120" t="str">
        <f>IF(AX20="","",TEXT(AX20,"dd")&amp;"-"&amp;TEXT(AY20,"dd mmm"))</f>
        <v/>
      </c>
      <c r="AX20" s="121" t="str">
        <f>IFERROR($N20+VLOOKUP($M20,'Voyage days'!$F$483:$H$538,3,FALSE),"")</f>
        <v/>
      </c>
      <c r="AY20" s="121" t="str">
        <f>IFERROR($O20+VLOOKUP($M20,'Voyage days'!$F$483:$H$538,3,FALSE),"")</f>
        <v/>
      </c>
      <c r="AZ20" s="120" t="str">
        <f>IF(BA20="","",TEXT(BA20,"dd")&amp;"-"&amp;TEXT(BB20,"dd mmm"))</f>
        <v>14-15 Feb</v>
      </c>
      <c r="BA20" s="121">
        <f>IFERROR($N20+VLOOKUP($M20,'Voyage days'!$F$540:$H$613,3,FALSE),"")</f>
        <v>45702</v>
      </c>
      <c r="BB20" s="121">
        <f>IFERROR($O20+VLOOKUP($M20,'Voyage days'!$F$540:$H$613,3,FALSE),"")</f>
        <v>45703</v>
      </c>
      <c r="BC20" s="120" t="str">
        <f>IF(BD20="","",TEXT(BD20,"dd")&amp;"-"&amp;TEXT(BE20,"dd mmm"))</f>
        <v/>
      </c>
      <c r="BD20" s="121" t="str">
        <f>IFERROR($N20+VLOOKUP($M20,'Voyage days'!$L$483:$N$535,3,FALSE),"")</f>
        <v/>
      </c>
      <c r="BE20" s="121" t="str">
        <f>IFERROR($O20+VLOOKUP($M20,'Voyage days'!$L$483:$N$535,3,FALSE),"")</f>
        <v/>
      </c>
      <c r="BF20" s="120" t="str">
        <f>IF(BG20="","",TEXT(BG20,"dd")&amp;"-"&amp;TEXT(BH20,"dd mmm"))</f>
        <v/>
      </c>
      <c r="BG20" s="122" t="str">
        <f>IFERROR($N20+VLOOKUP($M20,'Voyage days'!$F$620:$H$646,3,FALSE),"")</f>
        <v/>
      </c>
      <c r="BH20" s="122" t="str">
        <f>IFERROR($O20+VLOOKUP($M20,'Voyage days'!$F$620:$H$646,3,FALSE),"")</f>
        <v/>
      </c>
      <c r="BI20" s="120" t="str">
        <f>IF(BJ20="","",TEXT(BJ20,"dd")&amp;"-"&amp;TEXT(BM20,"dd mmm"))</f>
        <v/>
      </c>
      <c r="BJ20" s="123" t="str">
        <f>IFERROR($N20+VLOOKUP($M20,'Voyage days'!$F$702:$H$727,3,FALSE),"")</f>
        <v/>
      </c>
      <c r="BK20" s="120" t="str">
        <f>IF(BL20="","",TEXT(BL20,"dd")&amp;"-"&amp;TEXT(BM20,"dd mmm"))</f>
        <v/>
      </c>
      <c r="BL20" s="122" t="str">
        <f>IFERROR($N20+VLOOKUP($M20,'Voyage days'!$F$620:$H$646,3,FALSE),"")</f>
        <v/>
      </c>
      <c r="BM20" s="122" t="str">
        <f>IFERROR($O20+VLOOKUP($M20,'Voyage days'!$F$620:$H$646,3,FALSE),"")</f>
        <v/>
      </c>
      <c r="BN20" s="609"/>
      <c r="BO20" s="609"/>
      <c r="BP20" s="609"/>
    </row>
    <row r="21" ht="15.75" customHeight="1">
      <c r="A21" s="1172" t="s">
        <v>499</v>
      </c>
      <c r="B21" s="25">
        <v>2006.0</v>
      </c>
      <c r="C21" s="25">
        <v>80701.0</v>
      </c>
      <c r="D21" s="1303"/>
      <c r="E21" s="603" t="s">
        <v>1190</v>
      </c>
      <c r="F21" s="1383">
        <v>43892.0</v>
      </c>
      <c r="G21" s="1174"/>
      <c r="H21" s="1304"/>
      <c r="I21" s="1304"/>
      <c r="J21" s="1304" t="str">
        <f>IF(K21="","",VLOOKUP(K21,'Voyage days'!$A$3:$B$1480,2,FALSE))</f>
        <v>#N/A</v>
      </c>
      <c r="K21" s="1304">
        <f>IF(VLOOKUP(A21,'1) Kpler'!$E$2:$O$500,7, FALSE)="",VLOOKUP(A21,'1) Kpler'!$E$2:$O$500,10,FALSE),VLOOKUP(A21,'1) Kpler'!$E$2:$O$500,7, FALSE))</f>
        <v>9315680</v>
      </c>
      <c r="L21" s="1305" t="str">
        <f>IF(VLOOKUP(A21,'1) Kpler'!$E$2:$O$500,8,FALSE)="","",VLOOKUP(A21,'1) Kpler'!$E$2:$O$500,8,FALSE))</f>
        <v>Qatar</v>
      </c>
      <c r="M21" s="1317">
        <f>VLOOKUP(A21,'1) Kpler'!$E$2:$H$400,3,FALSE)</f>
        <v>58691</v>
      </c>
      <c r="N21" s="1306">
        <v>45200.0</v>
      </c>
      <c r="O21" s="1145">
        <v>43892.0</v>
      </c>
      <c r="P21" s="1143" t="s">
        <v>1687</v>
      </c>
      <c r="Q21" s="1174"/>
      <c r="R21" s="603" t="s">
        <v>1031</v>
      </c>
      <c r="S21" s="1313">
        <v>45406.0</v>
      </c>
      <c r="T21" s="1307">
        <v>45407.0</v>
      </c>
      <c r="U21" s="1309"/>
      <c r="V21" s="1359"/>
      <c r="W21" s="686"/>
      <c r="X21" s="603"/>
      <c r="Y21" s="1174"/>
      <c r="Z21" s="1314"/>
      <c r="AA21" s="23"/>
      <c r="AF21" s="1312" t="str">
        <f t="shared" ref="AF21:AF28" si="41">IF(AG21="","",TEXT(AG21,"dd")&amp;"-"&amp;TEXT(AH21,"dd mmm"))</f>
        <v>24-25 Apr</v>
      </c>
      <c r="AG21" s="995">
        <f>IFERROR($S21+VLOOKUP($R21,'Voyage days'!$F$38:$H$89,3,FALSE),"")</f>
        <v>45406</v>
      </c>
      <c r="AH21" s="995">
        <f>IFERROR(T21+VLOOKUP($R21,'Voyage days'!$F$38:$H$89,3,FALSE),"")</f>
        <v>45407</v>
      </c>
      <c r="AI21" s="1312" t="str">
        <f t="shared" ref="AI21:AI28" si="42">IF(AJ21="","",TEXT(AJ21,"dd")&amp;"-"&amp;TEXT(AK21,"dd mmm"))</f>
        <v/>
      </c>
      <c r="AJ21" s="995" t="str">
        <f>IFERROR($S21+VLOOKUP($R21,'Voyage days'!$F$94:$H$193,3,FALSE),"")</f>
        <v/>
      </c>
      <c r="AK21" s="995" t="str">
        <f>IFERROR($T21+VLOOKUP($R21,'Voyage days'!$F$94:$H$193,3,FALSE),"")</f>
        <v/>
      </c>
      <c r="AL21" s="1312" t="str">
        <f t="shared" ref="AL21:AL28" si="43">IF(AM21="","",TEXT(AM21,"dd")&amp;"-"&amp;TEXT(AN21,"dd mmm"))</f>
        <v/>
      </c>
      <c r="AM21" s="995" t="str">
        <f>IFERROR($S21+VLOOKUP($R21,'Voyage days'!$F$203:$H$256,3,FALSE),"")</f>
        <v/>
      </c>
      <c r="AN21" s="995" t="str">
        <f>IFERROR($T21+VLOOKUP($R21,'Voyage days'!$F$203:$H$256,3,FALSE),"")</f>
        <v/>
      </c>
      <c r="AO21" s="1312" t="str">
        <f t="shared" ref="AO21:AO28" si="44">IF(AP21="","",TEXT(AP21,"dd")&amp;"-"&amp;TEXT(AQ21,"dd mmm"))</f>
        <v/>
      </c>
      <c r="AP21" s="995" t="str">
        <f>IFERROR($S21+VLOOKUP($R21,'Voyage days'!$F$294:$H$377,3,FALSE),"")</f>
        <v/>
      </c>
      <c r="AQ21" s="995" t="str">
        <f>IFERROR($T21+VLOOKUP($R21,'Voyage days'!$F$294:$H$377,3,FALSE),"")</f>
        <v/>
      </c>
      <c r="AR21" s="1312" t="str">
        <f t="shared" ref="AR21:AR28" si="45">IF(AS21="","",TEXT(AS21,"dd")&amp;"-"&amp;TEXT(AT21,"dd mmm"))</f>
        <v/>
      </c>
      <c r="AS21" s="995" t="str">
        <f>IFERROR($S21+VLOOKUP($R21,'Voyage days'!$F$382:$H$446,3,FALSE),"")</f>
        <v/>
      </c>
      <c r="AT21" s="995" t="str">
        <f>IFERROR($T21+VLOOKUP($R21,'Voyage days'!$F$382:$H$446,3,FALSE),"")</f>
        <v/>
      </c>
      <c r="AU21" s="1312" t="str">
        <f t="shared" ref="AU21:AU28" si="46">IF(AV21="","",TEXT(AV21,"dd")&amp;"-"&amp;TEXT(AW21,"dd mmm"))</f>
        <v/>
      </c>
      <c r="AV21" s="995" t="str">
        <f>IFERROR($S21+VLOOKUP($R21,'Voyage days'!$F$483:$H$538,3,FALSE),"")</f>
        <v/>
      </c>
      <c r="AW21" s="995" t="str">
        <f>IFERROR($T21+VLOOKUP($R21,'Voyage days'!$F$483:$H$538,3,FALSE),"")</f>
        <v/>
      </c>
      <c r="AX21" s="1312" t="str">
        <f t="shared" ref="AX21:AX28" si="47">IF(AY21="","",TEXT(AY21,"dd")&amp;"-"&amp;TEXT(AZ21,"dd mmm"))</f>
        <v>13-14 May</v>
      </c>
      <c r="AY21" s="995">
        <f>IFERROR($S21+VLOOKUP($R21,'Voyage days'!$F$540:$H$613,3,FALSE),"")</f>
        <v>45425</v>
      </c>
      <c r="AZ21" s="995">
        <f>IFERROR($T21+VLOOKUP($R21,'Voyage days'!$F$540:$H$613,3,FALSE),"")</f>
        <v>45426</v>
      </c>
      <c r="BA21" s="1312" t="str">
        <f t="shared" ref="BA21:BA28" si="48">IF(BB21="","",TEXT(BB21,"dd")&amp;"-"&amp;TEXT(BC21,"dd mmm"))</f>
        <v/>
      </c>
      <c r="BB21" s="995" t="str">
        <f>IFERROR($S21+VLOOKUP($R21,'Voyage days'!$L$483:$N$535,3,FALSE),"")</f>
        <v/>
      </c>
      <c r="BC21" s="995" t="str">
        <f>IFERROR($T21+VLOOKUP($R21,'Voyage days'!$L$483:$N$535,3,FALSE),"")</f>
        <v/>
      </c>
      <c r="BD21" s="1312" t="str">
        <f t="shared" ref="BD21:BD28" si="49">IF(BE21="","",TEXT(BE21,"dd")&amp;"-"&amp;TEXT(BF21,"dd mmm"))</f>
        <v/>
      </c>
      <c r="BE21" s="995" t="str">
        <f>IFERROR($S21+VLOOKUP($R21,'Voyage days'!$F$620:$H$646,3,FALSE),"")</f>
        <v/>
      </c>
      <c r="BF21" s="995" t="str">
        <f>IFERROR($T21+VLOOKUP($R21,'Voyage days'!$F$620:$H$646,3,FALSE),"")</f>
        <v/>
      </c>
      <c r="BG21" s="1312" t="str">
        <f t="shared" ref="BG21:BG28" si="50">IF(BH21="","",TEXT(BH21,"dd")&amp;"-"&amp;TEXT(BI21,"dd mmm"))</f>
        <v/>
      </c>
      <c r="BH21" s="496" t="str">
        <f>IFERROR($S21+VLOOKUP($R21,'Voyage days'!$F$702:$H$727,3,FALSE),"")</f>
        <v/>
      </c>
      <c r="BI21" s="496" t="str">
        <f>IFERROR($T21+VLOOKUP($R21,'Voyage days'!$F$702:$H$727,3,FALSE),"")</f>
        <v/>
      </c>
      <c r="BJ21" s="496"/>
      <c r="BK21" s="496"/>
      <c r="BL21" s="496"/>
      <c r="BM21" s="496"/>
      <c r="BN21" s="496"/>
      <c r="BO21" s="496"/>
      <c r="BP21" s="496"/>
    </row>
    <row r="22" ht="15.75" customHeight="1">
      <c r="A22" s="606" t="s">
        <v>263</v>
      </c>
      <c r="B22" s="25">
        <v>2007.0</v>
      </c>
      <c r="C22" s="25">
        <v>82000.0</v>
      </c>
      <c r="D22" s="1303"/>
      <c r="E22" s="603" t="s">
        <v>1190</v>
      </c>
      <c r="F22" s="686"/>
      <c r="G22" s="1174"/>
      <c r="H22" s="1304"/>
      <c r="I22" s="1304"/>
      <c r="J22" s="1304" t="str">
        <f>IF(K22="","",VLOOKUP(K22,'Voyage days'!$A$3:$B$1480,2,FALSE))</f>
        <v>#N/A</v>
      </c>
      <c r="K22" s="1304">
        <f>IF(VLOOKUP(A22,'1) Kpler'!$E$2:$O$500,7, FALSE)="",VLOOKUP(A22,'1) Kpler'!$E$2:$O$500,10,FALSE),VLOOKUP(A22,'1) Kpler'!$E$2:$O$500,7, FALSE))</f>
        <v>9329710</v>
      </c>
      <c r="L22" s="1305" t="str">
        <f>IF(VLOOKUP(A22,'1) Kpler'!$E$2:$O$500,8,FALSE)="","",VLOOKUP(A22,'1) Kpler'!$E$2:$O$500,8,FALSE))</f>
        <v>Fujairah</v>
      </c>
      <c r="M22" s="1317">
        <f>VLOOKUP(A22,'1) Kpler'!$E$2:$H$400,3,FALSE)</f>
        <v>57738</v>
      </c>
      <c r="N22" s="1306">
        <v>45931.0</v>
      </c>
      <c r="O22" s="1145"/>
      <c r="P22" s="1143"/>
      <c r="Q22" s="1174"/>
      <c r="R22" s="603"/>
      <c r="S22" s="1308"/>
      <c r="T22" s="1318"/>
      <c r="U22" s="1309"/>
      <c r="V22" s="603"/>
      <c r="W22" s="603"/>
      <c r="X22" s="686"/>
      <c r="Y22" s="1174"/>
      <c r="Z22" s="1314"/>
      <c r="AA22" s="1311"/>
      <c r="AF22" s="1312" t="str">
        <f t="shared" si="41"/>
        <v/>
      </c>
      <c r="AG22" s="995" t="str">
        <f>IFERROR($S22+VLOOKUP($R22,'Voyage days'!$F$38:$H$89,3,FALSE),"")</f>
        <v/>
      </c>
      <c r="AH22" s="995" t="str">
        <f>IFERROR(T22+VLOOKUP($R22,'Voyage days'!$F$38:$H$89,3,FALSE),"")</f>
        <v/>
      </c>
      <c r="AI22" s="1312" t="str">
        <f t="shared" si="42"/>
        <v/>
      </c>
      <c r="AJ22" s="995" t="str">
        <f>IFERROR($S22+VLOOKUP($R22,'Voyage days'!$F$94:$H$193,3,FALSE),"")</f>
        <v/>
      </c>
      <c r="AK22" s="995" t="str">
        <f>IFERROR($T22+VLOOKUP($R22,'Voyage days'!$F$94:$H$193,3,FALSE),"")</f>
        <v/>
      </c>
      <c r="AL22" s="1312" t="str">
        <f t="shared" si="43"/>
        <v/>
      </c>
      <c r="AM22" s="995" t="str">
        <f>IFERROR($S22+VLOOKUP($R22,'Voyage days'!$F$203:$H$256,3,FALSE),"")</f>
        <v/>
      </c>
      <c r="AN22" s="995" t="str">
        <f>IFERROR($T22+VLOOKUP($R22,'Voyage days'!$F$203:$H$256,3,FALSE),"")</f>
        <v/>
      </c>
      <c r="AO22" s="1312" t="str">
        <f t="shared" si="44"/>
        <v/>
      </c>
      <c r="AP22" s="995" t="str">
        <f>IFERROR($S22+VLOOKUP($R22,'Voyage days'!$F$294:$H$377,3,FALSE),"")</f>
        <v/>
      </c>
      <c r="AQ22" s="995" t="str">
        <f>IFERROR($T22+VLOOKUP($R22,'Voyage days'!$F$294:$H$377,3,FALSE),"")</f>
        <v/>
      </c>
      <c r="AR22" s="1312" t="str">
        <f t="shared" si="45"/>
        <v/>
      </c>
      <c r="AS22" s="995" t="str">
        <f>IFERROR($S22+VLOOKUP($R22,'Voyage days'!$F$382:$H$446,3,FALSE),"")</f>
        <v/>
      </c>
      <c r="AT22" s="995" t="str">
        <f>IFERROR($T22+VLOOKUP($R22,'Voyage days'!$F$382:$H$446,3,FALSE),"")</f>
        <v/>
      </c>
      <c r="AU22" s="1312" t="str">
        <f t="shared" si="46"/>
        <v/>
      </c>
      <c r="AV22" s="995" t="str">
        <f>IFERROR($S22+VLOOKUP($R22,'Voyage days'!$F$483:$H$538,3,FALSE),"")</f>
        <v/>
      </c>
      <c r="AW22" s="995" t="str">
        <f>IFERROR($T22+VLOOKUP($R22,'Voyage days'!$F$483:$H$538,3,FALSE),"")</f>
        <v/>
      </c>
      <c r="AX22" s="1312" t="str">
        <f t="shared" si="47"/>
        <v/>
      </c>
      <c r="AY22" s="995" t="str">
        <f>IFERROR($S22+VLOOKUP($R22,'Voyage days'!$F$540:$H$613,3,FALSE),"")</f>
        <v/>
      </c>
      <c r="AZ22" s="995" t="str">
        <f>IFERROR($T22+VLOOKUP($R22,'Voyage days'!$F$540:$H$613,3,FALSE),"")</f>
        <v/>
      </c>
      <c r="BA22" s="1312" t="str">
        <f t="shared" si="48"/>
        <v/>
      </c>
      <c r="BB22" s="995" t="str">
        <f>IFERROR($S22+VLOOKUP($R22,'Voyage days'!$L$483:$N$535,3,FALSE),"")</f>
        <v/>
      </c>
      <c r="BC22" s="995" t="str">
        <f>IFERROR($T22+VLOOKUP($R22,'Voyage days'!$L$483:$N$535,3,FALSE),"")</f>
        <v/>
      </c>
      <c r="BD22" s="1312" t="str">
        <f t="shared" si="49"/>
        <v/>
      </c>
      <c r="BE22" s="995" t="str">
        <f>IFERROR($S22+VLOOKUP($R22,'Voyage days'!$F$620:$H$646,3,FALSE),"")</f>
        <v/>
      </c>
      <c r="BF22" s="995" t="str">
        <f>IFERROR($T22+VLOOKUP($R22,'Voyage days'!$F$620:$H$646,3,FALSE),"")</f>
        <v/>
      </c>
      <c r="BG22" s="1312" t="str">
        <f t="shared" si="50"/>
        <v/>
      </c>
      <c r="BH22" s="496"/>
      <c r="BI22" s="496"/>
      <c r="BJ22" s="496"/>
      <c r="BK22" s="496"/>
      <c r="BL22" s="496"/>
      <c r="BM22" s="496"/>
      <c r="BN22" s="496"/>
      <c r="BO22" s="496"/>
      <c r="BP22" s="496"/>
    </row>
    <row r="23" ht="15.75" customHeight="1">
      <c r="A23" s="606" t="s">
        <v>516</v>
      </c>
      <c r="B23" s="561">
        <v>39437.0</v>
      </c>
      <c r="C23" s="25">
        <v>80000.0</v>
      </c>
      <c r="D23" s="1303"/>
      <c r="E23" s="603" t="s">
        <v>1190</v>
      </c>
      <c r="F23" s="686" t="s">
        <v>3044</v>
      </c>
      <c r="G23" s="1354"/>
      <c r="H23" s="1304"/>
      <c r="I23" s="1304"/>
      <c r="J23" s="1304" t="str">
        <f>IF(K23="","",VLOOKUP(K23,'Voyage days'!$A$3:$B$1480,2,FALSE))</f>
        <v>#N/A</v>
      </c>
      <c r="K23" s="1304">
        <f>IF(VLOOKUP(A23,'1) Kpler'!$E$2:$O$500,7, FALSE)="",VLOOKUP(A23,'1) Kpler'!$E$2:$O$500,10,FALSE),VLOOKUP(A23,'1) Kpler'!$E$2:$O$500,7, FALSE))</f>
        <v>9377793</v>
      </c>
      <c r="L23" s="1305" t="str">
        <f>IF(VLOOKUP(A23,'1) Kpler'!$E$2:$O$500,8,FALSE)="","",VLOOKUP(A23,'1) Kpler'!$E$2:$O$500,8,FALSE))</f>
        <v>Porbandar</v>
      </c>
      <c r="M23" s="1317">
        <f>VLOOKUP(A23,'1) Kpler'!$E$2:$H$400,3,FALSE)</f>
        <v>53100</v>
      </c>
      <c r="N23" s="1306">
        <v>45383.0</v>
      </c>
      <c r="O23" s="1145">
        <v>44031.0</v>
      </c>
      <c r="P23" s="1143" t="s">
        <v>1687</v>
      </c>
      <c r="Q23" s="1174"/>
      <c r="R23" s="603" t="s">
        <v>1031</v>
      </c>
      <c r="S23" s="1308">
        <v>45404.0</v>
      </c>
      <c r="T23" s="1318">
        <v>45405.0</v>
      </c>
      <c r="U23" s="1309"/>
      <c r="V23" s="603"/>
      <c r="W23" s="603"/>
      <c r="X23" s="686"/>
      <c r="Y23" s="1174"/>
      <c r="Z23" s="1314"/>
      <c r="AA23" s="1311"/>
      <c r="AF23" s="1312" t="str">
        <f t="shared" si="41"/>
        <v>22-23 Apr</v>
      </c>
      <c r="AG23" s="995">
        <f>IFERROR($S23+VLOOKUP($R23,'Voyage days'!$F$38:$H$89,3,FALSE),"")</f>
        <v>45404</v>
      </c>
      <c r="AH23" s="995">
        <f>IFERROR(T23+VLOOKUP($R23,'Voyage days'!$F$38:$H$89,3,FALSE),"")</f>
        <v>45405</v>
      </c>
      <c r="AI23" s="1312" t="str">
        <f t="shared" si="42"/>
        <v/>
      </c>
      <c r="AJ23" s="995" t="str">
        <f>IFERROR($S23+VLOOKUP($R23,'Voyage days'!$F$94:$H$193,3,FALSE),"")</f>
        <v/>
      </c>
      <c r="AK23" s="995" t="str">
        <f>IFERROR($T23+VLOOKUP($R23,'Voyage days'!$F$94:$H$193,3,FALSE),"")</f>
        <v/>
      </c>
      <c r="AL23" s="1312" t="str">
        <f t="shared" si="43"/>
        <v/>
      </c>
      <c r="AM23" s="995" t="str">
        <f>IFERROR($S23+VLOOKUP($R23,'Voyage days'!$F$203:$H$256,3,FALSE),"")</f>
        <v/>
      </c>
      <c r="AN23" s="995" t="str">
        <f>IFERROR($T23+VLOOKUP($R23,'Voyage days'!$F$203:$H$256,3,FALSE),"")</f>
        <v/>
      </c>
      <c r="AO23" s="1312" t="str">
        <f t="shared" si="44"/>
        <v/>
      </c>
      <c r="AP23" s="995" t="str">
        <f>IFERROR($S23+VLOOKUP($R23,'Voyage days'!$F$294:$H$377,3,FALSE),"")</f>
        <v/>
      </c>
      <c r="AQ23" s="995" t="str">
        <f>IFERROR($T23+VLOOKUP($R23,'Voyage days'!$F$294:$H$377,3,FALSE),"")</f>
        <v/>
      </c>
      <c r="AR23" s="1312" t="str">
        <f t="shared" si="45"/>
        <v/>
      </c>
      <c r="AS23" s="995" t="str">
        <f>IFERROR($S23+VLOOKUP($R23,'Voyage days'!$F$382:$H$446,3,FALSE),"")</f>
        <v/>
      </c>
      <c r="AT23" s="995" t="str">
        <f>IFERROR($T23+VLOOKUP($R23,'Voyage days'!$F$382:$H$446,3,FALSE),"")</f>
        <v/>
      </c>
      <c r="AU23" s="1312" t="str">
        <f t="shared" si="46"/>
        <v/>
      </c>
      <c r="AV23" s="995" t="str">
        <f>IFERROR($S23+VLOOKUP($R23,'Voyage days'!$F$483:$H$538,3,FALSE),"")</f>
        <v/>
      </c>
      <c r="AW23" s="995" t="str">
        <f>IFERROR($T23+VLOOKUP($R23,'Voyage days'!$F$483:$H$538,3,FALSE),"")</f>
        <v/>
      </c>
      <c r="AX23" s="1312" t="str">
        <f t="shared" si="47"/>
        <v>11-12 May</v>
      </c>
      <c r="AY23" s="995">
        <f>IFERROR($S23+VLOOKUP($R23,'Voyage days'!$F$540:$H$613,3,FALSE),"")</f>
        <v>45423</v>
      </c>
      <c r="AZ23" s="995">
        <f>IFERROR($T23+VLOOKUP($R23,'Voyage days'!$F$540:$H$613,3,FALSE),"")</f>
        <v>45424</v>
      </c>
      <c r="BA23" s="1312" t="str">
        <f t="shared" si="48"/>
        <v/>
      </c>
      <c r="BB23" s="995" t="str">
        <f>IFERROR($S23+VLOOKUP($R23,'Voyage days'!$L$483:$N$535,3,FALSE),"")</f>
        <v/>
      </c>
      <c r="BC23" s="995" t="str">
        <f>IFERROR($T23+VLOOKUP($R23,'Voyage days'!$L$483:$N$535,3,FALSE),"")</f>
        <v/>
      </c>
      <c r="BD23" s="1312" t="str">
        <f t="shared" si="49"/>
        <v/>
      </c>
      <c r="BE23" s="995" t="str">
        <f>IFERROR($S23+VLOOKUP($R23,'Voyage days'!$F$620:$H$646,3,FALSE),"")</f>
        <v/>
      </c>
      <c r="BF23" s="995" t="str">
        <f>IFERROR($T23+VLOOKUP($R23,'Voyage days'!$F$620:$H$646,3,FALSE),"")</f>
        <v/>
      </c>
      <c r="BG23" s="1312" t="str">
        <f t="shared" si="50"/>
        <v/>
      </c>
      <c r="BH23" s="496" t="str">
        <f>IFERROR($S23+VLOOKUP($R23,'Voyage days'!$F$702:$H$727,3,FALSE),"")</f>
        <v/>
      </c>
      <c r="BI23" s="496" t="str">
        <f>IFERROR($T23+VLOOKUP($R23,'Voyage days'!$F$702:$H$727,3,FALSE),"")</f>
        <v/>
      </c>
      <c r="BJ23" s="496"/>
      <c r="BK23" s="496"/>
      <c r="BL23" s="496"/>
      <c r="BM23" s="496"/>
      <c r="BN23" s="496"/>
      <c r="BO23" s="496"/>
      <c r="BP23" s="496"/>
    </row>
    <row r="24" ht="15.75" customHeight="1">
      <c r="A24" s="606" t="s">
        <v>96</v>
      </c>
      <c r="B24" s="1005">
        <v>37622.0</v>
      </c>
      <c r="C24" s="25">
        <v>82557.0</v>
      </c>
      <c r="D24" s="1303"/>
      <c r="E24" s="603" t="s">
        <v>1190</v>
      </c>
      <c r="F24" s="686" t="s">
        <v>2937</v>
      </c>
      <c r="G24" s="1174"/>
      <c r="H24" s="1304"/>
      <c r="I24" s="1304"/>
      <c r="J24" s="1304" t="str">
        <f>IF(K24="","",VLOOKUP(K24,'Voyage days'!$A$3:$B$1480,2,FALSE))</f>
        <v>#N/A</v>
      </c>
      <c r="K24" s="1304">
        <f>IF(VLOOKUP(A24,'1) Kpler'!$E$2:$O$500,7, FALSE)="",VLOOKUP(A24,'1) Kpler'!$E$2:$O$500,10,FALSE),VLOOKUP(A24,'1) Kpler'!$E$2:$O$500,7, FALSE))</f>
        <v>9238284</v>
      </c>
      <c r="L24" s="1305" t="str">
        <f>IF(VLOOKUP(A24,'1) Kpler'!$E$2:$O$500,8,FALSE)="","",VLOOKUP(A24,'1) Kpler'!$E$2:$O$500,8,FALSE))</f>
        <v/>
      </c>
      <c r="M24" s="1317">
        <f>VLOOKUP(A24,'1) Kpler'!$E$2:$H$400,3,FALSE)</f>
        <v>53677</v>
      </c>
      <c r="N24" s="1174" t="s">
        <v>1611</v>
      </c>
      <c r="O24" s="1174" t="s">
        <v>3476</v>
      </c>
      <c r="P24" s="1143" t="s">
        <v>1687</v>
      </c>
      <c r="Q24" s="1174"/>
      <c r="R24" s="603" t="s">
        <v>1031</v>
      </c>
      <c r="S24" s="1318">
        <v>45408.0</v>
      </c>
      <c r="T24" s="1318">
        <v>45409.0</v>
      </c>
      <c r="U24" s="1309"/>
      <c r="V24" s="603"/>
      <c r="W24" s="603"/>
      <c r="X24" s="603"/>
      <c r="Y24" s="1174"/>
      <c r="Z24" s="1314"/>
      <c r="AA24" s="1311"/>
      <c r="AF24" s="1312" t="str">
        <f t="shared" si="41"/>
        <v>26-27 Apr</v>
      </c>
      <c r="AG24" s="995">
        <f>IFERROR($S24+VLOOKUP($R24,'Voyage days'!$F$38:$H$89,3,FALSE),"")</f>
        <v>45408</v>
      </c>
      <c r="AH24" s="995">
        <f>IFERROR(T24+VLOOKUP($R24,'Voyage days'!$F$38:$H$89,3,FALSE),"")</f>
        <v>45409</v>
      </c>
      <c r="AI24" s="1312" t="str">
        <f t="shared" si="42"/>
        <v/>
      </c>
      <c r="AJ24" s="995" t="str">
        <f>IFERROR($S24+VLOOKUP($R24,'Voyage days'!$F$94:$H$193,3,FALSE),"")</f>
        <v/>
      </c>
      <c r="AK24" s="995" t="str">
        <f>IFERROR($T24+VLOOKUP($R24,'Voyage days'!$F$94:$H$193,3,FALSE),"")</f>
        <v/>
      </c>
      <c r="AL24" s="1312" t="str">
        <f t="shared" si="43"/>
        <v/>
      </c>
      <c r="AM24" s="995" t="str">
        <f>IFERROR($S24+VLOOKUP($R24,'Voyage days'!$F$203:$H$256,3,FALSE),"")</f>
        <v/>
      </c>
      <c r="AN24" s="995" t="str">
        <f>IFERROR($T24+VLOOKUP($R24,'Voyage days'!$F$203:$H$256,3,FALSE),"")</f>
        <v/>
      </c>
      <c r="AO24" s="1312" t="str">
        <f t="shared" si="44"/>
        <v/>
      </c>
      <c r="AP24" s="995" t="str">
        <f>IFERROR($S24+VLOOKUP($R24,'Voyage days'!$F$294:$H$377,3,FALSE),"")</f>
        <v/>
      </c>
      <c r="AQ24" s="995" t="str">
        <f>IFERROR($T24+VLOOKUP($R24,'Voyage days'!$F$294:$H$377,3,FALSE),"")</f>
        <v/>
      </c>
      <c r="AR24" s="1312" t="str">
        <f t="shared" si="45"/>
        <v/>
      </c>
      <c r="AS24" s="995" t="str">
        <f>IFERROR($S24+VLOOKUP($R24,'Voyage days'!$F$382:$H$446,3,FALSE),"")</f>
        <v/>
      </c>
      <c r="AT24" s="995" t="str">
        <f>IFERROR($T24+VLOOKUP($R24,'Voyage days'!$F$382:$H$446,3,FALSE),"")</f>
        <v/>
      </c>
      <c r="AU24" s="1312" t="str">
        <f t="shared" si="46"/>
        <v/>
      </c>
      <c r="AV24" s="995" t="str">
        <f>IFERROR($S24+VLOOKUP($R24,'Voyage days'!$F$483:$H$538,3,FALSE),"")</f>
        <v/>
      </c>
      <c r="AW24" s="995" t="str">
        <f>IFERROR($T24+VLOOKUP($R24,'Voyage days'!$F$483:$H$538,3,FALSE),"")</f>
        <v/>
      </c>
      <c r="AX24" s="1312" t="str">
        <f t="shared" si="47"/>
        <v>15-16 May</v>
      </c>
      <c r="AY24" s="995">
        <f>IFERROR($S24+VLOOKUP($R24,'Voyage days'!$F$540:$H$613,3,FALSE),"")</f>
        <v>45427</v>
      </c>
      <c r="AZ24" s="995">
        <f>IFERROR($T24+VLOOKUP($R24,'Voyage days'!$F$540:$H$613,3,FALSE),"")</f>
        <v>45428</v>
      </c>
      <c r="BA24" s="1312" t="str">
        <f t="shared" si="48"/>
        <v/>
      </c>
      <c r="BB24" s="995" t="str">
        <f>IFERROR($S24+VLOOKUP($R24,'Voyage days'!$L$483:$N$535,3,FALSE),"")</f>
        <v/>
      </c>
      <c r="BC24" s="995" t="str">
        <f>IFERROR($T24+VLOOKUP($R24,'Voyage days'!$L$483:$N$535,3,FALSE),"")</f>
        <v/>
      </c>
      <c r="BD24" s="1312" t="str">
        <f t="shared" si="49"/>
        <v/>
      </c>
      <c r="BE24" s="995" t="str">
        <f>IFERROR($S24+VLOOKUP($R24,'Voyage days'!$F$620:$H$646,3,FALSE),"")</f>
        <v/>
      </c>
      <c r="BF24" s="995" t="str">
        <f>IFERROR($T24+VLOOKUP($R24,'Voyage days'!$F$620:$H$646,3,FALSE),"")</f>
        <v/>
      </c>
      <c r="BG24" s="1312" t="str">
        <f t="shared" si="50"/>
        <v/>
      </c>
      <c r="BH24" s="496" t="str">
        <f>IFERROR($S24+VLOOKUP($R24,'Voyage days'!$F$702:$H$727,3,FALSE),"")</f>
        <v/>
      </c>
      <c r="BI24" s="496" t="str">
        <f>IFERROR($T24+VLOOKUP($R24,'Voyage days'!$F$702:$H$727,3,FALSE),"")</f>
        <v/>
      </c>
      <c r="BJ24" s="496"/>
      <c r="BK24" s="496"/>
      <c r="BL24" s="496"/>
      <c r="BM24" s="496"/>
      <c r="BN24" s="496"/>
      <c r="BO24" s="496"/>
      <c r="BP24" s="496"/>
    </row>
    <row r="25" ht="15.75" customHeight="1">
      <c r="A25" s="23" t="s">
        <v>369</v>
      </c>
      <c r="B25" s="561">
        <v>40208.0</v>
      </c>
      <c r="C25" s="25">
        <v>80199.0</v>
      </c>
      <c r="D25" s="1303"/>
      <c r="E25" s="603" t="s">
        <v>1190</v>
      </c>
      <c r="F25" s="686" t="s">
        <v>2945</v>
      </c>
      <c r="G25" s="1174"/>
      <c r="H25" s="1304"/>
      <c r="I25" s="1304"/>
      <c r="J25" s="1304" t="str">
        <f>IF(K25="","",VLOOKUP(K25,'Voyage days'!$A$3:$B$1480,2,FALSE))</f>
        <v>#N/A</v>
      </c>
      <c r="K25" s="1304">
        <f>IF(VLOOKUP(A25,'1) Kpler'!$E$2:$O$500,7, FALSE)="",VLOOKUP(A25,'1) Kpler'!$E$2:$O$500,10,FALSE),VLOOKUP(A25,'1) Kpler'!$E$2:$O$500,7, FALSE))</f>
        <v>9405875</v>
      </c>
      <c r="L25" s="1305" t="str">
        <f>IF(VLOOKUP(A25,'1) Kpler'!$E$2:$O$500,8,FALSE)="","",VLOOKUP(A25,'1) Kpler'!$E$2:$O$500,8,FALSE))</f>
        <v>IOC Haldia Refinery</v>
      </c>
      <c r="M25" s="1317">
        <f>VLOOKUP(A25,'1) Kpler'!$E$2:$H$400,3,FALSE)</f>
        <v>53012</v>
      </c>
      <c r="N25" s="1306">
        <v>45839.0</v>
      </c>
      <c r="O25" s="1145">
        <v>43941.0</v>
      </c>
      <c r="P25" s="1143" t="s">
        <v>1687</v>
      </c>
      <c r="Q25" s="1174"/>
      <c r="R25" s="603" t="s">
        <v>1231</v>
      </c>
      <c r="S25" s="1318">
        <v>45404.0</v>
      </c>
      <c r="T25" s="1318">
        <v>45405.0</v>
      </c>
      <c r="U25" s="1309"/>
      <c r="V25" s="1361"/>
      <c r="W25" s="686"/>
      <c r="X25" s="686"/>
      <c r="Y25" s="1174"/>
      <c r="Z25" s="1314"/>
      <c r="AA25" s="1315"/>
      <c r="AF25" s="1312" t="str">
        <f t="shared" si="41"/>
        <v>01-02 May</v>
      </c>
      <c r="AG25" s="995">
        <f>IFERROR($S25+VLOOKUP($R25,'Voyage days'!$F$38:$H$89,3,FALSE),"")</f>
        <v>45413</v>
      </c>
      <c r="AH25" s="995">
        <f>IFERROR(T25+VLOOKUP($R25,'Voyage days'!$F$38:$H$89,3,FALSE),"")</f>
        <v>45414</v>
      </c>
      <c r="AI25" s="1312" t="str">
        <f t="shared" si="42"/>
        <v/>
      </c>
      <c r="AJ25" s="995" t="str">
        <f>IFERROR($S25+VLOOKUP($R25,'Voyage days'!$F$94:$H$193,3,FALSE),"")</f>
        <v/>
      </c>
      <c r="AK25" s="995" t="str">
        <f>IFERROR($T25+VLOOKUP($R25,'Voyage days'!$F$94:$H$193,3,FALSE),"")</f>
        <v/>
      </c>
      <c r="AL25" s="1312" t="str">
        <f t="shared" si="43"/>
        <v>28-29 May</v>
      </c>
      <c r="AM25" s="995">
        <f>IFERROR($S25+VLOOKUP($R25,'Voyage days'!$F$203:$H$256,3,FALSE),"")</f>
        <v>45440</v>
      </c>
      <c r="AN25" s="995">
        <f>IFERROR($T25+VLOOKUP($R25,'Voyage days'!$F$203:$H$256,3,FALSE),"")</f>
        <v>45441</v>
      </c>
      <c r="AO25" s="1312" t="str">
        <f t="shared" si="44"/>
        <v>13-14 May</v>
      </c>
      <c r="AP25" s="995">
        <f>IFERROR($S25+VLOOKUP($R25,'Voyage days'!$F$294:$H$377,3,FALSE),"")</f>
        <v>45425</v>
      </c>
      <c r="AQ25" s="995">
        <f>IFERROR($T25+VLOOKUP($R25,'Voyage days'!$F$294:$H$377,3,FALSE),"")</f>
        <v>45426</v>
      </c>
      <c r="AR25" s="1312" t="str">
        <f t="shared" si="45"/>
        <v>20-21 May</v>
      </c>
      <c r="AS25" s="995">
        <f>IFERROR($S25+VLOOKUP($R25,'Voyage days'!$F$382:$H$446,3,FALSE),"")</f>
        <v>45432</v>
      </c>
      <c r="AT25" s="995">
        <f>IFERROR($T25+VLOOKUP($R25,'Voyage days'!$F$382:$H$446,3,FALSE),"")</f>
        <v>45433</v>
      </c>
      <c r="AU25" s="1312" t="str">
        <f t="shared" si="46"/>
        <v>22-23 Apr</v>
      </c>
      <c r="AV25" s="995">
        <f>IFERROR($S25+VLOOKUP($R25,'Voyage days'!$F$483:$H$538,3,FALSE),"")</f>
        <v>45404</v>
      </c>
      <c r="AW25" s="995">
        <f>IFERROR($T25+VLOOKUP($R25,'Voyage days'!$F$483:$H$538,3,FALSE),"")</f>
        <v>45405</v>
      </c>
      <c r="AX25" s="1312" t="str">
        <f t="shared" si="47"/>
        <v/>
      </c>
      <c r="AY25" s="995" t="str">
        <f>IFERROR($S25+VLOOKUP($R25,'Voyage days'!$F$540:$H$613,3,FALSE),"")</f>
        <v/>
      </c>
      <c r="AZ25" s="995" t="str">
        <f>IFERROR($T25+VLOOKUP($R25,'Voyage days'!$F$540:$H$613,3,FALSE),"")</f>
        <v/>
      </c>
      <c r="BA25" s="1312" t="str">
        <f t="shared" si="48"/>
        <v/>
      </c>
      <c r="BB25" s="995" t="str">
        <f>IFERROR($S25+VLOOKUP($R25,'Voyage days'!$L$483:$N$535,3,FALSE),"")</f>
        <v/>
      </c>
      <c r="BC25" s="995" t="str">
        <f>IFERROR($T25+VLOOKUP($R25,'Voyage days'!$L$483:$N$535,3,FALSE),"")</f>
        <v/>
      </c>
      <c r="BD25" s="1312" t="str">
        <f t="shared" si="49"/>
        <v/>
      </c>
      <c r="BE25" s="995" t="str">
        <f>IFERROR($S25+VLOOKUP($R25,'Voyage days'!$F$620:$H$646,3,FALSE),"")</f>
        <v/>
      </c>
      <c r="BF25" s="995" t="str">
        <f>IFERROR($T25+VLOOKUP($R25,'Voyage days'!$F$620:$H$646,3,FALSE),"")</f>
        <v/>
      </c>
      <c r="BG25" s="1312" t="str">
        <f t="shared" si="50"/>
        <v/>
      </c>
      <c r="BH25" s="496" t="str">
        <f>IFERROR($S25+VLOOKUP($R25,'Voyage days'!$F$702:$H$727,3,FALSE),"")</f>
        <v/>
      </c>
      <c r="BI25" s="496" t="str">
        <f>IFERROR($T25+VLOOKUP($R25,'Voyage days'!$F$702:$H$727,3,FALSE),"")</f>
        <v/>
      </c>
      <c r="BJ25" s="496"/>
      <c r="BK25" s="496"/>
      <c r="BL25" s="496"/>
      <c r="BM25" s="496"/>
      <c r="BN25" s="496"/>
      <c r="BO25" s="496"/>
      <c r="BP25" s="496"/>
    </row>
    <row r="26" ht="15.75" customHeight="1">
      <c r="A26" s="1316" t="s">
        <v>457</v>
      </c>
      <c r="B26" s="1005">
        <v>37135.0</v>
      </c>
      <c r="C26" s="25">
        <v>81960.0</v>
      </c>
      <c r="D26" s="1303"/>
      <c r="E26" s="603" t="s">
        <v>1190</v>
      </c>
      <c r="F26" s="686" t="s">
        <v>3477</v>
      </c>
      <c r="G26" s="1351"/>
      <c r="H26" s="1304"/>
      <c r="I26" s="1304"/>
      <c r="J26" s="1304" t="str">
        <f>IF(K26="","",VLOOKUP(K26,'Voyage days'!$A$3:$B$1480,2,FALSE))</f>
        <v>#N/A</v>
      </c>
      <c r="K26" s="1304">
        <f>IF(VLOOKUP(A26,'1) Kpler'!$E$2:$O$500,7, FALSE)="",VLOOKUP(A26,'1) Kpler'!$E$2:$O$500,10,FALSE),VLOOKUP(A26,'1) Kpler'!$E$2:$O$500,7, FALSE))</f>
        <v>9232503</v>
      </c>
      <c r="L26" s="1305" t="str">
        <f>IF(VLOOKUP(A26,'1) Kpler'!$E$2:$O$500,8,FALSE)="","",VLOOKUP(A26,'1) Kpler'!$E$2:$O$500,8,FALSE))</f>
        <v>Oman</v>
      </c>
      <c r="M26" s="1317">
        <f>VLOOKUP(A26,'1) Kpler'!$E$2:$H$400,3,FALSE)</f>
        <v>53503</v>
      </c>
      <c r="N26" s="1306">
        <v>45323.0</v>
      </c>
      <c r="O26" s="1351">
        <v>43696.0</v>
      </c>
      <c r="P26" s="1143" t="s">
        <v>1687</v>
      </c>
      <c r="Q26" s="1174"/>
      <c r="R26" s="603" t="s">
        <v>1085</v>
      </c>
      <c r="S26" s="1384">
        <v>45403.0</v>
      </c>
      <c r="T26" s="1385">
        <v>45404.0</v>
      </c>
      <c r="U26" s="686"/>
      <c r="V26" s="603"/>
      <c r="W26" s="686"/>
      <c r="X26" s="603"/>
      <c r="Y26" s="1174"/>
      <c r="Z26" s="1314"/>
      <c r="AA26" s="1386"/>
      <c r="AF26" s="1312" t="str">
        <f t="shared" si="41"/>
        <v>26-27 Apr</v>
      </c>
      <c r="AG26" s="995">
        <f>IFERROR($S26+VLOOKUP($R26,'Voyage days'!$F$38:$H$89,3,FALSE),"")</f>
        <v>45408</v>
      </c>
      <c r="AH26" s="995">
        <f>IFERROR(T26+VLOOKUP($R26,'Voyage days'!$F$38:$H$89,3,FALSE),"")</f>
        <v>45409</v>
      </c>
      <c r="AI26" s="1312" t="str">
        <f t="shared" si="42"/>
        <v/>
      </c>
      <c r="AJ26" s="995" t="str">
        <f>IFERROR($S26+VLOOKUP($R26,'Voyage days'!$F$94:$H$193,3,FALSE),"")</f>
        <v/>
      </c>
      <c r="AK26" s="995" t="str">
        <f>IFERROR($T26+VLOOKUP($R26,'Voyage days'!$F$94:$H$193,3,FALSE),"")</f>
        <v/>
      </c>
      <c r="AL26" s="1312" t="str">
        <f t="shared" si="43"/>
        <v>23-24 May</v>
      </c>
      <c r="AM26" s="995">
        <f>IFERROR($S26+VLOOKUP($R26,'Voyage days'!$F$203:$H$256,3,FALSE),"")</f>
        <v>45435</v>
      </c>
      <c r="AN26" s="995">
        <f>IFERROR($T26+VLOOKUP($R26,'Voyage days'!$F$203:$H$256,3,FALSE),"")</f>
        <v>45436</v>
      </c>
      <c r="AO26" s="1312" t="str">
        <f t="shared" si="44"/>
        <v>10-11 May</v>
      </c>
      <c r="AP26" s="995">
        <f>IFERROR($S26+VLOOKUP($R26,'Voyage days'!$F$294:$H$377,3,FALSE),"")</f>
        <v>45422</v>
      </c>
      <c r="AQ26" s="995">
        <f>IFERROR($T26+VLOOKUP($R26,'Voyage days'!$F$294:$H$377,3,FALSE),"")</f>
        <v>45423</v>
      </c>
      <c r="AR26" s="1312" t="str">
        <f t="shared" si="45"/>
        <v>04-05 May</v>
      </c>
      <c r="AS26" s="995">
        <f>IFERROR($S26+VLOOKUP($R26,'Voyage days'!$F$382:$H$446,3,FALSE),"")</f>
        <v>45416</v>
      </c>
      <c r="AT26" s="995">
        <f>IFERROR($T26+VLOOKUP($R26,'Voyage days'!$F$382:$H$446,3,FALSE),"")</f>
        <v>45417</v>
      </c>
      <c r="AU26" s="1312" t="str">
        <f t="shared" si="46"/>
        <v/>
      </c>
      <c r="AV26" s="995" t="str">
        <f>IFERROR($S26+VLOOKUP($R26,'Voyage days'!$F$483:$H$538,3,FALSE),"")</f>
        <v/>
      </c>
      <c r="AW26" s="995" t="str">
        <f>IFERROR($T26+VLOOKUP($R26,'Voyage days'!$F$483:$H$538,3,FALSE),"")</f>
        <v/>
      </c>
      <c r="AX26" s="1312" t="str">
        <f t="shared" si="47"/>
        <v/>
      </c>
      <c r="AY26" s="995" t="str">
        <f>IFERROR($S26+VLOOKUP($R26,'Voyage days'!$F$540:$H$613,3,FALSE),"")</f>
        <v/>
      </c>
      <c r="AZ26" s="995" t="str">
        <f>IFERROR($T26+VLOOKUP($R26,'Voyage days'!$F$540:$H$613,3,FALSE),"")</f>
        <v/>
      </c>
      <c r="BA26" s="1312" t="str">
        <f t="shared" si="48"/>
        <v/>
      </c>
      <c r="BB26" s="995" t="str">
        <f>IFERROR($S26+VLOOKUP($R26,'Voyage days'!$L$483:$N$535,3,FALSE),"")</f>
        <v/>
      </c>
      <c r="BC26" s="995" t="str">
        <f>IFERROR($T26+VLOOKUP($R26,'Voyage days'!$L$483:$N$535,3,FALSE),"")</f>
        <v/>
      </c>
      <c r="BD26" s="1312" t="str">
        <f t="shared" si="49"/>
        <v/>
      </c>
      <c r="BE26" s="995" t="str">
        <f>IFERROR($S26+VLOOKUP($R26,'Voyage days'!$F$620:$H$646,3,FALSE),"")</f>
        <v/>
      </c>
      <c r="BF26" s="995" t="str">
        <f>IFERROR($T26+VLOOKUP($R26,'Voyage days'!$F$620:$H$646,3,FALSE),"")</f>
        <v/>
      </c>
      <c r="BG26" s="1312" t="str">
        <f t="shared" si="50"/>
        <v/>
      </c>
      <c r="BH26" s="496" t="str">
        <f>IFERROR($S26+VLOOKUP($R26,'Voyage days'!$F$702:$H$727,3,FALSE),"")</f>
        <v/>
      </c>
      <c r="BI26" s="496" t="str">
        <f>IFERROR($T26+VLOOKUP($R26,'Voyage days'!$F$702:$H$727,3,FALSE),"")</f>
        <v/>
      </c>
      <c r="BJ26" s="496"/>
      <c r="BK26" s="496"/>
      <c r="BL26" s="496"/>
      <c r="BM26" s="496"/>
      <c r="BN26" s="496"/>
      <c r="BO26" s="496"/>
      <c r="BP26" s="496"/>
    </row>
    <row r="27" ht="15.75" customHeight="1">
      <c r="A27" s="606" t="s">
        <v>466</v>
      </c>
      <c r="B27" s="1002">
        <v>38869.0</v>
      </c>
      <c r="C27" s="1344">
        <v>83000.0</v>
      </c>
      <c r="D27" s="1333"/>
      <c r="E27" s="1345" t="s">
        <v>1190</v>
      </c>
      <c r="F27" s="686" t="s">
        <v>3478</v>
      </c>
      <c r="G27" s="1387"/>
      <c r="H27" s="606"/>
      <c r="I27" s="1345" t="s">
        <v>3479</v>
      </c>
      <c r="J27" s="1316" t="str">
        <f>IF(K27="","",VLOOKUP(K27,'Voyage days'!$A$3:$B$1480,2,FALSE))</f>
        <v>#N/A</v>
      </c>
      <c r="K27" s="1316">
        <f>IF(VLOOKUP(A27,'1) Kpler'!$E$2:$O$500,7, FALSE)="",VLOOKUP(A27,'1) Kpler'!$E$2:$O$500,10,FALSE),VLOOKUP(A27,'1) Kpler'!$E$2:$O$500,7, FALSE))</f>
        <v>9307736</v>
      </c>
      <c r="L27" s="1375" t="str">
        <f>IF(VLOOKUP(A27,'1) Kpler'!$E$2:$O$500,8,FALSE)="","",VLOOKUP(A27,'1) Kpler'!$E$2:$O$500,8,FALSE))</f>
        <v>Oiltank. Merak</v>
      </c>
      <c r="M27" s="1376">
        <f>VLOOKUP(A27,'1) Kpler'!$E$2:$H$400,3,FALSE)</f>
        <v>54490</v>
      </c>
      <c r="N27" s="1350"/>
      <c r="O27" s="1351"/>
      <c r="P27" s="686" t="s">
        <v>1687</v>
      </c>
      <c r="Q27" s="686"/>
      <c r="R27" s="686"/>
      <c r="S27" s="1345" t="s">
        <v>2086</v>
      </c>
      <c r="T27" s="1350">
        <v>45437.0</v>
      </c>
      <c r="U27" s="686"/>
      <c r="V27" s="1352" t="s">
        <v>3466</v>
      </c>
      <c r="W27" s="686"/>
      <c r="X27" s="686"/>
      <c r="Y27" s="686"/>
      <c r="Z27" s="1353"/>
      <c r="AA27" s="1321"/>
      <c r="AF27" s="1316" t="str">
        <f t="shared" si="41"/>
        <v/>
      </c>
      <c r="AG27" s="1343" t="str">
        <f>IFERROR(#REF!+VLOOKUP($R27,'Voyage days'!$F$38:$H$89,3,FALSE),"")</f>
        <v/>
      </c>
      <c r="AH27" s="1343" t="str">
        <f>IFERROR(T27+VLOOKUP($R27,'Voyage days'!$F$38:$H$89,3,FALSE),"")</f>
        <v/>
      </c>
      <c r="AI27" s="1316" t="str">
        <f t="shared" si="42"/>
        <v/>
      </c>
      <c r="AJ27" s="1343" t="str">
        <f>IF(P27="P",IFERROR(#REF!+VLOOKUP($R27,'Voyage days'!$F$94:$H$193,3,FALSE),""),"")</f>
        <v/>
      </c>
      <c r="AK27" s="1343" t="str">
        <f>IF(P27="P",IFERROR($T27+VLOOKUP($R27,'Voyage days'!$F$94:$H$193,3,FALSE),""),"")</f>
        <v/>
      </c>
      <c r="AL27" s="1316" t="str">
        <f t="shared" si="43"/>
        <v/>
      </c>
      <c r="AM27" s="1343" t="str">
        <f>IFERROR(#REF!+VLOOKUP($R27,'Voyage days'!$F$203:$H$256,3,FALSE),"")</f>
        <v/>
      </c>
      <c r="AN27" s="1343" t="str">
        <f>IFERROR($T27+VLOOKUP($R27,'Voyage days'!$F$203:$H$256,3,FALSE),"")</f>
        <v/>
      </c>
      <c r="AO27" s="1316" t="str">
        <f t="shared" si="44"/>
        <v/>
      </c>
      <c r="AP27" s="1343" t="str">
        <f>IFERROR(#REF!+VLOOKUP($R27,'Voyage days'!$F$294:$H$377,3,FALSE),"")</f>
        <v/>
      </c>
      <c r="AQ27" s="1343" t="str">
        <f>IFERROR($T27+VLOOKUP($R27,'Voyage days'!$F$294:$H$377,3,FALSE),"")</f>
        <v/>
      </c>
      <c r="AR27" s="1316" t="str">
        <f t="shared" si="45"/>
        <v/>
      </c>
      <c r="AS27" s="1343" t="str">
        <f>IFERROR(#REF!+VLOOKUP($R27,'Voyage days'!$F$382:$H$446,3,FALSE),"")</f>
        <v/>
      </c>
      <c r="AT27" s="1343" t="str">
        <f>IFERROR($T27+VLOOKUP($R27,'Voyage days'!$F$382:$H$446,3,FALSE),"")</f>
        <v/>
      </c>
      <c r="AU27" s="1316" t="str">
        <f t="shared" si="46"/>
        <v/>
      </c>
      <c r="AV27" s="1343" t="str">
        <f>IFERROR(#REF!+VLOOKUP($R27,'Voyage days'!$F$483:$H$538,3,FALSE),"")</f>
        <v/>
      </c>
      <c r="AW27" s="1343" t="str">
        <f>IFERROR($T27+VLOOKUP($R27,'Voyage days'!$F$483:$H$538,3,FALSE),"")</f>
        <v/>
      </c>
      <c r="AX27" s="1316" t="str">
        <f t="shared" si="47"/>
        <v/>
      </c>
      <c r="AY27" s="1343" t="str">
        <f>IFERROR(#REF!+VLOOKUP($R27,'Voyage days'!$F$540:$H$613,3,FALSE),"")</f>
        <v/>
      </c>
      <c r="AZ27" s="1343" t="str">
        <f>IFERROR($T27+VLOOKUP($R27,'Voyage days'!$F$540:$H$613,3,FALSE),"")</f>
        <v/>
      </c>
      <c r="BA27" s="1316" t="str">
        <f t="shared" si="48"/>
        <v/>
      </c>
      <c r="BB27" s="1343" t="str">
        <f>IFERROR(#REF!+VLOOKUP($R27,'Voyage days'!$L$483:$N$535,3,FALSE),"")</f>
        <v/>
      </c>
      <c r="BC27" s="1343" t="str">
        <f>IFERROR($T27+VLOOKUP($R27,'Voyage days'!$L$483:$N$535,3,FALSE),"")</f>
        <v/>
      </c>
      <c r="BD27" s="1316" t="str">
        <f t="shared" si="49"/>
        <v/>
      </c>
      <c r="BE27" s="1343" t="str">
        <f>IFERROR(#REF!+VLOOKUP($R27,'Voyage days'!$F$620:$H$646,3,FALSE),"")</f>
        <v/>
      </c>
      <c r="BF27" s="1343" t="str">
        <f>IFERROR($T27+VLOOKUP($R27,'Voyage days'!$F$620:$H$646,3,FALSE),"")</f>
        <v/>
      </c>
      <c r="BG27" s="1316" t="str">
        <f t="shared" si="50"/>
        <v/>
      </c>
      <c r="BH27" s="1321" t="str">
        <f>IFERROR(#REF!+VLOOKUP($R27,'Voyage days'!$F$702:$H$727,3,FALSE),"")</f>
        <v/>
      </c>
      <c r="BI27" s="1321" t="str">
        <f>IFERROR($T27+VLOOKUP($R27,'Voyage days'!$F$702:$H$727,3,FALSE),"")</f>
        <v/>
      </c>
      <c r="BJ27" s="1321"/>
      <c r="BK27" s="1321"/>
      <c r="BL27" s="1321"/>
      <c r="BM27" s="1321"/>
      <c r="BN27" s="1321"/>
      <c r="BO27" s="1321"/>
      <c r="BP27" s="1321"/>
    </row>
    <row r="28" ht="15.75" customHeight="1">
      <c r="A28" s="606" t="s">
        <v>1390</v>
      </c>
      <c r="B28" s="561">
        <v>40632.0</v>
      </c>
      <c r="C28" s="25">
        <v>80000.0</v>
      </c>
      <c r="D28" s="1303"/>
      <c r="E28" s="603" t="s">
        <v>1190</v>
      </c>
      <c r="F28" s="686" t="s">
        <v>2935</v>
      </c>
      <c r="G28" s="1174"/>
      <c r="H28" s="1304"/>
      <c r="I28" s="1304"/>
      <c r="J28" s="1304" t="str">
        <f>IF(K28="","",VLOOKUP(K28,'Voyage days'!$A$3:$B$1480,2,FALSE))</f>
        <v>#N/A</v>
      </c>
      <c r="K28" s="1304">
        <f>IF(VLOOKUP(A28,'1) Kpler'!$E$2:$O$500,7, FALSE)="",VLOOKUP(A28,'1) Kpler'!$E$2:$O$500,10,FALSE),VLOOKUP(A28,'1) Kpler'!$E$2:$O$500,7, FALSE))</f>
        <v>9479929</v>
      </c>
      <c r="L28" s="1305" t="str">
        <f>IF(VLOOKUP(A28,'1) Kpler'!$E$2:$O$500,8,FALSE)="","",VLOOKUP(A28,'1) Kpler'!$E$2:$O$500,8,FALSE))</f>
        <v/>
      </c>
      <c r="M28" s="1317">
        <f>VLOOKUP(A28,'1) Kpler'!$E$2:$H$400,3,FALSE)</f>
        <v>53028</v>
      </c>
      <c r="N28" s="1388">
        <v>45261.0</v>
      </c>
      <c r="O28" s="1389"/>
      <c r="P28" s="1143" t="s">
        <v>1687</v>
      </c>
      <c r="Q28" s="1174"/>
      <c r="R28" s="603" t="s">
        <v>1231</v>
      </c>
      <c r="S28" s="1384">
        <v>45465.0</v>
      </c>
      <c r="T28" s="1385">
        <v>45466.0</v>
      </c>
      <c r="U28" s="1309"/>
      <c r="V28" s="1359"/>
      <c r="W28" s="603"/>
      <c r="X28" s="686"/>
      <c r="Y28" s="1174"/>
      <c r="Z28" s="1390"/>
      <c r="AA28" s="1315"/>
      <c r="AF28" s="1312" t="str">
        <f t="shared" si="41"/>
        <v>01-02 Jul</v>
      </c>
      <c r="AG28" s="995">
        <f>IFERROR($S28+VLOOKUP($R28,'Voyage days'!$F$38:$H$89,3,FALSE),"")</f>
        <v>45474</v>
      </c>
      <c r="AH28" s="995">
        <f>IFERROR(T28+VLOOKUP($R28,'Voyage days'!$F$38:$H$89,3,FALSE),"")</f>
        <v>45475</v>
      </c>
      <c r="AI28" s="1312" t="str">
        <f t="shared" si="42"/>
        <v/>
      </c>
      <c r="AJ28" s="995" t="str">
        <f>IFERROR($S28+VLOOKUP($R28,'Voyage days'!$F$94:$H$193,3,FALSE),"")</f>
        <v/>
      </c>
      <c r="AK28" s="995" t="str">
        <f>IFERROR($T28+VLOOKUP($R28,'Voyage days'!$F$94:$H$193,3,FALSE),"")</f>
        <v/>
      </c>
      <c r="AL28" s="1312" t="str">
        <f t="shared" si="43"/>
        <v>28-29 Jul</v>
      </c>
      <c r="AM28" s="995">
        <f>IFERROR($S28+VLOOKUP($R28,'Voyage days'!$F$203:$H$256,3,FALSE),"")</f>
        <v>45501</v>
      </c>
      <c r="AN28" s="995">
        <f>IFERROR($T28+VLOOKUP($R28,'Voyage days'!$F$203:$H$256,3,FALSE),"")</f>
        <v>45502</v>
      </c>
      <c r="AO28" s="1312" t="str">
        <f t="shared" si="44"/>
        <v>13-14 Jul</v>
      </c>
      <c r="AP28" s="995">
        <f>IFERROR($S28+VLOOKUP($R28,'Voyage days'!$F$294:$H$377,3,FALSE),"")</f>
        <v>45486</v>
      </c>
      <c r="AQ28" s="995">
        <f>IFERROR($T28+VLOOKUP($R28,'Voyage days'!$F$294:$H$377,3,FALSE),"")</f>
        <v>45487</v>
      </c>
      <c r="AR28" s="1312" t="str">
        <f t="shared" si="45"/>
        <v>20-21 Jul</v>
      </c>
      <c r="AS28" s="995">
        <f>IFERROR($S28+VLOOKUP($R28,'Voyage days'!$F$382:$H$446,3,FALSE),"")</f>
        <v>45493</v>
      </c>
      <c r="AT28" s="995">
        <f>IFERROR($T28+VLOOKUP($R28,'Voyage days'!$F$382:$H$446,3,FALSE),"")</f>
        <v>45494</v>
      </c>
      <c r="AU28" s="1312" t="str">
        <f t="shared" si="46"/>
        <v>22-23 Jun</v>
      </c>
      <c r="AV28" s="995">
        <f>IFERROR($S28+VLOOKUP($R28,'Voyage days'!$F$483:$H$538,3,FALSE),"")</f>
        <v>45465</v>
      </c>
      <c r="AW28" s="995">
        <f>IFERROR($T28+VLOOKUP($R28,'Voyage days'!$F$483:$H$538,3,FALSE),"")</f>
        <v>45466</v>
      </c>
      <c r="AX28" s="1312" t="str">
        <f t="shared" si="47"/>
        <v/>
      </c>
      <c r="AY28" s="995" t="str">
        <f>IFERROR($S28+VLOOKUP($R28,'Voyage days'!$F$540:$H$613,3,FALSE),"")</f>
        <v/>
      </c>
      <c r="AZ28" s="995" t="str">
        <f>IFERROR($T28+VLOOKUP($R28,'Voyage days'!$F$540:$H$613,3,FALSE),"")</f>
        <v/>
      </c>
      <c r="BA28" s="1312" t="str">
        <f t="shared" si="48"/>
        <v/>
      </c>
      <c r="BB28" s="995" t="str">
        <f>IFERROR($S28+VLOOKUP($R28,'Voyage days'!$L$483:$N$535,3,FALSE),"")</f>
        <v/>
      </c>
      <c r="BC28" s="995" t="str">
        <f>IFERROR($T28+VLOOKUP($R28,'Voyage days'!$L$483:$N$535,3,FALSE),"")</f>
        <v/>
      </c>
      <c r="BD28" s="1312" t="str">
        <f t="shared" si="49"/>
        <v/>
      </c>
      <c r="BE28" s="995" t="str">
        <f>IFERROR($S28+VLOOKUP($R28,'Voyage days'!$F$620:$H$646,3,FALSE),"")</f>
        <v/>
      </c>
      <c r="BF28" s="995" t="str">
        <f>IFERROR($T28+VLOOKUP($R28,'Voyage days'!$F$620:$H$646,3,FALSE),"")</f>
        <v/>
      </c>
      <c r="BG28" s="1312" t="str">
        <f t="shared" si="50"/>
        <v/>
      </c>
      <c r="BH28" s="496" t="str">
        <f>IFERROR($S28+VLOOKUP($R28,'Voyage days'!$F$702:$H$727,3,FALSE),"")</f>
        <v/>
      </c>
      <c r="BI28" s="496" t="str">
        <f>IFERROR($T28+VLOOKUP($R28,'Voyage days'!$F$702:$H$727,3,FALSE),"")</f>
        <v/>
      </c>
      <c r="BJ28" s="496"/>
      <c r="BK28" s="496"/>
      <c r="BL28" s="496"/>
      <c r="BM28" s="496"/>
      <c r="BN28" s="496"/>
      <c r="BO28" s="496"/>
      <c r="BP28" s="496"/>
    </row>
    <row r="29" ht="15.75" customHeight="1">
      <c r="A29" s="100" t="s">
        <v>527</v>
      </c>
      <c r="B29" s="601">
        <v>2008.0</v>
      </c>
      <c r="C29" s="1056">
        <v>84597.0</v>
      </c>
      <c r="D29" s="383"/>
      <c r="E29" s="104" t="s">
        <v>1687</v>
      </c>
      <c r="F29" s="103" t="s">
        <v>3269</v>
      </c>
      <c r="G29" s="604">
        <v>44378.0</v>
      </c>
      <c r="H29" s="103">
        <v>45870.0</v>
      </c>
      <c r="I29" s="103"/>
      <c r="J29" s="185" t="s">
        <v>1553</v>
      </c>
      <c r="K29" s="111" t="s">
        <v>2937</v>
      </c>
      <c r="L29" s="336" t="str">
        <f>IF(X29="","NO AIS",IF((X29-N29-1)&gt;0,"Update",""))</f>
        <v>NO AIS</v>
      </c>
      <c r="M29" s="108" t="s">
        <v>1085</v>
      </c>
      <c r="N29" s="109">
        <v>45782.0</v>
      </c>
      <c r="O29" s="109">
        <v>45784.0</v>
      </c>
      <c r="P29" s="334"/>
      <c r="Q29" s="1391" t="s">
        <v>3475</v>
      </c>
      <c r="R29" s="185"/>
      <c r="S29" s="185"/>
      <c r="T29" s="112" t="s">
        <v>2962</v>
      </c>
      <c r="U29" s="113">
        <v>45765.0</v>
      </c>
      <c r="V29" s="115" t="str">
        <f>IF(W29="","",VLOOKUP(W29,'Voyage days'!$A$3:$B$1480,2,FALSE))</f>
        <v/>
      </c>
      <c r="W29" s="115" t="str">
        <f>IF(VLOOKUP(A29,'1) Kpler'!$E$2:$P$1000,8, FALSE)="","",VLOOKUP(A29,'1) Kpler'!$E$2:$P$1000,8, FALSE))</f>
        <v/>
      </c>
      <c r="X29" s="116" t="str">
        <f>IF(VLOOKUP(A29,'1) Kpler'!$E$2:$P$1000,9,FALSE)="","",VLOOKUP(A29,'1) Kpler'!$E$2:$P$1000,9,FALSE))</f>
        <v/>
      </c>
      <c r="Y29" s="115" t="str">
        <f>VLOOKUP(A29,'1) Kpler'!$E$2:$I$1000,4,FALSE)</f>
        <v>floatingStorage</v>
      </c>
      <c r="Z29" s="117" t="str">
        <f>AH29</f>
        <v>10-12 May</v>
      </c>
      <c r="AA29" s="117" t="str">
        <f>AK29</f>
        <v/>
      </c>
      <c r="AB29" s="117" t="str">
        <f>AN29</f>
        <v>06-08 Jun</v>
      </c>
      <c r="AC29" s="117" t="str">
        <f>AQ29</f>
        <v>24-26 May</v>
      </c>
      <c r="AD29" s="117" t="str">
        <f>AT29</f>
        <v>18-20 May</v>
      </c>
      <c r="AE29" s="117" t="str">
        <f>BC29</f>
        <v/>
      </c>
      <c r="AF29" s="117" t="str">
        <f>AZ29</f>
        <v/>
      </c>
      <c r="AG29" s="1392"/>
      <c r="AH29" s="120" t="str">
        <f>IF(AI29="","",TEXT(AI29,"dd")&amp;"-"&amp;TEXT(AJ29,"dd mmm"))</f>
        <v>10-12 May</v>
      </c>
      <c r="AI29" s="121">
        <f>IFERROR($N29+VLOOKUP($M29,'Voyage days'!$F$38:$H$89,3,FALSE),"")</f>
        <v>45787</v>
      </c>
      <c r="AJ29" s="121">
        <f>IFERROR(O29+VLOOKUP($M29,'Voyage days'!$F$38:$H$89,3,FALSE),"")</f>
        <v>45789</v>
      </c>
      <c r="AK29" s="120" t="str">
        <f>IF(AL29="","",TEXT(AL29,"dd")&amp;"-"&amp;TEXT(AM29,"dd mmm"))</f>
        <v/>
      </c>
      <c r="AL29" s="121" t="str">
        <f>IFERROR($N29+VLOOKUP($M29,'Voyage days'!$F$94:$H$193,3,FALSE),"")</f>
        <v/>
      </c>
      <c r="AM29" s="121" t="str">
        <f>IFERROR($O29+VLOOKUP($M29,'Voyage days'!$F$94:$H$193,3,FALSE),"")</f>
        <v/>
      </c>
      <c r="AN29" s="120" t="str">
        <f>IF(AO29="","",TEXT(AO29,"dd")&amp;"-"&amp;TEXT(AP29,"dd mmm"))</f>
        <v>06-08 Jun</v>
      </c>
      <c r="AO29" s="121">
        <f>IFERROR($N29+VLOOKUP($M29,'Voyage days'!$F$203:$H$256,3,FALSE),"")</f>
        <v>45814</v>
      </c>
      <c r="AP29" s="121">
        <f>IFERROR($O29+VLOOKUP($M29,'Voyage days'!$F$203:$H$256,3,FALSE),"")</f>
        <v>45816</v>
      </c>
      <c r="AQ29" s="120" t="str">
        <f>IF(AR29="","",TEXT(AR29,"dd")&amp;"-"&amp;TEXT(AS29,"dd mmm"))</f>
        <v>24-26 May</v>
      </c>
      <c r="AR29" s="121">
        <f>IFERROR($N29+VLOOKUP($M29,'Voyage days'!$F$294:$H$377,3,FALSE),"")</f>
        <v>45801</v>
      </c>
      <c r="AS29" s="121">
        <f>IFERROR($O29+VLOOKUP($M29,'Voyage days'!$F$294:$H$377,3,FALSE),"")</f>
        <v>45803</v>
      </c>
      <c r="AT29" s="120" t="str">
        <f>IF(AU29="","",TEXT(AU29,"dd")&amp;"-"&amp;TEXT(AV29,"dd mmm"))</f>
        <v>18-20 May</v>
      </c>
      <c r="AU29" s="121">
        <f>IFERROR($N29+VLOOKUP($M29,'Voyage days'!$F$382:$H$446,3,FALSE),"")</f>
        <v>45795</v>
      </c>
      <c r="AV29" s="121">
        <f>IFERROR($O29+VLOOKUP($M29,'Voyage days'!$F$382:$H$446,3,FALSE),"")</f>
        <v>45797</v>
      </c>
      <c r="AW29" s="120" t="str">
        <f>IF(AX29="","",TEXT(AX29,"dd")&amp;"-"&amp;TEXT(AY29,"dd mmm"))</f>
        <v/>
      </c>
      <c r="AX29" s="121" t="str">
        <f>IFERROR($N29+VLOOKUP($M29,'Voyage days'!$F$483:$H$538,3,FALSE),"")</f>
        <v/>
      </c>
      <c r="AY29" s="121" t="str">
        <f>IFERROR($O29+VLOOKUP($M29,'Voyage days'!$F$483:$H$538,3,FALSE),"")</f>
        <v/>
      </c>
      <c r="AZ29" s="120" t="str">
        <f>IF(BA29="","",TEXT(BA29,"dd")&amp;"-"&amp;TEXT(BB29,"dd mmm"))</f>
        <v/>
      </c>
      <c r="BA29" s="121" t="str">
        <f>IFERROR($N29+VLOOKUP($M29,'Voyage days'!$F$540:$H$613,3,FALSE),"")</f>
        <v/>
      </c>
      <c r="BB29" s="121" t="str">
        <f>IFERROR($O29+VLOOKUP($M29,'Voyage days'!$F$540:$H$613,3,FALSE),"")</f>
        <v/>
      </c>
      <c r="BC29" s="120" t="str">
        <f>IF(BD29="","",TEXT(BD29,"dd")&amp;"-"&amp;TEXT(BE29,"dd mmm"))</f>
        <v/>
      </c>
      <c r="BD29" s="121" t="str">
        <f>IFERROR($N29+VLOOKUP($M29,'Voyage days'!$L$483:$N$535,3,FALSE),"")</f>
        <v/>
      </c>
      <c r="BE29" s="121" t="str">
        <f>IFERROR($O29+VLOOKUP($M29,'Voyage days'!$L$483:$N$535,3,FALSE),"")</f>
        <v/>
      </c>
      <c r="BF29" s="120" t="str">
        <f>IF(BG29="","",TEXT(BG29,"dd")&amp;"-"&amp;TEXT(BH29,"dd mmm"))</f>
        <v/>
      </c>
      <c r="BG29" s="122" t="str">
        <f>IFERROR($N29+VLOOKUP($M29,'Voyage days'!$F$620:$H$646,3,FALSE),"")</f>
        <v/>
      </c>
      <c r="BH29" s="122" t="str">
        <f>IFERROR($O29+VLOOKUP($M29,'Voyage days'!$F$620:$H$646,3,FALSE),"")</f>
        <v/>
      </c>
      <c r="BI29" s="120" t="str">
        <f>IF(BJ29="","",TEXT(BJ29,"dd")&amp;"-"&amp;TEXT(BM29,"dd mmm"))</f>
        <v/>
      </c>
      <c r="BJ29" s="123" t="str">
        <f>IFERROR($N29+VLOOKUP($M29,'Voyage days'!$F$702:$H$727,3,FALSE),"")</f>
        <v/>
      </c>
      <c r="BK29" s="120" t="str">
        <f>IF(BL29="","",TEXT(BL29,"dd")&amp;"-"&amp;TEXT(BM29,"dd mmm"))</f>
        <v/>
      </c>
      <c r="BL29" s="122" t="str">
        <f>IFERROR($N29+VLOOKUP($M29,'Voyage days'!$F$620:$H$646,3,FALSE),"")</f>
        <v/>
      </c>
      <c r="BM29" s="122" t="str">
        <f>IFERROR($O29+VLOOKUP($M29,'Voyage days'!$F$620:$H$646,3,FALSE),"")</f>
        <v/>
      </c>
      <c r="BN29" s="609"/>
      <c r="BO29" s="609"/>
      <c r="BP29" s="609"/>
    </row>
    <row r="30" ht="15.75" customHeight="1">
      <c r="A30" s="23" t="s">
        <v>392</v>
      </c>
      <c r="B30" s="561">
        <v>39263.0</v>
      </c>
      <c r="C30" s="25">
        <v>83000.0</v>
      </c>
      <c r="D30" s="1303"/>
      <c r="E30" s="603" t="s">
        <v>1190</v>
      </c>
      <c r="F30" s="603" t="s">
        <v>3459</v>
      </c>
      <c r="G30" s="1145"/>
      <c r="H30" s="1304"/>
      <c r="I30" s="1304"/>
      <c r="J30" s="1304" t="str">
        <f>IF(K30="","",VLOOKUP(K30,'Voyage days'!$A$3:$B$1480,2,FALSE))</f>
        <v>#N/A</v>
      </c>
      <c r="K30" s="1304">
        <f>IF(VLOOKUP(A30,'1) Kpler'!$E$2:$O$500,7, FALSE)="",VLOOKUP(A30,'1) Kpler'!$E$2:$O$500,10,FALSE),VLOOKUP(A30,'1) Kpler'!$E$2:$O$500,7, FALSE))</f>
        <v>9307762</v>
      </c>
      <c r="L30" s="1305" t="str">
        <f>IF(VLOOKUP(A30,'1) Kpler'!$E$2:$O$500,8,FALSE)="","",VLOOKUP(A30,'1) Kpler'!$E$2:$O$500,8,FALSE))</f>
        <v>IOC Haldia Refinery</v>
      </c>
      <c r="M30" s="1317">
        <f>VLOOKUP(A30,'1) Kpler'!$E$2:$H$400,3,FALSE)</f>
        <v>54490</v>
      </c>
      <c r="N30" s="1306">
        <v>45323.0</v>
      </c>
      <c r="O30" s="1145">
        <v>44034.0</v>
      </c>
      <c r="P30" s="1143" t="s">
        <v>1687</v>
      </c>
      <c r="Q30" s="1174"/>
      <c r="R30" s="603" t="s">
        <v>1031</v>
      </c>
      <c r="S30" s="1313">
        <v>45404.0</v>
      </c>
      <c r="T30" s="1318">
        <v>45405.0</v>
      </c>
      <c r="U30" s="1309"/>
      <c r="V30" s="603"/>
      <c r="W30" s="603"/>
      <c r="X30" s="603"/>
      <c r="Y30" s="1174"/>
      <c r="Z30" s="1310"/>
      <c r="AA30" s="1386"/>
      <c r="AF30" s="1312" t="str">
        <f t="shared" ref="AF30:AF31" si="51">IF(AG30="","",TEXT(AG30,"dd")&amp;"-"&amp;TEXT(AH30,"dd mmm"))</f>
        <v>22-23 Apr</v>
      </c>
      <c r="AG30" s="995">
        <f>IFERROR($S30+VLOOKUP($R30,'Voyage days'!$F$38:$H$89,3,FALSE),"")</f>
        <v>45404</v>
      </c>
      <c r="AH30" s="995">
        <f>IFERROR(T30+VLOOKUP($R30,'Voyage days'!$F$38:$H$89,3,FALSE),"")</f>
        <v>45405</v>
      </c>
      <c r="AI30" s="1312" t="str">
        <f t="shared" ref="AI30:AI31" si="52">IF(AJ30="","",TEXT(AJ30,"dd")&amp;"-"&amp;TEXT(AK30,"dd mmm"))</f>
        <v/>
      </c>
      <c r="AJ30" s="995" t="str">
        <f>IFERROR($S30+VLOOKUP($R30,'Voyage days'!$F$94:$H$193,3,FALSE),"")</f>
        <v/>
      </c>
      <c r="AK30" s="995" t="str">
        <f>IFERROR($T30+VLOOKUP($R30,'Voyage days'!$F$94:$H$193,3,FALSE),"")</f>
        <v/>
      </c>
      <c r="AL30" s="1312" t="str">
        <f t="shared" ref="AL30:AL31" si="53">IF(AM30="","",TEXT(AM30,"dd")&amp;"-"&amp;TEXT(AN30,"dd mmm"))</f>
        <v/>
      </c>
      <c r="AM30" s="995" t="str">
        <f>IFERROR($S30+VLOOKUP($R30,'Voyage days'!$F$203:$H$256,3,FALSE),"")</f>
        <v/>
      </c>
      <c r="AN30" s="995" t="str">
        <f>IFERROR($T30+VLOOKUP($R30,'Voyage days'!$F$203:$H$256,3,FALSE),"")</f>
        <v/>
      </c>
      <c r="AO30" s="1312" t="str">
        <f t="shared" ref="AO30:AO31" si="54">IF(AP30="","",TEXT(AP30,"dd")&amp;"-"&amp;TEXT(AQ30,"dd mmm"))</f>
        <v/>
      </c>
      <c r="AP30" s="995" t="str">
        <f>IFERROR($S30+VLOOKUP($R30,'Voyage days'!$F$294:$H$377,3,FALSE),"")</f>
        <v/>
      </c>
      <c r="AQ30" s="995" t="str">
        <f>IFERROR($T30+VLOOKUP($R30,'Voyage days'!$F$294:$H$377,3,FALSE),"")</f>
        <v/>
      </c>
      <c r="AR30" s="1312" t="str">
        <f t="shared" ref="AR30:AR31" si="55">IF(AS30="","",TEXT(AS30,"dd")&amp;"-"&amp;TEXT(AT30,"dd mmm"))</f>
        <v/>
      </c>
      <c r="AS30" s="995" t="str">
        <f>IFERROR($S30+VLOOKUP($R30,'Voyage days'!$F$382:$H$446,3,FALSE),"")</f>
        <v/>
      </c>
      <c r="AT30" s="995" t="str">
        <f>IFERROR($T30+VLOOKUP($R30,'Voyage days'!$F$382:$H$446,3,FALSE),"")</f>
        <v/>
      </c>
      <c r="AU30" s="1312" t="str">
        <f t="shared" ref="AU30:AU31" si="56">IF(AV30="","",TEXT(AV30,"dd")&amp;"-"&amp;TEXT(AW30,"dd mmm"))</f>
        <v/>
      </c>
      <c r="AV30" s="995" t="str">
        <f>IFERROR($S30+VLOOKUP($R30,'Voyage days'!$F$483:$H$538,3,FALSE),"")</f>
        <v/>
      </c>
      <c r="AW30" s="995" t="str">
        <f>IFERROR($T30+VLOOKUP($R30,'Voyage days'!$F$483:$H$538,3,FALSE),"")</f>
        <v/>
      </c>
      <c r="AX30" s="1312" t="str">
        <f t="shared" ref="AX30:AX31" si="57">IF(AY30="","",TEXT(AY30,"dd")&amp;"-"&amp;TEXT(AZ30,"dd mmm"))</f>
        <v>11-12 May</v>
      </c>
      <c r="AY30" s="995">
        <f>IFERROR($S30+VLOOKUP($R30,'Voyage days'!$F$540:$H$613,3,FALSE),"")</f>
        <v>45423</v>
      </c>
      <c r="AZ30" s="995">
        <f>IFERROR($T30+VLOOKUP($R30,'Voyage days'!$F$540:$H$613,3,FALSE),"")</f>
        <v>45424</v>
      </c>
      <c r="BA30" s="1312" t="str">
        <f t="shared" ref="BA30:BA31" si="58">IF(BB30="","",TEXT(BB30,"dd")&amp;"-"&amp;TEXT(BC30,"dd mmm"))</f>
        <v/>
      </c>
      <c r="BB30" s="995" t="str">
        <f>IFERROR($S30+VLOOKUP($R30,'Voyage days'!$L$483:$N$535,3,FALSE),"")</f>
        <v/>
      </c>
      <c r="BC30" s="995" t="str">
        <f>IFERROR($T30+VLOOKUP($R30,'Voyage days'!$L$483:$N$535,3,FALSE),"")</f>
        <v/>
      </c>
      <c r="BD30" s="1312" t="str">
        <f t="shared" ref="BD30:BD31" si="59">IF(BE30="","",TEXT(BE30,"dd")&amp;"-"&amp;TEXT(BF30,"dd mmm"))</f>
        <v/>
      </c>
      <c r="BE30" s="995" t="str">
        <f>IFERROR($S30+VLOOKUP($R30,'Voyage days'!$F$620:$H$646,3,FALSE),"")</f>
        <v/>
      </c>
      <c r="BF30" s="995" t="str">
        <f>IFERROR($T30+VLOOKUP($R30,'Voyage days'!$F$620:$H$646,3,FALSE),"")</f>
        <v/>
      </c>
      <c r="BG30" s="1312" t="str">
        <f t="shared" ref="BG30:BG31" si="60">IF(BH30="","",TEXT(BH30,"dd")&amp;"-"&amp;TEXT(BI30,"dd mmm"))</f>
        <v/>
      </c>
      <c r="BH30" s="496" t="str">
        <f>IFERROR($S30+VLOOKUP($R30,'Voyage days'!$F$702:$H$727,3,FALSE),"")</f>
        <v/>
      </c>
      <c r="BI30" s="496" t="str">
        <f>IFERROR($T30+VLOOKUP($R30,'Voyage days'!$F$702:$H$727,3,FALSE),"")</f>
        <v/>
      </c>
      <c r="BJ30" s="496"/>
      <c r="BK30" s="496"/>
      <c r="BL30" s="496"/>
      <c r="BM30" s="496"/>
      <c r="BN30" s="496"/>
      <c r="BO30" s="496"/>
      <c r="BP30" s="496"/>
    </row>
    <row r="31" ht="15.75" customHeight="1">
      <c r="A31" s="1172" t="s">
        <v>469</v>
      </c>
      <c r="B31" s="561">
        <v>39772.0</v>
      </c>
      <c r="C31" s="25">
        <v>82200.0</v>
      </c>
      <c r="D31" s="1303"/>
      <c r="E31" s="603" t="s">
        <v>1190</v>
      </c>
      <c r="F31" s="686" t="s">
        <v>3192</v>
      </c>
      <c r="G31" s="1174"/>
      <c r="H31" s="1304"/>
      <c r="I31" s="1304"/>
      <c r="J31" s="1304" t="str">
        <f>IF(K31="","",VLOOKUP(K31,'Voyage days'!$A$3:$B$1480,2,FALSE))</f>
        <v>#N/A</v>
      </c>
      <c r="K31" s="1304">
        <f>IF(VLOOKUP(A31,'1) Kpler'!$E$2:$O$500,7, FALSE)="",VLOOKUP(A31,'1) Kpler'!$E$2:$O$500,10,FALSE),VLOOKUP(A31,'1) Kpler'!$E$2:$O$500,7, FALSE))</f>
        <v>9388687</v>
      </c>
      <c r="L31" s="1305" t="str">
        <f>IF(VLOOKUP(A31,'1) Kpler'!$E$2:$O$500,8,FALSE)="","",VLOOKUP(A31,'1) Kpler'!$E$2:$O$500,8,FALSE))</f>
        <v>Yanbu NGL &amp; Yasref</v>
      </c>
      <c r="M31" s="1317">
        <f>VLOOKUP(A31,'1) Kpler'!$E$2:$H$400,3,FALSE)</f>
        <v>54517</v>
      </c>
      <c r="N31" s="1306">
        <v>45200.0</v>
      </c>
      <c r="O31" s="1145"/>
      <c r="P31" s="1143" t="s">
        <v>1687</v>
      </c>
      <c r="Q31" s="1174"/>
      <c r="R31" s="603" t="s">
        <v>1031</v>
      </c>
      <c r="S31" s="1313">
        <v>45410.0</v>
      </c>
      <c r="T31" s="1313">
        <v>45411.0</v>
      </c>
      <c r="U31" s="1309"/>
      <c r="V31" s="1393"/>
      <c r="W31" s="603"/>
      <c r="X31" s="1359"/>
      <c r="Y31" s="1174"/>
      <c r="Z31" s="1310"/>
      <c r="AA31" s="1315"/>
      <c r="AF31" s="1312" t="str">
        <f t="shared" si="51"/>
        <v>28-29 Apr</v>
      </c>
      <c r="AG31" s="995">
        <f>IFERROR($S31+VLOOKUP($R31,'Voyage days'!$F$38:$H$89,3,FALSE),"")</f>
        <v>45410</v>
      </c>
      <c r="AH31" s="995">
        <f>IFERROR(T31+VLOOKUP($R31,'Voyage days'!$F$38:$H$89,3,FALSE),"")</f>
        <v>45411</v>
      </c>
      <c r="AI31" s="1312" t="str">
        <f t="shared" si="52"/>
        <v/>
      </c>
      <c r="AJ31" s="995" t="str">
        <f>IFERROR($S31+VLOOKUP($R31,'Voyage days'!$F$94:$H$193,3,FALSE),"")</f>
        <v/>
      </c>
      <c r="AK31" s="995" t="str">
        <f>IFERROR($T31+VLOOKUP($R31,'Voyage days'!$F$94:$H$193,3,FALSE),"")</f>
        <v/>
      </c>
      <c r="AL31" s="1312" t="str">
        <f t="shared" si="53"/>
        <v/>
      </c>
      <c r="AM31" s="995" t="str">
        <f>IFERROR($S31+VLOOKUP($R31,'Voyage days'!$F$203:$H$256,3,FALSE),"")</f>
        <v/>
      </c>
      <c r="AN31" s="995" t="str">
        <f>IFERROR($T31+VLOOKUP($R31,'Voyage days'!$F$203:$H$256,3,FALSE),"")</f>
        <v/>
      </c>
      <c r="AO31" s="1312" t="str">
        <f t="shared" si="54"/>
        <v/>
      </c>
      <c r="AP31" s="995" t="str">
        <f>IFERROR($S31+VLOOKUP($R31,'Voyage days'!$F$294:$H$377,3,FALSE),"")</f>
        <v/>
      </c>
      <c r="AQ31" s="995" t="str">
        <f>IFERROR($T31+VLOOKUP($R31,'Voyage days'!$F$294:$H$377,3,FALSE),"")</f>
        <v/>
      </c>
      <c r="AR31" s="1312" t="str">
        <f t="shared" si="55"/>
        <v/>
      </c>
      <c r="AS31" s="995" t="str">
        <f>IFERROR($S31+VLOOKUP($R31,'Voyage days'!$F$382:$H$446,3,FALSE),"")</f>
        <v/>
      </c>
      <c r="AT31" s="995" t="str">
        <f>IFERROR($T31+VLOOKUP($R31,'Voyage days'!$F$382:$H$446,3,FALSE),"")</f>
        <v/>
      </c>
      <c r="AU31" s="1312" t="str">
        <f t="shared" si="56"/>
        <v/>
      </c>
      <c r="AV31" s="995" t="str">
        <f>IFERROR($S31+VLOOKUP($R31,'Voyage days'!$F$483:$H$538,3,FALSE),"")</f>
        <v/>
      </c>
      <c r="AW31" s="995" t="str">
        <f>IFERROR($T31+VLOOKUP($R31,'Voyage days'!$F$483:$H$538,3,FALSE),"")</f>
        <v/>
      </c>
      <c r="AX31" s="1312" t="str">
        <f t="shared" si="57"/>
        <v>17-18 May</v>
      </c>
      <c r="AY31" s="995">
        <f>IFERROR($S31+VLOOKUP($R31,'Voyage days'!$F$540:$H$613,3,FALSE),"")</f>
        <v>45429</v>
      </c>
      <c r="AZ31" s="995">
        <f>IFERROR($T31+VLOOKUP($R31,'Voyage days'!$F$540:$H$613,3,FALSE),"")</f>
        <v>45430</v>
      </c>
      <c r="BA31" s="1312" t="str">
        <f t="shared" si="58"/>
        <v/>
      </c>
      <c r="BB31" s="995" t="str">
        <f>IFERROR($S31+VLOOKUP($R31,'Voyage days'!$L$483:$N$535,3,FALSE),"")</f>
        <v/>
      </c>
      <c r="BC31" s="995" t="str">
        <f>IFERROR($T31+VLOOKUP($R31,'Voyage days'!$L$483:$N$535,3,FALSE),"")</f>
        <v/>
      </c>
      <c r="BD31" s="1312" t="str">
        <f t="shared" si="59"/>
        <v/>
      </c>
      <c r="BE31" s="995" t="str">
        <f>IFERROR($S31+VLOOKUP($R31,'Voyage days'!$F$620:$H$646,3,FALSE),"")</f>
        <v/>
      </c>
      <c r="BF31" s="995" t="str">
        <f>IFERROR($T31+VLOOKUP($R31,'Voyage days'!$F$620:$H$646,3,FALSE),"")</f>
        <v/>
      </c>
      <c r="BG31" s="1312" t="str">
        <f t="shared" si="60"/>
        <v/>
      </c>
      <c r="BH31" s="1394" t="str">
        <f>IFERROR($S31+VLOOKUP($R31,'Voyage days'!$F$702:$H$727,3,FALSE),"")</f>
        <v/>
      </c>
      <c r="BI31" s="1394" t="str">
        <f>IFERROR($T31+VLOOKUP($R31,'Voyage days'!$F$702:$H$727,3,FALSE),"")</f>
        <v/>
      </c>
      <c r="BJ31" s="496"/>
      <c r="BK31" s="496"/>
      <c r="BL31" s="496"/>
      <c r="BM31" s="496"/>
      <c r="BN31" s="496"/>
      <c r="BO31" s="496"/>
      <c r="BP31" s="496"/>
    </row>
    <row r="32" ht="15.75" customHeight="1">
      <c r="A32" s="1395" t="s">
        <v>3480</v>
      </c>
      <c r="B32" s="1396"/>
      <c r="C32" s="1397"/>
      <c r="D32" s="1398"/>
      <c r="E32" s="1398"/>
      <c r="F32" s="1398"/>
      <c r="G32" s="1399"/>
      <c r="H32" s="1400"/>
      <c r="I32" s="1400"/>
      <c r="J32" s="1400"/>
      <c r="K32" s="1400"/>
      <c r="L32" s="1400"/>
      <c r="M32" s="1400"/>
      <c r="N32" s="1401"/>
      <c r="O32" s="1399"/>
      <c r="P32" s="1402"/>
      <c r="Q32" s="1397"/>
      <c r="R32" s="1398"/>
      <c r="S32" s="1403"/>
      <c r="T32" s="1403"/>
      <c r="U32" s="1404"/>
      <c r="V32" s="1398"/>
      <c r="W32" s="1398"/>
      <c r="X32" s="1405"/>
      <c r="Y32" s="1406" t="str">
        <f>IF(R32&lt;&gt;"",MID(INFO("DIRECTORY"),10,LEN(INFO("DIRECTORY"))-LEN(MID(INFO("DIRECTORY"),FIND("\",INFO("DIRECTORY"),10),1000))-LEN("C:\Users\")),IF(S32&lt;&gt;"",MID(INFO("DIRECTORY"),10,LEN(INFO("DIRECTORY"))-LEN(MID(INFO("DIRECTORY"),FIND("\",INFO("DIRECTORY"),10),1000))-LEN("C:\Users\")),IF(T32&lt;&gt;"",MID(INFO("DIRECTORY"),10,LEN(INFO("DIRECTORY"))-LEN(MID(INFO("DIRECTORY"),FIND("\",INFO("DIRECTORY"),10),1000))-LEN("C:\Users\")),IF(U32&lt;&gt;"",MID(INFO("DIRECTORY"),10,LEN(INFO("DIRECTORY"))-LEN(MID(INFO("DIRECTORY"),FIND("\",INFO("DIRECTORY"),10),1000))-LEN("C:\Users\")),IF(V32&lt;&gt;"",MID(INFO("DIRECTORY"),10,LEN(INFO("DIRECTORY"))-LEN(MID(INFO("DIRECTORY"),FIND("\",INFO("DIRECTORY"),10),1000))-LEN("C:\Users\")),IF(W32&lt;&gt;"",NOW(),IF(X32&lt;&gt;"",MID(INFO("DIRECTORY"),10,LEN(INFO("DIRECTORY"))-LEN(MID(INFO("DIRECTORY"),FIND("\",INFO("DIRECTORY"),10),1000))-LEN("C:\Users\")),"")))))))</f>
        <v/>
      </c>
      <c r="Z32" s="1400"/>
      <c r="AA32" s="1400"/>
      <c r="AF32" s="1400"/>
      <c r="AG32" s="1400"/>
      <c r="AH32" s="1400"/>
      <c r="AI32" s="1400"/>
      <c r="AJ32" s="1400"/>
      <c r="AK32" s="1400"/>
      <c r="AL32" s="1400"/>
      <c r="AM32" s="1400"/>
      <c r="AN32" s="1400"/>
      <c r="AO32" s="1400"/>
      <c r="AP32" s="1400"/>
      <c r="AQ32" s="1400"/>
      <c r="AR32" s="1400"/>
      <c r="AS32" s="1400"/>
      <c r="AT32" s="1400"/>
      <c r="AU32" s="1400"/>
      <c r="AV32" s="1400"/>
      <c r="AW32" s="1400"/>
      <c r="AX32" s="1400"/>
      <c r="AY32" s="1400"/>
      <c r="AZ32" s="1400"/>
      <c r="BA32" s="1400"/>
      <c r="BB32" s="1400"/>
      <c r="BC32" s="1400"/>
      <c r="BD32" s="1400"/>
      <c r="BE32" s="1400"/>
      <c r="BF32" s="1400"/>
      <c r="BG32" s="1400"/>
      <c r="BH32" s="496" t="str">
        <f>IFERROR($S32+VLOOKUP($R32,'Voyage days'!$F$702:$H$727,3,FALSE),"")</f>
        <v/>
      </c>
      <c r="BI32" s="496" t="str">
        <f>IFERROR($T32+VLOOKUP($R32,'Voyage days'!$F$702:$H$727,3,FALSE),"")</f>
        <v/>
      </c>
      <c r="BJ32" s="496"/>
      <c r="BK32" s="496"/>
      <c r="BL32" s="496"/>
      <c r="BM32" s="496"/>
      <c r="BN32" s="496"/>
      <c r="BO32" s="496"/>
      <c r="BP32" s="496"/>
    </row>
    <row r="33" ht="15.75" customHeight="1">
      <c r="A33" s="1407" t="s">
        <v>96</v>
      </c>
      <c r="B33" s="634">
        <v>2003.0</v>
      </c>
      <c r="C33" s="1101">
        <v>82557.0</v>
      </c>
      <c r="D33" s="374"/>
      <c r="E33" s="282"/>
      <c r="F33" s="1408"/>
      <c r="G33" s="1257" t="s">
        <v>3481</v>
      </c>
      <c r="H33" s="1181" t="str">
        <f>if(iserror(G33-today()&lt;100),"",if(G33-today()&lt;100,"TC ending!",""))</f>
        <v/>
      </c>
      <c r="I33" s="1409" t="s">
        <v>3482</v>
      </c>
      <c r="J33" s="1410" t="s">
        <v>3483</v>
      </c>
      <c r="K33" s="365"/>
      <c r="L33" s="285" t="s">
        <v>1031</v>
      </c>
      <c r="M33" s="283">
        <v>45946.0</v>
      </c>
      <c r="N33" s="1411">
        <v>45947.0</v>
      </c>
      <c r="O33" s="584"/>
      <c r="P33" s="366" t="s">
        <v>3484</v>
      </c>
      <c r="Q33" s="1412" t="s">
        <v>3485</v>
      </c>
      <c r="R33" s="285" t="s">
        <v>3486</v>
      </c>
      <c r="S33" s="358" t="s">
        <v>33</v>
      </c>
      <c r="T33" s="369">
        <v>45940.0</v>
      </c>
      <c r="U33" s="177" t="str">
        <f>IF(V33="","No AIS",VLOOKUP(V33,'Voyage days'!$A$3:$B$1480,2,FALSE))</f>
        <v>No AIS</v>
      </c>
      <c r="V33" s="177" t="str">
        <f>IF(VLOOKUP(A33,'1) Kpler'!$E$2:$P$1000,8, FALSE)="","",VLOOKUP(A33,'1) Kpler'!$E$2:$P$1000,8, FALSE))</f>
        <v/>
      </c>
      <c r="W33" s="370" t="str">
        <f>IF(VLOOKUP(A33,'1) Kpler'!$E$2:$P$1000,9,FALSE)="","",VLOOKUP(A33,'1) Kpler'!$E$2:$P$1000,9,FALSE))</f>
        <v/>
      </c>
      <c r="X33" s="177" t="str">
        <f>VLOOKUP(A33,'1) Kpler'!$E$2:$I$1000,4,FALSE)</f>
        <v>ballast</v>
      </c>
      <c r="Y33" s="163" t="str">
        <f>AG33</f>
        <v>16-17 Oct</v>
      </c>
      <c r="Z33" s="163" t="str">
        <f>AJ33</f>
        <v/>
      </c>
      <c r="AA33" s="163" t="str">
        <f>AM33</f>
        <v/>
      </c>
      <c r="AB33" s="163" t="str">
        <f>AP33</f>
        <v/>
      </c>
      <c r="AC33" s="163" t="str">
        <f>AS33</f>
        <v/>
      </c>
      <c r="AD33" s="163" t="str">
        <f>BB33</f>
        <v/>
      </c>
      <c r="AE33" s="371" t="str">
        <f>AY33</f>
        <v>04-05 Nov</v>
      </c>
      <c r="AF33" s="229" t="str">
        <f>BJ33</f>
        <v>16-17 Oct</v>
      </c>
      <c r="AG33" s="163" t="str">
        <f>IF(AH33="","",TEXT(AH33,"dd")&amp;"-"&amp;TEXT(AI33,"dd mmm"))</f>
        <v>16-17 Oct</v>
      </c>
      <c r="AH33" s="122">
        <f>IFERROR($M33+VLOOKUP($L33,'Voyage days'!$F$38:$H$89,3,FALSE),"")</f>
        <v>45946</v>
      </c>
      <c r="AI33" s="122">
        <f>IFERROR(N33+VLOOKUP($L33,'Voyage days'!$F$38:$H$89,3,FALSE),"")</f>
        <v>45947</v>
      </c>
      <c r="AJ33" s="163" t="str">
        <f>IF(AK33="","",TEXT(AK33,"dd")&amp;"-"&amp;TEXT(AL33,"dd mmm"))</f>
        <v/>
      </c>
      <c r="AK33" s="122" t="str">
        <f>IFERROR($M33+VLOOKUP($L33,'Voyage days'!$F$94:$H$193,3,FALSE),"")</f>
        <v/>
      </c>
      <c r="AL33" s="122" t="str">
        <f>IFERROR($N33+VLOOKUP($L33,'Voyage days'!$F$94:$H$193,3,FALSE),"")</f>
        <v/>
      </c>
      <c r="AM33" s="163" t="str">
        <f>IF(AN33="","",TEXT(AN33,"dd")&amp;"-"&amp;TEXT(AO33,"dd mmm"))</f>
        <v/>
      </c>
      <c r="AN33" s="122" t="str">
        <f>IFERROR($M33+VLOOKUP($L33,'Voyage days'!$F$203:$H$256,3,FALSE),"")</f>
        <v/>
      </c>
      <c r="AO33" s="122" t="str">
        <f>IFERROR($N33+VLOOKUP($L33,'Voyage days'!$F$203:$H$256,3,FALSE),"")</f>
        <v/>
      </c>
      <c r="AP33" s="163" t="str">
        <f>IF(AQ33="","",TEXT(AQ33,"dd")&amp;"-"&amp;TEXT(AR33,"dd mmm"))</f>
        <v/>
      </c>
      <c r="AQ33" s="122" t="str">
        <f>IFERROR($M33+VLOOKUP($L33,'Voyage days'!$F$294:$H$377,3,FALSE),"")</f>
        <v/>
      </c>
      <c r="AR33" s="122" t="str">
        <f>IFERROR($N33+VLOOKUP($L33,'Voyage days'!$F$294:$H$377,3,FALSE),"")</f>
        <v/>
      </c>
      <c r="AS33" s="163" t="str">
        <f>IF(AT33="","",TEXT(AT33,"dd")&amp;"-"&amp;TEXT(AU33,"dd mmm"))</f>
        <v/>
      </c>
      <c r="AT33" s="122" t="str">
        <f>IFERROR($M33+VLOOKUP($L33,'Voyage days'!$F$382:$H$446,3,FALSE),"")</f>
        <v/>
      </c>
      <c r="AU33" s="122" t="str">
        <f>IFERROR($N33+VLOOKUP($L33,'Voyage days'!$F$382:$H$446,3,FALSE),"")</f>
        <v/>
      </c>
      <c r="AV33" s="163" t="str">
        <f>IF(AW33="","",TEXT(AW33,"dd")&amp;"-"&amp;TEXT(AX33,"dd mmm"))</f>
        <v/>
      </c>
      <c r="AW33" s="122" t="str">
        <f>IFERROR($M33+VLOOKUP($L33,'Voyage days'!$F$483:$H$538,3,FALSE),"")</f>
        <v/>
      </c>
      <c r="AX33" s="122" t="str">
        <f>IFERROR($N33+VLOOKUP($L33,'Voyage days'!$F$483:$H$538,3,FALSE),"")</f>
        <v/>
      </c>
      <c r="AY33" s="163" t="str">
        <f>IF(AZ33="","",TEXT(AZ33,"dd")&amp;"-"&amp;TEXT(BA33,"dd mmm"))</f>
        <v>04-05 Nov</v>
      </c>
      <c r="AZ33" s="122">
        <f>IFERROR($M33+VLOOKUP($L33,'Voyage days'!$F$540:$H$613,3,FALSE),"")</f>
        <v>45965</v>
      </c>
      <c r="BA33" s="122">
        <f>IFERROR($N33+VLOOKUP($L33,'Voyage days'!$F$540:$H$613,3,FALSE),"")</f>
        <v>45966</v>
      </c>
      <c r="BB33" s="163" t="str">
        <f>IF(BC33="","",TEXT(BC33,"dd")&amp;"-"&amp;TEXT(BD33,"dd mmm"))</f>
        <v/>
      </c>
      <c r="BC33" s="122" t="str">
        <f>IFERROR($M33+VLOOKUP($L33,'Voyage days'!$L$483:$N$535,3,FALSE),"")</f>
        <v/>
      </c>
      <c r="BD33" s="122" t="str">
        <f>IFERROR($N33+VLOOKUP($L33,'Voyage days'!$L$483:$N$535,3,FALSE),"")</f>
        <v/>
      </c>
      <c r="BE33" s="163" t="str">
        <f>IF(BF33="","",TEXT(BF33,"dd")&amp;"-"&amp;TEXT(BG33,"dd mmm"))</f>
        <v/>
      </c>
      <c r="BF33" s="122" t="str">
        <f>IFERROR($M33+VLOOKUP($L33,'Voyage days'!$F$620:$H$646,3,FALSE),"")</f>
        <v/>
      </c>
      <c r="BG33" s="122" t="str">
        <f>IFERROR($N33+VLOOKUP($L33,'Voyage days'!$F$620:$H$646,3,FALSE),"")</f>
        <v/>
      </c>
      <c r="BH33" s="163" t="str">
        <f>IF(BI33="","",TEXT(BI33,"dd")&amp;"-"&amp;TEXT(BL33,"dd mmm"))</f>
        <v/>
      </c>
      <c r="BI33" s="123" t="str">
        <f>IFERROR($M33+VLOOKUP($L33,'Voyage days'!$F$702:$H$727,3,FALSE),"")</f>
        <v/>
      </c>
      <c r="BJ33" s="163" t="str">
        <f>IF(BK33="","",TEXT(BK33,"dd")&amp;"-"&amp;TEXT(BL33,"dd mmm"))</f>
        <v>16-17 Oct</v>
      </c>
      <c r="BK33" s="122">
        <f>IFERROR($M33+VLOOKUP($L33,'Voyage days'!$F$807:$H$878,3,FALSE),"")</f>
        <v>45946</v>
      </c>
      <c r="BL33" s="122">
        <f>IFERROR($N33+VLOOKUP($L33,'Voyage days'!$F$807:$H$878,3,FALSE),"")</f>
        <v>45947</v>
      </c>
      <c r="BM33" s="122">
        <f>IFERROR($N33+VLOOKUP($L33,'Voyage days'!$F$807:$K$878,6,FALSE),"")</f>
        <v>45950</v>
      </c>
      <c r="BN33" s="121">
        <f>if(L33="loads AG", IFERROR($M33+VLOOKUP($L33,'Voyage days'!$M$38:$O$38,3,FALSE),""),"")</f>
        <v>45971</v>
      </c>
      <c r="BO33" s="121" t="str">
        <f>if(L33="loads USG", IFERROR($M33+VLOOKUP($L33,'Voyage days'!$L$203:$N$203,3,FALSE),""),"")</f>
        <v/>
      </c>
    </row>
    <row r="34" ht="15.75" customHeight="1">
      <c r="A34" s="1413"/>
      <c r="B34" s="1414"/>
      <c r="C34" s="1415"/>
      <c r="D34" s="1416"/>
      <c r="E34" s="1417"/>
      <c r="F34" s="1316"/>
      <c r="G34" s="1418"/>
      <c r="H34" s="1419"/>
      <c r="I34" s="1419"/>
      <c r="J34" s="1420"/>
      <c r="K34" s="1419"/>
      <c r="L34" s="1419"/>
      <c r="M34" s="1421"/>
      <c r="N34" s="1415"/>
      <c r="O34" s="1422"/>
      <c r="P34" s="1423"/>
      <c r="Q34" s="1415"/>
      <c r="R34" s="1316"/>
      <c r="S34" s="1343"/>
      <c r="T34" s="1343"/>
      <c r="U34" s="1424"/>
      <c r="V34" s="1416"/>
      <c r="W34" s="1416"/>
      <c r="X34" s="1416"/>
      <c r="Y34" s="1425"/>
      <c r="Z34" s="1421"/>
      <c r="AA34" s="1421"/>
      <c r="AB34" s="1382"/>
      <c r="AC34" s="1382"/>
      <c r="AD34" s="1382"/>
      <c r="AE34" s="1382"/>
      <c r="AF34" s="1421"/>
      <c r="AG34" s="1426"/>
      <c r="AH34" s="1420"/>
      <c r="AI34" s="1421"/>
      <c r="AJ34" s="1426"/>
      <c r="AK34" s="1421"/>
      <c r="AL34" s="1421"/>
      <c r="AM34" s="1426"/>
      <c r="AN34" s="1420"/>
      <c r="AO34" s="1421"/>
      <c r="AP34" s="1426"/>
      <c r="AQ34" s="1420"/>
      <c r="AR34" s="1421"/>
      <c r="AS34" s="1426"/>
      <c r="AT34" s="1420"/>
      <c r="AU34" s="1421"/>
      <c r="AV34" s="1426"/>
      <c r="AW34" s="1420"/>
      <c r="AX34" s="1421"/>
      <c r="AY34" s="1426"/>
      <c r="AZ34" s="1420"/>
      <c r="BA34" s="1421"/>
      <c r="BB34" s="1426"/>
      <c r="BC34" s="1420"/>
      <c r="BD34" s="1421"/>
      <c r="BE34" s="1426"/>
      <c r="BF34" s="1420"/>
      <c r="BG34" s="1421"/>
      <c r="BH34" s="609"/>
      <c r="BI34" s="609"/>
      <c r="BJ34" s="609"/>
      <c r="BK34" s="609"/>
      <c r="BL34" s="609"/>
      <c r="BM34" s="609"/>
      <c r="BN34" s="609"/>
      <c r="BO34" s="609"/>
      <c r="BP34" s="609"/>
    </row>
    <row r="35" ht="15.75" customHeight="1">
      <c r="A35" s="1395" t="s">
        <v>3480</v>
      </c>
      <c r="B35" s="1396"/>
      <c r="C35" s="1397"/>
      <c r="D35" s="1398"/>
      <c r="E35" s="1398"/>
      <c r="F35" s="1398"/>
      <c r="G35" s="1399"/>
      <c r="H35" s="1400"/>
      <c r="I35" s="1400"/>
      <c r="J35" s="1400"/>
      <c r="K35" s="1400"/>
      <c r="L35" s="1400"/>
      <c r="M35" s="1400"/>
      <c r="N35" s="1401"/>
      <c r="O35" s="1399"/>
      <c r="P35" s="1402"/>
      <c r="Q35" s="1397"/>
      <c r="R35" s="1398"/>
      <c r="S35" s="1403"/>
      <c r="T35" s="1403"/>
      <c r="U35" s="1404"/>
      <c r="V35" s="1398"/>
      <c r="W35" s="1398"/>
      <c r="X35" s="1405"/>
      <c r="Y35" s="1406" t="str">
        <f>IF(R35&lt;&gt;"",MID(INFO("DIRECTORY"),10,LEN(INFO("DIRECTORY"))-LEN(MID(INFO("DIRECTORY"),FIND("\",INFO("DIRECTORY"),10),1000))-LEN("C:\Users\")),IF(S35&lt;&gt;"",MID(INFO("DIRECTORY"),10,LEN(INFO("DIRECTORY"))-LEN(MID(INFO("DIRECTORY"),FIND("\",INFO("DIRECTORY"),10),1000))-LEN("C:\Users\")),IF(T35&lt;&gt;"",MID(INFO("DIRECTORY"),10,LEN(INFO("DIRECTORY"))-LEN(MID(INFO("DIRECTORY"),FIND("\",INFO("DIRECTORY"),10),1000))-LEN("C:\Users\")),IF(U35&lt;&gt;"",MID(INFO("DIRECTORY"),10,LEN(INFO("DIRECTORY"))-LEN(MID(INFO("DIRECTORY"),FIND("\",INFO("DIRECTORY"),10),1000))-LEN("C:\Users\")),IF(V35&lt;&gt;"",MID(INFO("DIRECTORY"),10,LEN(INFO("DIRECTORY"))-LEN(MID(INFO("DIRECTORY"),FIND("\",INFO("DIRECTORY"),10),1000))-LEN("C:\Users\")),IF(W35&lt;&gt;"",NOW(),IF(X35&lt;&gt;"",MID(INFO("DIRECTORY"),10,LEN(INFO("DIRECTORY"))-LEN(MID(INFO("DIRECTORY"),FIND("\",INFO("DIRECTORY"),10),1000))-LEN("C:\Users\")),"")))))))</f>
        <v/>
      </c>
      <c r="Z35" s="1400"/>
      <c r="AA35" s="1400"/>
      <c r="AF35" s="1400"/>
      <c r="AG35" s="1400"/>
      <c r="AH35" s="1400"/>
      <c r="AI35" s="1400"/>
      <c r="AJ35" s="1400"/>
      <c r="AK35" s="1400"/>
      <c r="AL35" s="1400"/>
      <c r="AM35" s="1400"/>
      <c r="AN35" s="1400"/>
      <c r="AO35" s="1400"/>
      <c r="AP35" s="1400"/>
      <c r="AQ35" s="1400"/>
      <c r="AR35" s="1400"/>
      <c r="AS35" s="1400"/>
      <c r="AT35" s="1400"/>
      <c r="AU35" s="1400"/>
      <c r="AV35" s="1400"/>
      <c r="AW35" s="1400"/>
      <c r="AX35" s="1400"/>
      <c r="AY35" s="1400"/>
      <c r="AZ35" s="1400"/>
      <c r="BA35" s="1400"/>
      <c r="BB35" s="1400"/>
      <c r="BC35" s="1400"/>
      <c r="BD35" s="1400"/>
      <c r="BE35" s="1400"/>
      <c r="BF35" s="1400"/>
      <c r="BG35" s="1400"/>
      <c r="BH35" s="496" t="str">
        <f>IFERROR($S35+VLOOKUP($R35,'Voyage days'!$F$702:$H$727,3,FALSE),"")</f>
        <v/>
      </c>
      <c r="BI35" s="496" t="str">
        <f>IFERROR($T35+VLOOKUP($R35,'Voyage days'!$F$702:$H$727,3,FALSE),"")</f>
        <v/>
      </c>
      <c r="BJ35" s="496"/>
      <c r="BK35" s="496"/>
      <c r="BL35" s="496"/>
      <c r="BM35" s="496"/>
      <c r="BN35" s="496"/>
      <c r="BO35" s="496"/>
      <c r="BP35" s="496"/>
    </row>
    <row r="36" ht="15.75" customHeight="1">
      <c r="A36" s="606" t="s">
        <v>576</v>
      </c>
      <c r="B36" s="1427">
        <v>1982.0</v>
      </c>
      <c r="C36" s="25">
        <v>75684.0</v>
      </c>
      <c r="D36" s="1303"/>
      <c r="E36" s="603" t="s">
        <v>3487</v>
      </c>
      <c r="F36" s="686" t="s">
        <v>3488</v>
      </c>
      <c r="G36" s="1174"/>
      <c r="H36" s="1428" t="s">
        <v>3489</v>
      </c>
      <c r="I36" s="1304"/>
      <c r="J36" s="1304" t="str">
        <f>IF(K36="","",VLOOKUP(K36,'Voyage days'!$A$3:$B$1480,2,FALSE))</f>
        <v>#N/A</v>
      </c>
      <c r="K36" s="1304">
        <f>IF(VLOOKUP(A36,'1) Kpler'!$E$2:$O$500,7, FALSE)="",VLOOKUP(A36,'1) Kpler'!$E$2:$O$500,10,FALSE),VLOOKUP(A36,'1) Kpler'!$E$2:$O$500,7, FALSE))</f>
        <v>7420089</v>
      </c>
      <c r="L36" s="1305" t="str">
        <f>IF(VLOOKUP(A36,'1) Kpler'!$E$2:$O$500,8,FALSE)="","",VLOOKUP(A36,'1) Kpler'!$E$2:$O$500,8,FALSE))</f>
        <v/>
      </c>
      <c r="M36" s="1304" t="str">
        <f>VLOOKUP(A36,'1) Kpler'!$E$2:$H$400,3,FALSE)</f>
        <v>#N/A</v>
      </c>
      <c r="N36" s="1174" t="s">
        <v>1611</v>
      </c>
      <c r="O36" s="1145">
        <v>43758.0</v>
      </c>
      <c r="P36" s="1143" t="s">
        <v>1687</v>
      </c>
      <c r="Q36" s="1174"/>
      <c r="R36" s="603"/>
      <c r="S36" s="1313"/>
      <c r="T36" s="1318"/>
      <c r="U36" s="1309"/>
      <c r="V36" s="603"/>
      <c r="W36" s="603"/>
      <c r="X36" s="1429"/>
      <c r="Y36" s="1174"/>
      <c r="Z36" s="1314"/>
      <c r="AA36" s="1315"/>
      <c r="AF36" s="1312" t="str">
        <f>IF(AG36="","",TEXT(AG36,"dd")&amp;"-"&amp;TEXT(AH36,"dd mmm"))</f>
        <v/>
      </c>
      <c r="AG36" s="995" t="str">
        <f>IFERROR($S36+VLOOKUP($R36,'Voyage days'!$F$38:$H$89,3,FALSE),"")</f>
        <v/>
      </c>
      <c r="AH36" s="995" t="str">
        <f>IFERROR(T36+VLOOKUP($R36,'Voyage days'!$F$38:$H$89,3,FALSE),"")</f>
        <v/>
      </c>
      <c r="AI36" s="1312" t="str">
        <f>IF(AJ36="","",TEXT(AJ36,"dd")&amp;"-"&amp;TEXT(AK36,"dd mmm"))</f>
        <v/>
      </c>
      <c r="AJ36" s="995" t="str">
        <f>IFERROR($S36+VLOOKUP($R36,'Voyage days'!$F$94:$H$193,3,FALSE),"")</f>
        <v/>
      </c>
      <c r="AK36" s="995" t="str">
        <f>IFERROR($T36+VLOOKUP($R36,'Voyage days'!$F$94:$H$193,3,FALSE),"")</f>
        <v/>
      </c>
      <c r="AL36" s="1312" t="str">
        <f>IF(AM36="","",TEXT(AM36,"dd")&amp;"-"&amp;TEXT(AN36,"dd mmm"))</f>
        <v/>
      </c>
      <c r="AM36" s="995" t="str">
        <f>IFERROR($S36+VLOOKUP($R36,'Voyage days'!$F$203:$H$256,3,FALSE),"")</f>
        <v/>
      </c>
      <c r="AN36" s="995" t="str">
        <f>IFERROR($T36+VLOOKUP($R36,'Voyage days'!$F$203:$H$256,3,FALSE),"")</f>
        <v/>
      </c>
      <c r="AO36" s="1312" t="str">
        <f>IF(AP36="","",TEXT(AP36,"dd")&amp;"-"&amp;TEXT(AQ36,"dd mmm"))</f>
        <v/>
      </c>
      <c r="AP36" s="995" t="str">
        <f>IFERROR($S36+VLOOKUP($R36,'Voyage days'!$F$294:$H$377,3,FALSE),"")</f>
        <v/>
      </c>
      <c r="AQ36" s="995" t="str">
        <f>IFERROR($T36+VLOOKUP($R36,'Voyage days'!$F$294:$H$377,3,FALSE),"")</f>
        <v/>
      </c>
      <c r="AR36" s="1312" t="str">
        <f>IF(AS36="","",TEXT(AS36,"dd")&amp;"-"&amp;TEXT(AT36,"dd mmm"))</f>
        <v/>
      </c>
      <c r="AS36" s="995" t="str">
        <f>IFERROR($S36+VLOOKUP($R36,'Voyage days'!$F$382:$H$446,3,FALSE),"")</f>
        <v/>
      </c>
      <c r="AT36" s="995" t="str">
        <f>IFERROR($T36+VLOOKUP($R36,'Voyage days'!$F$382:$H$446,3,FALSE),"")</f>
        <v/>
      </c>
      <c r="AU36" s="1312" t="str">
        <f>IF(AV36="","",TEXT(AV36,"dd")&amp;"-"&amp;TEXT(AW36,"dd mmm"))</f>
        <v/>
      </c>
      <c r="AV36" s="995" t="str">
        <f>IFERROR($S36+VLOOKUP($R36,'Voyage days'!$F$483:$H$538,3,FALSE),"")</f>
        <v/>
      </c>
      <c r="AW36" s="995" t="str">
        <f>IFERROR($T36+VLOOKUP($R36,'Voyage days'!$F$483:$H$538,3,FALSE),"")</f>
        <v/>
      </c>
      <c r="AX36" s="1312" t="str">
        <f>IF(AY36="","",TEXT(AY36,"dd")&amp;"-"&amp;TEXT(AZ36,"dd mmm"))</f>
        <v/>
      </c>
      <c r="AY36" s="995" t="str">
        <f>IFERROR($S36+VLOOKUP($R36,'Voyage days'!$F$540:$H$613,3,FALSE),"")</f>
        <v/>
      </c>
      <c r="AZ36" s="995" t="str">
        <f>IFERROR($T36+VLOOKUP($R36,'Voyage days'!$F$540:$H$613,3,FALSE),"")</f>
        <v/>
      </c>
      <c r="BA36" s="1312" t="str">
        <f>IF(BB36="","",TEXT(BB36,"dd")&amp;"-"&amp;TEXT(BC36,"dd mmm"))</f>
        <v/>
      </c>
      <c r="BB36" s="995" t="str">
        <f>IFERROR($S36+VLOOKUP($R36,'Voyage days'!$L$483:$N$535,3,FALSE),"")</f>
        <v/>
      </c>
      <c r="BC36" s="995" t="str">
        <f>IFERROR($T36+VLOOKUP($R36,'Voyage days'!$L$483:$N$535,3,FALSE),"")</f>
        <v/>
      </c>
      <c r="BD36" s="1312" t="str">
        <f>IF(BE36="","",TEXT(BE36,"dd")&amp;"-"&amp;TEXT(BF36,"dd mmm"))</f>
        <v/>
      </c>
      <c r="BE36" s="995" t="str">
        <f>IFERROR($S36+VLOOKUP($R36,'Voyage days'!$F$620:$H$646,3,FALSE),"")</f>
        <v/>
      </c>
      <c r="BF36" s="995" t="str">
        <f>IFERROR($T36+VLOOKUP($R36,'Voyage days'!$F$620:$H$646,3,FALSE),"")</f>
        <v/>
      </c>
      <c r="BG36" s="1312" t="str">
        <f>IF(BH36="","",TEXT(BH36,"dd")&amp;"-"&amp;TEXT(BI36,"dd mmm"))</f>
        <v/>
      </c>
      <c r="BH36" s="496" t="str">
        <f>IFERROR($S36+VLOOKUP($R36,'Voyage days'!$F$702:$H$727,3,FALSE),"")</f>
        <v/>
      </c>
      <c r="BI36" s="496" t="str">
        <f>IFERROR($T36+VLOOKUP($R36,'Voyage days'!$F$702:$H$727,3,FALSE),"")</f>
        <v/>
      </c>
      <c r="BJ36" s="496"/>
      <c r="BK36" s="496"/>
      <c r="BL36" s="496"/>
      <c r="BM36" s="496"/>
      <c r="BN36" s="496"/>
      <c r="BO36" s="496"/>
      <c r="BP36" s="496"/>
    </row>
    <row r="37">
      <c r="A37" s="1430" t="s">
        <v>278</v>
      </c>
      <c r="B37" s="1344">
        <v>2008.0</v>
      </c>
      <c r="C37" s="1344">
        <v>82000.0</v>
      </c>
      <c r="D37" s="606"/>
      <c r="E37" s="606" t="s">
        <v>1066</v>
      </c>
      <c r="G37" s="1431"/>
      <c r="H37" s="1428" t="s">
        <v>3490</v>
      </c>
      <c r="K37" s="606" t="s">
        <v>3491</v>
      </c>
    </row>
    <row r="38">
      <c r="A38" s="606" t="s">
        <v>287</v>
      </c>
      <c r="B38" s="1344">
        <v>2008.0</v>
      </c>
      <c r="C38" s="1344">
        <v>82791.0</v>
      </c>
      <c r="D38" s="606"/>
      <c r="E38" s="606" t="s">
        <v>1066</v>
      </c>
      <c r="H38" s="1428" t="s">
        <v>3492</v>
      </c>
      <c r="K38" s="606" t="s">
        <v>3491</v>
      </c>
    </row>
    <row r="39">
      <c r="A39" s="901"/>
    </row>
    <row r="40" ht="15.75" customHeight="1">
      <c r="A40" s="1432" t="s">
        <v>3493</v>
      </c>
      <c r="B40" s="1402"/>
      <c r="C40" s="1402"/>
      <c r="D40" s="1398"/>
      <c r="E40" s="1398"/>
      <c r="F40" s="1398"/>
      <c r="G40" s="1399"/>
      <c r="H40" s="1400"/>
      <c r="I40" s="1400"/>
      <c r="J40" s="1400"/>
      <c r="K40" s="1400"/>
      <c r="L40" s="1400"/>
      <c r="M40" s="1400"/>
      <c r="N40" s="1399"/>
      <c r="O40" s="1399"/>
      <c r="P40" s="1402"/>
      <c r="Q40" s="1397"/>
      <c r="R40" s="1398"/>
      <c r="S40" s="1433" t="s">
        <v>3494</v>
      </c>
      <c r="T40" s="1434"/>
      <c r="U40" s="1404"/>
      <c r="V40" s="1398"/>
      <c r="W40" s="1398"/>
      <c r="X40" s="1405"/>
      <c r="Y40" s="1406" t="str">
        <f>IF(R40&lt;&gt;"",MID(INFO("DIRECTORY"),10,LEN(INFO("DIRECTORY"))-LEN(MID(INFO("DIRECTORY"),FIND("\",INFO("DIRECTORY"),10),1000))-LEN("C:\Users\")),IF(S40&lt;&gt;"",MID(INFO("DIRECTORY"),10,LEN(INFO("DIRECTORY"))-LEN(MID(INFO("DIRECTORY"),FIND("\",INFO("DIRECTORY"),10),1000))-LEN("C:\Users\")),IF(T40&lt;&gt;"",MID(INFO("DIRECTORY"),10,LEN(INFO("DIRECTORY"))-LEN(MID(INFO("DIRECTORY"),FIND("\",INFO("DIRECTORY"),10),1000))-LEN("C:\Users\")),IF(U40&lt;&gt;"",MID(INFO("DIRECTORY"),10,LEN(INFO("DIRECTORY"))-LEN(MID(INFO("DIRECTORY"),FIND("\",INFO("DIRECTORY"),10),1000))-LEN("C:\Users\")),IF(V40&lt;&gt;"",MID(INFO("DIRECTORY"),10,LEN(INFO("DIRECTORY"))-LEN(MID(INFO("DIRECTORY"),FIND("\",INFO("DIRECTORY"),10),1000))-LEN("C:\Users\")),IF(W40&lt;&gt;"",NOW(),IF(X40&lt;&gt;"",MID(INFO("DIRECTORY"),10,LEN(INFO("DIRECTORY"))-LEN(MID(INFO("DIRECTORY"),FIND("\",INFO("DIRECTORY"),10),1000))-LEN("C:\Users\")),"")))))))</f>
        <v>#NAME?</v>
      </c>
      <c r="Z40" s="1400"/>
      <c r="AA40" s="1400"/>
      <c r="AF40" s="1400"/>
      <c r="AG40" s="1400"/>
      <c r="AH40" s="1400"/>
      <c r="AI40" s="1400"/>
      <c r="AJ40" s="1400"/>
      <c r="AK40" s="1400"/>
      <c r="AL40" s="1400"/>
      <c r="AM40" s="1400"/>
      <c r="AN40" s="1400"/>
      <c r="AO40" s="1400"/>
      <c r="AP40" s="1400"/>
      <c r="AQ40" s="1400"/>
      <c r="AR40" s="1400"/>
      <c r="AS40" s="1400"/>
      <c r="AT40" s="1400"/>
      <c r="AU40" s="1400"/>
      <c r="AV40" s="1400"/>
      <c r="AW40" s="1400"/>
      <c r="AX40" s="1400"/>
      <c r="AY40" s="1400"/>
      <c r="AZ40" s="1400"/>
      <c r="BA40" s="1400"/>
      <c r="BB40" s="1400"/>
      <c r="BC40" s="1400"/>
      <c r="BD40" s="1400"/>
      <c r="BE40" s="1400"/>
      <c r="BF40" s="1400"/>
      <c r="BG40" s="1400"/>
      <c r="BH40" s="496" t="str">
        <f>IFERROR($S40+VLOOKUP($R40,'Voyage days'!$F$702:$H$727,3,FALSE),"")</f>
        <v/>
      </c>
      <c r="BI40" s="496" t="str">
        <f>IFERROR($T40+VLOOKUP($R40,'Voyage days'!$F$702:$H$727,3,FALSE),"")</f>
        <v/>
      </c>
      <c r="BJ40" s="496"/>
      <c r="BK40" s="496"/>
      <c r="BL40" s="496"/>
      <c r="BM40" s="496"/>
      <c r="BN40" s="496"/>
      <c r="BO40" s="496"/>
      <c r="BP40" s="496"/>
    </row>
    <row r="41">
      <c r="A41" s="606" t="s">
        <v>474</v>
      </c>
      <c r="B41" s="1002">
        <v>33025.0</v>
      </c>
      <c r="C41" s="1344">
        <v>78488.0</v>
      </c>
      <c r="D41" s="1253"/>
      <c r="E41" s="686" t="s">
        <v>3174</v>
      </c>
      <c r="F41" s="686" t="s">
        <v>3495</v>
      </c>
      <c r="G41" s="1351"/>
      <c r="H41" s="1428" t="s">
        <v>3496</v>
      </c>
      <c r="I41" s="1304"/>
      <c r="J41" s="1304" t="str">
        <f>IF(K41="","",VLOOKUP(K41,'Voyage days'!$A$3:$B$1480,2,FALSE))</f>
        <v>#N/A</v>
      </c>
      <c r="K41" s="1304">
        <f>IF(VLOOKUP(A41,'1) Kpler'!$E$2:$O$500,7, FALSE)="",VLOOKUP(A41,'1) Kpler'!$E$2:$O$500,10,FALSE),VLOOKUP(A41,'1) Kpler'!$E$2:$O$500,7, FALSE))</f>
        <v>8902371</v>
      </c>
      <c r="L41" s="1305" t="str">
        <f>IF(VLOOKUP(A41,'1) Kpler'!$E$2:$O$500,8,FALSE)="","",VLOOKUP(A41,'1) Kpler'!$E$2:$O$500,8,FALSE))</f>
        <v/>
      </c>
      <c r="M41" s="1317">
        <f>VLOOKUP(A41,'1) Kpler'!$E$2:$H$400,3,FALSE)</f>
        <v>50748</v>
      </c>
      <c r="N41" s="1320"/>
      <c r="O41" s="1351"/>
      <c r="P41" s="686" t="s">
        <v>570</v>
      </c>
      <c r="Q41" s="686"/>
      <c r="R41" s="686"/>
      <c r="S41" s="1378"/>
      <c r="T41" s="1353"/>
      <c r="U41" s="686"/>
      <c r="V41" s="1435"/>
      <c r="W41" s="686"/>
      <c r="X41" s="1435"/>
      <c r="Y41" s="686"/>
      <c r="Z41" s="1353"/>
      <c r="AA41" s="1343"/>
      <c r="AF41" s="1312" t="str">
        <f t="shared" ref="AF41:AF43" si="61">IF(AG41="","",TEXT(AG41,"dd")&amp;"-"&amp;TEXT(AH41,"dd mmm"))</f>
        <v/>
      </c>
      <c r="AG41" s="995" t="str">
        <f>IFERROR($S41+VLOOKUP($R41,'Voyage days'!$F$38:$H$89,3,FALSE),"")</f>
        <v/>
      </c>
      <c r="AH41" s="995" t="str">
        <f>IFERROR(T41+VLOOKUP($R41,'Voyage days'!$F$38:$H$89,3,FALSE),"")</f>
        <v/>
      </c>
      <c r="AI41" s="1312" t="str">
        <f t="shared" ref="AI41:AI43" si="62">IF(AJ41="","",TEXT(AJ41,"dd")&amp;"-"&amp;TEXT(AK41,"dd mmm"))</f>
        <v/>
      </c>
      <c r="AJ41" s="995" t="str">
        <f>IFERROR($S41+VLOOKUP($R41,'Voyage days'!$F$94:$H$193,3,FALSE),"")</f>
        <v/>
      </c>
      <c r="AK41" s="995" t="str">
        <f>IFERROR($T41+VLOOKUP($R41,'Voyage days'!$F$94:$H$193,3,FALSE),"")</f>
        <v/>
      </c>
      <c r="AL41" s="1312" t="str">
        <f t="shared" ref="AL41:AL43" si="63">IF(AM41="","",TEXT(AM41,"dd")&amp;"-"&amp;TEXT(AN41,"dd mmm"))</f>
        <v/>
      </c>
      <c r="AM41" s="995" t="str">
        <f>IFERROR($S41+VLOOKUP($R41,'Voyage days'!$F$203:$H$256,3,FALSE),"")</f>
        <v/>
      </c>
      <c r="AN41" s="995" t="str">
        <f>IFERROR($T41+VLOOKUP($R41,'Voyage days'!$F$203:$H$256,3,FALSE),"")</f>
        <v/>
      </c>
      <c r="AO41" s="1312" t="str">
        <f t="shared" ref="AO41:AO43" si="64">IF(AP41="","",TEXT(AP41,"dd")&amp;"-"&amp;TEXT(AQ41,"dd mmm"))</f>
        <v/>
      </c>
      <c r="AP41" s="995" t="str">
        <f>IFERROR($S41+VLOOKUP($R41,'Voyage days'!$F$294:$H$377,3,FALSE),"")</f>
        <v/>
      </c>
      <c r="AQ41" s="995" t="str">
        <f>IFERROR($T41+VLOOKUP($R41,'Voyage days'!$F$294:$H$377,3,FALSE),"")</f>
        <v/>
      </c>
      <c r="AR41" s="1312" t="str">
        <f t="shared" ref="AR41:AR43" si="65">IF(AS41="","",TEXT(AS41,"dd")&amp;"-"&amp;TEXT(AT41,"dd mmm"))</f>
        <v/>
      </c>
      <c r="AS41" s="995" t="str">
        <f>IFERROR($S41+VLOOKUP($R41,'Voyage days'!$F$382:$H$446,3,FALSE),"")</f>
        <v/>
      </c>
      <c r="AT41" s="995" t="str">
        <f>IFERROR($T41+VLOOKUP($R41,'Voyage days'!$F$382:$H$446,3,FALSE),"")</f>
        <v/>
      </c>
      <c r="AU41" s="1312" t="str">
        <f t="shared" ref="AU41:AU43" si="66">IF(AV41="","",TEXT(AV41,"dd")&amp;"-"&amp;TEXT(AW41,"dd mmm"))</f>
        <v/>
      </c>
      <c r="AV41" s="995" t="str">
        <f>IFERROR($S41+VLOOKUP($R41,'Voyage days'!$F$483:$H$538,3,FALSE),"")</f>
        <v/>
      </c>
      <c r="AW41" s="995" t="str">
        <f>IFERROR($T41+VLOOKUP($R41,'Voyage days'!$F$483:$H$538,3,FALSE),"")</f>
        <v/>
      </c>
      <c r="AX41" s="1312" t="str">
        <f t="shared" ref="AX41:AX43" si="67">IF(AY41="","",TEXT(AY41,"dd")&amp;"-"&amp;TEXT(AZ41,"dd mmm"))</f>
        <v/>
      </c>
      <c r="AY41" s="995" t="str">
        <f>IFERROR($S41+VLOOKUP($R41,'Voyage days'!$F$540:$H$613,3,FALSE),"")</f>
        <v/>
      </c>
      <c r="AZ41" s="995" t="str">
        <f>IFERROR($T41+VLOOKUP($R41,'Voyage days'!$F$540:$H$613,3,FALSE),"")</f>
        <v/>
      </c>
      <c r="BA41" s="1312" t="str">
        <f t="shared" ref="BA41:BA43" si="68">IF(BB41="","",TEXT(BB41,"dd")&amp;"-"&amp;TEXT(BC41,"dd mmm"))</f>
        <v/>
      </c>
      <c r="BB41" s="995" t="str">
        <f>IFERROR($S41+VLOOKUP($R41,'Voyage days'!$L$483:$N$535,3,FALSE),"")</f>
        <v/>
      </c>
      <c r="BC41" s="995" t="str">
        <f>IFERROR($T41+VLOOKUP($R41,'Voyage days'!$L$483:$N$535,3,FALSE),"")</f>
        <v/>
      </c>
      <c r="BD41" s="1312" t="str">
        <f t="shared" ref="BD41:BD43" si="69">IF(BE41="","",TEXT(BE41,"dd")&amp;"-"&amp;TEXT(BF41,"dd mmm"))</f>
        <v/>
      </c>
      <c r="BE41" s="995" t="str">
        <f>IFERROR($S41+VLOOKUP($R41,'Voyage days'!$F$620:$H$646,3,FALSE),"")</f>
        <v/>
      </c>
      <c r="BF41" s="995" t="str">
        <f>IFERROR($T41+VLOOKUP($R41,'Voyage days'!$F$620:$H$646,3,FALSE),"")</f>
        <v/>
      </c>
      <c r="BG41" s="1312" t="str">
        <f t="shared" ref="BG41:BG43" si="70">IF(BH41="","",TEXT(BH41,"dd")&amp;"-"&amp;TEXT(BI41,"dd mmm"))</f>
        <v/>
      </c>
      <c r="BH41" s="1321" t="str">
        <f>IFERROR($S41+VLOOKUP($R41,'Voyage days'!$F$702:$H$727,3,FALSE),"")</f>
        <v/>
      </c>
      <c r="BI41" s="1321" t="str">
        <f>IFERROR($T41+VLOOKUP($R41,'Voyage days'!$F$702:$H$727,3,FALSE),"")</f>
        <v/>
      </c>
      <c r="BJ41" s="1321"/>
      <c r="BK41" s="1321"/>
      <c r="BL41" s="1321"/>
      <c r="BM41" s="1321"/>
      <c r="BN41" s="1321"/>
      <c r="BO41" s="1321"/>
      <c r="BP41" s="1321"/>
    </row>
    <row r="42" ht="15.75" customHeight="1">
      <c r="A42" s="606" t="s">
        <v>449</v>
      </c>
      <c r="B42" s="1005">
        <v>33635.0</v>
      </c>
      <c r="C42" s="1344">
        <v>75324.0</v>
      </c>
      <c r="D42" s="1253"/>
      <c r="E42" s="686" t="s">
        <v>3174</v>
      </c>
      <c r="F42" s="686" t="s">
        <v>3497</v>
      </c>
      <c r="G42" s="1351"/>
      <c r="H42" s="1428" t="s">
        <v>3498</v>
      </c>
      <c r="I42" s="1304"/>
      <c r="J42" s="1304" t="str">
        <f>IF(K42="","",VLOOKUP(K42,'Voyage days'!$A$3:$B$1480,2,FALSE))</f>
        <v>#N/A</v>
      </c>
      <c r="K42" s="1304">
        <f>IF(VLOOKUP(A42,'1) Kpler'!$E$2:$O$500,7, FALSE)="",VLOOKUP(A42,'1) Kpler'!$E$2:$O$500,10,FALSE),VLOOKUP(A42,'1) Kpler'!$E$2:$O$500,7, FALSE))</f>
        <v>9006679</v>
      </c>
      <c r="L42" s="1305" t="str">
        <f>IF(VLOOKUP(A42,'1) Kpler'!$E$2:$O$500,8,FALSE)="","",VLOOKUP(A42,'1) Kpler'!$E$2:$O$500,8,FALSE))</f>
        <v/>
      </c>
      <c r="M42" s="1317">
        <f>VLOOKUP(A42,'1) Kpler'!$E$2:$H$400,3,FALSE)</f>
        <v>49412</v>
      </c>
      <c r="N42" s="1320"/>
      <c r="O42" s="1436"/>
      <c r="P42" s="686" t="s">
        <v>570</v>
      </c>
      <c r="Q42" s="686"/>
      <c r="R42" s="686"/>
      <c r="S42" s="1353"/>
      <c r="T42" s="1353"/>
      <c r="U42" s="686"/>
      <c r="V42" s="1435"/>
      <c r="W42" s="686"/>
      <c r="X42" s="1435"/>
      <c r="Y42" s="686"/>
      <c r="Z42" s="1353"/>
      <c r="AA42" s="1437"/>
      <c r="AF42" s="1312" t="str">
        <f t="shared" si="61"/>
        <v/>
      </c>
      <c r="AG42" s="995" t="str">
        <f>IFERROR($S42+VLOOKUP($R42,'Voyage days'!$F$38:$H$89,3,FALSE),"")</f>
        <v/>
      </c>
      <c r="AH42" s="995" t="str">
        <f>IFERROR(T42+VLOOKUP($R42,'Voyage days'!$F$38:$H$89,3,FALSE),"")</f>
        <v/>
      </c>
      <c r="AI42" s="1312" t="str">
        <f t="shared" si="62"/>
        <v/>
      </c>
      <c r="AJ42" s="995" t="str">
        <f>IFERROR($S42+VLOOKUP($R42,'Voyage days'!$F$94:$H$193,3,FALSE),"")</f>
        <v/>
      </c>
      <c r="AK42" s="995" t="str">
        <f>IFERROR($T42+VLOOKUP($R42,'Voyage days'!$F$94:$H$193,3,FALSE),"")</f>
        <v/>
      </c>
      <c r="AL42" s="1312" t="str">
        <f t="shared" si="63"/>
        <v/>
      </c>
      <c r="AM42" s="995" t="str">
        <f>IFERROR($S42+VLOOKUP($R42,'Voyage days'!$F$203:$H$256,3,FALSE),"")</f>
        <v/>
      </c>
      <c r="AN42" s="995" t="str">
        <f>IFERROR($T42+VLOOKUP($R42,'Voyage days'!$F$203:$H$256,3,FALSE),"")</f>
        <v/>
      </c>
      <c r="AO42" s="1312" t="str">
        <f t="shared" si="64"/>
        <v/>
      </c>
      <c r="AP42" s="995" t="str">
        <f>IFERROR($S42+VLOOKUP($R42,'Voyage days'!$F$294:$H$377,3,FALSE),"")</f>
        <v/>
      </c>
      <c r="AQ42" s="995" t="str">
        <f>IFERROR($T42+VLOOKUP($R42,'Voyage days'!$F$294:$H$377,3,FALSE),"")</f>
        <v/>
      </c>
      <c r="AR42" s="1312" t="str">
        <f t="shared" si="65"/>
        <v/>
      </c>
      <c r="AS42" s="995" t="str">
        <f>IFERROR($S42+VLOOKUP($R42,'Voyage days'!$F$382:$H$446,3,FALSE),"")</f>
        <v/>
      </c>
      <c r="AT42" s="995" t="str">
        <f>IFERROR($T42+VLOOKUP($R42,'Voyage days'!$F$382:$H$446,3,FALSE),"")</f>
        <v/>
      </c>
      <c r="AU42" s="1312" t="str">
        <f t="shared" si="66"/>
        <v/>
      </c>
      <c r="AV42" s="995" t="str">
        <f>IFERROR($S42+VLOOKUP($R42,'Voyage days'!$F$483:$H$538,3,FALSE),"")</f>
        <v/>
      </c>
      <c r="AW42" s="995" t="str">
        <f>IFERROR($T42+VLOOKUP($R42,'Voyage days'!$F$483:$H$538,3,FALSE),"")</f>
        <v/>
      </c>
      <c r="AX42" s="1312" t="str">
        <f t="shared" si="67"/>
        <v/>
      </c>
      <c r="AY42" s="995" t="str">
        <f>IFERROR($S42+VLOOKUP($R42,'Voyage days'!$F$540:$H$613,3,FALSE),"")</f>
        <v/>
      </c>
      <c r="AZ42" s="995" t="str">
        <f>IFERROR($T42+VLOOKUP($R42,'Voyage days'!$F$540:$H$613,3,FALSE),"")</f>
        <v/>
      </c>
      <c r="BA42" s="1312" t="str">
        <f t="shared" si="68"/>
        <v/>
      </c>
      <c r="BB42" s="995" t="str">
        <f>IFERROR($S42+VLOOKUP($R42,'Voyage days'!$L$483:$N$535,3,FALSE),"")</f>
        <v/>
      </c>
      <c r="BC42" s="995" t="str">
        <f>IFERROR($T42+VLOOKUP($R42,'Voyage days'!$L$483:$N$535,3,FALSE),"")</f>
        <v/>
      </c>
      <c r="BD42" s="1312" t="str">
        <f t="shared" si="69"/>
        <v/>
      </c>
      <c r="BE42" s="995" t="str">
        <f>IFERROR($S42+VLOOKUP($R42,'Voyage days'!$F$620:$H$646,3,FALSE),"")</f>
        <v/>
      </c>
      <c r="BF42" s="995" t="str">
        <f>IFERROR($T42+VLOOKUP($R42,'Voyage days'!$F$620:$H$646,3,FALSE),"")</f>
        <v/>
      </c>
      <c r="BG42" s="1312" t="str">
        <f t="shared" si="70"/>
        <v/>
      </c>
      <c r="BH42" s="1321" t="str">
        <f>IFERROR($S42+VLOOKUP($R42,'Voyage days'!$F$702:$H$727,3,FALSE),"")</f>
        <v/>
      </c>
      <c r="BI42" s="1321" t="str">
        <f>IFERROR($T42+VLOOKUP($R42,'Voyage days'!$F$702:$H$727,3,FALSE),"")</f>
        <v/>
      </c>
      <c r="BJ42" s="1321"/>
      <c r="BK42" s="1321"/>
      <c r="BL42" s="1321"/>
      <c r="BM42" s="1321"/>
      <c r="BN42" s="1321"/>
      <c r="BO42" s="1321"/>
      <c r="BP42" s="1321"/>
    </row>
    <row r="43" ht="15.75" customHeight="1">
      <c r="A43" s="606" t="s">
        <v>450</v>
      </c>
      <c r="B43" s="1002">
        <v>33512.0</v>
      </c>
      <c r="C43" s="1344">
        <v>78530.0</v>
      </c>
      <c r="D43" s="1253"/>
      <c r="E43" s="686" t="s">
        <v>3174</v>
      </c>
      <c r="F43" s="686" t="s">
        <v>3497</v>
      </c>
      <c r="G43" s="1351"/>
      <c r="H43" s="1428" t="s">
        <v>3499</v>
      </c>
      <c r="I43" s="1304"/>
      <c r="J43" s="1304" t="str">
        <f>IF(K43="","",VLOOKUP(K43,'Voyage days'!$A$3:$B$1480,2,FALSE))</f>
        <v>#N/A</v>
      </c>
      <c r="K43" s="1304">
        <f>IF(VLOOKUP(A43,'1) Kpler'!$E$2:$O$500,7, FALSE)="",VLOOKUP(A43,'1) Kpler'!$E$2:$O$500,10,FALSE),VLOOKUP(A43,'1) Kpler'!$E$2:$O$500,7, FALSE))</f>
        <v>8910902</v>
      </c>
      <c r="L43" s="1305" t="str">
        <f>IF(VLOOKUP(A43,'1) Kpler'!$E$2:$O$500,8,FALSE)="","",VLOOKUP(A43,'1) Kpler'!$E$2:$O$500,8,FALSE))</f>
        <v/>
      </c>
      <c r="M43" s="1317">
        <f>VLOOKUP(A43,'1) Kpler'!$E$2:$H$400,3,FALSE)</f>
        <v>56945</v>
      </c>
      <c r="N43" s="1320"/>
      <c r="O43" s="1351"/>
      <c r="P43" s="686" t="s">
        <v>570</v>
      </c>
      <c r="Q43" s="1351"/>
      <c r="R43" s="686"/>
      <c r="S43" s="1353"/>
      <c r="T43" s="1353"/>
      <c r="U43" s="686"/>
      <c r="V43" s="686"/>
      <c r="W43" s="686"/>
      <c r="X43" s="1429"/>
      <c r="Y43" s="686"/>
      <c r="Z43" s="1353"/>
      <c r="AA43" s="1437"/>
      <c r="AF43" s="1312" t="str">
        <f t="shared" si="61"/>
        <v/>
      </c>
      <c r="AG43" s="995" t="str">
        <f>IFERROR($S43+VLOOKUP($R43,'Voyage days'!$F$38:$H$89,3,FALSE),"")</f>
        <v/>
      </c>
      <c r="AH43" s="995" t="str">
        <f>IFERROR(T43+VLOOKUP($R43,'Voyage days'!$F$38:$H$89,3,FALSE),"")</f>
        <v/>
      </c>
      <c r="AI43" s="1312" t="str">
        <f t="shared" si="62"/>
        <v/>
      </c>
      <c r="AJ43" s="995" t="str">
        <f>IFERROR($S43+VLOOKUP($R43,'Voyage days'!$F$94:$H$193,3,FALSE),"")</f>
        <v/>
      </c>
      <c r="AK43" s="995" t="str">
        <f>IFERROR($T43+VLOOKUP($R43,'Voyage days'!$F$94:$H$193,3,FALSE),"")</f>
        <v/>
      </c>
      <c r="AL43" s="1312" t="str">
        <f t="shared" si="63"/>
        <v/>
      </c>
      <c r="AM43" s="995" t="str">
        <f>IFERROR($S43+VLOOKUP($R43,'Voyage days'!$F$203:$H$256,3,FALSE),"")</f>
        <v/>
      </c>
      <c r="AN43" s="995" t="str">
        <f>IFERROR($T43+VLOOKUP($R43,'Voyage days'!$F$203:$H$256,3,FALSE),"")</f>
        <v/>
      </c>
      <c r="AO43" s="1312" t="str">
        <f t="shared" si="64"/>
        <v/>
      </c>
      <c r="AP43" s="995" t="str">
        <f>IFERROR($S43+VLOOKUP($R43,'Voyage days'!$F$294:$H$377,3,FALSE),"")</f>
        <v/>
      </c>
      <c r="AQ43" s="995" t="str">
        <f>IFERROR($T43+VLOOKUP($R43,'Voyage days'!$F$294:$H$377,3,FALSE),"")</f>
        <v/>
      </c>
      <c r="AR43" s="1312" t="str">
        <f t="shared" si="65"/>
        <v/>
      </c>
      <c r="AS43" s="995" t="str">
        <f>IFERROR($S43+VLOOKUP($R43,'Voyage days'!$F$382:$H$446,3,FALSE),"")</f>
        <v/>
      </c>
      <c r="AT43" s="995" t="str">
        <f>IFERROR($T43+VLOOKUP($R43,'Voyage days'!$F$382:$H$446,3,FALSE),"")</f>
        <v/>
      </c>
      <c r="AU43" s="1312" t="str">
        <f t="shared" si="66"/>
        <v/>
      </c>
      <c r="AV43" s="995" t="str">
        <f>IFERROR($S43+VLOOKUP($R43,'Voyage days'!$F$483:$H$538,3,FALSE),"")</f>
        <v/>
      </c>
      <c r="AW43" s="995" t="str">
        <f>IFERROR($T43+VLOOKUP($R43,'Voyage days'!$F$483:$H$538,3,FALSE),"")</f>
        <v/>
      </c>
      <c r="AX43" s="1312" t="str">
        <f t="shared" si="67"/>
        <v/>
      </c>
      <c r="AY43" s="995" t="str">
        <f>IFERROR($S43+VLOOKUP($R43,'Voyage days'!$F$540:$H$613,3,FALSE),"")</f>
        <v/>
      </c>
      <c r="AZ43" s="995" t="str">
        <f>IFERROR($T43+VLOOKUP($R43,'Voyage days'!$F$540:$H$613,3,FALSE),"")</f>
        <v/>
      </c>
      <c r="BA43" s="1312" t="str">
        <f t="shared" si="68"/>
        <v/>
      </c>
      <c r="BB43" s="995" t="str">
        <f>IFERROR($S43+VLOOKUP($R43,'Voyage days'!$L$483:$N$535,3,FALSE),"")</f>
        <v/>
      </c>
      <c r="BC43" s="995" t="str">
        <f>IFERROR($T43+VLOOKUP($R43,'Voyage days'!$L$483:$N$535,3,FALSE),"")</f>
        <v/>
      </c>
      <c r="BD43" s="1312" t="str">
        <f t="shared" si="69"/>
        <v/>
      </c>
      <c r="BE43" s="995" t="str">
        <f>IFERROR($S43+VLOOKUP($R43,'Voyage days'!$F$620:$H$646,3,FALSE),"")</f>
        <v/>
      </c>
      <c r="BF43" s="995" t="str">
        <f>IFERROR($T43+VLOOKUP($R43,'Voyage days'!$F$620:$H$646,3,FALSE),"")</f>
        <v/>
      </c>
      <c r="BG43" s="1312" t="str">
        <f t="shared" si="70"/>
        <v/>
      </c>
      <c r="BH43" s="1321" t="str">
        <f>IFERROR($S43+VLOOKUP($R43,'Voyage days'!$F$702:$H$727,3,FALSE),"")</f>
        <v/>
      </c>
      <c r="BI43" s="1321" t="str">
        <f>IFERROR($T43+VLOOKUP($R43,'Voyage days'!$F$702:$H$727,3,FALSE),"")</f>
        <v/>
      </c>
      <c r="BJ43" s="1321"/>
      <c r="BK43" s="1321"/>
      <c r="BL43" s="1321"/>
      <c r="BM43" s="1321"/>
      <c r="BN43" s="1321"/>
      <c r="BO43" s="1321"/>
      <c r="BP43" s="1321"/>
    </row>
    <row r="44" ht="15.75" customHeight="1">
      <c r="A44" s="606"/>
      <c r="B44" s="1005"/>
      <c r="C44" s="1344"/>
      <c r="D44" s="1333"/>
      <c r="E44" s="1345"/>
      <c r="F44" s="686"/>
      <c r="G44" s="1387"/>
      <c r="H44" s="1428"/>
      <c r="I44" s="1316"/>
      <c r="J44" s="1316"/>
      <c r="K44" s="1316"/>
      <c r="L44" s="1375"/>
      <c r="M44" s="1316"/>
      <c r="N44" s="1320"/>
      <c r="O44" s="1351"/>
      <c r="P44" s="686"/>
      <c r="Q44" s="686"/>
      <c r="R44" s="686"/>
      <c r="S44" s="1345"/>
      <c r="T44" s="1350"/>
      <c r="U44" s="1435"/>
      <c r="V44" s="1352"/>
      <c r="W44" s="686"/>
      <c r="X44" s="1435"/>
      <c r="Y44" s="686"/>
      <c r="Z44" s="1353"/>
      <c r="AA44" s="1438"/>
      <c r="AF44" s="1316"/>
      <c r="AG44" s="1343"/>
      <c r="AH44" s="1343"/>
      <c r="AI44" s="1316"/>
      <c r="AJ44" s="1343"/>
      <c r="AK44" s="1343"/>
      <c r="AL44" s="1316"/>
      <c r="AM44" s="1343"/>
      <c r="AN44" s="1343"/>
      <c r="AO44" s="1316"/>
      <c r="AP44" s="1343"/>
      <c r="AQ44" s="1343"/>
      <c r="AR44" s="1316"/>
      <c r="AS44" s="1343"/>
      <c r="AT44" s="1343"/>
      <c r="AU44" s="1316"/>
      <c r="AV44" s="1343"/>
      <c r="AW44" s="1343"/>
      <c r="AX44" s="1316"/>
      <c r="AY44" s="1343"/>
      <c r="AZ44" s="1343"/>
      <c r="BA44" s="1316"/>
      <c r="BB44" s="1343"/>
      <c r="BC44" s="1343"/>
      <c r="BD44" s="1316"/>
      <c r="BE44" s="1343"/>
      <c r="BF44" s="1343"/>
      <c r="BG44" s="1316"/>
      <c r="BH44" s="1321"/>
      <c r="BI44" s="1321"/>
      <c r="BJ44" s="1321"/>
      <c r="BK44" s="1321"/>
      <c r="BL44" s="1321"/>
      <c r="BM44" s="1321"/>
      <c r="BN44" s="1321"/>
      <c r="BO44" s="1321"/>
      <c r="BP44" s="1321"/>
    </row>
    <row r="45" ht="15.75" customHeight="1">
      <c r="A45" s="606" t="s">
        <v>3500</v>
      </c>
      <c r="B45" s="1005">
        <v>31837.0</v>
      </c>
      <c r="C45" s="1344">
        <v>77749.0</v>
      </c>
      <c r="D45" s="1333"/>
      <c r="E45" s="1345" t="s">
        <v>3501</v>
      </c>
      <c r="F45" s="686" t="s">
        <v>3497</v>
      </c>
      <c r="G45" s="1387" t="s">
        <v>3502</v>
      </c>
      <c r="H45" s="1428" t="s">
        <v>3503</v>
      </c>
      <c r="I45" s="1316"/>
      <c r="J45" s="1316" t="str">
        <f>IF(K45="","",VLOOKUP(K45,'Voyage days'!$A$3:$B$1480,2,FALSE))</f>
        <v>#N/A</v>
      </c>
      <c r="K45" s="1316" t="str">
        <f>IF(VLOOKUP(A45,'1) Kpler'!$E$2:$O$500,7, FALSE)="",VLOOKUP(A45,'1) Kpler'!$E$2:$O$500,10,FALSE),VLOOKUP(A45,'1) Kpler'!$E$2:$O$500,7, FALSE))</f>
        <v>#N/A</v>
      </c>
      <c r="L45" s="1375" t="str">
        <f>IF(VLOOKUP(A45,'1) Kpler'!$E$2:$O$500,8,FALSE)="","",VLOOKUP(A45,'1) Kpler'!$E$2:$O$500,8,FALSE))</f>
        <v>#N/A</v>
      </c>
      <c r="M45" s="1316" t="str">
        <f>VLOOKUP(A45,'1) Kpler'!$E$2:$H$400,3,FALSE)</f>
        <v>#N/A</v>
      </c>
      <c r="N45" s="1320"/>
      <c r="O45" s="1351"/>
      <c r="P45" s="686" t="s">
        <v>570</v>
      </c>
      <c r="Q45" s="686"/>
      <c r="R45" s="686"/>
      <c r="S45" s="1345" t="s">
        <v>2635</v>
      </c>
      <c r="T45" s="1350">
        <v>45463.0</v>
      </c>
      <c r="U45" s="1435" t="s">
        <v>3504</v>
      </c>
      <c r="V45" s="1352" t="s">
        <v>3466</v>
      </c>
      <c r="W45" s="686"/>
      <c r="X45" s="1435" t="s">
        <v>3505</v>
      </c>
      <c r="Y45" s="686"/>
      <c r="Z45" s="1353"/>
      <c r="AA45" s="1438"/>
      <c r="AF45" s="1316" t="str">
        <f t="shared" ref="AF45:AF52" si="71">IF(AG45="","",TEXT(AG45,"dd")&amp;"-"&amp;TEXT(AH45,"dd mmm"))</f>
        <v/>
      </c>
      <c r="AG45" s="1343" t="str">
        <f>IFERROR($S45+VLOOKUP($R45,'Voyage days'!$F$38:$H$89,3,FALSE),"")</f>
        <v/>
      </c>
      <c r="AH45" s="1343" t="str">
        <f>IFERROR(T45+VLOOKUP($R45,'Voyage days'!$F$38:$H$89,3,FALSE),"")</f>
        <v/>
      </c>
      <c r="AI45" s="1316" t="str">
        <f t="shared" ref="AI45:AI52" si="72">IF(AJ45="","",TEXT(AJ45,"dd")&amp;"-"&amp;TEXT(AK45,"dd mmm"))</f>
        <v/>
      </c>
      <c r="AJ45" s="1343" t="str">
        <f>IF(P45="P",IFERROR($S45+VLOOKUP($R45,'Voyage days'!$F$94:$H$193,3,FALSE),""),"")</f>
        <v/>
      </c>
      <c r="AK45" s="1343" t="str">
        <f>IF(P45="P",IFERROR($T45+VLOOKUP($R45,'Voyage days'!$F$94:$H$193,3,FALSE),""),"")</f>
        <v/>
      </c>
      <c r="AL45" s="1316" t="str">
        <f t="shared" ref="AL45:AL52" si="73">IF(AM45="","",TEXT(AM45,"dd")&amp;"-"&amp;TEXT(AN45,"dd mmm"))</f>
        <v/>
      </c>
      <c r="AM45" s="1343" t="str">
        <f>IFERROR($S45+VLOOKUP($R45,'Voyage days'!$F$203:$H$256,3,FALSE),"")</f>
        <v/>
      </c>
      <c r="AN45" s="1343" t="str">
        <f>IFERROR($T45+VLOOKUP($R45,'Voyage days'!$F$203:$H$256,3,FALSE),"")</f>
        <v/>
      </c>
      <c r="AO45" s="1316" t="str">
        <f t="shared" ref="AO45:AO52" si="74">IF(AP45="","",TEXT(AP45,"dd")&amp;"-"&amp;TEXT(AQ45,"dd mmm"))</f>
        <v/>
      </c>
      <c r="AP45" s="1343" t="str">
        <f>IFERROR($S45+VLOOKUP($R45,'Voyage days'!$F$294:$H$377,3,FALSE),"")</f>
        <v/>
      </c>
      <c r="AQ45" s="1343" t="str">
        <f>IFERROR($T45+VLOOKUP($R45,'Voyage days'!$F$294:$H$377,3,FALSE),"")</f>
        <v/>
      </c>
      <c r="AR45" s="1316" t="str">
        <f t="shared" ref="AR45:AR52" si="75">IF(AS45="","",TEXT(AS45,"dd")&amp;"-"&amp;TEXT(AT45,"dd mmm"))</f>
        <v/>
      </c>
      <c r="AS45" s="1343" t="str">
        <f>IFERROR($S45+VLOOKUP($R45,'Voyage days'!$F$382:$H$446,3,FALSE),"")</f>
        <v/>
      </c>
      <c r="AT45" s="1343" t="str">
        <f>IFERROR($T45+VLOOKUP($R45,'Voyage days'!$F$382:$H$446,3,FALSE),"")</f>
        <v/>
      </c>
      <c r="AU45" s="1316" t="str">
        <f t="shared" ref="AU45:AU52" si="76">IF(AV45="","",TEXT(AV45,"dd")&amp;"-"&amp;TEXT(AW45,"dd mmm"))</f>
        <v/>
      </c>
      <c r="AV45" s="1343" t="str">
        <f>IFERROR($S45+VLOOKUP($R45,'Voyage days'!$F$483:$H$538,3,FALSE),"")</f>
        <v/>
      </c>
      <c r="AW45" s="1343" t="str">
        <f>IFERROR($T45+VLOOKUP($R45,'Voyage days'!$F$483:$H$538,3,FALSE),"")</f>
        <v/>
      </c>
      <c r="AX45" s="1316" t="str">
        <f t="shared" ref="AX45:AX52" si="77">IF(AY45="","",TEXT(AY45,"dd")&amp;"-"&amp;TEXT(AZ45,"dd mmm"))</f>
        <v/>
      </c>
      <c r="AY45" s="1343" t="str">
        <f>IFERROR($S45+VLOOKUP($R45,'Voyage days'!$F$540:$H$613,3,FALSE),"")</f>
        <v/>
      </c>
      <c r="AZ45" s="1343" t="str">
        <f>IFERROR($T45+VLOOKUP($R45,'Voyage days'!$F$540:$H$613,3,FALSE),"")</f>
        <v/>
      </c>
      <c r="BA45" s="1316" t="str">
        <f t="shared" ref="BA45:BA52" si="78">IF(BB45="","",TEXT(BB45,"dd")&amp;"-"&amp;TEXT(BC45,"dd mmm"))</f>
        <v/>
      </c>
      <c r="BB45" s="1343" t="str">
        <f>IFERROR($S45+VLOOKUP($R45,'Voyage days'!$L$483:$N$535,3,FALSE),"")</f>
        <v/>
      </c>
      <c r="BC45" s="1343" t="str">
        <f>IFERROR($T45+VLOOKUP($R45,'Voyage days'!$L$483:$N$535,3,FALSE),"")</f>
        <v/>
      </c>
      <c r="BD45" s="1316" t="str">
        <f t="shared" ref="BD45:BD52" si="79">IF(BE45="","",TEXT(BE45,"dd")&amp;"-"&amp;TEXT(BF45,"dd mmm"))</f>
        <v/>
      </c>
      <c r="BE45" s="1343" t="str">
        <f>IFERROR($S45+VLOOKUP($R45,'Voyage days'!$F$620:$H$646,3,FALSE),"")</f>
        <v/>
      </c>
      <c r="BF45" s="1343" t="str">
        <f>IFERROR($T45+VLOOKUP($R45,'Voyage days'!$F$620:$H$646,3,FALSE),"")</f>
        <v/>
      </c>
      <c r="BG45" s="1316" t="str">
        <f t="shared" ref="BG45:BG52" si="80">IF(BH45="","",TEXT(BH45,"dd")&amp;"-"&amp;TEXT(BI45,"dd mmm"))</f>
        <v/>
      </c>
      <c r="BH45" s="1321" t="str">
        <f>IFERROR($S45+VLOOKUP($R45,'Voyage days'!$F$702:$H$727,3,FALSE),"")</f>
        <v/>
      </c>
      <c r="BI45" s="1321" t="str">
        <f>IFERROR($T45+VLOOKUP($R45,'Voyage days'!$F$702:$H$727,3,FALSE),"")</f>
        <v/>
      </c>
      <c r="BJ45" s="1321"/>
      <c r="BK45" s="1321"/>
      <c r="BL45" s="1321"/>
      <c r="BM45" s="1321"/>
      <c r="BN45" s="1321"/>
      <c r="BO45" s="1321"/>
      <c r="BP45" s="1321"/>
    </row>
    <row r="46" ht="15.75" customHeight="1">
      <c r="A46" s="606" t="s">
        <v>486</v>
      </c>
      <c r="B46" s="1005">
        <v>36707.0</v>
      </c>
      <c r="C46" s="1344">
        <v>78000.0</v>
      </c>
      <c r="D46" s="1333"/>
      <c r="E46" s="1345" t="s">
        <v>3506</v>
      </c>
      <c r="F46" s="686"/>
      <c r="G46" s="1387"/>
      <c r="H46" s="1428" t="s">
        <v>3507</v>
      </c>
      <c r="I46" s="1316"/>
      <c r="J46" s="1316" t="str">
        <f>IF(K46="","",VLOOKUP(K46,'Voyage days'!$A$3:$B$1480,2,FALSE))</f>
        <v>#N/A</v>
      </c>
      <c r="K46" s="1316">
        <f>IF(VLOOKUP(A46,'1) Kpler'!$E$2:$O$500,7, FALSE)="",VLOOKUP(A46,'1) Kpler'!$E$2:$O$500,10,FALSE),VLOOKUP(A46,'1) Kpler'!$E$2:$O$500,7, FALSE))</f>
        <v>9195494</v>
      </c>
      <c r="L46" s="1375" t="str">
        <f>IF(VLOOKUP(A46,'1) Kpler'!$E$2:$O$500,8,FALSE)="","",VLOOKUP(A46,'1) Kpler'!$E$2:$O$500,8,FALSE))</f>
        <v/>
      </c>
      <c r="M46" s="1376">
        <f>VLOOKUP(A46,'1) Kpler'!$E$2:$H$400,3,FALSE)</f>
        <v>53488</v>
      </c>
      <c r="N46" s="1320"/>
      <c r="O46" s="1351"/>
      <c r="P46" s="686" t="s">
        <v>570</v>
      </c>
      <c r="Q46" s="686"/>
      <c r="R46" s="686"/>
      <c r="S46" s="686" t="s">
        <v>3508</v>
      </c>
      <c r="T46" s="1439">
        <v>45457.0</v>
      </c>
      <c r="U46" s="1352"/>
      <c r="V46" s="1352" t="s">
        <v>3466</v>
      </c>
      <c r="W46" s="686"/>
      <c r="X46" s="1429"/>
      <c r="Y46" s="686"/>
      <c r="Z46" s="1353"/>
      <c r="AA46" s="1321"/>
      <c r="AF46" s="1316" t="str">
        <f t="shared" si="71"/>
        <v/>
      </c>
      <c r="AG46" s="1343" t="str">
        <f>IFERROR($S46+VLOOKUP($R46,'Voyage days'!$F$38:$H$89,3,FALSE),"")</f>
        <v/>
      </c>
      <c r="AH46" s="1343" t="str">
        <f>IFERROR(T46+VLOOKUP($R46,'Voyage days'!$F$38:$H$89,3,FALSE),"")</f>
        <v/>
      </c>
      <c r="AI46" s="1316" t="str">
        <f t="shared" si="72"/>
        <v/>
      </c>
      <c r="AJ46" s="1343" t="str">
        <f>IF(P46="P",IFERROR($S46+VLOOKUP($R46,'Voyage days'!$F$94:$H$193,3,FALSE),""),"")</f>
        <v/>
      </c>
      <c r="AK46" s="1343" t="str">
        <f>IF(P46="P",IFERROR($T46+VLOOKUP($R46,'Voyage days'!$F$94:$H$193,3,FALSE),""),"")</f>
        <v/>
      </c>
      <c r="AL46" s="1316" t="str">
        <f t="shared" si="73"/>
        <v/>
      </c>
      <c r="AM46" s="1343" t="str">
        <f>IFERROR($S46+VLOOKUP($R46,'Voyage days'!$F$203:$H$256,3,FALSE),"")</f>
        <v/>
      </c>
      <c r="AN46" s="1343" t="str">
        <f>IFERROR($T46+VLOOKUP($R46,'Voyage days'!$F$203:$H$256,3,FALSE),"")</f>
        <v/>
      </c>
      <c r="AO46" s="1316" t="str">
        <f t="shared" si="74"/>
        <v/>
      </c>
      <c r="AP46" s="1343" t="str">
        <f>IFERROR($S46+VLOOKUP($R46,'Voyage days'!$F$294:$H$377,3,FALSE),"")</f>
        <v/>
      </c>
      <c r="AQ46" s="1343" t="str">
        <f>IFERROR($T46+VLOOKUP($R46,'Voyage days'!$F$294:$H$377,3,FALSE),"")</f>
        <v/>
      </c>
      <c r="AR46" s="1316" t="str">
        <f t="shared" si="75"/>
        <v/>
      </c>
      <c r="AS46" s="1343" t="str">
        <f>IFERROR($S46+VLOOKUP($R46,'Voyage days'!$F$382:$H$446,3,FALSE),"")</f>
        <v/>
      </c>
      <c r="AT46" s="1343" t="str">
        <f>IFERROR($T46+VLOOKUP($R46,'Voyage days'!$F$382:$H$446,3,FALSE),"")</f>
        <v/>
      </c>
      <c r="AU46" s="1316" t="str">
        <f t="shared" si="76"/>
        <v/>
      </c>
      <c r="AV46" s="1343" t="str">
        <f>IFERROR($S46+VLOOKUP($R46,'Voyage days'!$F$483:$H$538,3,FALSE),"")</f>
        <v/>
      </c>
      <c r="AW46" s="1343" t="str">
        <f>IFERROR($T46+VLOOKUP($R46,'Voyage days'!$F$483:$H$538,3,FALSE),"")</f>
        <v/>
      </c>
      <c r="AX46" s="1316" t="str">
        <f t="shared" si="77"/>
        <v/>
      </c>
      <c r="AY46" s="1343" t="str">
        <f>IFERROR($S46+VLOOKUP($R46,'Voyage days'!$F$540:$H$613,3,FALSE),"")</f>
        <v/>
      </c>
      <c r="AZ46" s="1343" t="str">
        <f>IFERROR($T46+VLOOKUP($R46,'Voyage days'!$F$540:$H$613,3,FALSE),"")</f>
        <v/>
      </c>
      <c r="BA46" s="1316" t="str">
        <f t="shared" si="78"/>
        <v/>
      </c>
      <c r="BB46" s="1343" t="str">
        <f>IFERROR(#REF!+VLOOKUP($R46,'Voyage days'!$L$483:$N$535,3,FALSE),"")</f>
        <v/>
      </c>
      <c r="BC46" s="1343" t="str">
        <f>IFERROR($T46+VLOOKUP($R46,'Voyage days'!$L$483:$N$535,3,FALSE),"")</f>
        <v/>
      </c>
      <c r="BD46" s="1316" t="str">
        <f t="shared" si="79"/>
        <v/>
      </c>
      <c r="BE46" s="1343" t="str">
        <f>IFERROR(#REF!+VLOOKUP($R46,'Voyage days'!$F$620:$H$646,3,FALSE),"")</f>
        <v/>
      </c>
      <c r="BF46" s="1343" t="str">
        <f>IFERROR($T46+VLOOKUP($R46,'Voyage days'!$F$620:$H$646,3,FALSE),"")</f>
        <v/>
      </c>
      <c r="BG46" s="1316" t="str">
        <f t="shared" si="80"/>
        <v/>
      </c>
      <c r="BH46" s="1321" t="str">
        <f>IFERROR(#REF!+VLOOKUP($R46,'Voyage days'!$F$702:$H$727,3,FALSE),"")</f>
        <v/>
      </c>
      <c r="BI46" s="1321" t="str">
        <f>IFERROR($T46+VLOOKUP($R46,'Voyage days'!$F$702:$H$727,3,FALSE),"")</f>
        <v/>
      </c>
      <c r="BJ46" s="1321"/>
      <c r="BK46" s="1321"/>
      <c r="BL46" s="1321"/>
      <c r="BM46" s="1321"/>
      <c r="BN46" s="1321"/>
      <c r="BO46" s="1321"/>
      <c r="BP46" s="1321"/>
    </row>
    <row r="47" ht="15.0" customHeight="1">
      <c r="A47" s="606" t="s">
        <v>3509</v>
      </c>
      <c r="B47" s="1427">
        <v>1990.0</v>
      </c>
      <c r="C47" s="1344">
        <v>78484.0</v>
      </c>
      <c r="D47" s="1333"/>
      <c r="E47" s="1345" t="s">
        <v>3510</v>
      </c>
      <c r="F47" s="686" t="s">
        <v>3511</v>
      </c>
      <c r="G47" s="1345" t="s">
        <v>3512</v>
      </c>
      <c r="H47" s="1428" t="s">
        <v>3513</v>
      </c>
      <c r="I47" s="1316"/>
      <c r="J47" s="1316" t="str">
        <f>IF(K47="","",VLOOKUP(K47,'Voyage days'!$A$3:$B$1480,2,FALSE))</f>
        <v>#N/A</v>
      </c>
      <c r="K47" s="1316" t="str">
        <f>IF(VLOOKUP(A47,'1) Kpler'!$E$2:$O$500,7, FALSE)="",VLOOKUP(A47,'1) Kpler'!$E$2:$O$500,10,FALSE),VLOOKUP(A47,'1) Kpler'!$E$2:$O$500,7, FALSE))</f>
        <v>#N/A</v>
      </c>
      <c r="L47" s="1375" t="str">
        <f>IF(VLOOKUP(A47,'1) Kpler'!$E$2:$O$500,8,FALSE)="","",VLOOKUP(A47,'1) Kpler'!$E$2:$O$500,8,FALSE))</f>
        <v>#N/A</v>
      </c>
      <c r="M47" s="1316" t="str">
        <f>VLOOKUP(A47,'1) Kpler'!$E$2:$H$400,3,FALSE)</f>
        <v>#N/A</v>
      </c>
      <c r="N47" s="686"/>
      <c r="O47" s="1436"/>
      <c r="P47" s="686"/>
      <c r="Q47" s="686"/>
      <c r="R47" s="686"/>
      <c r="S47" s="686" t="s">
        <v>2208</v>
      </c>
      <c r="T47" s="1439">
        <v>45438.0</v>
      </c>
      <c r="U47" s="1352"/>
      <c r="V47" s="1352" t="s">
        <v>3466</v>
      </c>
      <c r="W47" s="686"/>
      <c r="X47" s="1429"/>
      <c r="Y47" s="686"/>
      <c r="Z47" s="1353"/>
      <c r="AA47" s="1437"/>
      <c r="AF47" s="1316" t="str">
        <f t="shared" si="71"/>
        <v/>
      </c>
      <c r="AG47" s="1343" t="str">
        <f>IFERROR($S47+VLOOKUP($R47,'Voyage days'!$F$38:$H$89,3,FALSE),"")</f>
        <v/>
      </c>
      <c r="AH47" s="1343" t="str">
        <f>IFERROR(T47+VLOOKUP($R47,'Voyage days'!$F$38:$H$89,3,FALSE),"")</f>
        <v/>
      </c>
      <c r="AI47" s="1316" t="str">
        <f t="shared" si="72"/>
        <v/>
      </c>
      <c r="AJ47" s="1343" t="str">
        <f>IF(P47="P",IFERROR($S47+VLOOKUP($R47,'Voyage days'!$F$94:$H$193,3,FALSE),""),"")</f>
        <v/>
      </c>
      <c r="AK47" s="1343" t="str">
        <f>IF(P47="P",IFERROR($T47+VLOOKUP($R47,'Voyage days'!$F$94:$H$193,3,FALSE),""),"")</f>
        <v/>
      </c>
      <c r="AL47" s="1316" t="str">
        <f t="shared" si="73"/>
        <v/>
      </c>
      <c r="AM47" s="1343" t="str">
        <f>IFERROR($S47+VLOOKUP($R47,'Voyage days'!$F$203:$H$256,3,FALSE),"")</f>
        <v/>
      </c>
      <c r="AN47" s="1343" t="str">
        <f>IFERROR($T47+VLOOKUP($R47,'Voyage days'!$F$203:$H$256,3,FALSE),"")</f>
        <v/>
      </c>
      <c r="AO47" s="1316" t="str">
        <f t="shared" si="74"/>
        <v/>
      </c>
      <c r="AP47" s="1343" t="str">
        <f>IFERROR(#REF!+VLOOKUP($R47,'Voyage days'!$F$294:$H$377,3,FALSE),"")</f>
        <v/>
      </c>
      <c r="AQ47" s="1343" t="str">
        <f>IFERROR($T47+VLOOKUP($R47,'Voyage days'!$F$294:$H$377,3,FALSE),"")</f>
        <v/>
      </c>
      <c r="AR47" s="1316" t="str">
        <f t="shared" si="75"/>
        <v/>
      </c>
      <c r="AS47" s="1343" t="str">
        <f>IFERROR(#REF!+VLOOKUP($R47,'Voyage days'!$F$382:$H$446,3,FALSE),"")</f>
        <v/>
      </c>
      <c r="AT47" s="1343" t="str">
        <f>IFERROR($T47+VLOOKUP($R47,'Voyage days'!$F$382:$H$446,3,FALSE),"")</f>
        <v/>
      </c>
      <c r="AU47" s="1316" t="str">
        <f t="shared" si="76"/>
        <v/>
      </c>
      <c r="AV47" s="1343" t="str">
        <f>IFERROR(#REF!+VLOOKUP($R47,'Voyage days'!$F$483:$H$538,3,FALSE),"")</f>
        <v/>
      </c>
      <c r="AW47" s="1343" t="str">
        <f>IFERROR($T47+VLOOKUP($R47,'Voyage days'!$F$483:$H$538,3,FALSE),"")</f>
        <v/>
      </c>
      <c r="AX47" s="1316" t="str">
        <f t="shared" si="77"/>
        <v/>
      </c>
      <c r="AY47" s="1343" t="str">
        <f>IFERROR(#REF!+VLOOKUP($R47,'Voyage days'!$F$540:$H$613,3,FALSE),"")</f>
        <v/>
      </c>
      <c r="AZ47" s="1343" t="str">
        <f>IFERROR($T47+VLOOKUP($R47,'Voyage days'!$F$540:$H$613,3,FALSE),"")</f>
        <v/>
      </c>
      <c r="BA47" s="1316" t="str">
        <f t="shared" si="78"/>
        <v/>
      </c>
      <c r="BB47" s="1343" t="str">
        <f>IFERROR(#REF!+VLOOKUP($R47,'Voyage days'!$L$483:$N$535,3,FALSE),"")</f>
        <v/>
      </c>
      <c r="BC47" s="1343" t="str">
        <f>IFERROR($T47+VLOOKUP($R47,'Voyage days'!$L$483:$N$535,3,FALSE),"")</f>
        <v/>
      </c>
      <c r="BD47" s="1316" t="str">
        <f t="shared" si="79"/>
        <v/>
      </c>
      <c r="BE47" s="1343" t="str">
        <f>IFERROR(#REF!+VLOOKUP($R47,'Voyage days'!$F$620:$H$646,3,FALSE),"")</f>
        <v/>
      </c>
      <c r="BF47" s="1343" t="str">
        <f>IFERROR($T47+VLOOKUP($R47,'Voyage days'!$F$620:$H$646,3,FALSE),"")</f>
        <v/>
      </c>
      <c r="BG47" s="1316" t="str">
        <f t="shared" si="80"/>
        <v/>
      </c>
      <c r="BH47" s="1321" t="str">
        <f>IFERROR(#REF!+VLOOKUP($R47,'Voyage days'!$F$702:$H$727,3,FALSE),"")</f>
        <v/>
      </c>
      <c r="BI47" s="1321" t="str">
        <f>IFERROR($T47+VLOOKUP($R47,'Voyage days'!$F$702:$H$727,3,FALSE),"")</f>
        <v/>
      </c>
      <c r="BJ47" s="1321"/>
      <c r="BK47" s="1321"/>
      <c r="BL47" s="1321"/>
      <c r="BM47" s="1321"/>
      <c r="BN47" s="1321"/>
      <c r="BO47" s="1321"/>
      <c r="BP47" s="1321"/>
    </row>
    <row r="48" ht="15.75" customHeight="1">
      <c r="A48" s="606" t="s">
        <v>260</v>
      </c>
      <c r="B48" s="1002">
        <v>39904.0</v>
      </c>
      <c r="C48" s="1344">
        <v>82000.0</v>
      </c>
      <c r="D48" s="1333"/>
      <c r="E48" s="1345" t="s">
        <v>3514</v>
      </c>
      <c r="F48" s="686"/>
      <c r="G48" s="686" t="s">
        <v>3515</v>
      </c>
      <c r="H48" s="1428" t="s">
        <v>3516</v>
      </c>
      <c r="I48" s="1345" t="s">
        <v>3479</v>
      </c>
      <c r="J48" s="1316" t="str">
        <f>IF(K48="","",VLOOKUP(K48,'Voyage days'!$A$3:$B$1480,2,FALSE))</f>
        <v>#N/A</v>
      </c>
      <c r="K48" s="1316">
        <f>IF(VLOOKUP(A48,'1) Kpler'!$E$2:$O$500,7, FALSE)="",VLOOKUP(A48,'1) Kpler'!$E$2:$O$500,10,FALSE),VLOOKUP(A48,'1) Kpler'!$E$2:$O$500,7, FALSE))</f>
        <v>9387762</v>
      </c>
      <c r="L48" s="1375" t="str">
        <f>IF(VLOOKUP(A48,'1) Kpler'!$E$2:$O$500,8,FALSE)="","",VLOOKUP(A48,'1) Kpler'!$E$2:$O$500,8,FALSE))</f>
        <v/>
      </c>
      <c r="M48" s="1376">
        <f>VLOOKUP(A48,'1) Kpler'!$E$2:$H$400,3,FALSE)</f>
        <v>58551</v>
      </c>
      <c r="N48" s="1350"/>
      <c r="O48" s="1389"/>
      <c r="P48" s="686" t="s">
        <v>1687</v>
      </c>
      <c r="Q48" s="686"/>
      <c r="R48" s="686"/>
      <c r="S48" s="1345" t="s">
        <v>2086</v>
      </c>
      <c r="T48" s="1350">
        <v>45381.0</v>
      </c>
      <c r="U48" s="686"/>
      <c r="V48" s="1352" t="s">
        <v>3466</v>
      </c>
      <c r="W48" s="686"/>
      <c r="X48" s="1429"/>
      <c r="Y48" s="686"/>
      <c r="Z48" s="1353"/>
      <c r="AA48" s="1321"/>
      <c r="AF48" s="1316" t="str">
        <f t="shared" si="71"/>
        <v/>
      </c>
      <c r="AG48" s="1343" t="str">
        <f>IFERROR(#REF!+VLOOKUP($R48,'Voyage days'!$F$38:$H$89,3,FALSE),"")</f>
        <v/>
      </c>
      <c r="AH48" s="1343" t="str">
        <f>IFERROR(T48+VLOOKUP($R48,'Voyage days'!$F$38:$H$89,3,FALSE),"")</f>
        <v/>
      </c>
      <c r="AI48" s="1316" t="str">
        <f t="shared" si="72"/>
        <v/>
      </c>
      <c r="AJ48" s="1343" t="str">
        <f>IF(P48="P",IFERROR(#REF!+VLOOKUP($R48,'Voyage days'!$F$94:$H$193,3,FALSE),""),"")</f>
        <v/>
      </c>
      <c r="AK48" s="1343" t="str">
        <f>IF(P48="P",IFERROR($T48+VLOOKUP($R48,'Voyage days'!$F$94:$H$193,3,FALSE),""),"")</f>
        <v/>
      </c>
      <c r="AL48" s="1316" t="str">
        <f t="shared" si="73"/>
        <v/>
      </c>
      <c r="AM48" s="1343" t="str">
        <f>IFERROR(#REF!+VLOOKUP($R48,'Voyage days'!$F$203:$H$256,3,FALSE),"")</f>
        <v/>
      </c>
      <c r="AN48" s="1343" t="str">
        <f>IFERROR($T48+VLOOKUP($R48,'Voyage days'!$F$203:$H$256,3,FALSE),"")</f>
        <v/>
      </c>
      <c r="AO48" s="1316" t="str">
        <f t="shared" si="74"/>
        <v/>
      </c>
      <c r="AP48" s="1343" t="str">
        <f>IFERROR(#REF!+VLOOKUP($R48,'Voyage days'!$F$294:$H$377,3,FALSE),"")</f>
        <v/>
      </c>
      <c r="AQ48" s="1343" t="str">
        <f>IFERROR($T48+VLOOKUP($R48,'Voyage days'!$F$294:$H$377,3,FALSE),"")</f>
        <v/>
      </c>
      <c r="AR48" s="1316" t="str">
        <f t="shared" si="75"/>
        <v/>
      </c>
      <c r="AS48" s="1343" t="str">
        <f>IFERROR(#REF!+VLOOKUP($R48,'Voyage days'!$F$382:$H$446,3,FALSE),"")</f>
        <v/>
      </c>
      <c r="AT48" s="1343" t="str">
        <f>IFERROR($T48+VLOOKUP($R48,'Voyage days'!$F$382:$H$446,3,FALSE),"")</f>
        <v/>
      </c>
      <c r="AU48" s="1316" t="str">
        <f t="shared" si="76"/>
        <v/>
      </c>
      <c r="AV48" s="1343" t="str">
        <f>IFERROR(#REF!+VLOOKUP($R48,'Voyage days'!$F$483:$H$538,3,FALSE),"")</f>
        <v/>
      </c>
      <c r="AW48" s="1343" t="str">
        <f>IFERROR($T48+VLOOKUP($R48,'Voyage days'!$F$483:$H$538,3,FALSE),"")</f>
        <v/>
      </c>
      <c r="AX48" s="1316" t="str">
        <f t="shared" si="77"/>
        <v/>
      </c>
      <c r="AY48" s="1343" t="str">
        <f>IFERROR(#REF!+VLOOKUP($R48,'Voyage days'!$F$540:$H$613,3,FALSE),"")</f>
        <v/>
      </c>
      <c r="AZ48" s="1343" t="str">
        <f>IFERROR($T48+VLOOKUP($R48,'Voyage days'!$F$540:$H$613,3,FALSE),"")</f>
        <v/>
      </c>
      <c r="BA48" s="1316" t="str">
        <f t="shared" si="78"/>
        <v/>
      </c>
      <c r="BB48" s="1343" t="str">
        <f>IFERROR(#REF!+VLOOKUP($R48,'Voyage days'!$L$483:$N$535,3,FALSE),"")</f>
        <v/>
      </c>
      <c r="BC48" s="1343" t="str">
        <f>IFERROR($T48+VLOOKUP($R48,'Voyage days'!$L$483:$N$535,3,FALSE),"")</f>
        <v/>
      </c>
      <c r="BD48" s="1316" t="str">
        <f t="shared" si="79"/>
        <v/>
      </c>
      <c r="BE48" s="1343" t="str">
        <f>IFERROR(#REF!+VLOOKUP($R48,'Voyage days'!$F$620:$H$646,3,FALSE),"")</f>
        <v/>
      </c>
      <c r="BF48" s="1343" t="str">
        <f>IFERROR($T48+VLOOKUP($R48,'Voyage days'!$F$620:$H$646,3,FALSE),"")</f>
        <v/>
      </c>
      <c r="BG48" s="1316" t="str">
        <f t="shared" si="80"/>
        <v/>
      </c>
      <c r="BH48" s="1321" t="str">
        <f>IFERROR(#REF!+VLOOKUP($R48,'Voyage days'!$F$702:$H$727,3,FALSE),"")</f>
        <v/>
      </c>
      <c r="BI48" s="1321" t="str">
        <f>IFERROR($T48+VLOOKUP($R48,'Voyage days'!$F$702:$H$727,3,FALSE),"")</f>
        <v/>
      </c>
      <c r="BJ48" s="1321"/>
      <c r="BK48" s="1321"/>
      <c r="BL48" s="1321"/>
      <c r="BM48" s="1321"/>
      <c r="BN48" s="1321"/>
      <c r="BO48" s="1321"/>
      <c r="BP48" s="1321"/>
    </row>
    <row r="49" ht="15.75" customHeight="1">
      <c r="A49" s="606" t="s">
        <v>217</v>
      </c>
      <c r="B49" s="1005">
        <v>36845.0</v>
      </c>
      <c r="C49" s="1344">
        <v>78551.0</v>
      </c>
      <c r="D49" s="1333"/>
      <c r="E49" s="1345" t="s">
        <v>3517</v>
      </c>
      <c r="F49" s="686"/>
      <c r="G49" s="1387"/>
      <c r="H49" s="1428" t="s">
        <v>3518</v>
      </c>
      <c r="I49" s="1316"/>
      <c r="J49" s="1316" t="str">
        <f>IF(K49="","",VLOOKUP(K49,'Voyage days'!$A$3:$B$1480,2,FALSE))</f>
        <v>#N/A</v>
      </c>
      <c r="K49" s="1316">
        <f>IF(VLOOKUP(A49,'1) Kpler'!$E$2:$O$500,7, FALSE)="",VLOOKUP(A49,'1) Kpler'!$E$2:$O$500,10,FALSE),VLOOKUP(A49,'1) Kpler'!$E$2:$O$500,7, FALSE))</f>
        <v>9193721</v>
      </c>
      <c r="L49" s="1375" t="str">
        <f>IF(VLOOKUP(A49,'1) Kpler'!$E$2:$O$500,8,FALSE)="","",VLOOKUP(A49,'1) Kpler'!$E$2:$O$500,8,FALSE))</f>
        <v/>
      </c>
      <c r="M49" s="1376">
        <f>VLOOKUP(A49,'1) Kpler'!$E$2:$H$400,3,FALSE)</f>
        <v>56824</v>
      </c>
      <c r="N49" s="1350"/>
      <c r="O49" s="1351"/>
      <c r="P49" s="686" t="s">
        <v>570</v>
      </c>
      <c r="Q49" s="686"/>
      <c r="R49" s="686"/>
      <c r="S49" s="1345" t="s">
        <v>2208</v>
      </c>
      <c r="T49" s="1439">
        <v>45337.0</v>
      </c>
      <c r="U49" s="686"/>
      <c r="V49" s="1352" t="s">
        <v>3466</v>
      </c>
      <c r="W49" s="686"/>
      <c r="X49" s="1429"/>
      <c r="Y49" s="686"/>
      <c r="Z49" s="1353"/>
      <c r="AA49" s="1343"/>
      <c r="AF49" s="1316" t="str">
        <f t="shared" si="71"/>
        <v/>
      </c>
      <c r="AG49" s="1343" t="str">
        <f>IFERROR($S49+VLOOKUP($R49,'Voyage days'!$F$38:$H$89,3,FALSE),"")</f>
        <v/>
      </c>
      <c r="AH49" s="1343" t="str">
        <f>IFERROR(T49+VLOOKUP($R49,'Voyage days'!$F$38:$H$89,3,FALSE),"")</f>
        <v/>
      </c>
      <c r="AI49" s="1316" t="str">
        <f t="shared" si="72"/>
        <v/>
      </c>
      <c r="AJ49" s="1343" t="str">
        <f>IF(P49="P",IFERROR($S49+VLOOKUP($R49,'Voyage days'!$F$94:$H$193,3,FALSE),""),"")</f>
        <v/>
      </c>
      <c r="AK49" s="1343" t="str">
        <f>IF(P49="P",IFERROR($T49+VLOOKUP($R49,'Voyage days'!$F$94:$H$193,3,FALSE),""),"")</f>
        <v/>
      </c>
      <c r="AL49" s="1316" t="str">
        <f t="shared" si="73"/>
        <v/>
      </c>
      <c r="AM49" s="1343" t="str">
        <f>IFERROR($S49+VLOOKUP($R49,'Voyage days'!$F$203:$H$256,3,FALSE),"")</f>
        <v/>
      </c>
      <c r="AN49" s="1343" t="str">
        <f>IFERROR($T49+VLOOKUP($R49,'Voyage days'!$F$203:$H$256,3,FALSE),"")</f>
        <v/>
      </c>
      <c r="AO49" s="1316" t="str">
        <f t="shared" si="74"/>
        <v/>
      </c>
      <c r="AP49" s="1343" t="str">
        <f>IFERROR($S49+VLOOKUP($R49,'Voyage days'!$F$294:$H$377,3,FALSE),"")</f>
        <v/>
      </c>
      <c r="AQ49" s="1343" t="str">
        <f>IFERROR($T49+VLOOKUP($R49,'Voyage days'!$F$294:$H$377,3,FALSE),"")</f>
        <v/>
      </c>
      <c r="AR49" s="1316" t="str">
        <f t="shared" si="75"/>
        <v/>
      </c>
      <c r="AS49" s="1343" t="str">
        <f>IFERROR($S49+VLOOKUP($R49,'Voyage days'!$F$382:$H$446,3,FALSE),"")</f>
        <v/>
      </c>
      <c r="AT49" s="1343" t="str">
        <f>IFERROR($T49+VLOOKUP($R49,'Voyage days'!$F$382:$H$446,3,FALSE),"")</f>
        <v/>
      </c>
      <c r="AU49" s="1316" t="str">
        <f t="shared" si="76"/>
        <v/>
      </c>
      <c r="AV49" s="1343" t="str">
        <f>IFERROR($S49+VLOOKUP($R49,'Voyage days'!$F$483:$H$538,3,FALSE),"")</f>
        <v/>
      </c>
      <c r="AW49" s="1343" t="str">
        <f>IFERROR($T49+VLOOKUP($R49,'Voyage days'!$F$483:$H$538,3,FALSE),"")</f>
        <v/>
      </c>
      <c r="AX49" s="1316" t="str">
        <f t="shared" si="77"/>
        <v/>
      </c>
      <c r="AY49" s="1343" t="str">
        <f>IFERROR($S49+VLOOKUP($R49,'Voyage days'!$F$540:$H$613,3,FALSE),"")</f>
        <v/>
      </c>
      <c r="AZ49" s="1343" t="str">
        <f>IFERROR($T49+VLOOKUP($R49,'Voyage days'!$F$540:$H$613,3,FALSE),"")</f>
        <v/>
      </c>
      <c r="BA49" s="1316" t="str">
        <f t="shared" si="78"/>
        <v/>
      </c>
      <c r="BB49" s="1343" t="str">
        <f>IFERROR($S49+VLOOKUP($R49,'Voyage days'!$L$483:$N$535,3,FALSE),"")</f>
        <v/>
      </c>
      <c r="BC49" s="1343" t="str">
        <f>IFERROR($T49+VLOOKUP($R49,'Voyage days'!$L$483:$N$535,3,FALSE),"")</f>
        <v/>
      </c>
      <c r="BD49" s="1316" t="str">
        <f t="shared" si="79"/>
        <v/>
      </c>
      <c r="BE49" s="1343" t="str">
        <f>IFERROR($S49+VLOOKUP($R49,'Voyage days'!$F$620:$H$646,3,FALSE),"")</f>
        <v/>
      </c>
      <c r="BF49" s="1343" t="str">
        <f>IFERROR($T49+VLOOKUP($R49,'Voyage days'!$F$620:$H$646,3,FALSE),"")</f>
        <v/>
      </c>
      <c r="BG49" s="1316" t="str">
        <f t="shared" si="80"/>
        <v/>
      </c>
      <c r="BH49" s="1321" t="str">
        <f>IFERROR($S49+VLOOKUP($R49,'Voyage days'!$F$702:$H$727,3,FALSE),"")</f>
        <v/>
      </c>
      <c r="BI49" s="1321" t="str">
        <f>IFERROR($T49+VLOOKUP($R49,'Voyage days'!$F$702:$H$727,3,FALSE),"")</f>
        <v/>
      </c>
      <c r="BJ49" s="1321"/>
      <c r="BK49" s="1321"/>
      <c r="BL49" s="1321"/>
      <c r="BM49" s="1321"/>
      <c r="BN49" s="1321"/>
      <c r="BO49" s="1321"/>
      <c r="BP49" s="1321"/>
    </row>
    <row r="50">
      <c r="A50" s="606" t="s">
        <v>448</v>
      </c>
      <c r="B50" s="1005">
        <v>33298.0</v>
      </c>
      <c r="C50" s="1344">
        <v>78543.0</v>
      </c>
      <c r="D50" s="1440"/>
      <c r="E50" s="1441" t="s">
        <v>3519</v>
      </c>
      <c r="F50" s="1353"/>
      <c r="G50" s="1387" t="s">
        <v>3520</v>
      </c>
      <c r="H50" s="1428" t="s">
        <v>3521</v>
      </c>
      <c r="I50" s="1316"/>
      <c r="J50" s="1316" t="str">
        <f>IF(K50="","",VLOOKUP(K50,'Voyage days'!$A$3:$B$1480,2,FALSE))</f>
        <v>#N/A</v>
      </c>
      <c r="K50" s="1316">
        <f>IF(VLOOKUP(A50,'1) Kpler'!$E$2:$O$500,7, FALSE)="",VLOOKUP(A50,'1) Kpler'!$E$2:$O$500,10,FALSE),VLOOKUP(A50,'1) Kpler'!$E$2:$O$500,7, FALSE))</f>
        <v>8910897</v>
      </c>
      <c r="L50" s="1375" t="str">
        <f>IF(VLOOKUP(A50,'1) Kpler'!$E$2:$O$500,8,FALSE)="","",VLOOKUP(A50,'1) Kpler'!$E$2:$O$500,8,FALSE))</f>
        <v>Fujairah</v>
      </c>
      <c r="M50" s="1376">
        <f>VLOOKUP(A50,'1) Kpler'!$E$2:$H$400,3,FALSE)</f>
        <v>56875</v>
      </c>
      <c r="N50" s="1320"/>
      <c r="O50" s="1351"/>
      <c r="P50" s="686" t="s">
        <v>570</v>
      </c>
      <c r="Q50" s="686"/>
      <c r="R50" s="1353"/>
      <c r="S50" s="1345" t="s">
        <v>2208</v>
      </c>
      <c r="T50" s="1439">
        <v>45360.0</v>
      </c>
      <c r="U50" s="1352"/>
      <c r="V50" s="1352" t="s">
        <v>3466</v>
      </c>
      <c r="W50" s="1353"/>
      <c r="X50" s="1429"/>
      <c r="Y50" s="1353"/>
      <c r="Z50" s="1353"/>
      <c r="AA50" s="1321"/>
      <c r="AF50" s="1316" t="str">
        <f t="shared" si="71"/>
        <v/>
      </c>
      <c r="AG50" s="1343" t="str">
        <f>IFERROR($S50+VLOOKUP($R50,'Voyage days'!$F$38:$H$89,3,FALSE),"")</f>
        <v/>
      </c>
      <c r="AH50" s="1343" t="str">
        <f>IFERROR(T50+VLOOKUP($R50,'Voyage days'!$F$38:$H$89,3,FALSE),"")</f>
        <v/>
      </c>
      <c r="AI50" s="1316" t="str">
        <f t="shared" si="72"/>
        <v/>
      </c>
      <c r="AJ50" s="1343" t="str">
        <f>IF(P50="P",IFERROR($S50+VLOOKUP($R50,'Voyage days'!$F$94:$H$193,3,FALSE),""),"")</f>
        <v/>
      </c>
      <c r="AK50" s="1343" t="str">
        <f>IF(P50="P",IFERROR($T50+VLOOKUP($R50,'Voyage days'!$F$94:$H$193,3,FALSE),""),"")</f>
        <v/>
      </c>
      <c r="AL50" s="1316" t="str">
        <f t="shared" si="73"/>
        <v/>
      </c>
      <c r="AM50" s="1343" t="str">
        <f>IFERROR($S50+VLOOKUP($R50,'Voyage days'!$F$203:$H$256,3,FALSE),"")</f>
        <v/>
      </c>
      <c r="AN50" s="1343" t="str">
        <f>IFERROR($T50+VLOOKUP($R50,'Voyage days'!$F$203:$H$256,3,FALSE),"")</f>
        <v/>
      </c>
      <c r="AO50" s="1316" t="str">
        <f t="shared" si="74"/>
        <v/>
      </c>
      <c r="AP50" s="1343" t="str">
        <f>IFERROR($S50+VLOOKUP($R50,'Voyage days'!$F$294:$H$377,3,FALSE),"")</f>
        <v/>
      </c>
      <c r="AQ50" s="1343" t="str">
        <f>IFERROR($T50+VLOOKUP($R50,'Voyage days'!$F$294:$H$377,3,FALSE),"")</f>
        <v/>
      </c>
      <c r="AR50" s="1316" t="str">
        <f t="shared" si="75"/>
        <v/>
      </c>
      <c r="AS50" s="1343" t="str">
        <f>IFERROR($S50+VLOOKUP($R50,'Voyage days'!$F$382:$H$446,3,FALSE),"")</f>
        <v/>
      </c>
      <c r="AT50" s="1343" t="str">
        <f>IFERROR($T50+VLOOKUP($R50,'Voyage days'!$F$382:$H$446,3,FALSE),"")</f>
        <v/>
      </c>
      <c r="AU50" s="1316" t="str">
        <f t="shared" si="76"/>
        <v/>
      </c>
      <c r="AV50" s="1343" t="str">
        <f>IFERROR($S50+VLOOKUP($R50,'Voyage days'!$F$483:$H$538,3,FALSE),"")</f>
        <v/>
      </c>
      <c r="AW50" s="1343" t="str">
        <f>IFERROR($T50+VLOOKUP($R50,'Voyage days'!$F$483:$H$538,3,FALSE),"")</f>
        <v/>
      </c>
      <c r="AX50" s="1316" t="str">
        <f t="shared" si="77"/>
        <v/>
      </c>
      <c r="AY50" s="1343" t="str">
        <f>IFERROR($S50+VLOOKUP($R50,'Voyage days'!$F$540:$H$613,3,FALSE),"")</f>
        <v/>
      </c>
      <c r="AZ50" s="1343" t="str">
        <f>IFERROR($T50+VLOOKUP($R50,'Voyage days'!$F$540:$H$613,3,FALSE),"")</f>
        <v/>
      </c>
      <c r="BA50" s="1316" t="str">
        <f t="shared" si="78"/>
        <v/>
      </c>
      <c r="BB50" s="1343" t="str">
        <f>IFERROR($S50+VLOOKUP($R50,'Voyage days'!$L$483:$N$535,3,FALSE),"")</f>
        <v/>
      </c>
      <c r="BC50" s="1343" t="str">
        <f>IFERROR($T50+VLOOKUP($R50,'Voyage days'!$L$483:$N$535,3,FALSE),"")</f>
        <v/>
      </c>
      <c r="BD50" s="1316" t="str">
        <f t="shared" si="79"/>
        <v/>
      </c>
      <c r="BE50" s="1343" t="str">
        <f>IFERROR($S50+VLOOKUP($R50,'Voyage days'!$F$620:$H$646,3,FALSE),"")</f>
        <v/>
      </c>
      <c r="BF50" s="1343" t="str">
        <f>IFERROR($T50+VLOOKUP($R50,'Voyage days'!$F$620:$H$646,3,FALSE),"")</f>
        <v/>
      </c>
      <c r="BG50" s="1316" t="str">
        <f t="shared" si="80"/>
        <v/>
      </c>
      <c r="BH50" s="1321" t="str">
        <f>IFERROR($S50+VLOOKUP($R50,'Voyage days'!$F$702:$H$727,3,FALSE),"")</f>
        <v/>
      </c>
      <c r="BI50" s="1321" t="str">
        <f>IFERROR($T50+VLOOKUP($R50,'Voyage days'!$F$702:$H$727,3,FALSE),"")</f>
        <v/>
      </c>
      <c r="BJ50" s="1321"/>
      <c r="BK50" s="1321"/>
      <c r="BL50" s="1321"/>
      <c r="BM50" s="1321"/>
      <c r="BN50" s="1321"/>
      <c r="BO50" s="1321"/>
      <c r="BP50" s="1321"/>
    </row>
    <row r="51">
      <c r="A51" s="606" t="s">
        <v>3522</v>
      </c>
      <c r="B51" s="1005">
        <v>35034.0</v>
      </c>
      <c r="C51" s="1344">
        <v>78462.0</v>
      </c>
      <c r="D51" s="1333"/>
      <c r="E51" s="1345" t="s">
        <v>1611</v>
      </c>
      <c r="F51" s="686" t="s">
        <v>3523</v>
      </c>
      <c r="G51" s="1345" t="s">
        <v>3524</v>
      </c>
      <c r="H51" s="1428" t="s">
        <v>3525</v>
      </c>
      <c r="I51" s="1316" t="s">
        <v>3526</v>
      </c>
      <c r="J51" s="1316" t="str">
        <f>IF(K51="","",VLOOKUP(K51,'Voyage days'!$A$3:$B$1480,2,FALSE))</f>
        <v>#N/A</v>
      </c>
      <c r="K51" s="1316" t="str">
        <f>IF(VLOOKUP(A51,'1) Kpler'!$E$2:$O$500,7, FALSE)="",VLOOKUP(A51,'1) Kpler'!$E$2:$O$500,10,FALSE),VLOOKUP(A51,'1) Kpler'!$E$2:$O$500,7, FALSE))</f>
        <v>#N/A</v>
      </c>
      <c r="L51" s="1375" t="str">
        <f>IF(VLOOKUP(A51,'1) Kpler'!$E$2:$O$500,8,FALSE)="","",VLOOKUP(A51,'1) Kpler'!$E$2:$O$500,8,FALSE))</f>
        <v>#N/A</v>
      </c>
      <c r="M51" s="1316" t="str">
        <f>VLOOKUP(A51,'1) Kpler'!$E$2:$H$400,3,FALSE)</f>
        <v>#N/A</v>
      </c>
      <c r="N51" s="1320"/>
      <c r="O51" s="1351"/>
      <c r="P51" s="686" t="s">
        <v>570</v>
      </c>
      <c r="Q51" s="686"/>
      <c r="R51" s="686"/>
      <c r="S51" s="1345" t="s">
        <v>2208</v>
      </c>
      <c r="T51" s="1439">
        <v>45302.0</v>
      </c>
      <c r="U51" s="1352"/>
      <c r="V51" s="1352" t="s">
        <v>3466</v>
      </c>
      <c r="W51" s="686"/>
      <c r="X51" s="1429"/>
      <c r="Y51" s="686"/>
      <c r="Z51" s="1353"/>
      <c r="AA51" s="1343"/>
      <c r="AF51" s="1316" t="str">
        <f t="shared" si="71"/>
        <v/>
      </c>
      <c r="AG51" s="1343" t="str">
        <f>IFERROR($S51+VLOOKUP($R51,'Voyage days'!$F$38:$H$89,3,FALSE),"")</f>
        <v/>
      </c>
      <c r="AH51" s="1343" t="str">
        <f>IFERROR(T51+VLOOKUP($R51,'Voyage days'!$F$38:$H$89,3,FALSE),"")</f>
        <v/>
      </c>
      <c r="AI51" s="1316" t="str">
        <f t="shared" si="72"/>
        <v/>
      </c>
      <c r="AJ51" s="1343" t="str">
        <f>IF(P51="P",IFERROR($S51+VLOOKUP($R51,'Voyage days'!$F$94:$H$193,3,FALSE),""),"")</f>
        <v/>
      </c>
      <c r="AK51" s="1343" t="str">
        <f>IF(P51="P",IFERROR($T51+VLOOKUP($R51,'Voyage days'!$F$94:$H$193,3,FALSE),""),"")</f>
        <v/>
      </c>
      <c r="AL51" s="1316" t="str">
        <f t="shared" si="73"/>
        <v/>
      </c>
      <c r="AM51" s="1343" t="str">
        <f>IFERROR($S51+VLOOKUP($R51,'Voyage days'!$F$203:$H$256,3,FALSE),"")</f>
        <v/>
      </c>
      <c r="AN51" s="1343" t="str">
        <f>IFERROR($T51+VLOOKUP($R51,'Voyage days'!$F$203:$H$256,3,FALSE),"")</f>
        <v/>
      </c>
      <c r="AO51" s="1316" t="str">
        <f t="shared" si="74"/>
        <v/>
      </c>
      <c r="AP51" s="1343" t="str">
        <f>IFERROR($S51+VLOOKUP($R51,'Voyage days'!$F$294:$H$377,3,FALSE),"")</f>
        <v/>
      </c>
      <c r="AQ51" s="1343" t="str">
        <f>IFERROR($T51+VLOOKUP($R51,'Voyage days'!$F$294:$H$377,3,FALSE),"")</f>
        <v/>
      </c>
      <c r="AR51" s="1316" t="str">
        <f t="shared" si="75"/>
        <v/>
      </c>
      <c r="AS51" s="1343" t="str">
        <f>IFERROR($S51+VLOOKUP($R51,'Voyage days'!$F$382:$H$446,3,FALSE),"")</f>
        <v/>
      </c>
      <c r="AT51" s="1343" t="str">
        <f>IFERROR($T51+VLOOKUP($R51,'Voyage days'!$F$382:$H$446,3,FALSE),"")</f>
        <v/>
      </c>
      <c r="AU51" s="1316" t="str">
        <f t="shared" si="76"/>
        <v/>
      </c>
      <c r="AV51" s="1343" t="str">
        <f>IFERROR($S51+VLOOKUP($R51,'Voyage days'!$F$483:$H$538,3,FALSE),"")</f>
        <v/>
      </c>
      <c r="AW51" s="1343" t="str">
        <f>IFERROR($T51+VLOOKUP($R51,'Voyage days'!$F$483:$H$538,3,FALSE),"")</f>
        <v/>
      </c>
      <c r="AX51" s="1316" t="str">
        <f t="shared" si="77"/>
        <v/>
      </c>
      <c r="AY51" s="1343" t="str">
        <f>IFERROR($S51+VLOOKUP($R51,'Voyage days'!$F$540:$H$613,3,FALSE),"")</f>
        <v/>
      </c>
      <c r="AZ51" s="1343" t="str">
        <f>IFERROR($T51+VLOOKUP($R51,'Voyage days'!$F$540:$H$613,3,FALSE),"")</f>
        <v/>
      </c>
      <c r="BA51" s="1316" t="str">
        <f t="shared" si="78"/>
        <v/>
      </c>
      <c r="BB51" s="1343" t="str">
        <f>IFERROR($S51+VLOOKUP($R51,'Voyage days'!$L$483:$N$535,3,FALSE),"")</f>
        <v/>
      </c>
      <c r="BC51" s="1343" t="str">
        <f>IFERROR($T51+VLOOKUP($R51,'Voyage days'!$L$483:$N$535,3,FALSE),"")</f>
        <v/>
      </c>
      <c r="BD51" s="1316" t="str">
        <f t="shared" si="79"/>
        <v/>
      </c>
      <c r="BE51" s="1343" t="str">
        <f>IFERROR($S51+VLOOKUP($R51,'Voyage days'!$F$620:$H$646,3,FALSE),"")</f>
        <v/>
      </c>
      <c r="BF51" s="1343" t="str">
        <f>IFERROR($T51+VLOOKUP($R51,'Voyage days'!$F$620:$H$646,3,FALSE),"")</f>
        <v/>
      </c>
      <c r="BG51" s="1316" t="str">
        <f t="shared" si="80"/>
        <v/>
      </c>
      <c r="BH51" s="1321" t="str">
        <f>IFERROR($S51+VLOOKUP($R51,'Voyage days'!$F$702:$H$727,3,FALSE),"")</f>
        <v/>
      </c>
      <c r="BI51" s="1321" t="str">
        <f>IFERROR($T51+VLOOKUP($R51,'Voyage days'!$F$702:$H$727,3,FALSE),"")</f>
        <v/>
      </c>
      <c r="BJ51" s="1321"/>
      <c r="BK51" s="1321"/>
      <c r="BL51" s="1321"/>
      <c r="BM51" s="1321"/>
      <c r="BN51" s="1321"/>
      <c r="BO51" s="1321"/>
      <c r="BP51" s="1321"/>
    </row>
    <row r="52" ht="15.75" customHeight="1">
      <c r="A52" s="1316" t="s">
        <v>3527</v>
      </c>
      <c r="B52" s="1002">
        <v>39600.0</v>
      </c>
      <c r="C52" s="1344">
        <v>75000.0</v>
      </c>
      <c r="D52" s="1333"/>
      <c r="E52" s="1345" t="s">
        <v>1604</v>
      </c>
      <c r="F52" s="686" t="s">
        <v>3528</v>
      </c>
      <c r="G52" s="1345" t="s">
        <v>3529</v>
      </c>
      <c r="H52" s="1428" t="s">
        <v>3530</v>
      </c>
      <c r="I52" s="1316"/>
      <c r="J52" s="1316" t="str">
        <f>IF(K52="","",VLOOKUP(K52,'Voyage days'!$A$3:$B$1480,2,FALSE))</f>
        <v>#N/A</v>
      </c>
      <c r="K52" s="1316" t="str">
        <f>IF(VLOOKUP(A52,'1) Kpler'!$E$2:$O$500,7, FALSE)="",VLOOKUP(A52,'1) Kpler'!$E$2:$O$500,10,FALSE),VLOOKUP(A52,'1) Kpler'!$E$2:$O$500,7, FALSE))</f>
        <v>#N/A</v>
      </c>
      <c r="L52" s="1375" t="str">
        <f>IF(VLOOKUP(A52,'1) Kpler'!$E$2:$O$500,8,FALSE)="","",VLOOKUP(A52,'1) Kpler'!$E$2:$O$500,8,FALSE))</f>
        <v>#N/A</v>
      </c>
      <c r="M52" s="1316" t="str">
        <f>VLOOKUP(A52,'1) Kpler'!$E$2:$H$400,3,FALSE)</f>
        <v>#N/A</v>
      </c>
      <c r="N52" s="1350"/>
      <c r="O52" s="686"/>
      <c r="P52" s="686" t="s">
        <v>1687</v>
      </c>
      <c r="Q52" s="686"/>
      <c r="R52" s="686"/>
      <c r="S52" s="1345" t="s">
        <v>2208</v>
      </c>
      <c r="T52" s="1439">
        <v>45362.0</v>
      </c>
      <c r="U52" s="686"/>
      <c r="V52" s="1352" t="s">
        <v>3466</v>
      </c>
      <c r="W52" s="686"/>
      <c r="X52" s="1429"/>
      <c r="Y52" s="686"/>
      <c r="Z52" s="1378"/>
      <c r="AA52" s="1438"/>
      <c r="AF52" s="1316" t="str">
        <f t="shared" si="71"/>
        <v/>
      </c>
      <c r="AG52" s="1343" t="str">
        <f>IFERROR($S52+VLOOKUP($R52,'Voyage days'!$F$38:$H$89,3,FALSE),"")</f>
        <v/>
      </c>
      <c r="AH52" s="1343" t="str">
        <f>IFERROR(T52+VLOOKUP($R52,'Voyage days'!$F$38:$H$89,3,FALSE),"")</f>
        <v/>
      </c>
      <c r="AI52" s="1316" t="str">
        <f t="shared" si="72"/>
        <v/>
      </c>
      <c r="AJ52" s="1343" t="str">
        <f>IF(P52="P",IFERROR($S52+VLOOKUP($R52,'Voyage days'!$F$94:$H$193,3,FALSE),""),"")</f>
        <v/>
      </c>
      <c r="AK52" s="1343" t="str">
        <f>IF(P52="P",IFERROR($T52+VLOOKUP($R52,'Voyage days'!$F$94:$H$193,3,FALSE),""),"")</f>
        <v/>
      </c>
      <c r="AL52" s="1316" t="str">
        <f t="shared" si="73"/>
        <v/>
      </c>
      <c r="AM52" s="1343" t="str">
        <f>IFERROR($S52+VLOOKUP($R52,'Voyage days'!$F$203:$H$256,3,FALSE),"")</f>
        <v/>
      </c>
      <c r="AN52" s="1343" t="str">
        <f>IFERROR($T52+VLOOKUP($R52,'Voyage days'!$F$203:$H$256,3,FALSE),"")</f>
        <v/>
      </c>
      <c r="AO52" s="1316" t="str">
        <f t="shared" si="74"/>
        <v/>
      </c>
      <c r="AP52" s="1343" t="str">
        <f>IFERROR($S52+VLOOKUP($R52,'Voyage days'!$F$294:$H$377,3,FALSE),"")</f>
        <v/>
      </c>
      <c r="AQ52" s="1343" t="str">
        <f>IFERROR($T52+VLOOKUP($R52,'Voyage days'!$F$294:$H$377,3,FALSE),"")</f>
        <v/>
      </c>
      <c r="AR52" s="1316" t="str">
        <f t="shared" si="75"/>
        <v/>
      </c>
      <c r="AS52" s="1343" t="str">
        <f>IFERROR($S52+VLOOKUP($R52,'Voyage days'!$F$382:$H$446,3,FALSE),"")</f>
        <v/>
      </c>
      <c r="AT52" s="1343" t="str">
        <f>IFERROR($T52+VLOOKUP($R52,'Voyage days'!$F$382:$H$446,3,FALSE),"")</f>
        <v/>
      </c>
      <c r="AU52" s="1316" t="str">
        <f t="shared" si="76"/>
        <v/>
      </c>
      <c r="AV52" s="1343" t="str">
        <f>IFERROR($S52+VLOOKUP($R52,'Voyage days'!$F$483:$H$538,3,FALSE),"")</f>
        <v/>
      </c>
      <c r="AW52" s="1343" t="str">
        <f>IFERROR($T52+VLOOKUP($R52,'Voyage days'!$F$483:$H$538,3,FALSE),"")</f>
        <v/>
      </c>
      <c r="AX52" s="1316" t="str">
        <f t="shared" si="77"/>
        <v/>
      </c>
      <c r="AY52" s="1343" t="str">
        <f>IFERROR($S52+VLOOKUP($R52,'Voyage days'!$F$540:$H$613,3,FALSE),"")</f>
        <v/>
      </c>
      <c r="AZ52" s="1343" t="str">
        <f>IFERROR($T52+VLOOKUP($R52,'Voyage days'!$F$540:$H$613,3,FALSE),"")</f>
        <v/>
      </c>
      <c r="BA52" s="1316" t="str">
        <f t="shared" si="78"/>
        <v/>
      </c>
      <c r="BB52" s="1343" t="str">
        <f>IFERROR($S52+VLOOKUP($R52,'Voyage days'!$L$483:$N$535,3,FALSE),"")</f>
        <v/>
      </c>
      <c r="BC52" s="1343" t="str">
        <f>IFERROR($T52+VLOOKUP($R52,'Voyage days'!$L$483:$N$535,3,FALSE),"")</f>
        <v/>
      </c>
      <c r="BD52" s="1316" t="str">
        <f t="shared" si="79"/>
        <v/>
      </c>
      <c r="BE52" s="1343" t="str">
        <f>IFERROR($S52+VLOOKUP($R52,'Voyage days'!$F$620:$H$646,3,FALSE),"")</f>
        <v/>
      </c>
      <c r="BF52" s="1343" t="str">
        <f>IFERROR($T52+VLOOKUP($R52,'Voyage days'!$F$620:$H$646,3,FALSE),"")</f>
        <v/>
      </c>
      <c r="BG52" s="1316" t="str">
        <f t="shared" si="80"/>
        <v/>
      </c>
      <c r="BH52" s="1321" t="str">
        <f>IFERROR($S52+VLOOKUP($R52,'Voyage days'!$F$702:$H$727,3,FALSE),"")</f>
        <v/>
      </c>
      <c r="BI52" s="1321" t="str">
        <f>IFERROR($T52+VLOOKUP($R52,'Voyage days'!$F$702:$H$727,3,FALSE),"")</f>
        <v/>
      </c>
      <c r="BJ52" s="1321"/>
      <c r="BK52" s="1321"/>
      <c r="BL52" s="1321"/>
      <c r="BM52" s="1321"/>
      <c r="BN52" s="1321"/>
      <c r="BO52" s="1321"/>
      <c r="BP52" s="1321"/>
    </row>
    <row r="53" ht="15.75" customHeight="1">
      <c r="AF53" s="1400"/>
      <c r="AG53" s="1400"/>
      <c r="AH53" s="1400"/>
      <c r="AI53" s="1400"/>
      <c r="AJ53" s="1400"/>
      <c r="AK53" s="1400"/>
      <c r="AL53" s="1400"/>
      <c r="AM53" s="1400"/>
      <c r="AN53" s="1400"/>
      <c r="AO53" s="1400"/>
      <c r="AP53" s="1400"/>
      <c r="AQ53" s="1400"/>
      <c r="AR53" s="1400"/>
      <c r="AS53" s="1400"/>
      <c r="AT53" s="1400"/>
      <c r="AU53" s="1400"/>
      <c r="AV53" s="1400"/>
      <c r="AW53" s="1400"/>
      <c r="AX53" s="1400"/>
      <c r="AY53" s="1400"/>
      <c r="AZ53" s="1400"/>
      <c r="BA53" s="1400"/>
      <c r="BB53" s="1400"/>
      <c r="BC53" s="1400"/>
      <c r="BD53" s="1400"/>
      <c r="BE53" s="1400"/>
      <c r="BF53" s="1400"/>
      <c r="BG53" s="1400"/>
      <c r="BH53" s="496"/>
      <c r="BI53" s="496"/>
      <c r="BJ53" s="496"/>
      <c r="BK53" s="496"/>
      <c r="BL53" s="496"/>
      <c r="BM53" s="496"/>
      <c r="BN53" s="496"/>
      <c r="BO53" s="496"/>
      <c r="BP53" s="496"/>
    </row>
    <row r="54" ht="15.75" customHeight="1">
      <c r="A54" s="1432" t="s">
        <v>3531</v>
      </c>
      <c r="B54" s="1402"/>
      <c r="C54" s="1402"/>
      <c r="D54" s="1442" t="s">
        <v>7</v>
      </c>
      <c r="E54" s="1398"/>
      <c r="F54" s="1398"/>
      <c r="G54" s="1399"/>
      <c r="H54" s="1400"/>
      <c r="I54" s="1400"/>
      <c r="J54" s="1400"/>
      <c r="K54" s="1400"/>
      <c r="L54" s="1400"/>
      <c r="M54" s="1400"/>
      <c r="N54" s="1399"/>
      <c r="O54" s="1399"/>
      <c r="P54" s="1402"/>
      <c r="Q54" s="1397"/>
      <c r="R54" s="1398"/>
      <c r="S54" s="1433" t="s">
        <v>3494</v>
      </c>
      <c r="T54" s="1434"/>
      <c r="U54" s="1404"/>
      <c r="V54" s="1398"/>
      <c r="W54" s="1398"/>
      <c r="X54" s="1405"/>
      <c r="Y54" s="1406" t="str">
        <f>IF(R54&lt;&gt;"",MID(INFO("DIRECTORY"),10,LEN(INFO("DIRECTORY"))-LEN(MID(INFO("DIRECTORY"),FIND("\",INFO("DIRECTORY"),10),1000))-LEN("C:\Users\")),IF(S54&lt;&gt;"",MID(INFO("DIRECTORY"),10,LEN(INFO("DIRECTORY"))-LEN(MID(INFO("DIRECTORY"),FIND("\",INFO("DIRECTORY"),10),1000))-LEN("C:\Users\")),IF(T54&lt;&gt;"",MID(INFO("DIRECTORY"),10,LEN(INFO("DIRECTORY"))-LEN(MID(INFO("DIRECTORY"),FIND("\",INFO("DIRECTORY"),10),1000))-LEN("C:\Users\")),IF(U54&lt;&gt;"",MID(INFO("DIRECTORY"),10,LEN(INFO("DIRECTORY"))-LEN(MID(INFO("DIRECTORY"),FIND("\",INFO("DIRECTORY"),10),1000))-LEN("C:\Users\")),IF(V54&lt;&gt;"",MID(INFO("DIRECTORY"),10,LEN(INFO("DIRECTORY"))-LEN(MID(INFO("DIRECTORY"),FIND("\",INFO("DIRECTORY"),10),1000))-LEN("C:\Users\")),IF(W54&lt;&gt;"",NOW(),IF(X54&lt;&gt;"",MID(INFO("DIRECTORY"),10,LEN(INFO("DIRECTORY"))-LEN(MID(INFO("DIRECTORY"),FIND("\",INFO("DIRECTORY"),10),1000))-LEN("C:\Users\")),"")))))))</f>
        <v>#NAME?</v>
      </c>
      <c r="Z54" s="1400"/>
      <c r="AA54" s="1400"/>
      <c r="AF54" s="1400"/>
      <c r="AG54" s="1400"/>
      <c r="AH54" s="1400"/>
      <c r="AI54" s="1400"/>
      <c r="AJ54" s="1400"/>
      <c r="AK54" s="1400"/>
      <c r="AL54" s="1400"/>
      <c r="AM54" s="1400"/>
      <c r="AN54" s="1400"/>
      <c r="AO54" s="1400"/>
      <c r="AP54" s="1400"/>
      <c r="AQ54" s="1400"/>
      <c r="AR54" s="1400"/>
      <c r="AS54" s="1400"/>
      <c r="AT54" s="1400"/>
      <c r="AU54" s="1400"/>
      <c r="AV54" s="1400"/>
      <c r="AW54" s="1400"/>
      <c r="AX54" s="1400"/>
      <c r="AY54" s="1400"/>
      <c r="AZ54" s="1400"/>
      <c r="BA54" s="1400"/>
      <c r="BB54" s="1400"/>
      <c r="BC54" s="1400"/>
      <c r="BD54" s="1400"/>
      <c r="BE54" s="1400"/>
      <c r="BF54" s="1400"/>
      <c r="BG54" s="1400"/>
      <c r="BH54" s="496" t="str">
        <f>IFERROR($S54+VLOOKUP($R54,'Voyage days'!$F$702:$H$727,3,FALSE),"")</f>
        <v/>
      </c>
      <c r="BI54" s="496" t="str">
        <f>IFERROR($T54+VLOOKUP($R54,'Voyage days'!$F$702:$H$727,3,FALSE),"")</f>
        <v/>
      </c>
      <c r="BJ54" s="496"/>
      <c r="BK54" s="496"/>
      <c r="BL54" s="496"/>
      <c r="BM54" s="496"/>
      <c r="BN54" s="496"/>
      <c r="BO54" s="496"/>
      <c r="BP54" s="496"/>
    </row>
    <row r="55" ht="15.75" customHeight="1">
      <c r="A55" s="606" t="s">
        <v>215</v>
      </c>
      <c r="B55" s="1005">
        <v>36192.0</v>
      </c>
      <c r="C55" s="1344">
        <v>78498.0</v>
      </c>
      <c r="D55" s="1443">
        <v>9172739.0</v>
      </c>
      <c r="E55" s="686" t="s">
        <v>3532</v>
      </c>
      <c r="F55" s="686" t="s">
        <v>3141</v>
      </c>
      <c r="G55" s="1436" t="s">
        <v>3533</v>
      </c>
      <c r="H55" s="1428"/>
      <c r="I55" s="1316"/>
      <c r="J55" s="1316" t="str">
        <f>IF(K55="","",VLOOKUP(K55,'Voyage days'!$A$3:$B$1480,2,FALSE))</f>
        <v>#N/A</v>
      </c>
      <c r="K55" s="1444" t="b">
        <f>IF(VLOOKUP(A55,'1) Kpler'!$E$2:$O$500,8, FALSE)="",VLOOKUP(A55,'1) Kpler'!$E$2:$O$500,10,FALSE),VLOOKUP(A55,'1) Kpler'!$E$2:$O$500,8, FALSE))</f>
        <v>1</v>
      </c>
      <c r="L55" s="1445" t="str">
        <f>IF(VLOOKUP(A55,'1) Kpler'!$E$2:$O$600,9,FALSE)="","",VLOOKUP(A55,'1) Kpler'!$E$2:$O$500,9,FALSE))</f>
        <v/>
      </c>
      <c r="M55" s="1444" t="str">
        <f>VLOOKUP(A55,'1) Kpler'!$E$2:$H$600,4,FALSE)</f>
        <v>loaded</v>
      </c>
      <c r="N55" s="1350" t="s">
        <v>2907</v>
      </c>
      <c r="O55" s="1351"/>
      <c r="P55" s="686" t="s">
        <v>570</v>
      </c>
      <c r="Q55" s="686"/>
      <c r="R55" s="686"/>
      <c r="S55" s="1353"/>
      <c r="T55" s="1353"/>
      <c r="U55" s="686"/>
      <c r="V55" s="686"/>
      <c r="W55" s="686"/>
      <c r="X55" s="686"/>
      <c r="Y55" s="1446"/>
      <c r="Z55" s="1353"/>
      <c r="AA55" s="1437"/>
      <c r="AB55" s="606"/>
      <c r="AC55" s="606"/>
      <c r="AD55" s="606"/>
      <c r="AE55" s="606"/>
      <c r="AF55" s="1316" t="str">
        <f t="shared" ref="AF55:AF58" si="81">IF(AG55="","",TEXT(AG55,"dd")&amp;"-"&amp;TEXT(AH55,"dd mmm"))</f>
        <v/>
      </c>
      <c r="AG55" s="1343" t="str">
        <f>IFERROR($S55+VLOOKUP($R55,'Voyage days'!$F$38:$H$89,3,FALSE),"")</f>
        <v/>
      </c>
      <c r="AH55" s="1343" t="str">
        <f>IFERROR(T55+VLOOKUP($R55,'Voyage days'!$F$38:$H$89,3,FALSE),"")</f>
        <v/>
      </c>
      <c r="AI55" s="1316" t="str">
        <f t="shared" ref="AI55:AI58" si="82">IF(AJ55="","",TEXT(AJ55,"dd")&amp;"-"&amp;TEXT(AK55,"dd mmm"))</f>
        <v/>
      </c>
      <c r="AJ55" s="1343" t="str">
        <f>IFERROR($S55+VLOOKUP($R55,'Voyage days'!$F$94:$H$193,3,FALSE),"")</f>
        <v/>
      </c>
      <c r="AK55" s="1343" t="str">
        <f>IFERROR($T55+VLOOKUP($R55,'Voyage days'!$F$94:$H$193,3,FALSE),"")</f>
        <v/>
      </c>
      <c r="AL55" s="1316" t="str">
        <f t="shared" ref="AL55:AL58" si="83">IF(AM55="","",TEXT(AM55,"dd")&amp;"-"&amp;TEXT(AN55,"dd mmm"))</f>
        <v/>
      </c>
      <c r="AM55" s="1343" t="str">
        <f>IFERROR($S55+VLOOKUP($R55,'Voyage days'!$F$203:$H$256,3,FALSE),"")</f>
        <v/>
      </c>
      <c r="AN55" s="1343" t="str">
        <f>IFERROR($T55+VLOOKUP($R55,'Voyage days'!$F$203:$H$256,3,FALSE),"")</f>
        <v/>
      </c>
      <c r="AO55" s="1316" t="str">
        <f t="shared" ref="AO55:AO58" si="84">IF(AP55="","",TEXT(AP55,"dd")&amp;"-"&amp;TEXT(AQ55,"dd mmm"))</f>
        <v/>
      </c>
      <c r="AP55" s="1343" t="str">
        <f>IFERROR($S55+VLOOKUP($R55,'Voyage days'!$F$294:$H$377,3,FALSE),"")</f>
        <v/>
      </c>
      <c r="AQ55" s="1343" t="str">
        <f>IFERROR($T55+VLOOKUP($R55,'Voyage days'!$F$294:$H$377,3,FALSE),"")</f>
        <v/>
      </c>
      <c r="AR55" s="1316" t="str">
        <f t="shared" ref="AR55:AR58" si="85">IF(AS55="","",TEXT(AS55,"dd")&amp;"-"&amp;TEXT(AT55,"dd mmm"))</f>
        <v/>
      </c>
      <c r="AS55" s="1343" t="str">
        <f>IFERROR($S55+VLOOKUP($R55,'Voyage days'!$F$382:$H$446,3,FALSE),"")</f>
        <v/>
      </c>
      <c r="AT55" s="1343" t="str">
        <f>IFERROR($T55+VLOOKUP($R55,'Voyage days'!$F$382:$H$446,3,FALSE),"")</f>
        <v/>
      </c>
      <c r="AU55" s="1316" t="str">
        <f t="shared" ref="AU55:AU58" si="86">IF(AV55="","",TEXT(AV55,"dd")&amp;"-"&amp;TEXT(AW55,"dd mmm"))</f>
        <v/>
      </c>
      <c r="AV55" s="1343" t="str">
        <f>IFERROR($S55+VLOOKUP($R55,'Voyage days'!$F$483:$H$538,3,FALSE),"")</f>
        <v/>
      </c>
      <c r="AW55" s="1343" t="str">
        <f>IFERROR($T55+VLOOKUP($R55,'Voyage days'!$F$483:$H$538,3,FALSE),"")</f>
        <v/>
      </c>
      <c r="AX55" s="1316" t="str">
        <f t="shared" ref="AX55:AX58" si="87">IF(AY55="","",TEXT(AY55,"dd")&amp;"-"&amp;TEXT(AZ55,"dd mmm"))</f>
        <v/>
      </c>
      <c r="AY55" s="1343" t="str">
        <f>IFERROR($S55+VLOOKUP($R55,'Voyage days'!$F$540:$H$613,3,FALSE),"")</f>
        <v/>
      </c>
      <c r="AZ55" s="1343" t="str">
        <f>IFERROR($T55+VLOOKUP($R55,'Voyage days'!$F$540:$H$613,3,FALSE),"")</f>
        <v/>
      </c>
      <c r="BA55" s="1316" t="str">
        <f t="shared" ref="BA55:BA58" si="88">IF(BB55="","",TEXT(BB55,"dd")&amp;"-"&amp;TEXT(BC55,"dd mmm"))</f>
        <v/>
      </c>
      <c r="BB55" s="1343" t="str">
        <f>IFERROR($S55+VLOOKUP($R55,'Voyage days'!$L$483:$N$535,3,FALSE),"")</f>
        <v/>
      </c>
      <c r="BC55" s="1343" t="str">
        <f>IFERROR($T55+VLOOKUP($R55,'Voyage days'!$L$483:$N$535,3,FALSE),"")</f>
        <v/>
      </c>
      <c r="BD55" s="1316" t="str">
        <f t="shared" ref="BD55:BD58" si="89">IF(BE55="","",TEXT(BE55,"dd")&amp;"-"&amp;TEXT(BF55,"dd mmm"))</f>
        <v/>
      </c>
      <c r="BE55" s="1343" t="str">
        <f>IFERROR($S55+VLOOKUP($R55,'Voyage days'!$F$620:$H$646,3,FALSE),"")</f>
        <v/>
      </c>
      <c r="BF55" s="1343" t="str">
        <f>IFERROR($T55+VLOOKUP($R55,'Voyage days'!$F$620:$H$646,3,FALSE),"")</f>
        <v/>
      </c>
      <c r="BG55" s="1316" t="str">
        <f t="shared" ref="BG55:BG58" si="90">IF(BH55="","",TEXT(BH55,"dd")&amp;"-"&amp;TEXT(BI55,"dd mmm"))</f>
        <v/>
      </c>
      <c r="BH55" s="1321" t="str">
        <f>IFERROR($S55+VLOOKUP($R55,'Voyage days'!$F$702:$H$727,3,FALSE),"")</f>
        <v/>
      </c>
      <c r="BI55" s="1321" t="str">
        <f>IFERROR($T55+VLOOKUP($R55,'Voyage days'!$F$702:$H$727,3,FALSE),"")</f>
        <v/>
      </c>
      <c r="BJ55" s="1321"/>
      <c r="BK55" s="1321"/>
      <c r="BL55" s="1321"/>
      <c r="BM55" s="1321"/>
      <c r="BN55" s="1321"/>
      <c r="BO55" s="1321"/>
      <c r="BP55" s="1321"/>
    </row>
    <row r="56" ht="15.75" customHeight="1">
      <c r="A56" s="606" t="s">
        <v>1556</v>
      </c>
      <c r="B56" s="1005">
        <v>34001.0</v>
      </c>
      <c r="C56" s="1344">
        <v>75390.0</v>
      </c>
      <c r="D56" s="1443">
        <v>9031519.0</v>
      </c>
      <c r="E56" s="1345" t="s">
        <v>3534</v>
      </c>
      <c r="F56" s="686" t="s">
        <v>3535</v>
      </c>
      <c r="G56" s="1387"/>
      <c r="H56" s="1316"/>
      <c r="I56" s="1316"/>
      <c r="J56" s="1316" t="str">
        <f>IF(K56="","",VLOOKUP(K56,'Voyage days'!$A$3:$B$1480,2,FALSE))</f>
        <v>#N/A</v>
      </c>
      <c r="K56" s="1444" t="str">
        <f>IF(VLOOKUP(A56,'1) Kpler'!$E$2:$O$500,8, FALSE)="",VLOOKUP(A56,'1) Kpler'!$E$2:$O$500,10,FALSE),VLOOKUP(A56,'1) Kpler'!$E$2:$O$500,8, FALSE))</f>
        <v>#N/A</v>
      </c>
      <c r="L56" s="1445" t="str">
        <f>IF(VLOOKUP(A56,'1) Kpler'!$E$2:$O$600,9,FALSE)="","",VLOOKUP(A56,'1) Kpler'!$E$2:$O$500,9,FALSE))</f>
        <v>#N/A</v>
      </c>
      <c r="M56" s="1444" t="str">
        <f>VLOOKUP(A56,'1) Kpler'!$E$2:$H$600,4,FALSE)</f>
        <v>#N/A</v>
      </c>
      <c r="N56" s="1350"/>
      <c r="O56" s="1351"/>
      <c r="P56" s="686" t="s">
        <v>570</v>
      </c>
      <c r="Q56" s="686"/>
      <c r="R56" s="686"/>
      <c r="S56" s="1345" t="s">
        <v>2208</v>
      </c>
      <c r="T56" s="1350">
        <v>45314.0</v>
      </c>
      <c r="U56" s="686"/>
      <c r="V56" s="1352" t="s">
        <v>3466</v>
      </c>
      <c r="W56" s="686"/>
      <c r="X56" s="686"/>
      <c r="Y56" s="686"/>
      <c r="Z56" s="1353"/>
      <c r="AA56" s="1437"/>
      <c r="AF56" s="1316" t="str">
        <f t="shared" si="81"/>
        <v/>
      </c>
      <c r="AG56" s="1343" t="str">
        <f>IFERROR(#REF!+VLOOKUP($R56,'Voyage days'!$F$38:$H$89,3,FALSE),"")</f>
        <v/>
      </c>
      <c r="AH56" s="1343" t="str">
        <f>IFERROR(T56+VLOOKUP($R56,'Voyage days'!$F$38:$H$89,3,FALSE),"")</f>
        <v/>
      </c>
      <c r="AI56" s="1316" t="str">
        <f t="shared" si="82"/>
        <v/>
      </c>
      <c r="AJ56" s="1343" t="str">
        <f>IF(P56="P",IFERROR(#REF!+VLOOKUP($R56,'Voyage days'!$F$94:$H$193,3,FALSE),""),"")</f>
        <v/>
      </c>
      <c r="AK56" s="1343" t="str">
        <f>IF(P56="P",IFERROR($T56+VLOOKUP($R56,'Voyage days'!$F$94:$H$193,3,FALSE),""),"")</f>
        <v/>
      </c>
      <c r="AL56" s="1316" t="str">
        <f t="shared" si="83"/>
        <v/>
      </c>
      <c r="AM56" s="1343" t="str">
        <f>IFERROR(#REF!+VLOOKUP($R56,'Voyage days'!$F$203:$H$256,3,FALSE),"")</f>
        <v/>
      </c>
      <c r="AN56" s="1343" t="str">
        <f>IFERROR($T56+VLOOKUP($R56,'Voyage days'!$F$203:$H$256,3,FALSE),"")</f>
        <v/>
      </c>
      <c r="AO56" s="1316" t="str">
        <f t="shared" si="84"/>
        <v/>
      </c>
      <c r="AP56" s="1343" t="str">
        <f>IFERROR(#REF!+VLOOKUP($R56,'Voyage days'!$F$294:$H$377,3,FALSE),"")</f>
        <v/>
      </c>
      <c r="AQ56" s="1343" t="str">
        <f>IFERROR($T56+VLOOKUP($R56,'Voyage days'!$F$294:$H$377,3,FALSE),"")</f>
        <v/>
      </c>
      <c r="AR56" s="1316" t="str">
        <f t="shared" si="85"/>
        <v/>
      </c>
      <c r="AS56" s="1343" t="str">
        <f>IFERROR(#REF!+VLOOKUP($R56,'Voyage days'!$F$382:$H$446,3,FALSE),"")</f>
        <v/>
      </c>
      <c r="AT56" s="1343" t="str">
        <f>IFERROR($T56+VLOOKUP($R56,'Voyage days'!$F$382:$H$446,3,FALSE),"")</f>
        <v/>
      </c>
      <c r="AU56" s="1316" t="str">
        <f t="shared" si="86"/>
        <v/>
      </c>
      <c r="AV56" s="1343" t="str">
        <f>IFERROR(#REF!+VLOOKUP($R56,'Voyage days'!$F$483:$H$538,3,FALSE),"")</f>
        <v/>
      </c>
      <c r="AW56" s="1343" t="str">
        <f>IFERROR($T56+VLOOKUP($R56,'Voyage days'!$F$483:$H$538,3,FALSE),"")</f>
        <v/>
      </c>
      <c r="AX56" s="1316" t="str">
        <f t="shared" si="87"/>
        <v/>
      </c>
      <c r="AY56" s="1343" t="str">
        <f>IFERROR(#REF!+VLOOKUP($R56,'Voyage days'!$F$540:$H$613,3,FALSE),"")</f>
        <v/>
      </c>
      <c r="AZ56" s="1343" t="str">
        <f>IFERROR($T56+VLOOKUP($R56,'Voyage days'!$F$540:$H$613,3,FALSE),"")</f>
        <v/>
      </c>
      <c r="BA56" s="1316" t="str">
        <f t="shared" si="88"/>
        <v/>
      </c>
      <c r="BB56" s="1343" t="str">
        <f>IFERROR(#REF!+VLOOKUP($R56,'Voyage days'!$L$483:$N$535,3,FALSE),"")</f>
        <v/>
      </c>
      <c r="BC56" s="1343" t="str">
        <f>IFERROR($T56+VLOOKUP($R56,'Voyage days'!$L$483:$N$535,3,FALSE),"")</f>
        <v/>
      </c>
      <c r="BD56" s="1316" t="str">
        <f t="shared" si="89"/>
        <v/>
      </c>
      <c r="BE56" s="1343" t="str">
        <f>IFERROR(#REF!+VLOOKUP($R56,'Voyage days'!$F$620:$H$646,3,FALSE),"")</f>
        <v/>
      </c>
      <c r="BF56" s="1343" t="str">
        <f>IFERROR($T56+VLOOKUP($R56,'Voyage days'!$F$620:$H$646,3,FALSE),"")</f>
        <v/>
      </c>
      <c r="BG56" s="1316" t="str">
        <f t="shared" si="90"/>
        <v/>
      </c>
      <c r="BH56" s="1321" t="str">
        <f>IFERROR(#REF!+VLOOKUP($R56,'Voyage days'!$F$702:$H$727,3,FALSE),"")</f>
        <v/>
      </c>
      <c r="BI56" s="1321" t="str">
        <f>IFERROR($T56+VLOOKUP($R56,'Voyage days'!$F$702:$H$727,3,FALSE),"")</f>
        <v/>
      </c>
      <c r="BJ56" s="1321"/>
      <c r="BK56" s="1321"/>
      <c r="BL56" s="1321"/>
      <c r="BM56" s="1321"/>
      <c r="BN56" s="1321"/>
      <c r="BO56" s="1321"/>
      <c r="BP56" s="1321"/>
    </row>
    <row r="57" ht="15.75" customHeight="1">
      <c r="A57" s="606" t="s">
        <v>3536</v>
      </c>
      <c r="B57" s="1005">
        <v>33664.0</v>
      </c>
      <c r="C57" s="1344">
        <v>78507.0</v>
      </c>
      <c r="D57" s="1443">
        <v>9008108.0</v>
      </c>
      <c r="E57" s="1345" t="s">
        <v>3537</v>
      </c>
      <c r="F57" s="686"/>
      <c r="G57" s="1345"/>
      <c r="H57" s="1316"/>
      <c r="I57" s="1316"/>
      <c r="J57" s="1316" t="str">
        <f>IF(K57="","",VLOOKUP(K57,'Voyage days'!$A$3:$B$1480,2,FALSE))</f>
        <v>#N/A</v>
      </c>
      <c r="K57" s="1444" t="str">
        <f>IF(VLOOKUP(A57,'1) Kpler'!$E$2:$O$500,8, FALSE)="",VLOOKUP(A57,'1) Kpler'!$E$2:$O$500,10,FALSE),VLOOKUP(A57,'1) Kpler'!$E$2:$O$500,8, FALSE))</f>
        <v>#N/A</v>
      </c>
      <c r="L57" s="1445" t="str">
        <f>IF(VLOOKUP(A57,'1) Kpler'!$E$2:$O$600,9,FALSE)="","",VLOOKUP(A57,'1) Kpler'!$E$2:$O$500,9,FALSE))</f>
        <v>#N/A</v>
      </c>
      <c r="M57" s="1444" t="str">
        <f>VLOOKUP(A57,'1) Kpler'!$E$2:$H$600,4,FALSE)</f>
        <v>#N/A</v>
      </c>
      <c r="N57" s="1350"/>
      <c r="O57" s="1447"/>
      <c r="P57" s="686" t="s">
        <v>570</v>
      </c>
      <c r="Q57" s="686"/>
      <c r="R57" s="686"/>
      <c r="S57" s="1345" t="s">
        <v>2208</v>
      </c>
      <c r="T57" s="1350">
        <v>45446.0</v>
      </c>
      <c r="U57" s="686"/>
      <c r="V57" s="1352" t="s">
        <v>3466</v>
      </c>
      <c r="W57" s="686"/>
      <c r="X57" s="686"/>
      <c r="Y57" s="686"/>
      <c r="Z57" s="1353"/>
      <c r="AA57" s="1438"/>
      <c r="AF57" s="1316" t="str">
        <f t="shared" si="81"/>
        <v/>
      </c>
      <c r="AG57" s="1343" t="str">
        <f>IFERROR(#REF!+VLOOKUP($R57,'Voyage days'!$F$38:$H$89,3,FALSE),"")</f>
        <v/>
      </c>
      <c r="AH57" s="1343" t="str">
        <f>IFERROR(T57+VLOOKUP($R57,'Voyage days'!$F$38:$H$89,3,FALSE),"")</f>
        <v/>
      </c>
      <c r="AI57" s="1316" t="str">
        <f t="shared" si="82"/>
        <v/>
      </c>
      <c r="AJ57" s="1343" t="str">
        <f>IF(P57="P",IFERROR(#REF!+VLOOKUP($R57,'Voyage days'!$F$94:$H$193,3,FALSE),""),"")</f>
        <v/>
      </c>
      <c r="AK57" s="1343" t="str">
        <f>IF(P57="P",IFERROR($T57+VLOOKUP($R57,'Voyage days'!$F$94:$H$193,3,FALSE),""),"")</f>
        <v/>
      </c>
      <c r="AL57" s="1316" t="str">
        <f t="shared" si="83"/>
        <v/>
      </c>
      <c r="AM57" s="1343" t="str">
        <f>IFERROR(#REF!+VLOOKUP($R57,'Voyage days'!$F$203:$H$256,3,FALSE),"")</f>
        <v/>
      </c>
      <c r="AN57" s="1343" t="str">
        <f>IFERROR($T57+VLOOKUP($R57,'Voyage days'!$F$203:$H$256,3,FALSE),"")</f>
        <v/>
      </c>
      <c r="AO57" s="1316" t="str">
        <f t="shared" si="84"/>
        <v/>
      </c>
      <c r="AP57" s="1343" t="str">
        <f>IFERROR(#REF!+VLOOKUP($R57,'Voyage days'!$F$294:$H$377,3,FALSE),"")</f>
        <v/>
      </c>
      <c r="AQ57" s="1343" t="str">
        <f>IFERROR($T57+VLOOKUP($R57,'Voyage days'!$F$294:$H$377,3,FALSE),"")</f>
        <v/>
      </c>
      <c r="AR57" s="1316" t="str">
        <f t="shared" si="85"/>
        <v/>
      </c>
      <c r="AS57" s="1343" t="str">
        <f>IFERROR(#REF!+VLOOKUP($R57,'Voyage days'!$F$382:$H$446,3,FALSE),"")</f>
        <v/>
      </c>
      <c r="AT57" s="1343" t="str">
        <f>IFERROR($T57+VLOOKUP($R57,'Voyage days'!$F$382:$H$446,3,FALSE),"")</f>
        <v/>
      </c>
      <c r="AU57" s="1316" t="str">
        <f t="shared" si="86"/>
        <v/>
      </c>
      <c r="AV57" s="1343" t="str">
        <f>IFERROR(#REF!+VLOOKUP($R57,'Voyage days'!$F$483:$H$538,3,FALSE),"")</f>
        <v/>
      </c>
      <c r="AW57" s="1343" t="str">
        <f>IFERROR($T57+VLOOKUP($R57,'Voyage days'!$F$483:$H$538,3,FALSE),"")</f>
        <v/>
      </c>
      <c r="AX57" s="1316" t="str">
        <f t="shared" si="87"/>
        <v/>
      </c>
      <c r="AY57" s="1343" t="str">
        <f>IFERROR(#REF!+VLOOKUP($R57,'Voyage days'!$F$540:$H$613,3,FALSE),"")</f>
        <v/>
      </c>
      <c r="AZ57" s="1343" t="str">
        <f>IFERROR($T57+VLOOKUP($R57,'Voyage days'!$F$540:$H$613,3,FALSE),"")</f>
        <v/>
      </c>
      <c r="BA57" s="1316" t="str">
        <f t="shared" si="88"/>
        <v/>
      </c>
      <c r="BB57" s="1343" t="str">
        <f>IFERROR(#REF!+VLOOKUP($R57,'Voyage days'!$L$483:$N$535,3,FALSE),"")</f>
        <v/>
      </c>
      <c r="BC57" s="1343" t="str">
        <f>IFERROR($T57+VLOOKUP($R57,'Voyage days'!$L$483:$N$535,3,FALSE),"")</f>
        <v/>
      </c>
      <c r="BD57" s="1316" t="str">
        <f t="shared" si="89"/>
        <v/>
      </c>
      <c r="BE57" s="1343" t="str">
        <f>IFERROR(#REF!+VLOOKUP($R57,'Voyage days'!$F$620:$H$646,3,FALSE),"")</f>
        <v/>
      </c>
      <c r="BF57" s="1343" t="str">
        <f>IFERROR($T57+VLOOKUP($R57,'Voyage days'!$F$620:$H$646,3,FALSE),"")</f>
        <v/>
      </c>
      <c r="BG57" s="1316" t="str">
        <f t="shared" si="90"/>
        <v/>
      </c>
      <c r="BH57" s="1321" t="str">
        <f>IFERROR(#REF!+VLOOKUP($R57,'Voyage days'!$F$702:$H$727,3,FALSE),"")</f>
        <v/>
      </c>
      <c r="BI57" s="1321" t="str">
        <f>IFERROR($T57+VLOOKUP($R57,'Voyage days'!$F$702:$H$727,3,FALSE),"")</f>
        <v/>
      </c>
      <c r="BJ57" s="1321"/>
      <c r="BK57" s="1321"/>
      <c r="BL57" s="1321"/>
      <c r="BM57" s="1321"/>
      <c r="BN57" s="1321"/>
      <c r="BO57" s="1321"/>
      <c r="BP57" s="1321"/>
    </row>
    <row r="58">
      <c r="A58" s="606" t="s">
        <v>470</v>
      </c>
      <c r="B58" s="1005">
        <v>36699.0</v>
      </c>
      <c r="C58" s="1344">
        <v>78888.0</v>
      </c>
      <c r="D58" s="1443">
        <v>9194969.0</v>
      </c>
      <c r="E58" s="1345" t="s">
        <v>3538</v>
      </c>
      <c r="F58" s="686" t="s">
        <v>3539</v>
      </c>
      <c r="G58" s="1345" t="s">
        <v>3540</v>
      </c>
      <c r="H58" s="1316"/>
      <c r="I58" s="1316"/>
      <c r="J58" s="1316" t="str">
        <f>IF(K58="","",VLOOKUP(K58,'Voyage days'!$A$3:$B$1480,2,FALSE))</f>
        <v>AG</v>
      </c>
      <c r="K58" s="1444" t="str">
        <f>IF(VLOOKUP(A58,'1) Kpler'!$E$2:$O$500,8, FALSE)="",VLOOKUP(A58,'1) Kpler'!$E$2:$O$500,10,FALSE),VLOOKUP(A58,'1) Kpler'!$E$2:$O$500,8, FALSE))</f>
        <v>Advario Oman</v>
      </c>
      <c r="L58" s="1445">
        <f>IF(VLOOKUP(A58,'1) Kpler'!$E$2:$O$600,9,FALSE)="","",VLOOKUP(A58,'1) Kpler'!$E$2:$O$500,9,FALSE))</f>
        <v>46131.875</v>
      </c>
      <c r="M58" s="1444" t="str">
        <f>VLOOKUP(A58,'1) Kpler'!$E$2:$H$600,4,FALSE)</f>
        <v>ballast</v>
      </c>
      <c r="N58" s="1350"/>
      <c r="O58" s="1351"/>
      <c r="P58" s="686" t="s">
        <v>1695</v>
      </c>
      <c r="Q58" s="686"/>
      <c r="R58" s="686"/>
      <c r="S58" s="1345" t="s">
        <v>2208</v>
      </c>
      <c r="T58" s="1350">
        <v>45439.0</v>
      </c>
      <c r="U58" s="686"/>
      <c r="V58" s="1352" t="s">
        <v>3466</v>
      </c>
      <c r="W58" s="686"/>
      <c r="X58" s="686"/>
      <c r="Y58" s="686"/>
      <c r="Z58" s="1448"/>
      <c r="AA58" s="1438"/>
      <c r="AF58" s="1316" t="str">
        <f t="shared" si="81"/>
        <v/>
      </c>
      <c r="AG58" s="1343" t="str">
        <f>IFERROR(#REF!+VLOOKUP($R58,'Voyage days'!$F$38:$H$89,3,FALSE),"")</f>
        <v/>
      </c>
      <c r="AH58" s="1343" t="str">
        <f>IFERROR(T58+VLOOKUP($R58,'Voyage days'!$F$38:$H$89,3,FALSE),"")</f>
        <v/>
      </c>
      <c r="AI58" s="1316" t="str">
        <f t="shared" si="82"/>
        <v/>
      </c>
      <c r="AJ58" s="1343" t="str">
        <f>IF(P58="P",IFERROR(#REF!+VLOOKUP($R58,'Voyage days'!$F$94:$H$193,3,FALSE),""),"")</f>
        <v/>
      </c>
      <c r="AK58" s="1343" t="str">
        <f>IF(P58="P",IFERROR($T58+VLOOKUP($R58,'Voyage days'!$F$94:$H$193,3,FALSE),""),"")</f>
        <v/>
      </c>
      <c r="AL58" s="1316" t="str">
        <f t="shared" si="83"/>
        <v/>
      </c>
      <c r="AM58" s="1343" t="str">
        <f>IFERROR(#REF!+VLOOKUP($R58,'Voyage days'!$F$203:$H$256,3,FALSE),"")</f>
        <v/>
      </c>
      <c r="AN58" s="1343" t="str">
        <f>IFERROR($T58+VLOOKUP($R58,'Voyage days'!$F$203:$H$256,3,FALSE),"")</f>
        <v/>
      </c>
      <c r="AO58" s="1316" t="str">
        <f t="shared" si="84"/>
        <v/>
      </c>
      <c r="AP58" s="1343" t="str">
        <f>IFERROR(#REF!+VLOOKUP($R58,'Voyage days'!$F$294:$H$377,3,FALSE),"")</f>
        <v/>
      </c>
      <c r="AQ58" s="1343" t="str">
        <f>IFERROR($T58+VLOOKUP($R58,'Voyage days'!$F$294:$H$377,3,FALSE),"")</f>
        <v/>
      </c>
      <c r="AR58" s="1316" t="str">
        <f t="shared" si="85"/>
        <v/>
      </c>
      <c r="AS58" s="1343" t="str">
        <f>IFERROR(#REF!+VLOOKUP($R58,'Voyage days'!$F$382:$H$446,3,FALSE),"")</f>
        <v/>
      </c>
      <c r="AT58" s="1343" t="str">
        <f>IFERROR($T58+VLOOKUP($R58,'Voyage days'!$F$382:$H$446,3,FALSE),"")</f>
        <v/>
      </c>
      <c r="AU58" s="1316" t="str">
        <f t="shared" si="86"/>
        <v/>
      </c>
      <c r="AV58" s="1343" t="str">
        <f>IFERROR(#REF!+VLOOKUP($R58,'Voyage days'!$F$483:$H$538,3,FALSE),"")</f>
        <v/>
      </c>
      <c r="AW58" s="1343" t="str">
        <f>IFERROR($T58+VLOOKUP($R58,'Voyage days'!$F$483:$H$538,3,FALSE),"")</f>
        <v/>
      </c>
      <c r="AX58" s="1316" t="str">
        <f t="shared" si="87"/>
        <v/>
      </c>
      <c r="AY58" s="1343" t="str">
        <f>IFERROR(#REF!+VLOOKUP($R58,'Voyage days'!$F$540:$H$613,3,FALSE),"")</f>
        <v/>
      </c>
      <c r="AZ58" s="1343" t="str">
        <f>IFERROR($T58+VLOOKUP($R58,'Voyage days'!$F$540:$H$613,3,FALSE),"")</f>
        <v/>
      </c>
      <c r="BA58" s="1316" t="str">
        <f t="shared" si="88"/>
        <v/>
      </c>
      <c r="BB58" s="1343" t="str">
        <f>IFERROR(#REF!+VLOOKUP($R58,'Voyage days'!$L$483:$N$535,3,FALSE),"")</f>
        <v/>
      </c>
      <c r="BC58" s="1343" t="str">
        <f>IFERROR($T58+VLOOKUP($R58,'Voyage days'!$L$483:$N$535,3,FALSE),"")</f>
        <v/>
      </c>
      <c r="BD58" s="1316" t="str">
        <f t="shared" si="89"/>
        <v/>
      </c>
      <c r="BE58" s="1343" t="str">
        <f>IFERROR(#REF!+VLOOKUP($R58,'Voyage days'!$F$620:$H$646,3,FALSE),"")</f>
        <v/>
      </c>
      <c r="BF58" s="1343" t="str">
        <f>IFERROR($T58+VLOOKUP($R58,'Voyage days'!$F$620:$H$646,3,FALSE),"")</f>
        <v/>
      </c>
      <c r="BG58" s="1316" t="str">
        <f t="shared" si="90"/>
        <v/>
      </c>
      <c r="BH58" s="1321" t="str">
        <f>IFERROR(#REF!+VLOOKUP($R58,'Voyage days'!$F$702:$H$727,3,FALSE),"")</f>
        <v/>
      </c>
      <c r="BI58" s="1321" t="str">
        <f>IFERROR($T58+VLOOKUP($R58,'Voyage days'!$F$702:$H$727,3,FALSE),"")</f>
        <v/>
      </c>
      <c r="BJ58" s="1321"/>
      <c r="BK58" s="1321"/>
      <c r="BL58" s="1321"/>
      <c r="BM58" s="1321"/>
      <c r="BN58" s="1321"/>
      <c r="BO58" s="1321"/>
      <c r="BP58" s="1321"/>
    </row>
    <row r="59" ht="15.75" customHeight="1">
      <c r="A59" s="676" t="s">
        <v>3527</v>
      </c>
      <c r="B59" s="1449">
        <v>39600.0</v>
      </c>
      <c r="C59" s="1045">
        <v>75000.0</v>
      </c>
      <c r="D59" s="1443">
        <v>9379404.0</v>
      </c>
      <c r="E59" s="1450" t="s">
        <v>1604</v>
      </c>
      <c r="F59" s="686"/>
      <c r="G59" s="1451" t="s">
        <v>3529</v>
      </c>
      <c r="H59" s="1452"/>
      <c r="I59" s="551"/>
      <c r="K59" s="1444" t="str">
        <f>IF(VLOOKUP(A59,'1) Kpler'!$E$2:$O$500,8, FALSE)="",VLOOKUP(A59,'1) Kpler'!$E$2:$O$500,10,FALSE),VLOOKUP(A59,'1) Kpler'!$E$2:$O$500,8, FALSE))</f>
        <v>#N/A</v>
      </c>
      <c r="L59" s="1445" t="str">
        <f>IF(VLOOKUP(A59,'1) Kpler'!$E$2:$O$600,9,FALSE)="","",VLOOKUP(A59,'1) Kpler'!$E$2:$O$500,9,FALSE))</f>
        <v>#N/A</v>
      </c>
      <c r="M59" s="1444" t="str">
        <f>VLOOKUP(A59,'1) Kpler'!$E$2:$H$600,4,FALSE)</f>
        <v>#N/A</v>
      </c>
      <c r="N59" s="238"/>
      <c r="O59" s="238"/>
      <c r="P59" s="686"/>
      <c r="Q59" s="686"/>
      <c r="R59" s="686"/>
      <c r="S59" s="1345"/>
      <c r="T59" s="1350"/>
      <c r="U59" s="686"/>
      <c r="V59" s="1352"/>
      <c r="W59" s="686"/>
      <c r="X59" s="686"/>
      <c r="Y59" s="686"/>
      <c r="Z59" s="1353"/>
      <c r="AA59" s="1343"/>
      <c r="AF59" s="1316"/>
      <c r="AG59" s="1343"/>
      <c r="AH59" s="1343"/>
      <c r="AI59" s="1316"/>
      <c r="AJ59" s="1343"/>
      <c r="AK59" s="1343"/>
      <c r="AL59" s="1316"/>
      <c r="AM59" s="1343"/>
      <c r="AN59" s="1343"/>
      <c r="AO59" s="1316"/>
      <c r="AP59" s="1343"/>
      <c r="AQ59" s="1343"/>
      <c r="AR59" s="1316"/>
      <c r="AS59" s="1343"/>
      <c r="AT59" s="1343"/>
      <c r="AU59" s="1316"/>
      <c r="AV59" s="1343"/>
      <c r="AW59" s="1343"/>
      <c r="AX59" s="1316"/>
      <c r="AY59" s="1343"/>
      <c r="AZ59" s="1343"/>
      <c r="BA59" s="1316"/>
      <c r="BB59" s="1343"/>
      <c r="BC59" s="1343"/>
      <c r="BD59" s="1316"/>
      <c r="BE59" s="1343"/>
      <c r="BF59" s="1343"/>
      <c r="BG59" s="1316"/>
      <c r="BH59" s="1321"/>
      <c r="BI59" s="1321"/>
      <c r="BJ59" s="1321"/>
      <c r="BK59" s="1321"/>
      <c r="BL59" s="1321"/>
      <c r="BM59" s="1321"/>
      <c r="BN59" s="1321"/>
      <c r="BO59" s="1321"/>
      <c r="BP59" s="1321"/>
    </row>
    <row r="60" ht="15.75" customHeight="1">
      <c r="A60" s="606" t="s">
        <v>3541</v>
      </c>
      <c r="B60" s="1344">
        <v>2006.0</v>
      </c>
      <c r="C60" s="1344">
        <v>83000.0</v>
      </c>
      <c r="D60" s="1443">
        <v>9307748.0</v>
      </c>
      <c r="E60" s="1345" t="s">
        <v>3542</v>
      </c>
      <c r="F60" s="686" t="s">
        <v>3543</v>
      </c>
      <c r="G60" s="1387"/>
      <c r="H60" s="1316"/>
      <c r="I60" s="1316"/>
      <c r="J60" s="1316" t="str">
        <f>IF(K60="","",VLOOKUP(K60,'Voyage days'!$A$3:$B$1480,2,FALSE))</f>
        <v>#N/A</v>
      </c>
      <c r="K60" s="1444" t="str">
        <f>IF(VLOOKUP(A60,'1) Kpler'!$E$2:$O$500,8, FALSE)="",VLOOKUP(A60,'1) Kpler'!$E$2:$O$500,10,FALSE),VLOOKUP(A60,'1) Kpler'!$E$2:$O$500,8, FALSE))</f>
        <v>#N/A</v>
      </c>
      <c r="L60" s="1445" t="str">
        <f>IF(VLOOKUP(A60,'1) Kpler'!$E$2:$O$600,9,FALSE)="","",VLOOKUP(A60,'1) Kpler'!$E$2:$O$500,9,FALSE))</f>
        <v>#N/A</v>
      </c>
      <c r="M60" s="1444" t="str">
        <f>VLOOKUP(A60,'1) Kpler'!$E$2:$H$600,4,FALSE)</f>
        <v>#N/A</v>
      </c>
      <c r="N60" s="1350"/>
      <c r="O60" s="1351"/>
      <c r="P60" s="686" t="s">
        <v>1687</v>
      </c>
      <c r="Q60" s="686"/>
      <c r="R60" s="686"/>
      <c r="S60" s="1345" t="s">
        <v>2208</v>
      </c>
      <c r="T60" s="1350">
        <v>45462.0</v>
      </c>
      <c r="U60" s="686"/>
      <c r="V60" s="1352" t="s">
        <v>3466</v>
      </c>
      <c r="W60" s="686"/>
      <c r="X60" s="686"/>
      <c r="Y60" s="686"/>
      <c r="Z60" s="1353"/>
      <c r="AA60" s="1343"/>
      <c r="AF60" s="1316" t="str">
        <f t="shared" ref="AF60:AF99" si="91">IF(AG60="","",TEXT(AG60,"dd")&amp;"-"&amp;TEXT(AH60,"dd mmm"))</f>
        <v/>
      </c>
      <c r="AG60" s="1343" t="str">
        <f>IFERROR(#REF!+VLOOKUP($R60,'Voyage days'!$F$38:$H$89,3,FALSE),"")</f>
        <v/>
      </c>
      <c r="AH60" s="1343" t="str">
        <f>IFERROR(T60+VLOOKUP($R60,'Voyage days'!$F$38:$H$89,3,FALSE),"")</f>
        <v/>
      </c>
      <c r="AI60" s="1316" t="str">
        <f t="shared" ref="AI60:AI99" si="92">IF(AJ60="","",TEXT(AJ60,"dd")&amp;"-"&amp;TEXT(AK60,"dd mmm"))</f>
        <v/>
      </c>
      <c r="AJ60" s="1343" t="str">
        <f>IF(P60="P",IFERROR(#REF!+VLOOKUP($R60,'Voyage days'!$F$94:$H$193,3,FALSE),""),"")</f>
        <v/>
      </c>
      <c r="AK60" s="1343" t="str">
        <f>IF(P60="P",IFERROR($T60+VLOOKUP($R60,'Voyage days'!$F$94:$H$193,3,FALSE),""),"")</f>
        <v/>
      </c>
      <c r="AL60" s="1316" t="str">
        <f t="shared" ref="AL60:AL99" si="93">IF(AM60="","",TEXT(AM60,"dd")&amp;"-"&amp;TEXT(AN60,"dd mmm"))</f>
        <v/>
      </c>
      <c r="AM60" s="1343" t="str">
        <f>IFERROR(#REF!+VLOOKUP($R60,'Voyage days'!$F$203:$H$256,3,FALSE),"")</f>
        <v/>
      </c>
      <c r="AN60" s="1343" t="str">
        <f>IFERROR($T60+VLOOKUP($R60,'Voyage days'!$F$203:$H$256,3,FALSE),"")</f>
        <v/>
      </c>
      <c r="AO60" s="1316" t="str">
        <f t="shared" ref="AO60:AO99" si="94">IF(AP60="","",TEXT(AP60,"dd")&amp;"-"&amp;TEXT(AQ60,"dd mmm"))</f>
        <v/>
      </c>
      <c r="AP60" s="1343" t="str">
        <f>IFERROR(#REF!+VLOOKUP($R60,'Voyage days'!$F$294:$H$377,3,FALSE),"")</f>
        <v/>
      </c>
      <c r="AQ60" s="1343" t="str">
        <f>IFERROR($T60+VLOOKUP($R60,'Voyage days'!$F$294:$H$377,3,FALSE),"")</f>
        <v/>
      </c>
      <c r="AR60" s="1316" t="str">
        <f t="shared" ref="AR60:AR99" si="95">IF(AS60="","",TEXT(AS60,"dd")&amp;"-"&amp;TEXT(AT60,"dd mmm"))</f>
        <v/>
      </c>
      <c r="AS60" s="1343" t="str">
        <f>IFERROR(#REF!+VLOOKUP($R60,'Voyage days'!$F$382:$H$446,3,FALSE),"")</f>
        <v/>
      </c>
      <c r="AT60" s="1343" t="str">
        <f>IFERROR($T60+VLOOKUP($R60,'Voyage days'!$F$382:$H$446,3,FALSE),"")</f>
        <v/>
      </c>
      <c r="AU60" s="1316" t="str">
        <f t="shared" ref="AU60:AU99" si="96">IF(AV60="","",TEXT(AV60,"dd")&amp;"-"&amp;TEXT(AW60,"dd mmm"))</f>
        <v/>
      </c>
      <c r="AV60" s="1343" t="str">
        <f>IFERROR(#REF!+VLOOKUP($R60,'Voyage days'!$F$483:$H$538,3,FALSE),"")</f>
        <v/>
      </c>
      <c r="AW60" s="1343" t="str">
        <f>IFERROR($T60+VLOOKUP($R60,'Voyage days'!$F$483:$H$538,3,FALSE),"")</f>
        <v/>
      </c>
      <c r="AX60" s="1316" t="str">
        <f t="shared" ref="AX60:AX99" si="97">IF(AY60="","",TEXT(AY60,"dd")&amp;"-"&amp;TEXT(AZ60,"dd mmm"))</f>
        <v/>
      </c>
      <c r="AY60" s="1343" t="str">
        <f>IFERROR(#REF!+VLOOKUP($R60,'Voyage days'!$F$540:$H$613,3,FALSE),"")</f>
        <v/>
      </c>
      <c r="AZ60" s="1343" t="str">
        <f>IFERROR($T60+VLOOKUP($R60,'Voyage days'!$F$540:$H$613,3,FALSE),"")</f>
        <v/>
      </c>
      <c r="BA60" s="1316" t="str">
        <f t="shared" ref="BA60:BA99" si="98">IF(BB60="","",TEXT(BB60,"dd")&amp;"-"&amp;TEXT(BC60,"dd mmm"))</f>
        <v/>
      </c>
      <c r="BB60" s="1343" t="str">
        <f>IFERROR(#REF!+VLOOKUP($R60,'Voyage days'!$L$483:$N$535,3,FALSE),"")</f>
        <v/>
      </c>
      <c r="BC60" s="1343" t="str">
        <f>IFERROR($T60+VLOOKUP($R60,'Voyage days'!$L$483:$N$535,3,FALSE),"")</f>
        <v/>
      </c>
      <c r="BD60" s="1316" t="str">
        <f t="shared" ref="BD60:BD99" si="99">IF(BE60="","",TEXT(BE60,"dd")&amp;"-"&amp;TEXT(BF60,"dd mmm"))</f>
        <v/>
      </c>
      <c r="BE60" s="1343" t="str">
        <f>IFERROR(#REF!+VLOOKUP($R60,'Voyage days'!$F$620:$H$646,3,FALSE),"")</f>
        <v/>
      </c>
      <c r="BF60" s="1343" t="str">
        <f>IFERROR($T60+VLOOKUP($R60,'Voyage days'!$F$620:$H$646,3,FALSE),"")</f>
        <v/>
      </c>
      <c r="BG60" s="1316" t="str">
        <f t="shared" ref="BG60:BG99" si="100">IF(BH60="","",TEXT(BH60,"dd")&amp;"-"&amp;TEXT(BI60,"dd mmm"))</f>
        <v/>
      </c>
      <c r="BH60" s="1321" t="str">
        <f>IFERROR(#REF!+VLOOKUP($R60,'Voyage days'!$F$702:$H$727,3,FALSE),"")</f>
        <v/>
      </c>
      <c r="BI60" s="1321" t="str">
        <f>IFERROR($T60+VLOOKUP($R60,'Voyage days'!$F$702:$H$727,3,FALSE),"")</f>
        <v/>
      </c>
      <c r="BJ60" s="1321"/>
      <c r="BK60" s="1321"/>
      <c r="BL60" s="1321"/>
      <c r="BM60" s="1321"/>
      <c r="BN60" s="1321"/>
      <c r="BO60" s="1321"/>
      <c r="BP60" s="1321"/>
    </row>
    <row r="61">
      <c r="A61" s="606" t="s">
        <v>319</v>
      </c>
      <c r="B61" s="1005">
        <v>36465.0</v>
      </c>
      <c r="C61" s="1344">
        <v>78432.0</v>
      </c>
      <c r="D61" s="1443">
        <v>9172636.0</v>
      </c>
      <c r="E61" s="1345" t="s">
        <v>3544</v>
      </c>
      <c r="F61" s="686" t="s">
        <v>3545</v>
      </c>
      <c r="G61" s="1387" t="s">
        <v>3546</v>
      </c>
      <c r="H61" s="1316"/>
      <c r="I61" s="1316"/>
      <c r="J61" s="1316" t="str">
        <f>IF(K61="","",VLOOKUP(K61,'Voyage days'!$A$3:$B$1480,2,FALSE))</f>
        <v>Galle +2</v>
      </c>
      <c r="K61" s="1444" t="str">
        <f>IF(VLOOKUP(A61,'1) Kpler'!$E$2:$O$500,8, FALSE)="",VLOOKUP(A61,'1) Kpler'!$E$2:$O$500,10,FALSE),VLOOKUP(A61,'1) Kpler'!$E$2:$O$500,8, FALSE))</f>
        <v>Galle</v>
      </c>
      <c r="L61" s="1445">
        <f>IF(VLOOKUP(A61,'1) Kpler'!$E$2:$O$600,9,FALSE)="","",VLOOKUP(A61,'1) Kpler'!$E$2:$O$500,9,FALSE))</f>
        <v>46131.875</v>
      </c>
      <c r="M61" s="1444" t="str">
        <f>VLOOKUP(A61,'1) Kpler'!$E$2:$H$600,4,FALSE)</f>
        <v>ballast</v>
      </c>
      <c r="N61" s="1350"/>
      <c r="O61" s="1351"/>
      <c r="P61" s="686" t="s">
        <v>570</v>
      </c>
      <c r="Q61" s="686"/>
      <c r="R61" s="686"/>
      <c r="S61" s="1345" t="s">
        <v>2208</v>
      </c>
      <c r="T61" s="1350">
        <v>45444.0</v>
      </c>
      <c r="U61" s="686"/>
      <c r="V61" s="1352" t="s">
        <v>3466</v>
      </c>
      <c r="W61" s="686"/>
      <c r="X61" s="686"/>
      <c r="Y61" s="686"/>
      <c r="Z61" s="1353"/>
      <c r="AA61" s="1343"/>
      <c r="AF61" s="1316" t="str">
        <f t="shared" si="91"/>
        <v/>
      </c>
      <c r="AG61" s="1343" t="str">
        <f>IFERROR(#REF!+VLOOKUP($R61,'Voyage days'!$F$38:$H$89,3,FALSE),"")</f>
        <v/>
      </c>
      <c r="AH61" s="1343" t="str">
        <f>IFERROR(T61+VLOOKUP($R61,'Voyage days'!$F$38:$H$89,3,FALSE),"")</f>
        <v/>
      </c>
      <c r="AI61" s="1316" t="str">
        <f t="shared" si="92"/>
        <v/>
      </c>
      <c r="AJ61" s="1343" t="str">
        <f>IF(P61="P",IFERROR(#REF!+VLOOKUP($R61,'Voyage days'!$F$94:$H$193,3,FALSE),""),"")</f>
        <v/>
      </c>
      <c r="AK61" s="1343" t="str">
        <f>IF(P61="P",IFERROR($T61+VLOOKUP($R61,'Voyage days'!$F$94:$H$193,3,FALSE),""),"")</f>
        <v/>
      </c>
      <c r="AL61" s="1316" t="str">
        <f t="shared" si="93"/>
        <v/>
      </c>
      <c r="AM61" s="1343" t="str">
        <f>IFERROR(#REF!+VLOOKUP($R61,'Voyage days'!$F$203:$H$256,3,FALSE),"")</f>
        <v/>
      </c>
      <c r="AN61" s="1343" t="str">
        <f>IFERROR($T61+VLOOKUP($R61,'Voyage days'!$F$203:$H$256,3,FALSE),"")</f>
        <v/>
      </c>
      <c r="AO61" s="1316" t="str">
        <f t="shared" si="94"/>
        <v/>
      </c>
      <c r="AP61" s="1343" t="str">
        <f>IFERROR(#REF!+VLOOKUP($R61,'Voyage days'!$F$294:$H$377,3,FALSE),"")</f>
        <v/>
      </c>
      <c r="AQ61" s="1343" t="str">
        <f>IFERROR($T61+VLOOKUP($R61,'Voyage days'!$F$294:$H$377,3,FALSE),"")</f>
        <v/>
      </c>
      <c r="AR61" s="1316" t="str">
        <f t="shared" si="95"/>
        <v/>
      </c>
      <c r="AS61" s="1343" t="str">
        <f>IFERROR(#REF!+VLOOKUP($R61,'Voyage days'!$F$382:$H$446,3,FALSE),"")</f>
        <v/>
      </c>
      <c r="AT61" s="1343" t="str">
        <f>IFERROR($T61+VLOOKUP($R61,'Voyage days'!$F$382:$H$446,3,FALSE),"")</f>
        <v/>
      </c>
      <c r="AU61" s="1316" t="str">
        <f t="shared" si="96"/>
        <v/>
      </c>
      <c r="AV61" s="1343" t="str">
        <f>IFERROR(#REF!+VLOOKUP($R61,'Voyage days'!$F$483:$H$538,3,FALSE),"")</f>
        <v/>
      </c>
      <c r="AW61" s="1343" t="str">
        <f>IFERROR($T61+VLOOKUP($R61,'Voyage days'!$F$483:$H$538,3,FALSE),"")</f>
        <v/>
      </c>
      <c r="AX61" s="1316" t="str">
        <f t="shared" si="97"/>
        <v/>
      </c>
      <c r="AY61" s="1343" t="str">
        <f>IFERROR(#REF!+VLOOKUP($R61,'Voyage days'!$F$540:$H$613,3,FALSE),"")</f>
        <v/>
      </c>
      <c r="AZ61" s="1343" t="str">
        <f>IFERROR($T61+VLOOKUP($R61,'Voyage days'!$F$540:$H$613,3,FALSE),"")</f>
        <v/>
      </c>
      <c r="BA61" s="1316" t="str">
        <f t="shared" si="98"/>
        <v/>
      </c>
      <c r="BB61" s="1343" t="str">
        <f>IFERROR(#REF!+VLOOKUP($R61,'Voyage days'!$L$483:$N$535,3,FALSE),"")</f>
        <v/>
      </c>
      <c r="BC61" s="1343" t="str">
        <f>IFERROR($T61+VLOOKUP($R61,'Voyage days'!$L$483:$N$535,3,FALSE),"")</f>
        <v/>
      </c>
      <c r="BD61" s="1316" t="str">
        <f t="shared" si="99"/>
        <v/>
      </c>
      <c r="BE61" s="1343" t="str">
        <f>IFERROR(#REF!+VLOOKUP($R61,'Voyage days'!$F$620:$H$646,3,FALSE),"")</f>
        <v/>
      </c>
      <c r="BF61" s="1343" t="str">
        <f>IFERROR($T61+VLOOKUP($R61,'Voyage days'!$F$620:$H$646,3,FALSE),"")</f>
        <v/>
      </c>
      <c r="BG61" s="1316" t="str">
        <f t="shared" si="100"/>
        <v/>
      </c>
      <c r="BH61" s="1321" t="str">
        <f>IFERROR(#REF!+VLOOKUP($R61,'Voyage days'!$F$702:$H$727,3,FALSE),"")</f>
        <v/>
      </c>
      <c r="BI61" s="1321" t="str">
        <f>IFERROR($T61+VLOOKUP($R61,'Voyage days'!$F$702:$H$727,3,FALSE),"")</f>
        <v/>
      </c>
      <c r="BJ61" s="1321"/>
      <c r="BK61" s="1321"/>
      <c r="BL61" s="1321"/>
      <c r="BM61" s="1321"/>
      <c r="BN61" s="1321"/>
      <c r="BO61" s="1321"/>
      <c r="BP61" s="1321"/>
    </row>
    <row r="62" ht="15.75" customHeight="1">
      <c r="A62" s="1316" t="s">
        <v>286</v>
      </c>
      <c r="B62" s="1005">
        <v>37712.0</v>
      </c>
      <c r="C62" s="1344">
        <v>82000.0</v>
      </c>
      <c r="D62" s="1443">
        <v>9240419.0</v>
      </c>
      <c r="E62" s="1345" t="s">
        <v>3544</v>
      </c>
      <c r="F62" s="686" t="s">
        <v>3545</v>
      </c>
      <c r="G62" s="1345" t="s">
        <v>3547</v>
      </c>
      <c r="H62" s="606"/>
      <c r="I62" s="1316"/>
      <c r="J62" s="1316" t="str">
        <f>IF(K62="","",VLOOKUP(K62,'Voyage days'!$A$3:$B$1480,2,FALSE))</f>
        <v>Singapore</v>
      </c>
      <c r="K62" s="1444" t="str">
        <f>IF(VLOOKUP(A62,'1) Kpler'!$E$2:$O$500,8, FALSE)="",VLOOKUP(A62,'1) Kpler'!$E$2:$O$500,10,FALSE),VLOOKUP(A62,'1) Kpler'!$E$2:$O$500,8, FALSE))</f>
        <v>Singapore</v>
      </c>
      <c r="L62" s="1445">
        <f>IF(VLOOKUP(A62,'1) Kpler'!$E$2:$O$600,9,FALSE)="","",VLOOKUP(A62,'1) Kpler'!$E$2:$O$500,9,FALSE))</f>
        <v>46134.5</v>
      </c>
      <c r="M62" s="1444" t="str">
        <f>VLOOKUP(A62,'1) Kpler'!$E$2:$H$600,4,FALSE)</f>
        <v>loaded</v>
      </c>
      <c r="N62" s="1350"/>
      <c r="O62" s="1351"/>
      <c r="P62" s="686" t="s">
        <v>570</v>
      </c>
      <c r="Q62" s="686"/>
      <c r="R62" s="686"/>
      <c r="S62" s="1345" t="s">
        <v>46</v>
      </c>
      <c r="T62" s="1350">
        <v>45470.0</v>
      </c>
      <c r="U62" s="686"/>
      <c r="V62" s="1352" t="s">
        <v>3466</v>
      </c>
      <c r="W62" s="686"/>
      <c r="X62" s="686"/>
      <c r="Y62" s="686"/>
      <c r="Z62" s="1353"/>
      <c r="AA62" s="1343"/>
      <c r="AF62" s="1316" t="str">
        <f t="shared" si="91"/>
        <v/>
      </c>
      <c r="AG62" s="1343" t="str">
        <f>IFERROR(#REF!+VLOOKUP($R62,'Voyage days'!$F$38:$H$89,3,FALSE),"")</f>
        <v/>
      </c>
      <c r="AH62" s="1343" t="str">
        <f>IFERROR(T62+VLOOKUP($R62,'Voyage days'!$F$38:$H$89,3,FALSE),"")</f>
        <v/>
      </c>
      <c r="AI62" s="1316" t="str">
        <f t="shared" si="92"/>
        <v/>
      </c>
      <c r="AJ62" s="1343" t="str">
        <f>IF(P62="P",IFERROR(#REF!+VLOOKUP($R62,'Voyage days'!$F$94:$H$193,3,FALSE),""),"")</f>
        <v/>
      </c>
      <c r="AK62" s="1343" t="str">
        <f>IF(P62="P",IFERROR($T62+VLOOKUP($R62,'Voyage days'!$F$94:$H$193,3,FALSE),""),"")</f>
        <v/>
      </c>
      <c r="AL62" s="1316" t="str">
        <f t="shared" si="93"/>
        <v/>
      </c>
      <c r="AM62" s="1343" t="str">
        <f>IFERROR(#REF!+VLOOKUP($R62,'Voyage days'!$F$203:$H$256,3,FALSE),"")</f>
        <v/>
      </c>
      <c r="AN62" s="1343" t="str">
        <f>IFERROR($T62+VLOOKUP($R62,'Voyage days'!$F$203:$H$256,3,FALSE),"")</f>
        <v/>
      </c>
      <c r="AO62" s="1316" t="str">
        <f t="shared" si="94"/>
        <v/>
      </c>
      <c r="AP62" s="1343" t="str">
        <f>IFERROR(#REF!+VLOOKUP($R62,'Voyage days'!$F$294:$H$377,3,FALSE),"")</f>
        <v/>
      </c>
      <c r="AQ62" s="1343" t="str">
        <f>IFERROR($T62+VLOOKUP($R62,'Voyage days'!$F$294:$H$377,3,FALSE),"")</f>
        <v/>
      </c>
      <c r="AR62" s="1316" t="str">
        <f t="shared" si="95"/>
        <v/>
      </c>
      <c r="AS62" s="1343" t="str">
        <f>IFERROR(#REF!+VLOOKUP($R62,'Voyage days'!$F$382:$H$446,3,FALSE),"")</f>
        <v/>
      </c>
      <c r="AT62" s="1343" t="str">
        <f>IFERROR($T62+VLOOKUP($R62,'Voyage days'!$F$382:$H$446,3,FALSE),"")</f>
        <v/>
      </c>
      <c r="AU62" s="1316" t="str">
        <f t="shared" si="96"/>
        <v/>
      </c>
      <c r="AV62" s="1343" t="str">
        <f>IFERROR(#REF!+VLOOKUP($R62,'Voyage days'!$F$483:$H$538,3,FALSE),"")</f>
        <v/>
      </c>
      <c r="AW62" s="1343" t="str">
        <f>IFERROR($T62+VLOOKUP($R62,'Voyage days'!$F$483:$H$538,3,FALSE),"")</f>
        <v/>
      </c>
      <c r="AX62" s="1316" t="str">
        <f t="shared" si="97"/>
        <v/>
      </c>
      <c r="AY62" s="1343" t="str">
        <f>IFERROR(#REF!+VLOOKUP($R62,'Voyage days'!$F$540:$H$613,3,FALSE),"")</f>
        <v/>
      </c>
      <c r="AZ62" s="1343" t="str">
        <f>IFERROR($T62+VLOOKUP($R62,'Voyage days'!$F$540:$H$613,3,FALSE),"")</f>
        <v/>
      </c>
      <c r="BA62" s="1316" t="str">
        <f t="shared" si="98"/>
        <v/>
      </c>
      <c r="BB62" s="1343" t="str">
        <f>IFERROR(#REF!+VLOOKUP($R62,'Voyage days'!$L$483:$N$535,3,FALSE),"")</f>
        <v/>
      </c>
      <c r="BC62" s="1343" t="str">
        <f>IFERROR($T62+VLOOKUP($R62,'Voyage days'!$L$483:$N$535,3,FALSE),"")</f>
        <v/>
      </c>
      <c r="BD62" s="1316" t="str">
        <f t="shared" si="99"/>
        <v/>
      </c>
      <c r="BE62" s="1343" t="str">
        <f>IFERROR(#REF!+VLOOKUP($R62,'Voyage days'!$F$620:$H$646,3,FALSE),"")</f>
        <v/>
      </c>
      <c r="BF62" s="1343" t="str">
        <f>IFERROR($T62+VLOOKUP($R62,'Voyage days'!$F$620:$H$646,3,FALSE),"")</f>
        <v/>
      </c>
      <c r="BG62" s="1316" t="str">
        <f t="shared" si="100"/>
        <v/>
      </c>
      <c r="BH62" s="1321" t="str">
        <f>IFERROR(#REF!+VLOOKUP($R62,'Voyage days'!$F$702:$H$727,3,FALSE),"")</f>
        <v/>
      </c>
      <c r="BI62" s="1321" t="str">
        <f>IFERROR($T62+VLOOKUP($R62,'Voyage days'!$F$702:$H$727,3,FALSE),"")</f>
        <v/>
      </c>
      <c r="BJ62" s="1321"/>
      <c r="BK62" s="1321"/>
      <c r="BL62" s="1321"/>
      <c r="BM62" s="1321"/>
      <c r="BN62" s="1321"/>
      <c r="BO62" s="1321"/>
      <c r="BP62" s="1321"/>
    </row>
    <row r="63" ht="15.75" customHeight="1">
      <c r="A63" s="606" t="s">
        <v>3548</v>
      </c>
      <c r="B63" s="1002">
        <v>39508.0</v>
      </c>
      <c r="C63" s="1344">
        <v>83783.0</v>
      </c>
      <c r="D63" s="1443" t="e">
        <v>#N/A</v>
      </c>
      <c r="E63" s="1345" t="s">
        <v>3549</v>
      </c>
      <c r="F63" s="686" t="s">
        <v>3550</v>
      </c>
      <c r="G63" s="1345" t="s">
        <v>3551</v>
      </c>
      <c r="H63" s="606"/>
      <c r="I63" s="1316" t="s">
        <v>3552</v>
      </c>
      <c r="J63" s="1316" t="str">
        <f>IF(K63="","",VLOOKUP(K63,'Voyage days'!$A$3:$B$1480,2,FALSE))</f>
        <v>#N/A</v>
      </c>
      <c r="K63" s="1444" t="str">
        <f>IF(VLOOKUP(A63,'1) Kpler'!$E$2:$O$500,8, FALSE)="",VLOOKUP(A63,'1) Kpler'!$E$2:$O$500,10,FALSE),VLOOKUP(A63,'1) Kpler'!$E$2:$O$500,8, FALSE))</f>
        <v>#N/A</v>
      </c>
      <c r="L63" s="1445" t="str">
        <f>IF(VLOOKUP(A63,'1) Kpler'!$E$2:$O$600,9,FALSE)="","",VLOOKUP(A63,'1) Kpler'!$E$2:$O$500,9,FALSE))</f>
        <v>#N/A</v>
      </c>
      <c r="M63" s="1444" t="str">
        <f>VLOOKUP(A63,'1) Kpler'!$E$2:$H$600,4,FALSE)</f>
        <v>#N/A</v>
      </c>
      <c r="N63" s="1350"/>
      <c r="O63" s="1436"/>
      <c r="P63" s="686" t="s">
        <v>1687</v>
      </c>
      <c r="Q63" s="686"/>
      <c r="R63" s="686"/>
      <c r="S63" s="1345" t="s">
        <v>2086</v>
      </c>
      <c r="T63" s="1350">
        <v>45438.0</v>
      </c>
      <c r="U63" s="686"/>
      <c r="V63" s="1352" t="s">
        <v>3466</v>
      </c>
      <c r="W63" s="686"/>
      <c r="X63" s="686"/>
      <c r="Y63" s="686"/>
      <c r="Z63" s="1353"/>
      <c r="AA63" s="606"/>
      <c r="AF63" s="1316" t="str">
        <f t="shared" si="91"/>
        <v/>
      </c>
      <c r="AG63" s="1343" t="str">
        <f>IFERROR(#REF!+VLOOKUP($R63,'Voyage days'!$F$38:$H$89,3,FALSE),"")</f>
        <v/>
      </c>
      <c r="AH63" s="1343" t="str">
        <f>IFERROR(T63+VLOOKUP($R63,'Voyage days'!$F$38:$H$89,3,FALSE),"")</f>
        <v/>
      </c>
      <c r="AI63" s="1316" t="str">
        <f t="shared" si="92"/>
        <v/>
      </c>
      <c r="AJ63" s="1343" t="str">
        <f>IF(P63="P",IFERROR(#REF!+VLOOKUP($R63,'Voyage days'!$F$94:$H$193,3,FALSE),""),"")</f>
        <v/>
      </c>
      <c r="AK63" s="1343" t="str">
        <f>IF(P63="P",IFERROR($T63+VLOOKUP($R63,'Voyage days'!$F$94:$H$193,3,FALSE),""),"")</f>
        <v/>
      </c>
      <c r="AL63" s="1316" t="str">
        <f t="shared" si="93"/>
        <v/>
      </c>
      <c r="AM63" s="1343" t="str">
        <f>IFERROR(#REF!+VLOOKUP($R63,'Voyage days'!$F$203:$H$256,3,FALSE),"")</f>
        <v/>
      </c>
      <c r="AN63" s="1343" t="str">
        <f>IFERROR($T63+VLOOKUP($R63,'Voyage days'!$F$203:$H$256,3,FALSE),"")</f>
        <v/>
      </c>
      <c r="AO63" s="1316" t="str">
        <f t="shared" si="94"/>
        <v/>
      </c>
      <c r="AP63" s="1343" t="str">
        <f>IFERROR(#REF!+VLOOKUP($R63,'Voyage days'!$F$294:$H$377,3,FALSE),"")</f>
        <v/>
      </c>
      <c r="AQ63" s="1343" t="str">
        <f>IFERROR($T63+VLOOKUP($R63,'Voyage days'!$F$294:$H$377,3,FALSE),"")</f>
        <v/>
      </c>
      <c r="AR63" s="1316" t="str">
        <f t="shared" si="95"/>
        <v/>
      </c>
      <c r="AS63" s="1343" t="str">
        <f>IFERROR(#REF!+VLOOKUP($R63,'Voyage days'!$F$382:$H$446,3,FALSE),"")</f>
        <v/>
      </c>
      <c r="AT63" s="1343" t="str">
        <f>IFERROR($T63+VLOOKUP($R63,'Voyage days'!$F$382:$H$446,3,FALSE),"")</f>
        <v/>
      </c>
      <c r="AU63" s="1316" t="str">
        <f t="shared" si="96"/>
        <v/>
      </c>
      <c r="AV63" s="1343" t="str">
        <f>IFERROR(#REF!+VLOOKUP($R63,'Voyage days'!$F$483:$H$538,3,FALSE),"")</f>
        <v/>
      </c>
      <c r="AW63" s="1343" t="str">
        <f>IFERROR($T63+VLOOKUP($R63,'Voyage days'!$F$483:$H$538,3,FALSE),"")</f>
        <v/>
      </c>
      <c r="AX63" s="1316" t="str">
        <f t="shared" si="97"/>
        <v/>
      </c>
      <c r="AY63" s="1343" t="str">
        <f>IFERROR(#REF!+VLOOKUP($R63,'Voyage days'!$F$540:$H$613,3,FALSE),"")</f>
        <v/>
      </c>
      <c r="AZ63" s="1343" t="str">
        <f>IFERROR($T63+VLOOKUP($R63,'Voyage days'!$F$540:$H$613,3,FALSE),"")</f>
        <v/>
      </c>
      <c r="BA63" s="1316" t="str">
        <f t="shared" si="98"/>
        <v/>
      </c>
      <c r="BB63" s="1343" t="str">
        <f>IFERROR(#REF!+VLOOKUP($R63,'Voyage days'!$L$483:$N$535,3,FALSE),"")</f>
        <v/>
      </c>
      <c r="BC63" s="1343" t="str">
        <f>IFERROR($T63+VLOOKUP($R63,'Voyage days'!$L$483:$N$535,3,FALSE),"")</f>
        <v/>
      </c>
      <c r="BD63" s="1316" t="str">
        <f t="shared" si="99"/>
        <v/>
      </c>
      <c r="BE63" s="1343" t="str">
        <f>IFERROR(#REF!+VLOOKUP($R63,'Voyage days'!$F$620:$H$646,3,FALSE),"")</f>
        <v/>
      </c>
      <c r="BF63" s="1343" t="str">
        <f>IFERROR($T63+VLOOKUP($R63,'Voyage days'!$F$620:$H$646,3,FALSE),"")</f>
        <v/>
      </c>
      <c r="BG63" s="1316" t="str">
        <f t="shared" si="100"/>
        <v/>
      </c>
      <c r="BH63" s="606"/>
      <c r="BI63" s="606"/>
      <c r="BJ63" s="606"/>
      <c r="BK63" s="606"/>
      <c r="BL63" s="606"/>
      <c r="BM63" s="606"/>
      <c r="BN63" s="606"/>
      <c r="BO63" s="606"/>
      <c r="BP63" s="606"/>
    </row>
    <row r="64" ht="15.75" customHeight="1">
      <c r="A64" s="1316" t="s">
        <v>3553</v>
      </c>
      <c r="B64" s="1005">
        <v>37803.0</v>
      </c>
      <c r="C64" s="1344">
        <v>82000.0</v>
      </c>
      <c r="D64" s="1443">
        <v>9240421.0</v>
      </c>
      <c r="E64" s="1345" t="s">
        <v>3549</v>
      </c>
      <c r="F64" s="686" t="s">
        <v>3550</v>
      </c>
      <c r="G64" s="1345" t="s">
        <v>3554</v>
      </c>
      <c r="H64" s="606"/>
      <c r="I64" s="1316" t="s">
        <v>3552</v>
      </c>
      <c r="J64" s="1316" t="str">
        <f>IF(K64="","",VLOOKUP(K64,'Voyage days'!$A$3:$B$1480,2,FALSE))</f>
        <v>#N/A</v>
      </c>
      <c r="K64" s="1444" t="str">
        <f>IF(VLOOKUP(A64,'1) Kpler'!$E$2:$O$500,8, FALSE)="",VLOOKUP(A64,'1) Kpler'!$E$2:$O$500,10,FALSE),VLOOKUP(A64,'1) Kpler'!$E$2:$O$500,8, FALSE))</f>
        <v>#N/A</v>
      </c>
      <c r="L64" s="1445" t="str">
        <f>IF(VLOOKUP(A64,'1) Kpler'!$E$2:$O$600,9,FALSE)="","",VLOOKUP(A64,'1) Kpler'!$E$2:$O$500,9,FALSE))</f>
        <v>#N/A</v>
      </c>
      <c r="M64" s="1444" t="str">
        <f>VLOOKUP(A64,'1) Kpler'!$E$2:$H$600,4,FALSE)</f>
        <v>#N/A</v>
      </c>
      <c r="N64" s="1350"/>
      <c r="O64" s="1389"/>
      <c r="P64" s="1453" t="s">
        <v>1695</v>
      </c>
      <c r="Q64" s="686"/>
      <c r="R64" s="686"/>
      <c r="S64" s="1345" t="s">
        <v>2086</v>
      </c>
      <c r="T64" s="1350">
        <v>45424.0</v>
      </c>
      <c r="U64" s="686"/>
      <c r="V64" s="1352" t="s">
        <v>3466</v>
      </c>
      <c r="W64" s="686"/>
      <c r="X64" s="686"/>
      <c r="Y64" s="686"/>
      <c r="Z64" s="1353"/>
      <c r="AA64" s="606"/>
      <c r="AF64" s="1316" t="str">
        <f t="shared" si="91"/>
        <v/>
      </c>
      <c r="AG64" s="1343" t="str">
        <f>IFERROR(#REF!+VLOOKUP($R64,'Voyage days'!$F$38:$H$89,3,FALSE),"")</f>
        <v/>
      </c>
      <c r="AH64" s="1343" t="str">
        <f>IFERROR(T64+VLOOKUP($R64,'Voyage days'!$F$38:$H$89,3,FALSE),"")</f>
        <v/>
      </c>
      <c r="AI64" s="1316" t="str">
        <f t="shared" si="92"/>
        <v/>
      </c>
      <c r="AJ64" s="1343" t="str">
        <f>IF(P64="P",IFERROR(#REF!+VLOOKUP($R64,'Voyage days'!$F$94:$H$193,3,FALSE),""),"")</f>
        <v/>
      </c>
      <c r="AK64" s="1343" t="str">
        <f>IF(P64="P",IFERROR($T64+VLOOKUP($R64,'Voyage days'!$F$94:$H$193,3,FALSE),""),"")</f>
        <v/>
      </c>
      <c r="AL64" s="1316" t="str">
        <f t="shared" si="93"/>
        <v/>
      </c>
      <c r="AM64" s="1343" t="str">
        <f>IFERROR(#REF!+VLOOKUP($R64,'Voyage days'!$F$203:$H$256,3,FALSE),"")</f>
        <v/>
      </c>
      <c r="AN64" s="1343" t="str">
        <f>IFERROR($T64+VLOOKUP($R64,'Voyage days'!$F$203:$H$256,3,FALSE),"")</f>
        <v/>
      </c>
      <c r="AO64" s="1316" t="str">
        <f t="shared" si="94"/>
        <v/>
      </c>
      <c r="AP64" s="1343" t="str">
        <f>IFERROR(#REF!+VLOOKUP($R64,'Voyage days'!$F$294:$H$377,3,FALSE),"")</f>
        <v/>
      </c>
      <c r="AQ64" s="1343" t="str">
        <f>IFERROR($T64+VLOOKUP($R64,'Voyage days'!$F$294:$H$377,3,FALSE),"")</f>
        <v/>
      </c>
      <c r="AR64" s="1316" t="str">
        <f t="shared" si="95"/>
        <v/>
      </c>
      <c r="AS64" s="1343" t="str">
        <f>IFERROR(#REF!+VLOOKUP($R64,'Voyage days'!$F$382:$H$446,3,FALSE),"")</f>
        <v/>
      </c>
      <c r="AT64" s="1343" t="str">
        <f>IFERROR($T64+VLOOKUP($R64,'Voyage days'!$F$382:$H$446,3,FALSE),"")</f>
        <v/>
      </c>
      <c r="AU64" s="1316" t="str">
        <f t="shared" si="96"/>
        <v/>
      </c>
      <c r="AV64" s="1343" t="str">
        <f>IFERROR(#REF!+VLOOKUP($R64,'Voyage days'!$F$483:$H$538,3,FALSE),"")</f>
        <v/>
      </c>
      <c r="AW64" s="1343" t="str">
        <f>IFERROR($T64+VLOOKUP($R64,'Voyage days'!$F$483:$H$538,3,FALSE),"")</f>
        <v/>
      </c>
      <c r="AX64" s="1316" t="str">
        <f t="shared" si="97"/>
        <v/>
      </c>
      <c r="AY64" s="1343" t="str">
        <f>IFERROR(#REF!+VLOOKUP($R64,'Voyage days'!$F$540:$H$613,3,FALSE),"")</f>
        <v/>
      </c>
      <c r="AZ64" s="1343" t="str">
        <f>IFERROR($T64+VLOOKUP($R64,'Voyage days'!$F$540:$H$613,3,FALSE),"")</f>
        <v/>
      </c>
      <c r="BA64" s="1316" t="str">
        <f t="shared" si="98"/>
        <v/>
      </c>
      <c r="BB64" s="1343" t="str">
        <f>IFERROR(#REF!+VLOOKUP($R64,'Voyage days'!$L$483:$N$535,3,FALSE),"")</f>
        <v/>
      </c>
      <c r="BC64" s="1343" t="str">
        <f>IFERROR($T64+VLOOKUP($R64,'Voyage days'!$L$483:$N$535,3,FALSE),"")</f>
        <v/>
      </c>
      <c r="BD64" s="1316" t="str">
        <f t="shared" si="99"/>
        <v/>
      </c>
      <c r="BE64" s="1343" t="str">
        <f>IFERROR(#REF!+VLOOKUP($R64,'Voyage days'!$F$620:$H$646,3,FALSE),"")</f>
        <v/>
      </c>
      <c r="BF64" s="1343" t="str">
        <f>IFERROR($T64+VLOOKUP($R64,'Voyage days'!$F$620:$H$646,3,FALSE),"")</f>
        <v/>
      </c>
      <c r="BG64" s="1316" t="str">
        <f t="shared" si="100"/>
        <v/>
      </c>
      <c r="BH64" s="606"/>
      <c r="BI64" s="606"/>
      <c r="BJ64" s="606"/>
      <c r="BK64" s="606"/>
      <c r="BL64" s="606"/>
      <c r="BM64" s="606"/>
      <c r="BN64" s="606"/>
      <c r="BO64" s="606"/>
      <c r="BP64" s="606"/>
    </row>
    <row r="65" ht="15.75" customHeight="1">
      <c r="A65" s="606" t="s">
        <v>3555</v>
      </c>
      <c r="B65" s="1005">
        <v>35004.0</v>
      </c>
      <c r="C65" s="1344">
        <v>78479.0</v>
      </c>
      <c r="D65" s="1443">
        <v>9114581.0</v>
      </c>
      <c r="E65" s="1345" t="s">
        <v>3556</v>
      </c>
      <c r="F65" s="686"/>
      <c r="G65" s="1387"/>
      <c r="H65" s="606"/>
      <c r="I65" s="1316"/>
      <c r="J65" s="1316" t="str">
        <f>IF(K65="","",VLOOKUP(K65,'Voyage days'!$A$3:$B$1480,2,FALSE))</f>
        <v>#N/A</v>
      </c>
      <c r="K65" s="1444" t="str">
        <f>IF(VLOOKUP(A65,'1) Kpler'!$E$2:$O$500,8, FALSE)="",VLOOKUP(A65,'1) Kpler'!$E$2:$O$500,10,FALSE),VLOOKUP(A65,'1) Kpler'!$E$2:$O$500,8, FALSE))</f>
        <v>#N/A</v>
      </c>
      <c r="L65" s="1445" t="str">
        <f>IF(VLOOKUP(A65,'1) Kpler'!$E$2:$O$600,9,FALSE)="","",VLOOKUP(A65,'1) Kpler'!$E$2:$O$500,9,FALSE))</f>
        <v>#N/A</v>
      </c>
      <c r="M65" s="1444" t="str">
        <f>VLOOKUP(A65,'1) Kpler'!$E$2:$H$600,4,FALSE)</f>
        <v>#N/A</v>
      </c>
      <c r="N65" s="1350"/>
      <c r="O65" s="1351"/>
      <c r="P65" s="686" t="s">
        <v>570</v>
      </c>
      <c r="Q65" s="686"/>
      <c r="R65" s="686"/>
      <c r="S65" s="1345" t="s">
        <v>2208</v>
      </c>
      <c r="T65" s="1350">
        <v>45398.0</v>
      </c>
      <c r="U65" s="686"/>
      <c r="V65" s="1352" t="s">
        <v>3466</v>
      </c>
      <c r="W65" s="686"/>
      <c r="X65" s="686"/>
      <c r="Y65" s="686"/>
      <c r="Z65" s="1378"/>
      <c r="AA65" s="1321"/>
      <c r="AF65" s="1316" t="str">
        <f t="shared" si="91"/>
        <v/>
      </c>
      <c r="AG65" s="1343" t="str">
        <f>IFERROR(#REF!+VLOOKUP($R65,'Voyage days'!$F$38:$H$89,3,FALSE),"")</f>
        <v/>
      </c>
      <c r="AH65" s="1343" t="str">
        <f>IFERROR(T65+VLOOKUP($R65,'Voyage days'!$F$38:$H$89,3,FALSE),"")</f>
        <v/>
      </c>
      <c r="AI65" s="1316" t="str">
        <f t="shared" si="92"/>
        <v/>
      </c>
      <c r="AJ65" s="1343" t="str">
        <f>IF(P65="P",IFERROR(#REF!+VLOOKUP($R65,'Voyage days'!$F$94:$H$193,3,FALSE),""),"")</f>
        <v/>
      </c>
      <c r="AK65" s="1343" t="str">
        <f>IF(P65="P",IFERROR($T65+VLOOKUP($R65,'Voyage days'!$F$94:$H$193,3,FALSE),""),"")</f>
        <v/>
      </c>
      <c r="AL65" s="1316" t="str">
        <f t="shared" si="93"/>
        <v/>
      </c>
      <c r="AM65" s="1343" t="str">
        <f>IFERROR(#REF!+VLOOKUP($R65,'Voyage days'!$F$203:$H$256,3,FALSE),"")</f>
        <v/>
      </c>
      <c r="AN65" s="1343" t="str">
        <f>IFERROR($T65+VLOOKUP($R65,'Voyage days'!$F$203:$H$256,3,FALSE),"")</f>
        <v/>
      </c>
      <c r="AO65" s="1316" t="str">
        <f t="shared" si="94"/>
        <v/>
      </c>
      <c r="AP65" s="1343" t="str">
        <f>IFERROR(#REF!+VLOOKUP($R65,'Voyage days'!$F$294:$H$377,3,FALSE),"")</f>
        <v/>
      </c>
      <c r="AQ65" s="1343" t="str">
        <f>IFERROR($T65+VLOOKUP($R65,'Voyage days'!$F$294:$H$377,3,FALSE),"")</f>
        <v/>
      </c>
      <c r="AR65" s="1316" t="str">
        <f t="shared" si="95"/>
        <v/>
      </c>
      <c r="AS65" s="1343" t="str">
        <f>IFERROR(#REF!+VLOOKUP($R65,'Voyage days'!$F$382:$H$446,3,FALSE),"")</f>
        <v/>
      </c>
      <c r="AT65" s="1343" t="str">
        <f>IFERROR($T65+VLOOKUP($R65,'Voyage days'!$F$382:$H$446,3,FALSE),"")</f>
        <v/>
      </c>
      <c r="AU65" s="1316" t="str">
        <f t="shared" si="96"/>
        <v/>
      </c>
      <c r="AV65" s="1343" t="str">
        <f>IFERROR(#REF!+VLOOKUP($R65,'Voyage days'!$F$483:$H$538,3,FALSE),"")</f>
        <v/>
      </c>
      <c r="AW65" s="1343" t="str">
        <f>IFERROR($T65+VLOOKUP($R65,'Voyage days'!$F$483:$H$538,3,FALSE),"")</f>
        <v/>
      </c>
      <c r="AX65" s="1316" t="str">
        <f t="shared" si="97"/>
        <v/>
      </c>
      <c r="AY65" s="1343" t="str">
        <f>IFERROR(#REF!+VLOOKUP($R65,'Voyage days'!$F$540:$H$613,3,FALSE),"")</f>
        <v/>
      </c>
      <c r="AZ65" s="1343" t="str">
        <f>IFERROR($T65+VLOOKUP($R65,'Voyage days'!$F$540:$H$613,3,FALSE),"")</f>
        <v/>
      </c>
      <c r="BA65" s="1316" t="str">
        <f t="shared" si="98"/>
        <v/>
      </c>
      <c r="BB65" s="1343" t="str">
        <f>IFERROR(#REF!+VLOOKUP($R65,'Voyage days'!$L$483:$N$535,3,FALSE),"")</f>
        <v/>
      </c>
      <c r="BC65" s="1343" t="str">
        <f>IFERROR($T65+VLOOKUP($R65,'Voyage days'!$L$483:$N$535,3,FALSE),"")</f>
        <v/>
      </c>
      <c r="BD65" s="1316" t="str">
        <f t="shared" si="99"/>
        <v/>
      </c>
      <c r="BE65" s="1343" t="str">
        <f>IFERROR(#REF!+VLOOKUP($R65,'Voyage days'!$F$620:$H$646,3,FALSE),"")</f>
        <v/>
      </c>
      <c r="BF65" s="1343" t="str">
        <f>IFERROR($T65+VLOOKUP($R65,'Voyage days'!$F$620:$H$646,3,FALSE),"")</f>
        <v/>
      </c>
      <c r="BG65" s="1316" t="str">
        <f t="shared" si="100"/>
        <v/>
      </c>
      <c r="BH65" s="1321" t="str">
        <f>IFERROR(#REF!+VLOOKUP($R65,'Voyage days'!$F$702:$H$727,3,FALSE),"")</f>
        <v/>
      </c>
      <c r="BI65" s="1321" t="str">
        <f>IFERROR($T65+VLOOKUP($R65,'Voyage days'!$F$702:$H$727,3,FALSE),"")</f>
        <v/>
      </c>
      <c r="BJ65" s="1321"/>
      <c r="BK65" s="1321"/>
      <c r="BL65" s="1321"/>
      <c r="BM65" s="1321"/>
      <c r="BN65" s="1321"/>
      <c r="BO65" s="1321"/>
      <c r="BP65" s="1321"/>
    </row>
    <row r="66" ht="15.75" customHeight="1">
      <c r="A66" s="606" t="s">
        <v>528</v>
      </c>
      <c r="B66" s="1005">
        <v>33420.0</v>
      </c>
      <c r="C66" s="1344">
        <v>75353.0</v>
      </c>
      <c r="D66" s="1443">
        <v>9000883.0</v>
      </c>
      <c r="E66" s="1345" t="s">
        <v>3510</v>
      </c>
      <c r="F66" s="686"/>
      <c r="G66" s="1387"/>
      <c r="H66" s="606"/>
      <c r="I66" s="1316"/>
      <c r="J66" s="1316" t="str">
        <f>IF(K66="","",VLOOKUP(K66,'Voyage days'!$A$3:$B$1480,2,FALSE))</f>
        <v>AG</v>
      </c>
      <c r="K66" s="1444" t="str">
        <f>IF(VLOOKUP(A66,'1) Kpler'!$E$2:$O$500,8, FALSE)="",VLOOKUP(A66,'1) Kpler'!$E$2:$O$500,10,FALSE),VLOOKUP(A66,'1) Kpler'!$E$2:$O$500,8, FALSE))</f>
        <v>Advario Oman</v>
      </c>
      <c r="L66" s="1445">
        <f>IF(VLOOKUP(A66,'1) Kpler'!$E$2:$O$600,9,FALSE)="","",VLOOKUP(A66,'1) Kpler'!$E$2:$O$500,9,FALSE))</f>
        <v>46137.75</v>
      </c>
      <c r="M66" s="1444" t="str">
        <f>VLOOKUP(A66,'1) Kpler'!$E$2:$H$600,4,FALSE)</f>
        <v>ballast</v>
      </c>
      <c r="N66" s="1350"/>
      <c r="O66" s="1436"/>
      <c r="P66" s="1453" t="s">
        <v>1695</v>
      </c>
      <c r="Q66" s="686"/>
      <c r="R66" s="686"/>
      <c r="S66" s="1345" t="s">
        <v>2208</v>
      </c>
      <c r="T66" s="1350">
        <v>45405.0</v>
      </c>
      <c r="U66" s="686"/>
      <c r="V66" s="1352" t="s">
        <v>3466</v>
      </c>
      <c r="W66" s="686"/>
      <c r="X66" s="686"/>
      <c r="Y66" s="686"/>
      <c r="Z66" s="1353"/>
      <c r="AA66" s="1321"/>
      <c r="AF66" s="1316" t="str">
        <f t="shared" si="91"/>
        <v/>
      </c>
      <c r="AG66" s="1343" t="str">
        <f>IFERROR(#REF!+VLOOKUP($R66,'Voyage days'!$F$38:$H$89,3,FALSE),"")</f>
        <v/>
      </c>
      <c r="AH66" s="1343" t="str">
        <f>IFERROR(T66+VLOOKUP($R66,'Voyage days'!$F$38:$H$89,3,FALSE),"")</f>
        <v/>
      </c>
      <c r="AI66" s="1316" t="str">
        <f t="shared" si="92"/>
        <v/>
      </c>
      <c r="AJ66" s="1343" t="str">
        <f>IF(P66="P",IFERROR(#REF!+VLOOKUP($R66,'Voyage days'!$F$94:$H$193,3,FALSE),""),"")</f>
        <v/>
      </c>
      <c r="AK66" s="1343" t="str">
        <f>IF(P66="P",IFERROR($T66+VLOOKUP($R66,'Voyage days'!$F$94:$H$193,3,FALSE),""),"")</f>
        <v/>
      </c>
      <c r="AL66" s="1316" t="str">
        <f t="shared" si="93"/>
        <v/>
      </c>
      <c r="AM66" s="1343" t="str">
        <f>IFERROR(#REF!+VLOOKUP($R66,'Voyage days'!$F$203:$H$256,3,FALSE),"")</f>
        <v/>
      </c>
      <c r="AN66" s="1343" t="str">
        <f>IFERROR($T66+VLOOKUP($R66,'Voyage days'!$F$203:$H$256,3,FALSE),"")</f>
        <v/>
      </c>
      <c r="AO66" s="1316" t="str">
        <f t="shared" si="94"/>
        <v/>
      </c>
      <c r="AP66" s="1343" t="str">
        <f>IFERROR(#REF!+VLOOKUP($R66,'Voyage days'!$F$294:$H$377,3,FALSE),"")</f>
        <v/>
      </c>
      <c r="AQ66" s="1343" t="str">
        <f>IFERROR($T66+VLOOKUP($R66,'Voyage days'!$F$294:$H$377,3,FALSE),"")</f>
        <v/>
      </c>
      <c r="AR66" s="1316" t="str">
        <f t="shared" si="95"/>
        <v/>
      </c>
      <c r="AS66" s="1343" t="str">
        <f>IFERROR(#REF!+VLOOKUP($R66,'Voyage days'!$F$382:$H$446,3,FALSE),"")</f>
        <v/>
      </c>
      <c r="AT66" s="1343" t="str">
        <f>IFERROR($T66+VLOOKUP($R66,'Voyage days'!$F$382:$H$446,3,FALSE),"")</f>
        <v/>
      </c>
      <c r="AU66" s="1316" t="str">
        <f t="shared" si="96"/>
        <v/>
      </c>
      <c r="AV66" s="1343" t="str">
        <f>IFERROR(#REF!+VLOOKUP($R66,'Voyage days'!$F$483:$H$538,3,FALSE),"")</f>
        <v/>
      </c>
      <c r="AW66" s="1343" t="str">
        <f>IFERROR($T66+VLOOKUP($R66,'Voyage days'!$F$483:$H$538,3,FALSE),"")</f>
        <v/>
      </c>
      <c r="AX66" s="1316" t="str">
        <f t="shared" si="97"/>
        <v/>
      </c>
      <c r="AY66" s="1343" t="str">
        <f>IFERROR(#REF!+VLOOKUP($R66,'Voyage days'!$F$540:$H$613,3,FALSE),"")</f>
        <v/>
      </c>
      <c r="AZ66" s="1343" t="str">
        <f>IFERROR($T66+VLOOKUP($R66,'Voyage days'!$F$540:$H$613,3,FALSE),"")</f>
        <v/>
      </c>
      <c r="BA66" s="1316" t="str">
        <f t="shared" si="98"/>
        <v/>
      </c>
      <c r="BB66" s="1343" t="str">
        <f>IFERROR(#REF!+VLOOKUP($R66,'Voyage days'!$L$483:$N$535,3,FALSE),"")</f>
        <v/>
      </c>
      <c r="BC66" s="1343" t="str">
        <f>IFERROR($T66+VLOOKUP($R66,'Voyage days'!$L$483:$N$535,3,FALSE),"")</f>
        <v/>
      </c>
      <c r="BD66" s="1316" t="str">
        <f t="shared" si="99"/>
        <v/>
      </c>
      <c r="BE66" s="1343" t="str">
        <f>IFERROR(#REF!+VLOOKUP($R66,'Voyage days'!$F$620:$H$646,3,FALSE),"")</f>
        <v/>
      </c>
      <c r="BF66" s="1343" t="str">
        <f>IFERROR($T66+VLOOKUP($R66,'Voyage days'!$F$620:$H$646,3,FALSE),"")</f>
        <v/>
      </c>
      <c r="BG66" s="1316" t="str">
        <f t="shared" si="100"/>
        <v/>
      </c>
      <c r="BH66" s="1321" t="str">
        <f>IFERROR(#REF!+VLOOKUP($R66,'Voyage days'!$F$702:$H$727,3,FALSE),"")</f>
        <v/>
      </c>
      <c r="BI66" s="1321" t="str">
        <f>IFERROR($T66+VLOOKUP($R66,'Voyage days'!$F$702:$H$727,3,FALSE),"")</f>
        <v/>
      </c>
      <c r="BJ66" s="1321"/>
      <c r="BK66" s="1321"/>
      <c r="BL66" s="1321"/>
      <c r="BM66" s="1321"/>
      <c r="BN66" s="1321"/>
      <c r="BO66" s="1321"/>
      <c r="BP66" s="1321"/>
    </row>
    <row r="67" ht="15.75" customHeight="1">
      <c r="A67" s="606" t="s">
        <v>579</v>
      </c>
      <c r="B67" s="1005">
        <v>34394.0</v>
      </c>
      <c r="C67" s="1344">
        <v>75386.0</v>
      </c>
      <c r="D67" s="1443" t="e">
        <v>#N/A</v>
      </c>
      <c r="E67" s="1345"/>
      <c r="F67" s="686" t="s">
        <v>3459</v>
      </c>
      <c r="G67" s="1345" t="s">
        <v>3557</v>
      </c>
      <c r="H67" s="606"/>
      <c r="I67" s="1345" t="s">
        <v>3479</v>
      </c>
      <c r="J67" s="1316" t="str">
        <f>IF(K67="","",VLOOKUP(K67,'Voyage days'!$A$3:$B$1480,2,FALSE))</f>
        <v>#N/A</v>
      </c>
      <c r="K67" s="1444" t="b">
        <f>IF(VLOOKUP(A67,'1) Kpler'!$E$2:$O$500,8, FALSE)="",VLOOKUP(A67,'1) Kpler'!$E$2:$O$500,10,FALSE),VLOOKUP(A67,'1) Kpler'!$E$2:$O$500,8, FALSE))</f>
        <v>0</v>
      </c>
      <c r="L67" s="1445" t="str">
        <f>IF(VLOOKUP(A67,'1) Kpler'!$E$2:$O$600,9,FALSE)="","",VLOOKUP(A67,'1) Kpler'!$E$2:$O$500,9,FALSE))</f>
        <v/>
      </c>
      <c r="M67" s="1444" t="str">
        <f>VLOOKUP(A67,'1) Kpler'!$E$2:$H$600,4,FALSE)</f>
        <v>ballast</v>
      </c>
      <c r="N67" s="1350"/>
      <c r="O67" s="1351"/>
      <c r="P67" s="686" t="s">
        <v>570</v>
      </c>
      <c r="Q67" s="686"/>
      <c r="R67" s="686"/>
      <c r="S67" s="1345" t="s">
        <v>2208</v>
      </c>
      <c r="T67" s="1350">
        <v>45446.0</v>
      </c>
      <c r="U67" s="686"/>
      <c r="V67" s="1352" t="s">
        <v>3466</v>
      </c>
      <c r="W67" s="686"/>
      <c r="X67" s="686"/>
      <c r="Y67" s="686"/>
      <c r="Z67" s="1353"/>
      <c r="AA67" s="1343"/>
      <c r="AF67" s="1316" t="str">
        <f t="shared" si="91"/>
        <v/>
      </c>
      <c r="AG67" s="1343" t="str">
        <f>IFERROR(#REF!+VLOOKUP($R67,'Voyage days'!$F$38:$H$89,3,FALSE),"")</f>
        <v/>
      </c>
      <c r="AH67" s="1343" t="str">
        <f>IFERROR(T67+VLOOKUP($R67,'Voyage days'!$F$38:$H$89,3,FALSE),"")</f>
        <v/>
      </c>
      <c r="AI67" s="1316" t="str">
        <f t="shared" si="92"/>
        <v/>
      </c>
      <c r="AJ67" s="1343" t="str">
        <f>IF(P67="P",IFERROR(#REF!+VLOOKUP($R67,'Voyage days'!$F$94:$H$193,3,FALSE),""),"")</f>
        <v/>
      </c>
      <c r="AK67" s="1343" t="str">
        <f>IF(P67="P",IFERROR($T67+VLOOKUP($R67,'Voyage days'!$F$94:$H$193,3,FALSE),""),"")</f>
        <v/>
      </c>
      <c r="AL67" s="1316" t="str">
        <f t="shared" si="93"/>
        <v/>
      </c>
      <c r="AM67" s="1343" t="str">
        <f>IFERROR(#REF!+VLOOKUP($R67,'Voyage days'!$F$203:$H$256,3,FALSE),"")</f>
        <v/>
      </c>
      <c r="AN67" s="1343" t="str">
        <f>IFERROR($T67+VLOOKUP($R67,'Voyage days'!$F$203:$H$256,3,FALSE),"")</f>
        <v/>
      </c>
      <c r="AO67" s="1316" t="str">
        <f t="shared" si="94"/>
        <v/>
      </c>
      <c r="AP67" s="1343" t="str">
        <f>IFERROR(#REF!+VLOOKUP($R67,'Voyage days'!$F$294:$H$377,3,FALSE),"")</f>
        <v/>
      </c>
      <c r="AQ67" s="1343" t="str">
        <f>IFERROR($T67+VLOOKUP($R67,'Voyage days'!$F$294:$H$377,3,FALSE),"")</f>
        <v/>
      </c>
      <c r="AR67" s="1316" t="str">
        <f t="shared" si="95"/>
        <v/>
      </c>
      <c r="AS67" s="1343" t="str">
        <f>IFERROR(#REF!+VLOOKUP($R67,'Voyage days'!$F$382:$H$446,3,FALSE),"")</f>
        <v/>
      </c>
      <c r="AT67" s="1343" t="str">
        <f>IFERROR($T67+VLOOKUP($R67,'Voyage days'!$F$382:$H$446,3,FALSE),"")</f>
        <v/>
      </c>
      <c r="AU67" s="1316" t="str">
        <f t="shared" si="96"/>
        <v/>
      </c>
      <c r="AV67" s="1343" t="str">
        <f>IFERROR(#REF!+VLOOKUP($R67,'Voyage days'!$F$483:$H$538,3,FALSE),"")</f>
        <v/>
      </c>
      <c r="AW67" s="1343" t="str">
        <f>IFERROR($T67+VLOOKUP($R67,'Voyage days'!$F$483:$H$538,3,FALSE),"")</f>
        <v/>
      </c>
      <c r="AX67" s="1316" t="str">
        <f t="shared" si="97"/>
        <v/>
      </c>
      <c r="AY67" s="1343" t="str">
        <f>IFERROR(#REF!+VLOOKUP($R67,'Voyage days'!$F$540:$H$613,3,FALSE),"")</f>
        <v/>
      </c>
      <c r="AZ67" s="1343" t="str">
        <f>IFERROR($T67+VLOOKUP($R67,'Voyage days'!$F$540:$H$613,3,FALSE),"")</f>
        <v/>
      </c>
      <c r="BA67" s="1316" t="str">
        <f t="shared" si="98"/>
        <v/>
      </c>
      <c r="BB67" s="1343" t="str">
        <f>IFERROR(#REF!+VLOOKUP($R67,'Voyage days'!$L$483:$N$535,3,FALSE),"")</f>
        <v/>
      </c>
      <c r="BC67" s="1343" t="str">
        <f>IFERROR($T67+VLOOKUP($R67,'Voyage days'!$L$483:$N$535,3,FALSE),"")</f>
        <v/>
      </c>
      <c r="BD67" s="1316" t="str">
        <f t="shared" si="99"/>
        <v/>
      </c>
      <c r="BE67" s="1343" t="str">
        <f>IFERROR(#REF!+VLOOKUP($R67,'Voyage days'!$F$620:$H$646,3,FALSE),"")</f>
        <v/>
      </c>
      <c r="BF67" s="1343" t="str">
        <f>IFERROR($T67+VLOOKUP($R67,'Voyage days'!$F$620:$H$646,3,FALSE),"")</f>
        <v/>
      </c>
      <c r="BG67" s="1316" t="str">
        <f t="shared" si="100"/>
        <v/>
      </c>
      <c r="BH67" s="1321" t="str">
        <f>IFERROR(#REF!+VLOOKUP($R67,'Voyage days'!$F$702:$H$727,3,FALSE),"")</f>
        <v/>
      </c>
      <c r="BI67" s="1321" t="str">
        <f>IFERROR($T67+VLOOKUP($R67,'Voyage days'!$F$702:$H$727,3,FALSE),"")</f>
        <v/>
      </c>
      <c r="BJ67" s="1321"/>
      <c r="BK67" s="1321"/>
      <c r="BL67" s="1321"/>
      <c r="BM67" s="1321"/>
      <c r="BN67" s="1321"/>
      <c r="BO67" s="1321"/>
      <c r="BP67" s="1321"/>
    </row>
    <row r="68" ht="15.75" customHeight="1">
      <c r="A68" s="606" t="s">
        <v>335</v>
      </c>
      <c r="B68" s="1005">
        <v>33939.0</v>
      </c>
      <c r="C68" s="1344">
        <v>85826.0</v>
      </c>
      <c r="D68" s="1443">
        <v>9002908.0</v>
      </c>
      <c r="E68" s="1345"/>
      <c r="F68" s="686" t="s">
        <v>3558</v>
      </c>
      <c r="G68" s="1387"/>
      <c r="H68" s="606"/>
      <c r="I68" s="1345" t="s">
        <v>3479</v>
      </c>
      <c r="J68" s="1316" t="str">
        <f>IF(K68="","",VLOOKUP(K68,'Voyage days'!$A$3:$B$1480,2,FALSE))</f>
        <v>AG</v>
      </c>
      <c r="K68" s="1444" t="str">
        <f>IF(VLOOKUP(A68,'1) Kpler'!$E$2:$O$500,8, FALSE)="",VLOOKUP(A68,'1) Kpler'!$E$2:$O$500,10,FALSE),VLOOKUP(A68,'1) Kpler'!$E$2:$O$500,8, FALSE))</f>
        <v>Khor Al Zubair Port</v>
      </c>
      <c r="L68" s="1445">
        <f>IF(VLOOKUP(A68,'1) Kpler'!$E$2:$O$600,9,FALSE)="","",VLOOKUP(A68,'1) Kpler'!$E$2:$O$500,9,FALSE))</f>
        <v>46132.875</v>
      </c>
      <c r="M68" s="1444" t="str">
        <f>VLOOKUP(A68,'1) Kpler'!$E$2:$H$600,4,FALSE)</f>
        <v>ballast</v>
      </c>
      <c r="N68" s="1350"/>
      <c r="O68" s="1436"/>
      <c r="P68" s="686" t="s">
        <v>570</v>
      </c>
      <c r="Q68" s="686"/>
      <c r="R68" s="686"/>
      <c r="S68" s="1345" t="s">
        <v>2208</v>
      </c>
      <c r="T68" s="1350">
        <v>45430.0</v>
      </c>
      <c r="U68" s="686"/>
      <c r="V68" s="1352" t="s">
        <v>3466</v>
      </c>
      <c r="W68" s="686"/>
      <c r="X68" s="686"/>
      <c r="Y68" s="686"/>
      <c r="Z68" s="1353"/>
      <c r="AA68" s="1437"/>
      <c r="AF68" s="1316" t="str">
        <f t="shared" si="91"/>
        <v/>
      </c>
      <c r="AG68" s="1343" t="str">
        <f>IFERROR(#REF!+VLOOKUP($R68,'Voyage days'!$F$38:$H$89,3,FALSE),"")</f>
        <v/>
      </c>
      <c r="AH68" s="1343" t="str">
        <f>IFERROR(T68+VLOOKUP($R68,'Voyage days'!$F$38:$H$89,3,FALSE),"")</f>
        <v/>
      </c>
      <c r="AI68" s="1316" t="str">
        <f t="shared" si="92"/>
        <v/>
      </c>
      <c r="AJ68" s="1343" t="str">
        <f>IF(P68="P",IFERROR(#REF!+VLOOKUP($R68,'Voyage days'!$F$94:$H$193,3,FALSE),""),"")</f>
        <v/>
      </c>
      <c r="AK68" s="1343" t="str">
        <f>IF(P68="P",IFERROR($T68+VLOOKUP($R68,'Voyage days'!$F$94:$H$193,3,FALSE),""),"")</f>
        <v/>
      </c>
      <c r="AL68" s="1316" t="str">
        <f t="shared" si="93"/>
        <v/>
      </c>
      <c r="AM68" s="1343" t="str">
        <f>IFERROR(#REF!+VLOOKUP($R68,'Voyage days'!$F$203:$H$256,3,FALSE),"")</f>
        <v/>
      </c>
      <c r="AN68" s="1343" t="str">
        <f>IFERROR($T68+VLOOKUP($R68,'Voyage days'!$F$203:$H$256,3,FALSE),"")</f>
        <v/>
      </c>
      <c r="AO68" s="1316" t="str">
        <f t="shared" si="94"/>
        <v/>
      </c>
      <c r="AP68" s="1343" t="str">
        <f>IFERROR(#REF!+VLOOKUP($R68,'Voyage days'!$F$294:$H$377,3,FALSE),"")</f>
        <v/>
      </c>
      <c r="AQ68" s="1343" t="str">
        <f>IFERROR($T68+VLOOKUP($R68,'Voyage days'!$F$294:$H$377,3,FALSE),"")</f>
        <v/>
      </c>
      <c r="AR68" s="1316" t="str">
        <f t="shared" si="95"/>
        <v/>
      </c>
      <c r="AS68" s="1343" t="str">
        <f>IFERROR(#REF!+VLOOKUP($R68,'Voyage days'!$F$382:$H$446,3,FALSE),"")</f>
        <v/>
      </c>
      <c r="AT68" s="1343" t="str">
        <f>IFERROR($T68+VLOOKUP($R68,'Voyage days'!$F$382:$H$446,3,FALSE),"")</f>
        <v/>
      </c>
      <c r="AU68" s="1316" t="str">
        <f t="shared" si="96"/>
        <v/>
      </c>
      <c r="AV68" s="1343" t="str">
        <f>IFERROR(#REF!+VLOOKUP($R68,'Voyage days'!$F$483:$H$538,3,FALSE),"")</f>
        <v/>
      </c>
      <c r="AW68" s="1343" t="str">
        <f>IFERROR($T68+VLOOKUP($R68,'Voyage days'!$F$483:$H$538,3,FALSE),"")</f>
        <v/>
      </c>
      <c r="AX68" s="1316" t="str">
        <f t="shared" si="97"/>
        <v/>
      </c>
      <c r="AY68" s="1343" t="str">
        <f>IFERROR(#REF!+VLOOKUP($R68,'Voyage days'!$F$540:$H$613,3,FALSE),"")</f>
        <v/>
      </c>
      <c r="AZ68" s="1343" t="str">
        <f>IFERROR($T68+VLOOKUP($R68,'Voyage days'!$F$540:$H$613,3,FALSE),"")</f>
        <v/>
      </c>
      <c r="BA68" s="1316" t="str">
        <f t="shared" si="98"/>
        <v/>
      </c>
      <c r="BB68" s="1343" t="str">
        <f>IFERROR(#REF!+VLOOKUP($R68,'Voyage days'!$L$483:$N$535,3,FALSE),"")</f>
        <v/>
      </c>
      <c r="BC68" s="1343" t="str">
        <f>IFERROR($T68+VLOOKUP($R68,'Voyage days'!$L$483:$N$535,3,FALSE),"")</f>
        <v/>
      </c>
      <c r="BD68" s="1316" t="str">
        <f t="shared" si="99"/>
        <v/>
      </c>
      <c r="BE68" s="1343" t="str">
        <f>IFERROR(#REF!+VLOOKUP($R68,'Voyage days'!$F$620:$H$646,3,FALSE),"")</f>
        <v/>
      </c>
      <c r="BF68" s="1343" t="str">
        <f>IFERROR($T68+VLOOKUP($R68,'Voyage days'!$F$620:$H$646,3,FALSE),"")</f>
        <v/>
      </c>
      <c r="BG68" s="1316" t="str">
        <f t="shared" si="100"/>
        <v/>
      </c>
      <c r="BH68" s="1321" t="str">
        <f>IFERROR(#REF!+VLOOKUP($R68,'Voyage days'!$F$702:$H$727,3,FALSE),"")</f>
        <v/>
      </c>
      <c r="BI68" s="1321" t="str">
        <f>IFERROR($T68+VLOOKUP($R68,'Voyage days'!$F$702:$H$727,3,FALSE),"")</f>
        <v/>
      </c>
      <c r="BJ68" s="1321"/>
      <c r="BK68" s="1321"/>
      <c r="BL68" s="1321"/>
      <c r="BM68" s="1321"/>
      <c r="BN68" s="1321"/>
      <c r="BO68" s="1321"/>
      <c r="BP68" s="1321"/>
    </row>
    <row r="69" ht="15.75" customHeight="1">
      <c r="A69" s="606" t="s">
        <v>565</v>
      </c>
      <c r="B69" s="1002">
        <v>39884.0</v>
      </c>
      <c r="C69" s="1344">
        <v>83800.0</v>
      </c>
      <c r="D69" s="1443" t="e">
        <v>#N/A</v>
      </c>
      <c r="E69" s="1345"/>
      <c r="F69" s="686"/>
      <c r="G69" s="1345"/>
      <c r="H69" s="606"/>
      <c r="I69" s="1345" t="s">
        <v>3479</v>
      </c>
      <c r="J69" s="1316" t="str">
        <f>IF(K69="","",VLOOKUP(K69,'Voyage days'!$A$3:$B$1480,2,FALSE))</f>
        <v>#N/A</v>
      </c>
      <c r="K69" s="1444" t="b">
        <f>IF(VLOOKUP(A69,'1) Kpler'!$E$2:$O$500,8, FALSE)="",VLOOKUP(A69,'1) Kpler'!$E$2:$O$500,10,FALSE),VLOOKUP(A69,'1) Kpler'!$E$2:$O$500,8, FALSE))</f>
        <v>0</v>
      </c>
      <c r="L69" s="1445" t="str">
        <f>IF(VLOOKUP(A69,'1) Kpler'!$E$2:$O$600,9,FALSE)="","",VLOOKUP(A69,'1) Kpler'!$E$2:$O$500,9,FALSE))</f>
        <v/>
      </c>
      <c r="M69" s="1444" t="str">
        <f>VLOOKUP(A69,'1) Kpler'!$E$2:$H$600,4,FALSE)</f>
        <v>ballast</v>
      </c>
      <c r="N69" s="1350"/>
      <c r="O69" s="1389"/>
      <c r="P69" s="686" t="s">
        <v>1687</v>
      </c>
      <c r="Q69" s="1320" t="s">
        <v>689</v>
      </c>
      <c r="R69" s="686"/>
      <c r="S69" s="1345" t="s">
        <v>2086</v>
      </c>
      <c r="T69" s="1350">
        <v>45462.0</v>
      </c>
      <c r="U69" s="686"/>
      <c r="V69" s="1352" t="s">
        <v>3466</v>
      </c>
      <c r="W69" s="1352"/>
      <c r="X69" s="686"/>
      <c r="Y69" s="686"/>
      <c r="Z69" s="1353"/>
      <c r="AA69" s="1438"/>
      <c r="AF69" s="1316" t="str">
        <f t="shared" si="91"/>
        <v/>
      </c>
      <c r="AG69" s="1343" t="str">
        <f>IFERROR(#REF!+VLOOKUP($R69,'Voyage days'!$F$38:$H$89,3,FALSE),"")</f>
        <v/>
      </c>
      <c r="AH69" s="1343" t="str">
        <f>IFERROR(T69+VLOOKUP($R69,'Voyage days'!$F$38:$H$89,3,FALSE),"")</f>
        <v/>
      </c>
      <c r="AI69" s="1316" t="str">
        <f t="shared" si="92"/>
        <v/>
      </c>
      <c r="AJ69" s="1343" t="str">
        <f>IF(P69="P",IFERROR(#REF!+VLOOKUP($R69,'Voyage days'!$F$94:$H$193,3,FALSE),""),"")</f>
        <v/>
      </c>
      <c r="AK69" s="1343" t="str">
        <f>IF(P69="P",IFERROR($T69+VLOOKUP($R69,'Voyage days'!$F$94:$H$193,3,FALSE),""),"")</f>
        <v/>
      </c>
      <c r="AL69" s="1316" t="str">
        <f t="shared" si="93"/>
        <v/>
      </c>
      <c r="AM69" s="1343" t="str">
        <f>IFERROR(#REF!+VLOOKUP($R69,'Voyage days'!$F$203:$H$256,3,FALSE),"")</f>
        <v/>
      </c>
      <c r="AN69" s="1343" t="str">
        <f>IFERROR($T69+VLOOKUP($R69,'Voyage days'!$F$203:$H$256,3,FALSE),"")</f>
        <v/>
      </c>
      <c r="AO69" s="1316" t="str">
        <f t="shared" si="94"/>
        <v/>
      </c>
      <c r="AP69" s="1343" t="str">
        <f>IFERROR(#REF!+VLOOKUP($R69,'Voyage days'!$F$294:$H$377,3,FALSE),"")</f>
        <v/>
      </c>
      <c r="AQ69" s="1343" t="str">
        <f>IFERROR($T69+VLOOKUP($R69,'Voyage days'!$F$294:$H$377,3,FALSE),"")</f>
        <v/>
      </c>
      <c r="AR69" s="1316" t="str">
        <f t="shared" si="95"/>
        <v/>
      </c>
      <c r="AS69" s="1343" t="str">
        <f>IFERROR(#REF!+VLOOKUP($R69,'Voyage days'!$F$382:$H$446,3,FALSE),"")</f>
        <v/>
      </c>
      <c r="AT69" s="1343" t="str">
        <f>IFERROR($T69+VLOOKUP($R69,'Voyage days'!$F$382:$H$446,3,FALSE),"")</f>
        <v/>
      </c>
      <c r="AU69" s="1316" t="str">
        <f t="shared" si="96"/>
        <v/>
      </c>
      <c r="AV69" s="1343" t="str">
        <f>IFERROR(#REF!+VLOOKUP($R69,'Voyage days'!$F$483:$H$538,3,FALSE),"")</f>
        <v/>
      </c>
      <c r="AW69" s="1343" t="str">
        <f>IFERROR($T69+VLOOKUP($R69,'Voyage days'!$F$483:$H$538,3,FALSE),"")</f>
        <v/>
      </c>
      <c r="AX69" s="1316" t="str">
        <f t="shared" si="97"/>
        <v/>
      </c>
      <c r="AY69" s="1343" t="str">
        <f>IFERROR(#REF!+VLOOKUP($R69,'Voyage days'!$F$540:$H$613,3,FALSE),"")</f>
        <v/>
      </c>
      <c r="AZ69" s="1343" t="str">
        <f>IFERROR($T69+VLOOKUP($R69,'Voyage days'!$F$540:$H$613,3,FALSE),"")</f>
        <v/>
      </c>
      <c r="BA69" s="1316" t="str">
        <f t="shared" si="98"/>
        <v/>
      </c>
      <c r="BB69" s="1343" t="str">
        <f>IFERROR(#REF!+VLOOKUP($R69,'Voyage days'!$L$483:$N$535,3,FALSE),"")</f>
        <v/>
      </c>
      <c r="BC69" s="1343" t="str">
        <f>IFERROR($T69+VLOOKUP($R69,'Voyage days'!$L$483:$N$535,3,FALSE),"")</f>
        <v/>
      </c>
      <c r="BD69" s="1316" t="str">
        <f t="shared" si="99"/>
        <v/>
      </c>
      <c r="BE69" s="1343" t="str">
        <f>IFERROR(#REF!+VLOOKUP($R69,'Voyage days'!$F$620:$H$646,3,FALSE),"")</f>
        <v/>
      </c>
      <c r="BF69" s="1343" t="str">
        <f>IFERROR($T69+VLOOKUP($R69,'Voyage days'!$F$620:$H$646,3,FALSE),"")</f>
        <v/>
      </c>
      <c r="BG69" s="1316" t="str">
        <f t="shared" si="100"/>
        <v/>
      </c>
      <c r="BH69" s="1321" t="str">
        <f>IFERROR(#REF!+VLOOKUP($R69,'Voyage days'!$F$702:$H$727,3,FALSE),"")</f>
        <v/>
      </c>
      <c r="BI69" s="1321" t="str">
        <f>IFERROR($T69+VLOOKUP($R69,'Voyage days'!$F$702:$H$727,3,FALSE),"")</f>
        <v/>
      </c>
      <c r="BJ69" s="1321"/>
      <c r="BK69" s="1321"/>
      <c r="BL69" s="1321"/>
      <c r="BM69" s="1321"/>
      <c r="BN69" s="1321"/>
      <c r="BO69" s="1321"/>
      <c r="BP69" s="1321"/>
    </row>
    <row r="70" ht="15.75" customHeight="1">
      <c r="A70" s="606" t="s">
        <v>3559</v>
      </c>
      <c r="B70" s="1005">
        <v>36969.0</v>
      </c>
      <c r="C70" s="1344">
        <v>78000.0</v>
      </c>
      <c r="D70" s="1443" t="e">
        <v>#N/A</v>
      </c>
      <c r="E70" s="1345"/>
      <c r="F70" s="686" t="s">
        <v>3560</v>
      </c>
      <c r="G70" s="1387"/>
      <c r="H70" s="606"/>
      <c r="I70" s="1345" t="s">
        <v>3479</v>
      </c>
      <c r="J70" s="1316" t="str">
        <f>IF(K70="","",VLOOKUP(K70,'Voyage days'!$A$3:$B$1480,2,FALSE))</f>
        <v>#N/A</v>
      </c>
      <c r="K70" s="1444" t="str">
        <f>IF(VLOOKUP(A70,'1) Kpler'!$E$2:$O$500,8, FALSE)="",VLOOKUP(A70,'1) Kpler'!$E$2:$O$500,10,FALSE),VLOOKUP(A70,'1) Kpler'!$E$2:$O$500,8, FALSE))</f>
        <v>#N/A</v>
      </c>
      <c r="L70" s="1445" t="str">
        <f>IF(VLOOKUP(A70,'1) Kpler'!$E$2:$O$600,9,FALSE)="","",VLOOKUP(A70,'1) Kpler'!$E$2:$O$500,9,FALSE))</f>
        <v>#N/A</v>
      </c>
      <c r="M70" s="1444" t="str">
        <f>VLOOKUP(A70,'1) Kpler'!$E$2:$H$600,4,FALSE)</f>
        <v>#N/A</v>
      </c>
      <c r="N70" s="1350"/>
      <c r="O70" s="1436"/>
      <c r="P70" s="686" t="s">
        <v>1687</v>
      </c>
      <c r="Q70" s="686"/>
      <c r="R70" s="686"/>
      <c r="S70" s="1345" t="s">
        <v>2086</v>
      </c>
      <c r="T70" s="1350">
        <v>45394.0</v>
      </c>
      <c r="U70" s="686"/>
      <c r="V70" s="1352" t="s">
        <v>3466</v>
      </c>
      <c r="W70" s="686"/>
      <c r="X70" s="686"/>
      <c r="Y70" s="686"/>
      <c r="Z70" s="1353"/>
      <c r="AA70" s="1343"/>
      <c r="AF70" s="1316" t="str">
        <f t="shared" si="91"/>
        <v/>
      </c>
      <c r="AG70" s="1343" t="str">
        <f>IFERROR(#REF!+VLOOKUP($R70,'Voyage days'!$F$38:$H$89,3,FALSE),"")</f>
        <v/>
      </c>
      <c r="AH70" s="1343" t="str">
        <f>IFERROR(T70+VLOOKUP($R70,'Voyage days'!$F$38:$H$89,3,FALSE),"")</f>
        <v/>
      </c>
      <c r="AI70" s="1316" t="str">
        <f t="shared" si="92"/>
        <v/>
      </c>
      <c r="AJ70" s="1343" t="str">
        <f>IF(P70="P",IFERROR(#REF!+VLOOKUP($R70,'Voyage days'!$F$94:$H$193,3,FALSE),""),"")</f>
        <v/>
      </c>
      <c r="AK70" s="1343" t="str">
        <f>IF(P70="P",IFERROR($T70+VLOOKUP($R70,'Voyage days'!$F$94:$H$193,3,FALSE),""),"")</f>
        <v/>
      </c>
      <c r="AL70" s="1316" t="str">
        <f t="shared" si="93"/>
        <v/>
      </c>
      <c r="AM70" s="1343" t="str">
        <f>IFERROR(#REF!+VLOOKUP($R70,'Voyage days'!$F$203:$H$256,3,FALSE),"")</f>
        <v/>
      </c>
      <c r="AN70" s="1343" t="str">
        <f>IFERROR($T70+VLOOKUP($R70,'Voyage days'!$F$203:$H$256,3,FALSE),"")</f>
        <v/>
      </c>
      <c r="AO70" s="1316" t="str">
        <f t="shared" si="94"/>
        <v/>
      </c>
      <c r="AP70" s="1343" t="str">
        <f>IFERROR(#REF!+VLOOKUP($R70,'Voyage days'!$F$294:$H$377,3,FALSE),"")</f>
        <v/>
      </c>
      <c r="AQ70" s="1343" t="str">
        <f>IFERROR($T70+VLOOKUP($R70,'Voyage days'!$F$294:$H$377,3,FALSE),"")</f>
        <v/>
      </c>
      <c r="AR70" s="1316" t="str">
        <f t="shared" si="95"/>
        <v/>
      </c>
      <c r="AS70" s="1343" t="str">
        <f>IFERROR(#REF!+VLOOKUP($R70,'Voyage days'!$F$382:$H$446,3,FALSE),"")</f>
        <v/>
      </c>
      <c r="AT70" s="1343" t="str">
        <f>IFERROR($T70+VLOOKUP($R70,'Voyage days'!$F$382:$H$446,3,FALSE),"")</f>
        <v/>
      </c>
      <c r="AU70" s="1316" t="str">
        <f t="shared" si="96"/>
        <v/>
      </c>
      <c r="AV70" s="1343" t="str">
        <f>IFERROR(#REF!+VLOOKUP($R70,'Voyage days'!$F$483:$H$538,3,FALSE),"")</f>
        <v/>
      </c>
      <c r="AW70" s="1343" t="str">
        <f>IFERROR($T70+VLOOKUP($R70,'Voyage days'!$F$483:$H$538,3,FALSE),"")</f>
        <v/>
      </c>
      <c r="AX70" s="1316" t="str">
        <f t="shared" si="97"/>
        <v/>
      </c>
      <c r="AY70" s="1343" t="str">
        <f>IFERROR(#REF!+VLOOKUP($R70,'Voyage days'!$F$540:$H$613,3,FALSE),"")</f>
        <v/>
      </c>
      <c r="AZ70" s="1343" t="str">
        <f>IFERROR($T70+VLOOKUP($R70,'Voyage days'!$F$540:$H$613,3,FALSE),"")</f>
        <v/>
      </c>
      <c r="BA70" s="1316" t="str">
        <f t="shared" si="98"/>
        <v/>
      </c>
      <c r="BB70" s="1343" t="str">
        <f>IFERROR(#REF!+VLOOKUP($R70,'Voyage days'!$L$483:$N$535,3,FALSE),"")</f>
        <v/>
      </c>
      <c r="BC70" s="1343" t="str">
        <f>IFERROR($T70+VLOOKUP($R70,'Voyage days'!$L$483:$N$535,3,FALSE),"")</f>
        <v/>
      </c>
      <c r="BD70" s="1316" t="str">
        <f t="shared" si="99"/>
        <v/>
      </c>
      <c r="BE70" s="1343" t="str">
        <f>IFERROR(#REF!+VLOOKUP($R70,'Voyage days'!$F$620:$H$646,3,FALSE),"")</f>
        <v/>
      </c>
      <c r="BF70" s="1343" t="str">
        <f>IFERROR($T70+VLOOKUP($R70,'Voyage days'!$F$620:$H$646,3,FALSE),"")</f>
        <v/>
      </c>
      <c r="BG70" s="1316" t="str">
        <f t="shared" si="100"/>
        <v/>
      </c>
      <c r="BH70" s="1321" t="str">
        <f>IFERROR(#REF!+VLOOKUP($R70,'Voyage days'!$F$702:$H$727,3,FALSE),"")</f>
        <v/>
      </c>
      <c r="BI70" s="1321" t="str">
        <f>IFERROR($T70+VLOOKUP($R70,'Voyage days'!$F$702:$H$727,3,FALSE),"")</f>
        <v/>
      </c>
      <c r="BJ70" s="1321"/>
      <c r="BK70" s="1321"/>
      <c r="BL70" s="1321"/>
      <c r="BM70" s="1321"/>
      <c r="BN70" s="1321"/>
      <c r="BO70" s="1321"/>
      <c r="BP70" s="1321"/>
    </row>
    <row r="71" ht="15.75" customHeight="1">
      <c r="A71" s="1316" t="s">
        <v>556</v>
      </c>
      <c r="B71" s="1005">
        <v>35278.0</v>
      </c>
      <c r="C71" s="1344">
        <v>78451.0</v>
      </c>
      <c r="D71" s="1443" t="e">
        <v>#N/A</v>
      </c>
      <c r="E71" s="1345"/>
      <c r="F71" s="686"/>
      <c r="G71" s="1345" t="s">
        <v>3561</v>
      </c>
      <c r="H71" s="606"/>
      <c r="I71" s="1345" t="s">
        <v>3479</v>
      </c>
      <c r="J71" s="1316" t="str">
        <f>IF(K71="","",VLOOKUP(K71,'Voyage days'!$A$3:$B$1480,2,FALSE))</f>
        <v>AG</v>
      </c>
      <c r="K71" s="1444" t="str">
        <f>IF(VLOOKUP(A71,'1) Kpler'!$E$2:$O$500,8, FALSE)="",VLOOKUP(A71,'1) Kpler'!$E$2:$O$500,10,FALSE),VLOOKUP(A71,'1) Kpler'!$E$2:$O$500,8, FALSE))</f>
        <v>Fujairah</v>
      </c>
      <c r="L71" s="1445">
        <f>IF(VLOOKUP(A71,'1) Kpler'!$E$2:$O$600,9,FALSE)="","",VLOOKUP(A71,'1) Kpler'!$E$2:$O$500,9,FALSE))</f>
        <v>46132.75</v>
      </c>
      <c r="M71" s="1444" t="str">
        <f>VLOOKUP(A71,'1) Kpler'!$E$2:$H$600,4,FALSE)</f>
        <v>ballast</v>
      </c>
      <c r="N71" s="1350"/>
      <c r="O71" s="1436"/>
      <c r="P71" s="686" t="s">
        <v>570</v>
      </c>
      <c r="Q71" s="686"/>
      <c r="R71" s="686"/>
      <c r="S71" s="1345" t="s">
        <v>2086</v>
      </c>
      <c r="T71" s="1350">
        <v>45407.0</v>
      </c>
      <c r="U71" s="686"/>
      <c r="V71" s="1352" t="s">
        <v>3466</v>
      </c>
      <c r="W71" s="686"/>
      <c r="X71" s="686"/>
      <c r="Y71" s="686"/>
      <c r="Z71" s="1353"/>
      <c r="AA71" s="1343"/>
      <c r="AF71" s="1316" t="str">
        <f t="shared" si="91"/>
        <v/>
      </c>
      <c r="AG71" s="1343" t="str">
        <f>IFERROR(#REF!+VLOOKUP($R71,'Voyage days'!$F$38:$H$89,3,FALSE),"")</f>
        <v/>
      </c>
      <c r="AH71" s="1343" t="str">
        <f>IFERROR(T71+VLOOKUP($R71,'Voyage days'!$F$38:$H$89,3,FALSE),"")</f>
        <v/>
      </c>
      <c r="AI71" s="1316" t="str">
        <f t="shared" si="92"/>
        <v/>
      </c>
      <c r="AJ71" s="1343" t="str">
        <f>IF(P71="P",IFERROR(#REF!+VLOOKUP($R71,'Voyage days'!$F$94:$H$193,3,FALSE),""),"")</f>
        <v/>
      </c>
      <c r="AK71" s="1343" t="str">
        <f>IF(P71="P",IFERROR($T71+VLOOKUP($R71,'Voyage days'!$F$94:$H$193,3,FALSE),""),"")</f>
        <v/>
      </c>
      <c r="AL71" s="1316" t="str">
        <f t="shared" si="93"/>
        <v/>
      </c>
      <c r="AM71" s="1343" t="str">
        <f>IFERROR(#REF!+VLOOKUP($R71,'Voyage days'!$F$203:$H$256,3,FALSE),"")</f>
        <v/>
      </c>
      <c r="AN71" s="1343" t="str">
        <f>IFERROR($T71+VLOOKUP($R71,'Voyage days'!$F$203:$H$256,3,FALSE),"")</f>
        <v/>
      </c>
      <c r="AO71" s="1316" t="str">
        <f t="shared" si="94"/>
        <v/>
      </c>
      <c r="AP71" s="1343" t="str">
        <f>IFERROR(#REF!+VLOOKUP($R71,'Voyage days'!$F$294:$H$377,3,FALSE),"")</f>
        <v/>
      </c>
      <c r="AQ71" s="1343" t="str">
        <f>IFERROR($T71+VLOOKUP($R71,'Voyage days'!$F$294:$H$377,3,FALSE),"")</f>
        <v/>
      </c>
      <c r="AR71" s="1316" t="str">
        <f t="shared" si="95"/>
        <v/>
      </c>
      <c r="AS71" s="1343" t="str">
        <f>IFERROR(#REF!+VLOOKUP($R71,'Voyage days'!$F$382:$H$446,3,FALSE),"")</f>
        <v/>
      </c>
      <c r="AT71" s="1343" t="str">
        <f>IFERROR($T71+VLOOKUP($R71,'Voyage days'!$F$382:$H$446,3,FALSE),"")</f>
        <v/>
      </c>
      <c r="AU71" s="1316" t="str">
        <f t="shared" si="96"/>
        <v/>
      </c>
      <c r="AV71" s="1343" t="str">
        <f>IFERROR(#REF!+VLOOKUP($R71,'Voyage days'!$F$483:$H$538,3,FALSE),"")</f>
        <v/>
      </c>
      <c r="AW71" s="1343" t="str">
        <f>IFERROR($T71+VLOOKUP($R71,'Voyage days'!$F$483:$H$538,3,FALSE),"")</f>
        <v/>
      </c>
      <c r="AX71" s="1316" t="str">
        <f t="shared" si="97"/>
        <v/>
      </c>
      <c r="AY71" s="1343" t="str">
        <f>IFERROR(#REF!+VLOOKUP($R71,'Voyage days'!$F$540:$H$613,3,FALSE),"")</f>
        <v/>
      </c>
      <c r="AZ71" s="1343" t="str">
        <f>IFERROR($T71+VLOOKUP($R71,'Voyage days'!$F$540:$H$613,3,FALSE),"")</f>
        <v/>
      </c>
      <c r="BA71" s="1316" t="str">
        <f t="shared" si="98"/>
        <v/>
      </c>
      <c r="BB71" s="1343" t="str">
        <f>IFERROR(#REF!+VLOOKUP($R71,'Voyage days'!$L$483:$N$535,3,FALSE),"")</f>
        <v/>
      </c>
      <c r="BC71" s="1343" t="str">
        <f>IFERROR($T71+VLOOKUP($R71,'Voyage days'!$L$483:$N$535,3,FALSE),"")</f>
        <v/>
      </c>
      <c r="BD71" s="1316" t="str">
        <f t="shared" si="99"/>
        <v/>
      </c>
      <c r="BE71" s="1343" t="str">
        <f>IFERROR(#REF!+VLOOKUP($R71,'Voyage days'!$F$620:$H$646,3,FALSE),"")</f>
        <v/>
      </c>
      <c r="BF71" s="1343" t="str">
        <f>IFERROR($T71+VLOOKUP($R71,'Voyage days'!$F$620:$H$646,3,FALSE),"")</f>
        <v/>
      </c>
      <c r="BG71" s="1316" t="str">
        <f t="shared" si="100"/>
        <v/>
      </c>
      <c r="BH71" s="1321" t="str">
        <f>IFERROR(#REF!+VLOOKUP($R71,'Voyage days'!$F$702:$H$727,3,FALSE),"")</f>
        <v/>
      </c>
      <c r="BI71" s="1321" t="str">
        <f>IFERROR($T71+VLOOKUP($R71,'Voyage days'!$F$702:$H$727,3,FALSE),"")</f>
        <v/>
      </c>
      <c r="BJ71" s="1321"/>
      <c r="BK71" s="1321"/>
      <c r="BL71" s="1321"/>
      <c r="BM71" s="1321"/>
      <c r="BN71" s="1321"/>
      <c r="BO71" s="1321"/>
      <c r="BP71" s="1321"/>
    </row>
    <row r="72" ht="15.75" customHeight="1">
      <c r="A72" s="606" t="s">
        <v>3562</v>
      </c>
      <c r="B72" s="1005">
        <v>33970.0</v>
      </c>
      <c r="C72" s="1344">
        <v>78498.0</v>
      </c>
      <c r="D72" s="1443">
        <v>9046784.0</v>
      </c>
      <c r="E72" s="1345" t="s">
        <v>3563</v>
      </c>
      <c r="F72" s="686"/>
      <c r="G72" s="1387"/>
      <c r="H72" s="606"/>
      <c r="I72" s="1316"/>
      <c r="J72" s="1316" t="str">
        <f>IF(K72="","",VLOOKUP(K72,'Voyage days'!$A$3:$B$1480,2,FALSE))</f>
        <v>#N/A</v>
      </c>
      <c r="K72" s="1444" t="str">
        <f>IF(VLOOKUP(A72,'1) Kpler'!$E$2:$O$500,8, FALSE)="",VLOOKUP(A72,'1) Kpler'!$E$2:$O$500,10,FALSE),VLOOKUP(A72,'1) Kpler'!$E$2:$O$500,8, FALSE))</f>
        <v>#N/A</v>
      </c>
      <c r="L72" s="1445" t="str">
        <f>IF(VLOOKUP(A72,'1) Kpler'!$E$2:$O$600,9,FALSE)="","",VLOOKUP(A72,'1) Kpler'!$E$2:$O$500,9,FALSE))</f>
        <v>#N/A</v>
      </c>
      <c r="M72" s="1444" t="str">
        <f>VLOOKUP(A72,'1) Kpler'!$E$2:$H$600,4,FALSE)</f>
        <v>#N/A</v>
      </c>
      <c r="N72" s="1350"/>
      <c r="O72" s="1351"/>
      <c r="P72" s="686" t="s">
        <v>570</v>
      </c>
      <c r="Q72" s="686"/>
      <c r="R72" s="686"/>
      <c r="S72" s="1345" t="s">
        <v>2208</v>
      </c>
      <c r="T72" s="1350">
        <v>45442.0</v>
      </c>
      <c r="U72" s="686"/>
      <c r="V72" s="1352" t="s">
        <v>3466</v>
      </c>
      <c r="W72" s="686"/>
      <c r="X72" s="686"/>
      <c r="Y72" s="686"/>
      <c r="Z72" s="1353"/>
      <c r="AA72" s="1437"/>
      <c r="AF72" s="1316" t="str">
        <f t="shared" si="91"/>
        <v/>
      </c>
      <c r="AG72" s="1343" t="str">
        <f>IFERROR(#REF!+VLOOKUP($R72,'Voyage days'!$F$38:$H$89,3,FALSE),"")</f>
        <v/>
      </c>
      <c r="AH72" s="1343" t="str">
        <f>IFERROR(T72+VLOOKUP($R72,'Voyage days'!$F$38:$H$89,3,FALSE),"")</f>
        <v/>
      </c>
      <c r="AI72" s="1316" t="str">
        <f t="shared" si="92"/>
        <v/>
      </c>
      <c r="AJ72" s="1343" t="str">
        <f>IF(P72="P",IFERROR(#REF!+VLOOKUP($R72,'Voyage days'!$F$94:$H$193,3,FALSE),""),"")</f>
        <v/>
      </c>
      <c r="AK72" s="1343" t="str">
        <f>IF(P72="P",IFERROR($T72+VLOOKUP($R72,'Voyage days'!$F$94:$H$193,3,FALSE),""),"")</f>
        <v/>
      </c>
      <c r="AL72" s="1316" t="str">
        <f t="shared" si="93"/>
        <v/>
      </c>
      <c r="AM72" s="1343" t="str">
        <f>IFERROR(#REF!+VLOOKUP($R72,'Voyage days'!$F$203:$H$256,3,FALSE),"")</f>
        <v/>
      </c>
      <c r="AN72" s="1343" t="str">
        <f>IFERROR($T72+VLOOKUP($R72,'Voyage days'!$F$203:$H$256,3,FALSE),"")</f>
        <v/>
      </c>
      <c r="AO72" s="1316" t="str">
        <f t="shared" si="94"/>
        <v/>
      </c>
      <c r="AP72" s="1343" t="str">
        <f>IFERROR(#REF!+VLOOKUP($R72,'Voyage days'!$F$294:$H$377,3,FALSE),"")</f>
        <v/>
      </c>
      <c r="AQ72" s="1343" t="str">
        <f>IFERROR($T72+VLOOKUP($R72,'Voyage days'!$F$294:$H$377,3,FALSE),"")</f>
        <v/>
      </c>
      <c r="AR72" s="1316" t="str">
        <f t="shared" si="95"/>
        <v/>
      </c>
      <c r="AS72" s="1343" t="str">
        <f>IFERROR(#REF!+VLOOKUP($R72,'Voyage days'!$F$382:$H$446,3,FALSE),"")</f>
        <v/>
      </c>
      <c r="AT72" s="1343" t="str">
        <f>IFERROR($T72+VLOOKUP($R72,'Voyage days'!$F$382:$H$446,3,FALSE),"")</f>
        <v/>
      </c>
      <c r="AU72" s="1316" t="str">
        <f t="shared" si="96"/>
        <v/>
      </c>
      <c r="AV72" s="1343" t="str">
        <f>IFERROR(#REF!+VLOOKUP($R72,'Voyage days'!$F$483:$H$538,3,FALSE),"")</f>
        <v/>
      </c>
      <c r="AW72" s="1343" t="str">
        <f>IFERROR($T72+VLOOKUP($R72,'Voyage days'!$F$483:$H$538,3,FALSE),"")</f>
        <v/>
      </c>
      <c r="AX72" s="1316" t="str">
        <f t="shared" si="97"/>
        <v/>
      </c>
      <c r="AY72" s="1343" t="str">
        <f>IFERROR(#REF!+VLOOKUP($R72,'Voyage days'!$F$540:$H$613,3,FALSE),"")</f>
        <v/>
      </c>
      <c r="AZ72" s="1343" t="str">
        <f>IFERROR($T72+VLOOKUP($R72,'Voyage days'!$F$540:$H$613,3,FALSE),"")</f>
        <v/>
      </c>
      <c r="BA72" s="1316" t="str">
        <f t="shared" si="98"/>
        <v/>
      </c>
      <c r="BB72" s="1343" t="str">
        <f>IFERROR(#REF!+VLOOKUP($R72,'Voyage days'!$L$483:$N$535,3,FALSE),"")</f>
        <v/>
      </c>
      <c r="BC72" s="1343" t="str">
        <f>IFERROR($T72+VLOOKUP($R72,'Voyage days'!$L$483:$N$535,3,FALSE),"")</f>
        <v/>
      </c>
      <c r="BD72" s="1316" t="str">
        <f t="shared" si="99"/>
        <v/>
      </c>
      <c r="BE72" s="1343" t="str">
        <f>IFERROR(#REF!+VLOOKUP($R72,'Voyage days'!$F$620:$H$646,3,FALSE),"")</f>
        <v/>
      </c>
      <c r="BF72" s="1343" t="str">
        <f>IFERROR($T72+VLOOKUP($R72,'Voyage days'!$F$620:$H$646,3,FALSE),"")</f>
        <v/>
      </c>
      <c r="BG72" s="1316" t="str">
        <f t="shared" si="100"/>
        <v/>
      </c>
      <c r="BH72" s="1321" t="str">
        <f>IFERROR(#REF!+VLOOKUP($R72,'Voyage days'!$F$702:$H$727,3,FALSE),"")</f>
        <v/>
      </c>
      <c r="BI72" s="1321" t="str">
        <f>IFERROR($T72+VLOOKUP($R72,'Voyage days'!$F$702:$H$727,3,FALSE),"")</f>
        <v/>
      </c>
      <c r="BJ72" s="1321"/>
      <c r="BK72" s="1321"/>
      <c r="BL72" s="1321"/>
      <c r="BM72" s="1321"/>
      <c r="BN72" s="1321"/>
      <c r="BO72" s="1321"/>
      <c r="BP72" s="1321"/>
    </row>
    <row r="73">
      <c r="A73" s="606" t="s">
        <v>3564</v>
      </c>
      <c r="B73" s="1002">
        <v>38353.0</v>
      </c>
      <c r="C73" s="1344">
        <v>78500.0</v>
      </c>
      <c r="D73" s="1443" t="e">
        <v>#N/A</v>
      </c>
      <c r="E73" s="1345" t="s">
        <v>3565</v>
      </c>
      <c r="F73" s="686"/>
      <c r="G73" s="1345"/>
      <c r="H73" s="606"/>
      <c r="I73" s="1316"/>
      <c r="J73" s="1316" t="str">
        <f>IF(K73="","",VLOOKUP(K73,'Voyage days'!$A$3:$B$1480,2,FALSE))</f>
        <v>#N/A</v>
      </c>
      <c r="K73" s="1444" t="str">
        <f>IF(VLOOKUP(A73,'1) Kpler'!$E$2:$O$500,8, FALSE)="",VLOOKUP(A73,'1) Kpler'!$E$2:$O$500,10,FALSE),VLOOKUP(A73,'1) Kpler'!$E$2:$O$500,8, FALSE))</f>
        <v>#N/A</v>
      </c>
      <c r="L73" s="1445" t="str">
        <f>IF(VLOOKUP(A73,'1) Kpler'!$E$2:$O$600,9,FALSE)="","",VLOOKUP(A73,'1) Kpler'!$E$2:$O$500,9,FALSE))</f>
        <v>#N/A</v>
      </c>
      <c r="M73" s="1444" t="str">
        <f>VLOOKUP(A73,'1) Kpler'!$E$2:$H$600,4,FALSE)</f>
        <v>#N/A</v>
      </c>
      <c r="N73" s="1350"/>
      <c r="O73" s="1436"/>
      <c r="P73" s="1453" t="s">
        <v>1695</v>
      </c>
      <c r="Q73" s="686"/>
      <c r="R73" s="686"/>
      <c r="S73" s="1345" t="s">
        <v>2086</v>
      </c>
      <c r="T73" s="1350">
        <v>45465.0</v>
      </c>
      <c r="U73" s="686"/>
      <c r="V73" s="1352" t="s">
        <v>3466</v>
      </c>
      <c r="W73" s="686"/>
      <c r="X73" s="686"/>
      <c r="Y73" s="686"/>
      <c r="Z73" s="1378"/>
      <c r="AA73" s="1321"/>
      <c r="AF73" s="1316" t="str">
        <f t="shared" si="91"/>
        <v/>
      </c>
      <c r="AG73" s="1343" t="str">
        <f>IFERROR(#REF!+VLOOKUP($R73,'Voyage days'!$F$38:$H$89,3,FALSE),"")</f>
        <v/>
      </c>
      <c r="AH73" s="1343" t="str">
        <f>IFERROR(T73+VLOOKUP($R73,'Voyage days'!$F$38:$H$89,3,FALSE),"")</f>
        <v/>
      </c>
      <c r="AI73" s="1316" t="str">
        <f t="shared" si="92"/>
        <v/>
      </c>
      <c r="AJ73" s="1343" t="str">
        <f>IF(P73="P",IFERROR(#REF!+VLOOKUP($R73,'Voyage days'!$F$94:$H$193,3,FALSE),""),"")</f>
        <v/>
      </c>
      <c r="AK73" s="1343" t="str">
        <f>IF(P73="P",IFERROR($T73+VLOOKUP($R73,'Voyage days'!$F$94:$H$193,3,FALSE),""),"")</f>
        <v/>
      </c>
      <c r="AL73" s="1316" t="str">
        <f t="shared" si="93"/>
        <v/>
      </c>
      <c r="AM73" s="1343" t="str">
        <f>IFERROR(#REF!+VLOOKUP($R73,'Voyage days'!$F$203:$H$256,3,FALSE),"")</f>
        <v/>
      </c>
      <c r="AN73" s="1343" t="str">
        <f>IFERROR($T73+VLOOKUP($R73,'Voyage days'!$F$203:$H$256,3,FALSE),"")</f>
        <v/>
      </c>
      <c r="AO73" s="1316" t="str">
        <f t="shared" si="94"/>
        <v/>
      </c>
      <c r="AP73" s="1343" t="str">
        <f>IFERROR(#REF!+VLOOKUP($R73,'Voyage days'!$F$294:$H$377,3,FALSE),"")</f>
        <v/>
      </c>
      <c r="AQ73" s="1343" t="str">
        <f>IFERROR($T73+VLOOKUP($R73,'Voyage days'!$F$294:$H$377,3,FALSE),"")</f>
        <v/>
      </c>
      <c r="AR73" s="1316" t="str">
        <f t="shared" si="95"/>
        <v/>
      </c>
      <c r="AS73" s="1343" t="str">
        <f>IFERROR(#REF!+VLOOKUP($R73,'Voyage days'!$F$382:$H$446,3,FALSE),"")</f>
        <v/>
      </c>
      <c r="AT73" s="1343" t="str">
        <f>IFERROR($T73+VLOOKUP($R73,'Voyage days'!$F$382:$H$446,3,FALSE),"")</f>
        <v/>
      </c>
      <c r="AU73" s="1316" t="str">
        <f t="shared" si="96"/>
        <v/>
      </c>
      <c r="AV73" s="1343" t="str">
        <f>IFERROR(#REF!+VLOOKUP($R73,'Voyage days'!$F$483:$H$538,3,FALSE),"")</f>
        <v/>
      </c>
      <c r="AW73" s="1343" t="str">
        <f>IFERROR($T73+VLOOKUP($R73,'Voyage days'!$F$483:$H$538,3,FALSE),"")</f>
        <v/>
      </c>
      <c r="AX73" s="1316" t="str">
        <f t="shared" si="97"/>
        <v/>
      </c>
      <c r="AY73" s="1343" t="str">
        <f>IFERROR(#REF!+VLOOKUP($R73,'Voyage days'!$F$540:$H$613,3,FALSE),"")</f>
        <v/>
      </c>
      <c r="AZ73" s="1343" t="str">
        <f>IFERROR($T73+VLOOKUP($R73,'Voyage days'!$F$540:$H$613,3,FALSE),"")</f>
        <v/>
      </c>
      <c r="BA73" s="1316" t="str">
        <f t="shared" si="98"/>
        <v/>
      </c>
      <c r="BB73" s="1343" t="str">
        <f>IFERROR($S73+VLOOKUP($R73,'Voyage days'!$L$483:$N$535,3,FALSE),"")</f>
        <v/>
      </c>
      <c r="BC73" s="1343" t="str">
        <f>IFERROR($T73+VLOOKUP($R73,'Voyage days'!$L$483:$N$535,3,FALSE),"")</f>
        <v/>
      </c>
      <c r="BD73" s="1316" t="str">
        <f t="shared" si="99"/>
        <v/>
      </c>
      <c r="BE73" s="1343" t="str">
        <f>IFERROR($S73+VLOOKUP($R73,'Voyage days'!$F$620:$H$646,3,FALSE),"")</f>
        <v/>
      </c>
      <c r="BF73" s="1343" t="str">
        <f>IFERROR($T73+VLOOKUP($R73,'Voyage days'!$F$620:$H$646,3,FALSE),"")</f>
        <v/>
      </c>
      <c r="BG73" s="1316" t="str">
        <f t="shared" si="100"/>
        <v/>
      </c>
      <c r="BH73" s="1321" t="str">
        <f>IFERROR($S73+VLOOKUP($R73,'Voyage days'!$F$702:$H$727,3,FALSE),"")</f>
        <v/>
      </c>
      <c r="BI73" s="1321" t="str">
        <f>IFERROR($T73+VLOOKUP($R73,'Voyage days'!$F$702:$H$727,3,FALSE),"")</f>
        <v/>
      </c>
      <c r="BJ73" s="1321"/>
      <c r="BK73" s="1321"/>
      <c r="BL73" s="1321"/>
      <c r="BM73" s="1321"/>
      <c r="BN73" s="1321"/>
      <c r="BO73" s="1321"/>
      <c r="BP73" s="1321"/>
    </row>
    <row r="74">
      <c r="A74" s="606" t="s">
        <v>535</v>
      </c>
      <c r="B74" s="1002">
        <v>40382.0</v>
      </c>
      <c r="C74" s="1344">
        <v>78901.0</v>
      </c>
      <c r="D74" s="1443">
        <v>9397080.0</v>
      </c>
      <c r="E74" s="1345" t="s">
        <v>3566</v>
      </c>
      <c r="F74" s="686"/>
      <c r="G74" s="1345" t="s">
        <v>3567</v>
      </c>
      <c r="H74" s="606"/>
      <c r="I74" s="1316"/>
      <c r="J74" s="1316" t="str">
        <f>IF(K74="","",VLOOKUP(K74,'Voyage days'!$A$3:$B$1480,2,FALSE))</f>
        <v>AG</v>
      </c>
      <c r="K74" s="1444" t="str">
        <f>IF(VLOOKUP(A74,'1) Kpler'!$E$2:$O$500,8, FALSE)="",VLOOKUP(A74,'1) Kpler'!$E$2:$O$500,10,FALSE),VLOOKUP(A74,'1) Kpler'!$E$2:$O$500,8, FALSE))</f>
        <v>Advario Oman</v>
      </c>
      <c r="L74" s="1445">
        <f>IF(VLOOKUP(A74,'1) Kpler'!$E$2:$O$600,9,FALSE)="","",VLOOKUP(A74,'1) Kpler'!$E$2:$O$500,9,FALSE))</f>
        <v>46135.79167</v>
      </c>
      <c r="M74" s="1444" t="str">
        <f>VLOOKUP(A74,'1) Kpler'!$E$2:$H$600,4,FALSE)</f>
        <v>ballast</v>
      </c>
      <c r="N74" s="1350"/>
      <c r="O74" s="1436"/>
      <c r="P74" s="686" t="s">
        <v>1695</v>
      </c>
      <c r="Q74" s="686"/>
      <c r="R74" s="686"/>
      <c r="S74" s="1345" t="s">
        <v>2208</v>
      </c>
      <c r="T74" s="1350">
        <v>45481.0</v>
      </c>
      <c r="U74" s="686"/>
      <c r="V74" s="1352" t="s">
        <v>3466</v>
      </c>
      <c r="W74" s="686"/>
      <c r="X74" s="686"/>
      <c r="Y74" s="686"/>
      <c r="Z74" s="1353"/>
      <c r="AA74" s="1438"/>
      <c r="AF74" s="1316" t="str">
        <f t="shared" si="91"/>
        <v/>
      </c>
      <c r="AG74" s="1343" t="str">
        <f>IFERROR(#REF!+VLOOKUP($R74,'Voyage days'!$F$38:$H$89,3,FALSE),"")</f>
        <v/>
      </c>
      <c r="AH74" s="1343" t="str">
        <f>IFERROR(T74+VLOOKUP($R74,'Voyage days'!$F$38:$H$89,3,FALSE),"")</f>
        <v/>
      </c>
      <c r="AI74" s="1316" t="str">
        <f t="shared" si="92"/>
        <v/>
      </c>
      <c r="AJ74" s="1343" t="str">
        <f>IF(P74="P",IFERROR(#REF!+VLOOKUP($R74,'Voyage days'!$F$94:$H$193,3,FALSE),""),"")</f>
        <v/>
      </c>
      <c r="AK74" s="1343" t="str">
        <f>IF(P74="P",IFERROR($T74+VLOOKUP($R74,'Voyage days'!$F$94:$H$193,3,FALSE),""),"")</f>
        <v/>
      </c>
      <c r="AL74" s="1316" t="str">
        <f t="shared" si="93"/>
        <v/>
      </c>
      <c r="AM74" s="1343" t="str">
        <f>IFERROR(#REF!+VLOOKUP($R74,'Voyage days'!$F$203:$H$256,3,FALSE),"")</f>
        <v/>
      </c>
      <c r="AN74" s="1343" t="str">
        <f>IFERROR($T74+VLOOKUP($R74,'Voyage days'!$F$203:$H$256,3,FALSE),"")</f>
        <v/>
      </c>
      <c r="AO74" s="1316" t="str">
        <f t="shared" si="94"/>
        <v/>
      </c>
      <c r="AP74" s="1343" t="str">
        <f>IFERROR($S74+VLOOKUP($R74,'Voyage days'!$F$294:$H$377,3,FALSE),"")</f>
        <v/>
      </c>
      <c r="AQ74" s="1343" t="str">
        <f>IFERROR($T74+VLOOKUP($R74,'Voyage days'!$F$294:$H$377,3,FALSE),"")</f>
        <v/>
      </c>
      <c r="AR74" s="1316" t="str">
        <f t="shared" si="95"/>
        <v/>
      </c>
      <c r="AS74" s="1343" t="str">
        <f>IFERROR($S74+VLOOKUP($R74,'Voyage days'!$F$382:$H$446,3,FALSE),"")</f>
        <v/>
      </c>
      <c r="AT74" s="1343" t="str">
        <f>IFERROR($T74+VLOOKUP($R74,'Voyage days'!$F$382:$H$446,3,FALSE),"")</f>
        <v/>
      </c>
      <c r="AU74" s="1316" t="str">
        <f t="shared" si="96"/>
        <v/>
      </c>
      <c r="AV74" s="1343" t="str">
        <f>IFERROR($S74+VLOOKUP($R74,'Voyage days'!$F$483:$H$538,3,FALSE),"")</f>
        <v/>
      </c>
      <c r="AW74" s="1343" t="str">
        <f>IFERROR($T74+VLOOKUP($R74,'Voyage days'!$F$483:$H$538,3,FALSE),"")</f>
        <v/>
      </c>
      <c r="AX74" s="1316" t="str">
        <f t="shared" si="97"/>
        <v/>
      </c>
      <c r="AY74" s="1343" t="str">
        <f>IFERROR($S74+VLOOKUP($R74,'Voyage days'!$F$540:$H$613,3,FALSE),"")</f>
        <v/>
      </c>
      <c r="AZ74" s="1343" t="str">
        <f>IFERROR($T74+VLOOKUP($R74,'Voyage days'!$F$540:$H$613,3,FALSE),"")</f>
        <v/>
      </c>
      <c r="BA74" s="1316" t="str">
        <f t="shared" si="98"/>
        <v/>
      </c>
      <c r="BB74" s="1343" t="str">
        <f>IFERROR($S74+VLOOKUP($R74,'Voyage days'!$L$483:$N$535,3,FALSE),"")</f>
        <v/>
      </c>
      <c r="BC74" s="1343" t="str">
        <f>IFERROR($T74+VLOOKUP($R74,'Voyage days'!$L$483:$N$535,3,FALSE),"")</f>
        <v/>
      </c>
      <c r="BD74" s="1316" t="str">
        <f t="shared" si="99"/>
        <v/>
      </c>
      <c r="BE74" s="1343" t="str">
        <f>IFERROR($S74+VLOOKUP($R74,'Voyage days'!$F$620:$H$646,3,FALSE),"")</f>
        <v/>
      </c>
      <c r="BF74" s="1343" t="str">
        <f>IFERROR($T74+VLOOKUP($R74,'Voyage days'!$F$620:$H$646,3,FALSE),"")</f>
        <v/>
      </c>
      <c r="BG74" s="1316" t="str">
        <f t="shared" si="100"/>
        <v/>
      </c>
      <c r="BH74" s="1321" t="str">
        <f>IFERROR($S74+VLOOKUP($R74,'Voyage days'!$F$702:$H$727,3,FALSE),"")</f>
        <v/>
      </c>
      <c r="BI74" s="1321" t="str">
        <f>IFERROR($T74+VLOOKUP($R74,'Voyage days'!$F$702:$H$727,3,FALSE),"")</f>
        <v/>
      </c>
      <c r="BJ74" s="1321"/>
      <c r="BK74" s="1321"/>
      <c r="BL74" s="1321"/>
      <c r="BM74" s="1321"/>
      <c r="BN74" s="1321"/>
      <c r="BO74" s="1321"/>
      <c r="BP74" s="1321"/>
    </row>
    <row r="75" ht="15.75" customHeight="1">
      <c r="A75" s="606" t="s">
        <v>3568</v>
      </c>
      <c r="B75" s="1002">
        <v>39387.0</v>
      </c>
      <c r="C75" s="1344">
        <v>82383.0</v>
      </c>
      <c r="D75" s="1443" t="e">
        <v>#N/A</v>
      </c>
      <c r="E75" s="1345" t="s">
        <v>3566</v>
      </c>
      <c r="F75" s="686"/>
      <c r="G75" s="1387" t="s">
        <v>3569</v>
      </c>
      <c r="H75" s="606"/>
      <c r="I75" s="1316"/>
      <c r="J75" s="1316" t="str">
        <f>IF(K75="","",VLOOKUP(K75,'Voyage days'!$A$3:$B$1480,2,FALSE))</f>
        <v>#N/A</v>
      </c>
      <c r="K75" s="1444" t="str">
        <f>IF(VLOOKUP(A75,'1) Kpler'!$E$2:$O$500,8, FALSE)="",VLOOKUP(A75,'1) Kpler'!$E$2:$O$500,10,FALSE),VLOOKUP(A75,'1) Kpler'!$E$2:$O$500,8, FALSE))</f>
        <v>#N/A</v>
      </c>
      <c r="L75" s="1445" t="str">
        <f>IF(VLOOKUP(A75,'1) Kpler'!$E$2:$O$600,9,FALSE)="","",VLOOKUP(A75,'1) Kpler'!$E$2:$O$500,9,FALSE))</f>
        <v>#N/A</v>
      </c>
      <c r="M75" s="1444" t="str">
        <f>VLOOKUP(A75,'1) Kpler'!$E$2:$H$600,4,FALSE)</f>
        <v>#N/A</v>
      </c>
      <c r="N75" s="1350"/>
      <c r="O75" s="1351"/>
      <c r="P75" s="686" t="s">
        <v>1687</v>
      </c>
      <c r="Q75" s="686"/>
      <c r="R75" s="686"/>
      <c r="S75" s="1345" t="s">
        <v>2208</v>
      </c>
      <c r="T75" s="1439">
        <v>45462.0</v>
      </c>
      <c r="U75" s="686"/>
      <c r="V75" s="1352" t="s">
        <v>3466</v>
      </c>
      <c r="W75" s="686"/>
      <c r="X75" s="686"/>
      <c r="Y75" s="686"/>
      <c r="Z75" s="1353"/>
      <c r="AA75" s="1321"/>
      <c r="AF75" s="1316" t="str">
        <f t="shared" si="91"/>
        <v/>
      </c>
      <c r="AG75" s="1343" t="str">
        <f>IFERROR($S75+VLOOKUP($R75,'Voyage days'!$F$38:$H$89,3,FALSE),"")</f>
        <v/>
      </c>
      <c r="AH75" s="1343" t="str">
        <f>IFERROR(T75+VLOOKUP($R75,'Voyage days'!$F$38:$H$89,3,FALSE),"")</f>
        <v/>
      </c>
      <c r="AI75" s="1316" t="str">
        <f t="shared" si="92"/>
        <v/>
      </c>
      <c r="AJ75" s="1343" t="str">
        <f>IF(P75="P",IFERROR($S75+VLOOKUP($R75,'Voyage days'!$F$94:$H$193,3,FALSE),""),"")</f>
        <v/>
      </c>
      <c r="AK75" s="1343" t="str">
        <f>IF(P75="P",IFERROR($T75+VLOOKUP($R75,'Voyage days'!$F$94:$H$193,3,FALSE),""),"")</f>
        <v/>
      </c>
      <c r="AL75" s="1316" t="str">
        <f t="shared" si="93"/>
        <v/>
      </c>
      <c r="AM75" s="1343" t="str">
        <f>IFERROR($S75+VLOOKUP($R75,'Voyage days'!$F$203:$H$256,3,FALSE),"")</f>
        <v/>
      </c>
      <c r="AN75" s="1343" t="str">
        <f>IFERROR($T75+VLOOKUP($R75,'Voyage days'!$F$203:$H$256,3,FALSE),"")</f>
        <v/>
      </c>
      <c r="AO75" s="1316" t="str">
        <f t="shared" si="94"/>
        <v/>
      </c>
      <c r="AP75" s="1343" t="str">
        <f>IFERROR($S75+VLOOKUP($R75,'Voyage days'!$F$294:$H$377,3,FALSE),"")</f>
        <v/>
      </c>
      <c r="AQ75" s="1343" t="str">
        <f>IFERROR($T75+VLOOKUP($R75,'Voyage days'!$F$294:$H$377,3,FALSE),"")</f>
        <v/>
      </c>
      <c r="AR75" s="1316" t="str">
        <f t="shared" si="95"/>
        <v/>
      </c>
      <c r="AS75" s="1343" t="str">
        <f>IFERROR($S75+VLOOKUP($R75,'Voyage days'!$F$382:$H$446,3,FALSE),"")</f>
        <v/>
      </c>
      <c r="AT75" s="1343" t="str">
        <f>IFERROR($T75+VLOOKUP($R75,'Voyage days'!$F$382:$H$446,3,FALSE),"")</f>
        <v/>
      </c>
      <c r="AU75" s="1316" t="str">
        <f t="shared" si="96"/>
        <v/>
      </c>
      <c r="AV75" s="1343" t="str">
        <f>IFERROR($S75+VLOOKUP($R75,'Voyage days'!$F$483:$H$538,3,FALSE),"")</f>
        <v/>
      </c>
      <c r="AW75" s="1343" t="str">
        <f>IFERROR($T75+VLOOKUP($R75,'Voyage days'!$F$483:$H$538,3,FALSE),"")</f>
        <v/>
      </c>
      <c r="AX75" s="1316" t="str">
        <f t="shared" si="97"/>
        <v/>
      </c>
      <c r="AY75" s="1343" t="str">
        <f>IFERROR($S75+VLOOKUP($R75,'Voyage days'!$F$540:$H$613,3,FALSE),"")</f>
        <v/>
      </c>
      <c r="AZ75" s="1343" t="str">
        <f>IFERROR($T75+VLOOKUP($R75,'Voyage days'!$F$540:$H$613,3,FALSE),"")</f>
        <v/>
      </c>
      <c r="BA75" s="1316" t="str">
        <f t="shared" si="98"/>
        <v/>
      </c>
      <c r="BB75" s="1343" t="str">
        <f>IFERROR($S75+VLOOKUP($R75,'Voyage days'!$L$483:$N$535,3,FALSE),"")</f>
        <v/>
      </c>
      <c r="BC75" s="1343" t="str">
        <f>IFERROR($T75+VLOOKUP($R75,'Voyage days'!$L$483:$N$535,3,FALSE),"")</f>
        <v/>
      </c>
      <c r="BD75" s="1316" t="str">
        <f t="shared" si="99"/>
        <v/>
      </c>
      <c r="BE75" s="1343" t="str">
        <f>IFERROR($S75+VLOOKUP($R75,'Voyage days'!$F$620:$H$646,3,FALSE),"")</f>
        <v/>
      </c>
      <c r="BF75" s="1343" t="str">
        <f>IFERROR($T75+VLOOKUP($R75,'Voyage days'!$F$620:$H$646,3,FALSE),"")</f>
        <v/>
      </c>
      <c r="BG75" s="1316" t="str">
        <f t="shared" si="100"/>
        <v/>
      </c>
      <c r="BH75" s="1321" t="str">
        <f>IFERROR($S75+VLOOKUP($R75,'Voyage days'!$F$702:$H$727,3,FALSE),"")</f>
        <v/>
      </c>
      <c r="BI75" s="1321" t="str">
        <f>IFERROR($T75+VLOOKUP($R75,'Voyage days'!$F$702:$H$727,3,FALSE),"")</f>
        <v/>
      </c>
      <c r="BJ75" s="1321"/>
      <c r="BK75" s="1321"/>
      <c r="BL75" s="1321"/>
      <c r="BM75" s="1321"/>
      <c r="BN75" s="1321"/>
      <c r="BO75" s="1321"/>
      <c r="BP75" s="1321"/>
    </row>
    <row r="76" ht="15.75" customHeight="1">
      <c r="A76" s="606" t="s">
        <v>343</v>
      </c>
      <c r="B76" s="1005">
        <v>34121.0</v>
      </c>
      <c r="C76" s="1344">
        <v>78461.0</v>
      </c>
      <c r="D76" s="1443">
        <v>9005065.0</v>
      </c>
      <c r="E76" s="1345" t="s">
        <v>3570</v>
      </c>
      <c r="F76" s="686" t="s">
        <v>3497</v>
      </c>
      <c r="G76" s="1345" t="s">
        <v>3571</v>
      </c>
      <c r="H76" s="606"/>
      <c r="I76" s="1316" t="s">
        <v>3572</v>
      </c>
      <c r="J76" s="1316" t="str">
        <f>IF(K76="","",VLOOKUP(K76,'Voyage days'!$A$3:$B$1480,2,FALSE))</f>
        <v>#N/A</v>
      </c>
      <c r="K76" s="1444" t="b">
        <f>IF(VLOOKUP(A76,'1) Kpler'!$E$2:$O$500,8, FALSE)="",VLOOKUP(A76,'1) Kpler'!$E$2:$O$500,10,FALSE),VLOOKUP(A76,'1) Kpler'!$E$2:$O$500,8, FALSE))</f>
        <v>0</v>
      </c>
      <c r="L76" s="1445" t="str">
        <f>IF(VLOOKUP(A76,'1) Kpler'!$E$2:$O$600,9,FALSE)="","",VLOOKUP(A76,'1) Kpler'!$E$2:$O$500,9,FALSE))</f>
        <v/>
      </c>
      <c r="M76" s="1444" t="str">
        <f>VLOOKUP(A76,'1) Kpler'!$E$2:$H$600,4,FALSE)</f>
        <v>ballast</v>
      </c>
      <c r="N76" s="1350"/>
      <c r="O76" s="1351"/>
      <c r="P76" s="686" t="s">
        <v>570</v>
      </c>
      <c r="Q76" s="686"/>
      <c r="R76" s="686"/>
      <c r="S76" s="1345" t="s">
        <v>2086</v>
      </c>
      <c r="T76" s="1439">
        <v>45416.0</v>
      </c>
      <c r="U76" s="686"/>
      <c r="V76" s="1352" t="s">
        <v>3466</v>
      </c>
      <c r="W76" s="686"/>
      <c r="X76" s="686"/>
      <c r="Y76" s="686"/>
      <c r="Z76" s="1353"/>
      <c r="AA76" s="1437"/>
      <c r="AF76" s="1316" t="str">
        <f t="shared" si="91"/>
        <v/>
      </c>
      <c r="AG76" s="1343" t="str">
        <f>IFERROR($S76+VLOOKUP($R76,'Voyage days'!$F$38:$H$89,3,FALSE),"")</f>
        <v/>
      </c>
      <c r="AH76" s="1343" t="str">
        <f>IFERROR(T76+VLOOKUP($R76,'Voyage days'!$F$38:$H$89,3,FALSE),"")</f>
        <v/>
      </c>
      <c r="AI76" s="1316" t="str">
        <f t="shared" si="92"/>
        <v/>
      </c>
      <c r="AJ76" s="1343" t="str">
        <f>IF(P76="P",IFERROR($S76+VLOOKUP($R76,'Voyage days'!$F$94:$H$193,3,FALSE),""),"")</f>
        <v/>
      </c>
      <c r="AK76" s="1343" t="str">
        <f>IF(P76="P",IFERROR($T76+VLOOKUP($R76,'Voyage days'!$F$94:$H$193,3,FALSE),""),"")</f>
        <v/>
      </c>
      <c r="AL76" s="1316" t="str">
        <f t="shared" si="93"/>
        <v/>
      </c>
      <c r="AM76" s="1343" t="str">
        <f>IFERROR($S76+VLOOKUP($R76,'Voyage days'!$F$203:$H$256,3,FALSE),"")</f>
        <v/>
      </c>
      <c r="AN76" s="1343" t="str">
        <f>IFERROR($T76+VLOOKUP($R76,'Voyage days'!$F$203:$H$256,3,FALSE),"")</f>
        <v/>
      </c>
      <c r="AO76" s="1316" t="str">
        <f t="shared" si="94"/>
        <v/>
      </c>
      <c r="AP76" s="1343" t="str">
        <f>IFERROR($S76+VLOOKUP($R76,'Voyage days'!$F$294:$H$377,3,FALSE),"")</f>
        <v/>
      </c>
      <c r="AQ76" s="1343" t="str">
        <f>IFERROR($T76+VLOOKUP($R76,'Voyage days'!$F$294:$H$377,3,FALSE),"")</f>
        <v/>
      </c>
      <c r="AR76" s="1316" t="str">
        <f t="shared" si="95"/>
        <v/>
      </c>
      <c r="AS76" s="1343" t="str">
        <f>IFERROR($S76+VLOOKUP($R76,'Voyage days'!$F$382:$H$446,3,FALSE),"")</f>
        <v/>
      </c>
      <c r="AT76" s="1343" t="str">
        <f>IFERROR($T76+VLOOKUP($R76,'Voyage days'!$F$382:$H$446,3,FALSE),"")</f>
        <v/>
      </c>
      <c r="AU76" s="1316" t="str">
        <f t="shared" si="96"/>
        <v/>
      </c>
      <c r="AV76" s="1343" t="str">
        <f>IFERROR($S76+VLOOKUP($R76,'Voyage days'!$F$483:$H$538,3,FALSE),"")</f>
        <v/>
      </c>
      <c r="AW76" s="1343" t="str">
        <f>IFERROR($T76+VLOOKUP($R76,'Voyage days'!$F$483:$H$538,3,FALSE),"")</f>
        <v/>
      </c>
      <c r="AX76" s="1316" t="str">
        <f t="shared" si="97"/>
        <v/>
      </c>
      <c r="AY76" s="1343" t="str">
        <f>IFERROR($S76+VLOOKUP($R76,'Voyage days'!$F$540:$H$613,3,FALSE),"")</f>
        <v/>
      </c>
      <c r="AZ76" s="1343" t="str">
        <f>IFERROR($T76+VLOOKUP($R76,'Voyage days'!$F$540:$H$613,3,FALSE),"")</f>
        <v/>
      </c>
      <c r="BA76" s="1316" t="str">
        <f t="shared" si="98"/>
        <v/>
      </c>
      <c r="BB76" s="1343" t="str">
        <f>IFERROR($S76+VLOOKUP($R76,'Voyage days'!$L$483:$N$535,3,FALSE),"")</f>
        <v/>
      </c>
      <c r="BC76" s="1343" t="str">
        <f>IFERROR($T76+VLOOKUP($R76,'Voyage days'!$L$483:$N$535,3,FALSE),"")</f>
        <v/>
      </c>
      <c r="BD76" s="1316" t="str">
        <f t="shared" si="99"/>
        <v/>
      </c>
      <c r="BE76" s="1343" t="str">
        <f>IFERROR($S76+VLOOKUP($R76,'Voyage days'!$F$620:$H$646,3,FALSE),"")</f>
        <v/>
      </c>
      <c r="BF76" s="1343" t="str">
        <f>IFERROR($T76+VLOOKUP($R76,'Voyage days'!$F$620:$H$646,3,FALSE),"")</f>
        <v/>
      </c>
      <c r="BG76" s="1316" t="str">
        <f t="shared" si="100"/>
        <v/>
      </c>
      <c r="BH76" s="1321" t="str">
        <f>IFERROR($S76+VLOOKUP($R76,'Voyage days'!$F$702:$H$727,3,FALSE),"")</f>
        <v/>
      </c>
      <c r="BI76" s="1321" t="str">
        <f>IFERROR($T76+VLOOKUP($R76,'Voyage days'!$F$702:$H$727,3,FALSE),"")</f>
        <v/>
      </c>
      <c r="BJ76" s="1321"/>
      <c r="BK76" s="1321"/>
      <c r="BL76" s="1321"/>
      <c r="BM76" s="1321"/>
      <c r="BN76" s="1321"/>
      <c r="BO76" s="1321"/>
      <c r="BP76" s="1321"/>
    </row>
    <row r="77">
      <c r="A77" s="606" t="s">
        <v>580</v>
      </c>
      <c r="B77" s="1005">
        <v>33543.0</v>
      </c>
      <c r="C77" s="1344">
        <v>78482.0</v>
      </c>
      <c r="D77" s="1443" t="e">
        <v>#N/A</v>
      </c>
      <c r="E77" s="1345" t="s">
        <v>3570</v>
      </c>
      <c r="F77" s="686" t="s">
        <v>3497</v>
      </c>
      <c r="G77" s="1345" t="s">
        <v>3573</v>
      </c>
      <c r="H77" s="606"/>
      <c r="I77" s="1316" t="s">
        <v>3572</v>
      </c>
      <c r="J77" s="1316" t="str">
        <f>IF(K77="","",VLOOKUP(K77,'Voyage days'!$A$3:$B$1480,2,FALSE))</f>
        <v>#N/A</v>
      </c>
      <c r="K77" s="1444" t="b">
        <f>IF(VLOOKUP(A77,'1) Kpler'!$E$2:$O$500,8, FALSE)="",VLOOKUP(A77,'1) Kpler'!$E$2:$O$500,10,FALSE),VLOOKUP(A77,'1) Kpler'!$E$2:$O$500,8, FALSE))</f>
        <v>1</v>
      </c>
      <c r="L77" s="1445" t="str">
        <f>IF(VLOOKUP(A77,'1) Kpler'!$E$2:$O$600,9,FALSE)="","",VLOOKUP(A77,'1) Kpler'!$E$2:$O$500,9,FALSE))</f>
        <v/>
      </c>
      <c r="M77" s="1444" t="str">
        <f>VLOOKUP(A77,'1) Kpler'!$E$2:$H$600,4,FALSE)</f>
        <v>floatingStorage</v>
      </c>
      <c r="N77" s="1350"/>
      <c r="O77" s="1351"/>
      <c r="P77" s="686" t="s">
        <v>570</v>
      </c>
      <c r="Q77" s="686"/>
      <c r="R77" s="686"/>
      <c r="S77" s="1345" t="s">
        <v>2208</v>
      </c>
      <c r="T77" s="1439">
        <v>45434.0</v>
      </c>
      <c r="U77" s="686"/>
      <c r="V77" s="1352" t="s">
        <v>3466</v>
      </c>
      <c r="W77" s="686"/>
      <c r="X77" s="686"/>
      <c r="Y77" s="686"/>
      <c r="Z77" s="1353"/>
      <c r="AA77" s="1343"/>
      <c r="AF77" s="1316" t="str">
        <f t="shared" si="91"/>
        <v/>
      </c>
      <c r="AG77" s="1343" t="str">
        <f>IFERROR($S77+VLOOKUP($R77,'Voyage days'!$F$38:$H$89,3,FALSE),"")</f>
        <v/>
      </c>
      <c r="AH77" s="1343" t="str">
        <f>IFERROR(T77+VLOOKUP($R77,'Voyage days'!$F$38:$H$89,3,FALSE),"")</f>
        <v/>
      </c>
      <c r="AI77" s="1316" t="str">
        <f t="shared" si="92"/>
        <v/>
      </c>
      <c r="AJ77" s="1343" t="str">
        <f>IF(P77="P",IFERROR($S77+VLOOKUP($R77,'Voyage days'!$F$94:$H$193,3,FALSE),""),"")</f>
        <v/>
      </c>
      <c r="AK77" s="1343" t="str">
        <f>IF(P77="P",IFERROR($T77+VLOOKUP($R77,'Voyage days'!$F$94:$H$193,3,FALSE),""),"")</f>
        <v/>
      </c>
      <c r="AL77" s="1316" t="str">
        <f t="shared" si="93"/>
        <v/>
      </c>
      <c r="AM77" s="1343" t="str">
        <f>IFERROR($S77+VLOOKUP($R77,'Voyage days'!$F$203:$H$256,3,FALSE),"")</f>
        <v/>
      </c>
      <c r="AN77" s="1343" t="str">
        <f>IFERROR($T77+VLOOKUP($R77,'Voyage days'!$F$203:$H$256,3,FALSE),"")</f>
        <v/>
      </c>
      <c r="AO77" s="1316" t="str">
        <f t="shared" si="94"/>
        <v/>
      </c>
      <c r="AP77" s="1343" t="str">
        <f>IFERROR($S77+VLOOKUP($R77,'Voyage days'!$F$294:$H$377,3,FALSE),"")</f>
        <v/>
      </c>
      <c r="AQ77" s="1343" t="str">
        <f>IFERROR($T77+VLOOKUP($R77,'Voyage days'!$F$294:$H$377,3,FALSE),"")</f>
        <v/>
      </c>
      <c r="AR77" s="1316" t="str">
        <f t="shared" si="95"/>
        <v/>
      </c>
      <c r="AS77" s="1343" t="str">
        <f>IFERROR($S77+VLOOKUP($R77,'Voyage days'!$F$382:$H$446,3,FALSE),"")</f>
        <v/>
      </c>
      <c r="AT77" s="1343" t="str">
        <f>IFERROR($T77+VLOOKUP($R77,'Voyage days'!$F$382:$H$446,3,FALSE),"")</f>
        <v/>
      </c>
      <c r="AU77" s="1316" t="str">
        <f t="shared" si="96"/>
        <v/>
      </c>
      <c r="AV77" s="1343" t="str">
        <f>IFERROR($S77+VLOOKUP($R77,'Voyage days'!$F$483:$H$538,3,FALSE),"")</f>
        <v/>
      </c>
      <c r="AW77" s="1343" t="str">
        <f>IFERROR($T77+VLOOKUP($R77,'Voyage days'!$F$483:$H$538,3,FALSE),"")</f>
        <v/>
      </c>
      <c r="AX77" s="1316" t="str">
        <f t="shared" si="97"/>
        <v/>
      </c>
      <c r="AY77" s="1343" t="str">
        <f>IFERROR($S77+VLOOKUP($R77,'Voyage days'!$F$540:$H$613,3,FALSE),"")</f>
        <v/>
      </c>
      <c r="AZ77" s="1343" t="str">
        <f>IFERROR($T77+VLOOKUP($R77,'Voyage days'!$F$540:$H$613,3,FALSE),"")</f>
        <v/>
      </c>
      <c r="BA77" s="1316" t="str">
        <f t="shared" si="98"/>
        <v/>
      </c>
      <c r="BB77" s="1343" t="str">
        <f>IFERROR($S77+VLOOKUP($R77,'Voyage days'!$L$483:$N$535,3,FALSE),"")</f>
        <v/>
      </c>
      <c r="BC77" s="1343" t="str">
        <f>IFERROR($T77+VLOOKUP($R77,'Voyage days'!$L$483:$N$535,3,FALSE),"")</f>
        <v/>
      </c>
      <c r="BD77" s="1316" t="str">
        <f t="shared" si="99"/>
        <v/>
      </c>
      <c r="BE77" s="1343" t="str">
        <f>IFERROR($S77+VLOOKUP($R77,'Voyage days'!$F$620:$H$646,3,FALSE),"")</f>
        <v/>
      </c>
      <c r="BF77" s="1343" t="str">
        <f>IFERROR($T77+VLOOKUP($R77,'Voyage days'!$F$620:$H$646,3,FALSE),"")</f>
        <v/>
      </c>
      <c r="BG77" s="1316" t="str">
        <f t="shared" si="100"/>
        <v/>
      </c>
      <c r="BH77" s="1321" t="str">
        <f>IFERROR($S77+VLOOKUP($R77,'Voyage days'!$F$702:$H$727,3,FALSE),"")</f>
        <v/>
      </c>
      <c r="BI77" s="1321" t="str">
        <f>IFERROR($T77+VLOOKUP($R77,'Voyage days'!$F$702:$H$727,3,FALSE),"")</f>
        <v/>
      </c>
      <c r="BJ77" s="1321"/>
      <c r="BK77" s="1321"/>
      <c r="BL77" s="1321"/>
      <c r="BM77" s="1321"/>
      <c r="BN77" s="1321"/>
      <c r="BO77" s="1321"/>
      <c r="BP77" s="1321"/>
    </row>
    <row r="78" ht="15.75" customHeight="1">
      <c r="A78" s="606" t="s">
        <v>3574</v>
      </c>
      <c r="B78" s="1005">
        <v>35186.0</v>
      </c>
      <c r="C78" s="1344">
        <v>84270.0</v>
      </c>
      <c r="D78" s="1443" t="e">
        <v>#N/A</v>
      </c>
      <c r="E78" s="1345" t="s">
        <v>3570</v>
      </c>
      <c r="F78" s="1353" t="s">
        <v>3497</v>
      </c>
      <c r="G78" s="1345" t="s">
        <v>3575</v>
      </c>
      <c r="H78" s="606"/>
      <c r="I78" s="1316"/>
      <c r="J78" s="1316" t="str">
        <f>IF(K78="","",VLOOKUP(K78,'Voyage days'!$A$3:$B$1480,2,FALSE))</f>
        <v>#N/A</v>
      </c>
      <c r="K78" s="1444" t="str">
        <f>IF(VLOOKUP(A78,'1) Kpler'!$E$2:$O$500,8, FALSE)="",VLOOKUP(A78,'1) Kpler'!$E$2:$O$500,10,FALSE),VLOOKUP(A78,'1) Kpler'!$E$2:$O$500,8, FALSE))</f>
        <v>#N/A</v>
      </c>
      <c r="L78" s="1445" t="str">
        <f>IF(VLOOKUP(A78,'1) Kpler'!$E$2:$O$600,9,FALSE)="","",VLOOKUP(A78,'1) Kpler'!$E$2:$O$500,9,FALSE))</f>
        <v>#N/A</v>
      </c>
      <c r="M78" s="1444" t="str">
        <f>VLOOKUP(A78,'1) Kpler'!$E$2:$H$600,4,FALSE)</f>
        <v>#N/A</v>
      </c>
      <c r="N78" s="1350"/>
      <c r="O78" s="1351"/>
      <c r="P78" s="686" t="s">
        <v>570</v>
      </c>
      <c r="Q78" s="686"/>
      <c r="R78" s="1353"/>
      <c r="S78" s="1345" t="s">
        <v>2086</v>
      </c>
      <c r="T78" s="1439">
        <v>45429.0</v>
      </c>
      <c r="U78" s="1353"/>
      <c r="V78" s="1454" t="s">
        <v>3466</v>
      </c>
      <c r="W78" s="1353"/>
      <c r="X78" s="1353"/>
      <c r="Y78" s="1353"/>
      <c r="Z78" s="1353"/>
      <c r="AA78" s="1437"/>
      <c r="AF78" s="1316" t="str">
        <f t="shared" si="91"/>
        <v/>
      </c>
      <c r="AG78" s="1343" t="str">
        <f>IFERROR($S78+VLOOKUP($R78,'Voyage days'!$F$38:$H$89,3,FALSE),"")</f>
        <v/>
      </c>
      <c r="AH78" s="1343" t="str">
        <f>IFERROR(T78+VLOOKUP($R78,'Voyage days'!$F$38:$H$89,3,FALSE),"")</f>
        <v/>
      </c>
      <c r="AI78" s="1316" t="str">
        <f t="shared" si="92"/>
        <v/>
      </c>
      <c r="AJ78" s="1343" t="str">
        <f>IF(P78="P",IFERROR($S78+VLOOKUP($R78,'Voyage days'!$F$94:$H$193,3,FALSE),""),"")</f>
        <v/>
      </c>
      <c r="AK78" s="1343" t="str">
        <f>IF(P78="P",IFERROR($T78+VLOOKUP($R78,'Voyage days'!$F$94:$H$193,3,FALSE),""),"")</f>
        <v/>
      </c>
      <c r="AL78" s="1316" t="str">
        <f t="shared" si="93"/>
        <v/>
      </c>
      <c r="AM78" s="1343" t="str">
        <f>IFERROR($S78+VLOOKUP($R78,'Voyage days'!$F$203:$H$256,3,FALSE),"")</f>
        <v/>
      </c>
      <c r="AN78" s="1343" t="str">
        <f>IFERROR($T78+VLOOKUP($R78,'Voyage days'!$F$203:$H$256,3,FALSE),"")</f>
        <v/>
      </c>
      <c r="AO78" s="1316" t="str">
        <f t="shared" si="94"/>
        <v/>
      </c>
      <c r="AP78" s="1343" t="str">
        <f>IFERROR($S78+VLOOKUP($R78,'Voyage days'!$F$294:$H$377,3,FALSE),"")</f>
        <v/>
      </c>
      <c r="AQ78" s="1343" t="str">
        <f>IFERROR($T78+VLOOKUP($R78,'Voyage days'!$F$294:$H$377,3,FALSE),"")</f>
        <v/>
      </c>
      <c r="AR78" s="1316" t="str">
        <f t="shared" si="95"/>
        <v/>
      </c>
      <c r="AS78" s="1343" t="str">
        <f>IFERROR($S78+VLOOKUP($R78,'Voyage days'!$F$382:$H$446,3,FALSE),"")</f>
        <v/>
      </c>
      <c r="AT78" s="1343" t="str">
        <f>IFERROR($T78+VLOOKUP($R78,'Voyage days'!$F$382:$H$446,3,FALSE),"")</f>
        <v/>
      </c>
      <c r="AU78" s="1316" t="str">
        <f t="shared" si="96"/>
        <v/>
      </c>
      <c r="AV78" s="1343" t="str">
        <f>IFERROR($S78+VLOOKUP($R78,'Voyage days'!$F$483:$H$538,3,FALSE),"")</f>
        <v/>
      </c>
      <c r="AW78" s="1343" t="str">
        <f>IFERROR($T78+VLOOKUP($R78,'Voyage days'!$F$483:$H$538,3,FALSE),"")</f>
        <v/>
      </c>
      <c r="AX78" s="1316" t="str">
        <f t="shared" si="97"/>
        <v/>
      </c>
      <c r="AY78" s="1343" t="str">
        <f>IFERROR($S78+VLOOKUP($R78,'Voyage days'!$F$540:$H$613,3,FALSE),"")</f>
        <v/>
      </c>
      <c r="AZ78" s="1343" t="str">
        <f>IFERROR($T78+VLOOKUP($R78,'Voyage days'!$F$540:$H$613,3,FALSE),"")</f>
        <v/>
      </c>
      <c r="BA78" s="1316" t="str">
        <f t="shared" si="98"/>
        <v/>
      </c>
      <c r="BB78" s="1343" t="str">
        <f>IFERROR($S78+VLOOKUP($R78,'Voyage days'!$L$483:$N$535,3,FALSE),"")</f>
        <v/>
      </c>
      <c r="BC78" s="1343" t="str">
        <f>IFERROR($T78+VLOOKUP($R78,'Voyage days'!$L$483:$N$535,3,FALSE),"")</f>
        <v/>
      </c>
      <c r="BD78" s="1316" t="str">
        <f t="shared" si="99"/>
        <v/>
      </c>
      <c r="BE78" s="1343" t="str">
        <f>IFERROR($S78+VLOOKUP($R78,'Voyage days'!$F$620:$H$646,3,FALSE),"")</f>
        <v/>
      </c>
      <c r="BF78" s="1343" t="str">
        <f>IFERROR($T78+VLOOKUP($R78,'Voyage days'!$F$620:$H$646,3,FALSE),"")</f>
        <v/>
      </c>
      <c r="BG78" s="1316" t="str">
        <f t="shared" si="100"/>
        <v/>
      </c>
      <c r="BH78" s="1321" t="str">
        <f>IFERROR($S78+VLOOKUP($R78,'Voyage days'!$F$702:$H$727,3,FALSE),"")</f>
        <v/>
      </c>
      <c r="BI78" s="1321" t="str">
        <f>IFERROR($T78+VLOOKUP($R78,'Voyage days'!$F$702:$H$727,3,FALSE),"")</f>
        <v/>
      </c>
      <c r="BJ78" s="1321"/>
      <c r="BK78" s="1321"/>
      <c r="BL78" s="1321"/>
      <c r="BM78" s="1321"/>
      <c r="BN78" s="1321"/>
      <c r="BO78" s="1321"/>
      <c r="BP78" s="1321"/>
    </row>
    <row r="79">
      <c r="A79" s="606" t="s">
        <v>3576</v>
      </c>
      <c r="B79" s="1002">
        <v>35431.0</v>
      </c>
      <c r="C79" s="1344">
        <v>78462.0</v>
      </c>
      <c r="D79" s="1443">
        <v>9134294.0</v>
      </c>
      <c r="E79" s="1345" t="s">
        <v>2953</v>
      </c>
      <c r="F79" s="686"/>
      <c r="G79" s="1387"/>
      <c r="H79" s="606"/>
      <c r="I79" s="1316"/>
      <c r="J79" s="1316" t="str">
        <f>IF(K79="","",VLOOKUP(K79,'Voyage days'!$A$3:$B$1480,2,FALSE))</f>
        <v>#N/A</v>
      </c>
      <c r="K79" s="1444" t="str">
        <f>IF(VLOOKUP(A79,'1) Kpler'!$E$2:$O$500,8, FALSE)="",VLOOKUP(A79,'1) Kpler'!$E$2:$O$500,10,FALSE),VLOOKUP(A79,'1) Kpler'!$E$2:$O$500,8, FALSE))</f>
        <v>#N/A</v>
      </c>
      <c r="L79" s="1445" t="str">
        <f>IF(VLOOKUP(A79,'1) Kpler'!$E$2:$O$600,9,FALSE)="","",VLOOKUP(A79,'1) Kpler'!$E$2:$O$500,9,FALSE))</f>
        <v>#N/A</v>
      </c>
      <c r="M79" s="1444" t="str">
        <f>VLOOKUP(A79,'1) Kpler'!$E$2:$H$600,4,FALSE)</f>
        <v>#N/A</v>
      </c>
      <c r="N79" s="1350"/>
      <c r="O79" s="1351"/>
      <c r="P79" s="686" t="s">
        <v>570</v>
      </c>
      <c r="Q79" s="686"/>
      <c r="R79" s="686"/>
      <c r="S79" s="1345" t="s">
        <v>2086</v>
      </c>
      <c r="T79" s="1439">
        <v>45333.0</v>
      </c>
      <c r="U79" s="686"/>
      <c r="V79" s="1352" t="s">
        <v>3466</v>
      </c>
      <c r="W79" s="686"/>
      <c r="X79" s="1429"/>
      <c r="Y79" s="686"/>
      <c r="Z79" s="1353"/>
      <c r="AA79" s="1343"/>
      <c r="AF79" s="1316" t="str">
        <f t="shared" si="91"/>
        <v/>
      </c>
      <c r="AG79" s="1343" t="str">
        <f>IFERROR($S79+VLOOKUP($R79,'Voyage days'!$F$38:$H$89,3,FALSE),"")</f>
        <v/>
      </c>
      <c r="AH79" s="1343" t="str">
        <f>IFERROR(T79+VLOOKUP($R79,'Voyage days'!$F$38:$H$89,3,FALSE),"")</f>
        <v/>
      </c>
      <c r="AI79" s="1316" t="str">
        <f t="shared" si="92"/>
        <v/>
      </c>
      <c r="AJ79" s="1343" t="str">
        <f>IF(P79="P",IFERROR($S79+VLOOKUP($R79,'Voyage days'!$F$94:$H$193,3,FALSE),""),"")</f>
        <v/>
      </c>
      <c r="AK79" s="1343" t="str">
        <f>IF(P79="P",IFERROR($T79+VLOOKUP($R79,'Voyage days'!$F$94:$H$193,3,FALSE),""),"")</f>
        <v/>
      </c>
      <c r="AL79" s="1316" t="str">
        <f t="shared" si="93"/>
        <v/>
      </c>
      <c r="AM79" s="1343" t="str">
        <f>IFERROR($S79+VLOOKUP($R79,'Voyage days'!$F$203:$H$256,3,FALSE),"")</f>
        <v/>
      </c>
      <c r="AN79" s="1343" t="str">
        <f>IFERROR($T79+VLOOKUP($R79,'Voyage days'!$F$203:$H$256,3,FALSE),"")</f>
        <v/>
      </c>
      <c r="AO79" s="1316" t="str">
        <f t="shared" si="94"/>
        <v/>
      </c>
      <c r="AP79" s="1343" t="str">
        <f>IFERROR($S79+VLOOKUP($R79,'Voyage days'!$F$294:$H$377,3,FALSE),"")</f>
        <v/>
      </c>
      <c r="AQ79" s="1343" t="str">
        <f>IFERROR($T79+VLOOKUP($R79,'Voyage days'!$F$294:$H$377,3,FALSE),"")</f>
        <v/>
      </c>
      <c r="AR79" s="1316" t="str">
        <f t="shared" si="95"/>
        <v/>
      </c>
      <c r="AS79" s="1343" t="str">
        <f>IFERROR($S79+VLOOKUP($R79,'Voyage days'!$F$382:$H$446,3,FALSE),"")</f>
        <v/>
      </c>
      <c r="AT79" s="1343" t="str">
        <f>IFERROR($T79+VLOOKUP($R79,'Voyage days'!$F$382:$H$446,3,FALSE),"")</f>
        <v/>
      </c>
      <c r="AU79" s="1316" t="str">
        <f t="shared" si="96"/>
        <v/>
      </c>
      <c r="AV79" s="1343" t="str">
        <f>IFERROR($S79+VLOOKUP($R79,'Voyage days'!$F$483:$H$538,3,FALSE),"")</f>
        <v/>
      </c>
      <c r="AW79" s="1343" t="str">
        <f>IFERROR($T79+VLOOKUP($R79,'Voyage days'!$F$483:$H$538,3,FALSE),"")</f>
        <v/>
      </c>
      <c r="AX79" s="1316" t="str">
        <f t="shared" si="97"/>
        <v/>
      </c>
      <c r="AY79" s="1343" t="str">
        <f>IFERROR($S79+VLOOKUP($R79,'Voyage days'!$F$540:$H$613,3,FALSE),"")</f>
        <v/>
      </c>
      <c r="AZ79" s="1343" t="str">
        <f>IFERROR($T79+VLOOKUP($R79,'Voyage days'!$F$540:$H$613,3,FALSE),"")</f>
        <v/>
      </c>
      <c r="BA79" s="1316" t="str">
        <f t="shared" si="98"/>
        <v/>
      </c>
      <c r="BB79" s="1343" t="str">
        <f>IFERROR($S79+VLOOKUP($R79,'Voyage days'!$L$483:$N$535,3,FALSE),"")</f>
        <v/>
      </c>
      <c r="BC79" s="1343" t="str">
        <f>IFERROR($T79+VLOOKUP($R79,'Voyage days'!$L$483:$N$535,3,FALSE),"")</f>
        <v/>
      </c>
      <c r="BD79" s="1316" t="str">
        <f t="shared" si="99"/>
        <v/>
      </c>
      <c r="BE79" s="1343" t="str">
        <f>IFERROR($S79+VLOOKUP($R79,'Voyage days'!$F$620:$H$646,3,FALSE),"")</f>
        <v/>
      </c>
      <c r="BF79" s="1343" t="str">
        <f>IFERROR($T79+VLOOKUP($R79,'Voyage days'!$F$620:$H$646,3,FALSE),"")</f>
        <v/>
      </c>
      <c r="BG79" s="1316" t="str">
        <f t="shared" si="100"/>
        <v/>
      </c>
      <c r="BH79" s="1321" t="str">
        <f>IFERROR($S79+VLOOKUP($R79,'Voyage days'!$F$702:$H$727,3,FALSE),"")</f>
        <v/>
      </c>
      <c r="BI79" s="1321" t="str">
        <f>IFERROR($T79+VLOOKUP($R79,'Voyage days'!$F$702:$H$727,3,FALSE),"")</f>
        <v/>
      </c>
      <c r="BJ79" s="1321"/>
      <c r="BK79" s="1321"/>
      <c r="BL79" s="1321"/>
      <c r="BM79" s="1321"/>
      <c r="BN79" s="1321"/>
      <c r="BO79" s="1321"/>
      <c r="BP79" s="1321"/>
    </row>
    <row r="80" ht="15.75" customHeight="1">
      <c r="A80" s="606" t="s">
        <v>3577</v>
      </c>
      <c r="B80" s="1005">
        <v>34151.0</v>
      </c>
      <c r="C80" s="1344">
        <v>78469.0</v>
      </c>
      <c r="D80" s="1443">
        <v>9014456.0</v>
      </c>
      <c r="E80" s="1345" t="s">
        <v>2953</v>
      </c>
      <c r="F80" s="686"/>
      <c r="G80" s="1387"/>
      <c r="H80" s="606"/>
      <c r="I80" s="1316"/>
      <c r="J80" s="1316" t="str">
        <f>IF(K80="","",VLOOKUP(K80,'Voyage days'!$A$3:$B$1480,2,FALSE))</f>
        <v>#N/A</v>
      </c>
      <c r="K80" s="1444" t="str">
        <f>IF(VLOOKUP(A80,'1) Kpler'!$E$2:$O$500,8, FALSE)="",VLOOKUP(A80,'1) Kpler'!$E$2:$O$500,10,FALSE),VLOOKUP(A80,'1) Kpler'!$E$2:$O$500,8, FALSE))</f>
        <v>#N/A</v>
      </c>
      <c r="L80" s="1445" t="str">
        <f>IF(VLOOKUP(A80,'1) Kpler'!$E$2:$O$600,9,FALSE)="","",VLOOKUP(A80,'1) Kpler'!$E$2:$O$500,9,FALSE))</f>
        <v>#N/A</v>
      </c>
      <c r="M80" s="1444" t="str">
        <f>VLOOKUP(A80,'1) Kpler'!$E$2:$H$600,4,FALSE)</f>
        <v>#N/A</v>
      </c>
      <c r="N80" s="1350"/>
      <c r="O80" s="1351"/>
      <c r="P80" s="686" t="s">
        <v>570</v>
      </c>
      <c r="Q80" s="686"/>
      <c r="R80" s="686"/>
      <c r="S80" s="1345" t="s">
        <v>2208</v>
      </c>
      <c r="T80" s="1439">
        <v>45404.0</v>
      </c>
      <c r="U80" s="686"/>
      <c r="V80" s="1352" t="s">
        <v>3466</v>
      </c>
      <c r="W80" s="686"/>
      <c r="X80" s="686"/>
      <c r="Y80" s="686"/>
      <c r="Z80" s="1353"/>
      <c r="AA80" s="1343"/>
      <c r="AF80" s="1316" t="str">
        <f t="shared" si="91"/>
        <v/>
      </c>
      <c r="AG80" s="1343" t="str">
        <f>IFERROR($S80+VLOOKUP($R80,'Voyage days'!$F$38:$H$89,3,FALSE),"")</f>
        <v/>
      </c>
      <c r="AH80" s="1343" t="str">
        <f>IFERROR(T80+VLOOKUP($R80,'Voyage days'!$F$38:$H$89,3,FALSE),"")</f>
        <v/>
      </c>
      <c r="AI80" s="1316" t="str">
        <f t="shared" si="92"/>
        <v/>
      </c>
      <c r="AJ80" s="1343" t="str">
        <f>IF(P80="P",IFERROR($S80+VLOOKUP($R80,'Voyage days'!$F$94:$H$193,3,FALSE),""),"")</f>
        <v/>
      </c>
      <c r="AK80" s="1343" t="str">
        <f>IF(P80="P",IFERROR($T80+VLOOKUP($R80,'Voyage days'!$F$94:$H$193,3,FALSE),""),"")</f>
        <v/>
      </c>
      <c r="AL80" s="1316" t="str">
        <f t="shared" si="93"/>
        <v/>
      </c>
      <c r="AM80" s="1343" t="str">
        <f>IFERROR($S80+VLOOKUP($R80,'Voyage days'!$F$203:$H$256,3,FALSE),"")</f>
        <v/>
      </c>
      <c r="AN80" s="1343" t="str">
        <f>IFERROR($T80+VLOOKUP($R80,'Voyage days'!$F$203:$H$256,3,FALSE),"")</f>
        <v/>
      </c>
      <c r="AO80" s="1316" t="str">
        <f t="shared" si="94"/>
        <v/>
      </c>
      <c r="AP80" s="1343" t="str">
        <f>IFERROR($S80+VLOOKUP($R80,'Voyage days'!$F$294:$H$377,3,FALSE),"")</f>
        <v/>
      </c>
      <c r="AQ80" s="1343" t="str">
        <f>IFERROR($T80+VLOOKUP($R80,'Voyage days'!$F$294:$H$377,3,FALSE),"")</f>
        <v/>
      </c>
      <c r="AR80" s="1316" t="str">
        <f t="shared" si="95"/>
        <v/>
      </c>
      <c r="AS80" s="1343" t="str">
        <f>IFERROR($S80+VLOOKUP($R80,'Voyage days'!$F$382:$H$446,3,FALSE),"")</f>
        <v/>
      </c>
      <c r="AT80" s="1343" t="str">
        <f>IFERROR($T80+VLOOKUP($R80,'Voyage days'!$F$382:$H$446,3,FALSE),"")</f>
        <v/>
      </c>
      <c r="AU80" s="1316" t="str">
        <f t="shared" si="96"/>
        <v/>
      </c>
      <c r="AV80" s="1343" t="str">
        <f>IFERROR($S80+VLOOKUP($R80,'Voyage days'!$F$483:$H$538,3,FALSE),"")</f>
        <v/>
      </c>
      <c r="AW80" s="1343" t="str">
        <f>IFERROR($T80+VLOOKUP($R80,'Voyage days'!$F$483:$H$538,3,FALSE),"")</f>
        <v/>
      </c>
      <c r="AX80" s="1316" t="str">
        <f t="shared" si="97"/>
        <v/>
      </c>
      <c r="AY80" s="1343" t="str">
        <f>IFERROR($S80+VLOOKUP($R80,'Voyage days'!$F$540:$H$613,3,FALSE),"")</f>
        <v/>
      </c>
      <c r="AZ80" s="1343" t="str">
        <f>IFERROR($T80+VLOOKUP($R80,'Voyage days'!$F$540:$H$613,3,FALSE),"")</f>
        <v/>
      </c>
      <c r="BA80" s="1316" t="str">
        <f t="shared" si="98"/>
        <v/>
      </c>
      <c r="BB80" s="1343" t="str">
        <f>IFERROR($S80+VLOOKUP($R80,'Voyage days'!$L$483:$N$535,3,FALSE),"")</f>
        <v/>
      </c>
      <c r="BC80" s="1343" t="str">
        <f>IFERROR($T80+VLOOKUP($R80,'Voyage days'!$L$483:$N$535,3,FALSE),"")</f>
        <v/>
      </c>
      <c r="BD80" s="1316" t="str">
        <f t="shared" si="99"/>
        <v/>
      </c>
      <c r="BE80" s="1343" t="str">
        <f>IFERROR($S80+VLOOKUP($R80,'Voyage days'!$F$620:$H$646,3,FALSE),"")</f>
        <v/>
      </c>
      <c r="BF80" s="1343" t="str">
        <f>IFERROR($T80+VLOOKUP($R80,'Voyage days'!$F$620:$H$646,3,FALSE),"")</f>
        <v/>
      </c>
      <c r="BG80" s="1316" t="str">
        <f t="shared" si="100"/>
        <v/>
      </c>
      <c r="BH80" s="1321" t="str">
        <f>IFERROR($S80+VLOOKUP($R80,'Voyage days'!$F$702:$H$727,3,FALSE),"")</f>
        <v/>
      </c>
      <c r="BI80" s="1321" t="str">
        <f>IFERROR($T80+VLOOKUP($R80,'Voyage days'!$F$702:$H$727,3,FALSE),"")</f>
        <v/>
      </c>
      <c r="BJ80" s="1321"/>
      <c r="BK80" s="1321"/>
      <c r="BL80" s="1321"/>
      <c r="BM80" s="1321"/>
      <c r="BN80" s="1321"/>
      <c r="BO80" s="1321"/>
      <c r="BP80" s="1321"/>
    </row>
    <row r="81" ht="15.75" customHeight="1">
      <c r="A81" s="606" t="s">
        <v>3578</v>
      </c>
      <c r="B81" s="1005">
        <v>34029.0</v>
      </c>
      <c r="C81" s="1344">
        <v>78475.0</v>
      </c>
      <c r="D81" s="1443" t="e">
        <v>#N/A</v>
      </c>
      <c r="E81" s="1345" t="s">
        <v>2953</v>
      </c>
      <c r="F81" s="686"/>
      <c r="G81" s="1387"/>
      <c r="H81" s="606"/>
      <c r="I81" s="1316"/>
      <c r="J81" s="1316" t="str">
        <f>IF(K81="","",VLOOKUP(K81,'Voyage days'!$A$3:$B$1480,2,FALSE))</f>
        <v>#N/A</v>
      </c>
      <c r="K81" s="1444" t="str">
        <f>IF(VLOOKUP(A81,'1) Kpler'!$E$2:$O$500,8, FALSE)="",VLOOKUP(A81,'1) Kpler'!$E$2:$O$500,10,FALSE),VLOOKUP(A81,'1) Kpler'!$E$2:$O$500,8, FALSE))</f>
        <v>#N/A</v>
      </c>
      <c r="L81" s="1445" t="str">
        <f>IF(VLOOKUP(A81,'1) Kpler'!$E$2:$O$600,9,FALSE)="","",VLOOKUP(A81,'1) Kpler'!$E$2:$O$500,9,FALSE))</f>
        <v>#N/A</v>
      </c>
      <c r="M81" s="1444" t="str">
        <f>VLOOKUP(A81,'1) Kpler'!$E$2:$H$600,4,FALSE)</f>
        <v>#N/A</v>
      </c>
      <c r="N81" s="1350"/>
      <c r="O81" s="1351"/>
      <c r="P81" s="686" t="s">
        <v>570</v>
      </c>
      <c r="Q81" s="686"/>
      <c r="R81" s="686"/>
      <c r="S81" s="1345" t="s">
        <v>2208</v>
      </c>
      <c r="T81" s="1439">
        <v>45459.0</v>
      </c>
      <c r="U81" s="686"/>
      <c r="V81" s="1352" t="s">
        <v>3466</v>
      </c>
      <c r="W81" s="686"/>
      <c r="X81" s="686"/>
      <c r="Y81" s="686"/>
      <c r="Z81" s="1353"/>
      <c r="AA81" s="1437"/>
      <c r="AF81" s="1316" t="str">
        <f t="shared" si="91"/>
        <v/>
      </c>
      <c r="AG81" s="1343" t="str">
        <f>IFERROR($S81+VLOOKUP($R81,'Voyage days'!$F$38:$H$89,3,FALSE),"")</f>
        <v/>
      </c>
      <c r="AH81" s="1343" t="str">
        <f>IFERROR(T81+VLOOKUP($R81,'Voyage days'!$F$38:$H$89,3,FALSE),"")</f>
        <v/>
      </c>
      <c r="AI81" s="1316" t="str">
        <f t="shared" si="92"/>
        <v/>
      </c>
      <c r="AJ81" s="1343" t="str">
        <f>IF(P81="P",IFERROR($S81+VLOOKUP($R81,'Voyage days'!$F$94:$H$193,3,FALSE),""),"")</f>
        <v/>
      </c>
      <c r="AK81" s="1343" t="str">
        <f>IF(P81="P",IFERROR($T81+VLOOKUP($R81,'Voyage days'!$F$94:$H$193,3,FALSE),""),"")</f>
        <v/>
      </c>
      <c r="AL81" s="1316" t="str">
        <f t="shared" si="93"/>
        <v/>
      </c>
      <c r="AM81" s="1343" t="str">
        <f>IFERROR($S81+VLOOKUP($R81,'Voyage days'!$F$203:$H$256,3,FALSE),"")</f>
        <v/>
      </c>
      <c r="AN81" s="1343" t="str">
        <f>IFERROR($T81+VLOOKUP($R81,'Voyage days'!$F$203:$H$256,3,FALSE),"")</f>
        <v/>
      </c>
      <c r="AO81" s="1316" t="str">
        <f t="shared" si="94"/>
        <v/>
      </c>
      <c r="AP81" s="1343" t="str">
        <f>IFERROR($S81+VLOOKUP($R81,'Voyage days'!$F$294:$H$377,3,FALSE),"")</f>
        <v/>
      </c>
      <c r="AQ81" s="1343" t="str">
        <f>IFERROR($T81+VLOOKUP($R81,'Voyage days'!$F$294:$H$377,3,FALSE),"")</f>
        <v/>
      </c>
      <c r="AR81" s="1316" t="str">
        <f t="shared" si="95"/>
        <v/>
      </c>
      <c r="AS81" s="1343" t="str">
        <f>IFERROR($S81+VLOOKUP($R81,'Voyage days'!$F$382:$H$446,3,FALSE),"")</f>
        <v/>
      </c>
      <c r="AT81" s="1343" t="str">
        <f>IFERROR($T81+VLOOKUP($R81,'Voyage days'!$F$382:$H$446,3,FALSE),"")</f>
        <v/>
      </c>
      <c r="AU81" s="1316" t="str">
        <f t="shared" si="96"/>
        <v/>
      </c>
      <c r="AV81" s="1343" t="str">
        <f>IFERROR($S81+VLOOKUP($R81,'Voyage days'!$F$483:$H$538,3,FALSE),"")</f>
        <v/>
      </c>
      <c r="AW81" s="1343" t="str">
        <f>IFERROR($T81+VLOOKUP($R81,'Voyage days'!$F$483:$H$538,3,FALSE),"")</f>
        <v/>
      </c>
      <c r="AX81" s="1316" t="str">
        <f t="shared" si="97"/>
        <v/>
      </c>
      <c r="AY81" s="1343" t="str">
        <f>IFERROR($S81+VLOOKUP($R81,'Voyage days'!$F$540:$H$613,3,FALSE),"")</f>
        <v/>
      </c>
      <c r="AZ81" s="1343" t="str">
        <f>IFERROR($T81+VLOOKUP($R81,'Voyage days'!$F$540:$H$613,3,FALSE),"")</f>
        <v/>
      </c>
      <c r="BA81" s="1316" t="str">
        <f t="shared" si="98"/>
        <v/>
      </c>
      <c r="BB81" s="1343" t="str">
        <f>IFERROR($S81+VLOOKUP($R81,'Voyage days'!$L$483:$N$535,3,FALSE),"")</f>
        <v/>
      </c>
      <c r="BC81" s="1343" t="str">
        <f>IFERROR($T81+VLOOKUP($R81,'Voyage days'!$L$483:$N$535,3,FALSE),"")</f>
        <v/>
      </c>
      <c r="BD81" s="1316" t="str">
        <f t="shared" si="99"/>
        <v/>
      </c>
      <c r="BE81" s="1343" t="str">
        <f>IFERROR($S81+VLOOKUP($R81,'Voyage days'!$F$620:$H$646,3,FALSE),"")</f>
        <v/>
      </c>
      <c r="BF81" s="1343" t="str">
        <f>IFERROR($T81+VLOOKUP($R81,'Voyage days'!$F$620:$H$646,3,FALSE),"")</f>
        <v/>
      </c>
      <c r="BG81" s="1316" t="str">
        <f t="shared" si="100"/>
        <v/>
      </c>
      <c r="BH81" s="1321" t="str">
        <f>IFERROR($S81+VLOOKUP($R81,'Voyage days'!$F$702:$H$727,3,FALSE),"")</f>
        <v/>
      </c>
      <c r="BI81" s="1321" t="str">
        <f>IFERROR($T81+VLOOKUP($R81,'Voyage days'!$F$702:$H$727,3,FALSE),"")</f>
        <v/>
      </c>
      <c r="BJ81" s="1321"/>
      <c r="BK81" s="1321"/>
      <c r="BL81" s="1321"/>
      <c r="BM81" s="1321"/>
      <c r="BN81" s="1321"/>
      <c r="BO81" s="1321"/>
      <c r="BP81" s="1321"/>
    </row>
    <row r="82" ht="15.75" customHeight="1">
      <c r="A82" s="606" t="s">
        <v>3579</v>
      </c>
      <c r="B82" s="1005">
        <v>33848.0</v>
      </c>
      <c r="C82" s="1344">
        <v>75203.0</v>
      </c>
      <c r="D82" s="1443" t="e">
        <v>#N/A</v>
      </c>
      <c r="E82" s="1345" t="s">
        <v>2953</v>
      </c>
      <c r="F82" s="686"/>
      <c r="G82" s="1345"/>
      <c r="H82" s="606"/>
      <c r="I82" s="1316"/>
      <c r="J82" s="1316" t="str">
        <f>IF(K82="","",VLOOKUP(K82,'Voyage days'!$A$3:$B$1480,2,FALSE))</f>
        <v>#N/A</v>
      </c>
      <c r="K82" s="1444" t="str">
        <f>IF(VLOOKUP(A82,'1) Kpler'!$E$2:$O$500,8, FALSE)="",VLOOKUP(A82,'1) Kpler'!$E$2:$O$500,10,FALSE),VLOOKUP(A82,'1) Kpler'!$E$2:$O$500,8, FALSE))</f>
        <v>#N/A</v>
      </c>
      <c r="L82" s="1445" t="str">
        <f>IF(VLOOKUP(A82,'1) Kpler'!$E$2:$O$600,9,FALSE)="","",VLOOKUP(A82,'1) Kpler'!$E$2:$O$500,9,FALSE))</f>
        <v>#N/A</v>
      </c>
      <c r="M82" s="1444" t="str">
        <f>VLOOKUP(A82,'1) Kpler'!$E$2:$H$600,4,FALSE)</f>
        <v>#N/A</v>
      </c>
      <c r="N82" s="1350"/>
      <c r="O82" s="1436"/>
      <c r="P82" s="686" t="s">
        <v>570</v>
      </c>
      <c r="Q82" s="686"/>
      <c r="R82" s="686"/>
      <c r="S82" s="1345" t="s">
        <v>2208</v>
      </c>
      <c r="T82" s="1439">
        <v>45419.0</v>
      </c>
      <c r="U82" s="686"/>
      <c r="V82" s="1352" t="s">
        <v>3466</v>
      </c>
      <c r="W82" s="686"/>
      <c r="X82" s="686"/>
      <c r="Y82" s="686"/>
      <c r="Z82" s="1353"/>
      <c r="AA82" s="1343"/>
      <c r="AF82" s="1316" t="str">
        <f t="shared" si="91"/>
        <v/>
      </c>
      <c r="AG82" s="1343" t="str">
        <f>IFERROR($S82+VLOOKUP($R82,'Voyage days'!$F$38:$H$89,3,FALSE),"")</f>
        <v/>
      </c>
      <c r="AH82" s="1343" t="str">
        <f>IFERROR(T82+VLOOKUP($R82,'Voyage days'!$F$38:$H$89,3,FALSE),"")</f>
        <v/>
      </c>
      <c r="AI82" s="1316" t="str">
        <f t="shared" si="92"/>
        <v/>
      </c>
      <c r="AJ82" s="1343" t="str">
        <f>IF(P82="P",IFERROR($S82+VLOOKUP($R82,'Voyage days'!$F$94:$H$193,3,FALSE),""),"")</f>
        <v/>
      </c>
      <c r="AK82" s="1343" t="str">
        <f>IF(P82="P",IFERROR($T82+VLOOKUP($R82,'Voyage days'!$F$94:$H$193,3,FALSE),""),"")</f>
        <v/>
      </c>
      <c r="AL82" s="1316" t="str">
        <f t="shared" si="93"/>
        <v/>
      </c>
      <c r="AM82" s="1343" t="str">
        <f>IFERROR($S82+VLOOKUP($R82,'Voyage days'!$F$203:$H$256,3,FALSE),"")</f>
        <v/>
      </c>
      <c r="AN82" s="1343" t="str">
        <f>IFERROR($T82+VLOOKUP($R82,'Voyage days'!$F$203:$H$256,3,FALSE),"")</f>
        <v/>
      </c>
      <c r="AO82" s="1316" t="str">
        <f t="shared" si="94"/>
        <v/>
      </c>
      <c r="AP82" s="1343" t="str">
        <f>IFERROR($S82+VLOOKUP($R82,'Voyage days'!$F$294:$H$377,3,FALSE),"")</f>
        <v/>
      </c>
      <c r="AQ82" s="1343" t="str">
        <f>IFERROR($T82+VLOOKUP($R82,'Voyage days'!$F$294:$H$377,3,FALSE),"")</f>
        <v/>
      </c>
      <c r="AR82" s="1316" t="str">
        <f t="shared" si="95"/>
        <v/>
      </c>
      <c r="AS82" s="1343" t="str">
        <f>IFERROR($S82+VLOOKUP($R82,'Voyage days'!$F$382:$H$446,3,FALSE),"")</f>
        <v/>
      </c>
      <c r="AT82" s="1343" t="str">
        <f>IFERROR($T82+VLOOKUP($R82,'Voyage days'!$F$382:$H$446,3,FALSE),"")</f>
        <v/>
      </c>
      <c r="AU82" s="1316" t="str">
        <f t="shared" si="96"/>
        <v/>
      </c>
      <c r="AV82" s="1343" t="str">
        <f>IFERROR($S82+VLOOKUP($R82,'Voyage days'!$F$483:$H$538,3,FALSE),"")</f>
        <v/>
      </c>
      <c r="AW82" s="1343" t="str">
        <f>IFERROR($T82+VLOOKUP($R82,'Voyage days'!$F$483:$H$538,3,FALSE),"")</f>
        <v/>
      </c>
      <c r="AX82" s="1316" t="str">
        <f t="shared" si="97"/>
        <v/>
      </c>
      <c r="AY82" s="1343" t="str">
        <f>IFERROR($S82+VLOOKUP($R82,'Voyage days'!$F$540:$H$613,3,FALSE),"")</f>
        <v/>
      </c>
      <c r="AZ82" s="1343" t="str">
        <f>IFERROR($T82+VLOOKUP($R82,'Voyage days'!$F$540:$H$613,3,FALSE),"")</f>
        <v/>
      </c>
      <c r="BA82" s="1316" t="str">
        <f t="shared" si="98"/>
        <v/>
      </c>
      <c r="BB82" s="1343" t="str">
        <f>IFERROR($S82+VLOOKUP($R82,'Voyage days'!$L$483:$N$535,3,FALSE),"")</f>
        <v/>
      </c>
      <c r="BC82" s="1343" t="str">
        <f>IFERROR($T82+VLOOKUP($R82,'Voyage days'!$L$483:$N$535,3,FALSE),"")</f>
        <v/>
      </c>
      <c r="BD82" s="1316" t="str">
        <f t="shared" si="99"/>
        <v/>
      </c>
      <c r="BE82" s="1343" t="str">
        <f>IFERROR($S82+VLOOKUP($R82,'Voyage days'!$F$620:$H$646,3,FALSE),"")</f>
        <v/>
      </c>
      <c r="BF82" s="1343" t="str">
        <f>IFERROR($T82+VLOOKUP($R82,'Voyage days'!$F$620:$H$646,3,FALSE),"")</f>
        <v/>
      </c>
      <c r="BG82" s="1316" t="str">
        <f t="shared" si="100"/>
        <v/>
      </c>
      <c r="BH82" s="1321" t="str">
        <f>IFERROR($S82+VLOOKUP($R82,'Voyage days'!$F$702:$H$727,3,FALSE),"")</f>
        <v/>
      </c>
      <c r="BI82" s="1321" t="str">
        <f>IFERROR($T82+VLOOKUP($R82,'Voyage days'!$F$702:$H$727,3,FALSE),"")</f>
        <v/>
      </c>
      <c r="BJ82" s="1321"/>
      <c r="BK82" s="1321"/>
      <c r="BL82" s="1321"/>
      <c r="BM82" s="1321"/>
      <c r="BN82" s="1321"/>
      <c r="BO82" s="1321"/>
      <c r="BP82" s="1321"/>
    </row>
    <row r="83" ht="15.75" customHeight="1">
      <c r="A83" s="606" t="s">
        <v>299</v>
      </c>
      <c r="B83" s="1002">
        <v>39748.0</v>
      </c>
      <c r="C83" s="1344">
        <v>75000.0</v>
      </c>
      <c r="D83" s="1443">
        <v>9386304.0</v>
      </c>
      <c r="E83" s="1345" t="s">
        <v>1619</v>
      </c>
      <c r="F83" s="686" t="s">
        <v>3580</v>
      </c>
      <c r="G83" s="1345" t="s">
        <v>3581</v>
      </c>
      <c r="H83" s="606"/>
      <c r="I83" s="1316"/>
      <c r="J83" s="1316" t="str">
        <f>IF(K83="","",VLOOKUP(K83,'Voyage days'!$A$3:$B$1480,2,FALSE))</f>
        <v>#N/A</v>
      </c>
      <c r="K83" s="1444" t="b">
        <f>IF(VLOOKUP(A83,'1) Kpler'!$E$2:$O$500,8, FALSE)="",VLOOKUP(A83,'1) Kpler'!$E$2:$O$500,10,FALSE),VLOOKUP(A83,'1) Kpler'!$E$2:$O$500,8, FALSE))</f>
        <v>0</v>
      </c>
      <c r="L83" s="1445" t="str">
        <f>IF(VLOOKUP(A83,'1) Kpler'!$E$2:$O$600,9,FALSE)="","",VLOOKUP(A83,'1) Kpler'!$E$2:$O$500,9,FALSE))</f>
        <v/>
      </c>
      <c r="M83" s="1444" t="str">
        <f>VLOOKUP(A83,'1) Kpler'!$E$2:$H$600,4,FALSE)</f>
        <v>ballast</v>
      </c>
      <c r="N83" s="1455"/>
      <c r="O83" s="1351"/>
      <c r="P83" s="686" t="s">
        <v>1687</v>
      </c>
      <c r="Q83" s="686"/>
      <c r="R83" s="686"/>
      <c r="S83" s="1345" t="s">
        <v>2086</v>
      </c>
      <c r="T83" s="1350">
        <v>45423.0</v>
      </c>
      <c r="U83" s="686"/>
      <c r="V83" s="1352" t="s">
        <v>3466</v>
      </c>
      <c r="W83" s="686"/>
      <c r="X83" s="686"/>
      <c r="Y83" s="686"/>
      <c r="Z83" s="1353"/>
      <c r="AA83" s="1321"/>
      <c r="AF83" s="1316" t="str">
        <f t="shared" si="91"/>
        <v/>
      </c>
      <c r="AG83" s="1343" t="str">
        <f>IFERROR($S83+VLOOKUP($R83,'Voyage days'!$F$38:$H$89,3,FALSE),"")</f>
        <v/>
      </c>
      <c r="AH83" s="1343" t="str">
        <f>IFERROR(T83+VLOOKUP($R83,'Voyage days'!$F$38:$H$89,3,FALSE),"")</f>
        <v/>
      </c>
      <c r="AI83" s="1316" t="str">
        <f t="shared" si="92"/>
        <v/>
      </c>
      <c r="AJ83" s="1343" t="str">
        <f>IF(P83="P",IFERROR($S83+VLOOKUP($R83,'Voyage days'!$F$94:$H$193,3,FALSE),""),"")</f>
        <v/>
      </c>
      <c r="AK83" s="1343" t="str">
        <f>IF(P83="P",IFERROR($T83+VLOOKUP($R83,'Voyage days'!$F$94:$H$193,3,FALSE),""),"")</f>
        <v/>
      </c>
      <c r="AL83" s="1316" t="str">
        <f t="shared" si="93"/>
        <v/>
      </c>
      <c r="AM83" s="1343" t="str">
        <f>IFERROR($S83+VLOOKUP($R83,'Voyage days'!$F$203:$H$256,3,FALSE),"")</f>
        <v/>
      </c>
      <c r="AN83" s="1343" t="str">
        <f>IFERROR($T83+VLOOKUP($R83,'Voyage days'!$F$203:$H$256,3,FALSE),"")</f>
        <v/>
      </c>
      <c r="AO83" s="1316" t="str">
        <f t="shared" si="94"/>
        <v/>
      </c>
      <c r="AP83" s="1343" t="str">
        <f>IFERROR($S83+VLOOKUP($R83,'Voyage days'!$F$294:$H$377,3,FALSE),"")</f>
        <v/>
      </c>
      <c r="AQ83" s="1343" t="str">
        <f>IFERROR($T83+VLOOKUP($R83,'Voyage days'!$F$294:$H$377,3,FALSE),"")</f>
        <v/>
      </c>
      <c r="AR83" s="1316" t="str">
        <f t="shared" si="95"/>
        <v/>
      </c>
      <c r="AS83" s="1343" t="str">
        <f>IFERROR($S83+VLOOKUP($R83,'Voyage days'!$F$382:$H$446,3,FALSE),"")</f>
        <v/>
      </c>
      <c r="AT83" s="1343" t="str">
        <f>IFERROR($T83+VLOOKUP($R83,'Voyage days'!$F$382:$H$446,3,FALSE),"")</f>
        <v/>
      </c>
      <c r="AU83" s="1316" t="str">
        <f t="shared" si="96"/>
        <v/>
      </c>
      <c r="AV83" s="1343" t="str">
        <f>IFERROR($S83+VLOOKUP($R83,'Voyage days'!$F$483:$H$538,3,FALSE),"")</f>
        <v/>
      </c>
      <c r="AW83" s="1343" t="str">
        <f>IFERROR($T83+VLOOKUP($R83,'Voyage days'!$F$483:$H$538,3,FALSE),"")</f>
        <v/>
      </c>
      <c r="AX83" s="1316" t="str">
        <f t="shared" si="97"/>
        <v/>
      </c>
      <c r="AY83" s="1343" t="str">
        <f>IFERROR($S83+VLOOKUP($R83,'Voyage days'!$F$540:$H$613,3,FALSE),"")</f>
        <v/>
      </c>
      <c r="AZ83" s="1343" t="str">
        <f>IFERROR($T83+VLOOKUP($R83,'Voyage days'!$F$540:$H$613,3,FALSE),"")</f>
        <v/>
      </c>
      <c r="BA83" s="1316" t="str">
        <f t="shared" si="98"/>
        <v/>
      </c>
      <c r="BB83" s="1343" t="str">
        <f>IFERROR($S83+VLOOKUP($R83,'Voyage days'!$L$483:$N$535,3,FALSE),"")</f>
        <v/>
      </c>
      <c r="BC83" s="1343" t="str">
        <f>IFERROR($T83+VLOOKUP($R83,'Voyage days'!$L$483:$N$535,3,FALSE),"")</f>
        <v/>
      </c>
      <c r="BD83" s="1316" t="str">
        <f t="shared" si="99"/>
        <v/>
      </c>
      <c r="BE83" s="1343" t="str">
        <f>IFERROR($S83+VLOOKUP($R83,'Voyage days'!$F$620:$H$646,3,FALSE),"")</f>
        <v/>
      </c>
      <c r="BF83" s="1343" t="str">
        <f>IFERROR($T83+VLOOKUP($R83,'Voyage days'!$F$620:$H$646,3,FALSE),"")</f>
        <v/>
      </c>
      <c r="BG83" s="1316" t="str">
        <f t="shared" si="100"/>
        <v/>
      </c>
      <c r="BH83" s="1321"/>
      <c r="BI83" s="1321"/>
      <c r="BJ83" s="1321"/>
      <c r="BK83" s="1321"/>
      <c r="BL83" s="1321"/>
      <c r="BM83" s="1321"/>
      <c r="BN83" s="1321"/>
      <c r="BO83" s="1321"/>
      <c r="BP83" s="1321"/>
    </row>
    <row r="84" ht="15.75" customHeight="1">
      <c r="A84" s="606" t="s">
        <v>284</v>
      </c>
      <c r="B84" s="1344">
        <v>2009.0</v>
      </c>
      <c r="C84" s="1344">
        <v>75000.0</v>
      </c>
      <c r="D84" s="1443">
        <v>9386299.0</v>
      </c>
      <c r="E84" s="1345" t="s">
        <v>1619</v>
      </c>
      <c r="F84" s="686" t="s">
        <v>3019</v>
      </c>
      <c r="G84" s="1345" t="s">
        <v>3582</v>
      </c>
      <c r="H84" s="606"/>
      <c r="I84" s="1316"/>
      <c r="J84" s="1316" t="str">
        <f>IF(K84="","",VLOOKUP(K84,'Voyage days'!$A$3:$B$1480,2,FALSE))</f>
        <v>AG</v>
      </c>
      <c r="K84" s="1444" t="str">
        <f>IF(VLOOKUP(A84,'1) Kpler'!$E$2:$O$500,8, FALSE)="",VLOOKUP(A84,'1) Kpler'!$E$2:$O$500,10,FALSE),VLOOKUP(A84,'1) Kpler'!$E$2:$O$500,8, FALSE))</f>
        <v>Oman</v>
      </c>
      <c r="L84" s="1445">
        <f>IF(VLOOKUP(A84,'1) Kpler'!$E$2:$O$600,9,FALSE)="","",VLOOKUP(A84,'1) Kpler'!$E$2:$O$500,9,FALSE))</f>
        <v>46133.25</v>
      </c>
      <c r="M84" s="1444" t="str">
        <f>VLOOKUP(A84,'1) Kpler'!$E$2:$H$600,4,FALSE)</f>
        <v>ballast</v>
      </c>
      <c r="N84" s="1350"/>
      <c r="O84" s="1351"/>
      <c r="P84" s="686" t="s">
        <v>1687</v>
      </c>
      <c r="Q84" s="686"/>
      <c r="R84" s="686"/>
      <c r="S84" s="1345" t="s">
        <v>2086</v>
      </c>
      <c r="T84" s="1350">
        <v>45397.0</v>
      </c>
      <c r="U84" s="686"/>
      <c r="V84" s="1352" t="s">
        <v>3466</v>
      </c>
      <c r="W84" s="686"/>
      <c r="X84" s="686"/>
      <c r="Y84" s="686"/>
      <c r="Z84" s="1378"/>
      <c r="AA84" s="1438"/>
      <c r="AF84" s="1316" t="str">
        <f t="shared" si="91"/>
        <v/>
      </c>
      <c r="AG84" s="1343" t="str">
        <f>IFERROR($S84+VLOOKUP($R84,'Voyage days'!$F$38:$H$89,3,FALSE),"")</f>
        <v/>
      </c>
      <c r="AH84" s="1343" t="str">
        <f>IFERROR(T84+VLOOKUP($R84,'Voyage days'!$F$38:$H$89,3,FALSE),"")</f>
        <v/>
      </c>
      <c r="AI84" s="1316" t="str">
        <f t="shared" si="92"/>
        <v/>
      </c>
      <c r="AJ84" s="1343" t="str">
        <f>IF(P84="P",IFERROR($S84+VLOOKUP($R84,'Voyage days'!$F$94:$H$193,3,FALSE),""),"")</f>
        <v/>
      </c>
      <c r="AK84" s="1343" t="str">
        <f>IF(P84="P",IFERROR($T84+VLOOKUP($R84,'Voyage days'!$F$94:$H$193,3,FALSE),""),"")</f>
        <v/>
      </c>
      <c r="AL84" s="1316" t="str">
        <f t="shared" si="93"/>
        <v/>
      </c>
      <c r="AM84" s="1343" t="str">
        <f>IFERROR($S84+VLOOKUP($R84,'Voyage days'!$F$203:$H$256,3,FALSE),"")</f>
        <v/>
      </c>
      <c r="AN84" s="1343" t="str">
        <f>IFERROR($T84+VLOOKUP($R84,'Voyage days'!$F$203:$H$256,3,FALSE),"")</f>
        <v/>
      </c>
      <c r="AO84" s="1316" t="str">
        <f t="shared" si="94"/>
        <v/>
      </c>
      <c r="AP84" s="1343" t="str">
        <f>IFERROR($S84+VLOOKUP($R84,'Voyage days'!$F$294:$H$377,3,FALSE),"")</f>
        <v/>
      </c>
      <c r="AQ84" s="1343" t="str">
        <f>IFERROR($T84+VLOOKUP($R84,'Voyage days'!$F$294:$H$377,3,FALSE),"")</f>
        <v/>
      </c>
      <c r="AR84" s="1316" t="str">
        <f t="shared" si="95"/>
        <v/>
      </c>
      <c r="AS84" s="1343" t="str">
        <f>IFERROR($S84+VLOOKUP($R84,'Voyage days'!$F$382:$H$446,3,FALSE),"")</f>
        <v/>
      </c>
      <c r="AT84" s="1343" t="str">
        <f>IFERROR($T84+VLOOKUP($R84,'Voyage days'!$F$382:$H$446,3,FALSE),"")</f>
        <v/>
      </c>
      <c r="AU84" s="1316" t="str">
        <f t="shared" si="96"/>
        <v/>
      </c>
      <c r="AV84" s="1343" t="str">
        <f>IFERROR($S84+VLOOKUP($R84,'Voyage days'!$F$483:$H$538,3,FALSE),"")</f>
        <v/>
      </c>
      <c r="AW84" s="1343" t="str">
        <f>IFERROR($T84+VLOOKUP($R84,'Voyage days'!$F$483:$H$538,3,FALSE),"")</f>
        <v/>
      </c>
      <c r="AX84" s="1316" t="str">
        <f t="shared" si="97"/>
        <v/>
      </c>
      <c r="AY84" s="1343" t="str">
        <f>IFERROR($S84+VLOOKUP($R84,'Voyage days'!$F$540:$H$613,3,FALSE),"")</f>
        <v/>
      </c>
      <c r="AZ84" s="1343" t="str">
        <f>IFERROR($T84+VLOOKUP($R84,'Voyage days'!$F$540:$H$613,3,FALSE),"")</f>
        <v/>
      </c>
      <c r="BA84" s="1316" t="str">
        <f t="shared" si="98"/>
        <v/>
      </c>
      <c r="BB84" s="1343" t="str">
        <f>IFERROR($S84+VLOOKUP($R84,'Voyage days'!$L$483:$N$535,3,FALSE),"")</f>
        <v/>
      </c>
      <c r="BC84" s="1343" t="str">
        <f>IFERROR($T84+VLOOKUP($R84,'Voyage days'!$L$483:$N$535,3,FALSE),"")</f>
        <v/>
      </c>
      <c r="BD84" s="1316" t="str">
        <f t="shared" si="99"/>
        <v/>
      </c>
      <c r="BE84" s="1343" t="str">
        <f>IFERROR($S84+VLOOKUP($R84,'Voyage days'!$F$620:$H$646,3,FALSE),"")</f>
        <v/>
      </c>
      <c r="BF84" s="1343" t="str">
        <f>IFERROR($T84+VLOOKUP($R84,'Voyage days'!$F$620:$H$646,3,FALSE),"")</f>
        <v/>
      </c>
      <c r="BG84" s="1316" t="str">
        <f t="shared" si="100"/>
        <v/>
      </c>
      <c r="BH84" s="1321" t="str">
        <f>IFERROR($S84+VLOOKUP($R84,'Voyage days'!$F$702:$H$727,3,FALSE),"")</f>
        <v/>
      </c>
      <c r="BI84" s="1321" t="str">
        <f>IFERROR($T84+VLOOKUP($R84,'Voyage days'!$F$702:$H$727,3,FALSE),"")</f>
        <v/>
      </c>
      <c r="BJ84" s="1321"/>
      <c r="BK84" s="1321"/>
      <c r="BL84" s="1321"/>
      <c r="BM84" s="1321"/>
      <c r="BN84" s="1321"/>
      <c r="BO84" s="1321"/>
      <c r="BP84" s="1321"/>
    </row>
    <row r="85">
      <c r="A85" s="606" t="s">
        <v>65</v>
      </c>
      <c r="B85" s="1427">
        <v>2003.0</v>
      </c>
      <c r="C85" s="1344">
        <v>80100.0</v>
      </c>
      <c r="D85" s="1443">
        <v>9274563.0</v>
      </c>
      <c r="E85" s="1345" t="s">
        <v>3583</v>
      </c>
      <c r="F85" s="686"/>
      <c r="G85" s="1345" t="s">
        <v>3584</v>
      </c>
      <c r="H85" s="606"/>
      <c r="I85" s="1316"/>
      <c r="J85" s="1316" t="str">
        <f>IF(K85="","",VLOOKUP(K85,'Voyage days'!$A$3:$B$1480,2,FALSE))</f>
        <v>South China + 4</v>
      </c>
      <c r="K85" s="1444" t="str">
        <f>IF(VLOOKUP(A85,'1) Kpler'!$E$2:$O$500,8, FALSE)="",VLOOKUP(A85,'1) Kpler'!$E$2:$O$500,10,FALSE),VLOOKUP(A85,'1) Kpler'!$E$2:$O$500,8, FALSE))</f>
        <v>Guangzhou</v>
      </c>
      <c r="L85" s="1445">
        <f>IF(VLOOKUP(A85,'1) Kpler'!$E$2:$O$600,9,FALSE)="","",VLOOKUP(A85,'1) Kpler'!$E$2:$O$500,9,FALSE))</f>
        <v>46133.125</v>
      </c>
      <c r="M85" s="1444" t="str">
        <f>VLOOKUP(A85,'1) Kpler'!$E$2:$H$600,4,FALSE)</f>
        <v>floatingStorage</v>
      </c>
      <c r="N85" s="1350"/>
      <c r="O85" s="1456"/>
      <c r="P85" s="686"/>
      <c r="Q85" s="686"/>
      <c r="R85" s="686"/>
      <c r="S85" s="1345" t="s">
        <v>2208</v>
      </c>
      <c r="T85" s="1350">
        <v>45437.0</v>
      </c>
      <c r="U85" s="686"/>
      <c r="V85" s="1352" t="s">
        <v>3466</v>
      </c>
      <c r="W85" s="686"/>
      <c r="X85" s="686"/>
      <c r="Y85" s="686"/>
      <c r="Z85" s="1353"/>
      <c r="AA85" s="1438"/>
      <c r="AF85" s="1316" t="str">
        <f t="shared" si="91"/>
        <v/>
      </c>
      <c r="AG85" s="1343" t="str">
        <f>IFERROR($S85+VLOOKUP($R85,'Voyage days'!$F$38:$H$89,3,FALSE),"")</f>
        <v/>
      </c>
      <c r="AH85" s="1343" t="str">
        <f>IFERROR(T85+VLOOKUP($R85,'Voyage days'!$F$38:$H$89,3,FALSE),"")</f>
        <v/>
      </c>
      <c r="AI85" s="1316" t="str">
        <f t="shared" si="92"/>
        <v/>
      </c>
      <c r="AJ85" s="1343" t="str">
        <f>IF(P85="P",IFERROR($S85+VLOOKUP($R85,'Voyage days'!$F$94:$H$193,3,FALSE),""),"")</f>
        <v/>
      </c>
      <c r="AK85" s="1343" t="str">
        <f>IF(P85="P",IFERROR($T85+VLOOKUP($R85,'Voyage days'!$F$94:$H$193,3,FALSE),""),"")</f>
        <v/>
      </c>
      <c r="AL85" s="1316" t="str">
        <f t="shared" si="93"/>
        <v/>
      </c>
      <c r="AM85" s="1343" t="str">
        <f>IFERROR($S85+VLOOKUP($R85,'Voyage days'!$F$203:$H$256,3,FALSE),"")</f>
        <v/>
      </c>
      <c r="AN85" s="1343" t="str">
        <f>IFERROR($T85+VLOOKUP($R85,'Voyage days'!$F$203:$H$256,3,FALSE),"")</f>
        <v/>
      </c>
      <c r="AO85" s="1316" t="str">
        <f t="shared" si="94"/>
        <v/>
      </c>
      <c r="AP85" s="1343" t="str">
        <f>IFERROR($S85+VLOOKUP($R85,'Voyage days'!$F$294:$H$377,3,FALSE),"")</f>
        <v/>
      </c>
      <c r="AQ85" s="1343" t="str">
        <f>IFERROR($T85+VLOOKUP($R85,'Voyage days'!$F$294:$H$377,3,FALSE),"")</f>
        <v/>
      </c>
      <c r="AR85" s="1316" t="str">
        <f t="shared" si="95"/>
        <v/>
      </c>
      <c r="AS85" s="1343" t="str">
        <f>IFERROR($S85+VLOOKUP($R85,'Voyage days'!$F$382:$H$446,3,FALSE),"")</f>
        <v/>
      </c>
      <c r="AT85" s="1343" t="str">
        <f>IFERROR($T85+VLOOKUP($R85,'Voyage days'!$F$382:$H$446,3,FALSE),"")</f>
        <v/>
      </c>
      <c r="AU85" s="1316" t="str">
        <f t="shared" si="96"/>
        <v/>
      </c>
      <c r="AV85" s="1343" t="str">
        <f>IFERROR($S85+VLOOKUP($R85,'Voyage days'!$F$483:$H$538,3,FALSE),"")</f>
        <v/>
      </c>
      <c r="AW85" s="1343" t="str">
        <f>IFERROR($T85+VLOOKUP($R85,'Voyage days'!$F$483:$H$538,3,FALSE),"")</f>
        <v/>
      </c>
      <c r="AX85" s="1316" t="str">
        <f t="shared" si="97"/>
        <v/>
      </c>
      <c r="AY85" s="1343" t="str">
        <f>IFERROR($S85+VLOOKUP($R85,'Voyage days'!$F$540:$H$613,3,FALSE),"")</f>
        <v/>
      </c>
      <c r="AZ85" s="1343" t="str">
        <f>IFERROR($T85+VLOOKUP($R85,'Voyage days'!$F$540:$H$613,3,FALSE),"")</f>
        <v/>
      </c>
      <c r="BA85" s="1316" t="str">
        <f t="shared" si="98"/>
        <v/>
      </c>
      <c r="BB85" s="1343" t="str">
        <f>IFERROR($S85+VLOOKUP($R85,'Voyage days'!$L$483:$N$535,3,FALSE),"")</f>
        <v/>
      </c>
      <c r="BC85" s="1343" t="str">
        <f>IFERROR($T85+VLOOKUP($R85,'Voyage days'!$L$483:$N$535,3,FALSE),"")</f>
        <v/>
      </c>
      <c r="BD85" s="1316" t="str">
        <f t="shared" si="99"/>
        <v/>
      </c>
      <c r="BE85" s="1343" t="str">
        <f>IFERROR($S85+VLOOKUP($R85,'Voyage days'!$F$620:$H$646,3,FALSE),"")</f>
        <v/>
      </c>
      <c r="BF85" s="1343" t="str">
        <f>IFERROR($T85+VLOOKUP($R85,'Voyage days'!$F$620:$H$646,3,FALSE),"")</f>
        <v/>
      </c>
      <c r="BG85" s="1316" t="str">
        <f t="shared" si="100"/>
        <v/>
      </c>
      <c r="BH85" s="1321" t="str">
        <f>IFERROR($S85+VLOOKUP($R85,'Voyage days'!$F$702:$H$727,3,FALSE),"")</f>
        <v/>
      </c>
      <c r="BI85" s="1321" t="str">
        <f>IFERROR($T85+VLOOKUP($R85,'Voyage days'!$F$702:$H$727,3,FALSE),"")</f>
        <v/>
      </c>
      <c r="BJ85" s="1321"/>
      <c r="BK85" s="1321"/>
      <c r="BL85" s="1321"/>
      <c r="BM85" s="1321"/>
      <c r="BN85" s="1321"/>
      <c r="BO85" s="1321"/>
      <c r="BP85" s="1321"/>
    </row>
    <row r="86" ht="15.75" customHeight="1">
      <c r="A86" s="606" t="s">
        <v>3585</v>
      </c>
      <c r="B86" s="1005">
        <v>37253.0</v>
      </c>
      <c r="C86" s="1344">
        <v>84301.0</v>
      </c>
      <c r="D86" s="1443">
        <v>9208239.0</v>
      </c>
      <c r="E86" s="1345" t="s">
        <v>3586</v>
      </c>
      <c r="F86" s="686" t="s">
        <v>3587</v>
      </c>
      <c r="G86" s="1345" t="s">
        <v>3588</v>
      </c>
      <c r="H86" s="606"/>
      <c r="I86" s="1316"/>
      <c r="J86" s="1316" t="str">
        <f>IF(K86="","",VLOOKUP(K86,'Voyage days'!$A$3:$B$1480,2,FALSE))</f>
        <v>#N/A</v>
      </c>
      <c r="K86" s="1444" t="str">
        <f>IF(VLOOKUP(A86,'1) Kpler'!$E$2:$O$500,8, FALSE)="",VLOOKUP(A86,'1) Kpler'!$E$2:$O$500,10,FALSE),VLOOKUP(A86,'1) Kpler'!$E$2:$O$500,8, FALSE))</f>
        <v>#N/A</v>
      </c>
      <c r="L86" s="1445" t="str">
        <f>IF(VLOOKUP(A86,'1) Kpler'!$E$2:$O$600,9,FALSE)="","",VLOOKUP(A86,'1) Kpler'!$E$2:$O$500,9,FALSE))</f>
        <v>#N/A</v>
      </c>
      <c r="M86" s="1444" t="str">
        <f>VLOOKUP(A86,'1) Kpler'!$E$2:$H$600,4,FALSE)</f>
        <v>#N/A</v>
      </c>
      <c r="N86" s="1350"/>
      <c r="O86" s="1351"/>
      <c r="P86" s="686" t="s">
        <v>2964</v>
      </c>
      <c r="Q86" s="686"/>
      <c r="R86" s="686"/>
      <c r="S86" s="1345" t="s">
        <v>2208</v>
      </c>
      <c r="T86" s="1439">
        <v>45432.0</v>
      </c>
      <c r="U86" s="686"/>
      <c r="V86" s="1352" t="s">
        <v>3466</v>
      </c>
      <c r="W86" s="686"/>
      <c r="X86" s="686"/>
      <c r="Y86" s="686"/>
      <c r="Z86" s="1353"/>
      <c r="AA86" s="1343"/>
      <c r="AF86" s="1316" t="str">
        <f t="shared" si="91"/>
        <v/>
      </c>
      <c r="AG86" s="1343" t="str">
        <f>IFERROR($S86+VLOOKUP($R86,'Voyage days'!$F$38:$H$89,3,FALSE),"")</f>
        <v/>
      </c>
      <c r="AH86" s="1343" t="str">
        <f>IFERROR(T86+VLOOKUP($R86,'Voyage days'!$F$38:$H$89,3,FALSE),"")</f>
        <v/>
      </c>
      <c r="AI86" s="1316" t="str">
        <f t="shared" si="92"/>
        <v/>
      </c>
      <c r="AJ86" s="1343" t="str">
        <f>IF(P86="P",IFERROR($S86+VLOOKUP($R86,'Voyage days'!$F$94:$H$193,3,FALSE),""),"")</f>
        <v/>
      </c>
      <c r="AK86" s="1343" t="str">
        <f>IF(P86="P",IFERROR($T86+VLOOKUP($R86,'Voyage days'!$F$94:$H$193,3,FALSE),""),"")</f>
        <v/>
      </c>
      <c r="AL86" s="1316" t="str">
        <f t="shared" si="93"/>
        <v/>
      </c>
      <c r="AM86" s="1343" t="str">
        <f>IFERROR($S86+VLOOKUP($R86,'Voyage days'!$F$203:$H$256,3,FALSE),"")</f>
        <v/>
      </c>
      <c r="AN86" s="1343" t="str">
        <f>IFERROR($T86+VLOOKUP($R86,'Voyage days'!$F$203:$H$256,3,FALSE),"")</f>
        <v/>
      </c>
      <c r="AO86" s="1316" t="str">
        <f t="shared" si="94"/>
        <v/>
      </c>
      <c r="AP86" s="1343" t="str">
        <f>IFERROR($S86+VLOOKUP($R86,'Voyage days'!$F$294:$H$377,3,FALSE),"")</f>
        <v/>
      </c>
      <c r="AQ86" s="1343" t="str">
        <f>IFERROR($T86+VLOOKUP($R86,'Voyage days'!$F$294:$H$377,3,FALSE),"")</f>
        <v/>
      </c>
      <c r="AR86" s="1316" t="str">
        <f t="shared" si="95"/>
        <v/>
      </c>
      <c r="AS86" s="1343" t="str">
        <f>IFERROR($S86+VLOOKUP($R86,'Voyage days'!$F$382:$H$446,3,FALSE),"")</f>
        <v/>
      </c>
      <c r="AT86" s="1343" t="str">
        <f>IFERROR($T86+VLOOKUP($R86,'Voyage days'!$F$382:$H$446,3,FALSE),"")</f>
        <v/>
      </c>
      <c r="AU86" s="1316" t="str">
        <f t="shared" si="96"/>
        <v/>
      </c>
      <c r="AV86" s="1343" t="str">
        <f>IFERROR($S86+VLOOKUP($R86,'Voyage days'!$F$483:$H$538,3,FALSE),"")</f>
        <v/>
      </c>
      <c r="AW86" s="1343" t="str">
        <f>IFERROR($T86+VLOOKUP($R86,'Voyage days'!$F$483:$H$538,3,FALSE),"")</f>
        <v/>
      </c>
      <c r="AX86" s="1316" t="str">
        <f t="shared" si="97"/>
        <v/>
      </c>
      <c r="AY86" s="1343" t="str">
        <f>IFERROR($S86+VLOOKUP($R86,'Voyage days'!$F$540:$H$613,3,FALSE),"")</f>
        <v/>
      </c>
      <c r="AZ86" s="1343" t="str">
        <f>IFERROR($T86+VLOOKUP($R86,'Voyage days'!$F$540:$H$613,3,FALSE),"")</f>
        <v/>
      </c>
      <c r="BA86" s="1316" t="str">
        <f t="shared" si="98"/>
        <v/>
      </c>
      <c r="BB86" s="1343" t="str">
        <f>IFERROR($S86+VLOOKUP($R86,'Voyage days'!$L$483:$N$535,3,FALSE),"")</f>
        <v/>
      </c>
      <c r="BC86" s="1343" t="str">
        <f>IFERROR($T86+VLOOKUP($R86,'Voyage days'!$L$483:$N$535,3,FALSE),"")</f>
        <v/>
      </c>
      <c r="BD86" s="1316" t="str">
        <f t="shared" si="99"/>
        <v/>
      </c>
      <c r="BE86" s="1343" t="str">
        <f>IFERROR($S86+VLOOKUP($R86,'Voyage days'!$F$620:$H$646,3,FALSE),"")</f>
        <v/>
      </c>
      <c r="BF86" s="1343" t="str">
        <f>IFERROR($T86+VLOOKUP($R86,'Voyage days'!$F$620:$H$646,3,FALSE),"")</f>
        <v/>
      </c>
      <c r="BG86" s="1316" t="str">
        <f t="shared" si="100"/>
        <v/>
      </c>
      <c r="BH86" s="1321" t="str">
        <f>IFERROR($S86+VLOOKUP($R86,'Voyage days'!$F$702:$H$727,3,FALSE),"")</f>
        <v/>
      </c>
      <c r="BI86" s="1321" t="str">
        <f>IFERROR($T86+VLOOKUP($R86,'Voyage days'!$F$702:$H$727,3,FALSE),"")</f>
        <v/>
      </c>
      <c r="BJ86" s="1321"/>
      <c r="BK86" s="1321"/>
      <c r="BL86" s="1321"/>
      <c r="BM86" s="1321"/>
      <c r="BN86" s="1321"/>
      <c r="BO86" s="1321"/>
      <c r="BP86" s="1321"/>
    </row>
    <row r="87" ht="15.75" customHeight="1">
      <c r="A87" s="606" t="s">
        <v>3589</v>
      </c>
      <c r="B87" s="1005">
        <v>38261.0</v>
      </c>
      <c r="C87" s="1344">
        <v>82524.0</v>
      </c>
      <c r="D87" s="1443">
        <v>9282106.0</v>
      </c>
      <c r="E87" s="1345" t="s">
        <v>3590</v>
      </c>
      <c r="F87" s="686" t="s">
        <v>3019</v>
      </c>
      <c r="G87" s="1345" t="s">
        <v>3591</v>
      </c>
      <c r="H87" s="606"/>
      <c r="I87" s="1316"/>
      <c r="J87" s="1316" t="str">
        <f>IF(K87="","",VLOOKUP(K87,'Voyage days'!$A$3:$B$1480,2,FALSE))</f>
        <v>#N/A</v>
      </c>
      <c r="K87" s="1444" t="str">
        <f>IF(VLOOKUP(A87,'1) Kpler'!$E$2:$O$500,8, FALSE)="",VLOOKUP(A87,'1) Kpler'!$E$2:$O$500,10,FALSE),VLOOKUP(A87,'1) Kpler'!$E$2:$O$500,8, FALSE))</f>
        <v>#N/A</v>
      </c>
      <c r="L87" s="1445" t="str">
        <f>IF(VLOOKUP(A87,'1) Kpler'!$E$2:$O$600,9,FALSE)="","",VLOOKUP(A87,'1) Kpler'!$E$2:$O$500,9,FALSE))</f>
        <v>#N/A</v>
      </c>
      <c r="M87" s="1444" t="str">
        <f>VLOOKUP(A87,'1) Kpler'!$E$2:$H$600,4,FALSE)</f>
        <v>#N/A</v>
      </c>
      <c r="N87" s="1350"/>
      <c r="O87" s="1436"/>
      <c r="P87" s="686" t="s">
        <v>1687</v>
      </c>
      <c r="Q87" s="686"/>
      <c r="R87" s="686"/>
      <c r="S87" s="1345" t="s">
        <v>2208</v>
      </c>
      <c r="T87" s="1439">
        <v>45422.0</v>
      </c>
      <c r="U87" s="686"/>
      <c r="V87" s="1352" t="s">
        <v>3466</v>
      </c>
      <c r="W87" s="686"/>
      <c r="X87" s="686"/>
      <c r="Y87" s="686"/>
      <c r="Z87" s="1353"/>
      <c r="AA87" s="1321"/>
      <c r="AF87" s="1316" t="str">
        <f t="shared" si="91"/>
        <v/>
      </c>
      <c r="AG87" s="1343" t="str">
        <f>IFERROR($S87+VLOOKUP($R87,'Voyage days'!$F$38:$H$89,3,FALSE),"")</f>
        <v/>
      </c>
      <c r="AH87" s="1343" t="str">
        <f>IFERROR(T87+VLOOKUP($R87,'Voyage days'!$F$38:$H$89,3,FALSE),"")</f>
        <v/>
      </c>
      <c r="AI87" s="1316" t="str">
        <f t="shared" si="92"/>
        <v/>
      </c>
      <c r="AJ87" s="1343" t="str">
        <f>IF(P87="P",IFERROR($S87+VLOOKUP($R87,'Voyage days'!$F$94:$H$193,3,FALSE),""),"")</f>
        <v/>
      </c>
      <c r="AK87" s="1343" t="str">
        <f>IF(P87="P",IFERROR($T87+VLOOKUP($R87,'Voyage days'!$F$94:$H$193,3,FALSE),""),"")</f>
        <v/>
      </c>
      <c r="AL87" s="1316" t="str">
        <f t="shared" si="93"/>
        <v/>
      </c>
      <c r="AM87" s="1343" t="str">
        <f>IFERROR($S87+VLOOKUP($R87,'Voyage days'!$F$203:$H$256,3,FALSE),"")</f>
        <v/>
      </c>
      <c r="AN87" s="1343" t="str">
        <f>IFERROR($T87+VLOOKUP($R87,'Voyage days'!$F$203:$H$256,3,FALSE),"")</f>
        <v/>
      </c>
      <c r="AO87" s="1316" t="str">
        <f t="shared" si="94"/>
        <v/>
      </c>
      <c r="AP87" s="1343" t="str">
        <f>IFERROR($S87+VLOOKUP($R87,'Voyage days'!$F$294:$H$377,3,FALSE),"")</f>
        <v/>
      </c>
      <c r="AQ87" s="1343" t="str">
        <f>IFERROR($T87+VLOOKUP($R87,'Voyage days'!$F$294:$H$377,3,FALSE),"")</f>
        <v/>
      </c>
      <c r="AR87" s="1316" t="str">
        <f t="shared" si="95"/>
        <v/>
      </c>
      <c r="AS87" s="1343" t="str">
        <f>IFERROR($S87+VLOOKUP($R87,'Voyage days'!$F$382:$H$446,3,FALSE),"")</f>
        <v/>
      </c>
      <c r="AT87" s="1343" t="str">
        <f>IFERROR($T87+VLOOKUP($R87,'Voyage days'!$F$382:$H$446,3,FALSE),"")</f>
        <v/>
      </c>
      <c r="AU87" s="1316" t="str">
        <f t="shared" si="96"/>
        <v/>
      </c>
      <c r="AV87" s="1343" t="str">
        <f>IFERROR($S87+VLOOKUP($R87,'Voyage days'!$F$483:$H$538,3,FALSE),"")</f>
        <v/>
      </c>
      <c r="AW87" s="1343" t="str">
        <f>IFERROR($T87+VLOOKUP($R87,'Voyage days'!$F$483:$H$538,3,FALSE),"")</f>
        <v/>
      </c>
      <c r="AX87" s="1316" t="str">
        <f t="shared" si="97"/>
        <v/>
      </c>
      <c r="AY87" s="1343" t="str">
        <f>IFERROR($S87+VLOOKUP($R87,'Voyage days'!$F$540:$H$613,3,FALSE),"")</f>
        <v/>
      </c>
      <c r="AZ87" s="1343" t="str">
        <f>IFERROR($T87+VLOOKUP($R87,'Voyage days'!$F$540:$H$613,3,FALSE),"")</f>
        <v/>
      </c>
      <c r="BA87" s="1316" t="str">
        <f t="shared" si="98"/>
        <v/>
      </c>
      <c r="BB87" s="1343" t="str">
        <f>IFERROR($S87+VLOOKUP($R87,'Voyage days'!$L$483:$N$535,3,FALSE),"")</f>
        <v/>
      </c>
      <c r="BC87" s="1343" t="str">
        <f>IFERROR($T87+VLOOKUP($R87,'Voyage days'!$L$483:$N$535,3,FALSE),"")</f>
        <v/>
      </c>
      <c r="BD87" s="1316" t="str">
        <f t="shared" si="99"/>
        <v/>
      </c>
      <c r="BE87" s="1343" t="str">
        <f>IFERROR($S87+VLOOKUP($R87,'Voyage days'!$F$620:$H$646,3,FALSE),"")</f>
        <v/>
      </c>
      <c r="BF87" s="1343" t="str">
        <f>IFERROR($T87+VLOOKUP($R87,'Voyage days'!$F$620:$H$646,3,FALSE),"")</f>
        <v/>
      </c>
      <c r="BG87" s="1316" t="str">
        <f t="shared" si="100"/>
        <v/>
      </c>
      <c r="BH87" s="1321" t="str">
        <f>IFERROR($S87+VLOOKUP($R87,'Voyage days'!$F$702:$H$727,3,FALSE),"")</f>
        <v/>
      </c>
      <c r="BI87" s="1321" t="str">
        <f>IFERROR($T87+VLOOKUP($R87,'Voyage days'!$F$702:$H$727,3,FALSE),"")</f>
        <v/>
      </c>
      <c r="BJ87" s="1321"/>
      <c r="BK87" s="1321"/>
      <c r="BL87" s="1321"/>
      <c r="BM87" s="1321"/>
      <c r="BN87" s="1321"/>
      <c r="BO87" s="1321"/>
      <c r="BP87" s="1321"/>
    </row>
    <row r="88" ht="15.75" customHeight="1">
      <c r="A88" s="606" t="s">
        <v>3592</v>
      </c>
      <c r="B88" s="1005">
        <v>33909.0</v>
      </c>
      <c r="C88" s="1344">
        <v>78539.0</v>
      </c>
      <c r="D88" s="1443" t="e">
        <v>#N/A</v>
      </c>
      <c r="E88" s="1345" t="s">
        <v>3593</v>
      </c>
      <c r="F88" s="686" t="s">
        <v>3594</v>
      </c>
      <c r="G88" s="1387" t="s">
        <v>3595</v>
      </c>
      <c r="H88" s="606"/>
      <c r="I88" s="1316"/>
      <c r="J88" s="1316" t="str">
        <f>IF(K88="","",VLOOKUP(K88,'Voyage days'!$A$3:$B$1480,2,FALSE))</f>
        <v>#N/A</v>
      </c>
      <c r="K88" s="1444" t="str">
        <f>IF(VLOOKUP(A88,'1) Kpler'!$E$2:$O$500,8, FALSE)="",VLOOKUP(A88,'1) Kpler'!$E$2:$O$500,10,FALSE),VLOOKUP(A88,'1) Kpler'!$E$2:$O$500,8, FALSE))</f>
        <v>#N/A</v>
      </c>
      <c r="L88" s="1445" t="str">
        <f>IF(VLOOKUP(A88,'1) Kpler'!$E$2:$O$600,9,FALSE)="","",VLOOKUP(A88,'1) Kpler'!$E$2:$O$500,9,FALSE))</f>
        <v>#N/A</v>
      </c>
      <c r="M88" s="1444" t="str">
        <f>VLOOKUP(A88,'1) Kpler'!$E$2:$H$600,4,FALSE)</f>
        <v>#N/A</v>
      </c>
      <c r="N88" s="1350"/>
      <c r="O88" s="1351"/>
      <c r="P88" s="686" t="s">
        <v>570</v>
      </c>
      <c r="Q88" s="686"/>
      <c r="R88" s="686"/>
      <c r="S88" s="1345" t="s">
        <v>2208</v>
      </c>
      <c r="T88" s="1439">
        <v>45408.0</v>
      </c>
      <c r="U88" s="686"/>
      <c r="V88" s="1352" t="s">
        <v>3466</v>
      </c>
      <c r="W88" s="686"/>
      <c r="X88" s="686"/>
      <c r="Y88" s="686"/>
      <c r="Z88" s="1353"/>
      <c r="AA88" s="1437"/>
      <c r="AF88" s="1316" t="str">
        <f t="shared" si="91"/>
        <v/>
      </c>
      <c r="AG88" s="1343" t="str">
        <f>IFERROR($S88+VLOOKUP($R88,'Voyage days'!$F$38:$H$89,3,FALSE),"")</f>
        <v/>
      </c>
      <c r="AH88" s="1343" t="str">
        <f>IFERROR(T88+VLOOKUP($R88,'Voyage days'!$F$38:$H$89,3,FALSE),"")</f>
        <v/>
      </c>
      <c r="AI88" s="1316" t="str">
        <f t="shared" si="92"/>
        <v/>
      </c>
      <c r="AJ88" s="1343" t="str">
        <f>IF(P88="P",IFERROR($S88+VLOOKUP($R88,'Voyage days'!$F$94:$H$193,3,FALSE),""),"")</f>
        <v/>
      </c>
      <c r="AK88" s="1343" t="str">
        <f>IF(P88="P",IFERROR($T88+VLOOKUP($R88,'Voyage days'!$F$94:$H$193,3,FALSE),""),"")</f>
        <v/>
      </c>
      <c r="AL88" s="1316" t="str">
        <f t="shared" si="93"/>
        <v/>
      </c>
      <c r="AM88" s="1343" t="str">
        <f>IFERROR($S88+VLOOKUP($R88,'Voyage days'!$F$203:$H$256,3,FALSE),"")</f>
        <v/>
      </c>
      <c r="AN88" s="1343" t="str">
        <f>IFERROR($T88+VLOOKUP($R88,'Voyage days'!$F$203:$H$256,3,FALSE),"")</f>
        <v/>
      </c>
      <c r="AO88" s="1316" t="str">
        <f t="shared" si="94"/>
        <v/>
      </c>
      <c r="AP88" s="1343" t="str">
        <f>IFERROR($S88+VLOOKUP($R88,'Voyage days'!$F$294:$H$377,3,FALSE),"")</f>
        <v/>
      </c>
      <c r="AQ88" s="1343" t="str">
        <f>IFERROR($T88+VLOOKUP($R88,'Voyage days'!$F$294:$H$377,3,FALSE),"")</f>
        <v/>
      </c>
      <c r="AR88" s="1316" t="str">
        <f t="shared" si="95"/>
        <v/>
      </c>
      <c r="AS88" s="1343" t="str">
        <f>IFERROR($S88+VLOOKUP($R88,'Voyage days'!$F$382:$H$446,3,FALSE),"")</f>
        <v/>
      </c>
      <c r="AT88" s="1343" t="str">
        <f>IFERROR($T88+VLOOKUP($R88,'Voyage days'!$F$382:$H$446,3,FALSE),"")</f>
        <v/>
      </c>
      <c r="AU88" s="1316" t="str">
        <f t="shared" si="96"/>
        <v/>
      </c>
      <c r="AV88" s="1343" t="str">
        <f>IFERROR($S88+VLOOKUP($R88,'Voyage days'!$F$483:$H$538,3,FALSE),"")</f>
        <v/>
      </c>
      <c r="AW88" s="1343" t="str">
        <f>IFERROR($T88+VLOOKUP($R88,'Voyage days'!$F$483:$H$538,3,FALSE),"")</f>
        <v/>
      </c>
      <c r="AX88" s="1316" t="str">
        <f t="shared" si="97"/>
        <v/>
      </c>
      <c r="AY88" s="1343" t="str">
        <f>IFERROR($S88+VLOOKUP($R88,'Voyage days'!$F$540:$H$613,3,FALSE),"")</f>
        <v/>
      </c>
      <c r="AZ88" s="1343" t="str">
        <f>IFERROR($T88+VLOOKUP($R88,'Voyage days'!$F$540:$H$613,3,FALSE),"")</f>
        <v/>
      </c>
      <c r="BA88" s="1316" t="str">
        <f t="shared" si="98"/>
        <v/>
      </c>
      <c r="BB88" s="1343" t="str">
        <f>IFERROR($S88+VLOOKUP($R88,'Voyage days'!$L$483:$N$535,3,FALSE),"")</f>
        <v/>
      </c>
      <c r="BC88" s="1343" t="str">
        <f>IFERROR($T88+VLOOKUP($R88,'Voyage days'!$L$483:$N$535,3,FALSE),"")</f>
        <v/>
      </c>
      <c r="BD88" s="1316" t="str">
        <f t="shared" si="99"/>
        <v/>
      </c>
      <c r="BE88" s="1343" t="str">
        <f>IFERROR($S88+VLOOKUP($R88,'Voyage days'!$F$620:$H$646,3,FALSE),"")</f>
        <v/>
      </c>
      <c r="BF88" s="1343" t="str">
        <f>IFERROR($T88+VLOOKUP($R88,'Voyage days'!$F$620:$H$646,3,FALSE),"")</f>
        <v/>
      </c>
      <c r="BG88" s="1316" t="str">
        <f t="shared" si="100"/>
        <v/>
      </c>
      <c r="BH88" s="1321" t="str">
        <f>IFERROR($S88+VLOOKUP($R88,'Voyage days'!$F$702:$H$727,3,FALSE),"")</f>
        <v/>
      </c>
      <c r="BI88" s="1321" t="str">
        <f>IFERROR($T88+VLOOKUP($R88,'Voyage days'!$F$702:$H$727,3,FALSE),"")</f>
        <v/>
      </c>
      <c r="BJ88" s="1321"/>
      <c r="BK88" s="1321"/>
      <c r="BL88" s="1321"/>
      <c r="BM88" s="1321"/>
      <c r="BN88" s="1321"/>
      <c r="BO88" s="1321"/>
      <c r="BP88" s="1321"/>
    </row>
    <row r="89" ht="15.75" customHeight="1">
      <c r="A89" s="606" t="s">
        <v>241</v>
      </c>
      <c r="B89" s="1002">
        <v>38777.0</v>
      </c>
      <c r="C89" s="1344">
        <v>78631.0</v>
      </c>
      <c r="D89" s="1443">
        <v>9306548.0</v>
      </c>
      <c r="E89" s="1345" t="s">
        <v>3596</v>
      </c>
      <c r="F89" s="686" t="s">
        <v>2935</v>
      </c>
      <c r="G89" s="1387" t="s">
        <v>3597</v>
      </c>
      <c r="H89" s="606"/>
      <c r="I89" s="1316"/>
      <c r="J89" s="1316" t="str">
        <f>IF(K89="","",VLOOKUP(K89,'Voyage days'!$A$3:$B$1480,2,FALSE))</f>
        <v>#N/A</v>
      </c>
      <c r="K89" s="1444" t="b">
        <f>IF(VLOOKUP(A89,'1) Kpler'!$E$2:$O$500,8, FALSE)="",VLOOKUP(A89,'1) Kpler'!$E$2:$O$500,10,FALSE),VLOOKUP(A89,'1) Kpler'!$E$2:$O$500,8, FALSE))</f>
        <v>1</v>
      </c>
      <c r="L89" s="1445" t="str">
        <f>IF(VLOOKUP(A89,'1) Kpler'!$E$2:$O$600,9,FALSE)="","",VLOOKUP(A89,'1) Kpler'!$E$2:$O$500,9,FALSE))</f>
        <v/>
      </c>
      <c r="M89" s="1444" t="str">
        <f>VLOOKUP(A89,'1) Kpler'!$E$2:$H$600,4,FALSE)</f>
        <v>loaded</v>
      </c>
      <c r="N89" s="1350"/>
      <c r="O89" s="1436"/>
      <c r="P89" s="686" t="s">
        <v>1687</v>
      </c>
      <c r="Q89" s="686"/>
      <c r="R89" s="686"/>
      <c r="S89" s="1345" t="s">
        <v>2208</v>
      </c>
      <c r="T89" s="1439">
        <v>45414.0</v>
      </c>
      <c r="U89" s="686"/>
      <c r="V89" s="1352" t="s">
        <v>3466</v>
      </c>
      <c r="W89" s="686"/>
      <c r="X89" s="686"/>
      <c r="Y89" s="686"/>
      <c r="Z89" s="1448"/>
      <c r="AA89" s="1438"/>
      <c r="AF89" s="1316" t="str">
        <f t="shared" si="91"/>
        <v/>
      </c>
      <c r="AG89" s="1343" t="str">
        <f>IFERROR($S89+VLOOKUP($R89,'Voyage days'!$F$38:$H$89,3,FALSE),"")</f>
        <v/>
      </c>
      <c r="AH89" s="1343" t="str">
        <f>IFERROR(T89+VLOOKUP($R89,'Voyage days'!$F$38:$H$89,3,FALSE),"")</f>
        <v/>
      </c>
      <c r="AI89" s="1316" t="str">
        <f t="shared" si="92"/>
        <v/>
      </c>
      <c r="AJ89" s="1343" t="str">
        <f>IF(P89="P",IFERROR($S89+VLOOKUP($R89,'Voyage days'!$F$94:$H$193,3,FALSE),""),"")</f>
        <v/>
      </c>
      <c r="AK89" s="1343" t="str">
        <f>IF(P89="P",IFERROR($T89+VLOOKUP($R89,'Voyage days'!$F$94:$H$193,3,FALSE),""),"")</f>
        <v/>
      </c>
      <c r="AL89" s="1316" t="str">
        <f t="shared" si="93"/>
        <v/>
      </c>
      <c r="AM89" s="1343" t="str">
        <f>IFERROR($S89+VLOOKUP($R89,'Voyage days'!$F$203:$H$256,3,FALSE),"")</f>
        <v/>
      </c>
      <c r="AN89" s="1343" t="str">
        <f>IFERROR($T89+VLOOKUP($R89,'Voyage days'!$F$203:$H$256,3,FALSE),"")</f>
        <v/>
      </c>
      <c r="AO89" s="1316" t="str">
        <f t="shared" si="94"/>
        <v/>
      </c>
      <c r="AP89" s="1343" t="str">
        <f>IFERROR($S89+VLOOKUP($R89,'Voyage days'!$F$294:$H$377,3,FALSE),"")</f>
        <v/>
      </c>
      <c r="AQ89" s="1343" t="str">
        <f>IFERROR($T89+VLOOKUP($R89,'Voyage days'!$F$294:$H$377,3,FALSE),"")</f>
        <v/>
      </c>
      <c r="AR89" s="1316" t="str">
        <f t="shared" si="95"/>
        <v/>
      </c>
      <c r="AS89" s="1343" t="str">
        <f>IFERROR($S89+VLOOKUP($R89,'Voyage days'!$F$382:$H$446,3,FALSE),"")</f>
        <v/>
      </c>
      <c r="AT89" s="1343" t="str">
        <f>IFERROR($T89+VLOOKUP($R89,'Voyage days'!$F$382:$H$446,3,FALSE),"")</f>
        <v/>
      </c>
      <c r="AU89" s="1316" t="str">
        <f t="shared" si="96"/>
        <v/>
      </c>
      <c r="AV89" s="1343" t="str">
        <f>IFERROR($S89+VLOOKUP($R89,'Voyage days'!$F$483:$H$538,3,FALSE),"")</f>
        <v/>
      </c>
      <c r="AW89" s="1343" t="str">
        <f>IFERROR($T89+VLOOKUP($R89,'Voyage days'!$F$483:$H$538,3,FALSE),"")</f>
        <v/>
      </c>
      <c r="AX89" s="1316" t="str">
        <f t="shared" si="97"/>
        <v/>
      </c>
      <c r="AY89" s="1343" t="str">
        <f>IFERROR($S89+VLOOKUP($R89,'Voyage days'!$F$540:$H$613,3,FALSE),"")</f>
        <v/>
      </c>
      <c r="AZ89" s="1343" t="str">
        <f>IFERROR($T89+VLOOKUP($R89,'Voyage days'!$F$540:$H$613,3,FALSE),"")</f>
        <v/>
      </c>
      <c r="BA89" s="1316" t="str">
        <f t="shared" si="98"/>
        <v/>
      </c>
      <c r="BB89" s="1343" t="str">
        <f>IFERROR($S89+VLOOKUP($R89,'Voyage days'!$L$483:$N$535,3,FALSE),"")</f>
        <v/>
      </c>
      <c r="BC89" s="1343" t="str">
        <f>IFERROR($T89+VLOOKUP($R89,'Voyage days'!$L$483:$N$535,3,FALSE),"")</f>
        <v/>
      </c>
      <c r="BD89" s="1316" t="str">
        <f t="shared" si="99"/>
        <v/>
      </c>
      <c r="BE89" s="1343" t="str">
        <f>IFERROR($S89+VLOOKUP($R89,'Voyage days'!$F$620:$H$646,3,FALSE),"")</f>
        <v/>
      </c>
      <c r="BF89" s="1343" t="str">
        <f>IFERROR($T89+VLOOKUP($R89,'Voyage days'!$F$620:$H$646,3,FALSE),"")</f>
        <v/>
      </c>
      <c r="BG89" s="1316" t="str">
        <f t="shared" si="100"/>
        <v/>
      </c>
      <c r="BH89" s="1321" t="str">
        <f>IFERROR($S89+VLOOKUP($R89,'Voyage days'!$F$702:$H$727,3,FALSE),"")</f>
        <v/>
      </c>
      <c r="BI89" s="1321" t="str">
        <f>IFERROR($T89+VLOOKUP($R89,'Voyage days'!$F$702:$H$727,3,FALSE),"")</f>
        <v/>
      </c>
      <c r="BJ89" s="1321"/>
      <c r="BK89" s="1321"/>
      <c r="BL89" s="1321"/>
      <c r="BM89" s="1321"/>
      <c r="BN89" s="1321"/>
      <c r="BO89" s="1321"/>
      <c r="BP89" s="1321"/>
    </row>
    <row r="90" ht="15.75" customHeight="1">
      <c r="A90" s="1316" t="s">
        <v>3598</v>
      </c>
      <c r="B90" s="1005">
        <v>35096.0</v>
      </c>
      <c r="C90" s="1344">
        <v>78502.0</v>
      </c>
      <c r="D90" s="1443">
        <v>9115303.0</v>
      </c>
      <c r="E90" s="1345" t="s">
        <v>3599</v>
      </c>
      <c r="F90" s="686" t="s">
        <v>3459</v>
      </c>
      <c r="G90" s="1387"/>
      <c r="H90" s="606"/>
      <c r="I90" s="1316"/>
      <c r="J90" s="1316" t="str">
        <f>IF(K90="","",VLOOKUP(K90,'Voyage days'!$A$3:$B$1480,2,FALSE))</f>
        <v>#N/A</v>
      </c>
      <c r="K90" s="1444" t="str">
        <f>IF(VLOOKUP(A90,'1) Kpler'!$E$2:$O$500,8, FALSE)="",VLOOKUP(A90,'1) Kpler'!$E$2:$O$500,10,FALSE),VLOOKUP(A90,'1) Kpler'!$E$2:$O$500,8, FALSE))</f>
        <v>#N/A</v>
      </c>
      <c r="L90" s="1445" t="str">
        <f>IF(VLOOKUP(A90,'1) Kpler'!$E$2:$O$600,9,FALSE)="","",VLOOKUP(A90,'1) Kpler'!$E$2:$O$500,9,FALSE))</f>
        <v>#N/A</v>
      </c>
      <c r="M90" s="1444" t="str">
        <f>VLOOKUP(A90,'1) Kpler'!$E$2:$H$600,4,FALSE)</f>
        <v>#N/A</v>
      </c>
      <c r="N90" s="1350"/>
      <c r="O90" s="1436"/>
      <c r="P90" s="686" t="s">
        <v>570</v>
      </c>
      <c r="Q90" s="686"/>
      <c r="R90" s="686"/>
      <c r="S90" s="1345" t="s">
        <v>2208</v>
      </c>
      <c r="T90" s="1439">
        <v>45411.0</v>
      </c>
      <c r="U90" s="686"/>
      <c r="V90" s="1352" t="s">
        <v>3466</v>
      </c>
      <c r="W90" s="686"/>
      <c r="X90" s="686"/>
      <c r="Y90" s="686"/>
      <c r="Z90" s="1353"/>
      <c r="AA90" s="1343"/>
      <c r="AF90" s="1316" t="str">
        <f t="shared" si="91"/>
        <v/>
      </c>
      <c r="AG90" s="1343" t="str">
        <f>IFERROR($S90+VLOOKUP($R90,'Voyage days'!$F$38:$H$89,3,FALSE),"")</f>
        <v/>
      </c>
      <c r="AH90" s="1343" t="str">
        <f>IFERROR(T90+VLOOKUP($R90,'Voyage days'!$F$38:$H$89,3,FALSE),"")</f>
        <v/>
      </c>
      <c r="AI90" s="1316" t="str">
        <f t="shared" si="92"/>
        <v/>
      </c>
      <c r="AJ90" s="1343" t="str">
        <f>IF(P90="P",IFERROR($S90+VLOOKUP($R90,'Voyage days'!$F$94:$H$193,3,FALSE),""),"")</f>
        <v/>
      </c>
      <c r="AK90" s="1343" t="str">
        <f>IF(P90="P",IFERROR($T90+VLOOKUP($R90,'Voyage days'!$F$94:$H$193,3,FALSE),""),"")</f>
        <v/>
      </c>
      <c r="AL90" s="1316" t="str">
        <f t="shared" si="93"/>
        <v/>
      </c>
      <c r="AM90" s="1343" t="str">
        <f>IFERROR($S90+VLOOKUP($R90,'Voyage days'!$F$203:$H$256,3,FALSE),"")</f>
        <v/>
      </c>
      <c r="AN90" s="1343" t="str">
        <f>IFERROR($T90+VLOOKUP($R90,'Voyage days'!$F$203:$H$256,3,FALSE),"")</f>
        <v/>
      </c>
      <c r="AO90" s="1316" t="str">
        <f t="shared" si="94"/>
        <v/>
      </c>
      <c r="AP90" s="1343" t="str">
        <f>IFERROR($S90+VLOOKUP($R90,'Voyage days'!$F$294:$H$377,3,FALSE),"")</f>
        <v/>
      </c>
      <c r="AQ90" s="1343" t="str">
        <f>IFERROR($T90+VLOOKUP($R90,'Voyage days'!$F$294:$H$377,3,FALSE),"")</f>
        <v/>
      </c>
      <c r="AR90" s="1316" t="str">
        <f t="shared" si="95"/>
        <v/>
      </c>
      <c r="AS90" s="1343" t="str">
        <f>IFERROR($S90+VLOOKUP($R90,'Voyage days'!$F$382:$H$446,3,FALSE),"")</f>
        <v/>
      </c>
      <c r="AT90" s="1343" t="str">
        <f>IFERROR($T90+VLOOKUP($R90,'Voyage days'!$F$382:$H$446,3,FALSE),"")</f>
        <v/>
      </c>
      <c r="AU90" s="1316" t="str">
        <f t="shared" si="96"/>
        <v/>
      </c>
      <c r="AV90" s="1343" t="str">
        <f>IFERROR($S90+VLOOKUP($R90,'Voyage days'!$F$483:$H$538,3,FALSE),"")</f>
        <v/>
      </c>
      <c r="AW90" s="1343" t="str">
        <f>IFERROR($T90+VLOOKUP($R90,'Voyage days'!$F$483:$H$538,3,FALSE),"")</f>
        <v/>
      </c>
      <c r="AX90" s="1316" t="str">
        <f t="shared" si="97"/>
        <v/>
      </c>
      <c r="AY90" s="1343" t="str">
        <f>IFERROR($S90+VLOOKUP($R90,'Voyage days'!$F$540:$H$613,3,FALSE),"")</f>
        <v/>
      </c>
      <c r="AZ90" s="1343" t="str">
        <f>IFERROR($T90+VLOOKUP($R90,'Voyage days'!$F$540:$H$613,3,FALSE),"")</f>
        <v/>
      </c>
      <c r="BA90" s="1316" t="str">
        <f t="shared" si="98"/>
        <v/>
      </c>
      <c r="BB90" s="1343" t="str">
        <f>IFERROR($S90+VLOOKUP($R90,'Voyage days'!$L$483:$N$535,3,FALSE),"")</f>
        <v/>
      </c>
      <c r="BC90" s="1343" t="str">
        <f>IFERROR($T90+VLOOKUP($R90,'Voyage days'!$L$483:$N$535,3,FALSE),"")</f>
        <v/>
      </c>
      <c r="BD90" s="1316" t="str">
        <f t="shared" si="99"/>
        <v/>
      </c>
      <c r="BE90" s="1343" t="str">
        <f>IFERROR($S90+VLOOKUP($R90,'Voyage days'!$F$620:$H$646,3,FALSE),"")</f>
        <v/>
      </c>
      <c r="BF90" s="1343" t="str">
        <f>IFERROR($T90+VLOOKUP($R90,'Voyage days'!$F$620:$H$646,3,FALSE),"")</f>
        <v/>
      </c>
      <c r="BG90" s="1316" t="str">
        <f t="shared" si="100"/>
        <v/>
      </c>
      <c r="BH90" s="1321" t="str">
        <f>IFERROR($S90+VLOOKUP($R90,'Voyage days'!$F$702:$H$727,3,FALSE),"")</f>
        <v/>
      </c>
      <c r="BI90" s="1321" t="str">
        <f>IFERROR($T90+VLOOKUP($R90,'Voyage days'!$F$702:$H$727,3,FALSE),"")</f>
        <v/>
      </c>
      <c r="BJ90" s="1321"/>
      <c r="BK90" s="1321"/>
      <c r="BL90" s="1321"/>
      <c r="BM90" s="1321"/>
      <c r="BN90" s="1321"/>
      <c r="BO90" s="1321"/>
      <c r="BP90" s="1321"/>
    </row>
    <row r="91" ht="15.75" customHeight="1">
      <c r="A91" s="606" t="s">
        <v>3600</v>
      </c>
      <c r="B91" s="1005">
        <v>33025.0</v>
      </c>
      <c r="C91" s="1344">
        <v>75387.0</v>
      </c>
      <c r="D91" s="1443" t="e">
        <v>#N/A</v>
      </c>
      <c r="E91" s="1345" t="s">
        <v>3601</v>
      </c>
      <c r="F91" s="686" t="s">
        <v>3602</v>
      </c>
      <c r="G91" s="1345" t="s">
        <v>3603</v>
      </c>
      <c r="H91" s="606"/>
      <c r="I91" s="1316"/>
      <c r="J91" s="1316" t="str">
        <f>IF(K91="","",VLOOKUP(K91,'Voyage days'!$A$3:$B$1480,2,FALSE))</f>
        <v>#N/A</v>
      </c>
      <c r="K91" s="1444" t="str">
        <f>IF(VLOOKUP(A91,'1) Kpler'!$E$2:$O$500,8, FALSE)="",VLOOKUP(A91,'1) Kpler'!$E$2:$O$500,10,FALSE),VLOOKUP(A91,'1) Kpler'!$E$2:$O$500,8, FALSE))</f>
        <v>#N/A</v>
      </c>
      <c r="L91" s="1445" t="str">
        <f>IF(VLOOKUP(A91,'1) Kpler'!$E$2:$O$600,9,FALSE)="","",VLOOKUP(A91,'1) Kpler'!$E$2:$O$500,9,FALSE))</f>
        <v>#N/A</v>
      </c>
      <c r="M91" s="1444" t="str">
        <f>VLOOKUP(A91,'1) Kpler'!$E$2:$H$600,4,FALSE)</f>
        <v>#N/A</v>
      </c>
      <c r="N91" s="1350"/>
      <c r="O91" s="1436"/>
      <c r="P91" s="686" t="s">
        <v>570</v>
      </c>
      <c r="Q91" s="686"/>
      <c r="R91" s="686"/>
      <c r="S91" s="1345" t="s">
        <v>2208</v>
      </c>
      <c r="T91" s="1350">
        <v>45433.0</v>
      </c>
      <c r="U91" s="686"/>
      <c r="V91" s="1352" t="s">
        <v>3466</v>
      </c>
      <c r="W91" s="686"/>
      <c r="X91" s="686"/>
      <c r="Y91" s="686"/>
      <c r="Z91" s="1378"/>
      <c r="AA91" s="1437"/>
      <c r="AF91" s="1316" t="str">
        <f t="shared" si="91"/>
        <v/>
      </c>
      <c r="AG91" s="1343" t="str">
        <f>IFERROR($S91+VLOOKUP($R91,'Voyage days'!$F$38:$H$89,3,FALSE),"")</f>
        <v/>
      </c>
      <c r="AH91" s="1343" t="str">
        <f>IFERROR(T91+VLOOKUP($R91,'Voyage days'!$F$38:$H$89,3,FALSE),"")</f>
        <v/>
      </c>
      <c r="AI91" s="1316" t="str">
        <f t="shared" si="92"/>
        <v/>
      </c>
      <c r="AJ91" s="1343" t="str">
        <f>IF(P91="P",IFERROR($S91+VLOOKUP($R91,'Voyage days'!$F$94:$H$193,3,FALSE),""),"")</f>
        <v/>
      </c>
      <c r="AK91" s="1343" t="str">
        <f>IF(P91="P",IFERROR($T91+VLOOKUP($R91,'Voyage days'!$F$94:$H$193,3,FALSE),""),"")</f>
        <v/>
      </c>
      <c r="AL91" s="1316" t="str">
        <f t="shared" si="93"/>
        <v/>
      </c>
      <c r="AM91" s="1343" t="str">
        <f>IFERROR($S91+VLOOKUP($R91,'Voyage days'!$F$203:$H$256,3,FALSE),"")</f>
        <v/>
      </c>
      <c r="AN91" s="1343" t="str">
        <f>IFERROR($T91+VLOOKUP($R91,'Voyage days'!$F$203:$H$256,3,FALSE),"")</f>
        <v/>
      </c>
      <c r="AO91" s="1316" t="str">
        <f t="shared" si="94"/>
        <v/>
      </c>
      <c r="AP91" s="1343" t="str">
        <f>IFERROR($S91+VLOOKUP($R91,'Voyage days'!$F$294:$H$377,3,FALSE),"")</f>
        <v/>
      </c>
      <c r="AQ91" s="1343" t="str">
        <f>IFERROR($T91+VLOOKUP($R91,'Voyage days'!$F$294:$H$377,3,FALSE),"")</f>
        <v/>
      </c>
      <c r="AR91" s="1316" t="str">
        <f t="shared" si="95"/>
        <v/>
      </c>
      <c r="AS91" s="1343" t="str">
        <f>IFERROR($S91+VLOOKUP($R91,'Voyage days'!$F$382:$H$446,3,FALSE),"")</f>
        <v/>
      </c>
      <c r="AT91" s="1343" t="str">
        <f>IFERROR($T91+VLOOKUP($R91,'Voyage days'!$F$382:$H$446,3,FALSE),"")</f>
        <v/>
      </c>
      <c r="AU91" s="1316" t="str">
        <f t="shared" si="96"/>
        <v/>
      </c>
      <c r="AV91" s="1343" t="str">
        <f>IFERROR($S91+VLOOKUP($R91,'Voyage days'!$F$483:$H$538,3,FALSE),"")</f>
        <v/>
      </c>
      <c r="AW91" s="1343" t="str">
        <f>IFERROR($T91+VLOOKUP($R91,'Voyage days'!$F$483:$H$538,3,FALSE),"")</f>
        <v/>
      </c>
      <c r="AX91" s="1316" t="str">
        <f t="shared" si="97"/>
        <v/>
      </c>
      <c r="AY91" s="1343" t="str">
        <f>IFERROR($S91+VLOOKUP($R91,'Voyage days'!$F$540:$H$613,3,FALSE),"")</f>
        <v/>
      </c>
      <c r="AZ91" s="1343" t="str">
        <f>IFERROR($T91+VLOOKUP($R91,'Voyage days'!$F$540:$H$613,3,FALSE),"")</f>
        <v/>
      </c>
      <c r="BA91" s="1316" t="str">
        <f t="shared" si="98"/>
        <v/>
      </c>
      <c r="BB91" s="1343" t="str">
        <f>IFERROR($S91+VLOOKUP($R91,'Voyage days'!$L$483:$N$535,3,FALSE),"")</f>
        <v/>
      </c>
      <c r="BC91" s="1343" t="str">
        <f>IFERROR($T91+VLOOKUP($R91,'Voyage days'!$L$483:$N$535,3,FALSE),"")</f>
        <v/>
      </c>
      <c r="BD91" s="1316" t="str">
        <f t="shared" si="99"/>
        <v/>
      </c>
      <c r="BE91" s="1343" t="str">
        <f>IFERROR($S91+VLOOKUP($R91,'Voyage days'!$F$620:$H$646,3,FALSE),"")</f>
        <v/>
      </c>
      <c r="BF91" s="1343" t="str">
        <f>IFERROR($T91+VLOOKUP($R91,'Voyage days'!$F$620:$H$646,3,FALSE),"")</f>
        <v/>
      </c>
      <c r="BG91" s="1316" t="str">
        <f t="shared" si="100"/>
        <v/>
      </c>
      <c r="BH91" s="1321" t="str">
        <f>IFERROR($S91+VLOOKUP($R91,'Voyage days'!$F$702:$H$727,3,FALSE),"")</f>
        <v/>
      </c>
      <c r="BI91" s="1321" t="str">
        <f>IFERROR($T91+VLOOKUP($R91,'Voyage days'!$F$702:$H$727,3,FALSE),"")</f>
        <v/>
      </c>
      <c r="BJ91" s="1321"/>
      <c r="BK91" s="1321"/>
      <c r="BL91" s="1321"/>
      <c r="BM91" s="1321"/>
      <c r="BN91" s="1321"/>
      <c r="BO91" s="1321"/>
      <c r="BP91" s="1321"/>
    </row>
    <row r="92">
      <c r="A92" s="606" t="s">
        <v>225</v>
      </c>
      <c r="B92" s="1005">
        <v>33664.0</v>
      </c>
      <c r="C92" s="1344">
        <v>78549.0</v>
      </c>
      <c r="D92" s="1443">
        <v>8917807.0</v>
      </c>
      <c r="E92" s="1345" t="s">
        <v>3604</v>
      </c>
      <c r="F92" s="686"/>
      <c r="G92" s="1345" t="s">
        <v>3605</v>
      </c>
      <c r="H92" s="606"/>
      <c r="I92" s="1316"/>
      <c r="J92" s="1316" t="str">
        <f>IF(K92="","",VLOOKUP(K92,'Voyage days'!$A$3:$B$1480,2,FALSE))</f>
        <v>AG</v>
      </c>
      <c r="K92" s="1444" t="str">
        <f>IF(VLOOKUP(A92,'1) Kpler'!$E$2:$O$500,8, FALSE)="",VLOOKUP(A92,'1) Kpler'!$E$2:$O$500,10,FALSE),VLOOKUP(A92,'1) Kpler'!$E$2:$O$500,8, FALSE))</f>
        <v>Advario Oman</v>
      </c>
      <c r="L92" s="1445">
        <f>IF(VLOOKUP(A92,'1) Kpler'!$E$2:$O$600,9,FALSE)="","",VLOOKUP(A92,'1) Kpler'!$E$2:$O$500,9,FALSE))</f>
        <v>46131.79167</v>
      </c>
      <c r="M92" s="1444" t="str">
        <f>VLOOKUP(A92,'1) Kpler'!$E$2:$H$600,4,FALSE)</f>
        <v>loaded</v>
      </c>
      <c r="N92" s="1350"/>
      <c r="O92" s="1351"/>
      <c r="P92" s="686"/>
      <c r="Q92" s="686"/>
      <c r="R92" s="686"/>
      <c r="S92" s="1345" t="s">
        <v>2208</v>
      </c>
      <c r="T92" s="1439">
        <v>45449.0</v>
      </c>
      <c r="U92" s="686"/>
      <c r="V92" s="1352" t="s">
        <v>3466</v>
      </c>
      <c r="W92" s="686"/>
      <c r="X92" s="1429"/>
      <c r="Y92" s="686"/>
      <c r="Z92" s="1353"/>
      <c r="AA92" s="1343"/>
      <c r="AF92" s="1316" t="str">
        <f t="shared" si="91"/>
        <v/>
      </c>
      <c r="AG92" s="1343" t="str">
        <f>IFERROR($S92+VLOOKUP($R92,'Voyage days'!$F$38:$H$89,3,FALSE),"")</f>
        <v/>
      </c>
      <c r="AH92" s="1343" t="str">
        <f>IFERROR(T92+VLOOKUP($R92,'Voyage days'!$F$38:$H$89,3,FALSE),"")</f>
        <v/>
      </c>
      <c r="AI92" s="1316" t="str">
        <f t="shared" si="92"/>
        <v/>
      </c>
      <c r="AJ92" s="1343" t="str">
        <f>IF(P92="P",IFERROR($S92+VLOOKUP($R92,'Voyage days'!$F$94:$H$193,3,FALSE),""),"")</f>
        <v/>
      </c>
      <c r="AK92" s="1343" t="str">
        <f>IF(P92="P",IFERROR($T92+VLOOKUP($R92,'Voyage days'!$F$94:$H$193,3,FALSE),""),"")</f>
        <v/>
      </c>
      <c r="AL92" s="1316" t="str">
        <f t="shared" si="93"/>
        <v/>
      </c>
      <c r="AM92" s="1343" t="str">
        <f>IFERROR($S92+VLOOKUP($R92,'Voyage days'!$F$203:$H$256,3,FALSE),"")</f>
        <v/>
      </c>
      <c r="AN92" s="1343" t="str">
        <f>IFERROR($T92+VLOOKUP($R92,'Voyage days'!$F$203:$H$256,3,FALSE),"")</f>
        <v/>
      </c>
      <c r="AO92" s="1316" t="str">
        <f t="shared" si="94"/>
        <v/>
      </c>
      <c r="AP92" s="1343" t="str">
        <f>IFERROR($S92+VLOOKUP($R92,'Voyage days'!$F$294:$H$377,3,FALSE),"")</f>
        <v/>
      </c>
      <c r="AQ92" s="1343" t="str">
        <f>IFERROR($T92+VLOOKUP($R92,'Voyage days'!$F$294:$H$377,3,FALSE),"")</f>
        <v/>
      </c>
      <c r="AR92" s="1316" t="str">
        <f t="shared" si="95"/>
        <v/>
      </c>
      <c r="AS92" s="1343" t="str">
        <f>IFERROR($S92+VLOOKUP($R92,'Voyage days'!$F$382:$H$446,3,FALSE),"")</f>
        <v/>
      </c>
      <c r="AT92" s="1343" t="str">
        <f>IFERROR($T92+VLOOKUP($R92,'Voyage days'!$F$382:$H$446,3,FALSE),"")</f>
        <v/>
      </c>
      <c r="AU92" s="1316" t="str">
        <f t="shared" si="96"/>
        <v/>
      </c>
      <c r="AV92" s="1343" t="str">
        <f>IFERROR($S92+VLOOKUP($R92,'Voyage days'!$F$483:$H$538,3,FALSE),"")</f>
        <v/>
      </c>
      <c r="AW92" s="1343" t="str">
        <f>IFERROR($T92+VLOOKUP($R92,'Voyage days'!$F$483:$H$538,3,FALSE),"")</f>
        <v/>
      </c>
      <c r="AX92" s="1316" t="str">
        <f t="shared" si="97"/>
        <v/>
      </c>
      <c r="AY92" s="1343" t="str">
        <f>IFERROR($S92+VLOOKUP($R92,'Voyage days'!$F$540:$H$613,3,FALSE),"")</f>
        <v/>
      </c>
      <c r="AZ92" s="1343" t="str">
        <f>IFERROR($T92+VLOOKUP($R92,'Voyage days'!$F$540:$H$613,3,FALSE),"")</f>
        <v/>
      </c>
      <c r="BA92" s="1316" t="str">
        <f t="shared" si="98"/>
        <v/>
      </c>
      <c r="BB92" s="1343" t="str">
        <f>IFERROR($S92+VLOOKUP($R92,'Voyage days'!$L$483:$N$535,3,FALSE),"")</f>
        <v/>
      </c>
      <c r="BC92" s="1343" t="str">
        <f>IFERROR($T92+VLOOKUP($R92,'Voyage days'!$L$483:$N$535,3,FALSE),"")</f>
        <v/>
      </c>
      <c r="BD92" s="1316" t="str">
        <f t="shared" si="99"/>
        <v/>
      </c>
      <c r="BE92" s="1343" t="str">
        <f>IFERROR($S92+VLOOKUP($R92,'Voyage days'!$F$620:$H$646,3,FALSE),"")</f>
        <v/>
      </c>
      <c r="BF92" s="1343" t="str">
        <f>IFERROR($T92+VLOOKUP($R92,'Voyage days'!$F$620:$H$646,3,FALSE),"")</f>
        <v/>
      </c>
      <c r="BG92" s="1316" t="str">
        <f t="shared" si="100"/>
        <v/>
      </c>
      <c r="BH92" s="1321" t="str">
        <f>IFERROR($S92+VLOOKUP($R92,'Voyage days'!$F$702:$H$727,3,FALSE),"")</f>
        <v/>
      </c>
      <c r="BI92" s="1321" t="str">
        <f>IFERROR($T92+VLOOKUP($R92,'Voyage days'!$F$702:$H$727,3,FALSE),"")</f>
        <v/>
      </c>
      <c r="BJ92" s="1321"/>
      <c r="BK92" s="1321"/>
      <c r="BL92" s="1321"/>
      <c r="BM92" s="1321"/>
      <c r="BN92" s="1321"/>
      <c r="BO92" s="1321"/>
      <c r="BP92" s="1321"/>
    </row>
    <row r="93">
      <c r="A93" s="1316" t="s">
        <v>3606</v>
      </c>
      <c r="B93" s="1005">
        <v>34029.0</v>
      </c>
      <c r="C93" s="1344">
        <v>75178.0</v>
      </c>
      <c r="D93" s="1443">
        <v>9012886.0</v>
      </c>
      <c r="E93" s="1345" t="s">
        <v>3607</v>
      </c>
      <c r="F93" s="686" t="s">
        <v>3558</v>
      </c>
      <c r="G93" s="1345" t="s">
        <v>3608</v>
      </c>
      <c r="H93" s="606"/>
      <c r="I93" s="1316"/>
      <c r="J93" s="1316" t="str">
        <f>IF(K93="","",VLOOKUP(K93,'Voyage days'!$A$3:$B$1480,2,FALSE))</f>
        <v>#N/A</v>
      </c>
      <c r="K93" s="1444" t="str">
        <f>IF(VLOOKUP(A93,'1) Kpler'!$E$2:$O$500,8, FALSE)="",VLOOKUP(A93,'1) Kpler'!$E$2:$O$500,10,FALSE),VLOOKUP(A93,'1) Kpler'!$E$2:$O$500,8, FALSE))</f>
        <v>#N/A</v>
      </c>
      <c r="L93" s="1445" t="str">
        <f>IF(VLOOKUP(A93,'1) Kpler'!$E$2:$O$600,9,FALSE)="","",VLOOKUP(A93,'1) Kpler'!$E$2:$O$500,9,FALSE))</f>
        <v>#N/A</v>
      </c>
      <c r="M93" s="1444" t="str">
        <f>VLOOKUP(A93,'1) Kpler'!$E$2:$H$600,4,FALSE)</f>
        <v>#N/A</v>
      </c>
      <c r="N93" s="1350"/>
      <c r="O93" s="1351"/>
      <c r="P93" s="686" t="s">
        <v>570</v>
      </c>
      <c r="Q93" s="686"/>
      <c r="R93" s="686"/>
      <c r="S93" s="1345" t="s">
        <v>2208</v>
      </c>
      <c r="T93" s="1439">
        <v>45432.0</v>
      </c>
      <c r="U93" s="686"/>
      <c r="V93" s="1352" t="s">
        <v>3466</v>
      </c>
      <c r="W93" s="686"/>
      <c r="X93" s="686"/>
      <c r="Y93" s="686"/>
      <c r="Z93" s="1353"/>
      <c r="AA93" s="1343"/>
      <c r="AF93" s="1316" t="str">
        <f t="shared" si="91"/>
        <v/>
      </c>
      <c r="AG93" s="1343" t="str">
        <f>IFERROR($S93+VLOOKUP($R93,'Voyage days'!$F$38:$H$89,3,FALSE),"")</f>
        <v/>
      </c>
      <c r="AH93" s="1343" t="str">
        <f>IFERROR(T93+VLOOKUP($R93,'Voyage days'!$F$38:$H$89,3,FALSE),"")</f>
        <v/>
      </c>
      <c r="AI93" s="1316" t="str">
        <f t="shared" si="92"/>
        <v/>
      </c>
      <c r="AJ93" s="1343" t="str">
        <f>IF(P93="P",IFERROR($S93+VLOOKUP($R93,'Voyage days'!$F$94:$H$193,3,FALSE),""),"")</f>
        <v/>
      </c>
      <c r="AK93" s="1343" t="str">
        <f>IF(P93="P",IFERROR($T93+VLOOKUP($R93,'Voyage days'!$F$94:$H$193,3,FALSE),""),"")</f>
        <v/>
      </c>
      <c r="AL93" s="1316" t="str">
        <f t="shared" si="93"/>
        <v/>
      </c>
      <c r="AM93" s="1343" t="str">
        <f>IFERROR($S93+VLOOKUP($R93,'Voyage days'!$F$203:$H$256,3,FALSE),"")</f>
        <v/>
      </c>
      <c r="AN93" s="1343" t="str">
        <f>IFERROR($T93+VLOOKUP($R93,'Voyage days'!$F$203:$H$256,3,FALSE),"")</f>
        <v/>
      </c>
      <c r="AO93" s="1316" t="str">
        <f t="shared" si="94"/>
        <v/>
      </c>
      <c r="AP93" s="1343" t="str">
        <f>IFERROR($S93+VLOOKUP($R93,'Voyage days'!$F$294:$H$377,3,FALSE),"")</f>
        <v/>
      </c>
      <c r="AQ93" s="1343" t="str">
        <f>IFERROR($T93+VLOOKUP($R93,'Voyage days'!$F$294:$H$377,3,FALSE),"")</f>
        <v/>
      </c>
      <c r="AR93" s="1316" t="str">
        <f t="shared" si="95"/>
        <v/>
      </c>
      <c r="AS93" s="1343" t="str">
        <f>IFERROR($S93+VLOOKUP($R93,'Voyage days'!$F$382:$H$446,3,FALSE),"")</f>
        <v/>
      </c>
      <c r="AT93" s="1343" t="str">
        <f>IFERROR($T93+VLOOKUP($R93,'Voyage days'!$F$382:$H$446,3,FALSE),"")</f>
        <v/>
      </c>
      <c r="AU93" s="1316" t="str">
        <f t="shared" si="96"/>
        <v/>
      </c>
      <c r="AV93" s="1343" t="str">
        <f>IFERROR($S93+VLOOKUP($R93,'Voyage days'!$F$483:$H$538,3,FALSE),"")</f>
        <v/>
      </c>
      <c r="AW93" s="1343" t="str">
        <f>IFERROR($T93+VLOOKUP($R93,'Voyage days'!$F$483:$H$538,3,FALSE),"")</f>
        <v/>
      </c>
      <c r="AX93" s="1316" t="str">
        <f t="shared" si="97"/>
        <v/>
      </c>
      <c r="AY93" s="1343" t="str">
        <f>IFERROR($S93+VLOOKUP($R93,'Voyage days'!$F$540:$H$613,3,FALSE),"")</f>
        <v/>
      </c>
      <c r="AZ93" s="1343" t="str">
        <f>IFERROR($T93+VLOOKUP($R93,'Voyage days'!$F$540:$H$613,3,FALSE),"")</f>
        <v/>
      </c>
      <c r="BA93" s="1316" t="str">
        <f t="shared" si="98"/>
        <v/>
      </c>
      <c r="BB93" s="1343" t="str">
        <f>IFERROR($S93+VLOOKUP($R93,'Voyage days'!$L$483:$N$535,3,FALSE),"")</f>
        <v/>
      </c>
      <c r="BC93" s="1343" t="str">
        <f>IFERROR($T93+VLOOKUP($R93,'Voyage days'!$L$483:$N$535,3,FALSE),"")</f>
        <v/>
      </c>
      <c r="BD93" s="1316" t="str">
        <f t="shared" si="99"/>
        <v/>
      </c>
      <c r="BE93" s="1343" t="str">
        <f>IFERROR($S93+VLOOKUP($R93,'Voyage days'!$F$620:$H$646,3,FALSE),"")</f>
        <v/>
      </c>
      <c r="BF93" s="1343" t="str">
        <f>IFERROR($T93+VLOOKUP($R93,'Voyage days'!$F$620:$H$646,3,FALSE),"")</f>
        <v/>
      </c>
      <c r="BG93" s="1316" t="str">
        <f t="shared" si="100"/>
        <v/>
      </c>
      <c r="BH93" s="1321"/>
      <c r="BI93" s="1321"/>
      <c r="BJ93" s="1321"/>
      <c r="BK93" s="1321"/>
      <c r="BL93" s="1321"/>
      <c r="BM93" s="1321"/>
      <c r="BN93" s="1321"/>
      <c r="BO93" s="1321"/>
      <c r="BP93" s="1321"/>
    </row>
    <row r="94">
      <c r="A94" s="606" t="s">
        <v>562</v>
      </c>
      <c r="B94" s="1005">
        <v>33208.0</v>
      </c>
      <c r="C94" s="1344">
        <v>75382.0</v>
      </c>
      <c r="D94" s="1443" t="e">
        <v>#N/A</v>
      </c>
      <c r="E94" s="1345" t="s">
        <v>3609</v>
      </c>
      <c r="F94" s="686" t="s">
        <v>3610</v>
      </c>
      <c r="G94" s="1387"/>
      <c r="H94" s="606"/>
      <c r="I94" s="1316"/>
      <c r="J94" s="1316" t="str">
        <f>IF(K94="","",VLOOKUP(K94,'Voyage days'!$A$3:$B$1480,2,FALSE))</f>
        <v>AG</v>
      </c>
      <c r="K94" s="1444" t="str">
        <f>IF(VLOOKUP(A94,'1) Kpler'!$E$2:$O$500,8, FALSE)="",VLOOKUP(A94,'1) Kpler'!$E$2:$O$500,10,FALSE),VLOOKUP(A94,'1) Kpler'!$E$2:$O$500,8, FALSE))</f>
        <v>United Arab Emirates</v>
      </c>
      <c r="L94" s="1445">
        <f>IF(VLOOKUP(A94,'1) Kpler'!$E$2:$O$600,9,FALSE)="","",VLOOKUP(A94,'1) Kpler'!$E$2:$O$500,9,FALSE))</f>
        <v>46132.375</v>
      </c>
      <c r="M94" s="1444" t="str">
        <f>VLOOKUP(A94,'1) Kpler'!$E$2:$H$600,4,FALSE)</f>
        <v>ballast</v>
      </c>
      <c r="N94" s="1350"/>
      <c r="O94" s="1351"/>
      <c r="P94" s="686" t="s">
        <v>570</v>
      </c>
      <c r="Q94" s="686"/>
      <c r="R94" s="686"/>
      <c r="S94" s="1345" t="s">
        <v>2208</v>
      </c>
      <c r="T94" s="1439">
        <v>45451.0</v>
      </c>
      <c r="U94" s="686"/>
      <c r="V94" s="1352" t="s">
        <v>3466</v>
      </c>
      <c r="W94" s="686"/>
      <c r="X94" s="686"/>
      <c r="Y94" s="686"/>
      <c r="Z94" s="1353"/>
      <c r="AA94" s="1343"/>
      <c r="AF94" s="1316" t="str">
        <f t="shared" si="91"/>
        <v/>
      </c>
      <c r="AG94" s="1343" t="str">
        <f>IFERROR($S94+VLOOKUP($R94,'Voyage days'!$F$38:$H$89,3,FALSE),"")</f>
        <v/>
      </c>
      <c r="AH94" s="1343" t="str">
        <f>IFERROR(T94+VLOOKUP($R94,'Voyage days'!$F$38:$H$89,3,FALSE),"")</f>
        <v/>
      </c>
      <c r="AI94" s="1316" t="str">
        <f t="shared" si="92"/>
        <v/>
      </c>
      <c r="AJ94" s="1343" t="str">
        <f>IF(P94="P",IFERROR($S94+VLOOKUP($R94,'Voyage days'!$F$94:$H$193,3,FALSE),""),"")</f>
        <v/>
      </c>
      <c r="AK94" s="1343" t="str">
        <f>IF(P94="P",IFERROR($T94+VLOOKUP($R94,'Voyage days'!$F$94:$H$193,3,FALSE),""),"")</f>
        <v/>
      </c>
      <c r="AL94" s="1316" t="str">
        <f t="shared" si="93"/>
        <v/>
      </c>
      <c r="AM94" s="1343" t="str">
        <f>IFERROR($S94+VLOOKUP($R94,'Voyage days'!$F$203:$H$256,3,FALSE),"")</f>
        <v/>
      </c>
      <c r="AN94" s="1343" t="str">
        <f>IFERROR($T94+VLOOKUP($R94,'Voyage days'!$F$203:$H$256,3,FALSE),"")</f>
        <v/>
      </c>
      <c r="AO94" s="1316" t="str">
        <f t="shared" si="94"/>
        <v/>
      </c>
      <c r="AP94" s="1343" t="str">
        <f>IFERROR($S94+VLOOKUP($R94,'Voyage days'!$F$294:$H$377,3,FALSE),"")</f>
        <v/>
      </c>
      <c r="AQ94" s="1343" t="str">
        <f>IFERROR($T94+VLOOKUP($R94,'Voyage days'!$F$294:$H$377,3,FALSE),"")</f>
        <v/>
      </c>
      <c r="AR94" s="1316" t="str">
        <f t="shared" si="95"/>
        <v/>
      </c>
      <c r="AS94" s="1343" t="str">
        <f>IFERROR($S94+VLOOKUP($R94,'Voyage days'!$F$382:$H$446,3,FALSE),"")</f>
        <v/>
      </c>
      <c r="AT94" s="1343" t="str">
        <f>IFERROR($T94+VLOOKUP($R94,'Voyage days'!$F$382:$H$446,3,FALSE),"")</f>
        <v/>
      </c>
      <c r="AU94" s="1316" t="str">
        <f t="shared" si="96"/>
        <v/>
      </c>
      <c r="AV94" s="1343" t="str">
        <f>IFERROR($S94+VLOOKUP($R94,'Voyage days'!$F$483:$H$538,3,FALSE),"")</f>
        <v/>
      </c>
      <c r="AW94" s="1343" t="str">
        <f>IFERROR($T94+VLOOKUP($R94,'Voyage days'!$F$483:$H$538,3,FALSE),"")</f>
        <v/>
      </c>
      <c r="AX94" s="1316" t="str">
        <f t="shared" si="97"/>
        <v/>
      </c>
      <c r="AY94" s="1343" t="str">
        <f>IFERROR($S94+VLOOKUP($R94,'Voyage days'!$F$540:$H$613,3,FALSE),"")</f>
        <v/>
      </c>
      <c r="AZ94" s="1343" t="str">
        <f>IFERROR($T94+VLOOKUP($R94,'Voyage days'!$F$540:$H$613,3,FALSE),"")</f>
        <v/>
      </c>
      <c r="BA94" s="1316" t="str">
        <f t="shared" si="98"/>
        <v/>
      </c>
      <c r="BB94" s="1343" t="str">
        <f>IFERROR($S94+VLOOKUP($R94,'Voyage days'!$L$483:$N$535,3,FALSE),"")</f>
        <v/>
      </c>
      <c r="BC94" s="1343" t="str">
        <f>IFERROR($T94+VLOOKUP($R94,'Voyage days'!$L$483:$N$535,3,FALSE),"")</f>
        <v/>
      </c>
      <c r="BD94" s="1316" t="str">
        <f t="shared" si="99"/>
        <v/>
      </c>
      <c r="BE94" s="1343" t="str">
        <f>IFERROR($S94+VLOOKUP($R94,'Voyage days'!$F$620:$H$646,3,FALSE),"")</f>
        <v/>
      </c>
      <c r="BF94" s="1343" t="str">
        <f>IFERROR($T94+VLOOKUP($R94,'Voyage days'!$F$620:$H$646,3,FALSE),"")</f>
        <v/>
      </c>
      <c r="BG94" s="1316" t="str">
        <f t="shared" si="100"/>
        <v/>
      </c>
      <c r="BH94" s="1321" t="str">
        <f>IFERROR($S94+VLOOKUP($R94,'Voyage days'!$F$702:$H$727,3,FALSE),"")</f>
        <v/>
      </c>
      <c r="BI94" s="1321" t="str">
        <f>IFERROR($T94+VLOOKUP($R94,'Voyage days'!$F$702:$H$727,3,FALSE),"")</f>
        <v/>
      </c>
      <c r="BJ94" s="1321"/>
      <c r="BK94" s="1321"/>
      <c r="BL94" s="1321"/>
      <c r="BM94" s="1321"/>
      <c r="BN94" s="1321"/>
      <c r="BO94" s="1321"/>
      <c r="BP94" s="1321"/>
    </row>
    <row r="95">
      <c r="A95" s="606" t="s">
        <v>331</v>
      </c>
      <c r="B95" s="1427">
        <v>1997.0</v>
      </c>
      <c r="C95" s="1344">
        <v>79000.0</v>
      </c>
      <c r="D95" s="1443">
        <v>9131539.0</v>
      </c>
      <c r="E95" s="1345" t="s">
        <v>3611</v>
      </c>
      <c r="F95" s="686"/>
      <c r="G95" s="1345"/>
      <c r="H95" s="606"/>
      <c r="I95" s="1316"/>
      <c r="J95" s="1316" t="str">
        <f>IF(K95="","",VLOOKUP(K95,'Voyage days'!$A$3:$B$1480,2,FALSE))</f>
        <v>AG</v>
      </c>
      <c r="K95" s="1444" t="str">
        <f>IF(VLOOKUP(A95,'1) Kpler'!$E$2:$O$500,8, FALSE)="",VLOOKUP(A95,'1) Kpler'!$E$2:$O$500,10,FALSE),VLOOKUP(A95,'1) Kpler'!$E$2:$O$500,8, FALSE))</f>
        <v>Fujairah</v>
      </c>
      <c r="L95" s="1445">
        <f>IF(VLOOKUP(A95,'1) Kpler'!$E$2:$O$600,9,FALSE)="","",VLOOKUP(A95,'1) Kpler'!$E$2:$O$500,9,FALSE))</f>
        <v>46132.33333</v>
      </c>
      <c r="M95" s="1444" t="str">
        <f>VLOOKUP(A95,'1) Kpler'!$E$2:$H$600,4,FALSE)</f>
        <v>ballast</v>
      </c>
      <c r="N95" s="1350"/>
      <c r="O95" s="1456"/>
      <c r="P95" s="686"/>
      <c r="Q95" s="686"/>
      <c r="R95" s="686"/>
      <c r="S95" s="1345" t="s">
        <v>2208</v>
      </c>
      <c r="T95" s="1350">
        <v>45317.0</v>
      </c>
      <c r="U95" s="686"/>
      <c r="V95" s="1352" t="s">
        <v>3466</v>
      </c>
      <c r="W95" s="686"/>
      <c r="X95" s="686"/>
      <c r="Y95" s="686"/>
      <c r="Z95" s="1353"/>
      <c r="AA95" s="1438"/>
      <c r="AF95" s="1316" t="str">
        <f t="shared" si="91"/>
        <v/>
      </c>
      <c r="AG95" s="1343" t="str">
        <f>IFERROR($S95+VLOOKUP($R95,'Voyage days'!$F$38:$H$89,3,FALSE),"")</f>
        <v/>
      </c>
      <c r="AH95" s="1343" t="str">
        <f>IFERROR(T95+VLOOKUP($R95,'Voyage days'!$F$38:$H$89,3,FALSE),"")</f>
        <v/>
      </c>
      <c r="AI95" s="1316" t="str">
        <f t="shared" si="92"/>
        <v/>
      </c>
      <c r="AJ95" s="1343" t="str">
        <f>IF(P95="P",IFERROR($S95+VLOOKUP($R95,'Voyage days'!$F$94:$H$193,3,FALSE),""),"")</f>
        <v/>
      </c>
      <c r="AK95" s="1343" t="str">
        <f>IF(P95="P",IFERROR($T95+VLOOKUP($R95,'Voyage days'!$F$94:$H$193,3,FALSE),""),"")</f>
        <v/>
      </c>
      <c r="AL95" s="1316" t="str">
        <f t="shared" si="93"/>
        <v/>
      </c>
      <c r="AM95" s="1343" t="str">
        <f>IFERROR($S95+VLOOKUP($R95,'Voyage days'!$F$203:$H$256,3,FALSE),"")</f>
        <v/>
      </c>
      <c r="AN95" s="1343" t="str">
        <f>IFERROR($T95+VLOOKUP($R95,'Voyage days'!$F$203:$H$256,3,FALSE),"")</f>
        <v/>
      </c>
      <c r="AO95" s="1316" t="str">
        <f t="shared" si="94"/>
        <v/>
      </c>
      <c r="AP95" s="1343" t="str">
        <f>IFERROR($S95+VLOOKUP($R95,'Voyage days'!$F$294:$H$377,3,FALSE),"")</f>
        <v/>
      </c>
      <c r="AQ95" s="1343" t="str">
        <f>IFERROR($T95+VLOOKUP($R95,'Voyage days'!$F$294:$H$377,3,FALSE),"")</f>
        <v/>
      </c>
      <c r="AR95" s="1316" t="str">
        <f t="shared" si="95"/>
        <v/>
      </c>
      <c r="AS95" s="1343" t="str">
        <f>IFERROR($S95+VLOOKUP($R95,'Voyage days'!$F$382:$H$446,3,FALSE),"")</f>
        <v/>
      </c>
      <c r="AT95" s="1343" t="str">
        <f>IFERROR($T95+VLOOKUP($R95,'Voyage days'!$F$382:$H$446,3,FALSE),"")</f>
        <v/>
      </c>
      <c r="AU95" s="1316" t="str">
        <f t="shared" si="96"/>
        <v/>
      </c>
      <c r="AV95" s="1343" t="str">
        <f>IFERROR($S95+VLOOKUP($R95,'Voyage days'!$F$483:$H$538,3,FALSE),"")</f>
        <v/>
      </c>
      <c r="AW95" s="1343" t="str">
        <f>IFERROR($T95+VLOOKUP($R95,'Voyage days'!$F$483:$H$538,3,FALSE),"")</f>
        <v/>
      </c>
      <c r="AX95" s="1316" t="str">
        <f t="shared" si="97"/>
        <v/>
      </c>
      <c r="AY95" s="1343" t="str">
        <f>IFERROR($S95+VLOOKUP($R95,'Voyage days'!$F$540:$H$613,3,FALSE),"")</f>
        <v/>
      </c>
      <c r="AZ95" s="1343" t="str">
        <f>IFERROR($T95+VLOOKUP($R95,'Voyage days'!$F$540:$H$613,3,FALSE),"")</f>
        <v/>
      </c>
      <c r="BA95" s="1316" t="str">
        <f t="shared" si="98"/>
        <v/>
      </c>
      <c r="BB95" s="1343" t="str">
        <f>IFERROR($S95+VLOOKUP($R95,'Voyage days'!$L$483:$N$535,3,FALSE),"")</f>
        <v/>
      </c>
      <c r="BC95" s="1343" t="str">
        <f>IFERROR($T95+VLOOKUP($R95,'Voyage days'!$L$483:$N$535,3,FALSE),"")</f>
        <v/>
      </c>
      <c r="BD95" s="1316" t="str">
        <f t="shared" si="99"/>
        <v/>
      </c>
      <c r="BE95" s="1343" t="str">
        <f>IFERROR($S95+VLOOKUP($R95,'Voyage days'!$F$620:$H$646,3,FALSE),"")</f>
        <v/>
      </c>
      <c r="BF95" s="1343" t="str">
        <f>IFERROR($T95+VLOOKUP($R95,'Voyage days'!$F$620:$H$646,3,FALSE),"")</f>
        <v/>
      </c>
      <c r="BG95" s="1316" t="str">
        <f t="shared" si="100"/>
        <v/>
      </c>
      <c r="BH95" s="1457" t="str">
        <f>IFERROR($S95+VLOOKUP($R95,'Voyage days'!$F$702:$H$727,3,FALSE),"")</f>
        <v/>
      </c>
      <c r="BI95" s="1457" t="str">
        <f>IFERROR($T95+VLOOKUP($R95,'Voyage days'!$F$702:$H$727,3,FALSE),"")</f>
        <v/>
      </c>
      <c r="BJ95" s="1457"/>
      <c r="BK95" s="1457"/>
      <c r="BL95" s="1457"/>
      <c r="BM95" s="1457"/>
      <c r="BN95" s="1457"/>
      <c r="BO95" s="1457"/>
      <c r="BP95" s="1457"/>
    </row>
    <row r="96">
      <c r="A96" s="606" t="s">
        <v>368</v>
      </c>
      <c r="B96" s="1344">
        <v>2011.0</v>
      </c>
      <c r="C96" s="1344">
        <v>83000.0</v>
      </c>
      <c r="D96" s="1443">
        <v>9534614.0</v>
      </c>
      <c r="E96" s="1345" t="s">
        <v>3611</v>
      </c>
      <c r="F96" s="686"/>
      <c r="G96" s="1387"/>
      <c r="H96" s="606"/>
      <c r="I96" s="1316"/>
      <c r="J96" s="1316" t="str">
        <f>IF(K96="","",VLOOKUP(K96,'Voyage days'!$A$3:$B$1480,2,FALSE))</f>
        <v>AG</v>
      </c>
      <c r="K96" s="1444" t="str">
        <f>IF(VLOOKUP(A96,'1) Kpler'!$E$2:$O$500,8, FALSE)="",VLOOKUP(A96,'1) Kpler'!$E$2:$O$500,10,FALSE),VLOOKUP(A96,'1) Kpler'!$E$2:$O$500,8, FALSE))</f>
        <v>Khor Fakkan Anchorage</v>
      </c>
      <c r="L96" s="1445">
        <f>IF(VLOOKUP(A96,'1) Kpler'!$E$2:$O$600,9,FALSE)="","",VLOOKUP(A96,'1) Kpler'!$E$2:$O$500,9,FALSE))</f>
        <v>46145.16667</v>
      </c>
      <c r="M96" s="1444" t="str">
        <f>VLOOKUP(A96,'1) Kpler'!$E$2:$H$600,4,FALSE)</f>
        <v>ballast</v>
      </c>
      <c r="N96" s="1350"/>
      <c r="O96" s="1436"/>
      <c r="P96" s="686" t="s">
        <v>1687</v>
      </c>
      <c r="Q96" s="1320" t="s">
        <v>689</v>
      </c>
      <c r="R96" s="686"/>
      <c r="S96" s="1345" t="s">
        <v>2086</v>
      </c>
      <c r="T96" s="1439">
        <v>45429.0</v>
      </c>
      <c r="U96" s="686"/>
      <c r="V96" s="1352" t="s">
        <v>3466</v>
      </c>
      <c r="W96" s="686"/>
      <c r="X96" s="686"/>
      <c r="Y96" s="686"/>
      <c r="Z96" s="1353"/>
      <c r="AA96" s="1438"/>
      <c r="AF96" s="1316" t="str">
        <f t="shared" si="91"/>
        <v/>
      </c>
      <c r="AG96" s="1343" t="str">
        <f>IFERROR($S96+VLOOKUP($R96,'Voyage days'!$F$38:$H$89,3,FALSE),"")</f>
        <v/>
      </c>
      <c r="AH96" s="1343" t="str">
        <f>IFERROR(T96+VLOOKUP($R96,'Voyage days'!$F$38:$H$89,3,FALSE),"")</f>
        <v/>
      </c>
      <c r="AI96" s="1316" t="str">
        <f t="shared" si="92"/>
        <v/>
      </c>
      <c r="AJ96" s="1343" t="str">
        <f>IF(P96="P",IFERROR($S96+VLOOKUP($R96,'Voyage days'!$F$94:$H$193,3,FALSE),""),"")</f>
        <v/>
      </c>
      <c r="AK96" s="1343" t="str">
        <f>IF(P96="P",IFERROR($T96+VLOOKUP($R96,'Voyage days'!$F$94:$H$193,3,FALSE),""),"")</f>
        <v/>
      </c>
      <c r="AL96" s="1316" t="str">
        <f t="shared" si="93"/>
        <v/>
      </c>
      <c r="AM96" s="1343" t="str">
        <f>IFERROR($S96+VLOOKUP($R96,'Voyage days'!$F$203:$H$256,3,FALSE),"")</f>
        <v/>
      </c>
      <c r="AN96" s="1343" t="str">
        <f>IFERROR($T96+VLOOKUP($R96,'Voyage days'!$F$203:$H$256,3,FALSE),"")</f>
        <v/>
      </c>
      <c r="AO96" s="1316" t="str">
        <f t="shared" si="94"/>
        <v/>
      </c>
      <c r="AP96" s="1343" t="str">
        <f>IFERROR($S96+VLOOKUP($R96,'Voyage days'!$F$294:$H$377,3,FALSE),"")</f>
        <v/>
      </c>
      <c r="AQ96" s="1343" t="str">
        <f>IFERROR($T96+VLOOKUP($R96,'Voyage days'!$F$294:$H$377,3,FALSE),"")</f>
        <v/>
      </c>
      <c r="AR96" s="1316" t="str">
        <f t="shared" si="95"/>
        <v/>
      </c>
      <c r="AS96" s="1343" t="str">
        <f>IFERROR($S96+VLOOKUP($R96,'Voyage days'!$F$382:$H$446,3,FALSE),"")</f>
        <v/>
      </c>
      <c r="AT96" s="1343" t="str">
        <f>IFERROR($T96+VLOOKUP($R96,'Voyage days'!$F$382:$H$446,3,FALSE),"")</f>
        <v/>
      </c>
      <c r="AU96" s="1316" t="str">
        <f t="shared" si="96"/>
        <v/>
      </c>
      <c r="AV96" s="1343" t="str">
        <f>IFERROR($S96+VLOOKUP($R96,'Voyage days'!$F$483:$H$538,3,FALSE),"")</f>
        <v/>
      </c>
      <c r="AW96" s="1343" t="str">
        <f>IFERROR($T96+VLOOKUP($R96,'Voyage days'!$F$483:$H$538,3,FALSE),"")</f>
        <v/>
      </c>
      <c r="AX96" s="1316" t="str">
        <f t="shared" si="97"/>
        <v/>
      </c>
      <c r="AY96" s="1343" t="str">
        <f>IFERROR($S96+VLOOKUP($R96,'Voyage days'!$F$540:$H$613,3,FALSE),"")</f>
        <v/>
      </c>
      <c r="AZ96" s="1343" t="str">
        <f>IFERROR($T96+VLOOKUP($R96,'Voyage days'!$F$540:$H$613,3,FALSE),"")</f>
        <v/>
      </c>
      <c r="BA96" s="1316" t="str">
        <f t="shared" si="98"/>
        <v/>
      </c>
      <c r="BB96" s="1343" t="str">
        <f>IFERROR($S96+VLOOKUP($R96,'Voyage days'!$L$483:$N$535,3,FALSE),"")</f>
        <v/>
      </c>
      <c r="BC96" s="1343" t="str">
        <f>IFERROR($T96+VLOOKUP($R96,'Voyage days'!$L$483:$N$535,3,FALSE),"")</f>
        <v/>
      </c>
      <c r="BD96" s="1316" t="str">
        <f t="shared" si="99"/>
        <v/>
      </c>
      <c r="BE96" s="1343" t="str">
        <f>IFERROR($S96+VLOOKUP($R96,'Voyage days'!$F$620:$H$646,3,FALSE),"")</f>
        <v/>
      </c>
      <c r="BF96" s="1343" t="str">
        <f>IFERROR($T96+VLOOKUP($R96,'Voyage days'!$F$620:$H$646,3,FALSE),"")</f>
        <v/>
      </c>
      <c r="BG96" s="1316" t="str">
        <f t="shared" si="100"/>
        <v/>
      </c>
      <c r="BH96" s="1321" t="str">
        <f>IFERROR($S96+VLOOKUP($R96,'Voyage days'!$F$702:$H$727,3,FALSE),"")</f>
        <v/>
      </c>
      <c r="BI96" s="1321" t="str">
        <f>IFERROR($T96+VLOOKUP($R96,'Voyage days'!$F$702:$H$727,3,FALSE),"")</f>
        <v/>
      </c>
      <c r="BJ96" s="1321"/>
      <c r="BK96" s="1321"/>
      <c r="BL96" s="1321"/>
      <c r="BM96" s="1321"/>
      <c r="BN96" s="1321"/>
      <c r="BO96" s="1321"/>
      <c r="BP96" s="1321"/>
    </row>
    <row r="97" ht="15.75" customHeight="1">
      <c r="A97" s="606" t="s">
        <v>3612</v>
      </c>
      <c r="B97" s="1005">
        <v>36942.0</v>
      </c>
      <c r="C97" s="1344">
        <v>78637.0</v>
      </c>
      <c r="D97" s="1443" t="e">
        <v>#N/A</v>
      </c>
      <c r="E97" s="1345" t="s">
        <v>3611</v>
      </c>
      <c r="F97" s="686"/>
      <c r="G97" s="1345" t="s">
        <v>3613</v>
      </c>
      <c r="H97" s="606"/>
      <c r="I97" s="1316"/>
      <c r="J97" s="1316" t="str">
        <f>IF(K97="","",VLOOKUP(K97,'Voyage days'!$A$3:$B$1480,2,FALSE))</f>
        <v>#N/A</v>
      </c>
      <c r="K97" s="1444" t="str">
        <f>IF(VLOOKUP(A97,'1) Kpler'!$E$2:$O$500,8, FALSE)="",VLOOKUP(A97,'1) Kpler'!$E$2:$O$500,10,FALSE),VLOOKUP(A97,'1) Kpler'!$E$2:$O$500,8, FALSE))</f>
        <v>#N/A</v>
      </c>
      <c r="L97" s="1445" t="str">
        <f>IF(VLOOKUP(A97,'1) Kpler'!$E$2:$O$600,9,FALSE)="","",VLOOKUP(A97,'1) Kpler'!$E$2:$O$500,9,FALSE))</f>
        <v>#N/A</v>
      </c>
      <c r="M97" s="1444" t="str">
        <f>VLOOKUP(A97,'1) Kpler'!$E$2:$H$600,4,FALSE)</f>
        <v>#N/A</v>
      </c>
      <c r="N97" s="1350"/>
      <c r="O97" s="1351"/>
      <c r="P97" s="686" t="s">
        <v>570</v>
      </c>
      <c r="Q97" s="686"/>
      <c r="R97" s="686"/>
      <c r="S97" s="1345" t="s">
        <v>2086</v>
      </c>
      <c r="T97" s="1439">
        <v>45394.0</v>
      </c>
      <c r="U97" s="686"/>
      <c r="V97" s="1352" t="s">
        <v>3466</v>
      </c>
      <c r="W97" s="686"/>
      <c r="X97" s="1429"/>
      <c r="Y97" s="686"/>
      <c r="Z97" s="1353"/>
      <c r="AA97" s="1437"/>
      <c r="AF97" s="1316" t="str">
        <f t="shared" si="91"/>
        <v/>
      </c>
      <c r="AG97" s="1343" t="str">
        <f>IFERROR($S97+VLOOKUP($R97,'Voyage days'!$F$38:$H$89,3,FALSE),"")</f>
        <v/>
      </c>
      <c r="AH97" s="1343" t="str">
        <f>IFERROR(T97+VLOOKUP($R97,'Voyage days'!$F$38:$H$89,3,FALSE),"")</f>
        <v/>
      </c>
      <c r="AI97" s="1316" t="str">
        <f t="shared" si="92"/>
        <v/>
      </c>
      <c r="AJ97" s="1343" t="str">
        <f>IF(P97="P",IFERROR($S97+VLOOKUP($R97,'Voyage days'!$F$94:$H$193,3,FALSE),""),"")</f>
        <v/>
      </c>
      <c r="AK97" s="1343" t="str">
        <f>IF(P97="P",IFERROR($T97+VLOOKUP($R97,'Voyage days'!$F$94:$H$193,3,FALSE),""),"")</f>
        <v/>
      </c>
      <c r="AL97" s="1316" t="str">
        <f t="shared" si="93"/>
        <v/>
      </c>
      <c r="AM97" s="1343" t="str">
        <f>IFERROR($S97+VLOOKUP($R97,'Voyage days'!$F$203:$H$256,3,FALSE),"")</f>
        <v/>
      </c>
      <c r="AN97" s="1343" t="str">
        <f>IFERROR($T97+VLOOKUP($R97,'Voyage days'!$F$203:$H$256,3,FALSE),"")</f>
        <v/>
      </c>
      <c r="AO97" s="1316" t="str">
        <f t="shared" si="94"/>
        <v/>
      </c>
      <c r="AP97" s="1343" t="str">
        <f>IFERROR($S97+VLOOKUP($R97,'Voyage days'!$F$294:$H$377,3,FALSE),"")</f>
        <v/>
      </c>
      <c r="AQ97" s="1343" t="str">
        <f>IFERROR($T97+VLOOKUP($R97,'Voyage days'!$F$294:$H$377,3,FALSE),"")</f>
        <v/>
      </c>
      <c r="AR97" s="1316" t="str">
        <f t="shared" si="95"/>
        <v/>
      </c>
      <c r="AS97" s="1343" t="str">
        <f>IFERROR($S97+VLOOKUP($R97,'Voyage days'!$F$382:$H$446,3,FALSE),"")</f>
        <v/>
      </c>
      <c r="AT97" s="1343" t="str">
        <f>IFERROR($T97+VLOOKUP($R97,'Voyage days'!$F$382:$H$446,3,FALSE),"")</f>
        <v/>
      </c>
      <c r="AU97" s="1316" t="str">
        <f t="shared" si="96"/>
        <v/>
      </c>
      <c r="AV97" s="1343" t="str">
        <f>IFERROR($S97+VLOOKUP($R97,'Voyage days'!$F$483:$H$538,3,FALSE),"")</f>
        <v/>
      </c>
      <c r="AW97" s="1343" t="str">
        <f>IFERROR($T97+VLOOKUP($R97,'Voyage days'!$F$483:$H$538,3,FALSE),"")</f>
        <v/>
      </c>
      <c r="AX97" s="1316" t="str">
        <f t="shared" si="97"/>
        <v/>
      </c>
      <c r="AY97" s="1343" t="str">
        <f>IFERROR($S97+VLOOKUP($R97,'Voyage days'!$F$540:$H$613,3,FALSE),"")</f>
        <v/>
      </c>
      <c r="AZ97" s="1343" t="str">
        <f>IFERROR($T97+VLOOKUP($R97,'Voyage days'!$F$540:$H$613,3,FALSE),"")</f>
        <v/>
      </c>
      <c r="BA97" s="1316" t="str">
        <f t="shared" si="98"/>
        <v/>
      </c>
      <c r="BB97" s="1343" t="str">
        <f>IFERROR($S97+VLOOKUP($R97,'Voyage days'!$L$483:$N$535,3,FALSE),"")</f>
        <v/>
      </c>
      <c r="BC97" s="1343" t="str">
        <f>IFERROR($T97+VLOOKUP($R97,'Voyage days'!$L$483:$N$535,3,FALSE),"")</f>
        <v/>
      </c>
      <c r="BD97" s="1316" t="str">
        <f t="shared" si="99"/>
        <v/>
      </c>
      <c r="BE97" s="1343" t="str">
        <f>IFERROR($S97+VLOOKUP($R97,'Voyage days'!$F$620:$H$646,3,FALSE),"")</f>
        <v/>
      </c>
      <c r="BF97" s="1343" t="str">
        <f>IFERROR($T97+VLOOKUP($R97,'Voyage days'!$F$620:$H$646,3,FALSE),"")</f>
        <v/>
      </c>
      <c r="BG97" s="1316" t="str">
        <f t="shared" si="100"/>
        <v/>
      </c>
      <c r="BH97" s="1321" t="str">
        <f>IFERROR($S97+VLOOKUP($R97,'Voyage days'!$F$702:$H$727,3,FALSE),"")</f>
        <v/>
      </c>
      <c r="BI97" s="1321" t="str">
        <f>IFERROR($T97+VLOOKUP($R97,'Voyage days'!$F$702:$H$727,3,FALSE),"")</f>
        <v/>
      </c>
      <c r="BJ97" s="1321"/>
      <c r="BK97" s="1321"/>
      <c r="BL97" s="1321"/>
      <c r="BM97" s="1321"/>
      <c r="BN97" s="1321"/>
      <c r="BO97" s="1321"/>
      <c r="BP97" s="1321"/>
    </row>
    <row r="98">
      <c r="A98" s="606" t="s">
        <v>3614</v>
      </c>
      <c r="B98" s="1005">
        <v>33939.0</v>
      </c>
      <c r="C98" s="1344">
        <v>78502.0</v>
      </c>
      <c r="D98" s="1443" t="e">
        <v>#N/A</v>
      </c>
      <c r="E98" s="1345" t="s">
        <v>3615</v>
      </c>
      <c r="F98" s="686" t="s">
        <v>3616</v>
      </c>
      <c r="G98" s="1387"/>
      <c r="H98" s="606"/>
      <c r="I98" s="1316"/>
      <c r="J98" s="1316" t="str">
        <f>IF(K98="","",VLOOKUP(K98,'Voyage days'!$A$3:$B$1480,2,FALSE))</f>
        <v>#N/A</v>
      </c>
      <c r="K98" s="1444" t="str">
        <f>IF(VLOOKUP(A98,'1) Kpler'!$E$2:$O$500,8, FALSE)="",VLOOKUP(A98,'1) Kpler'!$E$2:$O$500,10,FALSE),VLOOKUP(A98,'1) Kpler'!$E$2:$O$500,8, FALSE))</f>
        <v>#N/A</v>
      </c>
      <c r="L98" s="1445" t="str">
        <f>IF(VLOOKUP(A98,'1) Kpler'!$E$2:$O$600,9,FALSE)="","",VLOOKUP(A98,'1) Kpler'!$E$2:$O$500,9,FALSE))</f>
        <v>#N/A</v>
      </c>
      <c r="M98" s="1444" t="str">
        <f>VLOOKUP(A98,'1) Kpler'!$E$2:$H$600,4,FALSE)</f>
        <v>#N/A</v>
      </c>
      <c r="N98" s="1350"/>
      <c r="O98" s="1436"/>
      <c r="P98" s="686" t="s">
        <v>570</v>
      </c>
      <c r="Q98" s="686"/>
      <c r="R98" s="686"/>
      <c r="S98" s="1345" t="s">
        <v>2208</v>
      </c>
      <c r="T98" s="1439">
        <v>45427.0</v>
      </c>
      <c r="U98" s="686"/>
      <c r="V98" s="1352" t="s">
        <v>3466</v>
      </c>
      <c r="W98" s="686"/>
      <c r="X98" s="686"/>
      <c r="Y98" s="686"/>
      <c r="Z98" s="1353"/>
      <c r="AA98" s="1343"/>
      <c r="AF98" s="1316" t="str">
        <f t="shared" si="91"/>
        <v/>
      </c>
      <c r="AG98" s="1343" t="str">
        <f>IFERROR($S98+VLOOKUP($R98,'Voyage days'!$F$38:$H$89,3,FALSE),"")</f>
        <v/>
      </c>
      <c r="AH98" s="1343" t="str">
        <f>IFERROR(T98+VLOOKUP($R98,'Voyage days'!$F$38:$H$89,3,FALSE),"")</f>
        <v/>
      </c>
      <c r="AI98" s="1316" t="str">
        <f t="shared" si="92"/>
        <v/>
      </c>
      <c r="AJ98" s="1343" t="str">
        <f>IF(P98="P",IFERROR($S98+VLOOKUP($R98,'Voyage days'!$F$94:$H$193,3,FALSE),""),"")</f>
        <v/>
      </c>
      <c r="AK98" s="1343" t="str">
        <f>IF(P98="P",IFERROR($T98+VLOOKUP($R98,'Voyage days'!$F$94:$H$193,3,FALSE),""),"")</f>
        <v/>
      </c>
      <c r="AL98" s="1316" t="str">
        <f t="shared" si="93"/>
        <v/>
      </c>
      <c r="AM98" s="1343" t="str">
        <f>IFERROR($S98+VLOOKUP($R98,'Voyage days'!$F$203:$H$256,3,FALSE),"")</f>
        <v/>
      </c>
      <c r="AN98" s="1343" t="str">
        <f>IFERROR($T98+VLOOKUP($R98,'Voyage days'!$F$203:$H$256,3,FALSE),"")</f>
        <v/>
      </c>
      <c r="AO98" s="1316" t="str">
        <f t="shared" si="94"/>
        <v/>
      </c>
      <c r="AP98" s="1343" t="str">
        <f>IFERROR($S98+VLOOKUP($R98,'Voyage days'!$F$294:$H$377,3,FALSE),"")</f>
        <v/>
      </c>
      <c r="AQ98" s="1343" t="str">
        <f>IFERROR($T98+VLOOKUP($R98,'Voyage days'!$F$294:$H$377,3,FALSE),"")</f>
        <v/>
      </c>
      <c r="AR98" s="1316" t="str">
        <f t="shared" si="95"/>
        <v/>
      </c>
      <c r="AS98" s="1343" t="str">
        <f>IFERROR($S98+VLOOKUP($R98,'Voyage days'!$F$382:$H$446,3,FALSE),"")</f>
        <v/>
      </c>
      <c r="AT98" s="1343" t="str">
        <f>IFERROR($T98+VLOOKUP($R98,'Voyage days'!$F$382:$H$446,3,FALSE),"")</f>
        <v/>
      </c>
      <c r="AU98" s="1316" t="str">
        <f t="shared" si="96"/>
        <v/>
      </c>
      <c r="AV98" s="1343" t="str">
        <f>IFERROR($S98+VLOOKUP($R98,'Voyage days'!$F$483:$H$538,3,FALSE),"")</f>
        <v/>
      </c>
      <c r="AW98" s="1343" t="str">
        <f>IFERROR($T98+VLOOKUP($R98,'Voyage days'!$F$483:$H$538,3,FALSE),"")</f>
        <v/>
      </c>
      <c r="AX98" s="1316" t="str">
        <f t="shared" si="97"/>
        <v/>
      </c>
      <c r="AY98" s="1343" t="str">
        <f>IFERROR($S98+VLOOKUP($R98,'Voyage days'!$F$540:$H$613,3,FALSE),"")</f>
        <v/>
      </c>
      <c r="AZ98" s="1343" t="str">
        <f>IFERROR($T98+VLOOKUP($R98,'Voyage days'!$F$540:$H$613,3,FALSE),"")</f>
        <v/>
      </c>
      <c r="BA98" s="1316" t="str">
        <f t="shared" si="98"/>
        <v/>
      </c>
      <c r="BB98" s="1343" t="str">
        <f>IFERROR($S98+VLOOKUP($R98,'Voyage days'!$L$483:$N$535,3,FALSE),"")</f>
        <v/>
      </c>
      <c r="BC98" s="1343" t="str">
        <f>IFERROR($T98+VLOOKUP($R98,'Voyage days'!$L$483:$N$535,3,FALSE),"")</f>
        <v/>
      </c>
      <c r="BD98" s="1316" t="str">
        <f t="shared" si="99"/>
        <v/>
      </c>
      <c r="BE98" s="1343" t="str">
        <f>IFERROR($S98+VLOOKUP($R98,'Voyage days'!$F$620:$H$646,3,FALSE),"")</f>
        <v/>
      </c>
      <c r="BF98" s="1343" t="str">
        <f>IFERROR($T98+VLOOKUP($R98,'Voyage days'!$F$620:$H$646,3,FALSE),"")</f>
        <v/>
      </c>
      <c r="BG98" s="1316" t="str">
        <f t="shared" si="100"/>
        <v/>
      </c>
      <c r="BH98" s="1321" t="str">
        <f>IFERROR($S98+VLOOKUP($R98,'Voyage days'!$F$702:$H$727,3,FALSE),"")</f>
        <v/>
      </c>
      <c r="BI98" s="1321" t="str">
        <f>IFERROR($T98+VLOOKUP($R98,'Voyage days'!$F$702:$H$727,3,FALSE),"")</f>
        <v/>
      </c>
      <c r="BJ98" s="1321"/>
      <c r="BK98" s="1321"/>
      <c r="BL98" s="1321"/>
      <c r="BM98" s="1321"/>
      <c r="BN98" s="1321"/>
      <c r="BO98" s="1321"/>
      <c r="BP98" s="1321"/>
    </row>
    <row r="99" ht="15.75" customHeight="1">
      <c r="A99" s="1172" t="s">
        <v>507</v>
      </c>
      <c r="B99" s="1005">
        <v>37043.0</v>
      </c>
      <c r="C99" s="25">
        <v>78921.0</v>
      </c>
      <c r="D99" s="1443">
        <v>9225342.0</v>
      </c>
      <c r="E99" s="1143" t="s">
        <v>3617</v>
      </c>
      <c r="F99" s="1174" t="s">
        <v>3617</v>
      </c>
      <c r="G99" s="603" t="s">
        <v>3618</v>
      </c>
      <c r="H99" s="606"/>
      <c r="I99" s="1316"/>
      <c r="J99" s="1316" t="str">
        <f>IF(K99="","",VLOOKUP(K99,'Voyage days'!$A$3:$B$1480,2,FALSE))</f>
        <v>AG</v>
      </c>
      <c r="K99" s="1444" t="str">
        <f>IF(VLOOKUP(A99,'1) Kpler'!$E$2:$O$500,8, FALSE)="",VLOOKUP(A99,'1) Kpler'!$E$2:$O$500,10,FALSE),VLOOKUP(A99,'1) Kpler'!$E$2:$O$500,8, FALSE))</f>
        <v>Khor Fakkan Anchorage</v>
      </c>
      <c r="L99" s="1445">
        <f>IF(VLOOKUP(A99,'1) Kpler'!$E$2:$O$600,9,FALSE)="","",VLOOKUP(A99,'1) Kpler'!$E$2:$O$500,9,FALSE))</f>
        <v>46133.25</v>
      </c>
      <c r="M99" s="1444" t="str">
        <f>VLOOKUP(A99,'1) Kpler'!$E$2:$H$600,4,FALSE)</f>
        <v>ballast</v>
      </c>
      <c r="N99" s="1318">
        <v>45473.0</v>
      </c>
      <c r="O99" s="1318">
        <v>45474.0</v>
      </c>
      <c r="P99" s="686" t="s">
        <v>1687</v>
      </c>
      <c r="Q99" s="1143"/>
      <c r="R99" s="686"/>
      <c r="S99" s="1345" t="s">
        <v>2208</v>
      </c>
      <c r="T99" s="1439">
        <v>45363.0</v>
      </c>
      <c r="U99" s="686"/>
      <c r="V99" s="1352" t="s">
        <v>3466</v>
      </c>
      <c r="W99" s="686"/>
      <c r="X99" s="1429"/>
      <c r="Y99" s="686"/>
      <c r="Z99" s="1378"/>
      <c r="AA99" s="1438"/>
      <c r="AF99" s="1316" t="str">
        <f t="shared" si="91"/>
        <v/>
      </c>
      <c r="AG99" s="1343" t="str">
        <f>IFERROR($S99+VLOOKUP($R99,'Voyage days'!$F$38:$H$89,3,FALSE),"")</f>
        <v/>
      </c>
      <c r="AH99" s="1343" t="str">
        <f>IFERROR(T99+VLOOKUP($R99,'Voyage days'!$F$38:$H$89,3,FALSE),"")</f>
        <v/>
      </c>
      <c r="AI99" s="1316" t="str">
        <f t="shared" si="92"/>
        <v/>
      </c>
      <c r="AJ99" s="1343" t="str">
        <f>IF(P99="P",IFERROR($S99+VLOOKUP($R99,'Voyage days'!$F$94:$H$193,3,FALSE),""),"")</f>
        <v/>
      </c>
      <c r="AK99" s="1343" t="str">
        <f>IF(P99="P",IFERROR($T99+VLOOKUP($R99,'Voyage days'!$F$94:$H$193,3,FALSE),""),"")</f>
        <v/>
      </c>
      <c r="AL99" s="1316" t="str">
        <f t="shared" si="93"/>
        <v/>
      </c>
      <c r="AM99" s="1343" t="str">
        <f>IFERROR($S99+VLOOKUP($R99,'Voyage days'!$F$203:$H$256,3,FALSE),"")</f>
        <v/>
      </c>
      <c r="AN99" s="1343" t="str">
        <f>IFERROR($T99+VLOOKUP($R99,'Voyage days'!$F$203:$H$256,3,FALSE),"")</f>
        <v/>
      </c>
      <c r="AO99" s="1316" t="str">
        <f t="shared" si="94"/>
        <v/>
      </c>
      <c r="AP99" s="1343" t="str">
        <f>IFERROR($S99+VLOOKUP($R99,'Voyage days'!$F$294:$H$377,3,FALSE),"")</f>
        <v/>
      </c>
      <c r="AQ99" s="1343" t="str">
        <f>IFERROR($T99+VLOOKUP($R99,'Voyage days'!$F$294:$H$377,3,FALSE),"")</f>
        <v/>
      </c>
      <c r="AR99" s="1316" t="str">
        <f t="shared" si="95"/>
        <v/>
      </c>
      <c r="AS99" s="1343" t="str">
        <f>IFERROR($S99+VLOOKUP($R99,'Voyage days'!$F$382:$H$446,3,FALSE),"")</f>
        <v/>
      </c>
      <c r="AT99" s="1343" t="str">
        <f>IFERROR($T99+VLOOKUP($R99,'Voyage days'!$F$382:$H$446,3,FALSE),"")</f>
        <v/>
      </c>
      <c r="AU99" s="1316" t="str">
        <f t="shared" si="96"/>
        <v/>
      </c>
      <c r="AV99" s="1343" t="str">
        <f>IFERROR($S99+VLOOKUP($R99,'Voyage days'!$F$483:$H$538,3,FALSE),"")</f>
        <v/>
      </c>
      <c r="AW99" s="1343" t="str">
        <f>IFERROR($T99+VLOOKUP($R99,'Voyage days'!$F$483:$H$538,3,FALSE),"")</f>
        <v/>
      </c>
      <c r="AX99" s="1316" t="str">
        <f t="shared" si="97"/>
        <v/>
      </c>
      <c r="AY99" s="1343" t="str">
        <f>IFERROR($S99+VLOOKUP($R99,'Voyage days'!$F$540:$H$613,3,FALSE),"")</f>
        <v/>
      </c>
      <c r="AZ99" s="1343" t="str">
        <f>IFERROR($T99+VLOOKUP($R99,'Voyage days'!$F$540:$H$613,3,FALSE),"")</f>
        <v/>
      </c>
      <c r="BA99" s="1316" t="str">
        <f t="shared" si="98"/>
        <v/>
      </c>
      <c r="BB99" s="1343" t="str">
        <f>IFERROR($S99+VLOOKUP($R99,'Voyage days'!$L$483:$N$535,3,FALSE),"")</f>
        <v/>
      </c>
      <c r="BC99" s="1343" t="str">
        <f>IFERROR($T99+VLOOKUP($R99,'Voyage days'!$L$483:$N$535,3,FALSE),"")</f>
        <v/>
      </c>
      <c r="BD99" s="1316" t="str">
        <f t="shared" si="99"/>
        <v/>
      </c>
      <c r="BE99" s="1343" t="str">
        <f>IFERROR($S99+VLOOKUP($R99,'Voyage days'!$F$620:$H$646,3,FALSE),"")</f>
        <v/>
      </c>
      <c r="BF99" s="1343" t="str">
        <f>IFERROR($T99+VLOOKUP($R99,'Voyage days'!$F$620:$H$646,3,FALSE),"")</f>
        <v/>
      </c>
      <c r="BG99" s="1316" t="str">
        <f t="shared" si="100"/>
        <v/>
      </c>
      <c r="BH99" s="1321" t="str">
        <f>IFERROR($S99+VLOOKUP($R99,'Voyage days'!$F$702:$H$727,3,FALSE),"")</f>
        <v/>
      </c>
      <c r="BI99" s="1321" t="str">
        <f>IFERROR($T99+VLOOKUP($R99,'Voyage days'!$F$702:$H$727,3,FALSE),"")</f>
        <v/>
      </c>
      <c r="BJ99" s="1321"/>
      <c r="BK99" s="1321"/>
      <c r="BL99" s="1321"/>
      <c r="BM99" s="1321"/>
      <c r="BN99" s="1321"/>
      <c r="BO99" s="1321"/>
      <c r="BP99" s="1321"/>
    </row>
    <row r="100" ht="15.75" customHeight="1">
      <c r="A100" s="204" t="s">
        <v>3619</v>
      </c>
      <c r="B100" s="189">
        <v>36923.0</v>
      </c>
      <c r="C100" s="1083">
        <v>78912.0</v>
      </c>
      <c r="D100" s="1443">
        <v>9206396.0</v>
      </c>
      <c r="E100" s="104" t="s">
        <v>1687</v>
      </c>
      <c r="F100" s="103"/>
      <c r="G100" s="604">
        <v>44550.0</v>
      </c>
      <c r="H100" s="605">
        <v>45748.0</v>
      </c>
      <c r="I100" s="103"/>
      <c r="J100" s="108" t="s">
        <v>3620</v>
      </c>
      <c r="K100" s="1444" t="str">
        <f>IF(VLOOKUP(A100,'1) Kpler'!$E$2:$O$500,8, FALSE)="",VLOOKUP(A100,'1) Kpler'!$E$2:$O$500,10,FALSE),VLOOKUP(A100,'1) Kpler'!$E$2:$O$500,8, FALSE))</f>
        <v>#N/A</v>
      </c>
      <c r="L100" s="1445" t="str">
        <f>IF(VLOOKUP(A100,'1) Kpler'!$E$2:$O$600,9,FALSE)="","",VLOOKUP(A100,'1) Kpler'!$E$2:$O$500,9,FALSE))</f>
        <v>#N/A</v>
      </c>
      <c r="M100" s="1444" t="str">
        <f>VLOOKUP(A100,'1) Kpler'!$E$2:$H$600,4,FALSE)</f>
        <v>#N/A</v>
      </c>
      <c r="N100" s="109">
        <v>45787.0</v>
      </c>
      <c r="O100" s="109">
        <v>45788.0</v>
      </c>
      <c r="P100" s="110"/>
      <c r="Q100" s="108" t="s">
        <v>3621</v>
      </c>
      <c r="R100" s="185"/>
      <c r="S100" s="185"/>
      <c r="T100" s="112" t="s">
        <v>659</v>
      </c>
      <c r="U100" s="113">
        <v>45775.0</v>
      </c>
      <c r="V100" s="115" t="str">
        <f>IF(W100="","",VLOOKUP(W100,'Voyage days'!$A$3:$B$1480,2,FALSE))</f>
        <v>#N/A</v>
      </c>
      <c r="W100" s="115" t="str">
        <f>IF(VLOOKUP(A100,'1) Kpler'!$E$2:$P$1000,8, FALSE)="","",VLOOKUP(A100,'1) Kpler'!$E$2:$P$1000,8, FALSE))</f>
        <v>#N/A</v>
      </c>
      <c r="X100" s="116" t="str">
        <f>IF(VLOOKUP(A100,'1) Kpler'!$E$2:$P$1000,9,FALSE)="","",VLOOKUP(A100,'1) Kpler'!$E$2:$P$1000,9,FALSE))</f>
        <v>#N/A</v>
      </c>
      <c r="Y100" s="115" t="str">
        <f>VLOOKUP(A100,'1) Kpler'!$E$2:$I$1000,4,FALSE)</f>
        <v>#N/A</v>
      </c>
      <c r="Z100" s="117" t="str">
        <f t="shared" ref="Z100:Z101" si="101">AH100</f>
        <v/>
      </c>
      <c r="AA100" s="117" t="str">
        <f t="shared" ref="AA100:AA101" si="102">AK100</f>
        <v/>
      </c>
      <c r="AB100" s="117" t="str">
        <f t="shared" ref="AB100:AB101" si="103">AN100</f>
        <v/>
      </c>
      <c r="AC100" s="117" t="str">
        <f t="shared" ref="AC100:AC101" si="104">AQ100</f>
        <v/>
      </c>
      <c r="AD100" s="117" t="str">
        <f t="shared" ref="AD100:AD101" si="105">AT100</f>
        <v/>
      </c>
      <c r="AE100" s="117" t="str">
        <f t="shared" ref="AE100:AE101" si="106">BC100</f>
        <v/>
      </c>
      <c r="AF100" s="117" t="str">
        <f t="shared" ref="AF100:AF101" si="107">AZ100</f>
        <v/>
      </c>
      <c r="AG100" s="1392"/>
      <c r="AH100" s="120" t="str">
        <f t="shared" ref="AH100:AH101" si="108">IF(AI100="","",TEXT(AI100,"dd")&amp;"-"&amp;TEXT(AJ100,"dd mmm"))</f>
        <v/>
      </c>
      <c r="AI100" s="121" t="str">
        <f>IFERROR($N100+VLOOKUP($M100,'Voyage days'!$F$38:$H$89,3,FALSE),"")</f>
        <v/>
      </c>
      <c r="AJ100" s="121" t="str">
        <f>IFERROR(O100+VLOOKUP($M100,'Voyage days'!$F$38:$H$89,3,FALSE),"")</f>
        <v/>
      </c>
      <c r="AK100" s="120" t="str">
        <f t="shared" ref="AK100:AK101" si="109">IF(AL100="","",TEXT(AL100,"dd")&amp;"-"&amp;TEXT(AM100,"dd mmm"))</f>
        <v/>
      </c>
      <c r="AL100" s="121" t="str">
        <f>IFERROR($N100+VLOOKUP($M100,'Voyage days'!$F$94:$H$193,3,FALSE),"")</f>
        <v/>
      </c>
      <c r="AM100" s="121" t="str">
        <f>IFERROR($O100+VLOOKUP($M100,'Voyage days'!$F$94:$H$193,3,FALSE),"")</f>
        <v/>
      </c>
      <c r="AN100" s="120" t="str">
        <f t="shared" ref="AN100:AN101" si="110">IF(AO100="","",TEXT(AO100,"dd")&amp;"-"&amp;TEXT(AP100,"dd mmm"))</f>
        <v/>
      </c>
      <c r="AO100" s="121" t="str">
        <f>IFERROR($N100+VLOOKUP($M100,'Voyage days'!$F$203:$H$256,3,FALSE),"")</f>
        <v/>
      </c>
      <c r="AP100" s="121" t="str">
        <f>IFERROR($O100+VLOOKUP($M100,'Voyage days'!$F$203:$H$256,3,FALSE),"")</f>
        <v/>
      </c>
      <c r="AQ100" s="120" t="str">
        <f t="shared" ref="AQ100:AQ101" si="111">IF(AR100="","",TEXT(AR100,"dd")&amp;"-"&amp;TEXT(AS100,"dd mmm"))</f>
        <v/>
      </c>
      <c r="AR100" s="121" t="str">
        <f>IFERROR($N100+VLOOKUP($M100,'Voyage days'!$F$294:$H$377,3,FALSE),"")</f>
        <v/>
      </c>
      <c r="AS100" s="121" t="str">
        <f>IFERROR($O100+VLOOKUP($M100,'Voyage days'!$F$294:$H$377,3,FALSE),"")</f>
        <v/>
      </c>
      <c r="AT100" s="120" t="str">
        <f t="shared" ref="AT100:AT101" si="112">IF(AU100="","",TEXT(AU100,"dd")&amp;"-"&amp;TEXT(AV100,"dd mmm"))</f>
        <v/>
      </c>
      <c r="AU100" s="121" t="str">
        <f>IFERROR($N100+VLOOKUP($M100,'Voyage days'!$F$382:$H$446,3,FALSE),"")</f>
        <v/>
      </c>
      <c r="AV100" s="121" t="str">
        <f>IFERROR($O100+VLOOKUP($M100,'Voyage days'!$F$382:$H$446,3,FALSE),"")</f>
        <v/>
      </c>
      <c r="AW100" s="120" t="str">
        <f t="shared" ref="AW100:AW101" si="113">IF(AX100="","",TEXT(AX100,"dd")&amp;"-"&amp;TEXT(AY100,"dd mmm"))</f>
        <v/>
      </c>
      <c r="AX100" s="121" t="str">
        <f>IFERROR($N100+VLOOKUP($M100,'Voyage days'!$F$483:$H$538,3,FALSE),"")</f>
        <v/>
      </c>
      <c r="AY100" s="121" t="str">
        <f>IFERROR($O100+VLOOKUP($M100,'Voyage days'!$F$483:$H$538,3,FALSE),"")</f>
        <v/>
      </c>
      <c r="AZ100" s="120" t="str">
        <f t="shared" ref="AZ100:AZ101" si="114">IF(BA100="","",TEXT(BA100,"dd")&amp;"-"&amp;TEXT(BB100,"dd mmm"))</f>
        <v/>
      </c>
      <c r="BA100" s="121" t="str">
        <f>IFERROR($N100+VLOOKUP($M100,'Voyage days'!$F$540:$H$613,3,FALSE),"")</f>
        <v/>
      </c>
      <c r="BB100" s="121" t="str">
        <f>IFERROR($O100+VLOOKUP($M100,'Voyage days'!$F$540:$H$613,3,FALSE),"")</f>
        <v/>
      </c>
      <c r="BC100" s="120" t="str">
        <f t="shared" ref="BC100:BC101" si="115">IF(BD100="","",TEXT(BD100,"dd")&amp;"-"&amp;TEXT(BE100,"dd mmm"))</f>
        <v/>
      </c>
      <c r="BD100" s="121" t="str">
        <f>IFERROR($N100+VLOOKUP($M100,'Voyage days'!$L$483:$N$535,3,FALSE),"")</f>
        <v/>
      </c>
      <c r="BE100" s="121" t="str">
        <f>IFERROR($O100+VLOOKUP($M100,'Voyage days'!$L$483:$N$535,3,FALSE),"")</f>
        <v/>
      </c>
      <c r="BF100" s="120" t="str">
        <f t="shared" ref="BF100:BF101" si="116">IF(BG100="","",TEXT(BG100,"dd")&amp;"-"&amp;TEXT(BH100,"dd mmm"))</f>
        <v/>
      </c>
      <c r="BG100" s="122" t="str">
        <f>IFERROR($N100+VLOOKUP($M100,'Voyage days'!$F$620:$H$646,3,FALSE),"")</f>
        <v/>
      </c>
      <c r="BH100" s="122" t="str">
        <f>IFERROR($O100+VLOOKUP($M100,'Voyage days'!$F$620:$H$646,3,FALSE),"")</f>
        <v/>
      </c>
      <c r="BI100" s="120" t="str">
        <f t="shared" ref="BI100:BI101" si="117">IF(BJ100="","",TEXT(BJ100,"dd")&amp;"-"&amp;TEXT(BM100,"dd mmm"))</f>
        <v/>
      </c>
      <c r="BJ100" s="123" t="str">
        <f>IFERROR($N100+VLOOKUP($M100,'Voyage days'!$F$702:$H$727,3,FALSE),"")</f>
        <v/>
      </c>
      <c r="BK100" s="120" t="str">
        <f t="shared" ref="BK100:BK101" si="118">IF(BL100="","",TEXT(BL100,"dd")&amp;"-"&amp;TEXT(BM100,"dd mmm"))</f>
        <v/>
      </c>
      <c r="BL100" s="122" t="str">
        <f>IFERROR($N100+VLOOKUP($M100,'Voyage days'!$F$620:$H$646,3,FALSE),"")</f>
        <v/>
      </c>
      <c r="BM100" s="122" t="str">
        <f>IFERROR($O100+VLOOKUP($M100,'Voyage days'!$F$620:$H$646,3,FALSE),"")</f>
        <v/>
      </c>
      <c r="BN100" s="609"/>
      <c r="BO100" s="609"/>
      <c r="BP100" s="609"/>
    </row>
    <row r="101" ht="15.75" customHeight="1">
      <c r="A101" s="1458" t="s">
        <v>3030</v>
      </c>
      <c r="B101" s="1122">
        <v>38439.0</v>
      </c>
      <c r="C101" s="1123">
        <v>78908.0</v>
      </c>
      <c r="D101" s="1443">
        <v>9317298.0</v>
      </c>
      <c r="E101" s="1068"/>
      <c r="F101" s="1068"/>
      <c r="G101" s="1124">
        <v>44032.0</v>
      </c>
      <c r="H101" s="1125" t="s">
        <v>1611</v>
      </c>
      <c r="I101" s="478"/>
      <c r="J101" s="1126" t="s">
        <v>3031</v>
      </c>
      <c r="K101" s="1444" t="str">
        <f>IF(VLOOKUP(A101,'1) Kpler'!$E$2:$O$500,8, FALSE)="",VLOOKUP(A101,'1) Kpler'!$E$2:$O$500,10,FALSE),VLOOKUP(A101,'1) Kpler'!$E$2:$O$500,8, FALSE))</f>
        <v>#N/A</v>
      </c>
      <c r="L101" s="1445" t="str">
        <f>IF(VLOOKUP(A101,'1) Kpler'!$E$2:$O$600,9,FALSE)="","",VLOOKUP(A101,'1) Kpler'!$E$2:$O$500,9,FALSE))</f>
        <v>#N/A</v>
      </c>
      <c r="M101" s="1444" t="str">
        <f>VLOOKUP(A101,'1) Kpler'!$E$2:$H$600,4,FALSE)</f>
        <v>#N/A</v>
      </c>
      <c r="N101" s="367">
        <v>45844.0</v>
      </c>
      <c r="O101" s="367">
        <v>45845.0</v>
      </c>
      <c r="P101" s="666" t="s">
        <v>2893</v>
      </c>
      <c r="Q101" s="482" t="s">
        <v>3032</v>
      </c>
      <c r="R101" s="1127" t="s">
        <v>3033</v>
      </c>
      <c r="S101" s="1459" t="s">
        <v>3622</v>
      </c>
      <c r="T101" s="485" t="s">
        <v>659</v>
      </c>
      <c r="U101" s="486">
        <v>45824.0</v>
      </c>
      <c r="V101" s="177" t="str">
        <f>IF(W101="","No AIS",VLOOKUP(W101,'Voyage days'!$A$3:$B$1480,2,FALSE))</f>
        <v>#N/A</v>
      </c>
      <c r="W101" s="177" t="str">
        <f>IF(VLOOKUP(A101,'1) Kpler'!$E$2:$P$1000,8, FALSE)="","",VLOOKUP(A101,'1) Kpler'!$E$2:$P$1000,8, FALSE))</f>
        <v>#N/A</v>
      </c>
      <c r="X101" s="370" t="str">
        <f>IF(VLOOKUP(A101,'1) Kpler'!$E$2:$P$1000,9,FALSE)="","",VLOOKUP(A101,'1) Kpler'!$E$2:$P$1000,9,FALSE))</f>
        <v>#N/A</v>
      </c>
      <c r="Y101" s="177" t="str">
        <f>VLOOKUP(A101,'1) Kpler'!$E$2:$I$1000,4,FALSE)</f>
        <v>#N/A</v>
      </c>
      <c r="Z101" s="163" t="str">
        <f t="shared" si="101"/>
        <v/>
      </c>
      <c r="AA101" s="163" t="str">
        <f t="shared" si="102"/>
        <v/>
      </c>
      <c r="AB101" s="163" t="str">
        <f t="shared" si="103"/>
        <v/>
      </c>
      <c r="AC101" s="163" t="str">
        <f t="shared" si="104"/>
        <v/>
      </c>
      <c r="AD101" s="163" t="str">
        <f t="shared" si="105"/>
        <v/>
      </c>
      <c r="AE101" s="163" t="str">
        <f t="shared" si="106"/>
        <v/>
      </c>
      <c r="AF101" s="371" t="str">
        <f t="shared" si="107"/>
        <v/>
      </c>
      <c r="AG101" s="1261" t="str">
        <f>BK101</f>
        <v/>
      </c>
      <c r="AH101" s="163" t="str">
        <f t="shared" si="108"/>
        <v/>
      </c>
      <c r="AI101" s="122" t="str">
        <f>IFERROR($N101+VLOOKUP($M101,'Voyage days'!$F$38:$H$89,3,FALSE),"")</f>
        <v/>
      </c>
      <c r="AJ101" s="122" t="str">
        <f>IFERROR(O101+VLOOKUP($M101,'Voyage days'!$F$38:$H$89,3,FALSE),"")</f>
        <v/>
      </c>
      <c r="AK101" s="163" t="str">
        <f t="shared" si="109"/>
        <v/>
      </c>
      <c r="AL101" s="122" t="str">
        <f>IFERROR($N101+VLOOKUP($M101,'Voyage days'!$F$94:$H$193,3,FALSE),"")</f>
        <v/>
      </c>
      <c r="AM101" s="122" t="str">
        <f>IFERROR($O101+VLOOKUP($M101,'Voyage days'!$F$94:$H$193,3,FALSE),"")</f>
        <v/>
      </c>
      <c r="AN101" s="163" t="str">
        <f t="shared" si="110"/>
        <v/>
      </c>
      <c r="AO101" s="122" t="str">
        <f>IFERROR($N101+VLOOKUP($M101,'Voyage days'!$F$203:$H$256,3,FALSE),"")</f>
        <v/>
      </c>
      <c r="AP101" s="122" t="str">
        <f>IFERROR($O101+VLOOKUP($M101,'Voyage days'!$F$203:$H$256,3,FALSE),"")</f>
        <v/>
      </c>
      <c r="AQ101" s="163" t="str">
        <f t="shared" si="111"/>
        <v/>
      </c>
      <c r="AR101" s="122" t="str">
        <f>IFERROR($N101+VLOOKUP($M101,'Voyage days'!$F$294:$H$377,3,FALSE),"")</f>
        <v/>
      </c>
      <c r="AS101" s="122" t="str">
        <f>IFERROR($O101+VLOOKUP($M101,'Voyage days'!$F$294:$H$377,3,FALSE),"")</f>
        <v/>
      </c>
      <c r="AT101" s="163" t="str">
        <f t="shared" si="112"/>
        <v/>
      </c>
      <c r="AU101" s="122" t="str">
        <f>IFERROR($N101+VLOOKUP($M101,'Voyage days'!$F$382:$H$446,3,FALSE),"")</f>
        <v/>
      </c>
      <c r="AV101" s="122" t="str">
        <f>IFERROR($O101+VLOOKUP($M101,'Voyage days'!$F$382:$H$446,3,FALSE),"")</f>
        <v/>
      </c>
      <c r="AW101" s="163" t="str">
        <f t="shared" si="113"/>
        <v/>
      </c>
      <c r="AX101" s="122" t="str">
        <f>IFERROR($N101+VLOOKUP($M101,'Voyage days'!$F$483:$H$538,3,FALSE),"")</f>
        <v/>
      </c>
      <c r="AY101" s="122" t="str">
        <f>IFERROR($O101+VLOOKUP($M101,'Voyage days'!$F$483:$H$538,3,FALSE),"")</f>
        <v/>
      </c>
      <c r="AZ101" s="163" t="str">
        <f t="shared" si="114"/>
        <v/>
      </c>
      <c r="BA101" s="122" t="str">
        <f>IFERROR($N101+VLOOKUP($M101,'Voyage days'!$F$540:$H$613,3,FALSE),"")</f>
        <v/>
      </c>
      <c r="BB101" s="122" t="str">
        <f>IFERROR($O101+VLOOKUP($M101,'Voyage days'!$F$540:$H$613,3,FALSE),"")</f>
        <v/>
      </c>
      <c r="BC101" s="163" t="str">
        <f t="shared" si="115"/>
        <v/>
      </c>
      <c r="BD101" s="122" t="str">
        <f>IFERROR($N101+VLOOKUP($M101,'Voyage days'!$L$483:$N$535,3,FALSE),"")</f>
        <v/>
      </c>
      <c r="BE101" s="122" t="str">
        <f>IFERROR($O101+VLOOKUP($M101,'Voyage days'!$L$483:$N$535,3,FALSE),"")</f>
        <v/>
      </c>
      <c r="BF101" s="163" t="str">
        <f t="shared" si="116"/>
        <v/>
      </c>
      <c r="BG101" s="122" t="str">
        <f>IFERROR($N101+VLOOKUP($M101,'Voyage days'!$F$620:$H$646,3,FALSE),"")</f>
        <v/>
      </c>
      <c r="BH101" s="122" t="str">
        <f>IFERROR($O101+VLOOKUP($M101,'Voyage days'!$F$620:$H$646,3,FALSE),"")</f>
        <v/>
      </c>
      <c r="BI101" s="163" t="str">
        <f t="shared" si="117"/>
        <v/>
      </c>
      <c r="BJ101" s="123" t="str">
        <f>IFERROR($N101+VLOOKUP($M101,'Voyage days'!$F$702:$H$727,3,FALSE),"")</f>
        <v/>
      </c>
      <c r="BK101" s="163" t="str">
        <f t="shared" si="118"/>
        <v/>
      </c>
      <c r="BL101" s="122" t="str">
        <f>IFERROR($N101+VLOOKUP($M101,'Voyage days'!$F$807:$H$878,3,FALSE),"")</f>
        <v/>
      </c>
      <c r="BM101" s="122" t="str">
        <f>IFERROR($O101+VLOOKUP($M101,'Voyage days'!$F$807:$H$878,3,FALSE),"")</f>
        <v/>
      </c>
      <c r="BN101" s="609"/>
      <c r="BO101" s="609"/>
      <c r="BP101" s="609"/>
    </row>
    <row r="102" ht="15.75" customHeight="1">
      <c r="A102" s="100" t="s">
        <v>3229</v>
      </c>
      <c r="B102" s="1208">
        <v>39264.0</v>
      </c>
      <c r="C102" s="203">
        <v>78523.676</v>
      </c>
      <c r="D102" s="103"/>
      <c r="E102" s="295" t="s">
        <v>3623</v>
      </c>
      <c r="F102" s="104"/>
      <c r="G102" s="104"/>
      <c r="H102" s="104"/>
      <c r="J102" s="106" t="str">
        <f>IF(W102="","NO AIS",IF((W102-M102-1)&gt;0,"Update",""))</f>
        <v>#N/A</v>
      </c>
      <c r="K102" s="107"/>
      <c r="L102" s="153" t="s">
        <v>1085</v>
      </c>
      <c r="M102" s="1460">
        <v>46101.0</v>
      </c>
      <c r="N102" s="276">
        <v>46102.0</v>
      </c>
      <c r="O102" s="255"/>
      <c r="P102" s="153" t="s">
        <v>3624</v>
      </c>
      <c r="Q102" s="185"/>
      <c r="R102" s="153" t="s">
        <v>3625</v>
      </c>
      <c r="S102" s="256" t="s">
        <v>934</v>
      </c>
      <c r="T102" s="113">
        <v>46097.0</v>
      </c>
      <c r="U102" s="114" t="str">
        <f>IF(V102="","No AIS",VLOOKUP(V102,'Voyage days'!$A$3:$B$1480,2,FALSE))</f>
        <v>#N/A</v>
      </c>
      <c r="V102" s="115" t="str">
        <f>IF(VLOOKUP(A102,'1) Kpler'!$E$2:$P$1000,8, FALSE)="","",VLOOKUP(A102,'1) Kpler'!$E$2:$P$1000,8, FALSE))</f>
        <v>#N/A</v>
      </c>
      <c r="W102" s="116" t="str">
        <f>IF(VLOOKUP(A102,'1) Kpler'!$E$2:$P$1000,9,FALSE)="","",VLOOKUP(A102,'1) Kpler'!$E$2:$P$1000,9,FALSE))</f>
        <v>#N/A</v>
      </c>
      <c r="X102" s="115" t="str">
        <f>VLOOKUP(A102,'1) Kpler'!$E$2:$I$1000,4,FALSE)</f>
        <v>#N/A</v>
      </c>
      <c r="Y102" s="117" t="str">
        <f>AG102</f>
        <v>25-26 Mar</v>
      </c>
      <c r="Z102" s="117" t="str">
        <f>AJ102</f>
        <v/>
      </c>
      <c r="AA102" s="117" t="str">
        <f>AM102</f>
        <v>21-22 Apr</v>
      </c>
      <c r="AB102" s="117" t="str">
        <f>AP102</f>
        <v>08-09 Apr</v>
      </c>
      <c r="AC102" s="117" t="str">
        <f>AS102</f>
        <v>02-03 Apr</v>
      </c>
      <c r="AD102" s="117" t="str">
        <f>BB102</f>
        <v/>
      </c>
      <c r="AE102" s="118" t="str">
        <f>AY102</f>
        <v/>
      </c>
      <c r="AF102" s="119" t="str">
        <f>BJ102</f>
        <v>24-25 Apr</v>
      </c>
      <c r="AG102" s="120" t="str">
        <f>IF(AH102="","",TEXT(AH102,"dd")&amp;"-"&amp;TEXT(AI102,"dd mmm"))</f>
        <v>25-26 Mar</v>
      </c>
      <c r="AH102" s="121">
        <f>IFERROR($M102+VLOOKUP($L102,'Voyage days'!$F$38:$H$89,3,FALSE),"")</f>
        <v>46106</v>
      </c>
      <c r="AI102" s="121">
        <f>IFERROR(N102+VLOOKUP($L102,'Voyage days'!$F$38:$H$89,3,FALSE),"")</f>
        <v>46107</v>
      </c>
      <c r="AJ102" s="120" t="str">
        <f>IF(AK102="","",TEXT(AK102,"dd")&amp;"-"&amp;TEXT(AL102,"dd mmm"))</f>
        <v/>
      </c>
      <c r="AK102" s="121" t="str">
        <f>IFERROR($M102+VLOOKUP($L102,'Voyage days'!$F$94:$H$193,3,FALSE),"")</f>
        <v/>
      </c>
      <c r="AL102" s="121" t="str">
        <f>IFERROR($N102+VLOOKUP($L102,'Voyage days'!$F$94:$H$193,3,FALSE),"")</f>
        <v/>
      </c>
      <c r="AM102" s="120" t="str">
        <f>IF(AN102="","",TEXT(AN102,"dd")&amp;"-"&amp;TEXT(AO102,"dd mmm"))</f>
        <v>21-22 Apr</v>
      </c>
      <c r="AN102" s="121">
        <f>IFERROR($M102+VLOOKUP($L102,'Voyage days'!$F$203:$H$256,3,FALSE),"")</f>
        <v>46133</v>
      </c>
      <c r="AO102" s="121">
        <f>IFERROR($N102+VLOOKUP($L102,'Voyage days'!$F$203:$H$256,3,FALSE),"")</f>
        <v>46134</v>
      </c>
      <c r="AP102" s="120" t="str">
        <f>IF(AQ102="","",TEXT(AQ102,"dd")&amp;"-"&amp;TEXT(AR102,"dd mmm"))</f>
        <v>08-09 Apr</v>
      </c>
      <c r="AQ102" s="121">
        <f>IFERROR($M102+VLOOKUP($L102,'Voyage days'!$F$294:$H$377,3,FALSE),"")</f>
        <v>46120</v>
      </c>
      <c r="AR102" s="121">
        <f>IFERROR($N102+VLOOKUP($L102,'Voyage days'!$F$294:$H$377,3,FALSE),"")</f>
        <v>46121</v>
      </c>
      <c r="AS102" s="120" t="str">
        <f>IF(AT102="","",TEXT(AT102,"dd")&amp;"-"&amp;TEXT(AU102,"dd mmm"))</f>
        <v>02-03 Apr</v>
      </c>
      <c r="AT102" s="121">
        <f>IFERROR($M102+VLOOKUP($L102,'Voyage days'!$F$382:$H$446,3,FALSE),"")</f>
        <v>46114</v>
      </c>
      <c r="AU102" s="121">
        <f>IFERROR($N102+VLOOKUP($L102,'Voyage days'!$F$382:$H$446,3,FALSE),"")</f>
        <v>46115</v>
      </c>
      <c r="AV102" s="120" t="str">
        <f>IF(AW102="","",TEXT(AW102,"dd")&amp;"-"&amp;TEXT(AX102,"dd mmm"))</f>
        <v/>
      </c>
      <c r="AW102" s="121" t="str">
        <f>IFERROR($M102+VLOOKUP($L102,'Voyage days'!$F$483:$H$538,3,FALSE),"")</f>
        <v/>
      </c>
      <c r="AX102" s="121" t="str">
        <f>IFERROR($N102+VLOOKUP($L102,'Voyage days'!$F$483:$H$538,3,FALSE),"")</f>
        <v/>
      </c>
      <c r="AY102" s="120" t="str">
        <f>IF(AZ102="","",TEXT(AZ102,"dd")&amp;"-"&amp;TEXT(BA102,"dd mmm"))</f>
        <v/>
      </c>
      <c r="AZ102" s="121" t="str">
        <f>IFERROR($M102+VLOOKUP($L102,'Voyage days'!$F$540:$H$613,3,FALSE),"")</f>
        <v/>
      </c>
      <c r="BA102" s="121" t="str">
        <f>IFERROR($N102+VLOOKUP($L102,'Voyage days'!$F$540:$H$613,3,FALSE),"")</f>
        <v/>
      </c>
      <c r="BB102" s="120" t="str">
        <f>IF(BC102="","",TEXT(BC102,"dd")&amp;"-"&amp;TEXT(BD102,"dd mmm"))</f>
        <v/>
      </c>
      <c r="BC102" s="121" t="str">
        <f>IFERROR($M102+VLOOKUP($L102,'Voyage days'!$F$448:$H$479,3,FALSE),"")</f>
        <v/>
      </c>
      <c r="BD102" s="121" t="str">
        <f>IFERROR($N102+VLOOKUP($L102,'Voyage days'!$F$448:$H$479,3,FALSE),"")</f>
        <v/>
      </c>
      <c r="BE102" s="120" t="str">
        <f>IF(BF102="","",TEXT(BF102,"dd")&amp;"-"&amp;TEXT(BG102,"dd mmm"))</f>
        <v/>
      </c>
      <c r="BF102" s="122" t="str">
        <f>IFERROR($M102+VLOOKUP($L102,'Voyage days'!$F$620:$H$646,3,FALSE),"")</f>
        <v/>
      </c>
      <c r="BG102" s="122" t="str">
        <f>IFERROR($N102+VLOOKUP($L102,'Voyage days'!$F$620:$H$646,3,FALSE),"")</f>
        <v/>
      </c>
      <c r="BH102" s="120" t="str">
        <f>IF(BI102="","",TEXT(BI102,"dd")&amp;"-"&amp;TEXT(BL102,"dd mmm"))</f>
        <v/>
      </c>
      <c r="BI102" s="123" t="str">
        <f>IFERROR($M102+VLOOKUP($L102,'Voyage days'!$F$702:$H$727,3,FALSE),"")</f>
        <v/>
      </c>
      <c r="BJ102" s="120" t="str">
        <f>IF(BK102="","",TEXT(BK102,"dd")&amp;"-"&amp;TEXT(BL102,"dd mmm"))</f>
        <v>24-25 Apr</v>
      </c>
      <c r="BK102" s="122">
        <f>IFERROR($M102+VLOOKUP($L102,'Voyage days'!$F$807:$H$878,3,FALSE),"")</f>
        <v>46136</v>
      </c>
      <c r="BL102" s="122">
        <f>IFERROR($N102+VLOOKUP($L102,'Voyage days'!$F$807:$H$878,3,FALSE),"")</f>
        <v>46137</v>
      </c>
      <c r="BM102" s="122">
        <f>IFERROR($N102+VLOOKUP($L102,'Voyage days'!$F$807:$K$878,6,FALSE),"")</f>
        <v>46109</v>
      </c>
      <c r="BN102" s="121" t="str">
        <f>if(L102="loads AG", IFERROR($M102+VLOOKUP($L102,'Voyage days'!$M$38:$O$38,3,FALSE),""),"")</f>
        <v/>
      </c>
      <c r="BO102" s="121" t="str">
        <f>if(L102="loads USG", IFERROR($M102+VLOOKUP($L102,'Voyage days'!$L$203:$N$203,3,FALSE),""),"")</f>
        <v/>
      </c>
    </row>
  </sheetData>
  <conditionalFormatting sqref="M102 N102">
    <cfRule type="expression" dxfId="6" priority="1">
      <formula>AND(ISNUMBER(M102),TRUNC(M102)&lt;TODAY())</formula>
    </cfRule>
  </conditionalFormatting>
  <conditionalFormatting sqref="T102">
    <cfRule type="timePeriod" dxfId="4" priority="2" timePeriod="last7Days"/>
  </conditionalFormatting>
  <conditionalFormatting sqref="O102">
    <cfRule type="notContainsBlanks" dxfId="5" priority="3">
      <formula>LEN(TRIM(O102))&gt;0</formula>
    </cfRule>
  </conditionalFormatting>
  <conditionalFormatting sqref="O102">
    <cfRule type="cellIs" dxfId="3" priority="4" operator="equal">
      <formula>"o?"</formula>
    </cfRule>
  </conditionalFormatting>
  <conditionalFormatting sqref="O102">
    <cfRule type="cellIs" dxfId="3" priority="5" operator="equal">
      <formula>"O?"</formula>
    </cfRule>
  </conditionalFormatting>
  <conditionalFormatting sqref="O102">
    <cfRule type="cellIs" dxfId="3" priority="6" operator="equal">
      <formula>"O?"</formula>
    </cfRule>
  </conditionalFormatting>
  <conditionalFormatting sqref="O102">
    <cfRule type="cellIs" dxfId="3" priority="7" operator="equal">
      <formula>"R?"</formula>
    </cfRule>
  </conditionalFormatting>
  <conditionalFormatting sqref="O102">
    <cfRule type="cellIs" dxfId="2" priority="8" operator="equal">
      <formula>"O"</formula>
    </cfRule>
  </conditionalFormatting>
  <conditionalFormatting sqref="O102">
    <cfRule type="cellIs" dxfId="1" priority="9" operator="equal">
      <formula>"R"</formula>
    </cfRule>
  </conditionalFormatting>
  <conditionalFormatting sqref="D102">
    <cfRule type="containsText" dxfId="9" priority="10" operator="containsText" text="US">
      <formula>NOT(ISERROR(SEARCH(("US"),(D102))))</formula>
    </cfRule>
  </conditionalFormatting>
  <conditionalFormatting sqref="G102">
    <cfRule type="containsText" dxfId="8" priority="11" operator="containsText" text="DT">
      <formula>NOT(ISERROR(SEARCH(("DT"),(G102))))</formula>
    </cfRule>
  </conditionalFormatting>
  <conditionalFormatting sqref="K102">
    <cfRule type="cellIs" dxfId="5" priority="12" operator="equal">
      <formula>"Cape?"</formula>
    </cfRule>
  </conditionalFormatting>
  <conditionalFormatting sqref="K102">
    <cfRule type="cellIs" dxfId="7" priority="13" operator="equal">
      <formula>"Cape"</formula>
    </cfRule>
  </conditionalFormatting>
  <conditionalFormatting sqref="M33 N33">
    <cfRule type="expression" dxfId="6" priority="14">
      <formula>AND(ISNUMBER(M33),TRUNC(M33)&lt;TODAY())</formula>
    </cfRule>
  </conditionalFormatting>
  <conditionalFormatting sqref="K33">
    <cfRule type="cellIs" dxfId="7" priority="15" operator="equal">
      <formula>"Cape"</formula>
    </cfRule>
  </conditionalFormatting>
  <conditionalFormatting sqref="D33">
    <cfRule type="cellIs" dxfId="10" priority="16" operator="equal">
      <formula>"C"</formula>
    </cfRule>
  </conditionalFormatting>
  <conditionalFormatting sqref="K33">
    <cfRule type="cellIs" dxfId="5" priority="17" operator="equal">
      <formula>"Cape?"</formula>
    </cfRule>
  </conditionalFormatting>
  <conditionalFormatting sqref="T33">
    <cfRule type="timePeriod" dxfId="4" priority="18" timePeriod="last7Days"/>
  </conditionalFormatting>
  <conditionalFormatting sqref="O33">
    <cfRule type="cellIs" dxfId="1" priority="19" operator="equal">
      <formula>"R"</formula>
    </cfRule>
  </conditionalFormatting>
  <conditionalFormatting sqref="O33">
    <cfRule type="cellIs" dxfId="2" priority="20" operator="equal">
      <formula>"O"</formula>
    </cfRule>
  </conditionalFormatting>
  <conditionalFormatting sqref="O33">
    <cfRule type="cellIs" dxfId="3" priority="21" operator="equal">
      <formula>"R?"</formula>
    </cfRule>
  </conditionalFormatting>
  <conditionalFormatting sqref="O33">
    <cfRule type="cellIs" dxfId="3" priority="22" operator="equal">
      <formula>"O?"</formula>
    </cfRule>
  </conditionalFormatting>
  <conditionalFormatting sqref="O33">
    <cfRule type="cellIs" dxfId="3" priority="23" operator="equal">
      <formula>"O?"</formula>
    </cfRule>
  </conditionalFormatting>
  <conditionalFormatting sqref="O33">
    <cfRule type="cellIs" dxfId="3" priority="24" operator="equal">
      <formula>"o?"</formula>
    </cfRule>
  </conditionalFormatting>
  <conditionalFormatting sqref="O33">
    <cfRule type="notContainsBlanks" dxfId="5" priority="25">
      <formula>LEN(TRIM(O33))&gt;0</formula>
    </cfRule>
  </conditionalFormatting>
  <conditionalFormatting sqref="N101">
    <cfRule type="expression" dxfId="6" priority="26">
      <formula>AND(ISNUMBER(N101),TRUNC(N101)&lt;TODAY())</formula>
    </cfRule>
  </conditionalFormatting>
  <conditionalFormatting sqref="P101">
    <cfRule type="cellIs" dxfId="1" priority="27" operator="equal">
      <formula>"R"</formula>
    </cfRule>
  </conditionalFormatting>
  <conditionalFormatting sqref="P101">
    <cfRule type="cellIs" dxfId="2" priority="28" operator="equal">
      <formula>"O"</formula>
    </cfRule>
  </conditionalFormatting>
  <conditionalFormatting sqref="P101">
    <cfRule type="cellIs" dxfId="3" priority="29" operator="equal">
      <formula>"R?"</formula>
    </cfRule>
  </conditionalFormatting>
  <conditionalFormatting sqref="P101">
    <cfRule type="cellIs" dxfId="3" priority="30" operator="equal">
      <formula>"O?"</formula>
    </cfRule>
  </conditionalFormatting>
  <conditionalFormatting sqref="P101">
    <cfRule type="cellIs" dxfId="3" priority="31" operator="equal">
      <formula>"o?"</formula>
    </cfRule>
  </conditionalFormatting>
  <conditionalFormatting sqref="P101">
    <cfRule type="notContainsBlanks" dxfId="5" priority="32">
      <formula>LEN(TRIM(P101))&gt;0</formula>
    </cfRule>
  </conditionalFormatting>
  <conditionalFormatting sqref="P101">
    <cfRule type="cellIs" dxfId="3" priority="33" operator="equal">
      <formula>"O?"</formula>
    </cfRule>
  </conditionalFormatting>
  <conditionalFormatting sqref="U101">
    <cfRule type="timePeriod" dxfId="4" priority="34" timePeriod="last7Days"/>
  </conditionalFormatting>
  <conditionalFormatting sqref="P17">
    <cfRule type="cellIs" dxfId="1" priority="35" operator="equal">
      <formula>"R"</formula>
    </cfRule>
  </conditionalFormatting>
  <conditionalFormatting sqref="P17">
    <cfRule type="cellIs" dxfId="2" priority="36" operator="equal">
      <formula>"O"</formula>
    </cfRule>
  </conditionalFormatting>
  <conditionalFormatting sqref="P17">
    <cfRule type="cellIs" dxfId="3" priority="37" operator="equal">
      <formula>"R?"</formula>
    </cfRule>
  </conditionalFormatting>
  <conditionalFormatting sqref="P13">
    <cfRule type="cellIs" dxfId="3" priority="38" operator="equal">
      <formula>"R?"</formula>
    </cfRule>
  </conditionalFormatting>
  <conditionalFormatting sqref="P13">
    <cfRule type="cellIs" dxfId="2" priority="39" operator="equal">
      <formula>"O"</formula>
    </cfRule>
  </conditionalFormatting>
  <conditionalFormatting sqref="P13">
    <cfRule type="cellIs" dxfId="1" priority="40" operator="equal">
      <formula>"R"</formula>
    </cfRule>
  </conditionalFormatting>
  <conditionalFormatting sqref="P20">
    <cfRule type="cellIs" dxfId="3" priority="41" operator="equal">
      <formula>"R?"</formula>
    </cfRule>
  </conditionalFormatting>
  <conditionalFormatting sqref="P20">
    <cfRule type="cellIs" dxfId="2" priority="42" operator="equal">
      <formula>"O"</formula>
    </cfRule>
  </conditionalFormatting>
  <conditionalFormatting sqref="P20">
    <cfRule type="cellIs" dxfId="1" priority="43" operator="equal">
      <formula>"R"</formula>
    </cfRule>
  </conditionalFormatting>
  <conditionalFormatting sqref="P100">
    <cfRule type="cellIs" dxfId="1" priority="44" operator="equal">
      <formula>"R"</formula>
    </cfRule>
  </conditionalFormatting>
  <conditionalFormatting sqref="P100">
    <cfRule type="cellIs" dxfId="2" priority="45" operator="equal">
      <formula>"O"</formula>
    </cfRule>
  </conditionalFormatting>
  <conditionalFormatting sqref="P100">
    <cfRule type="cellIs" dxfId="3" priority="46" operator="equal">
      <formula>"R?"</formula>
    </cfRule>
  </conditionalFormatting>
  <conditionalFormatting sqref="P29">
    <cfRule type="cellIs" dxfId="1" priority="47" operator="equal">
      <formula>"R"</formula>
    </cfRule>
  </conditionalFormatting>
  <conditionalFormatting sqref="P29">
    <cfRule type="cellIs" dxfId="2" priority="48" operator="equal">
      <formula>"O"</formula>
    </cfRule>
  </conditionalFormatting>
  <conditionalFormatting sqref="P29">
    <cfRule type="cellIs" dxfId="3" priority="49" operator="equal">
      <formula>"R?"</formula>
    </cfRule>
  </conditionalFormatting>
  <dataValidations>
    <dataValidation type="list" allowBlank="1" showErrorMessage="1" sqref="R2:R12 M13 R14:R16 M17 R18:R19 M20 R21:R28 M29 R30:R32 L33 R34:R36 R40:R52 R54:R99 L102">
      <formula1>'Voyage days'!$F$38:$F$924</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29"/>
    <col customWidth="1" min="6" max="6" width="42.57"/>
  </cols>
  <sheetData>
    <row r="1">
      <c r="A1" s="1461"/>
      <c r="G1" s="1462"/>
      <c r="H1" s="1462"/>
      <c r="I1" s="1462"/>
      <c r="J1" s="1463" t="s">
        <v>1611</v>
      </c>
      <c r="K1" s="1462"/>
      <c r="L1" s="1462"/>
      <c r="M1" s="1464"/>
      <c r="N1" s="1464"/>
      <c r="O1" s="1464"/>
      <c r="P1" s="1464"/>
      <c r="Q1" s="1464"/>
      <c r="R1" s="1464"/>
      <c r="S1" s="1464"/>
      <c r="T1" s="1464"/>
      <c r="U1" s="1464"/>
      <c r="V1" s="1464"/>
      <c r="W1" s="1464"/>
      <c r="X1" s="1464"/>
      <c r="Y1" s="1464"/>
      <c r="Z1" s="1464"/>
    </row>
    <row r="2">
      <c r="A2" s="1465" t="s">
        <v>3626</v>
      </c>
      <c r="B2" s="1465" t="s">
        <v>602</v>
      </c>
      <c r="C2" s="1465" t="s">
        <v>3627</v>
      </c>
      <c r="D2" s="1465" t="s">
        <v>1515</v>
      </c>
      <c r="E2" s="1465" t="s">
        <v>3628</v>
      </c>
      <c r="F2" s="1465" t="s">
        <v>3629</v>
      </c>
      <c r="G2" s="1466"/>
      <c r="H2" s="1467" t="s">
        <v>3630</v>
      </c>
      <c r="I2" s="1465" t="s">
        <v>3631</v>
      </c>
      <c r="J2" s="1467" t="s">
        <v>3632</v>
      </c>
      <c r="K2" s="1465" t="s">
        <v>3633</v>
      </c>
      <c r="L2" s="1465" t="s">
        <v>3634</v>
      </c>
      <c r="M2" s="1464"/>
      <c r="N2" s="1464"/>
      <c r="O2" s="1464"/>
      <c r="P2" s="1464"/>
      <c r="Q2" s="1464"/>
      <c r="R2" s="1464"/>
      <c r="S2" s="1464"/>
      <c r="T2" s="1464"/>
      <c r="U2" s="1464"/>
      <c r="V2" s="1464"/>
      <c r="W2" s="1464"/>
      <c r="X2" s="1464"/>
      <c r="Y2" s="1464"/>
      <c r="Z2" s="1464"/>
    </row>
    <row r="3">
      <c r="A3" s="1468" t="s">
        <v>3635</v>
      </c>
      <c r="B3" s="1469">
        <v>80000.0</v>
      </c>
      <c r="C3" s="1470">
        <v>2020.0</v>
      </c>
      <c r="D3" s="1469" t="s">
        <v>3636</v>
      </c>
      <c r="E3" s="1469" t="s">
        <v>3637</v>
      </c>
      <c r="F3" s="1471" t="s">
        <v>3638</v>
      </c>
      <c r="G3" s="1464"/>
      <c r="H3" s="1470" t="s">
        <v>3639</v>
      </c>
      <c r="I3" s="1472">
        <v>45748.0</v>
      </c>
      <c r="J3" s="1472" t="s">
        <v>3640</v>
      </c>
      <c r="K3" s="1470" t="s">
        <v>3641</v>
      </c>
      <c r="L3" s="1464"/>
      <c r="M3" s="1464"/>
      <c r="N3" s="1464"/>
      <c r="O3" s="1464"/>
      <c r="P3" s="1464"/>
      <c r="Q3" s="1464"/>
      <c r="R3" s="1464"/>
      <c r="S3" s="1464"/>
      <c r="T3" s="1464"/>
      <c r="U3" s="1464"/>
      <c r="V3" s="1464"/>
      <c r="W3" s="1464"/>
      <c r="X3" s="1464"/>
      <c r="Y3" s="1464"/>
      <c r="Z3" s="1464"/>
    </row>
    <row r="4">
      <c r="A4" s="1468" t="s">
        <v>3642</v>
      </c>
      <c r="B4" s="1469">
        <v>80000.0</v>
      </c>
      <c r="C4" s="1470">
        <v>2020.0</v>
      </c>
      <c r="D4" s="1469" t="s">
        <v>3636</v>
      </c>
      <c r="E4" s="1469" t="s">
        <v>3637</v>
      </c>
      <c r="F4" s="1471" t="s">
        <v>3643</v>
      </c>
      <c r="G4" s="1464"/>
      <c r="H4" s="1470" t="s">
        <v>3639</v>
      </c>
      <c r="I4" s="1472">
        <v>45748.0</v>
      </c>
      <c r="J4" s="1472" t="s">
        <v>3640</v>
      </c>
      <c r="K4" s="1470" t="s">
        <v>3641</v>
      </c>
      <c r="L4" s="1464"/>
      <c r="M4" s="1464"/>
      <c r="N4" s="1464"/>
      <c r="O4" s="1464"/>
      <c r="P4" s="1464"/>
      <c r="Q4" s="1464"/>
      <c r="R4" s="1464"/>
      <c r="S4" s="1464"/>
      <c r="T4" s="1464"/>
      <c r="U4" s="1464"/>
      <c r="V4" s="1464"/>
      <c r="W4" s="1464"/>
      <c r="X4" s="1464"/>
      <c r="Y4" s="1464"/>
      <c r="Z4" s="1464"/>
    </row>
    <row r="5">
      <c r="A5" s="1468" t="s">
        <v>3644</v>
      </c>
      <c r="B5" s="1469">
        <v>83000.0</v>
      </c>
      <c r="C5" s="1470">
        <v>2016.0</v>
      </c>
      <c r="D5" s="1473"/>
      <c r="E5" s="1473"/>
      <c r="F5" s="1471" t="s">
        <v>3645</v>
      </c>
      <c r="G5" s="1464"/>
      <c r="H5" s="1470" t="s">
        <v>3639</v>
      </c>
      <c r="I5" s="1472">
        <v>45778.0</v>
      </c>
      <c r="J5" s="1470" t="s">
        <v>3646</v>
      </c>
      <c r="K5" s="1470" t="s">
        <v>3647</v>
      </c>
      <c r="L5" s="1470" t="s">
        <v>3648</v>
      </c>
      <c r="M5" s="1464"/>
      <c r="N5" s="1464"/>
      <c r="O5" s="1464"/>
      <c r="P5" s="1464"/>
      <c r="Q5" s="1464"/>
      <c r="R5" s="1464"/>
      <c r="S5" s="1464"/>
      <c r="T5" s="1464"/>
      <c r="U5" s="1464"/>
      <c r="V5" s="1464"/>
      <c r="W5" s="1464"/>
      <c r="X5" s="1464"/>
      <c r="Y5" s="1464"/>
      <c r="Z5" s="1464"/>
    </row>
    <row r="6">
      <c r="A6" s="1474" t="s">
        <v>3425</v>
      </c>
      <c r="B6" s="1475">
        <v>80000.0</v>
      </c>
      <c r="C6" s="1476">
        <v>2020.0</v>
      </c>
      <c r="D6" s="1469" t="s">
        <v>3636</v>
      </c>
      <c r="E6" s="1469" t="s">
        <v>3637</v>
      </c>
      <c r="F6" s="1477" t="s">
        <v>3649</v>
      </c>
      <c r="G6" s="1464"/>
      <c r="H6" s="1470" t="s">
        <v>3639</v>
      </c>
      <c r="I6" s="1478">
        <v>45778.0</v>
      </c>
      <c r="J6" s="1478" t="s">
        <v>3640</v>
      </c>
      <c r="K6" s="1470" t="s">
        <v>3641</v>
      </c>
      <c r="L6" s="1464"/>
      <c r="M6" s="1464"/>
      <c r="N6" s="1464"/>
      <c r="O6" s="1464"/>
      <c r="P6" s="1464"/>
      <c r="Q6" s="1464"/>
      <c r="R6" s="1464"/>
      <c r="S6" s="1464"/>
      <c r="T6" s="1464"/>
      <c r="U6" s="1464"/>
      <c r="V6" s="1464"/>
      <c r="W6" s="1464"/>
      <c r="X6" s="1464"/>
      <c r="Y6" s="1464"/>
      <c r="Z6" s="1464"/>
    </row>
    <row r="7">
      <c r="A7" s="1474" t="s">
        <v>3435</v>
      </c>
      <c r="B7" s="1475">
        <v>84600.0</v>
      </c>
      <c r="C7" s="1476">
        <v>2021.0</v>
      </c>
      <c r="D7" s="1473"/>
      <c r="E7" s="1469" t="s">
        <v>3637</v>
      </c>
      <c r="F7" s="1477" t="s">
        <v>3650</v>
      </c>
      <c r="G7" s="1479"/>
      <c r="H7" s="1464"/>
      <c r="I7" s="1480">
        <v>45778.0</v>
      </c>
      <c r="J7" s="1476" t="s">
        <v>3651</v>
      </c>
      <c r="K7" s="1470" t="s">
        <v>3652</v>
      </c>
      <c r="L7" s="1464"/>
      <c r="M7" s="1479"/>
      <c r="N7" s="1479"/>
      <c r="O7" s="1479"/>
      <c r="P7" s="1479"/>
      <c r="Q7" s="1479"/>
      <c r="R7" s="1479"/>
      <c r="S7" s="1479"/>
      <c r="T7" s="1479"/>
      <c r="U7" s="1479"/>
      <c r="V7" s="1479"/>
      <c r="W7" s="1479"/>
      <c r="X7" s="1479"/>
      <c r="Y7" s="1479"/>
      <c r="Z7" s="1479"/>
    </row>
    <row r="8">
      <c r="A8" s="1468" t="s">
        <v>3653</v>
      </c>
      <c r="B8" s="1469">
        <v>78900.0</v>
      </c>
      <c r="C8" s="1470">
        <v>2001.0</v>
      </c>
      <c r="D8" s="1473"/>
      <c r="E8" s="1473"/>
      <c r="F8" s="1471" t="s">
        <v>3654</v>
      </c>
      <c r="G8" s="1464"/>
      <c r="H8" s="1476" t="s">
        <v>3639</v>
      </c>
      <c r="I8" s="1472">
        <v>45778.0</v>
      </c>
      <c r="J8" s="1470" t="s">
        <v>3655</v>
      </c>
      <c r="K8" s="1470" t="s">
        <v>3655</v>
      </c>
      <c r="L8" s="1464"/>
      <c r="M8" s="1464"/>
      <c r="N8" s="1464"/>
      <c r="O8" s="1464"/>
      <c r="P8" s="1464"/>
      <c r="Q8" s="1464"/>
      <c r="R8" s="1464"/>
      <c r="S8" s="1464"/>
      <c r="T8" s="1464"/>
      <c r="U8" s="1464"/>
      <c r="V8" s="1464"/>
      <c r="W8" s="1464"/>
      <c r="X8" s="1464"/>
      <c r="Y8" s="1464"/>
      <c r="Z8" s="1464"/>
    </row>
    <row r="9">
      <c r="A9" s="1474" t="s">
        <v>3656</v>
      </c>
      <c r="B9" s="1475">
        <v>93000.0</v>
      </c>
      <c r="C9" s="1476">
        <v>2023.0</v>
      </c>
      <c r="D9" s="1481"/>
      <c r="E9" s="1475" t="s">
        <v>666</v>
      </c>
      <c r="F9" s="1477" t="s">
        <v>3657</v>
      </c>
      <c r="G9" s="1479"/>
      <c r="H9" s="1476" t="s">
        <v>3639</v>
      </c>
      <c r="I9" s="1480">
        <v>45778.0</v>
      </c>
      <c r="J9" s="1476" t="s">
        <v>3658</v>
      </c>
      <c r="K9" s="1476" t="s">
        <v>3659</v>
      </c>
      <c r="L9" s="1479"/>
      <c r="M9" s="1464"/>
      <c r="N9" s="1464"/>
      <c r="O9" s="1464"/>
      <c r="P9" s="1464"/>
      <c r="Q9" s="1464"/>
      <c r="R9" s="1464"/>
      <c r="S9" s="1464"/>
      <c r="T9" s="1464"/>
      <c r="U9" s="1464"/>
      <c r="V9" s="1464"/>
      <c r="W9" s="1464"/>
      <c r="X9" s="1464"/>
      <c r="Y9" s="1464"/>
      <c r="Z9" s="1464"/>
    </row>
    <row r="10">
      <c r="A10" s="1474" t="s">
        <v>3660</v>
      </c>
      <c r="B10" s="1475">
        <v>80000.0</v>
      </c>
      <c r="C10" s="1476">
        <v>2020.0</v>
      </c>
      <c r="D10" s="1469" t="s">
        <v>3636</v>
      </c>
      <c r="E10" s="1469" t="s">
        <v>3637</v>
      </c>
      <c r="F10" s="1477" t="s">
        <v>3661</v>
      </c>
      <c r="G10" s="1464"/>
      <c r="H10" s="1470" t="s">
        <v>3639</v>
      </c>
      <c r="I10" s="1478">
        <v>45778.0</v>
      </c>
      <c r="J10" s="1478" t="s">
        <v>3640</v>
      </c>
      <c r="K10" s="1470" t="s">
        <v>3641</v>
      </c>
      <c r="L10" s="1464"/>
      <c r="M10" s="1464"/>
      <c r="N10" s="1464"/>
      <c r="O10" s="1464"/>
      <c r="P10" s="1464"/>
      <c r="Q10" s="1464"/>
      <c r="R10" s="1464"/>
      <c r="S10" s="1464"/>
      <c r="T10" s="1464"/>
      <c r="U10" s="1464"/>
      <c r="V10" s="1464"/>
      <c r="W10" s="1464"/>
      <c r="X10" s="1464"/>
      <c r="Y10" s="1464"/>
      <c r="Z10" s="1464"/>
    </row>
    <row r="11">
      <c r="A11" s="1474" t="s">
        <v>3662</v>
      </c>
      <c r="B11" s="1475">
        <v>93000.0</v>
      </c>
      <c r="C11" s="1476">
        <v>2023.0</v>
      </c>
      <c r="D11" s="1481"/>
      <c r="E11" s="1475" t="s">
        <v>666</v>
      </c>
      <c r="F11" s="1479"/>
      <c r="G11" s="1479"/>
      <c r="H11" s="1476" t="s">
        <v>3639</v>
      </c>
      <c r="I11" s="1480">
        <v>45778.0</v>
      </c>
      <c r="J11" s="1476" t="s">
        <v>3659</v>
      </c>
      <c r="K11" s="1476" t="s">
        <v>3659</v>
      </c>
      <c r="L11" s="1479"/>
      <c r="M11" s="1464"/>
      <c r="N11" s="1464"/>
      <c r="O11" s="1464"/>
      <c r="P11" s="1464"/>
      <c r="Q11" s="1464"/>
      <c r="R11" s="1464"/>
      <c r="S11" s="1464"/>
      <c r="T11" s="1464"/>
      <c r="U11" s="1464"/>
      <c r="V11" s="1464"/>
      <c r="W11" s="1464"/>
      <c r="X11" s="1464"/>
      <c r="Y11" s="1464"/>
      <c r="Z11" s="1464"/>
    </row>
    <row r="12">
      <c r="A12" s="1468" t="s">
        <v>3663</v>
      </c>
      <c r="B12" s="1469">
        <v>82000.0</v>
      </c>
      <c r="C12" s="1470">
        <v>2013.0</v>
      </c>
      <c r="D12" s="1473"/>
      <c r="E12" s="1469" t="s">
        <v>3637</v>
      </c>
      <c r="F12" s="1471" t="s">
        <v>3664</v>
      </c>
      <c r="G12" s="1464"/>
      <c r="H12" s="1470" t="s">
        <v>3639</v>
      </c>
      <c r="I12" s="1472">
        <v>45778.0</v>
      </c>
      <c r="J12" s="1470" t="s">
        <v>3659</v>
      </c>
      <c r="K12" s="1470" t="s">
        <v>3659</v>
      </c>
      <c r="L12" s="1464"/>
      <c r="M12" s="1482">
        <v>45754.0</v>
      </c>
      <c r="N12" s="1464"/>
      <c r="O12" s="1464"/>
      <c r="P12" s="1464"/>
      <c r="Q12" s="1464"/>
      <c r="R12" s="1464"/>
      <c r="S12" s="1464"/>
      <c r="T12" s="1464"/>
      <c r="U12" s="1464"/>
      <c r="V12" s="1464"/>
      <c r="W12" s="1464"/>
      <c r="X12" s="1464"/>
      <c r="Y12" s="1464"/>
      <c r="Z12" s="1464"/>
    </row>
    <row r="13">
      <c r="A13" s="1468" t="s">
        <v>3644</v>
      </c>
      <c r="B13" s="1469">
        <v>83000.0</v>
      </c>
      <c r="C13" s="1470">
        <v>2016.0</v>
      </c>
      <c r="D13" s="1473"/>
      <c r="E13" s="1473"/>
      <c r="F13" s="1471" t="s">
        <v>3665</v>
      </c>
      <c r="G13" s="1464"/>
      <c r="H13" s="1470" t="s">
        <v>3639</v>
      </c>
      <c r="I13" s="1472">
        <v>45778.0</v>
      </c>
      <c r="J13" s="1470" t="s">
        <v>3646</v>
      </c>
      <c r="K13" s="1470" t="s">
        <v>3647</v>
      </c>
      <c r="L13" s="1470" t="s">
        <v>3666</v>
      </c>
      <c r="M13" s="1464"/>
      <c r="N13" s="1464"/>
      <c r="O13" s="1464"/>
      <c r="P13" s="1464"/>
      <c r="Q13" s="1464"/>
      <c r="R13" s="1464"/>
      <c r="S13" s="1464"/>
      <c r="T13" s="1464"/>
      <c r="U13" s="1464"/>
      <c r="V13" s="1464"/>
      <c r="W13" s="1464"/>
      <c r="X13" s="1464"/>
      <c r="Y13" s="1464"/>
      <c r="Z13" s="1464"/>
    </row>
    <row r="14">
      <c r="A14" s="1474" t="s">
        <v>3662</v>
      </c>
      <c r="B14" s="1475">
        <v>93000.0</v>
      </c>
      <c r="C14" s="1476">
        <v>2023.0</v>
      </c>
      <c r="D14" s="1481"/>
      <c r="E14" s="1475" t="s">
        <v>666</v>
      </c>
      <c r="F14" s="1477" t="s">
        <v>3667</v>
      </c>
      <c r="G14" s="1479"/>
      <c r="H14" s="1476" t="s">
        <v>3639</v>
      </c>
      <c r="I14" s="1480">
        <v>45778.0</v>
      </c>
      <c r="J14" s="1476" t="s">
        <v>3658</v>
      </c>
      <c r="K14" s="1476" t="s">
        <v>3659</v>
      </c>
      <c r="L14" s="1479"/>
      <c r="M14" s="1479"/>
      <c r="N14" s="1479"/>
      <c r="O14" s="1479"/>
      <c r="P14" s="1479"/>
      <c r="Q14" s="1479"/>
      <c r="R14" s="1479"/>
      <c r="S14" s="1479"/>
      <c r="T14" s="1479"/>
      <c r="U14" s="1479"/>
      <c r="V14" s="1479"/>
      <c r="W14" s="1479"/>
      <c r="X14" s="1479"/>
      <c r="Y14" s="1479"/>
      <c r="Z14" s="1479"/>
    </row>
    <row r="15">
      <c r="A15" s="1474" t="s">
        <v>3435</v>
      </c>
      <c r="B15" s="1475">
        <v>84600.0</v>
      </c>
      <c r="C15" s="1476">
        <v>2021.0</v>
      </c>
      <c r="D15" s="1473"/>
      <c r="E15" s="1469" t="s">
        <v>3637</v>
      </c>
      <c r="F15" s="1477" t="s">
        <v>3668</v>
      </c>
      <c r="G15" s="1464"/>
      <c r="H15" s="1464"/>
      <c r="I15" s="1480">
        <v>45778.0</v>
      </c>
      <c r="J15" s="1476" t="s">
        <v>3651</v>
      </c>
      <c r="K15" s="1470" t="s">
        <v>3669</v>
      </c>
      <c r="L15" s="1464"/>
      <c r="M15" s="1464"/>
      <c r="N15" s="1464"/>
      <c r="O15" s="1464"/>
      <c r="P15" s="1464"/>
      <c r="Q15" s="1464"/>
      <c r="R15" s="1464"/>
      <c r="S15" s="1464"/>
      <c r="T15" s="1464"/>
      <c r="U15" s="1464"/>
      <c r="V15" s="1464"/>
      <c r="W15" s="1464"/>
      <c r="X15" s="1464"/>
      <c r="Y15" s="1464"/>
      <c r="Z15" s="1464"/>
    </row>
    <row r="16">
      <c r="A16" s="1468" t="s">
        <v>3670</v>
      </c>
      <c r="B16" s="1469">
        <v>83000.0</v>
      </c>
      <c r="C16" s="1470">
        <v>2016.0</v>
      </c>
      <c r="D16" s="1473"/>
      <c r="E16" s="1473"/>
      <c r="F16" s="1471" t="s">
        <v>3671</v>
      </c>
      <c r="G16" s="1464"/>
      <c r="H16" s="1470" t="s">
        <v>3639</v>
      </c>
      <c r="I16" s="1472">
        <v>45809.0</v>
      </c>
      <c r="J16" s="1470" t="s">
        <v>748</v>
      </c>
      <c r="K16" s="1470" t="s">
        <v>3647</v>
      </c>
      <c r="L16" s="1464"/>
      <c r="M16" s="1464"/>
      <c r="N16" s="1464"/>
      <c r="O16" s="1464"/>
      <c r="P16" s="1464"/>
      <c r="Q16" s="1464"/>
      <c r="R16" s="1464"/>
      <c r="S16" s="1464"/>
      <c r="T16" s="1464"/>
      <c r="U16" s="1464"/>
      <c r="V16" s="1464"/>
      <c r="W16" s="1464"/>
      <c r="X16" s="1464"/>
      <c r="Y16" s="1464"/>
      <c r="Z16" s="1464"/>
    </row>
    <row r="17">
      <c r="A17" s="1468" t="s">
        <v>3398</v>
      </c>
      <c r="B17" s="1469">
        <v>84000.0</v>
      </c>
      <c r="C17" s="1470">
        <v>2015.0</v>
      </c>
      <c r="D17" s="1473"/>
      <c r="E17" s="1469" t="s">
        <v>3637</v>
      </c>
      <c r="F17" s="1471" t="s">
        <v>3672</v>
      </c>
      <c r="G17" s="1464"/>
      <c r="H17" s="1470" t="s">
        <v>3639</v>
      </c>
      <c r="I17" s="1472">
        <v>45809.0</v>
      </c>
      <c r="J17" s="1472" t="s">
        <v>761</v>
      </c>
      <c r="K17" s="1470" t="s">
        <v>3673</v>
      </c>
      <c r="L17" s="1464"/>
      <c r="M17" s="1464"/>
      <c r="N17" s="1464"/>
      <c r="O17" s="1464"/>
      <c r="P17" s="1464"/>
      <c r="Q17" s="1464"/>
      <c r="R17" s="1464"/>
      <c r="S17" s="1464"/>
      <c r="T17" s="1464"/>
      <c r="U17" s="1464"/>
      <c r="V17" s="1464"/>
      <c r="W17" s="1464"/>
      <c r="X17" s="1464"/>
      <c r="Y17" s="1464"/>
      <c r="Z17" s="1464"/>
    </row>
    <row r="18">
      <c r="A18" s="1474" t="s">
        <v>3674</v>
      </c>
      <c r="B18" s="1475">
        <v>86000.0</v>
      </c>
      <c r="C18" s="1476">
        <v>2021.0</v>
      </c>
      <c r="D18" s="1481"/>
      <c r="E18" s="1475" t="s">
        <v>666</v>
      </c>
      <c r="F18" s="1477" t="s">
        <v>3675</v>
      </c>
      <c r="G18" s="1479"/>
      <c r="H18" s="1470" t="s">
        <v>3639</v>
      </c>
      <c r="I18" s="1472">
        <v>45809.0</v>
      </c>
      <c r="J18" s="1476" t="s">
        <v>2935</v>
      </c>
      <c r="K18" s="1470" t="s">
        <v>3647</v>
      </c>
      <c r="L18" s="1483" t="s">
        <v>3676</v>
      </c>
      <c r="M18" s="1464"/>
      <c r="N18" s="1464"/>
      <c r="O18" s="1464"/>
      <c r="P18" s="1464"/>
      <c r="Q18" s="1464"/>
      <c r="R18" s="1464"/>
      <c r="S18" s="1464"/>
      <c r="T18" s="1464"/>
      <c r="U18" s="1464"/>
      <c r="V18" s="1464"/>
      <c r="W18" s="1464"/>
      <c r="X18" s="1464"/>
      <c r="Y18" s="1464"/>
      <c r="Z18" s="1464"/>
    </row>
    <row r="19">
      <c r="A19" s="1474" t="s">
        <v>3677</v>
      </c>
      <c r="B19" s="1475">
        <v>93000.0</v>
      </c>
      <c r="C19" s="1476">
        <v>2023.0</v>
      </c>
      <c r="D19" s="1481"/>
      <c r="E19" s="1475" t="s">
        <v>666</v>
      </c>
      <c r="F19" s="1477" t="s">
        <v>3675</v>
      </c>
      <c r="G19" s="1479"/>
      <c r="H19" s="1470" t="s">
        <v>3639</v>
      </c>
      <c r="I19" s="1472">
        <v>45809.0</v>
      </c>
      <c r="J19" s="1476" t="s">
        <v>2935</v>
      </c>
      <c r="K19" s="1476" t="s">
        <v>3647</v>
      </c>
      <c r="L19" s="1483" t="s">
        <v>3676</v>
      </c>
      <c r="M19" s="1464"/>
      <c r="N19" s="1464"/>
      <c r="O19" s="1464"/>
      <c r="P19" s="1464"/>
      <c r="Q19" s="1464"/>
      <c r="R19" s="1464"/>
      <c r="S19" s="1464"/>
      <c r="T19" s="1464"/>
      <c r="U19" s="1464"/>
      <c r="V19" s="1464"/>
      <c r="W19" s="1464"/>
      <c r="X19" s="1464"/>
      <c r="Y19" s="1464"/>
      <c r="Z19" s="1464"/>
    </row>
    <row r="20">
      <c r="A20" s="1468" t="s">
        <v>3398</v>
      </c>
      <c r="B20" s="1469">
        <v>84000.0</v>
      </c>
      <c r="C20" s="1470">
        <v>2015.0</v>
      </c>
      <c r="D20" s="1473"/>
      <c r="E20" s="1469" t="s">
        <v>3637</v>
      </c>
      <c r="F20" s="1471" t="s">
        <v>3678</v>
      </c>
      <c r="G20" s="1464"/>
      <c r="H20" s="1470" t="s">
        <v>3639</v>
      </c>
      <c r="I20" s="1472">
        <v>45809.0</v>
      </c>
      <c r="J20" s="1472" t="s">
        <v>761</v>
      </c>
      <c r="K20" s="1470" t="s">
        <v>3673</v>
      </c>
      <c r="L20" s="1464"/>
      <c r="M20" s="1464"/>
      <c r="N20" s="1464"/>
      <c r="O20" s="1464"/>
      <c r="P20" s="1464"/>
      <c r="Q20" s="1464"/>
      <c r="R20" s="1464"/>
      <c r="S20" s="1464"/>
      <c r="T20" s="1464"/>
      <c r="U20" s="1464"/>
      <c r="V20" s="1464"/>
      <c r="W20" s="1464"/>
      <c r="X20" s="1464"/>
      <c r="Y20" s="1464"/>
      <c r="Z20" s="1464"/>
    </row>
    <row r="21">
      <c r="A21" s="1468" t="s">
        <v>3679</v>
      </c>
      <c r="B21" s="1469">
        <v>84000.0</v>
      </c>
      <c r="C21" s="1470">
        <v>2015.0</v>
      </c>
      <c r="D21" s="1473"/>
      <c r="E21" s="1473"/>
      <c r="F21" s="1471" t="s">
        <v>3680</v>
      </c>
      <c r="G21" s="1464"/>
      <c r="H21" s="1470" t="s">
        <v>3639</v>
      </c>
      <c r="I21" s="1472">
        <v>45809.0</v>
      </c>
      <c r="J21" s="1470" t="s">
        <v>3681</v>
      </c>
      <c r="K21" s="1470" t="s">
        <v>3673</v>
      </c>
      <c r="L21" s="1464"/>
      <c r="M21" s="1464"/>
      <c r="N21" s="1464"/>
      <c r="O21" s="1464"/>
      <c r="P21" s="1464"/>
      <c r="Q21" s="1464"/>
      <c r="R21" s="1464"/>
      <c r="S21" s="1464"/>
      <c r="T21" s="1464"/>
      <c r="U21" s="1464"/>
      <c r="V21" s="1464"/>
      <c r="W21" s="1464"/>
      <c r="X21" s="1464"/>
      <c r="Y21" s="1464"/>
      <c r="Z21" s="1464"/>
    </row>
    <row r="22">
      <c r="A22" s="1468" t="s">
        <v>3682</v>
      </c>
      <c r="B22" s="1469">
        <v>82000.0</v>
      </c>
      <c r="C22" s="1470">
        <v>2013.0</v>
      </c>
      <c r="D22" s="1473"/>
      <c r="E22" s="1469" t="s">
        <v>3637</v>
      </c>
      <c r="F22" s="1471" t="s">
        <v>3683</v>
      </c>
      <c r="G22" s="1464"/>
      <c r="H22" s="1470" t="s">
        <v>3639</v>
      </c>
      <c r="I22" s="1472">
        <v>45809.0</v>
      </c>
      <c r="J22" s="1470" t="s">
        <v>3684</v>
      </c>
      <c r="K22" s="1470" t="s">
        <v>3659</v>
      </c>
      <c r="L22" s="1464"/>
      <c r="M22" s="1464"/>
      <c r="N22" s="1464"/>
      <c r="O22" s="1464"/>
      <c r="P22" s="1464"/>
      <c r="Q22" s="1464"/>
      <c r="R22" s="1464"/>
      <c r="S22" s="1464"/>
      <c r="T22" s="1464"/>
      <c r="U22" s="1464"/>
      <c r="V22" s="1464"/>
      <c r="W22" s="1464"/>
      <c r="X22" s="1464"/>
      <c r="Y22" s="1464"/>
      <c r="Z22" s="1464"/>
    </row>
    <row r="23">
      <c r="A23" s="1468" t="s">
        <v>3685</v>
      </c>
      <c r="B23" s="1469">
        <v>82000.0</v>
      </c>
      <c r="C23" s="1470">
        <v>2013.0</v>
      </c>
      <c r="D23" s="1473"/>
      <c r="E23" s="1469" t="s">
        <v>3637</v>
      </c>
      <c r="F23" s="1471" t="s">
        <v>3686</v>
      </c>
      <c r="G23" s="1464"/>
      <c r="H23" s="1470" t="s">
        <v>3639</v>
      </c>
      <c r="I23" s="1472">
        <v>45809.0</v>
      </c>
      <c r="J23" s="1470" t="s">
        <v>3684</v>
      </c>
      <c r="K23" s="1470" t="s">
        <v>3659</v>
      </c>
      <c r="L23" s="1464"/>
      <c r="M23" s="1464"/>
      <c r="N23" s="1464"/>
      <c r="O23" s="1464"/>
      <c r="P23" s="1464"/>
      <c r="Q23" s="1464"/>
      <c r="R23" s="1464"/>
      <c r="S23" s="1464"/>
      <c r="T23" s="1464"/>
      <c r="U23" s="1464"/>
      <c r="V23" s="1464"/>
      <c r="W23" s="1464"/>
      <c r="X23" s="1464"/>
      <c r="Y23" s="1464"/>
      <c r="Z23" s="1464"/>
    </row>
    <row r="24">
      <c r="A24" s="1468" t="s">
        <v>3687</v>
      </c>
      <c r="B24" s="1469">
        <v>84000.0</v>
      </c>
      <c r="C24" s="1470">
        <v>2016.0</v>
      </c>
      <c r="D24" s="1473"/>
      <c r="E24" s="1473"/>
      <c r="F24" s="1471" t="s">
        <v>3688</v>
      </c>
      <c r="G24" s="1464"/>
      <c r="H24" s="1470" t="s">
        <v>3639</v>
      </c>
      <c r="I24" s="1472">
        <v>45809.0</v>
      </c>
      <c r="J24" s="1470" t="s">
        <v>3684</v>
      </c>
      <c r="K24" s="1470" t="s">
        <v>3659</v>
      </c>
      <c r="L24" s="1464"/>
      <c r="M24" s="1464"/>
      <c r="N24" s="1464"/>
      <c r="O24" s="1464"/>
      <c r="P24" s="1464"/>
      <c r="Q24" s="1464"/>
      <c r="R24" s="1464"/>
      <c r="S24" s="1464"/>
      <c r="T24" s="1464"/>
      <c r="U24" s="1464"/>
      <c r="V24" s="1464"/>
      <c r="W24" s="1464"/>
      <c r="X24" s="1464"/>
      <c r="Y24" s="1464"/>
      <c r="Z24" s="1464"/>
    </row>
    <row r="25">
      <c r="A25" s="1468" t="s">
        <v>3687</v>
      </c>
      <c r="B25" s="1469">
        <v>84000.0</v>
      </c>
      <c r="C25" s="1470">
        <v>2016.0</v>
      </c>
      <c r="D25" s="1473"/>
      <c r="E25" s="1473"/>
      <c r="F25" s="1471" t="s">
        <v>3689</v>
      </c>
      <c r="G25" s="1464"/>
      <c r="H25" s="1470" t="s">
        <v>3639</v>
      </c>
      <c r="I25" s="1484">
        <v>45809.0</v>
      </c>
      <c r="J25" s="1470" t="s">
        <v>3684</v>
      </c>
      <c r="K25" s="1470" t="s">
        <v>3659</v>
      </c>
      <c r="L25" s="1464"/>
      <c r="M25" s="1464"/>
      <c r="N25" s="1464"/>
      <c r="O25" s="1464"/>
      <c r="P25" s="1464"/>
      <c r="Q25" s="1464"/>
      <c r="R25" s="1464"/>
      <c r="S25" s="1464"/>
      <c r="T25" s="1464"/>
      <c r="U25" s="1464"/>
      <c r="V25" s="1464"/>
      <c r="W25" s="1464"/>
      <c r="X25" s="1464"/>
      <c r="Y25" s="1464"/>
      <c r="Z25" s="1464"/>
    </row>
    <row r="26">
      <c r="A26" s="1468" t="s">
        <v>3685</v>
      </c>
      <c r="B26" s="1469">
        <v>82000.0</v>
      </c>
      <c r="C26" s="1470">
        <v>2013.0</v>
      </c>
      <c r="D26" s="1473"/>
      <c r="E26" s="1469" t="s">
        <v>3637</v>
      </c>
      <c r="F26" s="1471" t="s">
        <v>3690</v>
      </c>
      <c r="G26" s="1464"/>
      <c r="H26" s="1470" t="s">
        <v>3639</v>
      </c>
      <c r="I26" s="1472">
        <v>45809.0</v>
      </c>
      <c r="J26" s="1470" t="s">
        <v>3684</v>
      </c>
      <c r="K26" s="1470" t="s">
        <v>3659</v>
      </c>
      <c r="L26" s="1464"/>
      <c r="M26" s="1479"/>
      <c r="N26" s="1479"/>
      <c r="O26" s="1479"/>
      <c r="P26" s="1479"/>
      <c r="Q26" s="1479"/>
      <c r="R26" s="1479"/>
      <c r="S26" s="1479"/>
      <c r="T26" s="1479"/>
      <c r="U26" s="1479"/>
      <c r="V26" s="1479"/>
      <c r="W26" s="1479"/>
      <c r="X26" s="1479"/>
      <c r="Y26" s="1479"/>
      <c r="Z26" s="1479"/>
    </row>
    <row r="27">
      <c r="A27" s="1468" t="s">
        <v>3679</v>
      </c>
      <c r="B27" s="1469">
        <v>84000.0</v>
      </c>
      <c r="C27" s="1470">
        <v>2015.0</v>
      </c>
      <c r="D27" s="1473"/>
      <c r="E27" s="1473"/>
      <c r="F27" s="1471" t="s">
        <v>3672</v>
      </c>
      <c r="G27" s="1464"/>
      <c r="H27" s="1470" t="s">
        <v>3639</v>
      </c>
      <c r="I27" s="1472">
        <v>45809.0</v>
      </c>
      <c r="J27" s="1470" t="s">
        <v>3681</v>
      </c>
      <c r="K27" s="1470" t="s">
        <v>3673</v>
      </c>
      <c r="L27" s="1464"/>
      <c r="M27" s="1464"/>
      <c r="N27" s="1464"/>
      <c r="O27" s="1464"/>
      <c r="P27" s="1464"/>
      <c r="Q27" s="1464"/>
      <c r="R27" s="1464"/>
      <c r="S27" s="1464"/>
      <c r="T27" s="1464"/>
      <c r="U27" s="1464"/>
      <c r="V27" s="1464"/>
      <c r="W27" s="1464"/>
      <c r="X27" s="1464"/>
      <c r="Y27" s="1464"/>
      <c r="Z27" s="1464"/>
    </row>
    <row r="28">
      <c r="A28" s="1474" t="s">
        <v>3677</v>
      </c>
      <c r="B28" s="1475">
        <v>93000.0</v>
      </c>
      <c r="C28" s="1476">
        <v>2023.0</v>
      </c>
      <c r="D28" s="1481"/>
      <c r="E28" s="1475" t="s">
        <v>666</v>
      </c>
      <c r="F28" s="1477" t="s">
        <v>3691</v>
      </c>
      <c r="G28" s="1479"/>
      <c r="H28" s="1470" t="s">
        <v>3639</v>
      </c>
      <c r="I28" s="1480">
        <v>45809.0</v>
      </c>
      <c r="J28" s="1476" t="s">
        <v>2935</v>
      </c>
      <c r="K28" s="1476" t="s">
        <v>3647</v>
      </c>
      <c r="L28" s="1471" t="s">
        <v>3692</v>
      </c>
      <c r="M28" s="1464"/>
      <c r="N28" s="1464"/>
      <c r="O28" s="1464"/>
      <c r="P28" s="1464"/>
      <c r="Q28" s="1464"/>
      <c r="R28" s="1464"/>
      <c r="S28" s="1464"/>
      <c r="T28" s="1464"/>
      <c r="U28" s="1464"/>
      <c r="V28" s="1464"/>
      <c r="W28" s="1464"/>
      <c r="X28" s="1464"/>
      <c r="Y28" s="1464"/>
      <c r="Z28" s="1464"/>
    </row>
    <row r="29">
      <c r="A29" s="1474" t="s">
        <v>3674</v>
      </c>
      <c r="B29" s="1475">
        <v>86000.0</v>
      </c>
      <c r="C29" s="1476">
        <v>2021.0</v>
      </c>
      <c r="D29" s="1481"/>
      <c r="E29" s="1475" t="s">
        <v>666</v>
      </c>
      <c r="F29" s="1477" t="s">
        <v>3691</v>
      </c>
      <c r="G29" s="1479"/>
      <c r="H29" s="1470" t="s">
        <v>3639</v>
      </c>
      <c r="I29" s="1480">
        <v>45809.0</v>
      </c>
      <c r="J29" s="1476" t="s">
        <v>2935</v>
      </c>
      <c r="K29" s="1470" t="s">
        <v>3647</v>
      </c>
      <c r="L29" s="1471" t="s">
        <v>3676</v>
      </c>
      <c r="M29" s="1464"/>
      <c r="N29" s="1464"/>
      <c r="O29" s="1464"/>
      <c r="P29" s="1464"/>
      <c r="Q29" s="1464"/>
      <c r="R29" s="1464"/>
      <c r="S29" s="1464"/>
      <c r="T29" s="1464"/>
      <c r="U29" s="1464"/>
      <c r="V29" s="1464"/>
      <c r="W29" s="1464"/>
      <c r="X29" s="1464"/>
      <c r="Y29" s="1464"/>
      <c r="Z29" s="1464"/>
    </row>
    <row r="30">
      <c r="A30" s="1468" t="s">
        <v>3670</v>
      </c>
      <c r="B30" s="1469">
        <v>83000.0</v>
      </c>
      <c r="C30" s="1470">
        <v>2016.0</v>
      </c>
      <c r="D30" s="1473"/>
      <c r="E30" s="1473"/>
      <c r="F30" s="1471" t="s">
        <v>3693</v>
      </c>
      <c r="G30" s="1464"/>
      <c r="H30" s="1470" t="s">
        <v>3639</v>
      </c>
      <c r="I30" s="1472">
        <v>45809.0</v>
      </c>
      <c r="J30" s="1470" t="s">
        <v>748</v>
      </c>
      <c r="K30" s="1470" t="s">
        <v>3647</v>
      </c>
      <c r="L30" s="1464"/>
      <c r="M30" s="1464"/>
      <c r="N30" s="1464"/>
      <c r="O30" s="1464"/>
      <c r="P30" s="1464"/>
      <c r="Q30" s="1464"/>
      <c r="R30" s="1464"/>
      <c r="S30" s="1464"/>
      <c r="T30" s="1464"/>
      <c r="U30" s="1464"/>
      <c r="V30" s="1464"/>
      <c r="W30" s="1464"/>
      <c r="X30" s="1464"/>
      <c r="Y30" s="1464"/>
      <c r="Z30" s="1464"/>
    </row>
    <row r="31">
      <c r="A31" s="1468" t="s">
        <v>3430</v>
      </c>
      <c r="B31" s="1469">
        <v>83300.0</v>
      </c>
      <c r="C31" s="1470">
        <v>2009.0</v>
      </c>
      <c r="D31" s="1473"/>
      <c r="E31" s="1469" t="s">
        <v>3637</v>
      </c>
      <c r="F31" s="1471" t="s">
        <v>3694</v>
      </c>
      <c r="G31" s="1464"/>
      <c r="H31" s="1464"/>
      <c r="I31" s="1472">
        <v>45838.0</v>
      </c>
      <c r="J31" s="1472" t="s">
        <v>3695</v>
      </c>
      <c r="K31" s="1476" t="s">
        <v>3696</v>
      </c>
      <c r="L31" s="1464"/>
      <c r="M31" s="1464"/>
      <c r="N31" s="1464"/>
      <c r="O31" s="1464"/>
      <c r="P31" s="1464"/>
      <c r="Q31" s="1464"/>
      <c r="R31" s="1464"/>
      <c r="S31" s="1464"/>
      <c r="T31" s="1464"/>
      <c r="U31" s="1464"/>
      <c r="V31" s="1464"/>
      <c r="W31" s="1464"/>
      <c r="X31" s="1464"/>
      <c r="Y31" s="1464"/>
      <c r="Z31" s="1464"/>
    </row>
    <row r="32">
      <c r="A32" s="1468" t="s">
        <v>3430</v>
      </c>
      <c r="B32" s="1469">
        <v>83300.0</v>
      </c>
      <c r="C32" s="1470">
        <v>2009.0</v>
      </c>
      <c r="D32" s="1473"/>
      <c r="E32" s="1469" t="s">
        <v>3637</v>
      </c>
      <c r="F32" s="1471" t="s">
        <v>3697</v>
      </c>
      <c r="G32" s="1464"/>
      <c r="H32" s="1464"/>
      <c r="I32" s="1472">
        <v>45838.0</v>
      </c>
      <c r="J32" s="1472" t="s">
        <v>3695</v>
      </c>
      <c r="K32" s="1470" t="s">
        <v>3696</v>
      </c>
      <c r="L32" s="1464"/>
      <c r="M32" s="1464"/>
      <c r="N32" s="1464"/>
      <c r="O32" s="1464"/>
      <c r="P32" s="1464"/>
      <c r="Q32" s="1464"/>
      <c r="R32" s="1464"/>
      <c r="S32" s="1464"/>
      <c r="T32" s="1464"/>
      <c r="U32" s="1464"/>
      <c r="V32" s="1464"/>
      <c r="W32" s="1464"/>
      <c r="X32" s="1464"/>
      <c r="Y32" s="1464"/>
      <c r="Z32" s="1464"/>
    </row>
    <row r="33">
      <c r="A33" s="1468" t="s">
        <v>3437</v>
      </c>
      <c r="B33" s="1469">
        <v>83000.0</v>
      </c>
      <c r="C33" s="1470">
        <v>2015.0</v>
      </c>
      <c r="D33" s="1473"/>
      <c r="E33" s="1473"/>
      <c r="F33" s="1471" t="s">
        <v>3698</v>
      </c>
      <c r="G33" s="1464"/>
      <c r="H33" s="1464"/>
      <c r="I33" s="1472">
        <v>45839.0</v>
      </c>
      <c r="J33" s="1470" t="s">
        <v>3699</v>
      </c>
      <c r="K33" s="1470" t="s">
        <v>3699</v>
      </c>
      <c r="L33" s="1464"/>
      <c r="M33" s="1464"/>
      <c r="N33" s="1464"/>
      <c r="O33" s="1464"/>
      <c r="P33" s="1464"/>
      <c r="Q33" s="1464"/>
      <c r="R33" s="1464"/>
      <c r="S33" s="1464"/>
      <c r="T33" s="1464"/>
      <c r="U33" s="1464"/>
      <c r="V33" s="1464"/>
      <c r="W33" s="1464"/>
      <c r="X33" s="1464"/>
      <c r="Y33" s="1464"/>
      <c r="Z33" s="1464"/>
    </row>
    <row r="34">
      <c r="A34" s="1468" t="s">
        <v>3427</v>
      </c>
      <c r="B34" s="1469">
        <v>83000.0</v>
      </c>
      <c r="C34" s="1470">
        <v>2015.0</v>
      </c>
      <c r="D34" s="1473"/>
      <c r="E34" s="1473"/>
      <c r="F34" s="1471" t="s">
        <v>3698</v>
      </c>
      <c r="G34" s="1464"/>
      <c r="H34" s="1464"/>
      <c r="I34" s="1472">
        <v>45839.0</v>
      </c>
      <c r="J34" s="1470" t="s">
        <v>3699</v>
      </c>
      <c r="K34" s="1470" t="s">
        <v>3699</v>
      </c>
      <c r="L34" s="1464"/>
      <c r="M34" s="1464"/>
      <c r="N34" s="1464"/>
      <c r="O34" s="1464"/>
      <c r="P34" s="1464"/>
      <c r="Q34" s="1464"/>
      <c r="R34" s="1464"/>
      <c r="S34" s="1464"/>
      <c r="T34" s="1464"/>
      <c r="U34" s="1464"/>
      <c r="V34" s="1464"/>
      <c r="W34" s="1464"/>
      <c r="X34" s="1464"/>
      <c r="Y34" s="1464"/>
      <c r="Z34" s="1464"/>
    </row>
    <row r="35">
      <c r="A35" s="1474" t="s">
        <v>3700</v>
      </c>
      <c r="B35" s="1475">
        <v>91000.0</v>
      </c>
      <c r="C35" s="1476">
        <v>2023.0</v>
      </c>
      <c r="D35" s="1481"/>
      <c r="E35" s="1475" t="s">
        <v>666</v>
      </c>
      <c r="F35" s="1477" t="s">
        <v>3701</v>
      </c>
      <c r="G35" s="1479"/>
      <c r="H35" s="1476" t="s">
        <v>3702</v>
      </c>
      <c r="I35" s="1480">
        <v>45839.0</v>
      </c>
      <c r="J35" s="1476" t="s">
        <v>2935</v>
      </c>
      <c r="K35" s="1476" t="s">
        <v>3703</v>
      </c>
      <c r="L35" s="1479"/>
      <c r="M35" s="1464"/>
      <c r="N35" s="1464"/>
      <c r="O35" s="1464"/>
      <c r="P35" s="1464"/>
      <c r="Q35" s="1464"/>
      <c r="R35" s="1464"/>
      <c r="S35" s="1464"/>
      <c r="T35" s="1464"/>
      <c r="U35" s="1464"/>
      <c r="V35" s="1464"/>
      <c r="W35" s="1464"/>
      <c r="X35" s="1464"/>
      <c r="Y35" s="1464"/>
      <c r="Z35" s="1464"/>
    </row>
    <row r="36">
      <c r="A36" s="1468" t="s">
        <v>3437</v>
      </c>
      <c r="B36" s="1469">
        <v>83000.0</v>
      </c>
      <c r="C36" s="1470">
        <v>2015.0</v>
      </c>
      <c r="D36" s="1473"/>
      <c r="E36" s="1473"/>
      <c r="F36" s="1471" t="s">
        <v>3704</v>
      </c>
      <c r="G36" s="1464"/>
      <c r="H36" s="1470" t="s">
        <v>3639</v>
      </c>
      <c r="I36" s="1472">
        <v>45839.0</v>
      </c>
      <c r="J36" s="1470" t="s">
        <v>3705</v>
      </c>
      <c r="K36" s="1470" t="s">
        <v>2935</v>
      </c>
      <c r="L36" s="1470" t="s">
        <v>3706</v>
      </c>
      <c r="M36" s="1464"/>
      <c r="N36" s="1464"/>
      <c r="O36" s="1464"/>
      <c r="P36" s="1464"/>
      <c r="Q36" s="1464"/>
      <c r="R36" s="1464"/>
      <c r="S36" s="1464"/>
      <c r="T36" s="1464"/>
      <c r="U36" s="1464"/>
      <c r="V36" s="1464"/>
      <c r="W36" s="1464"/>
      <c r="X36" s="1464"/>
      <c r="Y36" s="1464"/>
      <c r="Z36" s="1464"/>
    </row>
    <row r="37">
      <c r="A37" s="1468" t="s">
        <v>3427</v>
      </c>
      <c r="B37" s="1469">
        <v>83000.0</v>
      </c>
      <c r="C37" s="1470">
        <v>2015.0</v>
      </c>
      <c r="D37" s="1473"/>
      <c r="E37" s="1473"/>
      <c r="F37" s="1471" t="s">
        <v>3707</v>
      </c>
      <c r="G37" s="1464"/>
      <c r="H37" s="1470" t="s">
        <v>3639</v>
      </c>
      <c r="I37" s="1472">
        <v>45839.0</v>
      </c>
      <c r="J37" s="1470" t="s">
        <v>3708</v>
      </c>
      <c r="K37" s="1476" t="s">
        <v>2935</v>
      </c>
      <c r="L37" s="1470" t="s">
        <v>3709</v>
      </c>
      <c r="M37" s="1464"/>
      <c r="N37" s="1464"/>
      <c r="O37" s="1464"/>
      <c r="P37" s="1464"/>
      <c r="Q37" s="1464"/>
      <c r="R37" s="1464"/>
      <c r="S37" s="1464"/>
      <c r="T37" s="1464"/>
      <c r="U37" s="1464"/>
      <c r="V37" s="1464"/>
      <c r="W37" s="1464"/>
      <c r="X37" s="1464"/>
      <c r="Y37" s="1464"/>
      <c r="Z37" s="1464"/>
    </row>
    <row r="38">
      <c r="A38" s="1468" t="s">
        <v>3436</v>
      </c>
      <c r="B38" s="1469">
        <v>83000.0</v>
      </c>
      <c r="C38" s="1470">
        <v>2015.0</v>
      </c>
      <c r="D38" s="1473"/>
      <c r="E38" s="1469" t="s">
        <v>3637</v>
      </c>
      <c r="F38" s="1477" t="s">
        <v>3710</v>
      </c>
      <c r="G38" s="1464"/>
      <c r="H38" s="1470" t="s">
        <v>3639</v>
      </c>
      <c r="I38" s="1480">
        <v>45839.0</v>
      </c>
      <c r="J38" s="1476" t="s">
        <v>3681</v>
      </c>
      <c r="K38" s="1476" t="s">
        <v>2935</v>
      </c>
      <c r="L38" s="1464"/>
      <c r="M38" s="1464"/>
      <c r="N38" s="1464"/>
      <c r="O38" s="1464"/>
      <c r="P38" s="1464"/>
      <c r="Q38" s="1464"/>
      <c r="R38" s="1464"/>
      <c r="S38" s="1464"/>
      <c r="T38" s="1464"/>
      <c r="U38" s="1464"/>
      <c r="V38" s="1464"/>
      <c r="W38" s="1464"/>
      <c r="X38" s="1464"/>
      <c r="Y38" s="1464"/>
      <c r="Z38" s="1464"/>
    </row>
    <row r="39">
      <c r="A39" s="1474" t="s">
        <v>3700</v>
      </c>
      <c r="B39" s="1475">
        <v>91000.0</v>
      </c>
      <c r="C39" s="1476">
        <v>2023.0</v>
      </c>
      <c r="D39" s="1481"/>
      <c r="E39" s="1475" t="s">
        <v>666</v>
      </c>
      <c r="F39" s="1477" t="s">
        <v>3711</v>
      </c>
      <c r="G39" s="1479"/>
      <c r="H39" s="1476" t="s">
        <v>3702</v>
      </c>
      <c r="I39" s="1480">
        <v>45839.0</v>
      </c>
      <c r="J39" s="1476" t="s">
        <v>2935</v>
      </c>
      <c r="K39" s="1476" t="s">
        <v>3703</v>
      </c>
      <c r="L39" s="1479"/>
      <c r="M39" s="1464"/>
      <c r="N39" s="1464"/>
      <c r="O39" s="1464"/>
      <c r="P39" s="1464"/>
      <c r="Q39" s="1464"/>
      <c r="R39" s="1464"/>
      <c r="S39" s="1464"/>
      <c r="T39" s="1464"/>
      <c r="U39" s="1464"/>
      <c r="V39" s="1464"/>
      <c r="W39" s="1464"/>
      <c r="X39" s="1464"/>
      <c r="Y39" s="1464"/>
      <c r="Z39" s="1464"/>
    </row>
    <row r="40">
      <c r="A40" s="1468" t="s">
        <v>3712</v>
      </c>
      <c r="B40" s="1469">
        <v>78900.0</v>
      </c>
      <c r="C40" s="1470">
        <v>2004.0</v>
      </c>
      <c r="D40" s="1473"/>
      <c r="E40" s="1473"/>
      <c r="F40" s="1471" t="s">
        <v>3713</v>
      </c>
      <c r="G40" s="1464"/>
      <c r="H40" s="1464"/>
      <c r="I40" s="1480">
        <v>45839.0</v>
      </c>
      <c r="J40" s="1476" t="s">
        <v>3651</v>
      </c>
      <c r="K40" s="1470" t="s">
        <v>3669</v>
      </c>
      <c r="L40" s="1464"/>
      <c r="M40" s="1464"/>
      <c r="N40" s="1464"/>
      <c r="O40" s="1464"/>
      <c r="P40" s="1464"/>
      <c r="Q40" s="1464"/>
      <c r="R40" s="1464"/>
      <c r="S40" s="1464"/>
      <c r="T40" s="1464"/>
      <c r="U40" s="1464"/>
      <c r="V40" s="1464"/>
      <c r="W40" s="1464"/>
      <c r="X40" s="1464"/>
      <c r="Y40" s="1464"/>
      <c r="Z40" s="1464"/>
    </row>
    <row r="41">
      <c r="A41" s="1474" t="s">
        <v>3418</v>
      </c>
      <c r="B41" s="1475">
        <v>84000.0</v>
      </c>
      <c r="C41" s="1476">
        <v>2020.0</v>
      </c>
      <c r="D41" s="1473"/>
      <c r="E41" s="1469" t="s">
        <v>3637</v>
      </c>
      <c r="F41" s="1477" t="s">
        <v>3714</v>
      </c>
      <c r="G41" s="1479"/>
      <c r="H41" s="1470" t="s">
        <v>3639</v>
      </c>
      <c r="I41" s="1480">
        <v>45839.0</v>
      </c>
      <c r="J41" s="1480" t="s">
        <v>3715</v>
      </c>
      <c r="K41" s="1470" t="s">
        <v>3659</v>
      </c>
      <c r="L41" s="1464"/>
      <c r="M41" s="1464"/>
      <c r="N41" s="1464"/>
      <c r="O41" s="1464"/>
      <c r="P41" s="1464"/>
      <c r="Q41" s="1464"/>
      <c r="R41" s="1464"/>
      <c r="S41" s="1464"/>
      <c r="T41" s="1464"/>
      <c r="U41" s="1464"/>
      <c r="V41" s="1464"/>
      <c r="W41" s="1464"/>
      <c r="X41" s="1464"/>
      <c r="Y41" s="1464"/>
      <c r="Z41" s="1464"/>
    </row>
    <row r="42">
      <c r="A42" s="1485" t="s">
        <v>3716</v>
      </c>
      <c r="B42" s="1486">
        <v>88000.0</v>
      </c>
      <c r="C42" s="1487">
        <v>2025.0</v>
      </c>
      <c r="D42" s="1486" t="s">
        <v>3636</v>
      </c>
      <c r="E42" s="1486" t="s">
        <v>666</v>
      </c>
      <c r="F42" s="1488" t="s">
        <v>3717</v>
      </c>
      <c r="G42" s="1489"/>
      <c r="H42" s="1487" t="s">
        <v>3718</v>
      </c>
      <c r="I42" s="1490">
        <v>45839.0</v>
      </c>
      <c r="J42" s="1487" t="s">
        <v>3719</v>
      </c>
      <c r="K42" s="1487" t="s">
        <v>3719</v>
      </c>
      <c r="L42" s="1464"/>
      <c r="M42" s="1464"/>
      <c r="N42" s="1464"/>
      <c r="O42" s="1464"/>
      <c r="P42" s="1464"/>
      <c r="Q42" s="1464"/>
      <c r="R42" s="1464"/>
      <c r="S42" s="1464"/>
      <c r="T42" s="1464"/>
      <c r="U42" s="1464"/>
      <c r="V42" s="1464"/>
      <c r="W42" s="1464"/>
      <c r="X42" s="1464"/>
      <c r="Y42" s="1464"/>
      <c r="Z42" s="1464"/>
    </row>
    <row r="43">
      <c r="A43" s="1485" t="s">
        <v>3720</v>
      </c>
      <c r="B43" s="1486">
        <v>88000.0</v>
      </c>
      <c r="C43" s="1487">
        <v>2025.0</v>
      </c>
      <c r="D43" s="1486" t="s">
        <v>3636</v>
      </c>
      <c r="E43" s="1486" t="s">
        <v>666</v>
      </c>
      <c r="F43" s="1488" t="s">
        <v>3721</v>
      </c>
      <c r="G43" s="1489"/>
      <c r="H43" s="1487" t="s">
        <v>3718</v>
      </c>
      <c r="I43" s="1490">
        <v>45839.0</v>
      </c>
      <c r="J43" s="1487" t="s">
        <v>3722</v>
      </c>
      <c r="K43" s="1487" t="s">
        <v>3723</v>
      </c>
      <c r="L43" s="1464"/>
      <c r="M43" s="1464"/>
      <c r="N43" s="1464"/>
      <c r="O43" s="1464"/>
      <c r="P43" s="1464"/>
      <c r="Q43" s="1464"/>
      <c r="R43" s="1464"/>
      <c r="S43" s="1464"/>
      <c r="T43" s="1464"/>
      <c r="U43" s="1464"/>
      <c r="V43" s="1464"/>
      <c r="W43" s="1464"/>
      <c r="X43" s="1464"/>
      <c r="Y43" s="1464"/>
      <c r="Z43" s="1464"/>
    </row>
    <row r="44">
      <c r="A44" s="1468" t="s">
        <v>3440</v>
      </c>
      <c r="B44" s="1469">
        <v>80200.0</v>
      </c>
      <c r="C44" s="1470">
        <v>2010.0</v>
      </c>
      <c r="D44" s="1473"/>
      <c r="E44" s="1473"/>
      <c r="F44" s="1471" t="s">
        <v>3724</v>
      </c>
      <c r="G44" s="1464"/>
      <c r="H44" s="1464"/>
      <c r="I44" s="1491">
        <v>45839.0</v>
      </c>
      <c r="J44" s="1470" t="s">
        <v>1190</v>
      </c>
      <c r="K44" s="1470" t="s">
        <v>3725</v>
      </c>
      <c r="L44" s="1470" t="s">
        <v>3726</v>
      </c>
      <c r="M44" s="1464"/>
      <c r="N44" s="1464"/>
      <c r="O44" s="1464"/>
      <c r="P44" s="1464"/>
      <c r="Q44" s="1464"/>
      <c r="R44" s="1464"/>
      <c r="S44" s="1464"/>
      <c r="T44" s="1464"/>
      <c r="U44" s="1464"/>
      <c r="V44" s="1464"/>
      <c r="W44" s="1464"/>
      <c r="X44" s="1464"/>
      <c r="Y44" s="1464"/>
      <c r="Z44" s="1464"/>
    </row>
    <row r="45">
      <c r="A45" s="1468" t="s">
        <v>3727</v>
      </c>
      <c r="B45" s="1469">
        <v>78700.0</v>
      </c>
      <c r="C45" s="1470">
        <v>2017.0</v>
      </c>
      <c r="D45" s="1469" t="s">
        <v>3636</v>
      </c>
      <c r="E45" s="1473"/>
      <c r="F45" s="1471" t="s">
        <v>3728</v>
      </c>
      <c r="G45" s="1464"/>
      <c r="H45" s="1464"/>
      <c r="I45" s="1472">
        <v>45839.0</v>
      </c>
      <c r="J45" s="1472" t="s">
        <v>3729</v>
      </c>
      <c r="K45" s="1470" t="s">
        <v>3730</v>
      </c>
      <c r="L45" s="1479"/>
      <c r="M45" s="1479"/>
      <c r="N45" s="1479"/>
      <c r="O45" s="1479"/>
      <c r="P45" s="1479"/>
      <c r="Q45" s="1479"/>
      <c r="R45" s="1479"/>
      <c r="S45" s="1479"/>
      <c r="T45" s="1479"/>
      <c r="U45" s="1479"/>
      <c r="V45" s="1479"/>
      <c r="W45" s="1479"/>
      <c r="X45" s="1479"/>
      <c r="Y45" s="1479"/>
      <c r="Z45" s="1479"/>
    </row>
    <row r="46">
      <c r="A46" s="1474" t="s">
        <v>3700</v>
      </c>
      <c r="B46" s="1475">
        <v>91000.0</v>
      </c>
      <c r="C46" s="1476">
        <v>2023.0</v>
      </c>
      <c r="D46" s="1481"/>
      <c r="E46" s="1475" t="s">
        <v>666</v>
      </c>
      <c r="F46" s="1477" t="s">
        <v>3731</v>
      </c>
      <c r="G46" s="1479"/>
      <c r="H46" s="1476" t="s">
        <v>3702</v>
      </c>
      <c r="I46" s="1480">
        <v>45839.0</v>
      </c>
      <c r="J46" s="1476" t="s">
        <v>2935</v>
      </c>
      <c r="K46" s="1476" t="s">
        <v>3732</v>
      </c>
      <c r="L46" s="1479"/>
      <c r="M46" s="1479"/>
      <c r="N46" s="1479"/>
      <c r="O46" s="1479"/>
      <c r="P46" s="1479"/>
      <c r="Q46" s="1479"/>
      <c r="R46" s="1479"/>
      <c r="S46" s="1479"/>
      <c r="T46" s="1479"/>
      <c r="U46" s="1479"/>
      <c r="V46" s="1479"/>
      <c r="W46" s="1479"/>
      <c r="X46" s="1479"/>
      <c r="Y46" s="1479"/>
      <c r="Z46" s="1479"/>
    </row>
    <row r="47">
      <c r="A47" s="1468" t="s">
        <v>3440</v>
      </c>
      <c r="B47" s="1469">
        <v>80200.0</v>
      </c>
      <c r="C47" s="1470">
        <v>2010.0</v>
      </c>
      <c r="D47" s="1473"/>
      <c r="E47" s="1473"/>
      <c r="F47" s="1471" t="s">
        <v>3733</v>
      </c>
      <c r="G47" s="1464"/>
      <c r="H47" s="1464"/>
      <c r="I47" s="1491">
        <v>45839.0</v>
      </c>
      <c r="J47" s="1470" t="s">
        <v>1190</v>
      </c>
      <c r="K47" s="1470" t="s">
        <v>3725</v>
      </c>
      <c r="L47" s="1477" t="s">
        <v>3734</v>
      </c>
      <c r="M47" s="1479"/>
      <c r="N47" s="1479"/>
      <c r="O47" s="1479"/>
      <c r="P47" s="1479"/>
      <c r="Q47" s="1479"/>
      <c r="R47" s="1479"/>
      <c r="S47" s="1479"/>
      <c r="T47" s="1479"/>
      <c r="U47" s="1479"/>
      <c r="V47" s="1479"/>
      <c r="W47" s="1479"/>
      <c r="X47" s="1479"/>
      <c r="Y47" s="1479"/>
      <c r="Z47" s="1479"/>
    </row>
    <row r="48">
      <c r="A48" s="1468" t="s">
        <v>3735</v>
      </c>
      <c r="B48" s="1469">
        <v>82000.0</v>
      </c>
      <c r="C48" s="1470">
        <v>2008.0</v>
      </c>
      <c r="D48" s="1473"/>
      <c r="E48" s="1473"/>
      <c r="F48" s="1471" t="s">
        <v>3736</v>
      </c>
      <c r="G48" s="1464"/>
      <c r="H48" s="1470" t="s">
        <v>3639</v>
      </c>
      <c r="I48" s="1472">
        <v>45839.0</v>
      </c>
      <c r="J48" s="1470" t="s">
        <v>3737</v>
      </c>
      <c r="K48" s="1470" t="s">
        <v>3738</v>
      </c>
      <c r="L48" s="1464"/>
      <c r="M48" s="1479"/>
      <c r="N48" s="1479"/>
      <c r="O48" s="1479"/>
      <c r="P48" s="1479"/>
      <c r="Q48" s="1479"/>
      <c r="R48" s="1479"/>
      <c r="S48" s="1479"/>
      <c r="T48" s="1479"/>
      <c r="U48" s="1479"/>
      <c r="V48" s="1479"/>
      <c r="W48" s="1479"/>
      <c r="X48" s="1479"/>
      <c r="Y48" s="1479"/>
      <c r="Z48" s="1479"/>
    </row>
    <row r="49">
      <c r="A49" s="1468" t="s">
        <v>3735</v>
      </c>
      <c r="B49" s="1469">
        <v>82000.0</v>
      </c>
      <c r="C49" s="1470">
        <v>2008.0</v>
      </c>
      <c r="D49" s="1473"/>
      <c r="E49" s="1473"/>
      <c r="F49" s="1471" t="s">
        <v>3739</v>
      </c>
      <c r="G49" s="1464"/>
      <c r="H49" s="1470" t="s">
        <v>3639</v>
      </c>
      <c r="I49" s="1472">
        <v>45839.0</v>
      </c>
      <c r="J49" s="1470" t="s">
        <v>3737</v>
      </c>
      <c r="K49" s="1470" t="s">
        <v>3738</v>
      </c>
      <c r="L49" s="1464"/>
      <c r="M49" s="1479"/>
      <c r="N49" s="1479"/>
      <c r="O49" s="1479"/>
      <c r="P49" s="1479"/>
      <c r="Q49" s="1479"/>
      <c r="R49" s="1479"/>
      <c r="S49" s="1479"/>
      <c r="T49" s="1479"/>
      <c r="U49" s="1479"/>
      <c r="V49" s="1479"/>
      <c r="W49" s="1479"/>
      <c r="X49" s="1479"/>
      <c r="Y49" s="1479"/>
      <c r="Z49" s="1479"/>
    </row>
    <row r="50">
      <c r="A50" s="1488" t="s">
        <v>3740</v>
      </c>
      <c r="B50" s="1486">
        <v>86700.0</v>
      </c>
      <c r="C50" s="1487">
        <v>2025.0</v>
      </c>
      <c r="D50" s="1492"/>
      <c r="E50" s="1486" t="s">
        <v>666</v>
      </c>
      <c r="F50" s="1488" t="s">
        <v>3741</v>
      </c>
      <c r="G50" s="1489"/>
      <c r="H50" s="1487" t="s">
        <v>3718</v>
      </c>
      <c r="I50" s="1490">
        <v>45839.0</v>
      </c>
      <c r="J50" s="1487" t="s">
        <v>3207</v>
      </c>
      <c r="K50" s="1487" t="s">
        <v>3207</v>
      </c>
      <c r="L50" s="1479"/>
      <c r="M50" s="1479"/>
      <c r="N50" s="1479"/>
      <c r="O50" s="1479"/>
      <c r="P50" s="1479"/>
      <c r="Q50" s="1479"/>
      <c r="R50" s="1479"/>
      <c r="S50" s="1479"/>
      <c r="T50" s="1479"/>
      <c r="U50" s="1479"/>
      <c r="V50" s="1479"/>
      <c r="W50" s="1479"/>
      <c r="X50" s="1479"/>
      <c r="Y50" s="1479"/>
      <c r="Z50" s="1479"/>
    </row>
    <row r="51">
      <c r="A51" s="1474" t="s">
        <v>3418</v>
      </c>
      <c r="B51" s="1475">
        <v>84000.0</v>
      </c>
      <c r="C51" s="1476">
        <v>2020.0</v>
      </c>
      <c r="D51" s="1473"/>
      <c r="E51" s="1469" t="s">
        <v>3637</v>
      </c>
      <c r="F51" s="1477" t="s">
        <v>3742</v>
      </c>
      <c r="G51" s="1464"/>
      <c r="H51" s="1470" t="s">
        <v>3639</v>
      </c>
      <c r="I51" s="1480">
        <v>45839.0</v>
      </c>
      <c r="J51" s="1480" t="s">
        <v>3715</v>
      </c>
      <c r="K51" s="1470" t="s">
        <v>3659</v>
      </c>
      <c r="L51" s="1464"/>
      <c r="M51" s="1479"/>
      <c r="N51" s="1479"/>
      <c r="O51" s="1479"/>
      <c r="P51" s="1479"/>
      <c r="Q51" s="1479"/>
      <c r="R51" s="1479"/>
      <c r="S51" s="1479"/>
      <c r="T51" s="1479"/>
      <c r="U51" s="1479"/>
      <c r="V51" s="1479"/>
      <c r="W51" s="1479"/>
      <c r="X51" s="1479"/>
      <c r="Y51" s="1479"/>
      <c r="Z51" s="1479"/>
    </row>
    <row r="52">
      <c r="A52" s="1468" t="s">
        <v>3427</v>
      </c>
      <c r="B52" s="1469">
        <v>83000.0</v>
      </c>
      <c r="C52" s="1470">
        <v>2015.0</v>
      </c>
      <c r="D52" s="1473"/>
      <c r="E52" s="1473"/>
      <c r="F52" s="1471" t="s">
        <v>3743</v>
      </c>
      <c r="G52" s="1464"/>
      <c r="H52" s="1470" t="s">
        <v>3639</v>
      </c>
      <c r="I52" s="1472">
        <v>45839.0</v>
      </c>
      <c r="J52" s="1470" t="s">
        <v>3708</v>
      </c>
      <c r="K52" s="1476" t="s">
        <v>2935</v>
      </c>
      <c r="L52" s="1470" t="s">
        <v>3744</v>
      </c>
      <c r="M52" s="1479"/>
      <c r="N52" s="1479"/>
      <c r="O52" s="1479"/>
      <c r="P52" s="1479"/>
      <c r="Q52" s="1479"/>
      <c r="R52" s="1479"/>
      <c r="S52" s="1479"/>
      <c r="T52" s="1479"/>
      <c r="U52" s="1479"/>
      <c r="V52" s="1479"/>
      <c r="W52" s="1479"/>
      <c r="X52" s="1479"/>
      <c r="Y52" s="1479"/>
      <c r="Z52" s="1479"/>
    </row>
    <row r="53">
      <c r="A53" s="1468" t="s">
        <v>3436</v>
      </c>
      <c r="B53" s="1469">
        <v>83000.0</v>
      </c>
      <c r="C53" s="1470">
        <v>2015.0</v>
      </c>
      <c r="D53" s="1473"/>
      <c r="E53" s="1469" t="s">
        <v>3637</v>
      </c>
      <c r="F53" s="1477" t="s">
        <v>3745</v>
      </c>
      <c r="G53" s="1464"/>
      <c r="H53" s="1470" t="s">
        <v>3639</v>
      </c>
      <c r="I53" s="1480">
        <v>45839.0</v>
      </c>
      <c r="J53" s="1476" t="s">
        <v>3681</v>
      </c>
      <c r="K53" s="1476" t="s">
        <v>2935</v>
      </c>
      <c r="L53" s="1464"/>
      <c r="M53" s="1479"/>
      <c r="N53" s="1479"/>
      <c r="O53" s="1479"/>
      <c r="P53" s="1479"/>
      <c r="Q53" s="1479"/>
      <c r="R53" s="1479"/>
      <c r="S53" s="1479"/>
      <c r="T53" s="1479"/>
      <c r="U53" s="1479"/>
      <c r="V53" s="1479"/>
      <c r="W53" s="1479"/>
      <c r="X53" s="1479"/>
      <c r="Y53" s="1479"/>
      <c r="Z53" s="1479"/>
    </row>
    <row r="54">
      <c r="A54" s="1468" t="s">
        <v>3746</v>
      </c>
      <c r="B54" s="1469">
        <v>78700.0</v>
      </c>
      <c r="C54" s="1470">
        <v>2017.0</v>
      </c>
      <c r="D54" s="1469" t="s">
        <v>3636</v>
      </c>
      <c r="E54" s="1473"/>
      <c r="F54" s="1471" t="s">
        <v>3747</v>
      </c>
      <c r="G54" s="1464"/>
      <c r="H54" s="1464"/>
      <c r="I54" s="1472">
        <v>45839.0</v>
      </c>
      <c r="J54" s="1472" t="s">
        <v>3729</v>
      </c>
      <c r="K54" s="1470" t="s">
        <v>3730</v>
      </c>
      <c r="L54" s="1464"/>
      <c r="M54" s="1479"/>
      <c r="N54" s="1479"/>
      <c r="O54" s="1479"/>
      <c r="P54" s="1479"/>
      <c r="Q54" s="1479"/>
      <c r="R54" s="1479"/>
      <c r="S54" s="1479"/>
      <c r="T54" s="1479"/>
      <c r="U54" s="1479"/>
      <c r="V54" s="1479"/>
      <c r="W54" s="1479"/>
      <c r="X54" s="1479"/>
      <c r="Y54" s="1479"/>
      <c r="Z54" s="1479"/>
    </row>
    <row r="55">
      <c r="A55" s="1468" t="s">
        <v>3427</v>
      </c>
      <c r="B55" s="1469">
        <v>83000.0</v>
      </c>
      <c r="C55" s="1470">
        <v>2015.0</v>
      </c>
      <c r="D55" s="1473"/>
      <c r="E55" s="1473"/>
      <c r="F55" s="1471" t="s">
        <v>3748</v>
      </c>
      <c r="G55" s="1464"/>
      <c r="H55" s="1470" t="s">
        <v>3639</v>
      </c>
      <c r="I55" s="1472">
        <v>45839.0</v>
      </c>
      <c r="J55" s="1470" t="s">
        <v>3708</v>
      </c>
      <c r="K55" s="1476" t="s">
        <v>2935</v>
      </c>
      <c r="L55" s="1470" t="s">
        <v>3744</v>
      </c>
      <c r="M55" s="1479"/>
      <c r="N55" s="1479"/>
      <c r="O55" s="1479"/>
      <c r="P55" s="1479"/>
      <c r="Q55" s="1479"/>
      <c r="R55" s="1479"/>
      <c r="S55" s="1479"/>
      <c r="T55" s="1479"/>
      <c r="U55" s="1479"/>
      <c r="V55" s="1479"/>
      <c r="W55" s="1479"/>
      <c r="X55" s="1479"/>
      <c r="Y55" s="1479"/>
      <c r="Z55" s="1479"/>
    </row>
    <row r="56">
      <c r="A56" s="1468" t="s">
        <v>3437</v>
      </c>
      <c r="B56" s="1469">
        <v>83000.0</v>
      </c>
      <c r="C56" s="1470">
        <v>2015.0</v>
      </c>
      <c r="D56" s="1473"/>
      <c r="E56" s="1473"/>
      <c r="F56" s="1471" t="s">
        <v>3749</v>
      </c>
      <c r="G56" s="1464"/>
      <c r="H56" s="1470" t="s">
        <v>3639</v>
      </c>
      <c r="I56" s="1472">
        <v>45839.0</v>
      </c>
      <c r="J56" s="1470" t="s">
        <v>3705</v>
      </c>
      <c r="K56" s="1470" t="s">
        <v>2935</v>
      </c>
      <c r="L56" s="1479"/>
      <c r="M56" s="1479"/>
      <c r="N56" s="1479"/>
      <c r="O56" s="1479"/>
      <c r="P56" s="1479"/>
      <c r="Q56" s="1479"/>
      <c r="R56" s="1479"/>
      <c r="S56" s="1479"/>
      <c r="T56" s="1479"/>
      <c r="U56" s="1479"/>
      <c r="V56" s="1479"/>
      <c r="W56" s="1479"/>
      <c r="X56" s="1479"/>
      <c r="Y56" s="1479"/>
      <c r="Z56" s="1479"/>
    </row>
    <row r="57">
      <c r="A57" s="1468" t="s">
        <v>3712</v>
      </c>
      <c r="B57" s="1469">
        <v>78900.0</v>
      </c>
      <c r="C57" s="1470">
        <v>2004.0</v>
      </c>
      <c r="D57" s="1473"/>
      <c r="E57" s="1473"/>
      <c r="F57" s="1471" t="s">
        <v>3750</v>
      </c>
      <c r="G57" s="1464"/>
      <c r="H57" s="1464"/>
      <c r="I57" s="1480">
        <v>45839.0</v>
      </c>
      <c r="J57" s="1476" t="s">
        <v>3651</v>
      </c>
      <c r="K57" s="1470" t="s">
        <v>3669</v>
      </c>
      <c r="L57" s="1464"/>
      <c r="M57" s="1479"/>
      <c r="N57" s="1479"/>
      <c r="O57" s="1479"/>
      <c r="P57" s="1479"/>
      <c r="Q57" s="1479"/>
      <c r="R57" s="1479"/>
      <c r="S57" s="1479"/>
      <c r="T57" s="1479"/>
      <c r="U57" s="1479"/>
      <c r="V57" s="1479"/>
      <c r="W57" s="1479"/>
      <c r="X57" s="1479"/>
      <c r="Y57" s="1479"/>
      <c r="Z57" s="1479"/>
    </row>
    <row r="58">
      <c r="A58" s="1474" t="s">
        <v>3751</v>
      </c>
      <c r="B58" s="1475">
        <v>91000.0</v>
      </c>
      <c r="C58" s="1476">
        <v>2023.0</v>
      </c>
      <c r="D58" s="1481"/>
      <c r="E58" s="1475" t="s">
        <v>666</v>
      </c>
      <c r="F58" s="1477" t="s">
        <v>3752</v>
      </c>
      <c r="G58" s="1479"/>
      <c r="H58" s="1476" t="s">
        <v>3639</v>
      </c>
      <c r="I58" s="1480">
        <v>45870.0</v>
      </c>
      <c r="J58" s="1476" t="s">
        <v>761</v>
      </c>
      <c r="K58" s="1476" t="s">
        <v>3753</v>
      </c>
      <c r="L58" s="1479"/>
      <c r="M58" s="1479"/>
      <c r="N58" s="1479"/>
      <c r="O58" s="1479"/>
      <c r="P58" s="1479"/>
      <c r="Q58" s="1479"/>
      <c r="R58" s="1479"/>
      <c r="S58" s="1479"/>
      <c r="T58" s="1479"/>
      <c r="U58" s="1479"/>
      <c r="V58" s="1479"/>
      <c r="W58" s="1479"/>
      <c r="X58" s="1479"/>
      <c r="Y58" s="1479"/>
      <c r="Z58" s="1479"/>
    </row>
    <row r="59">
      <c r="A59" s="1468" t="s">
        <v>3408</v>
      </c>
      <c r="B59" s="1469">
        <v>84100.0</v>
      </c>
      <c r="C59" s="1470">
        <v>2015.0</v>
      </c>
      <c r="D59" s="1473"/>
      <c r="E59" s="1469" t="s">
        <v>666</v>
      </c>
      <c r="F59" s="1471" t="s">
        <v>3754</v>
      </c>
      <c r="G59" s="1464"/>
      <c r="H59" s="1470" t="s">
        <v>3639</v>
      </c>
      <c r="I59" s="1472">
        <v>45870.0</v>
      </c>
      <c r="J59" s="1470" t="s">
        <v>3755</v>
      </c>
      <c r="K59" s="1470" t="s">
        <v>2935</v>
      </c>
      <c r="L59" s="1464"/>
      <c r="M59" s="1464"/>
      <c r="N59" s="1464"/>
      <c r="O59" s="1464"/>
      <c r="P59" s="1464"/>
      <c r="Q59" s="1464"/>
      <c r="R59" s="1464"/>
      <c r="S59" s="1464"/>
      <c r="T59" s="1464"/>
      <c r="U59" s="1464"/>
      <c r="V59" s="1464"/>
      <c r="W59" s="1464"/>
      <c r="X59" s="1464"/>
      <c r="Y59" s="1464"/>
      <c r="Z59" s="1464"/>
    </row>
    <row r="60">
      <c r="A60" s="1468" t="s">
        <v>3448</v>
      </c>
      <c r="B60" s="1469">
        <v>84000.0</v>
      </c>
      <c r="C60" s="1470">
        <v>2015.0</v>
      </c>
      <c r="D60" s="1473"/>
      <c r="E60" s="1473"/>
      <c r="F60" s="1471" t="s">
        <v>3756</v>
      </c>
      <c r="G60" s="1479"/>
      <c r="H60" s="1470" t="s">
        <v>3639</v>
      </c>
      <c r="I60" s="1472">
        <v>45870.0</v>
      </c>
      <c r="J60" s="1472" t="s">
        <v>3640</v>
      </c>
      <c r="K60" s="1470" t="s">
        <v>3641</v>
      </c>
      <c r="L60" s="1464"/>
      <c r="M60" s="1464"/>
      <c r="N60" s="1464"/>
      <c r="O60" s="1464"/>
      <c r="P60" s="1464"/>
      <c r="Q60" s="1464"/>
      <c r="R60" s="1464"/>
      <c r="S60" s="1464"/>
      <c r="T60" s="1464"/>
      <c r="U60" s="1464"/>
      <c r="V60" s="1464"/>
      <c r="W60" s="1464"/>
      <c r="X60" s="1464"/>
      <c r="Y60" s="1464"/>
      <c r="Z60" s="1464"/>
    </row>
    <row r="61">
      <c r="A61" s="1468" t="s">
        <v>3757</v>
      </c>
      <c r="B61" s="1469">
        <v>84000.0</v>
      </c>
      <c r="C61" s="1470">
        <v>2013.0</v>
      </c>
      <c r="D61" s="1473"/>
      <c r="E61" s="1469" t="s">
        <v>3637</v>
      </c>
      <c r="F61" s="1471" t="s">
        <v>3758</v>
      </c>
      <c r="G61" s="1464"/>
      <c r="H61" s="1470" t="s">
        <v>3639</v>
      </c>
      <c r="I61" s="1472">
        <v>45870.0</v>
      </c>
      <c r="J61" s="1470" t="s">
        <v>3722</v>
      </c>
      <c r="K61" s="1470" t="s">
        <v>3759</v>
      </c>
      <c r="L61" s="1464"/>
      <c r="M61" s="1464"/>
      <c r="N61" s="1464"/>
      <c r="O61" s="1464"/>
      <c r="P61" s="1464"/>
      <c r="Q61" s="1464"/>
      <c r="R61" s="1464"/>
      <c r="S61" s="1464"/>
      <c r="T61" s="1464"/>
      <c r="U61" s="1464"/>
      <c r="V61" s="1464"/>
      <c r="W61" s="1464"/>
      <c r="X61" s="1464"/>
      <c r="Y61" s="1464"/>
      <c r="Z61" s="1464"/>
    </row>
    <row r="62">
      <c r="A62" s="1468" t="s">
        <v>3448</v>
      </c>
      <c r="B62" s="1469">
        <v>84000.0</v>
      </c>
      <c r="C62" s="1470">
        <v>2015.0</v>
      </c>
      <c r="D62" s="1473"/>
      <c r="E62" s="1473"/>
      <c r="F62" s="1471" t="s">
        <v>3760</v>
      </c>
      <c r="G62" s="1464"/>
      <c r="H62" s="1470" t="s">
        <v>3639</v>
      </c>
      <c r="I62" s="1472">
        <v>45870.0</v>
      </c>
      <c r="J62" s="1472" t="s">
        <v>3640</v>
      </c>
      <c r="K62" s="1470" t="s">
        <v>3641</v>
      </c>
      <c r="L62" s="1470" t="s">
        <v>3761</v>
      </c>
      <c r="M62" s="1464"/>
      <c r="N62" s="1464"/>
      <c r="O62" s="1464"/>
      <c r="P62" s="1464"/>
      <c r="Q62" s="1464"/>
      <c r="R62" s="1464"/>
      <c r="S62" s="1464"/>
      <c r="T62" s="1464"/>
      <c r="U62" s="1464"/>
      <c r="V62" s="1464"/>
      <c r="W62" s="1464"/>
      <c r="X62" s="1464"/>
      <c r="Y62" s="1464"/>
      <c r="Z62" s="1464"/>
    </row>
    <row r="63">
      <c r="A63" s="1468" t="s">
        <v>3408</v>
      </c>
      <c r="B63" s="1469">
        <v>84100.0</v>
      </c>
      <c r="C63" s="1470">
        <v>2015.0</v>
      </c>
      <c r="D63" s="1473"/>
      <c r="E63" s="1469" t="s">
        <v>666</v>
      </c>
      <c r="F63" s="1471" t="s">
        <v>3762</v>
      </c>
      <c r="G63" s="1464"/>
      <c r="H63" s="1470" t="s">
        <v>3639</v>
      </c>
      <c r="I63" s="1472">
        <v>45870.0</v>
      </c>
      <c r="J63" s="1470" t="s">
        <v>3755</v>
      </c>
      <c r="K63" s="1470" t="s">
        <v>2935</v>
      </c>
      <c r="L63" s="1493" t="s">
        <v>3763</v>
      </c>
      <c r="M63" s="1464"/>
      <c r="N63" s="1464"/>
      <c r="O63" s="1464"/>
      <c r="P63" s="1464"/>
      <c r="Q63" s="1464"/>
      <c r="R63" s="1464"/>
      <c r="S63" s="1464"/>
      <c r="T63" s="1464"/>
      <c r="U63" s="1464"/>
      <c r="V63" s="1464"/>
      <c r="W63" s="1464"/>
      <c r="X63" s="1464"/>
      <c r="Y63" s="1464"/>
      <c r="Z63" s="1464"/>
    </row>
    <row r="64">
      <c r="A64" s="1471" t="s">
        <v>3764</v>
      </c>
      <c r="B64" s="1469">
        <v>84000.0</v>
      </c>
      <c r="C64" s="1470">
        <v>2016.0</v>
      </c>
      <c r="D64" s="1473"/>
      <c r="E64" s="1473"/>
      <c r="F64" s="1471" t="s">
        <v>3765</v>
      </c>
      <c r="G64" s="1464"/>
      <c r="H64" s="1470" t="s">
        <v>3639</v>
      </c>
      <c r="I64" s="1472">
        <v>45870.0</v>
      </c>
      <c r="J64" s="1470" t="s">
        <v>3766</v>
      </c>
      <c r="K64" s="1470" t="s">
        <v>3659</v>
      </c>
      <c r="L64" s="1464"/>
      <c r="M64" s="1464"/>
      <c r="N64" s="1464"/>
      <c r="O64" s="1464"/>
      <c r="P64" s="1464"/>
      <c r="Q64" s="1464"/>
      <c r="R64" s="1464"/>
      <c r="S64" s="1464"/>
      <c r="T64" s="1464"/>
      <c r="U64" s="1464"/>
      <c r="V64" s="1464"/>
      <c r="W64" s="1464"/>
      <c r="X64" s="1464"/>
      <c r="Y64" s="1464"/>
      <c r="Z64" s="1464"/>
    </row>
    <row r="65">
      <c r="A65" s="1468" t="s">
        <v>3764</v>
      </c>
      <c r="B65" s="1469">
        <v>84000.0</v>
      </c>
      <c r="C65" s="1470">
        <v>2016.0</v>
      </c>
      <c r="D65" s="1473"/>
      <c r="E65" s="1473"/>
      <c r="F65" s="1471" t="s">
        <v>3767</v>
      </c>
      <c r="G65" s="1464"/>
      <c r="H65" s="1470" t="s">
        <v>3639</v>
      </c>
      <c r="I65" s="1472">
        <v>45870.0</v>
      </c>
      <c r="J65" s="1470" t="s">
        <v>3766</v>
      </c>
      <c r="K65" s="1470" t="s">
        <v>3659</v>
      </c>
      <c r="L65" s="1464"/>
      <c r="M65" s="1464"/>
      <c r="N65" s="1464"/>
      <c r="O65" s="1464"/>
      <c r="P65" s="1464"/>
      <c r="Q65" s="1464"/>
      <c r="R65" s="1464"/>
      <c r="S65" s="1464"/>
      <c r="T65" s="1464"/>
      <c r="U65" s="1464"/>
      <c r="V65" s="1464"/>
      <c r="W65" s="1464"/>
      <c r="X65" s="1464"/>
      <c r="Y65" s="1464"/>
      <c r="Z65" s="1464"/>
    </row>
    <row r="66">
      <c r="A66" s="1468" t="s">
        <v>3768</v>
      </c>
      <c r="B66" s="1469">
        <v>85000.0</v>
      </c>
      <c r="C66" s="1470">
        <v>2017.0</v>
      </c>
      <c r="D66" s="1473"/>
      <c r="E66" s="1469" t="s">
        <v>666</v>
      </c>
      <c r="F66" s="1471" t="s">
        <v>3769</v>
      </c>
      <c r="G66" s="1464"/>
      <c r="H66" s="1470" t="s">
        <v>3639</v>
      </c>
      <c r="I66" s="1472">
        <v>45870.0</v>
      </c>
      <c r="J66" s="1470" t="s">
        <v>3681</v>
      </c>
      <c r="K66" s="1470" t="s">
        <v>3647</v>
      </c>
      <c r="L66" s="1464"/>
      <c r="M66" s="1464"/>
      <c r="N66" s="1464"/>
      <c r="O66" s="1464"/>
      <c r="P66" s="1464"/>
      <c r="Q66" s="1464"/>
      <c r="R66" s="1464"/>
      <c r="S66" s="1464"/>
      <c r="T66" s="1464"/>
      <c r="U66" s="1464"/>
      <c r="V66" s="1464"/>
      <c r="W66" s="1464"/>
      <c r="X66" s="1464"/>
      <c r="Y66" s="1464"/>
      <c r="Z66" s="1464"/>
    </row>
    <row r="67">
      <c r="A67" s="1468" t="s">
        <v>3768</v>
      </c>
      <c r="B67" s="1469">
        <v>85000.0</v>
      </c>
      <c r="C67" s="1470">
        <v>2017.0</v>
      </c>
      <c r="D67" s="1473"/>
      <c r="E67" s="1469" t="s">
        <v>666</v>
      </c>
      <c r="F67" s="1471" t="s">
        <v>3770</v>
      </c>
      <c r="G67" s="1464"/>
      <c r="H67" s="1470" t="s">
        <v>3639</v>
      </c>
      <c r="I67" s="1472">
        <v>45870.0</v>
      </c>
      <c r="J67" s="1470" t="s">
        <v>3681</v>
      </c>
      <c r="K67" s="1470" t="s">
        <v>3647</v>
      </c>
      <c r="L67" s="1464"/>
      <c r="M67" s="1464"/>
      <c r="N67" s="1464"/>
      <c r="O67" s="1464"/>
      <c r="P67" s="1464"/>
      <c r="Q67" s="1464"/>
      <c r="R67" s="1464"/>
      <c r="S67" s="1464"/>
      <c r="T67" s="1464"/>
      <c r="U67" s="1464"/>
      <c r="V67" s="1464"/>
      <c r="W67" s="1464"/>
      <c r="X67" s="1464"/>
      <c r="Y67" s="1464"/>
      <c r="Z67" s="1464"/>
    </row>
    <row r="68">
      <c r="A68" s="1468" t="s">
        <v>3757</v>
      </c>
      <c r="B68" s="1469">
        <v>84000.0</v>
      </c>
      <c r="C68" s="1470">
        <v>2013.0</v>
      </c>
      <c r="D68" s="1473"/>
      <c r="E68" s="1469" t="s">
        <v>3637</v>
      </c>
      <c r="F68" s="1471" t="s">
        <v>3771</v>
      </c>
      <c r="G68" s="1464"/>
      <c r="H68" s="1470" t="s">
        <v>3639</v>
      </c>
      <c r="I68" s="1472">
        <v>45870.0</v>
      </c>
      <c r="J68" s="1470" t="s">
        <v>3722</v>
      </c>
      <c r="K68" s="1470" t="s">
        <v>3759</v>
      </c>
      <c r="L68" s="1464"/>
      <c r="M68" s="1464"/>
      <c r="N68" s="1464"/>
      <c r="O68" s="1464"/>
      <c r="P68" s="1464"/>
      <c r="Q68" s="1464"/>
      <c r="R68" s="1464"/>
      <c r="S68" s="1464"/>
      <c r="T68" s="1464"/>
      <c r="U68" s="1464"/>
      <c r="V68" s="1464"/>
      <c r="W68" s="1464"/>
      <c r="X68" s="1464"/>
      <c r="Y68" s="1464"/>
      <c r="Z68" s="1464"/>
    </row>
    <row r="69">
      <c r="A69" s="1474" t="s">
        <v>3751</v>
      </c>
      <c r="B69" s="1475">
        <v>91000.0</v>
      </c>
      <c r="C69" s="1476">
        <v>2023.0</v>
      </c>
      <c r="D69" s="1481"/>
      <c r="E69" s="1475" t="s">
        <v>666</v>
      </c>
      <c r="F69" s="1477" t="s">
        <v>3772</v>
      </c>
      <c r="G69" s="1479"/>
      <c r="H69" s="1476" t="s">
        <v>3639</v>
      </c>
      <c r="I69" s="1480">
        <v>45870.0</v>
      </c>
      <c r="J69" s="1476" t="s">
        <v>761</v>
      </c>
      <c r="K69" s="1476" t="s">
        <v>3753</v>
      </c>
      <c r="L69" s="1479"/>
      <c r="M69" s="1464"/>
      <c r="N69" s="1464"/>
      <c r="O69" s="1464"/>
      <c r="P69" s="1464"/>
      <c r="Q69" s="1464"/>
      <c r="R69" s="1464"/>
      <c r="S69" s="1464"/>
      <c r="T69" s="1464"/>
      <c r="U69" s="1464"/>
      <c r="V69" s="1464"/>
      <c r="W69" s="1464"/>
      <c r="X69" s="1464"/>
      <c r="Y69" s="1464"/>
      <c r="Z69" s="1464"/>
    </row>
    <row r="70">
      <c r="A70" s="1474" t="s">
        <v>3773</v>
      </c>
      <c r="B70" s="1475">
        <v>86500.0</v>
      </c>
      <c r="C70" s="1476">
        <v>2022.0</v>
      </c>
      <c r="D70" s="1481"/>
      <c r="E70" s="1475" t="s">
        <v>666</v>
      </c>
      <c r="F70" s="1477" t="s">
        <v>3774</v>
      </c>
      <c r="G70" s="1464"/>
      <c r="H70" s="1476" t="s">
        <v>3639</v>
      </c>
      <c r="I70" s="1480">
        <v>45901.0</v>
      </c>
      <c r="J70" s="1476" t="s">
        <v>761</v>
      </c>
      <c r="K70" s="1476" t="s">
        <v>3207</v>
      </c>
      <c r="L70" s="1479"/>
      <c r="M70" s="1464"/>
      <c r="N70" s="1464"/>
      <c r="O70" s="1464"/>
      <c r="P70" s="1464"/>
      <c r="Q70" s="1464"/>
      <c r="R70" s="1464"/>
      <c r="S70" s="1464"/>
      <c r="T70" s="1464"/>
      <c r="U70" s="1464"/>
      <c r="V70" s="1464"/>
      <c r="W70" s="1464"/>
      <c r="X70" s="1464"/>
      <c r="Y70" s="1464"/>
      <c r="Z70" s="1464"/>
    </row>
    <row r="71">
      <c r="A71" s="1474" t="s">
        <v>3773</v>
      </c>
      <c r="B71" s="1475">
        <v>86500.0</v>
      </c>
      <c r="C71" s="1476">
        <v>2022.0</v>
      </c>
      <c r="D71" s="1481"/>
      <c r="E71" s="1475" t="s">
        <v>666</v>
      </c>
      <c r="F71" s="1477" t="s">
        <v>3775</v>
      </c>
      <c r="G71" s="1464"/>
      <c r="H71" s="1470" t="s">
        <v>3718</v>
      </c>
      <c r="I71" s="1480">
        <v>45901.0</v>
      </c>
      <c r="J71" s="1476" t="s">
        <v>761</v>
      </c>
      <c r="K71" s="1476" t="s">
        <v>3776</v>
      </c>
      <c r="L71" s="1464"/>
      <c r="M71" s="1464"/>
      <c r="N71" s="1464"/>
      <c r="O71" s="1464"/>
      <c r="P71" s="1464"/>
      <c r="Q71" s="1464"/>
      <c r="R71" s="1464"/>
      <c r="S71" s="1464"/>
      <c r="T71" s="1464"/>
      <c r="U71" s="1464"/>
      <c r="V71" s="1464"/>
      <c r="W71" s="1464"/>
      <c r="X71" s="1464"/>
      <c r="Y71" s="1464"/>
      <c r="Z71" s="1464"/>
    </row>
    <row r="72">
      <c r="A72" s="1485" t="s">
        <v>3720</v>
      </c>
      <c r="B72" s="1486">
        <v>88000.0</v>
      </c>
      <c r="C72" s="1487">
        <v>2025.0</v>
      </c>
      <c r="D72" s="1486" t="s">
        <v>3636</v>
      </c>
      <c r="E72" s="1486" t="s">
        <v>666</v>
      </c>
      <c r="F72" s="1488" t="s">
        <v>3777</v>
      </c>
      <c r="G72" s="1489"/>
      <c r="H72" s="1487" t="s">
        <v>3718</v>
      </c>
      <c r="I72" s="1490">
        <v>45901.0</v>
      </c>
      <c r="J72" s="1487" t="s">
        <v>3722</v>
      </c>
      <c r="K72" s="1487" t="s">
        <v>3723</v>
      </c>
      <c r="L72" s="1479"/>
      <c r="M72" s="1464"/>
      <c r="N72" s="1464"/>
      <c r="O72" s="1464"/>
      <c r="P72" s="1464"/>
      <c r="Q72" s="1464"/>
      <c r="R72" s="1464"/>
      <c r="S72" s="1464"/>
      <c r="T72" s="1464"/>
      <c r="U72" s="1464"/>
      <c r="V72" s="1464"/>
      <c r="W72" s="1464"/>
      <c r="X72" s="1464"/>
      <c r="Y72" s="1464"/>
      <c r="Z72" s="1464"/>
    </row>
    <row r="73">
      <c r="A73" s="1468" t="s">
        <v>3778</v>
      </c>
      <c r="B73" s="1469">
        <v>82000.0</v>
      </c>
      <c r="C73" s="1470">
        <v>2008.0</v>
      </c>
      <c r="D73" s="1473"/>
      <c r="E73" s="1473"/>
      <c r="F73" s="1471" t="s">
        <v>3779</v>
      </c>
      <c r="G73" s="1464"/>
      <c r="H73" s="1470" t="s">
        <v>3639</v>
      </c>
      <c r="I73" s="1472">
        <v>45901.0</v>
      </c>
      <c r="J73" s="1470" t="s">
        <v>3737</v>
      </c>
      <c r="K73" s="1470" t="s">
        <v>3738</v>
      </c>
      <c r="L73" s="1464"/>
      <c r="M73" s="1479"/>
      <c r="N73" s="1479"/>
      <c r="O73" s="1479"/>
      <c r="P73" s="1479"/>
      <c r="Q73" s="1479"/>
      <c r="R73" s="1479"/>
      <c r="S73" s="1479"/>
      <c r="T73" s="1479"/>
      <c r="U73" s="1479"/>
      <c r="V73" s="1479"/>
      <c r="W73" s="1479"/>
      <c r="X73" s="1479"/>
      <c r="Y73" s="1479"/>
      <c r="Z73" s="1479"/>
    </row>
    <row r="74">
      <c r="A74" s="1468" t="s">
        <v>3778</v>
      </c>
      <c r="B74" s="1469">
        <v>82000.0</v>
      </c>
      <c r="C74" s="1470">
        <v>2008.0</v>
      </c>
      <c r="D74" s="1473"/>
      <c r="E74" s="1473"/>
      <c r="F74" s="1471" t="s">
        <v>3780</v>
      </c>
      <c r="G74" s="1464"/>
      <c r="H74" s="1470" t="s">
        <v>3639</v>
      </c>
      <c r="I74" s="1472">
        <v>45901.0</v>
      </c>
      <c r="J74" s="1470" t="s">
        <v>3737</v>
      </c>
      <c r="K74" s="1470" t="s">
        <v>3738</v>
      </c>
      <c r="L74" s="1464"/>
      <c r="M74" s="1479"/>
      <c r="N74" s="1479"/>
      <c r="O74" s="1479"/>
      <c r="P74" s="1479"/>
      <c r="Q74" s="1479"/>
      <c r="R74" s="1479"/>
      <c r="S74" s="1479"/>
      <c r="T74" s="1479"/>
      <c r="U74" s="1479"/>
      <c r="V74" s="1479"/>
      <c r="W74" s="1479"/>
      <c r="X74" s="1479"/>
      <c r="Y74" s="1479"/>
      <c r="Z74" s="1479"/>
    </row>
    <row r="75">
      <c r="A75" s="1468" t="s">
        <v>3781</v>
      </c>
      <c r="B75" s="1469">
        <v>80200.0</v>
      </c>
      <c r="C75" s="1470">
        <v>2011.0</v>
      </c>
      <c r="D75" s="1473"/>
      <c r="E75" s="1473"/>
      <c r="F75" s="1471" t="s">
        <v>3782</v>
      </c>
      <c r="G75" s="1464"/>
      <c r="H75" s="1464"/>
      <c r="I75" s="1472">
        <v>45901.0</v>
      </c>
      <c r="J75" s="1470" t="s">
        <v>3651</v>
      </c>
      <c r="K75" s="1470" t="s">
        <v>3753</v>
      </c>
      <c r="L75" s="1464"/>
      <c r="M75" s="1479"/>
      <c r="N75" s="1479"/>
      <c r="O75" s="1479"/>
      <c r="P75" s="1479"/>
      <c r="Q75" s="1479"/>
      <c r="R75" s="1479"/>
      <c r="S75" s="1479"/>
      <c r="T75" s="1479"/>
      <c r="U75" s="1479"/>
      <c r="V75" s="1479"/>
      <c r="W75" s="1479"/>
      <c r="X75" s="1479"/>
      <c r="Y75" s="1479"/>
      <c r="Z75" s="1479"/>
    </row>
    <row r="76">
      <c r="A76" s="1468" t="s">
        <v>3781</v>
      </c>
      <c r="B76" s="1469">
        <v>80200.0</v>
      </c>
      <c r="C76" s="1470">
        <v>2011.0</v>
      </c>
      <c r="D76" s="1473"/>
      <c r="E76" s="1473"/>
      <c r="F76" s="1471" t="s">
        <v>3783</v>
      </c>
      <c r="G76" s="1464"/>
      <c r="H76" s="1464"/>
      <c r="I76" s="1472">
        <v>45901.0</v>
      </c>
      <c r="J76" s="1470" t="s">
        <v>3651</v>
      </c>
      <c r="K76" s="1470" t="s">
        <v>3753</v>
      </c>
      <c r="L76" s="1479"/>
      <c r="M76" s="1464"/>
      <c r="N76" s="1464"/>
      <c r="O76" s="1464"/>
      <c r="P76" s="1464"/>
      <c r="Q76" s="1464"/>
      <c r="R76" s="1464"/>
      <c r="S76" s="1464"/>
      <c r="T76" s="1464"/>
      <c r="U76" s="1464"/>
      <c r="V76" s="1464"/>
      <c r="W76" s="1464"/>
      <c r="X76" s="1464"/>
      <c r="Y76" s="1464"/>
      <c r="Z76" s="1464"/>
    </row>
    <row r="77">
      <c r="A77" s="1468" t="s">
        <v>3784</v>
      </c>
      <c r="B77" s="1469">
        <v>83300.0</v>
      </c>
      <c r="C77" s="1470">
        <v>2016.0</v>
      </c>
      <c r="D77" s="1473"/>
      <c r="E77" s="1469" t="s">
        <v>3637</v>
      </c>
      <c r="F77" s="1471" t="s">
        <v>3785</v>
      </c>
      <c r="G77" s="1479"/>
      <c r="H77" s="1464"/>
      <c r="I77" s="1480">
        <v>45930.0</v>
      </c>
      <c r="J77" s="1470" t="s">
        <v>3786</v>
      </c>
      <c r="K77" s="1470" t="s">
        <v>3652</v>
      </c>
      <c r="L77" s="1464"/>
      <c r="M77" s="1479"/>
      <c r="N77" s="1479"/>
      <c r="O77" s="1479"/>
      <c r="P77" s="1479"/>
      <c r="Q77" s="1479"/>
      <c r="R77" s="1479"/>
      <c r="S77" s="1479"/>
      <c r="T77" s="1479"/>
      <c r="U77" s="1479"/>
      <c r="V77" s="1479"/>
      <c r="W77" s="1479"/>
      <c r="X77" s="1479"/>
      <c r="Y77" s="1479"/>
      <c r="Z77" s="1479"/>
    </row>
    <row r="78">
      <c r="A78" s="1468" t="s">
        <v>3784</v>
      </c>
      <c r="B78" s="1469">
        <v>83300.0</v>
      </c>
      <c r="C78" s="1470">
        <v>2016.0</v>
      </c>
      <c r="D78" s="1473"/>
      <c r="E78" s="1473"/>
      <c r="F78" s="1471" t="s">
        <v>3787</v>
      </c>
      <c r="G78" s="1464"/>
      <c r="H78" s="1464"/>
      <c r="I78" s="1472">
        <v>45930.0</v>
      </c>
      <c r="J78" s="1476" t="s">
        <v>3786</v>
      </c>
      <c r="K78" s="1470" t="s">
        <v>3652</v>
      </c>
      <c r="L78" s="1464"/>
      <c r="M78" s="1464"/>
      <c r="N78" s="1464"/>
      <c r="O78" s="1464"/>
      <c r="P78" s="1464"/>
      <c r="Q78" s="1464"/>
      <c r="R78" s="1464"/>
      <c r="S78" s="1464"/>
      <c r="T78" s="1464"/>
      <c r="U78" s="1464"/>
      <c r="V78" s="1464"/>
      <c r="W78" s="1464"/>
      <c r="X78" s="1464"/>
      <c r="Y78" s="1464"/>
      <c r="Z78" s="1464"/>
    </row>
    <row r="79">
      <c r="A79" s="1488" t="s">
        <v>3788</v>
      </c>
      <c r="B79" s="1486">
        <v>86000.0</v>
      </c>
      <c r="C79" s="1487">
        <v>2025.0</v>
      </c>
      <c r="D79" s="1492"/>
      <c r="E79" s="1486" t="s">
        <v>666</v>
      </c>
      <c r="F79" s="1488" t="s">
        <v>3789</v>
      </c>
      <c r="G79" s="1489"/>
      <c r="H79" s="1487" t="s">
        <v>3702</v>
      </c>
      <c r="I79" s="1490">
        <v>45931.0</v>
      </c>
      <c r="J79" s="1487" t="s">
        <v>761</v>
      </c>
      <c r="K79" s="1487" t="s">
        <v>3790</v>
      </c>
      <c r="L79" s="1464"/>
      <c r="M79" s="1479"/>
      <c r="N79" s="1479"/>
      <c r="O79" s="1479"/>
      <c r="P79" s="1479"/>
      <c r="Q79" s="1479"/>
      <c r="R79" s="1479"/>
      <c r="S79" s="1479"/>
      <c r="T79" s="1479"/>
      <c r="U79" s="1479"/>
      <c r="V79" s="1479"/>
      <c r="W79" s="1479"/>
      <c r="X79" s="1479"/>
      <c r="Y79" s="1479"/>
      <c r="Z79" s="1479"/>
    </row>
    <row r="80">
      <c r="A80" s="1474" t="s">
        <v>3378</v>
      </c>
      <c r="B80" s="1475">
        <v>84000.0</v>
      </c>
      <c r="C80" s="1476">
        <v>2020.0</v>
      </c>
      <c r="D80" s="1473"/>
      <c r="E80" s="1469" t="s">
        <v>3637</v>
      </c>
      <c r="F80" s="1477" t="s">
        <v>3791</v>
      </c>
      <c r="G80" s="1464"/>
      <c r="H80" s="1470" t="s">
        <v>3639</v>
      </c>
      <c r="I80" s="1472">
        <v>45931.0</v>
      </c>
      <c r="J80" s="1470" t="s">
        <v>727</v>
      </c>
      <c r="K80" s="1470" t="s">
        <v>3730</v>
      </c>
      <c r="L80" s="1464"/>
      <c r="M80" s="1464"/>
      <c r="N80" s="1464"/>
      <c r="O80" s="1464"/>
      <c r="P80" s="1464"/>
      <c r="Q80" s="1464"/>
      <c r="R80" s="1464"/>
      <c r="S80" s="1464"/>
      <c r="T80" s="1464"/>
      <c r="U80" s="1464"/>
      <c r="V80" s="1464"/>
      <c r="W80" s="1464"/>
      <c r="X80" s="1464"/>
      <c r="Y80" s="1464"/>
      <c r="Z80" s="1464"/>
    </row>
    <row r="81">
      <c r="A81" s="1468" t="s">
        <v>3792</v>
      </c>
      <c r="B81" s="1469">
        <v>82400.0</v>
      </c>
      <c r="C81" s="1470">
        <v>2016.0</v>
      </c>
      <c r="D81" s="1481"/>
      <c r="E81" s="1473"/>
      <c r="F81" s="1471" t="s">
        <v>3793</v>
      </c>
      <c r="G81" s="1464"/>
      <c r="H81" s="1476" t="s">
        <v>3639</v>
      </c>
      <c r="I81" s="1472">
        <v>45931.0</v>
      </c>
      <c r="J81" s="1470" t="s">
        <v>3737</v>
      </c>
      <c r="K81" s="1470" t="s">
        <v>3794</v>
      </c>
      <c r="L81" s="1464"/>
      <c r="M81" s="1464"/>
      <c r="N81" s="1464"/>
      <c r="O81" s="1464"/>
      <c r="P81" s="1464"/>
      <c r="Q81" s="1464"/>
      <c r="R81" s="1464"/>
      <c r="S81" s="1464"/>
      <c r="T81" s="1464"/>
      <c r="U81" s="1464"/>
      <c r="V81" s="1464"/>
      <c r="W81" s="1464"/>
      <c r="X81" s="1464"/>
      <c r="Y81" s="1464"/>
      <c r="Z81" s="1464"/>
    </row>
    <row r="82">
      <c r="A82" s="1468" t="s">
        <v>3795</v>
      </c>
      <c r="B82" s="1469">
        <v>78700.0</v>
      </c>
      <c r="C82" s="1470">
        <v>2017.0</v>
      </c>
      <c r="D82" s="1469" t="s">
        <v>3636</v>
      </c>
      <c r="E82" s="1473"/>
      <c r="F82" s="1471" t="s">
        <v>3796</v>
      </c>
      <c r="G82" s="1464"/>
      <c r="H82" s="1470" t="s">
        <v>3639</v>
      </c>
      <c r="I82" s="1472">
        <v>45931.0</v>
      </c>
      <c r="J82" s="1470" t="s">
        <v>3797</v>
      </c>
      <c r="K82" s="1470" t="s">
        <v>3659</v>
      </c>
      <c r="L82" s="1470" t="s">
        <v>3798</v>
      </c>
      <c r="M82" s="1464"/>
      <c r="N82" s="1464"/>
      <c r="O82" s="1464"/>
      <c r="P82" s="1464"/>
      <c r="Q82" s="1464"/>
      <c r="R82" s="1464"/>
      <c r="S82" s="1464"/>
      <c r="T82" s="1464"/>
      <c r="U82" s="1464"/>
      <c r="V82" s="1464"/>
      <c r="W82" s="1464"/>
      <c r="X82" s="1464"/>
      <c r="Y82" s="1464"/>
      <c r="Z82" s="1464"/>
    </row>
    <row r="83">
      <c r="A83" s="1488" t="s">
        <v>3788</v>
      </c>
      <c r="B83" s="1486">
        <v>86000.0</v>
      </c>
      <c r="C83" s="1487">
        <v>2025.0</v>
      </c>
      <c r="D83" s="1486" t="s">
        <v>3799</v>
      </c>
      <c r="E83" s="1486" t="s">
        <v>666</v>
      </c>
      <c r="F83" s="1488" t="s">
        <v>3800</v>
      </c>
      <c r="G83" s="1489"/>
      <c r="H83" s="1487" t="s">
        <v>3718</v>
      </c>
      <c r="I83" s="1490">
        <v>45931.0</v>
      </c>
      <c r="J83" s="1487" t="s">
        <v>761</v>
      </c>
      <c r="K83" s="1487" t="s">
        <v>3790</v>
      </c>
      <c r="L83" s="1464"/>
      <c r="M83" s="1464"/>
      <c r="N83" s="1464"/>
      <c r="O83" s="1464"/>
      <c r="P83" s="1464"/>
      <c r="Q83" s="1464"/>
      <c r="R83" s="1464"/>
      <c r="S83" s="1464"/>
      <c r="T83" s="1464"/>
      <c r="U83" s="1464"/>
      <c r="V83" s="1464"/>
      <c r="W83" s="1464"/>
      <c r="X83" s="1464"/>
      <c r="Y83" s="1464"/>
      <c r="Z83" s="1464"/>
    </row>
    <row r="84">
      <c r="A84" s="1468" t="s">
        <v>3801</v>
      </c>
      <c r="B84" s="1469">
        <v>84000.0</v>
      </c>
      <c r="C84" s="1470">
        <v>2017.0</v>
      </c>
      <c r="D84" s="1473"/>
      <c r="E84" s="1469" t="s">
        <v>3637</v>
      </c>
      <c r="F84" s="1471" t="s">
        <v>3802</v>
      </c>
      <c r="G84" s="1464"/>
      <c r="H84" s="1464"/>
      <c r="I84" s="1472">
        <v>45931.0</v>
      </c>
      <c r="J84" s="1476" t="s">
        <v>2935</v>
      </c>
      <c r="K84" s="1470" t="s">
        <v>3083</v>
      </c>
      <c r="L84" s="1470" t="s">
        <v>3803</v>
      </c>
      <c r="M84" s="1464"/>
      <c r="N84" s="1464"/>
      <c r="O84" s="1464"/>
      <c r="P84" s="1464"/>
      <c r="Q84" s="1464"/>
      <c r="R84" s="1464"/>
      <c r="S84" s="1464"/>
      <c r="T84" s="1464"/>
      <c r="U84" s="1464"/>
      <c r="V84" s="1464"/>
      <c r="W84" s="1464"/>
      <c r="X84" s="1464"/>
      <c r="Y84" s="1464"/>
      <c r="Z84" s="1464"/>
    </row>
    <row r="85">
      <c r="A85" s="1474" t="s">
        <v>3804</v>
      </c>
      <c r="B85" s="1475">
        <v>91000.0</v>
      </c>
      <c r="C85" s="1476">
        <v>2022.0</v>
      </c>
      <c r="D85" s="1481"/>
      <c r="E85" s="1475" t="s">
        <v>666</v>
      </c>
      <c r="F85" s="1477" t="s">
        <v>3805</v>
      </c>
      <c r="G85" s="1464"/>
      <c r="H85" s="1470" t="s">
        <v>3639</v>
      </c>
      <c r="I85" s="1480">
        <v>45931.0</v>
      </c>
      <c r="J85" s="1476" t="s">
        <v>3722</v>
      </c>
      <c r="K85" s="1470" t="s">
        <v>3719</v>
      </c>
      <c r="L85" s="1470" t="s">
        <v>3806</v>
      </c>
      <c r="M85" s="1479"/>
      <c r="N85" s="1479"/>
      <c r="O85" s="1479"/>
      <c r="P85" s="1479"/>
      <c r="Q85" s="1479"/>
      <c r="R85" s="1479"/>
      <c r="S85" s="1479"/>
      <c r="T85" s="1494"/>
      <c r="U85" s="1479"/>
      <c r="V85" s="1479"/>
      <c r="W85" s="1479"/>
      <c r="X85" s="1479"/>
      <c r="Y85" s="1479"/>
      <c r="Z85" s="1479"/>
    </row>
    <row r="86">
      <c r="A86" s="1485" t="s">
        <v>3807</v>
      </c>
      <c r="B86" s="1486">
        <v>88000.0</v>
      </c>
      <c r="C86" s="1487">
        <v>2025.0</v>
      </c>
      <c r="D86" s="1486" t="s">
        <v>3636</v>
      </c>
      <c r="E86" s="1486" t="s">
        <v>666</v>
      </c>
      <c r="F86" s="1488" t="s">
        <v>3808</v>
      </c>
      <c r="G86" s="1489"/>
      <c r="H86" s="1487" t="s">
        <v>3718</v>
      </c>
      <c r="I86" s="1490">
        <v>45931.0</v>
      </c>
      <c r="J86" s="1487" t="s">
        <v>3719</v>
      </c>
      <c r="K86" s="1487" t="s">
        <v>3719</v>
      </c>
      <c r="L86" s="1464"/>
      <c r="M86" s="1479"/>
      <c r="N86" s="1479"/>
      <c r="O86" s="1479"/>
      <c r="P86" s="1479"/>
      <c r="Q86" s="1479"/>
      <c r="R86" s="1479"/>
      <c r="S86" s="1479"/>
      <c r="T86" s="1479"/>
      <c r="U86" s="1479"/>
      <c r="V86" s="1479"/>
      <c r="W86" s="1479"/>
      <c r="X86" s="1479"/>
      <c r="Y86" s="1479"/>
      <c r="Z86" s="1479"/>
    </row>
    <row r="87">
      <c r="A87" s="1474" t="s">
        <v>3804</v>
      </c>
      <c r="B87" s="1475">
        <v>91000.0</v>
      </c>
      <c r="C87" s="1476">
        <v>2022.0</v>
      </c>
      <c r="D87" s="1481"/>
      <c r="E87" s="1475" t="s">
        <v>666</v>
      </c>
      <c r="F87" s="1477" t="s">
        <v>3809</v>
      </c>
      <c r="G87" s="1464"/>
      <c r="H87" s="1470" t="s">
        <v>3639</v>
      </c>
      <c r="I87" s="1480">
        <v>45931.0</v>
      </c>
      <c r="J87" s="1476" t="s">
        <v>3722</v>
      </c>
      <c r="K87" s="1476" t="s">
        <v>3719</v>
      </c>
      <c r="L87" s="1479"/>
      <c r="M87" s="1479"/>
      <c r="N87" s="1479"/>
      <c r="O87" s="1479"/>
      <c r="P87" s="1479"/>
      <c r="Q87" s="1479"/>
      <c r="R87" s="1479"/>
      <c r="S87" s="1479"/>
      <c r="T87" s="1479"/>
      <c r="U87" s="1479"/>
      <c r="V87" s="1479"/>
      <c r="W87" s="1479"/>
      <c r="X87" s="1479"/>
      <c r="Y87" s="1479"/>
      <c r="Z87" s="1479"/>
    </row>
    <row r="88">
      <c r="A88" s="1485" t="s">
        <v>3810</v>
      </c>
      <c r="B88" s="1486">
        <v>88000.0</v>
      </c>
      <c r="C88" s="1487">
        <v>2025.0</v>
      </c>
      <c r="D88" s="1486" t="s">
        <v>3636</v>
      </c>
      <c r="E88" s="1486" t="s">
        <v>666</v>
      </c>
      <c r="F88" s="1488" t="s">
        <v>3811</v>
      </c>
      <c r="G88" s="1489"/>
      <c r="H88" s="1487" t="s">
        <v>3718</v>
      </c>
      <c r="I88" s="1490">
        <v>45931.0</v>
      </c>
      <c r="J88" s="1487" t="s">
        <v>3722</v>
      </c>
      <c r="K88" s="1487" t="s">
        <v>3723</v>
      </c>
      <c r="L88" s="1464"/>
      <c r="M88" s="1479"/>
      <c r="N88" s="1479"/>
      <c r="O88" s="1479"/>
      <c r="P88" s="1479"/>
      <c r="Q88" s="1479"/>
      <c r="R88" s="1479"/>
      <c r="S88" s="1479"/>
      <c r="T88" s="1479"/>
      <c r="U88" s="1479"/>
      <c r="V88" s="1479"/>
      <c r="W88" s="1479"/>
      <c r="X88" s="1479"/>
      <c r="Y88" s="1479"/>
      <c r="Z88" s="1479"/>
    </row>
    <row r="89">
      <c r="A89" s="1468" t="s">
        <v>3812</v>
      </c>
      <c r="B89" s="1469">
        <v>78700.0</v>
      </c>
      <c r="C89" s="1470">
        <v>2018.0</v>
      </c>
      <c r="D89" s="1469" t="s">
        <v>3636</v>
      </c>
      <c r="E89" s="1469" t="s">
        <v>3637</v>
      </c>
      <c r="F89" s="1471" t="s">
        <v>3796</v>
      </c>
      <c r="G89" s="1464"/>
      <c r="H89" s="1470" t="s">
        <v>3639</v>
      </c>
      <c r="I89" s="1472">
        <v>45931.0</v>
      </c>
      <c r="J89" s="1470" t="s">
        <v>3722</v>
      </c>
      <c r="K89" s="1470" t="s">
        <v>3659</v>
      </c>
      <c r="L89" s="1464"/>
      <c r="M89" s="1479"/>
      <c r="N89" s="1479"/>
      <c r="O89" s="1479"/>
      <c r="P89" s="1479"/>
      <c r="Q89" s="1479"/>
      <c r="R89" s="1479"/>
      <c r="S89" s="1479"/>
      <c r="T89" s="1479"/>
      <c r="U89" s="1479"/>
      <c r="V89" s="1479"/>
      <c r="W89" s="1479"/>
      <c r="X89" s="1479"/>
      <c r="Y89" s="1479"/>
      <c r="Z89" s="1479"/>
    </row>
    <row r="90">
      <c r="A90" s="1468" t="s">
        <v>3813</v>
      </c>
      <c r="B90" s="1469">
        <v>82000.0</v>
      </c>
      <c r="C90" s="1470">
        <v>2007.0</v>
      </c>
      <c r="D90" s="1473"/>
      <c r="E90" s="1473"/>
      <c r="F90" s="1471" t="s">
        <v>3814</v>
      </c>
      <c r="G90" s="1464"/>
      <c r="H90" s="1470" t="s">
        <v>3815</v>
      </c>
      <c r="I90" s="1472">
        <v>45931.0</v>
      </c>
      <c r="J90" s="1470" t="s">
        <v>1190</v>
      </c>
      <c r="K90" s="1470" t="s">
        <v>3816</v>
      </c>
      <c r="L90" s="1464"/>
      <c r="M90" s="1479"/>
      <c r="N90" s="1479"/>
      <c r="O90" s="1479"/>
      <c r="P90" s="1479"/>
      <c r="Q90" s="1479"/>
      <c r="R90" s="1479"/>
      <c r="S90" s="1479"/>
      <c r="T90" s="1479"/>
      <c r="U90" s="1479"/>
      <c r="V90" s="1479"/>
      <c r="W90" s="1479"/>
      <c r="X90" s="1479"/>
      <c r="Y90" s="1479"/>
      <c r="Z90" s="1479"/>
    </row>
    <row r="91">
      <c r="A91" s="1468" t="s">
        <v>3817</v>
      </c>
      <c r="B91" s="1469">
        <v>78700.0</v>
      </c>
      <c r="C91" s="1470">
        <v>2017.0</v>
      </c>
      <c r="D91" s="1469" t="s">
        <v>3636</v>
      </c>
      <c r="E91" s="1473"/>
      <c r="F91" s="1471" t="s">
        <v>3818</v>
      </c>
      <c r="G91" s="1464"/>
      <c r="H91" s="1464"/>
      <c r="I91" s="1472">
        <v>45931.0</v>
      </c>
      <c r="J91" s="1472" t="s">
        <v>3729</v>
      </c>
      <c r="K91" s="1470" t="s">
        <v>3730</v>
      </c>
      <c r="L91" s="1479"/>
      <c r="M91" s="1479"/>
      <c r="N91" s="1479"/>
      <c r="O91" s="1479"/>
      <c r="P91" s="1479"/>
      <c r="Q91" s="1479"/>
      <c r="R91" s="1479"/>
      <c r="S91" s="1479"/>
      <c r="T91" s="1479"/>
      <c r="U91" s="1479"/>
      <c r="V91" s="1479"/>
      <c r="W91" s="1479"/>
      <c r="X91" s="1479"/>
      <c r="Y91" s="1479"/>
      <c r="Z91" s="1479"/>
    </row>
    <row r="92">
      <c r="A92" s="1468" t="s">
        <v>3813</v>
      </c>
      <c r="B92" s="1469">
        <v>82000.0</v>
      </c>
      <c r="C92" s="1470">
        <v>2007.0</v>
      </c>
      <c r="D92" s="1473"/>
      <c r="E92" s="1473"/>
      <c r="F92" s="1471" t="s">
        <v>3737</v>
      </c>
      <c r="G92" s="1464"/>
      <c r="H92" s="1470" t="s">
        <v>3815</v>
      </c>
      <c r="I92" s="1480">
        <v>45931.0</v>
      </c>
      <c r="J92" s="1476" t="s">
        <v>1190</v>
      </c>
      <c r="K92" s="1470" t="s">
        <v>3816</v>
      </c>
      <c r="L92" s="1464"/>
      <c r="M92" s="1479"/>
      <c r="N92" s="1479"/>
      <c r="O92" s="1479"/>
      <c r="P92" s="1479"/>
      <c r="Q92" s="1479"/>
      <c r="R92" s="1479"/>
      <c r="S92" s="1479"/>
      <c r="T92" s="1479"/>
      <c r="U92" s="1479"/>
      <c r="V92" s="1479"/>
      <c r="W92" s="1479"/>
      <c r="X92" s="1479"/>
      <c r="Y92" s="1479"/>
      <c r="Z92" s="1479"/>
    </row>
    <row r="93">
      <c r="A93" s="1468" t="s">
        <v>3801</v>
      </c>
      <c r="B93" s="1469">
        <v>84000.0</v>
      </c>
      <c r="C93" s="1470">
        <v>2017.0</v>
      </c>
      <c r="D93" s="1473"/>
      <c r="E93" s="1469" t="s">
        <v>3637</v>
      </c>
      <c r="F93" s="1471" t="s">
        <v>3819</v>
      </c>
      <c r="G93" s="1464"/>
      <c r="H93" s="1464"/>
      <c r="I93" s="1472">
        <v>45931.0</v>
      </c>
      <c r="J93" s="1476" t="s">
        <v>2935</v>
      </c>
      <c r="K93" s="1470" t="s">
        <v>3820</v>
      </c>
      <c r="L93" s="1470" t="s">
        <v>3803</v>
      </c>
      <c r="M93" s="1479"/>
      <c r="N93" s="1479"/>
      <c r="O93" s="1479"/>
      <c r="P93" s="1479"/>
      <c r="Q93" s="1479"/>
      <c r="R93" s="1479"/>
      <c r="S93" s="1479"/>
      <c r="T93" s="1479"/>
      <c r="U93" s="1479"/>
      <c r="V93" s="1479"/>
      <c r="W93" s="1479"/>
      <c r="X93" s="1479"/>
      <c r="Y93" s="1479"/>
      <c r="Z93" s="1479"/>
    </row>
    <row r="94">
      <c r="A94" s="1474" t="s">
        <v>3378</v>
      </c>
      <c r="B94" s="1475">
        <v>84000.0</v>
      </c>
      <c r="C94" s="1476">
        <v>2020.0</v>
      </c>
      <c r="D94" s="1473"/>
      <c r="E94" s="1469" t="s">
        <v>3637</v>
      </c>
      <c r="F94" s="1477" t="s">
        <v>3821</v>
      </c>
      <c r="G94" s="1464"/>
      <c r="H94" s="1470" t="s">
        <v>3639</v>
      </c>
      <c r="I94" s="1472">
        <v>45931.0</v>
      </c>
      <c r="J94" s="1470" t="s">
        <v>727</v>
      </c>
      <c r="K94" s="1470" t="s">
        <v>3730</v>
      </c>
      <c r="L94" s="1464"/>
      <c r="M94" s="1479"/>
      <c r="N94" s="1479"/>
      <c r="O94" s="1479"/>
      <c r="P94" s="1479"/>
      <c r="Q94" s="1479"/>
      <c r="R94" s="1479"/>
      <c r="S94" s="1479"/>
      <c r="T94" s="1479"/>
      <c r="U94" s="1479"/>
      <c r="V94" s="1479"/>
      <c r="W94" s="1479"/>
      <c r="X94" s="1479"/>
      <c r="Y94" s="1479"/>
      <c r="Z94" s="1479"/>
    </row>
    <row r="95">
      <c r="A95" s="1468" t="s">
        <v>3792</v>
      </c>
      <c r="B95" s="1469">
        <v>82400.0</v>
      </c>
      <c r="C95" s="1470">
        <v>2016.0</v>
      </c>
      <c r="D95" s="1481"/>
      <c r="E95" s="1473"/>
      <c r="F95" s="1471" t="s">
        <v>3822</v>
      </c>
      <c r="G95" s="1464"/>
      <c r="H95" s="1476" t="s">
        <v>3639</v>
      </c>
      <c r="I95" s="1472">
        <v>45931.0</v>
      </c>
      <c r="J95" s="1470" t="s">
        <v>3737</v>
      </c>
      <c r="K95" s="1470" t="s">
        <v>3794</v>
      </c>
      <c r="L95" s="1464"/>
      <c r="M95" s="1479"/>
      <c r="N95" s="1479"/>
      <c r="O95" s="1479"/>
      <c r="P95" s="1479"/>
      <c r="Q95" s="1479"/>
      <c r="R95" s="1479"/>
      <c r="S95" s="1479"/>
      <c r="T95" s="1479"/>
      <c r="U95" s="1479"/>
      <c r="V95" s="1479"/>
      <c r="W95" s="1479"/>
      <c r="X95" s="1479"/>
      <c r="Y95" s="1479"/>
      <c r="Z95" s="1479"/>
    </row>
    <row r="96">
      <c r="A96" s="1468" t="s">
        <v>3813</v>
      </c>
      <c r="B96" s="1469">
        <v>82000.0</v>
      </c>
      <c r="C96" s="1470">
        <v>2007.0</v>
      </c>
      <c r="D96" s="1473"/>
      <c r="E96" s="1473"/>
      <c r="F96" s="1495" t="s">
        <v>3823</v>
      </c>
      <c r="G96" s="1464"/>
      <c r="H96" s="1470" t="s">
        <v>3815</v>
      </c>
      <c r="I96" s="1472">
        <v>45931.0</v>
      </c>
      <c r="J96" s="1470" t="s">
        <v>1190</v>
      </c>
      <c r="K96" s="1470" t="s">
        <v>3816</v>
      </c>
      <c r="L96" s="1464"/>
      <c r="M96" s="1479"/>
      <c r="N96" s="1479"/>
      <c r="O96" s="1479"/>
      <c r="P96" s="1479"/>
      <c r="Q96" s="1479"/>
      <c r="R96" s="1479"/>
      <c r="S96" s="1479"/>
      <c r="T96" s="1479"/>
      <c r="U96" s="1479"/>
      <c r="V96" s="1479"/>
      <c r="W96" s="1479"/>
      <c r="X96" s="1479"/>
      <c r="Y96" s="1479"/>
      <c r="Z96" s="1479"/>
    </row>
    <row r="97">
      <c r="A97" s="1468" t="s">
        <v>3812</v>
      </c>
      <c r="B97" s="1469">
        <v>78700.0</v>
      </c>
      <c r="C97" s="1470">
        <v>2018.0</v>
      </c>
      <c r="D97" s="1469" t="s">
        <v>3636</v>
      </c>
      <c r="E97" s="1469" t="s">
        <v>3637</v>
      </c>
      <c r="F97" s="1471" t="s">
        <v>3805</v>
      </c>
      <c r="G97" s="1464"/>
      <c r="H97" s="1470" t="s">
        <v>3639</v>
      </c>
      <c r="I97" s="1472">
        <v>45931.0</v>
      </c>
      <c r="J97" s="1470" t="s">
        <v>3722</v>
      </c>
      <c r="K97" s="1470" t="s">
        <v>3659</v>
      </c>
      <c r="L97" s="1464"/>
      <c r="M97" s="1479"/>
      <c r="N97" s="1479"/>
      <c r="O97" s="1479"/>
      <c r="P97" s="1479"/>
      <c r="Q97" s="1479"/>
      <c r="R97" s="1479"/>
      <c r="S97" s="1479"/>
      <c r="T97" s="1479"/>
      <c r="U97" s="1479"/>
      <c r="V97" s="1479"/>
      <c r="W97" s="1479"/>
      <c r="X97" s="1479"/>
      <c r="Y97" s="1479"/>
      <c r="Z97" s="1479"/>
    </row>
    <row r="98">
      <c r="A98" s="1468" t="s">
        <v>3795</v>
      </c>
      <c r="B98" s="1469">
        <v>78700.0</v>
      </c>
      <c r="C98" s="1470">
        <v>2017.0</v>
      </c>
      <c r="D98" s="1469" t="s">
        <v>3636</v>
      </c>
      <c r="E98" s="1473"/>
      <c r="F98" s="1471" t="s">
        <v>3824</v>
      </c>
      <c r="G98" s="1464"/>
      <c r="H98" s="1470" t="s">
        <v>3639</v>
      </c>
      <c r="I98" s="1472">
        <v>45931.0</v>
      </c>
      <c r="J98" s="1470" t="s">
        <v>3797</v>
      </c>
      <c r="K98" s="1470" t="s">
        <v>3659</v>
      </c>
      <c r="L98" s="1470" t="s">
        <v>3798</v>
      </c>
      <c r="M98" s="1479"/>
      <c r="N98" s="1479"/>
      <c r="O98" s="1479"/>
      <c r="P98" s="1479"/>
      <c r="Q98" s="1479"/>
      <c r="R98" s="1479"/>
      <c r="S98" s="1479"/>
      <c r="T98" s="1479"/>
      <c r="U98" s="1479"/>
      <c r="V98" s="1479"/>
      <c r="W98" s="1479"/>
      <c r="X98" s="1479"/>
      <c r="Y98" s="1479"/>
      <c r="Z98" s="1479"/>
    </row>
    <row r="99">
      <c r="A99" s="1468" t="s">
        <v>3817</v>
      </c>
      <c r="B99" s="1469">
        <v>78700.0</v>
      </c>
      <c r="C99" s="1470">
        <v>2017.0</v>
      </c>
      <c r="D99" s="1469" t="s">
        <v>3636</v>
      </c>
      <c r="E99" s="1473"/>
      <c r="F99" s="1471" t="s">
        <v>3825</v>
      </c>
      <c r="G99" s="1464"/>
      <c r="H99" s="1464"/>
      <c r="I99" s="1472">
        <v>45931.0</v>
      </c>
      <c r="J99" s="1472" t="s">
        <v>3729</v>
      </c>
      <c r="K99" s="1470" t="s">
        <v>3730</v>
      </c>
      <c r="L99" s="1464"/>
      <c r="M99" s="1479"/>
      <c r="N99" s="1479"/>
      <c r="O99" s="1479"/>
      <c r="P99" s="1479"/>
      <c r="Q99" s="1479"/>
      <c r="R99" s="1479"/>
      <c r="S99" s="1479"/>
      <c r="T99" s="1479"/>
      <c r="U99" s="1479"/>
      <c r="V99" s="1479"/>
      <c r="W99" s="1479"/>
      <c r="X99" s="1479"/>
      <c r="Y99" s="1479"/>
      <c r="Z99" s="1479"/>
    </row>
    <row r="100">
      <c r="A100" s="1468" t="s">
        <v>3801</v>
      </c>
      <c r="B100" s="1469">
        <v>84000.0</v>
      </c>
      <c r="C100" s="1470">
        <v>2017.0</v>
      </c>
      <c r="D100" s="1473"/>
      <c r="E100" s="1469" t="s">
        <v>3637</v>
      </c>
      <c r="F100" s="1471" t="s">
        <v>3826</v>
      </c>
      <c r="G100" s="1464"/>
      <c r="H100" s="1464"/>
      <c r="I100" s="1472">
        <v>45931.0</v>
      </c>
      <c r="J100" s="1476" t="s">
        <v>3827</v>
      </c>
      <c r="K100" s="1476" t="s">
        <v>3083</v>
      </c>
      <c r="L100" s="1464"/>
      <c r="M100" s="1479"/>
      <c r="N100" s="1479"/>
      <c r="O100" s="1479"/>
      <c r="P100" s="1479"/>
      <c r="Q100" s="1479"/>
      <c r="R100" s="1479"/>
      <c r="S100" s="1479"/>
      <c r="T100" s="1479"/>
      <c r="U100" s="1479"/>
      <c r="V100" s="1479"/>
      <c r="W100" s="1479"/>
      <c r="X100" s="1479"/>
      <c r="Y100" s="1479"/>
      <c r="Z100" s="1479"/>
    </row>
    <row r="101">
      <c r="A101" s="1468" t="s">
        <v>3828</v>
      </c>
      <c r="B101" s="1469">
        <v>80100.0</v>
      </c>
      <c r="C101" s="1470">
        <v>2007.0</v>
      </c>
      <c r="D101" s="1473"/>
      <c r="E101" s="1473"/>
      <c r="F101" s="1471" t="s">
        <v>3829</v>
      </c>
      <c r="G101" s="1464"/>
      <c r="H101" s="1464"/>
      <c r="I101" s="1472">
        <v>45931.0</v>
      </c>
      <c r="J101" s="1470" t="s">
        <v>3651</v>
      </c>
      <c r="K101" s="1470" t="s">
        <v>3753</v>
      </c>
      <c r="L101" s="1464"/>
      <c r="M101" s="1479"/>
      <c r="N101" s="1479"/>
      <c r="O101" s="1479"/>
      <c r="P101" s="1479"/>
      <c r="Q101" s="1479"/>
      <c r="R101" s="1479"/>
      <c r="S101" s="1479"/>
      <c r="T101" s="1479"/>
      <c r="U101" s="1479"/>
      <c r="V101" s="1479"/>
      <c r="W101" s="1479"/>
      <c r="X101" s="1479"/>
      <c r="Y101" s="1479"/>
      <c r="Z101" s="1479"/>
    </row>
    <row r="102">
      <c r="A102" s="1468" t="s">
        <v>3828</v>
      </c>
      <c r="B102" s="1469">
        <v>80100.0</v>
      </c>
      <c r="C102" s="1470">
        <v>2007.0</v>
      </c>
      <c r="D102" s="1473"/>
      <c r="E102" s="1473"/>
      <c r="F102" s="1471" t="s">
        <v>3830</v>
      </c>
      <c r="G102" s="1464"/>
      <c r="H102" s="1464"/>
      <c r="I102" s="1472">
        <v>45931.0</v>
      </c>
      <c r="J102" s="1470" t="s">
        <v>3651</v>
      </c>
      <c r="K102" s="1470" t="s">
        <v>3753</v>
      </c>
      <c r="L102" s="1464"/>
      <c r="M102" s="1479"/>
      <c r="N102" s="1479"/>
      <c r="O102" s="1479"/>
      <c r="P102" s="1479"/>
      <c r="Q102" s="1479"/>
      <c r="R102" s="1479"/>
      <c r="S102" s="1479"/>
      <c r="T102" s="1479"/>
      <c r="U102" s="1479"/>
      <c r="V102" s="1479"/>
      <c r="W102" s="1479"/>
      <c r="X102" s="1479"/>
      <c r="Y102" s="1479"/>
      <c r="Z102" s="1479"/>
    </row>
    <row r="103">
      <c r="A103" s="1468" t="s">
        <v>3831</v>
      </c>
      <c r="B103" s="1469">
        <v>82200.0</v>
      </c>
      <c r="C103" s="1470">
        <v>2008.0</v>
      </c>
      <c r="D103" s="1473"/>
      <c r="E103" s="1469" t="s">
        <v>70</v>
      </c>
      <c r="F103" s="1471" t="s">
        <v>3832</v>
      </c>
      <c r="G103" s="1464"/>
      <c r="H103" s="1464"/>
      <c r="I103" s="1472">
        <v>45962.0</v>
      </c>
      <c r="J103" s="1470" t="s">
        <v>3833</v>
      </c>
      <c r="K103" s="1470" t="s">
        <v>3192</v>
      </c>
      <c r="L103" s="1470" t="s">
        <v>3834</v>
      </c>
      <c r="M103" s="1464"/>
      <c r="N103" s="1464"/>
      <c r="O103" s="1464"/>
      <c r="P103" s="1464"/>
      <c r="Q103" s="1464"/>
      <c r="R103" s="1464"/>
      <c r="S103" s="1464"/>
      <c r="T103" s="1464"/>
      <c r="U103" s="1464"/>
      <c r="V103" s="1464"/>
      <c r="W103" s="1464"/>
      <c r="X103" s="1464"/>
      <c r="Y103" s="1464"/>
      <c r="Z103" s="1464"/>
    </row>
    <row r="104">
      <c r="A104" s="1468" t="s">
        <v>3835</v>
      </c>
      <c r="B104" s="1469">
        <v>82200.0</v>
      </c>
      <c r="C104" s="1470">
        <v>2008.0</v>
      </c>
      <c r="D104" s="1473"/>
      <c r="E104" s="1473"/>
      <c r="F104" s="1471" t="s">
        <v>3836</v>
      </c>
      <c r="G104" s="1464"/>
      <c r="H104" s="1464"/>
      <c r="I104" s="1472">
        <v>45962.0</v>
      </c>
      <c r="J104" s="1470" t="s">
        <v>1190</v>
      </c>
      <c r="K104" s="1470" t="s">
        <v>3192</v>
      </c>
      <c r="L104" s="1470" t="s">
        <v>3834</v>
      </c>
      <c r="M104" s="1464"/>
      <c r="N104" s="1464"/>
      <c r="O104" s="1464"/>
      <c r="P104" s="1464"/>
      <c r="Q104" s="1464"/>
      <c r="R104" s="1464"/>
      <c r="S104" s="1464"/>
      <c r="T104" s="1464"/>
      <c r="U104" s="1464"/>
      <c r="V104" s="1464"/>
      <c r="W104" s="1464"/>
      <c r="X104" s="1464"/>
      <c r="Y104" s="1464"/>
      <c r="Z104" s="1464"/>
    </row>
    <row r="105">
      <c r="A105" s="1468" t="s">
        <v>3837</v>
      </c>
      <c r="B105" s="1469">
        <v>82400.0</v>
      </c>
      <c r="C105" s="1470">
        <v>2016.0</v>
      </c>
      <c r="D105" s="1481"/>
      <c r="E105" s="1473"/>
      <c r="F105" s="1471" t="s">
        <v>3838</v>
      </c>
      <c r="G105" s="1464"/>
      <c r="H105" s="1476" t="s">
        <v>3639</v>
      </c>
      <c r="I105" s="1472">
        <v>45962.0</v>
      </c>
      <c r="J105" s="1470" t="s">
        <v>3737</v>
      </c>
      <c r="K105" s="1470" t="s">
        <v>3839</v>
      </c>
      <c r="L105" s="1464"/>
      <c r="M105" s="1464"/>
      <c r="N105" s="1464"/>
      <c r="O105" s="1464"/>
      <c r="P105" s="1464"/>
      <c r="Q105" s="1464"/>
      <c r="R105" s="1464"/>
      <c r="S105" s="1464"/>
      <c r="T105" s="1464"/>
      <c r="U105" s="1464"/>
      <c r="V105" s="1464"/>
      <c r="W105" s="1464"/>
      <c r="X105" s="1464"/>
      <c r="Y105" s="1464"/>
      <c r="Z105" s="1464"/>
    </row>
    <row r="106">
      <c r="A106" s="1485" t="s">
        <v>3810</v>
      </c>
      <c r="B106" s="1486">
        <v>88000.0</v>
      </c>
      <c r="C106" s="1487">
        <v>2025.0</v>
      </c>
      <c r="D106" s="1486" t="s">
        <v>3636</v>
      </c>
      <c r="E106" s="1486" t="s">
        <v>666</v>
      </c>
      <c r="F106" s="1488" t="s">
        <v>3840</v>
      </c>
      <c r="G106" s="1489"/>
      <c r="H106" s="1487" t="s">
        <v>3718</v>
      </c>
      <c r="I106" s="1490">
        <v>45962.0</v>
      </c>
      <c r="J106" s="1487" t="s">
        <v>3722</v>
      </c>
      <c r="K106" s="1487" t="s">
        <v>3723</v>
      </c>
      <c r="L106" s="1479"/>
      <c r="M106" s="1479"/>
      <c r="N106" s="1479"/>
      <c r="O106" s="1479"/>
      <c r="P106" s="1479"/>
      <c r="Q106" s="1479"/>
      <c r="R106" s="1479"/>
      <c r="S106" s="1479"/>
      <c r="T106" s="1479"/>
      <c r="U106" s="1479"/>
      <c r="V106" s="1479"/>
      <c r="W106" s="1479"/>
      <c r="X106" s="1479"/>
      <c r="Y106" s="1479"/>
      <c r="Z106" s="1479"/>
    </row>
    <row r="107">
      <c r="A107" s="1468" t="s">
        <v>3841</v>
      </c>
      <c r="B107" s="1469">
        <v>82200.0</v>
      </c>
      <c r="C107" s="1470">
        <v>2018.0</v>
      </c>
      <c r="D107" s="1473"/>
      <c r="E107" s="1473"/>
      <c r="F107" s="1471" t="s">
        <v>3842</v>
      </c>
      <c r="G107" s="1464"/>
      <c r="H107" s="1464"/>
      <c r="I107" s="1472">
        <v>45962.0</v>
      </c>
      <c r="J107" s="1472" t="s">
        <v>3695</v>
      </c>
      <c r="K107" s="1470" t="s">
        <v>3843</v>
      </c>
      <c r="L107" s="1464"/>
      <c r="M107" s="1464"/>
      <c r="N107" s="1464"/>
      <c r="O107" s="1464"/>
      <c r="P107" s="1464"/>
      <c r="Q107" s="1464"/>
      <c r="R107" s="1464"/>
      <c r="S107" s="1464"/>
      <c r="T107" s="1464"/>
      <c r="U107" s="1464"/>
      <c r="V107" s="1464"/>
      <c r="W107" s="1464"/>
      <c r="X107" s="1464"/>
      <c r="Y107" s="1464"/>
      <c r="Z107" s="1464"/>
    </row>
    <row r="108">
      <c r="A108" s="1468" t="s">
        <v>3841</v>
      </c>
      <c r="B108" s="1469">
        <v>82200.0</v>
      </c>
      <c r="C108" s="1470">
        <v>2018.0</v>
      </c>
      <c r="D108" s="1473"/>
      <c r="E108" s="1473"/>
      <c r="F108" s="1471" t="s">
        <v>3844</v>
      </c>
      <c r="G108" s="1464"/>
      <c r="H108" s="1464"/>
      <c r="I108" s="1472">
        <v>45962.0</v>
      </c>
      <c r="J108" s="1472" t="s">
        <v>3695</v>
      </c>
      <c r="K108" s="1470" t="s">
        <v>3843</v>
      </c>
      <c r="L108" s="1464"/>
      <c r="M108" s="1479"/>
      <c r="N108" s="1479"/>
      <c r="O108" s="1479"/>
      <c r="P108" s="1479"/>
      <c r="Q108" s="1479"/>
      <c r="R108" s="1479"/>
      <c r="S108" s="1479"/>
      <c r="T108" s="1479"/>
      <c r="U108" s="1479"/>
      <c r="V108" s="1479"/>
      <c r="W108" s="1479"/>
      <c r="X108" s="1479"/>
      <c r="Y108" s="1479"/>
      <c r="Z108" s="1479"/>
    </row>
    <row r="109">
      <c r="A109" s="1468" t="s">
        <v>3837</v>
      </c>
      <c r="B109" s="1469">
        <v>82400.0</v>
      </c>
      <c r="C109" s="1470">
        <v>2016.0</v>
      </c>
      <c r="D109" s="1473"/>
      <c r="E109" s="1473"/>
      <c r="F109" s="1471" t="s">
        <v>3845</v>
      </c>
      <c r="G109" s="1464"/>
      <c r="H109" s="1476" t="s">
        <v>3639</v>
      </c>
      <c r="I109" s="1472">
        <v>45962.0</v>
      </c>
      <c r="J109" s="1470" t="s">
        <v>3737</v>
      </c>
      <c r="K109" s="1470" t="s">
        <v>3839</v>
      </c>
      <c r="L109" s="1470" t="s">
        <v>3846</v>
      </c>
      <c r="M109" s="1464"/>
      <c r="N109" s="1464"/>
      <c r="O109" s="1464"/>
      <c r="P109" s="1464"/>
      <c r="Q109" s="1464"/>
      <c r="R109" s="1464"/>
      <c r="S109" s="1464"/>
      <c r="T109" s="1464"/>
      <c r="U109" s="1464"/>
      <c r="V109" s="1464"/>
      <c r="W109" s="1464"/>
      <c r="X109" s="1464"/>
      <c r="Y109" s="1464"/>
      <c r="Z109" s="1464"/>
    </row>
    <row r="110">
      <c r="A110" s="1468" t="s">
        <v>3837</v>
      </c>
      <c r="B110" s="1469">
        <v>82400.0</v>
      </c>
      <c r="C110" s="1470">
        <v>2016.0</v>
      </c>
      <c r="D110" s="1473"/>
      <c r="E110" s="1469" t="s">
        <v>3637</v>
      </c>
      <c r="F110" s="1471" t="s">
        <v>3847</v>
      </c>
      <c r="G110" s="1464"/>
      <c r="H110" s="1476" t="s">
        <v>3639</v>
      </c>
      <c r="I110" s="1472">
        <v>45962.0</v>
      </c>
      <c r="J110" s="1470" t="s">
        <v>3737</v>
      </c>
      <c r="K110" s="1470" t="s">
        <v>3839</v>
      </c>
      <c r="L110" s="1464"/>
      <c r="M110" s="1464"/>
      <c r="N110" s="1464"/>
      <c r="O110" s="1464"/>
      <c r="P110" s="1464"/>
      <c r="Q110" s="1464"/>
      <c r="R110" s="1464"/>
      <c r="S110" s="1464"/>
      <c r="T110" s="1464"/>
      <c r="U110" s="1464"/>
      <c r="V110" s="1464"/>
      <c r="W110" s="1464"/>
      <c r="X110" s="1464"/>
      <c r="Y110" s="1464"/>
      <c r="Z110" s="1464"/>
    </row>
    <row r="111">
      <c r="A111" s="1468" t="s">
        <v>3848</v>
      </c>
      <c r="B111" s="1469">
        <v>83000.0</v>
      </c>
      <c r="C111" s="1470">
        <v>2019.0</v>
      </c>
      <c r="D111" s="1473"/>
      <c r="E111" s="1473"/>
      <c r="F111" s="1471" t="s">
        <v>3849</v>
      </c>
      <c r="G111" s="1464"/>
      <c r="H111" s="1476" t="s">
        <v>3639</v>
      </c>
      <c r="I111" s="1472">
        <v>45962.0</v>
      </c>
      <c r="J111" s="1491" t="s">
        <v>3705</v>
      </c>
      <c r="K111" s="1470" t="s">
        <v>3207</v>
      </c>
      <c r="L111" s="1464"/>
      <c r="M111" s="1479"/>
      <c r="N111" s="1479"/>
      <c r="O111" s="1479"/>
      <c r="P111" s="1479"/>
      <c r="Q111" s="1479"/>
      <c r="R111" s="1479"/>
      <c r="S111" s="1479"/>
      <c r="T111" s="1479"/>
      <c r="U111" s="1479"/>
      <c r="V111" s="1479"/>
      <c r="W111" s="1479"/>
      <c r="X111" s="1479"/>
      <c r="Y111" s="1479"/>
      <c r="Z111" s="1479"/>
    </row>
    <row r="112">
      <c r="A112" s="1468" t="s">
        <v>3382</v>
      </c>
      <c r="B112" s="1469">
        <v>78900.0</v>
      </c>
      <c r="C112" s="1470">
        <v>2009.0</v>
      </c>
      <c r="D112" s="1473"/>
      <c r="E112" s="1473"/>
      <c r="F112" s="1471" t="s">
        <v>3850</v>
      </c>
      <c r="G112" s="1464"/>
      <c r="H112" s="1470" t="s">
        <v>3639</v>
      </c>
      <c r="I112" s="1472">
        <v>45962.0</v>
      </c>
      <c r="J112" s="1472" t="s">
        <v>3651</v>
      </c>
      <c r="K112" s="1470" t="s">
        <v>3669</v>
      </c>
      <c r="L112" s="1470" t="s">
        <v>3851</v>
      </c>
      <c r="M112" s="1464"/>
      <c r="N112" s="1464"/>
      <c r="O112" s="1464"/>
      <c r="P112" s="1464"/>
      <c r="Q112" s="1464"/>
      <c r="R112" s="1464"/>
      <c r="S112" s="1464"/>
      <c r="T112" s="1464"/>
      <c r="U112" s="1464"/>
      <c r="V112" s="1464"/>
      <c r="W112" s="1464"/>
      <c r="X112" s="1464"/>
      <c r="Y112" s="1464"/>
      <c r="Z112" s="1464"/>
    </row>
    <row r="113">
      <c r="A113" s="1468" t="s">
        <v>3835</v>
      </c>
      <c r="B113" s="1469">
        <v>82200.0</v>
      </c>
      <c r="C113" s="1470">
        <v>2008.0</v>
      </c>
      <c r="D113" s="1473"/>
      <c r="E113" s="1473"/>
      <c r="F113" s="1471" t="s">
        <v>3852</v>
      </c>
      <c r="G113" s="1464"/>
      <c r="H113" s="1464"/>
      <c r="I113" s="1472">
        <v>45962.0</v>
      </c>
      <c r="J113" s="1470" t="s">
        <v>1190</v>
      </c>
      <c r="K113" s="1470" t="s">
        <v>3192</v>
      </c>
      <c r="L113" s="1464"/>
      <c r="M113" s="1479"/>
      <c r="N113" s="1479"/>
      <c r="O113" s="1479"/>
      <c r="P113" s="1479"/>
      <c r="Q113" s="1479"/>
      <c r="R113" s="1479"/>
      <c r="S113" s="1479"/>
      <c r="T113" s="1479"/>
      <c r="U113" s="1479"/>
      <c r="V113" s="1479"/>
      <c r="W113" s="1479"/>
      <c r="X113" s="1479"/>
      <c r="Y113" s="1479"/>
      <c r="Z113" s="1479"/>
    </row>
    <row r="114">
      <c r="A114" s="1468" t="s">
        <v>3831</v>
      </c>
      <c r="B114" s="1469">
        <v>82000.0</v>
      </c>
      <c r="C114" s="1470">
        <v>2008.0</v>
      </c>
      <c r="D114" s="1473"/>
      <c r="E114" s="1469" t="s">
        <v>70</v>
      </c>
      <c r="F114" s="1471" t="s">
        <v>3853</v>
      </c>
      <c r="G114" s="1464"/>
      <c r="H114" s="1464"/>
      <c r="I114" s="1472">
        <v>45962.0</v>
      </c>
      <c r="J114" s="1470" t="s">
        <v>3833</v>
      </c>
      <c r="K114" s="1470" t="s">
        <v>3192</v>
      </c>
      <c r="L114" s="1470" t="s">
        <v>70</v>
      </c>
      <c r="M114" s="1479"/>
      <c r="N114" s="1479"/>
      <c r="O114" s="1479"/>
      <c r="P114" s="1479"/>
      <c r="Q114" s="1479"/>
      <c r="R114" s="1479"/>
      <c r="S114" s="1479"/>
      <c r="T114" s="1479"/>
      <c r="U114" s="1479"/>
      <c r="V114" s="1479"/>
      <c r="W114" s="1479"/>
      <c r="X114" s="1479"/>
      <c r="Y114" s="1479"/>
      <c r="Z114" s="1479"/>
    </row>
    <row r="115">
      <c r="A115" s="1468" t="s">
        <v>3848</v>
      </c>
      <c r="B115" s="1469">
        <v>83000.0</v>
      </c>
      <c r="C115" s="1470">
        <v>2019.0</v>
      </c>
      <c r="D115" s="1473"/>
      <c r="E115" s="1473"/>
      <c r="F115" s="1471" t="s">
        <v>3854</v>
      </c>
      <c r="G115" s="1464"/>
      <c r="H115" s="1476" t="s">
        <v>3639</v>
      </c>
      <c r="I115" s="1472">
        <v>45962.0</v>
      </c>
      <c r="J115" s="1491" t="s">
        <v>3705</v>
      </c>
      <c r="K115" s="1470" t="s">
        <v>3207</v>
      </c>
      <c r="L115" s="1464"/>
      <c r="M115" s="1464"/>
      <c r="N115" s="1464"/>
      <c r="O115" s="1464"/>
      <c r="P115" s="1464"/>
      <c r="Q115" s="1464"/>
      <c r="R115" s="1464"/>
      <c r="S115" s="1464"/>
      <c r="T115" s="1464"/>
      <c r="U115" s="1464"/>
      <c r="V115" s="1464"/>
      <c r="W115" s="1464"/>
      <c r="X115" s="1464"/>
      <c r="Y115" s="1464"/>
      <c r="Z115" s="1464"/>
    </row>
    <row r="116">
      <c r="A116" s="1468" t="s">
        <v>3382</v>
      </c>
      <c r="B116" s="1469">
        <v>78900.0</v>
      </c>
      <c r="C116" s="1470">
        <v>2009.0</v>
      </c>
      <c r="D116" s="1473"/>
      <c r="E116" s="1473"/>
      <c r="F116" s="1471" t="s">
        <v>3855</v>
      </c>
      <c r="G116" s="1464"/>
      <c r="H116" s="1464"/>
      <c r="I116" s="1472">
        <v>45962.0</v>
      </c>
      <c r="J116" s="1472" t="s">
        <v>3651</v>
      </c>
      <c r="K116" s="1470" t="s">
        <v>3669</v>
      </c>
      <c r="L116" s="1470" t="s">
        <v>3856</v>
      </c>
      <c r="M116" s="1464"/>
      <c r="N116" s="1464"/>
      <c r="O116" s="1464"/>
      <c r="P116" s="1464"/>
      <c r="Q116" s="1464"/>
      <c r="R116" s="1464"/>
      <c r="S116" s="1464"/>
      <c r="T116" s="1464"/>
      <c r="U116" s="1464"/>
      <c r="V116" s="1464"/>
      <c r="W116" s="1464"/>
      <c r="X116" s="1464"/>
      <c r="Y116" s="1464"/>
      <c r="Z116" s="1464"/>
    </row>
    <row r="117">
      <c r="A117" s="1468" t="s">
        <v>3381</v>
      </c>
      <c r="B117" s="1469">
        <v>82200.0</v>
      </c>
      <c r="C117" s="1470">
        <v>2006.0</v>
      </c>
      <c r="D117" s="1473"/>
      <c r="E117" s="1473"/>
      <c r="F117" s="1471" t="s">
        <v>3857</v>
      </c>
      <c r="G117" s="1464"/>
      <c r="H117" s="1464"/>
      <c r="I117" s="1472">
        <v>45992.0</v>
      </c>
      <c r="J117" s="1476" t="s">
        <v>3858</v>
      </c>
      <c r="K117" s="1470" t="s">
        <v>3859</v>
      </c>
      <c r="L117" s="1464"/>
      <c r="M117" s="1464"/>
      <c r="N117" s="1464"/>
      <c r="O117" s="1464"/>
      <c r="P117" s="1464"/>
      <c r="Q117" s="1464"/>
      <c r="R117" s="1464"/>
      <c r="S117" s="1464"/>
      <c r="T117" s="1464"/>
      <c r="U117" s="1464"/>
      <c r="V117" s="1464"/>
      <c r="W117" s="1464"/>
      <c r="X117" s="1464"/>
      <c r="Y117" s="1464"/>
      <c r="Z117" s="1464"/>
    </row>
    <row r="118">
      <c r="A118" s="1468" t="s">
        <v>3860</v>
      </c>
      <c r="B118" s="1469">
        <v>82200.0</v>
      </c>
      <c r="C118" s="1470">
        <v>2006.0</v>
      </c>
      <c r="D118" s="1473"/>
      <c r="E118" s="1473"/>
      <c r="F118" s="1471" t="s">
        <v>3857</v>
      </c>
      <c r="G118" s="1464"/>
      <c r="H118" s="1464"/>
      <c r="I118" s="1472">
        <v>45992.0</v>
      </c>
      <c r="J118" s="1476" t="s">
        <v>3858</v>
      </c>
      <c r="K118" s="1470" t="s">
        <v>3859</v>
      </c>
      <c r="L118" s="1464"/>
      <c r="M118" s="1464"/>
      <c r="N118" s="1464"/>
      <c r="O118" s="1464"/>
      <c r="P118" s="1464"/>
      <c r="Q118" s="1464"/>
      <c r="R118" s="1464"/>
      <c r="S118" s="1464"/>
      <c r="T118" s="1464"/>
      <c r="U118" s="1464"/>
      <c r="V118" s="1464"/>
      <c r="W118" s="1464"/>
      <c r="X118" s="1464"/>
      <c r="Y118" s="1464"/>
      <c r="Z118" s="1464"/>
    </row>
    <row r="119">
      <c r="A119" s="1468" t="s">
        <v>3861</v>
      </c>
      <c r="B119" s="1469">
        <v>83300.0</v>
      </c>
      <c r="C119" s="1470">
        <v>2017.0</v>
      </c>
      <c r="D119" s="1481"/>
      <c r="E119" s="1473"/>
      <c r="F119" s="1471" t="s">
        <v>3862</v>
      </c>
      <c r="G119" s="1464"/>
      <c r="H119" s="1476" t="s">
        <v>3639</v>
      </c>
      <c r="I119" s="1472">
        <v>45992.0</v>
      </c>
      <c r="J119" s="1470" t="s">
        <v>3797</v>
      </c>
      <c r="K119" s="1470" t="s">
        <v>3207</v>
      </c>
      <c r="L119" s="1479"/>
      <c r="M119" s="1464"/>
      <c r="N119" s="1464"/>
      <c r="O119" s="1464"/>
      <c r="P119" s="1464"/>
      <c r="Q119" s="1464"/>
      <c r="R119" s="1464"/>
      <c r="S119" s="1464"/>
      <c r="T119" s="1464"/>
      <c r="U119" s="1464"/>
      <c r="V119" s="1464"/>
      <c r="W119" s="1464"/>
      <c r="X119" s="1464"/>
      <c r="Y119" s="1464"/>
      <c r="Z119" s="1464"/>
    </row>
    <row r="120">
      <c r="A120" s="1468" t="s">
        <v>3863</v>
      </c>
      <c r="B120" s="1469">
        <v>83300.0</v>
      </c>
      <c r="C120" s="1470">
        <v>2016.0</v>
      </c>
      <c r="D120" s="1481"/>
      <c r="E120" s="1473"/>
      <c r="F120" s="1471" t="s">
        <v>3862</v>
      </c>
      <c r="G120" s="1464"/>
      <c r="H120" s="1476" t="s">
        <v>3639</v>
      </c>
      <c r="I120" s="1472">
        <v>45992.0</v>
      </c>
      <c r="J120" s="1470" t="s">
        <v>3797</v>
      </c>
      <c r="K120" s="1470" t="s">
        <v>3207</v>
      </c>
      <c r="L120" s="1479"/>
      <c r="M120" s="1464"/>
      <c r="N120" s="1464"/>
      <c r="O120" s="1464"/>
      <c r="P120" s="1464"/>
      <c r="Q120" s="1464"/>
      <c r="R120" s="1464"/>
      <c r="S120" s="1464"/>
      <c r="T120" s="1464"/>
      <c r="U120" s="1464"/>
      <c r="V120" s="1464"/>
      <c r="W120" s="1464"/>
      <c r="X120" s="1464"/>
      <c r="Y120" s="1464"/>
      <c r="Z120" s="1464"/>
    </row>
    <row r="121">
      <c r="A121" s="1474" t="s">
        <v>3402</v>
      </c>
      <c r="B121" s="1475">
        <v>83000.0</v>
      </c>
      <c r="C121" s="1476">
        <v>2019.0</v>
      </c>
      <c r="D121" s="1481"/>
      <c r="E121" s="1469" t="s">
        <v>3637</v>
      </c>
      <c r="F121" s="1477" t="s">
        <v>3862</v>
      </c>
      <c r="G121" s="1464"/>
      <c r="H121" s="1476" t="s">
        <v>3639</v>
      </c>
      <c r="I121" s="1480">
        <v>45992.0</v>
      </c>
      <c r="J121" s="1480" t="s">
        <v>3797</v>
      </c>
      <c r="K121" s="1470" t="s">
        <v>3207</v>
      </c>
      <c r="L121" s="1464"/>
      <c r="M121" s="1464"/>
      <c r="N121" s="1464"/>
      <c r="O121" s="1464"/>
      <c r="P121" s="1464"/>
      <c r="Q121" s="1464"/>
      <c r="R121" s="1464"/>
      <c r="S121" s="1464"/>
      <c r="T121" s="1464"/>
      <c r="U121" s="1464"/>
      <c r="V121" s="1464"/>
      <c r="W121" s="1464"/>
      <c r="X121" s="1464"/>
      <c r="Y121" s="1464"/>
      <c r="Z121" s="1464"/>
    </row>
    <row r="122">
      <c r="A122" s="1468" t="s">
        <v>3864</v>
      </c>
      <c r="B122" s="1469">
        <v>82200.0</v>
      </c>
      <c r="C122" s="1470">
        <v>2017.0</v>
      </c>
      <c r="D122" s="1481"/>
      <c r="E122" s="1473"/>
      <c r="F122" s="1471" t="s">
        <v>3865</v>
      </c>
      <c r="G122" s="1464"/>
      <c r="H122" s="1476" t="s">
        <v>3639</v>
      </c>
      <c r="I122" s="1472">
        <v>45992.0</v>
      </c>
      <c r="J122" s="1470" t="s">
        <v>3797</v>
      </c>
      <c r="K122" s="1470" t="s">
        <v>3843</v>
      </c>
      <c r="L122" s="1464"/>
      <c r="M122" s="1464"/>
      <c r="N122" s="1464"/>
      <c r="O122" s="1464"/>
      <c r="P122" s="1464"/>
      <c r="Q122" s="1464"/>
      <c r="R122" s="1464"/>
      <c r="S122" s="1464"/>
      <c r="T122" s="1464"/>
      <c r="U122" s="1464"/>
      <c r="V122" s="1464"/>
      <c r="W122" s="1464"/>
      <c r="X122" s="1464"/>
      <c r="Y122" s="1464"/>
      <c r="Z122" s="1464"/>
    </row>
    <row r="123">
      <c r="A123" s="1468" t="s">
        <v>3866</v>
      </c>
      <c r="B123" s="1469">
        <v>78900.0</v>
      </c>
      <c r="C123" s="1470">
        <v>2008.0</v>
      </c>
      <c r="D123" s="1481"/>
      <c r="E123" s="1473"/>
      <c r="F123" s="1471" t="s">
        <v>3867</v>
      </c>
      <c r="G123" s="1464"/>
      <c r="H123" s="1476" t="s">
        <v>3639</v>
      </c>
      <c r="I123" s="1472">
        <v>45992.0</v>
      </c>
      <c r="J123" s="1472" t="s">
        <v>3797</v>
      </c>
      <c r="K123" s="1476" t="s">
        <v>3868</v>
      </c>
      <c r="L123" s="1464"/>
      <c r="M123" s="1479"/>
      <c r="N123" s="1479"/>
      <c r="O123" s="1479"/>
      <c r="P123" s="1479"/>
      <c r="Q123" s="1479"/>
      <c r="R123" s="1479"/>
      <c r="S123" s="1479"/>
      <c r="T123" s="1479"/>
      <c r="U123" s="1479"/>
      <c r="V123" s="1479"/>
      <c r="W123" s="1479"/>
      <c r="X123" s="1479"/>
      <c r="Y123" s="1479"/>
      <c r="Z123" s="1479"/>
    </row>
    <row r="124">
      <c r="A124" s="1468" t="s">
        <v>3869</v>
      </c>
      <c r="B124" s="1469">
        <v>78900.0</v>
      </c>
      <c r="C124" s="1470">
        <v>2003.0</v>
      </c>
      <c r="D124" s="1481"/>
      <c r="E124" s="1473"/>
      <c r="F124" s="1471" t="s">
        <v>3862</v>
      </c>
      <c r="G124" s="1464"/>
      <c r="H124" s="1476" t="s">
        <v>3639</v>
      </c>
      <c r="I124" s="1472">
        <v>45992.0</v>
      </c>
      <c r="J124" s="1472" t="s">
        <v>3797</v>
      </c>
      <c r="K124" s="1470" t="s">
        <v>3207</v>
      </c>
      <c r="L124" s="1464"/>
      <c r="M124" s="1479"/>
      <c r="N124" s="1479"/>
      <c r="O124" s="1479"/>
      <c r="P124" s="1479"/>
      <c r="Q124" s="1479"/>
      <c r="R124" s="1479"/>
      <c r="S124" s="1479"/>
      <c r="T124" s="1479"/>
      <c r="U124" s="1479"/>
      <c r="V124" s="1479"/>
      <c r="W124" s="1479"/>
      <c r="X124" s="1479"/>
      <c r="Y124" s="1479"/>
      <c r="Z124" s="1479"/>
    </row>
    <row r="125">
      <c r="A125" s="1468" t="s">
        <v>3870</v>
      </c>
      <c r="B125" s="1469">
        <v>78900.0</v>
      </c>
      <c r="C125" s="1470">
        <v>2003.0</v>
      </c>
      <c r="D125" s="1481"/>
      <c r="E125" s="1473"/>
      <c r="F125" s="1471" t="s">
        <v>3862</v>
      </c>
      <c r="G125" s="1464"/>
      <c r="H125" s="1476" t="s">
        <v>3639</v>
      </c>
      <c r="I125" s="1472">
        <v>45992.0</v>
      </c>
      <c r="J125" s="1472" t="s">
        <v>3797</v>
      </c>
      <c r="K125" s="1470" t="s">
        <v>3207</v>
      </c>
      <c r="L125" s="1464"/>
      <c r="M125" s="1464"/>
      <c r="N125" s="1464"/>
      <c r="O125" s="1464"/>
      <c r="P125" s="1464"/>
      <c r="Q125" s="1464"/>
      <c r="R125" s="1464"/>
      <c r="S125" s="1464"/>
      <c r="T125" s="1464"/>
      <c r="U125" s="1464"/>
      <c r="V125" s="1464"/>
      <c r="W125" s="1464"/>
      <c r="X125" s="1464"/>
      <c r="Y125" s="1464"/>
      <c r="Z125" s="1464"/>
    </row>
    <row r="126">
      <c r="A126" s="1474" t="s">
        <v>3871</v>
      </c>
      <c r="B126" s="1475">
        <v>91000.0</v>
      </c>
      <c r="C126" s="1476">
        <v>2023.0</v>
      </c>
      <c r="D126" s="1481"/>
      <c r="E126" s="1475" t="s">
        <v>666</v>
      </c>
      <c r="F126" s="1477" t="s">
        <v>3872</v>
      </c>
      <c r="G126" s="1479"/>
      <c r="H126" s="1476" t="s">
        <v>3702</v>
      </c>
      <c r="I126" s="1480">
        <v>45992.0</v>
      </c>
      <c r="J126" s="1480" t="s">
        <v>761</v>
      </c>
      <c r="K126" s="1476" t="s">
        <v>3732</v>
      </c>
      <c r="L126" s="1479"/>
      <c r="M126" s="1464"/>
      <c r="N126" s="1464"/>
      <c r="O126" s="1464"/>
      <c r="P126" s="1464"/>
      <c r="Q126" s="1464"/>
      <c r="R126" s="1464"/>
      <c r="S126" s="1464"/>
      <c r="T126" s="1464"/>
      <c r="U126" s="1464"/>
      <c r="V126" s="1464"/>
      <c r="W126" s="1464"/>
      <c r="X126" s="1464"/>
      <c r="Y126" s="1464"/>
      <c r="Z126" s="1464"/>
    </row>
    <row r="127">
      <c r="A127" s="1485" t="s">
        <v>3873</v>
      </c>
      <c r="B127" s="1486">
        <v>86700.0</v>
      </c>
      <c r="C127" s="1487">
        <v>2025.0</v>
      </c>
      <c r="D127" s="1492"/>
      <c r="E127" s="1486" t="s">
        <v>666</v>
      </c>
      <c r="F127" s="1488" t="s">
        <v>3874</v>
      </c>
      <c r="G127" s="1489"/>
      <c r="H127" s="1489"/>
      <c r="I127" s="1490">
        <v>45992.0</v>
      </c>
      <c r="J127" s="1487" t="s">
        <v>761</v>
      </c>
      <c r="K127" s="1487" t="s">
        <v>761</v>
      </c>
      <c r="L127" s="1479"/>
      <c r="M127" s="1464"/>
      <c r="N127" s="1464"/>
      <c r="O127" s="1464"/>
      <c r="P127" s="1464"/>
      <c r="Q127" s="1464"/>
      <c r="R127" s="1464"/>
      <c r="S127" s="1464"/>
      <c r="T127" s="1464"/>
      <c r="U127" s="1464"/>
      <c r="V127" s="1464"/>
      <c r="W127" s="1464"/>
      <c r="X127" s="1464"/>
      <c r="Y127" s="1464"/>
      <c r="Z127" s="1464"/>
    </row>
    <row r="128">
      <c r="A128" s="1468" t="s">
        <v>3875</v>
      </c>
      <c r="B128" s="1469">
        <v>79500.0</v>
      </c>
      <c r="C128" s="1470">
        <v>2002.0</v>
      </c>
      <c r="D128" s="1473"/>
      <c r="E128" s="1473"/>
      <c r="F128" s="1471" t="s">
        <v>3876</v>
      </c>
      <c r="G128" s="1464"/>
      <c r="H128" s="1464"/>
      <c r="I128" s="1472">
        <v>45992.0</v>
      </c>
      <c r="J128" s="1472" t="s">
        <v>2899</v>
      </c>
      <c r="K128" s="1470" t="s">
        <v>3877</v>
      </c>
      <c r="L128" s="1470" t="s">
        <v>3878</v>
      </c>
      <c r="M128" s="1464"/>
      <c r="N128" s="1464"/>
      <c r="O128" s="1464"/>
      <c r="P128" s="1464"/>
      <c r="Q128" s="1464"/>
      <c r="R128" s="1464"/>
      <c r="S128" s="1464"/>
      <c r="T128" s="1464"/>
      <c r="U128" s="1464"/>
      <c r="V128" s="1464"/>
      <c r="W128" s="1464"/>
      <c r="X128" s="1464"/>
      <c r="Y128" s="1464"/>
      <c r="Z128" s="1464"/>
    </row>
    <row r="129">
      <c r="A129" s="1468" t="s">
        <v>3879</v>
      </c>
      <c r="B129" s="1469">
        <v>84100.0</v>
      </c>
      <c r="C129" s="1470">
        <v>2017.0</v>
      </c>
      <c r="D129" s="1473"/>
      <c r="E129" s="1473"/>
      <c r="F129" s="1471" t="s">
        <v>3880</v>
      </c>
      <c r="G129" s="1464"/>
      <c r="H129" s="1464"/>
      <c r="I129" s="1472">
        <v>45992.0</v>
      </c>
      <c r="J129" s="1476" t="s">
        <v>2935</v>
      </c>
      <c r="K129" s="1470" t="s">
        <v>3859</v>
      </c>
      <c r="L129" s="1464"/>
      <c r="M129" s="1464"/>
      <c r="N129" s="1464"/>
      <c r="O129" s="1464"/>
      <c r="P129" s="1464"/>
      <c r="Q129" s="1464"/>
      <c r="R129" s="1464"/>
      <c r="S129" s="1464"/>
      <c r="T129" s="1464"/>
      <c r="U129" s="1464"/>
      <c r="V129" s="1464"/>
      <c r="W129" s="1464"/>
      <c r="X129" s="1464"/>
      <c r="Y129" s="1464"/>
      <c r="Z129" s="1464"/>
    </row>
    <row r="130">
      <c r="A130" s="1468" t="s">
        <v>3381</v>
      </c>
      <c r="B130" s="1469">
        <v>82200.0</v>
      </c>
      <c r="C130" s="1470">
        <v>2006.0</v>
      </c>
      <c r="D130" s="1473"/>
      <c r="E130" s="1473"/>
      <c r="F130" s="1471" t="s">
        <v>3881</v>
      </c>
      <c r="G130" s="1464"/>
      <c r="H130" s="1464"/>
      <c r="I130" s="1472">
        <v>45992.0</v>
      </c>
      <c r="J130" s="1476" t="s">
        <v>3858</v>
      </c>
      <c r="K130" s="1470" t="s">
        <v>3859</v>
      </c>
      <c r="L130" s="1464"/>
      <c r="M130" s="1464"/>
      <c r="N130" s="1464"/>
      <c r="O130" s="1464"/>
      <c r="P130" s="1464"/>
      <c r="Q130" s="1464"/>
      <c r="R130" s="1464"/>
      <c r="S130" s="1464"/>
      <c r="T130" s="1464"/>
      <c r="U130" s="1464"/>
      <c r="V130" s="1464"/>
      <c r="W130" s="1464"/>
      <c r="X130" s="1464"/>
      <c r="Y130" s="1464"/>
      <c r="Z130" s="1464"/>
    </row>
    <row r="131">
      <c r="A131" s="1468" t="s">
        <v>3860</v>
      </c>
      <c r="B131" s="1469">
        <v>82200.0</v>
      </c>
      <c r="C131" s="1470">
        <v>2006.0</v>
      </c>
      <c r="D131" s="1473"/>
      <c r="E131" s="1473"/>
      <c r="F131" s="1471" t="s">
        <v>3881</v>
      </c>
      <c r="G131" s="1464"/>
      <c r="H131" s="1464"/>
      <c r="I131" s="1472">
        <v>45992.0</v>
      </c>
      <c r="J131" s="1476" t="s">
        <v>3858</v>
      </c>
      <c r="K131" s="1470" t="s">
        <v>3859</v>
      </c>
      <c r="L131" s="1464"/>
      <c r="M131" s="1464"/>
      <c r="N131" s="1464"/>
      <c r="O131" s="1464"/>
      <c r="P131" s="1464"/>
      <c r="Q131" s="1464"/>
      <c r="R131" s="1464"/>
      <c r="S131" s="1464"/>
      <c r="T131" s="1464"/>
      <c r="U131" s="1464"/>
      <c r="V131" s="1464"/>
      <c r="W131" s="1464"/>
      <c r="X131" s="1464"/>
      <c r="Y131" s="1464"/>
      <c r="Z131" s="1464"/>
    </row>
    <row r="132">
      <c r="A132" s="1474" t="s">
        <v>3882</v>
      </c>
      <c r="B132" s="1475">
        <v>91000.0</v>
      </c>
      <c r="C132" s="1476">
        <v>2022.0</v>
      </c>
      <c r="D132" s="1481"/>
      <c r="E132" s="1475" t="s">
        <v>666</v>
      </c>
      <c r="F132" s="1477" t="s">
        <v>3883</v>
      </c>
      <c r="G132" s="1479"/>
      <c r="H132" s="1470" t="s">
        <v>3639</v>
      </c>
      <c r="I132" s="1480">
        <v>45992.0</v>
      </c>
      <c r="J132" s="1476" t="s">
        <v>3884</v>
      </c>
      <c r="K132" s="1476" t="s">
        <v>3719</v>
      </c>
      <c r="L132" s="1479"/>
      <c r="M132" s="1464"/>
      <c r="N132" s="1464"/>
      <c r="O132" s="1464"/>
      <c r="P132" s="1464"/>
      <c r="Q132" s="1464"/>
      <c r="R132" s="1464"/>
      <c r="S132" s="1464"/>
      <c r="T132" s="1464"/>
      <c r="U132" s="1464"/>
      <c r="V132" s="1464"/>
      <c r="W132" s="1464"/>
      <c r="X132" s="1464"/>
      <c r="Y132" s="1464"/>
      <c r="Z132" s="1464"/>
    </row>
    <row r="133">
      <c r="A133" s="1468" t="s">
        <v>3885</v>
      </c>
      <c r="B133" s="1469">
        <v>79500.0</v>
      </c>
      <c r="C133" s="1470">
        <v>2002.0</v>
      </c>
      <c r="D133" s="1473"/>
      <c r="E133" s="1473"/>
      <c r="F133" s="1471" t="s">
        <v>3886</v>
      </c>
      <c r="G133" s="1464"/>
      <c r="H133" s="1464"/>
      <c r="I133" s="1472">
        <v>45992.0</v>
      </c>
      <c r="J133" s="1472" t="s">
        <v>2899</v>
      </c>
      <c r="K133" s="1470" t="s">
        <v>3877</v>
      </c>
      <c r="L133" s="1470" t="s">
        <v>3887</v>
      </c>
      <c r="M133" s="1464"/>
      <c r="N133" s="1464"/>
      <c r="O133" s="1464"/>
      <c r="P133" s="1464"/>
      <c r="Q133" s="1464"/>
      <c r="R133" s="1464"/>
      <c r="S133" s="1464"/>
      <c r="T133" s="1464"/>
      <c r="U133" s="1464"/>
      <c r="V133" s="1464"/>
      <c r="W133" s="1464"/>
      <c r="X133" s="1464"/>
      <c r="Y133" s="1464"/>
      <c r="Z133" s="1464"/>
    </row>
    <row r="134">
      <c r="A134" s="1468" t="s">
        <v>3888</v>
      </c>
      <c r="B134" s="1469">
        <v>82000.0</v>
      </c>
      <c r="C134" s="1470">
        <v>2006.0</v>
      </c>
      <c r="D134" s="1473"/>
      <c r="E134" s="1473"/>
      <c r="F134" s="1471" t="s">
        <v>3889</v>
      </c>
      <c r="G134" s="1464"/>
      <c r="H134" s="1470" t="s">
        <v>3718</v>
      </c>
      <c r="I134" s="1472">
        <v>45992.0</v>
      </c>
      <c r="J134" s="1470" t="s">
        <v>1190</v>
      </c>
      <c r="K134" s="1470" t="s">
        <v>3890</v>
      </c>
      <c r="L134" s="1470" t="s">
        <v>3878</v>
      </c>
      <c r="M134" s="1464"/>
      <c r="N134" s="1464"/>
      <c r="O134" s="1464"/>
      <c r="P134" s="1464"/>
      <c r="Q134" s="1464"/>
      <c r="R134" s="1464"/>
      <c r="S134" s="1464"/>
      <c r="T134" s="1464"/>
      <c r="U134" s="1464"/>
      <c r="V134" s="1464"/>
      <c r="W134" s="1464"/>
      <c r="X134" s="1464"/>
      <c r="Y134" s="1464"/>
      <c r="Z134" s="1464"/>
    </row>
    <row r="135">
      <c r="A135" s="1468" t="s">
        <v>3891</v>
      </c>
      <c r="B135" s="1469">
        <v>78900.0</v>
      </c>
      <c r="C135" s="1470">
        <v>2002.0</v>
      </c>
      <c r="D135" s="1473"/>
      <c r="E135" s="1473"/>
      <c r="F135" s="1471" t="s">
        <v>3892</v>
      </c>
      <c r="G135" s="1464"/>
      <c r="H135" s="1464"/>
      <c r="I135" s="1472">
        <v>45992.0</v>
      </c>
      <c r="J135" s="1470" t="s">
        <v>3833</v>
      </c>
      <c r="K135" s="1470" t="s">
        <v>3669</v>
      </c>
      <c r="L135" s="1464"/>
      <c r="M135" s="1464"/>
      <c r="N135" s="1464"/>
      <c r="O135" s="1464"/>
      <c r="P135" s="1464"/>
      <c r="Q135" s="1464"/>
      <c r="R135" s="1464"/>
      <c r="S135" s="1464"/>
      <c r="T135" s="1464"/>
      <c r="U135" s="1464"/>
      <c r="V135" s="1464"/>
      <c r="W135" s="1464"/>
      <c r="X135" s="1464"/>
      <c r="Y135" s="1464"/>
      <c r="Z135" s="1464"/>
    </row>
    <row r="136">
      <c r="A136" s="1468" t="s">
        <v>3891</v>
      </c>
      <c r="B136" s="1469">
        <v>78900.0</v>
      </c>
      <c r="C136" s="1470">
        <v>2002.0</v>
      </c>
      <c r="D136" s="1473"/>
      <c r="E136" s="1473"/>
      <c r="F136" s="1471" t="s">
        <v>3893</v>
      </c>
      <c r="G136" s="1464"/>
      <c r="H136" s="1464"/>
      <c r="I136" s="1472">
        <v>45992.0</v>
      </c>
      <c r="J136" s="1470" t="s">
        <v>3833</v>
      </c>
      <c r="K136" s="1470" t="s">
        <v>3669</v>
      </c>
      <c r="L136" s="1464"/>
      <c r="M136" s="1464"/>
      <c r="N136" s="1464"/>
      <c r="O136" s="1464"/>
      <c r="P136" s="1464"/>
      <c r="Q136" s="1464"/>
      <c r="R136" s="1464"/>
      <c r="S136" s="1464"/>
      <c r="T136" s="1464"/>
      <c r="U136" s="1464"/>
      <c r="V136" s="1464"/>
      <c r="W136" s="1464"/>
      <c r="X136" s="1464"/>
      <c r="Y136" s="1464"/>
      <c r="Z136" s="1464"/>
    </row>
    <row r="137">
      <c r="A137" s="1468" t="s">
        <v>3864</v>
      </c>
      <c r="B137" s="1469">
        <v>82200.0</v>
      </c>
      <c r="C137" s="1470">
        <v>2017.0</v>
      </c>
      <c r="D137" s="1473"/>
      <c r="E137" s="1473"/>
      <c r="F137" s="1471" t="s">
        <v>3894</v>
      </c>
      <c r="G137" s="1464"/>
      <c r="H137" s="1476" t="s">
        <v>3639</v>
      </c>
      <c r="I137" s="1472">
        <v>45992.0</v>
      </c>
      <c r="J137" s="1470" t="s">
        <v>3797</v>
      </c>
      <c r="K137" s="1470" t="s">
        <v>3843</v>
      </c>
      <c r="L137" s="1464"/>
      <c r="M137" s="1464"/>
      <c r="N137" s="1464"/>
      <c r="O137" s="1464"/>
      <c r="P137" s="1464"/>
      <c r="Q137" s="1464"/>
      <c r="R137" s="1464"/>
      <c r="S137" s="1464"/>
      <c r="T137" s="1464"/>
      <c r="U137" s="1464"/>
      <c r="V137" s="1464"/>
      <c r="W137" s="1464"/>
      <c r="X137" s="1464"/>
      <c r="Y137" s="1464"/>
      <c r="Z137" s="1464"/>
    </row>
    <row r="138">
      <c r="A138" s="1468" t="s">
        <v>3895</v>
      </c>
      <c r="B138" s="1469">
        <v>84000.0</v>
      </c>
      <c r="C138" s="1470">
        <v>2016.0</v>
      </c>
      <c r="D138" s="1473"/>
      <c r="E138" s="1473"/>
      <c r="F138" s="1471" t="s">
        <v>3896</v>
      </c>
      <c r="G138" s="1479"/>
      <c r="H138" s="1470" t="s">
        <v>3639</v>
      </c>
      <c r="I138" s="1472">
        <v>45992.0</v>
      </c>
      <c r="J138" s="1472" t="s">
        <v>3705</v>
      </c>
      <c r="K138" s="1470" t="s">
        <v>3641</v>
      </c>
      <c r="L138" s="1470" t="s">
        <v>3761</v>
      </c>
      <c r="M138" s="1464"/>
      <c r="N138" s="1464"/>
      <c r="O138" s="1464"/>
      <c r="P138" s="1464"/>
      <c r="Q138" s="1464"/>
      <c r="R138" s="1464"/>
      <c r="S138" s="1464"/>
      <c r="T138" s="1464"/>
      <c r="U138" s="1464"/>
      <c r="V138" s="1464"/>
      <c r="W138" s="1464"/>
      <c r="X138" s="1464"/>
      <c r="Y138" s="1464"/>
      <c r="Z138" s="1464"/>
    </row>
    <row r="139">
      <c r="A139" s="1468" t="s">
        <v>3428</v>
      </c>
      <c r="B139" s="1469">
        <v>84000.0</v>
      </c>
      <c r="C139" s="1470">
        <v>2015.0</v>
      </c>
      <c r="D139" s="1473"/>
      <c r="E139" s="1473"/>
      <c r="F139" s="1471" t="s">
        <v>3896</v>
      </c>
      <c r="G139" s="1464"/>
      <c r="H139" s="1470" t="s">
        <v>3639</v>
      </c>
      <c r="I139" s="1472">
        <v>45992.0</v>
      </c>
      <c r="J139" s="1472" t="s">
        <v>3705</v>
      </c>
      <c r="K139" s="1470" t="s">
        <v>3641</v>
      </c>
      <c r="L139" s="1470" t="s">
        <v>3761</v>
      </c>
      <c r="M139" s="1464"/>
      <c r="N139" s="1464"/>
      <c r="O139" s="1464"/>
      <c r="P139" s="1464"/>
      <c r="Q139" s="1464"/>
      <c r="R139" s="1464"/>
      <c r="S139" s="1464"/>
      <c r="T139" s="1464"/>
      <c r="U139" s="1464"/>
      <c r="V139" s="1464"/>
      <c r="W139" s="1464"/>
      <c r="X139" s="1464"/>
      <c r="Y139" s="1464"/>
      <c r="Z139" s="1464"/>
    </row>
    <row r="140">
      <c r="A140" s="1474" t="s">
        <v>3897</v>
      </c>
      <c r="B140" s="1475">
        <v>91000.0</v>
      </c>
      <c r="C140" s="1476">
        <v>2023.0</v>
      </c>
      <c r="D140" s="1481"/>
      <c r="E140" s="1475" t="s">
        <v>666</v>
      </c>
      <c r="F140" s="1477" t="s">
        <v>3898</v>
      </c>
      <c r="G140" s="1479"/>
      <c r="H140" s="1476" t="s">
        <v>3702</v>
      </c>
      <c r="I140" s="1480">
        <v>45992.0</v>
      </c>
      <c r="J140" s="1476" t="s">
        <v>761</v>
      </c>
      <c r="K140" s="1476" t="s">
        <v>3732</v>
      </c>
      <c r="L140" s="1479"/>
      <c r="M140" s="1464"/>
      <c r="N140" s="1464"/>
      <c r="O140" s="1464"/>
      <c r="P140" s="1464"/>
      <c r="Q140" s="1464"/>
      <c r="R140" s="1464"/>
      <c r="S140" s="1464"/>
      <c r="T140" s="1464"/>
      <c r="U140" s="1464"/>
      <c r="V140" s="1464"/>
      <c r="W140" s="1464"/>
      <c r="X140" s="1464"/>
      <c r="Y140" s="1464"/>
      <c r="Z140" s="1464"/>
    </row>
    <row r="141">
      <c r="A141" s="1468" t="s">
        <v>3863</v>
      </c>
      <c r="B141" s="1469">
        <v>83300.0</v>
      </c>
      <c r="C141" s="1470">
        <v>2016.0</v>
      </c>
      <c r="D141" s="1473"/>
      <c r="E141" s="1473"/>
      <c r="F141" s="1471" t="s">
        <v>3894</v>
      </c>
      <c r="G141" s="1479"/>
      <c r="H141" s="1476" t="s">
        <v>3639</v>
      </c>
      <c r="I141" s="1472">
        <v>45992.0</v>
      </c>
      <c r="J141" s="1472" t="s">
        <v>3797</v>
      </c>
      <c r="K141" s="1470" t="s">
        <v>3207</v>
      </c>
      <c r="L141" s="1464"/>
      <c r="M141" s="1464"/>
      <c r="N141" s="1464"/>
      <c r="O141" s="1464"/>
      <c r="P141" s="1464"/>
      <c r="Q141" s="1464"/>
      <c r="R141" s="1464"/>
      <c r="S141" s="1464"/>
      <c r="T141" s="1464"/>
      <c r="U141" s="1464"/>
      <c r="V141" s="1464"/>
      <c r="W141" s="1464"/>
      <c r="X141" s="1464"/>
      <c r="Y141" s="1464"/>
      <c r="Z141" s="1464"/>
    </row>
    <row r="142">
      <c r="A142" s="1474" t="s">
        <v>3402</v>
      </c>
      <c r="B142" s="1475">
        <v>83000.0</v>
      </c>
      <c r="C142" s="1476">
        <v>2019.0</v>
      </c>
      <c r="D142" s="1473"/>
      <c r="E142" s="1469" t="s">
        <v>3637</v>
      </c>
      <c r="F142" s="1477" t="s">
        <v>3894</v>
      </c>
      <c r="G142" s="1464"/>
      <c r="H142" s="1476" t="s">
        <v>3639</v>
      </c>
      <c r="I142" s="1480">
        <v>45992.0</v>
      </c>
      <c r="J142" s="1480" t="s">
        <v>3797</v>
      </c>
      <c r="K142" s="1470" t="s">
        <v>3207</v>
      </c>
      <c r="L142" s="1464"/>
      <c r="M142" s="1464"/>
      <c r="N142" s="1464"/>
      <c r="O142" s="1464"/>
      <c r="P142" s="1464"/>
      <c r="Q142" s="1464"/>
      <c r="R142" s="1464"/>
      <c r="S142" s="1464"/>
      <c r="T142" s="1464"/>
      <c r="U142" s="1464"/>
      <c r="V142" s="1464"/>
      <c r="W142" s="1464"/>
      <c r="X142" s="1464"/>
      <c r="Y142" s="1464"/>
      <c r="Z142" s="1464"/>
    </row>
    <row r="143">
      <c r="A143" s="1468" t="s">
        <v>3861</v>
      </c>
      <c r="B143" s="1469">
        <v>83000.0</v>
      </c>
      <c r="C143" s="1470">
        <v>2017.0</v>
      </c>
      <c r="D143" s="1473"/>
      <c r="E143" s="1473"/>
      <c r="F143" s="1471" t="s">
        <v>3894</v>
      </c>
      <c r="G143" s="1464"/>
      <c r="H143" s="1476" t="s">
        <v>3639</v>
      </c>
      <c r="I143" s="1472">
        <v>45992.0</v>
      </c>
      <c r="J143" s="1472" t="s">
        <v>3797</v>
      </c>
      <c r="K143" s="1470" t="s">
        <v>3207</v>
      </c>
      <c r="L143" s="1464"/>
      <c r="M143" s="1464"/>
      <c r="N143" s="1464"/>
      <c r="O143" s="1464"/>
      <c r="P143" s="1464"/>
      <c r="Q143" s="1464"/>
      <c r="R143" s="1464"/>
      <c r="S143" s="1464"/>
      <c r="T143" s="1464"/>
      <c r="U143" s="1464"/>
      <c r="V143" s="1464"/>
      <c r="W143" s="1464"/>
      <c r="X143" s="1464"/>
      <c r="Y143" s="1464"/>
      <c r="Z143" s="1464"/>
    </row>
    <row r="144">
      <c r="A144" s="1468" t="s">
        <v>3866</v>
      </c>
      <c r="B144" s="1469">
        <v>78900.0</v>
      </c>
      <c r="C144" s="1470">
        <v>2008.0</v>
      </c>
      <c r="D144" s="1473"/>
      <c r="E144" s="1473"/>
      <c r="F144" s="1471" t="s">
        <v>3899</v>
      </c>
      <c r="G144" s="1464"/>
      <c r="H144" s="1476" t="s">
        <v>3639</v>
      </c>
      <c r="I144" s="1472">
        <v>45992.0</v>
      </c>
      <c r="J144" s="1472" t="s">
        <v>3797</v>
      </c>
      <c r="K144" s="1470" t="s">
        <v>3207</v>
      </c>
      <c r="L144" s="1464"/>
      <c r="M144" s="1464"/>
      <c r="N144" s="1464"/>
      <c r="O144" s="1464"/>
      <c r="P144" s="1464"/>
      <c r="Q144" s="1464"/>
      <c r="R144" s="1464"/>
      <c r="S144" s="1464"/>
      <c r="T144" s="1464"/>
      <c r="U144" s="1464"/>
      <c r="V144" s="1464"/>
      <c r="W144" s="1464"/>
      <c r="X144" s="1464"/>
      <c r="Y144" s="1464"/>
      <c r="Z144" s="1464"/>
    </row>
    <row r="145">
      <c r="A145" s="1468" t="s">
        <v>3869</v>
      </c>
      <c r="B145" s="1469">
        <v>78900.0</v>
      </c>
      <c r="C145" s="1470">
        <v>2003.0</v>
      </c>
      <c r="D145" s="1473"/>
      <c r="E145" s="1473"/>
      <c r="F145" s="1471" t="s">
        <v>3894</v>
      </c>
      <c r="G145" s="1464"/>
      <c r="H145" s="1476" t="s">
        <v>3639</v>
      </c>
      <c r="I145" s="1472">
        <v>45992.0</v>
      </c>
      <c r="J145" s="1472" t="s">
        <v>3797</v>
      </c>
      <c r="K145" s="1470" t="s">
        <v>3207</v>
      </c>
      <c r="L145" s="1464"/>
      <c r="M145" s="1479"/>
      <c r="N145" s="1479"/>
      <c r="O145" s="1479"/>
      <c r="P145" s="1479"/>
      <c r="Q145" s="1479"/>
      <c r="R145" s="1479"/>
      <c r="S145" s="1479"/>
      <c r="T145" s="1479"/>
      <c r="U145" s="1479"/>
      <c r="V145" s="1479"/>
      <c r="W145" s="1479"/>
      <c r="X145" s="1479"/>
      <c r="Y145" s="1479"/>
      <c r="Z145" s="1479"/>
    </row>
    <row r="146">
      <c r="A146" s="1468" t="s">
        <v>3870</v>
      </c>
      <c r="B146" s="1469">
        <v>78900.0</v>
      </c>
      <c r="C146" s="1470">
        <v>2003.0</v>
      </c>
      <c r="D146" s="1473"/>
      <c r="E146" s="1473"/>
      <c r="F146" s="1471" t="s">
        <v>3894</v>
      </c>
      <c r="G146" s="1464"/>
      <c r="H146" s="1476" t="s">
        <v>3639</v>
      </c>
      <c r="I146" s="1472">
        <v>45992.0</v>
      </c>
      <c r="J146" s="1472" t="s">
        <v>3797</v>
      </c>
      <c r="K146" s="1470" t="s">
        <v>3207</v>
      </c>
      <c r="L146" s="1464"/>
      <c r="M146" s="1464"/>
      <c r="N146" s="1464"/>
      <c r="O146" s="1464"/>
      <c r="P146" s="1464"/>
      <c r="Q146" s="1464"/>
      <c r="R146" s="1464"/>
      <c r="S146" s="1464"/>
      <c r="T146" s="1464"/>
      <c r="U146" s="1464"/>
      <c r="V146" s="1464"/>
      <c r="W146" s="1464"/>
      <c r="X146" s="1464"/>
      <c r="Y146" s="1464"/>
      <c r="Z146" s="1464"/>
    </row>
    <row r="147">
      <c r="A147" s="1468" t="s">
        <v>3891</v>
      </c>
      <c r="B147" s="1469">
        <v>78900.0</v>
      </c>
      <c r="C147" s="1470">
        <v>2002.0</v>
      </c>
      <c r="D147" s="1473"/>
      <c r="E147" s="1473"/>
      <c r="F147" s="1471" t="s">
        <v>3900</v>
      </c>
      <c r="G147" s="1464"/>
      <c r="H147" s="1470" t="s">
        <v>3639</v>
      </c>
      <c r="I147" s="1472">
        <v>45992.0</v>
      </c>
      <c r="J147" s="1472" t="s">
        <v>3833</v>
      </c>
      <c r="K147" s="1470" t="s">
        <v>3669</v>
      </c>
      <c r="L147" s="1496" t="s">
        <v>3901</v>
      </c>
      <c r="M147" s="1479"/>
      <c r="N147" s="1479"/>
      <c r="O147" s="1479"/>
      <c r="P147" s="1479"/>
      <c r="Q147" s="1479"/>
      <c r="R147" s="1479"/>
      <c r="S147" s="1479"/>
      <c r="T147" s="1479"/>
      <c r="U147" s="1479"/>
      <c r="V147" s="1479"/>
      <c r="W147" s="1479"/>
      <c r="X147" s="1479"/>
      <c r="Y147" s="1479"/>
      <c r="Z147" s="1479"/>
    </row>
    <row r="148">
      <c r="A148" s="1468" t="s">
        <v>3902</v>
      </c>
      <c r="B148" s="1469">
        <v>78800.0</v>
      </c>
      <c r="C148" s="1470">
        <v>2000.0</v>
      </c>
      <c r="D148" s="1473"/>
      <c r="E148" s="1473"/>
      <c r="F148" s="1471" t="s">
        <v>3903</v>
      </c>
      <c r="G148" s="1464"/>
      <c r="H148" s="1470" t="s">
        <v>3639</v>
      </c>
      <c r="I148" s="1472">
        <v>45992.0</v>
      </c>
      <c r="J148" s="1472" t="s">
        <v>3651</v>
      </c>
      <c r="K148" s="1470" t="s">
        <v>3669</v>
      </c>
      <c r="L148" s="1470" t="s">
        <v>3904</v>
      </c>
      <c r="M148" s="1479"/>
      <c r="N148" s="1479"/>
      <c r="O148" s="1479"/>
      <c r="P148" s="1479"/>
      <c r="Q148" s="1479"/>
      <c r="R148" s="1479"/>
      <c r="S148" s="1479"/>
      <c r="T148" s="1479"/>
      <c r="U148" s="1479"/>
      <c r="V148" s="1479"/>
      <c r="W148" s="1479"/>
      <c r="X148" s="1479"/>
      <c r="Y148" s="1479"/>
      <c r="Z148" s="1479"/>
    </row>
    <row r="149">
      <c r="A149" s="1468" t="s">
        <v>3891</v>
      </c>
      <c r="B149" s="1469">
        <v>78900.0</v>
      </c>
      <c r="C149" s="1470">
        <v>2002.0</v>
      </c>
      <c r="D149" s="1473"/>
      <c r="E149" s="1473"/>
      <c r="F149" s="1471" t="s">
        <v>3905</v>
      </c>
      <c r="G149" s="1464"/>
      <c r="H149" s="1464"/>
      <c r="I149" s="1472">
        <v>45992.0</v>
      </c>
      <c r="J149" s="1470" t="s">
        <v>3833</v>
      </c>
      <c r="K149" s="1470" t="s">
        <v>3669</v>
      </c>
      <c r="L149" s="1464"/>
      <c r="M149" s="1479"/>
      <c r="N149" s="1479"/>
      <c r="O149" s="1479"/>
      <c r="P149" s="1479"/>
      <c r="Q149" s="1479"/>
      <c r="R149" s="1479"/>
      <c r="S149" s="1479"/>
      <c r="T149" s="1479"/>
      <c r="U149" s="1479"/>
      <c r="V149" s="1479"/>
      <c r="W149" s="1479"/>
      <c r="X149" s="1479"/>
      <c r="Y149" s="1479"/>
      <c r="Z149" s="1479"/>
    </row>
    <row r="150">
      <c r="A150" s="1468" t="s">
        <v>3888</v>
      </c>
      <c r="B150" s="1469">
        <v>82000.0</v>
      </c>
      <c r="C150" s="1470">
        <v>2006.0</v>
      </c>
      <c r="D150" s="1473"/>
      <c r="E150" s="1473"/>
      <c r="F150" s="1471" t="s">
        <v>3906</v>
      </c>
      <c r="G150" s="1464"/>
      <c r="H150" s="1470" t="s">
        <v>3718</v>
      </c>
      <c r="I150" s="1472">
        <v>45992.0</v>
      </c>
      <c r="J150" s="1470" t="s">
        <v>1190</v>
      </c>
      <c r="K150" s="1470" t="s">
        <v>3907</v>
      </c>
      <c r="L150" s="1470" t="s">
        <v>3878</v>
      </c>
      <c r="M150" s="1464"/>
      <c r="N150" s="1464"/>
      <c r="O150" s="1464"/>
      <c r="P150" s="1464"/>
      <c r="Q150" s="1464"/>
      <c r="R150" s="1464"/>
      <c r="S150" s="1464"/>
      <c r="T150" s="1464"/>
      <c r="U150" s="1464"/>
      <c r="V150" s="1464"/>
      <c r="W150" s="1464"/>
      <c r="X150" s="1464"/>
      <c r="Y150" s="1464"/>
      <c r="Z150" s="1464"/>
    </row>
    <row r="151">
      <c r="A151" s="1474" t="s">
        <v>3882</v>
      </c>
      <c r="B151" s="1475">
        <v>91000.0</v>
      </c>
      <c r="C151" s="1476">
        <v>2022.0</v>
      </c>
      <c r="D151" s="1481"/>
      <c r="E151" s="1475" t="s">
        <v>666</v>
      </c>
      <c r="F151" s="1477" t="s">
        <v>3908</v>
      </c>
      <c r="G151" s="1464"/>
      <c r="H151" s="1470" t="s">
        <v>3639</v>
      </c>
      <c r="I151" s="1480">
        <v>45992.0</v>
      </c>
      <c r="J151" s="1476" t="s">
        <v>3884</v>
      </c>
      <c r="K151" s="1476" t="s">
        <v>3719</v>
      </c>
      <c r="L151" s="1479"/>
      <c r="M151" s="1464"/>
      <c r="N151" s="1464"/>
      <c r="O151" s="1464"/>
      <c r="P151" s="1464"/>
      <c r="Q151" s="1464"/>
      <c r="R151" s="1464"/>
      <c r="S151" s="1464"/>
      <c r="T151" s="1464"/>
      <c r="U151" s="1464"/>
      <c r="V151" s="1464"/>
      <c r="W151" s="1464"/>
      <c r="X151" s="1464"/>
      <c r="Y151" s="1464"/>
      <c r="Z151" s="1464"/>
    </row>
    <row r="152">
      <c r="A152" s="1468" t="s">
        <v>3891</v>
      </c>
      <c r="B152" s="1469">
        <v>78900.0</v>
      </c>
      <c r="C152" s="1470">
        <v>2002.0</v>
      </c>
      <c r="D152" s="1473"/>
      <c r="E152" s="1473"/>
      <c r="F152" s="1471" t="s">
        <v>3909</v>
      </c>
      <c r="G152" s="1464"/>
      <c r="H152" s="1464"/>
      <c r="I152" s="1472">
        <v>45992.0</v>
      </c>
      <c r="J152" s="1470" t="s">
        <v>3833</v>
      </c>
      <c r="K152" s="1470" t="s">
        <v>3669</v>
      </c>
      <c r="L152" s="1464"/>
      <c r="M152" s="1479"/>
      <c r="N152" s="1479"/>
      <c r="O152" s="1479"/>
      <c r="P152" s="1479"/>
      <c r="Q152" s="1479"/>
      <c r="R152" s="1479"/>
      <c r="S152" s="1479"/>
      <c r="T152" s="1479"/>
      <c r="U152" s="1479"/>
      <c r="V152" s="1479"/>
      <c r="W152" s="1479"/>
      <c r="X152" s="1479"/>
      <c r="Y152" s="1479"/>
      <c r="Z152" s="1479"/>
    </row>
    <row r="153">
      <c r="A153" s="1468" t="s">
        <v>3895</v>
      </c>
      <c r="B153" s="1469">
        <v>84000.0</v>
      </c>
      <c r="C153" s="1470">
        <v>2015.0</v>
      </c>
      <c r="D153" s="1473"/>
      <c r="E153" s="1473"/>
      <c r="F153" s="1471" t="s">
        <v>3910</v>
      </c>
      <c r="G153" s="1464"/>
      <c r="H153" s="1470" t="s">
        <v>3639</v>
      </c>
      <c r="I153" s="1472">
        <v>45992.0</v>
      </c>
      <c r="J153" s="1472" t="s">
        <v>3705</v>
      </c>
      <c r="K153" s="1470" t="s">
        <v>3641</v>
      </c>
      <c r="L153" s="1464"/>
      <c r="M153" s="1479"/>
      <c r="N153" s="1479"/>
      <c r="O153" s="1479"/>
      <c r="P153" s="1479"/>
      <c r="Q153" s="1479"/>
      <c r="R153" s="1479"/>
      <c r="S153" s="1479"/>
      <c r="T153" s="1479"/>
      <c r="U153" s="1479"/>
      <c r="V153" s="1479"/>
      <c r="W153" s="1479"/>
      <c r="X153" s="1479"/>
      <c r="Y153" s="1479"/>
      <c r="Z153" s="1479"/>
    </row>
    <row r="154">
      <c r="A154" s="1468" t="s">
        <v>3428</v>
      </c>
      <c r="B154" s="1469">
        <v>84000.0</v>
      </c>
      <c r="C154" s="1470">
        <v>2015.0</v>
      </c>
      <c r="D154" s="1473"/>
      <c r="E154" s="1473"/>
      <c r="F154" s="1471" t="s">
        <v>3910</v>
      </c>
      <c r="G154" s="1464"/>
      <c r="H154" s="1470" t="s">
        <v>3639</v>
      </c>
      <c r="I154" s="1472">
        <v>45992.0</v>
      </c>
      <c r="J154" s="1472" t="s">
        <v>3705</v>
      </c>
      <c r="K154" s="1470" t="s">
        <v>3641</v>
      </c>
      <c r="L154" s="1464"/>
      <c r="M154" s="1464"/>
      <c r="N154" s="1464"/>
      <c r="O154" s="1464"/>
      <c r="P154" s="1464"/>
      <c r="Q154" s="1464"/>
      <c r="R154" s="1464"/>
      <c r="S154" s="1464"/>
      <c r="T154" s="1464"/>
      <c r="U154" s="1464"/>
      <c r="V154" s="1464"/>
      <c r="W154" s="1464"/>
      <c r="X154" s="1464"/>
      <c r="Y154" s="1464"/>
      <c r="Z154" s="1464"/>
    </row>
    <row r="155">
      <c r="A155" s="1468" t="s">
        <v>3879</v>
      </c>
      <c r="B155" s="1469">
        <v>84100.0</v>
      </c>
      <c r="C155" s="1470">
        <v>2017.0</v>
      </c>
      <c r="D155" s="1473"/>
      <c r="E155" s="1473"/>
      <c r="F155" s="1471" t="s">
        <v>3911</v>
      </c>
      <c r="G155" s="1464"/>
      <c r="H155" s="1464"/>
      <c r="I155" s="1472">
        <v>45992.0</v>
      </c>
      <c r="J155" s="1470" t="s">
        <v>2935</v>
      </c>
      <c r="K155" s="1470" t="s">
        <v>3859</v>
      </c>
      <c r="L155" s="1464"/>
      <c r="M155" s="1464"/>
      <c r="N155" s="1464"/>
      <c r="O155" s="1464"/>
      <c r="P155" s="1464"/>
      <c r="Q155" s="1464"/>
      <c r="R155" s="1464"/>
      <c r="S155" s="1464"/>
      <c r="T155" s="1464"/>
      <c r="U155" s="1464"/>
      <c r="V155" s="1464"/>
      <c r="W155" s="1464"/>
      <c r="X155" s="1464"/>
      <c r="Y155" s="1464"/>
      <c r="Z155" s="1464"/>
    </row>
    <row r="156">
      <c r="A156" s="1468" t="s">
        <v>3381</v>
      </c>
      <c r="B156" s="1469">
        <v>82200.0</v>
      </c>
      <c r="C156" s="1470">
        <v>2006.0</v>
      </c>
      <c r="D156" s="1473"/>
      <c r="E156" s="1473"/>
      <c r="F156" s="1471" t="s">
        <v>3912</v>
      </c>
      <c r="G156" s="1464"/>
      <c r="H156" s="1464"/>
      <c r="I156" s="1472">
        <v>45992.0</v>
      </c>
      <c r="J156" s="1470" t="s">
        <v>3858</v>
      </c>
      <c r="K156" s="1470" t="s">
        <v>3859</v>
      </c>
      <c r="L156" s="1464"/>
      <c r="M156" s="1464"/>
      <c r="N156" s="1464"/>
      <c r="O156" s="1464"/>
      <c r="P156" s="1464"/>
      <c r="Q156" s="1464"/>
      <c r="R156" s="1464"/>
      <c r="S156" s="1464"/>
      <c r="T156" s="1464"/>
      <c r="U156" s="1464"/>
      <c r="V156" s="1464"/>
      <c r="W156" s="1464"/>
      <c r="X156" s="1464"/>
      <c r="Y156" s="1464"/>
      <c r="Z156" s="1464"/>
    </row>
    <row r="157">
      <c r="A157" s="1468" t="s">
        <v>3860</v>
      </c>
      <c r="B157" s="1469">
        <v>82200.0</v>
      </c>
      <c r="C157" s="1470">
        <v>2006.0</v>
      </c>
      <c r="D157" s="1473"/>
      <c r="E157" s="1473"/>
      <c r="F157" s="1471" t="s">
        <v>3912</v>
      </c>
      <c r="G157" s="1464"/>
      <c r="H157" s="1464"/>
      <c r="I157" s="1472">
        <v>45992.0</v>
      </c>
      <c r="J157" s="1470" t="s">
        <v>3858</v>
      </c>
      <c r="K157" s="1470" t="s">
        <v>3859</v>
      </c>
      <c r="L157" s="1464"/>
      <c r="M157" s="1464"/>
      <c r="N157" s="1464"/>
      <c r="O157" s="1464"/>
      <c r="P157" s="1464"/>
      <c r="Q157" s="1464"/>
      <c r="R157" s="1464"/>
      <c r="S157" s="1464"/>
      <c r="T157" s="1464"/>
      <c r="U157" s="1464"/>
      <c r="V157" s="1464"/>
      <c r="W157" s="1464"/>
      <c r="X157" s="1464"/>
      <c r="Y157" s="1464"/>
      <c r="Z157" s="1464"/>
    </row>
    <row r="158">
      <c r="A158" s="1468" t="s">
        <v>3902</v>
      </c>
      <c r="B158" s="1469">
        <v>78800.0</v>
      </c>
      <c r="C158" s="1470">
        <v>2000.0</v>
      </c>
      <c r="D158" s="1473"/>
      <c r="E158" s="1473"/>
      <c r="F158" s="1471" t="s">
        <v>3913</v>
      </c>
      <c r="G158" s="1464"/>
      <c r="H158" s="1464"/>
      <c r="I158" s="1472">
        <v>45992.0</v>
      </c>
      <c r="J158" s="1470" t="s">
        <v>3651</v>
      </c>
      <c r="K158" s="1470" t="s">
        <v>3669</v>
      </c>
      <c r="L158" s="1470" t="s">
        <v>3914</v>
      </c>
      <c r="M158" s="1464"/>
      <c r="N158" s="1464"/>
      <c r="O158" s="1464"/>
      <c r="P158" s="1464"/>
      <c r="Q158" s="1464"/>
      <c r="R158" s="1464"/>
      <c r="S158" s="1464"/>
      <c r="T158" s="1464"/>
      <c r="U158" s="1464"/>
      <c r="V158" s="1464"/>
      <c r="W158" s="1464"/>
      <c r="X158" s="1464"/>
      <c r="Y158" s="1464"/>
      <c r="Z158" s="1464"/>
    </row>
    <row r="159">
      <c r="A159" s="1488" t="s">
        <v>3915</v>
      </c>
      <c r="B159" s="1486">
        <v>86000.0</v>
      </c>
      <c r="C159" s="1487">
        <v>2026.0</v>
      </c>
      <c r="D159" s="1492"/>
      <c r="E159" s="1486" t="s">
        <v>666</v>
      </c>
      <c r="F159" s="1488" t="s">
        <v>3916</v>
      </c>
      <c r="G159" s="1489"/>
      <c r="H159" s="1487" t="s">
        <v>3702</v>
      </c>
      <c r="I159" s="1490">
        <v>46023.0</v>
      </c>
      <c r="J159" s="1487" t="s">
        <v>761</v>
      </c>
      <c r="K159" s="1487" t="s">
        <v>3790</v>
      </c>
      <c r="L159" s="1464"/>
      <c r="M159" s="1464"/>
      <c r="N159" s="1464"/>
      <c r="O159" s="1464"/>
      <c r="P159" s="1464"/>
      <c r="Q159" s="1464"/>
      <c r="R159" s="1464"/>
      <c r="S159" s="1464"/>
      <c r="T159" s="1464"/>
      <c r="U159" s="1464"/>
      <c r="V159" s="1464"/>
      <c r="W159" s="1464"/>
      <c r="X159" s="1464"/>
      <c r="Y159" s="1464"/>
      <c r="Z159" s="1464"/>
    </row>
    <row r="160">
      <c r="A160" s="1468" t="s">
        <v>3917</v>
      </c>
      <c r="B160" s="1469">
        <v>84000.0</v>
      </c>
      <c r="C160" s="1470">
        <v>2016.0</v>
      </c>
      <c r="D160" s="1473"/>
      <c r="E160" s="1473"/>
      <c r="F160" s="1471" t="s">
        <v>3918</v>
      </c>
      <c r="G160" s="1464"/>
      <c r="H160" s="1470" t="s">
        <v>3639</v>
      </c>
      <c r="I160" s="1472">
        <v>46023.0</v>
      </c>
      <c r="J160" s="1470" t="s">
        <v>727</v>
      </c>
      <c r="K160" s="1470" t="s">
        <v>3641</v>
      </c>
      <c r="L160" s="1470" t="s">
        <v>3919</v>
      </c>
      <c r="M160" s="1464"/>
      <c r="N160" s="1464"/>
      <c r="O160" s="1464"/>
      <c r="P160" s="1464"/>
      <c r="Q160" s="1464"/>
      <c r="R160" s="1464"/>
      <c r="S160" s="1464"/>
      <c r="T160" s="1464"/>
      <c r="U160" s="1464"/>
      <c r="V160" s="1464"/>
      <c r="W160" s="1464"/>
      <c r="X160" s="1464"/>
      <c r="Y160" s="1464"/>
      <c r="Z160" s="1464"/>
    </row>
    <row r="161">
      <c r="A161" s="1477" t="s">
        <v>3920</v>
      </c>
      <c r="B161" s="1475">
        <v>86500.0</v>
      </c>
      <c r="C161" s="1476">
        <v>2022.0</v>
      </c>
      <c r="D161" s="1481"/>
      <c r="E161" s="1475" t="s">
        <v>666</v>
      </c>
      <c r="F161" s="1477" t="s">
        <v>3921</v>
      </c>
      <c r="G161" s="1479"/>
      <c r="H161" s="1476" t="s">
        <v>3639</v>
      </c>
      <c r="I161" s="1480">
        <v>46023.0</v>
      </c>
      <c r="J161" s="1476" t="s">
        <v>761</v>
      </c>
      <c r="K161" s="1476" t="s">
        <v>3207</v>
      </c>
      <c r="L161" s="1479"/>
      <c r="M161" s="1464"/>
      <c r="N161" s="1464"/>
      <c r="O161" s="1464"/>
      <c r="P161" s="1464"/>
      <c r="Q161" s="1464"/>
      <c r="R161" s="1464"/>
      <c r="S161" s="1464"/>
      <c r="T161" s="1464"/>
      <c r="U161" s="1464"/>
      <c r="V161" s="1464"/>
      <c r="W161" s="1464"/>
      <c r="X161" s="1464"/>
      <c r="Y161" s="1464"/>
      <c r="Z161" s="1464"/>
    </row>
    <row r="162">
      <c r="A162" s="1468" t="s">
        <v>3922</v>
      </c>
      <c r="B162" s="1469">
        <v>83300.0</v>
      </c>
      <c r="C162" s="1470">
        <v>2017.0</v>
      </c>
      <c r="D162" s="1481"/>
      <c r="E162" s="1473"/>
      <c r="F162" s="1471" t="s">
        <v>3923</v>
      </c>
      <c r="G162" s="1464"/>
      <c r="H162" s="1476" t="s">
        <v>3639</v>
      </c>
      <c r="I162" s="1472">
        <v>46023.0</v>
      </c>
      <c r="J162" s="1476" t="s">
        <v>2935</v>
      </c>
      <c r="K162" s="1470" t="s">
        <v>3794</v>
      </c>
      <c r="L162" s="1479"/>
      <c r="M162" s="1464"/>
      <c r="N162" s="1464"/>
      <c r="O162" s="1464"/>
      <c r="P162" s="1464"/>
      <c r="Q162" s="1464"/>
      <c r="R162" s="1464"/>
      <c r="S162" s="1464"/>
      <c r="T162" s="1464"/>
      <c r="U162" s="1464"/>
      <c r="V162" s="1464"/>
      <c r="W162" s="1464"/>
      <c r="X162" s="1464"/>
      <c r="Y162" s="1464"/>
      <c r="Z162" s="1464"/>
    </row>
    <row r="163">
      <c r="A163" s="1468" t="s">
        <v>3924</v>
      </c>
      <c r="B163" s="1469">
        <v>82200.0</v>
      </c>
      <c r="C163" s="1470">
        <v>2003.0</v>
      </c>
      <c r="D163" s="1481"/>
      <c r="E163" s="1473"/>
      <c r="F163" s="1471" t="s">
        <v>3925</v>
      </c>
      <c r="G163" s="1464"/>
      <c r="H163" s="1476" t="s">
        <v>3718</v>
      </c>
      <c r="I163" s="1472">
        <v>46023.0</v>
      </c>
      <c r="J163" s="1472" t="s">
        <v>3797</v>
      </c>
      <c r="K163" s="1470" t="s">
        <v>3839</v>
      </c>
      <c r="L163" s="1464"/>
      <c r="M163" s="1464"/>
      <c r="N163" s="1464"/>
      <c r="O163" s="1464"/>
      <c r="P163" s="1464"/>
      <c r="Q163" s="1464"/>
      <c r="R163" s="1464"/>
      <c r="S163" s="1464"/>
      <c r="T163" s="1464"/>
      <c r="U163" s="1464"/>
      <c r="V163" s="1464"/>
      <c r="W163" s="1464"/>
      <c r="X163" s="1464"/>
      <c r="Y163" s="1464"/>
      <c r="Z163" s="1464"/>
    </row>
    <row r="164">
      <c r="A164" s="1468" t="s">
        <v>3926</v>
      </c>
      <c r="B164" s="1469">
        <v>80100.0</v>
      </c>
      <c r="C164" s="1470">
        <v>2013.0</v>
      </c>
      <c r="D164" s="1481"/>
      <c r="E164" s="1473"/>
      <c r="F164" s="1471" t="s">
        <v>3927</v>
      </c>
      <c r="G164" s="1464"/>
      <c r="H164" s="1476" t="s">
        <v>3639</v>
      </c>
      <c r="I164" s="1472">
        <v>46023.0</v>
      </c>
      <c r="J164" s="1472" t="s">
        <v>3797</v>
      </c>
      <c r="K164" s="1470" t="s">
        <v>3928</v>
      </c>
      <c r="L164" s="1464"/>
      <c r="M164" s="1464"/>
      <c r="N164" s="1464"/>
      <c r="O164" s="1464"/>
      <c r="P164" s="1464"/>
      <c r="Q164" s="1464"/>
      <c r="R164" s="1464"/>
      <c r="S164" s="1464"/>
      <c r="T164" s="1464"/>
      <c r="U164" s="1464"/>
      <c r="V164" s="1464"/>
      <c r="W164" s="1464"/>
      <c r="X164" s="1464"/>
      <c r="Y164" s="1464"/>
      <c r="Z164" s="1464"/>
    </row>
    <row r="165">
      <c r="A165" s="1468" t="s">
        <v>3929</v>
      </c>
      <c r="B165" s="1469">
        <v>84500.0</v>
      </c>
      <c r="C165" s="1470">
        <v>2018.0</v>
      </c>
      <c r="D165" s="1473"/>
      <c r="E165" s="1469" t="s">
        <v>666</v>
      </c>
      <c r="F165" s="1471" t="s">
        <v>3930</v>
      </c>
      <c r="G165" s="1464"/>
      <c r="H165" s="1470" t="s">
        <v>3639</v>
      </c>
      <c r="I165" s="1480">
        <v>46023.0</v>
      </c>
      <c r="J165" s="1470" t="s">
        <v>3647</v>
      </c>
      <c r="K165" s="1470" t="s">
        <v>3647</v>
      </c>
      <c r="L165" s="1464"/>
      <c r="M165" s="1464"/>
      <c r="N165" s="1464"/>
      <c r="O165" s="1464"/>
      <c r="P165" s="1464"/>
      <c r="Q165" s="1464"/>
      <c r="R165" s="1464"/>
      <c r="S165" s="1464"/>
      <c r="T165" s="1464"/>
      <c r="U165" s="1464"/>
      <c r="V165" s="1464"/>
      <c r="W165" s="1464"/>
      <c r="X165" s="1464"/>
      <c r="Y165" s="1464"/>
      <c r="Z165" s="1464"/>
    </row>
    <row r="166">
      <c r="A166" s="1488" t="s">
        <v>3915</v>
      </c>
      <c r="B166" s="1486">
        <v>86000.0</v>
      </c>
      <c r="C166" s="1487">
        <v>2026.0</v>
      </c>
      <c r="D166" s="1486" t="s">
        <v>3799</v>
      </c>
      <c r="E166" s="1486" t="s">
        <v>666</v>
      </c>
      <c r="F166" s="1488" t="s">
        <v>3931</v>
      </c>
      <c r="G166" s="1489"/>
      <c r="H166" s="1487" t="s">
        <v>3718</v>
      </c>
      <c r="I166" s="1490">
        <v>46023.0</v>
      </c>
      <c r="J166" s="1487" t="s">
        <v>761</v>
      </c>
      <c r="K166" s="1487" t="s">
        <v>3790</v>
      </c>
      <c r="L166" s="1464"/>
      <c r="M166" s="1464"/>
      <c r="N166" s="1464"/>
      <c r="O166" s="1464"/>
      <c r="P166" s="1464"/>
      <c r="Q166" s="1464"/>
      <c r="R166" s="1464"/>
      <c r="S166" s="1464"/>
      <c r="T166" s="1464"/>
      <c r="U166" s="1464"/>
      <c r="V166" s="1464"/>
      <c r="W166" s="1464"/>
      <c r="X166" s="1464"/>
      <c r="Y166" s="1464"/>
      <c r="Z166" s="1464"/>
    </row>
    <row r="167">
      <c r="A167" s="1474" t="s">
        <v>3920</v>
      </c>
      <c r="B167" s="1475">
        <v>86500.0</v>
      </c>
      <c r="C167" s="1476">
        <v>2022.0</v>
      </c>
      <c r="D167" s="1481"/>
      <c r="E167" s="1475" t="s">
        <v>666</v>
      </c>
      <c r="F167" s="1477" t="s">
        <v>3932</v>
      </c>
      <c r="G167" s="1479"/>
      <c r="H167" s="1476" t="s">
        <v>3718</v>
      </c>
      <c r="I167" s="1480">
        <v>46023.0</v>
      </c>
      <c r="J167" s="1476" t="s">
        <v>761</v>
      </c>
      <c r="K167" s="1476" t="s">
        <v>3207</v>
      </c>
      <c r="L167" s="1479"/>
      <c r="M167" s="1464"/>
      <c r="N167" s="1464"/>
      <c r="O167" s="1464"/>
      <c r="P167" s="1464"/>
      <c r="Q167" s="1464"/>
      <c r="R167" s="1464"/>
      <c r="S167" s="1464"/>
      <c r="T167" s="1464"/>
      <c r="U167" s="1464"/>
      <c r="V167" s="1464"/>
      <c r="W167" s="1464"/>
      <c r="X167" s="1464"/>
      <c r="Y167" s="1464"/>
      <c r="Z167" s="1464"/>
    </row>
    <row r="168">
      <c r="A168" s="1468" t="s">
        <v>3933</v>
      </c>
      <c r="B168" s="1469">
        <v>84600.0</v>
      </c>
      <c r="C168" s="1470">
        <v>2008.0</v>
      </c>
      <c r="D168" s="1473"/>
      <c r="E168" s="1469" t="s">
        <v>3637</v>
      </c>
      <c r="F168" s="1477" t="s">
        <v>3934</v>
      </c>
      <c r="G168" s="1464"/>
      <c r="H168" s="1464"/>
      <c r="I168" s="1480">
        <v>46023.0</v>
      </c>
      <c r="J168" s="1470" t="s">
        <v>1362</v>
      </c>
      <c r="K168" s="1470" t="s">
        <v>3699</v>
      </c>
      <c r="L168" s="1464"/>
      <c r="M168" s="1464"/>
      <c r="N168" s="1464"/>
      <c r="O168" s="1464"/>
      <c r="P168" s="1464"/>
      <c r="Q168" s="1464"/>
      <c r="R168" s="1464"/>
      <c r="S168" s="1464"/>
      <c r="T168" s="1464"/>
      <c r="U168" s="1464"/>
      <c r="V168" s="1464"/>
      <c r="W168" s="1464"/>
      <c r="X168" s="1464"/>
      <c r="Y168" s="1464"/>
      <c r="Z168" s="1464"/>
    </row>
    <row r="169">
      <c r="A169" s="1468" t="s">
        <v>3922</v>
      </c>
      <c r="B169" s="1469">
        <v>83300.0</v>
      </c>
      <c r="C169" s="1470">
        <v>2017.0</v>
      </c>
      <c r="D169" s="1473"/>
      <c r="E169" s="1473"/>
      <c r="F169" s="1471" t="s">
        <v>3935</v>
      </c>
      <c r="G169" s="1464"/>
      <c r="H169" s="1476" t="s">
        <v>3639</v>
      </c>
      <c r="I169" s="1472">
        <v>46023.0</v>
      </c>
      <c r="J169" s="1476" t="s">
        <v>2935</v>
      </c>
      <c r="K169" s="1470" t="s">
        <v>3797</v>
      </c>
      <c r="L169" s="1464"/>
      <c r="M169" s="1464"/>
      <c r="N169" s="1464"/>
      <c r="O169" s="1464"/>
      <c r="P169" s="1464"/>
      <c r="Q169" s="1464"/>
      <c r="R169" s="1464"/>
      <c r="S169" s="1464"/>
      <c r="T169" s="1464"/>
      <c r="U169" s="1464"/>
      <c r="V169" s="1464"/>
      <c r="W169" s="1464"/>
      <c r="X169" s="1464"/>
      <c r="Y169" s="1464"/>
      <c r="Z169" s="1464"/>
    </row>
    <row r="170">
      <c r="A170" s="1474" t="s">
        <v>3936</v>
      </c>
      <c r="B170" s="1475">
        <v>84000.0</v>
      </c>
      <c r="C170" s="1476">
        <v>2021.0</v>
      </c>
      <c r="D170" s="1469" t="s">
        <v>3636</v>
      </c>
      <c r="E170" s="1469" t="s">
        <v>3637</v>
      </c>
      <c r="F170" s="1477" t="s">
        <v>3937</v>
      </c>
      <c r="G170" s="1464"/>
      <c r="H170" s="1464"/>
      <c r="I170" s="1480">
        <v>46023.0</v>
      </c>
      <c r="J170" s="1476" t="s">
        <v>830</v>
      </c>
      <c r="K170" s="1470" t="s">
        <v>3083</v>
      </c>
      <c r="L170" s="1464"/>
      <c r="M170" s="1464"/>
      <c r="N170" s="1464"/>
      <c r="O170" s="1464"/>
      <c r="P170" s="1464"/>
      <c r="Q170" s="1464"/>
      <c r="R170" s="1464"/>
      <c r="S170" s="1464"/>
      <c r="T170" s="1464"/>
      <c r="U170" s="1464"/>
      <c r="V170" s="1464"/>
      <c r="W170" s="1464"/>
      <c r="X170" s="1464"/>
      <c r="Y170" s="1464"/>
      <c r="Z170" s="1464"/>
    </row>
    <row r="171">
      <c r="A171" s="1468" t="s">
        <v>3367</v>
      </c>
      <c r="B171" s="1469">
        <v>80000.0</v>
      </c>
      <c r="C171" s="1470">
        <v>2020.0</v>
      </c>
      <c r="D171" s="1469" t="s">
        <v>3636</v>
      </c>
      <c r="E171" s="1469" t="s">
        <v>3637</v>
      </c>
      <c r="F171" s="1471" t="s">
        <v>3938</v>
      </c>
      <c r="G171" s="1464"/>
      <c r="H171" s="1470" t="s">
        <v>3639</v>
      </c>
      <c r="I171" s="1480">
        <v>46023.0</v>
      </c>
      <c r="J171" s="1470" t="s">
        <v>3939</v>
      </c>
      <c r="K171" s="1470" t="s">
        <v>3669</v>
      </c>
      <c r="L171" s="1464"/>
      <c r="M171" s="1464"/>
      <c r="N171" s="1464"/>
      <c r="O171" s="1464"/>
      <c r="P171" s="1464"/>
      <c r="Q171" s="1464"/>
      <c r="R171" s="1464"/>
      <c r="S171" s="1464"/>
      <c r="T171" s="1464"/>
      <c r="U171" s="1464"/>
      <c r="V171" s="1464"/>
      <c r="W171" s="1464"/>
      <c r="X171" s="1464"/>
      <c r="Y171" s="1464"/>
      <c r="Z171" s="1464"/>
    </row>
    <row r="172">
      <c r="A172" s="1468" t="s">
        <v>3940</v>
      </c>
      <c r="B172" s="1469">
        <v>83300.0</v>
      </c>
      <c r="C172" s="1470">
        <v>2013.0</v>
      </c>
      <c r="D172" s="1473"/>
      <c r="E172" s="1473"/>
      <c r="F172" s="1471" t="s">
        <v>3941</v>
      </c>
      <c r="G172" s="1464"/>
      <c r="H172" s="1464"/>
      <c r="I172" s="1472">
        <v>46023.0</v>
      </c>
      <c r="J172" s="1472" t="s">
        <v>3715</v>
      </c>
      <c r="K172" s="1470" t="s">
        <v>3794</v>
      </c>
      <c r="L172" s="1464"/>
      <c r="M172" s="1464"/>
      <c r="N172" s="1464"/>
      <c r="O172" s="1464"/>
      <c r="P172" s="1464"/>
      <c r="Q172" s="1464"/>
      <c r="R172" s="1464"/>
      <c r="S172" s="1464"/>
      <c r="T172" s="1464"/>
      <c r="U172" s="1464"/>
      <c r="V172" s="1464"/>
      <c r="W172" s="1464"/>
      <c r="X172" s="1464"/>
      <c r="Y172" s="1464"/>
      <c r="Z172" s="1464"/>
    </row>
    <row r="173">
      <c r="A173" s="1468" t="s">
        <v>3942</v>
      </c>
      <c r="B173" s="1469">
        <v>84000.0</v>
      </c>
      <c r="C173" s="1470">
        <v>2013.0</v>
      </c>
      <c r="D173" s="1473"/>
      <c r="E173" s="1469" t="s">
        <v>3637</v>
      </c>
      <c r="F173" s="1471" t="s">
        <v>3943</v>
      </c>
      <c r="G173" s="1464"/>
      <c r="H173" s="1470" t="s">
        <v>3639</v>
      </c>
      <c r="I173" s="1472">
        <v>46023.0</v>
      </c>
      <c r="J173" s="1470" t="s">
        <v>3944</v>
      </c>
      <c r="K173" s="1470" t="s">
        <v>3759</v>
      </c>
      <c r="L173" s="1464"/>
      <c r="M173" s="1464"/>
      <c r="N173" s="1464"/>
      <c r="O173" s="1464"/>
      <c r="P173" s="1464"/>
      <c r="Q173" s="1464"/>
      <c r="R173" s="1464"/>
      <c r="S173" s="1464"/>
      <c r="T173" s="1464"/>
      <c r="U173" s="1464"/>
      <c r="V173" s="1464"/>
      <c r="W173" s="1464"/>
      <c r="X173" s="1464"/>
      <c r="Y173" s="1464"/>
      <c r="Z173" s="1464"/>
    </row>
    <row r="174">
      <c r="A174" s="1468" t="s">
        <v>3415</v>
      </c>
      <c r="B174" s="1469">
        <v>82400.0</v>
      </c>
      <c r="C174" s="1470">
        <v>2014.0</v>
      </c>
      <c r="D174" s="1473"/>
      <c r="E174" s="1473"/>
      <c r="F174" s="1471" t="s">
        <v>3945</v>
      </c>
      <c r="G174" s="1464"/>
      <c r="H174" s="1464"/>
      <c r="I174" s="1472">
        <v>46023.0</v>
      </c>
      <c r="J174" s="1472" t="s">
        <v>3695</v>
      </c>
      <c r="K174" s="1470" t="s">
        <v>3843</v>
      </c>
      <c r="L174" s="1464"/>
      <c r="M174" s="1464"/>
      <c r="N174" s="1464"/>
      <c r="O174" s="1464"/>
      <c r="P174" s="1464"/>
      <c r="Q174" s="1464"/>
      <c r="R174" s="1464"/>
      <c r="S174" s="1464"/>
      <c r="T174" s="1464"/>
      <c r="U174" s="1464"/>
      <c r="V174" s="1464"/>
      <c r="W174" s="1464"/>
      <c r="X174" s="1464"/>
      <c r="Y174" s="1464"/>
      <c r="Z174" s="1464"/>
    </row>
    <row r="175">
      <c r="A175" s="1468" t="s">
        <v>3933</v>
      </c>
      <c r="B175" s="1469">
        <v>84600.0</v>
      </c>
      <c r="C175" s="1470">
        <v>2008.0</v>
      </c>
      <c r="D175" s="1473"/>
      <c r="E175" s="1469" t="s">
        <v>3637</v>
      </c>
      <c r="F175" s="1471" t="s">
        <v>3946</v>
      </c>
      <c r="G175" s="1464"/>
      <c r="H175" s="1464"/>
      <c r="I175" s="1472">
        <v>46023.0</v>
      </c>
      <c r="J175" s="1472" t="s">
        <v>1362</v>
      </c>
      <c r="K175" s="1470" t="s">
        <v>3699</v>
      </c>
      <c r="L175" s="1470" t="s">
        <v>3887</v>
      </c>
      <c r="M175" s="1464"/>
      <c r="N175" s="1464"/>
      <c r="O175" s="1464"/>
      <c r="P175" s="1464"/>
      <c r="Q175" s="1464"/>
      <c r="R175" s="1464"/>
      <c r="S175" s="1464"/>
      <c r="T175" s="1464"/>
      <c r="U175" s="1464"/>
      <c r="V175" s="1464"/>
      <c r="W175" s="1464"/>
      <c r="X175" s="1464"/>
      <c r="Y175" s="1464"/>
      <c r="Z175" s="1464"/>
    </row>
    <row r="176">
      <c r="A176" s="1468" t="s">
        <v>3922</v>
      </c>
      <c r="B176" s="1469">
        <v>83300.0</v>
      </c>
      <c r="C176" s="1470">
        <v>2017.0</v>
      </c>
      <c r="D176" s="1473"/>
      <c r="E176" s="1473"/>
      <c r="F176" s="1471" t="s">
        <v>3947</v>
      </c>
      <c r="G176" s="1479"/>
      <c r="H176" s="1476" t="s">
        <v>3639</v>
      </c>
      <c r="I176" s="1472">
        <v>46023.0</v>
      </c>
      <c r="J176" s="1476" t="s">
        <v>2935</v>
      </c>
      <c r="K176" s="1470" t="s">
        <v>3794</v>
      </c>
      <c r="L176" s="1470" t="s">
        <v>3948</v>
      </c>
      <c r="M176" s="1464"/>
      <c r="N176" s="1464"/>
      <c r="O176" s="1464"/>
      <c r="P176" s="1464"/>
      <c r="Q176" s="1464"/>
      <c r="R176" s="1464"/>
      <c r="S176" s="1464"/>
      <c r="T176" s="1464"/>
      <c r="U176" s="1464"/>
      <c r="V176" s="1464"/>
      <c r="W176" s="1464"/>
      <c r="X176" s="1464"/>
      <c r="Y176" s="1464"/>
      <c r="Z176" s="1464"/>
    </row>
    <row r="177">
      <c r="A177" s="1468" t="s">
        <v>3940</v>
      </c>
      <c r="B177" s="1469">
        <v>83300.0</v>
      </c>
      <c r="C177" s="1470">
        <v>2013.0</v>
      </c>
      <c r="D177" s="1473"/>
      <c r="E177" s="1473"/>
      <c r="F177" s="1471" t="s">
        <v>3949</v>
      </c>
      <c r="G177" s="1464"/>
      <c r="H177" s="1470" t="s">
        <v>3639</v>
      </c>
      <c r="I177" s="1472">
        <v>46023.0</v>
      </c>
      <c r="J177" s="1472" t="s">
        <v>3715</v>
      </c>
      <c r="K177" s="1470" t="s">
        <v>3794</v>
      </c>
      <c r="L177" s="1470" t="s">
        <v>3950</v>
      </c>
      <c r="M177" s="1464"/>
      <c r="N177" s="1464"/>
      <c r="O177" s="1464"/>
      <c r="P177" s="1464"/>
      <c r="Q177" s="1464"/>
      <c r="R177" s="1464"/>
      <c r="S177" s="1464"/>
      <c r="T177" s="1464"/>
      <c r="U177" s="1464"/>
      <c r="V177" s="1464"/>
      <c r="W177" s="1464"/>
      <c r="X177" s="1464"/>
      <c r="Y177" s="1464"/>
      <c r="Z177" s="1464"/>
    </row>
    <row r="178">
      <c r="A178" s="1468" t="s">
        <v>3792</v>
      </c>
      <c r="B178" s="1469">
        <v>82400.0</v>
      </c>
      <c r="C178" s="1470">
        <v>2016.0</v>
      </c>
      <c r="D178" s="1473"/>
      <c r="E178" s="1473"/>
      <c r="F178" s="1471" t="s">
        <v>3947</v>
      </c>
      <c r="G178" s="1464" t="s">
        <v>3951</v>
      </c>
      <c r="H178" s="1476" t="s">
        <v>3639</v>
      </c>
      <c r="I178" s="1472">
        <v>46023.0</v>
      </c>
      <c r="J178" s="1472" t="s">
        <v>3797</v>
      </c>
      <c r="K178" s="1470" t="s">
        <v>3794</v>
      </c>
      <c r="L178" s="1470" t="s">
        <v>3948</v>
      </c>
      <c r="M178" s="1464"/>
      <c r="N178" s="1464"/>
      <c r="O178" s="1464"/>
      <c r="P178" s="1464"/>
      <c r="Q178" s="1464"/>
      <c r="R178" s="1464"/>
      <c r="S178" s="1464"/>
      <c r="T178" s="1464"/>
      <c r="U178" s="1464"/>
      <c r="V178" s="1464"/>
      <c r="W178" s="1464"/>
      <c r="X178" s="1464"/>
      <c r="Y178" s="1464"/>
      <c r="Z178" s="1464"/>
    </row>
    <row r="179">
      <c r="A179" s="1468" t="s">
        <v>3926</v>
      </c>
      <c r="B179" s="1469">
        <v>80100.0</v>
      </c>
      <c r="C179" s="1470">
        <v>2013.0</v>
      </c>
      <c r="D179" s="1473"/>
      <c r="E179" s="1473"/>
      <c r="F179" s="1471" t="s">
        <v>3952</v>
      </c>
      <c r="G179" s="1464"/>
      <c r="H179" s="1476" t="s">
        <v>3639</v>
      </c>
      <c r="I179" s="1472">
        <v>46023.0</v>
      </c>
      <c r="J179" s="1472" t="s">
        <v>3797</v>
      </c>
      <c r="K179" s="1470" t="s">
        <v>3794</v>
      </c>
      <c r="L179" s="1470" t="s">
        <v>3948</v>
      </c>
      <c r="M179" s="1464"/>
      <c r="N179" s="1464"/>
      <c r="O179" s="1464"/>
      <c r="P179" s="1464"/>
      <c r="Q179" s="1464"/>
      <c r="R179" s="1464"/>
      <c r="S179" s="1464"/>
      <c r="T179" s="1464"/>
      <c r="U179" s="1464"/>
      <c r="V179" s="1464"/>
      <c r="W179" s="1464"/>
      <c r="X179" s="1464"/>
      <c r="Y179" s="1464"/>
      <c r="Z179" s="1464"/>
    </row>
    <row r="180">
      <c r="A180" s="1468" t="s">
        <v>3835</v>
      </c>
      <c r="B180" s="1469">
        <v>82200.0</v>
      </c>
      <c r="C180" s="1470">
        <v>2008.0</v>
      </c>
      <c r="D180" s="1473"/>
      <c r="E180" s="1473"/>
      <c r="F180" s="1471" t="s">
        <v>3953</v>
      </c>
      <c r="G180" s="1464"/>
      <c r="H180" s="1464"/>
      <c r="I180" s="1472">
        <v>46023.0</v>
      </c>
      <c r="J180" s="1470" t="s">
        <v>1190</v>
      </c>
      <c r="K180" s="1470" t="s">
        <v>3192</v>
      </c>
      <c r="L180" s="1464"/>
      <c r="M180" s="1464"/>
      <c r="N180" s="1464"/>
      <c r="O180" s="1464"/>
      <c r="P180" s="1464"/>
      <c r="Q180" s="1464"/>
      <c r="R180" s="1464"/>
      <c r="S180" s="1464"/>
      <c r="T180" s="1464"/>
      <c r="U180" s="1464"/>
      <c r="V180" s="1464"/>
      <c r="W180" s="1464"/>
      <c r="X180" s="1464"/>
      <c r="Y180" s="1464"/>
      <c r="Z180" s="1464"/>
    </row>
    <row r="181">
      <c r="A181" s="1468" t="s">
        <v>3415</v>
      </c>
      <c r="B181" s="1469">
        <v>82400.0</v>
      </c>
      <c r="C181" s="1470">
        <v>2014.0</v>
      </c>
      <c r="D181" s="1473"/>
      <c r="E181" s="1473"/>
      <c r="F181" s="1471" t="s">
        <v>3954</v>
      </c>
      <c r="G181" s="1464"/>
      <c r="H181" s="1464"/>
      <c r="I181" s="1472">
        <v>46023.0</v>
      </c>
      <c r="J181" s="1472" t="s">
        <v>3695</v>
      </c>
      <c r="K181" s="1470" t="s">
        <v>3955</v>
      </c>
      <c r="L181" s="1464"/>
      <c r="M181" s="1464"/>
      <c r="N181" s="1464"/>
      <c r="O181" s="1464"/>
      <c r="P181" s="1464"/>
      <c r="Q181" s="1464"/>
      <c r="R181" s="1464"/>
      <c r="S181" s="1464"/>
      <c r="T181" s="1464"/>
      <c r="U181" s="1464"/>
      <c r="V181" s="1464"/>
      <c r="W181" s="1464"/>
      <c r="X181" s="1464"/>
      <c r="Y181" s="1464"/>
      <c r="Z181" s="1464"/>
    </row>
    <row r="182">
      <c r="A182" s="1468" t="s">
        <v>3415</v>
      </c>
      <c r="B182" s="1469">
        <v>82400.0</v>
      </c>
      <c r="C182" s="1470">
        <v>2014.0</v>
      </c>
      <c r="D182" s="1473"/>
      <c r="E182" s="1473"/>
      <c r="F182" s="1471" t="s">
        <v>3956</v>
      </c>
      <c r="G182" s="1464"/>
      <c r="H182" s="1464"/>
      <c r="I182" s="1472">
        <v>46023.0</v>
      </c>
      <c r="J182" s="1472" t="s">
        <v>3695</v>
      </c>
      <c r="K182" s="1470" t="s">
        <v>3843</v>
      </c>
      <c r="L182" s="1479"/>
      <c r="M182" s="1464"/>
      <c r="N182" s="1464"/>
      <c r="O182" s="1464"/>
      <c r="P182" s="1464"/>
      <c r="Q182" s="1464"/>
      <c r="R182" s="1464"/>
      <c r="S182" s="1464"/>
      <c r="T182" s="1464"/>
      <c r="U182" s="1464"/>
      <c r="V182" s="1464"/>
      <c r="W182" s="1464"/>
      <c r="X182" s="1464"/>
      <c r="Y182" s="1464"/>
      <c r="Z182" s="1464"/>
    </row>
    <row r="183">
      <c r="A183" s="1468" t="s">
        <v>3936</v>
      </c>
      <c r="B183" s="1469">
        <v>84000.0</v>
      </c>
      <c r="C183" s="1470">
        <v>2021.0</v>
      </c>
      <c r="D183" s="1469" t="s">
        <v>3636</v>
      </c>
      <c r="E183" s="1469" t="s">
        <v>3637</v>
      </c>
      <c r="F183" s="1471" t="s">
        <v>3957</v>
      </c>
      <c r="G183" s="1464"/>
      <c r="H183" s="1464"/>
      <c r="I183" s="1480">
        <v>46023.0</v>
      </c>
      <c r="J183" s="1476" t="s">
        <v>2935</v>
      </c>
      <c r="K183" s="1470" t="s">
        <v>3820</v>
      </c>
      <c r="L183" s="1470" t="s">
        <v>3958</v>
      </c>
      <c r="M183" s="1464"/>
      <c r="N183" s="1464"/>
      <c r="O183" s="1464"/>
      <c r="P183" s="1464"/>
      <c r="Q183" s="1464"/>
      <c r="R183" s="1464"/>
      <c r="S183" s="1464"/>
      <c r="T183" s="1464"/>
      <c r="U183" s="1464"/>
      <c r="V183" s="1464"/>
      <c r="W183" s="1464"/>
      <c r="X183" s="1464"/>
      <c r="Y183" s="1464"/>
      <c r="Z183" s="1464"/>
    </row>
    <row r="184">
      <c r="A184" s="1468" t="s">
        <v>3917</v>
      </c>
      <c r="B184" s="1469">
        <v>84000.0</v>
      </c>
      <c r="C184" s="1470">
        <v>2016.0</v>
      </c>
      <c r="D184" s="1473"/>
      <c r="E184" s="1473"/>
      <c r="F184" s="1471" t="s">
        <v>3959</v>
      </c>
      <c r="G184" s="1464"/>
      <c r="H184" s="1470" t="s">
        <v>3639</v>
      </c>
      <c r="I184" s="1472">
        <v>46023.0</v>
      </c>
      <c r="J184" s="1470" t="s">
        <v>727</v>
      </c>
      <c r="K184" s="1470" t="s">
        <v>3641</v>
      </c>
      <c r="L184" s="1470" t="s">
        <v>3761</v>
      </c>
      <c r="M184" s="1464"/>
      <c r="N184" s="1464"/>
      <c r="O184" s="1464"/>
      <c r="P184" s="1464"/>
      <c r="Q184" s="1464"/>
      <c r="R184" s="1464"/>
      <c r="S184" s="1464"/>
      <c r="T184" s="1464"/>
      <c r="U184" s="1464"/>
      <c r="V184" s="1464"/>
      <c r="W184" s="1464"/>
      <c r="X184" s="1464"/>
      <c r="Y184" s="1464"/>
      <c r="Z184" s="1464"/>
    </row>
    <row r="185">
      <c r="A185" s="1485" t="s">
        <v>3960</v>
      </c>
      <c r="B185" s="1486">
        <v>93000.0</v>
      </c>
      <c r="C185" s="1487">
        <v>2027.0</v>
      </c>
      <c r="D185" s="1492"/>
      <c r="E185" s="1486" t="s">
        <v>666</v>
      </c>
      <c r="F185" s="1488" t="s">
        <v>3961</v>
      </c>
      <c r="G185" s="1489"/>
      <c r="H185" s="1487" t="s">
        <v>3962</v>
      </c>
      <c r="I185" s="1490">
        <v>46023.0</v>
      </c>
      <c r="J185" s="1487" t="s">
        <v>3963</v>
      </c>
      <c r="K185" s="1487" t="s">
        <v>3963</v>
      </c>
      <c r="L185" s="1464"/>
      <c r="M185" s="1464"/>
      <c r="N185" s="1464"/>
      <c r="O185" s="1464"/>
      <c r="P185" s="1464"/>
      <c r="Q185" s="1464"/>
      <c r="R185" s="1464"/>
      <c r="S185" s="1464"/>
      <c r="T185" s="1464"/>
      <c r="U185" s="1464"/>
      <c r="V185" s="1464"/>
      <c r="W185" s="1464"/>
      <c r="X185" s="1464"/>
      <c r="Y185" s="1464"/>
      <c r="Z185" s="1464"/>
    </row>
    <row r="186">
      <c r="A186" s="1485" t="s">
        <v>3964</v>
      </c>
      <c r="B186" s="1486">
        <v>93000.0</v>
      </c>
      <c r="C186" s="1487">
        <v>2026.0</v>
      </c>
      <c r="D186" s="1492"/>
      <c r="E186" s="1486" t="s">
        <v>666</v>
      </c>
      <c r="F186" s="1488" t="s">
        <v>3965</v>
      </c>
      <c r="G186" s="1489"/>
      <c r="H186" s="1487" t="s">
        <v>3962</v>
      </c>
      <c r="I186" s="1490">
        <v>46023.0</v>
      </c>
      <c r="J186" s="1487" t="s">
        <v>3963</v>
      </c>
      <c r="K186" s="1487" t="s">
        <v>3963</v>
      </c>
      <c r="L186" s="1464"/>
      <c r="M186" s="1464"/>
      <c r="N186" s="1464"/>
      <c r="O186" s="1464"/>
      <c r="P186" s="1464"/>
      <c r="Q186" s="1464"/>
      <c r="R186" s="1464"/>
      <c r="S186" s="1464"/>
      <c r="T186" s="1464"/>
      <c r="U186" s="1464"/>
      <c r="V186" s="1464"/>
      <c r="W186" s="1464"/>
      <c r="X186" s="1464"/>
      <c r="Y186" s="1464"/>
      <c r="Z186" s="1464"/>
    </row>
    <row r="187">
      <c r="A187" s="1485" t="s">
        <v>3966</v>
      </c>
      <c r="B187" s="1486">
        <v>93000.0</v>
      </c>
      <c r="C187" s="1487">
        <v>2026.0</v>
      </c>
      <c r="D187" s="1492"/>
      <c r="E187" s="1486" t="s">
        <v>666</v>
      </c>
      <c r="F187" s="1488" t="s">
        <v>3967</v>
      </c>
      <c r="G187" s="1489"/>
      <c r="H187" s="1487" t="s">
        <v>3962</v>
      </c>
      <c r="I187" s="1490">
        <v>46023.0</v>
      </c>
      <c r="J187" s="1487" t="s">
        <v>3963</v>
      </c>
      <c r="K187" s="1487" t="s">
        <v>3963</v>
      </c>
      <c r="L187" s="1464"/>
      <c r="M187" s="1464"/>
      <c r="N187" s="1464"/>
      <c r="O187" s="1464"/>
      <c r="P187" s="1464"/>
      <c r="Q187" s="1464"/>
      <c r="R187" s="1464"/>
      <c r="S187" s="1464"/>
      <c r="T187" s="1464"/>
      <c r="U187" s="1464"/>
      <c r="V187" s="1464"/>
      <c r="W187" s="1464"/>
      <c r="X187" s="1464"/>
      <c r="Y187" s="1464"/>
      <c r="Z187" s="1464"/>
    </row>
    <row r="188">
      <c r="A188" s="1485" t="s">
        <v>3968</v>
      </c>
      <c r="B188" s="1486">
        <v>93000.0</v>
      </c>
      <c r="C188" s="1487">
        <v>2026.0</v>
      </c>
      <c r="D188" s="1492"/>
      <c r="E188" s="1486" t="s">
        <v>666</v>
      </c>
      <c r="F188" s="1488" t="s">
        <v>3969</v>
      </c>
      <c r="G188" s="1489"/>
      <c r="H188" s="1487" t="s">
        <v>3962</v>
      </c>
      <c r="I188" s="1490">
        <v>46023.0</v>
      </c>
      <c r="J188" s="1487" t="s">
        <v>3963</v>
      </c>
      <c r="K188" s="1487" t="s">
        <v>3963</v>
      </c>
      <c r="L188" s="1464"/>
      <c r="M188" s="1464"/>
      <c r="N188" s="1464"/>
      <c r="O188" s="1464"/>
      <c r="P188" s="1464"/>
      <c r="Q188" s="1464"/>
      <c r="R188" s="1464"/>
      <c r="S188" s="1464"/>
      <c r="T188" s="1464"/>
      <c r="U188" s="1464"/>
      <c r="V188" s="1464"/>
      <c r="W188" s="1464"/>
      <c r="X188" s="1464"/>
      <c r="Y188" s="1464"/>
      <c r="Z188" s="1464"/>
    </row>
    <row r="189">
      <c r="A189" s="1468" t="s">
        <v>3924</v>
      </c>
      <c r="B189" s="1469">
        <v>82200.0</v>
      </c>
      <c r="C189" s="1470">
        <v>2003.0</v>
      </c>
      <c r="D189" s="1473"/>
      <c r="E189" s="1473"/>
      <c r="F189" s="1471" t="s">
        <v>3947</v>
      </c>
      <c r="G189" s="1464"/>
      <c r="H189" s="1476" t="s">
        <v>3718</v>
      </c>
      <c r="I189" s="1472">
        <v>46023.0</v>
      </c>
      <c r="J189" s="1472" t="s">
        <v>3797</v>
      </c>
      <c r="K189" s="1470" t="s">
        <v>3839</v>
      </c>
      <c r="L189" s="1464"/>
      <c r="M189" s="1464"/>
      <c r="N189" s="1464"/>
      <c r="O189" s="1464"/>
      <c r="P189" s="1464"/>
      <c r="Q189" s="1464"/>
      <c r="R189" s="1464"/>
      <c r="S189" s="1464"/>
      <c r="T189" s="1464"/>
      <c r="U189" s="1464"/>
      <c r="V189" s="1464"/>
      <c r="W189" s="1464"/>
      <c r="X189" s="1464"/>
      <c r="Y189" s="1464"/>
      <c r="Z189" s="1464"/>
    </row>
    <row r="190">
      <c r="A190" s="1488" t="s">
        <v>3970</v>
      </c>
      <c r="B190" s="1486">
        <v>86700.0</v>
      </c>
      <c r="C190" s="1487">
        <v>2026.0</v>
      </c>
      <c r="D190" s="1492"/>
      <c r="E190" s="1486" t="s">
        <v>666</v>
      </c>
      <c r="F190" s="1488" t="s">
        <v>3971</v>
      </c>
      <c r="G190" s="1489"/>
      <c r="H190" s="1487" t="s">
        <v>3718</v>
      </c>
      <c r="I190" s="1490">
        <v>46023.0</v>
      </c>
      <c r="J190" s="1487" t="s">
        <v>3207</v>
      </c>
      <c r="K190" s="1487" t="s">
        <v>3207</v>
      </c>
      <c r="L190" s="1464"/>
      <c r="M190" s="1479"/>
      <c r="N190" s="1479"/>
      <c r="O190" s="1479"/>
      <c r="P190" s="1479"/>
      <c r="Q190" s="1479"/>
      <c r="R190" s="1479"/>
      <c r="S190" s="1479"/>
      <c r="T190" s="1479"/>
      <c r="U190" s="1479"/>
      <c r="V190" s="1479"/>
      <c r="W190" s="1479"/>
      <c r="X190" s="1479"/>
      <c r="Y190" s="1479"/>
      <c r="Z190" s="1479"/>
    </row>
    <row r="191">
      <c r="A191" s="1468" t="s">
        <v>3972</v>
      </c>
      <c r="B191" s="1469">
        <v>80000.0</v>
      </c>
      <c r="C191" s="1470">
        <v>2020.0</v>
      </c>
      <c r="D191" s="1469" t="s">
        <v>3636</v>
      </c>
      <c r="E191" s="1469" t="s">
        <v>3637</v>
      </c>
      <c r="F191" s="1471" t="s">
        <v>3973</v>
      </c>
      <c r="G191" s="1464"/>
      <c r="H191" s="1470" t="s">
        <v>3639</v>
      </c>
      <c r="I191" s="1472">
        <v>46023.0</v>
      </c>
      <c r="J191" s="1472" t="s">
        <v>3939</v>
      </c>
      <c r="K191" s="1470" t="s">
        <v>3669</v>
      </c>
      <c r="L191" s="1464"/>
      <c r="M191" s="1464"/>
      <c r="N191" s="1464"/>
      <c r="O191" s="1464"/>
      <c r="P191" s="1464"/>
      <c r="Q191" s="1464"/>
      <c r="R191" s="1464"/>
      <c r="S191" s="1464"/>
      <c r="T191" s="1464"/>
      <c r="U191" s="1464"/>
      <c r="V191" s="1464"/>
      <c r="W191" s="1464"/>
      <c r="X191" s="1464"/>
      <c r="Y191" s="1464"/>
      <c r="Z191" s="1464"/>
    </row>
    <row r="192">
      <c r="A192" s="1468" t="s">
        <v>3974</v>
      </c>
      <c r="B192" s="1469">
        <v>84000.0</v>
      </c>
      <c r="C192" s="1470">
        <v>2016.0</v>
      </c>
      <c r="D192" s="1473"/>
      <c r="E192" s="1473"/>
      <c r="F192" s="1471" t="s">
        <v>3975</v>
      </c>
      <c r="G192" s="1464"/>
      <c r="H192" s="1470" t="s">
        <v>3639</v>
      </c>
      <c r="I192" s="1472">
        <v>46023.0</v>
      </c>
      <c r="J192" s="1472" t="s">
        <v>3976</v>
      </c>
      <c r="K192" s="1470" t="s">
        <v>3977</v>
      </c>
      <c r="L192" s="1464"/>
      <c r="M192" s="1464"/>
      <c r="N192" s="1464"/>
      <c r="O192" s="1464"/>
      <c r="P192" s="1464"/>
      <c r="Q192" s="1464"/>
      <c r="R192" s="1464"/>
      <c r="S192" s="1464"/>
      <c r="T192" s="1464"/>
      <c r="U192" s="1464"/>
      <c r="V192" s="1464"/>
      <c r="W192" s="1464"/>
      <c r="X192" s="1464"/>
      <c r="Y192" s="1464"/>
      <c r="Z192" s="1464"/>
    </row>
    <row r="193">
      <c r="A193" s="1468" t="s">
        <v>3978</v>
      </c>
      <c r="B193" s="1469">
        <v>84000.0</v>
      </c>
      <c r="C193" s="1470">
        <v>2016.0</v>
      </c>
      <c r="D193" s="1473"/>
      <c r="E193" s="1473"/>
      <c r="F193" s="1471" t="s">
        <v>3979</v>
      </c>
      <c r="G193" s="1464"/>
      <c r="H193" s="1464"/>
      <c r="I193" s="1472">
        <v>46023.0</v>
      </c>
      <c r="J193" s="1470" t="s">
        <v>3980</v>
      </c>
      <c r="K193" s="1470" t="s">
        <v>3981</v>
      </c>
      <c r="L193" s="1464"/>
      <c r="M193" s="1479"/>
      <c r="N193" s="1479"/>
      <c r="O193" s="1479"/>
      <c r="P193" s="1479"/>
      <c r="Q193" s="1479"/>
      <c r="R193" s="1479"/>
      <c r="S193" s="1479"/>
      <c r="T193" s="1479"/>
      <c r="U193" s="1479"/>
      <c r="V193" s="1479"/>
      <c r="W193" s="1479"/>
      <c r="X193" s="1479"/>
      <c r="Y193" s="1479"/>
      <c r="Z193" s="1479"/>
    </row>
    <row r="194">
      <c r="A194" s="1468" t="s">
        <v>3929</v>
      </c>
      <c r="B194" s="1469">
        <v>84500.0</v>
      </c>
      <c r="C194" s="1470">
        <v>2018.0</v>
      </c>
      <c r="D194" s="1473"/>
      <c r="E194" s="1469" t="s">
        <v>666</v>
      </c>
      <c r="F194" s="1471" t="s">
        <v>3982</v>
      </c>
      <c r="G194" s="1464"/>
      <c r="H194" s="1470" t="s">
        <v>3639</v>
      </c>
      <c r="I194" s="1480">
        <v>46023.0</v>
      </c>
      <c r="J194" s="1470" t="s">
        <v>3647</v>
      </c>
      <c r="K194" s="1470" t="s">
        <v>3647</v>
      </c>
      <c r="L194" s="1464"/>
      <c r="M194" s="1479"/>
      <c r="N194" s="1479"/>
      <c r="O194" s="1479"/>
      <c r="P194" s="1479"/>
      <c r="Q194" s="1479"/>
      <c r="R194" s="1479"/>
      <c r="S194" s="1479"/>
      <c r="T194" s="1479"/>
      <c r="U194" s="1479"/>
      <c r="V194" s="1479"/>
      <c r="W194" s="1479"/>
      <c r="X194" s="1479"/>
      <c r="Y194" s="1479"/>
      <c r="Z194" s="1479"/>
    </row>
    <row r="195">
      <c r="A195" s="1468" t="s">
        <v>3400</v>
      </c>
      <c r="B195" s="1469">
        <v>80000.0</v>
      </c>
      <c r="C195" s="1470">
        <v>2019.0</v>
      </c>
      <c r="D195" s="1469" t="s">
        <v>3636</v>
      </c>
      <c r="E195" s="1469" t="s">
        <v>3637</v>
      </c>
      <c r="F195" s="1477" t="s">
        <v>3983</v>
      </c>
      <c r="G195" s="1464"/>
      <c r="H195" s="1464"/>
      <c r="I195" s="1472">
        <v>46023.0</v>
      </c>
      <c r="J195" s="1470" t="s">
        <v>3658</v>
      </c>
      <c r="K195" s="1470" t="s">
        <v>3984</v>
      </c>
      <c r="L195" s="1464"/>
      <c r="M195" s="1479"/>
      <c r="N195" s="1479"/>
      <c r="O195" s="1479"/>
      <c r="P195" s="1479"/>
      <c r="Q195" s="1479"/>
      <c r="R195" s="1479"/>
      <c r="S195" s="1479"/>
      <c r="T195" s="1479"/>
      <c r="U195" s="1479"/>
      <c r="V195" s="1479"/>
      <c r="W195" s="1479"/>
      <c r="X195" s="1479"/>
      <c r="Y195" s="1479"/>
      <c r="Z195" s="1479"/>
    </row>
    <row r="196">
      <c r="A196" s="1468" t="s">
        <v>3379</v>
      </c>
      <c r="B196" s="1469">
        <v>80000.0</v>
      </c>
      <c r="C196" s="1470">
        <v>2019.0</v>
      </c>
      <c r="D196" s="1469" t="s">
        <v>3636</v>
      </c>
      <c r="E196" s="1469" t="s">
        <v>3637</v>
      </c>
      <c r="F196" s="1477" t="s">
        <v>3983</v>
      </c>
      <c r="G196" s="1464"/>
      <c r="H196" s="1464"/>
      <c r="I196" s="1472">
        <v>46023.0</v>
      </c>
      <c r="J196" s="1470" t="s">
        <v>3658</v>
      </c>
      <c r="K196" s="1470" t="s">
        <v>3984</v>
      </c>
      <c r="L196" s="1464"/>
      <c r="M196" s="1464"/>
      <c r="N196" s="1464"/>
      <c r="O196" s="1464"/>
      <c r="P196" s="1464"/>
      <c r="Q196" s="1464"/>
      <c r="R196" s="1464"/>
      <c r="S196" s="1464"/>
      <c r="T196" s="1464"/>
      <c r="U196" s="1464"/>
      <c r="V196" s="1464"/>
      <c r="W196" s="1464"/>
      <c r="X196" s="1464"/>
      <c r="Y196" s="1464"/>
      <c r="Z196" s="1464"/>
    </row>
    <row r="197">
      <c r="A197" s="1468" t="s">
        <v>3985</v>
      </c>
      <c r="B197" s="1469">
        <v>80000.0</v>
      </c>
      <c r="C197" s="1470">
        <v>2019.0</v>
      </c>
      <c r="D197" s="1469" t="s">
        <v>3636</v>
      </c>
      <c r="E197" s="1469" t="s">
        <v>3637</v>
      </c>
      <c r="F197" s="1477" t="s">
        <v>3983</v>
      </c>
      <c r="G197" s="1464"/>
      <c r="H197" s="1464"/>
      <c r="I197" s="1491">
        <v>46023.0</v>
      </c>
      <c r="J197" s="1470" t="s">
        <v>3658</v>
      </c>
      <c r="K197" s="1470" t="s">
        <v>3984</v>
      </c>
      <c r="L197" s="1464"/>
      <c r="M197" s="1464"/>
      <c r="N197" s="1464"/>
      <c r="O197" s="1464"/>
      <c r="P197" s="1464"/>
      <c r="Q197" s="1464"/>
      <c r="R197" s="1464"/>
      <c r="S197" s="1464"/>
      <c r="T197" s="1464"/>
      <c r="U197" s="1464"/>
      <c r="V197" s="1464"/>
      <c r="W197" s="1464"/>
      <c r="X197" s="1464"/>
      <c r="Y197" s="1464"/>
      <c r="Z197" s="1464"/>
    </row>
    <row r="198">
      <c r="A198" s="1468" t="s">
        <v>3942</v>
      </c>
      <c r="B198" s="1469">
        <v>84000.0</v>
      </c>
      <c r="C198" s="1470">
        <v>2013.0</v>
      </c>
      <c r="D198" s="1473"/>
      <c r="E198" s="1469" t="s">
        <v>3637</v>
      </c>
      <c r="F198" s="1471" t="s">
        <v>3986</v>
      </c>
      <c r="G198" s="1464"/>
      <c r="H198" s="1470" t="s">
        <v>3639</v>
      </c>
      <c r="I198" s="1472">
        <v>46023.0</v>
      </c>
      <c r="J198" s="1470" t="s">
        <v>3944</v>
      </c>
      <c r="K198" s="1470" t="s">
        <v>3759</v>
      </c>
      <c r="L198" s="1464"/>
      <c r="M198" s="1464"/>
      <c r="N198" s="1464"/>
      <c r="O198" s="1464"/>
      <c r="P198" s="1464"/>
      <c r="Q198" s="1464"/>
      <c r="R198" s="1464"/>
      <c r="S198" s="1464"/>
      <c r="T198" s="1464"/>
      <c r="U198" s="1464"/>
      <c r="V198" s="1464"/>
      <c r="W198" s="1464"/>
      <c r="X198" s="1464"/>
      <c r="Y198" s="1464"/>
      <c r="Z198" s="1464"/>
    </row>
    <row r="199">
      <c r="A199" s="1474" t="s">
        <v>3987</v>
      </c>
      <c r="B199" s="1475">
        <v>91000.0</v>
      </c>
      <c r="C199" s="1476">
        <v>2024.0</v>
      </c>
      <c r="D199" s="1481"/>
      <c r="E199" s="1475" t="s">
        <v>666</v>
      </c>
      <c r="F199" s="1477" t="s">
        <v>3988</v>
      </c>
      <c r="G199" s="1479"/>
      <c r="H199" s="1476" t="s">
        <v>3639</v>
      </c>
      <c r="I199" s="1480">
        <v>46023.0</v>
      </c>
      <c r="J199" s="1476" t="s">
        <v>3833</v>
      </c>
      <c r="K199" s="1476" t="s">
        <v>3753</v>
      </c>
      <c r="L199" s="1479"/>
      <c r="M199" s="1464"/>
      <c r="N199" s="1464"/>
      <c r="O199" s="1464"/>
      <c r="P199" s="1464"/>
      <c r="Q199" s="1464"/>
      <c r="R199" s="1464"/>
      <c r="S199" s="1464"/>
      <c r="T199" s="1464"/>
      <c r="U199" s="1464"/>
      <c r="V199" s="1464"/>
      <c r="W199" s="1464"/>
      <c r="X199" s="1464"/>
      <c r="Y199" s="1464"/>
      <c r="Z199" s="1464"/>
    </row>
    <row r="200">
      <c r="A200" s="1468" t="s">
        <v>3926</v>
      </c>
      <c r="B200" s="1469">
        <v>80100.0</v>
      </c>
      <c r="C200" s="1470">
        <v>2013.0</v>
      </c>
      <c r="D200" s="1473"/>
      <c r="E200" s="1473"/>
      <c r="F200" s="1471" t="s">
        <v>3989</v>
      </c>
      <c r="G200" s="1464"/>
      <c r="H200" s="1476" t="s">
        <v>3639</v>
      </c>
      <c r="I200" s="1472">
        <v>46023.0</v>
      </c>
      <c r="J200" s="1472" t="s">
        <v>3797</v>
      </c>
      <c r="K200" s="1470" t="s">
        <v>3794</v>
      </c>
      <c r="L200" s="1464"/>
      <c r="M200" s="1464"/>
      <c r="N200" s="1464"/>
      <c r="O200" s="1464"/>
      <c r="P200" s="1464"/>
      <c r="Q200" s="1464"/>
      <c r="R200" s="1464"/>
      <c r="S200" s="1464"/>
      <c r="T200" s="1464"/>
      <c r="U200" s="1464"/>
      <c r="V200" s="1464"/>
      <c r="W200" s="1464"/>
      <c r="X200" s="1464"/>
      <c r="Y200" s="1464"/>
      <c r="Z200" s="1464"/>
    </row>
    <row r="201">
      <c r="A201" s="1468" t="s">
        <v>3978</v>
      </c>
      <c r="B201" s="1469">
        <v>84000.0</v>
      </c>
      <c r="C201" s="1470">
        <v>2016.0</v>
      </c>
      <c r="D201" s="1473"/>
      <c r="E201" s="1473"/>
      <c r="F201" s="1471" t="s">
        <v>3990</v>
      </c>
      <c r="G201" s="1464"/>
      <c r="H201" s="1464"/>
      <c r="I201" s="1472">
        <v>46023.0</v>
      </c>
      <c r="J201" s="1470" t="s">
        <v>3980</v>
      </c>
      <c r="K201" s="1470" t="s">
        <v>3981</v>
      </c>
      <c r="L201" s="1464"/>
      <c r="M201" s="1479"/>
      <c r="N201" s="1479"/>
      <c r="O201" s="1479"/>
      <c r="P201" s="1479"/>
      <c r="Q201" s="1479"/>
      <c r="R201" s="1479"/>
      <c r="S201" s="1479"/>
      <c r="T201" s="1479"/>
      <c r="U201" s="1479"/>
      <c r="V201" s="1479"/>
      <c r="W201" s="1479"/>
      <c r="X201" s="1479"/>
      <c r="Y201" s="1479"/>
      <c r="Z201" s="1479"/>
    </row>
    <row r="202">
      <c r="A202" s="1468" t="s">
        <v>3400</v>
      </c>
      <c r="B202" s="1469">
        <v>80000.0</v>
      </c>
      <c r="C202" s="1470">
        <v>2019.0</v>
      </c>
      <c r="D202" s="1469" t="s">
        <v>3636</v>
      </c>
      <c r="E202" s="1469" t="s">
        <v>3637</v>
      </c>
      <c r="F202" s="1477" t="s">
        <v>3991</v>
      </c>
      <c r="G202" s="1464"/>
      <c r="H202" s="1464"/>
      <c r="I202" s="1472">
        <v>46023.0</v>
      </c>
      <c r="J202" s="1470" t="s">
        <v>3658</v>
      </c>
      <c r="K202" s="1470" t="s">
        <v>3984</v>
      </c>
      <c r="L202" s="1464"/>
      <c r="M202" s="1464"/>
      <c r="N202" s="1464"/>
      <c r="O202" s="1464"/>
      <c r="P202" s="1464"/>
      <c r="Q202" s="1464"/>
      <c r="R202" s="1464"/>
      <c r="S202" s="1464"/>
      <c r="T202" s="1464"/>
      <c r="U202" s="1464"/>
      <c r="V202" s="1464"/>
      <c r="W202" s="1464"/>
      <c r="X202" s="1464"/>
      <c r="Y202" s="1464"/>
      <c r="Z202" s="1464"/>
    </row>
    <row r="203">
      <c r="A203" s="1468" t="s">
        <v>3379</v>
      </c>
      <c r="B203" s="1469">
        <v>80000.0</v>
      </c>
      <c r="C203" s="1470">
        <v>2019.0</v>
      </c>
      <c r="D203" s="1469" t="s">
        <v>3636</v>
      </c>
      <c r="E203" s="1469" t="s">
        <v>3637</v>
      </c>
      <c r="F203" s="1477" t="s">
        <v>3991</v>
      </c>
      <c r="G203" s="1464"/>
      <c r="H203" s="1464"/>
      <c r="I203" s="1472">
        <v>46023.0</v>
      </c>
      <c r="J203" s="1470" t="s">
        <v>3658</v>
      </c>
      <c r="K203" s="1470" t="s">
        <v>3984</v>
      </c>
      <c r="L203" s="1464"/>
      <c r="M203" s="1479"/>
      <c r="N203" s="1479"/>
      <c r="O203" s="1479"/>
      <c r="P203" s="1479"/>
      <c r="Q203" s="1479"/>
      <c r="R203" s="1479"/>
      <c r="S203" s="1479"/>
      <c r="T203" s="1479"/>
      <c r="U203" s="1479"/>
      <c r="V203" s="1479"/>
      <c r="W203" s="1479"/>
      <c r="X203" s="1479"/>
      <c r="Y203" s="1479"/>
      <c r="Z203" s="1479"/>
    </row>
    <row r="204">
      <c r="A204" s="1468" t="s">
        <v>3985</v>
      </c>
      <c r="B204" s="1469">
        <v>80000.0</v>
      </c>
      <c r="C204" s="1470">
        <v>2019.0</v>
      </c>
      <c r="D204" s="1469" t="s">
        <v>3636</v>
      </c>
      <c r="E204" s="1469" t="s">
        <v>3637</v>
      </c>
      <c r="F204" s="1477" t="s">
        <v>3991</v>
      </c>
      <c r="G204" s="1464"/>
      <c r="H204" s="1464"/>
      <c r="I204" s="1491">
        <v>46023.0</v>
      </c>
      <c r="J204" s="1470" t="s">
        <v>3658</v>
      </c>
      <c r="K204" s="1470" t="s">
        <v>3984</v>
      </c>
      <c r="L204" s="1464"/>
      <c r="M204" s="1464"/>
      <c r="N204" s="1464"/>
      <c r="O204" s="1464"/>
      <c r="P204" s="1464"/>
      <c r="Q204" s="1464"/>
      <c r="R204" s="1464"/>
      <c r="S204" s="1464"/>
      <c r="T204" s="1464"/>
      <c r="U204" s="1464"/>
      <c r="V204" s="1464"/>
      <c r="W204" s="1464"/>
      <c r="X204" s="1464"/>
      <c r="Y204" s="1464"/>
      <c r="Z204" s="1464"/>
    </row>
    <row r="205">
      <c r="A205" s="1468" t="s">
        <v>3974</v>
      </c>
      <c r="B205" s="1469">
        <v>84000.0</v>
      </c>
      <c r="C205" s="1470">
        <v>2016.0</v>
      </c>
      <c r="D205" s="1473"/>
      <c r="E205" s="1473"/>
      <c r="F205" s="1471" t="s">
        <v>3992</v>
      </c>
      <c r="G205" s="1464"/>
      <c r="H205" s="1470" t="s">
        <v>3639</v>
      </c>
      <c r="I205" s="1472">
        <v>46023.0</v>
      </c>
      <c r="J205" s="1472" t="s">
        <v>3976</v>
      </c>
      <c r="K205" s="1470" t="s">
        <v>3977</v>
      </c>
      <c r="L205" s="1479"/>
      <c r="M205" s="1479"/>
      <c r="N205" s="1479"/>
      <c r="O205" s="1479"/>
      <c r="P205" s="1479"/>
      <c r="Q205" s="1479"/>
      <c r="R205" s="1479"/>
      <c r="S205" s="1479"/>
      <c r="T205" s="1479"/>
      <c r="U205" s="1479"/>
      <c r="V205" s="1479"/>
      <c r="W205" s="1479"/>
      <c r="X205" s="1479"/>
      <c r="Y205" s="1479"/>
      <c r="Z205" s="1479"/>
    </row>
    <row r="206">
      <c r="A206" s="1474" t="s">
        <v>3987</v>
      </c>
      <c r="B206" s="1475">
        <v>91000.0</v>
      </c>
      <c r="C206" s="1476">
        <v>2024.0</v>
      </c>
      <c r="D206" s="1481"/>
      <c r="E206" s="1475" t="s">
        <v>666</v>
      </c>
      <c r="F206" s="1477" t="s">
        <v>3993</v>
      </c>
      <c r="G206" s="1479"/>
      <c r="H206" s="1476" t="s">
        <v>3639</v>
      </c>
      <c r="I206" s="1480">
        <v>46023.0</v>
      </c>
      <c r="J206" s="1476" t="s">
        <v>3833</v>
      </c>
      <c r="K206" s="1476" t="s">
        <v>3753</v>
      </c>
      <c r="L206" s="1479"/>
      <c r="M206" s="1479"/>
      <c r="N206" s="1479"/>
      <c r="O206" s="1479"/>
      <c r="P206" s="1479"/>
      <c r="Q206" s="1479"/>
      <c r="R206" s="1479"/>
      <c r="S206" s="1479"/>
      <c r="T206" s="1479"/>
      <c r="U206" s="1479"/>
      <c r="V206" s="1479"/>
      <c r="W206" s="1479"/>
      <c r="X206" s="1479"/>
      <c r="Y206" s="1479"/>
      <c r="Z206" s="1479"/>
    </row>
    <row r="207">
      <c r="A207" s="1474" t="s">
        <v>3994</v>
      </c>
      <c r="B207" s="1475">
        <v>84000.0</v>
      </c>
      <c r="C207" s="1476">
        <v>2021.0</v>
      </c>
      <c r="D207" s="1469" t="s">
        <v>3636</v>
      </c>
      <c r="E207" s="1469" t="s">
        <v>3637</v>
      </c>
      <c r="F207" s="1477" t="s">
        <v>3995</v>
      </c>
      <c r="G207" s="1479"/>
      <c r="H207" s="1464"/>
      <c r="I207" s="1480">
        <v>46054.0</v>
      </c>
      <c r="J207" s="1480" t="s">
        <v>761</v>
      </c>
      <c r="K207" s="1470" t="s">
        <v>3083</v>
      </c>
      <c r="L207" s="1464"/>
      <c r="M207" s="1464"/>
      <c r="N207" s="1464"/>
      <c r="O207" s="1464"/>
      <c r="P207" s="1464"/>
      <c r="Q207" s="1464"/>
      <c r="R207" s="1464"/>
      <c r="S207" s="1464"/>
      <c r="T207" s="1464"/>
      <c r="U207" s="1464"/>
      <c r="V207" s="1464"/>
      <c r="W207" s="1464"/>
      <c r="X207" s="1464"/>
      <c r="Y207" s="1464"/>
      <c r="Z207" s="1464"/>
    </row>
    <row r="208">
      <c r="A208" s="1474" t="s">
        <v>3996</v>
      </c>
      <c r="B208" s="1475">
        <v>91000.0</v>
      </c>
      <c r="C208" s="1476">
        <v>2022.0</v>
      </c>
      <c r="D208" s="1481"/>
      <c r="E208" s="1475" t="s">
        <v>666</v>
      </c>
      <c r="F208" s="1477" t="s">
        <v>3997</v>
      </c>
      <c r="G208" s="1479"/>
      <c r="H208" s="1470" t="s">
        <v>3639</v>
      </c>
      <c r="I208" s="1480">
        <v>46054.0</v>
      </c>
      <c r="J208" s="1476" t="s">
        <v>3705</v>
      </c>
      <c r="K208" s="1476" t="s">
        <v>2935</v>
      </c>
      <c r="L208" s="1470" t="s">
        <v>3706</v>
      </c>
      <c r="M208" s="1464"/>
      <c r="N208" s="1464"/>
      <c r="O208" s="1464"/>
      <c r="P208" s="1464"/>
      <c r="Q208" s="1464"/>
      <c r="R208" s="1464"/>
      <c r="S208" s="1464"/>
      <c r="T208" s="1464"/>
      <c r="U208" s="1464"/>
      <c r="V208" s="1464"/>
      <c r="W208" s="1464"/>
      <c r="X208" s="1464"/>
      <c r="Y208" s="1464"/>
      <c r="Z208" s="1464"/>
    </row>
    <row r="209">
      <c r="A209" s="1474" t="s">
        <v>3998</v>
      </c>
      <c r="B209" s="1475">
        <v>84000.0</v>
      </c>
      <c r="C209" s="1476">
        <v>2022.0</v>
      </c>
      <c r="D209" s="1481"/>
      <c r="E209" s="1475" t="s">
        <v>666</v>
      </c>
      <c r="F209" s="1477" t="s">
        <v>3999</v>
      </c>
      <c r="G209" s="1479"/>
      <c r="H209" s="1464"/>
      <c r="I209" s="1480">
        <v>46054.0</v>
      </c>
      <c r="J209" s="1480" t="s">
        <v>3715</v>
      </c>
      <c r="K209" s="1470" t="s">
        <v>3794</v>
      </c>
      <c r="L209" s="1464"/>
      <c r="M209" s="1479"/>
      <c r="N209" s="1479"/>
      <c r="O209" s="1479"/>
      <c r="P209" s="1479"/>
      <c r="Q209" s="1479"/>
      <c r="R209" s="1479"/>
      <c r="S209" s="1479"/>
      <c r="T209" s="1479"/>
      <c r="U209" s="1479"/>
      <c r="V209" s="1479"/>
      <c r="W209" s="1479"/>
      <c r="X209" s="1479"/>
      <c r="Y209" s="1479"/>
      <c r="Z209" s="1479"/>
    </row>
    <row r="210">
      <c r="A210" s="1474" t="s">
        <v>3419</v>
      </c>
      <c r="B210" s="1475">
        <v>82200.0</v>
      </c>
      <c r="C210" s="1476">
        <v>2020.0</v>
      </c>
      <c r="D210" s="1473"/>
      <c r="E210" s="1469" t="s">
        <v>3637</v>
      </c>
      <c r="F210" s="1477" t="s">
        <v>4000</v>
      </c>
      <c r="G210" s="1464"/>
      <c r="H210" s="1476" t="s">
        <v>3639</v>
      </c>
      <c r="I210" s="1480">
        <v>46054.0</v>
      </c>
      <c r="J210" s="1480" t="s">
        <v>3715</v>
      </c>
      <c r="K210" s="1470" t="s">
        <v>4001</v>
      </c>
      <c r="L210" s="1464"/>
      <c r="M210" s="1479"/>
      <c r="N210" s="1479"/>
      <c r="O210" s="1479"/>
      <c r="P210" s="1479"/>
      <c r="Q210" s="1479"/>
      <c r="R210" s="1479"/>
      <c r="S210" s="1479"/>
      <c r="T210" s="1479"/>
      <c r="U210" s="1479"/>
      <c r="V210" s="1479"/>
      <c r="W210" s="1479"/>
      <c r="X210" s="1479"/>
      <c r="Y210" s="1479"/>
      <c r="Z210" s="1479"/>
    </row>
    <row r="211">
      <c r="A211" s="1474" t="s">
        <v>4002</v>
      </c>
      <c r="B211" s="1475">
        <v>91000.0</v>
      </c>
      <c r="C211" s="1476">
        <v>2023.0</v>
      </c>
      <c r="D211" s="1481"/>
      <c r="E211" s="1475" t="s">
        <v>666</v>
      </c>
      <c r="F211" s="1477" t="s">
        <v>4003</v>
      </c>
      <c r="G211" s="1479"/>
      <c r="H211" s="1476" t="s">
        <v>3639</v>
      </c>
      <c r="I211" s="1480">
        <v>46054.0</v>
      </c>
      <c r="J211" s="1476" t="s">
        <v>3722</v>
      </c>
      <c r="K211" s="1476" t="s">
        <v>3719</v>
      </c>
      <c r="L211" s="1476" t="s">
        <v>3806</v>
      </c>
      <c r="M211" s="1479"/>
      <c r="N211" s="1479"/>
      <c r="O211" s="1479"/>
      <c r="P211" s="1479"/>
      <c r="Q211" s="1479"/>
      <c r="R211" s="1479"/>
      <c r="S211" s="1479"/>
      <c r="T211" s="1479"/>
      <c r="U211" s="1479"/>
      <c r="V211" s="1479"/>
      <c r="W211" s="1479"/>
      <c r="X211" s="1479"/>
      <c r="Y211" s="1479"/>
      <c r="Z211" s="1479"/>
    </row>
    <row r="212">
      <c r="A212" s="1468" t="s">
        <v>4004</v>
      </c>
      <c r="B212" s="1469">
        <v>80100.0</v>
      </c>
      <c r="C212" s="1470">
        <v>2008.0</v>
      </c>
      <c r="D212" s="1473"/>
      <c r="E212" s="1473"/>
      <c r="F212" s="1471" t="s">
        <v>4005</v>
      </c>
      <c r="G212" s="1464"/>
      <c r="H212" s="1464"/>
      <c r="I212" s="1472">
        <v>46054.0</v>
      </c>
      <c r="J212" s="1470" t="s">
        <v>3684</v>
      </c>
      <c r="K212" s="1470" t="s">
        <v>4006</v>
      </c>
      <c r="L212" s="1464"/>
      <c r="M212" s="1479"/>
      <c r="N212" s="1479"/>
      <c r="O212" s="1479"/>
      <c r="P212" s="1479"/>
      <c r="Q212" s="1479"/>
      <c r="R212" s="1479"/>
      <c r="S212" s="1479"/>
      <c r="T212" s="1479"/>
      <c r="U212" s="1479"/>
      <c r="V212" s="1479"/>
      <c r="W212" s="1479"/>
      <c r="X212" s="1479"/>
      <c r="Y212" s="1479"/>
      <c r="Z212" s="1479"/>
    </row>
    <row r="213">
      <c r="A213" s="1474" t="s">
        <v>4002</v>
      </c>
      <c r="B213" s="1475">
        <v>91000.0</v>
      </c>
      <c r="C213" s="1476">
        <v>2023.0</v>
      </c>
      <c r="D213" s="1481"/>
      <c r="E213" s="1475" t="s">
        <v>666</v>
      </c>
      <c r="F213" s="1477" t="s">
        <v>4007</v>
      </c>
      <c r="G213" s="1479"/>
      <c r="H213" s="1470" t="s">
        <v>3639</v>
      </c>
      <c r="I213" s="1480">
        <v>46054.0</v>
      </c>
      <c r="J213" s="1476" t="s">
        <v>3722</v>
      </c>
      <c r="K213" s="1476" t="s">
        <v>3719</v>
      </c>
      <c r="L213" s="1479"/>
      <c r="M213" s="1479"/>
      <c r="N213" s="1479"/>
      <c r="O213" s="1479"/>
      <c r="P213" s="1479"/>
      <c r="Q213" s="1479"/>
      <c r="R213" s="1479"/>
      <c r="S213" s="1479"/>
      <c r="T213" s="1479"/>
      <c r="U213" s="1479"/>
      <c r="V213" s="1479"/>
      <c r="W213" s="1479"/>
      <c r="X213" s="1479"/>
      <c r="Y213" s="1479"/>
      <c r="Z213" s="1479"/>
    </row>
    <row r="214">
      <c r="A214" s="1474" t="s">
        <v>4008</v>
      </c>
      <c r="B214" s="1475">
        <v>84000.0</v>
      </c>
      <c r="C214" s="1476">
        <v>2022.0</v>
      </c>
      <c r="D214" s="1481"/>
      <c r="E214" s="1475" t="s">
        <v>666</v>
      </c>
      <c r="F214" s="1477" t="s">
        <v>4009</v>
      </c>
      <c r="G214" s="1464"/>
      <c r="H214" s="1470" t="s">
        <v>3639</v>
      </c>
      <c r="I214" s="1480">
        <v>46054.0</v>
      </c>
      <c r="J214" s="1480" t="s">
        <v>3715</v>
      </c>
      <c r="K214" s="1470" t="s">
        <v>3794</v>
      </c>
      <c r="L214" s="1464"/>
      <c r="M214" s="1464"/>
      <c r="N214" s="1464"/>
      <c r="O214" s="1464"/>
      <c r="P214" s="1464"/>
      <c r="Q214" s="1464"/>
      <c r="R214" s="1464"/>
      <c r="S214" s="1464"/>
      <c r="T214" s="1464"/>
      <c r="U214" s="1464"/>
      <c r="V214" s="1464"/>
      <c r="W214" s="1464"/>
      <c r="X214" s="1464"/>
      <c r="Y214" s="1464"/>
      <c r="Z214" s="1464"/>
    </row>
    <row r="215">
      <c r="A215" s="1468" t="s">
        <v>3417</v>
      </c>
      <c r="B215" s="1469">
        <v>82500.0</v>
      </c>
      <c r="C215" s="1470">
        <v>2001.0</v>
      </c>
      <c r="D215" s="1473"/>
      <c r="E215" s="1473"/>
      <c r="F215" s="1471" t="s">
        <v>4010</v>
      </c>
      <c r="G215" s="1464"/>
      <c r="H215" s="1464"/>
      <c r="I215" s="1472">
        <v>46054.0</v>
      </c>
      <c r="J215" s="1472" t="s">
        <v>1190</v>
      </c>
      <c r="K215" s="1470" t="s">
        <v>2954</v>
      </c>
      <c r="L215" s="1470" t="s">
        <v>4011</v>
      </c>
      <c r="M215" s="1464"/>
      <c r="N215" s="1464"/>
      <c r="O215" s="1464"/>
      <c r="P215" s="1464"/>
      <c r="Q215" s="1464"/>
      <c r="R215" s="1464"/>
      <c r="S215" s="1464"/>
      <c r="T215" s="1464"/>
      <c r="U215" s="1464"/>
      <c r="V215" s="1464"/>
      <c r="W215" s="1464"/>
      <c r="X215" s="1464"/>
      <c r="Y215" s="1464"/>
      <c r="Z215" s="1464"/>
    </row>
    <row r="216">
      <c r="A216" s="1468" t="s">
        <v>4012</v>
      </c>
      <c r="B216" s="1469">
        <v>78912.0</v>
      </c>
      <c r="C216" s="1470">
        <v>2005.0</v>
      </c>
      <c r="D216" s="1473"/>
      <c r="E216" s="1473"/>
      <c r="F216" s="1471" t="s">
        <v>4013</v>
      </c>
      <c r="G216" s="1464"/>
      <c r="H216" s="1464"/>
      <c r="I216" s="1472">
        <v>46054.0</v>
      </c>
      <c r="J216" s="1470" t="s">
        <v>3827</v>
      </c>
      <c r="K216" s="1470" t="s">
        <v>3820</v>
      </c>
      <c r="L216" s="1464"/>
      <c r="M216" s="1464"/>
      <c r="N216" s="1464"/>
      <c r="O216" s="1464"/>
      <c r="P216" s="1464"/>
      <c r="Q216" s="1464"/>
      <c r="R216" s="1464"/>
      <c r="S216" s="1464"/>
      <c r="T216" s="1464"/>
      <c r="U216" s="1464"/>
      <c r="V216" s="1464"/>
      <c r="W216" s="1464"/>
      <c r="X216" s="1464"/>
      <c r="Y216" s="1464"/>
      <c r="Z216" s="1464"/>
    </row>
    <row r="217">
      <c r="A217" s="1474" t="s">
        <v>3419</v>
      </c>
      <c r="B217" s="1475">
        <v>82200.0</v>
      </c>
      <c r="C217" s="1476">
        <v>2020.0</v>
      </c>
      <c r="D217" s="1473"/>
      <c r="E217" s="1469" t="s">
        <v>3637</v>
      </c>
      <c r="F217" s="1477" t="s">
        <v>4014</v>
      </c>
      <c r="G217" s="1479"/>
      <c r="H217" s="1470" t="s">
        <v>3639</v>
      </c>
      <c r="I217" s="1480">
        <v>46054.0</v>
      </c>
      <c r="J217" s="1480" t="s">
        <v>3715</v>
      </c>
      <c r="K217" s="1470" t="s">
        <v>4001</v>
      </c>
      <c r="L217" s="1464"/>
      <c r="M217" s="1464"/>
      <c r="N217" s="1464"/>
      <c r="O217" s="1464"/>
      <c r="P217" s="1464"/>
      <c r="Q217" s="1464"/>
      <c r="R217" s="1464"/>
      <c r="S217" s="1464"/>
      <c r="T217" s="1464"/>
      <c r="U217" s="1464"/>
      <c r="V217" s="1464"/>
      <c r="W217" s="1464"/>
      <c r="X217" s="1464"/>
      <c r="Y217" s="1464"/>
      <c r="Z217" s="1464"/>
    </row>
    <row r="218">
      <c r="A218" s="1474" t="s">
        <v>3366</v>
      </c>
      <c r="B218" s="1475">
        <v>84000.0</v>
      </c>
      <c r="C218" s="1476">
        <v>2020.0</v>
      </c>
      <c r="D218" s="1473"/>
      <c r="E218" s="1469" t="s">
        <v>3637</v>
      </c>
      <c r="F218" s="1471" t="s">
        <v>4015</v>
      </c>
      <c r="G218" s="1464"/>
      <c r="H218" s="1470" t="s">
        <v>3639</v>
      </c>
      <c r="I218" s="1472">
        <v>46054.0</v>
      </c>
      <c r="J218" s="1470" t="s">
        <v>3684</v>
      </c>
      <c r="K218" s="1470" t="s">
        <v>3659</v>
      </c>
      <c r="L218" s="1464"/>
      <c r="M218" s="1464"/>
      <c r="N218" s="1464"/>
      <c r="O218" s="1464"/>
      <c r="P218" s="1464"/>
      <c r="Q218" s="1464"/>
      <c r="R218" s="1464"/>
      <c r="S218" s="1464"/>
      <c r="T218" s="1464"/>
      <c r="U218" s="1464"/>
      <c r="V218" s="1464"/>
      <c r="W218" s="1464"/>
      <c r="X218" s="1464"/>
      <c r="Y218" s="1464"/>
      <c r="Z218" s="1464"/>
    </row>
    <row r="219">
      <c r="A219" s="1468" t="s">
        <v>4004</v>
      </c>
      <c r="B219" s="1469">
        <v>80100.0</v>
      </c>
      <c r="C219" s="1470">
        <v>2008.0</v>
      </c>
      <c r="D219" s="1473"/>
      <c r="E219" s="1473"/>
      <c r="F219" s="1471" t="s">
        <v>4016</v>
      </c>
      <c r="G219" s="1464"/>
      <c r="H219" s="1464"/>
      <c r="I219" s="1472">
        <v>46054.0</v>
      </c>
      <c r="J219" s="1470" t="s">
        <v>3684</v>
      </c>
      <c r="K219" s="1470" t="s">
        <v>4006</v>
      </c>
      <c r="L219" s="1464"/>
      <c r="M219" s="1464"/>
      <c r="N219" s="1464"/>
      <c r="O219" s="1464"/>
      <c r="P219" s="1464"/>
      <c r="Q219" s="1464"/>
      <c r="R219" s="1464"/>
      <c r="S219" s="1464"/>
      <c r="T219" s="1464"/>
      <c r="U219" s="1464"/>
      <c r="V219" s="1464"/>
      <c r="W219" s="1464"/>
      <c r="X219" s="1464"/>
      <c r="Y219" s="1464"/>
      <c r="Z219" s="1464"/>
    </row>
    <row r="220">
      <c r="A220" s="1474" t="s">
        <v>3366</v>
      </c>
      <c r="B220" s="1475">
        <v>84000.0</v>
      </c>
      <c r="C220" s="1476">
        <v>2020.0</v>
      </c>
      <c r="D220" s="1473"/>
      <c r="E220" s="1469" t="s">
        <v>3637</v>
      </c>
      <c r="F220" s="1471" t="s">
        <v>4017</v>
      </c>
      <c r="G220" s="1464"/>
      <c r="H220" s="1470" t="s">
        <v>3639</v>
      </c>
      <c r="I220" s="1472">
        <v>46054.0</v>
      </c>
      <c r="J220" s="1470" t="s">
        <v>3684</v>
      </c>
      <c r="K220" s="1470" t="s">
        <v>3659</v>
      </c>
      <c r="L220" s="1464"/>
      <c r="M220" s="1464"/>
      <c r="N220" s="1464"/>
      <c r="O220" s="1464"/>
      <c r="P220" s="1464"/>
      <c r="Q220" s="1464"/>
      <c r="R220" s="1464"/>
      <c r="S220" s="1464"/>
      <c r="T220" s="1464"/>
      <c r="U220" s="1464"/>
      <c r="V220" s="1464"/>
      <c r="W220" s="1464"/>
      <c r="X220" s="1464"/>
      <c r="Y220" s="1464"/>
      <c r="Z220" s="1464"/>
    </row>
    <row r="221">
      <c r="A221" s="1468" t="s">
        <v>3417</v>
      </c>
      <c r="B221" s="1469">
        <v>82500.0</v>
      </c>
      <c r="C221" s="1470">
        <v>2001.0</v>
      </c>
      <c r="D221" s="1473"/>
      <c r="E221" s="1473"/>
      <c r="F221" s="1477" t="s">
        <v>4018</v>
      </c>
      <c r="G221" s="1464"/>
      <c r="H221" s="1464"/>
      <c r="I221" s="1472">
        <v>46054.0</v>
      </c>
      <c r="J221" s="1472" t="s">
        <v>1190</v>
      </c>
      <c r="K221" s="1470" t="s">
        <v>2954</v>
      </c>
      <c r="L221" s="1470" t="s">
        <v>4011</v>
      </c>
      <c r="M221" s="1479"/>
      <c r="N221" s="1479"/>
      <c r="O221" s="1479"/>
      <c r="P221" s="1479"/>
      <c r="Q221" s="1479"/>
      <c r="R221" s="1479"/>
      <c r="S221" s="1479"/>
      <c r="T221" s="1479"/>
      <c r="U221" s="1479"/>
      <c r="V221" s="1479"/>
      <c r="W221" s="1479"/>
      <c r="X221" s="1479"/>
      <c r="Y221" s="1479"/>
      <c r="Z221" s="1479"/>
    </row>
    <row r="222">
      <c r="A222" s="1468" t="s">
        <v>3996</v>
      </c>
      <c r="B222" s="1469">
        <v>91000.0</v>
      </c>
      <c r="C222" s="1470">
        <v>2022.0</v>
      </c>
      <c r="D222" s="1473"/>
      <c r="E222" s="1469" t="s">
        <v>666</v>
      </c>
      <c r="F222" s="1471" t="s">
        <v>4019</v>
      </c>
      <c r="G222" s="1479"/>
      <c r="H222" s="1476" t="s">
        <v>3639</v>
      </c>
      <c r="I222" s="1472">
        <v>46054.0</v>
      </c>
      <c r="J222" s="1472" t="s">
        <v>3705</v>
      </c>
      <c r="K222" s="1476" t="s">
        <v>2935</v>
      </c>
      <c r="L222" s="1464"/>
      <c r="M222" s="1479"/>
      <c r="N222" s="1479"/>
      <c r="O222" s="1479"/>
      <c r="P222" s="1479"/>
      <c r="Q222" s="1479"/>
      <c r="R222" s="1479"/>
      <c r="S222" s="1479"/>
      <c r="T222" s="1479"/>
      <c r="U222" s="1479"/>
      <c r="V222" s="1479"/>
      <c r="W222" s="1479"/>
      <c r="X222" s="1479"/>
      <c r="Y222" s="1479"/>
      <c r="Z222" s="1479"/>
    </row>
    <row r="223">
      <c r="A223" s="1468" t="s">
        <v>4020</v>
      </c>
      <c r="B223" s="1469">
        <v>83300.0</v>
      </c>
      <c r="C223" s="1470">
        <v>2016.0</v>
      </c>
      <c r="D223" s="1481"/>
      <c r="E223" s="1473"/>
      <c r="F223" s="1471" t="s">
        <v>4021</v>
      </c>
      <c r="G223" s="1464"/>
      <c r="H223" s="1476" t="s">
        <v>3639</v>
      </c>
      <c r="I223" s="1472">
        <v>46082.0</v>
      </c>
      <c r="J223" s="1470" t="s">
        <v>4022</v>
      </c>
      <c r="K223" s="1470" t="s">
        <v>3797</v>
      </c>
      <c r="L223" s="1464"/>
      <c r="M223" s="1479"/>
      <c r="N223" s="1479"/>
      <c r="O223" s="1479"/>
      <c r="P223" s="1479"/>
      <c r="Q223" s="1479"/>
      <c r="R223" s="1479"/>
      <c r="S223" s="1479"/>
      <c r="T223" s="1479"/>
      <c r="U223" s="1479"/>
      <c r="V223" s="1479"/>
      <c r="W223" s="1479"/>
      <c r="X223" s="1479"/>
      <c r="Y223" s="1479"/>
      <c r="Z223" s="1479"/>
    </row>
    <row r="224">
      <c r="A224" s="1468" t="s">
        <v>4023</v>
      </c>
      <c r="B224" s="1469">
        <v>84000.0</v>
      </c>
      <c r="C224" s="1470">
        <v>2016.0</v>
      </c>
      <c r="D224" s="1473"/>
      <c r="E224" s="1473"/>
      <c r="F224" s="1471" t="s">
        <v>4024</v>
      </c>
      <c r="G224" s="1464"/>
      <c r="H224" s="1464"/>
      <c r="I224" s="1480">
        <v>46082.0</v>
      </c>
      <c r="J224" s="1470" t="s">
        <v>727</v>
      </c>
      <c r="K224" s="1470" t="s">
        <v>4025</v>
      </c>
      <c r="L224" s="1470" t="s">
        <v>4026</v>
      </c>
      <c r="M224" s="1479"/>
      <c r="N224" s="1479"/>
      <c r="O224" s="1479"/>
      <c r="P224" s="1479"/>
      <c r="Q224" s="1479"/>
      <c r="R224" s="1479"/>
      <c r="S224" s="1479"/>
      <c r="T224" s="1479"/>
      <c r="U224" s="1479"/>
      <c r="V224" s="1479"/>
      <c r="W224" s="1479"/>
      <c r="X224" s="1479"/>
      <c r="Y224" s="1479"/>
      <c r="Z224" s="1479"/>
    </row>
    <row r="225">
      <c r="A225" s="1468" t="s">
        <v>4020</v>
      </c>
      <c r="B225" s="1469">
        <v>83300.0</v>
      </c>
      <c r="C225" s="1470">
        <v>2016.0</v>
      </c>
      <c r="D225" s="1481"/>
      <c r="E225" s="1473"/>
      <c r="F225" s="1471" t="s">
        <v>4027</v>
      </c>
      <c r="G225" s="1464"/>
      <c r="H225" s="1476" t="s">
        <v>3639</v>
      </c>
      <c r="I225" s="1472">
        <v>46082.0</v>
      </c>
      <c r="J225" s="1470" t="s">
        <v>4022</v>
      </c>
      <c r="K225" s="1470" t="s">
        <v>3797</v>
      </c>
      <c r="L225" s="1479"/>
      <c r="M225" s="1479"/>
      <c r="N225" s="1479"/>
      <c r="O225" s="1479"/>
      <c r="P225" s="1479"/>
      <c r="Q225" s="1479"/>
      <c r="R225" s="1479"/>
      <c r="S225" s="1479"/>
      <c r="T225" s="1479"/>
      <c r="U225" s="1479"/>
      <c r="V225" s="1479"/>
      <c r="W225" s="1479"/>
      <c r="X225" s="1479"/>
      <c r="Y225" s="1479"/>
      <c r="Z225" s="1479"/>
    </row>
    <row r="226">
      <c r="A226" s="1474" t="s">
        <v>4028</v>
      </c>
      <c r="B226" s="1475">
        <v>91000.0</v>
      </c>
      <c r="C226" s="1476">
        <v>2024.0</v>
      </c>
      <c r="D226" s="1481"/>
      <c r="E226" s="1475" t="s">
        <v>666</v>
      </c>
      <c r="F226" s="1477" t="s">
        <v>4029</v>
      </c>
      <c r="G226" s="1479"/>
      <c r="H226" s="1476" t="s">
        <v>3718</v>
      </c>
      <c r="I226" s="1480">
        <v>46082.0</v>
      </c>
      <c r="J226" s="1476" t="s">
        <v>761</v>
      </c>
      <c r="K226" s="1476" t="s">
        <v>3753</v>
      </c>
      <c r="L226" s="1479"/>
      <c r="M226" s="1479"/>
      <c r="N226" s="1479"/>
      <c r="O226" s="1479"/>
      <c r="P226" s="1479"/>
      <c r="Q226" s="1479"/>
      <c r="R226" s="1479"/>
      <c r="S226" s="1479"/>
      <c r="T226" s="1479"/>
      <c r="U226" s="1479"/>
      <c r="V226" s="1479"/>
      <c r="W226" s="1479"/>
      <c r="X226" s="1479"/>
      <c r="Y226" s="1479"/>
      <c r="Z226" s="1479"/>
    </row>
    <row r="227">
      <c r="A227" s="1468" t="s">
        <v>4030</v>
      </c>
      <c r="B227" s="1469">
        <v>82000.0</v>
      </c>
      <c r="C227" s="1470">
        <v>2008.0</v>
      </c>
      <c r="D227" s="1473"/>
      <c r="E227" s="1473"/>
      <c r="F227" s="1471" t="s">
        <v>4031</v>
      </c>
      <c r="G227" s="1464"/>
      <c r="H227" s="1470" t="s">
        <v>3718</v>
      </c>
      <c r="I227" s="1472">
        <v>46082.0</v>
      </c>
      <c r="J227" s="1470" t="s">
        <v>2899</v>
      </c>
      <c r="K227" s="1470" t="s">
        <v>3725</v>
      </c>
      <c r="L227" s="1470" t="s">
        <v>4032</v>
      </c>
      <c r="M227" s="1464"/>
      <c r="N227" s="1464"/>
      <c r="O227" s="1464"/>
      <c r="P227" s="1464"/>
      <c r="Q227" s="1464"/>
      <c r="R227" s="1464"/>
      <c r="S227" s="1464"/>
      <c r="T227" s="1464"/>
      <c r="U227" s="1464"/>
      <c r="V227" s="1464"/>
      <c r="W227" s="1464"/>
      <c r="X227" s="1464"/>
      <c r="Y227" s="1464"/>
      <c r="Z227" s="1464"/>
    </row>
    <row r="228">
      <c r="A228" s="1468" t="s">
        <v>4033</v>
      </c>
      <c r="B228" s="1469">
        <v>82300.0</v>
      </c>
      <c r="C228" s="1470">
        <v>2007.0</v>
      </c>
      <c r="D228" s="1473"/>
      <c r="E228" s="1473"/>
      <c r="F228" s="1471" t="s">
        <v>4034</v>
      </c>
      <c r="G228" s="1464"/>
      <c r="H228" s="1464"/>
      <c r="I228" s="1472">
        <v>46082.0</v>
      </c>
      <c r="J228" s="1472" t="s">
        <v>1362</v>
      </c>
      <c r="K228" s="1470" t="s">
        <v>3699</v>
      </c>
      <c r="L228" s="1470" t="s">
        <v>4035</v>
      </c>
      <c r="M228" s="1464"/>
      <c r="N228" s="1464"/>
      <c r="O228" s="1464"/>
      <c r="P228" s="1464"/>
      <c r="Q228" s="1464"/>
      <c r="R228" s="1464"/>
      <c r="S228" s="1464"/>
      <c r="T228" s="1464"/>
      <c r="U228" s="1464"/>
      <c r="V228" s="1464"/>
      <c r="W228" s="1464"/>
      <c r="X228" s="1464"/>
      <c r="Y228" s="1464"/>
      <c r="Z228" s="1464"/>
    </row>
    <row r="229">
      <c r="A229" s="1468" t="s">
        <v>4036</v>
      </c>
      <c r="B229" s="1469">
        <v>84200.0</v>
      </c>
      <c r="C229" s="1470">
        <v>2017.0</v>
      </c>
      <c r="D229" s="1473"/>
      <c r="E229" s="1469" t="s">
        <v>666</v>
      </c>
      <c r="F229" s="1471" t="s">
        <v>4037</v>
      </c>
      <c r="G229" s="1464"/>
      <c r="H229" s="1470" t="s">
        <v>3639</v>
      </c>
      <c r="I229" s="1472">
        <v>46082.0</v>
      </c>
      <c r="J229" s="1470" t="s">
        <v>4038</v>
      </c>
      <c r="K229" s="1470" t="s">
        <v>2935</v>
      </c>
      <c r="L229" s="1464"/>
      <c r="M229" s="1464"/>
      <c r="N229" s="1464"/>
      <c r="O229" s="1464"/>
      <c r="P229" s="1464"/>
      <c r="Q229" s="1464"/>
      <c r="R229" s="1464"/>
      <c r="S229" s="1464"/>
      <c r="T229" s="1464"/>
      <c r="U229" s="1464"/>
      <c r="V229" s="1464"/>
      <c r="W229" s="1464"/>
      <c r="X229" s="1464"/>
      <c r="Y229" s="1464"/>
      <c r="Z229" s="1464"/>
    </row>
    <row r="230">
      <c r="A230" s="1468" t="s">
        <v>4036</v>
      </c>
      <c r="B230" s="1469">
        <v>84200.0</v>
      </c>
      <c r="C230" s="1470">
        <v>2017.0</v>
      </c>
      <c r="D230" s="1473"/>
      <c r="E230" s="1469" t="s">
        <v>666</v>
      </c>
      <c r="F230" s="1471" t="s">
        <v>4039</v>
      </c>
      <c r="G230" s="1464"/>
      <c r="H230" s="1470" t="s">
        <v>3639</v>
      </c>
      <c r="I230" s="1472">
        <v>46082.0</v>
      </c>
      <c r="J230" s="1470" t="s">
        <v>4038</v>
      </c>
      <c r="K230" s="1470" t="s">
        <v>2935</v>
      </c>
      <c r="L230" s="1470" t="s">
        <v>4040</v>
      </c>
      <c r="M230" s="1464"/>
      <c r="N230" s="1464"/>
      <c r="O230" s="1464"/>
      <c r="P230" s="1464"/>
      <c r="Q230" s="1464"/>
      <c r="R230" s="1464"/>
      <c r="S230" s="1464"/>
      <c r="T230" s="1464"/>
      <c r="U230" s="1464"/>
      <c r="V230" s="1464"/>
      <c r="W230" s="1464"/>
      <c r="X230" s="1464"/>
      <c r="Y230" s="1464"/>
      <c r="Z230" s="1464"/>
    </row>
    <row r="231">
      <c r="A231" s="1468" t="s">
        <v>4033</v>
      </c>
      <c r="B231" s="1469">
        <v>82300.0</v>
      </c>
      <c r="C231" s="1470">
        <v>2007.0</v>
      </c>
      <c r="D231" s="1473"/>
      <c r="E231" s="1473"/>
      <c r="F231" s="1471" t="s">
        <v>4041</v>
      </c>
      <c r="G231" s="1464"/>
      <c r="H231" s="1464"/>
      <c r="I231" s="1472">
        <v>46082.0</v>
      </c>
      <c r="J231" s="1472" t="s">
        <v>1362</v>
      </c>
      <c r="K231" s="1470" t="s">
        <v>3699</v>
      </c>
      <c r="L231" s="1470" t="s">
        <v>4035</v>
      </c>
      <c r="M231" s="1464"/>
      <c r="N231" s="1464"/>
      <c r="O231" s="1464"/>
      <c r="P231" s="1464"/>
      <c r="Q231" s="1464"/>
      <c r="R231" s="1464"/>
      <c r="S231" s="1464"/>
      <c r="T231" s="1464"/>
      <c r="U231" s="1464"/>
      <c r="V231" s="1464"/>
      <c r="W231" s="1464"/>
      <c r="X231" s="1464"/>
      <c r="Y231" s="1464"/>
      <c r="Z231" s="1464"/>
    </row>
    <row r="232">
      <c r="A232" s="1468" t="s">
        <v>4042</v>
      </c>
      <c r="B232" s="1469">
        <v>84000.0</v>
      </c>
      <c r="C232" s="1470">
        <v>2016.0</v>
      </c>
      <c r="D232" s="1473"/>
      <c r="E232" s="1473"/>
      <c r="F232" s="1471" t="s">
        <v>4043</v>
      </c>
      <c r="G232" s="1464"/>
      <c r="H232" s="1470" t="s">
        <v>3639</v>
      </c>
      <c r="I232" s="1472">
        <v>46082.0</v>
      </c>
      <c r="J232" s="1470" t="s">
        <v>4044</v>
      </c>
      <c r="K232" s="1470" t="s">
        <v>3977</v>
      </c>
      <c r="L232" s="1464"/>
      <c r="M232" s="1464"/>
      <c r="N232" s="1464"/>
      <c r="O232" s="1464"/>
      <c r="P232" s="1464"/>
      <c r="Q232" s="1464"/>
      <c r="R232" s="1464"/>
      <c r="S232" s="1464"/>
      <c r="T232" s="1464"/>
      <c r="U232" s="1464"/>
      <c r="V232" s="1464"/>
      <c r="W232" s="1464"/>
      <c r="X232" s="1464"/>
      <c r="Y232" s="1464"/>
      <c r="Z232" s="1464"/>
    </row>
    <row r="233">
      <c r="A233" s="1468" t="s">
        <v>4045</v>
      </c>
      <c r="B233" s="1469">
        <v>84000.0</v>
      </c>
      <c r="C233" s="1470">
        <v>2016.0</v>
      </c>
      <c r="D233" s="1473"/>
      <c r="E233" s="1473"/>
      <c r="F233" s="1471" t="s">
        <v>4046</v>
      </c>
      <c r="G233" s="1464"/>
      <c r="H233" s="1470" t="s">
        <v>3639</v>
      </c>
      <c r="I233" s="1472">
        <v>46082.0</v>
      </c>
      <c r="J233" s="1470" t="s">
        <v>4044</v>
      </c>
      <c r="K233" s="1470" t="s">
        <v>3659</v>
      </c>
      <c r="L233" s="1464"/>
      <c r="M233" s="1464"/>
      <c r="N233" s="1464"/>
      <c r="O233" s="1464"/>
      <c r="P233" s="1464"/>
      <c r="Q233" s="1464"/>
      <c r="R233" s="1464"/>
      <c r="S233" s="1464"/>
      <c r="T233" s="1464"/>
      <c r="U233" s="1464"/>
      <c r="V233" s="1464"/>
      <c r="W233" s="1464"/>
      <c r="X233" s="1464"/>
      <c r="Y233" s="1464"/>
      <c r="Z233" s="1464"/>
    </row>
    <row r="234">
      <c r="A234" s="1474" t="s">
        <v>4047</v>
      </c>
      <c r="B234" s="1475">
        <v>84000.0</v>
      </c>
      <c r="C234" s="1476">
        <v>2021.0</v>
      </c>
      <c r="D234" s="1469" t="s">
        <v>3636</v>
      </c>
      <c r="E234" s="1469" t="s">
        <v>3637</v>
      </c>
      <c r="F234" s="1477" t="s">
        <v>4048</v>
      </c>
      <c r="G234" s="1479"/>
      <c r="H234" s="1464"/>
      <c r="I234" s="1480">
        <v>46082.0</v>
      </c>
      <c r="J234" s="1480" t="s">
        <v>761</v>
      </c>
      <c r="K234" s="1470" t="s">
        <v>3820</v>
      </c>
      <c r="L234" s="1464"/>
      <c r="M234" s="1464"/>
      <c r="N234" s="1464"/>
      <c r="O234" s="1464"/>
      <c r="P234" s="1464"/>
      <c r="Q234" s="1464"/>
      <c r="R234" s="1464"/>
      <c r="S234" s="1464"/>
      <c r="T234" s="1464"/>
      <c r="U234" s="1464"/>
      <c r="V234" s="1464"/>
      <c r="W234" s="1464"/>
      <c r="X234" s="1464"/>
      <c r="Y234" s="1464"/>
      <c r="Z234" s="1464"/>
    </row>
    <row r="235">
      <c r="A235" s="1468" t="s">
        <v>4030</v>
      </c>
      <c r="B235" s="1469">
        <v>82000.0</v>
      </c>
      <c r="C235" s="1470">
        <v>2008.0</v>
      </c>
      <c r="D235" s="1473"/>
      <c r="E235" s="1473"/>
      <c r="F235" s="1471" t="s">
        <v>4049</v>
      </c>
      <c r="G235" s="1464"/>
      <c r="H235" s="1470" t="s">
        <v>3718</v>
      </c>
      <c r="I235" s="1472">
        <v>46082.0</v>
      </c>
      <c r="J235" s="1470" t="s">
        <v>2899</v>
      </c>
      <c r="K235" s="1470" t="s">
        <v>3725</v>
      </c>
      <c r="L235" s="1470" t="s">
        <v>4032</v>
      </c>
      <c r="M235" s="1464"/>
      <c r="N235" s="1464"/>
      <c r="O235" s="1464"/>
      <c r="P235" s="1464"/>
      <c r="Q235" s="1464"/>
      <c r="R235" s="1464"/>
      <c r="S235" s="1464"/>
      <c r="T235" s="1464"/>
      <c r="U235" s="1464"/>
      <c r="V235" s="1464"/>
      <c r="W235" s="1464"/>
      <c r="X235" s="1464"/>
      <c r="Y235" s="1464"/>
      <c r="Z235" s="1464"/>
    </row>
    <row r="236">
      <c r="A236" s="1468" t="s">
        <v>4023</v>
      </c>
      <c r="B236" s="1469">
        <v>84000.0</v>
      </c>
      <c r="C236" s="1470">
        <v>2016.0</v>
      </c>
      <c r="D236" s="1473"/>
      <c r="E236" s="1473"/>
      <c r="F236" s="1471" t="s">
        <v>4050</v>
      </c>
      <c r="G236" s="1464"/>
      <c r="H236" s="1464"/>
      <c r="I236" s="1472">
        <v>46082.0</v>
      </c>
      <c r="J236" s="1470" t="s">
        <v>727</v>
      </c>
      <c r="K236" s="1470" t="s">
        <v>4025</v>
      </c>
      <c r="L236" s="1464"/>
      <c r="M236" s="1479"/>
      <c r="N236" s="1479"/>
      <c r="O236" s="1479"/>
      <c r="P236" s="1479"/>
      <c r="Q236" s="1479"/>
      <c r="R236" s="1479"/>
      <c r="S236" s="1479"/>
      <c r="T236" s="1479"/>
      <c r="U236" s="1479"/>
      <c r="V236" s="1479"/>
      <c r="W236" s="1479"/>
      <c r="X236" s="1479"/>
      <c r="Y236" s="1479"/>
      <c r="Z236" s="1479"/>
    </row>
    <row r="237">
      <c r="A237" s="1468" t="s">
        <v>4042</v>
      </c>
      <c r="B237" s="1469">
        <v>84000.0</v>
      </c>
      <c r="C237" s="1470">
        <v>2016.0</v>
      </c>
      <c r="D237" s="1473"/>
      <c r="E237" s="1473"/>
      <c r="F237" s="1471" t="s">
        <v>4051</v>
      </c>
      <c r="G237" s="1464"/>
      <c r="H237" s="1470" t="s">
        <v>3639</v>
      </c>
      <c r="I237" s="1472">
        <v>46082.0</v>
      </c>
      <c r="J237" s="1472" t="s">
        <v>4044</v>
      </c>
      <c r="K237" s="1470" t="s">
        <v>3977</v>
      </c>
      <c r="L237" s="1464"/>
      <c r="M237" s="1479"/>
      <c r="N237" s="1479"/>
      <c r="O237" s="1479"/>
      <c r="P237" s="1479"/>
      <c r="Q237" s="1479"/>
      <c r="R237" s="1479"/>
      <c r="S237" s="1479"/>
      <c r="T237" s="1479"/>
      <c r="U237" s="1479"/>
      <c r="V237" s="1479"/>
      <c r="W237" s="1479"/>
      <c r="X237" s="1479"/>
      <c r="Y237" s="1479"/>
      <c r="Z237" s="1479"/>
    </row>
    <row r="238">
      <c r="A238" s="1468" t="s">
        <v>4052</v>
      </c>
      <c r="B238" s="1469">
        <v>84000.0</v>
      </c>
      <c r="C238" s="1470">
        <v>2016.0</v>
      </c>
      <c r="D238" s="1473"/>
      <c r="E238" s="1473"/>
      <c r="F238" s="1471" t="s">
        <v>4053</v>
      </c>
      <c r="G238" s="1464"/>
      <c r="H238" s="1470" t="s">
        <v>3639</v>
      </c>
      <c r="I238" s="1472">
        <v>46082.0</v>
      </c>
      <c r="J238" s="1470" t="s">
        <v>3708</v>
      </c>
      <c r="K238" s="1470" t="s">
        <v>3659</v>
      </c>
      <c r="L238" s="1464"/>
      <c r="M238" s="1479"/>
      <c r="N238" s="1479"/>
      <c r="O238" s="1479"/>
      <c r="P238" s="1479"/>
      <c r="Q238" s="1479"/>
      <c r="R238" s="1479"/>
      <c r="S238" s="1479"/>
      <c r="T238" s="1479"/>
      <c r="U238" s="1479"/>
      <c r="V238" s="1479"/>
      <c r="W238" s="1479"/>
      <c r="X238" s="1479"/>
      <c r="Y238" s="1479"/>
      <c r="Z238" s="1479"/>
    </row>
    <row r="239">
      <c r="A239" s="1468" t="s">
        <v>4045</v>
      </c>
      <c r="B239" s="1469">
        <v>84000.0</v>
      </c>
      <c r="C239" s="1470">
        <v>2016.0</v>
      </c>
      <c r="D239" s="1473"/>
      <c r="E239" s="1473"/>
      <c r="F239" s="1471" t="s">
        <v>4051</v>
      </c>
      <c r="G239" s="1464"/>
      <c r="H239" s="1470" t="s">
        <v>3639</v>
      </c>
      <c r="I239" s="1472">
        <v>46082.0</v>
      </c>
      <c r="J239" s="1470" t="s">
        <v>4044</v>
      </c>
      <c r="K239" s="1470" t="s">
        <v>3659</v>
      </c>
      <c r="L239" s="1464"/>
      <c r="M239" s="1464"/>
      <c r="N239" s="1464"/>
      <c r="O239" s="1464"/>
      <c r="P239" s="1464"/>
      <c r="Q239" s="1464"/>
      <c r="R239" s="1464"/>
      <c r="S239" s="1464"/>
      <c r="T239" s="1464"/>
      <c r="U239" s="1464"/>
      <c r="V239" s="1464"/>
      <c r="W239" s="1464"/>
      <c r="X239" s="1464"/>
      <c r="Y239" s="1464"/>
      <c r="Z239" s="1464"/>
    </row>
    <row r="240">
      <c r="A240" s="1468" t="s">
        <v>4052</v>
      </c>
      <c r="B240" s="1469">
        <v>84000.0</v>
      </c>
      <c r="C240" s="1470">
        <v>2016.0</v>
      </c>
      <c r="D240" s="1473"/>
      <c r="E240" s="1473"/>
      <c r="F240" s="1471" t="s">
        <v>4054</v>
      </c>
      <c r="G240" s="1464"/>
      <c r="H240" s="1470" t="s">
        <v>3639</v>
      </c>
      <c r="I240" s="1472">
        <v>46082.0</v>
      </c>
      <c r="J240" s="1470" t="s">
        <v>3708</v>
      </c>
      <c r="K240" s="1470" t="s">
        <v>3659</v>
      </c>
      <c r="L240" s="1464"/>
      <c r="M240" s="1464"/>
      <c r="N240" s="1464"/>
      <c r="O240" s="1464"/>
      <c r="P240" s="1464"/>
      <c r="Q240" s="1464"/>
      <c r="R240" s="1464"/>
      <c r="S240" s="1464"/>
      <c r="T240" s="1464"/>
      <c r="U240" s="1464"/>
      <c r="V240" s="1464"/>
      <c r="W240" s="1464"/>
      <c r="X240" s="1464"/>
      <c r="Y240" s="1464"/>
      <c r="Z240" s="1464"/>
    </row>
    <row r="241">
      <c r="A241" s="1468" t="s">
        <v>4012</v>
      </c>
      <c r="B241" s="1469">
        <v>78000.0</v>
      </c>
      <c r="C241" s="1470">
        <v>2005.0</v>
      </c>
      <c r="D241" s="1473"/>
      <c r="E241" s="1473"/>
      <c r="F241" s="1477" t="s">
        <v>4055</v>
      </c>
      <c r="G241" s="1479"/>
      <c r="H241" s="1479"/>
      <c r="I241" s="1480">
        <v>46082.0</v>
      </c>
      <c r="J241" s="1476" t="s">
        <v>3827</v>
      </c>
      <c r="K241" s="1476" t="s">
        <v>3083</v>
      </c>
      <c r="L241" s="1479"/>
      <c r="M241" s="1464"/>
      <c r="N241" s="1464"/>
      <c r="O241" s="1464"/>
      <c r="P241" s="1464"/>
      <c r="Q241" s="1464"/>
      <c r="R241" s="1464"/>
      <c r="S241" s="1464"/>
      <c r="T241" s="1464"/>
      <c r="U241" s="1464"/>
      <c r="V241" s="1464"/>
      <c r="W241" s="1464"/>
      <c r="X241" s="1464"/>
      <c r="Y241" s="1464"/>
      <c r="Z241" s="1464"/>
    </row>
    <row r="242">
      <c r="A242" s="1468" t="s">
        <v>4056</v>
      </c>
      <c r="B242" s="1469">
        <v>82200.0</v>
      </c>
      <c r="C242" s="1470">
        <v>2019.0</v>
      </c>
      <c r="D242" s="1481"/>
      <c r="E242" s="1473"/>
      <c r="F242" s="1471" t="s">
        <v>4057</v>
      </c>
      <c r="G242" s="1464"/>
      <c r="H242" s="1476" t="s">
        <v>3639</v>
      </c>
      <c r="I242" s="1472">
        <v>46113.0</v>
      </c>
      <c r="J242" s="1470" t="s">
        <v>3797</v>
      </c>
      <c r="K242" s="1470" t="s">
        <v>3794</v>
      </c>
      <c r="L242" s="1464"/>
      <c r="M242" s="1464"/>
      <c r="N242" s="1464"/>
      <c r="O242" s="1464"/>
      <c r="P242" s="1464"/>
      <c r="Q242" s="1464"/>
      <c r="R242" s="1464"/>
      <c r="S242" s="1464"/>
      <c r="T242" s="1464"/>
      <c r="U242" s="1464"/>
      <c r="V242" s="1464"/>
      <c r="W242" s="1464"/>
      <c r="X242" s="1464"/>
      <c r="Y242" s="1464"/>
      <c r="Z242" s="1464"/>
    </row>
    <row r="243">
      <c r="A243" s="1474" t="s">
        <v>4058</v>
      </c>
      <c r="B243" s="1475">
        <v>84000.0</v>
      </c>
      <c r="C243" s="1476">
        <v>2021.0</v>
      </c>
      <c r="D243" s="1475" t="s">
        <v>3636</v>
      </c>
      <c r="E243" s="1475" t="s">
        <v>3637</v>
      </c>
      <c r="F243" s="1477" t="s">
        <v>4059</v>
      </c>
      <c r="G243" s="1479"/>
      <c r="H243" s="1479"/>
      <c r="I243" s="1480">
        <v>46113.0</v>
      </c>
      <c r="J243" s="1480" t="s">
        <v>761</v>
      </c>
      <c r="K243" s="1470" t="s">
        <v>3083</v>
      </c>
      <c r="L243" s="1464"/>
      <c r="M243" s="1464"/>
      <c r="N243" s="1464"/>
      <c r="O243" s="1464"/>
      <c r="P243" s="1464"/>
      <c r="Q243" s="1464"/>
      <c r="R243" s="1464"/>
      <c r="S243" s="1464"/>
      <c r="T243" s="1464"/>
      <c r="U243" s="1464"/>
      <c r="V243" s="1464"/>
      <c r="W243" s="1464"/>
      <c r="X243" s="1464"/>
      <c r="Y243" s="1464"/>
      <c r="Z243" s="1464"/>
    </row>
    <row r="244">
      <c r="A244" s="1468" t="s">
        <v>4060</v>
      </c>
      <c r="B244" s="1469">
        <v>79900.0</v>
      </c>
      <c r="C244" s="1470">
        <v>2007.0</v>
      </c>
      <c r="D244" s="1464"/>
      <c r="E244" s="1464"/>
      <c r="F244" s="1471" t="s">
        <v>4061</v>
      </c>
      <c r="G244" s="1464"/>
      <c r="H244" s="1464"/>
      <c r="I244" s="1472">
        <v>46113.0</v>
      </c>
      <c r="J244" s="1470" t="s">
        <v>2899</v>
      </c>
      <c r="K244" s="1470" t="s">
        <v>3725</v>
      </c>
      <c r="L244" s="1470" t="s">
        <v>4062</v>
      </c>
      <c r="M244" s="1464"/>
      <c r="N244" s="1464"/>
      <c r="O244" s="1464"/>
      <c r="P244" s="1464"/>
      <c r="Q244" s="1464"/>
      <c r="R244" s="1464"/>
      <c r="S244" s="1464"/>
      <c r="T244" s="1464"/>
      <c r="U244" s="1464"/>
      <c r="V244" s="1464"/>
      <c r="W244" s="1464"/>
      <c r="X244" s="1464"/>
      <c r="Y244" s="1464"/>
      <c r="Z244" s="1464"/>
    </row>
    <row r="245">
      <c r="A245" s="1468" t="s">
        <v>4063</v>
      </c>
      <c r="B245" s="1469">
        <v>80100.0</v>
      </c>
      <c r="C245" s="1470">
        <v>2011.0</v>
      </c>
      <c r="D245" s="1473"/>
      <c r="E245" s="1473"/>
      <c r="F245" s="1471" t="s">
        <v>4064</v>
      </c>
      <c r="G245" s="1464"/>
      <c r="H245" s="1464"/>
      <c r="I245" s="1472">
        <v>46113.0</v>
      </c>
      <c r="J245" s="1470" t="s">
        <v>1190</v>
      </c>
      <c r="K245" s="1470" t="s">
        <v>3699</v>
      </c>
      <c r="L245" s="1479"/>
      <c r="M245" s="1464"/>
      <c r="N245" s="1464"/>
      <c r="O245" s="1464"/>
      <c r="P245" s="1464"/>
      <c r="Q245" s="1464"/>
      <c r="R245" s="1464"/>
      <c r="S245" s="1464"/>
      <c r="T245" s="1464"/>
      <c r="U245" s="1464"/>
      <c r="V245" s="1464"/>
      <c r="W245" s="1464"/>
      <c r="X245" s="1464"/>
      <c r="Y245" s="1464"/>
      <c r="Z245" s="1464"/>
    </row>
    <row r="246">
      <c r="A246" s="1468" t="s">
        <v>4065</v>
      </c>
      <c r="B246" s="1469">
        <v>82200.0</v>
      </c>
      <c r="C246" s="1470">
        <v>2013.0</v>
      </c>
      <c r="D246" s="1473"/>
      <c r="E246" s="1469" t="s">
        <v>3637</v>
      </c>
      <c r="F246" s="1471" t="s">
        <v>4066</v>
      </c>
      <c r="G246" s="1464"/>
      <c r="H246" s="1476" t="s">
        <v>3639</v>
      </c>
      <c r="I246" s="1472">
        <v>46113.0</v>
      </c>
      <c r="J246" s="1472" t="s">
        <v>3715</v>
      </c>
      <c r="K246" s="1470" t="s">
        <v>4001</v>
      </c>
      <c r="L246" s="1470" t="s">
        <v>4067</v>
      </c>
      <c r="M246" s="1464"/>
      <c r="N246" s="1464"/>
      <c r="O246" s="1464"/>
      <c r="P246" s="1464"/>
      <c r="Q246" s="1464"/>
      <c r="R246" s="1464"/>
      <c r="S246" s="1464"/>
      <c r="T246" s="1464"/>
      <c r="U246" s="1464"/>
      <c r="V246" s="1464"/>
      <c r="W246" s="1464"/>
      <c r="X246" s="1464"/>
      <c r="Y246" s="1464"/>
      <c r="Z246" s="1464"/>
    </row>
    <row r="247">
      <c r="A247" s="1468" t="s">
        <v>4068</v>
      </c>
      <c r="B247" s="1469">
        <v>83000.0</v>
      </c>
      <c r="C247" s="1470">
        <v>2007.0</v>
      </c>
      <c r="D247" s="1473"/>
      <c r="E247" s="1473"/>
      <c r="F247" s="1471" t="s">
        <v>4069</v>
      </c>
      <c r="G247" s="1464"/>
      <c r="H247" s="1464"/>
      <c r="I247" s="1472">
        <v>46113.0</v>
      </c>
      <c r="J247" s="1470" t="s">
        <v>2899</v>
      </c>
      <c r="K247" s="1470" t="s">
        <v>3877</v>
      </c>
      <c r="L247" s="1470" t="s">
        <v>4070</v>
      </c>
      <c r="M247" s="1464"/>
      <c r="N247" s="1464"/>
      <c r="O247" s="1464"/>
      <c r="P247" s="1464"/>
      <c r="Q247" s="1464"/>
      <c r="R247" s="1464"/>
      <c r="S247" s="1464"/>
      <c r="T247" s="1464"/>
      <c r="U247" s="1464"/>
      <c r="V247" s="1464"/>
      <c r="W247" s="1464"/>
      <c r="X247" s="1464"/>
      <c r="Y247" s="1464"/>
      <c r="Z247" s="1464"/>
    </row>
    <row r="248">
      <c r="A248" s="1468" t="s">
        <v>4071</v>
      </c>
      <c r="B248" s="1469">
        <v>84000.0</v>
      </c>
      <c r="C248" s="1470">
        <v>2019.0</v>
      </c>
      <c r="D248" s="1473"/>
      <c r="E248" s="1469" t="s">
        <v>3637</v>
      </c>
      <c r="F248" s="1471" t="s">
        <v>4066</v>
      </c>
      <c r="G248" s="1464"/>
      <c r="H248" s="1476" t="s">
        <v>3639</v>
      </c>
      <c r="I248" s="1472">
        <v>46113.0</v>
      </c>
      <c r="J248" s="1472" t="s">
        <v>3695</v>
      </c>
      <c r="K248" s="1470" t="s">
        <v>4001</v>
      </c>
      <c r="L248" s="1464"/>
      <c r="M248" s="1464"/>
      <c r="N248" s="1464"/>
      <c r="O248" s="1464"/>
      <c r="P248" s="1464"/>
      <c r="Q248" s="1464"/>
      <c r="R248" s="1464"/>
      <c r="S248" s="1464"/>
      <c r="T248" s="1464"/>
      <c r="U248" s="1464"/>
      <c r="V248" s="1464"/>
      <c r="W248" s="1464"/>
      <c r="X248" s="1464"/>
      <c r="Y248" s="1464"/>
      <c r="Z248" s="1464"/>
    </row>
    <row r="249">
      <c r="A249" s="1468" t="s">
        <v>4072</v>
      </c>
      <c r="B249" s="1469">
        <v>84000.0</v>
      </c>
      <c r="C249" s="1470">
        <v>2017.0</v>
      </c>
      <c r="D249" s="1473"/>
      <c r="E249" s="1469" t="s">
        <v>3637</v>
      </c>
      <c r="F249" s="1471" t="s">
        <v>4073</v>
      </c>
      <c r="G249" s="1464"/>
      <c r="H249" s="1464"/>
      <c r="I249" s="1472">
        <v>46113.0</v>
      </c>
      <c r="J249" s="1472" t="s">
        <v>3695</v>
      </c>
      <c r="K249" s="1470" t="s">
        <v>3083</v>
      </c>
      <c r="L249" s="1464"/>
      <c r="M249" s="1464"/>
      <c r="N249" s="1464"/>
      <c r="O249" s="1464"/>
      <c r="P249" s="1464"/>
      <c r="Q249" s="1464"/>
      <c r="R249" s="1464"/>
      <c r="S249" s="1464"/>
      <c r="T249" s="1464"/>
      <c r="U249" s="1464"/>
      <c r="V249" s="1464"/>
      <c r="W249" s="1464"/>
      <c r="X249" s="1464"/>
      <c r="Y249" s="1464"/>
      <c r="Z249" s="1464"/>
    </row>
    <row r="250">
      <c r="A250" s="1468" t="s">
        <v>4074</v>
      </c>
      <c r="B250" s="1469">
        <v>83300.0</v>
      </c>
      <c r="C250" s="1470">
        <v>2013.0</v>
      </c>
      <c r="D250" s="1473"/>
      <c r="E250" s="1469" t="s">
        <v>3637</v>
      </c>
      <c r="F250" s="1471" t="s">
        <v>4075</v>
      </c>
      <c r="G250" s="1464"/>
      <c r="H250" s="1464"/>
      <c r="I250" s="1472">
        <v>46113.0</v>
      </c>
      <c r="J250" s="1470" t="s">
        <v>3695</v>
      </c>
      <c r="K250" s="1470" t="s">
        <v>3669</v>
      </c>
      <c r="L250" s="1464"/>
      <c r="M250" s="1464"/>
      <c r="N250" s="1464"/>
      <c r="O250" s="1464"/>
      <c r="P250" s="1464"/>
      <c r="Q250" s="1464"/>
      <c r="R250" s="1464"/>
      <c r="S250" s="1464"/>
      <c r="T250" s="1464"/>
      <c r="U250" s="1464"/>
      <c r="V250" s="1464"/>
      <c r="W250" s="1464"/>
      <c r="X250" s="1464"/>
      <c r="Y250" s="1464"/>
      <c r="Z250" s="1464"/>
    </row>
    <row r="251">
      <c r="A251" s="1468" t="s">
        <v>4056</v>
      </c>
      <c r="B251" s="1469">
        <v>82200.0</v>
      </c>
      <c r="C251" s="1470">
        <v>2019.0</v>
      </c>
      <c r="D251" s="1473"/>
      <c r="E251" s="1473"/>
      <c r="F251" s="1471" t="s">
        <v>4076</v>
      </c>
      <c r="G251" s="1464"/>
      <c r="H251" s="1476" t="s">
        <v>3639</v>
      </c>
      <c r="I251" s="1472">
        <v>46113.0</v>
      </c>
      <c r="J251" s="1472" t="s">
        <v>3797</v>
      </c>
      <c r="K251" s="1470" t="s">
        <v>3794</v>
      </c>
      <c r="L251" s="1470" t="s">
        <v>3948</v>
      </c>
      <c r="M251" s="1464"/>
      <c r="N251" s="1464"/>
      <c r="O251" s="1464"/>
      <c r="P251" s="1464"/>
      <c r="Q251" s="1464"/>
      <c r="R251" s="1464"/>
      <c r="S251" s="1464"/>
      <c r="T251" s="1464"/>
      <c r="U251" s="1464"/>
      <c r="V251" s="1464"/>
      <c r="W251" s="1464"/>
      <c r="X251" s="1464"/>
      <c r="Y251" s="1464"/>
      <c r="Z251" s="1464"/>
    </row>
    <row r="252">
      <c r="A252" s="1468" t="s">
        <v>4068</v>
      </c>
      <c r="B252" s="1469">
        <v>83000.0</v>
      </c>
      <c r="C252" s="1470">
        <v>2007.0</v>
      </c>
      <c r="D252" s="1473"/>
      <c r="E252" s="1473"/>
      <c r="F252" s="1471" t="s">
        <v>4077</v>
      </c>
      <c r="G252" s="1464"/>
      <c r="H252" s="1464"/>
      <c r="I252" s="1472">
        <v>46113.0</v>
      </c>
      <c r="J252" s="1470" t="s">
        <v>1190</v>
      </c>
      <c r="K252" s="1470" t="s">
        <v>3877</v>
      </c>
      <c r="L252" s="1470" t="s">
        <v>4070</v>
      </c>
      <c r="M252" s="1464"/>
      <c r="N252" s="1464"/>
      <c r="O252" s="1464"/>
      <c r="P252" s="1464"/>
      <c r="Q252" s="1464"/>
      <c r="R252" s="1464"/>
      <c r="S252" s="1464"/>
      <c r="T252" s="1464"/>
      <c r="U252" s="1464"/>
      <c r="V252" s="1464"/>
      <c r="W252" s="1464"/>
      <c r="X252" s="1464"/>
      <c r="Y252" s="1464"/>
      <c r="Z252" s="1464"/>
    </row>
    <row r="253">
      <c r="A253" s="1468" t="s">
        <v>4063</v>
      </c>
      <c r="B253" s="1469">
        <v>80100.0</v>
      </c>
      <c r="C253" s="1470">
        <v>2011.0</v>
      </c>
      <c r="D253" s="1473"/>
      <c r="E253" s="1473"/>
      <c r="F253" s="1471" t="s">
        <v>4078</v>
      </c>
      <c r="G253" s="1464"/>
      <c r="H253" s="1464"/>
      <c r="I253" s="1472">
        <v>46113.0</v>
      </c>
      <c r="J253" s="1470" t="s">
        <v>1190</v>
      </c>
      <c r="K253" s="1470" t="s">
        <v>3699</v>
      </c>
      <c r="L253" s="1479"/>
      <c r="M253" s="1464"/>
      <c r="N253" s="1464"/>
      <c r="O253" s="1464"/>
      <c r="P253" s="1464"/>
      <c r="Q253" s="1464"/>
      <c r="R253" s="1464"/>
      <c r="S253" s="1464"/>
      <c r="T253" s="1464"/>
      <c r="U253" s="1464"/>
      <c r="V253" s="1464"/>
      <c r="W253" s="1464"/>
      <c r="X253" s="1464"/>
      <c r="Y253" s="1464"/>
      <c r="Z253" s="1464"/>
    </row>
    <row r="254">
      <c r="A254" s="1468" t="s">
        <v>4079</v>
      </c>
      <c r="B254" s="1469">
        <v>84000.0</v>
      </c>
      <c r="C254" s="1470">
        <v>2016.0</v>
      </c>
      <c r="D254" s="1473"/>
      <c r="E254" s="1473"/>
      <c r="F254" s="1471" t="s">
        <v>4080</v>
      </c>
      <c r="G254" s="1464"/>
      <c r="H254" s="1470" t="s">
        <v>3639</v>
      </c>
      <c r="I254" s="1472">
        <v>46113.0</v>
      </c>
      <c r="J254" s="1470" t="s">
        <v>4044</v>
      </c>
      <c r="K254" s="1470" t="s">
        <v>3977</v>
      </c>
      <c r="L254" s="1464"/>
      <c r="M254" s="1464"/>
      <c r="N254" s="1464"/>
      <c r="O254" s="1464"/>
      <c r="P254" s="1464"/>
      <c r="Q254" s="1464"/>
      <c r="R254" s="1464"/>
      <c r="S254" s="1464"/>
      <c r="T254" s="1464"/>
      <c r="U254" s="1464"/>
      <c r="V254" s="1464"/>
      <c r="W254" s="1464"/>
      <c r="X254" s="1464"/>
      <c r="Y254" s="1464"/>
      <c r="Z254" s="1464"/>
    </row>
    <row r="255">
      <c r="A255" s="1474" t="s">
        <v>4081</v>
      </c>
      <c r="B255" s="1475">
        <v>84000.0</v>
      </c>
      <c r="C255" s="1476">
        <v>2021.0</v>
      </c>
      <c r="D255" s="1475" t="s">
        <v>3636</v>
      </c>
      <c r="E255" s="1475" t="s">
        <v>3637</v>
      </c>
      <c r="F255" s="1477" t="s">
        <v>4082</v>
      </c>
      <c r="G255" s="1479"/>
      <c r="H255" s="1479"/>
      <c r="I255" s="1480">
        <v>46113.0</v>
      </c>
      <c r="J255" s="1480" t="s">
        <v>761</v>
      </c>
      <c r="K255" s="1470" t="s">
        <v>3820</v>
      </c>
      <c r="L255" s="1464"/>
      <c r="M255" s="1464"/>
      <c r="N255" s="1464"/>
      <c r="O255" s="1464"/>
      <c r="P255" s="1464"/>
      <c r="Q255" s="1464"/>
      <c r="R255" s="1464"/>
      <c r="S255" s="1464"/>
      <c r="T255" s="1464"/>
      <c r="U255" s="1464"/>
      <c r="V255" s="1464"/>
      <c r="W255" s="1464"/>
      <c r="X255" s="1464"/>
      <c r="Y255" s="1464"/>
      <c r="Z255" s="1464"/>
    </row>
    <row r="256">
      <c r="A256" s="1468" t="s">
        <v>4072</v>
      </c>
      <c r="B256" s="1469">
        <v>84000.0</v>
      </c>
      <c r="C256" s="1470">
        <v>2017.0</v>
      </c>
      <c r="D256" s="1473"/>
      <c r="E256" s="1469" t="s">
        <v>3637</v>
      </c>
      <c r="F256" s="1471" t="s">
        <v>4083</v>
      </c>
      <c r="G256" s="1464"/>
      <c r="H256" s="1464"/>
      <c r="I256" s="1472">
        <v>46113.0</v>
      </c>
      <c r="J256" s="1472" t="s">
        <v>3695</v>
      </c>
      <c r="K256" s="1470" t="s">
        <v>3820</v>
      </c>
      <c r="L256" s="1464"/>
      <c r="M256" s="1464"/>
      <c r="N256" s="1464"/>
      <c r="O256" s="1464"/>
      <c r="P256" s="1464"/>
      <c r="Q256" s="1464"/>
      <c r="R256" s="1464"/>
      <c r="S256" s="1464"/>
      <c r="T256" s="1464"/>
      <c r="U256" s="1464"/>
      <c r="V256" s="1464"/>
      <c r="W256" s="1464"/>
      <c r="X256" s="1464"/>
      <c r="Y256" s="1464"/>
      <c r="Z256" s="1464"/>
    </row>
    <row r="257">
      <c r="A257" s="1468" t="s">
        <v>4084</v>
      </c>
      <c r="B257" s="1469">
        <v>78000.0</v>
      </c>
      <c r="C257" s="1470">
        <v>2012.0</v>
      </c>
      <c r="D257" s="1473"/>
      <c r="E257" s="1469" t="s">
        <v>3637</v>
      </c>
      <c r="F257" s="1471" t="s">
        <v>4085</v>
      </c>
      <c r="G257" s="1464"/>
      <c r="H257" s="1464"/>
      <c r="I257" s="1472">
        <v>46113.0</v>
      </c>
      <c r="J257" s="1470" t="s">
        <v>1116</v>
      </c>
      <c r="K257" s="1470" t="s">
        <v>3820</v>
      </c>
      <c r="L257" s="1479"/>
      <c r="M257" s="1464"/>
      <c r="N257" s="1464"/>
      <c r="O257" s="1464"/>
      <c r="P257" s="1464"/>
      <c r="Q257" s="1464"/>
      <c r="R257" s="1464"/>
      <c r="S257" s="1464"/>
      <c r="T257" s="1464"/>
      <c r="U257" s="1464"/>
      <c r="V257" s="1464"/>
      <c r="W257" s="1464"/>
      <c r="X257" s="1464"/>
      <c r="Y257" s="1464"/>
      <c r="Z257" s="1464"/>
    </row>
    <row r="258">
      <c r="A258" s="1468" t="s">
        <v>4071</v>
      </c>
      <c r="B258" s="1469">
        <v>82200.0</v>
      </c>
      <c r="C258" s="1470">
        <v>2019.0</v>
      </c>
      <c r="D258" s="1473"/>
      <c r="E258" s="1469" t="s">
        <v>3637</v>
      </c>
      <c r="F258" s="1471" t="s">
        <v>4086</v>
      </c>
      <c r="G258" s="1464"/>
      <c r="H258" s="1470" t="s">
        <v>3639</v>
      </c>
      <c r="I258" s="1472">
        <v>46113.0</v>
      </c>
      <c r="J258" s="1472" t="s">
        <v>3695</v>
      </c>
      <c r="K258" s="1470" t="s">
        <v>4001</v>
      </c>
      <c r="L258" s="1464"/>
      <c r="M258" s="1464"/>
      <c r="N258" s="1464"/>
      <c r="O258" s="1464"/>
      <c r="P258" s="1464"/>
      <c r="Q258" s="1464"/>
      <c r="R258" s="1464"/>
      <c r="S258" s="1464"/>
      <c r="T258" s="1464"/>
      <c r="U258" s="1464"/>
      <c r="V258" s="1464"/>
      <c r="W258" s="1464"/>
      <c r="X258" s="1464"/>
      <c r="Y258" s="1464"/>
      <c r="Z258" s="1464"/>
    </row>
    <row r="259">
      <c r="A259" s="1468" t="s">
        <v>4065</v>
      </c>
      <c r="B259" s="1469">
        <v>82200.0</v>
      </c>
      <c r="C259" s="1470">
        <v>2013.0</v>
      </c>
      <c r="D259" s="1473"/>
      <c r="E259" s="1469" t="s">
        <v>3637</v>
      </c>
      <c r="F259" s="1471" t="s">
        <v>4087</v>
      </c>
      <c r="G259" s="1464"/>
      <c r="H259" s="1470" t="s">
        <v>3639</v>
      </c>
      <c r="I259" s="1472">
        <v>46113.0</v>
      </c>
      <c r="J259" s="1472" t="s">
        <v>3715</v>
      </c>
      <c r="K259" s="1470" t="s">
        <v>4001</v>
      </c>
      <c r="L259" s="1470" t="s">
        <v>4067</v>
      </c>
      <c r="M259" s="1464"/>
      <c r="N259" s="1464"/>
      <c r="O259" s="1464"/>
      <c r="P259" s="1464"/>
      <c r="Q259" s="1464"/>
      <c r="R259" s="1464"/>
      <c r="S259" s="1464"/>
      <c r="T259" s="1464"/>
      <c r="U259" s="1464"/>
      <c r="V259" s="1464"/>
      <c r="W259" s="1464"/>
      <c r="X259" s="1464"/>
      <c r="Y259" s="1464"/>
      <c r="Z259" s="1464"/>
    </row>
    <row r="260">
      <c r="A260" s="1468" t="s">
        <v>4060</v>
      </c>
      <c r="B260" s="1469">
        <v>79900.0</v>
      </c>
      <c r="C260" s="1470">
        <v>2007.0</v>
      </c>
      <c r="D260" s="1473"/>
      <c r="E260" s="1473"/>
      <c r="F260" s="1471" t="s">
        <v>4064</v>
      </c>
      <c r="G260" s="1464"/>
      <c r="H260" s="1464"/>
      <c r="I260" s="1472">
        <v>46113.0</v>
      </c>
      <c r="J260" s="1470" t="s">
        <v>1190</v>
      </c>
      <c r="K260" s="1470" t="s">
        <v>3725</v>
      </c>
      <c r="L260" s="1464"/>
      <c r="M260" s="1464"/>
      <c r="N260" s="1464"/>
      <c r="O260" s="1464"/>
      <c r="P260" s="1464"/>
      <c r="Q260" s="1464"/>
      <c r="R260" s="1464"/>
      <c r="S260" s="1464"/>
      <c r="T260" s="1464"/>
      <c r="U260" s="1464"/>
      <c r="V260" s="1464"/>
      <c r="W260" s="1464"/>
      <c r="X260" s="1464"/>
      <c r="Y260" s="1464"/>
      <c r="Z260" s="1464"/>
    </row>
    <row r="261">
      <c r="A261" s="1468" t="s">
        <v>4074</v>
      </c>
      <c r="B261" s="1469">
        <v>83300.0</v>
      </c>
      <c r="C261" s="1470">
        <v>2013.0</v>
      </c>
      <c r="D261" s="1473"/>
      <c r="E261" s="1469" t="s">
        <v>3637</v>
      </c>
      <c r="F261" s="1471" t="s">
        <v>4086</v>
      </c>
      <c r="G261" s="1464"/>
      <c r="H261" s="1470" t="s">
        <v>3639</v>
      </c>
      <c r="I261" s="1472">
        <v>46113.0</v>
      </c>
      <c r="J261" s="1470" t="s">
        <v>3695</v>
      </c>
      <c r="K261" s="1470" t="s">
        <v>3669</v>
      </c>
      <c r="L261" s="1470" t="s">
        <v>4088</v>
      </c>
      <c r="M261" s="1464"/>
      <c r="N261" s="1464"/>
      <c r="O261" s="1464"/>
      <c r="P261" s="1464"/>
      <c r="Q261" s="1464"/>
      <c r="R261" s="1464"/>
      <c r="S261" s="1464"/>
      <c r="T261" s="1464"/>
      <c r="U261" s="1464"/>
      <c r="V261" s="1464"/>
      <c r="W261" s="1464"/>
      <c r="X261" s="1464"/>
      <c r="Y261" s="1464"/>
      <c r="Z261" s="1464"/>
    </row>
    <row r="262">
      <c r="A262" s="1468" t="s">
        <v>4079</v>
      </c>
      <c r="B262" s="1469">
        <v>84000.0</v>
      </c>
      <c r="C262" s="1470">
        <v>2016.0</v>
      </c>
      <c r="D262" s="1473"/>
      <c r="E262" s="1473"/>
      <c r="F262" s="1471" t="s">
        <v>4089</v>
      </c>
      <c r="G262" s="1464"/>
      <c r="H262" s="1470" t="s">
        <v>3639</v>
      </c>
      <c r="I262" s="1472">
        <v>46113.0</v>
      </c>
      <c r="J262" s="1472" t="s">
        <v>4044</v>
      </c>
      <c r="K262" s="1470" t="s">
        <v>3977</v>
      </c>
      <c r="L262" s="1464"/>
      <c r="M262" s="1464"/>
      <c r="N262" s="1464"/>
      <c r="O262" s="1464"/>
      <c r="P262" s="1464"/>
      <c r="Q262" s="1464"/>
      <c r="R262" s="1464"/>
      <c r="S262" s="1464"/>
      <c r="T262" s="1464"/>
      <c r="U262" s="1464"/>
      <c r="V262" s="1464"/>
      <c r="W262" s="1464"/>
      <c r="X262" s="1464"/>
      <c r="Y262" s="1464"/>
      <c r="Z262" s="1464"/>
    </row>
    <row r="263">
      <c r="A263" s="1468" t="s">
        <v>4084</v>
      </c>
      <c r="B263" s="1469">
        <v>78000.0</v>
      </c>
      <c r="C263" s="1470">
        <v>2012.0</v>
      </c>
      <c r="D263" s="1473"/>
      <c r="E263" s="1469" t="s">
        <v>3637</v>
      </c>
      <c r="F263" s="1471" t="s">
        <v>4090</v>
      </c>
      <c r="G263" s="1464"/>
      <c r="H263" s="1464"/>
      <c r="I263" s="1472">
        <v>46113.0</v>
      </c>
      <c r="J263" s="1472" t="s">
        <v>1116</v>
      </c>
      <c r="K263" s="1470" t="s">
        <v>3820</v>
      </c>
      <c r="L263" s="1479"/>
      <c r="M263" s="1464"/>
      <c r="N263" s="1464"/>
      <c r="O263" s="1464"/>
      <c r="P263" s="1464"/>
      <c r="Q263" s="1464"/>
      <c r="R263" s="1464"/>
      <c r="S263" s="1464"/>
      <c r="T263" s="1464"/>
      <c r="U263" s="1464"/>
      <c r="V263" s="1464"/>
      <c r="W263" s="1464"/>
      <c r="X263" s="1464"/>
      <c r="Y263" s="1464"/>
      <c r="Z263" s="1464"/>
    </row>
    <row r="264">
      <c r="A264" s="1488" t="s">
        <v>4091</v>
      </c>
      <c r="B264" s="1486">
        <v>91000.0</v>
      </c>
      <c r="C264" s="1487">
        <v>2026.0</v>
      </c>
      <c r="D264" s="1492"/>
      <c r="E264" s="1486" t="s">
        <v>666</v>
      </c>
      <c r="F264" s="1488" t="s">
        <v>4092</v>
      </c>
      <c r="G264" s="1489"/>
      <c r="H264" s="1489"/>
      <c r="I264" s="1490">
        <v>46143.0</v>
      </c>
      <c r="J264" s="1487" t="s">
        <v>3192</v>
      </c>
      <c r="K264" s="1487" t="s">
        <v>3192</v>
      </c>
      <c r="L264" s="1464"/>
      <c r="M264" s="1464"/>
      <c r="N264" s="1464"/>
      <c r="O264" s="1464"/>
      <c r="P264" s="1464"/>
      <c r="Q264" s="1464"/>
      <c r="R264" s="1464"/>
      <c r="S264" s="1464"/>
      <c r="T264" s="1464"/>
      <c r="U264" s="1464"/>
      <c r="V264" s="1464"/>
      <c r="W264" s="1464"/>
      <c r="X264" s="1464"/>
      <c r="Y264" s="1464"/>
      <c r="Z264" s="1464"/>
    </row>
    <row r="265">
      <c r="A265" s="1468" t="s">
        <v>4093</v>
      </c>
      <c r="B265" s="1469">
        <v>83000.0</v>
      </c>
      <c r="C265" s="1470">
        <v>2006.0</v>
      </c>
      <c r="D265" s="1473"/>
      <c r="E265" s="1473"/>
      <c r="F265" s="1471" t="s">
        <v>4094</v>
      </c>
      <c r="G265" s="1464"/>
      <c r="H265" s="1464"/>
      <c r="I265" s="1472">
        <v>46143.0</v>
      </c>
      <c r="J265" s="1472" t="s">
        <v>2899</v>
      </c>
      <c r="K265" s="1470" t="s">
        <v>3877</v>
      </c>
      <c r="L265" s="1470" t="s">
        <v>4095</v>
      </c>
      <c r="M265" s="1497"/>
      <c r="N265" s="1497"/>
      <c r="O265" s="1497"/>
      <c r="P265" s="1497"/>
      <c r="Q265" s="1497"/>
      <c r="R265" s="1497"/>
      <c r="S265" s="1497"/>
      <c r="T265" s="1497"/>
      <c r="U265" s="1497"/>
      <c r="V265" s="1497"/>
      <c r="W265" s="1497"/>
      <c r="X265" s="1497"/>
      <c r="Y265" s="1497"/>
      <c r="Z265" s="1497"/>
    </row>
    <row r="266">
      <c r="A266" s="1474" t="s">
        <v>3384</v>
      </c>
      <c r="B266" s="1475">
        <v>84000.0</v>
      </c>
      <c r="C266" s="1476">
        <v>2020.0</v>
      </c>
      <c r="D266" s="1473"/>
      <c r="E266" s="1469" t="s">
        <v>3637</v>
      </c>
      <c r="F266" s="1477" t="s">
        <v>4096</v>
      </c>
      <c r="G266" s="1464"/>
      <c r="H266" s="1470" t="s">
        <v>3639</v>
      </c>
      <c r="I266" s="1480">
        <v>46143.0</v>
      </c>
      <c r="J266" s="1476" t="s">
        <v>3640</v>
      </c>
      <c r="K266" s="1470" t="s">
        <v>3659</v>
      </c>
      <c r="L266" s="1464"/>
      <c r="M266" s="1464"/>
      <c r="N266" s="1464"/>
      <c r="O266" s="1464"/>
      <c r="P266" s="1464"/>
      <c r="Q266" s="1464"/>
      <c r="R266" s="1464"/>
      <c r="S266" s="1464"/>
      <c r="T266" s="1464"/>
      <c r="U266" s="1464"/>
      <c r="V266" s="1464"/>
      <c r="W266" s="1464"/>
      <c r="X266" s="1464"/>
      <c r="Y266" s="1464"/>
      <c r="Z266" s="1464"/>
    </row>
    <row r="267">
      <c r="A267" s="1468" t="s">
        <v>4093</v>
      </c>
      <c r="B267" s="1469">
        <v>83000.0</v>
      </c>
      <c r="C267" s="1470">
        <v>2006.0</v>
      </c>
      <c r="D267" s="1473"/>
      <c r="E267" s="1473"/>
      <c r="F267" s="1471" t="s">
        <v>4097</v>
      </c>
      <c r="G267" s="1464"/>
      <c r="H267" s="1464"/>
      <c r="I267" s="1472">
        <v>46143.0</v>
      </c>
      <c r="J267" s="1472" t="s">
        <v>2899</v>
      </c>
      <c r="K267" s="1470" t="s">
        <v>3877</v>
      </c>
      <c r="L267" s="1470" t="s">
        <v>4095</v>
      </c>
      <c r="M267" s="1464"/>
      <c r="N267" s="1464"/>
      <c r="O267" s="1464"/>
      <c r="P267" s="1464"/>
      <c r="Q267" s="1464"/>
      <c r="R267" s="1464"/>
      <c r="S267" s="1464"/>
      <c r="T267" s="1464"/>
      <c r="U267" s="1464"/>
      <c r="V267" s="1464"/>
      <c r="W267" s="1464"/>
      <c r="X267" s="1464"/>
      <c r="Y267" s="1464"/>
      <c r="Z267" s="1464"/>
    </row>
    <row r="268">
      <c r="A268" s="1474" t="s">
        <v>3384</v>
      </c>
      <c r="B268" s="1475">
        <v>84000.0</v>
      </c>
      <c r="C268" s="1476">
        <v>2020.0</v>
      </c>
      <c r="D268" s="1473"/>
      <c r="E268" s="1469" t="s">
        <v>3637</v>
      </c>
      <c r="F268" s="1477" t="s">
        <v>4098</v>
      </c>
      <c r="G268" s="1464"/>
      <c r="H268" s="1470" t="s">
        <v>3639</v>
      </c>
      <c r="I268" s="1480">
        <v>46143.0</v>
      </c>
      <c r="J268" s="1476" t="s">
        <v>3640</v>
      </c>
      <c r="K268" s="1470" t="s">
        <v>3659</v>
      </c>
      <c r="L268" s="1470" t="s">
        <v>4099</v>
      </c>
      <c r="M268" s="1464"/>
      <c r="N268" s="1464"/>
      <c r="O268" s="1464"/>
      <c r="P268" s="1464"/>
      <c r="Q268" s="1464"/>
      <c r="R268" s="1464"/>
      <c r="S268" s="1464"/>
      <c r="T268" s="1464"/>
      <c r="U268" s="1464"/>
      <c r="V268" s="1464"/>
      <c r="W268" s="1464"/>
      <c r="X268" s="1464"/>
      <c r="Y268" s="1464"/>
      <c r="Z268" s="1464"/>
    </row>
    <row r="269">
      <c r="A269" s="1468" t="s">
        <v>3380</v>
      </c>
      <c r="B269" s="1469">
        <v>84000.0</v>
      </c>
      <c r="C269" s="1470">
        <v>2019.0</v>
      </c>
      <c r="D269" s="1473"/>
      <c r="E269" s="1469" t="s">
        <v>3637</v>
      </c>
      <c r="F269" s="1471" t="s">
        <v>4100</v>
      </c>
      <c r="G269" s="1479"/>
      <c r="H269" s="1476" t="s">
        <v>3639</v>
      </c>
      <c r="I269" s="1472">
        <v>46174.0</v>
      </c>
      <c r="J269" s="1470" t="s">
        <v>4101</v>
      </c>
      <c r="K269" s="1470" t="s">
        <v>3839</v>
      </c>
      <c r="L269" s="1479"/>
      <c r="M269" s="1479"/>
      <c r="N269" s="1479"/>
      <c r="O269" s="1479"/>
      <c r="P269" s="1479"/>
      <c r="Q269" s="1479"/>
      <c r="R269" s="1479"/>
      <c r="S269" s="1479"/>
      <c r="T269" s="1479"/>
      <c r="U269" s="1479"/>
      <c r="V269" s="1479"/>
      <c r="W269" s="1479"/>
      <c r="X269" s="1479"/>
      <c r="Y269" s="1479"/>
      <c r="Z269" s="1479"/>
    </row>
    <row r="270">
      <c r="A270" s="1474" t="s">
        <v>4102</v>
      </c>
      <c r="B270" s="1475">
        <v>84000.0</v>
      </c>
      <c r="C270" s="1476">
        <v>2021.0</v>
      </c>
      <c r="D270" s="1475" t="s">
        <v>3636</v>
      </c>
      <c r="E270" s="1475" t="s">
        <v>3637</v>
      </c>
      <c r="F270" s="1471" t="s">
        <v>4103</v>
      </c>
      <c r="G270" s="1464"/>
      <c r="H270" s="1464"/>
      <c r="I270" s="1480">
        <v>46174.0</v>
      </c>
      <c r="J270" s="1476" t="s">
        <v>3786</v>
      </c>
      <c r="K270" s="1470" t="s">
        <v>3652</v>
      </c>
      <c r="L270" s="1464"/>
      <c r="M270" s="1479"/>
      <c r="N270" s="1479"/>
      <c r="O270" s="1479"/>
      <c r="P270" s="1479"/>
      <c r="Q270" s="1479"/>
      <c r="R270" s="1479"/>
      <c r="S270" s="1479"/>
      <c r="T270" s="1479"/>
      <c r="U270" s="1479"/>
      <c r="V270" s="1479"/>
      <c r="W270" s="1479"/>
      <c r="X270" s="1479"/>
      <c r="Y270" s="1479"/>
      <c r="Z270" s="1479"/>
    </row>
    <row r="271">
      <c r="A271" s="1468" t="s">
        <v>3380</v>
      </c>
      <c r="B271" s="1469">
        <v>84000.0</v>
      </c>
      <c r="C271" s="1470">
        <v>2019.0</v>
      </c>
      <c r="D271" s="1473"/>
      <c r="E271" s="1469" t="s">
        <v>3637</v>
      </c>
      <c r="F271" s="1471" t="s">
        <v>4104</v>
      </c>
      <c r="G271" s="1479"/>
      <c r="H271" s="1476" t="s">
        <v>3639</v>
      </c>
      <c r="I271" s="1472">
        <v>46174.0</v>
      </c>
      <c r="J271" s="1470" t="s">
        <v>4101</v>
      </c>
      <c r="K271" s="1470" t="s">
        <v>3839</v>
      </c>
      <c r="L271" s="1479"/>
      <c r="M271" s="1479"/>
      <c r="N271" s="1479"/>
      <c r="O271" s="1479"/>
      <c r="P271" s="1479"/>
      <c r="Q271" s="1479"/>
      <c r="R271" s="1479"/>
      <c r="S271" s="1479"/>
      <c r="T271" s="1479"/>
      <c r="U271" s="1479"/>
      <c r="V271" s="1479"/>
      <c r="W271" s="1479"/>
      <c r="X271" s="1479"/>
      <c r="Y271" s="1479"/>
      <c r="Z271" s="1479"/>
    </row>
    <row r="272">
      <c r="A272" s="1468" t="s">
        <v>4105</v>
      </c>
      <c r="B272" s="1469">
        <v>84600.0</v>
      </c>
      <c r="C272" s="1470">
        <v>2007.0</v>
      </c>
      <c r="D272" s="1473"/>
      <c r="E272" s="1473"/>
      <c r="F272" s="1471" t="s">
        <v>4106</v>
      </c>
      <c r="G272" s="1464"/>
      <c r="H272" s="1464"/>
      <c r="I272" s="1472">
        <v>46174.0</v>
      </c>
      <c r="J272" s="1470" t="s">
        <v>1362</v>
      </c>
      <c r="K272" s="1470" t="s">
        <v>4107</v>
      </c>
      <c r="L272" s="1464"/>
      <c r="M272" s="1464"/>
      <c r="N272" s="1464"/>
      <c r="O272" s="1464"/>
      <c r="P272" s="1464"/>
      <c r="Q272" s="1464"/>
      <c r="R272" s="1464"/>
      <c r="S272" s="1464"/>
      <c r="T272" s="1464"/>
      <c r="U272" s="1464"/>
      <c r="V272" s="1464"/>
      <c r="W272" s="1464"/>
      <c r="X272" s="1464"/>
      <c r="Y272" s="1464"/>
      <c r="Z272" s="1464"/>
    </row>
    <row r="273">
      <c r="A273" s="1468" t="s">
        <v>4108</v>
      </c>
      <c r="B273" s="1469">
        <v>84000.0</v>
      </c>
      <c r="C273" s="1470">
        <v>2016.0</v>
      </c>
      <c r="D273" s="1473"/>
      <c r="E273" s="1473"/>
      <c r="F273" s="1471" t="s">
        <v>4109</v>
      </c>
      <c r="G273" s="1464"/>
      <c r="H273" s="1470" t="s">
        <v>3639</v>
      </c>
      <c r="I273" s="1472">
        <v>46174.0</v>
      </c>
      <c r="J273" s="1470" t="s">
        <v>4044</v>
      </c>
      <c r="K273" s="1470" t="s">
        <v>3977</v>
      </c>
      <c r="L273" s="1464"/>
      <c r="M273" s="1464"/>
      <c r="N273" s="1464"/>
      <c r="O273" s="1464"/>
      <c r="P273" s="1464"/>
      <c r="Q273" s="1464"/>
      <c r="R273" s="1464"/>
      <c r="S273" s="1464"/>
      <c r="T273" s="1464"/>
      <c r="U273" s="1464"/>
      <c r="V273" s="1464"/>
      <c r="W273" s="1464"/>
      <c r="X273" s="1464"/>
      <c r="Y273" s="1464"/>
      <c r="Z273" s="1464"/>
    </row>
    <row r="274">
      <c r="A274" s="1468" t="s">
        <v>4110</v>
      </c>
      <c r="B274" s="1469">
        <v>84000.0</v>
      </c>
      <c r="C274" s="1470">
        <v>2016.0</v>
      </c>
      <c r="D274" s="1473"/>
      <c r="E274" s="1473"/>
      <c r="F274" s="1471" t="s">
        <v>4111</v>
      </c>
      <c r="G274" s="1464"/>
      <c r="H274" s="1470" t="s">
        <v>3639</v>
      </c>
      <c r="I274" s="1472">
        <v>46174.0</v>
      </c>
      <c r="J274" s="1470" t="s">
        <v>4044</v>
      </c>
      <c r="K274" s="1470" t="s">
        <v>3659</v>
      </c>
      <c r="L274" s="1464"/>
      <c r="M274" s="1464"/>
      <c r="N274" s="1464"/>
      <c r="O274" s="1464"/>
      <c r="P274" s="1464"/>
      <c r="Q274" s="1464"/>
      <c r="R274" s="1464"/>
      <c r="S274" s="1464"/>
      <c r="T274" s="1464"/>
      <c r="U274" s="1464"/>
      <c r="V274" s="1464"/>
      <c r="W274" s="1464"/>
      <c r="X274" s="1464"/>
      <c r="Y274" s="1464"/>
      <c r="Z274" s="1464"/>
    </row>
    <row r="275">
      <c r="A275" s="1468" t="s">
        <v>4112</v>
      </c>
      <c r="B275" s="1469">
        <v>84600.0</v>
      </c>
      <c r="C275" s="1470">
        <v>2007.0</v>
      </c>
      <c r="D275" s="1473"/>
      <c r="E275" s="1473"/>
      <c r="F275" s="1471" t="s">
        <v>4113</v>
      </c>
      <c r="G275" s="1464"/>
      <c r="H275" s="1464"/>
      <c r="I275" s="1472">
        <v>46174.0</v>
      </c>
      <c r="J275" s="1470" t="s">
        <v>1362</v>
      </c>
      <c r="K275" s="1470" t="s">
        <v>4107</v>
      </c>
      <c r="L275" s="1464"/>
      <c r="M275" s="1464"/>
      <c r="N275" s="1464"/>
      <c r="O275" s="1464"/>
      <c r="P275" s="1464"/>
      <c r="Q275" s="1464"/>
      <c r="R275" s="1464"/>
      <c r="S275" s="1464"/>
      <c r="T275" s="1464"/>
      <c r="U275" s="1464"/>
      <c r="V275" s="1464"/>
      <c r="W275" s="1464"/>
      <c r="X275" s="1464"/>
      <c r="Y275" s="1464"/>
      <c r="Z275" s="1464"/>
    </row>
    <row r="276">
      <c r="A276" s="1474" t="s">
        <v>4102</v>
      </c>
      <c r="B276" s="1475">
        <v>84000.0</v>
      </c>
      <c r="C276" s="1476">
        <v>2021.0</v>
      </c>
      <c r="D276" s="1481"/>
      <c r="E276" s="1475" t="s">
        <v>3637</v>
      </c>
      <c r="F276" s="1477" t="s">
        <v>4114</v>
      </c>
      <c r="G276" s="1479"/>
      <c r="H276" s="1479"/>
      <c r="I276" s="1478">
        <v>46174.0</v>
      </c>
      <c r="J276" s="1476" t="s">
        <v>3786</v>
      </c>
      <c r="K276" s="1476" t="s">
        <v>3652</v>
      </c>
      <c r="L276" s="1479"/>
      <c r="M276" s="1464"/>
      <c r="N276" s="1464"/>
      <c r="O276" s="1464"/>
      <c r="P276" s="1464"/>
      <c r="Q276" s="1464"/>
      <c r="R276" s="1464"/>
      <c r="S276" s="1464"/>
      <c r="T276" s="1464"/>
      <c r="U276" s="1464"/>
      <c r="V276" s="1464"/>
      <c r="W276" s="1464"/>
      <c r="X276" s="1464"/>
      <c r="Y276" s="1464"/>
      <c r="Z276" s="1464"/>
    </row>
    <row r="277">
      <c r="A277" s="1468" t="s">
        <v>3380</v>
      </c>
      <c r="B277" s="1469">
        <v>84000.0</v>
      </c>
      <c r="C277" s="1470">
        <v>2019.0</v>
      </c>
      <c r="D277" s="1473"/>
      <c r="E277" s="1469" t="s">
        <v>3637</v>
      </c>
      <c r="F277" s="1471" t="s">
        <v>4115</v>
      </c>
      <c r="G277" s="1464"/>
      <c r="H277" s="1476" t="s">
        <v>3639</v>
      </c>
      <c r="I277" s="1472">
        <v>46174.0</v>
      </c>
      <c r="J277" s="1470" t="s">
        <v>4101</v>
      </c>
      <c r="K277" s="1470" t="s">
        <v>3839</v>
      </c>
      <c r="L277" s="1464"/>
      <c r="M277" s="1464"/>
      <c r="N277" s="1464"/>
      <c r="O277" s="1464"/>
      <c r="P277" s="1464"/>
      <c r="Q277" s="1464"/>
      <c r="R277" s="1464"/>
      <c r="S277" s="1464"/>
      <c r="T277" s="1464"/>
      <c r="U277" s="1464"/>
      <c r="V277" s="1464"/>
      <c r="W277" s="1464"/>
      <c r="X277" s="1464"/>
      <c r="Y277" s="1464"/>
      <c r="Z277" s="1464"/>
    </row>
    <row r="278">
      <c r="A278" s="1468" t="s">
        <v>4108</v>
      </c>
      <c r="B278" s="1469">
        <v>84000.0</v>
      </c>
      <c r="C278" s="1470">
        <v>2016.0</v>
      </c>
      <c r="D278" s="1473"/>
      <c r="E278" s="1473"/>
      <c r="F278" s="1471" t="s">
        <v>4116</v>
      </c>
      <c r="G278" s="1464"/>
      <c r="H278" s="1470" t="s">
        <v>3639</v>
      </c>
      <c r="I278" s="1472">
        <v>46174.0</v>
      </c>
      <c r="J278" s="1472" t="s">
        <v>4044</v>
      </c>
      <c r="K278" s="1470" t="s">
        <v>3977</v>
      </c>
      <c r="L278" s="1464"/>
      <c r="M278" s="1464"/>
      <c r="N278" s="1464"/>
      <c r="O278" s="1464"/>
      <c r="P278" s="1464"/>
      <c r="Q278" s="1464"/>
      <c r="R278" s="1464"/>
      <c r="S278" s="1464"/>
      <c r="T278" s="1464"/>
      <c r="U278" s="1464"/>
      <c r="V278" s="1464"/>
      <c r="W278" s="1464"/>
      <c r="X278" s="1464"/>
      <c r="Y278" s="1464"/>
      <c r="Z278" s="1464"/>
    </row>
    <row r="279">
      <c r="A279" s="1468" t="s">
        <v>4110</v>
      </c>
      <c r="B279" s="1469">
        <v>84000.0</v>
      </c>
      <c r="C279" s="1470">
        <v>2016.0</v>
      </c>
      <c r="D279" s="1473"/>
      <c r="E279" s="1473"/>
      <c r="F279" s="1471" t="s">
        <v>4116</v>
      </c>
      <c r="G279" s="1464"/>
      <c r="H279" s="1470" t="s">
        <v>3639</v>
      </c>
      <c r="I279" s="1472">
        <v>46174.0</v>
      </c>
      <c r="J279" s="1470" t="s">
        <v>4044</v>
      </c>
      <c r="K279" s="1470" t="s">
        <v>3659</v>
      </c>
      <c r="L279" s="1464"/>
      <c r="M279" s="1464"/>
      <c r="N279" s="1464"/>
      <c r="O279" s="1464"/>
      <c r="P279" s="1464"/>
      <c r="Q279" s="1464"/>
      <c r="R279" s="1464"/>
      <c r="S279" s="1464"/>
      <c r="T279" s="1464"/>
      <c r="U279" s="1464"/>
      <c r="V279" s="1464"/>
      <c r="W279" s="1464"/>
      <c r="X279" s="1464"/>
      <c r="Y279" s="1464"/>
      <c r="Z279" s="1464"/>
    </row>
    <row r="280">
      <c r="A280" s="1488" t="s">
        <v>4117</v>
      </c>
      <c r="B280" s="1486">
        <v>91000.0</v>
      </c>
      <c r="C280" s="1487">
        <v>2026.0</v>
      </c>
      <c r="D280" s="1492"/>
      <c r="E280" s="1486" t="s">
        <v>666</v>
      </c>
      <c r="F280" s="1488" t="s">
        <v>4118</v>
      </c>
      <c r="G280" s="1489"/>
      <c r="H280" s="1489"/>
      <c r="I280" s="1490">
        <v>46204.0</v>
      </c>
      <c r="J280" s="1487" t="s">
        <v>3192</v>
      </c>
      <c r="K280" s="1487" t="s">
        <v>3192</v>
      </c>
      <c r="L280" s="1464"/>
      <c r="M280" s="1464"/>
      <c r="N280" s="1464"/>
      <c r="O280" s="1464"/>
      <c r="P280" s="1464"/>
      <c r="Q280" s="1464"/>
      <c r="R280" s="1464"/>
      <c r="S280" s="1464"/>
      <c r="T280" s="1464"/>
      <c r="U280" s="1464"/>
      <c r="V280" s="1464"/>
      <c r="W280" s="1464"/>
      <c r="X280" s="1464"/>
      <c r="Y280" s="1464"/>
      <c r="Z280" s="1464"/>
    </row>
    <row r="281">
      <c r="A281" s="1474" t="s">
        <v>4119</v>
      </c>
      <c r="B281" s="1475">
        <v>84000.0</v>
      </c>
      <c r="C281" s="1476">
        <v>2021.0</v>
      </c>
      <c r="D281" s="1481"/>
      <c r="E281" s="1475" t="s">
        <v>666</v>
      </c>
      <c r="F281" s="1474" t="s">
        <v>4120</v>
      </c>
      <c r="G281" s="1479"/>
      <c r="H281" s="1476" t="s">
        <v>3639</v>
      </c>
      <c r="I281" s="1480">
        <v>46204.0</v>
      </c>
      <c r="J281" s="1480" t="s">
        <v>3797</v>
      </c>
      <c r="K281" s="1476" t="s">
        <v>4121</v>
      </c>
      <c r="L281" s="1479"/>
      <c r="M281" s="1464"/>
      <c r="N281" s="1464"/>
      <c r="O281" s="1464"/>
      <c r="P281" s="1464"/>
      <c r="Q281" s="1464"/>
      <c r="R281" s="1464"/>
      <c r="S281" s="1464"/>
      <c r="T281" s="1464"/>
      <c r="U281" s="1464"/>
      <c r="V281" s="1464"/>
      <c r="W281" s="1464"/>
      <c r="X281" s="1464"/>
      <c r="Y281" s="1464"/>
      <c r="Z281" s="1464"/>
    </row>
    <row r="282">
      <c r="A282" s="1474" t="s">
        <v>4122</v>
      </c>
      <c r="B282" s="1475">
        <v>84000.0</v>
      </c>
      <c r="C282" s="1476">
        <v>2021.0</v>
      </c>
      <c r="D282" s="1475" t="s">
        <v>3636</v>
      </c>
      <c r="E282" s="1475" t="s">
        <v>3637</v>
      </c>
      <c r="F282" s="1477" t="s">
        <v>4123</v>
      </c>
      <c r="G282" s="1479"/>
      <c r="H282" s="1464"/>
      <c r="I282" s="1480">
        <v>46204.0</v>
      </c>
      <c r="J282" s="1480" t="s">
        <v>3640</v>
      </c>
      <c r="K282" s="1470" t="s">
        <v>3652</v>
      </c>
      <c r="L282" s="1464"/>
      <c r="M282" s="1464"/>
      <c r="N282" s="1464"/>
      <c r="O282" s="1464"/>
      <c r="P282" s="1464"/>
      <c r="Q282" s="1464"/>
      <c r="R282" s="1464"/>
      <c r="S282" s="1464"/>
      <c r="T282" s="1464"/>
      <c r="U282" s="1464"/>
      <c r="V282" s="1464"/>
      <c r="W282" s="1464"/>
      <c r="X282" s="1464"/>
      <c r="Y282" s="1464"/>
      <c r="Z282" s="1464"/>
    </row>
    <row r="283">
      <c r="A283" s="1498" t="s">
        <v>4119</v>
      </c>
      <c r="B283" s="1499">
        <v>84000.0</v>
      </c>
      <c r="C283" s="1500">
        <v>2021.0</v>
      </c>
      <c r="D283" s="1501"/>
      <c r="E283" s="1499" t="s">
        <v>666</v>
      </c>
      <c r="F283" s="1502" t="s">
        <v>4124</v>
      </c>
      <c r="G283" s="1503"/>
      <c r="H283" s="1500" t="s">
        <v>3639</v>
      </c>
      <c r="I283" s="1504">
        <v>46204.0</v>
      </c>
      <c r="J283" s="1500" t="s">
        <v>3939</v>
      </c>
      <c r="K283" s="1500" t="s">
        <v>3797</v>
      </c>
      <c r="L283" s="1502" t="s">
        <v>4125</v>
      </c>
      <c r="M283" s="1464"/>
      <c r="N283" s="1464"/>
      <c r="O283" s="1464"/>
      <c r="P283" s="1464"/>
      <c r="Q283" s="1464"/>
      <c r="R283" s="1464"/>
      <c r="S283" s="1464"/>
      <c r="T283" s="1464"/>
      <c r="U283" s="1464"/>
      <c r="V283" s="1464"/>
      <c r="W283" s="1464"/>
      <c r="X283" s="1464"/>
      <c r="Y283" s="1464"/>
      <c r="Z283" s="1464"/>
    </row>
    <row r="284">
      <c r="A284" s="1468" t="s">
        <v>4126</v>
      </c>
      <c r="B284" s="1469">
        <v>82000.0</v>
      </c>
      <c r="C284" s="1470">
        <v>2013.0</v>
      </c>
      <c r="D284" s="1473"/>
      <c r="E284" s="1469" t="s">
        <v>3637</v>
      </c>
      <c r="F284" s="1471" t="s">
        <v>4127</v>
      </c>
      <c r="G284" s="1464"/>
      <c r="H284" s="1470" t="s">
        <v>3639</v>
      </c>
      <c r="I284" s="1472">
        <v>46204.0</v>
      </c>
      <c r="J284" s="1470" t="s">
        <v>727</v>
      </c>
      <c r="K284" s="1470" t="s">
        <v>4128</v>
      </c>
      <c r="L284" s="1464"/>
      <c r="M284" s="1464"/>
      <c r="N284" s="1464"/>
      <c r="O284" s="1464"/>
      <c r="P284" s="1464"/>
      <c r="Q284" s="1464"/>
      <c r="R284" s="1464"/>
      <c r="S284" s="1464"/>
      <c r="T284" s="1464"/>
      <c r="U284" s="1464"/>
      <c r="V284" s="1464"/>
      <c r="W284" s="1464"/>
      <c r="X284" s="1464"/>
      <c r="Y284" s="1464"/>
      <c r="Z284" s="1464"/>
    </row>
    <row r="285">
      <c r="A285" s="1474" t="s">
        <v>4119</v>
      </c>
      <c r="B285" s="1475">
        <v>84000.0</v>
      </c>
      <c r="C285" s="1476">
        <v>2021.0</v>
      </c>
      <c r="D285" s="1481"/>
      <c r="E285" s="1475" t="s">
        <v>666</v>
      </c>
      <c r="F285" s="1477" t="s">
        <v>4129</v>
      </c>
      <c r="G285" s="1479"/>
      <c r="H285" s="1476" t="s">
        <v>3639</v>
      </c>
      <c r="I285" s="1480">
        <v>46204.0</v>
      </c>
      <c r="J285" s="1480" t="s">
        <v>3797</v>
      </c>
      <c r="K285" s="1470" t="s">
        <v>4001</v>
      </c>
      <c r="L285" s="1464"/>
      <c r="M285" s="1464"/>
      <c r="N285" s="1464"/>
      <c r="O285" s="1464"/>
      <c r="P285" s="1464"/>
      <c r="Q285" s="1464"/>
      <c r="R285" s="1464"/>
      <c r="S285" s="1464"/>
      <c r="T285" s="1464"/>
      <c r="U285" s="1464"/>
      <c r="V285" s="1464"/>
      <c r="W285" s="1464"/>
      <c r="X285" s="1464"/>
      <c r="Y285" s="1464"/>
      <c r="Z285" s="1464"/>
    </row>
    <row r="286">
      <c r="A286" s="1468" t="s">
        <v>4126</v>
      </c>
      <c r="B286" s="1469">
        <v>82000.0</v>
      </c>
      <c r="C286" s="1470">
        <v>2013.0</v>
      </c>
      <c r="D286" s="1473"/>
      <c r="E286" s="1469" t="s">
        <v>3637</v>
      </c>
      <c r="F286" s="1471" t="s">
        <v>4130</v>
      </c>
      <c r="G286" s="1464"/>
      <c r="H286" s="1470" t="s">
        <v>3639</v>
      </c>
      <c r="I286" s="1472">
        <v>46204.0</v>
      </c>
      <c r="J286" s="1470" t="s">
        <v>3684</v>
      </c>
      <c r="K286" s="1470" t="s">
        <v>4128</v>
      </c>
      <c r="L286" s="1464"/>
      <c r="M286" s="1464"/>
      <c r="N286" s="1464"/>
      <c r="O286" s="1464"/>
      <c r="P286" s="1464"/>
      <c r="Q286" s="1464"/>
      <c r="R286" s="1464"/>
      <c r="S286" s="1464"/>
      <c r="T286" s="1464"/>
      <c r="U286" s="1464"/>
      <c r="V286" s="1464"/>
      <c r="W286" s="1464"/>
      <c r="X286" s="1464"/>
      <c r="Y286" s="1464"/>
      <c r="Z286" s="1464"/>
    </row>
    <row r="287">
      <c r="A287" s="1474" t="s">
        <v>4131</v>
      </c>
      <c r="B287" s="1475">
        <v>84000.0</v>
      </c>
      <c r="C287" s="1476">
        <v>2021.0</v>
      </c>
      <c r="D287" s="1475" t="s">
        <v>3636</v>
      </c>
      <c r="E287" s="1475" t="s">
        <v>3637</v>
      </c>
      <c r="F287" s="1477" t="s">
        <v>4132</v>
      </c>
      <c r="G287" s="1479"/>
      <c r="H287" s="1464"/>
      <c r="I287" s="1480">
        <v>46204.0</v>
      </c>
      <c r="J287" s="1480" t="s">
        <v>3640</v>
      </c>
      <c r="K287" s="1476" t="s">
        <v>3652</v>
      </c>
      <c r="L287" s="1479"/>
      <c r="M287" s="1464"/>
      <c r="N287" s="1464"/>
      <c r="O287" s="1464"/>
      <c r="P287" s="1464"/>
      <c r="Q287" s="1464"/>
      <c r="R287" s="1464"/>
      <c r="S287" s="1464"/>
      <c r="T287" s="1464"/>
      <c r="U287" s="1464"/>
      <c r="V287" s="1464"/>
      <c r="W287" s="1464"/>
      <c r="X287" s="1464"/>
      <c r="Y287" s="1464"/>
      <c r="Z287" s="1464"/>
    </row>
    <row r="288">
      <c r="A288" s="1488" t="s">
        <v>4133</v>
      </c>
      <c r="B288" s="1486">
        <v>86700.0</v>
      </c>
      <c r="C288" s="1487">
        <v>2026.0</v>
      </c>
      <c r="D288" s="1492"/>
      <c r="E288" s="1486" t="s">
        <v>666</v>
      </c>
      <c r="F288" s="1488" t="s">
        <v>4134</v>
      </c>
      <c r="G288" s="1489"/>
      <c r="H288" s="1487" t="s">
        <v>3718</v>
      </c>
      <c r="I288" s="1490">
        <v>46204.0</v>
      </c>
      <c r="J288" s="1487" t="s">
        <v>3207</v>
      </c>
      <c r="K288" s="1487" t="s">
        <v>3207</v>
      </c>
      <c r="L288" s="1464"/>
      <c r="M288" s="1464"/>
      <c r="N288" s="1464"/>
      <c r="O288" s="1464"/>
      <c r="P288" s="1464"/>
      <c r="Q288" s="1464"/>
      <c r="R288" s="1464"/>
      <c r="S288" s="1464"/>
      <c r="T288" s="1464"/>
      <c r="U288" s="1464"/>
      <c r="V288" s="1464"/>
      <c r="W288" s="1464"/>
      <c r="X288" s="1464"/>
      <c r="Y288" s="1464"/>
      <c r="Z288" s="1464"/>
    </row>
    <row r="289">
      <c r="A289" s="1488" t="s">
        <v>4135</v>
      </c>
      <c r="B289" s="1486">
        <v>91000.0</v>
      </c>
      <c r="C289" s="1487">
        <v>2026.0</v>
      </c>
      <c r="D289" s="1489"/>
      <c r="E289" s="1487" t="s">
        <v>666</v>
      </c>
      <c r="F289" s="1488" t="s">
        <v>4136</v>
      </c>
      <c r="G289" s="1489"/>
      <c r="H289" s="1487" t="s">
        <v>3962</v>
      </c>
      <c r="I289" s="1490">
        <v>46235.0</v>
      </c>
      <c r="J289" s="1487" t="s">
        <v>4137</v>
      </c>
      <c r="K289" s="1487" t="s">
        <v>4137</v>
      </c>
      <c r="L289" s="1470" t="s">
        <v>70</v>
      </c>
      <c r="M289" s="1479"/>
      <c r="N289" s="1479"/>
      <c r="O289" s="1479"/>
      <c r="P289" s="1479"/>
      <c r="Q289" s="1479"/>
      <c r="R289" s="1479"/>
      <c r="S289" s="1479"/>
      <c r="T289" s="1479"/>
      <c r="U289" s="1479"/>
      <c r="V289" s="1479"/>
      <c r="W289" s="1479"/>
      <c r="X289" s="1479"/>
      <c r="Y289" s="1479"/>
      <c r="Z289" s="1479"/>
    </row>
    <row r="290">
      <c r="A290" s="1468" t="s">
        <v>4138</v>
      </c>
      <c r="B290" s="1469">
        <v>84000.0</v>
      </c>
      <c r="C290" s="1470">
        <v>2001.0</v>
      </c>
      <c r="D290" s="1473"/>
      <c r="E290" s="1473"/>
      <c r="F290" s="1471" t="s">
        <v>4139</v>
      </c>
      <c r="G290" s="1464"/>
      <c r="H290" s="1464"/>
      <c r="I290" s="1472">
        <v>46235.0</v>
      </c>
      <c r="J290" s="1472" t="s">
        <v>2899</v>
      </c>
      <c r="K290" s="1470" t="s">
        <v>4140</v>
      </c>
      <c r="L290" s="1470" t="s">
        <v>4141</v>
      </c>
      <c r="M290" s="1479"/>
      <c r="N290" s="1479"/>
      <c r="O290" s="1479"/>
      <c r="P290" s="1479"/>
      <c r="Q290" s="1479"/>
      <c r="R290" s="1479"/>
      <c r="S290" s="1479"/>
      <c r="T290" s="1479"/>
      <c r="U290" s="1479"/>
      <c r="V290" s="1479"/>
      <c r="W290" s="1479"/>
      <c r="X290" s="1479"/>
      <c r="Y290" s="1479"/>
      <c r="Z290" s="1479"/>
    </row>
    <row r="291">
      <c r="A291" s="1468" t="s">
        <v>4142</v>
      </c>
      <c r="B291" s="1469">
        <v>82300.0</v>
      </c>
      <c r="C291" s="1470">
        <v>2007.0</v>
      </c>
      <c r="D291" s="1473"/>
      <c r="E291" s="1473"/>
      <c r="F291" s="1471" t="s">
        <v>4143</v>
      </c>
      <c r="G291" s="1464"/>
      <c r="H291" s="1464"/>
      <c r="I291" s="1480">
        <v>46235.0</v>
      </c>
      <c r="J291" s="1470" t="s">
        <v>1190</v>
      </c>
      <c r="K291" s="1470" t="s">
        <v>3699</v>
      </c>
      <c r="L291" s="1464"/>
      <c r="M291" s="1479"/>
      <c r="N291" s="1479"/>
      <c r="O291" s="1479"/>
      <c r="P291" s="1479"/>
      <c r="Q291" s="1479"/>
      <c r="R291" s="1479"/>
      <c r="S291" s="1479"/>
      <c r="T291" s="1479"/>
      <c r="U291" s="1479"/>
      <c r="V291" s="1479"/>
      <c r="W291" s="1479"/>
      <c r="X291" s="1479"/>
      <c r="Y291" s="1479"/>
      <c r="Z291" s="1479"/>
    </row>
    <row r="292">
      <c r="A292" s="1468" t="s">
        <v>4144</v>
      </c>
      <c r="B292" s="1469">
        <v>87000.0</v>
      </c>
      <c r="C292" s="1470">
        <v>2023.0</v>
      </c>
      <c r="D292" s="1473"/>
      <c r="E292" s="1469" t="s">
        <v>666</v>
      </c>
      <c r="F292" s="1471" t="s">
        <v>4145</v>
      </c>
      <c r="G292" s="1464"/>
      <c r="H292" s="1476" t="s">
        <v>3702</v>
      </c>
      <c r="I292" s="1472">
        <v>46235.0</v>
      </c>
      <c r="J292" s="1470" t="s">
        <v>4038</v>
      </c>
      <c r="K292" s="1476" t="s">
        <v>3696</v>
      </c>
      <c r="L292" s="1464"/>
      <c r="M292" s="1479"/>
      <c r="N292" s="1479"/>
      <c r="O292" s="1479"/>
      <c r="P292" s="1479"/>
      <c r="Q292" s="1479"/>
      <c r="R292" s="1479"/>
      <c r="S292" s="1479"/>
      <c r="T292" s="1479"/>
      <c r="U292" s="1479"/>
      <c r="V292" s="1479"/>
      <c r="W292" s="1479"/>
      <c r="X292" s="1479"/>
      <c r="Y292" s="1479"/>
      <c r="Z292" s="1479"/>
    </row>
    <row r="293">
      <c r="A293" s="1468" t="s">
        <v>4146</v>
      </c>
      <c r="B293" s="1469">
        <v>83800.0</v>
      </c>
      <c r="C293" s="1470">
        <v>2008.0</v>
      </c>
      <c r="D293" s="1473"/>
      <c r="E293" s="1473"/>
      <c r="F293" s="1471" t="s">
        <v>4147</v>
      </c>
      <c r="G293" s="1464"/>
      <c r="H293" s="1464"/>
      <c r="I293" s="1472">
        <v>46235.0</v>
      </c>
      <c r="J293" s="1470" t="s">
        <v>1190</v>
      </c>
      <c r="K293" s="1470" t="s">
        <v>4006</v>
      </c>
      <c r="L293" s="1470" t="s">
        <v>4148</v>
      </c>
      <c r="M293" s="1464"/>
      <c r="N293" s="1464"/>
      <c r="O293" s="1464"/>
      <c r="P293" s="1464"/>
      <c r="Q293" s="1464"/>
      <c r="R293" s="1464"/>
      <c r="S293" s="1464"/>
      <c r="T293" s="1464"/>
      <c r="U293" s="1464"/>
      <c r="V293" s="1464"/>
      <c r="W293" s="1464"/>
      <c r="X293" s="1464"/>
      <c r="Y293" s="1464"/>
      <c r="Z293" s="1464"/>
    </row>
    <row r="294">
      <c r="A294" s="1468" t="s">
        <v>4146</v>
      </c>
      <c r="B294" s="1469">
        <v>83800.0</v>
      </c>
      <c r="C294" s="1470">
        <v>2008.0</v>
      </c>
      <c r="D294" s="1473"/>
      <c r="E294" s="1473"/>
      <c r="F294" s="1471" t="s">
        <v>4149</v>
      </c>
      <c r="G294" s="1464"/>
      <c r="H294" s="1464"/>
      <c r="I294" s="1472">
        <v>46235.0</v>
      </c>
      <c r="J294" s="1470" t="s">
        <v>1190</v>
      </c>
      <c r="K294" s="1470" t="s">
        <v>4006</v>
      </c>
      <c r="L294" s="1464"/>
      <c r="M294" s="1464"/>
      <c r="N294" s="1464"/>
      <c r="O294" s="1464"/>
      <c r="P294" s="1464"/>
      <c r="Q294" s="1464"/>
      <c r="R294" s="1464"/>
      <c r="S294" s="1464"/>
      <c r="T294" s="1464"/>
      <c r="U294" s="1464"/>
      <c r="V294" s="1464"/>
      <c r="W294" s="1464"/>
      <c r="X294" s="1464"/>
      <c r="Y294" s="1464"/>
      <c r="Z294" s="1464"/>
    </row>
    <row r="295">
      <c r="A295" s="1468" t="s">
        <v>4150</v>
      </c>
      <c r="B295" s="1469">
        <v>83300.0</v>
      </c>
      <c r="C295" s="1470">
        <v>2006.0</v>
      </c>
      <c r="D295" s="1473"/>
      <c r="E295" s="1473"/>
      <c r="F295" s="1477" t="s">
        <v>4151</v>
      </c>
      <c r="G295" s="1464"/>
      <c r="H295" s="1464"/>
      <c r="I295" s="1472">
        <v>46235.0</v>
      </c>
      <c r="J295" s="1470" t="s">
        <v>1190</v>
      </c>
      <c r="K295" s="1470" t="s">
        <v>3471</v>
      </c>
      <c r="L295" s="1464"/>
      <c r="M295" s="1464"/>
      <c r="N295" s="1464"/>
      <c r="O295" s="1464"/>
      <c r="P295" s="1464"/>
      <c r="Q295" s="1464"/>
      <c r="R295" s="1464"/>
      <c r="S295" s="1464"/>
      <c r="T295" s="1464"/>
      <c r="U295" s="1464"/>
      <c r="V295" s="1464"/>
      <c r="W295" s="1464"/>
      <c r="X295" s="1464"/>
      <c r="Y295" s="1464"/>
      <c r="Z295" s="1464"/>
    </row>
    <row r="296">
      <c r="A296" s="1468" t="s">
        <v>4142</v>
      </c>
      <c r="B296" s="1469">
        <v>82300.0</v>
      </c>
      <c r="C296" s="1470">
        <v>2007.0</v>
      </c>
      <c r="D296" s="1473"/>
      <c r="E296" s="1473"/>
      <c r="F296" s="1471" t="s">
        <v>4152</v>
      </c>
      <c r="G296" s="1464"/>
      <c r="H296" s="1464"/>
      <c r="I296" s="1480">
        <v>46235.0</v>
      </c>
      <c r="J296" s="1470" t="s">
        <v>1190</v>
      </c>
      <c r="K296" s="1470" t="s">
        <v>3699</v>
      </c>
      <c r="L296" s="1464"/>
      <c r="M296" s="1479"/>
      <c r="N296" s="1479"/>
      <c r="O296" s="1479"/>
      <c r="P296" s="1479"/>
      <c r="Q296" s="1479"/>
      <c r="R296" s="1479"/>
      <c r="S296" s="1479"/>
      <c r="T296" s="1479"/>
      <c r="U296" s="1479"/>
      <c r="V296" s="1479"/>
      <c r="W296" s="1479"/>
      <c r="X296" s="1479"/>
      <c r="Y296" s="1479"/>
      <c r="Z296" s="1479"/>
    </row>
    <row r="297">
      <c r="A297" s="1468" t="s">
        <v>4153</v>
      </c>
      <c r="B297" s="1469">
        <v>84000.0</v>
      </c>
      <c r="C297" s="1470">
        <v>2016.0</v>
      </c>
      <c r="D297" s="1473"/>
      <c r="E297" s="1473"/>
      <c r="F297" s="1471" t="s">
        <v>4154</v>
      </c>
      <c r="G297" s="1464"/>
      <c r="H297" s="1470" t="s">
        <v>3639</v>
      </c>
      <c r="I297" s="1472">
        <v>46235.0</v>
      </c>
      <c r="J297" s="1470" t="s">
        <v>4044</v>
      </c>
      <c r="K297" s="1470" t="s">
        <v>3977</v>
      </c>
      <c r="L297" s="1464"/>
      <c r="M297" s="1464"/>
      <c r="N297" s="1464"/>
      <c r="O297" s="1464"/>
      <c r="P297" s="1464"/>
      <c r="Q297" s="1464"/>
      <c r="R297" s="1464"/>
      <c r="S297" s="1464"/>
      <c r="T297" s="1464"/>
      <c r="U297" s="1464"/>
      <c r="V297" s="1464"/>
      <c r="W297" s="1464"/>
      <c r="X297" s="1464"/>
      <c r="Y297" s="1464"/>
      <c r="Z297" s="1464"/>
    </row>
    <row r="298">
      <c r="A298" s="1468" t="s">
        <v>4155</v>
      </c>
      <c r="B298" s="1469">
        <v>84000.0</v>
      </c>
      <c r="C298" s="1470">
        <v>2016.0</v>
      </c>
      <c r="D298" s="1473"/>
      <c r="E298" s="1473"/>
      <c r="F298" s="1471" t="s">
        <v>4156</v>
      </c>
      <c r="G298" s="1464"/>
      <c r="H298" s="1470" t="s">
        <v>3639</v>
      </c>
      <c r="I298" s="1472">
        <v>46235.0</v>
      </c>
      <c r="J298" s="1470" t="s">
        <v>4044</v>
      </c>
      <c r="K298" s="1470" t="s">
        <v>3659</v>
      </c>
      <c r="L298" s="1464"/>
      <c r="M298" s="1464"/>
      <c r="N298" s="1464"/>
      <c r="O298" s="1464"/>
      <c r="P298" s="1464"/>
      <c r="Q298" s="1464"/>
      <c r="R298" s="1464"/>
      <c r="S298" s="1464"/>
      <c r="T298" s="1464"/>
      <c r="U298" s="1464"/>
      <c r="V298" s="1464"/>
      <c r="W298" s="1464"/>
      <c r="X298" s="1464"/>
      <c r="Y298" s="1464"/>
      <c r="Z298" s="1464"/>
    </row>
    <row r="299">
      <c r="A299" s="1474" t="s">
        <v>4157</v>
      </c>
      <c r="B299" s="1475">
        <v>87000.0</v>
      </c>
      <c r="C299" s="1476">
        <v>2023.0</v>
      </c>
      <c r="D299" s="1481"/>
      <c r="E299" s="1475" t="s">
        <v>666</v>
      </c>
      <c r="F299" s="1477" t="s">
        <v>4158</v>
      </c>
      <c r="G299" s="1479"/>
      <c r="H299" s="1476" t="s">
        <v>3702</v>
      </c>
      <c r="I299" s="1480">
        <v>46235.0</v>
      </c>
      <c r="J299" s="1476" t="s">
        <v>4038</v>
      </c>
      <c r="K299" s="1476" t="s">
        <v>3696</v>
      </c>
      <c r="L299" s="1479"/>
      <c r="M299" s="1464"/>
      <c r="N299" s="1464"/>
      <c r="O299" s="1464"/>
      <c r="P299" s="1464"/>
      <c r="Q299" s="1464"/>
      <c r="R299" s="1464"/>
      <c r="S299" s="1464"/>
      <c r="T299" s="1464"/>
      <c r="U299" s="1464"/>
      <c r="V299" s="1464"/>
      <c r="W299" s="1464"/>
      <c r="X299" s="1464"/>
      <c r="Y299" s="1464"/>
      <c r="Z299" s="1464"/>
    </row>
    <row r="300">
      <c r="A300" s="1468" t="s">
        <v>4153</v>
      </c>
      <c r="B300" s="1469">
        <v>84000.0</v>
      </c>
      <c r="C300" s="1470">
        <v>2016.0</v>
      </c>
      <c r="D300" s="1473"/>
      <c r="E300" s="1473"/>
      <c r="F300" s="1471" t="s">
        <v>4159</v>
      </c>
      <c r="G300" s="1464"/>
      <c r="H300" s="1470" t="s">
        <v>3639</v>
      </c>
      <c r="I300" s="1472">
        <v>46235.0</v>
      </c>
      <c r="J300" s="1472" t="s">
        <v>4044</v>
      </c>
      <c r="K300" s="1470" t="s">
        <v>3977</v>
      </c>
      <c r="L300" s="1464"/>
      <c r="M300" s="1464"/>
      <c r="N300" s="1464"/>
      <c r="O300" s="1464"/>
      <c r="P300" s="1464"/>
      <c r="Q300" s="1464"/>
      <c r="R300" s="1464"/>
      <c r="S300" s="1464"/>
      <c r="T300" s="1464"/>
      <c r="U300" s="1464"/>
      <c r="V300" s="1464"/>
      <c r="W300" s="1464"/>
      <c r="X300" s="1464"/>
      <c r="Y300" s="1464"/>
      <c r="Z300" s="1464"/>
    </row>
    <row r="301">
      <c r="A301" s="1468" t="s">
        <v>4155</v>
      </c>
      <c r="B301" s="1469">
        <v>84000.0</v>
      </c>
      <c r="C301" s="1470">
        <v>2016.0</v>
      </c>
      <c r="D301" s="1473"/>
      <c r="E301" s="1473"/>
      <c r="F301" s="1471" t="s">
        <v>4159</v>
      </c>
      <c r="G301" s="1464"/>
      <c r="H301" s="1470" t="s">
        <v>3639</v>
      </c>
      <c r="I301" s="1472">
        <v>46235.0</v>
      </c>
      <c r="J301" s="1470" t="s">
        <v>4044</v>
      </c>
      <c r="K301" s="1470" t="s">
        <v>3659</v>
      </c>
      <c r="L301" s="1464"/>
      <c r="M301" s="1464"/>
      <c r="N301" s="1464"/>
      <c r="O301" s="1464"/>
      <c r="P301" s="1464"/>
      <c r="Q301" s="1464"/>
      <c r="R301" s="1464"/>
      <c r="S301" s="1464"/>
      <c r="T301" s="1464"/>
      <c r="U301" s="1464"/>
      <c r="V301" s="1464"/>
      <c r="W301" s="1464"/>
      <c r="X301" s="1464"/>
      <c r="Y301" s="1464"/>
      <c r="Z301" s="1464"/>
    </row>
    <row r="302">
      <c r="A302" s="1468" t="s">
        <v>4146</v>
      </c>
      <c r="B302" s="1469">
        <v>83800.0</v>
      </c>
      <c r="C302" s="1470">
        <v>2008.0</v>
      </c>
      <c r="D302" s="1473"/>
      <c r="E302" s="1473"/>
      <c r="F302" s="1471" t="s">
        <v>4160</v>
      </c>
      <c r="G302" s="1464"/>
      <c r="H302" s="1464"/>
      <c r="I302" s="1472">
        <v>46235.0</v>
      </c>
      <c r="J302" s="1470" t="s">
        <v>1190</v>
      </c>
      <c r="K302" s="1470" t="s">
        <v>4006</v>
      </c>
      <c r="L302" s="1470" t="s">
        <v>4148</v>
      </c>
      <c r="M302" s="1464"/>
      <c r="N302" s="1464"/>
      <c r="O302" s="1464"/>
      <c r="P302" s="1464"/>
      <c r="Q302" s="1464"/>
      <c r="R302" s="1464"/>
      <c r="S302" s="1464"/>
      <c r="T302" s="1464"/>
      <c r="U302" s="1464"/>
      <c r="V302" s="1464"/>
      <c r="W302" s="1464"/>
      <c r="X302" s="1464"/>
      <c r="Y302" s="1464"/>
      <c r="Z302" s="1464"/>
    </row>
    <row r="303">
      <c r="A303" s="1468" t="s">
        <v>4150</v>
      </c>
      <c r="B303" s="1469">
        <v>83300.0</v>
      </c>
      <c r="C303" s="1470">
        <v>2006.0</v>
      </c>
      <c r="D303" s="1473"/>
      <c r="E303" s="1473"/>
      <c r="F303" s="1477" t="s">
        <v>4143</v>
      </c>
      <c r="G303" s="1464"/>
      <c r="H303" s="1464"/>
      <c r="I303" s="1472">
        <v>46235.0</v>
      </c>
      <c r="J303" s="1470" t="s">
        <v>1190</v>
      </c>
      <c r="K303" s="1470" t="s">
        <v>3471</v>
      </c>
      <c r="L303" s="1464"/>
      <c r="M303" s="1464"/>
      <c r="N303" s="1464"/>
      <c r="O303" s="1464"/>
      <c r="P303" s="1464"/>
      <c r="Q303" s="1464"/>
      <c r="R303" s="1464"/>
      <c r="S303" s="1464"/>
      <c r="T303" s="1464"/>
      <c r="U303" s="1464"/>
      <c r="V303" s="1464"/>
      <c r="W303" s="1464"/>
      <c r="X303" s="1464"/>
      <c r="Y303" s="1464"/>
      <c r="Z303" s="1464"/>
    </row>
    <row r="304">
      <c r="A304" s="1485" t="s">
        <v>4161</v>
      </c>
      <c r="B304" s="1486">
        <v>93000.0</v>
      </c>
      <c r="C304" s="1487">
        <v>2026.0</v>
      </c>
      <c r="D304" s="1492"/>
      <c r="E304" s="1486" t="s">
        <v>666</v>
      </c>
      <c r="F304" s="1488" t="s">
        <v>4162</v>
      </c>
      <c r="G304" s="1489"/>
      <c r="H304" s="1487" t="s">
        <v>3962</v>
      </c>
      <c r="I304" s="1490">
        <v>46266.0</v>
      </c>
      <c r="J304" s="1487" t="s">
        <v>3939</v>
      </c>
      <c r="K304" s="1487" t="s">
        <v>3673</v>
      </c>
      <c r="L304" s="1479"/>
      <c r="M304" s="1479"/>
      <c r="N304" s="1479"/>
      <c r="O304" s="1479"/>
      <c r="P304" s="1479"/>
      <c r="Q304" s="1479"/>
      <c r="R304" s="1479"/>
      <c r="S304" s="1479"/>
      <c r="T304" s="1479"/>
      <c r="U304" s="1479"/>
      <c r="V304" s="1479"/>
      <c r="W304" s="1479"/>
      <c r="X304" s="1479"/>
      <c r="Y304" s="1479"/>
      <c r="Z304" s="1479"/>
    </row>
    <row r="305">
      <c r="A305" s="1485" t="s">
        <v>4163</v>
      </c>
      <c r="B305" s="1486">
        <v>93000.0</v>
      </c>
      <c r="C305" s="1487">
        <v>2026.0</v>
      </c>
      <c r="D305" s="1492"/>
      <c r="E305" s="1486" t="s">
        <v>666</v>
      </c>
      <c r="F305" s="1488" t="s">
        <v>4164</v>
      </c>
      <c r="G305" s="1489"/>
      <c r="H305" s="1487" t="s">
        <v>3962</v>
      </c>
      <c r="I305" s="1490">
        <v>46266.0</v>
      </c>
      <c r="J305" s="1487" t="s">
        <v>3723</v>
      </c>
      <c r="K305" s="1487" t="s">
        <v>3723</v>
      </c>
      <c r="L305" s="1464"/>
      <c r="M305" s="1464"/>
      <c r="N305" s="1464"/>
      <c r="O305" s="1464"/>
      <c r="P305" s="1464"/>
      <c r="Q305" s="1464"/>
      <c r="R305" s="1464"/>
      <c r="S305" s="1464"/>
      <c r="T305" s="1464"/>
      <c r="U305" s="1464"/>
      <c r="V305" s="1464"/>
      <c r="W305" s="1464"/>
      <c r="X305" s="1464"/>
      <c r="Y305" s="1464"/>
      <c r="Z305" s="1464"/>
    </row>
    <row r="306">
      <c r="A306" s="1468" t="s">
        <v>4165</v>
      </c>
      <c r="B306" s="1469">
        <v>83300.0</v>
      </c>
      <c r="C306" s="1470">
        <v>2009.0</v>
      </c>
      <c r="D306" s="1473"/>
      <c r="E306" s="1473"/>
      <c r="F306" s="1471" t="s">
        <v>4166</v>
      </c>
      <c r="G306" s="1464"/>
      <c r="H306" s="1464"/>
      <c r="I306" s="1472">
        <v>46266.0</v>
      </c>
      <c r="J306" s="1476" t="s">
        <v>2935</v>
      </c>
      <c r="K306" s="1470" t="s">
        <v>4167</v>
      </c>
      <c r="L306" s="1464"/>
      <c r="M306" s="1464"/>
      <c r="N306" s="1464"/>
      <c r="O306" s="1464"/>
      <c r="P306" s="1464"/>
      <c r="Q306" s="1464"/>
      <c r="R306" s="1464"/>
      <c r="S306" s="1464"/>
      <c r="T306" s="1464"/>
      <c r="U306" s="1464"/>
      <c r="V306" s="1464"/>
      <c r="W306" s="1464"/>
      <c r="X306" s="1464"/>
      <c r="Y306" s="1464"/>
      <c r="Z306" s="1464"/>
    </row>
    <row r="307">
      <c r="A307" s="1485" t="s">
        <v>4168</v>
      </c>
      <c r="B307" s="1486">
        <v>88000.0</v>
      </c>
      <c r="C307" s="1487">
        <v>2026.0</v>
      </c>
      <c r="D307" s="1486" t="s">
        <v>3636</v>
      </c>
      <c r="E307" s="1486" t="s">
        <v>666</v>
      </c>
      <c r="F307" s="1488" t="s">
        <v>4169</v>
      </c>
      <c r="G307" s="1489"/>
      <c r="H307" s="1487" t="s">
        <v>3702</v>
      </c>
      <c r="I307" s="1490">
        <v>46266.0</v>
      </c>
      <c r="J307" s="1487" t="s">
        <v>3705</v>
      </c>
      <c r="K307" s="1487" t="s">
        <v>3696</v>
      </c>
      <c r="L307" s="1464"/>
      <c r="M307" s="1464"/>
      <c r="N307" s="1464"/>
      <c r="O307" s="1464"/>
      <c r="P307" s="1464"/>
      <c r="Q307" s="1464"/>
      <c r="R307" s="1464"/>
      <c r="S307" s="1464"/>
      <c r="T307" s="1464"/>
      <c r="U307" s="1464"/>
      <c r="V307" s="1464"/>
      <c r="W307" s="1464"/>
      <c r="X307" s="1464"/>
      <c r="Y307" s="1464"/>
      <c r="Z307" s="1464"/>
    </row>
    <row r="308">
      <c r="A308" s="1474" t="s">
        <v>4170</v>
      </c>
      <c r="B308" s="1475">
        <v>84000.0</v>
      </c>
      <c r="C308" s="1476">
        <v>2021.0</v>
      </c>
      <c r="D308" s="1475" t="s">
        <v>3636</v>
      </c>
      <c r="E308" s="1475" t="s">
        <v>3637</v>
      </c>
      <c r="F308" s="1477" t="s">
        <v>4171</v>
      </c>
      <c r="G308" s="1479"/>
      <c r="H308" s="1464"/>
      <c r="I308" s="1480">
        <v>46296.0</v>
      </c>
      <c r="J308" s="1480" t="s">
        <v>3640</v>
      </c>
      <c r="K308" s="1470" t="s">
        <v>3652</v>
      </c>
      <c r="L308" s="1464"/>
      <c r="M308" s="1464"/>
      <c r="N308" s="1464"/>
      <c r="O308" s="1464"/>
      <c r="P308" s="1464"/>
      <c r="Q308" s="1464"/>
      <c r="R308" s="1464"/>
      <c r="S308" s="1464"/>
      <c r="T308" s="1464"/>
      <c r="U308" s="1464"/>
      <c r="V308" s="1464"/>
      <c r="W308" s="1464"/>
      <c r="X308" s="1464"/>
      <c r="Y308" s="1464"/>
      <c r="Z308" s="1464"/>
    </row>
    <row r="309">
      <c r="A309" s="1485" t="s">
        <v>4172</v>
      </c>
      <c r="B309" s="1486">
        <v>88000.0</v>
      </c>
      <c r="C309" s="1487">
        <v>2026.0</v>
      </c>
      <c r="D309" s="1486" t="s">
        <v>3636</v>
      </c>
      <c r="E309" s="1486" t="s">
        <v>666</v>
      </c>
      <c r="F309" s="1488" t="s">
        <v>4173</v>
      </c>
      <c r="G309" s="1489"/>
      <c r="H309" s="1489"/>
      <c r="I309" s="1490">
        <v>46296.0</v>
      </c>
      <c r="J309" s="1487" t="s">
        <v>4174</v>
      </c>
      <c r="K309" s="1487" t="s">
        <v>4174</v>
      </c>
      <c r="L309" s="1464"/>
      <c r="M309" s="1464"/>
      <c r="N309" s="1464"/>
      <c r="O309" s="1464"/>
      <c r="P309" s="1464"/>
      <c r="Q309" s="1464"/>
      <c r="R309" s="1464"/>
      <c r="S309" s="1464"/>
      <c r="T309" s="1464"/>
      <c r="U309" s="1464"/>
      <c r="V309" s="1464"/>
      <c r="W309" s="1464"/>
      <c r="X309" s="1464"/>
      <c r="Y309" s="1464"/>
      <c r="Z309" s="1464"/>
    </row>
    <row r="310">
      <c r="A310" s="1485" t="s">
        <v>4175</v>
      </c>
      <c r="B310" s="1486">
        <v>88000.0</v>
      </c>
      <c r="C310" s="1487">
        <v>2026.0</v>
      </c>
      <c r="D310" s="1486" t="s">
        <v>3636</v>
      </c>
      <c r="E310" s="1486" t="s">
        <v>666</v>
      </c>
      <c r="F310" s="1488" t="s">
        <v>4173</v>
      </c>
      <c r="G310" s="1489"/>
      <c r="H310" s="1489"/>
      <c r="I310" s="1490">
        <v>46296.0</v>
      </c>
      <c r="J310" s="1487" t="s">
        <v>4174</v>
      </c>
      <c r="K310" s="1487" t="s">
        <v>4174</v>
      </c>
      <c r="L310" s="1464"/>
      <c r="M310" s="1464"/>
      <c r="N310" s="1464"/>
      <c r="O310" s="1464"/>
      <c r="P310" s="1464"/>
      <c r="Q310" s="1464"/>
      <c r="R310" s="1464"/>
      <c r="S310" s="1464"/>
      <c r="T310" s="1464"/>
      <c r="U310" s="1464"/>
      <c r="V310" s="1464"/>
      <c r="W310" s="1464"/>
      <c r="X310" s="1464"/>
      <c r="Y310" s="1464"/>
      <c r="Z310" s="1464"/>
    </row>
    <row r="311">
      <c r="A311" s="1474" t="s">
        <v>4176</v>
      </c>
      <c r="B311" s="1475">
        <v>91000.0</v>
      </c>
      <c r="C311" s="1476">
        <v>2023.0</v>
      </c>
      <c r="D311" s="1481"/>
      <c r="E311" s="1475" t="s">
        <v>666</v>
      </c>
      <c r="F311" s="1477" t="s">
        <v>4177</v>
      </c>
      <c r="G311" s="1479"/>
      <c r="H311" s="1476" t="s">
        <v>3702</v>
      </c>
      <c r="I311" s="1480">
        <v>46296.0</v>
      </c>
      <c r="J311" s="1476" t="s">
        <v>4038</v>
      </c>
      <c r="K311" s="1476" t="s">
        <v>3703</v>
      </c>
      <c r="L311" s="1479"/>
      <c r="M311" s="1479"/>
      <c r="N311" s="1479"/>
      <c r="O311" s="1479"/>
      <c r="P311" s="1479"/>
      <c r="Q311" s="1479"/>
      <c r="R311" s="1479"/>
      <c r="S311" s="1479"/>
      <c r="T311" s="1479"/>
      <c r="U311" s="1479"/>
      <c r="V311" s="1479"/>
      <c r="W311" s="1479"/>
      <c r="X311" s="1479"/>
      <c r="Y311" s="1479"/>
      <c r="Z311" s="1479"/>
    </row>
    <row r="312">
      <c r="A312" s="1485" t="s">
        <v>4178</v>
      </c>
      <c r="B312" s="1486">
        <v>93000.0</v>
      </c>
      <c r="C312" s="1487" t="s">
        <v>4179</v>
      </c>
      <c r="D312" s="1492"/>
      <c r="E312" s="1486" t="s">
        <v>666</v>
      </c>
      <c r="F312" s="1488" t="s">
        <v>4180</v>
      </c>
      <c r="G312" s="1489"/>
      <c r="H312" s="1487" t="s">
        <v>3962</v>
      </c>
      <c r="I312" s="1490">
        <v>46296.0</v>
      </c>
      <c r="J312" s="1487" t="s">
        <v>4181</v>
      </c>
      <c r="K312" s="1487" t="s">
        <v>4181</v>
      </c>
      <c r="L312" s="1464"/>
      <c r="M312" s="1464"/>
      <c r="N312" s="1464"/>
      <c r="O312" s="1464"/>
      <c r="P312" s="1464"/>
      <c r="Q312" s="1464"/>
      <c r="R312" s="1464"/>
      <c r="S312" s="1464"/>
      <c r="T312" s="1464"/>
      <c r="U312" s="1464"/>
      <c r="V312" s="1464"/>
      <c r="W312" s="1464"/>
      <c r="X312" s="1464"/>
      <c r="Y312" s="1464"/>
      <c r="Z312" s="1464"/>
    </row>
    <row r="313">
      <c r="A313" s="1468" t="s">
        <v>4182</v>
      </c>
      <c r="B313" s="1469">
        <v>84000.0</v>
      </c>
      <c r="C313" s="1470">
        <v>2016.0</v>
      </c>
      <c r="D313" s="1473"/>
      <c r="E313" s="1473"/>
      <c r="F313" s="1471" t="s">
        <v>4183</v>
      </c>
      <c r="G313" s="1464"/>
      <c r="H313" s="1464"/>
      <c r="I313" s="1472">
        <v>46296.0</v>
      </c>
      <c r="J313" s="1470" t="s">
        <v>4044</v>
      </c>
      <c r="K313" s="1470" t="s">
        <v>4184</v>
      </c>
      <c r="L313" s="1464"/>
      <c r="M313" s="1464"/>
      <c r="N313" s="1464"/>
      <c r="O313" s="1464"/>
      <c r="P313" s="1464"/>
      <c r="Q313" s="1464"/>
      <c r="R313" s="1464"/>
      <c r="S313" s="1464"/>
      <c r="T313" s="1464"/>
      <c r="U313" s="1464"/>
      <c r="V313" s="1464"/>
      <c r="W313" s="1464"/>
      <c r="X313" s="1464"/>
      <c r="Y313" s="1464"/>
      <c r="Z313" s="1464"/>
    </row>
    <row r="314">
      <c r="A314" s="1468" t="s">
        <v>4182</v>
      </c>
      <c r="B314" s="1469">
        <v>84000.0</v>
      </c>
      <c r="C314" s="1470">
        <v>2016.0</v>
      </c>
      <c r="D314" s="1473"/>
      <c r="E314" s="1473"/>
      <c r="F314" s="1471" t="s">
        <v>4185</v>
      </c>
      <c r="G314" s="1464"/>
      <c r="H314" s="1464"/>
      <c r="I314" s="1472">
        <v>46296.0</v>
      </c>
      <c r="J314" s="1470" t="s">
        <v>4044</v>
      </c>
      <c r="K314" s="1470" t="s">
        <v>4184</v>
      </c>
      <c r="L314" s="1464"/>
      <c r="M314" s="1464"/>
      <c r="N314" s="1464"/>
      <c r="O314" s="1464"/>
      <c r="P314" s="1464"/>
      <c r="Q314" s="1464"/>
      <c r="R314" s="1464"/>
      <c r="S314" s="1464"/>
      <c r="T314" s="1464"/>
      <c r="U314" s="1464"/>
      <c r="V314" s="1464"/>
      <c r="W314" s="1464"/>
      <c r="X314" s="1464"/>
      <c r="Y314" s="1464"/>
      <c r="Z314" s="1464"/>
    </row>
    <row r="315">
      <c r="A315" s="1474" t="s">
        <v>4176</v>
      </c>
      <c r="B315" s="1475">
        <v>91000.0</v>
      </c>
      <c r="C315" s="1476">
        <v>2023.0</v>
      </c>
      <c r="D315" s="1481"/>
      <c r="E315" s="1475" t="s">
        <v>666</v>
      </c>
      <c r="F315" s="1477" t="s">
        <v>4186</v>
      </c>
      <c r="G315" s="1479"/>
      <c r="H315" s="1476" t="s">
        <v>3702</v>
      </c>
      <c r="I315" s="1480">
        <v>46296.0</v>
      </c>
      <c r="J315" s="1476" t="s">
        <v>4038</v>
      </c>
      <c r="K315" s="1476" t="s">
        <v>3732</v>
      </c>
      <c r="L315" s="1479"/>
      <c r="M315" s="1464"/>
      <c r="N315" s="1464"/>
      <c r="O315" s="1464"/>
      <c r="P315" s="1464"/>
      <c r="Q315" s="1464"/>
      <c r="R315" s="1464"/>
      <c r="S315" s="1464"/>
      <c r="T315" s="1464"/>
      <c r="U315" s="1464"/>
      <c r="V315" s="1464"/>
      <c r="W315" s="1464"/>
      <c r="X315" s="1464"/>
      <c r="Y315" s="1464"/>
      <c r="Z315" s="1464"/>
    </row>
    <row r="316">
      <c r="A316" s="1474" t="s">
        <v>4187</v>
      </c>
      <c r="B316" s="1475">
        <v>84000.0</v>
      </c>
      <c r="C316" s="1476">
        <v>2021.0</v>
      </c>
      <c r="D316" s="1475" t="s">
        <v>3636</v>
      </c>
      <c r="E316" s="1475" t="s">
        <v>3637</v>
      </c>
      <c r="F316" s="1477" t="s">
        <v>4188</v>
      </c>
      <c r="G316" s="1464"/>
      <c r="H316" s="1464"/>
      <c r="I316" s="1480">
        <v>46296.0</v>
      </c>
      <c r="J316" s="1476" t="s">
        <v>3640</v>
      </c>
      <c r="K316" s="1470" t="s">
        <v>3652</v>
      </c>
      <c r="L316" s="1464"/>
      <c r="M316" s="1479"/>
      <c r="N316" s="1479"/>
      <c r="O316" s="1479"/>
      <c r="P316" s="1479"/>
      <c r="Q316" s="1479"/>
      <c r="R316" s="1479"/>
      <c r="S316" s="1479"/>
      <c r="T316" s="1479"/>
      <c r="U316" s="1479"/>
      <c r="V316" s="1479"/>
      <c r="W316" s="1479"/>
      <c r="X316" s="1479"/>
      <c r="Y316" s="1479"/>
      <c r="Z316" s="1479"/>
    </row>
    <row r="317">
      <c r="A317" s="1468" t="s">
        <v>4189</v>
      </c>
      <c r="B317" s="1469">
        <v>78900.0</v>
      </c>
      <c r="C317" s="1470">
        <v>2008.0</v>
      </c>
      <c r="D317" s="1473"/>
      <c r="E317" s="1469" t="s">
        <v>3637</v>
      </c>
      <c r="F317" s="1471" t="s">
        <v>4190</v>
      </c>
      <c r="G317" s="1464"/>
      <c r="H317" s="1464"/>
      <c r="I317" s="1472">
        <v>46327.0</v>
      </c>
      <c r="J317" s="1470" t="s">
        <v>761</v>
      </c>
      <c r="K317" s="1470" t="s">
        <v>3669</v>
      </c>
      <c r="L317" s="1470" t="s">
        <v>4191</v>
      </c>
      <c r="M317" s="1464"/>
      <c r="N317" s="1464"/>
      <c r="O317" s="1464"/>
      <c r="P317" s="1464"/>
      <c r="Q317" s="1464"/>
      <c r="R317" s="1464"/>
      <c r="S317" s="1464"/>
      <c r="T317" s="1464"/>
      <c r="U317" s="1464"/>
      <c r="V317" s="1464"/>
      <c r="W317" s="1464"/>
      <c r="X317" s="1464"/>
      <c r="Y317" s="1464"/>
      <c r="Z317" s="1464"/>
    </row>
    <row r="318">
      <c r="A318" s="1468" t="s">
        <v>4192</v>
      </c>
      <c r="B318" s="1469">
        <v>82300.0</v>
      </c>
      <c r="C318" s="1470">
        <v>2008.0</v>
      </c>
      <c r="D318" s="1473"/>
      <c r="E318" s="1473"/>
      <c r="F318" s="1471" t="s">
        <v>4193</v>
      </c>
      <c r="G318" s="1464"/>
      <c r="H318" s="1464"/>
      <c r="I318" s="1472">
        <v>46327.0</v>
      </c>
      <c r="J318" s="1470" t="s">
        <v>1362</v>
      </c>
      <c r="K318" s="1470" t="s">
        <v>3699</v>
      </c>
      <c r="L318" s="1470" t="s">
        <v>4194</v>
      </c>
      <c r="M318" s="1464"/>
      <c r="N318" s="1464"/>
      <c r="O318" s="1464"/>
      <c r="P318" s="1464"/>
      <c r="Q318" s="1464"/>
      <c r="R318" s="1464"/>
      <c r="S318" s="1464"/>
      <c r="T318" s="1464"/>
      <c r="U318" s="1464"/>
      <c r="V318" s="1464"/>
      <c r="W318" s="1464"/>
      <c r="X318" s="1464"/>
      <c r="Y318" s="1464"/>
      <c r="Z318" s="1464"/>
    </row>
    <row r="319">
      <c r="A319" s="1468" t="s">
        <v>4192</v>
      </c>
      <c r="B319" s="1469">
        <v>82300.0</v>
      </c>
      <c r="C319" s="1470">
        <v>2008.0</v>
      </c>
      <c r="D319" s="1473"/>
      <c r="E319" s="1473"/>
      <c r="F319" s="1471" t="s">
        <v>4195</v>
      </c>
      <c r="G319" s="1464"/>
      <c r="H319" s="1464"/>
      <c r="I319" s="1472">
        <v>46327.0</v>
      </c>
      <c r="J319" s="1470" t="s">
        <v>1362</v>
      </c>
      <c r="K319" s="1470" t="s">
        <v>3699</v>
      </c>
      <c r="L319" s="1470" t="s">
        <v>4194</v>
      </c>
      <c r="M319" s="1479"/>
      <c r="N319" s="1479"/>
      <c r="O319" s="1479"/>
      <c r="P319" s="1479"/>
      <c r="Q319" s="1479"/>
      <c r="R319" s="1479"/>
      <c r="S319" s="1479"/>
      <c r="T319" s="1479"/>
      <c r="U319" s="1479"/>
      <c r="V319" s="1479"/>
      <c r="W319" s="1479"/>
      <c r="X319" s="1479"/>
      <c r="Y319" s="1479"/>
      <c r="Z319" s="1479"/>
    </row>
    <row r="320">
      <c r="A320" s="1468" t="s">
        <v>4196</v>
      </c>
      <c r="B320" s="1469">
        <v>82200.0</v>
      </c>
      <c r="C320" s="1470">
        <v>2008.0</v>
      </c>
      <c r="D320" s="1473"/>
      <c r="E320" s="1473"/>
      <c r="F320" s="1471" t="s">
        <v>4197</v>
      </c>
      <c r="G320" s="1464"/>
      <c r="H320" s="1464"/>
      <c r="I320" s="1472">
        <v>46327.0</v>
      </c>
      <c r="J320" s="1470" t="s">
        <v>1362</v>
      </c>
      <c r="K320" s="1470" t="s">
        <v>3699</v>
      </c>
      <c r="L320" s="1470" t="s">
        <v>4198</v>
      </c>
      <c r="M320" s="1479"/>
      <c r="N320" s="1479"/>
      <c r="O320" s="1479"/>
      <c r="P320" s="1479"/>
      <c r="Q320" s="1479"/>
      <c r="R320" s="1479"/>
      <c r="S320" s="1479"/>
      <c r="T320" s="1479"/>
      <c r="U320" s="1479"/>
      <c r="V320" s="1479"/>
      <c r="W320" s="1479"/>
      <c r="X320" s="1479"/>
      <c r="Y320" s="1479"/>
      <c r="Z320" s="1479"/>
    </row>
    <row r="321">
      <c r="A321" s="1468" t="s">
        <v>4199</v>
      </c>
      <c r="B321" s="1469">
        <v>83800.0</v>
      </c>
      <c r="C321" s="1470">
        <v>2009.0</v>
      </c>
      <c r="D321" s="1473"/>
      <c r="E321" s="1473"/>
      <c r="F321" s="1471" t="s">
        <v>4200</v>
      </c>
      <c r="G321" s="1464"/>
      <c r="H321" s="1464"/>
      <c r="I321" s="1472">
        <v>46327.0</v>
      </c>
      <c r="J321" s="1470" t="s">
        <v>1362</v>
      </c>
      <c r="K321" s="1470" t="s">
        <v>4006</v>
      </c>
      <c r="L321" s="1470" t="s">
        <v>4201</v>
      </c>
      <c r="M321" s="1479"/>
      <c r="N321" s="1479"/>
      <c r="O321" s="1479"/>
      <c r="P321" s="1479"/>
      <c r="Q321" s="1479"/>
      <c r="R321" s="1479"/>
      <c r="S321" s="1479"/>
      <c r="T321" s="1479"/>
      <c r="U321" s="1479"/>
      <c r="V321" s="1479"/>
      <c r="W321" s="1479"/>
      <c r="X321" s="1479"/>
      <c r="Y321" s="1479"/>
      <c r="Z321" s="1479"/>
    </row>
    <row r="322">
      <c r="A322" s="1477" t="s">
        <v>4202</v>
      </c>
      <c r="B322" s="1469">
        <v>82400.0</v>
      </c>
      <c r="C322" s="1470">
        <v>2009.0</v>
      </c>
      <c r="D322" s="1473"/>
      <c r="E322" s="1473"/>
      <c r="F322" s="1471" t="s">
        <v>4203</v>
      </c>
      <c r="G322" s="1464"/>
      <c r="H322" s="1464"/>
      <c r="I322" s="1472">
        <v>46327.0</v>
      </c>
      <c r="J322" s="1470" t="s">
        <v>1144</v>
      </c>
      <c r="K322" s="1470" t="s">
        <v>4006</v>
      </c>
      <c r="L322" s="1464"/>
      <c r="M322" s="1479"/>
      <c r="N322" s="1479"/>
      <c r="O322" s="1479"/>
      <c r="P322" s="1479"/>
      <c r="Q322" s="1479"/>
      <c r="R322" s="1479"/>
      <c r="S322" s="1479"/>
      <c r="T322" s="1479"/>
      <c r="U322" s="1479"/>
      <c r="V322" s="1479"/>
      <c r="W322" s="1479"/>
      <c r="X322" s="1479"/>
      <c r="Y322" s="1479"/>
      <c r="Z322" s="1479"/>
    </row>
    <row r="323">
      <c r="A323" s="1468" t="s">
        <v>4204</v>
      </c>
      <c r="B323" s="1469">
        <v>82000.0</v>
      </c>
      <c r="C323" s="1470">
        <v>2008.0</v>
      </c>
      <c r="D323" s="1473"/>
      <c r="E323" s="1473"/>
      <c r="F323" s="1471" t="s">
        <v>4205</v>
      </c>
      <c r="G323" s="1464"/>
      <c r="H323" s="1464"/>
      <c r="I323" s="1480">
        <v>46327.0</v>
      </c>
      <c r="J323" s="1470" t="s">
        <v>1362</v>
      </c>
      <c r="K323" s="1470" t="s">
        <v>4206</v>
      </c>
      <c r="L323" s="1479"/>
      <c r="M323" s="1479"/>
      <c r="N323" s="1479"/>
      <c r="O323" s="1479"/>
      <c r="P323" s="1479"/>
      <c r="Q323" s="1479"/>
      <c r="R323" s="1479"/>
      <c r="S323" s="1479"/>
      <c r="T323" s="1479"/>
      <c r="U323" s="1479"/>
      <c r="V323" s="1479"/>
      <c r="W323" s="1479"/>
      <c r="X323" s="1479"/>
      <c r="Y323" s="1479"/>
      <c r="Z323" s="1479"/>
    </row>
    <row r="324">
      <c r="A324" s="1488" t="s">
        <v>4207</v>
      </c>
      <c r="B324" s="1486">
        <v>93000.0</v>
      </c>
      <c r="C324" s="1487">
        <v>2026.0</v>
      </c>
      <c r="D324" s="1492"/>
      <c r="E324" s="1492"/>
      <c r="F324" s="1488" t="s">
        <v>4208</v>
      </c>
      <c r="G324" s="1489"/>
      <c r="H324" s="1487" t="s">
        <v>3962</v>
      </c>
      <c r="I324" s="1490">
        <v>46327.0</v>
      </c>
      <c r="J324" s="1487" t="s">
        <v>4209</v>
      </c>
      <c r="K324" s="1487" t="s">
        <v>4209</v>
      </c>
      <c r="L324" s="1464"/>
      <c r="M324" s="1464"/>
      <c r="N324" s="1464"/>
      <c r="O324" s="1464"/>
      <c r="P324" s="1464"/>
      <c r="Q324" s="1464"/>
      <c r="R324" s="1464"/>
      <c r="S324" s="1464"/>
      <c r="T324" s="1464"/>
      <c r="U324" s="1464"/>
      <c r="V324" s="1464"/>
      <c r="W324" s="1464"/>
      <c r="X324" s="1464"/>
      <c r="Y324" s="1464"/>
      <c r="Z324" s="1464"/>
    </row>
    <row r="325">
      <c r="A325" s="1468" t="s">
        <v>4189</v>
      </c>
      <c r="B325" s="1469">
        <v>78900.0</v>
      </c>
      <c r="C325" s="1470">
        <v>2008.0</v>
      </c>
      <c r="D325" s="1473"/>
      <c r="E325" s="1469" t="s">
        <v>3637</v>
      </c>
      <c r="F325" s="1471" t="s">
        <v>4210</v>
      </c>
      <c r="G325" s="1464"/>
      <c r="H325" s="1470" t="s">
        <v>3639</v>
      </c>
      <c r="I325" s="1472">
        <v>46327.0</v>
      </c>
      <c r="J325" s="1470" t="s">
        <v>761</v>
      </c>
      <c r="K325" s="1470" t="s">
        <v>3669</v>
      </c>
      <c r="L325" s="1470" t="s">
        <v>4191</v>
      </c>
      <c r="M325" s="1464"/>
      <c r="N325" s="1464"/>
      <c r="O325" s="1464"/>
      <c r="P325" s="1464"/>
      <c r="Q325" s="1464"/>
      <c r="R325" s="1464"/>
      <c r="S325" s="1464"/>
      <c r="T325" s="1464"/>
      <c r="U325" s="1464"/>
      <c r="V325" s="1464"/>
      <c r="W325" s="1464"/>
      <c r="X325" s="1464"/>
      <c r="Y325" s="1464"/>
      <c r="Z325" s="1464"/>
    </row>
    <row r="326">
      <c r="A326" s="1477" t="s">
        <v>4202</v>
      </c>
      <c r="B326" s="1469">
        <v>82400.0</v>
      </c>
      <c r="C326" s="1470">
        <v>2009.0</v>
      </c>
      <c r="D326" s="1473"/>
      <c r="E326" s="1473"/>
      <c r="F326" s="1471" t="s">
        <v>4211</v>
      </c>
      <c r="G326" s="1464"/>
      <c r="H326" s="1464"/>
      <c r="I326" s="1472">
        <v>46327.0</v>
      </c>
      <c r="J326" s="1470" t="s">
        <v>1144</v>
      </c>
      <c r="K326" s="1470" t="s">
        <v>4006</v>
      </c>
      <c r="L326" s="1464"/>
      <c r="M326" s="1479"/>
      <c r="N326" s="1479"/>
      <c r="O326" s="1479"/>
      <c r="P326" s="1479"/>
      <c r="Q326" s="1479"/>
      <c r="R326" s="1479"/>
      <c r="S326" s="1479"/>
      <c r="T326" s="1479"/>
      <c r="U326" s="1479"/>
      <c r="V326" s="1479"/>
      <c r="W326" s="1479"/>
      <c r="X326" s="1479"/>
      <c r="Y326" s="1479"/>
      <c r="Z326" s="1479"/>
    </row>
    <row r="327">
      <c r="A327" s="1468" t="s">
        <v>4204</v>
      </c>
      <c r="B327" s="1469">
        <v>82000.0</v>
      </c>
      <c r="C327" s="1470">
        <v>2008.0</v>
      </c>
      <c r="D327" s="1473"/>
      <c r="E327" s="1473"/>
      <c r="F327" s="1471" t="s">
        <v>4197</v>
      </c>
      <c r="G327" s="1464"/>
      <c r="H327" s="1464"/>
      <c r="I327" s="1480">
        <v>46327.0</v>
      </c>
      <c r="J327" s="1470" t="s">
        <v>1362</v>
      </c>
      <c r="K327" s="1470" t="s">
        <v>4206</v>
      </c>
      <c r="L327" s="1479"/>
      <c r="M327" s="1464"/>
      <c r="N327" s="1464"/>
      <c r="O327" s="1464"/>
      <c r="P327" s="1464"/>
      <c r="Q327" s="1464"/>
      <c r="R327" s="1464"/>
      <c r="S327" s="1464"/>
      <c r="T327" s="1464"/>
      <c r="U327" s="1464"/>
      <c r="V327" s="1464"/>
      <c r="W327" s="1464"/>
      <c r="X327" s="1464"/>
      <c r="Y327" s="1464"/>
      <c r="Z327" s="1464"/>
    </row>
    <row r="328">
      <c r="A328" s="1468" t="s">
        <v>3403</v>
      </c>
      <c r="B328" s="1469">
        <v>82500.0</v>
      </c>
      <c r="C328" s="1470">
        <v>2009.0</v>
      </c>
      <c r="D328" s="1473"/>
      <c r="E328" s="1473"/>
      <c r="F328" s="1471" t="s">
        <v>4212</v>
      </c>
      <c r="G328" s="1464"/>
      <c r="H328" s="1470" t="s">
        <v>3702</v>
      </c>
      <c r="I328" s="1472">
        <v>46357.0</v>
      </c>
      <c r="J328" s="1470" t="s">
        <v>2899</v>
      </c>
      <c r="K328" s="1476" t="s">
        <v>3725</v>
      </c>
      <c r="L328" s="1479"/>
      <c r="M328" s="1479"/>
      <c r="N328" s="1479"/>
      <c r="O328" s="1479"/>
      <c r="P328" s="1479"/>
      <c r="Q328" s="1479"/>
      <c r="R328" s="1479"/>
      <c r="S328" s="1479"/>
      <c r="T328" s="1479"/>
      <c r="U328" s="1479"/>
      <c r="V328" s="1479"/>
      <c r="W328" s="1479"/>
      <c r="X328" s="1479"/>
      <c r="Y328" s="1479"/>
      <c r="Z328" s="1479"/>
    </row>
    <row r="329">
      <c r="A329" s="1485" t="s">
        <v>4213</v>
      </c>
      <c r="B329" s="1486">
        <v>88000.0</v>
      </c>
      <c r="C329" s="1487">
        <v>2026.0</v>
      </c>
      <c r="D329" s="1486" t="s">
        <v>3636</v>
      </c>
      <c r="E329" s="1486" t="s">
        <v>666</v>
      </c>
      <c r="F329" s="1488" t="s">
        <v>4214</v>
      </c>
      <c r="G329" s="1489"/>
      <c r="H329" s="1487" t="s">
        <v>3962</v>
      </c>
      <c r="I329" s="1490">
        <v>46357.0</v>
      </c>
      <c r="J329" s="1487" t="s">
        <v>4215</v>
      </c>
      <c r="K329" s="1487" t="s">
        <v>4215</v>
      </c>
      <c r="L329" s="1464"/>
      <c r="M329" s="1464"/>
      <c r="N329" s="1464"/>
      <c r="O329" s="1464"/>
      <c r="P329" s="1464"/>
      <c r="Q329" s="1464"/>
      <c r="R329" s="1464"/>
      <c r="S329" s="1464"/>
      <c r="T329" s="1464"/>
      <c r="U329" s="1464"/>
      <c r="V329" s="1464"/>
      <c r="W329" s="1464"/>
      <c r="X329" s="1464"/>
      <c r="Y329" s="1464"/>
      <c r="Z329" s="1464"/>
    </row>
    <row r="330">
      <c r="A330" s="1468" t="s">
        <v>4199</v>
      </c>
      <c r="B330" s="1469">
        <v>83800.0</v>
      </c>
      <c r="C330" s="1470">
        <v>2009.0</v>
      </c>
      <c r="D330" s="1473"/>
      <c r="E330" s="1473"/>
      <c r="F330" s="1471" t="s">
        <v>4216</v>
      </c>
      <c r="G330" s="1464"/>
      <c r="H330" s="1464"/>
      <c r="I330" s="1472">
        <v>46357.0</v>
      </c>
      <c r="J330" s="1470" t="s">
        <v>1362</v>
      </c>
      <c r="K330" s="1470" t="s">
        <v>4006</v>
      </c>
      <c r="L330" s="1470" t="s">
        <v>4217</v>
      </c>
      <c r="M330" s="1464"/>
      <c r="N330" s="1464"/>
      <c r="O330" s="1464"/>
      <c r="P330" s="1464"/>
      <c r="Q330" s="1464"/>
      <c r="R330" s="1464"/>
      <c r="S330" s="1464"/>
      <c r="T330" s="1464"/>
      <c r="U330" s="1464"/>
      <c r="V330" s="1464"/>
      <c r="W330" s="1464"/>
      <c r="X330" s="1464"/>
      <c r="Y330" s="1464"/>
      <c r="Z330" s="1464"/>
    </row>
    <row r="331">
      <c r="A331" s="1468" t="s">
        <v>4196</v>
      </c>
      <c r="B331" s="1469">
        <v>82200.0</v>
      </c>
      <c r="C331" s="1470">
        <v>2008.0</v>
      </c>
      <c r="D331" s="1473"/>
      <c r="E331" s="1473"/>
      <c r="F331" s="1471" t="s">
        <v>4218</v>
      </c>
      <c r="G331" s="1464"/>
      <c r="H331" s="1464"/>
      <c r="I331" s="1472">
        <v>46357.0</v>
      </c>
      <c r="J331" s="1470" t="s">
        <v>1362</v>
      </c>
      <c r="K331" s="1470" t="s">
        <v>3699</v>
      </c>
      <c r="L331" s="1470" t="s">
        <v>4219</v>
      </c>
      <c r="M331" s="1464"/>
      <c r="N331" s="1464"/>
      <c r="O331" s="1464"/>
      <c r="P331" s="1464"/>
      <c r="Q331" s="1464"/>
      <c r="R331" s="1464"/>
      <c r="S331" s="1464"/>
      <c r="T331" s="1464"/>
      <c r="U331" s="1464"/>
      <c r="V331" s="1464"/>
      <c r="W331" s="1464"/>
      <c r="X331" s="1464"/>
      <c r="Y331" s="1464"/>
      <c r="Z331" s="1464"/>
    </row>
    <row r="332">
      <c r="A332" s="1468" t="s">
        <v>3403</v>
      </c>
      <c r="B332" s="1469">
        <v>82500.0</v>
      </c>
      <c r="C332" s="1470">
        <v>2009.0</v>
      </c>
      <c r="D332" s="1473"/>
      <c r="E332" s="1473"/>
      <c r="F332" s="1471" t="s">
        <v>4220</v>
      </c>
      <c r="G332" s="1464"/>
      <c r="H332" s="1470" t="s">
        <v>3702</v>
      </c>
      <c r="I332" s="1472">
        <v>46357.0</v>
      </c>
      <c r="J332" s="1470" t="s">
        <v>2899</v>
      </c>
      <c r="K332" s="1476" t="s">
        <v>3725</v>
      </c>
      <c r="L332" s="1479"/>
      <c r="M332" s="1464"/>
      <c r="N332" s="1464"/>
      <c r="O332" s="1464"/>
      <c r="P332" s="1464"/>
      <c r="Q332" s="1464"/>
      <c r="R332" s="1464"/>
      <c r="S332" s="1464"/>
      <c r="T332" s="1464"/>
      <c r="U332" s="1464"/>
      <c r="V332" s="1464"/>
      <c r="W332" s="1464"/>
      <c r="X332" s="1464"/>
      <c r="Y332" s="1464"/>
      <c r="Z332" s="1464"/>
    </row>
    <row r="333">
      <c r="A333" s="1485" t="s">
        <v>4221</v>
      </c>
      <c r="B333" s="1486">
        <v>88000.0</v>
      </c>
      <c r="C333" s="1487">
        <v>2026.0</v>
      </c>
      <c r="D333" s="1486" t="s">
        <v>3636</v>
      </c>
      <c r="E333" s="1486" t="s">
        <v>666</v>
      </c>
      <c r="F333" s="1488" t="s">
        <v>4214</v>
      </c>
      <c r="G333" s="1489"/>
      <c r="H333" s="1487" t="s">
        <v>3962</v>
      </c>
      <c r="I333" s="1490">
        <v>46357.0</v>
      </c>
      <c r="J333" s="1487" t="s">
        <v>3738</v>
      </c>
      <c r="K333" s="1487" t="s">
        <v>3738</v>
      </c>
      <c r="L333" s="1479"/>
      <c r="M333" s="1464"/>
      <c r="N333" s="1464"/>
      <c r="O333" s="1464"/>
      <c r="P333" s="1464"/>
      <c r="Q333" s="1464"/>
      <c r="R333" s="1464"/>
      <c r="S333" s="1464"/>
      <c r="T333" s="1464"/>
      <c r="U333" s="1464"/>
      <c r="V333" s="1464"/>
      <c r="W333" s="1464"/>
      <c r="X333" s="1464"/>
      <c r="Y333" s="1464"/>
      <c r="Z333" s="1464"/>
    </row>
    <row r="334">
      <c r="A334" s="1468" t="s">
        <v>4222</v>
      </c>
      <c r="B334" s="1469">
        <v>82300.0</v>
      </c>
      <c r="C334" s="1470">
        <v>2009.0</v>
      </c>
      <c r="D334" s="1473"/>
      <c r="E334" s="1469" t="s">
        <v>3637</v>
      </c>
      <c r="F334" s="1471" t="s">
        <v>4223</v>
      </c>
      <c r="G334" s="1464"/>
      <c r="H334" s="1464"/>
      <c r="I334" s="1472">
        <v>46357.0</v>
      </c>
      <c r="J334" s="1470" t="s">
        <v>1144</v>
      </c>
      <c r="K334" s="1470" t="s">
        <v>4224</v>
      </c>
      <c r="L334" s="1464"/>
      <c r="M334" s="1464"/>
      <c r="N334" s="1464"/>
      <c r="O334" s="1464"/>
      <c r="P334" s="1464"/>
      <c r="Q334" s="1464"/>
      <c r="R334" s="1464"/>
      <c r="S334" s="1464"/>
      <c r="T334" s="1464"/>
      <c r="U334" s="1464"/>
      <c r="V334" s="1464"/>
      <c r="W334" s="1464"/>
      <c r="X334" s="1464"/>
      <c r="Y334" s="1464"/>
      <c r="Z334" s="1464"/>
    </row>
    <row r="335">
      <c r="A335" s="1468" t="s">
        <v>4222</v>
      </c>
      <c r="B335" s="1469">
        <v>82300.0</v>
      </c>
      <c r="C335" s="1470">
        <v>2009.0</v>
      </c>
      <c r="D335" s="1473"/>
      <c r="E335" s="1469" t="s">
        <v>3637</v>
      </c>
      <c r="F335" s="1471" t="s">
        <v>4225</v>
      </c>
      <c r="G335" s="1464"/>
      <c r="H335" s="1464"/>
      <c r="I335" s="1472">
        <v>46357.0</v>
      </c>
      <c r="J335" s="1470" t="s">
        <v>1144</v>
      </c>
      <c r="K335" s="1470" t="s">
        <v>4224</v>
      </c>
      <c r="L335" s="1464"/>
      <c r="M335" s="1464"/>
      <c r="N335" s="1464"/>
      <c r="O335" s="1464"/>
      <c r="P335" s="1464"/>
      <c r="Q335" s="1464"/>
      <c r="R335" s="1464"/>
      <c r="S335" s="1464"/>
      <c r="T335" s="1464"/>
      <c r="U335" s="1464"/>
      <c r="V335" s="1464"/>
      <c r="W335" s="1464"/>
      <c r="X335" s="1464"/>
      <c r="Y335" s="1464"/>
      <c r="Z335" s="1464"/>
    </row>
    <row r="336">
      <c r="A336" s="1485" t="s">
        <v>4226</v>
      </c>
      <c r="B336" s="1486">
        <v>88000.0</v>
      </c>
      <c r="C336" s="1487">
        <v>2026.0</v>
      </c>
      <c r="D336" s="1486" t="s">
        <v>3636</v>
      </c>
      <c r="E336" s="1486" t="s">
        <v>666</v>
      </c>
      <c r="F336" s="1488" t="s">
        <v>4227</v>
      </c>
      <c r="G336" s="1489"/>
      <c r="H336" s="1487" t="s">
        <v>3702</v>
      </c>
      <c r="I336" s="1490">
        <v>46357.0</v>
      </c>
      <c r="J336" s="1487" t="s">
        <v>3705</v>
      </c>
      <c r="K336" s="1487" t="s">
        <v>3696</v>
      </c>
      <c r="L336" s="1464"/>
      <c r="M336" s="1464"/>
      <c r="N336" s="1464"/>
      <c r="O336" s="1464"/>
      <c r="P336" s="1464"/>
      <c r="Q336" s="1464"/>
      <c r="R336" s="1464"/>
      <c r="S336" s="1464"/>
      <c r="T336" s="1464"/>
      <c r="U336" s="1464"/>
      <c r="V336" s="1464"/>
      <c r="W336" s="1464"/>
      <c r="X336" s="1464"/>
      <c r="Y336" s="1464"/>
      <c r="Z336" s="1464"/>
    </row>
    <row r="337">
      <c r="A337" s="1488" t="s">
        <v>4228</v>
      </c>
      <c r="B337" s="1486">
        <v>88000.0</v>
      </c>
      <c r="C337" s="1487">
        <v>2027.0</v>
      </c>
      <c r="D337" s="1487" t="s">
        <v>3636</v>
      </c>
      <c r="E337" s="1487" t="s">
        <v>666</v>
      </c>
      <c r="F337" s="1488" t="s">
        <v>4229</v>
      </c>
      <c r="G337" s="1489"/>
      <c r="H337" s="1487" t="s">
        <v>3962</v>
      </c>
      <c r="I337" s="1490">
        <v>46388.0</v>
      </c>
      <c r="J337" s="1487" t="s">
        <v>4137</v>
      </c>
      <c r="K337" s="1487" t="s">
        <v>4137</v>
      </c>
      <c r="L337" s="1470" t="s">
        <v>70</v>
      </c>
      <c r="M337" s="1464"/>
      <c r="N337" s="1464"/>
      <c r="O337" s="1464"/>
      <c r="P337" s="1464"/>
      <c r="Q337" s="1464"/>
      <c r="R337" s="1464"/>
      <c r="S337" s="1464"/>
      <c r="T337" s="1464"/>
      <c r="U337" s="1464"/>
      <c r="V337" s="1464"/>
      <c r="W337" s="1464"/>
      <c r="X337" s="1464"/>
      <c r="Y337" s="1464"/>
      <c r="Z337" s="1464"/>
    </row>
    <row r="338">
      <c r="A338" s="1485" t="s">
        <v>4230</v>
      </c>
      <c r="B338" s="1486">
        <v>88000.0</v>
      </c>
      <c r="C338" s="1487">
        <v>2027.0</v>
      </c>
      <c r="D338" s="1489"/>
      <c r="E338" s="1487" t="s">
        <v>666</v>
      </c>
      <c r="F338" s="1488" t="s">
        <v>4231</v>
      </c>
      <c r="G338" s="1489"/>
      <c r="H338" s="1487" t="s">
        <v>3962</v>
      </c>
      <c r="I338" s="1490">
        <v>46388.0</v>
      </c>
      <c r="J338" s="1487" t="s">
        <v>4232</v>
      </c>
      <c r="K338" s="1487" t="s">
        <v>4232</v>
      </c>
      <c r="L338" s="1479"/>
      <c r="M338" s="1464"/>
      <c r="N338" s="1464"/>
      <c r="O338" s="1464"/>
      <c r="P338" s="1464"/>
      <c r="Q338" s="1464"/>
      <c r="R338" s="1464"/>
      <c r="S338" s="1464"/>
      <c r="T338" s="1464"/>
      <c r="U338" s="1464"/>
      <c r="V338" s="1464"/>
      <c r="W338" s="1464"/>
      <c r="X338" s="1464"/>
      <c r="Y338" s="1464"/>
      <c r="Z338" s="1464"/>
    </row>
    <row r="339">
      <c r="A339" s="1485" t="s">
        <v>4233</v>
      </c>
      <c r="B339" s="1486">
        <v>88000.0</v>
      </c>
      <c r="C339" s="1487">
        <v>2027.0</v>
      </c>
      <c r="D339" s="1489"/>
      <c r="E339" s="1487" t="s">
        <v>666</v>
      </c>
      <c r="F339" s="1488" t="s">
        <v>4231</v>
      </c>
      <c r="G339" s="1489"/>
      <c r="H339" s="1487" t="s">
        <v>3962</v>
      </c>
      <c r="I339" s="1490">
        <v>46388.0</v>
      </c>
      <c r="J339" s="1487" t="s">
        <v>4232</v>
      </c>
      <c r="K339" s="1487" t="s">
        <v>4232</v>
      </c>
      <c r="L339" s="1479"/>
      <c r="M339" s="1464"/>
      <c r="N339" s="1464"/>
      <c r="O339" s="1464"/>
      <c r="P339" s="1464"/>
      <c r="Q339" s="1464"/>
      <c r="R339" s="1464"/>
      <c r="S339" s="1464"/>
      <c r="T339" s="1464"/>
      <c r="U339" s="1464"/>
      <c r="V339" s="1464"/>
      <c r="W339" s="1464"/>
      <c r="X339" s="1464"/>
      <c r="Y339" s="1464"/>
      <c r="Z339" s="1464"/>
    </row>
    <row r="340">
      <c r="A340" s="1485" t="s">
        <v>4234</v>
      </c>
      <c r="B340" s="1486">
        <v>88000.0</v>
      </c>
      <c r="C340" s="1487">
        <v>2027.0</v>
      </c>
      <c r="D340" s="1489"/>
      <c r="E340" s="1487" t="s">
        <v>666</v>
      </c>
      <c r="F340" s="1488" t="s">
        <v>4231</v>
      </c>
      <c r="G340" s="1489"/>
      <c r="H340" s="1487" t="s">
        <v>3962</v>
      </c>
      <c r="I340" s="1490">
        <v>46388.0</v>
      </c>
      <c r="J340" s="1487" t="s">
        <v>4232</v>
      </c>
      <c r="K340" s="1487" t="s">
        <v>4232</v>
      </c>
      <c r="L340" s="1479"/>
      <c r="M340" s="1464"/>
      <c r="N340" s="1464"/>
      <c r="O340" s="1464"/>
      <c r="P340" s="1464"/>
      <c r="Q340" s="1464"/>
      <c r="R340" s="1464"/>
      <c r="S340" s="1464"/>
      <c r="T340" s="1464"/>
      <c r="U340" s="1464"/>
      <c r="V340" s="1464"/>
      <c r="W340" s="1464"/>
      <c r="X340" s="1464"/>
      <c r="Y340" s="1464"/>
      <c r="Z340" s="1464"/>
    </row>
    <row r="341">
      <c r="A341" s="1485" t="s">
        <v>4235</v>
      </c>
      <c r="B341" s="1486">
        <v>93000.0</v>
      </c>
      <c r="C341" s="1487">
        <v>2027.0</v>
      </c>
      <c r="D341" s="1492"/>
      <c r="E341" s="1486" t="s">
        <v>666</v>
      </c>
      <c r="F341" s="1488" t="s">
        <v>4236</v>
      </c>
      <c r="G341" s="1489"/>
      <c r="H341" s="1487" t="s">
        <v>4237</v>
      </c>
      <c r="I341" s="1490">
        <v>46388.0</v>
      </c>
      <c r="J341" s="1487" t="s">
        <v>4238</v>
      </c>
      <c r="K341" s="1487" t="s">
        <v>3794</v>
      </c>
      <c r="L341" s="1479"/>
      <c r="M341" s="1464"/>
      <c r="N341" s="1464"/>
      <c r="O341" s="1464"/>
      <c r="P341" s="1464"/>
      <c r="Q341" s="1464"/>
      <c r="R341" s="1464"/>
      <c r="S341" s="1464"/>
      <c r="T341" s="1464"/>
      <c r="U341" s="1464"/>
      <c r="V341" s="1464"/>
      <c r="W341" s="1464"/>
      <c r="X341" s="1464"/>
      <c r="Y341" s="1464"/>
      <c r="Z341" s="1464"/>
    </row>
    <row r="342">
      <c r="A342" s="1485" t="s">
        <v>4239</v>
      </c>
      <c r="B342" s="1486">
        <v>88000.0</v>
      </c>
      <c r="C342" s="1487">
        <v>2027.0</v>
      </c>
      <c r="D342" s="1486" t="s">
        <v>3636</v>
      </c>
      <c r="E342" s="1486" t="s">
        <v>666</v>
      </c>
      <c r="F342" s="1488" t="s">
        <v>4240</v>
      </c>
      <c r="G342" s="1489"/>
      <c r="H342" s="1487" t="s">
        <v>3962</v>
      </c>
      <c r="I342" s="1490">
        <v>46388.0</v>
      </c>
      <c r="J342" s="1487" t="s">
        <v>4215</v>
      </c>
      <c r="K342" s="1487" t="s">
        <v>4215</v>
      </c>
      <c r="L342" s="1464"/>
      <c r="M342" s="1464"/>
      <c r="N342" s="1464"/>
      <c r="O342" s="1464"/>
      <c r="P342" s="1464"/>
      <c r="Q342" s="1464"/>
      <c r="R342" s="1464"/>
      <c r="S342" s="1464"/>
      <c r="T342" s="1464"/>
      <c r="U342" s="1464"/>
      <c r="V342" s="1464"/>
      <c r="W342" s="1464"/>
      <c r="X342" s="1464"/>
      <c r="Y342" s="1464"/>
      <c r="Z342" s="1464"/>
    </row>
    <row r="343">
      <c r="A343" s="1468" t="s">
        <v>4241</v>
      </c>
      <c r="B343" s="1469">
        <v>84000.0</v>
      </c>
      <c r="C343" s="1470">
        <v>2014.0</v>
      </c>
      <c r="D343" s="1473"/>
      <c r="E343" s="1473"/>
      <c r="F343" s="1471" t="s">
        <v>4242</v>
      </c>
      <c r="G343" s="1464"/>
      <c r="H343" s="1470" t="s">
        <v>3639</v>
      </c>
      <c r="I343" s="1472">
        <v>46388.0</v>
      </c>
      <c r="J343" s="1472" t="s">
        <v>863</v>
      </c>
      <c r="K343" s="1470" t="s">
        <v>3647</v>
      </c>
      <c r="L343" s="1464"/>
      <c r="M343" s="1464"/>
      <c r="N343" s="1464"/>
      <c r="O343" s="1464"/>
      <c r="P343" s="1464"/>
      <c r="Q343" s="1464"/>
      <c r="R343" s="1464"/>
      <c r="S343" s="1464"/>
      <c r="T343" s="1464"/>
      <c r="U343" s="1464"/>
      <c r="V343" s="1464"/>
      <c r="W343" s="1464"/>
      <c r="X343" s="1464"/>
      <c r="Y343" s="1464"/>
      <c r="Z343" s="1464"/>
    </row>
    <row r="344">
      <c r="A344" s="1485" t="s">
        <v>4243</v>
      </c>
      <c r="B344" s="1486">
        <v>88000.0</v>
      </c>
      <c r="C344" s="1487">
        <v>2027.0</v>
      </c>
      <c r="D344" s="1492"/>
      <c r="E344" s="1486" t="s">
        <v>666</v>
      </c>
      <c r="F344" s="1488" t="s">
        <v>4231</v>
      </c>
      <c r="G344" s="1489"/>
      <c r="H344" s="1489"/>
      <c r="I344" s="1490">
        <v>46388.0</v>
      </c>
      <c r="J344" s="1487" t="s">
        <v>4244</v>
      </c>
      <c r="K344" s="1487" t="s">
        <v>4244</v>
      </c>
      <c r="L344" s="1464"/>
      <c r="M344" s="1464"/>
      <c r="N344" s="1464"/>
      <c r="O344" s="1464"/>
      <c r="P344" s="1464"/>
      <c r="Q344" s="1464"/>
      <c r="R344" s="1464"/>
      <c r="S344" s="1464"/>
      <c r="T344" s="1464"/>
      <c r="U344" s="1464"/>
      <c r="V344" s="1464"/>
      <c r="W344" s="1464"/>
      <c r="X344" s="1464"/>
      <c r="Y344" s="1464"/>
      <c r="Z344" s="1464"/>
    </row>
    <row r="345">
      <c r="A345" s="1485" t="s">
        <v>4245</v>
      </c>
      <c r="B345" s="1486">
        <v>93000.0</v>
      </c>
      <c r="C345" s="1487">
        <v>2027.0</v>
      </c>
      <c r="D345" s="1492"/>
      <c r="E345" s="1486" t="s">
        <v>666</v>
      </c>
      <c r="F345" s="1488" t="s">
        <v>4246</v>
      </c>
      <c r="G345" s="1489"/>
      <c r="H345" s="1487" t="s">
        <v>3962</v>
      </c>
      <c r="I345" s="1490">
        <v>46388.0</v>
      </c>
      <c r="J345" s="1487" t="s">
        <v>3723</v>
      </c>
      <c r="K345" s="1487" t="s">
        <v>3723</v>
      </c>
      <c r="L345" s="1464"/>
      <c r="M345" s="1464"/>
      <c r="N345" s="1464"/>
      <c r="O345" s="1464"/>
      <c r="P345" s="1464"/>
      <c r="Q345" s="1464"/>
      <c r="R345" s="1464"/>
      <c r="S345" s="1464"/>
      <c r="T345" s="1464"/>
      <c r="U345" s="1464"/>
      <c r="V345" s="1464"/>
      <c r="W345" s="1464"/>
      <c r="X345" s="1464"/>
      <c r="Y345" s="1464"/>
      <c r="Z345" s="1464"/>
    </row>
    <row r="346">
      <c r="A346" s="1474" t="s">
        <v>4247</v>
      </c>
      <c r="B346" s="1475">
        <v>84000.0</v>
      </c>
      <c r="C346" s="1476">
        <v>2021.0</v>
      </c>
      <c r="D346" s="1473"/>
      <c r="E346" s="1469" t="s">
        <v>3637</v>
      </c>
      <c r="F346" s="1477" t="s">
        <v>4248</v>
      </c>
      <c r="G346" s="1464"/>
      <c r="H346" s="1464"/>
      <c r="I346" s="1480">
        <v>46388.0</v>
      </c>
      <c r="J346" s="1470" t="s">
        <v>3695</v>
      </c>
      <c r="K346" s="1470" t="s">
        <v>3753</v>
      </c>
      <c r="L346" s="1464"/>
      <c r="M346" s="1464"/>
      <c r="N346" s="1464"/>
      <c r="O346" s="1464"/>
      <c r="P346" s="1464"/>
      <c r="Q346" s="1464"/>
      <c r="R346" s="1464"/>
      <c r="S346" s="1464"/>
      <c r="T346" s="1464"/>
      <c r="U346" s="1464"/>
      <c r="V346" s="1464"/>
      <c r="W346" s="1464"/>
      <c r="X346" s="1464"/>
      <c r="Y346" s="1464"/>
      <c r="Z346" s="1464"/>
    </row>
    <row r="347">
      <c r="A347" s="1485" t="s">
        <v>4235</v>
      </c>
      <c r="B347" s="1486">
        <v>93000.0</v>
      </c>
      <c r="C347" s="1487">
        <v>2027.0</v>
      </c>
      <c r="D347" s="1492"/>
      <c r="E347" s="1486" t="s">
        <v>666</v>
      </c>
      <c r="F347" s="1488" t="s">
        <v>4249</v>
      </c>
      <c r="G347" s="1489"/>
      <c r="H347" s="1487" t="s">
        <v>4237</v>
      </c>
      <c r="I347" s="1490">
        <v>46388.0</v>
      </c>
      <c r="J347" s="1487" t="s">
        <v>4238</v>
      </c>
      <c r="K347" s="1487" t="s">
        <v>3794</v>
      </c>
      <c r="L347" s="1479"/>
      <c r="M347" s="1479"/>
      <c r="N347" s="1479"/>
      <c r="O347" s="1479"/>
      <c r="P347" s="1479"/>
      <c r="Q347" s="1479"/>
      <c r="R347" s="1479"/>
      <c r="S347" s="1479"/>
      <c r="T347" s="1479"/>
      <c r="U347" s="1479"/>
      <c r="V347" s="1479"/>
      <c r="W347" s="1479"/>
      <c r="X347" s="1479"/>
      <c r="Y347" s="1479"/>
      <c r="Z347" s="1479"/>
    </row>
    <row r="348">
      <c r="A348" s="1474" t="s">
        <v>4250</v>
      </c>
      <c r="B348" s="1475">
        <v>93000.0</v>
      </c>
      <c r="C348" s="1476">
        <v>2024.0</v>
      </c>
      <c r="D348" s="1479"/>
      <c r="E348" s="1476" t="s">
        <v>666</v>
      </c>
      <c r="F348" s="1477" t="s">
        <v>4251</v>
      </c>
      <c r="G348" s="1479"/>
      <c r="H348" s="1479"/>
      <c r="I348" s="1480">
        <v>46388.0</v>
      </c>
      <c r="J348" s="1476" t="s">
        <v>3684</v>
      </c>
      <c r="K348" s="1476" t="s">
        <v>4252</v>
      </c>
      <c r="L348" s="1479"/>
      <c r="M348" s="1464"/>
      <c r="N348" s="1464"/>
      <c r="O348" s="1464"/>
      <c r="P348" s="1464"/>
      <c r="Q348" s="1464"/>
      <c r="R348" s="1464"/>
      <c r="S348" s="1464"/>
      <c r="T348" s="1464"/>
      <c r="U348" s="1464"/>
      <c r="V348" s="1464"/>
      <c r="W348" s="1464"/>
      <c r="X348" s="1464"/>
      <c r="Y348" s="1464"/>
      <c r="Z348" s="1464"/>
    </row>
    <row r="349">
      <c r="A349" s="1474" t="s">
        <v>4250</v>
      </c>
      <c r="B349" s="1475">
        <v>93000.0</v>
      </c>
      <c r="C349" s="1476">
        <v>2024.0</v>
      </c>
      <c r="D349" s="1479"/>
      <c r="E349" s="1476" t="s">
        <v>666</v>
      </c>
      <c r="F349" s="1477" t="s">
        <v>4253</v>
      </c>
      <c r="G349" s="1479"/>
      <c r="H349" s="1479"/>
      <c r="I349" s="1480">
        <v>46388.0</v>
      </c>
      <c r="J349" s="1476" t="s">
        <v>3684</v>
      </c>
      <c r="K349" s="1476" t="s">
        <v>4252</v>
      </c>
      <c r="L349" s="1479"/>
      <c r="M349" s="1464"/>
      <c r="N349" s="1464"/>
      <c r="O349" s="1464"/>
      <c r="P349" s="1464"/>
      <c r="Q349" s="1464"/>
      <c r="R349" s="1464"/>
      <c r="S349" s="1464"/>
      <c r="T349" s="1464"/>
      <c r="U349" s="1464"/>
      <c r="V349" s="1464"/>
      <c r="W349" s="1464"/>
      <c r="X349" s="1464"/>
      <c r="Y349" s="1464"/>
      <c r="Z349" s="1464"/>
    </row>
    <row r="350">
      <c r="A350" s="1488" t="s">
        <v>4254</v>
      </c>
      <c r="B350" s="1486">
        <v>86700.0</v>
      </c>
      <c r="C350" s="1487">
        <v>2027.0</v>
      </c>
      <c r="D350" s="1492"/>
      <c r="E350" s="1486" t="s">
        <v>666</v>
      </c>
      <c r="F350" s="1488" t="s">
        <v>4240</v>
      </c>
      <c r="G350" s="1489"/>
      <c r="H350" s="1487" t="s">
        <v>3718</v>
      </c>
      <c r="I350" s="1490">
        <v>46388.0</v>
      </c>
      <c r="J350" s="1487" t="s">
        <v>3207</v>
      </c>
      <c r="K350" s="1487" t="s">
        <v>3207</v>
      </c>
      <c r="L350" s="1464"/>
      <c r="M350" s="1479"/>
      <c r="N350" s="1479"/>
      <c r="O350" s="1479"/>
      <c r="P350" s="1479"/>
      <c r="Q350" s="1479"/>
      <c r="R350" s="1479"/>
      <c r="S350" s="1479"/>
      <c r="T350" s="1479"/>
      <c r="U350" s="1479"/>
      <c r="V350" s="1479"/>
      <c r="W350" s="1479"/>
      <c r="X350" s="1479"/>
      <c r="Y350" s="1479"/>
      <c r="Z350" s="1479"/>
    </row>
    <row r="351">
      <c r="A351" s="1485" t="s">
        <v>4255</v>
      </c>
      <c r="B351" s="1486">
        <v>88000.0</v>
      </c>
      <c r="C351" s="1487">
        <v>2027.0</v>
      </c>
      <c r="D351" s="1492"/>
      <c r="E351" s="1486" t="s">
        <v>666</v>
      </c>
      <c r="F351" s="1488" t="s">
        <v>4229</v>
      </c>
      <c r="G351" s="1489"/>
      <c r="H351" s="1487" t="s">
        <v>3962</v>
      </c>
      <c r="I351" s="1490">
        <v>46388.0</v>
      </c>
      <c r="J351" s="1487" t="s">
        <v>4256</v>
      </c>
      <c r="K351" s="1487" t="s">
        <v>4256</v>
      </c>
      <c r="L351" s="1464"/>
      <c r="M351" s="1464"/>
      <c r="N351" s="1464"/>
      <c r="O351" s="1464"/>
      <c r="P351" s="1464"/>
      <c r="Q351" s="1464"/>
      <c r="R351" s="1464"/>
      <c r="S351" s="1464"/>
      <c r="T351" s="1464"/>
      <c r="U351" s="1464"/>
      <c r="V351" s="1464"/>
      <c r="W351" s="1464"/>
      <c r="X351" s="1464"/>
      <c r="Y351" s="1464"/>
      <c r="Z351" s="1464"/>
    </row>
    <row r="352">
      <c r="A352" s="1468" t="s">
        <v>4241</v>
      </c>
      <c r="B352" s="1469">
        <v>84000.0</v>
      </c>
      <c r="C352" s="1470">
        <v>2014.0</v>
      </c>
      <c r="D352" s="1473"/>
      <c r="E352" s="1469" t="s">
        <v>3637</v>
      </c>
      <c r="F352" s="1471" t="s">
        <v>4257</v>
      </c>
      <c r="G352" s="1464"/>
      <c r="H352" s="1470" t="s">
        <v>3639</v>
      </c>
      <c r="I352" s="1472">
        <v>46388.0</v>
      </c>
      <c r="J352" s="1472" t="s">
        <v>863</v>
      </c>
      <c r="K352" s="1470" t="s">
        <v>3647</v>
      </c>
      <c r="L352" s="1464"/>
      <c r="M352" s="1464"/>
      <c r="N352" s="1464"/>
      <c r="O352" s="1464"/>
      <c r="P352" s="1464"/>
      <c r="Q352" s="1464"/>
      <c r="R352" s="1464"/>
      <c r="S352" s="1464"/>
      <c r="T352" s="1464"/>
      <c r="U352" s="1464"/>
      <c r="V352" s="1464"/>
      <c r="W352" s="1464"/>
      <c r="X352" s="1464"/>
      <c r="Y352" s="1464"/>
      <c r="Z352" s="1464"/>
    </row>
    <row r="353">
      <c r="A353" s="1474" t="s">
        <v>4247</v>
      </c>
      <c r="B353" s="1475">
        <v>84000.0</v>
      </c>
      <c r="C353" s="1476">
        <v>2021.0</v>
      </c>
      <c r="D353" s="1473"/>
      <c r="E353" s="1469" t="s">
        <v>3637</v>
      </c>
      <c r="F353" s="1477" t="s">
        <v>4258</v>
      </c>
      <c r="G353" s="1464"/>
      <c r="H353" s="1464"/>
      <c r="I353" s="1480">
        <v>46388.0</v>
      </c>
      <c r="J353" s="1470" t="s">
        <v>3695</v>
      </c>
      <c r="K353" s="1470" t="s">
        <v>3753</v>
      </c>
      <c r="L353" s="1479"/>
      <c r="M353" s="1464"/>
      <c r="N353" s="1464"/>
      <c r="O353" s="1464"/>
      <c r="P353" s="1464"/>
      <c r="Q353" s="1464"/>
      <c r="R353" s="1464"/>
      <c r="S353" s="1464"/>
      <c r="T353" s="1464"/>
      <c r="U353" s="1464"/>
      <c r="V353" s="1464"/>
      <c r="W353" s="1464"/>
      <c r="X353" s="1464"/>
      <c r="Y353" s="1464"/>
      <c r="Z353" s="1464"/>
    </row>
    <row r="354">
      <c r="A354" s="1468" t="s">
        <v>3377</v>
      </c>
      <c r="B354" s="1469">
        <v>84000.0</v>
      </c>
      <c r="C354" s="1470">
        <v>2015.0</v>
      </c>
      <c r="D354" s="1473"/>
      <c r="E354" s="1473"/>
      <c r="F354" s="1471" t="s">
        <v>4259</v>
      </c>
      <c r="G354" s="1464"/>
      <c r="H354" s="1470" t="s">
        <v>3639</v>
      </c>
      <c r="I354" s="1472">
        <v>46419.0</v>
      </c>
      <c r="J354" s="1491" t="s">
        <v>4038</v>
      </c>
      <c r="K354" s="1470" t="s">
        <v>4260</v>
      </c>
      <c r="L354" s="1470" t="s">
        <v>4261</v>
      </c>
      <c r="M354" s="1464"/>
      <c r="N354" s="1464"/>
      <c r="O354" s="1464"/>
      <c r="P354" s="1464"/>
      <c r="Q354" s="1464"/>
      <c r="R354" s="1464"/>
      <c r="S354" s="1464"/>
      <c r="T354" s="1464"/>
      <c r="U354" s="1464"/>
      <c r="V354" s="1464"/>
      <c r="W354" s="1464"/>
      <c r="X354" s="1464"/>
      <c r="Y354" s="1464"/>
      <c r="Z354" s="1464"/>
    </row>
    <row r="355">
      <c r="A355" s="1468" t="s">
        <v>4262</v>
      </c>
      <c r="B355" s="1469">
        <v>84000.0</v>
      </c>
      <c r="C355" s="1470">
        <v>2016.0</v>
      </c>
      <c r="D355" s="1473"/>
      <c r="E355" s="1473"/>
      <c r="F355" s="1471" t="s">
        <v>4263</v>
      </c>
      <c r="G355" s="1464"/>
      <c r="H355" s="1470" t="s">
        <v>3639</v>
      </c>
      <c r="I355" s="1472">
        <v>46419.0</v>
      </c>
      <c r="J355" s="1470" t="s">
        <v>3659</v>
      </c>
      <c r="K355" s="1470" t="s">
        <v>4006</v>
      </c>
      <c r="L355" s="1464"/>
      <c r="M355" s="1464"/>
      <c r="N355" s="1464"/>
      <c r="O355" s="1464"/>
      <c r="P355" s="1464"/>
      <c r="Q355" s="1464"/>
      <c r="R355" s="1464"/>
      <c r="S355" s="1464"/>
      <c r="T355" s="1464"/>
      <c r="U355" s="1464"/>
      <c r="V355" s="1464"/>
      <c r="W355" s="1464"/>
      <c r="X355" s="1464"/>
      <c r="Y355" s="1464"/>
      <c r="Z355" s="1464"/>
    </row>
    <row r="356">
      <c r="A356" s="1474" t="s">
        <v>3422</v>
      </c>
      <c r="B356" s="1475">
        <v>84000.0</v>
      </c>
      <c r="C356" s="1476">
        <v>2020.0</v>
      </c>
      <c r="D356" s="1473"/>
      <c r="E356" s="1469" t="s">
        <v>3637</v>
      </c>
      <c r="F356" s="1477" t="s">
        <v>4264</v>
      </c>
      <c r="G356" s="1464"/>
      <c r="H356" s="1470" t="s">
        <v>3639</v>
      </c>
      <c r="I356" s="1480">
        <v>46419.0</v>
      </c>
      <c r="J356" s="1476" t="s">
        <v>3684</v>
      </c>
      <c r="K356" s="1470" t="s">
        <v>4252</v>
      </c>
      <c r="L356" s="1464"/>
      <c r="M356" s="1464"/>
      <c r="N356" s="1464"/>
      <c r="O356" s="1464"/>
      <c r="P356" s="1464"/>
      <c r="Q356" s="1464"/>
      <c r="R356" s="1464"/>
      <c r="S356" s="1464"/>
      <c r="T356" s="1464"/>
      <c r="U356" s="1464"/>
      <c r="V356" s="1464"/>
      <c r="W356" s="1464"/>
      <c r="X356" s="1464"/>
      <c r="Y356" s="1464"/>
      <c r="Z356" s="1464"/>
    </row>
    <row r="357">
      <c r="A357" s="1488" t="s">
        <v>4265</v>
      </c>
      <c r="B357" s="1486">
        <v>93000.0</v>
      </c>
      <c r="C357" s="1487">
        <v>2027.0</v>
      </c>
      <c r="D357" s="1492"/>
      <c r="E357" s="1492"/>
      <c r="F357" s="1488" t="s">
        <v>4266</v>
      </c>
      <c r="G357" s="1489"/>
      <c r="H357" s="1487" t="s">
        <v>3962</v>
      </c>
      <c r="I357" s="1490">
        <v>46419.0</v>
      </c>
      <c r="J357" s="1487" t="s">
        <v>4209</v>
      </c>
      <c r="K357" s="1487" t="s">
        <v>4209</v>
      </c>
      <c r="L357" s="1464"/>
      <c r="M357" s="1464"/>
      <c r="N357" s="1464"/>
      <c r="O357" s="1464"/>
      <c r="P357" s="1464"/>
      <c r="Q357" s="1464"/>
      <c r="R357" s="1464"/>
      <c r="S357" s="1464"/>
      <c r="T357" s="1464"/>
      <c r="U357" s="1464"/>
      <c r="V357" s="1464"/>
      <c r="W357" s="1464"/>
      <c r="X357" s="1464"/>
      <c r="Y357" s="1464"/>
      <c r="Z357" s="1464"/>
    </row>
    <row r="358">
      <c r="A358" s="1474" t="s">
        <v>3422</v>
      </c>
      <c r="B358" s="1475">
        <v>84000.0</v>
      </c>
      <c r="C358" s="1476">
        <v>2020.0</v>
      </c>
      <c r="D358" s="1473"/>
      <c r="E358" s="1469" t="s">
        <v>3637</v>
      </c>
      <c r="F358" s="1477" t="s">
        <v>4267</v>
      </c>
      <c r="G358" s="1464"/>
      <c r="H358" s="1470" t="s">
        <v>3639</v>
      </c>
      <c r="I358" s="1480">
        <v>46419.0</v>
      </c>
      <c r="J358" s="1476" t="s">
        <v>3684</v>
      </c>
      <c r="K358" s="1470" t="s">
        <v>4252</v>
      </c>
      <c r="L358" s="1464"/>
      <c r="M358" s="1464"/>
      <c r="N358" s="1464"/>
      <c r="O358" s="1464"/>
      <c r="P358" s="1464"/>
      <c r="Q358" s="1464"/>
      <c r="R358" s="1464"/>
      <c r="S358" s="1464"/>
      <c r="T358" s="1464"/>
      <c r="U358" s="1464"/>
      <c r="V358" s="1464"/>
      <c r="W358" s="1464"/>
      <c r="X358" s="1464"/>
      <c r="Y358" s="1464"/>
      <c r="Z358" s="1464"/>
    </row>
    <row r="359">
      <c r="A359" s="1468" t="s">
        <v>3377</v>
      </c>
      <c r="B359" s="1469">
        <v>84000.0</v>
      </c>
      <c r="C359" s="1470">
        <v>2015.0</v>
      </c>
      <c r="D359" s="1473"/>
      <c r="E359" s="1473"/>
      <c r="F359" s="1471" t="s">
        <v>4268</v>
      </c>
      <c r="G359" s="1464"/>
      <c r="H359" s="1470" t="s">
        <v>3639</v>
      </c>
      <c r="I359" s="1472">
        <v>46419.0</v>
      </c>
      <c r="J359" s="1470" t="s">
        <v>4038</v>
      </c>
      <c r="K359" s="1470" t="s">
        <v>4260</v>
      </c>
      <c r="L359" s="1464"/>
      <c r="M359" s="1479"/>
      <c r="N359" s="1479"/>
      <c r="O359" s="1479"/>
      <c r="P359" s="1479"/>
      <c r="Q359" s="1479"/>
      <c r="R359" s="1479"/>
      <c r="S359" s="1479"/>
      <c r="T359" s="1479"/>
      <c r="U359" s="1479"/>
      <c r="V359" s="1479"/>
      <c r="W359" s="1479"/>
      <c r="X359" s="1479"/>
      <c r="Y359" s="1479"/>
      <c r="Z359" s="1479"/>
    </row>
    <row r="360">
      <c r="A360" s="1468" t="s">
        <v>4262</v>
      </c>
      <c r="B360" s="1469">
        <v>84000.0</v>
      </c>
      <c r="C360" s="1470">
        <v>2016.0</v>
      </c>
      <c r="D360" s="1473"/>
      <c r="E360" s="1473"/>
      <c r="F360" s="1471" t="s">
        <v>4269</v>
      </c>
      <c r="G360" s="1464"/>
      <c r="H360" s="1470" t="s">
        <v>3639</v>
      </c>
      <c r="I360" s="1472">
        <v>46419.0</v>
      </c>
      <c r="J360" s="1470" t="s">
        <v>3659</v>
      </c>
      <c r="K360" s="1470" t="s">
        <v>4006</v>
      </c>
      <c r="L360" s="1464"/>
      <c r="M360" s="1479"/>
      <c r="N360" s="1479"/>
      <c r="O360" s="1479"/>
      <c r="P360" s="1479"/>
      <c r="Q360" s="1479"/>
      <c r="R360" s="1479"/>
      <c r="S360" s="1479"/>
      <c r="T360" s="1479"/>
      <c r="U360" s="1479"/>
      <c r="V360" s="1479"/>
      <c r="W360" s="1479"/>
      <c r="X360" s="1479"/>
      <c r="Y360" s="1479"/>
      <c r="Z360" s="1479"/>
    </row>
    <row r="361">
      <c r="A361" s="1468" t="s">
        <v>4270</v>
      </c>
      <c r="B361" s="1469">
        <v>83300.0</v>
      </c>
      <c r="C361" s="1470">
        <v>2016.0</v>
      </c>
      <c r="D361" s="1473"/>
      <c r="E361" s="1469" t="s">
        <v>3637</v>
      </c>
      <c r="F361" s="1471" t="s">
        <v>4271</v>
      </c>
      <c r="G361" s="1464"/>
      <c r="H361" s="1464"/>
      <c r="I361" s="1472">
        <v>46447.0</v>
      </c>
      <c r="J361" s="1470" t="s">
        <v>3658</v>
      </c>
      <c r="K361" s="1470" t="s">
        <v>3669</v>
      </c>
      <c r="L361" s="1464"/>
      <c r="M361" s="1464"/>
      <c r="N361" s="1464"/>
      <c r="O361" s="1464"/>
      <c r="P361" s="1464"/>
      <c r="Q361" s="1464"/>
      <c r="R361" s="1464"/>
      <c r="S361" s="1464"/>
      <c r="T361" s="1464"/>
      <c r="U361" s="1464"/>
      <c r="V361" s="1464"/>
      <c r="W361" s="1464"/>
      <c r="X361" s="1464"/>
      <c r="Y361" s="1464"/>
      <c r="Z361" s="1464"/>
    </row>
    <row r="362">
      <c r="A362" s="1468" t="s">
        <v>4272</v>
      </c>
      <c r="B362" s="1469">
        <v>83000.0</v>
      </c>
      <c r="C362" s="1470">
        <v>2016.0</v>
      </c>
      <c r="D362" s="1473"/>
      <c r="E362" s="1469" t="s">
        <v>3637</v>
      </c>
      <c r="F362" s="1471" t="s">
        <v>4273</v>
      </c>
      <c r="G362" s="1464"/>
      <c r="H362" s="1470" t="s">
        <v>3639</v>
      </c>
      <c r="I362" s="1472">
        <v>46447.0</v>
      </c>
      <c r="J362" s="1470" t="s">
        <v>4274</v>
      </c>
      <c r="K362" s="1470" t="s">
        <v>4174</v>
      </c>
      <c r="L362" s="1464"/>
      <c r="M362" s="1464"/>
      <c r="N362" s="1464"/>
      <c r="O362" s="1464"/>
      <c r="P362" s="1464"/>
      <c r="Q362" s="1464"/>
      <c r="R362" s="1464"/>
      <c r="S362" s="1464"/>
      <c r="T362" s="1464"/>
      <c r="U362" s="1464"/>
      <c r="V362" s="1464"/>
      <c r="W362" s="1464"/>
      <c r="X362" s="1464"/>
      <c r="Y362" s="1464"/>
      <c r="Z362" s="1464"/>
    </row>
    <row r="363">
      <c r="A363" s="1468" t="s">
        <v>4275</v>
      </c>
      <c r="B363" s="1469">
        <v>83000.0</v>
      </c>
      <c r="C363" s="1470">
        <v>2017.0</v>
      </c>
      <c r="D363" s="1473"/>
      <c r="E363" s="1473"/>
      <c r="F363" s="1471" t="s">
        <v>4276</v>
      </c>
      <c r="G363" s="1464"/>
      <c r="H363" s="1464"/>
      <c r="I363" s="1472">
        <v>46447.0</v>
      </c>
      <c r="J363" s="1476" t="s">
        <v>4101</v>
      </c>
      <c r="K363" s="1470" t="s">
        <v>3652</v>
      </c>
      <c r="L363" s="1464"/>
      <c r="M363" s="1464"/>
      <c r="N363" s="1464"/>
      <c r="O363" s="1464"/>
      <c r="P363" s="1464"/>
      <c r="Q363" s="1464"/>
      <c r="R363" s="1464"/>
      <c r="S363" s="1464"/>
      <c r="T363" s="1464"/>
      <c r="U363" s="1464"/>
      <c r="V363" s="1464"/>
      <c r="W363" s="1464"/>
      <c r="X363" s="1464"/>
      <c r="Y363" s="1464"/>
      <c r="Z363" s="1464"/>
    </row>
    <row r="364">
      <c r="A364" s="1485" t="s">
        <v>4277</v>
      </c>
      <c r="B364" s="1486">
        <v>93000.0</v>
      </c>
      <c r="C364" s="1487">
        <v>2027.0</v>
      </c>
      <c r="D364" s="1492"/>
      <c r="E364" s="1486" t="s">
        <v>666</v>
      </c>
      <c r="F364" s="1488" t="s">
        <v>4246</v>
      </c>
      <c r="G364" s="1489"/>
      <c r="H364" s="1487" t="s">
        <v>3962</v>
      </c>
      <c r="I364" s="1490">
        <v>46447.0</v>
      </c>
      <c r="J364" s="1487" t="s">
        <v>3723</v>
      </c>
      <c r="K364" s="1487" t="s">
        <v>3723</v>
      </c>
      <c r="L364" s="1464"/>
      <c r="M364" s="1464"/>
      <c r="N364" s="1464"/>
      <c r="O364" s="1464"/>
      <c r="P364" s="1464"/>
      <c r="Q364" s="1464"/>
      <c r="R364" s="1464"/>
      <c r="S364" s="1464"/>
      <c r="T364" s="1464"/>
      <c r="U364" s="1464"/>
      <c r="V364" s="1464"/>
      <c r="W364" s="1464"/>
      <c r="X364" s="1464"/>
      <c r="Y364" s="1464"/>
      <c r="Z364" s="1464"/>
    </row>
    <row r="365">
      <c r="A365" s="1485" t="s">
        <v>4278</v>
      </c>
      <c r="B365" s="1486">
        <v>93000.0</v>
      </c>
      <c r="C365" s="1487">
        <v>2027.0</v>
      </c>
      <c r="D365" s="1492"/>
      <c r="E365" s="1486" t="s">
        <v>666</v>
      </c>
      <c r="F365" s="1488" t="s">
        <v>4246</v>
      </c>
      <c r="G365" s="1489"/>
      <c r="H365" s="1487" t="s">
        <v>3962</v>
      </c>
      <c r="I365" s="1490">
        <v>46447.0</v>
      </c>
      <c r="J365" s="1487" t="s">
        <v>3723</v>
      </c>
      <c r="K365" s="1487" t="s">
        <v>3723</v>
      </c>
      <c r="L365" s="1464"/>
      <c r="M365" s="1464"/>
      <c r="N365" s="1464"/>
      <c r="O365" s="1464"/>
      <c r="P365" s="1464"/>
      <c r="Q365" s="1464"/>
      <c r="R365" s="1464"/>
      <c r="S365" s="1464"/>
      <c r="T365" s="1464"/>
      <c r="U365" s="1464"/>
      <c r="V365" s="1464"/>
      <c r="W365" s="1464"/>
      <c r="X365" s="1464"/>
      <c r="Y365" s="1464"/>
      <c r="Z365" s="1464"/>
    </row>
    <row r="366">
      <c r="A366" s="1468" t="s">
        <v>4275</v>
      </c>
      <c r="B366" s="1469">
        <v>83000.0</v>
      </c>
      <c r="C366" s="1470">
        <v>2017.0</v>
      </c>
      <c r="D366" s="1473"/>
      <c r="E366" s="1473"/>
      <c r="F366" s="1471" t="s">
        <v>4279</v>
      </c>
      <c r="G366" s="1464"/>
      <c r="H366" s="1470" t="s">
        <v>3639</v>
      </c>
      <c r="I366" s="1472">
        <v>46447.0</v>
      </c>
      <c r="J366" s="1470" t="s">
        <v>4101</v>
      </c>
      <c r="K366" s="1470" t="s">
        <v>3652</v>
      </c>
      <c r="L366" s="1464"/>
      <c r="M366" s="1464"/>
      <c r="N366" s="1464"/>
      <c r="O366" s="1464"/>
      <c r="P366" s="1464"/>
      <c r="Q366" s="1464"/>
      <c r="R366" s="1464"/>
      <c r="S366" s="1464"/>
      <c r="T366" s="1464"/>
      <c r="U366" s="1464"/>
      <c r="V366" s="1464"/>
      <c r="W366" s="1464"/>
      <c r="X366" s="1464"/>
      <c r="Y366" s="1464"/>
      <c r="Z366" s="1464"/>
    </row>
    <row r="367">
      <c r="A367" s="1468" t="s">
        <v>4280</v>
      </c>
      <c r="B367" s="1469">
        <v>84000.0</v>
      </c>
      <c r="C367" s="1470">
        <v>2016.0</v>
      </c>
      <c r="D367" s="1473"/>
      <c r="E367" s="1473"/>
      <c r="F367" s="1471" t="s">
        <v>4281</v>
      </c>
      <c r="G367" s="1464"/>
      <c r="H367" s="1470" t="s">
        <v>3639</v>
      </c>
      <c r="I367" s="1472">
        <v>46447.0</v>
      </c>
      <c r="J367" s="1470" t="s">
        <v>4038</v>
      </c>
      <c r="K367" s="1470" t="s">
        <v>4282</v>
      </c>
      <c r="L367" s="1464"/>
      <c r="M367" s="1464"/>
      <c r="N367" s="1464"/>
      <c r="O367" s="1464"/>
      <c r="P367" s="1464"/>
      <c r="Q367" s="1464"/>
      <c r="R367" s="1464"/>
      <c r="S367" s="1464"/>
      <c r="T367" s="1464"/>
      <c r="U367" s="1464"/>
      <c r="V367" s="1464"/>
      <c r="W367" s="1464"/>
      <c r="X367" s="1464"/>
      <c r="Y367" s="1464"/>
      <c r="Z367" s="1464"/>
    </row>
    <row r="368">
      <c r="A368" s="1468" t="s">
        <v>4283</v>
      </c>
      <c r="B368" s="1469">
        <v>84000.0</v>
      </c>
      <c r="C368" s="1470">
        <v>2016.0</v>
      </c>
      <c r="D368" s="1473"/>
      <c r="E368" s="1473"/>
      <c r="F368" s="1471" t="s">
        <v>4284</v>
      </c>
      <c r="G368" s="1464"/>
      <c r="H368" s="1464"/>
      <c r="I368" s="1472">
        <v>46447.0</v>
      </c>
      <c r="J368" s="1470" t="s">
        <v>4285</v>
      </c>
      <c r="K368" s="1470" t="s">
        <v>3859</v>
      </c>
      <c r="L368" s="1470" t="s">
        <v>4286</v>
      </c>
      <c r="M368" s="1464"/>
      <c r="N368" s="1464"/>
      <c r="O368" s="1464"/>
      <c r="P368" s="1464"/>
      <c r="Q368" s="1464"/>
      <c r="R368" s="1464"/>
      <c r="S368" s="1464"/>
      <c r="T368" s="1464"/>
      <c r="U368" s="1464"/>
      <c r="V368" s="1464"/>
      <c r="W368" s="1464"/>
      <c r="X368" s="1464"/>
      <c r="Y368" s="1464"/>
      <c r="Z368" s="1464"/>
    </row>
    <row r="369">
      <c r="A369" s="1485" t="s">
        <v>4287</v>
      </c>
      <c r="B369" s="1486">
        <v>88000.0</v>
      </c>
      <c r="C369" s="1487">
        <v>2027.0</v>
      </c>
      <c r="D369" s="1486" t="s">
        <v>3636</v>
      </c>
      <c r="E369" s="1486" t="s">
        <v>666</v>
      </c>
      <c r="F369" s="1488" t="s">
        <v>4288</v>
      </c>
      <c r="G369" s="1489"/>
      <c r="H369" s="1487" t="s">
        <v>3962</v>
      </c>
      <c r="I369" s="1490">
        <v>46447.0</v>
      </c>
      <c r="J369" s="1487" t="s">
        <v>3738</v>
      </c>
      <c r="K369" s="1487" t="s">
        <v>3738</v>
      </c>
      <c r="L369" s="1479"/>
      <c r="M369" s="1464"/>
      <c r="N369" s="1464"/>
      <c r="O369" s="1464"/>
      <c r="P369" s="1464"/>
      <c r="Q369" s="1464"/>
      <c r="R369" s="1464"/>
      <c r="S369" s="1464"/>
      <c r="T369" s="1464"/>
      <c r="U369" s="1464"/>
      <c r="V369" s="1464"/>
      <c r="W369" s="1464"/>
      <c r="X369" s="1464"/>
      <c r="Y369" s="1464"/>
      <c r="Z369" s="1464"/>
    </row>
    <row r="370">
      <c r="A370" s="1468" t="s">
        <v>4275</v>
      </c>
      <c r="B370" s="1469">
        <v>83000.0</v>
      </c>
      <c r="C370" s="1470">
        <v>2017.0</v>
      </c>
      <c r="D370" s="1473"/>
      <c r="E370" s="1473"/>
      <c r="F370" s="1471" t="s">
        <v>4289</v>
      </c>
      <c r="G370" s="1464"/>
      <c r="H370" s="1464"/>
      <c r="I370" s="1472">
        <v>46447.0</v>
      </c>
      <c r="J370" s="1470" t="s">
        <v>4101</v>
      </c>
      <c r="K370" s="1470" t="s">
        <v>3652</v>
      </c>
      <c r="L370" s="1464"/>
      <c r="M370" s="1464"/>
      <c r="N370" s="1464"/>
      <c r="O370" s="1464"/>
      <c r="P370" s="1464"/>
      <c r="Q370" s="1464"/>
      <c r="R370" s="1464"/>
      <c r="S370" s="1464"/>
      <c r="T370" s="1464"/>
      <c r="U370" s="1464"/>
      <c r="V370" s="1464"/>
      <c r="W370" s="1464"/>
      <c r="X370" s="1464"/>
      <c r="Y370" s="1464"/>
      <c r="Z370" s="1464"/>
    </row>
    <row r="371">
      <c r="A371" s="1468" t="s">
        <v>3712</v>
      </c>
      <c r="B371" s="1469">
        <v>78900.0</v>
      </c>
      <c r="C371" s="1470">
        <v>2004.0</v>
      </c>
      <c r="D371" s="1473"/>
      <c r="E371" s="1473"/>
      <c r="F371" s="1471" t="s">
        <v>4290</v>
      </c>
      <c r="G371" s="1464"/>
      <c r="H371" s="1470" t="s">
        <v>3639</v>
      </c>
      <c r="I371" s="1472">
        <v>46447.0</v>
      </c>
      <c r="J371" s="1472" t="s">
        <v>4291</v>
      </c>
      <c r="K371" s="1470" t="s">
        <v>3669</v>
      </c>
      <c r="L371" s="1464"/>
      <c r="M371" s="1479"/>
      <c r="N371" s="1479"/>
      <c r="O371" s="1479"/>
      <c r="P371" s="1479"/>
      <c r="Q371" s="1479"/>
      <c r="R371" s="1479"/>
      <c r="S371" s="1479"/>
      <c r="T371" s="1479"/>
      <c r="U371" s="1479"/>
      <c r="V371" s="1479"/>
      <c r="W371" s="1479"/>
      <c r="X371" s="1479"/>
      <c r="Y371" s="1479"/>
      <c r="Z371" s="1479"/>
    </row>
    <row r="372">
      <c r="A372" s="1485" t="s">
        <v>4292</v>
      </c>
      <c r="B372" s="1486">
        <v>88000.0</v>
      </c>
      <c r="C372" s="1487">
        <v>2027.0</v>
      </c>
      <c r="D372" s="1492"/>
      <c r="E372" s="1486" t="s">
        <v>666</v>
      </c>
      <c r="F372" s="1488" t="s">
        <v>4288</v>
      </c>
      <c r="G372" s="1489"/>
      <c r="H372" s="1487" t="s">
        <v>3962</v>
      </c>
      <c r="I372" s="1490">
        <v>46447.0</v>
      </c>
      <c r="J372" s="1487" t="s">
        <v>4256</v>
      </c>
      <c r="K372" s="1487" t="s">
        <v>4256</v>
      </c>
      <c r="L372" s="1464"/>
      <c r="M372" s="1464"/>
      <c r="N372" s="1464"/>
      <c r="O372" s="1464"/>
      <c r="P372" s="1464"/>
      <c r="Q372" s="1464"/>
      <c r="R372" s="1464"/>
      <c r="S372" s="1464"/>
      <c r="T372" s="1464"/>
      <c r="U372" s="1464"/>
      <c r="V372" s="1464"/>
      <c r="W372" s="1464"/>
      <c r="X372" s="1464"/>
      <c r="Y372" s="1464"/>
      <c r="Z372" s="1464"/>
    </row>
    <row r="373">
      <c r="A373" s="1468" t="s">
        <v>4272</v>
      </c>
      <c r="B373" s="1469">
        <v>83000.0</v>
      </c>
      <c r="C373" s="1470">
        <v>2016.0</v>
      </c>
      <c r="D373" s="1473"/>
      <c r="E373" s="1469" t="s">
        <v>3637</v>
      </c>
      <c r="F373" s="1471" t="s">
        <v>4293</v>
      </c>
      <c r="G373" s="1464"/>
      <c r="H373" s="1470" t="s">
        <v>3639</v>
      </c>
      <c r="I373" s="1472">
        <v>46447.0</v>
      </c>
      <c r="J373" s="1470" t="s">
        <v>4274</v>
      </c>
      <c r="K373" s="1470" t="s">
        <v>4174</v>
      </c>
      <c r="L373" s="1464"/>
      <c r="M373" s="1464"/>
      <c r="N373" s="1464"/>
      <c r="O373" s="1464"/>
      <c r="P373" s="1464"/>
      <c r="Q373" s="1464"/>
      <c r="R373" s="1464"/>
      <c r="S373" s="1464"/>
      <c r="T373" s="1464"/>
      <c r="U373" s="1464"/>
      <c r="V373" s="1464"/>
      <c r="W373" s="1464"/>
      <c r="X373" s="1464"/>
      <c r="Y373" s="1464"/>
      <c r="Z373" s="1464"/>
    </row>
    <row r="374">
      <c r="A374" s="1468" t="s">
        <v>4270</v>
      </c>
      <c r="B374" s="1469">
        <v>83300.0</v>
      </c>
      <c r="C374" s="1470">
        <v>2016.0</v>
      </c>
      <c r="D374" s="1473"/>
      <c r="E374" s="1469" t="s">
        <v>3637</v>
      </c>
      <c r="F374" s="1471" t="s">
        <v>4294</v>
      </c>
      <c r="G374" s="1464"/>
      <c r="H374" s="1464"/>
      <c r="I374" s="1472">
        <v>46447.0</v>
      </c>
      <c r="J374" s="1470" t="s">
        <v>3658</v>
      </c>
      <c r="K374" s="1470" t="s">
        <v>3669</v>
      </c>
      <c r="L374" s="1464"/>
      <c r="M374" s="1479"/>
      <c r="N374" s="1479"/>
      <c r="O374" s="1479"/>
      <c r="P374" s="1479"/>
      <c r="Q374" s="1479"/>
      <c r="R374" s="1479"/>
      <c r="S374" s="1479"/>
      <c r="T374" s="1479"/>
      <c r="U374" s="1479"/>
      <c r="V374" s="1479"/>
      <c r="W374" s="1479"/>
      <c r="X374" s="1479"/>
      <c r="Y374" s="1479"/>
      <c r="Z374" s="1479"/>
    </row>
    <row r="375">
      <c r="A375" s="1468" t="s">
        <v>4280</v>
      </c>
      <c r="B375" s="1469">
        <v>84000.0</v>
      </c>
      <c r="C375" s="1470">
        <v>2016.0</v>
      </c>
      <c r="D375" s="1473"/>
      <c r="E375" s="1473"/>
      <c r="F375" s="1471" t="s">
        <v>4295</v>
      </c>
      <c r="G375" s="1464"/>
      <c r="H375" s="1470" t="s">
        <v>3639</v>
      </c>
      <c r="I375" s="1472">
        <v>46447.0</v>
      </c>
      <c r="J375" s="1470" t="s">
        <v>4038</v>
      </c>
      <c r="K375" s="1470" t="s">
        <v>4282</v>
      </c>
      <c r="L375" s="1464"/>
      <c r="M375" s="1464"/>
      <c r="N375" s="1464"/>
      <c r="O375" s="1464"/>
      <c r="P375" s="1464"/>
      <c r="Q375" s="1464"/>
      <c r="R375" s="1464"/>
      <c r="S375" s="1464"/>
      <c r="T375" s="1464"/>
      <c r="U375" s="1464"/>
      <c r="V375" s="1464"/>
      <c r="W375" s="1464"/>
      <c r="X375" s="1464"/>
      <c r="Y375" s="1464"/>
      <c r="Z375" s="1464"/>
    </row>
    <row r="376">
      <c r="A376" s="1468" t="s">
        <v>4283</v>
      </c>
      <c r="B376" s="1469">
        <v>84000.0</v>
      </c>
      <c r="C376" s="1470">
        <v>2016.0</v>
      </c>
      <c r="D376" s="1473"/>
      <c r="E376" s="1473"/>
      <c r="F376" s="1471" t="s">
        <v>4296</v>
      </c>
      <c r="G376" s="1464"/>
      <c r="H376" s="1464"/>
      <c r="I376" s="1472">
        <v>46447.0</v>
      </c>
      <c r="J376" s="1470" t="s">
        <v>4285</v>
      </c>
      <c r="K376" s="1470" t="s">
        <v>3859</v>
      </c>
      <c r="L376" s="1464"/>
      <c r="M376" s="1464"/>
      <c r="N376" s="1464"/>
      <c r="O376" s="1464"/>
      <c r="P376" s="1464"/>
      <c r="Q376" s="1464"/>
      <c r="R376" s="1464"/>
      <c r="S376" s="1464"/>
      <c r="T376" s="1464"/>
      <c r="U376" s="1464"/>
      <c r="V376" s="1464"/>
      <c r="W376" s="1464"/>
      <c r="X376" s="1464"/>
      <c r="Y376" s="1464"/>
      <c r="Z376" s="1464"/>
    </row>
    <row r="377">
      <c r="A377" s="1488" t="s">
        <v>4297</v>
      </c>
      <c r="B377" s="1486">
        <v>88000.0</v>
      </c>
      <c r="C377" s="1487">
        <v>2027.0</v>
      </c>
      <c r="D377" s="1487" t="s">
        <v>3636</v>
      </c>
      <c r="E377" s="1487" t="s">
        <v>666</v>
      </c>
      <c r="F377" s="1488" t="s">
        <v>4298</v>
      </c>
      <c r="G377" s="1489"/>
      <c r="H377" s="1487" t="s">
        <v>3962</v>
      </c>
      <c r="I377" s="1490">
        <v>46478.0</v>
      </c>
      <c r="J377" s="1487" t="s">
        <v>4137</v>
      </c>
      <c r="K377" s="1487" t="s">
        <v>4137</v>
      </c>
      <c r="L377" s="1470" t="s">
        <v>70</v>
      </c>
      <c r="M377" s="1464"/>
      <c r="N377" s="1464"/>
      <c r="O377" s="1464"/>
      <c r="P377" s="1464"/>
      <c r="Q377" s="1464"/>
      <c r="R377" s="1464"/>
      <c r="S377" s="1464"/>
      <c r="T377" s="1464"/>
      <c r="U377" s="1464"/>
      <c r="V377" s="1464"/>
      <c r="W377" s="1464"/>
      <c r="X377" s="1464"/>
      <c r="Y377" s="1464"/>
      <c r="Z377" s="1464"/>
    </row>
    <row r="378">
      <c r="A378" s="1468" t="s">
        <v>4299</v>
      </c>
      <c r="B378" s="1469">
        <v>84100.0</v>
      </c>
      <c r="C378" s="1470">
        <v>2016.0</v>
      </c>
      <c r="D378" s="1473"/>
      <c r="E378" s="1469" t="s">
        <v>666</v>
      </c>
      <c r="F378" s="1471" t="s">
        <v>4300</v>
      </c>
      <c r="G378" s="1464"/>
      <c r="H378" s="1470" t="s">
        <v>3639</v>
      </c>
      <c r="I378" s="1472">
        <v>46478.0</v>
      </c>
      <c r="J378" s="1470" t="s">
        <v>4038</v>
      </c>
      <c r="K378" s="1470" t="s">
        <v>2935</v>
      </c>
      <c r="L378" s="1464"/>
      <c r="M378" s="1464"/>
      <c r="N378" s="1464"/>
      <c r="O378" s="1464"/>
      <c r="P378" s="1464"/>
      <c r="Q378" s="1464"/>
      <c r="R378" s="1464"/>
      <c r="S378" s="1464"/>
      <c r="T378" s="1464"/>
      <c r="U378" s="1464"/>
      <c r="V378" s="1464"/>
      <c r="W378" s="1464"/>
      <c r="X378" s="1464"/>
      <c r="Y378" s="1464"/>
      <c r="Z378" s="1464"/>
    </row>
    <row r="379">
      <c r="A379" s="1485" t="s">
        <v>4301</v>
      </c>
      <c r="B379" s="1486">
        <v>88000.0</v>
      </c>
      <c r="C379" s="1487">
        <v>2027.0</v>
      </c>
      <c r="D379" s="1486" t="s">
        <v>3636</v>
      </c>
      <c r="E379" s="1486" t="s">
        <v>666</v>
      </c>
      <c r="F379" s="1488" t="s">
        <v>4298</v>
      </c>
      <c r="G379" s="1489"/>
      <c r="H379" s="1487" t="s">
        <v>3962</v>
      </c>
      <c r="I379" s="1490">
        <v>46478.0</v>
      </c>
      <c r="J379" s="1487" t="s">
        <v>4215</v>
      </c>
      <c r="K379" s="1487" t="s">
        <v>4215</v>
      </c>
      <c r="L379" s="1464"/>
      <c r="M379" s="1464"/>
      <c r="N379" s="1464"/>
      <c r="O379" s="1464"/>
      <c r="P379" s="1464"/>
      <c r="Q379" s="1464"/>
      <c r="R379" s="1464"/>
      <c r="S379" s="1464"/>
      <c r="T379" s="1464"/>
      <c r="U379" s="1464"/>
      <c r="V379" s="1464"/>
      <c r="W379" s="1464"/>
      <c r="X379" s="1464"/>
      <c r="Y379" s="1464"/>
      <c r="Z379" s="1464"/>
    </row>
    <row r="380">
      <c r="A380" s="1468" t="s">
        <v>4302</v>
      </c>
      <c r="B380" s="1469">
        <v>85000.0</v>
      </c>
      <c r="C380" s="1470">
        <v>2018.0</v>
      </c>
      <c r="D380" s="1473"/>
      <c r="E380" s="1469" t="s">
        <v>666</v>
      </c>
      <c r="F380" s="1471" t="s">
        <v>4303</v>
      </c>
      <c r="G380" s="1464"/>
      <c r="H380" s="1470" t="s">
        <v>3639</v>
      </c>
      <c r="I380" s="1472">
        <v>46478.0</v>
      </c>
      <c r="J380" s="1470" t="s">
        <v>863</v>
      </c>
      <c r="K380" s="1470" t="s">
        <v>3647</v>
      </c>
      <c r="L380" s="1464"/>
      <c r="M380" s="1464"/>
      <c r="N380" s="1464"/>
      <c r="O380" s="1464"/>
      <c r="P380" s="1464"/>
      <c r="Q380" s="1464"/>
      <c r="R380" s="1464"/>
      <c r="S380" s="1464"/>
      <c r="T380" s="1464"/>
      <c r="U380" s="1464"/>
      <c r="V380" s="1464"/>
      <c r="W380" s="1464"/>
      <c r="X380" s="1464"/>
      <c r="Y380" s="1464"/>
      <c r="Z380" s="1464"/>
    </row>
    <row r="381">
      <c r="A381" s="1468" t="s">
        <v>4299</v>
      </c>
      <c r="B381" s="1469">
        <v>84100.0</v>
      </c>
      <c r="C381" s="1470">
        <v>2016.0</v>
      </c>
      <c r="D381" s="1473"/>
      <c r="E381" s="1469" t="s">
        <v>666</v>
      </c>
      <c r="F381" s="1471" t="s">
        <v>4304</v>
      </c>
      <c r="G381" s="1464"/>
      <c r="H381" s="1470" t="s">
        <v>3639</v>
      </c>
      <c r="I381" s="1472">
        <v>46478.0</v>
      </c>
      <c r="J381" s="1470" t="s">
        <v>4038</v>
      </c>
      <c r="K381" s="1470" t="s">
        <v>2935</v>
      </c>
      <c r="L381" s="1464"/>
      <c r="M381" s="1464"/>
      <c r="N381" s="1464"/>
      <c r="O381" s="1464"/>
      <c r="P381" s="1464"/>
      <c r="Q381" s="1464"/>
      <c r="R381" s="1464"/>
      <c r="S381" s="1464"/>
      <c r="T381" s="1464"/>
      <c r="U381" s="1464"/>
      <c r="V381" s="1464"/>
      <c r="W381" s="1464"/>
      <c r="X381" s="1464"/>
      <c r="Y381" s="1464"/>
      <c r="Z381" s="1464"/>
    </row>
    <row r="382">
      <c r="A382" s="1485" t="s">
        <v>4305</v>
      </c>
      <c r="B382" s="1486">
        <v>93000.0</v>
      </c>
      <c r="C382" s="1487" t="s">
        <v>4179</v>
      </c>
      <c r="D382" s="1492"/>
      <c r="E382" s="1486" t="s">
        <v>666</v>
      </c>
      <c r="F382" s="1488" t="s">
        <v>4306</v>
      </c>
      <c r="G382" s="1489"/>
      <c r="H382" s="1487" t="s">
        <v>3962</v>
      </c>
      <c r="I382" s="1490">
        <v>46478.0</v>
      </c>
      <c r="J382" s="1487" t="s">
        <v>4181</v>
      </c>
      <c r="K382" s="1487" t="s">
        <v>4181</v>
      </c>
      <c r="L382" s="1464"/>
      <c r="M382" s="1464"/>
      <c r="N382" s="1464"/>
      <c r="O382" s="1464"/>
      <c r="P382" s="1464"/>
      <c r="Q382" s="1464"/>
      <c r="R382" s="1464"/>
      <c r="S382" s="1464"/>
      <c r="T382" s="1464"/>
      <c r="U382" s="1464"/>
      <c r="V382" s="1464"/>
      <c r="W382" s="1464"/>
      <c r="X382" s="1464"/>
      <c r="Y382" s="1464"/>
      <c r="Z382" s="1464"/>
    </row>
    <row r="383">
      <c r="A383" s="1488" t="s">
        <v>4307</v>
      </c>
      <c r="B383" s="1486">
        <v>86700.0</v>
      </c>
      <c r="C383" s="1487">
        <v>2027.0</v>
      </c>
      <c r="D383" s="1492"/>
      <c r="E383" s="1486" t="s">
        <v>666</v>
      </c>
      <c r="F383" s="1488" t="s">
        <v>4298</v>
      </c>
      <c r="G383" s="1489"/>
      <c r="H383" s="1487" t="s">
        <v>3718</v>
      </c>
      <c r="I383" s="1490">
        <v>46478.0</v>
      </c>
      <c r="J383" s="1487" t="s">
        <v>3839</v>
      </c>
      <c r="K383" s="1487" t="s">
        <v>3839</v>
      </c>
      <c r="L383" s="1464"/>
      <c r="M383" s="1464"/>
      <c r="N383" s="1464"/>
      <c r="O383" s="1464"/>
      <c r="P383" s="1464"/>
      <c r="Q383" s="1464"/>
      <c r="R383" s="1464"/>
      <c r="S383" s="1464"/>
      <c r="T383" s="1464"/>
      <c r="U383" s="1464"/>
      <c r="V383" s="1464"/>
      <c r="W383" s="1464"/>
      <c r="X383" s="1464"/>
      <c r="Y383" s="1464"/>
      <c r="Z383" s="1464"/>
    </row>
    <row r="384">
      <c r="A384" s="1468" t="s">
        <v>4302</v>
      </c>
      <c r="B384" s="1469">
        <v>85000.0</v>
      </c>
      <c r="C384" s="1470">
        <v>2018.0</v>
      </c>
      <c r="D384" s="1473"/>
      <c r="E384" s="1469" t="s">
        <v>666</v>
      </c>
      <c r="F384" s="1471" t="s">
        <v>4308</v>
      </c>
      <c r="G384" s="1464"/>
      <c r="H384" s="1470" t="s">
        <v>3639</v>
      </c>
      <c r="I384" s="1472">
        <v>46478.0</v>
      </c>
      <c r="J384" s="1470" t="s">
        <v>863</v>
      </c>
      <c r="K384" s="1470" t="s">
        <v>3647</v>
      </c>
      <c r="L384" s="1464"/>
      <c r="M384" s="1464"/>
      <c r="N384" s="1464"/>
      <c r="O384" s="1464"/>
      <c r="P384" s="1464"/>
      <c r="Q384" s="1464"/>
      <c r="R384" s="1464"/>
      <c r="S384" s="1464"/>
      <c r="T384" s="1464"/>
      <c r="U384" s="1464"/>
      <c r="V384" s="1464"/>
      <c r="W384" s="1464"/>
      <c r="X384" s="1464"/>
      <c r="Y384" s="1464"/>
      <c r="Z384" s="1464"/>
    </row>
    <row r="385">
      <c r="A385" s="1468" t="s">
        <v>4309</v>
      </c>
      <c r="B385" s="1469">
        <v>82000.0</v>
      </c>
      <c r="C385" s="1470">
        <v>2013.0</v>
      </c>
      <c r="D385" s="1473"/>
      <c r="E385" s="1469" t="s">
        <v>3637</v>
      </c>
      <c r="F385" s="1471" t="s">
        <v>4310</v>
      </c>
      <c r="G385" s="1464"/>
      <c r="H385" s="1470" t="s">
        <v>3639</v>
      </c>
      <c r="I385" s="1472">
        <v>46508.0</v>
      </c>
      <c r="J385" s="1470" t="s">
        <v>3640</v>
      </c>
      <c r="K385" s="1470" t="s">
        <v>3659</v>
      </c>
      <c r="L385" s="1464"/>
      <c r="M385" s="1464"/>
      <c r="N385" s="1464"/>
      <c r="O385" s="1464"/>
      <c r="P385" s="1464"/>
      <c r="Q385" s="1464"/>
      <c r="R385" s="1464"/>
      <c r="S385" s="1464"/>
      <c r="T385" s="1464"/>
      <c r="U385" s="1464"/>
      <c r="V385" s="1464"/>
      <c r="W385" s="1464"/>
      <c r="X385" s="1464"/>
      <c r="Y385" s="1464"/>
      <c r="Z385" s="1464"/>
    </row>
    <row r="386">
      <c r="A386" s="1468" t="s">
        <v>3394</v>
      </c>
      <c r="B386" s="1469">
        <v>84000.0</v>
      </c>
      <c r="C386" s="1470">
        <v>2015.0</v>
      </c>
      <c r="D386" s="1473"/>
      <c r="E386" s="1473"/>
      <c r="F386" s="1471" t="s">
        <v>4311</v>
      </c>
      <c r="G386" s="1464"/>
      <c r="H386" s="1470" t="s">
        <v>3639</v>
      </c>
      <c r="I386" s="1472">
        <v>46508.0</v>
      </c>
      <c r="J386" s="1470" t="s">
        <v>3681</v>
      </c>
      <c r="K386" s="1470" t="s">
        <v>3673</v>
      </c>
      <c r="L386" s="1464"/>
      <c r="M386" s="1464"/>
      <c r="N386" s="1464"/>
      <c r="O386" s="1464"/>
      <c r="P386" s="1464"/>
      <c r="Q386" s="1464"/>
      <c r="R386" s="1464"/>
      <c r="S386" s="1464"/>
      <c r="T386" s="1464"/>
      <c r="U386" s="1464"/>
      <c r="V386" s="1464"/>
      <c r="W386" s="1464"/>
      <c r="X386" s="1464"/>
      <c r="Y386" s="1464"/>
      <c r="Z386" s="1464"/>
    </row>
    <row r="387">
      <c r="A387" s="1485" t="s">
        <v>4312</v>
      </c>
      <c r="B387" s="1486">
        <v>93000.0</v>
      </c>
      <c r="C387" s="1487">
        <v>2027.0</v>
      </c>
      <c r="D387" s="1489"/>
      <c r="E387" s="1487" t="s">
        <v>666</v>
      </c>
      <c r="F387" s="1488" t="s">
        <v>4298</v>
      </c>
      <c r="G387" s="1489"/>
      <c r="H387" s="1487" t="s">
        <v>3962</v>
      </c>
      <c r="I387" s="1505">
        <v>46508.0</v>
      </c>
      <c r="J387" s="1487" t="s">
        <v>4313</v>
      </c>
      <c r="K387" s="1487" t="s">
        <v>4313</v>
      </c>
      <c r="L387" s="1479"/>
      <c r="M387" s="1464"/>
      <c r="N387" s="1464"/>
      <c r="O387" s="1464"/>
      <c r="P387" s="1464"/>
      <c r="Q387" s="1464"/>
      <c r="R387" s="1464"/>
      <c r="S387" s="1464"/>
      <c r="T387" s="1464"/>
      <c r="U387" s="1464"/>
      <c r="V387" s="1464"/>
      <c r="W387" s="1464"/>
      <c r="X387" s="1464"/>
      <c r="Y387" s="1464"/>
      <c r="Z387" s="1464"/>
    </row>
    <row r="388">
      <c r="A388" s="1474" t="s">
        <v>4314</v>
      </c>
      <c r="B388" s="1475">
        <v>91000.0</v>
      </c>
      <c r="C388" s="1476">
        <v>2024.0</v>
      </c>
      <c r="D388" s="1481"/>
      <c r="E388" s="1475" t="s">
        <v>666</v>
      </c>
      <c r="F388" s="1477" t="s">
        <v>4315</v>
      </c>
      <c r="G388" s="1479"/>
      <c r="H388" s="1476" t="s">
        <v>4316</v>
      </c>
      <c r="I388" s="1480">
        <v>46508.0</v>
      </c>
      <c r="J388" s="1476" t="s">
        <v>3833</v>
      </c>
      <c r="K388" s="1476" t="s">
        <v>4317</v>
      </c>
      <c r="L388" s="1479"/>
      <c r="M388" s="1464"/>
      <c r="N388" s="1464"/>
      <c r="O388" s="1464"/>
      <c r="P388" s="1464"/>
      <c r="Q388" s="1464"/>
      <c r="R388" s="1464"/>
      <c r="S388" s="1464"/>
      <c r="T388" s="1464"/>
      <c r="U388" s="1464"/>
      <c r="V388" s="1464"/>
      <c r="W388" s="1464"/>
      <c r="X388" s="1464"/>
      <c r="Y388" s="1464"/>
      <c r="Z388" s="1464"/>
    </row>
    <row r="389">
      <c r="A389" s="1468" t="s">
        <v>3394</v>
      </c>
      <c r="B389" s="1469">
        <v>84000.0</v>
      </c>
      <c r="C389" s="1470">
        <v>2015.0</v>
      </c>
      <c r="D389" s="1473"/>
      <c r="E389" s="1473"/>
      <c r="F389" s="1471" t="s">
        <v>4318</v>
      </c>
      <c r="G389" s="1464"/>
      <c r="H389" s="1470" t="s">
        <v>3639</v>
      </c>
      <c r="I389" s="1472">
        <v>46508.0</v>
      </c>
      <c r="J389" s="1470" t="s">
        <v>3681</v>
      </c>
      <c r="K389" s="1470" t="s">
        <v>3673</v>
      </c>
      <c r="L389" s="1464"/>
      <c r="M389" s="1464"/>
      <c r="N389" s="1464"/>
      <c r="O389" s="1464"/>
      <c r="P389" s="1464"/>
      <c r="Q389" s="1464"/>
      <c r="R389" s="1464"/>
      <c r="S389" s="1464"/>
      <c r="T389" s="1464"/>
      <c r="U389" s="1464"/>
      <c r="V389" s="1464"/>
      <c r="W389" s="1464"/>
      <c r="X389" s="1464"/>
      <c r="Y389" s="1464"/>
      <c r="Z389" s="1464"/>
    </row>
    <row r="390">
      <c r="A390" s="1468" t="s">
        <v>3663</v>
      </c>
      <c r="B390" s="1469">
        <v>82000.0</v>
      </c>
      <c r="C390" s="1470">
        <v>2013.0</v>
      </c>
      <c r="D390" s="1473"/>
      <c r="E390" s="1469" t="s">
        <v>3637</v>
      </c>
      <c r="F390" s="1471" t="s">
        <v>4319</v>
      </c>
      <c r="G390" s="1464"/>
      <c r="H390" s="1470" t="s">
        <v>3639</v>
      </c>
      <c r="I390" s="1472">
        <v>46508.0</v>
      </c>
      <c r="J390" s="1470" t="s">
        <v>3640</v>
      </c>
      <c r="K390" s="1470" t="s">
        <v>3659</v>
      </c>
      <c r="L390" s="1464"/>
      <c r="M390" s="1464"/>
      <c r="N390" s="1464"/>
      <c r="O390" s="1464"/>
      <c r="P390" s="1464"/>
      <c r="Q390" s="1464"/>
      <c r="R390" s="1464"/>
      <c r="S390" s="1464"/>
      <c r="T390" s="1464"/>
      <c r="U390" s="1464"/>
      <c r="V390" s="1464"/>
      <c r="W390" s="1464"/>
      <c r="X390" s="1464"/>
      <c r="Y390" s="1464"/>
      <c r="Z390" s="1464"/>
    </row>
    <row r="391">
      <c r="A391" s="1474" t="s">
        <v>4320</v>
      </c>
      <c r="B391" s="1475">
        <v>84000.0</v>
      </c>
      <c r="C391" s="1476">
        <v>2022.0</v>
      </c>
      <c r="D391" s="1481"/>
      <c r="E391" s="1475" t="s">
        <v>666</v>
      </c>
      <c r="F391" s="1477" t="s">
        <v>4321</v>
      </c>
      <c r="G391" s="1464"/>
      <c r="H391" s="1476" t="s">
        <v>3639</v>
      </c>
      <c r="I391" s="1480">
        <v>46539.0</v>
      </c>
      <c r="J391" s="1476" t="s">
        <v>761</v>
      </c>
      <c r="K391" s="1470" t="s">
        <v>4001</v>
      </c>
      <c r="L391" s="1479"/>
      <c r="M391" s="1464"/>
      <c r="N391" s="1464"/>
      <c r="O391" s="1464"/>
      <c r="P391" s="1464"/>
      <c r="Q391" s="1464"/>
      <c r="R391" s="1464"/>
      <c r="S391" s="1464"/>
      <c r="T391" s="1464"/>
      <c r="U391" s="1464"/>
      <c r="V391" s="1464"/>
      <c r="W391" s="1464"/>
      <c r="X391" s="1464"/>
      <c r="Y391" s="1464"/>
      <c r="Z391" s="1464"/>
    </row>
    <row r="392">
      <c r="A392" s="1485" t="s">
        <v>4322</v>
      </c>
      <c r="B392" s="1486">
        <v>93000.0</v>
      </c>
      <c r="C392" s="1487">
        <v>2027.0</v>
      </c>
      <c r="D392" s="1492"/>
      <c r="E392" s="1486" t="s">
        <v>666</v>
      </c>
      <c r="F392" s="1488" t="s">
        <v>4323</v>
      </c>
      <c r="G392" s="1489"/>
      <c r="H392" s="1487" t="s">
        <v>3962</v>
      </c>
      <c r="I392" s="1490">
        <v>46539.0</v>
      </c>
      <c r="J392" s="1487" t="s">
        <v>4324</v>
      </c>
      <c r="K392" s="1487" t="s">
        <v>4324</v>
      </c>
      <c r="L392" s="1476" t="s">
        <v>4325</v>
      </c>
      <c r="M392" s="1464"/>
      <c r="N392" s="1464"/>
      <c r="O392" s="1464"/>
      <c r="P392" s="1464"/>
      <c r="Q392" s="1464"/>
      <c r="R392" s="1464"/>
      <c r="S392" s="1464"/>
      <c r="T392" s="1464"/>
      <c r="U392" s="1464"/>
      <c r="V392" s="1464"/>
      <c r="W392" s="1464"/>
      <c r="X392" s="1464"/>
      <c r="Y392" s="1464"/>
      <c r="Z392" s="1464"/>
    </row>
    <row r="393">
      <c r="A393" s="1485" t="s">
        <v>4326</v>
      </c>
      <c r="B393" s="1486">
        <v>88000.0</v>
      </c>
      <c r="C393" s="1487">
        <v>2027.0</v>
      </c>
      <c r="D393" s="1486" t="s">
        <v>3636</v>
      </c>
      <c r="E393" s="1486" t="s">
        <v>666</v>
      </c>
      <c r="F393" s="1488" t="s">
        <v>4231</v>
      </c>
      <c r="G393" s="1489"/>
      <c r="H393" s="1487" t="s">
        <v>3962</v>
      </c>
      <c r="I393" s="1490">
        <v>46539.0</v>
      </c>
      <c r="J393" s="1487" t="s">
        <v>3732</v>
      </c>
      <c r="K393" s="1487" t="s">
        <v>3732</v>
      </c>
      <c r="L393" s="1479"/>
      <c r="M393" s="1464"/>
      <c r="N393" s="1464"/>
      <c r="O393" s="1464"/>
      <c r="P393" s="1464"/>
      <c r="Q393" s="1464"/>
      <c r="R393" s="1464"/>
      <c r="S393" s="1464"/>
      <c r="T393" s="1464"/>
      <c r="U393" s="1464"/>
      <c r="V393" s="1464"/>
      <c r="W393" s="1464"/>
      <c r="X393" s="1464"/>
      <c r="Y393" s="1464"/>
      <c r="Z393" s="1464"/>
    </row>
    <row r="394">
      <c r="A394" s="1485" t="s">
        <v>4327</v>
      </c>
      <c r="B394" s="1486">
        <v>88000.0</v>
      </c>
      <c r="C394" s="1487">
        <v>2027.0</v>
      </c>
      <c r="D394" s="1486" t="s">
        <v>3636</v>
      </c>
      <c r="E394" s="1486" t="s">
        <v>666</v>
      </c>
      <c r="F394" s="1488" t="s">
        <v>4231</v>
      </c>
      <c r="G394" s="1489"/>
      <c r="H394" s="1487" t="s">
        <v>3962</v>
      </c>
      <c r="I394" s="1490">
        <v>46539.0</v>
      </c>
      <c r="J394" s="1487" t="s">
        <v>3732</v>
      </c>
      <c r="K394" s="1487" t="s">
        <v>3732</v>
      </c>
      <c r="L394" s="1479"/>
      <c r="M394" s="1464"/>
      <c r="N394" s="1464"/>
      <c r="O394" s="1464"/>
      <c r="P394" s="1464"/>
      <c r="Q394" s="1464"/>
      <c r="R394" s="1464"/>
      <c r="S394" s="1464"/>
      <c r="T394" s="1464"/>
      <c r="U394" s="1464"/>
      <c r="V394" s="1464"/>
      <c r="W394" s="1464"/>
      <c r="X394" s="1464"/>
      <c r="Y394" s="1464"/>
      <c r="Z394" s="1464"/>
    </row>
    <row r="395">
      <c r="A395" s="1485" t="s">
        <v>4328</v>
      </c>
      <c r="B395" s="1486">
        <v>93000.0</v>
      </c>
      <c r="C395" s="1487">
        <v>2027.0</v>
      </c>
      <c r="D395" s="1492"/>
      <c r="E395" s="1486" t="s">
        <v>666</v>
      </c>
      <c r="F395" s="1488" t="s">
        <v>4329</v>
      </c>
      <c r="G395" s="1489"/>
      <c r="H395" s="1487" t="s">
        <v>3962</v>
      </c>
      <c r="I395" s="1490">
        <v>46539.0</v>
      </c>
      <c r="J395" s="1487" t="s">
        <v>3723</v>
      </c>
      <c r="K395" s="1487" t="s">
        <v>3723</v>
      </c>
      <c r="L395" s="1464"/>
      <c r="M395" s="1464"/>
      <c r="N395" s="1464"/>
      <c r="O395" s="1464"/>
      <c r="P395" s="1464"/>
      <c r="Q395" s="1464"/>
      <c r="R395" s="1464"/>
      <c r="S395" s="1464"/>
      <c r="T395" s="1464"/>
      <c r="U395" s="1464"/>
      <c r="V395" s="1464"/>
      <c r="W395" s="1464"/>
      <c r="X395" s="1464"/>
      <c r="Y395" s="1464"/>
      <c r="Z395" s="1464"/>
    </row>
    <row r="396">
      <c r="A396" s="1485" t="s">
        <v>4330</v>
      </c>
      <c r="B396" s="1486">
        <v>93000.0</v>
      </c>
      <c r="C396" s="1487" t="s">
        <v>4179</v>
      </c>
      <c r="D396" s="1492"/>
      <c r="E396" s="1486" t="s">
        <v>666</v>
      </c>
      <c r="F396" s="1488" t="s">
        <v>4323</v>
      </c>
      <c r="G396" s="1489"/>
      <c r="H396" s="1487" t="s">
        <v>3962</v>
      </c>
      <c r="I396" s="1490">
        <v>46539.0</v>
      </c>
      <c r="J396" s="1487" t="s">
        <v>4181</v>
      </c>
      <c r="K396" s="1487" t="s">
        <v>4181</v>
      </c>
      <c r="L396" s="1464"/>
      <c r="M396" s="1479"/>
      <c r="N396" s="1479"/>
      <c r="O396" s="1479"/>
      <c r="P396" s="1479"/>
      <c r="Q396" s="1479"/>
      <c r="R396" s="1479"/>
      <c r="S396" s="1479"/>
      <c r="T396" s="1479"/>
      <c r="U396" s="1479"/>
      <c r="V396" s="1479"/>
      <c r="W396" s="1479"/>
      <c r="X396" s="1479"/>
      <c r="Y396" s="1479"/>
      <c r="Z396" s="1479"/>
    </row>
    <row r="397">
      <c r="A397" s="1474" t="s">
        <v>4320</v>
      </c>
      <c r="B397" s="1475">
        <v>84000.0</v>
      </c>
      <c r="C397" s="1476">
        <v>2022.0</v>
      </c>
      <c r="D397" s="1481"/>
      <c r="E397" s="1475" t="s">
        <v>666</v>
      </c>
      <c r="F397" s="1477" t="s">
        <v>4331</v>
      </c>
      <c r="G397" s="1464"/>
      <c r="H397" s="1470" t="s">
        <v>3639</v>
      </c>
      <c r="I397" s="1480">
        <v>46539.0</v>
      </c>
      <c r="J397" s="1476" t="s">
        <v>761</v>
      </c>
      <c r="K397" s="1476" t="s">
        <v>4001</v>
      </c>
      <c r="L397" s="1479"/>
      <c r="M397" s="1464"/>
      <c r="N397" s="1464"/>
      <c r="O397" s="1464"/>
      <c r="P397" s="1464"/>
      <c r="Q397" s="1464"/>
      <c r="R397" s="1464"/>
      <c r="S397" s="1464"/>
      <c r="T397" s="1464"/>
      <c r="U397" s="1464"/>
      <c r="V397" s="1464"/>
      <c r="W397" s="1464"/>
      <c r="X397" s="1464"/>
      <c r="Y397" s="1464"/>
      <c r="Z397" s="1464"/>
    </row>
    <row r="398">
      <c r="A398" s="1485" t="s">
        <v>4332</v>
      </c>
      <c r="B398" s="1486" t="s">
        <v>4179</v>
      </c>
      <c r="C398" s="1487" t="s">
        <v>4333</v>
      </c>
      <c r="D398" s="1492"/>
      <c r="E398" s="1486" t="s">
        <v>666</v>
      </c>
      <c r="F398" s="1488" t="s">
        <v>4334</v>
      </c>
      <c r="G398" s="1489"/>
      <c r="H398" s="1487" t="s">
        <v>4335</v>
      </c>
      <c r="I398" s="1490">
        <v>46539.0</v>
      </c>
      <c r="J398" s="1487" t="s">
        <v>3696</v>
      </c>
      <c r="K398" s="1487" t="s">
        <v>3696</v>
      </c>
      <c r="L398" s="1479"/>
      <c r="M398" s="1464"/>
      <c r="N398" s="1464"/>
      <c r="O398" s="1464"/>
      <c r="P398" s="1464"/>
      <c r="Q398" s="1464"/>
      <c r="R398" s="1464"/>
      <c r="S398" s="1464"/>
      <c r="T398" s="1464"/>
      <c r="U398" s="1464"/>
      <c r="V398" s="1464"/>
      <c r="W398" s="1464"/>
      <c r="X398" s="1464"/>
      <c r="Y398" s="1464"/>
      <c r="Z398" s="1464"/>
    </row>
    <row r="399">
      <c r="A399" s="1485" t="s">
        <v>4336</v>
      </c>
      <c r="B399" s="1486" t="s">
        <v>4179</v>
      </c>
      <c r="C399" s="1487" t="s">
        <v>4333</v>
      </c>
      <c r="D399" s="1492"/>
      <c r="E399" s="1486" t="s">
        <v>666</v>
      </c>
      <c r="F399" s="1488" t="s">
        <v>4334</v>
      </c>
      <c r="G399" s="1489"/>
      <c r="H399" s="1487" t="s">
        <v>4335</v>
      </c>
      <c r="I399" s="1490">
        <v>46539.0</v>
      </c>
      <c r="J399" s="1487" t="s">
        <v>3696</v>
      </c>
      <c r="K399" s="1487" t="s">
        <v>3696</v>
      </c>
      <c r="L399" s="1479"/>
      <c r="M399" s="1479"/>
      <c r="N399" s="1479"/>
      <c r="O399" s="1479"/>
      <c r="P399" s="1479"/>
      <c r="Q399" s="1479"/>
      <c r="R399" s="1479"/>
      <c r="S399" s="1479"/>
      <c r="T399" s="1479"/>
      <c r="U399" s="1479"/>
      <c r="V399" s="1479"/>
      <c r="W399" s="1479"/>
      <c r="X399" s="1479"/>
      <c r="Y399" s="1479"/>
      <c r="Z399" s="1479"/>
    </row>
    <row r="400">
      <c r="A400" s="1485" t="s">
        <v>4337</v>
      </c>
      <c r="B400" s="1486" t="s">
        <v>4179</v>
      </c>
      <c r="C400" s="1487" t="s">
        <v>4333</v>
      </c>
      <c r="D400" s="1492"/>
      <c r="E400" s="1486" t="s">
        <v>666</v>
      </c>
      <c r="F400" s="1488" t="s">
        <v>4334</v>
      </c>
      <c r="G400" s="1489"/>
      <c r="H400" s="1487" t="s">
        <v>4338</v>
      </c>
      <c r="I400" s="1490">
        <v>46539.0</v>
      </c>
      <c r="J400" s="1487" t="s">
        <v>3696</v>
      </c>
      <c r="K400" s="1487" t="s">
        <v>3696</v>
      </c>
      <c r="L400" s="1479"/>
      <c r="M400" s="1464"/>
      <c r="N400" s="1464"/>
      <c r="O400" s="1464"/>
      <c r="P400" s="1464"/>
      <c r="Q400" s="1464"/>
      <c r="R400" s="1464"/>
      <c r="S400" s="1464"/>
      <c r="T400" s="1464"/>
      <c r="U400" s="1464"/>
      <c r="V400" s="1464"/>
      <c r="W400" s="1464"/>
      <c r="X400" s="1464"/>
      <c r="Y400" s="1464"/>
      <c r="Z400" s="1464"/>
    </row>
    <row r="401">
      <c r="A401" s="1485" t="s">
        <v>4339</v>
      </c>
      <c r="B401" s="1486" t="s">
        <v>4179</v>
      </c>
      <c r="C401" s="1487" t="s">
        <v>4333</v>
      </c>
      <c r="D401" s="1492"/>
      <c r="E401" s="1486" t="s">
        <v>666</v>
      </c>
      <c r="F401" s="1488" t="s">
        <v>4334</v>
      </c>
      <c r="G401" s="1489"/>
      <c r="H401" s="1487" t="s">
        <v>4338</v>
      </c>
      <c r="I401" s="1490">
        <v>46539.0</v>
      </c>
      <c r="J401" s="1487" t="s">
        <v>3696</v>
      </c>
      <c r="K401" s="1487" t="s">
        <v>3696</v>
      </c>
      <c r="L401" s="1479"/>
      <c r="M401" s="1479"/>
      <c r="N401" s="1479"/>
      <c r="O401" s="1479"/>
      <c r="P401" s="1479"/>
      <c r="Q401" s="1479"/>
      <c r="R401" s="1479"/>
      <c r="S401" s="1479"/>
      <c r="T401" s="1479"/>
      <c r="U401" s="1479"/>
      <c r="V401" s="1479"/>
      <c r="W401" s="1479"/>
      <c r="X401" s="1479"/>
      <c r="Y401" s="1479"/>
      <c r="Z401" s="1479"/>
    </row>
    <row r="402">
      <c r="A402" s="1485" t="s">
        <v>4340</v>
      </c>
      <c r="B402" s="1486">
        <v>88000.0</v>
      </c>
      <c r="C402" s="1487">
        <v>2027.0</v>
      </c>
      <c r="D402" s="1486" t="s">
        <v>3636</v>
      </c>
      <c r="E402" s="1486" t="s">
        <v>666</v>
      </c>
      <c r="F402" s="1488" t="s">
        <v>4323</v>
      </c>
      <c r="G402" s="1489"/>
      <c r="H402" s="1487" t="s">
        <v>3962</v>
      </c>
      <c r="I402" s="1490">
        <v>46539.0</v>
      </c>
      <c r="J402" s="1487" t="s">
        <v>3738</v>
      </c>
      <c r="K402" s="1487" t="s">
        <v>3738</v>
      </c>
      <c r="L402" s="1479"/>
      <c r="M402" s="1479"/>
      <c r="N402" s="1479"/>
      <c r="O402" s="1479"/>
      <c r="P402" s="1479"/>
      <c r="Q402" s="1479"/>
      <c r="R402" s="1479"/>
      <c r="S402" s="1479"/>
      <c r="T402" s="1479"/>
      <c r="U402" s="1479"/>
      <c r="V402" s="1479"/>
      <c r="W402" s="1479"/>
      <c r="X402" s="1479"/>
      <c r="Y402" s="1479"/>
      <c r="Z402" s="1479"/>
    </row>
    <row r="403">
      <c r="A403" s="1468" t="s">
        <v>4341</v>
      </c>
      <c r="B403" s="1469">
        <v>78700.0</v>
      </c>
      <c r="C403" s="1470">
        <v>2017.0</v>
      </c>
      <c r="D403" s="1469" t="s">
        <v>3636</v>
      </c>
      <c r="E403" s="1469" t="s">
        <v>3637</v>
      </c>
      <c r="F403" s="1471" t="s">
        <v>4342</v>
      </c>
      <c r="G403" s="1464"/>
      <c r="H403" s="1470" t="s">
        <v>3639</v>
      </c>
      <c r="I403" s="1472">
        <v>46539.0</v>
      </c>
      <c r="J403" s="1472" t="s">
        <v>1061</v>
      </c>
      <c r="K403" s="1470" t="s">
        <v>3759</v>
      </c>
      <c r="L403" s="1464"/>
      <c r="M403" s="1479"/>
      <c r="N403" s="1479"/>
      <c r="O403" s="1479"/>
      <c r="P403" s="1479"/>
      <c r="Q403" s="1479"/>
      <c r="R403" s="1479"/>
      <c r="S403" s="1479"/>
      <c r="T403" s="1479"/>
      <c r="U403" s="1479"/>
      <c r="V403" s="1479"/>
      <c r="W403" s="1479"/>
      <c r="X403" s="1479"/>
      <c r="Y403" s="1479"/>
      <c r="Z403" s="1479"/>
    </row>
    <row r="404">
      <c r="A404" s="1468" t="s">
        <v>4343</v>
      </c>
      <c r="B404" s="1469">
        <v>78700.0</v>
      </c>
      <c r="C404" s="1470">
        <v>2017.0</v>
      </c>
      <c r="D404" s="1469" t="s">
        <v>3636</v>
      </c>
      <c r="E404" s="1469" t="s">
        <v>3637</v>
      </c>
      <c r="F404" s="1471" t="s">
        <v>4344</v>
      </c>
      <c r="G404" s="1464"/>
      <c r="H404" s="1470" t="s">
        <v>3639</v>
      </c>
      <c r="I404" s="1472">
        <v>46539.0</v>
      </c>
      <c r="J404" s="1472" t="s">
        <v>1061</v>
      </c>
      <c r="K404" s="1470" t="s">
        <v>3759</v>
      </c>
      <c r="L404" s="1464"/>
      <c r="M404" s="1479"/>
      <c r="N404" s="1479"/>
      <c r="O404" s="1479"/>
      <c r="P404" s="1479"/>
      <c r="Q404" s="1479"/>
      <c r="R404" s="1479"/>
      <c r="S404" s="1479"/>
      <c r="T404" s="1479"/>
      <c r="U404" s="1479"/>
      <c r="V404" s="1479"/>
      <c r="W404" s="1479"/>
      <c r="X404" s="1479"/>
      <c r="Y404" s="1479"/>
      <c r="Z404" s="1479"/>
    </row>
    <row r="405">
      <c r="A405" s="1488" t="s">
        <v>4345</v>
      </c>
      <c r="B405" s="1486">
        <v>91000.0</v>
      </c>
      <c r="C405" s="1487">
        <v>2027.0</v>
      </c>
      <c r="D405" s="1489"/>
      <c r="E405" s="1487" t="s">
        <v>666</v>
      </c>
      <c r="F405" s="1488" t="s">
        <v>4346</v>
      </c>
      <c r="G405" s="1489"/>
      <c r="H405" s="1487" t="s">
        <v>3962</v>
      </c>
      <c r="I405" s="1490">
        <v>46569.0</v>
      </c>
      <c r="J405" s="1487" t="s">
        <v>4137</v>
      </c>
      <c r="K405" s="1487" t="s">
        <v>4137</v>
      </c>
      <c r="L405" s="1470" t="s">
        <v>70</v>
      </c>
      <c r="M405" s="1479"/>
      <c r="N405" s="1479"/>
      <c r="O405" s="1479"/>
      <c r="P405" s="1479"/>
      <c r="Q405" s="1479"/>
      <c r="R405" s="1479"/>
      <c r="S405" s="1479"/>
      <c r="T405" s="1479"/>
      <c r="U405" s="1479"/>
      <c r="V405" s="1479"/>
      <c r="W405" s="1479"/>
      <c r="X405" s="1479"/>
      <c r="Y405" s="1479"/>
      <c r="Z405" s="1479"/>
    </row>
    <row r="406">
      <c r="A406" s="1468" t="s">
        <v>4347</v>
      </c>
      <c r="B406" s="1469">
        <v>84000.0</v>
      </c>
      <c r="C406" s="1470">
        <v>2017.0</v>
      </c>
      <c r="D406" s="1473"/>
      <c r="E406" s="1473"/>
      <c r="F406" s="1471" t="s">
        <v>4348</v>
      </c>
      <c r="G406" s="1464"/>
      <c r="H406" s="1464"/>
      <c r="I406" s="1472">
        <v>46569.0</v>
      </c>
      <c r="J406" s="1470" t="s">
        <v>3646</v>
      </c>
      <c r="K406" s="1470" t="s">
        <v>4349</v>
      </c>
      <c r="L406" s="1464"/>
      <c r="M406" s="1464"/>
      <c r="N406" s="1464"/>
      <c r="O406" s="1464"/>
      <c r="P406" s="1464"/>
      <c r="Q406" s="1464"/>
      <c r="R406" s="1464"/>
      <c r="S406" s="1464"/>
      <c r="T406" s="1464"/>
      <c r="U406" s="1464"/>
      <c r="V406" s="1464"/>
      <c r="W406" s="1464"/>
      <c r="X406" s="1464"/>
      <c r="Y406" s="1464"/>
      <c r="Z406" s="1464"/>
    </row>
    <row r="407">
      <c r="A407" s="1488" t="s">
        <v>4350</v>
      </c>
      <c r="B407" s="1486">
        <v>93000.0</v>
      </c>
      <c r="C407" s="1487">
        <v>2027.0</v>
      </c>
      <c r="D407" s="1492"/>
      <c r="E407" s="1492"/>
      <c r="F407" s="1488" t="s">
        <v>4351</v>
      </c>
      <c r="G407" s="1489"/>
      <c r="H407" s="1487" t="s">
        <v>3962</v>
      </c>
      <c r="I407" s="1490">
        <v>46569.0</v>
      </c>
      <c r="J407" s="1487" t="s">
        <v>4209</v>
      </c>
      <c r="K407" s="1487" t="s">
        <v>4209</v>
      </c>
      <c r="L407" s="1464"/>
      <c r="M407" s="1464"/>
      <c r="N407" s="1464"/>
      <c r="O407" s="1464"/>
      <c r="P407" s="1464"/>
      <c r="Q407" s="1464"/>
      <c r="R407" s="1464"/>
      <c r="S407" s="1464"/>
      <c r="T407" s="1464"/>
      <c r="U407" s="1464"/>
      <c r="V407" s="1464"/>
      <c r="W407" s="1464"/>
      <c r="X407" s="1464"/>
      <c r="Y407" s="1464"/>
      <c r="Z407" s="1464"/>
    </row>
    <row r="408">
      <c r="A408" s="1488" t="s">
        <v>4352</v>
      </c>
      <c r="B408" s="1486">
        <v>86700.0</v>
      </c>
      <c r="C408" s="1487">
        <v>2027.0</v>
      </c>
      <c r="D408" s="1492"/>
      <c r="E408" s="1486" t="s">
        <v>666</v>
      </c>
      <c r="F408" s="1488" t="s">
        <v>4346</v>
      </c>
      <c r="G408" s="1489"/>
      <c r="H408" s="1487" t="s">
        <v>3718</v>
      </c>
      <c r="I408" s="1505">
        <v>46569.0</v>
      </c>
      <c r="J408" s="1487" t="s">
        <v>3207</v>
      </c>
      <c r="K408" s="1487" t="s">
        <v>3207</v>
      </c>
      <c r="L408" s="1464"/>
      <c r="M408" s="1479"/>
      <c r="N408" s="1479"/>
      <c r="O408" s="1479"/>
      <c r="P408" s="1479"/>
      <c r="Q408" s="1479"/>
      <c r="R408" s="1479"/>
      <c r="S408" s="1479"/>
      <c r="T408" s="1479"/>
      <c r="U408" s="1479"/>
      <c r="V408" s="1479"/>
      <c r="W408" s="1479"/>
      <c r="X408" s="1479"/>
      <c r="Y408" s="1479"/>
      <c r="Z408" s="1479"/>
    </row>
    <row r="409">
      <c r="A409" s="1468" t="s">
        <v>4347</v>
      </c>
      <c r="B409" s="1469">
        <v>84000.0</v>
      </c>
      <c r="C409" s="1470">
        <v>2017.0</v>
      </c>
      <c r="D409" s="1473"/>
      <c r="E409" s="1473"/>
      <c r="F409" s="1471" t="s">
        <v>4353</v>
      </c>
      <c r="G409" s="1464"/>
      <c r="H409" s="1464"/>
      <c r="I409" s="1472">
        <v>46569.0</v>
      </c>
      <c r="J409" s="1470" t="s">
        <v>3646</v>
      </c>
      <c r="K409" s="1470" t="s">
        <v>3083</v>
      </c>
      <c r="L409" s="1464"/>
      <c r="M409" s="1479"/>
      <c r="N409" s="1479"/>
      <c r="O409" s="1479"/>
      <c r="P409" s="1479"/>
      <c r="Q409" s="1479"/>
      <c r="R409" s="1479"/>
      <c r="S409" s="1479"/>
      <c r="T409" s="1479"/>
      <c r="U409" s="1479"/>
      <c r="V409" s="1479"/>
      <c r="W409" s="1479"/>
      <c r="X409" s="1479"/>
      <c r="Y409" s="1479"/>
      <c r="Z409" s="1479"/>
    </row>
    <row r="410">
      <c r="A410" s="1468" t="s">
        <v>4126</v>
      </c>
      <c r="B410" s="1469">
        <v>82000.0</v>
      </c>
      <c r="C410" s="1470">
        <v>2013.0</v>
      </c>
      <c r="D410" s="1473"/>
      <c r="E410" s="1469" t="s">
        <v>3637</v>
      </c>
      <c r="F410" s="1471" t="s">
        <v>4354</v>
      </c>
      <c r="G410" s="1464"/>
      <c r="H410" s="1470" t="s">
        <v>3639</v>
      </c>
      <c r="I410" s="1472">
        <v>46600.0</v>
      </c>
      <c r="J410" s="1470" t="s">
        <v>727</v>
      </c>
      <c r="K410" s="1470" t="s">
        <v>4128</v>
      </c>
      <c r="L410" s="1464"/>
      <c r="M410" s="1464"/>
      <c r="N410" s="1464"/>
      <c r="O410" s="1464"/>
      <c r="P410" s="1464"/>
      <c r="Q410" s="1464"/>
      <c r="R410" s="1464"/>
      <c r="S410" s="1464"/>
      <c r="T410" s="1464"/>
      <c r="U410" s="1464"/>
      <c r="V410" s="1464"/>
      <c r="W410" s="1464"/>
      <c r="X410" s="1464"/>
      <c r="Y410" s="1464"/>
      <c r="Z410" s="1464"/>
    </row>
    <row r="411">
      <c r="A411" s="1485" t="s">
        <v>4355</v>
      </c>
      <c r="B411" s="1486">
        <v>93000.0</v>
      </c>
      <c r="C411" s="1487">
        <v>2027.0</v>
      </c>
      <c r="D411" s="1489"/>
      <c r="E411" s="1487" t="s">
        <v>666</v>
      </c>
      <c r="F411" s="1488" t="s">
        <v>4346</v>
      </c>
      <c r="G411" s="1489"/>
      <c r="H411" s="1487" t="s">
        <v>3962</v>
      </c>
      <c r="I411" s="1490">
        <v>46600.0</v>
      </c>
      <c r="J411" s="1487" t="s">
        <v>4313</v>
      </c>
      <c r="K411" s="1487" t="s">
        <v>4313</v>
      </c>
      <c r="L411" s="1479"/>
      <c r="M411" s="1471" t="s">
        <v>934</v>
      </c>
      <c r="N411" s="1506">
        <v>45118.0</v>
      </c>
      <c r="O411" s="1464"/>
      <c r="P411" s="1464"/>
      <c r="Q411" s="1464"/>
      <c r="R411" s="1464"/>
      <c r="S411" s="1464"/>
      <c r="T411" s="1464"/>
      <c r="U411" s="1464"/>
      <c r="V411" s="1464"/>
      <c r="W411" s="1464"/>
      <c r="X411" s="1464"/>
      <c r="Y411" s="1464"/>
      <c r="Z411" s="1464"/>
    </row>
    <row r="412">
      <c r="A412" s="1474" t="s">
        <v>4356</v>
      </c>
      <c r="B412" s="1475">
        <v>91000.0</v>
      </c>
      <c r="C412" s="1476">
        <v>2022.0</v>
      </c>
      <c r="D412" s="1481"/>
      <c r="E412" s="1475" t="s">
        <v>666</v>
      </c>
      <c r="F412" s="1477" t="s">
        <v>4357</v>
      </c>
      <c r="G412" s="1464"/>
      <c r="H412" s="1464"/>
      <c r="I412" s="1480">
        <v>46600.0</v>
      </c>
      <c r="J412" s="1478" t="s">
        <v>1116</v>
      </c>
      <c r="K412" s="1476" t="s">
        <v>3820</v>
      </c>
      <c r="L412" s="1479"/>
      <c r="M412" s="1471" t="s">
        <v>934</v>
      </c>
      <c r="N412" s="1506">
        <v>45118.0</v>
      </c>
      <c r="O412" s="1464"/>
      <c r="P412" s="1464"/>
      <c r="Q412" s="1464"/>
      <c r="R412" s="1464"/>
      <c r="S412" s="1464"/>
      <c r="T412" s="1464"/>
      <c r="U412" s="1464"/>
      <c r="V412" s="1464"/>
      <c r="W412" s="1464"/>
      <c r="X412" s="1464"/>
      <c r="Y412" s="1464"/>
      <c r="Z412" s="1464"/>
    </row>
    <row r="413">
      <c r="A413" s="1474" t="s">
        <v>4356</v>
      </c>
      <c r="B413" s="1475">
        <v>91000.0</v>
      </c>
      <c r="C413" s="1476">
        <v>2022.0</v>
      </c>
      <c r="D413" s="1481"/>
      <c r="E413" s="1475" t="s">
        <v>666</v>
      </c>
      <c r="F413" s="1477" t="s">
        <v>4358</v>
      </c>
      <c r="G413" s="1464"/>
      <c r="H413" s="1464"/>
      <c r="I413" s="1480">
        <v>46600.0</v>
      </c>
      <c r="J413" s="1480" t="s">
        <v>1116</v>
      </c>
      <c r="K413" s="1476" t="s">
        <v>3083</v>
      </c>
      <c r="L413" s="1479"/>
      <c r="M413" s="1471" t="s">
        <v>934</v>
      </c>
      <c r="N413" s="1506">
        <v>45118.0</v>
      </c>
      <c r="O413" s="1464"/>
      <c r="P413" s="1464"/>
      <c r="Q413" s="1464"/>
      <c r="R413" s="1464"/>
      <c r="S413" s="1464"/>
      <c r="T413" s="1464"/>
      <c r="U413" s="1464"/>
      <c r="V413" s="1464"/>
      <c r="W413" s="1464"/>
      <c r="X413" s="1464"/>
      <c r="Y413" s="1464"/>
      <c r="Z413" s="1464"/>
    </row>
    <row r="414">
      <c r="A414" s="1485" t="s">
        <v>4359</v>
      </c>
      <c r="B414" s="1486">
        <v>88000.0</v>
      </c>
      <c r="C414" s="1487">
        <v>2027.0</v>
      </c>
      <c r="D414" s="1486" t="s">
        <v>3636</v>
      </c>
      <c r="E414" s="1486" t="s">
        <v>666</v>
      </c>
      <c r="F414" s="1488" t="s">
        <v>4360</v>
      </c>
      <c r="G414" s="1489"/>
      <c r="H414" s="1489"/>
      <c r="I414" s="1490">
        <v>46631.0</v>
      </c>
      <c r="J414" s="1487" t="s">
        <v>761</v>
      </c>
      <c r="K414" s="1487" t="s">
        <v>761</v>
      </c>
      <c r="L414" s="1479"/>
      <c r="M414" s="1471" t="s">
        <v>934</v>
      </c>
      <c r="N414" s="1506">
        <v>45118.0</v>
      </c>
      <c r="O414" s="1464"/>
      <c r="P414" s="1464"/>
      <c r="Q414" s="1464"/>
      <c r="R414" s="1464"/>
      <c r="S414" s="1464"/>
      <c r="T414" s="1464"/>
      <c r="U414" s="1464"/>
      <c r="V414" s="1464"/>
      <c r="W414" s="1464"/>
      <c r="X414" s="1464"/>
      <c r="Y414" s="1464"/>
      <c r="Z414" s="1464"/>
    </row>
    <row r="415">
      <c r="A415" s="1485" t="s">
        <v>4361</v>
      </c>
      <c r="B415" s="1486">
        <v>93000.0</v>
      </c>
      <c r="C415" s="1487">
        <v>2027.0</v>
      </c>
      <c r="D415" s="1492"/>
      <c r="E415" s="1486" t="s">
        <v>666</v>
      </c>
      <c r="F415" s="1488" t="s">
        <v>4360</v>
      </c>
      <c r="G415" s="1489"/>
      <c r="H415" s="1487" t="s">
        <v>3962</v>
      </c>
      <c r="I415" s="1490">
        <v>46631.0</v>
      </c>
      <c r="J415" s="1487" t="s">
        <v>4324</v>
      </c>
      <c r="K415" s="1487" t="s">
        <v>4324</v>
      </c>
      <c r="L415" s="1476" t="s">
        <v>4325</v>
      </c>
      <c r="M415" s="1471" t="s">
        <v>934</v>
      </c>
      <c r="N415" s="1506">
        <v>45118.0</v>
      </c>
      <c r="O415" s="1464"/>
      <c r="P415" s="1464"/>
      <c r="Q415" s="1464"/>
      <c r="R415" s="1464"/>
      <c r="S415" s="1464"/>
      <c r="T415" s="1464"/>
      <c r="U415" s="1464"/>
      <c r="V415" s="1464"/>
      <c r="W415" s="1464"/>
      <c r="X415" s="1464"/>
      <c r="Y415" s="1464"/>
      <c r="Z415" s="1464"/>
    </row>
    <row r="416">
      <c r="A416" s="1468" t="s">
        <v>3375</v>
      </c>
      <c r="B416" s="1469">
        <v>84600.0</v>
      </c>
      <c r="C416" s="1470">
        <v>2020.0</v>
      </c>
      <c r="D416" s="1473"/>
      <c r="E416" s="1469" t="s">
        <v>3637</v>
      </c>
      <c r="F416" s="1471" t="s">
        <v>4362</v>
      </c>
      <c r="G416" s="1464"/>
      <c r="H416" s="1464"/>
      <c r="I416" s="1472">
        <v>46631.0</v>
      </c>
      <c r="J416" s="1472" t="s">
        <v>863</v>
      </c>
      <c r="K416" s="1470" t="s">
        <v>4363</v>
      </c>
      <c r="L416" s="1464"/>
      <c r="M416" s="1464"/>
      <c r="N416" s="1464"/>
      <c r="O416" s="1464"/>
      <c r="P416" s="1464"/>
      <c r="Q416" s="1464"/>
      <c r="R416" s="1464"/>
      <c r="S416" s="1464"/>
      <c r="T416" s="1464"/>
      <c r="U416" s="1464"/>
      <c r="V416" s="1464"/>
      <c r="W416" s="1464"/>
      <c r="X416" s="1464"/>
      <c r="Y416" s="1464"/>
      <c r="Z416" s="1464"/>
    </row>
    <row r="417">
      <c r="A417" s="1485" t="s">
        <v>4364</v>
      </c>
      <c r="B417" s="1486">
        <v>93000.0</v>
      </c>
      <c r="C417" s="1487">
        <v>2027.0</v>
      </c>
      <c r="D417" s="1492"/>
      <c r="E417" s="1486" t="s">
        <v>666</v>
      </c>
      <c r="F417" s="1488" t="s">
        <v>4365</v>
      </c>
      <c r="G417" s="1489"/>
      <c r="H417" s="1487" t="s">
        <v>3962</v>
      </c>
      <c r="I417" s="1490">
        <v>46631.0</v>
      </c>
      <c r="J417" s="1487" t="s">
        <v>3723</v>
      </c>
      <c r="K417" s="1487" t="s">
        <v>3723</v>
      </c>
      <c r="L417" s="1464"/>
      <c r="M417" s="1464"/>
      <c r="N417" s="1464"/>
      <c r="O417" s="1464"/>
      <c r="P417" s="1464"/>
      <c r="Q417" s="1464"/>
      <c r="R417" s="1464"/>
      <c r="S417" s="1464"/>
      <c r="T417" s="1464"/>
      <c r="U417" s="1464"/>
      <c r="V417" s="1464"/>
      <c r="W417" s="1464"/>
      <c r="X417" s="1464"/>
      <c r="Y417" s="1464"/>
      <c r="Z417" s="1464"/>
    </row>
    <row r="418">
      <c r="A418" s="1474" t="s">
        <v>4366</v>
      </c>
      <c r="B418" s="1475">
        <v>88000.0</v>
      </c>
      <c r="C418" s="1476">
        <v>2024.0</v>
      </c>
      <c r="D418" s="1475" t="s">
        <v>3636</v>
      </c>
      <c r="E418" s="1475" t="s">
        <v>666</v>
      </c>
      <c r="F418" s="1477" t="s">
        <v>4367</v>
      </c>
      <c r="G418" s="1479"/>
      <c r="H418" s="1476" t="s">
        <v>3718</v>
      </c>
      <c r="I418" s="1480">
        <v>46631.0</v>
      </c>
      <c r="J418" s="1476" t="s">
        <v>3944</v>
      </c>
      <c r="K418" s="1476" t="s">
        <v>3719</v>
      </c>
      <c r="L418" s="1479"/>
      <c r="M418" s="1464"/>
      <c r="N418" s="1464"/>
      <c r="O418" s="1464"/>
      <c r="P418" s="1464"/>
      <c r="Q418" s="1464"/>
      <c r="R418" s="1464"/>
      <c r="S418" s="1464"/>
      <c r="T418" s="1464"/>
      <c r="U418" s="1464"/>
      <c r="V418" s="1464"/>
      <c r="W418" s="1464"/>
      <c r="X418" s="1464"/>
      <c r="Y418" s="1464"/>
      <c r="Z418" s="1464"/>
    </row>
    <row r="419">
      <c r="A419" s="1477" t="s">
        <v>4366</v>
      </c>
      <c r="B419" s="1475">
        <v>88000.0</v>
      </c>
      <c r="C419" s="1476">
        <v>2024.0</v>
      </c>
      <c r="D419" s="1475" t="s">
        <v>3636</v>
      </c>
      <c r="E419" s="1475" t="s">
        <v>666</v>
      </c>
      <c r="F419" s="1477" t="s">
        <v>4368</v>
      </c>
      <c r="G419" s="1479"/>
      <c r="H419" s="1476" t="s">
        <v>3718</v>
      </c>
      <c r="I419" s="1480">
        <v>46631.0</v>
      </c>
      <c r="J419" s="1476" t="s">
        <v>3944</v>
      </c>
      <c r="K419" s="1476" t="s">
        <v>3719</v>
      </c>
      <c r="L419" s="1479"/>
      <c r="M419" s="1464"/>
      <c r="N419" s="1464"/>
      <c r="O419" s="1464"/>
      <c r="P419" s="1464"/>
      <c r="Q419" s="1464"/>
      <c r="R419" s="1464"/>
      <c r="S419" s="1464"/>
      <c r="T419" s="1464"/>
      <c r="U419" s="1464"/>
      <c r="V419" s="1464"/>
      <c r="W419" s="1464"/>
      <c r="X419" s="1464"/>
      <c r="Y419" s="1464"/>
      <c r="Z419" s="1464"/>
    </row>
    <row r="420">
      <c r="A420" s="1474" t="s">
        <v>3375</v>
      </c>
      <c r="B420" s="1475">
        <v>84600.0</v>
      </c>
      <c r="C420" s="1476">
        <v>2020.0</v>
      </c>
      <c r="D420" s="1473"/>
      <c r="E420" s="1469" t="s">
        <v>3637</v>
      </c>
      <c r="F420" s="1477" t="s">
        <v>4369</v>
      </c>
      <c r="G420" s="1464"/>
      <c r="H420" s="1464"/>
      <c r="I420" s="1480">
        <v>46631.0</v>
      </c>
      <c r="J420" s="1480" t="s">
        <v>863</v>
      </c>
      <c r="K420" s="1476" t="s">
        <v>4363</v>
      </c>
      <c r="L420" s="1464"/>
      <c r="M420" s="1464"/>
      <c r="N420" s="1464"/>
      <c r="O420" s="1464"/>
      <c r="P420" s="1464"/>
      <c r="Q420" s="1464"/>
      <c r="R420" s="1464"/>
      <c r="S420" s="1464"/>
      <c r="T420" s="1464"/>
      <c r="U420" s="1464"/>
      <c r="V420" s="1464"/>
      <c r="W420" s="1464"/>
      <c r="X420" s="1464"/>
      <c r="Y420" s="1464"/>
      <c r="Z420" s="1464"/>
    </row>
    <row r="421">
      <c r="A421" s="1474" t="s">
        <v>3424</v>
      </c>
      <c r="B421" s="1475">
        <v>84000.0</v>
      </c>
      <c r="C421" s="1476">
        <v>2020.0</v>
      </c>
      <c r="D421" s="1473"/>
      <c r="E421" s="1469" t="s">
        <v>3637</v>
      </c>
      <c r="F421" s="1471" t="s">
        <v>4370</v>
      </c>
      <c r="G421" s="1464"/>
      <c r="H421" s="1470" t="s">
        <v>3639</v>
      </c>
      <c r="I421" s="1472">
        <v>46631.0</v>
      </c>
      <c r="J421" s="1470" t="s">
        <v>3684</v>
      </c>
      <c r="K421" s="1470" t="s">
        <v>4252</v>
      </c>
      <c r="L421" s="1464"/>
      <c r="M421" s="1464"/>
      <c r="N421" s="1464"/>
      <c r="O421" s="1464"/>
      <c r="P421" s="1464"/>
      <c r="Q421" s="1464"/>
      <c r="R421" s="1464"/>
      <c r="S421" s="1464"/>
      <c r="T421" s="1464"/>
      <c r="U421" s="1464"/>
      <c r="V421" s="1464"/>
      <c r="W421" s="1464"/>
      <c r="X421" s="1464"/>
      <c r="Y421" s="1464"/>
      <c r="Z421" s="1464"/>
    </row>
    <row r="422">
      <c r="A422" s="1474" t="s">
        <v>3396</v>
      </c>
      <c r="B422" s="1475">
        <v>84000.0</v>
      </c>
      <c r="C422" s="1476">
        <v>2020.0</v>
      </c>
      <c r="D422" s="1473"/>
      <c r="E422" s="1469" t="s">
        <v>3637</v>
      </c>
      <c r="F422" s="1477" t="s">
        <v>4371</v>
      </c>
      <c r="G422" s="1464"/>
      <c r="H422" s="1470" t="s">
        <v>3639</v>
      </c>
      <c r="I422" s="1472">
        <v>46631.0</v>
      </c>
      <c r="J422" s="1470" t="s">
        <v>3684</v>
      </c>
      <c r="K422" s="1470" t="s">
        <v>3730</v>
      </c>
      <c r="L422" s="1464"/>
      <c r="M422" s="1464"/>
      <c r="N422" s="1464"/>
      <c r="O422" s="1464"/>
      <c r="P422" s="1464"/>
      <c r="Q422" s="1464"/>
      <c r="R422" s="1464"/>
      <c r="S422" s="1464"/>
      <c r="T422" s="1464"/>
      <c r="U422" s="1464"/>
      <c r="V422" s="1464"/>
      <c r="W422" s="1464"/>
      <c r="X422" s="1464"/>
      <c r="Y422" s="1464"/>
      <c r="Z422" s="1464"/>
    </row>
    <row r="423">
      <c r="A423" s="1474" t="s">
        <v>3396</v>
      </c>
      <c r="B423" s="1475">
        <v>84000.0</v>
      </c>
      <c r="C423" s="1476">
        <v>2020.0</v>
      </c>
      <c r="D423" s="1473"/>
      <c r="E423" s="1469" t="s">
        <v>3637</v>
      </c>
      <c r="F423" s="1477" t="s">
        <v>4372</v>
      </c>
      <c r="G423" s="1464"/>
      <c r="H423" s="1470" t="s">
        <v>3639</v>
      </c>
      <c r="I423" s="1472">
        <v>46631.0</v>
      </c>
      <c r="J423" s="1470" t="s">
        <v>3684</v>
      </c>
      <c r="K423" s="1470" t="s">
        <v>3730</v>
      </c>
      <c r="L423" s="1464"/>
      <c r="M423" s="1464"/>
      <c r="N423" s="1464"/>
      <c r="O423" s="1464"/>
      <c r="P423" s="1464"/>
      <c r="Q423" s="1464"/>
      <c r="R423" s="1464"/>
      <c r="S423" s="1464"/>
      <c r="T423" s="1464"/>
      <c r="U423" s="1464"/>
      <c r="V423" s="1464"/>
      <c r="W423" s="1464"/>
      <c r="X423" s="1464"/>
      <c r="Y423" s="1464"/>
      <c r="Z423" s="1464"/>
    </row>
    <row r="424">
      <c r="A424" s="1474" t="s">
        <v>3424</v>
      </c>
      <c r="B424" s="1475">
        <v>84000.0</v>
      </c>
      <c r="C424" s="1476">
        <v>2020.0</v>
      </c>
      <c r="D424" s="1473"/>
      <c r="E424" s="1469" t="s">
        <v>3637</v>
      </c>
      <c r="F424" s="1471" t="s">
        <v>4373</v>
      </c>
      <c r="G424" s="1464"/>
      <c r="H424" s="1470" t="s">
        <v>3639</v>
      </c>
      <c r="I424" s="1472">
        <v>46631.0</v>
      </c>
      <c r="J424" s="1470" t="s">
        <v>3684</v>
      </c>
      <c r="K424" s="1470" t="s">
        <v>4252</v>
      </c>
      <c r="L424" s="1464"/>
      <c r="M424" s="1464"/>
      <c r="N424" s="1464"/>
      <c r="O424" s="1464"/>
      <c r="P424" s="1464"/>
      <c r="Q424" s="1464"/>
      <c r="R424" s="1464"/>
      <c r="S424" s="1464"/>
      <c r="T424" s="1464"/>
      <c r="U424" s="1464"/>
      <c r="V424" s="1464"/>
      <c r="W424" s="1464"/>
      <c r="X424" s="1464"/>
      <c r="Y424" s="1464"/>
      <c r="Z424" s="1464"/>
    </row>
    <row r="425">
      <c r="A425" s="1485" t="s">
        <v>4374</v>
      </c>
      <c r="B425" s="1486">
        <v>88000.0</v>
      </c>
      <c r="C425" s="1487">
        <v>2027.0</v>
      </c>
      <c r="D425" s="1486" t="s">
        <v>3636</v>
      </c>
      <c r="E425" s="1486" t="s">
        <v>666</v>
      </c>
      <c r="F425" s="1488" t="s">
        <v>4360</v>
      </c>
      <c r="G425" s="1489"/>
      <c r="H425" s="1487" t="s">
        <v>3962</v>
      </c>
      <c r="I425" s="1490">
        <v>46631.0</v>
      </c>
      <c r="J425" s="1487" t="s">
        <v>3738</v>
      </c>
      <c r="K425" s="1487" t="s">
        <v>3738</v>
      </c>
      <c r="L425" s="1479"/>
      <c r="M425" s="1464"/>
      <c r="N425" s="1464"/>
      <c r="O425" s="1464"/>
      <c r="P425" s="1464"/>
      <c r="Q425" s="1464"/>
      <c r="R425" s="1464"/>
      <c r="S425" s="1464"/>
      <c r="T425" s="1464"/>
      <c r="U425" s="1464"/>
      <c r="V425" s="1464"/>
      <c r="W425" s="1464"/>
      <c r="X425" s="1464"/>
      <c r="Y425" s="1464"/>
      <c r="Z425" s="1464"/>
    </row>
    <row r="426">
      <c r="A426" s="1468" t="s">
        <v>4375</v>
      </c>
      <c r="B426" s="1469">
        <v>91000.0</v>
      </c>
      <c r="C426" s="1470">
        <v>2022.0</v>
      </c>
      <c r="D426" s="1473"/>
      <c r="E426" s="1469" t="s">
        <v>666</v>
      </c>
      <c r="F426" s="1471" t="s">
        <v>4376</v>
      </c>
      <c r="G426" s="1479"/>
      <c r="H426" s="1470" t="s">
        <v>3718</v>
      </c>
      <c r="I426" s="1472">
        <v>46631.0</v>
      </c>
      <c r="J426" s="1472" t="s">
        <v>3658</v>
      </c>
      <c r="K426" s="1470" t="s">
        <v>3669</v>
      </c>
      <c r="L426" s="1464"/>
      <c r="M426" s="1479"/>
      <c r="N426" s="1479"/>
      <c r="O426" s="1479"/>
      <c r="P426" s="1479"/>
      <c r="Q426" s="1479"/>
      <c r="R426" s="1479"/>
      <c r="S426" s="1479"/>
      <c r="T426" s="1479"/>
      <c r="U426" s="1479"/>
      <c r="V426" s="1479"/>
      <c r="W426" s="1479"/>
      <c r="X426" s="1479"/>
      <c r="Y426" s="1479"/>
      <c r="Z426" s="1479"/>
    </row>
    <row r="427">
      <c r="A427" s="1468" t="s">
        <v>4377</v>
      </c>
      <c r="B427" s="1469">
        <v>78700.0</v>
      </c>
      <c r="C427" s="1470">
        <v>2017.0</v>
      </c>
      <c r="D427" s="1469" t="s">
        <v>3636</v>
      </c>
      <c r="E427" s="1469" t="s">
        <v>3637</v>
      </c>
      <c r="F427" s="1471" t="s">
        <v>4378</v>
      </c>
      <c r="G427" s="1464"/>
      <c r="H427" s="1470" t="s">
        <v>3639</v>
      </c>
      <c r="I427" s="1472">
        <v>46631.0</v>
      </c>
      <c r="J427" s="1472" t="s">
        <v>1061</v>
      </c>
      <c r="K427" s="1470" t="s">
        <v>3759</v>
      </c>
      <c r="L427" s="1464"/>
      <c r="M427" s="1464"/>
      <c r="N427" s="1464"/>
      <c r="O427" s="1464"/>
      <c r="P427" s="1464"/>
      <c r="Q427" s="1464"/>
      <c r="R427" s="1464"/>
      <c r="S427" s="1464"/>
      <c r="T427" s="1464"/>
      <c r="U427" s="1464"/>
      <c r="V427" s="1464"/>
      <c r="W427" s="1464"/>
      <c r="X427" s="1464"/>
      <c r="Y427" s="1464"/>
      <c r="Z427" s="1464"/>
    </row>
    <row r="428">
      <c r="A428" s="1468" t="s">
        <v>4379</v>
      </c>
      <c r="B428" s="1469">
        <v>78700.0</v>
      </c>
      <c r="C428" s="1470">
        <v>2017.0</v>
      </c>
      <c r="D428" s="1469" t="s">
        <v>3636</v>
      </c>
      <c r="E428" s="1469" t="s">
        <v>3637</v>
      </c>
      <c r="F428" s="1471" t="s">
        <v>4380</v>
      </c>
      <c r="G428" s="1464"/>
      <c r="H428" s="1470" t="s">
        <v>3639</v>
      </c>
      <c r="I428" s="1472">
        <v>46631.0</v>
      </c>
      <c r="J428" s="1472" t="s">
        <v>1061</v>
      </c>
      <c r="K428" s="1470" t="s">
        <v>3759</v>
      </c>
      <c r="L428" s="1464"/>
      <c r="M428" s="1479"/>
      <c r="N428" s="1479"/>
      <c r="O428" s="1479"/>
      <c r="P428" s="1479"/>
      <c r="Q428" s="1479"/>
      <c r="R428" s="1479"/>
      <c r="S428" s="1479"/>
      <c r="T428" s="1479"/>
      <c r="U428" s="1479"/>
      <c r="V428" s="1479"/>
      <c r="W428" s="1479"/>
      <c r="X428" s="1479"/>
      <c r="Y428" s="1479"/>
      <c r="Z428" s="1479"/>
    </row>
    <row r="429">
      <c r="A429" s="1474" t="s">
        <v>4375</v>
      </c>
      <c r="B429" s="1475">
        <v>91000.0</v>
      </c>
      <c r="C429" s="1476">
        <v>2022.0</v>
      </c>
      <c r="D429" s="1481"/>
      <c r="E429" s="1475" t="s">
        <v>666</v>
      </c>
      <c r="F429" s="1477" t="s">
        <v>4381</v>
      </c>
      <c r="G429" s="1464"/>
      <c r="H429" s="1464"/>
      <c r="I429" s="1480">
        <v>46631.0</v>
      </c>
      <c r="J429" s="1480" t="s">
        <v>3658</v>
      </c>
      <c r="K429" s="1470" t="s">
        <v>3669</v>
      </c>
      <c r="L429" s="1476" t="s">
        <v>4382</v>
      </c>
      <c r="M429" s="1464"/>
      <c r="N429" s="1464"/>
      <c r="O429" s="1464"/>
      <c r="P429" s="1464"/>
      <c r="Q429" s="1464"/>
      <c r="R429" s="1464"/>
      <c r="S429" s="1464"/>
      <c r="T429" s="1464"/>
      <c r="U429" s="1464"/>
      <c r="V429" s="1464"/>
      <c r="W429" s="1464"/>
      <c r="X429" s="1464"/>
      <c r="Y429" s="1464"/>
      <c r="Z429" s="1464"/>
    </row>
    <row r="430">
      <c r="A430" s="1485" t="s">
        <v>4383</v>
      </c>
      <c r="B430" s="1486">
        <v>88000.0</v>
      </c>
      <c r="C430" s="1487">
        <v>2027.0</v>
      </c>
      <c r="D430" s="1486" t="s">
        <v>3636</v>
      </c>
      <c r="E430" s="1486" t="s">
        <v>666</v>
      </c>
      <c r="F430" s="1488" t="s">
        <v>4384</v>
      </c>
      <c r="G430" s="1489"/>
      <c r="H430" s="1487" t="s">
        <v>3962</v>
      </c>
      <c r="I430" s="1490">
        <v>46661.0</v>
      </c>
      <c r="J430" s="1487" t="s">
        <v>4215</v>
      </c>
      <c r="K430" s="1487" t="s">
        <v>4215</v>
      </c>
      <c r="L430" s="1464"/>
      <c r="M430" s="1464"/>
      <c r="N430" s="1464"/>
      <c r="O430" s="1464"/>
      <c r="P430" s="1464"/>
      <c r="Q430" s="1464"/>
      <c r="R430" s="1464"/>
      <c r="S430" s="1464"/>
      <c r="T430" s="1464"/>
      <c r="U430" s="1464"/>
      <c r="V430" s="1464"/>
      <c r="W430" s="1464"/>
      <c r="X430" s="1464"/>
      <c r="Y430" s="1464"/>
      <c r="Z430" s="1464"/>
    </row>
    <row r="431">
      <c r="A431" s="1485" t="s">
        <v>4385</v>
      </c>
      <c r="B431" s="1486">
        <v>93000.0</v>
      </c>
      <c r="C431" s="1487" t="s">
        <v>4179</v>
      </c>
      <c r="D431" s="1492"/>
      <c r="E431" s="1486" t="s">
        <v>666</v>
      </c>
      <c r="F431" s="1488" t="s">
        <v>4386</v>
      </c>
      <c r="G431" s="1489"/>
      <c r="H431" s="1487" t="s">
        <v>3962</v>
      </c>
      <c r="I431" s="1490">
        <v>46661.0</v>
      </c>
      <c r="J431" s="1487" t="s">
        <v>4181</v>
      </c>
      <c r="K431" s="1487" t="s">
        <v>4181</v>
      </c>
      <c r="L431" s="1464"/>
      <c r="M431" s="1464"/>
      <c r="N431" s="1464"/>
      <c r="O431" s="1464"/>
      <c r="P431" s="1464"/>
      <c r="Q431" s="1464"/>
      <c r="R431" s="1464"/>
      <c r="S431" s="1464"/>
      <c r="T431" s="1464"/>
      <c r="U431" s="1464"/>
      <c r="V431" s="1464"/>
      <c r="W431" s="1464"/>
      <c r="X431" s="1464"/>
      <c r="Y431" s="1464"/>
      <c r="Z431" s="1464"/>
    </row>
    <row r="432">
      <c r="A432" s="1474" t="s">
        <v>3378</v>
      </c>
      <c r="B432" s="1475">
        <v>84000.0</v>
      </c>
      <c r="C432" s="1476">
        <v>2020.0</v>
      </c>
      <c r="D432" s="1473"/>
      <c r="E432" s="1469" t="s">
        <v>3637</v>
      </c>
      <c r="F432" s="1477" t="s">
        <v>4387</v>
      </c>
      <c r="G432" s="1464"/>
      <c r="H432" s="1470" t="s">
        <v>3639</v>
      </c>
      <c r="I432" s="1472">
        <v>46661.0</v>
      </c>
      <c r="J432" s="1470" t="s">
        <v>3684</v>
      </c>
      <c r="K432" s="1470" t="s">
        <v>3730</v>
      </c>
      <c r="L432" s="1464"/>
      <c r="M432" s="1464"/>
      <c r="N432" s="1464"/>
      <c r="O432" s="1464"/>
      <c r="P432" s="1464"/>
      <c r="Q432" s="1464"/>
      <c r="R432" s="1464"/>
      <c r="S432" s="1464"/>
      <c r="T432" s="1464"/>
      <c r="U432" s="1464"/>
      <c r="V432" s="1464"/>
      <c r="W432" s="1464"/>
      <c r="X432" s="1464"/>
      <c r="Y432" s="1464"/>
      <c r="Z432" s="1464"/>
    </row>
    <row r="433">
      <c r="A433" s="1485" t="s">
        <v>4388</v>
      </c>
      <c r="B433" s="1486">
        <v>86700.0</v>
      </c>
      <c r="C433" s="1487">
        <v>2027.0</v>
      </c>
      <c r="D433" s="1492"/>
      <c r="E433" s="1486" t="s">
        <v>666</v>
      </c>
      <c r="F433" s="1488" t="s">
        <v>4384</v>
      </c>
      <c r="G433" s="1489"/>
      <c r="H433" s="1487" t="s">
        <v>3702</v>
      </c>
      <c r="I433" s="1490">
        <v>46661.0</v>
      </c>
      <c r="J433" s="1487" t="s">
        <v>3696</v>
      </c>
      <c r="K433" s="1487" t="s">
        <v>3696</v>
      </c>
      <c r="L433" s="1479"/>
      <c r="M433" s="1464"/>
      <c r="N433" s="1464"/>
      <c r="O433" s="1464"/>
      <c r="P433" s="1464"/>
      <c r="Q433" s="1464"/>
      <c r="R433" s="1464"/>
      <c r="S433" s="1464"/>
      <c r="T433" s="1464"/>
      <c r="U433" s="1464"/>
      <c r="V433" s="1464"/>
      <c r="W433" s="1464"/>
      <c r="X433" s="1464"/>
      <c r="Y433" s="1464"/>
      <c r="Z433" s="1464"/>
    </row>
    <row r="434">
      <c r="A434" s="1488" t="s">
        <v>4389</v>
      </c>
      <c r="B434" s="1486" t="s">
        <v>4390</v>
      </c>
      <c r="C434" s="1487">
        <v>2027.0</v>
      </c>
      <c r="D434" s="1492"/>
      <c r="E434" s="1486" t="s">
        <v>666</v>
      </c>
      <c r="F434" s="1488" t="s">
        <v>4391</v>
      </c>
      <c r="G434" s="1489"/>
      <c r="H434" s="1487" t="s">
        <v>3962</v>
      </c>
      <c r="I434" s="1490">
        <v>46661.0</v>
      </c>
      <c r="J434" s="1487" t="s">
        <v>3207</v>
      </c>
      <c r="K434" s="1487" t="s">
        <v>3207</v>
      </c>
      <c r="L434" s="1464"/>
      <c r="M434" s="1464"/>
      <c r="N434" s="1464"/>
      <c r="O434" s="1464"/>
      <c r="P434" s="1464"/>
      <c r="Q434" s="1464"/>
      <c r="R434" s="1464"/>
      <c r="S434" s="1464"/>
      <c r="T434" s="1464"/>
      <c r="U434" s="1464"/>
      <c r="V434" s="1464"/>
      <c r="W434" s="1464"/>
      <c r="X434" s="1464"/>
      <c r="Y434" s="1464"/>
      <c r="Z434" s="1464"/>
    </row>
    <row r="435">
      <c r="A435" s="1488" t="s">
        <v>4392</v>
      </c>
      <c r="B435" s="1486" t="s">
        <v>4390</v>
      </c>
      <c r="C435" s="1487">
        <v>2027.0</v>
      </c>
      <c r="D435" s="1492"/>
      <c r="E435" s="1486" t="s">
        <v>666</v>
      </c>
      <c r="F435" s="1488" t="s">
        <v>4391</v>
      </c>
      <c r="G435" s="1489"/>
      <c r="H435" s="1487" t="s">
        <v>3962</v>
      </c>
      <c r="I435" s="1490">
        <v>46661.0</v>
      </c>
      <c r="J435" s="1487" t="s">
        <v>3207</v>
      </c>
      <c r="K435" s="1487" t="s">
        <v>3207</v>
      </c>
      <c r="L435" s="1464"/>
      <c r="M435" s="1464"/>
      <c r="N435" s="1464"/>
      <c r="O435" s="1464"/>
      <c r="P435" s="1464"/>
      <c r="Q435" s="1464"/>
      <c r="R435" s="1464"/>
      <c r="S435" s="1464"/>
      <c r="T435" s="1464"/>
      <c r="U435" s="1464"/>
      <c r="V435" s="1464"/>
      <c r="W435" s="1464"/>
      <c r="X435" s="1464"/>
      <c r="Y435" s="1464"/>
      <c r="Z435" s="1464"/>
    </row>
    <row r="436">
      <c r="A436" s="1488" t="s">
        <v>4393</v>
      </c>
      <c r="B436" s="1486" t="s">
        <v>4390</v>
      </c>
      <c r="C436" s="1487">
        <v>2027.0</v>
      </c>
      <c r="D436" s="1492"/>
      <c r="E436" s="1486" t="s">
        <v>666</v>
      </c>
      <c r="F436" s="1488" t="s">
        <v>4391</v>
      </c>
      <c r="G436" s="1489"/>
      <c r="H436" s="1487" t="s">
        <v>3962</v>
      </c>
      <c r="I436" s="1490">
        <v>46661.0</v>
      </c>
      <c r="J436" s="1487" t="s">
        <v>3207</v>
      </c>
      <c r="K436" s="1487" t="s">
        <v>3207</v>
      </c>
      <c r="L436" s="1464"/>
      <c r="M436" s="1464"/>
      <c r="N436" s="1464"/>
      <c r="O436" s="1464"/>
      <c r="P436" s="1464"/>
      <c r="Q436" s="1464"/>
      <c r="R436" s="1464"/>
      <c r="S436" s="1464"/>
      <c r="T436" s="1464"/>
      <c r="U436" s="1464"/>
      <c r="V436" s="1464"/>
      <c r="W436" s="1464"/>
      <c r="X436" s="1464"/>
      <c r="Y436" s="1464"/>
      <c r="Z436" s="1464"/>
    </row>
    <row r="437">
      <c r="A437" s="1474" t="s">
        <v>4394</v>
      </c>
      <c r="B437" s="1475">
        <v>91000.0</v>
      </c>
      <c r="C437" s="1476">
        <v>2022.0</v>
      </c>
      <c r="D437" s="1481"/>
      <c r="E437" s="1475" t="s">
        <v>666</v>
      </c>
      <c r="F437" s="1477" t="s">
        <v>4395</v>
      </c>
      <c r="G437" s="1464"/>
      <c r="H437" s="1470" t="s">
        <v>3718</v>
      </c>
      <c r="I437" s="1480">
        <v>46661.0</v>
      </c>
      <c r="J437" s="1480" t="s">
        <v>3705</v>
      </c>
      <c r="K437" s="1470" t="s">
        <v>3669</v>
      </c>
      <c r="L437" s="1479"/>
      <c r="M437" s="1464"/>
      <c r="N437" s="1464"/>
      <c r="O437" s="1464"/>
      <c r="P437" s="1464"/>
      <c r="Q437" s="1464"/>
      <c r="R437" s="1464"/>
      <c r="S437" s="1464"/>
      <c r="T437" s="1464"/>
      <c r="U437" s="1464"/>
      <c r="V437" s="1464"/>
      <c r="W437" s="1464"/>
      <c r="X437" s="1464"/>
      <c r="Y437" s="1464"/>
      <c r="Z437" s="1464"/>
    </row>
    <row r="438">
      <c r="A438" s="1474" t="s">
        <v>4394</v>
      </c>
      <c r="B438" s="1475">
        <v>91000.0</v>
      </c>
      <c r="C438" s="1476">
        <v>2022.0</v>
      </c>
      <c r="D438" s="1481"/>
      <c r="E438" s="1475" t="s">
        <v>666</v>
      </c>
      <c r="F438" s="1477" t="s">
        <v>4396</v>
      </c>
      <c r="G438" s="1464"/>
      <c r="H438" s="1464"/>
      <c r="I438" s="1480">
        <v>46661.0</v>
      </c>
      <c r="J438" s="1480" t="s">
        <v>3705</v>
      </c>
      <c r="K438" s="1470" t="s">
        <v>3669</v>
      </c>
      <c r="L438" s="1479"/>
      <c r="M438" s="1464"/>
      <c r="N438" s="1464"/>
      <c r="O438" s="1464"/>
      <c r="P438" s="1464"/>
      <c r="Q438" s="1464"/>
      <c r="R438" s="1464"/>
      <c r="S438" s="1464"/>
      <c r="T438" s="1464"/>
      <c r="U438" s="1464"/>
      <c r="V438" s="1464"/>
      <c r="W438" s="1464"/>
      <c r="X438" s="1464"/>
      <c r="Y438" s="1464"/>
      <c r="Z438" s="1464"/>
    </row>
    <row r="439">
      <c r="A439" s="1468" t="s">
        <v>4397</v>
      </c>
      <c r="B439" s="1469">
        <v>78700.0</v>
      </c>
      <c r="C439" s="1470">
        <v>2017.0</v>
      </c>
      <c r="D439" s="1469" t="s">
        <v>3636</v>
      </c>
      <c r="E439" s="1473"/>
      <c r="F439" s="1471" t="s">
        <v>4398</v>
      </c>
      <c r="G439" s="1464"/>
      <c r="H439" s="1464"/>
      <c r="I439" s="1472">
        <v>46692.0</v>
      </c>
      <c r="J439" s="1470" t="s">
        <v>3722</v>
      </c>
      <c r="K439" s="1470" t="s">
        <v>3730</v>
      </c>
      <c r="L439" s="1464"/>
      <c r="M439" s="1479"/>
      <c r="N439" s="1479"/>
      <c r="O439" s="1479"/>
      <c r="P439" s="1479"/>
      <c r="Q439" s="1479"/>
      <c r="R439" s="1479"/>
      <c r="S439" s="1479"/>
      <c r="T439" s="1479"/>
      <c r="U439" s="1479"/>
      <c r="V439" s="1479"/>
      <c r="W439" s="1479"/>
      <c r="X439" s="1479"/>
      <c r="Y439" s="1479"/>
      <c r="Z439" s="1479"/>
    </row>
    <row r="440">
      <c r="A440" s="1468" t="s">
        <v>4399</v>
      </c>
      <c r="B440" s="1469">
        <v>78700.0</v>
      </c>
      <c r="C440" s="1470">
        <v>2017.0</v>
      </c>
      <c r="D440" s="1469" t="s">
        <v>3636</v>
      </c>
      <c r="E440" s="1473"/>
      <c r="F440" s="1471" t="s">
        <v>4400</v>
      </c>
      <c r="G440" s="1464"/>
      <c r="H440" s="1464"/>
      <c r="I440" s="1472">
        <v>46692.0</v>
      </c>
      <c r="J440" s="1470" t="s">
        <v>3722</v>
      </c>
      <c r="K440" s="1470" t="s">
        <v>3730</v>
      </c>
      <c r="L440" s="1479"/>
      <c r="M440" s="1479"/>
      <c r="N440" s="1479"/>
      <c r="O440" s="1479"/>
      <c r="P440" s="1479"/>
      <c r="Q440" s="1479"/>
      <c r="R440" s="1479"/>
      <c r="S440" s="1479"/>
      <c r="T440" s="1479"/>
      <c r="U440" s="1479"/>
      <c r="V440" s="1479"/>
      <c r="W440" s="1479"/>
      <c r="X440" s="1479"/>
      <c r="Y440" s="1479"/>
      <c r="Z440" s="1479"/>
    </row>
    <row r="441">
      <c r="A441" s="1488" t="s">
        <v>4401</v>
      </c>
      <c r="B441" s="1486">
        <v>93000.0</v>
      </c>
      <c r="C441" s="1487">
        <v>2027.0</v>
      </c>
      <c r="D441" s="1492"/>
      <c r="E441" s="1492"/>
      <c r="F441" s="1488" t="s">
        <v>4402</v>
      </c>
      <c r="G441" s="1489"/>
      <c r="H441" s="1487" t="s">
        <v>3962</v>
      </c>
      <c r="I441" s="1490">
        <v>46692.0</v>
      </c>
      <c r="J441" s="1487" t="s">
        <v>4209</v>
      </c>
      <c r="K441" s="1487" t="s">
        <v>4209</v>
      </c>
      <c r="L441" s="1464"/>
      <c r="M441" s="1464"/>
      <c r="N441" s="1464"/>
      <c r="O441" s="1464"/>
      <c r="P441" s="1464"/>
      <c r="Q441" s="1464"/>
      <c r="R441" s="1464"/>
      <c r="S441" s="1464"/>
      <c r="T441" s="1464"/>
      <c r="U441" s="1464"/>
      <c r="V441" s="1464"/>
      <c r="W441" s="1464"/>
      <c r="X441" s="1464"/>
      <c r="Y441" s="1464"/>
      <c r="Z441" s="1464"/>
    </row>
    <row r="442">
      <c r="A442" s="1468" t="s">
        <v>4403</v>
      </c>
      <c r="B442" s="1469">
        <v>82500.0</v>
      </c>
      <c r="C442" s="1470">
        <v>2002.0</v>
      </c>
      <c r="D442" s="1473"/>
      <c r="E442" s="1473"/>
      <c r="F442" s="1471" t="s">
        <v>4404</v>
      </c>
      <c r="G442" s="1464"/>
      <c r="H442" s="1464"/>
      <c r="I442" s="1472">
        <v>46692.0</v>
      </c>
      <c r="J442" s="1470" t="s">
        <v>4317</v>
      </c>
      <c r="K442" s="1470" t="s">
        <v>4405</v>
      </c>
      <c r="L442" s="1470" t="s">
        <v>4406</v>
      </c>
      <c r="M442" s="1479"/>
      <c r="N442" s="1479"/>
      <c r="O442" s="1479"/>
      <c r="P442" s="1479"/>
      <c r="Q442" s="1479"/>
      <c r="R442" s="1479"/>
      <c r="S442" s="1479"/>
      <c r="T442" s="1479"/>
      <c r="U442" s="1479"/>
      <c r="V442" s="1479"/>
      <c r="W442" s="1479"/>
      <c r="X442" s="1479"/>
      <c r="Y442" s="1479"/>
      <c r="Z442" s="1479"/>
    </row>
    <row r="443">
      <c r="A443" s="1468" t="s">
        <v>4403</v>
      </c>
      <c r="B443" s="1469">
        <v>82500.0</v>
      </c>
      <c r="C443" s="1470">
        <v>2002.0</v>
      </c>
      <c r="D443" s="1473"/>
      <c r="E443" s="1473"/>
      <c r="F443" s="1471" t="s">
        <v>4407</v>
      </c>
      <c r="G443" s="1464"/>
      <c r="H443" s="1464"/>
      <c r="I443" s="1472">
        <v>46692.0</v>
      </c>
      <c r="J443" s="1470" t="s">
        <v>4317</v>
      </c>
      <c r="K443" s="1470" t="s">
        <v>4405</v>
      </c>
      <c r="L443" s="1470" t="s">
        <v>4406</v>
      </c>
      <c r="M443" s="1464"/>
      <c r="N443" s="1464"/>
      <c r="O443" s="1464"/>
      <c r="P443" s="1464"/>
      <c r="Q443" s="1464"/>
      <c r="R443" s="1464"/>
      <c r="S443" s="1464"/>
      <c r="T443" s="1464"/>
      <c r="U443" s="1464"/>
      <c r="V443" s="1464"/>
      <c r="W443" s="1464"/>
      <c r="X443" s="1464"/>
      <c r="Y443" s="1464"/>
      <c r="Z443" s="1464"/>
    </row>
    <row r="444">
      <c r="A444" s="1485" t="s">
        <v>4408</v>
      </c>
      <c r="B444" s="1486">
        <v>88000.0</v>
      </c>
      <c r="C444" s="1487">
        <v>2027.0</v>
      </c>
      <c r="D444" s="1486" t="s">
        <v>3636</v>
      </c>
      <c r="E444" s="1486" t="s">
        <v>666</v>
      </c>
      <c r="F444" s="1488" t="s">
        <v>4384</v>
      </c>
      <c r="G444" s="1489"/>
      <c r="H444" s="1489"/>
      <c r="I444" s="1490">
        <v>46722.0</v>
      </c>
      <c r="J444" s="1487" t="s">
        <v>761</v>
      </c>
      <c r="K444" s="1487" t="s">
        <v>761</v>
      </c>
      <c r="L444" s="1479"/>
      <c r="M444" s="1479"/>
      <c r="N444" s="1479"/>
      <c r="O444" s="1479"/>
      <c r="P444" s="1479"/>
      <c r="Q444" s="1479"/>
      <c r="R444" s="1479"/>
      <c r="S444" s="1479"/>
      <c r="T444" s="1479"/>
      <c r="U444" s="1479"/>
      <c r="V444" s="1479"/>
      <c r="W444" s="1479"/>
      <c r="X444" s="1479"/>
      <c r="Y444" s="1479"/>
      <c r="Z444" s="1479"/>
    </row>
    <row r="445">
      <c r="A445" s="1485" t="s">
        <v>4409</v>
      </c>
      <c r="B445" s="1486">
        <v>93000.0</v>
      </c>
      <c r="C445" s="1487">
        <v>2027.0</v>
      </c>
      <c r="D445" s="1492"/>
      <c r="E445" s="1486" t="s">
        <v>666</v>
      </c>
      <c r="F445" s="1488" t="s">
        <v>4410</v>
      </c>
      <c r="G445" s="1489"/>
      <c r="H445" s="1487" t="s">
        <v>3962</v>
      </c>
      <c r="I445" s="1490">
        <v>46722.0</v>
      </c>
      <c r="J445" s="1487" t="s">
        <v>3723</v>
      </c>
      <c r="K445" s="1487" t="s">
        <v>3723</v>
      </c>
      <c r="L445" s="1464"/>
      <c r="M445" s="1464"/>
      <c r="N445" s="1464"/>
      <c r="O445" s="1464"/>
      <c r="P445" s="1464"/>
      <c r="Q445" s="1464"/>
      <c r="R445" s="1464"/>
      <c r="S445" s="1464"/>
      <c r="T445" s="1464"/>
      <c r="U445" s="1464"/>
      <c r="V445" s="1464"/>
      <c r="W445" s="1464"/>
      <c r="X445" s="1464"/>
      <c r="Y445" s="1464"/>
      <c r="Z445" s="1464"/>
    </row>
    <row r="446">
      <c r="A446" s="1468" t="s">
        <v>3433</v>
      </c>
      <c r="B446" s="1469">
        <v>84000.0</v>
      </c>
      <c r="C446" s="1470">
        <v>2015.0</v>
      </c>
      <c r="D446" s="1473"/>
      <c r="E446" s="1473"/>
      <c r="F446" s="1471" t="s">
        <v>4411</v>
      </c>
      <c r="G446" s="1464"/>
      <c r="H446" s="1470" t="s">
        <v>3639</v>
      </c>
      <c r="I446" s="1472">
        <v>46722.0</v>
      </c>
      <c r="J446" s="1470" t="s">
        <v>4101</v>
      </c>
      <c r="K446" s="1470" t="s">
        <v>4282</v>
      </c>
      <c r="L446" s="1470" t="s">
        <v>4412</v>
      </c>
      <c r="M446" s="1479"/>
      <c r="N446" s="1479"/>
      <c r="O446" s="1479"/>
      <c r="P446" s="1479"/>
      <c r="Q446" s="1479"/>
      <c r="R446" s="1479"/>
      <c r="S446" s="1479"/>
      <c r="T446" s="1479"/>
      <c r="U446" s="1479"/>
      <c r="V446" s="1479"/>
      <c r="W446" s="1479"/>
      <c r="X446" s="1479"/>
      <c r="Y446" s="1479"/>
      <c r="Z446" s="1479"/>
    </row>
    <row r="447">
      <c r="A447" s="1468" t="s">
        <v>4413</v>
      </c>
      <c r="B447" s="1469">
        <v>84000.0</v>
      </c>
      <c r="C447" s="1470">
        <v>2015.0</v>
      </c>
      <c r="D447" s="1473"/>
      <c r="E447" s="1473"/>
      <c r="F447" s="1471" t="s">
        <v>4414</v>
      </c>
      <c r="G447" s="1464"/>
      <c r="H447" s="1470" t="s">
        <v>3639</v>
      </c>
      <c r="I447" s="1472">
        <v>46722.0</v>
      </c>
      <c r="J447" s="1470" t="s">
        <v>4101</v>
      </c>
      <c r="K447" s="1470" t="s">
        <v>4282</v>
      </c>
      <c r="L447" s="1470" t="s">
        <v>4412</v>
      </c>
      <c r="M447" s="1479"/>
      <c r="N447" s="1479"/>
      <c r="O447" s="1479"/>
      <c r="P447" s="1479"/>
      <c r="Q447" s="1479"/>
      <c r="R447" s="1479"/>
      <c r="S447" s="1479"/>
      <c r="T447" s="1479"/>
      <c r="U447" s="1479"/>
      <c r="V447" s="1479"/>
      <c r="W447" s="1479"/>
      <c r="X447" s="1479"/>
      <c r="Y447" s="1479"/>
      <c r="Z447" s="1479"/>
    </row>
    <row r="448">
      <c r="A448" s="1468" t="s">
        <v>4415</v>
      </c>
      <c r="B448" s="1469">
        <v>84200.0</v>
      </c>
      <c r="C448" s="1470">
        <v>2017.0</v>
      </c>
      <c r="D448" s="1473"/>
      <c r="E448" s="1473"/>
      <c r="F448" s="1471" t="s">
        <v>4416</v>
      </c>
      <c r="G448" s="1464"/>
      <c r="H448" s="1470" t="s">
        <v>3639</v>
      </c>
      <c r="I448" s="1472">
        <v>46753.0</v>
      </c>
      <c r="J448" s="1470" t="s">
        <v>822</v>
      </c>
      <c r="K448" s="1470" t="s">
        <v>2935</v>
      </c>
      <c r="L448" s="1464"/>
      <c r="M448" s="1479"/>
      <c r="N448" s="1479"/>
      <c r="O448" s="1479"/>
      <c r="P448" s="1479"/>
      <c r="Q448" s="1479"/>
      <c r="R448" s="1479"/>
      <c r="S448" s="1479"/>
      <c r="T448" s="1479"/>
      <c r="U448" s="1479"/>
      <c r="V448" s="1479"/>
      <c r="W448" s="1479"/>
      <c r="X448" s="1479"/>
      <c r="Y448" s="1479"/>
      <c r="Z448" s="1479"/>
    </row>
    <row r="449">
      <c r="A449" s="1468" t="s">
        <v>3385</v>
      </c>
      <c r="B449" s="1469">
        <v>84200.0</v>
      </c>
      <c r="C449" s="1470">
        <v>2014.0</v>
      </c>
      <c r="D449" s="1473"/>
      <c r="E449" s="1469" t="s">
        <v>3637</v>
      </c>
      <c r="F449" s="1471" t="s">
        <v>4416</v>
      </c>
      <c r="G449" s="1464"/>
      <c r="H449" s="1470" t="s">
        <v>3639</v>
      </c>
      <c r="I449" s="1480">
        <v>46753.0</v>
      </c>
      <c r="J449" s="1476" t="s">
        <v>822</v>
      </c>
      <c r="K449" s="1470" t="s">
        <v>2935</v>
      </c>
      <c r="L449" s="1464"/>
      <c r="M449" s="1479"/>
      <c r="N449" s="1479"/>
      <c r="O449" s="1479"/>
      <c r="P449" s="1479"/>
      <c r="Q449" s="1479"/>
      <c r="R449" s="1479"/>
      <c r="S449" s="1479"/>
      <c r="T449" s="1479"/>
      <c r="U449" s="1479"/>
      <c r="V449" s="1479"/>
      <c r="W449" s="1479"/>
      <c r="X449" s="1479"/>
      <c r="Y449" s="1479"/>
      <c r="Z449" s="1479"/>
    </row>
    <row r="450">
      <c r="A450" s="1468" t="s">
        <v>4415</v>
      </c>
      <c r="B450" s="1469">
        <v>84200.0</v>
      </c>
      <c r="C450" s="1470">
        <v>2017.0</v>
      </c>
      <c r="D450" s="1473"/>
      <c r="E450" s="1473"/>
      <c r="F450" s="1471" t="s">
        <v>4417</v>
      </c>
      <c r="G450" s="1464"/>
      <c r="H450" s="1470" t="s">
        <v>3639</v>
      </c>
      <c r="I450" s="1472">
        <v>46753.0</v>
      </c>
      <c r="J450" s="1470" t="s">
        <v>822</v>
      </c>
      <c r="K450" s="1470" t="s">
        <v>2935</v>
      </c>
      <c r="L450" s="1464"/>
      <c r="M450" s="1464"/>
      <c r="N450" s="1464"/>
      <c r="O450" s="1464"/>
      <c r="P450" s="1464"/>
      <c r="Q450" s="1464"/>
      <c r="R450" s="1464"/>
      <c r="S450" s="1464"/>
      <c r="T450" s="1464"/>
      <c r="U450" s="1464"/>
      <c r="V450" s="1464"/>
      <c r="W450" s="1464"/>
      <c r="X450" s="1464"/>
      <c r="Y450" s="1464"/>
      <c r="Z450" s="1464"/>
    </row>
    <row r="451">
      <c r="A451" s="1468" t="s">
        <v>3385</v>
      </c>
      <c r="B451" s="1469">
        <v>84200.0</v>
      </c>
      <c r="C451" s="1470">
        <v>2014.0</v>
      </c>
      <c r="D451" s="1473"/>
      <c r="E451" s="1469" t="s">
        <v>3637</v>
      </c>
      <c r="F451" s="1471" t="s">
        <v>4417</v>
      </c>
      <c r="G451" s="1464"/>
      <c r="H451" s="1470" t="s">
        <v>3639</v>
      </c>
      <c r="I451" s="1480">
        <v>46753.0</v>
      </c>
      <c r="J451" s="1476" t="s">
        <v>822</v>
      </c>
      <c r="K451" s="1470" t="s">
        <v>2935</v>
      </c>
      <c r="L451" s="1464"/>
      <c r="M451" s="1464"/>
      <c r="N451" s="1464"/>
      <c r="O451" s="1464"/>
      <c r="P451" s="1464"/>
      <c r="Q451" s="1464"/>
      <c r="R451" s="1464"/>
      <c r="S451" s="1464"/>
      <c r="T451" s="1464"/>
      <c r="U451" s="1464"/>
      <c r="V451" s="1464"/>
      <c r="W451" s="1464"/>
      <c r="X451" s="1464"/>
      <c r="Y451" s="1464"/>
      <c r="Z451" s="1464"/>
    </row>
    <row r="452">
      <c r="A452" s="1485" t="s">
        <v>4418</v>
      </c>
      <c r="B452" s="1486">
        <v>93000.0</v>
      </c>
      <c r="C452" s="1487">
        <v>2028.0</v>
      </c>
      <c r="D452" s="1492"/>
      <c r="E452" s="1486" t="s">
        <v>666</v>
      </c>
      <c r="F452" s="1488" t="s">
        <v>4419</v>
      </c>
      <c r="G452" s="1489"/>
      <c r="H452" s="1487" t="s">
        <v>3962</v>
      </c>
      <c r="I452" s="1490">
        <v>46753.0</v>
      </c>
      <c r="J452" s="1487" t="s">
        <v>3723</v>
      </c>
      <c r="K452" s="1487" t="s">
        <v>3723</v>
      </c>
      <c r="L452" s="1464"/>
      <c r="M452" s="1479"/>
      <c r="N452" s="1479"/>
      <c r="O452" s="1479"/>
      <c r="P452" s="1479"/>
      <c r="Q452" s="1479"/>
      <c r="R452" s="1479"/>
      <c r="S452" s="1479"/>
      <c r="T452" s="1479"/>
      <c r="U452" s="1479"/>
      <c r="V452" s="1479"/>
      <c r="W452" s="1479"/>
      <c r="X452" s="1479"/>
      <c r="Y452" s="1479"/>
      <c r="Z452" s="1479"/>
    </row>
    <row r="453">
      <c r="A453" s="1485" t="s">
        <v>4420</v>
      </c>
      <c r="B453" s="1486">
        <v>88000.0</v>
      </c>
      <c r="C453" s="1487">
        <v>2028.0</v>
      </c>
      <c r="D453" s="1486" t="s">
        <v>3636</v>
      </c>
      <c r="E453" s="1486" t="s">
        <v>666</v>
      </c>
      <c r="F453" s="1488" t="s">
        <v>4421</v>
      </c>
      <c r="G453" s="1489"/>
      <c r="H453" s="1487" t="s">
        <v>3962</v>
      </c>
      <c r="I453" s="1490">
        <v>46753.0</v>
      </c>
      <c r="J453" s="1487" t="s">
        <v>3719</v>
      </c>
      <c r="K453" s="1487" t="s">
        <v>3719</v>
      </c>
      <c r="L453" s="1464"/>
      <c r="M453" s="1464"/>
      <c r="N453" s="1464"/>
      <c r="O453" s="1464"/>
      <c r="P453" s="1464"/>
      <c r="Q453" s="1464"/>
      <c r="R453" s="1464"/>
      <c r="S453" s="1464"/>
      <c r="T453" s="1464"/>
      <c r="U453" s="1464"/>
      <c r="V453" s="1464"/>
      <c r="W453" s="1464"/>
      <c r="X453" s="1464"/>
      <c r="Y453" s="1464"/>
      <c r="Z453" s="1464"/>
    </row>
    <row r="454">
      <c r="A454" s="1485" t="s">
        <v>4422</v>
      </c>
      <c r="B454" s="1486">
        <v>88000.0</v>
      </c>
      <c r="C454" s="1487">
        <v>2028.0</v>
      </c>
      <c r="D454" s="1486" t="s">
        <v>3636</v>
      </c>
      <c r="E454" s="1486" t="s">
        <v>666</v>
      </c>
      <c r="F454" s="1488" t="s">
        <v>4421</v>
      </c>
      <c r="G454" s="1489"/>
      <c r="H454" s="1487" t="s">
        <v>3962</v>
      </c>
      <c r="I454" s="1490">
        <v>46753.0</v>
      </c>
      <c r="J454" s="1487" t="s">
        <v>3719</v>
      </c>
      <c r="K454" s="1487" t="s">
        <v>3719</v>
      </c>
      <c r="L454" s="1464"/>
      <c r="M454" s="1464"/>
      <c r="N454" s="1464"/>
      <c r="O454" s="1464"/>
      <c r="P454" s="1464"/>
      <c r="Q454" s="1464"/>
      <c r="R454" s="1464"/>
      <c r="S454" s="1464"/>
      <c r="T454" s="1464"/>
      <c r="U454" s="1464"/>
      <c r="V454" s="1464"/>
      <c r="W454" s="1464"/>
      <c r="X454" s="1464"/>
      <c r="Y454" s="1464"/>
      <c r="Z454" s="1464"/>
    </row>
    <row r="455">
      <c r="A455" s="1468" t="s">
        <v>4423</v>
      </c>
      <c r="B455" s="1469">
        <v>78700.0</v>
      </c>
      <c r="C455" s="1470">
        <v>2018.0</v>
      </c>
      <c r="D455" s="1469" t="s">
        <v>3636</v>
      </c>
      <c r="E455" s="1473"/>
      <c r="F455" s="1471" t="s">
        <v>4424</v>
      </c>
      <c r="G455" s="1479"/>
      <c r="H455" s="1479"/>
      <c r="I455" s="1472">
        <v>46753.0</v>
      </c>
      <c r="J455" s="1470" t="s">
        <v>3722</v>
      </c>
      <c r="K455" s="1470" t="s">
        <v>3730</v>
      </c>
      <c r="L455" s="1464"/>
      <c r="M455" s="1479"/>
      <c r="N455" s="1479"/>
      <c r="O455" s="1479"/>
      <c r="P455" s="1479"/>
      <c r="Q455" s="1479"/>
      <c r="R455" s="1479"/>
      <c r="S455" s="1479"/>
      <c r="T455" s="1479"/>
      <c r="U455" s="1479"/>
      <c r="V455" s="1479"/>
      <c r="W455" s="1479"/>
      <c r="X455" s="1479"/>
      <c r="Y455" s="1479"/>
      <c r="Z455" s="1479"/>
    </row>
    <row r="456">
      <c r="A456" s="1468" t="s">
        <v>4425</v>
      </c>
      <c r="B456" s="1469">
        <v>78700.0</v>
      </c>
      <c r="C456" s="1470">
        <v>2018.0</v>
      </c>
      <c r="D456" s="1469" t="s">
        <v>3636</v>
      </c>
      <c r="E456" s="1473"/>
      <c r="F456" s="1471" t="s">
        <v>4426</v>
      </c>
      <c r="G456" s="1464"/>
      <c r="H456" s="1464"/>
      <c r="I456" s="1472">
        <v>46753.0</v>
      </c>
      <c r="J456" s="1470" t="s">
        <v>3722</v>
      </c>
      <c r="K456" s="1470" t="s">
        <v>3730</v>
      </c>
      <c r="L456" s="1479"/>
      <c r="M456" s="1479"/>
      <c r="N456" s="1479"/>
      <c r="O456" s="1479"/>
      <c r="P456" s="1479"/>
      <c r="Q456" s="1479"/>
      <c r="R456" s="1479"/>
      <c r="S456" s="1479"/>
      <c r="T456" s="1479"/>
      <c r="U456" s="1479"/>
      <c r="V456" s="1479"/>
      <c r="W456" s="1479"/>
      <c r="X456" s="1479"/>
      <c r="Y456" s="1479"/>
      <c r="Z456" s="1479"/>
    </row>
    <row r="457">
      <c r="A457" s="1488" t="s">
        <v>4427</v>
      </c>
      <c r="B457" s="1486">
        <v>93000.0</v>
      </c>
      <c r="C457" s="1487">
        <v>2028.0</v>
      </c>
      <c r="D457" s="1492"/>
      <c r="E457" s="1492"/>
      <c r="F457" s="1488" t="s">
        <v>4428</v>
      </c>
      <c r="G457" s="1489"/>
      <c r="H457" s="1487" t="s">
        <v>3962</v>
      </c>
      <c r="I457" s="1490">
        <v>46753.0</v>
      </c>
      <c r="J457" s="1487" t="s">
        <v>4209</v>
      </c>
      <c r="K457" s="1487" t="s">
        <v>4209</v>
      </c>
      <c r="L457" s="1464"/>
      <c r="M457" s="1479"/>
      <c r="N457" s="1479"/>
      <c r="O457" s="1479"/>
      <c r="P457" s="1479"/>
      <c r="Q457" s="1479"/>
      <c r="R457" s="1479"/>
      <c r="S457" s="1479"/>
      <c r="T457" s="1479"/>
      <c r="U457" s="1479"/>
      <c r="V457" s="1479"/>
      <c r="W457" s="1479"/>
      <c r="X457" s="1479"/>
      <c r="Y457" s="1479"/>
      <c r="Z457" s="1479"/>
    </row>
    <row r="458">
      <c r="A458" s="1485" t="s">
        <v>4429</v>
      </c>
      <c r="B458" s="1486">
        <v>86700.0</v>
      </c>
      <c r="C458" s="1487">
        <v>2028.0</v>
      </c>
      <c r="D458" s="1492"/>
      <c r="E458" s="1486" t="s">
        <v>666</v>
      </c>
      <c r="F458" s="1488" t="s">
        <v>4430</v>
      </c>
      <c r="G458" s="1489"/>
      <c r="H458" s="1487" t="s">
        <v>3702</v>
      </c>
      <c r="I458" s="1490">
        <v>46753.0</v>
      </c>
      <c r="J458" s="1487" t="s">
        <v>3696</v>
      </c>
      <c r="K458" s="1487" t="s">
        <v>3696</v>
      </c>
      <c r="L458" s="1479"/>
      <c r="M458" s="1479"/>
      <c r="N458" s="1479"/>
      <c r="O458" s="1479"/>
      <c r="P458" s="1479"/>
      <c r="Q458" s="1479"/>
      <c r="R458" s="1479"/>
      <c r="S458" s="1479"/>
      <c r="T458" s="1479"/>
      <c r="U458" s="1479"/>
      <c r="V458" s="1479"/>
      <c r="W458" s="1479"/>
      <c r="X458" s="1479"/>
      <c r="Y458" s="1479"/>
      <c r="Z458" s="1479"/>
    </row>
    <row r="459">
      <c r="A459" s="1468" t="s">
        <v>4431</v>
      </c>
      <c r="B459" s="1469">
        <v>80000.0</v>
      </c>
      <c r="C459" s="1470">
        <v>2019.0</v>
      </c>
      <c r="D459" s="1469" t="s">
        <v>3636</v>
      </c>
      <c r="E459" s="1469" t="s">
        <v>3637</v>
      </c>
      <c r="F459" s="1477" t="s">
        <v>4432</v>
      </c>
      <c r="G459" s="1464"/>
      <c r="H459" s="1464"/>
      <c r="I459" s="1472">
        <v>46753.0</v>
      </c>
      <c r="J459" s="1470" t="s">
        <v>3658</v>
      </c>
      <c r="K459" s="1470" t="s">
        <v>3759</v>
      </c>
      <c r="L459" s="1464"/>
      <c r="M459" s="1479"/>
      <c r="N459" s="1479"/>
      <c r="O459" s="1479"/>
      <c r="P459" s="1479"/>
      <c r="Q459" s="1479"/>
      <c r="R459" s="1479"/>
      <c r="S459" s="1479"/>
      <c r="T459" s="1479"/>
      <c r="U459" s="1479"/>
      <c r="V459" s="1479"/>
      <c r="W459" s="1479"/>
      <c r="X459" s="1479"/>
      <c r="Y459" s="1479"/>
      <c r="Z459" s="1479"/>
    </row>
    <row r="460">
      <c r="A460" s="1468" t="s">
        <v>4431</v>
      </c>
      <c r="B460" s="1469">
        <v>80000.0</v>
      </c>
      <c r="C460" s="1470">
        <v>2019.0</v>
      </c>
      <c r="D460" s="1469" t="s">
        <v>3636</v>
      </c>
      <c r="E460" s="1469" t="s">
        <v>3637</v>
      </c>
      <c r="F460" s="1477" t="s">
        <v>4433</v>
      </c>
      <c r="G460" s="1464"/>
      <c r="H460" s="1464"/>
      <c r="I460" s="1472">
        <v>46753.0</v>
      </c>
      <c r="J460" s="1470" t="s">
        <v>3658</v>
      </c>
      <c r="K460" s="1470" t="s">
        <v>3759</v>
      </c>
      <c r="L460" s="1464"/>
      <c r="M460" s="1479"/>
      <c r="N460" s="1479"/>
      <c r="O460" s="1479"/>
      <c r="P460" s="1479"/>
      <c r="Q460" s="1479"/>
      <c r="R460" s="1479"/>
      <c r="S460" s="1479"/>
      <c r="T460" s="1479"/>
      <c r="U460" s="1479"/>
      <c r="V460" s="1479"/>
      <c r="W460" s="1479"/>
      <c r="X460" s="1479"/>
      <c r="Y460" s="1479"/>
      <c r="Z460" s="1479"/>
    </row>
    <row r="461">
      <c r="A461" s="1474" t="s">
        <v>4434</v>
      </c>
      <c r="B461" s="1475">
        <v>84000.0</v>
      </c>
      <c r="C461" s="1476">
        <v>2021.0</v>
      </c>
      <c r="D461" s="1469" t="s">
        <v>3636</v>
      </c>
      <c r="E461" s="1469" t="s">
        <v>3637</v>
      </c>
      <c r="F461" s="1477" t="s">
        <v>4435</v>
      </c>
      <c r="G461" s="1464"/>
      <c r="H461" s="1464"/>
      <c r="I461" s="1480">
        <v>46784.0</v>
      </c>
      <c r="J461" s="1480" t="s">
        <v>761</v>
      </c>
      <c r="K461" s="1470" t="s">
        <v>3083</v>
      </c>
      <c r="L461" s="1464"/>
      <c r="M461" s="1479"/>
      <c r="N461" s="1479"/>
      <c r="O461" s="1479"/>
      <c r="P461" s="1479"/>
      <c r="Q461" s="1479"/>
      <c r="R461" s="1479"/>
      <c r="S461" s="1479"/>
      <c r="T461" s="1479"/>
      <c r="U461" s="1479"/>
      <c r="V461" s="1479"/>
      <c r="W461" s="1479"/>
      <c r="X461" s="1479"/>
      <c r="Y461" s="1479"/>
      <c r="Z461" s="1479"/>
    </row>
    <row r="462">
      <c r="A462" s="1474" t="s">
        <v>4436</v>
      </c>
      <c r="B462" s="1475">
        <v>84000.0</v>
      </c>
      <c r="C462" s="1476">
        <v>2021.0</v>
      </c>
      <c r="D462" s="1469" t="s">
        <v>3636</v>
      </c>
      <c r="E462" s="1469" t="s">
        <v>3637</v>
      </c>
      <c r="F462" s="1477" t="s">
        <v>4437</v>
      </c>
      <c r="G462" s="1464"/>
      <c r="H462" s="1464"/>
      <c r="I462" s="1480">
        <v>46784.0</v>
      </c>
      <c r="J462" s="1480" t="s">
        <v>761</v>
      </c>
      <c r="K462" s="1470" t="s">
        <v>3820</v>
      </c>
      <c r="L462" s="1464"/>
      <c r="M462" s="1464"/>
      <c r="N462" s="1464"/>
      <c r="O462" s="1464"/>
      <c r="P462" s="1464"/>
      <c r="Q462" s="1464"/>
      <c r="R462" s="1464"/>
      <c r="S462" s="1464"/>
      <c r="T462" s="1464"/>
      <c r="U462" s="1464"/>
      <c r="V462" s="1464"/>
      <c r="W462" s="1464"/>
      <c r="X462" s="1464"/>
      <c r="Y462" s="1464"/>
      <c r="Z462" s="1464"/>
    </row>
    <row r="463">
      <c r="A463" s="1474" t="s">
        <v>4438</v>
      </c>
      <c r="B463" s="1475">
        <v>86000.0</v>
      </c>
      <c r="C463" s="1476">
        <v>2023.0</v>
      </c>
      <c r="D463" s="1475" t="s">
        <v>3636</v>
      </c>
      <c r="E463" s="1475" t="s">
        <v>666</v>
      </c>
      <c r="F463" s="1477" t="s">
        <v>4439</v>
      </c>
      <c r="G463" s="1464"/>
      <c r="H463" s="1464"/>
      <c r="I463" s="1480">
        <v>46813.0</v>
      </c>
      <c r="J463" s="1476" t="s">
        <v>761</v>
      </c>
      <c r="K463" s="1476" t="s">
        <v>3083</v>
      </c>
      <c r="L463" s="1464"/>
      <c r="M463" s="1464"/>
      <c r="N463" s="1464"/>
      <c r="O463" s="1464"/>
      <c r="P463" s="1464"/>
      <c r="Q463" s="1464"/>
      <c r="R463" s="1464"/>
      <c r="S463" s="1464"/>
      <c r="T463" s="1464"/>
      <c r="U463" s="1464"/>
      <c r="V463" s="1464"/>
      <c r="W463" s="1464"/>
      <c r="X463" s="1464"/>
      <c r="Y463" s="1464"/>
      <c r="Z463" s="1464"/>
    </row>
    <row r="464">
      <c r="A464" s="1474" t="s">
        <v>4440</v>
      </c>
      <c r="B464" s="1475">
        <v>91000.0</v>
      </c>
      <c r="C464" s="1476">
        <v>2023.0</v>
      </c>
      <c r="D464" s="1481"/>
      <c r="E464" s="1475" t="s">
        <v>666</v>
      </c>
      <c r="F464" s="1477" t="s">
        <v>4441</v>
      </c>
      <c r="G464" s="1479"/>
      <c r="H464" s="1476" t="s">
        <v>4237</v>
      </c>
      <c r="I464" s="1480">
        <v>46813.0</v>
      </c>
      <c r="J464" s="1480" t="s">
        <v>4238</v>
      </c>
      <c r="K464" s="1476" t="s">
        <v>3794</v>
      </c>
      <c r="L464" s="1479"/>
      <c r="M464" s="1464"/>
      <c r="N464" s="1464"/>
      <c r="O464" s="1464"/>
      <c r="P464" s="1464"/>
      <c r="Q464" s="1464"/>
      <c r="R464" s="1464"/>
      <c r="S464" s="1464"/>
      <c r="T464" s="1464"/>
      <c r="U464" s="1464"/>
      <c r="V464" s="1464"/>
      <c r="W464" s="1464"/>
      <c r="X464" s="1464"/>
      <c r="Y464" s="1464"/>
      <c r="Z464" s="1464"/>
    </row>
    <row r="465">
      <c r="A465" s="1474" t="s">
        <v>4440</v>
      </c>
      <c r="B465" s="1475">
        <v>91000.0</v>
      </c>
      <c r="C465" s="1476">
        <v>2023.0</v>
      </c>
      <c r="D465" s="1481"/>
      <c r="E465" s="1475" t="s">
        <v>666</v>
      </c>
      <c r="F465" s="1477" t="s">
        <v>4442</v>
      </c>
      <c r="G465" s="1479"/>
      <c r="H465" s="1476" t="s">
        <v>4237</v>
      </c>
      <c r="I465" s="1480">
        <v>46813.0</v>
      </c>
      <c r="J465" s="1480" t="s">
        <v>4238</v>
      </c>
      <c r="K465" s="1476" t="s">
        <v>3794</v>
      </c>
      <c r="L465" s="1479"/>
      <c r="M465" s="1464"/>
      <c r="N465" s="1464"/>
      <c r="O465" s="1464"/>
      <c r="P465" s="1464"/>
      <c r="Q465" s="1464"/>
      <c r="R465" s="1464"/>
      <c r="S465" s="1464"/>
      <c r="T465" s="1464"/>
      <c r="U465" s="1464"/>
      <c r="V465" s="1464"/>
      <c r="W465" s="1464"/>
      <c r="X465" s="1464"/>
      <c r="Y465" s="1464"/>
      <c r="Z465" s="1464"/>
    </row>
    <row r="466">
      <c r="A466" s="1474" t="s">
        <v>4438</v>
      </c>
      <c r="B466" s="1475">
        <v>86000.0</v>
      </c>
      <c r="C466" s="1476">
        <v>2023.0</v>
      </c>
      <c r="D466" s="1475" t="s">
        <v>3636</v>
      </c>
      <c r="E466" s="1475" t="s">
        <v>666</v>
      </c>
      <c r="F466" s="1477" t="s">
        <v>4443</v>
      </c>
      <c r="G466" s="1479"/>
      <c r="H466" s="1479"/>
      <c r="I466" s="1480">
        <v>46813.0</v>
      </c>
      <c r="J466" s="1476" t="s">
        <v>761</v>
      </c>
      <c r="K466" s="1476" t="s">
        <v>3820</v>
      </c>
      <c r="L466" s="1479"/>
      <c r="M466" s="1479"/>
      <c r="N466" s="1479"/>
      <c r="O466" s="1479"/>
      <c r="P466" s="1479"/>
      <c r="Q466" s="1479"/>
      <c r="R466" s="1479"/>
      <c r="S466" s="1479"/>
      <c r="T466" s="1479"/>
      <c r="U466" s="1479"/>
      <c r="V466" s="1479"/>
      <c r="W466" s="1479"/>
      <c r="X466" s="1479"/>
      <c r="Y466" s="1479"/>
      <c r="Z466" s="1479"/>
    </row>
    <row r="467">
      <c r="A467" s="1488" t="s">
        <v>4444</v>
      </c>
      <c r="B467" s="1486">
        <v>93000.0</v>
      </c>
      <c r="C467" s="1487">
        <v>2028.0</v>
      </c>
      <c r="D467" s="1492"/>
      <c r="E467" s="1492"/>
      <c r="F467" s="1488" t="s">
        <v>4445</v>
      </c>
      <c r="G467" s="1489"/>
      <c r="H467" s="1487" t="s">
        <v>3962</v>
      </c>
      <c r="I467" s="1490">
        <v>46813.0</v>
      </c>
      <c r="J467" s="1487" t="s">
        <v>4209</v>
      </c>
      <c r="K467" s="1487" t="s">
        <v>4209</v>
      </c>
      <c r="L467" s="1464"/>
      <c r="M467" s="1479"/>
      <c r="N467" s="1479"/>
      <c r="O467" s="1479"/>
      <c r="P467" s="1479"/>
      <c r="Q467" s="1479"/>
      <c r="R467" s="1479"/>
      <c r="S467" s="1479"/>
      <c r="T467" s="1479"/>
      <c r="U467" s="1479"/>
      <c r="V467" s="1479"/>
      <c r="W467" s="1479"/>
      <c r="X467" s="1479"/>
      <c r="Y467" s="1479"/>
      <c r="Z467" s="1479"/>
    </row>
    <row r="468">
      <c r="A468" s="1474" t="s">
        <v>4446</v>
      </c>
      <c r="B468" s="1475">
        <v>86000.0</v>
      </c>
      <c r="C468" s="1476">
        <v>2023.0</v>
      </c>
      <c r="D468" s="1475" t="s">
        <v>3636</v>
      </c>
      <c r="E468" s="1475" t="s">
        <v>666</v>
      </c>
      <c r="F468" s="1477" t="s">
        <v>4447</v>
      </c>
      <c r="G468" s="1479"/>
      <c r="H468" s="1479"/>
      <c r="I468" s="1480">
        <v>46844.0</v>
      </c>
      <c r="J468" s="1476" t="s">
        <v>761</v>
      </c>
      <c r="K468" s="1476" t="s">
        <v>3083</v>
      </c>
      <c r="L468" s="1479"/>
      <c r="M468" s="1464"/>
      <c r="N468" s="1464"/>
      <c r="O468" s="1464"/>
      <c r="P468" s="1464"/>
      <c r="Q468" s="1464"/>
      <c r="R468" s="1464"/>
      <c r="S468" s="1464"/>
      <c r="T468" s="1464"/>
      <c r="U468" s="1464"/>
      <c r="V468" s="1464"/>
      <c r="W468" s="1464"/>
      <c r="X468" s="1464"/>
      <c r="Y468" s="1464"/>
      <c r="Z468" s="1464"/>
    </row>
    <row r="469">
      <c r="A469" s="1468" t="s">
        <v>3406</v>
      </c>
      <c r="B469" s="1469">
        <v>84200.0</v>
      </c>
      <c r="C469" s="1470">
        <v>2015.0</v>
      </c>
      <c r="D469" s="1473"/>
      <c r="E469" s="1469" t="s">
        <v>3637</v>
      </c>
      <c r="F469" s="1471" t="s">
        <v>4448</v>
      </c>
      <c r="G469" s="1464"/>
      <c r="H469" s="1470" t="s">
        <v>3639</v>
      </c>
      <c r="I469" s="1472">
        <v>46844.0</v>
      </c>
      <c r="J469" s="1470" t="s">
        <v>3681</v>
      </c>
      <c r="K469" s="1470" t="s">
        <v>2935</v>
      </c>
      <c r="L469" s="1464"/>
      <c r="M469" s="1464"/>
      <c r="N469" s="1464"/>
      <c r="O469" s="1464"/>
      <c r="P469" s="1464"/>
      <c r="Q469" s="1464"/>
      <c r="R469" s="1464"/>
      <c r="S469" s="1464"/>
      <c r="T469" s="1464"/>
      <c r="U469" s="1464"/>
      <c r="V469" s="1464"/>
      <c r="W469" s="1464"/>
      <c r="X469" s="1464"/>
      <c r="Y469" s="1464"/>
      <c r="Z469" s="1464"/>
    </row>
    <row r="470">
      <c r="A470" s="1468" t="s">
        <v>4449</v>
      </c>
      <c r="B470" s="1469">
        <v>82200.0</v>
      </c>
      <c r="C470" s="1470">
        <v>2017.0</v>
      </c>
      <c r="D470" s="1473"/>
      <c r="E470" s="1473"/>
      <c r="F470" s="1471" t="s">
        <v>4450</v>
      </c>
      <c r="G470" s="1464"/>
      <c r="H470" s="1476" t="s">
        <v>3639</v>
      </c>
      <c r="I470" s="1491">
        <v>46844.0</v>
      </c>
      <c r="J470" s="1491" t="s">
        <v>3695</v>
      </c>
      <c r="K470" s="1470" t="s">
        <v>4001</v>
      </c>
      <c r="L470" s="1464"/>
      <c r="M470" s="1464"/>
      <c r="N470" s="1464"/>
      <c r="O470" s="1464"/>
      <c r="P470" s="1464"/>
      <c r="Q470" s="1464"/>
      <c r="R470" s="1464"/>
      <c r="S470" s="1464"/>
      <c r="T470" s="1464"/>
      <c r="U470" s="1464"/>
      <c r="V470" s="1464"/>
      <c r="W470" s="1464"/>
      <c r="X470" s="1464"/>
      <c r="Y470" s="1464"/>
      <c r="Z470" s="1464"/>
    </row>
    <row r="471">
      <c r="A471" s="1474" t="s">
        <v>4446</v>
      </c>
      <c r="B471" s="1475">
        <v>86000.0</v>
      </c>
      <c r="C471" s="1476">
        <v>2023.0</v>
      </c>
      <c r="D471" s="1475" t="s">
        <v>3636</v>
      </c>
      <c r="E471" s="1475" t="s">
        <v>666</v>
      </c>
      <c r="F471" s="1477" t="s">
        <v>4451</v>
      </c>
      <c r="G471" s="1479"/>
      <c r="H471" s="1479"/>
      <c r="I471" s="1480">
        <v>46844.0</v>
      </c>
      <c r="J471" s="1476" t="s">
        <v>761</v>
      </c>
      <c r="K471" s="1470" t="s">
        <v>3820</v>
      </c>
      <c r="L471" s="1464"/>
      <c r="M471" s="1464"/>
      <c r="N471" s="1464"/>
      <c r="O471" s="1464"/>
      <c r="P471" s="1464"/>
      <c r="Q471" s="1464"/>
      <c r="R471" s="1464"/>
      <c r="S471" s="1464"/>
      <c r="T471" s="1464"/>
      <c r="U471" s="1464"/>
      <c r="V471" s="1464"/>
      <c r="W471" s="1464"/>
      <c r="X471" s="1464"/>
      <c r="Y471" s="1464"/>
      <c r="Z471" s="1464"/>
    </row>
    <row r="472">
      <c r="A472" s="1468" t="s">
        <v>4449</v>
      </c>
      <c r="B472" s="1469">
        <v>82200.0</v>
      </c>
      <c r="C472" s="1470">
        <v>2017.0</v>
      </c>
      <c r="D472" s="1473"/>
      <c r="E472" s="1473"/>
      <c r="F472" s="1471" t="s">
        <v>4452</v>
      </c>
      <c r="G472" s="1464"/>
      <c r="H472" s="1470" t="s">
        <v>3639</v>
      </c>
      <c r="I472" s="1491">
        <v>46844.0</v>
      </c>
      <c r="J472" s="1491" t="s">
        <v>3695</v>
      </c>
      <c r="K472" s="1470" t="s">
        <v>4001</v>
      </c>
      <c r="L472" s="1464"/>
      <c r="M472" s="1464"/>
      <c r="N472" s="1464"/>
      <c r="O472" s="1464"/>
      <c r="P472" s="1464"/>
      <c r="Q472" s="1464"/>
      <c r="R472" s="1464"/>
      <c r="S472" s="1464"/>
      <c r="T472" s="1464"/>
      <c r="U472" s="1464"/>
      <c r="V472" s="1464"/>
      <c r="W472" s="1464"/>
      <c r="X472" s="1464"/>
      <c r="Y472" s="1464"/>
      <c r="Z472" s="1464"/>
    </row>
    <row r="473">
      <c r="A473" s="1488" t="s">
        <v>4453</v>
      </c>
      <c r="B473" s="1486">
        <v>86700.0</v>
      </c>
      <c r="C473" s="1487">
        <v>2028.0</v>
      </c>
      <c r="D473" s="1492"/>
      <c r="E473" s="1486" t="s">
        <v>666</v>
      </c>
      <c r="F473" s="1488" t="s">
        <v>4454</v>
      </c>
      <c r="G473" s="1489"/>
      <c r="H473" s="1487" t="s">
        <v>3718</v>
      </c>
      <c r="I473" s="1490">
        <v>46844.0</v>
      </c>
      <c r="J473" s="1487" t="s">
        <v>3207</v>
      </c>
      <c r="K473" s="1487" t="s">
        <v>3207</v>
      </c>
      <c r="L473" s="1464"/>
      <c r="M473" s="1464"/>
      <c r="N473" s="1464"/>
      <c r="O473" s="1464"/>
      <c r="P473" s="1464"/>
      <c r="Q473" s="1464"/>
      <c r="R473" s="1464"/>
      <c r="S473" s="1464"/>
      <c r="T473" s="1464"/>
      <c r="U473" s="1464"/>
      <c r="V473" s="1464"/>
      <c r="W473" s="1464"/>
      <c r="X473" s="1464"/>
      <c r="Y473" s="1464"/>
      <c r="Z473" s="1464"/>
    </row>
    <row r="474">
      <c r="A474" s="1468" t="s">
        <v>3406</v>
      </c>
      <c r="B474" s="1469">
        <v>84200.0</v>
      </c>
      <c r="C474" s="1470">
        <v>2015.0</v>
      </c>
      <c r="D474" s="1473"/>
      <c r="E474" s="1469" t="s">
        <v>3637</v>
      </c>
      <c r="F474" s="1471" t="s">
        <v>4455</v>
      </c>
      <c r="G474" s="1464"/>
      <c r="H474" s="1470" t="s">
        <v>3639</v>
      </c>
      <c r="I474" s="1480">
        <v>46844.0</v>
      </c>
      <c r="J474" s="1470" t="s">
        <v>3681</v>
      </c>
      <c r="K474" s="1470" t="s">
        <v>2935</v>
      </c>
      <c r="L474" s="1464"/>
      <c r="M474" s="1464"/>
      <c r="N474" s="1464"/>
      <c r="O474" s="1464"/>
      <c r="P474" s="1464"/>
      <c r="Q474" s="1464"/>
      <c r="R474" s="1464"/>
      <c r="S474" s="1464"/>
      <c r="T474" s="1464"/>
      <c r="U474" s="1464"/>
      <c r="V474" s="1464"/>
      <c r="W474" s="1464"/>
      <c r="X474" s="1464"/>
      <c r="Y474" s="1464"/>
      <c r="Z474" s="1464"/>
    </row>
    <row r="475">
      <c r="A475" s="1488" t="s">
        <v>4456</v>
      </c>
      <c r="B475" s="1486">
        <v>93000.0</v>
      </c>
      <c r="C475" s="1487">
        <v>2028.0</v>
      </c>
      <c r="D475" s="1492"/>
      <c r="E475" s="1492"/>
      <c r="F475" s="1488" t="s">
        <v>4457</v>
      </c>
      <c r="G475" s="1489"/>
      <c r="H475" s="1487" t="s">
        <v>3962</v>
      </c>
      <c r="I475" s="1490">
        <v>46874.0</v>
      </c>
      <c r="J475" s="1487" t="s">
        <v>4209</v>
      </c>
      <c r="K475" s="1487" t="s">
        <v>4209</v>
      </c>
      <c r="L475" s="1464"/>
      <c r="M475" s="1464"/>
      <c r="N475" s="1464"/>
      <c r="O475" s="1464"/>
      <c r="P475" s="1464"/>
      <c r="Q475" s="1464"/>
      <c r="R475" s="1464"/>
      <c r="S475" s="1464"/>
      <c r="T475" s="1464"/>
      <c r="U475" s="1464"/>
      <c r="V475" s="1464"/>
      <c r="W475" s="1464"/>
      <c r="X475" s="1464"/>
      <c r="Y475" s="1464"/>
      <c r="Z475" s="1464"/>
    </row>
    <row r="476">
      <c r="A476" s="1468" t="s">
        <v>4458</v>
      </c>
      <c r="B476" s="1469">
        <v>80100.0</v>
      </c>
      <c r="C476" s="1470">
        <v>2008.0</v>
      </c>
      <c r="D476" s="1473"/>
      <c r="E476" s="1473"/>
      <c r="F476" s="1471" t="s">
        <v>4459</v>
      </c>
      <c r="G476" s="1464"/>
      <c r="H476" s="1464"/>
      <c r="I476" s="1472">
        <v>46905.0</v>
      </c>
      <c r="J476" s="1472" t="s">
        <v>3695</v>
      </c>
      <c r="K476" s="1470" t="s">
        <v>3843</v>
      </c>
      <c r="L476" s="1464"/>
      <c r="M476" s="1464"/>
      <c r="N476" s="1464"/>
      <c r="O476" s="1464"/>
      <c r="P476" s="1464"/>
      <c r="Q476" s="1464"/>
      <c r="R476" s="1464"/>
      <c r="S476" s="1464"/>
      <c r="T476" s="1464"/>
      <c r="U476" s="1464"/>
      <c r="V476" s="1464"/>
      <c r="W476" s="1464"/>
      <c r="X476" s="1464"/>
      <c r="Y476" s="1464"/>
      <c r="Z476" s="1464"/>
    </row>
    <row r="477">
      <c r="A477" s="1468" t="s">
        <v>4458</v>
      </c>
      <c r="B477" s="1469">
        <v>80100.0</v>
      </c>
      <c r="C477" s="1470">
        <v>2008.0</v>
      </c>
      <c r="D477" s="1473"/>
      <c r="E477" s="1473"/>
      <c r="F477" s="1471" t="s">
        <v>4460</v>
      </c>
      <c r="G477" s="1464"/>
      <c r="H477" s="1464"/>
      <c r="I477" s="1472">
        <v>46905.0</v>
      </c>
      <c r="J477" s="1472" t="s">
        <v>3695</v>
      </c>
      <c r="K477" s="1470" t="s">
        <v>3843</v>
      </c>
      <c r="L477" s="1464"/>
      <c r="M477" s="1464"/>
      <c r="N477" s="1464"/>
      <c r="O477" s="1464"/>
      <c r="P477" s="1464"/>
      <c r="Q477" s="1464"/>
      <c r="R477" s="1464"/>
      <c r="S477" s="1464"/>
      <c r="T477" s="1464"/>
      <c r="U477" s="1464"/>
      <c r="V477" s="1464"/>
      <c r="W477" s="1464"/>
      <c r="X477" s="1464"/>
      <c r="Y477" s="1464"/>
      <c r="Z477" s="1464"/>
    </row>
    <row r="478">
      <c r="A478" s="1474" t="s">
        <v>4461</v>
      </c>
      <c r="B478" s="1475">
        <v>86000.0</v>
      </c>
      <c r="C478" s="1476">
        <v>2023.0</v>
      </c>
      <c r="D478" s="1469" t="s">
        <v>3636</v>
      </c>
      <c r="E478" s="1469" t="s">
        <v>666</v>
      </c>
      <c r="F478" s="1477" t="s">
        <v>4462</v>
      </c>
      <c r="G478" s="1479"/>
      <c r="H478" s="1464"/>
      <c r="I478" s="1480">
        <v>46905.0</v>
      </c>
      <c r="J478" s="1476" t="s">
        <v>3939</v>
      </c>
      <c r="K478" s="1470" t="s">
        <v>3652</v>
      </c>
      <c r="L478" s="1464"/>
      <c r="M478" s="1464"/>
      <c r="N478" s="1464"/>
      <c r="O478" s="1464"/>
      <c r="P478" s="1464"/>
      <c r="Q478" s="1464"/>
      <c r="R478" s="1464"/>
      <c r="S478" s="1464"/>
      <c r="T478" s="1464"/>
      <c r="U478" s="1464"/>
      <c r="V478" s="1464"/>
      <c r="W478" s="1464"/>
      <c r="X478" s="1464"/>
      <c r="Y478" s="1464"/>
      <c r="Z478" s="1464"/>
    </row>
    <row r="479">
      <c r="A479" s="1468" t="s">
        <v>4463</v>
      </c>
      <c r="B479" s="1469">
        <v>84000.0</v>
      </c>
      <c r="C479" s="1470">
        <v>2017.0</v>
      </c>
      <c r="D479" s="1473"/>
      <c r="E479" s="1473"/>
      <c r="F479" s="1471" t="s">
        <v>4464</v>
      </c>
      <c r="G479" s="1464"/>
      <c r="H479" s="1470" t="s">
        <v>3639</v>
      </c>
      <c r="I479" s="1491">
        <v>46905.0</v>
      </c>
      <c r="J479" s="1491" t="s">
        <v>3729</v>
      </c>
      <c r="K479" s="1470" t="s">
        <v>3977</v>
      </c>
      <c r="L479" s="1464"/>
      <c r="M479" s="1464"/>
      <c r="N479" s="1464"/>
      <c r="O479" s="1464"/>
      <c r="P479" s="1464"/>
      <c r="Q479" s="1464"/>
      <c r="R479" s="1464"/>
      <c r="S479" s="1464"/>
      <c r="T479" s="1464"/>
      <c r="U479" s="1464"/>
      <c r="V479" s="1464"/>
      <c r="W479" s="1464"/>
      <c r="X479" s="1464"/>
      <c r="Y479" s="1464"/>
      <c r="Z479" s="1464"/>
    </row>
    <row r="480">
      <c r="A480" s="1468" t="s">
        <v>4463</v>
      </c>
      <c r="B480" s="1469">
        <v>84000.0</v>
      </c>
      <c r="C480" s="1470">
        <v>2017.0</v>
      </c>
      <c r="D480" s="1473"/>
      <c r="E480" s="1473"/>
      <c r="F480" s="1471" t="s">
        <v>4465</v>
      </c>
      <c r="G480" s="1464"/>
      <c r="H480" s="1470" t="s">
        <v>3639</v>
      </c>
      <c r="I480" s="1472">
        <v>46905.0</v>
      </c>
      <c r="J480" s="1472" t="s">
        <v>3729</v>
      </c>
      <c r="K480" s="1470" t="s">
        <v>3977</v>
      </c>
      <c r="L480" s="1464"/>
      <c r="M480" s="1464"/>
      <c r="N480" s="1464"/>
      <c r="O480" s="1464"/>
      <c r="P480" s="1464"/>
      <c r="Q480" s="1464"/>
      <c r="R480" s="1464"/>
      <c r="S480" s="1464"/>
      <c r="T480" s="1464"/>
      <c r="U480" s="1464"/>
      <c r="V480" s="1464"/>
      <c r="W480" s="1464"/>
      <c r="X480" s="1464"/>
      <c r="Y480" s="1464"/>
      <c r="Z480" s="1464"/>
    </row>
    <row r="481">
      <c r="A481" s="1468" t="s">
        <v>4466</v>
      </c>
      <c r="B481" s="1469">
        <v>83400.0</v>
      </c>
      <c r="C481" s="1470">
        <v>2012.0</v>
      </c>
      <c r="D481" s="1481"/>
      <c r="E481" s="1473"/>
      <c r="F481" s="1471" t="s">
        <v>4467</v>
      </c>
      <c r="G481" s="1464"/>
      <c r="H481" s="1476" t="s">
        <v>3639</v>
      </c>
      <c r="I481" s="1478">
        <v>46935.0</v>
      </c>
      <c r="J481" s="1476" t="s">
        <v>3797</v>
      </c>
      <c r="K481" s="1470" t="s">
        <v>3797</v>
      </c>
      <c r="L481" s="1479"/>
      <c r="M481" s="1464"/>
      <c r="N481" s="1464"/>
      <c r="O481" s="1464"/>
      <c r="P481" s="1464"/>
      <c r="Q481" s="1464"/>
      <c r="R481" s="1464"/>
      <c r="S481" s="1464"/>
      <c r="T481" s="1464"/>
      <c r="U481" s="1464"/>
      <c r="V481" s="1464"/>
      <c r="W481" s="1464"/>
      <c r="X481" s="1464"/>
      <c r="Y481" s="1464"/>
      <c r="Z481" s="1464"/>
    </row>
    <row r="482">
      <c r="A482" s="1468" t="s">
        <v>4466</v>
      </c>
      <c r="B482" s="1469">
        <v>83400.0</v>
      </c>
      <c r="C482" s="1470">
        <v>2012.0</v>
      </c>
      <c r="D482" s="1481"/>
      <c r="E482" s="1473"/>
      <c r="F482" s="1471" t="s">
        <v>4468</v>
      </c>
      <c r="G482" s="1464"/>
      <c r="H482" s="1476" t="s">
        <v>3639</v>
      </c>
      <c r="I482" s="1478">
        <v>46935.0</v>
      </c>
      <c r="J482" s="1476" t="s">
        <v>3797</v>
      </c>
      <c r="K482" s="1470" t="s">
        <v>3797</v>
      </c>
      <c r="L482" s="1479"/>
      <c r="M482" s="1464"/>
      <c r="N482" s="1464"/>
      <c r="O482" s="1464"/>
      <c r="P482" s="1464"/>
      <c r="Q482" s="1464"/>
      <c r="R482" s="1464"/>
      <c r="S482" s="1464"/>
      <c r="T482" s="1464"/>
      <c r="U482" s="1464"/>
      <c r="V482" s="1464"/>
      <c r="W482" s="1464"/>
      <c r="X482" s="1464"/>
      <c r="Y482" s="1464"/>
      <c r="Z482" s="1464"/>
    </row>
    <row r="483">
      <c r="A483" s="1474" t="s">
        <v>4469</v>
      </c>
      <c r="B483" s="1475">
        <v>91000.0</v>
      </c>
      <c r="C483" s="1476">
        <v>2023.0</v>
      </c>
      <c r="D483" s="1481"/>
      <c r="E483" s="1475" t="s">
        <v>666</v>
      </c>
      <c r="F483" s="1477" t="s">
        <v>4470</v>
      </c>
      <c r="G483" s="1479"/>
      <c r="H483" s="1479"/>
      <c r="I483" s="1480">
        <v>46935.0</v>
      </c>
      <c r="J483" s="1480" t="s">
        <v>761</v>
      </c>
      <c r="K483" s="1476" t="s">
        <v>4363</v>
      </c>
      <c r="L483" s="1479"/>
      <c r="M483" s="1464"/>
      <c r="N483" s="1464"/>
      <c r="O483" s="1464"/>
      <c r="P483" s="1464"/>
      <c r="Q483" s="1464"/>
      <c r="R483" s="1464"/>
      <c r="S483" s="1464"/>
      <c r="T483" s="1464"/>
      <c r="U483" s="1464"/>
      <c r="V483" s="1464"/>
      <c r="W483" s="1464"/>
      <c r="X483" s="1464"/>
      <c r="Y483" s="1464"/>
      <c r="Z483" s="1464"/>
    </row>
    <row r="484">
      <c r="A484" s="1474" t="s">
        <v>4469</v>
      </c>
      <c r="B484" s="1475">
        <v>91000.0</v>
      </c>
      <c r="C484" s="1476">
        <v>2023.0</v>
      </c>
      <c r="D484" s="1481"/>
      <c r="E484" s="1475" t="s">
        <v>666</v>
      </c>
      <c r="F484" s="1477" t="s">
        <v>4471</v>
      </c>
      <c r="G484" s="1479"/>
      <c r="H484" s="1479"/>
      <c r="I484" s="1480">
        <v>46935.0</v>
      </c>
      <c r="J484" s="1480" t="s">
        <v>761</v>
      </c>
      <c r="K484" s="1476" t="s">
        <v>4363</v>
      </c>
      <c r="L484" s="1479"/>
      <c r="M484" s="1479"/>
      <c r="N484" s="1479"/>
      <c r="O484" s="1479"/>
      <c r="P484" s="1479"/>
      <c r="Q484" s="1479"/>
      <c r="R484" s="1479"/>
      <c r="S484" s="1479"/>
      <c r="T484" s="1479"/>
      <c r="U484" s="1479"/>
      <c r="V484" s="1479"/>
      <c r="W484" s="1479"/>
      <c r="X484" s="1479"/>
      <c r="Y484" s="1479"/>
      <c r="Z484" s="1479"/>
    </row>
    <row r="485">
      <c r="A485" s="1488" t="s">
        <v>4472</v>
      </c>
      <c r="B485" s="1486">
        <v>93000.0</v>
      </c>
      <c r="C485" s="1487">
        <v>2028.0</v>
      </c>
      <c r="D485" s="1492"/>
      <c r="E485" s="1492"/>
      <c r="F485" s="1488" t="s">
        <v>4473</v>
      </c>
      <c r="G485" s="1489"/>
      <c r="H485" s="1487" t="s">
        <v>3962</v>
      </c>
      <c r="I485" s="1490">
        <v>46935.0</v>
      </c>
      <c r="J485" s="1487" t="s">
        <v>4209</v>
      </c>
      <c r="K485" s="1487" t="s">
        <v>4209</v>
      </c>
      <c r="L485" s="1464"/>
      <c r="M485" s="1479"/>
      <c r="N485" s="1479"/>
      <c r="O485" s="1479"/>
      <c r="P485" s="1479"/>
      <c r="Q485" s="1479"/>
      <c r="R485" s="1479"/>
      <c r="S485" s="1479"/>
      <c r="T485" s="1479"/>
      <c r="U485" s="1479"/>
      <c r="V485" s="1479"/>
      <c r="W485" s="1479"/>
      <c r="X485" s="1479"/>
      <c r="Y485" s="1479"/>
      <c r="Z485" s="1479"/>
    </row>
    <row r="486">
      <c r="A486" s="1474" t="s">
        <v>4474</v>
      </c>
      <c r="B486" s="1475">
        <v>86000.0</v>
      </c>
      <c r="C486" s="1476">
        <v>2023.0</v>
      </c>
      <c r="D486" s="1475" t="s">
        <v>3636</v>
      </c>
      <c r="E486" s="1475" t="s">
        <v>666</v>
      </c>
      <c r="F486" s="1477" t="s">
        <v>4475</v>
      </c>
      <c r="G486" s="1479"/>
      <c r="H486" s="1476" t="s">
        <v>3718</v>
      </c>
      <c r="I486" s="1480">
        <v>46997.0</v>
      </c>
      <c r="J486" s="1476" t="s">
        <v>3658</v>
      </c>
      <c r="K486" s="1476" t="s">
        <v>3723</v>
      </c>
      <c r="L486" s="1479"/>
      <c r="M486" s="1464"/>
      <c r="N486" s="1464"/>
      <c r="O486" s="1464"/>
      <c r="P486" s="1464"/>
      <c r="Q486" s="1464"/>
      <c r="R486" s="1464"/>
      <c r="S486" s="1464"/>
      <c r="T486" s="1464"/>
      <c r="U486" s="1464"/>
      <c r="V486" s="1464"/>
      <c r="W486" s="1464"/>
      <c r="X486" s="1464"/>
      <c r="Y486" s="1464"/>
      <c r="Z486" s="1464"/>
    </row>
    <row r="487">
      <c r="A487" s="1474" t="s">
        <v>4476</v>
      </c>
      <c r="B487" s="1475">
        <v>86700.0</v>
      </c>
      <c r="C487" s="1476">
        <v>2023.0</v>
      </c>
      <c r="D487" s="1481"/>
      <c r="E487" s="1475" t="s">
        <v>666</v>
      </c>
      <c r="F487" s="1477" t="s">
        <v>4477</v>
      </c>
      <c r="G487" s="1479"/>
      <c r="H487" s="1479"/>
      <c r="I487" s="1480">
        <v>46997.0</v>
      </c>
      <c r="J487" s="1476" t="s">
        <v>4285</v>
      </c>
      <c r="K487" s="1470" t="s">
        <v>3669</v>
      </c>
      <c r="L487" s="1479"/>
      <c r="M487" s="1479"/>
      <c r="N487" s="1479"/>
      <c r="O487" s="1479"/>
      <c r="P487" s="1479"/>
      <c r="Q487" s="1479"/>
      <c r="R487" s="1479"/>
      <c r="S487" s="1479"/>
      <c r="T487" s="1479"/>
      <c r="U487" s="1479"/>
      <c r="V487" s="1479"/>
      <c r="W487" s="1479"/>
      <c r="X487" s="1479"/>
      <c r="Y487" s="1479"/>
      <c r="Z487" s="1479"/>
    </row>
    <row r="488">
      <c r="A488" s="1474" t="s">
        <v>4476</v>
      </c>
      <c r="B488" s="1475">
        <v>86700.0</v>
      </c>
      <c r="C488" s="1476">
        <v>2023.0</v>
      </c>
      <c r="D488" s="1481"/>
      <c r="E488" s="1475" t="s">
        <v>666</v>
      </c>
      <c r="F488" s="1477" t="s">
        <v>4478</v>
      </c>
      <c r="G488" s="1479"/>
      <c r="H488" s="1479"/>
      <c r="I488" s="1480">
        <v>46997.0</v>
      </c>
      <c r="J488" s="1476" t="s">
        <v>4285</v>
      </c>
      <c r="K488" s="1470" t="s">
        <v>3669</v>
      </c>
      <c r="L488" s="1479"/>
      <c r="M488" s="1464"/>
      <c r="N488" s="1464"/>
      <c r="O488" s="1464"/>
      <c r="P488" s="1464"/>
      <c r="Q488" s="1464"/>
      <c r="R488" s="1464"/>
      <c r="S488" s="1464"/>
      <c r="T488" s="1464"/>
      <c r="U488" s="1464"/>
      <c r="V488" s="1464"/>
      <c r="W488" s="1464"/>
      <c r="X488" s="1464"/>
      <c r="Y488" s="1464"/>
      <c r="Z488" s="1464"/>
    </row>
    <row r="489">
      <c r="A489" s="1488" t="s">
        <v>4479</v>
      </c>
      <c r="B489" s="1486">
        <v>93000.0</v>
      </c>
      <c r="C489" s="1487">
        <v>2028.0</v>
      </c>
      <c r="D489" s="1492"/>
      <c r="E489" s="1492"/>
      <c r="F489" s="1488" t="s">
        <v>4480</v>
      </c>
      <c r="G489" s="1489"/>
      <c r="H489" s="1487" t="s">
        <v>3962</v>
      </c>
      <c r="I489" s="1490">
        <v>46997.0</v>
      </c>
      <c r="J489" s="1487" t="s">
        <v>4209</v>
      </c>
      <c r="K489" s="1487" t="s">
        <v>4209</v>
      </c>
      <c r="L489" s="1464"/>
      <c r="M489" s="1464"/>
      <c r="N489" s="1464"/>
      <c r="O489" s="1464"/>
      <c r="P489" s="1464"/>
      <c r="Q489" s="1464"/>
      <c r="R489" s="1464"/>
      <c r="S489" s="1464"/>
      <c r="T489" s="1464"/>
      <c r="U489" s="1464"/>
      <c r="V489" s="1464"/>
      <c r="W489" s="1464"/>
      <c r="X489" s="1464"/>
      <c r="Y489" s="1464"/>
      <c r="Z489" s="1464"/>
    </row>
    <row r="490">
      <c r="A490" s="1474" t="s">
        <v>4476</v>
      </c>
      <c r="B490" s="1475">
        <v>86700.0</v>
      </c>
      <c r="C490" s="1476">
        <v>2023.0</v>
      </c>
      <c r="D490" s="1481"/>
      <c r="E490" s="1475" t="s">
        <v>666</v>
      </c>
      <c r="F490" s="1477" t="s">
        <v>4481</v>
      </c>
      <c r="G490" s="1479"/>
      <c r="H490" s="1470" t="s">
        <v>3718</v>
      </c>
      <c r="I490" s="1480">
        <v>46997.0</v>
      </c>
      <c r="J490" s="1476" t="s">
        <v>4285</v>
      </c>
      <c r="K490" s="1470" t="s">
        <v>3669</v>
      </c>
      <c r="L490" s="1479"/>
      <c r="M490" s="1464"/>
      <c r="N490" s="1464"/>
      <c r="O490" s="1464"/>
      <c r="P490" s="1464"/>
      <c r="Q490" s="1464"/>
      <c r="R490" s="1464"/>
      <c r="S490" s="1464"/>
      <c r="T490" s="1464"/>
      <c r="U490" s="1464"/>
      <c r="V490" s="1464"/>
      <c r="W490" s="1464"/>
      <c r="X490" s="1464"/>
      <c r="Y490" s="1464"/>
      <c r="Z490" s="1464"/>
    </row>
    <row r="491">
      <c r="A491" s="1474" t="s">
        <v>4474</v>
      </c>
      <c r="B491" s="1475">
        <v>86000.0</v>
      </c>
      <c r="C491" s="1476">
        <v>2023.0</v>
      </c>
      <c r="D491" s="1475" t="s">
        <v>3636</v>
      </c>
      <c r="E491" s="1475" t="s">
        <v>666</v>
      </c>
      <c r="F491" s="1477" t="s">
        <v>4482</v>
      </c>
      <c r="G491" s="1479"/>
      <c r="H491" s="1476" t="s">
        <v>3718</v>
      </c>
      <c r="I491" s="1480">
        <v>46997.0</v>
      </c>
      <c r="J491" s="1476" t="s">
        <v>3658</v>
      </c>
      <c r="K491" s="1470" t="s">
        <v>3723</v>
      </c>
      <c r="L491" s="1464"/>
      <c r="M491" s="1464"/>
      <c r="N491" s="1464"/>
      <c r="O491" s="1464"/>
      <c r="P491" s="1464"/>
      <c r="Q491" s="1464"/>
      <c r="R491" s="1464"/>
      <c r="S491" s="1464"/>
      <c r="T491" s="1464"/>
      <c r="U491" s="1464"/>
      <c r="V491" s="1464"/>
      <c r="W491" s="1464"/>
      <c r="X491" s="1464"/>
      <c r="Y491" s="1464"/>
      <c r="Z491" s="1464"/>
    </row>
    <row r="492">
      <c r="A492" s="1474" t="s">
        <v>4483</v>
      </c>
      <c r="B492" s="1475">
        <v>84000.0</v>
      </c>
      <c r="C492" s="1476">
        <v>2021.0</v>
      </c>
      <c r="D492" s="1475" t="s">
        <v>3636</v>
      </c>
      <c r="E492" s="1475" t="s">
        <v>3637</v>
      </c>
      <c r="F492" s="1477" t="s">
        <v>4484</v>
      </c>
      <c r="G492" s="1479"/>
      <c r="H492" s="1479"/>
      <c r="I492" s="1480">
        <v>47027.0</v>
      </c>
      <c r="J492" s="1480" t="s">
        <v>761</v>
      </c>
      <c r="K492" s="1476" t="s">
        <v>3083</v>
      </c>
      <c r="L492" s="1479"/>
      <c r="M492" s="1464"/>
      <c r="N492" s="1464"/>
      <c r="O492" s="1464"/>
      <c r="P492" s="1464"/>
      <c r="Q492" s="1464"/>
      <c r="R492" s="1464"/>
      <c r="S492" s="1464"/>
      <c r="T492" s="1464"/>
      <c r="U492" s="1464"/>
      <c r="V492" s="1464"/>
      <c r="W492" s="1464"/>
      <c r="X492" s="1464"/>
      <c r="Y492" s="1464"/>
      <c r="Z492" s="1464"/>
    </row>
    <row r="493">
      <c r="A493" s="1474" t="s">
        <v>4485</v>
      </c>
      <c r="B493" s="1475">
        <v>84000.0</v>
      </c>
      <c r="C493" s="1476">
        <v>2021.0</v>
      </c>
      <c r="D493" s="1475" t="s">
        <v>3636</v>
      </c>
      <c r="E493" s="1475" t="s">
        <v>3637</v>
      </c>
      <c r="F493" s="1477" t="s">
        <v>4486</v>
      </c>
      <c r="G493" s="1464"/>
      <c r="H493" s="1464"/>
      <c r="I493" s="1480">
        <v>47027.0</v>
      </c>
      <c r="J493" s="1480" t="s">
        <v>761</v>
      </c>
      <c r="K493" s="1476" t="s">
        <v>3820</v>
      </c>
      <c r="L493" s="1479"/>
      <c r="M493" s="1464"/>
      <c r="N493" s="1464"/>
      <c r="O493" s="1464"/>
      <c r="P493" s="1464"/>
      <c r="Q493" s="1464"/>
      <c r="R493" s="1464"/>
      <c r="S493" s="1464"/>
      <c r="T493" s="1464"/>
      <c r="U493" s="1464"/>
      <c r="V493" s="1464"/>
      <c r="W493" s="1464"/>
      <c r="X493" s="1464"/>
      <c r="Y493" s="1464"/>
      <c r="Z493" s="1464"/>
    </row>
    <row r="494">
      <c r="A494" s="1474" t="s">
        <v>4487</v>
      </c>
      <c r="B494" s="1475">
        <v>86000.0</v>
      </c>
      <c r="C494" s="1476">
        <v>2023.0</v>
      </c>
      <c r="D494" s="1475" t="s">
        <v>3636</v>
      </c>
      <c r="E494" s="1475" t="s">
        <v>666</v>
      </c>
      <c r="F494" s="1477" t="s">
        <v>4488</v>
      </c>
      <c r="G494" s="1479"/>
      <c r="H494" s="1476" t="s">
        <v>3718</v>
      </c>
      <c r="I494" s="1480">
        <v>47058.0</v>
      </c>
      <c r="J494" s="1476" t="s">
        <v>3658</v>
      </c>
      <c r="K494" s="1476" t="s">
        <v>3723</v>
      </c>
      <c r="L494" s="1479"/>
      <c r="M494" s="1464"/>
      <c r="N494" s="1464"/>
      <c r="O494" s="1464"/>
      <c r="P494" s="1464"/>
      <c r="Q494" s="1464"/>
      <c r="R494" s="1464"/>
      <c r="S494" s="1464"/>
      <c r="T494" s="1464"/>
      <c r="U494" s="1464"/>
      <c r="V494" s="1464"/>
      <c r="W494" s="1464"/>
      <c r="X494" s="1464"/>
      <c r="Y494" s="1464"/>
      <c r="Z494" s="1464"/>
    </row>
    <row r="495">
      <c r="A495" s="1488" t="s">
        <v>4489</v>
      </c>
      <c r="B495" s="1486">
        <v>93000.0</v>
      </c>
      <c r="C495" s="1487">
        <v>2028.0</v>
      </c>
      <c r="D495" s="1492"/>
      <c r="E495" s="1492"/>
      <c r="F495" s="1488" t="s">
        <v>4490</v>
      </c>
      <c r="G495" s="1489"/>
      <c r="H495" s="1487" t="s">
        <v>3962</v>
      </c>
      <c r="I495" s="1490">
        <v>47058.0</v>
      </c>
      <c r="J495" s="1487" t="s">
        <v>4209</v>
      </c>
      <c r="K495" s="1487" t="s">
        <v>4209</v>
      </c>
      <c r="L495" s="1464"/>
      <c r="M495" s="1464"/>
      <c r="N495" s="1464"/>
      <c r="O495" s="1464"/>
      <c r="P495" s="1464"/>
      <c r="Q495" s="1464"/>
      <c r="R495" s="1464"/>
      <c r="S495" s="1464"/>
      <c r="T495" s="1464"/>
      <c r="U495" s="1464"/>
      <c r="V495" s="1464"/>
      <c r="W495" s="1464"/>
      <c r="X495" s="1464"/>
      <c r="Y495" s="1464"/>
      <c r="Z495" s="1464"/>
    </row>
    <row r="496">
      <c r="A496" s="1474" t="s">
        <v>4491</v>
      </c>
      <c r="B496" s="1475">
        <v>90000.0</v>
      </c>
      <c r="C496" s="1476">
        <v>2021.0</v>
      </c>
      <c r="D496" s="1481"/>
      <c r="E496" s="1475" t="s">
        <v>666</v>
      </c>
      <c r="F496" s="1477" t="s">
        <v>4492</v>
      </c>
      <c r="G496" s="1479"/>
      <c r="H496" s="1479"/>
      <c r="I496" s="1480">
        <v>47058.0</v>
      </c>
      <c r="J496" s="1480" t="s">
        <v>3658</v>
      </c>
      <c r="K496" s="1476" t="s">
        <v>4317</v>
      </c>
      <c r="L496" s="1479"/>
      <c r="M496" s="1464"/>
      <c r="N496" s="1464"/>
      <c r="O496" s="1464"/>
      <c r="P496" s="1464"/>
      <c r="Q496" s="1464"/>
      <c r="R496" s="1464"/>
      <c r="S496" s="1464"/>
      <c r="T496" s="1464"/>
      <c r="U496" s="1464"/>
      <c r="V496" s="1464"/>
      <c r="W496" s="1464"/>
      <c r="X496" s="1464"/>
      <c r="Y496" s="1464"/>
      <c r="Z496" s="1464"/>
    </row>
    <row r="497">
      <c r="A497" s="1474" t="s">
        <v>4491</v>
      </c>
      <c r="B497" s="1475">
        <v>90000.0</v>
      </c>
      <c r="C497" s="1476">
        <v>2021.0</v>
      </c>
      <c r="D497" s="1481"/>
      <c r="E497" s="1475" t="s">
        <v>666</v>
      </c>
      <c r="F497" s="1477" t="s">
        <v>4493</v>
      </c>
      <c r="G497" s="1479"/>
      <c r="H497" s="1479"/>
      <c r="I497" s="1480">
        <v>47058.0</v>
      </c>
      <c r="J497" s="1480" t="s">
        <v>3658</v>
      </c>
      <c r="K497" s="1476" t="s">
        <v>4317</v>
      </c>
      <c r="L497" s="1479"/>
      <c r="M497" s="1464"/>
      <c r="N497" s="1464"/>
      <c r="O497" s="1464"/>
      <c r="P497" s="1464"/>
      <c r="Q497" s="1464"/>
      <c r="R497" s="1464"/>
      <c r="S497" s="1464"/>
      <c r="T497" s="1464"/>
      <c r="U497" s="1464"/>
      <c r="V497" s="1464"/>
      <c r="W497" s="1464"/>
      <c r="X497" s="1464"/>
      <c r="Y497" s="1464"/>
      <c r="Z497" s="1464"/>
    </row>
    <row r="498">
      <c r="A498" s="1474" t="s">
        <v>4487</v>
      </c>
      <c r="B498" s="1475">
        <v>86000.0</v>
      </c>
      <c r="C498" s="1476">
        <v>2023.0</v>
      </c>
      <c r="D498" s="1475" t="s">
        <v>3636</v>
      </c>
      <c r="E498" s="1475" t="s">
        <v>666</v>
      </c>
      <c r="F498" s="1477" t="s">
        <v>4494</v>
      </c>
      <c r="G498" s="1479"/>
      <c r="H498" s="1476" t="s">
        <v>3718</v>
      </c>
      <c r="I498" s="1480">
        <v>47058.0</v>
      </c>
      <c r="J498" s="1476" t="s">
        <v>3658</v>
      </c>
      <c r="K498" s="1470" t="s">
        <v>3723</v>
      </c>
      <c r="L498" s="1464"/>
      <c r="M498" s="1464"/>
      <c r="N498" s="1464"/>
      <c r="O498" s="1464"/>
      <c r="P498" s="1464"/>
      <c r="Q498" s="1464"/>
      <c r="R498" s="1464"/>
      <c r="S498" s="1464"/>
      <c r="T498" s="1464"/>
      <c r="U498" s="1464"/>
      <c r="V498" s="1464"/>
      <c r="W498" s="1464"/>
      <c r="X498" s="1464"/>
      <c r="Y498" s="1464"/>
      <c r="Z498" s="1464"/>
    </row>
    <row r="499">
      <c r="A499" s="1474" t="s">
        <v>4495</v>
      </c>
      <c r="B499" s="1475">
        <v>91000.0</v>
      </c>
      <c r="C499" s="1476">
        <v>2023.0</v>
      </c>
      <c r="D499" s="1481"/>
      <c r="E499" s="1475" t="s">
        <v>666</v>
      </c>
      <c r="F499" s="1477" t="s">
        <v>4496</v>
      </c>
      <c r="G499" s="1479"/>
      <c r="H499" s="1479"/>
      <c r="I499" s="1480">
        <v>47088.0</v>
      </c>
      <c r="J499" s="1476" t="s">
        <v>761</v>
      </c>
      <c r="K499" s="1476" t="s">
        <v>4363</v>
      </c>
      <c r="L499" s="1479"/>
      <c r="M499" s="1464"/>
      <c r="N499" s="1464"/>
      <c r="O499" s="1464"/>
      <c r="P499" s="1464"/>
      <c r="Q499" s="1464"/>
      <c r="R499" s="1464"/>
      <c r="S499" s="1464"/>
      <c r="T499" s="1464"/>
      <c r="U499" s="1464"/>
      <c r="V499" s="1464"/>
      <c r="W499" s="1464"/>
      <c r="X499" s="1464"/>
      <c r="Y499" s="1464"/>
      <c r="Z499" s="1464"/>
    </row>
    <row r="500">
      <c r="A500" s="1474" t="s">
        <v>4495</v>
      </c>
      <c r="B500" s="1475">
        <v>91000.0</v>
      </c>
      <c r="C500" s="1476">
        <v>2023.0</v>
      </c>
      <c r="D500" s="1481"/>
      <c r="E500" s="1475" t="s">
        <v>666</v>
      </c>
      <c r="F500" s="1477" t="s">
        <v>4497</v>
      </c>
      <c r="G500" s="1507">
        <v>700.0</v>
      </c>
      <c r="H500" s="1479"/>
      <c r="I500" s="1480">
        <v>47088.0</v>
      </c>
      <c r="J500" s="1480" t="s">
        <v>761</v>
      </c>
      <c r="K500" s="1476" t="s">
        <v>4363</v>
      </c>
      <c r="L500" s="1479"/>
      <c r="M500" s="1479"/>
      <c r="N500" s="1479"/>
      <c r="O500" s="1479"/>
      <c r="P500" s="1479"/>
      <c r="Q500" s="1479"/>
      <c r="R500" s="1479"/>
      <c r="S500" s="1479"/>
      <c r="T500" s="1479"/>
      <c r="U500" s="1479"/>
      <c r="V500" s="1479"/>
      <c r="W500" s="1479"/>
      <c r="X500" s="1479"/>
      <c r="Y500" s="1479"/>
      <c r="Z500" s="1479"/>
    </row>
    <row r="501">
      <c r="A501" s="1474" t="s">
        <v>4498</v>
      </c>
      <c r="B501" s="1475">
        <v>86000.0</v>
      </c>
      <c r="C501" s="1476">
        <v>2024.0</v>
      </c>
      <c r="D501" s="1475" t="s">
        <v>3636</v>
      </c>
      <c r="E501" s="1475" t="s">
        <v>666</v>
      </c>
      <c r="F501" s="1477" t="s">
        <v>4499</v>
      </c>
      <c r="G501" s="1479"/>
      <c r="H501" s="1476" t="s">
        <v>3702</v>
      </c>
      <c r="I501" s="1480">
        <v>47119.0</v>
      </c>
      <c r="J501" s="1476" t="s">
        <v>3786</v>
      </c>
      <c r="K501" s="1476" t="s">
        <v>3732</v>
      </c>
      <c r="L501" s="1479"/>
      <c r="M501" s="1464"/>
      <c r="N501" s="1464"/>
      <c r="O501" s="1464"/>
      <c r="P501" s="1464"/>
      <c r="Q501" s="1464"/>
      <c r="R501" s="1464"/>
      <c r="S501" s="1464"/>
      <c r="T501" s="1464"/>
      <c r="U501" s="1464"/>
      <c r="V501" s="1464"/>
      <c r="W501" s="1464"/>
      <c r="X501" s="1464"/>
      <c r="Y501" s="1464"/>
      <c r="Z501" s="1464"/>
    </row>
    <row r="502">
      <c r="A502" s="1474" t="s">
        <v>4498</v>
      </c>
      <c r="B502" s="1475">
        <v>86000.0</v>
      </c>
      <c r="C502" s="1476">
        <v>2024.0</v>
      </c>
      <c r="D502" s="1475" t="s">
        <v>3636</v>
      </c>
      <c r="E502" s="1475" t="s">
        <v>666</v>
      </c>
      <c r="F502" s="1477" t="s">
        <v>4500</v>
      </c>
      <c r="G502" s="1479"/>
      <c r="H502" s="1476" t="s">
        <v>3702</v>
      </c>
      <c r="I502" s="1480">
        <v>47119.0</v>
      </c>
      <c r="J502" s="1476" t="s">
        <v>3786</v>
      </c>
      <c r="K502" s="1476" t="s">
        <v>3703</v>
      </c>
      <c r="L502" s="1464"/>
      <c r="M502" s="1479"/>
      <c r="N502" s="1479"/>
      <c r="O502" s="1479"/>
      <c r="P502" s="1479"/>
      <c r="Q502" s="1479"/>
      <c r="R502" s="1479"/>
      <c r="S502" s="1479"/>
      <c r="T502" s="1479"/>
      <c r="U502" s="1479"/>
      <c r="V502" s="1479"/>
      <c r="W502" s="1479"/>
      <c r="X502" s="1479"/>
      <c r="Y502" s="1479"/>
      <c r="Z502" s="1479"/>
    </row>
    <row r="503">
      <c r="A503" s="1474" t="s">
        <v>4498</v>
      </c>
      <c r="B503" s="1475">
        <v>86000.0</v>
      </c>
      <c r="C503" s="1476">
        <v>2024.0</v>
      </c>
      <c r="D503" s="1475" t="s">
        <v>3636</v>
      </c>
      <c r="E503" s="1475" t="s">
        <v>666</v>
      </c>
      <c r="F503" s="1477" t="s">
        <v>4501</v>
      </c>
      <c r="G503" s="1479"/>
      <c r="H503" s="1476" t="s">
        <v>3702</v>
      </c>
      <c r="I503" s="1480">
        <v>47119.0</v>
      </c>
      <c r="J503" s="1476" t="s">
        <v>3786</v>
      </c>
      <c r="K503" s="1476" t="s">
        <v>3732</v>
      </c>
      <c r="L503" s="1479"/>
      <c r="M503" s="1479"/>
      <c r="N503" s="1479"/>
      <c r="O503" s="1479"/>
      <c r="P503" s="1479"/>
      <c r="Q503" s="1479"/>
      <c r="R503" s="1479"/>
      <c r="S503" s="1479"/>
      <c r="T503" s="1479"/>
      <c r="U503" s="1479"/>
      <c r="V503" s="1479"/>
      <c r="W503" s="1479"/>
      <c r="X503" s="1479"/>
      <c r="Y503" s="1479"/>
      <c r="Z503" s="1479"/>
    </row>
    <row r="504">
      <c r="A504" s="1468" t="s">
        <v>4502</v>
      </c>
      <c r="B504" s="1469">
        <v>84000.0</v>
      </c>
      <c r="C504" s="1470">
        <v>2017.0</v>
      </c>
      <c r="D504" s="1473"/>
      <c r="E504" s="1473"/>
      <c r="F504" s="1471" t="s">
        <v>4503</v>
      </c>
      <c r="G504" s="1464"/>
      <c r="H504" s="1470" t="s">
        <v>3639</v>
      </c>
      <c r="I504" s="1472">
        <v>47119.0</v>
      </c>
      <c r="J504" s="1472" t="s">
        <v>3976</v>
      </c>
      <c r="K504" s="1470" t="s">
        <v>3977</v>
      </c>
      <c r="L504" s="1464"/>
      <c r="M504" s="1476" t="s">
        <v>4504</v>
      </c>
      <c r="N504" s="1464"/>
      <c r="O504" s="1464"/>
      <c r="P504" s="1464"/>
      <c r="Q504" s="1464"/>
      <c r="R504" s="1464"/>
      <c r="S504" s="1464"/>
      <c r="T504" s="1464"/>
      <c r="U504" s="1464"/>
      <c r="V504" s="1464"/>
      <c r="W504" s="1464"/>
      <c r="X504" s="1464"/>
      <c r="Y504" s="1464"/>
      <c r="Z504" s="1464"/>
    </row>
    <row r="505">
      <c r="A505" s="1468" t="s">
        <v>4502</v>
      </c>
      <c r="B505" s="1469">
        <v>84000.0</v>
      </c>
      <c r="C505" s="1470">
        <v>2017.0</v>
      </c>
      <c r="D505" s="1473"/>
      <c r="E505" s="1473"/>
      <c r="F505" s="1471" t="s">
        <v>4505</v>
      </c>
      <c r="G505" s="1479"/>
      <c r="H505" s="1470" t="s">
        <v>3639</v>
      </c>
      <c r="I505" s="1472">
        <v>47119.0</v>
      </c>
      <c r="J505" s="1472" t="s">
        <v>3976</v>
      </c>
      <c r="K505" s="1470" t="s">
        <v>3977</v>
      </c>
      <c r="L505" s="1479"/>
      <c r="M505" s="1464"/>
      <c r="N505" s="1464"/>
      <c r="O505" s="1464"/>
      <c r="P505" s="1464"/>
      <c r="Q505" s="1464"/>
      <c r="R505" s="1464"/>
      <c r="S505" s="1464"/>
      <c r="T505" s="1464"/>
      <c r="U505" s="1464"/>
      <c r="V505" s="1464"/>
      <c r="W505" s="1464"/>
      <c r="X505" s="1464"/>
      <c r="Y505" s="1464"/>
      <c r="Z505" s="1464"/>
    </row>
    <row r="506">
      <c r="A506" s="1474" t="s">
        <v>4506</v>
      </c>
      <c r="B506" s="1475">
        <v>91000.0</v>
      </c>
      <c r="C506" s="1476">
        <v>2024.0</v>
      </c>
      <c r="D506" s="1481"/>
      <c r="E506" s="1475" t="s">
        <v>666</v>
      </c>
      <c r="F506" s="1477" t="s">
        <v>4507</v>
      </c>
      <c r="G506" s="1479"/>
      <c r="H506" s="1476" t="s">
        <v>4316</v>
      </c>
      <c r="I506" s="1480">
        <v>47178.0</v>
      </c>
      <c r="J506" s="1476" t="s">
        <v>3833</v>
      </c>
      <c r="K506" s="1476" t="s">
        <v>4317</v>
      </c>
      <c r="L506" s="1479"/>
      <c r="M506" s="1464"/>
      <c r="N506" s="1464"/>
      <c r="O506" s="1464"/>
      <c r="P506" s="1464"/>
      <c r="Q506" s="1464"/>
      <c r="R506" s="1464"/>
      <c r="S506" s="1464"/>
      <c r="T506" s="1464"/>
      <c r="U506" s="1464"/>
      <c r="V506" s="1464"/>
      <c r="W506" s="1464"/>
      <c r="X506" s="1464"/>
      <c r="Y506" s="1464"/>
      <c r="Z506" s="1464"/>
    </row>
    <row r="507">
      <c r="A507" s="1468" t="s">
        <v>4508</v>
      </c>
      <c r="B507" s="1469">
        <v>86000.0</v>
      </c>
      <c r="C507" s="1470">
        <v>2023.0</v>
      </c>
      <c r="D507" s="1473"/>
      <c r="E507" s="1469" t="s">
        <v>666</v>
      </c>
      <c r="F507" s="1471" t="s">
        <v>4509</v>
      </c>
      <c r="G507" s="1464"/>
      <c r="H507" s="1464"/>
      <c r="I507" s="1480">
        <v>47178.0</v>
      </c>
      <c r="J507" s="1476" t="s">
        <v>3658</v>
      </c>
      <c r="K507" s="1470" t="s">
        <v>3984</v>
      </c>
      <c r="L507" s="1464"/>
      <c r="M507" s="1464"/>
      <c r="N507" s="1464"/>
      <c r="O507" s="1464"/>
      <c r="P507" s="1464"/>
      <c r="Q507" s="1464"/>
      <c r="R507" s="1464"/>
      <c r="S507" s="1464"/>
      <c r="T507" s="1464"/>
      <c r="U507" s="1464"/>
      <c r="V507" s="1464"/>
      <c r="W507" s="1464"/>
      <c r="X507" s="1464"/>
      <c r="Y507" s="1464"/>
      <c r="Z507" s="1464"/>
    </row>
    <row r="508">
      <c r="A508" s="1474" t="s">
        <v>4506</v>
      </c>
      <c r="B508" s="1475">
        <v>91000.0</v>
      </c>
      <c r="C508" s="1476">
        <v>2024.0</v>
      </c>
      <c r="D508" s="1481"/>
      <c r="E508" s="1475" t="s">
        <v>666</v>
      </c>
      <c r="F508" s="1477" t="s">
        <v>4510</v>
      </c>
      <c r="G508" s="1479"/>
      <c r="H508" s="1476" t="s">
        <v>4316</v>
      </c>
      <c r="I508" s="1480">
        <v>47178.0</v>
      </c>
      <c r="J508" s="1476" t="s">
        <v>3833</v>
      </c>
      <c r="K508" s="1476" t="s">
        <v>4317</v>
      </c>
      <c r="L508" s="1479"/>
      <c r="M508" s="1464"/>
      <c r="N508" s="1464"/>
      <c r="O508" s="1464"/>
      <c r="P508" s="1464"/>
      <c r="Q508" s="1464"/>
      <c r="R508" s="1464"/>
      <c r="S508" s="1464"/>
      <c r="T508" s="1464"/>
      <c r="U508" s="1464"/>
      <c r="V508" s="1464"/>
      <c r="W508" s="1464"/>
      <c r="X508" s="1464"/>
      <c r="Y508" s="1464"/>
      <c r="Z508" s="1464"/>
    </row>
    <row r="509">
      <c r="A509" s="1474" t="s">
        <v>4508</v>
      </c>
      <c r="B509" s="1475">
        <v>86000.0</v>
      </c>
      <c r="C509" s="1476">
        <v>2023.0</v>
      </c>
      <c r="D509" s="1481"/>
      <c r="E509" s="1475" t="s">
        <v>666</v>
      </c>
      <c r="F509" s="1477" t="s">
        <v>4511</v>
      </c>
      <c r="G509" s="1464"/>
      <c r="H509" s="1464"/>
      <c r="I509" s="1480">
        <v>47178.0</v>
      </c>
      <c r="J509" s="1480" t="s">
        <v>3658</v>
      </c>
      <c r="K509" s="1470" t="s">
        <v>3984</v>
      </c>
      <c r="L509" s="1464"/>
      <c r="M509" s="1464"/>
      <c r="N509" s="1464"/>
      <c r="O509" s="1464"/>
      <c r="P509" s="1464"/>
      <c r="Q509" s="1464"/>
      <c r="R509" s="1464"/>
      <c r="S509" s="1464"/>
      <c r="T509" s="1464"/>
      <c r="U509" s="1464"/>
      <c r="V509" s="1464"/>
      <c r="W509" s="1464"/>
      <c r="X509" s="1464"/>
      <c r="Y509" s="1464"/>
      <c r="Z509" s="1464"/>
    </row>
    <row r="510">
      <c r="A510" s="1474" t="s">
        <v>4028</v>
      </c>
      <c r="B510" s="1475">
        <v>91000.0</v>
      </c>
      <c r="C510" s="1476">
        <v>2024.0</v>
      </c>
      <c r="D510" s="1481"/>
      <c r="E510" s="1475" t="s">
        <v>666</v>
      </c>
      <c r="F510" s="1477" t="s">
        <v>4512</v>
      </c>
      <c r="G510" s="1479"/>
      <c r="H510" s="1476" t="s">
        <v>3718</v>
      </c>
      <c r="I510" s="1480">
        <v>47178.0</v>
      </c>
      <c r="J510" s="1476" t="s">
        <v>761</v>
      </c>
      <c r="K510" s="1476" t="s">
        <v>3753</v>
      </c>
      <c r="L510" s="1479"/>
      <c r="M510" s="1464"/>
      <c r="N510" s="1464"/>
      <c r="O510" s="1464"/>
      <c r="P510" s="1464"/>
      <c r="Q510" s="1464"/>
      <c r="R510" s="1464"/>
      <c r="S510" s="1464"/>
      <c r="T510" s="1464"/>
      <c r="U510" s="1464"/>
      <c r="V510" s="1464"/>
      <c r="W510" s="1464"/>
      <c r="X510" s="1464"/>
      <c r="Y510" s="1464"/>
      <c r="Z510" s="1464"/>
    </row>
    <row r="511">
      <c r="A511" s="1474" t="s">
        <v>4513</v>
      </c>
      <c r="B511" s="1475">
        <v>87000.0</v>
      </c>
      <c r="C511" s="1476">
        <v>2024.0</v>
      </c>
      <c r="D511" s="1481"/>
      <c r="E511" s="1475" t="s">
        <v>666</v>
      </c>
      <c r="F511" s="1477" t="s">
        <v>4514</v>
      </c>
      <c r="G511" s="1479"/>
      <c r="H511" s="1476" t="s">
        <v>3702</v>
      </c>
      <c r="I511" s="1480">
        <v>47209.0</v>
      </c>
      <c r="J511" s="1476" t="s">
        <v>3695</v>
      </c>
      <c r="K511" s="1476" t="s">
        <v>3696</v>
      </c>
      <c r="L511" s="1479"/>
      <c r="M511" s="1464"/>
      <c r="N511" s="1464"/>
      <c r="O511" s="1464"/>
      <c r="P511" s="1464"/>
      <c r="Q511" s="1464"/>
      <c r="R511" s="1464"/>
      <c r="S511" s="1464"/>
      <c r="T511" s="1464"/>
      <c r="U511" s="1464"/>
      <c r="V511" s="1464"/>
      <c r="W511" s="1464"/>
      <c r="X511" s="1464"/>
      <c r="Y511" s="1464"/>
      <c r="Z511" s="1464"/>
    </row>
    <row r="512">
      <c r="A512" s="1474" t="s">
        <v>4515</v>
      </c>
      <c r="B512" s="1475">
        <v>86000.0</v>
      </c>
      <c r="C512" s="1476">
        <v>2024.0</v>
      </c>
      <c r="D512" s="1481"/>
      <c r="E512" s="1475" t="s">
        <v>666</v>
      </c>
      <c r="F512" s="1477" t="s">
        <v>4516</v>
      </c>
      <c r="G512" s="1479"/>
      <c r="H512" s="1479"/>
      <c r="I512" s="1480">
        <v>47209.0</v>
      </c>
      <c r="J512" s="1476" t="s">
        <v>3658</v>
      </c>
      <c r="K512" s="1476" t="s">
        <v>4517</v>
      </c>
      <c r="L512" s="1479"/>
      <c r="M512" s="1464"/>
      <c r="N512" s="1464"/>
      <c r="O512" s="1464"/>
      <c r="P512" s="1464"/>
      <c r="Q512" s="1464"/>
      <c r="R512" s="1464"/>
      <c r="S512" s="1464"/>
      <c r="T512" s="1464"/>
      <c r="U512" s="1464"/>
      <c r="V512" s="1464"/>
      <c r="W512" s="1464"/>
      <c r="X512" s="1464"/>
      <c r="Y512" s="1464"/>
      <c r="Z512" s="1464"/>
    </row>
    <row r="513">
      <c r="A513" s="1474" t="s">
        <v>4513</v>
      </c>
      <c r="B513" s="1475">
        <v>87000.0</v>
      </c>
      <c r="C513" s="1476">
        <v>2024.0</v>
      </c>
      <c r="D513" s="1481"/>
      <c r="E513" s="1475" t="s">
        <v>666</v>
      </c>
      <c r="F513" s="1477" t="s">
        <v>4518</v>
      </c>
      <c r="G513" s="1479"/>
      <c r="H513" s="1476" t="s">
        <v>3702</v>
      </c>
      <c r="I513" s="1480">
        <v>47209.0</v>
      </c>
      <c r="J513" s="1476" t="s">
        <v>3695</v>
      </c>
      <c r="K513" s="1476" t="s">
        <v>3696</v>
      </c>
      <c r="L513" s="1479"/>
      <c r="M513" s="1464"/>
      <c r="N513" s="1464"/>
      <c r="O513" s="1464"/>
      <c r="P513" s="1464"/>
      <c r="Q513" s="1464"/>
      <c r="R513" s="1464"/>
      <c r="S513" s="1464"/>
      <c r="T513" s="1464"/>
      <c r="U513" s="1464"/>
      <c r="V513" s="1464"/>
      <c r="W513" s="1464"/>
      <c r="X513" s="1464"/>
      <c r="Y513" s="1464"/>
      <c r="Z513" s="1464"/>
    </row>
    <row r="514">
      <c r="A514" s="1468" t="s">
        <v>3447</v>
      </c>
      <c r="B514" s="1469">
        <v>80000.0</v>
      </c>
      <c r="C514" s="1470">
        <v>2010.0</v>
      </c>
      <c r="D514" s="1473"/>
      <c r="E514" s="1473"/>
      <c r="F514" s="1464"/>
      <c r="G514" s="1464"/>
      <c r="H514" s="1464"/>
      <c r="I514" s="1491">
        <v>47209.0</v>
      </c>
      <c r="J514" s="1470" t="s">
        <v>4317</v>
      </c>
      <c r="K514" s="1470" t="s">
        <v>4519</v>
      </c>
      <c r="L514" s="1464"/>
      <c r="M514" s="1464"/>
      <c r="N514" s="1464"/>
      <c r="O514" s="1464"/>
      <c r="P514" s="1464"/>
      <c r="Q514" s="1464"/>
      <c r="R514" s="1464"/>
      <c r="S514" s="1464"/>
      <c r="T514" s="1464"/>
      <c r="U514" s="1464"/>
      <c r="V514" s="1464"/>
      <c r="W514" s="1464"/>
      <c r="X514" s="1464"/>
      <c r="Y514" s="1464"/>
      <c r="Z514" s="1464"/>
    </row>
    <row r="515">
      <c r="A515" s="1474" t="s">
        <v>4515</v>
      </c>
      <c r="B515" s="1475">
        <v>86000.0</v>
      </c>
      <c r="C515" s="1476">
        <v>2024.0</v>
      </c>
      <c r="D515" s="1475" t="s">
        <v>3636</v>
      </c>
      <c r="E515" s="1475" t="s">
        <v>666</v>
      </c>
      <c r="F515" s="1477" t="s">
        <v>4520</v>
      </c>
      <c r="G515" s="1479"/>
      <c r="H515" s="1479"/>
      <c r="I515" s="1480">
        <v>47209.0</v>
      </c>
      <c r="J515" s="1476" t="s">
        <v>3658</v>
      </c>
      <c r="K515" s="1476" t="s">
        <v>4517</v>
      </c>
      <c r="L515" s="1479"/>
      <c r="M515" s="1464"/>
      <c r="N515" s="1464"/>
      <c r="O515" s="1464"/>
      <c r="P515" s="1464"/>
      <c r="Q515" s="1464"/>
      <c r="R515" s="1464"/>
      <c r="S515" s="1464"/>
      <c r="T515" s="1464"/>
      <c r="U515" s="1464"/>
      <c r="V515" s="1464"/>
      <c r="W515" s="1464"/>
      <c r="X515" s="1464"/>
      <c r="Y515" s="1464"/>
      <c r="Z515" s="1464"/>
    </row>
    <row r="516">
      <c r="A516" s="1474" t="s">
        <v>4521</v>
      </c>
      <c r="B516" s="1475">
        <v>86000.0</v>
      </c>
      <c r="C516" s="1476">
        <v>2023.0</v>
      </c>
      <c r="D516" s="1481"/>
      <c r="E516" s="1475" t="s">
        <v>666</v>
      </c>
      <c r="F516" s="1477" t="s">
        <v>4522</v>
      </c>
      <c r="G516" s="1479"/>
      <c r="H516" s="1479"/>
      <c r="I516" s="1478">
        <v>47239.0</v>
      </c>
      <c r="J516" s="1476" t="s">
        <v>3658</v>
      </c>
      <c r="K516" s="1476" t="s">
        <v>3984</v>
      </c>
      <c r="L516" s="1479"/>
      <c r="M516" s="1464"/>
      <c r="N516" s="1464"/>
      <c r="O516" s="1464"/>
      <c r="P516" s="1464"/>
      <c r="Q516" s="1464"/>
      <c r="R516" s="1464"/>
      <c r="S516" s="1464"/>
      <c r="T516" s="1464"/>
      <c r="U516" s="1464"/>
      <c r="V516" s="1464"/>
      <c r="W516" s="1464"/>
      <c r="X516" s="1464"/>
      <c r="Y516" s="1464"/>
      <c r="Z516" s="1464"/>
    </row>
    <row r="517">
      <c r="A517" s="1474" t="s">
        <v>4314</v>
      </c>
      <c r="B517" s="1475">
        <v>91000.0</v>
      </c>
      <c r="C517" s="1476">
        <v>2024.0</v>
      </c>
      <c r="D517" s="1481"/>
      <c r="E517" s="1475" t="s">
        <v>666</v>
      </c>
      <c r="F517" s="1477" t="s">
        <v>4523</v>
      </c>
      <c r="G517" s="1479"/>
      <c r="H517" s="1476" t="s">
        <v>4316</v>
      </c>
      <c r="I517" s="1480">
        <v>47239.0</v>
      </c>
      <c r="J517" s="1476" t="s">
        <v>3833</v>
      </c>
      <c r="K517" s="1476" t="s">
        <v>4317</v>
      </c>
      <c r="L517" s="1479"/>
      <c r="M517" s="1464"/>
      <c r="N517" s="1464"/>
      <c r="O517" s="1464"/>
      <c r="P517" s="1464"/>
      <c r="Q517" s="1464"/>
      <c r="R517" s="1464"/>
      <c r="S517" s="1464"/>
      <c r="T517" s="1464"/>
      <c r="U517" s="1464"/>
      <c r="V517" s="1464"/>
      <c r="W517" s="1464"/>
      <c r="X517" s="1464"/>
      <c r="Y517" s="1464"/>
      <c r="Z517" s="1464"/>
    </row>
    <row r="518">
      <c r="A518" s="1474" t="s">
        <v>4521</v>
      </c>
      <c r="B518" s="1475">
        <v>86000.0</v>
      </c>
      <c r="C518" s="1476">
        <v>2023.0</v>
      </c>
      <c r="D518" s="1481"/>
      <c r="E518" s="1475" t="s">
        <v>666</v>
      </c>
      <c r="F518" s="1477" t="s">
        <v>4524</v>
      </c>
      <c r="G518" s="1479"/>
      <c r="H518" s="1479"/>
      <c r="I518" s="1478">
        <v>47239.0</v>
      </c>
      <c r="J518" s="1476" t="s">
        <v>3658</v>
      </c>
      <c r="K518" s="1470" t="s">
        <v>3984</v>
      </c>
      <c r="L518" s="1464"/>
      <c r="M518" s="1464"/>
      <c r="N518" s="1464"/>
      <c r="O518" s="1464"/>
      <c r="P518" s="1464"/>
      <c r="Q518" s="1464"/>
      <c r="R518" s="1464"/>
      <c r="S518" s="1464"/>
      <c r="T518" s="1464"/>
      <c r="U518" s="1464"/>
      <c r="V518" s="1464"/>
      <c r="W518" s="1464"/>
      <c r="X518" s="1464"/>
      <c r="Y518" s="1464"/>
      <c r="Z518" s="1464"/>
    </row>
    <row r="519">
      <c r="A519" s="1474" t="s">
        <v>4525</v>
      </c>
      <c r="B519" s="1475">
        <v>86000.0</v>
      </c>
      <c r="C519" s="1476">
        <v>2024.0</v>
      </c>
      <c r="D519" s="1481"/>
      <c r="E519" s="1475" t="s">
        <v>666</v>
      </c>
      <c r="F519" s="1477" t="s">
        <v>4526</v>
      </c>
      <c r="G519" s="1479"/>
      <c r="H519" s="1479"/>
      <c r="I519" s="1480">
        <v>47270.0</v>
      </c>
      <c r="J519" s="1476" t="s">
        <v>3658</v>
      </c>
      <c r="K519" s="1476" t="s">
        <v>4517</v>
      </c>
      <c r="L519" s="1464"/>
      <c r="M519" s="1464"/>
      <c r="N519" s="1464"/>
      <c r="O519" s="1464"/>
      <c r="P519" s="1464"/>
      <c r="Q519" s="1464"/>
      <c r="R519" s="1464"/>
      <c r="S519" s="1464"/>
      <c r="T519" s="1464"/>
      <c r="U519" s="1464"/>
      <c r="V519" s="1464"/>
      <c r="W519" s="1464"/>
      <c r="X519" s="1464"/>
      <c r="Y519" s="1464"/>
      <c r="Z519" s="1464"/>
    </row>
    <row r="520">
      <c r="A520" s="1474" t="s">
        <v>4525</v>
      </c>
      <c r="B520" s="1475">
        <v>86000.0</v>
      </c>
      <c r="C520" s="1476">
        <v>2024.0</v>
      </c>
      <c r="D520" s="1475" t="s">
        <v>3636</v>
      </c>
      <c r="E520" s="1475" t="s">
        <v>666</v>
      </c>
      <c r="F520" s="1477" t="s">
        <v>4520</v>
      </c>
      <c r="G520" s="1479"/>
      <c r="H520" s="1479"/>
      <c r="I520" s="1478">
        <v>47270.0</v>
      </c>
      <c r="J520" s="1480" t="s">
        <v>3658</v>
      </c>
      <c r="K520" s="1480" t="s">
        <v>4517</v>
      </c>
      <c r="L520" s="1464"/>
      <c r="M520" s="1464"/>
      <c r="N520" s="1464"/>
      <c r="O520" s="1464"/>
      <c r="P520" s="1464"/>
      <c r="Q520" s="1464"/>
      <c r="R520" s="1464"/>
      <c r="S520" s="1464"/>
      <c r="T520" s="1464"/>
      <c r="U520" s="1464"/>
      <c r="V520" s="1464"/>
      <c r="W520" s="1464"/>
      <c r="X520" s="1464"/>
      <c r="Y520" s="1464"/>
      <c r="Z520" s="1464"/>
    </row>
    <row r="521">
      <c r="A521" s="1477" t="s">
        <v>4527</v>
      </c>
      <c r="B521" s="1475">
        <v>87000.0</v>
      </c>
      <c r="C521" s="1476">
        <v>2024.0</v>
      </c>
      <c r="D521" s="1481"/>
      <c r="E521" s="1475" t="s">
        <v>666</v>
      </c>
      <c r="F521" s="1477" t="s">
        <v>4528</v>
      </c>
      <c r="G521" s="1479"/>
      <c r="H521" s="1476" t="s">
        <v>3718</v>
      </c>
      <c r="I521" s="1480">
        <v>47331.0</v>
      </c>
      <c r="J521" s="1476" t="s">
        <v>761</v>
      </c>
      <c r="K521" s="1476" t="s">
        <v>3207</v>
      </c>
      <c r="L521" s="1479"/>
      <c r="M521" s="1464"/>
      <c r="N521" s="1464"/>
      <c r="O521" s="1464"/>
      <c r="P521" s="1464"/>
      <c r="Q521" s="1464"/>
      <c r="R521" s="1464"/>
      <c r="S521" s="1464"/>
      <c r="T521" s="1464"/>
      <c r="U521" s="1464"/>
      <c r="V521" s="1464"/>
      <c r="W521" s="1464"/>
      <c r="X521" s="1464"/>
      <c r="Y521" s="1464"/>
      <c r="Z521" s="1464"/>
    </row>
    <row r="522">
      <c r="A522" s="1477" t="s">
        <v>4527</v>
      </c>
      <c r="B522" s="1475">
        <v>87000.0</v>
      </c>
      <c r="C522" s="1476">
        <v>2024.0</v>
      </c>
      <c r="D522" s="1481"/>
      <c r="E522" s="1475" t="s">
        <v>666</v>
      </c>
      <c r="F522" s="1477" t="s">
        <v>4529</v>
      </c>
      <c r="G522" s="1479"/>
      <c r="H522" s="1476" t="s">
        <v>3718</v>
      </c>
      <c r="I522" s="1480">
        <v>47331.0</v>
      </c>
      <c r="J522" s="1476" t="s">
        <v>761</v>
      </c>
      <c r="K522" s="1476" t="s">
        <v>3207</v>
      </c>
      <c r="L522" s="1479"/>
      <c r="M522" s="1464"/>
      <c r="N522" s="1464"/>
      <c r="O522" s="1464"/>
      <c r="P522" s="1464"/>
      <c r="Q522" s="1464"/>
      <c r="R522" s="1464"/>
      <c r="S522" s="1464"/>
      <c r="T522" s="1464"/>
      <c r="U522" s="1464"/>
      <c r="V522" s="1464"/>
      <c r="W522" s="1464"/>
      <c r="X522" s="1464"/>
      <c r="Y522" s="1464"/>
      <c r="Z522" s="1464"/>
    </row>
    <row r="523">
      <c r="A523" s="1468" t="s">
        <v>4270</v>
      </c>
      <c r="B523" s="1469">
        <v>83300.0</v>
      </c>
      <c r="C523" s="1470">
        <v>2016.0</v>
      </c>
      <c r="D523" s="1473"/>
      <c r="E523" s="1469" t="s">
        <v>3637</v>
      </c>
      <c r="F523" s="1471" t="s">
        <v>4530</v>
      </c>
      <c r="G523" s="1464"/>
      <c r="H523" s="1470" t="s">
        <v>3639</v>
      </c>
      <c r="I523" s="1472">
        <v>47331.0</v>
      </c>
      <c r="J523" s="1470" t="s">
        <v>761</v>
      </c>
      <c r="K523" s="1470" t="s">
        <v>3669</v>
      </c>
      <c r="L523" s="1470" t="s">
        <v>4531</v>
      </c>
      <c r="M523" s="1464"/>
      <c r="N523" s="1464"/>
      <c r="O523" s="1464"/>
      <c r="P523" s="1464"/>
      <c r="Q523" s="1464"/>
      <c r="R523" s="1464"/>
      <c r="S523" s="1464"/>
      <c r="T523" s="1464"/>
      <c r="U523" s="1464"/>
      <c r="V523" s="1464"/>
      <c r="W523" s="1464"/>
      <c r="X523" s="1464"/>
      <c r="Y523" s="1464"/>
      <c r="Z523" s="1464"/>
    </row>
    <row r="524">
      <c r="A524" s="1468" t="s">
        <v>3361</v>
      </c>
      <c r="B524" s="1469">
        <v>84000.0</v>
      </c>
      <c r="C524" s="1470">
        <v>2014.0</v>
      </c>
      <c r="D524" s="1473"/>
      <c r="E524" s="1469" t="s">
        <v>3637</v>
      </c>
      <c r="F524" s="1471" t="s">
        <v>4532</v>
      </c>
      <c r="G524" s="1464"/>
      <c r="H524" s="1464"/>
      <c r="I524" s="1472">
        <v>47362.0</v>
      </c>
      <c r="J524" s="1472" t="s">
        <v>863</v>
      </c>
      <c r="K524" s="1470" t="s">
        <v>3083</v>
      </c>
      <c r="L524" s="1464"/>
      <c r="M524" s="1464"/>
      <c r="N524" s="1464"/>
      <c r="O524" s="1464"/>
      <c r="P524" s="1464"/>
      <c r="Q524" s="1464"/>
      <c r="R524" s="1464"/>
      <c r="S524" s="1464"/>
      <c r="T524" s="1464"/>
      <c r="U524" s="1464"/>
      <c r="V524" s="1464"/>
      <c r="W524" s="1464"/>
      <c r="X524" s="1464"/>
      <c r="Y524" s="1464"/>
      <c r="Z524" s="1464"/>
    </row>
    <row r="525">
      <c r="A525" s="1468" t="s">
        <v>3361</v>
      </c>
      <c r="B525" s="1469">
        <v>84000.0</v>
      </c>
      <c r="C525" s="1470">
        <v>2014.0</v>
      </c>
      <c r="D525" s="1473"/>
      <c r="E525" s="1469" t="s">
        <v>3637</v>
      </c>
      <c r="F525" s="1471" t="s">
        <v>4533</v>
      </c>
      <c r="G525" s="1464"/>
      <c r="H525" s="1464"/>
      <c r="I525" s="1472">
        <v>47362.0</v>
      </c>
      <c r="J525" s="1472" t="s">
        <v>863</v>
      </c>
      <c r="K525" s="1470" t="s">
        <v>3820</v>
      </c>
      <c r="L525" s="1464"/>
      <c r="M525" s="1464"/>
      <c r="N525" s="1464"/>
      <c r="O525" s="1464"/>
      <c r="P525" s="1464"/>
      <c r="Q525" s="1464"/>
      <c r="R525" s="1464"/>
      <c r="S525" s="1464"/>
      <c r="T525" s="1464"/>
      <c r="U525" s="1464"/>
      <c r="V525" s="1464"/>
      <c r="W525" s="1464"/>
      <c r="X525" s="1464"/>
      <c r="Y525" s="1464"/>
      <c r="Z525" s="1464"/>
    </row>
    <row r="526">
      <c r="A526" s="1485" t="s">
        <v>4168</v>
      </c>
      <c r="B526" s="1486">
        <v>88000.0</v>
      </c>
      <c r="C526" s="1487">
        <v>2026.0</v>
      </c>
      <c r="D526" s="1486" t="s">
        <v>3636</v>
      </c>
      <c r="E526" s="1486" t="s">
        <v>666</v>
      </c>
      <c r="F526" s="1488" t="s">
        <v>4534</v>
      </c>
      <c r="G526" s="1489"/>
      <c r="H526" s="1487" t="s">
        <v>3702</v>
      </c>
      <c r="I526" s="1490">
        <v>47362.0</v>
      </c>
      <c r="J526" s="1487" t="s">
        <v>3705</v>
      </c>
      <c r="K526" s="1487" t="s">
        <v>3696</v>
      </c>
      <c r="L526" s="1464"/>
      <c r="M526" s="1464"/>
      <c r="N526" s="1464"/>
      <c r="O526" s="1464"/>
      <c r="P526" s="1464"/>
      <c r="Q526" s="1464"/>
      <c r="R526" s="1464"/>
      <c r="S526" s="1464"/>
      <c r="T526" s="1464"/>
      <c r="U526" s="1464"/>
      <c r="V526" s="1464"/>
      <c r="W526" s="1464"/>
      <c r="X526" s="1464"/>
      <c r="Y526" s="1464"/>
      <c r="Z526" s="1464"/>
    </row>
    <row r="527">
      <c r="A527" s="1468" t="s">
        <v>3426</v>
      </c>
      <c r="B527" s="1469">
        <v>84000.0</v>
      </c>
      <c r="C527" s="1470">
        <v>2015.0</v>
      </c>
      <c r="D527" s="1473"/>
      <c r="E527" s="1473"/>
      <c r="F527" s="1471" t="s">
        <v>4535</v>
      </c>
      <c r="G527" s="1464"/>
      <c r="H527" s="1470" t="s">
        <v>3639</v>
      </c>
      <c r="I527" s="1472">
        <v>47362.0</v>
      </c>
      <c r="J527" s="1470" t="s">
        <v>3729</v>
      </c>
      <c r="K527" s="1470" t="s">
        <v>4260</v>
      </c>
      <c r="L527" s="1464"/>
      <c r="M527" s="1464"/>
      <c r="N527" s="1464"/>
      <c r="O527" s="1464"/>
      <c r="P527" s="1464"/>
      <c r="Q527" s="1464"/>
      <c r="R527" s="1464"/>
      <c r="S527" s="1464"/>
      <c r="T527" s="1464"/>
      <c r="U527" s="1464"/>
      <c r="V527" s="1464"/>
      <c r="W527" s="1464"/>
      <c r="X527" s="1464"/>
      <c r="Y527" s="1464"/>
      <c r="Z527" s="1464"/>
    </row>
    <row r="528">
      <c r="A528" s="1468" t="s">
        <v>3426</v>
      </c>
      <c r="B528" s="1469">
        <v>84000.0</v>
      </c>
      <c r="C528" s="1470">
        <v>2015.0</v>
      </c>
      <c r="D528" s="1473"/>
      <c r="E528" s="1473"/>
      <c r="F528" s="1471" t="s">
        <v>4536</v>
      </c>
      <c r="G528" s="1464"/>
      <c r="H528" s="1470" t="s">
        <v>3639</v>
      </c>
      <c r="I528" s="1472">
        <v>47362.0</v>
      </c>
      <c r="J528" s="1470" t="s">
        <v>3729</v>
      </c>
      <c r="K528" s="1470" t="s">
        <v>4260</v>
      </c>
      <c r="L528" s="1464"/>
      <c r="M528" s="1464"/>
      <c r="N528" s="1464"/>
      <c r="O528" s="1464"/>
      <c r="P528" s="1464"/>
      <c r="Q528" s="1464"/>
      <c r="R528" s="1464"/>
      <c r="S528" s="1464"/>
      <c r="T528" s="1464"/>
      <c r="U528" s="1464"/>
      <c r="V528" s="1464"/>
      <c r="W528" s="1464"/>
      <c r="X528" s="1464"/>
      <c r="Y528" s="1464"/>
      <c r="Z528" s="1464"/>
    </row>
    <row r="529">
      <c r="A529" s="1468" t="s">
        <v>3444</v>
      </c>
      <c r="B529" s="1469">
        <v>83300.0</v>
      </c>
      <c r="C529" s="1470">
        <v>2010.0</v>
      </c>
      <c r="D529" s="1473"/>
      <c r="E529" s="1473"/>
      <c r="F529" s="1471" t="s">
        <v>4537</v>
      </c>
      <c r="G529" s="1464"/>
      <c r="H529" s="1464"/>
      <c r="I529" s="1480">
        <v>47423.0</v>
      </c>
      <c r="J529" s="1470" t="s">
        <v>727</v>
      </c>
      <c r="K529" s="1470" t="s">
        <v>3696</v>
      </c>
      <c r="L529" s="1470" t="s">
        <v>4538</v>
      </c>
      <c r="M529" s="1464"/>
      <c r="N529" s="1464"/>
      <c r="O529" s="1464"/>
      <c r="P529" s="1464"/>
      <c r="Q529" s="1464"/>
      <c r="R529" s="1464"/>
      <c r="S529" s="1464"/>
      <c r="T529" s="1464"/>
      <c r="U529" s="1464"/>
      <c r="V529" s="1464"/>
      <c r="W529" s="1464"/>
      <c r="X529" s="1464"/>
      <c r="Y529" s="1464"/>
      <c r="Z529" s="1464"/>
    </row>
    <row r="530">
      <c r="A530" s="1474" t="s">
        <v>4539</v>
      </c>
      <c r="B530" s="1475">
        <v>88000.0</v>
      </c>
      <c r="C530" s="1476">
        <v>2024.0</v>
      </c>
      <c r="D530" s="1475" t="s">
        <v>3636</v>
      </c>
      <c r="E530" s="1475" t="s">
        <v>666</v>
      </c>
      <c r="F530" s="1477" t="s">
        <v>4540</v>
      </c>
      <c r="G530" s="1479"/>
      <c r="H530" s="1476" t="s">
        <v>3718</v>
      </c>
      <c r="I530" s="1480">
        <v>47423.0</v>
      </c>
      <c r="J530" s="1476" t="s">
        <v>3640</v>
      </c>
      <c r="K530" s="1476" t="s">
        <v>4215</v>
      </c>
      <c r="L530" s="1464"/>
      <c r="M530" s="1464"/>
      <c r="N530" s="1464"/>
      <c r="O530" s="1464"/>
      <c r="P530" s="1464"/>
      <c r="Q530" s="1464"/>
      <c r="R530" s="1464"/>
      <c r="S530" s="1464"/>
      <c r="T530" s="1464"/>
      <c r="U530" s="1464"/>
      <c r="V530" s="1464"/>
      <c r="W530" s="1464"/>
      <c r="X530" s="1464"/>
      <c r="Y530" s="1464"/>
      <c r="Z530" s="1464"/>
    </row>
    <row r="531">
      <c r="A531" s="1474" t="s">
        <v>4539</v>
      </c>
      <c r="B531" s="1475">
        <v>88000.0</v>
      </c>
      <c r="C531" s="1476">
        <v>2024.0</v>
      </c>
      <c r="D531" s="1475" t="s">
        <v>3636</v>
      </c>
      <c r="E531" s="1475" t="s">
        <v>666</v>
      </c>
      <c r="F531" s="1477" t="s">
        <v>4541</v>
      </c>
      <c r="G531" s="1479"/>
      <c r="H531" s="1476" t="s">
        <v>3718</v>
      </c>
      <c r="I531" s="1480">
        <v>47423.0</v>
      </c>
      <c r="J531" s="1476" t="s">
        <v>3640</v>
      </c>
      <c r="K531" s="1476" t="s">
        <v>4215</v>
      </c>
      <c r="L531" s="1479"/>
      <c r="M531" s="1464"/>
      <c r="N531" s="1464"/>
      <c r="O531" s="1464"/>
      <c r="P531" s="1464"/>
      <c r="Q531" s="1464"/>
      <c r="R531" s="1464"/>
      <c r="S531" s="1464"/>
      <c r="T531" s="1464"/>
      <c r="U531" s="1464"/>
      <c r="V531" s="1464"/>
      <c r="W531" s="1464"/>
      <c r="X531" s="1464"/>
      <c r="Y531" s="1464"/>
      <c r="Z531" s="1464"/>
    </row>
    <row r="532">
      <c r="A532" s="1468" t="s">
        <v>3444</v>
      </c>
      <c r="B532" s="1469">
        <v>83300.0</v>
      </c>
      <c r="C532" s="1470">
        <v>2010.0</v>
      </c>
      <c r="D532" s="1473"/>
      <c r="E532" s="1473"/>
      <c r="F532" s="1471" t="s">
        <v>4542</v>
      </c>
      <c r="G532" s="1464"/>
      <c r="H532" s="1464"/>
      <c r="I532" s="1480">
        <v>47423.0</v>
      </c>
      <c r="J532" s="1470" t="s">
        <v>727</v>
      </c>
      <c r="K532" s="1470" t="s">
        <v>3696</v>
      </c>
      <c r="L532" s="1470" t="s">
        <v>4543</v>
      </c>
      <c r="M532" s="1464"/>
      <c r="N532" s="1464"/>
      <c r="O532" s="1464"/>
      <c r="P532" s="1464"/>
      <c r="Q532" s="1464"/>
      <c r="R532" s="1464"/>
      <c r="S532" s="1464"/>
      <c r="T532" s="1464"/>
      <c r="U532" s="1464"/>
      <c r="V532" s="1464"/>
      <c r="W532" s="1464"/>
      <c r="X532" s="1464"/>
      <c r="Y532" s="1464"/>
      <c r="Z532" s="1464"/>
    </row>
    <row r="533">
      <c r="A533" s="1468" t="s">
        <v>4544</v>
      </c>
      <c r="B533" s="1469">
        <v>91000.0</v>
      </c>
      <c r="C533" s="1470">
        <v>2023.0</v>
      </c>
      <c r="D533" s="1473"/>
      <c r="E533" s="1469" t="s">
        <v>666</v>
      </c>
      <c r="F533" s="1477" t="s">
        <v>4545</v>
      </c>
      <c r="G533" s="1479"/>
      <c r="H533" s="1479"/>
      <c r="I533" s="1478">
        <v>47453.0</v>
      </c>
      <c r="J533" s="1470" t="s">
        <v>4022</v>
      </c>
      <c r="K533" s="1470" t="s">
        <v>3984</v>
      </c>
      <c r="L533" s="1464"/>
      <c r="M533" s="1464"/>
      <c r="N533" s="1464"/>
      <c r="O533" s="1464"/>
      <c r="P533" s="1464"/>
      <c r="Q533" s="1464"/>
      <c r="R533" s="1464"/>
      <c r="S533" s="1464"/>
      <c r="T533" s="1464"/>
      <c r="U533" s="1464"/>
      <c r="V533" s="1464"/>
      <c r="W533" s="1464"/>
      <c r="X533" s="1464"/>
      <c r="Y533" s="1464"/>
      <c r="Z533" s="1464"/>
    </row>
    <row r="534">
      <c r="A534" s="1485" t="s">
        <v>4226</v>
      </c>
      <c r="B534" s="1486">
        <v>88000.0</v>
      </c>
      <c r="C534" s="1487">
        <v>2026.0</v>
      </c>
      <c r="D534" s="1486" t="s">
        <v>3636</v>
      </c>
      <c r="E534" s="1486" t="s">
        <v>666</v>
      </c>
      <c r="F534" s="1488" t="s">
        <v>4546</v>
      </c>
      <c r="G534" s="1489"/>
      <c r="H534" s="1487" t="s">
        <v>3702</v>
      </c>
      <c r="I534" s="1490">
        <v>47453.0</v>
      </c>
      <c r="J534" s="1487" t="s">
        <v>3705</v>
      </c>
      <c r="K534" s="1487" t="s">
        <v>3696</v>
      </c>
      <c r="L534" s="1464"/>
      <c r="M534" s="1464"/>
      <c r="N534" s="1464"/>
      <c r="O534" s="1464"/>
      <c r="P534" s="1464"/>
      <c r="Q534" s="1464"/>
      <c r="R534" s="1464"/>
      <c r="S534" s="1464"/>
      <c r="T534" s="1464"/>
      <c r="U534" s="1464"/>
      <c r="V534" s="1464"/>
      <c r="W534" s="1464"/>
      <c r="X534" s="1464"/>
      <c r="Y534" s="1464"/>
      <c r="Z534" s="1464"/>
    </row>
    <row r="535">
      <c r="A535" s="1474" t="s">
        <v>4544</v>
      </c>
      <c r="B535" s="1475">
        <v>91000.0</v>
      </c>
      <c r="C535" s="1476">
        <v>2023.0</v>
      </c>
      <c r="D535" s="1481"/>
      <c r="E535" s="1475" t="s">
        <v>666</v>
      </c>
      <c r="F535" s="1477" t="s">
        <v>4547</v>
      </c>
      <c r="G535" s="1479"/>
      <c r="H535" s="1479"/>
      <c r="I535" s="1478">
        <v>47453.0</v>
      </c>
      <c r="J535" s="1470" t="s">
        <v>4022</v>
      </c>
      <c r="K535" s="1476" t="s">
        <v>3984</v>
      </c>
      <c r="L535" s="1479"/>
      <c r="M535" s="1464"/>
      <c r="N535" s="1464"/>
      <c r="O535" s="1464"/>
      <c r="P535" s="1464"/>
      <c r="Q535" s="1464"/>
      <c r="R535" s="1464"/>
      <c r="S535" s="1464"/>
      <c r="T535" s="1464"/>
      <c r="U535" s="1464"/>
      <c r="V535" s="1464"/>
      <c r="W535" s="1464"/>
      <c r="X535" s="1464"/>
      <c r="Y535" s="1464"/>
      <c r="Z535" s="1464"/>
    </row>
    <row r="536">
      <c r="A536" s="1474" t="s">
        <v>4548</v>
      </c>
      <c r="B536" s="1475">
        <v>88000.0</v>
      </c>
      <c r="C536" s="1476">
        <v>2025.0</v>
      </c>
      <c r="D536" s="1475" t="s">
        <v>3636</v>
      </c>
      <c r="E536" s="1475" t="s">
        <v>666</v>
      </c>
      <c r="F536" s="1477" t="s">
        <v>4549</v>
      </c>
      <c r="G536" s="1479"/>
      <c r="H536" s="1476" t="s">
        <v>3718</v>
      </c>
      <c r="I536" s="1480">
        <v>47484.0</v>
      </c>
      <c r="J536" s="1476" t="s">
        <v>3858</v>
      </c>
      <c r="K536" s="1476" t="s">
        <v>4215</v>
      </c>
      <c r="L536" s="1464"/>
      <c r="M536" s="1464"/>
      <c r="N536" s="1464"/>
      <c r="O536" s="1464"/>
      <c r="P536" s="1464"/>
      <c r="Q536" s="1464"/>
      <c r="R536" s="1464"/>
      <c r="S536" s="1464"/>
      <c r="T536" s="1464"/>
      <c r="U536" s="1464"/>
      <c r="V536" s="1464"/>
      <c r="W536" s="1464"/>
      <c r="X536" s="1464"/>
      <c r="Y536" s="1464"/>
      <c r="Z536" s="1464"/>
    </row>
    <row r="537">
      <c r="A537" s="1474" t="s">
        <v>4548</v>
      </c>
      <c r="B537" s="1475">
        <v>88000.0</v>
      </c>
      <c r="C537" s="1476">
        <v>2025.0</v>
      </c>
      <c r="D537" s="1475" t="s">
        <v>3636</v>
      </c>
      <c r="E537" s="1475" t="s">
        <v>666</v>
      </c>
      <c r="F537" s="1477" t="s">
        <v>4550</v>
      </c>
      <c r="G537" s="1479"/>
      <c r="H537" s="1476" t="s">
        <v>3718</v>
      </c>
      <c r="I537" s="1480">
        <v>47484.0</v>
      </c>
      <c r="J537" s="1476" t="s">
        <v>3858</v>
      </c>
      <c r="K537" s="1476" t="s">
        <v>4215</v>
      </c>
      <c r="L537" s="1479"/>
      <c r="M537" s="1479"/>
      <c r="N537" s="1479"/>
      <c r="O537" s="1479"/>
      <c r="P537" s="1479"/>
      <c r="Q537" s="1479"/>
      <c r="R537" s="1479"/>
      <c r="S537" s="1479"/>
      <c r="T537" s="1479"/>
      <c r="U537" s="1479"/>
      <c r="V537" s="1479"/>
      <c r="W537" s="1479"/>
      <c r="X537" s="1479"/>
      <c r="Y537" s="1479"/>
      <c r="Z537" s="1479"/>
    </row>
    <row r="538">
      <c r="A538" s="1468" t="s">
        <v>4551</v>
      </c>
      <c r="B538" s="1469">
        <v>84000.0</v>
      </c>
      <c r="C538" s="1470">
        <v>2016.0</v>
      </c>
      <c r="D538" s="1473"/>
      <c r="E538" s="1473"/>
      <c r="F538" s="1471" t="s">
        <v>4552</v>
      </c>
      <c r="G538" s="1464"/>
      <c r="H538" s="1470" t="s">
        <v>3639</v>
      </c>
      <c r="I538" s="1472">
        <v>47484.0</v>
      </c>
      <c r="J538" s="1470" t="s">
        <v>3939</v>
      </c>
      <c r="K538" s="1470" t="s">
        <v>3977</v>
      </c>
      <c r="L538" s="1464"/>
      <c r="M538" s="1464"/>
      <c r="N538" s="1464"/>
      <c r="O538" s="1464"/>
      <c r="P538" s="1464"/>
      <c r="Q538" s="1464"/>
      <c r="R538" s="1464"/>
      <c r="S538" s="1464"/>
      <c r="T538" s="1464"/>
      <c r="U538" s="1464"/>
      <c r="V538" s="1464"/>
      <c r="W538" s="1464"/>
      <c r="X538" s="1464"/>
      <c r="Y538" s="1464"/>
      <c r="Z538" s="1464"/>
    </row>
    <row r="539">
      <c r="A539" s="1474" t="s">
        <v>4553</v>
      </c>
      <c r="B539" s="1475">
        <v>86000.0</v>
      </c>
      <c r="C539" s="1476">
        <v>2023.0</v>
      </c>
      <c r="D539" s="1475" t="s">
        <v>3636</v>
      </c>
      <c r="E539" s="1475" t="s">
        <v>666</v>
      </c>
      <c r="F539" s="1477" t="s">
        <v>4554</v>
      </c>
      <c r="G539" s="1479"/>
      <c r="H539" s="1470" t="s">
        <v>3639</v>
      </c>
      <c r="I539" s="1480">
        <v>47484.0</v>
      </c>
      <c r="J539" s="1476" t="s">
        <v>863</v>
      </c>
      <c r="K539" s="1476" t="s">
        <v>4363</v>
      </c>
      <c r="L539" s="1479"/>
      <c r="M539" s="1464"/>
      <c r="N539" s="1464"/>
      <c r="O539" s="1464"/>
      <c r="P539" s="1464"/>
      <c r="Q539" s="1464"/>
      <c r="R539" s="1464"/>
      <c r="S539" s="1464"/>
      <c r="T539" s="1464"/>
      <c r="U539" s="1464"/>
      <c r="V539" s="1464"/>
      <c r="W539" s="1464"/>
      <c r="X539" s="1464"/>
      <c r="Y539" s="1464"/>
      <c r="Z539" s="1464"/>
    </row>
    <row r="540">
      <c r="A540" s="1474" t="s">
        <v>4553</v>
      </c>
      <c r="B540" s="1475">
        <v>86000.0</v>
      </c>
      <c r="C540" s="1476">
        <v>2023.0</v>
      </c>
      <c r="D540" s="1475" t="s">
        <v>3636</v>
      </c>
      <c r="E540" s="1475" t="s">
        <v>666</v>
      </c>
      <c r="F540" s="1477" t="s">
        <v>4555</v>
      </c>
      <c r="G540" s="1479"/>
      <c r="H540" s="1470" t="s">
        <v>3639</v>
      </c>
      <c r="I540" s="1480">
        <v>47484.0</v>
      </c>
      <c r="J540" s="1476" t="s">
        <v>863</v>
      </c>
      <c r="K540" s="1476" t="s">
        <v>4363</v>
      </c>
      <c r="L540" s="1479"/>
      <c r="M540" s="1464"/>
      <c r="N540" s="1464"/>
      <c r="O540" s="1464"/>
      <c r="P540" s="1464"/>
      <c r="Q540" s="1464"/>
      <c r="R540" s="1464"/>
      <c r="S540" s="1464"/>
      <c r="T540" s="1464"/>
      <c r="U540" s="1464"/>
      <c r="V540" s="1464"/>
      <c r="W540" s="1464"/>
      <c r="X540" s="1464"/>
      <c r="Y540" s="1464"/>
      <c r="Z540" s="1464"/>
    </row>
    <row r="541">
      <c r="A541" s="1468" t="s">
        <v>4556</v>
      </c>
      <c r="B541" s="1469">
        <v>84000.0</v>
      </c>
      <c r="C541" s="1470">
        <v>2016.0</v>
      </c>
      <c r="D541" s="1473"/>
      <c r="E541" s="1473"/>
      <c r="F541" s="1471" t="s">
        <v>4557</v>
      </c>
      <c r="G541" s="1464"/>
      <c r="H541" s="1470" t="s">
        <v>3639</v>
      </c>
      <c r="I541" s="1472">
        <v>47484.0</v>
      </c>
      <c r="J541" s="1472" t="s">
        <v>4285</v>
      </c>
      <c r="K541" s="1470" t="s">
        <v>3659</v>
      </c>
      <c r="L541" s="1464"/>
      <c r="M541" s="1464"/>
      <c r="N541" s="1464"/>
      <c r="O541" s="1464"/>
      <c r="P541" s="1464"/>
      <c r="Q541" s="1464"/>
      <c r="R541" s="1464"/>
      <c r="S541" s="1464"/>
      <c r="T541" s="1464"/>
      <c r="U541" s="1464"/>
      <c r="V541" s="1464"/>
      <c r="W541" s="1464"/>
      <c r="X541" s="1464"/>
      <c r="Y541" s="1464"/>
      <c r="Z541" s="1464"/>
    </row>
    <row r="542">
      <c r="A542" s="1468" t="s">
        <v>4551</v>
      </c>
      <c r="B542" s="1469">
        <v>84000.0</v>
      </c>
      <c r="C542" s="1470">
        <v>2016.0</v>
      </c>
      <c r="D542" s="1473"/>
      <c r="E542" s="1473"/>
      <c r="F542" s="1471" t="s">
        <v>4558</v>
      </c>
      <c r="G542" s="1464"/>
      <c r="H542" s="1470" t="s">
        <v>3639</v>
      </c>
      <c r="I542" s="1472">
        <v>47484.0</v>
      </c>
      <c r="J542" s="1470" t="s">
        <v>3939</v>
      </c>
      <c r="K542" s="1470" t="s">
        <v>3977</v>
      </c>
      <c r="L542" s="1464"/>
      <c r="M542" s="1464"/>
      <c r="N542" s="1464"/>
      <c r="O542" s="1464"/>
      <c r="P542" s="1464"/>
      <c r="Q542" s="1464"/>
      <c r="R542" s="1464"/>
      <c r="S542" s="1464"/>
      <c r="T542" s="1464"/>
      <c r="U542" s="1464"/>
      <c r="V542" s="1464"/>
      <c r="W542" s="1464"/>
      <c r="X542" s="1464"/>
      <c r="Y542" s="1464"/>
      <c r="Z542" s="1464"/>
    </row>
    <row r="543">
      <c r="A543" s="1474" t="s">
        <v>4548</v>
      </c>
      <c r="B543" s="1475">
        <v>88000.0</v>
      </c>
      <c r="C543" s="1476">
        <v>2025.0</v>
      </c>
      <c r="D543" s="1475" t="s">
        <v>3636</v>
      </c>
      <c r="E543" s="1475" t="s">
        <v>666</v>
      </c>
      <c r="F543" s="1477" t="s">
        <v>4559</v>
      </c>
      <c r="G543" s="1479"/>
      <c r="H543" s="1476" t="s">
        <v>3718</v>
      </c>
      <c r="I543" s="1480">
        <v>47484.0</v>
      </c>
      <c r="J543" s="1476" t="s">
        <v>3858</v>
      </c>
      <c r="K543" s="1476" t="s">
        <v>4215</v>
      </c>
      <c r="L543" s="1464"/>
      <c r="M543" s="1464"/>
      <c r="N543" s="1464"/>
      <c r="O543" s="1464"/>
      <c r="P543" s="1464"/>
      <c r="Q543" s="1464"/>
      <c r="R543" s="1464"/>
      <c r="S543" s="1464"/>
      <c r="T543" s="1464"/>
      <c r="U543" s="1464"/>
      <c r="V543" s="1464"/>
      <c r="W543" s="1464"/>
      <c r="X543" s="1464"/>
      <c r="Y543" s="1464"/>
      <c r="Z543" s="1464"/>
    </row>
    <row r="544">
      <c r="A544" s="1468" t="s">
        <v>4551</v>
      </c>
      <c r="B544" s="1469">
        <v>84000.0</v>
      </c>
      <c r="C544" s="1470">
        <v>2016.0</v>
      </c>
      <c r="D544" s="1473"/>
      <c r="E544" s="1473"/>
      <c r="F544" s="1471" t="s">
        <v>4560</v>
      </c>
      <c r="G544" s="1464"/>
      <c r="H544" s="1470" t="s">
        <v>3639</v>
      </c>
      <c r="I544" s="1472">
        <v>47484.0</v>
      </c>
      <c r="J544" s="1470" t="s">
        <v>3939</v>
      </c>
      <c r="K544" s="1470" t="s">
        <v>3977</v>
      </c>
      <c r="L544" s="1464"/>
      <c r="M544" s="1464"/>
      <c r="N544" s="1464"/>
      <c r="O544" s="1464"/>
      <c r="P544" s="1464"/>
      <c r="Q544" s="1464"/>
      <c r="R544" s="1464"/>
      <c r="S544" s="1464"/>
      <c r="T544" s="1464"/>
      <c r="U544" s="1464"/>
      <c r="V544" s="1464"/>
      <c r="W544" s="1464"/>
      <c r="X544" s="1464"/>
      <c r="Y544" s="1464"/>
      <c r="Z544" s="1464"/>
    </row>
    <row r="545">
      <c r="A545" s="1468" t="s">
        <v>4556</v>
      </c>
      <c r="B545" s="1469">
        <v>84000.0</v>
      </c>
      <c r="C545" s="1470">
        <v>2016.0</v>
      </c>
      <c r="D545" s="1473"/>
      <c r="E545" s="1473"/>
      <c r="F545" s="1471" t="s">
        <v>4561</v>
      </c>
      <c r="G545" s="1464"/>
      <c r="H545" s="1470" t="s">
        <v>3639</v>
      </c>
      <c r="I545" s="1472">
        <v>47484.0</v>
      </c>
      <c r="J545" s="1470" t="s">
        <v>4285</v>
      </c>
      <c r="K545" s="1470" t="s">
        <v>3659</v>
      </c>
      <c r="L545" s="1464"/>
      <c r="M545" s="1464"/>
      <c r="N545" s="1464"/>
      <c r="O545" s="1464"/>
      <c r="P545" s="1464"/>
      <c r="Q545" s="1464"/>
      <c r="R545" s="1464"/>
      <c r="S545" s="1464"/>
      <c r="T545" s="1464"/>
      <c r="U545" s="1464"/>
      <c r="V545" s="1464"/>
      <c r="W545" s="1464"/>
      <c r="X545" s="1464"/>
      <c r="Y545" s="1464"/>
      <c r="Z545" s="1464"/>
    </row>
    <row r="546">
      <c r="A546" s="1468" t="s">
        <v>3439</v>
      </c>
      <c r="B546" s="1469">
        <v>83300.0</v>
      </c>
      <c r="C546" s="1470">
        <v>2010.0</v>
      </c>
      <c r="D546" s="1473"/>
      <c r="E546" s="1473"/>
      <c r="F546" s="1508" t="s">
        <v>4562</v>
      </c>
      <c r="G546" s="1464"/>
      <c r="H546" s="1464"/>
      <c r="I546" s="1472">
        <v>47515.0</v>
      </c>
      <c r="J546" s="1470" t="s">
        <v>3827</v>
      </c>
      <c r="K546" s="1470" t="s">
        <v>2935</v>
      </c>
      <c r="L546" s="1464"/>
      <c r="M546" s="1464"/>
      <c r="N546" s="1464"/>
      <c r="O546" s="1464"/>
      <c r="P546" s="1464"/>
      <c r="Q546" s="1464"/>
      <c r="R546" s="1464"/>
      <c r="S546" s="1464"/>
      <c r="T546" s="1464"/>
      <c r="U546" s="1464"/>
      <c r="V546" s="1464"/>
      <c r="W546" s="1464"/>
      <c r="X546" s="1464"/>
      <c r="Y546" s="1464"/>
      <c r="Z546" s="1464"/>
    </row>
    <row r="547">
      <c r="A547" s="1468" t="s">
        <v>4563</v>
      </c>
      <c r="B547" s="1469">
        <v>86000.0</v>
      </c>
      <c r="C547" s="1470">
        <v>2023.0</v>
      </c>
      <c r="D547" s="1469" t="s">
        <v>3636</v>
      </c>
      <c r="E547" s="1469" t="s">
        <v>666</v>
      </c>
      <c r="F547" s="1471" t="s">
        <v>4564</v>
      </c>
      <c r="G547" s="1464"/>
      <c r="H547" s="1470" t="s">
        <v>3639</v>
      </c>
      <c r="I547" s="1472">
        <v>47515.0</v>
      </c>
      <c r="J547" s="1472" t="s">
        <v>3939</v>
      </c>
      <c r="K547" s="1470" t="s">
        <v>4363</v>
      </c>
      <c r="L547" s="1464"/>
      <c r="M547" s="1464"/>
      <c r="N547" s="1464"/>
      <c r="O547" s="1464"/>
      <c r="P547" s="1464"/>
      <c r="Q547" s="1464"/>
      <c r="R547" s="1464"/>
      <c r="S547" s="1464"/>
      <c r="T547" s="1464"/>
      <c r="U547" s="1464"/>
      <c r="V547" s="1464"/>
      <c r="W547" s="1464"/>
      <c r="X547" s="1464"/>
      <c r="Y547" s="1464"/>
      <c r="Z547" s="1464"/>
    </row>
    <row r="548">
      <c r="A548" s="1474" t="s">
        <v>4563</v>
      </c>
      <c r="B548" s="1475">
        <v>86000.0</v>
      </c>
      <c r="C548" s="1476">
        <v>2023.0</v>
      </c>
      <c r="D548" s="1475" t="s">
        <v>3636</v>
      </c>
      <c r="E548" s="1475" t="s">
        <v>666</v>
      </c>
      <c r="F548" s="1477" t="s">
        <v>4565</v>
      </c>
      <c r="G548" s="1479"/>
      <c r="H548" s="1470" t="s">
        <v>3639</v>
      </c>
      <c r="I548" s="1480">
        <v>47515.0</v>
      </c>
      <c r="J548" s="1476" t="s">
        <v>3939</v>
      </c>
      <c r="K548" s="1476" t="s">
        <v>4363</v>
      </c>
      <c r="L548" s="1479"/>
      <c r="M548" s="1464"/>
      <c r="N548" s="1464"/>
      <c r="O548" s="1464"/>
      <c r="P548" s="1464"/>
      <c r="Q548" s="1464"/>
      <c r="R548" s="1464"/>
      <c r="S548" s="1464"/>
      <c r="T548" s="1464"/>
      <c r="U548" s="1464"/>
      <c r="V548" s="1464"/>
      <c r="W548" s="1464"/>
      <c r="X548" s="1464"/>
      <c r="Y548" s="1464"/>
      <c r="Z548" s="1464"/>
    </row>
    <row r="549">
      <c r="A549" s="1474" t="s">
        <v>4566</v>
      </c>
      <c r="B549" s="1475">
        <v>86000.0</v>
      </c>
      <c r="C549" s="1476">
        <v>2023.0</v>
      </c>
      <c r="D549" s="1475" t="s">
        <v>3636</v>
      </c>
      <c r="E549" s="1475" t="s">
        <v>666</v>
      </c>
      <c r="F549" s="1477" t="s">
        <v>4567</v>
      </c>
      <c r="G549" s="1479"/>
      <c r="H549" s="1470" t="s">
        <v>3639</v>
      </c>
      <c r="I549" s="1480">
        <v>47515.0</v>
      </c>
      <c r="J549" s="1476" t="s">
        <v>3939</v>
      </c>
      <c r="K549" s="1476" t="s">
        <v>4363</v>
      </c>
      <c r="L549" s="1479"/>
      <c r="M549" s="1464"/>
      <c r="N549" s="1464"/>
      <c r="O549" s="1464"/>
      <c r="P549" s="1464"/>
      <c r="Q549" s="1464"/>
      <c r="R549" s="1464"/>
      <c r="S549" s="1464"/>
      <c r="T549" s="1464"/>
      <c r="U549" s="1464"/>
      <c r="V549" s="1464"/>
      <c r="W549" s="1464"/>
      <c r="X549" s="1464"/>
      <c r="Y549" s="1464"/>
      <c r="Z549" s="1464"/>
    </row>
    <row r="550">
      <c r="A550" s="1468" t="s">
        <v>3439</v>
      </c>
      <c r="B550" s="1469">
        <v>83300.0</v>
      </c>
      <c r="C550" s="1470">
        <v>2010.0</v>
      </c>
      <c r="D550" s="1473"/>
      <c r="E550" s="1473"/>
      <c r="F550" s="1508" t="s">
        <v>4568</v>
      </c>
      <c r="G550" s="1464"/>
      <c r="H550" s="1464"/>
      <c r="I550" s="1472">
        <v>47515.0</v>
      </c>
      <c r="J550" s="1470" t="s">
        <v>3827</v>
      </c>
      <c r="K550" s="1470" t="s">
        <v>2935</v>
      </c>
      <c r="L550" s="1464"/>
      <c r="M550" s="1464"/>
      <c r="N550" s="1464"/>
      <c r="O550" s="1464"/>
      <c r="P550" s="1464"/>
      <c r="Q550" s="1464"/>
      <c r="R550" s="1464"/>
      <c r="S550" s="1464"/>
      <c r="T550" s="1464"/>
      <c r="U550" s="1464"/>
      <c r="V550" s="1464"/>
      <c r="W550" s="1464"/>
      <c r="X550" s="1464"/>
      <c r="Y550" s="1464"/>
      <c r="Z550" s="1464"/>
    </row>
    <row r="551">
      <c r="A551" s="1474" t="s">
        <v>3431</v>
      </c>
      <c r="B551" s="1475">
        <v>83000.0</v>
      </c>
      <c r="C551" s="1476">
        <v>2019.0</v>
      </c>
      <c r="D551" s="1473"/>
      <c r="E551" s="1469" t="s">
        <v>3637</v>
      </c>
      <c r="F551" s="1477" t="s">
        <v>4569</v>
      </c>
      <c r="G551" s="1464"/>
      <c r="H551" s="1470" t="s">
        <v>3639</v>
      </c>
      <c r="I551" s="1480">
        <v>47543.0</v>
      </c>
      <c r="J551" s="1476" t="s">
        <v>3858</v>
      </c>
      <c r="K551" s="1470" t="s">
        <v>2935</v>
      </c>
      <c r="L551" s="1464"/>
      <c r="M551" s="1479"/>
      <c r="N551" s="1479"/>
      <c r="O551" s="1479"/>
      <c r="P551" s="1479"/>
      <c r="Q551" s="1479"/>
      <c r="R551" s="1479"/>
      <c r="S551" s="1479"/>
      <c r="T551" s="1479"/>
      <c r="U551" s="1479"/>
      <c r="V551" s="1479"/>
      <c r="W551" s="1479"/>
      <c r="X551" s="1479"/>
      <c r="Y551" s="1479"/>
      <c r="Z551" s="1479"/>
    </row>
    <row r="552">
      <c r="A552" s="1468" t="s">
        <v>4570</v>
      </c>
      <c r="B552" s="1475">
        <v>91000.0</v>
      </c>
      <c r="C552" s="1476">
        <v>2023.0</v>
      </c>
      <c r="D552" s="1481"/>
      <c r="E552" s="1475" t="s">
        <v>666</v>
      </c>
      <c r="F552" s="1477" t="s">
        <v>4571</v>
      </c>
      <c r="G552" s="1479"/>
      <c r="H552" s="1479"/>
      <c r="I552" s="1480">
        <v>47543.0</v>
      </c>
      <c r="J552" s="1470" t="s">
        <v>4022</v>
      </c>
      <c r="K552" s="1476" t="s">
        <v>3984</v>
      </c>
      <c r="L552" s="1479"/>
      <c r="M552" s="1479"/>
      <c r="N552" s="1479"/>
      <c r="O552" s="1479"/>
      <c r="P552" s="1479"/>
      <c r="Q552" s="1479"/>
      <c r="R552" s="1479"/>
      <c r="S552" s="1479"/>
      <c r="T552" s="1479"/>
      <c r="U552" s="1479"/>
      <c r="V552" s="1479"/>
      <c r="W552" s="1479"/>
      <c r="X552" s="1479"/>
      <c r="Y552" s="1479"/>
      <c r="Z552" s="1479"/>
    </row>
    <row r="553">
      <c r="A553" s="1468" t="s">
        <v>4572</v>
      </c>
      <c r="B553" s="1469">
        <v>83000.0</v>
      </c>
      <c r="C553" s="1470">
        <v>2019.0</v>
      </c>
      <c r="D553" s="1473"/>
      <c r="E553" s="1469" t="s">
        <v>3637</v>
      </c>
      <c r="F553" s="1471" t="s">
        <v>4573</v>
      </c>
      <c r="G553" s="1464"/>
      <c r="H553" s="1464"/>
      <c r="I553" s="1472">
        <v>47543.0</v>
      </c>
      <c r="J553" s="1470" t="s">
        <v>761</v>
      </c>
      <c r="K553" s="1470" t="s">
        <v>3669</v>
      </c>
      <c r="L553" s="1464"/>
      <c r="M553" s="1479"/>
      <c r="N553" s="1479"/>
      <c r="O553" s="1479"/>
      <c r="P553" s="1479"/>
      <c r="Q553" s="1479"/>
      <c r="R553" s="1479"/>
      <c r="S553" s="1479"/>
      <c r="T553" s="1479"/>
      <c r="U553" s="1479"/>
      <c r="V553" s="1479"/>
      <c r="W553" s="1479"/>
      <c r="X553" s="1479"/>
      <c r="Y553" s="1479"/>
      <c r="Z553" s="1479"/>
    </row>
    <row r="554">
      <c r="A554" s="1474" t="s">
        <v>3431</v>
      </c>
      <c r="B554" s="1475">
        <v>83000.0</v>
      </c>
      <c r="C554" s="1476">
        <v>2019.0</v>
      </c>
      <c r="D554" s="1473"/>
      <c r="E554" s="1469" t="s">
        <v>3637</v>
      </c>
      <c r="F554" s="1477" t="s">
        <v>4574</v>
      </c>
      <c r="G554" s="1464"/>
      <c r="H554" s="1470" t="s">
        <v>3639</v>
      </c>
      <c r="I554" s="1480">
        <v>47543.0</v>
      </c>
      <c r="J554" s="1476" t="s">
        <v>3858</v>
      </c>
      <c r="K554" s="1470" t="s">
        <v>2935</v>
      </c>
      <c r="L554" s="1464"/>
      <c r="M554" s="1479"/>
      <c r="N554" s="1479"/>
      <c r="O554" s="1479"/>
      <c r="P554" s="1479"/>
      <c r="Q554" s="1479"/>
      <c r="R554" s="1479"/>
      <c r="S554" s="1479"/>
      <c r="T554" s="1479"/>
      <c r="U554" s="1479"/>
      <c r="V554" s="1479"/>
      <c r="W554" s="1479"/>
      <c r="X554" s="1479"/>
      <c r="Y554" s="1479"/>
      <c r="Z554" s="1479"/>
    </row>
    <row r="555">
      <c r="A555" s="1474" t="s">
        <v>4575</v>
      </c>
      <c r="B555" s="1475">
        <v>88000.0</v>
      </c>
      <c r="C555" s="1476">
        <v>2025.0</v>
      </c>
      <c r="D555" s="1475" t="s">
        <v>3636</v>
      </c>
      <c r="E555" s="1475" t="s">
        <v>666</v>
      </c>
      <c r="F555" s="1477" t="s">
        <v>4576</v>
      </c>
      <c r="G555" s="1479"/>
      <c r="H555" s="1476" t="s">
        <v>3718</v>
      </c>
      <c r="I555" s="1480">
        <v>47543.0</v>
      </c>
      <c r="J555" s="1476" t="s">
        <v>3640</v>
      </c>
      <c r="K555" s="1476" t="s">
        <v>4215</v>
      </c>
      <c r="L555" s="1464"/>
      <c r="M555" s="1479"/>
      <c r="N555" s="1479"/>
      <c r="O555" s="1479"/>
      <c r="P555" s="1479"/>
      <c r="Q555" s="1479"/>
      <c r="R555" s="1479"/>
      <c r="S555" s="1479"/>
      <c r="T555" s="1479"/>
      <c r="U555" s="1479"/>
      <c r="V555" s="1479"/>
      <c r="W555" s="1479"/>
      <c r="X555" s="1479"/>
      <c r="Y555" s="1479"/>
      <c r="Z555" s="1479"/>
    </row>
    <row r="556">
      <c r="A556" s="1474" t="s">
        <v>4575</v>
      </c>
      <c r="B556" s="1475">
        <v>88000.0</v>
      </c>
      <c r="C556" s="1476">
        <v>2025.0</v>
      </c>
      <c r="D556" s="1475" t="s">
        <v>3636</v>
      </c>
      <c r="E556" s="1475" t="s">
        <v>666</v>
      </c>
      <c r="F556" s="1477" t="s">
        <v>4577</v>
      </c>
      <c r="G556" s="1479"/>
      <c r="H556" s="1476" t="s">
        <v>3718</v>
      </c>
      <c r="I556" s="1480">
        <v>47543.0</v>
      </c>
      <c r="J556" s="1476" t="s">
        <v>3640</v>
      </c>
      <c r="K556" s="1476" t="s">
        <v>4215</v>
      </c>
      <c r="L556" s="1464"/>
      <c r="M556" s="1479"/>
      <c r="N556" s="1479"/>
      <c r="O556" s="1479"/>
      <c r="P556" s="1479"/>
      <c r="Q556" s="1479"/>
      <c r="R556" s="1479"/>
      <c r="S556" s="1479"/>
      <c r="T556" s="1479"/>
      <c r="U556" s="1479"/>
      <c r="V556" s="1479"/>
      <c r="W556" s="1479"/>
      <c r="X556" s="1479"/>
      <c r="Y556" s="1479"/>
      <c r="Z556" s="1479"/>
    </row>
    <row r="557">
      <c r="A557" s="1474" t="s">
        <v>4578</v>
      </c>
      <c r="B557" s="1475">
        <v>86000.0</v>
      </c>
      <c r="C557" s="1476">
        <v>2023.0</v>
      </c>
      <c r="D557" s="1475" t="s">
        <v>3636</v>
      </c>
      <c r="E557" s="1475" t="s">
        <v>666</v>
      </c>
      <c r="F557" s="1477" t="s">
        <v>4579</v>
      </c>
      <c r="G557" s="1479"/>
      <c r="H557" s="1476" t="s">
        <v>3639</v>
      </c>
      <c r="I557" s="1480">
        <v>47543.0</v>
      </c>
      <c r="J557" s="1476" t="s">
        <v>3939</v>
      </c>
      <c r="K557" s="1470" t="s">
        <v>4363</v>
      </c>
      <c r="L557" s="1479"/>
      <c r="M557" s="1479"/>
      <c r="N557" s="1479"/>
      <c r="O557" s="1479"/>
      <c r="P557" s="1479"/>
      <c r="Q557" s="1479"/>
      <c r="R557" s="1479"/>
      <c r="S557" s="1479"/>
      <c r="T557" s="1479"/>
      <c r="U557" s="1479"/>
      <c r="V557" s="1479"/>
      <c r="W557" s="1479"/>
      <c r="X557" s="1479"/>
      <c r="Y557" s="1479"/>
      <c r="Z557" s="1479"/>
    </row>
    <row r="558">
      <c r="A558" s="1474" t="s">
        <v>4578</v>
      </c>
      <c r="B558" s="1475">
        <v>86000.0</v>
      </c>
      <c r="C558" s="1476">
        <v>2023.0</v>
      </c>
      <c r="D558" s="1475" t="s">
        <v>3636</v>
      </c>
      <c r="E558" s="1475" t="s">
        <v>666</v>
      </c>
      <c r="F558" s="1477" t="s">
        <v>4580</v>
      </c>
      <c r="G558" s="1479"/>
      <c r="H558" s="1470" t="s">
        <v>3639</v>
      </c>
      <c r="I558" s="1480">
        <v>47543.0</v>
      </c>
      <c r="J558" s="1480" t="s">
        <v>3939</v>
      </c>
      <c r="K558" s="1476" t="s">
        <v>4363</v>
      </c>
      <c r="L558" s="1479"/>
      <c r="M558" s="1464"/>
      <c r="N558" s="1464"/>
      <c r="O558" s="1464"/>
      <c r="P558" s="1464"/>
      <c r="Q558" s="1464"/>
      <c r="R558" s="1464"/>
      <c r="S558" s="1464"/>
      <c r="T558" s="1464"/>
      <c r="U558" s="1464"/>
      <c r="V558" s="1464"/>
      <c r="W558" s="1464"/>
      <c r="X558" s="1464"/>
      <c r="Y558" s="1464"/>
      <c r="Z558" s="1464"/>
    </row>
    <row r="559">
      <c r="A559" s="1474" t="s">
        <v>4578</v>
      </c>
      <c r="B559" s="1475">
        <v>86000.0</v>
      </c>
      <c r="C559" s="1476">
        <v>2023.0</v>
      </c>
      <c r="D559" s="1475" t="s">
        <v>3636</v>
      </c>
      <c r="E559" s="1475" t="s">
        <v>666</v>
      </c>
      <c r="F559" s="1477" t="s">
        <v>4581</v>
      </c>
      <c r="G559" s="1479"/>
      <c r="H559" s="1470" t="s">
        <v>3639</v>
      </c>
      <c r="I559" s="1480">
        <v>47543.0</v>
      </c>
      <c r="J559" s="1476" t="s">
        <v>3939</v>
      </c>
      <c r="K559" s="1476" t="s">
        <v>4363</v>
      </c>
      <c r="L559" s="1479"/>
      <c r="M559" s="1464"/>
      <c r="N559" s="1464"/>
      <c r="O559" s="1464"/>
      <c r="P559" s="1464"/>
      <c r="Q559" s="1464"/>
      <c r="R559" s="1464"/>
      <c r="S559" s="1464"/>
      <c r="T559" s="1464"/>
      <c r="U559" s="1464"/>
      <c r="V559" s="1464"/>
      <c r="W559" s="1464"/>
      <c r="X559" s="1464"/>
      <c r="Y559" s="1464"/>
      <c r="Z559" s="1464"/>
    </row>
    <row r="560">
      <c r="A560" s="1474" t="s">
        <v>3369</v>
      </c>
      <c r="B560" s="1475">
        <v>83000.0</v>
      </c>
      <c r="C560" s="1476">
        <v>2020.0</v>
      </c>
      <c r="D560" s="1473"/>
      <c r="E560" s="1469" t="s">
        <v>3637</v>
      </c>
      <c r="F560" s="1477" t="s">
        <v>4582</v>
      </c>
      <c r="G560" s="1464"/>
      <c r="H560" s="1464"/>
      <c r="I560" s="1480">
        <v>47543.0</v>
      </c>
      <c r="J560" s="1480" t="s">
        <v>4285</v>
      </c>
      <c r="K560" s="1470" t="s">
        <v>3669</v>
      </c>
      <c r="L560" s="1464"/>
      <c r="M560" s="1479"/>
      <c r="N560" s="1479"/>
      <c r="O560" s="1479"/>
      <c r="P560" s="1479"/>
      <c r="Q560" s="1479"/>
      <c r="R560" s="1479"/>
      <c r="S560" s="1479"/>
      <c r="T560" s="1479"/>
      <c r="U560" s="1479"/>
      <c r="V560" s="1479"/>
      <c r="W560" s="1479"/>
      <c r="X560" s="1479"/>
      <c r="Y560" s="1479"/>
      <c r="Z560" s="1479"/>
    </row>
    <row r="561">
      <c r="A561" s="1474" t="s">
        <v>3369</v>
      </c>
      <c r="B561" s="1475">
        <v>83000.0</v>
      </c>
      <c r="C561" s="1476">
        <v>2020.0</v>
      </c>
      <c r="D561" s="1473"/>
      <c r="E561" s="1469" t="s">
        <v>3637</v>
      </c>
      <c r="F561" s="1477" t="s">
        <v>4583</v>
      </c>
      <c r="G561" s="1464"/>
      <c r="H561" s="1464"/>
      <c r="I561" s="1480">
        <v>47543.0</v>
      </c>
      <c r="J561" s="1480" t="s">
        <v>4285</v>
      </c>
      <c r="K561" s="1470" t="s">
        <v>3669</v>
      </c>
      <c r="L561" s="1464"/>
      <c r="M561" s="1479"/>
      <c r="N561" s="1479"/>
      <c r="O561" s="1479"/>
      <c r="P561" s="1479"/>
      <c r="Q561" s="1479"/>
      <c r="R561" s="1479"/>
      <c r="S561" s="1479"/>
      <c r="T561" s="1479"/>
      <c r="U561" s="1479"/>
      <c r="V561" s="1479"/>
      <c r="W561" s="1479"/>
      <c r="X561" s="1479"/>
      <c r="Y561" s="1479"/>
      <c r="Z561" s="1479"/>
    </row>
    <row r="562">
      <c r="A562" s="1474" t="s">
        <v>4584</v>
      </c>
      <c r="B562" s="1475">
        <v>86700.0</v>
      </c>
      <c r="C562" s="1476">
        <v>2025.0</v>
      </c>
      <c r="D562" s="1481"/>
      <c r="E562" s="1475" t="s">
        <v>666</v>
      </c>
      <c r="F562" s="1477" t="s">
        <v>4585</v>
      </c>
      <c r="G562" s="1479"/>
      <c r="H562" s="1476" t="s">
        <v>3718</v>
      </c>
      <c r="I562" s="1480">
        <v>47543.0</v>
      </c>
      <c r="J562" s="1476" t="s">
        <v>3658</v>
      </c>
      <c r="K562" s="1476" t="s">
        <v>4001</v>
      </c>
      <c r="L562" s="1479"/>
      <c r="M562" s="1479"/>
      <c r="N562" s="1479"/>
      <c r="O562" s="1479"/>
      <c r="P562" s="1479"/>
      <c r="Q562" s="1479"/>
      <c r="R562" s="1479"/>
      <c r="S562" s="1479"/>
      <c r="T562" s="1479"/>
      <c r="U562" s="1479"/>
      <c r="V562" s="1479"/>
      <c r="W562" s="1479"/>
      <c r="X562" s="1479"/>
      <c r="Y562" s="1479"/>
      <c r="Z562" s="1479"/>
    </row>
    <row r="563">
      <c r="A563" s="1474" t="s">
        <v>3369</v>
      </c>
      <c r="B563" s="1475">
        <v>83000.0</v>
      </c>
      <c r="C563" s="1476">
        <v>2020.0</v>
      </c>
      <c r="D563" s="1473"/>
      <c r="E563" s="1469" t="s">
        <v>3637</v>
      </c>
      <c r="F563" s="1477" t="s">
        <v>4586</v>
      </c>
      <c r="G563" s="1464"/>
      <c r="H563" s="1470" t="s">
        <v>3639</v>
      </c>
      <c r="I563" s="1480">
        <v>47543.0</v>
      </c>
      <c r="J563" s="1480" t="s">
        <v>4285</v>
      </c>
      <c r="K563" s="1470" t="s">
        <v>3669</v>
      </c>
      <c r="L563" s="1464"/>
      <c r="M563" s="1479"/>
      <c r="N563" s="1479"/>
      <c r="O563" s="1479"/>
      <c r="P563" s="1479"/>
      <c r="Q563" s="1479"/>
      <c r="R563" s="1479"/>
      <c r="S563" s="1479"/>
      <c r="T563" s="1479"/>
      <c r="U563" s="1479"/>
      <c r="V563" s="1479"/>
      <c r="W563" s="1479"/>
      <c r="X563" s="1479"/>
      <c r="Y563" s="1479"/>
      <c r="Z563" s="1479"/>
    </row>
    <row r="564">
      <c r="A564" s="1468" t="s">
        <v>4572</v>
      </c>
      <c r="B564" s="1469">
        <v>83000.0</v>
      </c>
      <c r="C564" s="1470">
        <v>2019.0</v>
      </c>
      <c r="D564" s="1473"/>
      <c r="E564" s="1469" t="s">
        <v>3637</v>
      </c>
      <c r="F564" s="1471" t="s">
        <v>4587</v>
      </c>
      <c r="G564" s="1464"/>
      <c r="H564" s="1470" t="s">
        <v>3639</v>
      </c>
      <c r="I564" s="1472">
        <v>47543.0</v>
      </c>
      <c r="J564" s="1470" t="s">
        <v>761</v>
      </c>
      <c r="K564" s="1470" t="s">
        <v>3669</v>
      </c>
      <c r="L564" s="1464"/>
      <c r="M564" s="1479"/>
      <c r="N564" s="1479"/>
      <c r="O564" s="1479"/>
      <c r="P564" s="1479"/>
      <c r="Q564" s="1479"/>
      <c r="R564" s="1479"/>
      <c r="S564" s="1479"/>
      <c r="T564" s="1479"/>
      <c r="U564" s="1479"/>
      <c r="V564" s="1479"/>
      <c r="W564" s="1479"/>
      <c r="X564" s="1479"/>
      <c r="Y564" s="1479"/>
      <c r="Z564" s="1479"/>
    </row>
    <row r="565">
      <c r="A565" s="1474" t="s">
        <v>4570</v>
      </c>
      <c r="B565" s="1475">
        <v>91000.0</v>
      </c>
      <c r="C565" s="1476">
        <v>2024.0</v>
      </c>
      <c r="D565" s="1481"/>
      <c r="E565" s="1475" t="s">
        <v>666</v>
      </c>
      <c r="F565" s="1477" t="s">
        <v>4588</v>
      </c>
      <c r="G565" s="1479"/>
      <c r="H565" s="1479"/>
      <c r="I565" s="1480">
        <v>47543.0</v>
      </c>
      <c r="J565" s="1470" t="s">
        <v>4022</v>
      </c>
      <c r="K565" s="1476" t="s">
        <v>3984</v>
      </c>
      <c r="L565" s="1479"/>
      <c r="M565" s="1464"/>
      <c r="N565" s="1464"/>
      <c r="O565" s="1464"/>
      <c r="P565" s="1464"/>
      <c r="Q565" s="1464"/>
      <c r="R565" s="1464"/>
      <c r="S565" s="1464"/>
      <c r="T565" s="1464"/>
      <c r="U565" s="1464"/>
      <c r="V565" s="1464"/>
      <c r="W565" s="1464"/>
      <c r="X565" s="1464"/>
      <c r="Y565" s="1464"/>
      <c r="Z565" s="1464"/>
    </row>
    <row r="566">
      <c r="A566" s="1474" t="s">
        <v>4584</v>
      </c>
      <c r="B566" s="1475">
        <v>86700.0</v>
      </c>
      <c r="C566" s="1476">
        <v>2025.0</v>
      </c>
      <c r="D566" s="1475" t="s">
        <v>70</v>
      </c>
      <c r="E566" s="1475" t="s">
        <v>666</v>
      </c>
      <c r="F566" s="1477" t="s">
        <v>4589</v>
      </c>
      <c r="G566" s="1479"/>
      <c r="H566" s="1476" t="s">
        <v>3718</v>
      </c>
      <c r="I566" s="1480">
        <v>47543.0</v>
      </c>
      <c r="J566" s="1476" t="s">
        <v>3658</v>
      </c>
      <c r="K566" s="1476" t="s">
        <v>4001</v>
      </c>
      <c r="L566" s="1479"/>
      <c r="M566" s="1464"/>
      <c r="N566" s="1464"/>
      <c r="O566" s="1464"/>
      <c r="P566" s="1464"/>
      <c r="Q566" s="1464"/>
      <c r="R566" s="1464"/>
      <c r="S566" s="1464"/>
      <c r="T566" s="1464"/>
      <c r="U566" s="1464"/>
      <c r="V566" s="1464"/>
      <c r="W566" s="1464"/>
      <c r="X566" s="1464"/>
      <c r="Y566" s="1464"/>
      <c r="Z566" s="1464"/>
    </row>
    <row r="567">
      <c r="A567" s="1468" t="s">
        <v>4590</v>
      </c>
      <c r="B567" s="1469">
        <v>84000.0</v>
      </c>
      <c r="C567" s="1470">
        <v>2016.0</v>
      </c>
      <c r="D567" s="1473"/>
      <c r="E567" s="1473"/>
      <c r="F567" s="1471" t="s">
        <v>4552</v>
      </c>
      <c r="G567" s="1464"/>
      <c r="H567" s="1470" t="s">
        <v>3639</v>
      </c>
      <c r="I567" s="1472">
        <v>47574.0</v>
      </c>
      <c r="J567" s="1470" t="s">
        <v>3939</v>
      </c>
      <c r="K567" s="1470" t="s">
        <v>3659</v>
      </c>
      <c r="L567" s="1464"/>
      <c r="M567" s="1464"/>
      <c r="N567" s="1464"/>
      <c r="O567" s="1464"/>
      <c r="P567" s="1464"/>
      <c r="Q567" s="1464"/>
      <c r="R567" s="1464"/>
      <c r="S567" s="1464"/>
      <c r="T567" s="1464"/>
      <c r="U567" s="1464"/>
      <c r="V567" s="1464"/>
      <c r="W567" s="1464"/>
      <c r="X567" s="1464"/>
      <c r="Y567" s="1464"/>
      <c r="Z567" s="1464"/>
    </row>
    <row r="568">
      <c r="A568" s="1468" t="s">
        <v>4590</v>
      </c>
      <c r="B568" s="1469">
        <v>84000.0</v>
      </c>
      <c r="C568" s="1470">
        <v>2016.0</v>
      </c>
      <c r="D568" s="1473"/>
      <c r="E568" s="1473"/>
      <c r="F568" s="1471" t="s">
        <v>4591</v>
      </c>
      <c r="G568" s="1464"/>
      <c r="H568" s="1470" t="s">
        <v>3639</v>
      </c>
      <c r="I568" s="1472">
        <v>47574.0</v>
      </c>
      <c r="J568" s="1470" t="s">
        <v>3939</v>
      </c>
      <c r="K568" s="1470" t="s">
        <v>3659</v>
      </c>
      <c r="L568" s="1464"/>
      <c r="M568" s="1464"/>
      <c r="N568" s="1464"/>
      <c r="O568" s="1464"/>
      <c r="P568" s="1464"/>
      <c r="Q568" s="1464"/>
      <c r="R568" s="1464"/>
      <c r="S568" s="1464"/>
      <c r="T568" s="1464"/>
      <c r="U568" s="1464"/>
      <c r="V568" s="1464"/>
      <c r="W568" s="1464"/>
      <c r="X568" s="1464"/>
      <c r="Y568" s="1464"/>
      <c r="Z568" s="1464"/>
    </row>
    <row r="569">
      <c r="A569" s="1468" t="s">
        <v>4590</v>
      </c>
      <c r="B569" s="1469">
        <v>84000.0</v>
      </c>
      <c r="C569" s="1470">
        <v>2016.0</v>
      </c>
      <c r="D569" s="1473"/>
      <c r="E569" s="1473"/>
      <c r="F569" s="1471" t="s">
        <v>4592</v>
      </c>
      <c r="G569" s="1464"/>
      <c r="H569" s="1470" t="s">
        <v>3639</v>
      </c>
      <c r="I569" s="1472">
        <v>47574.0</v>
      </c>
      <c r="J569" s="1470" t="s">
        <v>3939</v>
      </c>
      <c r="K569" s="1470" t="s">
        <v>3659</v>
      </c>
      <c r="L569" s="1464"/>
      <c r="M569" s="1464"/>
      <c r="N569" s="1464"/>
      <c r="O569" s="1464"/>
      <c r="P569" s="1464"/>
      <c r="Q569" s="1464"/>
      <c r="R569" s="1464"/>
      <c r="S569" s="1464"/>
      <c r="T569" s="1464"/>
      <c r="U569" s="1464"/>
      <c r="V569" s="1464"/>
      <c r="W569" s="1464"/>
      <c r="X569" s="1464"/>
      <c r="Y569" s="1464"/>
      <c r="Z569" s="1464"/>
    </row>
    <row r="570">
      <c r="A570" s="1474" t="s">
        <v>4593</v>
      </c>
      <c r="B570" s="1475">
        <v>88000.0</v>
      </c>
      <c r="C570" s="1476">
        <v>2025.0</v>
      </c>
      <c r="D570" s="1475" t="s">
        <v>3636</v>
      </c>
      <c r="E570" s="1475" t="s">
        <v>666</v>
      </c>
      <c r="F570" s="1477" t="s">
        <v>4594</v>
      </c>
      <c r="G570" s="1479"/>
      <c r="H570" s="1476" t="s">
        <v>3718</v>
      </c>
      <c r="I570" s="1480">
        <v>47604.0</v>
      </c>
      <c r="J570" s="1476" t="s">
        <v>3858</v>
      </c>
      <c r="K570" s="1476" t="s">
        <v>4215</v>
      </c>
      <c r="L570" s="1479"/>
      <c r="M570" s="1464"/>
      <c r="N570" s="1464"/>
      <c r="O570" s="1464"/>
      <c r="P570" s="1464"/>
      <c r="Q570" s="1464"/>
      <c r="R570" s="1464"/>
      <c r="S570" s="1464"/>
      <c r="T570" s="1464"/>
      <c r="U570" s="1464"/>
      <c r="V570" s="1464"/>
      <c r="W570" s="1464"/>
      <c r="X570" s="1464"/>
      <c r="Y570" s="1464"/>
      <c r="Z570" s="1464"/>
    </row>
    <row r="571">
      <c r="A571" s="1474" t="s">
        <v>4593</v>
      </c>
      <c r="B571" s="1475">
        <v>88000.0</v>
      </c>
      <c r="C571" s="1476">
        <v>2025.0</v>
      </c>
      <c r="D571" s="1475" t="s">
        <v>3636</v>
      </c>
      <c r="E571" s="1475" t="s">
        <v>666</v>
      </c>
      <c r="F571" s="1477" t="s">
        <v>4595</v>
      </c>
      <c r="G571" s="1479"/>
      <c r="H571" s="1476" t="s">
        <v>3718</v>
      </c>
      <c r="I571" s="1480">
        <v>47604.0</v>
      </c>
      <c r="J571" s="1476" t="s">
        <v>3858</v>
      </c>
      <c r="K571" s="1476" t="s">
        <v>4215</v>
      </c>
      <c r="L571" s="1479"/>
      <c r="M571" s="1479"/>
      <c r="N571" s="1479"/>
      <c r="O571" s="1479"/>
      <c r="P571" s="1479"/>
      <c r="Q571" s="1479"/>
      <c r="R571" s="1479"/>
      <c r="S571" s="1479"/>
      <c r="T571" s="1479"/>
      <c r="U571" s="1479"/>
      <c r="V571" s="1479"/>
      <c r="W571" s="1479"/>
      <c r="X571" s="1479"/>
      <c r="Y571" s="1479"/>
      <c r="Z571" s="1479"/>
    </row>
    <row r="572">
      <c r="A572" s="1485" t="s">
        <v>4596</v>
      </c>
      <c r="B572" s="1486">
        <v>88000.0</v>
      </c>
      <c r="C572" s="1487">
        <v>2025.0</v>
      </c>
      <c r="D572" s="1486" t="s">
        <v>3636</v>
      </c>
      <c r="E572" s="1486" t="s">
        <v>666</v>
      </c>
      <c r="F572" s="1488" t="s">
        <v>4597</v>
      </c>
      <c r="G572" s="1489"/>
      <c r="H572" s="1487" t="s">
        <v>3718</v>
      </c>
      <c r="I572" s="1490">
        <v>47604.0</v>
      </c>
      <c r="J572" s="1487" t="s">
        <v>3858</v>
      </c>
      <c r="K572" s="1487" t="s">
        <v>4215</v>
      </c>
      <c r="L572" s="1464"/>
      <c r="M572" s="1464"/>
      <c r="N572" s="1464"/>
      <c r="O572" s="1464"/>
      <c r="P572" s="1464"/>
      <c r="Q572" s="1464"/>
      <c r="R572" s="1464"/>
      <c r="S572" s="1464"/>
      <c r="T572" s="1464"/>
      <c r="U572" s="1464"/>
      <c r="V572" s="1464"/>
      <c r="W572" s="1464"/>
      <c r="X572" s="1464"/>
      <c r="Y572" s="1464"/>
      <c r="Z572" s="1464"/>
    </row>
    <row r="573">
      <c r="A573" s="1485" t="s">
        <v>4598</v>
      </c>
      <c r="B573" s="1486">
        <v>86700.0</v>
      </c>
      <c r="C573" s="1487">
        <v>2025.0</v>
      </c>
      <c r="D573" s="1492"/>
      <c r="E573" s="1486" t="s">
        <v>666</v>
      </c>
      <c r="F573" s="1488" t="s">
        <v>4599</v>
      </c>
      <c r="G573" s="1489"/>
      <c r="H573" s="1487" t="s">
        <v>3718</v>
      </c>
      <c r="I573" s="1490">
        <v>47635.0</v>
      </c>
      <c r="J573" s="1487" t="s">
        <v>761</v>
      </c>
      <c r="K573" s="1487" t="s">
        <v>4001</v>
      </c>
      <c r="L573" s="1464"/>
      <c r="M573" s="1464"/>
      <c r="N573" s="1464"/>
      <c r="O573" s="1464"/>
      <c r="P573" s="1464"/>
      <c r="Q573" s="1464"/>
      <c r="R573" s="1464"/>
      <c r="S573" s="1464"/>
      <c r="T573" s="1464"/>
      <c r="U573" s="1464"/>
      <c r="V573" s="1464"/>
      <c r="W573" s="1464"/>
      <c r="X573" s="1464"/>
      <c r="Y573" s="1464"/>
      <c r="Z573" s="1464"/>
    </row>
    <row r="574">
      <c r="A574" s="1468" t="s">
        <v>3372</v>
      </c>
      <c r="B574" s="1469">
        <v>83000.0</v>
      </c>
      <c r="C574" s="1470">
        <v>2020.0</v>
      </c>
      <c r="D574" s="1473"/>
      <c r="E574" s="1469" t="s">
        <v>3637</v>
      </c>
      <c r="F574" s="1471" t="s">
        <v>4600</v>
      </c>
      <c r="G574" s="1464"/>
      <c r="H574" s="1464"/>
      <c r="I574" s="1480">
        <v>47635.0</v>
      </c>
      <c r="J574" s="1476" t="s">
        <v>3786</v>
      </c>
      <c r="K574" s="1470" t="s">
        <v>3669</v>
      </c>
      <c r="L574" s="1464"/>
      <c r="M574" s="1464"/>
      <c r="N574" s="1464"/>
      <c r="O574" s="1464"/>
      <c r="P574" s="1464"/>
      <c r="Q574" s="1464"/>
      <c r="R574" s="1464"/>
      <c r="S574" s="1464"/>
      <c r="T574" s="1464"/>
      <c r="U574" s="1464"/>
      <c r="V574" s="1464"/>
      <c r="W574" s="1464"/>
      <c r="X574" s="1464"/>
      <c r="Y574" s="1464"/>
      <c r="Z574" s="1464"/>
    </row>
    <row r="575">
      <c r="A575" s="1485" t="s">
        <v>4598</v>
      </c>
      <c r="B575" s="1486">
        <v>86700.0</v>
      </c>
      <c r="C575" s="1487">
        <v>2025.0</v>
      </c>
      <c r="D575" s="1492"/>
      <c r="E575" s="1486" t="s">
        <v>666</v>
      </c>
      <c r="F575" s="1488" t="s">
        <v>4601</v>
      </c>
      <c r="G575" s="1489"/>
      <c r="H575" s="1487" t="s">
        <v>3718</v>
      </c>
      <c r="I575" s="1490">
        <v>47635.0</v>
      </c>
      <c r="J575" s="1487" t="s">
        <v>761</v>
      </c>
      <c r="K575" s="1487" t="s">
        <v>4001</v>
      </c>
      <c r="L575" s="1464"/>
      <c r="M575" s="1464"/>
      <c r="N575" s="1464"/>
      <c r="O575" s="1464"/>
      <c r="P575" s="1464"/>
      <c r="Q575" s="1464"/>
      <c r="R575" s="1464"/>
      <c r="S575" s="1464"/>
      <c r="T575" s="1464"/>
      <c r="U575" s="1464"/>
      <c r="V575" s="1464"/>
      <c r="W575" s="1464"/>
      <c r="X575" s="1464"/>
      <c r="Y575" s="1464"/>
      <c r="Z575" s="1464"/>
    </row>
    <row r="576">
      <c r="A576" s="1468" t="s">
        <v>3372</v>
      </c>
      <c r="B576" s="1469">
        <v>83000.0</v>
      </c>
      <c r="C576" s="1470">
        <v>2020.0</v>
      </c>
      <c r="D576" s="1473"/>
      <c r="E576" s="1469" t="s">
        <v>3637</v>
      </c>
      <c r="F576" s="1471" t="s">
        <v>4602</v>
      </c>
      <c r="G576" s="1464"/>
      <c r="H576" s="1470" t="s">
        <v>3639</v>
      </c>
      <c r="I576" s="1472">
        <v>47635.0</v>
      </c>
      <c r="J576" s="1472" t="s">
        <v>4291</v>
      </c>
      <c r="K576" s="1470" t="s">
        <v>3669</v>
      </c>
      <c r="L576" s="1464"/>
      <c r="M576" s="1464"/>
      <c r="N576" s="1464"/>
      <c r="O576" s="1464"/>
      <c r="P576" s="1464"/>
      <c r="Q576" s="1464"/>
      <c r="R576" s="1464"/>
      <c r="S576" s="1464"/>
      <c r="T576" s="1464"/>
      <c r="U576" s="1464"/>
      <c r="V576" s="1464"/>
      <c r="W576" s="1464"/>
      <c r="X576" s="1464"/>
      <c r="Y576" s="1464"/>
      <c r="Z576" s="1464"/>
    </row>
    <row r="577">
      <c r="A577" s="1488" t="s">
        <v>4603</v>
      </c>
      <c r="B577" s="1486">
        <v>87000.0</v>
      </c>
      <c r="C577" s="1487">
        <v>2025.0</v>
      </c>
      <c r="D577" s="1486" t="s">
        <v>3636</v>
      </c>
      <c r="E577" s="1486" t="s">
        <v>666</v>
      </c>
      <c r="F577" s="1488" t="s">
        <v>4604</v>
      </c>
      <c r="G577" s="1489"/>
      <c r="H577" s="1487" t="s">
        <v>4605</v>
      </c>
      <c r="I577" s="1490">
        <v>47696.0</v>
      </c>
      <c r="J577" s="1487" t="s">
        <v>3640</v>
      </c>
      <c r="K577" s="1487" t="s">
        <v>3641</v>
      </c>
      <c r="L577" s="1464"/>
      <c r="M577" s="1464"/>
      <c r="N577" s="1464"/>
      <c r="O577" s="1464"/>
      <c r="P577" s="1464"/>
      <c r="Q577" s="1464"/>
      <c r="R577" s="1464"/>
      <c r="S577" s="1464"/>
      <c r="T577" s="1464"/>
      <c r="U577" s="1464"/>
      <c r="V577" s="1464"/>
      <c r="W577" s="1464"/>
      <c r="X577" s="1464"/>
      <c r="Y577" s="1464"/>
      <c r="Z577" s="1464"/>
    </row>
    <row r="578">
      <c r="A578" s="1488" t="s">
        <v>4606</v>
      </c>
      <c r="B578" s="1486">
        <v>87000.0</v>
      </c>
      <c r="C578" s="1487">
        <v>2025.0</v>
      </c>
      <c r="D578" s="1486" t="s">
        <v>3636</v>
      </c>
      <c r="E578" s="1486" t="s">
        <v>666</v>
      </c>
      <c r="F578" s="1488" t="s">
        <v>4607</v>
      </c>
      <c r="G578" s="1489"/>
      <c r="H578" s="1487" t="s">
        <v>4605</v>
      </c>
      <c r="I578" s="1490">
        <v>47788.0</v>
      </c>
      <c r="J578" s="1487" t="s">
        <v>3640</v>
      </c>
      <c r="K578" s="1487" t="s">
        <v>3641</v>
      </c>
      <c r="L578" s="1464"/>
      <c r="M578" s="1464"/>
      <c r="N578" s="1464"/>
      <c r="O578" s="1464"/>
      <c r="P578" s="1464"/>
      <c r="Q578" s="1464"/>
      <c r="R578" s="1464"/>
      <c r="S578" s="1464"/>
      <c r="T578" s="1464"/>
      <c r="U578" s="1464"/>
      <c r="V578" s="1464"/>
      <c r="W578" s="1464"/>
      <c r="X578" s="1464"/>
      <c r="Y578" s="1464"/>
      <c r="Z578" s="1464"/>
    </row>
    <row r="579">
      <c r="A579" s="1474" t="s">
        <v>4608</v>
      </c>
      <c r="B579" s="1475">
        <v>87000.0</v>
      </c>
      <c r="C579" s="1476">
        <v>2023.0</v>
      </c>
      <c r="D579" s="1481"/>
      <c r="E579" s="1475" t="s">
        <v>666</v>
      </c>
      <c r="F579" s="1477" t="s">
        <v>4609</v>
      </c>
      <c r="G579" s="1479"/>
      <c r="H579" s="1479"/>
      <c r="I579" s="1480">
        <v>47818.0</v>
      </c>
      <c r="J579" s="1476" t="s">
        <v>3786</v>
      </c>
      <c r="K579" s="1476" t="s">
        <v>3669</v>
      </c>
      <c r="L579" s="1464"/>
      <c r="M579" s="1464"/>
      <c r="N579" s="1464"/>
      <c r="O579" s="1464"/>
      <c r="P579" s="1464"/>
      <c r="Q579" s="1464"/>
      <c r="R579" s="1464"/>
      <c r="S579" s="1464"/>
      <c r="T579" s="1464"/>
      <c r="U579" s="1464"/>
      <c r="V579" s="1464"/>
      <c r="W579" s="1464"/>
      <c r="X579" s="1464"/>
      <c r="Y579" s="1464"/>
      <c r="Z579" s="1464"/>
    </row>
    <row r="580">
      <c r="A580" s="1468" t="s">
        <v>4610</v>
      </c>
      <c r="B580" s="1469">
        <v>75000.0</v>
      </c>
      <c r="C580" s="1470">
        <v>2009.0</v>
      </c>
      <c r="D580" s="1469" t="s">
        <v>3636</v>
      </c>
      <c r="E580" s="1469" t="s">
        <v>3637</v>
      </c>
      <c r="F580" s="1468" t="s">
        <v>4611</v>
      </c>
      <c r="G580" s="1464"/>
      <c r="H580" s="1464"/>
      <c r="I580" s="1509">
        <v>47818.0</v>
      </c>
      <c r="J580" s="1510" t="s">
        <v>3944</v>
      </c>
      <c r="K580" s="1470" t="s">
        <v>4612</v>
      </c>
      <c r="L580" s="1464"/>
      <c r="M580" s="1464"/>
      <c r="N580" s="1464"/>
      <c r="O580" s="1464"/>
      <c r="P580" s="1464"/>
      <c r="Q580" s="1464"/>
      <c r="R580" s="1464"/>
      <c r="S580" s="1464"/>
      <c r="T580" s="1464"/>
      <c r="U580" s="1464"/>
      <c r="V580" s="1464"/>
      <c r="W580" s="1464"/>
      <c r="X580" s="1464"/>
      <c r="Y580" s="1464"/>
      <c r="Z580" s="1464"/>
    </row>
    <row r="581">
      <c r="A581" s="1474" t="s">
        <v>4608</v>
      </c>
      <c r="B581" s="1475">
        <v>86700.0</v>
      </c>
      <c r="C581" s="1476">
        <v>2023.0</v>
      </c>
      <c r="D581" s="1481"/>
      <c r="E581" s="1475" t="s">
        <v>666</v>
      </c>
      <c r="F581" s="1477" t="s">
        <v>4613</v>
      </c>
      <c r="G581" s="1464"/>
      <c r="H581" s="1470" t="s">
        <v>3718</v>
      </c>
      <c r="I581" s="1480">
        <v>47818.0</v>
      </c>
      <c r="J581" s="1476" t="s">
        <v>4291</v>
      </c>
      <c r="K581" s="1470" t="s">
        <v>3669</v>
      </c>
      <c r="L581" s="1464"/>
      <c r="M581" s="1464"/>
      <c r="N581" s="1464"/>
      <c r="O581" s="1464"/>
      <c r="P581" s="1464"/>
      <c r="Q581" s="1464"/>
      <c r="R581" s="1464"/>
      <c r="S581" s="1464"/>
      <c r="T581" s="1464"/>
      <c r="U581" s="1464"/>
      <c r="V581" s="1464"/>
      <c r="W581" s="1464"/>
      <c r="X581" s="1464"/>
      <c r="Y581" s="1464"/>
      <c r="Z581" s="1464"/>
    </row>
    <row r="582">
      <c r="A582" s="1468" t="s">
        <v>3363</v>
      </c>
      <c r="B582" s="1469">
        <v>84000.0</v>
      </c>
      <c r="C582" s="1470">
        <v>2014.0</v>
      </c>
      <c r="D582" s="1473"/>
      <c r="E582" s="1469" t="s">
        <v>3637</v>
      </c>
      <c r="F582" s="1471" t="s">
        <v>4614</v>
      </c>
      <c r="G582" s="1464"/>
      <c r="H582" s="1470" t="s">
        <v>3639</v>
      </c>
      <c r="I582" s="1472">
        <v>47849.0</v>
      </c>
      <c r="J582" s="1470" t="s">
        <v>3939</v>
      </c>
      <c r="K582" s="1470" t="s">
        <v>4615</v>
      </c>
      <c r="L582" s="1464"/>
      <c r="M582" s="1464"/>
      <c r="N582" s="1464"/>
      <c r="O582" s="1464"/>
      <c r="P582" s="1464"/>
      <c r="Q582" s="1464"/>
      <c r="R582" s="1464"/>
      <c r="S582" s="1464"/>
      <c r="T582" s="1464"/>
      <c r="U582" s="1464"/>
      <c r="V582" s="1464"/>
      <c r="W582" s="1464"/>
      <c r="X582" s="1464"/>
      <c r="Y582" s="1464"/>
      <c r="Z582" s="1464"/>
    </row>
    <row r="583">
      <c r="A583" s="1468" t="s">
        <v>4616</v>
      </c>
      <c r="B583" s="1469">
        <v>75000.0</v>
      </c>
      <c r="C583" s="1470">
        <v>2009.0</v>
      </c>
      <c r="D583" s="1469" t="s">
        <v>3636</v>
      </c>
      <c r="E583" s="1469" t="s">
        <v>3637</v>
      </c>
      <c r="F583" s="1468" t="s">
        <v>4617</v>
      </c>
      <c r="G583" s="1464"/>
      <c r="H583" s="1464"/>
      <c r="I583" s="1509">
        <v>47849.0</v>
      </c>
      <c r="J583" s="1510" t="s">
        <v>3944</v>
      </c>
      <c r="K583" s="1470" t="s">
        <v>4612</v>
      </c>
      <c r="L583" s="1464"/>
      <c r="M583" s="1464"/>
      <c r="N583" s="1464"/>
      <c r="O583" s="1464"/>
      <c r="P583" s="1464"/>
      <c r="Q583" s="1464"/>
      <c r="R583" s="1464"/>
      <c r="S583" s="1464"/>
      <c r="T583" s="1464"/>
      <c r="U583" s="1464"/>
      <c r="V583" s="1464"/>
      <c r="W583" s="1464"/>
      <c r="X583" s="1464"/>
      <c r="Y583" s="1464"/>
      <c r="Z583" s="1464"/>
    </row>
    <row r="584">
      <c r="A584" s="1474" t="s">
        <v>4618</v>
      </c>
      <c r="B584" s="1475">
        <v>86000.0</v>
      </c>
      <c r="C584" s="1476">
        <v>2021.0</v>
      </c>
      <c r="D584" s="1481"/>
      <c r="E584" s="1475" t="s">
        <v>666</v>
      </c>
      <c r="F584" s="1477" t="s">
        <v>4619</v>
      </c>
      <c r="G584" s="1479"/>
      <c r="H584" s="1470" t="s">
        <v>3639</v>
      </c>
      <c r="I584" s="1478">
        <v>47969.0</v>
      </c>
      <c r="J584" s="1478" t="s">
        <v>3976</v>
      </c>
      <c r="K584" s="1476" t="s">
        <v>3647</v>
      </c>
      <c r="L584" s="1479"/>
      <c r="M584" s="1479"/>
      <c r="N584" s="1479"/>
      <c r="O584" s="1479"/>
      <c r="P584" s="1479"/>
      <c r="Q584" s="1479"/>
      <c r="R584" s="1479"/>
      <c r="S584" s="1479"/>
      <c r="T584" s="1479"/>
      <c r="U584" s="1479"/>
      <c r="V584" s="1479"/>
      <c r="W584" s="1479"/>
      <c r="X584" s="1479"/>
      <c r="Y584" s="1479"/>
      <c r="Z584" s="1479"/>
    </row>
    <row r="585">
      <c r="A585" s="1474" t="s">
        <v>4618</v>
      </c>
      <c r="B585" s="1475">
        <v>86000.0</v>
      </c>
      <c r="C585" s="1476">
        <v>2021.0</v>
      </c>
      <c r="D585" s="1481"/>
      <c r="E585" s="1475" t="s">
        <v>666</v>
      </c>
      <c r="F585" s="1477" t="s">
        <v>4620</v>
      </c>
      <c r="G585" s="1479"/>
      <c r="H585" s="1470" t="s">
        <v>3639</v>
      </c>
      <c r="I585" s="1478">
        <v>47969.0</v>
      </c>
      <c r="J585" s="1478" t="s">
        <v>3976</v>
      </c>
      <c r="K585" s="1476" t="s">
        <v>3647</v>
      </c>
      <c r="L585" s="1479"/>
      <c r="M585" s="1464"/>
      <c r="N585" s="1464"/>
      <c r="O585" s="1464"/>
      <c r="P585" s="1464"/>
      <c r="Q585" s="1464"/>
      <c r="R585" s="1464"/>
      <c r="S585" s="1464"/>
      <c r="T585" s="1464"/>
      <c r="U585" s="1464"/>
      <c r="V585" s="1464"/>
      <c r="W585" s="1464"/>
      <c r="X585" s="1464"/>
      <c r="Y585" s="1464"/>
      <c r="Z585" s="1464"/>
    </row>
    <row r="586">
      <c r="A586" s="1474" t="s">
        <v>4621</v>
      </c>
      <c r="B586" s="1475">
        <v>86000.0</v>
      </c>
      <c r="C586" s="1476">
        <v>2021.0</v>
      </c>
      <c r="D586" s="1481"/>
      <c r="E586" s="1475" t="s">
        <v>666</v>
      </c>
      <c r="F586" s="1477" t="s">
        <v>4622</v>
      </c>
      <c r="G586" s="1479"/>
      <c r="H586" s="1470" t="s">
        <v>3639</v>
      </c>
      <c r="I586" s="1480">
        <v>48061.0</v>
      </c>
      <c r="J586" s="1478" t="s">
        <v>3976</v>
      </c>
      <c r="K586" s="1476" t="s">
        <v>3647</v>
      </c>
      <c r="L586" s="1479"/>
      <c r="M586" s="1479"/>
      <c r="N586" s="1479"/>
      <c r="O586" s="1479"/>
      <c r="P586" s="1479"/>
      <c r="Q586" s="1479"/>
      <c r="R586" s="1479"/>
      <c r="S586" s="1479"/>
      <c r="T586" s="1479"/>
      <c r="U586" s="1479"/>
      <c r="V586" s="1479"/>
      <c r="W586" s="1479"/>
      <c r="X586" s="1479"/>
      <c r="Y586" s="1479"/>
      <c r="Z586" s="1479"/>
    </row>
    <row r="587">
      <c r="A587" s="1474" t="s">
        <v>4621</v>
      </c>
      <c r="B587" s="1475">
        <v>86000.0</v>
      </c>
      <c r="C587" s="1476">
        <v>2021.0</v>
      </c>
      <c r="D587" s="1481"/>
      <c r="E587" s="1475" t="s">
        <v>666</v>
      </c>
      <c r="F587" s="1477" t="s">
        <v>4623</v>
      </c>
      <c r="G587" s="1479"/>
      <c r="H587" s="1470" t="s">
        <v>3639</v>
      </c>
      <c r="I587" s="1480">
        <v>48061.0</v>
      </c>
      <c r="J587" s="1480" t="s">
        <v>3976</v>
      </c>
      <c r="K587" s="1470" t="s">
        <v>3647</v>
      </c>
      <c r="L587" s="1464"/>
      <c r="M587" s="1479"/>
      <c r="N587" s="1479"/>
      <c r="O587" s="1479"/>
      <c r="P587" s="1479"/>
      <c r="Q587" s="1479"/>
      <c r="R587" s="1479"/>
      <c r="S587" s="1479"/>
      <c r="T587" s="1479"/>
      <c r="U587" s="1479"/>
      <c r="V587" s="1479"/>
      <c r="W587" s="1479"/>
      <c r="X587" s="1479"/>
      <c r="Y587" s="1479"/>
      <c r="Z587" s="1479"/>
    </row>
    <row r="588">
      <c r="A588" s="1474" t="s">
        <v>4624</v>
      </c>
      <c r="B588" s="1475">
        <v>86000.0</v>
      </c>
      <c r="C588" s="1476">
        <v>2021.0</v>
      </c>
      <c r="D588" s="1481"/>
      <c r="E588" s="1475" t="s">
        <v>666</v>
      </c>
      <c r="F588" s="1477" t="s">
        <v>4625</v>
      </c>
      <c r="G588" s="1479"/>
      <c r="H588" s="1470" t="s">
        <v>3639</v>
      </c>
      <c r="I588" s="1480">
        <v>48153.0</v>
      </c>
      <c r="J588" s="1480" t="s">
        <v>3976</v>
      </c>
      <c r="K588" s="1470" t="s">
        <v>3647</v>
      </c>
      <c r="L588" s="1464"/>
      <c r="M588" s="1479"/>
      <c r="N588" s="1479"/>
      <c r="O588" s="1479"/>
      <c r="P588" s="1479"/>
      <c r="Q588" s="1479"/>
      <c r="R588" s="1479"/>
      <c r="S588" s="1479"/>
      <c r="T588" s="1479"/>
      <c r="U588" s="1479"/>
      <c r="V588" s="1479"/>
      <c r="W588" s="1479"/>
      <c r="X588" s="1479"/>
      <c r="Y588" s="1479"/>
      <c r="Z588" s="1479"/>
    </row>
    <row r="589">
      <c r="A589" s="1474" t="s">
        <v>4624</v>
      </c>
      <c r="B589" s="1475">
        <v>86000.0</v>
      </c>
      <c r="C589" s="1476">
        <v>2021.0</v>
      </c>
      <c r="D589" s="1481"/>
      <c r="E589" s="1475" t="s">
        <v>666</v>
      </c>
      <c r="F589" s="1477" t="s">
        <v>4626</v>
      </c>
      <c r="G589" s="1479"/>
      <c r="H589" s="1470" t="s">
        <v>3639</v>
      </c>
      <c r="I589" s="1480">
        <v>48153.0</v>
      </c>
      <c r="J589" s="1480" t="s">
        <v>3976</v>
      </c>
      <c r="K589" s="1470" t="s">
        <v>3647</v>
      </c>
      <c r="L589" s="1464"/>
      <c r="M589" s="1479"/>
      <c r="N589" s="1479"/>
      <c r="O589" s="1479"/>
      <c r="P589" s="1479"/>
      <c r="Q589" s="1479"/>
      <c r="R589" s="1479"/>
      <c r="S589" s="1479"/>
      <c r="T589" s="1479"/>
      <c r="U589" s="1479"/>
      <c r="V589" s="1479"/>
      <c r="W589" s="1479"/>
      <c r="X589" s="1479"/>
      <c r="Y589" s="1479"/>
      <c r="Z589" s="1479"/>
    </row>
    <row r="590">
      <c r="A590" s="1474" t="s">
        <v>4627</v>
      </c>
      <c r="B590" s="1475">
        <v>86000.0</v>
      </c>
      <c r="C590" s="1476">
        <v>2022.0</v>
      </c>
      <c r="D590" s="1481"/>
      <c r="E590" s="1475" t="s">
        <v>666</v>
      </c>
      <c r="F590" s="1477" t="s">
        <v>4628</v>
      </c>
      <c r="G590" s="1464"/>
      <c r="H590" s="1470" t="s">
        <v>3639</v>
      </c>
      <c r="I590" s="1480">
        <v>48214.0</v>
      </c>
      <c r="J590" s="1480" t="s">
        <v>3976</v>
      </c>
      <c r="K590" s="1476" t="s">
        <v>3647</v>
      </c>
      <c r="L590" s="1479"/>
      <c r="M590" s="1464"/>
      <c r="N590" s="1464"/>
      <c r="O590" s="1464"/>
      <c r="P590" s="1464"/>
      <c r="Q590" s="1464"/>
      <c r="R590" s="1464"/>
      <c r="S590" s="1464"/>
      <c r="T590" s="1464"/>
      <c r="U590" s="1464"/>
      <c r="V590" s="1464"/>
      <c r="W590" s="1464"/>
      <c r="X590" s="1464"/>
      <c r="Y590" s="1464"/>
      <c r="Z590" s="1464"/>
    </row>
    <row r="591">
      <c r="A591" s="1474" t="s">
        <v>4627</v>
      </c>
      <c r="B591" s="1475">
        <v>86000.0</v>
      </c>
      <c r="C591" s="1476">
        <v>2022.0</v>
      </c>
      <c r="D591" s="1481"/>
      <c r="E591" s="1475" t="s">
        <v>666</v>
      </c>
      <c r="F591" s="1477" t="s">
        <v>4629</v>
      </c>
      <c r="G591" s="1464"/>
      <c r="H591" s="1470" t="s">
        <v>3639</v>
      </c>
      <c r="I591" s="1480">
        <v>48214.0</v>
      </c>
      <c r="J591" s="1480" t="s">
        <v>3976</v>
      </c>
      <c r="K591" s="1476" t="s">
        <v>3647</v>
      </c>
      <c r="L591" s="1479"/>
      <c r="M591" s="1464"/>
      <c r="N591" s="1464"/>
      <c r="O591" s="1464"/>
      <c r="P591" s="1464"/>
      <c r="Q591" s="1464"/>
      <c r="R591" s="1464"/>
      <c r="S591" s="1464"/>
      <c r="T591" s="1464"/>
      <c r="U591" s="1464"/>
      <c r="V591" s="1464"/>
      <c r="W591" s="1464"/>
      <c r="X591" s="1464"/>
      <c r="Y591" s="1464"/>
      <c r="Z591" s="1464"/>
    </row>
    <row r="592">
      <c r="A592" s="1485" t="s">
        <v>4630</v>
      </c>
      <c r="B592" s="1486">
        <v>86700.0</v>
      </c>
      <c r="C592" s="1487">
        <v>2026.0</v>
      </c>
      <c r="D592" s="1492"/>
      <c r="E592" s="1486" t="s">
        <v>666</v>
      </c>
      <c r="F592" s="1488" t="s">
        <v>4631</v>
      </c>
      <c r="G592" s="1489"/>
      <c r="H592" s="1487" t="s">
        <v>3718</v>
      </c>
      <c r="I592" s="1490">
        <v>48670.0</v>
      </c>
      <c r="J592" s="1487" t="s">
        <v>4022</v>
      </c>
      <c r="K592" s="1487" t="s">
        <v>4001</v>
      </c>
      <c r="L592" s="1464"/>
      <c r="M592" s="1464"/>
      <c r="N592" s="1464"/>
      <c r="O592" s="1464"/>
      <c r="P592" s="1464"/>
      <c r="Q592" s="1464"/>
      <c r="R592" s="1464"/>
      <c r="S592" s="1464"/>
      <c r="T592" s="1464"/>
      <c r="U592" s="1464"/>
      <c r="V592" s="1464"/>
      <c r="W592" s="1464"/>
      <c r="X592" s="1464"/>
      <c r="Y592" s="1464"/>
      <c r="Z592" s="1464"/>
    </row>
    <row r="593">
      <c r="A593" s="1488" t="s">
        <v>4632</v>
      </c>
      <c r="B593" s="1486">
        <v>87000.0</v>
      </c>
      <c r="C593" s="1487">
        <v>2026.0</v>
      </c>
      <c r="D593" s="1486" t="s">
        <v>3636</v>
      </c>
      <c r="E593" s="1486" t="s">
        <v>666</v>
      </c>
      <c r="F593" s="1488" t="s">
        <v>4633</v>
      </c>
      <c r="G593" s="1489"/>
      <c r="H593" s="1487" t="s">
        <v>4605</v>
      </c>
      <c r="I593" s="1490">
        <v>48670.0</v>
      </c>
      <c r="J593" s="1487" t="s">
        <v>3640</v>
      </c>
      <c r="K593" s="1487" t="s">
        <v>3641</v>
      </c>
      <c r="L593" s="1464"/>
      <c r="M593" s="1479"/>
      <c r="N593" s="1479"/>
      <c r="O593" s="1479"/>
      <c r="P593" s="1479"/>
      <c r="Q593" s="1479"/>
      <c r="R593" s="1479"/>
      <c r="S593" s="1479"/>
      <c r="T593" s="1479"/>
      <c r="U593" s="1479"/>
      <c r="V593" s="1479"/>
      <c r="W593" s="1479"/>
      <c r="X593" s="1479"/>
      <c r="Y593" s="1479"/>
      <c r="Z593" s="1479"/>
    </row>
    <row r="594">
      <c r="A594" s="1488" t="s">
        <v>4634</v>
      </c>
      <c r="B594" s="1486">
        <v>87000.0</v>
      </c>
      <c r="C594" s="1487">
        <v>2026.0</v>
      </c>
      <c r="D594" s="1486" t="s">
        <v>3636</v>
      </c>
      <c r="E594" s="1486" t="s">
        <v>666</v>
      </c>
      <c r="F594" s="1488" t="s">
        <v>4635</v>
      </c>
      <c r="G594" s="1489"/>
      <c r="H594" s="1487" t="s">
        <v>4605</v>
      </c>
      <c r="I594" s="1505">
        <v>48700.0</v>
      </c>
      <c r="J594" s="1487" t="s">
        <v>3640</v>
      </c>
      <c r="K594" s="1487" t="s">
        <v>3641</v>
      </c>
      <c r="L594" s="1464"/>
      <c r="M594" s="1464"/>
      <c r="N594" s="1464"/>
      <c r="O594" s="1464"/>
      <c r="P594" s="1464"/>
      <c r="Q594" s="1464"/>
      <c r="R594" s="1464"/>
      <c r="S594" s="1464"/>
      <c r="T594" s="1464"/>
      <c r="U594" s="1464"/>
      <c r="V594" s="1464"/>
      <c r="W594" s="1464"/>
      <c r="X594" s="1464"/>
      <c r="Y594" s="1464"/>
      <c r="Z594" s="1464"/>
    </row>
    <row r="595">
      <c r="A595" s="1485" t="s">
        <v>4630</v>
      </c>
      <c r="B595" s="1486">
        <v>86700.0</v>
      </c>
      <c r="C595" s="1487">
        <v>2026.0</v>
      </c>
      <c r="D595" s="1492"/>
      <c r="E595" s="1486" t="s">
        <v>666</v>
      </c>
      <c r="F595" s="1488" t="s">
        <v>4636</v>
      </c>
      <c r="G595" s="1489"/>
      <c r="H595" s="1487" t="s">
        <v>3718</v>
      </c>
      <c r="I595" s="1490">
        <v>48731.0</v>
      </c>
      <c r="J595" s="1487" t="s">
        <v>4022</v>
      </c>
      <c r="K595" s="1487" t="s">
        <v>4001</v>
      </c>
      <c r="L595" s="1464"/>
      <c r="M595" s="1464"/>
      <c r="N595" s="1464"/>
      <c r="O595" s="1464"/>
      <c r="P595" s="1464"/>
      <c r="Q595" s="1464"/>
      <c r="R595" s="1464"/>
      <c r="S595" s="1464"/>
      <c r="T595" s="1464"/>
      <c r="U595" s="1464"/>
      <c r="V595" s="1464"/>
      <c r="W595" s="1464"/>
      <c r="X595" s="1464"/>
      <c r="Y595" s="1464"/>
      <c r="Z595" s="1464"/>
    </row>
    <row r="596">
      <c r="A596" s="1485" t="s">
        <v>4637</v>
      </c>
      <c r="B596" s="1486">
        <v>86700.0</v>
      </c>
      <c r="C596" s="1487">
        <v>2026.0</v>
      </c>
      <c r="D596" s="1492"/>
      <c r="E596" s="1486" t="s">
        <v>666</v>
      </c>
      <c r="F596" s="1488" t="s">
        <v>4638</v>
      </c>
      <c r="G596" s="1489"/>
      <c r="H596" s="1487" t="s">
        <v>3718</v>
      </c>
      <c r="I596" s="1490">
        <v>48853.0</v>
      </c>
      <c r="J596" s="1487" t="s">
        <v>4022</v>
      </c>
      <c r="K596" s="1487" t="s">
        <v>4001</v>
      </c>
      <c r="L596" s="1464"/>
      <c r="M596" s="1464"/>
      <c r="N596" s="1464"/>
      <c r="O596" s="1464"/>
      <c r="P596" s="1464"/>
      <c r="Q596" s="1464"/>
      <c r="R596" s="1464"/>
      <c r="S596" s="1464"/>
      <c r="T596" s="1464"/>
      <c r="U596" s="1464"/>
      <c r="V596" s="1464"/>
      <c r="W596" s="1464"/>
      <c r="X596" s="1464"/>
      <c r="Y596" s="1464"/>
      <c r="Z596" s="1464"/>
    </row>
    <row r="597">
      <c r="A597" s="1485" t="s">
        <v>4637</v>
      </c>
      <c r="B597" s="1486">
        <v>86700.0</v>
      </c>
      <c r="C597" s="1487">
        <v>2026.0</v>
      </c>
      <c r="D597" s="1492"/>
      <c r="E597" s="1486" t="s">
        <v>666</v>
      </c>
      <c r="F597" s="1488" t="s">
        <v>4639</v>
      </c>
      <c r="G597" s="1489"/>
      <c r="H597" s="1487" t="s">
        <v>3718</v>
      </c>
      <c r="I597" s="1490">
        <v>48853.0</v>
      </c>
      <c r="J597" s="1487" t="s">
        <v>4022</v>
      </c>
      <c r="K597" s="1487" t="s">
        <v>4001</v>
      </c>
      <c r="L597" s="1464"/>
      <c r="M597" s="1464"/>
      <c r="N597" s="1464"/>
      <c r="O597" s="1464"/>
      <c r="P597" s="1464"/>
      <c r="Q597" s="1464"/>
      <c r="R597" s="1464"/>
      <c r="S597" s="1464"/>
      <c r="T597" s="1464"/>
      <c r="U597" s="1464"/>
      <c r="V597" s="1464"/>
      <c r="W597" s="1464"/>
      <c r="X597" s="1464"/>
      <c r="Y597" s="1464"/>
      <c r="Z597" s="1464"/>
    </row>
    <row r="598">
      <c r="A598" s="1485" t="s">
        <v>4640</v>
      </c>
      <c r="B598" s="1486">
        <v>88000.0</v>
      </c>
      <c r="C598" s="1487">
        <v>2027.0</v>
      </c>
      <c r="D598" s="1486" t="s">
        <v>3636</v>
      </c>
      <c r="E598" s="1486" t="s">
        <v>3637</v>
      </c>
      <c r="F598" s="1488" t="s">
        <v>4641</v>
      </c>
      <c r="G598" s="1489"/>
      <c r="H598" s="1487" t="s">
        <v>3639</v>
      </c>
      <c r="I598" s="1490">
        <v>49310.0</v>
      </c>
      <c r="J598" s="1487" t="s">
        <v>3944</v>
      </c>
      <c r="K598" s="1487" t="s">
        <v>3759</v>
      </c>
      <c r="L598" s="1464"/>
      <c r="M598" s="1464"/>
      <c r="N598" s="1464"/>
      <c r="O598" s="1464"/>
      <c r="P598" s="1464"/>
      <c r="Q598" s="1464"/>
      <c r="R598" s="1464"/>
      <c r="S598" s="1464"/>
      <c r="T598" s="1464"/>
      <c r="U598" s="1464"/>
      <c r="V598" s="1464"/>
      <c r="W598" s="1464"/>
      <c r="X598" s="1464"/>
      <c r="Y598" s="1464"/>
      <c r="Z598" s="1464"/>
    </row>
    <row r="599">
      <c r="A599" s="1485" t="s">
        <v>4642</v>
      </c>
      <c r="B599" s="1486">
        <v>88000.0</v>
      </c>
      <c r="C599" s="1487">
        <v>2026.0</v>
      </c>
      <c r="D599" s="1486" t="s">
        <v>3636</v>
      </c>
      <c r="E599" s="1486" t="s">
        <v>3637</v>
      </c>
      <c r="F599" s="1488" t="s">
        <v>4643</v>
      </c>
      <c r="G599" s="1489"/>
      <c r="H599" s="1487" t="s">
        <v>3639</v>
      </c>
      <c r="I599" s="1490">
        <v>49735.0</v>
      </c>
      <c r="J599" s="1487" t="s">
        <v>3722</v>
      </c>
      <c r="K599" s="1487" t="s">
        <v>3759</v>
      </c>
      <c r="L599" s="1464"/>
      <c r="M599" s="1464"/>
      <c r="N599" s="1464"/>
      <c r="O599" s="1464"/>
      <c r="P599" s="1464"/>
      <c r="Q599" s="1464"/>
      <c r="R599" s="1464"/>
      <c r="S599" s="1464"/>
      <c r="T599" s="1464"/>
      <c r="U599" s="1464"/>
      <c r="V599" s="1464"/>
      <c r="W599" s="1464"/>
      <c r="X599" s="1464"/>
      <c r="Y599" s="1464"/>
      <c r="Z599" s="1464"/>
    </row>
    <row r="600">
      <c r="A600" s="1485" t="s">
        <v>4642</v>
      </c>
      <c r="B600" s="1486">
        <v>88000.0</v>
      </c>
      <c r="C600" s="1487">
        <v>2026.0</v>
      </c>
      <c r="D600" s="1486" t="s">
        <v>3636</v>
      </c>
      <c r="E600" s="1486" t="s">
        <v>3637</v>
      </c>
      <c r="F600" s="1488" t="s">
        <v>4644</v>
      </c>
      <c r="G600" s="1489"/>
      <c r="H600" s="1487" t="s">
        <v>3639</v>
      </c>
      <c r="I600" s="1490">
        <v>49735.0</v>
      </c>
      <c r="J600" s="1487" t="s">
        <v>3722</v>
      </c>
      <c r="K600" s="1487" t="s">
        <v>3759</v>
      </c>
      <c r="L600" s="1464"/>
      <c r="M600" s="1464"/>
      <c r="N600" s="1464"/>
      <c r="O600" s="1464"/>
      <c r="P600" s="1464"/>
      <c r="Q600" s="1464"/>
      <c r="R600" s="1464"/>
      <c r="S600" s="1464"/>
      <c r="T600" s="1464"/>
      <c r="U600" s="1464"/>
      <c r="V600" s="1464"/>
      <c r="W600" s="1464"/>
      <c r="X600" s="1464"/>
      <c r="Y600" s="1464"/>
      <c r="Z600" s="1464"/>
    </row>
    <row r="601">
      <c r="A601" s="1485" t="s">
        <v>4645</v>
      </c>
      <c r="B601" s="1486">
        <v>88000.0</v>
      </c>
      <c r="C601" s="1487">
        <v>2026.0</v>
      </c>
      <c r="D601" s="1486" t="s">
        <v>3636</v>
      </c>
      <c r="E601" s="1486" t="s">
        <v>3637</v>
      </c>
      <c r="F601" s="1488" t="s">
        <v>4646</v>
      </c>
      <c r="G601" s="1489"/>
      <c r="H601" s="1487" t="s">
        <v>3639</v>
      </c>
      <c r="I601" s="1490">
        <v>49766.0</v>
      </c>
      <c r="J601" s="1487" t="s">
        <v>3722</v>
      </c>
      <c r="K601" s="1487" t="s">
        <v>3759</v>
      </c>
      <c r="L601" s="1464"/>
      <c r="M601" s="1464"/>
      <c r="N601" s="1464"/>
      <c r="O601" s="1464"/>
      <c r="P601" s="1464"/>
      <c r="Q601" s="1464"/>
      <c r="R601" s="1464"/>
      <c r="S601" s="1464"/>
      <c r="T601" s="1464"/>
      <c r="U601" s="1464"/>
      <c r="V601" s="1464"/>
      <c r="W601" s="1464"/>
      <c r="X601" s="1464"/>
      <c r="Y601" s="1464"/>
      <c r="Z601" s="1464"/>
    </row>
    <row r="602">
      <c r="A602" s="1485" t="s">
        <v>4645</v>
      </c>
      <c r="B602" s="1486">
        <v>88000.0</v>
      </c>
      <c r="C602" s="1487">
        <v>2026.0</v>
      </c>
      <c r="D602" s="1486" t="s">
        <v>3636</v>
      </c>
      <c r="E602" s="1486" t="s">
        <v>3637</v>
      </c>
      <c r="F602" s="1488" t="s">
        <v>4647</v>
      </c>
      <c r="G602" s="1489"/>
      <c r="H602" s="1487" t="s">
        <v>3639</v>
      </c>
      <c r="I602" s="1490">
        <v>49766.0</v>
      </c>
      <c r="J602" s="1487" t="s">
        <v>3722</v>
      </c>
      <c r="K602" s="1487" t="s">
        <v>3759</v>
      </c>
      <c r="L602" s="1464"/>
      <c r="M602" s="1464"/>
      <c r="N602" s="1464"/>
      <c r="O602" s="1464"/>
      <c r="P602" s="1464"/>
      <c r="Q602" s="1464"/>
      <c r="R602" s="1464"/>
      <c r="S602" s="1464"/>
      <c r="T602" s="1464"/>
      <c r="U602" s="1464"/>
      <c r="V602" s="1464"/>
      <c r="W602" s="1464"/>
      <c r="X602" s="1464"/>
      <c r="Y602" s="1464"/>
      <c r="Z602" s="1464"/>
    </row>
    <row r="603">
      <c r="A603" s="1485" t="s">
        <v>4648</v>
      </c>
      <c r="B603" s="1486">
        <v>88000.0</v>
      </c>
      <c r="C603" s="1487">
        <v>2026.0</v>
      </c>
      <c r="D603" s="1486" t="s">
        <v>3636</v>
      </c>
      <c r="E603" s="1486" t="s">
        <v>3637</v>
      </c>
      <c r="F603" s="1488" t="s">
        <v>4649</v>
      </c>
      <c r="G603" s="1489"/>
      <c r="H603" s="1487" t="s">
        <v>3639</v>
      </c>
      <c r="I603" s="1490">
        <v>49796.0</v>
      </c>
      <c r="J603" s="1487" t="s">
        <v>3722</v>
      </c>
      <c r="K603" s="1487" t="s">
        <v>3759</v>
      </c>
      <c r="L603" s="1464"/>
      <c r="M603" s="1464"/>
      <c r="N603" s="1464"/>
      <c r="O603" s="1464"/>
      <c r="P603" s="1464"/>
      <c r="Q603" s="1464"/>
      <c r="R603" s="1464"/>
      <c r="S603" s="1464"/>
      <c r="T603" s="1464"/>
      <c r="U603" s="1464"/>
      <c r="V603" s="1464"/>
      <c r="W603" s="1464"/>
      <c r="X603" s="1464"/>
      <c r="Y603" s="1464"/>
      <c r="Z603" s="1464"/>
    </row>
    <row r="604">
      <c r="A604" s="1485" t="s">
        <v>4650</v>
      </c>
      <c r="B604" s="1486">
        <v>88000.0</v>
      </c>
      <c r="C604" s="1487">
        <v>2026.0</v>
      </c>
      <c r="D604" s="1486" t="s">
        <v>3636</v>
      </c>
      <c r="E604" s="1486" t="s">
        <v>3637</v>
      </c>
      <c r="F604" s="1488" t="s">
        <v>4649</v>
      </c>
      <c r="G604" s="1489"/>
      <c r="H604" s="1487" t="s">
        <v>3639</v>
      </c>
      <c r="I604" s="1490">
        <v>49796.0</v>
      </c>
      <c r="J604" s="1487" t="s">
        <v>3722</v>
      </c>
      <c r="K604" s="1487" t="s">
        <v>3759</v>
      </c>
      <c r="L604" s="1464"/>
      <c r="M604" s="1464"/>
      <c r="N604" s="1464"/>
      <c r="O604" s="1464"/>
      <c r="P604" s="1464"/>
      <c r="Q604" s="1464"/>
      <c r="R604" s="1464"/>
      <c r="S604" s="1464"/>
      <c r="T604" s="1464"/>
      <c r="U604" s="1464"/>
      <c r="V604" s="1464"/>
      <c r="W604" s="1464"/>
      <c r="X604" s="1464"/>
      <c r="Y604" s="1464"/>
      <c r="Z604" s="1464"/>
    </row>
    <row r="605">
      <c r="A605" s="1485" t="s">
        <v>4648</v>
      </c>
      <c r="B605" s="1486">
        <v>88000.0</v>
      </c>
      <c r="C605" s="1487">
        <v>2026.0</v>
      </c>
      <c r="D605" s="1486" t="s">
        <v>3636</v>
      </c>
      <c r="E605" s="1486" t="s">
        <v>3637</v>
      </c>
      <c r="F605" s="1488" t="s">
        <v>4651</v>
      </c>
      <c r="G605" s="1489"/>
      <c r="H605" s="1487" t="s">
        <v>3639</v>
      </c>
      <c r="I605" s="1490">
        <v>49796.0</v>
      </c>
      <c r="J605" s="1487" t="s">
        <v>3722</v>
      </c>
      <c r="K605" s="1487" t="s">
        <v>3759</v>
      </c>
      <c r="L605" s="1464"/>
      <c r="M605" s="1464"/>
      <c r="N605" s="1464"/>
      <c r="O605" s="1464"/>
      <c r="P605" s="1464"/>
      <c r="Q605" s="1464"/>
      <c r="R605" s="1464"/>
      <c r="S605" s="1464"/>
      <c r="T605" s="1464"/>
      <c r="U605" s="1464"/>
      <c r="V605" s="1464"/>
      <c r="W605" s="1464"/>
      <c r="X605" s="1464"/>
      <c r="Y605" s="1464"/>
      <c r="Z605" s="1464"/>
    </row>
    <row r="606">
      <c r="A606" s="1485" t="s">
        <v>4650</v>
      </c>
      <c r="B606" s="1486">
        <v>88000.0</v>
      </c>
      <c r="C606" s="1487">
        <v>2026.0</v>
      </c>
      <c r="D606" s="1486" t="s">
        <v>3636</v>
      </c>
      <c r="E606" s="1486" t="s">
        <v>3637</v>
      </c>
      <c r="F606" s="1488" t="s">
        <v>4651</v>
      </c>
      <c r="G606" s="1489"/>
      <c r="H606" s="1487" t="s">
        <v>3639</v>
      </c>
      <c r="I606" s="1490">
        <v>49796.0</v>
      </c>
      <c r="J606" s="1487" t="s">
        <v>3722</v>
      </c>
      <c r="K606" s="1487" t="s">
        <v>3759</v>
      </c>
      <c r="L606" s="1464"/>
      <c r="M606" s="1464"/>
      <c r="N606" s="1464"/>
      <c r="O606" s="1464"/>
      <c r="P606" s="1464"/>
      <c r="Q606" s="1464"/>
      <c r="R606" s="1464"/>
      <c r="S606" s="1464"/>
      <c r="T606" s="1464"/>
      <c r="U606" s="1464"/>
      <c r="V606" s="1464"/>
      <c r="W606" s="1464"/>
      <c r="X606" s="1464"/>
      <c r="Y606" s="1464"/>
      <c r="Z606" s="1464"/>
    </row>
    <row r="607">
      <c r="A607" s="1485" t="s">
        <v>4652</v>
      </c>
      <c r="B607" s="1486">
        <v>88000.0</v>
      </c>
      <c r="C607" s="1487">
        <v>2026.0</v>
      </c>
      <c r="D607" s="1486" t="s">
        <v>3636</v>
      </c>
      <c r="E607" s="1486" t="s">
        <v>3637</v>
      </c>
      <c r="F607" s="1488" t="s">
        <v>4653</v>
      </c>
      <c r="G607" s="1489"/>
      <c r="H607" s="1487" t="s">
        <v>3639</v>
      </c>
      <c r="I607" s="1490">
        <v>49827.0</v>
      </c>
      <c r="J607" s="1487" t="s">
        <v>3722</v>
      </c>
      <c r="K607" s="1487" t="s">
        <v>3759</v>
      </c>
      <c r="L607" s="1464"/>
      <c r="M607" s="1464"/>
      <c r="N607" s="1464"/>
      <c r="O607" s="1464"/>
      <c r="P607" s="1464"/>
      <c r="Q607" s="1464"/>
      <c r="R607" s="1464"/>
      <c r="S607" s="1464"/>
      <c r="T607" s="1464"/>
      <c r="U607" s="1464"/>
      <c r="V607" s="1464"/>
      <c r="W607" s="1464"/>
      <c r="X607" s="1464"/>
      <c r="Y607" s="1464"/>
      <c r="Z607" s="1464"/>
    </row>
    <row r="608">
      <c r="A608" s="1485" t="s">
        <v>4652</v>
      </c>
      <c r="B608" s="1486">
        <v>88000.0</v>
      </c>
      <c r="C608" s="1487">
        <v>2026.0</v>
      </c>
      <c r="D608" s="1486" t="s">
        <v>3636</v>
      </c>
      <c r="E608" s="1486" t="s">
        <v>3637</v>
      </c>
      <c r="F608" s="1488" t="s">
        <v>4654</v>
      </c>
      <c r="G608" s="1489"/>
      <c r="H608" s="1487" t="s">
        <v>3639</v>
      </c>
      <c r="I608" s="1490">
        <v>49827.0</v>
      </c>
      <c r="J608" s="1487" t="s">
        <v>3722</v>
      </c>
      <c r="K608" s="1487" t="s">
        <v>3759</v>
      </c>
      <c r="L608" s="1464"/>
      <c r="M608" s="1464"/>
      <c r="N608" s="1464"/>
      <c r="O608" s="1464"/>
      <c r="P608" s="1464"/>
      <c r="Q608" s="1464"/>
      <c r="R608" s="1464"/>
      <c r="S608" s="1464"/>
      <c r="T608" s="1464"/>
      <c r="U608" s="1464"/>
      <c r="V608" s="1464"/>
      <c r="W608" s="1464"/>
      <c r="X608" s="1464"/>
      <c r="Y608" s="1464"/>
      <c r="Z608" s="1464"/>
    </row>
    <row r="609">
      <c r="A609" s="1485" t="s">
        <v>4655</v>
      </c>
      <c r="B609" s="1486">
        <v>88000.0</v>
      </c>
      <c r="C609" s="1487">
        <v>2026.0</v>
      </c>
      <c r="D609" s="1486" t="s">
        <v>3636</v>
      </c>
      <c r="E609" s="1486" t="s">
        <v>3637</v>
      </c>
      <c r="F609" s="1488" t="s">
        <v>4656</v>
      </c>
      <c r="G609" s="1489"/>
      <c r="H609" s="1487" t="s">
        <v>3639</v>
      </c>
      <c r="I609" s="1490">
        <v>49949.0</v>
      </c>
      <c r="J609" s="1487" t="s">
        <v>3944</v>
      </c>
      <c r="K609" s="1487" t="s">
        <v>3759</v>
      </c>
      <c r="L609" s="1464"/>
      <c r="M609" s="1464"/>
      <c r="N609" s="1464"/>
      <c r="O609" s="1464"/>
      <c r="P609" s="1464"/>
      <c r="Q609" s="1464"/>
      <c r="R609" s="1464"/>
      <c r="S609" s="1464"/>
      <c r="T609" s="1464"/>
      <c r="U609" s="1464"/>
      <c r="V609" s="1464"/>
      <c r="W609" s="1464"/>
      <c r="X609" s="1464"/>
      <c r="Y609" s="1464"/>
      <c r="Z609" s="1464"/>
    </row>
    <row r="610">
      <c r="A610" s="1485" t="s">
        <v>4655</v>
      </c>
      <c r="B610" s="1486">
        <v>88000.0</v>
      </c>
      <c r="C610" s="1487">
        <v>2026.0</v>
      </c>
      <c r="D610" s="1486" t="s">
        <v>3636</v>
      </c>
      <c r="E610" s="1486" t="s">
        <v>3637</v>
      </c>
      <c r="F610" s="1488" t="s">
        <v>4657</v>
      </c>
      <c r="G610" s="1489"/>
      <c r="H610" s="1487" t="s">
        <v>3639</v>
      </c>
      <c r="I610" s="1490">
        <v>49949.0</v>
      </c>
      <c r="J610" s="1487" t="s">
        <v>3944</v>
      </c>
      <c r="K610" s="1487" t="s">
        <v>3759</v>
      </c>
      <c r="L610" s="1464"/>
      <c r="M610" s="1464"/>
      <c r="N610" s="1464"/>
      <c r="O610" s="1464"/>
      <c r="P610" s="1464"/>
      <c r="Q610" s="1464"/>
      <c r="R610" s="1464"/>
      <c r="S610" s="1464"/>
      <c r="T610" s="1464"/>
      <c r="U610" s="1464"/>
      <c r="V610" s="1464"/>
      <c r="W610" s="1464"/>
      <c r="X610" s="1464"/>
      <c r="Y610" s="1464"/>
      <c r="Z610" s="1464"/>
    </row>
    <row r="611">
      <c r="A611" s="1485" t="s">
        <v>4640</v>
      </c>
      <c r="B611" s="1486">
        <v>88000.0</v>
      </c>
      <c r="C611" s="1487">
        <v>2027.0</v>
      </c>
      <c r="D611" s="1486" t="s">
        <v>3636</v>
      </c>
      <c r="E611" s="1486" t="s">
        <v>3637</v>
      </c>
      <c r="F611" s="1488" t="s">
        <v>4658</v>
      </c>
      <c r="G611" s="1489"/>
      <c r="H611" s="1487" t="s">
        <v>3639</v>
      </c>
      <c r="I611" s="1490">
        <v>50041.0</v>
      </c>
      <c r="J611" s="1487" t="s">
        <v>3944</v>
      </c>
      <c r="K611" s="1487" t="s">
        <v>3759</v>
      </c>
      <c r="L611" s="1464"/>
      <c r="M611" s="1464"/>
      <c r="N611" s="1464"/>
      <c r="O611" s="1464"/>
      <c r="P611" s="1464"/>
      <c r="Q611" s="1464"/>
      <c r="R611" s="1464"/>
      <c r="S611" s="1464"/>
      <c r="T611" s="1464"/>
      <c r="U611" s="1464"/>
      <c r="V611" s="1464"/>
      <c r="W611" s="1464"/>
      <c r="X611" s="1464"/>
      <c r="Y611" s="1464"/>
      <c r="Z611" s="1464"/>
    </row>
    <row r="612">
      <c r="A612" s="1474" t="s">
        <v>3700</v>
      </c>
      <c r="B612" s="1475">
        <v>91000.0</v>
      </c>
      <c r="C612" s="1476">
        <v>2023.0</v>
      </c>
      <c r="D612" s="1481"/>
      <c r="E612" s="1475" t="s">
        <v>666</v>
      </c>
      <c r="F612" s="1477" t="s">
        <v>4499</v>
      </c>
      <c r="G612" s="1479"/>
      <c r="H612" s="1476" t="s">
        <v>3702</v>
      </c>
      <c r="I612" s="1480">
        <v>50406.0</v>
      </c>
      <c r="J612" s="1476" t="s">
        <v>2935</v>
      </c>
      <c r="K612" s="1476" t="s">
        <v>3732</v>
      </c>
      <c r="L612" s="1479"/>
      <c r="M612" s="1464"/>
      <c r="N612" s="1464"/>
      <c r="O612" s="1464"/>
      <c r="P612" s="1464"/>
      <c r="Q612" s="1464"/>
      <c r="R612" s="1464"/>
      <c r="S612" s="1464"/>
      <c r="T612" s="1464"/>
      <c r="U612" s="1464"/>
      <c r="V612" s="1464"/>
      <c r="W612" s="1464"/>
      <c r="X612" s="1464"/>
      <c r="Y612" s="1464"/>
      <c r="Z612" s="1464"/>
    </row>
    <row r="613">
      <c r="A613" s="1474" t="s">
        <v>4659</v>
      </c>
      <c r="B613" s="1475">
        <v>91000.0</v>
      </c>
      <c r="C613" s="1476">
        <v>2023.0</v>
      </c>
      <c r="D613" s="1481"/>
      <c r="E613" s="1475" t="s">
        <v>666</v>
      </c>
      <c r="F613" s="1477" t="s">
        <v>4499</v>
      </c>
      <c r="G613" s="1479"/>
      <c r="H613" s="1476" t="s">
        <v>3702</v>
      </c>
      <c r="I613" s="1480">
        <v>50618.0</v>
      </c>
      <c r="J613" s="1476" t="s">
        <v>3696</v>
      </c>
      <c r="K613" s="1476" t="s">
        <v>3732</v>
      </c>
      <c r="L613" s="1479"/>
      <c r="M613" s="1479"/>
      <c r="N613" s="1479"/>
      <c r="O613" s="1479"/>
      <c r="P613" s="1479"/>
      <c r="Q613" s="1479"/>
      <c r="R613" s="1479"/>
      <c r="S613" s="1479"/>
      <c r="T613" s="1479"/>
      <c r="U613" s="1479"/>
      <c r="V613" s="1479"/>
      <c r="W613" s="1479"/>
      <c r="X613" s="1479"/>
      <c r="Y613" s="1479"/>
      <c r="Z613" s="1479"/>
    </row>
    <row r="614">
      <c r="A614" s="1474" t="s">
        <v>4176</v>
      </c>
      <c r="B614" s="1475">
        <v>91000.0</v>
      </c>
      <c r="C614" s="1476">
        <v>2023.0</v>
      </c>
      <c r="D614" s="1481"/>
      <c r="E614" s="1475" t="s">
        <v>666</v>
      </c>
      <c r="F614" s="1477" t="s">
        <v>4499</v>
      </c>
      <c r="G614" s="1479"/>
      <c r="H614" s="1476" t="s">
        <v>3702</v>
      </c>
      <c r="I614" s="1480">
        <v>50679.0</v>
      </c>
      <c r="J614" s="1476" t="s">
        <v>4038</v>
      </c>
      <c r="K614" s="1476" t="s">
        <v>3732</v>
      </c>
      <c r="L614" s="1479"/>
      <c r="M614" s="1479"/>
      <c r="N614" s="1479"/>
      <c r="O614" s="1479"/>
      <c r="P614" s="1479"/>
      <c r="Q614" s="1479"/>
      <c r="R614" s="1479"/>
      <c r="S614" s="1479"/>
      <c r="T614" s="1479"/>
      <c r="U614" s="1479"/>
      <c r="V614" s="1479"/>
      <c r="W614" s="1479"/>
      <c r="X614" s="1479"/>
      <c r="Y614" s="1479"/>
      <c r="Z614" s="1479"/>
    </row>
    <row r="615">
      <c r="A615" s="1511" t="s">
        <v>3695</v>
      </c>
      <c r="B615" s="1512"/>
      <c r="C615" s="1512"/>
      <c r="D615" s="1512"/>
      <c r="E615" s="1513" t="s">
        <v>1611</v>
      </c>
      <c r="F615" s="1512"/>
      <c r="G615" s="1464"/>
      <c r="H615" s="1464"/>
      <c r="I615" s="1470" t="s">
        <v>70</v>
      </c>
      <c r="J615" s="1464"/>
      <c r="K615" s="1464"/>
      <c r="L615" s="1464"/>
      <c r="M615" s="1479"/>
      <c r="N615" s="1479"/>
      <c r="O615" s="1479"/>
      <c r="P615" s="1479"/>
      <c r="Q615" s="1479"/>
      <c r="R615" s="1479"/>
      <c r="S615" s="1479"/>
      <c r="T615" s="1479"/>
      <c r="U615" s="1479"/>
      <c r="V615" s="1479"/>
      <c r="W615" s="1479"/>
      <c r="X615" s="1479"/>
      <c r="Y615" s="1479"/>
      <c r="Z615" s="1479"/>
    </row>
    <row r="616">
      <c r="A616" s="1485" t="s">
        <v>4660</v>
      </c>
      <c r="B616" s="1486">
        <v>93000.0</v>
      </c>
      <c r="C616" s="1487">
        <v>2027.0</v>
      </c>
      <c r="D616" s="1489"/>
      <c r="E616" s="1487" t="s">
        <v>666</v>
      </c>
      <c r="F616" s="1488" t="s">
        <v>4661</v>
      </c>
      <c r="G616" s="1489"/>
      <c r="H616" s="1487" t="s">
        <v>3962</v>
      </c>
      <c r="I616" s="1487" t="s">
        <v>4662</v>
      </c>
      <c r="J616" s="1487" t="s">
        <v>4313</v>
      </c>
      <c r="K616" s="1487" t="s">
        <v>4313</v>
      </c>
      <c r="L616" s="1464"/>
      <c r="M616" s="1479"/>
      <c r="N616" s="1479"/>
      <c r="O616" s="1479"/>
      <c r="P616" s="1479"/>
      <c r="Q616" s="1479"/>
      <c r="R616" s="1479"/>
      <c r="S616" s="1479"/>
      <c r="T616" s="1479"/>
      <c r="U616" s="1479"/>
      <c r="V616" s="1479"/>
      <c r="W616" s="1479"/>
      <c r="X616" s="1479"/>
      <c r="Y616" s="1479"/>
      <c r="Z616" s="1479"/>
    </row>
    <row r="617">
      <c r="A617" s="1485" t="s">
        <v>4663</v>
      </c>
      <c r="B617" s="1486">
        <v>93000.0</v>
      </c>
      <c r="C617" s="1487">
        <v>2027.0</v>
      </c>
      <c r="D617" s="1489"/>
      <c r="E617" s="1487" t="s">
        <v>666</v>
      </c>
      <c r="F617" s="1488" t="s">
        <v>4661</v>
      </c>
      <c r="G617" s="1489"/>
      <c r="H617" s="1487" t="s">
        <v>3962</v>
      </c>
      <c r="I617" s="1487" t="s">
        <v>4662</v>
      </c>
      <c r="J617" s="1487" t="s">
        <v>4313</v>
      </c>
      <c r="K617" s="1487" t="s">
        <v>4313</v>
      </c>
      <c r="L617" s="1464"/>
      <c r="M617" s="1479"/>
      <c r="N617" s="1479"/>
      <c r="O617" s="1479"/>
      <c r="P617" s="1479"/>
      <c r="Q617" s="1479"/>
      <c r="R617" s="1479"/>
      <c r="S617" s="1479"/>
      <c r="T617" s="1479"/>
      <c r="U617" s="1479"/>
      <c r="V617" s="1479"/>
      <c r="W617" s="1479"/>
      <c r="X617" s="1479"/>
      <c r="Y617" s="1479"/>
      <c r="Z617" s="1479"/>
    </row>
    <row r="618">
      <c r="A618" s="1468" t="s">
        <v>4664</v>
      </c>
      <c r="B618" s="1469">
        <v>86000.0</v>
      </c>
      <c r="C618" s="1470">
        <v>1992.0</v>
      </c>
      <c r="D618" s="1473"/>
      <c r="E618" s="1473"/>
      <c r="F618" s="1471" t="s">
        <v>4665</v>
      </c>
      <c r="G618" s="1464"/>
      <c r="H618" s="1464"/>
      <c r="I618" s="1470" t="s">
        <v>4666</v>
      </c>
      <c r="J618" s="1470" t="s">
        <v>4128</v>
      </c>
      <c r="K618" s="1464"/>
      <c r="L618" s="1464"/>
      <c r="M618" s="1464"/>
      <c r="N618" s="1464"/>
      <c r="O618" s="1464"/>
      <c r="P618" s="1464"/>
      <c r="Q618" s="1464"/>
      <c r="R618" s="1464"/>
      <c r="S618" s="1464"/>
      <c r="T618" s="1464"/>
      <c r="U618" s="1464"/>
      <c r="V618" s="1464"/>
      <c r="W618" s="1464"/>
      <c r="X618" s="1464"/>
      <c r="Y618" s="1464"/>
      <c r="Z618" s="1464"/>
    </row>
    <row r="619">
      <c r="A619" s="1468" t="s">
        <v>4667</v>
      </c>
      <c r="B619" s="1469">
        <v>84600.0</v>
      </c>
      <c r="C619" s="1470">
        <v>2009.0</v>
      </c>
      <c r="D619" s="1473"/>
      <c r="E619" s="1469" t="s">
        <v>3637</v>
      </c>
      <c r="F619" s="1471" t="s">
        <v>4668</v>
      </c>
      <c r="G619" s="1464"/>
      <c r="H619" s="1464"/>
      <c r="I619" s="1470" t="s">
        <v>4666</v>
      </c>
      <c r="J619" s="1470" t="s">
        <v>4128</v>
      </c>
      <c r="K619" s="1464"/>
      <c r="L619" s="1464"/>
      <c r="M619" s="1464"/>
      <c r="N619" s="1464"/>
      <c r="O619" s="1464"/>
      <c r="P619" s="1464"/>
      <c r="Q619" s="1464"/>
      <c r="R619" s="1464"/>
      <c r="S619" s="1464"/>
      <c r="T619" s="1464"/>
      <c r="U619" s="1464"/>
      <c r="V619" s="1464"/>
      <c r="W619" s="1464"/>
      <c r="X619" s="1464"/>
      <c r="Y619" s="1464"/>
      <c r="Z619" s="1464"/>
    </row>
    <row r="620">
      <c r="A620" s="1468" t="s">
        <v>4669</v>
      </c>
      <c r="B620" s="1469">
        <v>84500.0</v>
      </c>
      <c r="C620" s="1470">
        <v>1996.0</v>
      </c>
      <c r="D620" s="1473"/>
      <c r="E620" s="1473"/>
      <c r="F620" s="1477" t="s">
        <v>4670</v>
      </c>
      <c r="G620" s="1464"/>
      <c r="H620" s="1464"/>
      <c r="I620" s="1470" t="s">
        <v>4666</v>
      </c>
      <c r="J620" s="1470" t="s">
        <v>3570</v>
      </c>
      <c r="K620" s="1464"/>
      <c r="L620" s="1464"/>
      <c r="M620" s="1464"/>
      <c r="N620" s="1464"/>
      <c r="O620" s="1464"/>
      <c r="P620" s="1464"/>
      <c r="Q620" s="1464"/>
      <c r="R620" s="1464"/>
      <c r="S620" s="1464"/>
      <c r="T620" s="1464"/>
      <c r="U620" s="1464"/>
      <c r="V620" s="1464"/>
      <c r="W620" s="1464"/>
      <c r="X620" s="1464"/>
      <c r="Y620" s="1464"/>
      <c r="Z620" s="1464"/>
    </row>
    <row r="621">
      <c r="A621" s="1468" t="s">
        <v>4671</v>
      </c>
      <c r="B621" s="1469">
        <v>84300.0</v>
      </c>
      <c r="C621" s="1470">
        <v>2001.0</v>
      </c>
      <c r="D621" s="1473"/>
      <c r="E621" s="1473"/>
      <c r="F621" s="1471" t="s">
        <v>4672</v>
      </c>
      <c r="G621" s="1464"/>
      <c r="H621" s="1464"/>
      <c r="I621" s="1470" t="s">
        <v>4666</v>
      </c>
      <c r="J621" s="1470" t="s">
        <v>3611</v>
      </c>
      <c r="K621" s="1464"/>
      <c r="L621" s="1464"/>
      <c r="M621" s="1464"/>
      <c r="N621" s="1464"/>
      <c r="O621" s="1464"/>
      <c r="P621" s="1464"/>
      <c r="Q621" s="1464"/>
      <c r="R621" s="1464"/>
      <c r="S621" s="1464"/>
      <c r="T621" s="1464"/>
      <c r="U621" s="1464"/>
      <c r="V621" s="1464"/>
      <c r="W621" s="1464"/>
      <c r="X621" s="1464"/>
      <c r="Y621" s="1464"/>
      <c r="Z621" s="1464"/>
    </row>
    <row r="622">
      <c r="A622" s="1468" t="s">
        <v>4138</v>
      </c>
      <c r="B622" s="1469">
        <v>84000.0</v>
      </c>
      <c r="C622" s="1470">
        <v>2001.0</v>
      </c>
      <c r="D622" s="1473"/>
      <c r="E622" s="1473"/>
      <c r="F622" s="1471" t="s">
        <v>4673</v>
      </c>
      <c r="G622" s="1464"/>
      <c r="H622" s="1464"/>
      <c r="I622" s="1470" t="s">
        <v>4666</v>
      </c>
      <c r="J622" s="1470" t="s">
        <v>3611</v>
      </c>
      <c r="K622" s="1464"/>
      <c r="L622" s="1470" t="s">
        <v>4141</v>
      </c>
      <c r="M622" s="1479"/>
      <c r="N622" s="1479"/>
      <c r="O622" s="1479"/>
      <c r="P622" s="1479"/>
      <c r="Q622" s="1479"/>
      <c r="R622" s="1479"/>
      <c r="S622" s="1479"/>
      <c r="T622" s="1479"/>
      <c r="U622" s="1479"/>
      <c r="V622" s="1479"/>
      <c r="W622" s="1479"/>
      <c r="X622" s="1479"/>
      <c r="Y622" s="1479"/>
      <c r="Z622" s="1479"/>
    </row>
    <row r="623">
      <c r="A623" s="1468" t="s">
        <v>4674</v>
      </c>
      <c r="B623" s="1469">
        <v>83700.0</v>
      </c>
      <c r="C623" s="1470">
        <v>2008.0</v>
      </c>
      <c r="D623" s="1473"/>
      <c r="E623" s="1473"/>
      <c r="F623" s="1471" t="s">
        <v>4675</v>
      </c>
      <c r="G623" s="1479"/>
      <c r="H623" s="1479"/>
      <c r="I623" s="1470" t="s">
        <v>4666</v>
      </c>
      <c r="J623" s="1514" t="s">
        <v>3550</v>
      </c>
      <c r="K623" s="1514" t="s">
        <v>3550</v>
      </c>
      <c r="L623" s="1464"/>
      <c r="M623" s="1479"/>
      <c r="N623" s="1479"/>
      <c r="O623" s="1479"/>
      <c r="P623" s="1479"/>
      <c r="Q623" s="1479"/>
      <c r="R623" s="1479"/>
      <c r="S623" s="1479"/>
      <c r="T623" s="1479"/>
      <c r="U623" s="1479"/>
      <c r="V623" s="1479"/>
      <c r="W623" s="1479"/>
      <c r="X623" s="1479"/>
      <c r="Y623" s="1479"/>
      <c r="Z623" s="1479"/>
    </row>
    <row r="624">
      <c r="A624" s="1468" t="s">
        <v>4676</v>
      </c>
      <c r="B624" s="1469">
        <v>83000.0</v>
      </c>
      <c r="C624" s="1470">
        <v>2011.0</v>
      </c>
      <c r="D624" s="1473"/>
      <c r="E624" s="1469" t="s">
        <v>3637</v>
      </c>
      <c r="F624" s="1471" t="s">
        <v>4668</v>
      </c>
      <c r="G624" s="1464"/>
      <c r="H624" s="1464"/>
      <c r="I624" s="1470" t="s">
        <v>4666</v>
      </c>
      <c r="J624" s="1470" t="s">
        <v>3611</v>
      </c>
      <c r="K624" s="1464"/>
      <c r="L624" s="1464"/>
      <c r="M624" s="1464"/>
      <c r="N624" s="1464"/>
      <c r="O624" s="1464"/>
      <c r="P624" s="1464"/>
      <c r="Q624" s="1464"/>
      <c r="R624" s="1464"/>
      <c r="S624" s="1464"/>
      <c r="T624" s="1464"/>
      <c r="U624" s="1464"/>
      <c r="V624" s="1464"/>
      <c r="W624" s="1464"/>
      <c r="X624" s="1464"/>
      <c r="Y624" s="1464"/>
      <c r="Z624" s="1464"/>
    </row>
    <row r="625">
      <c r="A625" s="1468" t="s">
        <v>4677</v>
      </c>
      <c r="B625" s="1469">
        <v>83000.0</v>
      </c>
      <c r="C625" s="1470">
        <v>2006.0</v>
      </c>
      <c r="D625" s="1473"/>
      <c r="E625" s="1473"/>
      <c r="F625" s="1477" t="s">
        <v>4668</v>
      </c>
      <c r="G625" s="1464"/>
      <c r="H625" s="1464"/>
      <c r="I625" s="1470" t="s">
        <v>4666</v>
      </c>
      <c r="J625" s="1470" t="s">
        <v>4678</v>
      </c>
      <c r="K625" s="1464"/>
      <c r="L625" s="1464"/>
      <c r="M625" s="1464"/>
      <c r="N625" s="1464"/>
      <c r="O625" s="1464"/>
      <c r="P625" s="1464"/>
      <c r="Q625" s="1464"/>
      <c r="R625" s="1464"/>
      <c r="S625" s="1464"/>
      <c r="T625" s="1464"/>
      <c r="U625" s="1464"/>
      <c r="V625" s="1464"/>
      <c r="W625" s="1464"/>
      <c r="X625" s="1464"/>
      <c r="Y625" s="1464"/>
      <c r="Z625" s="1464"/>
    </row>
    <row r="626">
      <c r="A626" s="1468" t="s">
        <v>4679</v>
      </c>
      <c r="B626" s="1469">
        <v>82500.0</v>
      </c>
      <c r="C626" s="1470">
        <v>2009.0</v>
      </c>
      <c r="D626" s="1473"/>
      <c r="E626" s="1469" t="s">
        <v>3637</v>
      </c>
      <c r="F626" s="1471" t="s">
        <v>4680</v>
      </c>
      <c r="G626" s="1464"/>
      <c r="H626" s="1464"/>
      <c r="I626" s="1470" t="s">
        <v>4666</v>
      </c>
      <c r="J626" s="1470" t="s">
        <v>4128</v>
      </c>
      <c r="K626" s="1464"/>
      <c r="L626" s="1464"/>
      <c r="M626" s="1464"/>
      <c r="N626" s="1464"/>
      <c r="O626" s="1464"/>
      <c r="P626" s="1464"/>
      <c r="Q626" s="1464"/>
      <c r="R626" s="1464"/>
      <c r="S626" s="1464"/>
      <c r="T626" s="1464"/>
      <c r="U626" s="1464"/>
      <c r="V626" s="1464"/>
      <c r="W626" s="1464"/>
      <c r="X626" s="1464"/>
      <c r="Y626" s="1464"/>
      <c r="Z626" s="1464"/>
    </row>
    <row r="627">
      <c r="A627" s="1468" t="s">
        <v>4681</v>
      </c>
      <c r="B627" s="1469">
        <v>82500.0</v>
      </c>
      <c r="C627" s="1470">
        <v>2004.0</v>
      </c>
      <c r="D627" s="1473"/>
      <c r="E627" s="1473"/>
      <c r="F627" s="1477" t="s">
        <v>4682</v>
      </c>
      <c r="G627" s="1464"/>
      <c r="H627" s="1464"/>
      <c r="I627" s="1470" t="s">
        <v>4666</v>
      </c>
      <c r="J627" s="1470" t="s">
        <v>4683</v>
      </c>
      <c r="K627" s="1464"/>
      <c r="L627" s="1464"/>
      <c r="M627" s="1464"/>
      <c r="N627" s="1464"/>
      <c r="O627" s="1464"/>
      <c r="P627" s="1464"/>
      <c r="Q627" s="1464"/>
      <c r="R627" s="1464"/>
      <c r="S627" s="1464"/>
      <c r="T627" s="1464"/>
      <c r="U627" s="1464"/>
      <c r="V627" s="1464"/>
      <c r="W627" s="1464"/>
      <c r="X627" s="1464"/>
      <c r="Y627" s="1464"/>
      <c r="Z627" s="1464"/>
    </row>
    <row r="628">
      <c r="A628" s="1468" t="s">
        <v>4684</v>
      </c>
      <c r="B628" s="1469">
        <v>82400.0</v>
      </c>
      <c r="C628" s="1470">
        <v>2007.0</v>
      </c>
      <c r="D628" s="1473"/>
      <c r="E628" s="1473"/>
      <c r="F628" s="1471" t="s">
        <v>4685</v>
      </c>
      <c r="G628" s="1464"/>
      <c r="H628" s="1464"/>
      <c r="I628" s="1470" t="s">
        <v>4666</v>
      </c>
      <c r="J628" s="1470" t="s">
        <v>3566</v>
      </c>
      <c r="K628" s="1464"/>
      <c r="L628" s="1464"/>
      <c r="M628" s="1464"/>
      <c r="N628" s="1464"/>
      <c r="O628" s="1464"/>
      <c r="P628" s="1464"/>
      <c r="Q628" s="1464"/>
      <c r="R628" s="1464"/>
      <c r="S628" s="1464"/>
      <c r="T628" s="1464"/>
      <c r="U628" s="1464"/>
      <c r="V628" s="1464"/>
      <c r="W628" s="1464"/>
      <c r="X628" s="1464"/>
      <c r="Y628" s="1464"/>
      <c r="Z628" s="1464"/>
    </row>
    <row r="629">
      <c r="A629" s="1468" t="s">
        <v>4686</v>
      </c>
      <c r="B629" s="1469">
        <v>82200.0</v>
      </c>
      <c r="C629" s="1470">
        <v>2007.0</v>
      </c>
      <c r="D629" s="1473"/>
      <c r="E629" s="1473"/>
      <c r="F629" s="1471" t="s">
        <v>4687</v>
      </c>
      <c r="G629" s="1464"/>
      <c r="H629" s="1464"/>
      <c r="I629" s="1470" t="s">
        <v>4666</v>
      </c>
      <c r="J629" s="1470" t="s">
        <v>3611</v>
      </c>
      <c r="K629" s="1470" t="s">
        <v>3611</v>
      </c>
      <c r="L629" s="1464"/>
      <c r="M629" s="1464"/>
      <c r="N629" s="1464"/>
      <c r="O629" s="1464"/>
      <c r="P629" s="1464"/>
      <c r="Q629" s="1464"/>
      <c r="R629" s="1464"/>
      <c r="S629" s="1464"/>
      <c r="T629" s="1464"/>
      <c r="U629" s="1464"/>
      <c r="V629" s="1464"/>
      <c r="W629" s="1464"/>
      <c r="X629" s="1464"/>
      <c r="Y629" s="1464"/>
      <c r="Z629" s="1464"/>
    </row>
    <row r="630">
      <c r="A630" s="1468" t="s">
        <v>4688</v>
      </c>
      <c r="B630" s="1469">
        <v>82000.0</v>
      </c>
      <c r="C630" s="1470">
        <v>2003.0</v>
      </c>
      <c r="D630" s="1473"/>
      <c r="E630" s="1473"/>
      <c r="F630" s="1471" t="s">
        <v>4689</v>
      </c>
      <c r="G630" s="1464"/>
      <c r="H630" s="1464"/>
      <c r="I630" s="1470" t="s">
        <v>4666</v>
      </c>
      <c r="J630" s="1470" t="s">
        <v>3550</v>
      </c>
      <c r="K630" s="1514" t="s">
        <v>3550</v>
      </c>
      <c r="L630" s="1464"/>
      <c r="M630" s="1464"/>
      <c r="N630" s="1464"/>
      <c r="O630" s="1464"/>
      <c r="P630" s="1464"/>
      <c r="Q630" s="1464"/>
      <c r="R630" s="1464"/>
      <c r="S630" s="1464"/>
      <c r="T630" s="1464"/>
      <c r="U630" s="1464"/>
      <c r="V630" s="1464"/>
      <c r="W630" s="1464"/>
      <c r="X630" s="1464"/>
      <c r="Y630" s="1464"/>
      <c r="Z630" s="1464"/>
    </row>
    <row r="631">
      <c r="A631" s="1468" t="s">
        <v>4690</v>
      </c>
      <c r="B631" s="1469">
        <v>82000.0</v>
      </c>
      <c r="C631" s="1470">
        <v>2003.0</v>
      </c>
      <c r="D631" s="1473"/>
      <c r="E631" s="1473"/>
      <c r="F631" s="1471" t="s">
        <v>4691</v>
      </c>
      <c r="G631" s="1464"/>
      <c r="H631" s="1464"/>
      <c r="I631" s="1470" t="s">
        <v>4666</v>
      </c>
      <c r="J631" s="1470" t="s">
        <v>4692</v>
      </c>
      <c r="K631" s="1470" t="s">
        <v>4692</v>
      </c>
      <c r="L631" s="1464"/>
      <c r="M631" s="1464"/>
      <c r="N631" s="1464"/>
      <c r="O631" s="1464"/>
      <c r="P631" s="1464"/>
      <c r="Q631" s="1464"/>
      <c r="R631" s="1464"/>
      <c r="S631" s="1464"/>
      <c r="T631" s="1464"/>
      <c r="U631" s="1464"/>
      <c r="V631" s="1464"/>
      <c r="W631" s="1464"/>
      <c r="X631" s="1464"/>
      <c r="Y631" s="1464"/>
      <c r="Z631" s="1464"/>
    </row>
    <row r="632">
      <c r="A632" s="1468" t="s">
        <v>4693</v>
      </c>
      <c r="B632" s="1469">
        <v>80100.0</v>
      </c>
      <c r="C632" s="1470">
        <v>2003.0</v>
      </c>
      <c r="D632" s="1473"/>
      <c r="E632" s="1473"/>
      <c r="F632" s="1477" t="s">
        <v>4694</v>
      </c>
      <c r="G632" s="1464"/>
      <c r="H632" s="1464"/>
      <c r="I632" s="1470" t="s">
        <v>4666</v>
      </c>
      <c r="J632" s="1470" t="s">
        <v>3583</v>
      </c>
      <c r="K632" s="1464"/>
      <c r="L632" s="1464"/>
      <c r="M632" s="1464"/>
      <c r="N632" s="1464"/>
      <c r="O632" s="1464"/>
      <c r="P632" s="1464"/>
      <c r="Q632" s="1464"/>
      <c r="R632" s="1464"/>
      <c r="S632" s="1464"/>
      <c r="T632" s="1464"/>
      <c r="U632" s="1464"/>
      <c r="V632" s="1464"/>
      <c r="W632" s="1464"/>
      <c r="X632" s="1464"/>
      <c r="Y632" s="1464"/>
      <c r="Z632" s="1464"/>
    </row>
    <row r="633">
      <c r="A633" s="1515" t="s">
        <v>4695</v>
      </c>
      <c r="B633" s="1469">
        <v>80000.0</v>
      </c>
      <c r="C633" s="1470">
        <v>2001.0</v>
      </c>
      <c r="D633" s="1473"/>
      <c r="E633" s="1473"/>
      <c r="F633" s="1471" t="s">
        <v>4696</v>
      </c>
      <c r="G633" s="1464"/>
      <c r="H633" s="1464"/>
      <c r="I633" s="1470" t="s">
        <v>4666</v>
      </c>
      <c r="J633" s="1470" t="s">
        <v>4128</v>
      </c>
      <c r="K633" s="1464"/>
      <c r="L633" s="1464"/>
      <c r="M633" s="1464"/>
      <c r="N633" s="1464"/>
      <c r="O633" s="1464"/>
      <c r="P633" s="1464"/>
      <c r="Q633" s="1464"/>
      <c r="R633" s="1464"/>
      <c r="S633" s="1464"/>
      <c r="T633" s="1464"/>
      <c r="U633" s="1464"/>
      <c r="V633" s="1464"/>
      <c r="W633" s="1464"/>
      <c r="X633" s="1464"/>
      <c r="Y633" s="1464"/>
      <c r="Z633" s="1464"/>
    </row>
    <row r="634">
      <c r="A634" s="1468" t="s">
        <v>4697</v>
      </c>
      <c r="B634" s="1469">
        <v>79000.0</v>
      </c>
      <c r="C634" s="1470">
        <v>1997.0</v>
      </c>
      <c r="D634" s="1473"/>
      <c r="E634" s="1473"/>
      <c r="F634" s="1471" t="s">
        <v>4698</v>
      </c>
      <c r="G634" s="1464"/>
      <c r="H634" s="1464"/>
      <c r="I634" s="1470" t="s">
        <v>4666</v>
      </c>
      <c r="J634" s="1470" t="s">
        <v>3611</v>
      </c>
      <c r="K634" s="1464"/>
      <c r="L634" s="1464"/>
      <c r="M634" s="1464"/>
      <c r="N634" s="1464"/>
      <c r="O634" s="1464"/>
      <c r="P634" s="1464"/>
      <c r="Q634" s="1464"/>
      <c r="R634" s="1464"/>
      <c r="S634" s="1464"/>
      <c r="T634" s="1464"/>
      <c r="U634" s="1464"/>
      <c r="V634" s="1464"/>
      <c r="W634" s="1464"/>
      <c r="X634" s="1464"/>
      <c r="Y634" s="1464"/>
      <c r="Z634" s="1464"/>
    </row>
    <row r="635">
      <c r="A635" s="1468" t="s">
        <v>3373</v>
      </c>
      <c r="B635" s="1469">
        <v>78900.0</v>
      </c>
      <c r="C635" s="1470">
        <v>2010.0</v>
      </c>
      <c r="D635" s="1473"/>
      <c r="E635" s="1473"/>
      <c r="F635" s="1471" t="s">
        <v>4699</v>
      </c>
      <c r="G635" s="1464"/>
      <c r="H635" s="1464"/>
      <c r="I635" s="1470" t="s">
        <v>4666</v>
      </c>
      <c r="J635" s="1470" t="s">
        <v>3566</v>
      </c>
      <c r="K635" s="1464"/>
      <c r="L635" s="1464"/>
      <c r="M635" s="1464"/>
      <c r="N635" s="1464"/>
      <c r="O635" s="1464"/>
      <c r="P635" s="1464"/>
      <c r="Q635" s="1464"/>
      <c r="R635" s="1464"/>
      <c r="S635" s="1464"/>
      <c r="T635" s="1464"/>
      <c r="U635" s="1464"/>
      <c r="V635" s="1464"/>
      <c r="W635" s="1464"/>
      <c r="X635" s="1464"/>
      <c r="Y635" s="1464"/>
      <c r="Z635" s="1464"/>
    </row>
    <row r="636">
      <c r="A636" s="1468" t="s">
        <v>3441</v>
      </c>
      <c r="B636" s="1469">
        <v>78900.0</v>
      </c>
      <c r="C636" s="1470">
        <v>2010.0</v>
      </c>
      <c r="D636" s="1473"/>
      <c r="E636" s="1473"/>
      <c r="F636" s="1471" t="s">
        <v>4700</v>
      </c>
      <c r="G636" s="1464"/>
      <c r="H636" s="1464"/>
      <c r="I636" s="1470" t="s">
        <v>4666</v>
      </c>
      <c r="J636" s="1470" t="s">
        <v>3566</v>
      </c>
      <c r="K636" s="1464"/>
      <c r="L636" s="1464"/>
      <c r="M636" s="1464"/>
      <c r="N636" s="1464"/>
      <c r="O636" s="1464"/>
      <c r="P636" s="1464"/>
      <c r="Q636" s="1464"/>
      <c r="R636" s="1464"/>
      <c r="S636" s="1464"/>
      <c r="T636" s="1464"/>
      <c r="U636" s="1464"/>
      <c r="V636" s="1464"/>
      <c r="W636" s="1464"/>
      <c r="X636" s="1464"/>
      <c r="Y636" s="1464"/>
      <c r="Z636" s="1464"/>
    </row>
    <row r="637">
      <c r="A637" s="1468" t="s">
        <v>4701</v>
      </c>
      <c r="B637" s="1469">
        <v>78900.0</v>
      </c>
      <c r="C637" s="1470">
        <v>2001.0</v>
      </c>
      <c r="D637" s="1473"/>
      <c r="E637" s="1473"/>
      <c r="F637" s="1471" t="s">
        <v>4702</v>
      </c>
      <c r="G637" s="1464"/>
      <c r="H637" s="1464"/>
      <c r="I637" s="1470" t="s">
        <v>4666</v>
      </c>
      <c r="J637" s="1470" t="s">
        <v>3617</v>
      </c>
      <c r="K637" s="1470" t="s">
        <v>3617</v>
      </c>
      <c r="L637" s="1479"/>
      <c r="M637" s="1464"/>
      <c r="N637" s="1464"/>
      <c r="O637" s="1464"/>
      <c r="P637" s="1464"/>
      <c r="Q637" s="1464"/>
      <c r="R637" s="1464"/>
      <c r="S637" s="1464"/>
      <c r="T637" s="1464"/>
      <c r="U637" s="1464"/>
      <c r="V637" s="1464"/>
      <c r="W637" s="1464"/>
      <c r="X637" s="1464"/>
      <c r="Y637" s="1464"/>
      <c r="Z637" s="1464"/>
    </row>
    <row r="638">
      <c r="A638" s="1468" t="s">
        <v>4703</v>
      </c>
      <c r="B638" s="1469">
        <v>78600.0</v>
      </c>
      <c r="C638" s="1470">
        <v>2006.0</v>
      </c>
      <c r="D638" s="1473"/>
      <c r="E638" s="1473"/>
      <c r="F638" s="1471" t="s">
        <v>4704</v>
      </c>
      <c r="G638" s="1464"/>
      <c r="H638" s="1464"/>
      <c r="I638" s="1470" t="s">
        <v>4666</v>
      </c>
      <c r="J638" s="1470" t="s">
        <v>3596</v>
      </c>
      <c r="K638" s="1464"/>
      <c r="L638" s="1464"/>
      <c r="M638" s="1464"/>
      <c r="N638" s="1464"/>
      <c r="O638" s="1464"/>
      <c r="P638" s="1464"/>
      <c r="Q638" s="1464"/>
      <c r="R638" s="1464"/>
      <c r="S638" s="1464"/>
      <c r="T638" s="1464"/>
      <c r="U638" s="1464"/>
      <c r="V638" s="1464"/>
      <c r="W638" s="1464"/>
      <c r="X638" s="1464"/>
      <c r="Y638" s="1464"/>
      <c r="Z638" s="1464"/>
    </row>
    <row r="639">
      <c r="A639" s="1468" t="s">
        <v>4705</v>
      </c>
      <c r="B639" s="1469">
        <v>78500.0</v>
      </c>
      <c r="C639" s="1470">
        <v>1999.0</v>
      </c>
      <c r="D639" s="1473"/>
      <c r="E639" s="1473"/>
      <c r="F639" s="1471" t="s">
        <v>4706</v>
      </c>
      <c r="G639" s="1464"/>
      <c r="H639" s="1464"/>
      <c r="I639" s="1476" t="s">
        <v>4666</v>
      </c>
      <c r="J639" s="1476" t="s">
        <v>4707</v>
      </c>
      <c r="K639" s="1470" t="s">
        <v>4707</v>
      </c>
      <c r="L639" s="1464"/>
      <c r="M639" s="1464"/>
      <c r="N639" s="1464"/>
      <c r="O639" s="1464"/>
      <c r="P639" s="1464"/>
      <c r="Q639" s="1464"/>
      <c r="R639" s="1464"/>
      <c r="S639" s="1464"/>
      <c r="T639" s="1464"/>
      <c r="U639" s="1464"/>
      <c r="V639" s="1464"/>
      <c r="W639" s="1464"/>
      <c r="X639" s="1464"/>
      <c r="Y639" s="1464"/>
      <c r="Z639" s="1464"/>
    </row>
    <row r="640">
      <c r="A640" s="1468" t="s">
        <v>4708</v>
      </c>
      <c r="B640" s="1469">
        <v>78500.0</v>
      </c>
      <c r="C640" s="1470">
        <v>1996.0</v>
      </c>
      <c r="D640" s="1473"/>
      <c r="E640" s="1473"/>
      <c r="F640" s="1477" t="s">
        <v>4709</v>
      </c>
      <c r="G640" s="1464"/>
      <c r="H640" s="1464"/>
      <c r="I640" s="1470" t="s">
        <v>4666</v>
      </c>
      <c r="J640" s="1470" t="s">
        <v>3599</v>
      </c>
      <c r="K640" s="1464"/>
      <c r="L640" s="1464"/>
      <c r="M640" s="1464"/>
      <c r="N640" s="1464"/>
      <c r="O640" s="1464"/>
      <c r="P640" s="1464"/>
      <c r="Q640" s="1464"/>
      <c r="R640" s="1464"/>
      <c r="S640" s="1464"/>
      <c r="T640" s="1464"/>
      <c r="U640" s="1464"/>
      <c r="V640" s="1464"/>
      <c r="W640" s="1464"/>
      <c r="X640" s="1464"/>
      <c r="Y640" s="1464"/>
      <c r="Z640" s="1464"/>
    </row>
    <row r="641">
      <c r="A641" s="1468" t="s">
        <v>4710</v>
      </c>
      <c r="B641" s="1469">
        <v>78500.0</v>
      </c>
      <c r="C641" s="1470">
        <v>1992.0</v>
      </c>
      <c r="D641" s="1473"/>
      <c r="E641" s="1473"/>
      <c r="F641" s="1471" t="s">
        <v>4711</v>
      </c>
      <c r="G641" s="1464"/>
      <c r="H641" s="1464"/>
      <c r="I641" s="1470" t="s">
        <v>4666</v>
      </c>
      <c r="J641" s="1470" t="s">
        <v>4712</v>
      </c>
      <c r="K641" s="1470" t="s">
        <v>4712</v>
      </c>
      <c r="L641" s="1464"/>
      <c r="M641" s="1464"/>
      <c r="N641" s="1464"/>
      <c r="O641" s="1464"/>
      <c r="P641" s="1464"/>
      <c r="Q641" s="1464"/>
      <c r="R641" s="1464"/>
      <c r="S641" s="1464"/>
      <c r="T641" s="1464"/>
      <c r="U641" s="1464"/>
      <c r="V641" s="1464"/>
      <c r="W641" s="1464"/>
      <c r="X641" s="1471" t="s">
        <v>70</v>
      </c>
      <c r="Y641" s="1464"/>
      <c r="Z641" s="1464"/>
    </row>
    <row r="642">
      <c r="A642" s="1471" t="s">
        <v>4713</v>
      </c>
      <c r="B642" s="1469">
        <v>78400.0</v>
      </c>
      <c r="C642" s="1470">
        <v>1996.0</v>
      </c>
      <c r="D642" s="1473"/>
      <c r="E642" s="1473"/>
      <c r="F642" s="1477" t="s">
        <v>4714</v>
      </c>
      <c r="G642" s="1464"/>
      <c r="H642" s="1464"/>
      <c r="I642" s="1470" t="s">
        <v>4666</v>
      </c>
      <c r="J642" s="1470" t="s">
        <v>4128</v>
      </c>
      <c r="K642" s="1464"/>
      <c r="L642" s="1464"/>
      <c r="M642" s="1479"/>
      <c r="N642" s="1479"/>
      <c r="O642" s="1479"/>
      <c r="P642" s="1479"/>
      <c r="Q642" s="1479"/>
      <c r="R642" s="1479"/>
      <c r="S642" s="1479"/>
      <c r="T642" s="1479"/>
      <c r="U642" s="1479"/>
      <c r="V642" s="1479"/>
      <c r="W642" s="1479"/>
      <c r="X642" s="1479"/>
      <c r="Y642" s="1479"/>
      <c r="Z642" s="1479"/>
    </row>
    <row r="643">
      <c r="A643" s="1468" t="s">
        <v>4715</v>
      </c>
      <c r="B643" s="1469">
        <v>78400.0</v>
      </c>
      <c r="C643" s="1470">
        <v>1995.0</v>
      </c>
      <c r="D643" s="1473"/>
      <c r="E643" s="1473"/>
      <c r="F643" s="1477" t="s">
        <v>4716</v>
      </c>
      <c r="G643" s="1464"/>
      <c r="H643" s="1464"/>
      <c r="I643" s="1470" t="s">
        <v>4666</v>
      </c>
      <c r="J643" s="1470" t="s">
        <v>4717</v>
      </c>
      <c r="K643" s="1464"/>
      <c r="L643" s="1464"/>
      <c r="M643" s="1479"/>
      <c r="N643" s="1479"/>
      <c r="O643" s="1479"/>
      <c r="P643" s="1479"/>
      <c r="Q643" s="1479"/>
      <c r="R643" s="1479"/>
      <c r="S643" s="1479"/>
      <c r="T643" s="1479"/>
      <c r="U643" s="1479"/>
      <c r="V643" s="1479"/>
      <c r="W643" s="1479"/>
      <c r="X643" s="1479"/>
      <c r="Y643" s="1479"/>
      <c r="Z643" s="1479"/>
    </row>
    <row r="644">
      <c r="A644" s="1468" t="s">
        <v>4718</v>
      </c>
      <c r="B644" s="1469">
        <v>78000.0</v>
      </c>
      <c r="C644" s="1470">
        <v>2001.0</v>
      </c>
      <c r="D644" s="1473"/>
      <c r="E644" s="1473"/>
      <c r="F644" s="1471" t="s">
        <v>4719</v>
      </c>
      <c r="G644" s="1464"/>
      <c r="H644" s="1464"/>
      <c r="I644" s="1470" t="s">
        <v>4666</v>
      </c>
      <c r="J644" s="1470" t="s">
        <v>3611</v>
      </c>
      <c r="K644" s="1464"/>
      <c r="L644" s="1464"/>
      <c r="M644" s="1479"/>
      <c r="N644" s="1479"/>
      <c r="O644" s="1479"/>
      <c r="P644" s="1479"/>
      <c r="Q644" s="1479"/>
      <c r="R644" s="1479"/>
      <c r="S644" s="1479"/>
      <c r="T644" s="1479"/>
      <c r="U644" s="1479"/>
      <c r="V644" s="1479"/>
      <c r="W644" s="1479"/>
      <c r="X644" s="1479"/>
      <c r="Y644" s="1479"/>
      <c r="Z644" s="1479"/>
    </row>
    <row r="645">
      <c r="A645" s="1468" t="s">
        <v>4720</v>
      </c>
      <c r="B645" s="1469">
        <v>78000.0</v>
      </c>
      <c r="C645" s="1470">
        <v>2000.0</v>
      </c>
      <c r="D645" s="1473"/>
      <c r="E645" s="1473"/>
      <c r="F645" s="1477" t="s">
        <v>4721</v>
      </c>
      <c r="G645" s="1464"/>
      <c r="H645" s="1464"/>
      <c r="I645" s="1470" t="s">
        <v>4666</v>
      </c>
      <c r="J645" s="1470" t="s">
        <v>4722</v>
      </c>
      <c r="K645" s="1464"/>
      <c r="L645" s="1464"/>
      <c r="M645" s="1479"/>
      <c r="N645" s="1479"/>
      <c r="O645" s="1479"/>
      <c r="P645" s="1479"/>
      <c r="Q645" s="1479"/>
      <c r="R645" s="1479"/>
      <c r="S645" s="1479"/>
      <c r="T645" s="1479"/>
      <c r="U645" s="1479"/>
      <c r="V645" s="1479"/>
      <c r="W645" s="1479"/>
      <c r="X645" s="1479"/>
      <c r="Y645" s="1479"/>
      <c r="Z645" s="1479"/>
    </row>
    <row r="646">
      <c r="A646" s="1468" t="s">
        <v>4723</v>
      </c>
      <c r="B646" s="1469">
        <v>78000.0</v>
      </c>
      <c r="C646" s="1470">
        <v>2000.0</v>
      </c>
      <c r="D646" s="1473"/>
      <c r="E646" s="1473"/>
      <c r="F646" s="1477" t="s">
        <v>4724</v>
      </c>
      <c r="G646" s="1464"/>
      <c r="H646" s="1464"/>
      <c r="I646" s="1470" t="s">
        <v>4666</v>
      </c>
      <c r="J646" s="1470" t="s">
        <v>3611</v>
      </c>
      <c r="K646" s="1464"/>
      <c r="L646" s="1464"/>
      <c r="M646" s="1479"/>
      <c r="N646" s="1479"/>
      <c r="O646" s="1479"/>
      <c r="P646" s="1479"/>
      <c r="Q646" s="1479"/>
      <c r="R646" s="1479"/>
      <c r="S646" s="1479"/>
      <c r="T646" s="1479"/>
      <c r="U646" s="1479"/>
      <c r="V646" s="1479"/>
      <c r="W646" s="1479"/>
      <c r="X646" s="1479"/>
      <c r="Y646" s="1479"/>
      <c r="Z646" s="1479"/>
    </row>
    <row r="647">
      <c r="A647" s="1468" t="s">
        <v>4725</v>
      </c>
      <c r="B647" s="1469">
        <v>78000.0</v>
      </c>
      <c r="C647" s="1470">
        <v>1999.0</v>
      </c>
      <c r="D647" s="1473"/>
      <c r="E647" s="1473"/>
      <c r="F647" s="1471" t="s">
        <v>4726</v>
      </c>
      <c r="G647" s="1464"/>
      <c r="H647" s="1464"/>
      <c r="I647" s="1470" t="s">
        <v>4666</v>
      </c>
      <c r="J647" s="1470" t="s">
        <v>3611</v>
      </c>
      <c r="K647" s="1464"/>
      <c r="L647" s="1464"/>
      <c r="M647" s="1479"/>
      <c r="N647" s="1479"/>
      <c r="O647" s="1479"/>
      <c r="P647" s="1479"/>
      <c r="Q647" s="1479"/>
      <c r="R647" s="1479"/>
      <c r="S647" s="1479"/>
      <c r="T647" s="1479"/>
      <c r="U647" s="1479"/>
      <c r="V647" s="1479"/>
      <c r="W647" s="1479"/>
      <c r="X647" s="1479"/>
      <c r="Y647" s="1479"/>
      <c r="Z647" s="1479"/>
    </row>
    <row r="648">
      <c r="A648" s="1468" t="s">
        <v>4727</v>
      </c>
      <c r="B648" s="1469">
        <v>78000.0</v>
      </c>
      <c r="C648" s="1470">
        <v>1997.0</v>
      </c>
      <c r="D648" s="1473"/>
      <c r="E648" s="1473"/>
      <c r="F648" s="1477" t="s">
        <v>4728</v>
      </c>
      <c r="G648" s="1464"/>
      <c r="H648" s="1464"/>
      <c r="I648" s="1470" t="s">
        <v>4666</v>
      </c>
      <c r="J648" s="1470" t="s">
        <v>4722</v>
      </c>
      <c r="K648" s="1464"/>
      <c r="L648" s="1464"/>
      <c r="M648" s="1464"/>
      <c r="N648" s="1464"/>
      <c r="O648" s="1464"/>
      <c r="P648" s="1464"/>
      <c r="Q648" s="1464"/>
      <c r="R648" s="1464"/>
      <c r="S648" s="1464"/>
      <c r="T648" s="1464"/>
      <c r="U648" s="1464"/>
      <c r="V648" s="1464"/>
      <c r="W648" s="1464"/>
      <c r="X648" s="1464"/>
      <c r="Y648" s="1464"/>
      <c r="Z648" s="1464"/>
    </row>
    <row r="649">
      <c r="A649" s="1468" t="s">
        <v>4729</v>
      </c>
      <c r="B649" s="1469">
        <v>78000.0</v>
      </c>
      <c r="C649" s="1470">
        <v>1995.0</v>
      </c>
      <c r="D649" s="1473"/>
      <c r="E649" s="1473"/>
      <c r="F649" s="1471" t="s">
        <v>4730</v>
      </c>
      <c r="G649" s="1464"/>
      <c r="H649" s="1464"/>
      <c r="I649" s="1470" t="s">
        <v>4666</v>
      </c>
      <c r="J649" s="1470" t="s">
        <v>4731</v>
      </c>
      <c r="K649" s="1464"/>
      <c r="L649" s="1464"/>
      <c r="M649" s="1464"/>
      <c r="N649" s="1464"/>
      <c r="O649" s="1464"/>
      <c r="P649" s="1464"/>
      <c r="Q649" s="1464"/>
      <c r="R649" s="1464"/>
      <c r="S649" s="1464"/>
      <c r="T649" s="1464"/>
      <c r="U649" s="1464"/>
      <c r="V649" s="1464"/>
      <c r="W649" s="1464"/>
      <c r="X649" s="1464"/>
      <c r="Y649" s="1464"/>
      <c r="Z649" s="1464"/>
    </row>
    <row r="650">
      <c r="A650" s="1468" t="s">
        <v>4732</v>
      </c>
      <c r="B650" s="1469">
        <v>78000.0</v>
      </c>
      <c r="C650" s="1470">
        <v>1993.0</v>
      </c>
      <c r="D650" s="1473"/>
      <c r="E650" s="1473"/>
      <c r="F650" s="1477" t="s">
        <v>4733</v>
      </c>
      <c r="G650" s="1464"/>
      <c r="H650" s="1464"/>
      <c r="I650" s="1470" t="s">
        <v>4666</v>
      </c>
      <c r="J650" s="1470" t="s">
        <v>3570</v>
      </c>
      <c r="K650" s="1464"/>
      <c r="L650" s="1464"/>
      <c r="M650" s="1464"/>
      <c r="N650" s="1464"/>
      <c r="O650" s="1464"/>
      <c r="P650" s="1464"/>
      <c r="Q650" s="1464"/>
      <c r="R650" s="1464"/>
      <c r="S650" s="1464"/>
      <c r="T650" s="1464"/>
      <c r="U650" s="1464"/>
      <c r="V650" s="1464"/>
      <c r="W650" s="1464"/>
      <c r="X650" s="1464"/>
      <c r="Y650" s="1464"/>
      <c r="Z650" s="1464"/>
    </row>
    <row r="651">
      <c r="A651" s="1468" t="s">
        <v>4734</v>
      </c>
      <c r="B651" s="1469">
        <v>78000.0</v>
      </c>
      <c r="C651" s="1470">
        <v>1993.0</v>
      </c>
      <c r="D651" s="1473"/>
      <c r="E651" s="1473"/>
      <c r="F651" s="1477" t="s">
        <v>4735</v>
      </c>
      <c r="G651" s="1464"/>
      <c r="H651" s="1464"/>
      <c r="I651" s="1470" t="s">
        <v>4666</v>
      </c>
      <c r="J651" s="1470" t="s">
        <v>4722</v>
      </c>
      <c r="K651" s="1464"/>
      <c r="L651" s="1464"/>
      <c r="M651" s="1464"/>
      <c r="N651" s="1464"/>
      <c r="O651" s="1464"/>
      <c r="P651" s="1464"/>
      <c r="Q651" s="1464"/>
      <c r="R651" s="1464"/>
      <c r="S651" s="1464"/>
      <c r="T651" s="1464"/>
      <c r="U651" s="1464"/>
      <c r="V651" s="1464"/>
      <c r="W651" s="1464"/>
      <c r="X651" s="1464"/>
      <c r="Y651" s="1464"/>
      <c r="Z651" s="1464"/>
    </row>
    <row r="652">
      <c r="A652" s="1468" t="s">
        <v>4736</v>
      </c>
      <c r="B652" s="1469">
        <v>78000.0</v>
      </c>
      <c r="C652" s="1470">
        <v>1993.0</v>
      </c>
      <c r="D652" s="1473"/>
      <c r="E652" s="1473"/>
      <c r="F652" s="1477" t="s">
        <v>4737</v>
      </c>
      <c r="G652" s="1464"/>
      <c r="H652" s="1464"/>
      <c r="I652" s="1470" t="s">
        <v>4666</v>
      </c>
      <c r="J652" s="1470" t="s">
        <v>4722</v>
      </c>
      <c r="K652" s="1464"/>
      <c r="L652" s="1464"/>
      <c r="M652" s="1464"/>
      <c r="N652" s="1464"/>
      <c r="O652" s="1464"/>
      <c r="P652" s="1464"/>
      <c r="Q652" s="1464"/>
      <c r="R652" s="1464"/>
      <c r="S652" s="1464"/>
      <c r="T652" s="1464"/>
      <c r="U652" s="1464"/>
      <c r="V652" s="1464"/>
      <c r="W652" s="1464"/>
      <c r="X652" s="1464"/>
      <c r="Y652" s="1464"/>
      <c r="Z652" s="1464"/>
    </row>
    <row r="653">
      <c r="A653" s="1468" t="s">
        <v>4738</v>
      </c>
      <c r="B653" s="1469">
        <v>78000.0</v>
      </c>
      <c r="C653" s="1470">
        <v>1993.0</v>
      </c>
      <c r="D653" s="1473"/>
      <c r="E653" s="1473"/>
      <c r="F653" s="1471" t="s">
        <v>4668</v>
      </c>
      <c r="G653" s="1464"/>
      <c r="H653" s="1464"/>
      <c r="I653" s="1470" t="s">
        <v>4666</v>
      </c>
      <c r="J653" s="1470" t="s">
        <v>3563</v>
      </c>
      <c r="K653" s="1464"/>
      <c r="L653" s="1464"/>
      <c r="M653" s="1464"/>
      <c r="N653" s="1464"/>
      <c r="O653" s="1464"/>
      <c r="P653" s="1464"/>
      <c r="Q653" s="1464"/>
      <c r="R653" s="1464"/>
      <c r="S653" s="1464"/>
      <c r="T653" s="1464"/>
      <c r="U653" s="1464"/>
      <c r="V653" s="1464"/>
      <c r="W653" s="1464"/>
      <c r="X653" s="1464"/>
      <c r="Y653" s="1464"/>
      <c r="Z653" s="1464"/>
    </row>
    <row r="654">
      <c r="A654" s="1468" t="s">
        <v>4739</v>
      </c>
      <c r="B654" s="1469">
        <v>78000.0</v>
      </c>
      <c r="C654" s="1470">
        <v>1992.0</v>
      </c>
      <c r="D654" s="1473"/>
      <c r="E654" s="1473"/>
      <c r="F654" s="1471" t="s">
        <v>4668</v>
      </c>
      <c r="G654" s="1464"/>
      <c r="H654" s="1464"/>
      <c r="I654" s="1470" t="s">
        <v>4666</v>
      </c>
      <c r="J654" s="1470" t="s">
        <v>3604</v>
      </c>
      <c r="K654" s="1464"/>
      <c r="L654" s="1464"/>
      <c r="M654" s="1464"/>
      <c r="N654" s="1464"/>
      <c r="O654" s="1464"/>
      <c r="P654" s="1464"/>
      <c r="Q654" s="1464"/>
      <c r="R654" s="1464"/>
      <c r="S654" s="1464"/>
      <c r="T654" s="1464"/>
      <c r="U654" s="1464"/>
      <c r="V654" s="1464"/>
      <c r="W654" s="1464"/>
      <c r="X654" s="1464"/>
      <c r="Y654" s="1464"/>
      <c r="Z654" s="1464"/>
    </row>
    <row r="655">
      <c r="A655" s="1468" t="s">
        <v>4740</v>
      </c>
      <c r="B655" s="1469">
        <v>78000.0</v>
      </c>
      <c r="C655" s="1470">
        <v>1992.0</v>
      </c>
      <c r="D655" s="1473"/>
      <c r="E655" s="1473"/>
      <c r="F655" s="1477" t="s">
        <v>4741</v>
      </c>
      <c r="G655" s="1464"/>
      <c r="H655" s="1464"/>
      <c r="I655" s="1470" t="s">
        <v>4666</v>
      </c>
      <c r="J655" s="1470" t="s">
        <v>3611</v>
      </c>
      <c r="K655" s="1464"/>
      <c r="L655" s="1464"/>
      <c r="M655" s="1464"/>
      <c r="N655" s="1464"/>
      <c r="O655" s="1464"/>
      <c r="P655" s="1464"/>
      <c r="Q655" s="1464"/>
      <c r="R655" s="1464"/>
      <c r="S655" s="1464"/>
      <c r="T655" s="1464"/>
      <c r="U655" s="1464"/>
      <c r="V655" s="1464"/>
      <c r="W655" s="1464"/>
      <c r="X655" s="1464"/>
      <c r="Y655" s="1464"/>
      <c r="Z655" s="1464"/>
    </row>
    <row r="656">
      <c r="A656" s="1468" t="s">
        <v>4742</v>
      </c>
      <c r="B656" s="1469">
        <v>78000.0</v>
      </c>
      <c r="C656" s="1470">
        <v>1992.0</v>
      </c>
      <c r="D656" s="1473"/>
      <c r="E656" s="1473"/>
      <c r="F656" s="1477" t="s">
        <v>4668</v>
      </c>
      <c r="G656" s="1464"/>
      <c r="H656" s="1464"/>
      <c r="I656" s="1470" t="s">
        <v>4666</v>
      </c>
      <c r="J656" s="1470" t="s">
        <v>4743</v>
      </c>
      <c r="K656" s="1464"/>
      <c r="L656" s="1464"/>
      <c r="M656" s="1464"/>
      <c r="N656" s="1464"/>
      <c r="O656" s="1464"/>
      <c r="P656" s="1464"/>
      <c r="Q656" s="1464"/>
      <c r="R656" s="1464"/>
      <c r="S656" s="1464"/>
      <c r="T656" s="1464"/>
      <c r="U656" s="1464"/>
      <c r="V656" s="1464"/>
      <c r="W656" s="1464"/>
      <c r="X656" s="1464"/>
      <c r="Y656" s="1464"/>
      <c r="Z656" s="1464"/>
    </row>
    <row r="657">
      <c r="A657" s="1468" t="s">
        <v>4744</v>
      </c>
      <c r="B657" s="1469">
        <v>78000.0</v>
      </c>
      <c r="C657" s="1470">
        <v>1991.0</v>
      </c>
      <c r="D657" s="1473"/>
      <c r="E657" s="1473"/>
      <c r="F657" s="1471" t="s">
        <v>4745</v>
      </c>
      <c r="G657" s="1464"/>
      <c r="H657" s="1464"/>
      <c r="I657" s="1470" t="s">
        <v>4666</v>
      </c>
      <c r="J657" s="1470" t="s">
        <v>4746</v>
      </c>
      <c r="K657" s="1464"/>
      <c r="L657" s="1464"/>
      <c r="M657" s="1464"/>
      <c r="N657" s="1464"/>
      <c r="O657" s="1464"/>
      <c r="P657" s="1464"/>
      <c r="Q657" s="1464"/>
      <c r="R657" s="1464"/>
      <c r="S657" s="1464"/>
      <c r="T657" s="1464"/>
      <c r="U657" s="1464"/>
      <c r="V657" s="1464"/>
      <c r="W657" s="1464"/>
      <c r="X657" s="1464"/>
      <c r="Y657" s="1464"/>
      <c r="Z657" s="1464"/>
    </row>
    <row r="658">
      <c r="A658" s="1468" t="s">
        <v>4747</v>
      </c>
      <c r="B658" s="1469">
        <v>78000.0</v>
      </c>
      <c r="C658" s="1470">
        <v>1991.0</v>
      </c>
      <c r="D658" s="1473"/>
      <c r="E658" s="1473"/>
      <c r="F658" s="1477" t="s">
        <v>4748</v>
      </c>
      <c r="G658" s="1464"/>
      <c r="H658" s="1464"/>
      <c r="I658" s="1470" t="s">
        <v>4666</v>
      </c>
      <c r="J658" s="1470" t="s">
        <v>3570</v>
      </c>
      <c r="K658" s="1464"/>
      <c r="L658" s="1464"/>
      <c r="M658" s="1479"/>
      <c r="N658" s="1479"/>
      <c r="O658" s="1479"/>
      <c r="P658" s="1479"/>
      <c r="Q658" s="1479"/>
      <c r="R658" s="1479"/>
      <c r="S658" s="1479"/>
      <c r="T658" s="1479"/>
      <c r="U658" s="1479"/>
      <c r="V658" s="1479"/>
      <c r="W658" s="1479"/>
      <c r="X658" s="1479"/>
      <c r="Y658" s="1479"/>
      <c r="Z658" s="1479"/>
    </row>
    <row r="659">
      <c r="A659" s="1468" t="s">
        <v>4749</v>
      </c>
      <c r="B659" s="1469">
        <v>78000.0</v>
      </c>
      <c r="C659" s="1470">
        <v>1990.0</v>
      </c>
      <c r="D659" s="1473"/>
      <c r="E659" s="1473"/>
      <c r="F659" s="1477" t="s">
        <v>4750</v>
      </c>
      <c r="G659" s="1464"/>
      <c r="H659" s="1464"/>
      <c r="I659" s="1470" t="s">
        <v>4666</v>
      </c>
      <c r="J659" s="1470" t="s">
        <v>3611</v>
      </c>
      <c r="K659" s="1464"/>
      <c r="L659" s="1464"/>
      <c r="M659" s="1464"/>
      <c r="N659" s="1464"/>
      <c r="O659" s="1464"/>
      <c r="P659" s="1464"/>
      <c r="Q659" s="1464"/>
      <c r="R659" s="1464"/>
      <c r="S659" s="1464"/>
      <c r="T659" s="1464"/>
      <c r="U659" s="1464"/>
      <c r="V659" s="1464"/>
      <c r="W659" s="1464"/>
      <c r="X659" s="1464"/>
      <c r="Y659" s="1464"/>
      <c r="Z659" s="1464"/>
    </row>
    <row r="660">
      <c r="A660" s="1468" t="s">
        <v>4751</v>
      </c>
      <c r="B660" s="1469">
        <v>77500.0</v>
      </c>
      <c r="C660" s="1470">
        <v>1987.0</v>
      </c>
      <c r="D660" s="1473"/>
      <c r="E660" s="1473"/>
      <c r="F660" s="1477" t="s">
        <v>4752</v>
      </c>
      <c r="G660" s="1464"/>
      <c r="H660" s="1464"/>
      <c r="I660" s="1470" t="s">
        <v>4666</v>
      </c>
      <c r="J660" s="1470" t="s">
        <v>3611</v>
      </c>
      <c r="K660" s="1464"/>
      <c r="L660" s="1464"/>
      <c r="M660" s="1479"/>
      <c r="N660" s="1479"/>
      <c r="O660" s="1479"/>
      <c r="P660" s="1479"/>
      <c r="Q660" s="1479"/>
      <c r="R660" s="1479"/>
      <c r="S660" s="1479"/>
      <c r="T660" s="1479"/>
      <c r="U660" s="1479"/>
      <c r="V660" s="1479"/>
      <c r="W660" s="1479"/>
      <c r="X660" s="1479"/>
      <c r="Y660" s="1479"/>
      <c r="Z660" s="1479"/>
    </row>
    <row r="661">
      <c r="A661" s="1468" t="s">
        <v>3442</v>
      </c>
      <c r="B661" s="1469">
        <v>77000.0</v>
      </c>
      <c r="C661" s="1470">
        <v>2005.0</v>
      </c>
      <c r="D661" s="1473"/>
      <c r="E661" s="1473"/>
      <c r="F661" s="1477" t="s">
        <v>4668</v>
      </c>
      <c r="G661" s="1464"/>
      <c r="H661" s="1464"/>
      <c r="I661" s="1470" t="s">
        <v>4666</v>
      </c>
      <c r="J661" s="1470" t="s">
        <v>4753</v>
      </c>
      <c r="K661" s="1464"/>
      <c r="L661" s="1464"/>
      <c r="M661" s="1464"/>
      <c r="N661" s="1464"/>
      <c r="O661" s="1464"/>
      <c r="P661" s="1464"/>
      <c r="Q661" s="1464"/>
      <c r="R661" s="1464"/>
      <c r="S661" s="1464"/>
      <c r="T661" s="1464"/>
      <c r="U661" s="1464"/>
      <c r="V661" s="1464"/>
      <c r="W661" s="1464"/>
      <c r="X661" s="1464"/>
      <c r="Y661" s="1464"/>
      <c r="Z661" s="1464"/>
    </row>
    <row r="662">
      <c r="A662" s="1468" t="s">
        <v>4754</v>
      </c>
      <c r="B662" s="1469">
        <v>75500.0</v>
      </c>
      <c r="C662" s="1470">
        <v>1994.0</v>
      </c>
      <c r="D662" s="1473"/>
      <c r="E662" s="1473"/>
      <c r="F662" s="1477" t="s">
        <v>4668</v>
      </c>
      <c r="G662" s="1464"/>
      <c r="H662" s="1464"/>
      <c r="I662" s="1470" t="s">
        <v>4666</v>
      </c>
      <c r="J662" s="1470" t="s">
        <v>4128</v>
      </c>
      <c r="K662" s="1464"/>
      <c r="L662" s="1464"/>
      <c r="M662" s="1464"/>
      <c r="N662" s="1464"/>
      <c r="O662" s="1464"/>
      <c r="P662" s="1464"/>
      <c r="Q662" s="1464"/>
      <c r="R662" s="1464"/>
      <c r="S662" s="1464"/>
      <c r="T662" s="1464"/>
      <c r="U662" s="1464"/>
      <c r="V662" s="1464"/>
      <c r="W662" s="1464"/>
      <c r="X662" s="1464"/>
      <c r="Y662" s="1464"/>
      <c r="Z662" s="1464"/>
    </row>
    <row r="663">
      <c r="A663" s="1468" t="s">
        <v>4755</v>
      </c>
      <c r="B663" s="1469">
        <v>75300.0</v>
      </c>
      <c r="C663" s="1470">
        <v>1991.0</v>
      </c>
      <c r="D663" s="1473"/>
      <c r="E663" s="1473"/>
      <c r="F663" s="1477" t="s">
        <v>4668</v>
      </c>
      <c r="G663" s="1464"/>
      <c r="H663" s="1464"/>
      <c r="I663" s="1470" t="s">
        <v>4666</v>
      </c>
      <c r="J663" s="1470" t="s">
        <v>4756</v>
      </c>
      <c r="K663" s="1464"/>
      <c r="L663" s="1464"/>
      <c r="M663" s="1464"/>
      <c r="N663" s="1464"/>
      <c r="O663" s="1464"/>
      <c r="P663" s="1464"/>
      <c r="Q663" s="1464"/>
      <c r="R663" s="1464"/>
      <c r="S663" s="1464"/>
      <c r="T663" s="1464"/>
      <c r="U663" s="1464"/>
      <c r="V663" s="1464"/>
      <c r="W663" s="1464"/>
      <c r="X663" s="1464"/>
      <c r="Y663" s="1464"/>
      <c r="Z663" s="1464"/>
    </row>
    <row r="664">
      <c r="A664" s="1468" t="s">
        <v>4757</v>
      </c>
      <c r="B664" s="1469">
        <v>75200.0</v>
      </c>
      <c r="C664" s="1470">
        <v>1990.0</v>
      </c>
      <c r="D664" s="1473"/>
      <c r="E664" s="1473"/>
      <c r="F664" s="1471" t="s">
        <v>4758</v>
      </c>
      <c r="G664" s="1464"/>
      <c r="H664" s="1464"/>
      <c r="I664" s="1470" t="s">
        <v>4666</v>
      </c>
      <c r="J664" s="1470" t="s">
        <v>4759</v>
      </c>
      <c r="K664" s="1464"/>
      <c r="L664" s="1464"/>
      <c r="M664" s="1464"/>
      <c r="N664" s="1464"/>
      <c r="O664" s="1464"/>
      <c r="P664" s="1464"/>
      <c r="Q664" s="1464"/>
      <c r="R664" s="1464"/>
      <c r="S664" s="1464"/>
      <c r="T664" s="1464"/>
      <c r="U664" s="1464"/>
      <c r="V664" s="1464"/>
      <c r="W664" s="1464"/>
      <c r="X664" s="1464"/>
      <c r="Y664" s="1464"/>
      <c r="Z664" s="1464"/>
    </row>
    <row r="665">
      <c r="A665" s="1468" t="s">
        <v>4760</v>
      </c>
      <c r="B665" s="1469">
        <v>75000.0</v>
      </c>
      <c r="C665" s="1470">
        <v>2009.0</v>
      </c>
      <c r="D665" s="1469" t="s">
        <v>3636</v>
      </c>
      <c r="E665" s="1473"/>
      <c r="F665" s="1471" t="s">
        <v>4761</v>
      </c>
      <c r="G665" s="1464"/>
      <c r="H665" s="1464"/>
      <c r="I665" s="1470" t="s">
        <v>4666</v>
      </c>
      <c r="J665" s="1470" t="s">
        <v>3611</v>
      </c>
      <c r="K665" s="1464"/>
      <c r="L665" s="1470" t="s">
        <v>4762</v>
      </c>
      <c r="M665" s="1464"/>
      <c r="N665" s="1464"/>
      <c r="O665" s="1464"/>
      <c r="P665" s="1464"/>
      <c r="Q665" s="1464"/>
      <c r="R665" s="1464"/>
      <c r="S665" s="1464"/>
      <c r="T665" s="1464"/>
      <c r="U665" s="1464"/>
      <c r="V665" s="1464"/>
      <c r="W665" s="1464"/>
      <c r="X665" s="1464"/>
      <c r="Y665" s="1464"/>
      <c r="Z665" s="1464"/>
    </row>
    <row r="666">
      <c r="A666" s="1468" t="s">
        <v>4763</v>
      </c>
      <c r="B666" s="1469">
        <v>75000.0</v>
      </c>
      <c r="C666" s="1470">
        <v>2008.0</v>
      </c>
      <c r="D666" s="1469" t="s">
        <v>3636</v>
      </c>
      <c r="E666" s="1473"/>
      <c r="F666" s="1471" t="s">
        <v>4764</v>
      </c>
      <c r="G666" s="1464"/>
      <c r="H666" s="1464"/>
      <c r="I666" s="1470" t="s">
        <v>4666</v>
      </c>
      <c r="J666" s="1470" t="s">
        <v>4206</v>
      </c>
      <c r="K666" s="1470" t="s">
        <v>4206</v>
      </c>
      <c r="L666" s="1464"/>
      <c r="M666" s="1464"/>
      <c r="N666" s="1464"/>
      <c r="O666" s="1464"/>
      <c r="P666" s="1464"/>
      <c r="Q666" s="1464"/>
      <c r="R666" s="1464"/>
      <c r="S666" s="1464"/>
      <c r="T666" s="1464"/>
      <c r="U666" s="1464"/>
      <c r="V666" s="1464"/>
      <c r="W666" s="1464"/>
      <c r="X666" s="1464"/>
      <c r="Y666" s="1464"/>
      <c r="Z666" s="1464"/>
    </row>
    <row r="667">
      <c r="A667" s="1468" t="s">
        <v>4765</v>
      </c>
      <c r="B667" s="1469">
        <v>75000.0</v>
      </c>
      <c r="C667" s="1470">
        <v>2008.0</v>
      </c>
      <c r="D667" s="1469" t="s">
        <v>3636</v>
      </c>
      <c r="E667" s="1473"/>
      <c r="F667" s="1471" t="s">
        <v>4766</v>
      </c>
      <c r="G667" s="1464"/>
      <c r="H667" s="1464"/>
      <c r="I667" s="1470" t="s">
        <v>4666</v>
      </c>
      <c r="J667" s="1470" t="s">
        <v>3611</v>
      </c>
      <c r="K667" s="1464"/>
      <c r="L667" s="1464"/>
      <c r="M667" s="1464"/>
      <c r="N667" s="1464"/>
      <c r="O667" s="1464"/>
      <c r="P667" s="1464"/>
      <c r="Q667" s="1464"/>
      <c r="R667" s="1464"/>
      <c r="S667" s="1464"/>
      <c r="T667" s="1464"/>
      <c r="U667" s="1464"/>
      <c r="V667" s="1464"/>
      <c r="W667" s="1464"/>
      <c r="X667" s="1464"/>
      <c r="Y667" s="1464"/>
      <c r="Z667" s="1464"/>
    </row>
    <row r="668">
      <c r="A668" s="1468" t="s">
        <v>4767</v>
      </c>
      <c r="B668" s="1469">
        <v>75000.0</v>
      </c>
      <c r="C668" s="1470">
        <v>1993.0</v>
      </c>
      <c r="D668" s="1473"/>
      <c r="E668" s="1473"/>
      <c r="F668" s="1477" t="s">
        <v>4768</v>
      </c>
      <c r="G668" s="1464"/>
      <c r="H668" s="1464"/>
      <c r="I668" s="1470" t="s">
        <v>4666</v>
      </c>
      <c r="J668" s="1470" t="s">
        <v>3607</v>
      </c>
      <c r="K668" s="1464"/>
      <c r="L668" s="1464"/>
      <c r="M668" s="1464"/>
      <c r="N668" s="1464"/>
      <c r="O668" s="1464"/>
      <c r="P668" s="1464"/>
      <c r="Q668" s="1464"/>
      <c r="R668" s="1464"/>
      <c r="S668" s="1464"/>
      <c r="T668" s="1464"/>
      <c r="U668" s="1464"/>
      <c r="V668" s="1464"/>
      <c r="W668" s="1464"/>
      <c r="X668" s="1464"/>
      <c r="Y668" s="1464"/>
      <c r="Z668" s="1464"/>
    </row>
    <row r="669">
      <c r="A669" s="1468" t="s">
        <v>4769</v>
      </c>
      <c r="B669" s="1469">
        <v>75000.0</v>
      </c>
      <c r="C669" s="1470">
        <v>1993.0</v>
      </c>
      <c r="D669" s="1473"/>
      <c r="E669" s="1473"/>
      <c r="F669" s="1477" t="s">
        <v>4668</v>
      </c>
      <c r="G669" s="1464"/>
      <c r="H669" s="1464"/>
      <c r="I669" s="1470" t="s">
        <v>4666</v>
      </c>
      <c r="J669" s="1470" t="s">
        <v>3534</v>
      </c>
      <c r="K669" s="1464"/>
      <c r="L669" s="1464"/>
      <c r="M669" s="1464"/>
      <c r="N669" s="1464"/>
      <c r="O669" s="1464"/>
      <c r="P669" s="1464"/>
      <c r="Q669" s="1464"/>
      <c r="R669" s="1464"/>
      <c r="S669" s="1464"/>
      <c r="T669" s="1464"/>
      <c r="U669" s="1464"/>
      <c r="V669" s="1464"/>
      <c r="W669" s="1464"/>
      <c r="X669" s="1464"/>
      <c r="Y669" s="1464"/>
      <c r="Z669" s="1464"/>
    </row>
    <row r="670">
      <c r="A670" s="1468" t="s">
        <v>4770</v>
      </c>
      <c r="B670" s="1469">
        <v>75000.0</v>
      </c>
      <c r="C670" s="1470">
        <v>1992.0</v>
      </c>
      <c r="D670" s="1473"/>
      <c r="E670" s="1473"/>
      <c r="F670" s="1477" t="s">
        <v>4668</v>
      </c>
      <c r="G670" s="1464"/>
      <c r="H670" s="1464"/>
      <c r="I670" s="1470" t="s">
        <v>4666</v>
      </c>
      <c r="J670" s="1470" t="s">
        <v>4722</v>
      </c>
      <c r="K670" s="1464"/>
      <c r="L670" s="1464"/>
      <c r="M670" s="1464"/>
      <c r="N670" s="1464"/>
      <c r="O670" s="1464"/>
      <c r="P670" s="1464"/>
      <c r="Q670" s="1464"/>
      <c r="R670" s="1464"/>
      <c r="S670" s="1464"/>
      <c r="T670" s="1464"/>
      <c r="U670" s="1464"/>
      <c r="V670" s="1464"/>
      <c r="W670" s="1464"/>
      <c r="X670" s="1464"/>
      <c r="Y670" s="1464"/>
      <c r="Z670" s="1464"/>
    </row>
    <row r="671">
      <c r="A671" s="1468" t="s">
        <v>4771</v>
      </c>
      <c r="B671" s="1469">
        <v>75000.0</v>
      </c>
      <c r="C671" s="1470">
        <v>1990.0</v>
      </c>
      <c r="D671" s="1473"/>
      <c r="E671" s="1473"/>
      <c r="F671" s="1477" t="s">
        <v>4668</v>
      </c>
      <c r="G671" s="1464"/>
      <c r="H671" s="1464"/>
      <c r="I671" s="1470" t="s">
        <v>4666</v>
      </c>
      <c r="J671" s="1470" t="s">
        <v>3611</v>
      </c>
      <c r="K671" s="1464"/>
      <c r="L671" s="1464"/>
      <c r="M671" s="1464"/>
      <c r="N671" s="1464"/>
      <c r="O671" s="1464"/>
      <c r="P671" s="1464"/>
      <c r="Q671" s="1464"/>
      <c r="R671" s="1464"/>
      <c r="S671" s="1464"/>
      <c r="T671" s="1464"/>
      <c r="U671" s="1464"/>
      <c r="V671" s="1464"/>
      <c r="W671" s="1464"/>
      <c r="X671" s="1464"/>
      <c r="Y671" s="1464"/>
      <c r="Z671" s="1464"/>
    </row>
    <row r="672">
      <c r="A672" s="1468" t="s">
        <v>4772</v>
      </c>
      <c r="B672" s="1469">
        <v>83700.0</v>
      </c>
      <c r="C672" s="1470">
        <v>2008.0</v>
      </c>
      <c r="D672" s="1473"/>
      <c r="E672" s="1469" t="s">
        <v>70</v>
      </c>
      <c r="F672" s="1471" t="s">
        <v>4773</v>
      </c>
      <c r="G672" s="1464"/>
      <c r="H672" s="1464"/>
      <c r="I672" s="1470" t="s">
        <v>4774</v>
      </c>
      <c r="J672" s="1470" t="s">
        <v>4317</v>
      </c>
      <c r="K672" s="1470" t="s">
        <v>4775</v>
      </c>
      <c r="L672" s="1464"/>
      <c r="M672" s="1464"/>
      <c r="N672" s="1464"/>
      <c r="O672" s="1464"/>
      <c r="P672" s="1464"/>
      <c r="Q672" s="1464"/>
      <c r="R672" s="1464"/>
      <c r="S672" s="1464"/>
      <c r="T672" s="1464"/>
      <c r="U672" s="1464"/>
      <c r="V672" s="1464"/>
      <c r="W672" s="1464"/>
      <c r="X672" s="1464"/>
      <c r="Y672" s="1464"/>
      <c r="Z672" s="1464"/>
    </row>
    <row r="673">
      <c r="A673" s="1468" t="s">
        <v>4776</v>
      </c>
      <c r="B673" s="1469">
        <v>82200.0</v>
      </c>
      <c r="C673" s="1470">
        <v>2008.0</v>
      </c>
      <c r="D673" s="1473"/>
      <c r="E673" s="1469" t="s">
        <v>3637</v>
      </c>
      <c r="F673" s="1471" t="s">
        <v>4773</v>
      </c>
      <c r="G673" s="1464"/>
      <c r="H673" s="1464"/>
      <c r="I673" s="1470" t="s">
        <v>4774</v>
      </c>
      <c r="J673" s="1470" t="s">
        <v>4317</v>
      </c>
      <c r="K673" s="1470" t="s">
        <v>4775</v>
      </c>
      <c r="L673" s="1464"/>
      <c r="M673" s="1464"/>
      <c r="N673" s="1464"/>
      <c r="O673" s="1464"/>
      <c r="P673" s="1464"/>
      <c r="Q673" s="1464"/>
      <c r="R673" s="1464"/>
      <c r="S673" s="1464"/>
      <c r="T673" s="1464"/>
      <c r="U673" s="1464"/>
      <c r="V673" s="1464"/>
      <c r="W673" s="1464"/>
      <c r="X673" s="1464"/>
      <c r="Y673" s="1464"/>
      <c r="Z673" s="1464"/>
    </row>
    <row r="674">
      <c r="A674" s="1474" t="s">
        <v>4777</v>
      </c>
      <c r="B674" s="1475">
        <v>82000.0</v>
      </c>
      <c r="C674" s="1476">
        <v>2008.0</v>
      </c>
      <c r="D674" s="1481"/>
      <c r="E674" s="1481"/>
      <c r="F674" s="1477" t="s">
        <v>4773</v>
      </c>
      <c r="G674" s="1464"/>
      <c r="H674" s="1464"/>
      <c r="I674" s="1476" t="s">
        <v>4774</v>
      </c>
      <c r="J674" s="1476" t="s">
        <v>4317</v>
      </c>
      <c r="K674" s="1470" t="s">
        <v>4775</v>
      </c>
      <c r="L674" s="1479"/>
      <c r="M674" s="1464"/>
      <c r="N674" s="1464"/>
      <c r="O674" s="1464"/>
      <c r="P674" s="1464"/>
      <c r="Q674" s="1464"/>
      <c r="R674" s="1464"/>
      <c r="S674" s="1464"/>
      <c r="T674" s="1464"/>
      <c r="U674" s="1464"/>
      <c r="V674" s="1464"/>
      <c r="W674" s="1464"/>
      <c r="X674" s="1464"/>
      <c r="Y674" s="1464"/>
      <c r="Z674" s="1464"/>
    </row>
    <row r="675">
      <c r="A675" s="1477" t="s">
        <v>4778</v>
      </c>
      <c r="B675" s="1475">
        <v>86700.0</v>
      </c>
      <c r="C675" s="1476">
        <v>2024.0</v>
      </c>
      <c r="D675" s="1481"/>
      <c r="E675" s="1475" t="s">
        <v>666</v>
      </c>
      <c r="F675" s="1477" t="s">
        <v>4779</v>
      </c>
      <c r="G675" s="1479"/>
      <c r="H675" s="1476" t="s">
        <v>3718</v>
      </c>
      <c r="I675" s="1480" t="s">
        <v>4774</v>
      </c>
      <c r="J675" s="1476" t="s">
        <v>3797</v>
      </c>
      <c r="K675" s="1476" t="s">
        <v>4780</v>
      </c>
      <c r="L675" s="1479"/>
      <c r="M675" s="1464"/>
      <c r="N675" s="1464"/>
      <c r="O675" s="1464"/>
      <c r="P675" s="1464"/>
      <c r="Q675" s="1464"/>
      <c r="R675" s="1464"/>
      <c r="S675" s="1464"/>
      <c r="T675" s="1464"/>
      <c r="U675" s="1464"/>
      <c r="V675" s="1464"/>
      <c r="W675" s="1464"/>
      <c r="X675" s="1464"/>
      <c r="Y675" s="1464"/>
      <c r="Z675" s="1464"/>
    </row>
    <row r="676">
      <c r="A676" s="1477" t="s">
        <v>4781</v>
      </c>
      <c r="B676" s="1475">
        <v>86700.0</v>
      </c>
      <c r="C676" s="1476">
        <v>2024.0</v>
      </c>
      <c r="D676" s="1481"/>
      <c r="E676" s="1475" t="s">
        <v>666</v>
      </c>
      <c r="F676" s="1477" t="s">
        <v>4779</v>
      </c>
      <c r="G676" s="1479"/>
      <c r="H676" s="1476" t="s">
        <v>3718</v>
      </c>
      <c r="I676" s="1476" t="s">
        <v>4774</v>
      </c>
      <c r="J676" s="1476" t="s">
        <v>3797</v>
      </c>
      <c r="K676" s="1476" t="s">
        <v>4780</v>
      </c>
      <c r="L676" s="1479"/>
      <c r="M676" s="1464"/>
      <c r="N676" s="1464"/>
      <c r="O676" s="1464"/>
      <c r="P676" s="1464"/>
      <c r="Q676" s="1464"/>
      <c r="R676" s="1464"/>
      <c r="S676" s="1464"/>
      <c r="T676" s="1464"/>
      <c r="U676" s="1464"/>
      <c r="V676" s="1464"/>
      <c r="W676" s="1464"/>
      <c r="X676" s="1464"/>
      <c r="Y676" s="1464"/>
      <c r="Z676" s="1464"/>
    </row>
    <row r="677">
      <c r="A677" s="1468" t="s">
        <v>4782</v>
      </c>
      <c r="B677" s="1469">
        <v>83000.0</v>
      </c>
      <c r="C677" s="1470">
        <v>2018.0</v>
      </c>
      <c r="D677" s="1481"/>
      <c r="E677" s="1473"/>
      <c r="F677" s="1477" t="s">
        <v>4779</v>
      </c>
      <c r="G677" s="1464"/>
      <c r="H677" s="1476" t="s">
        <v>3639</v>
      </c>
      <c r="I677" s="1470" t="s">
        <v>4774</v>
      </c>
      <c r="J677" s="1470" t="s">
        <v>3797</v>
      </c>
      <c r="K677" s="1470" t="s">
        <v>3207</v>
      </c>
      <c r="L677" s="1464"/>
      <c r="M677" s="1464"/>
      <c r="N677" s="1464"/>
      <c r="O677" s="1464"/>
      <c r="P677" s="1464"/>
      <c r="Q677" s="1464"/>
      <c r="R677" s="1464"/>
      <c r="S677" s="1464"/>
      <c r="T677" s="1464"/>
      <c r="U677" s="1464"/>
      <c r="V677" s="1464"/>
      <c r="W677" s="1464"/>
      <c r="X677" s="1464"/>
      <c r="Y677" s="1464"/>
      <c r="Z677" s="1464"/>
    </row>
    <row r="678">
      <c r="A678" s="1488" t="s">
        <v>4783</v>
      </c>
      <c r="B678" s="1486">
        <v>88000.0</v>
      </c>
      <c r="C678" s="1487">
        <v>2028.0</v>
      </c>
      <c r="D678" s="1486" t="s">
        <v>3636</v>
      </c>
      <c r="E678" s="1486" t="s">
        <v>666</v>
      </c>
      <c r="F678" s="1488" t="s">
        <v>4784</v>
      </c>
      <c r="G678" s="1489"/>
      <c r="H678" s="1489"/>
      <c r="I678" s="1487" t="s">
        <v>4774</v>
      </c>
      <c r="J678" s="1487" t="s">
        <v>761</v>
      </c>
      <c r="K678" s="1487" t="s">
        <v>3652</v>
      </c>
      <c r="L678" s="1479"/>
      <c r="M678" s="1464"/>
      <c r="N678" s="1464"/>
      <c r="O678" s="1464"/>
      <c r="P678" s="1464"/>
      <c r="Q678" s="1464"/>
      <c r="R678" s="1464"/>
      <c r="S678" s="1464"/>
      <c r="T678" s="1464"/>
      <c r="U678" s="1464"/>
      <c r="V678" s="1464"/>
      <c r="W678" s="1464"/>
      <c r="X678" s="1464"/>
      <c r="Y678" s="1464"/>
      <c r="Z678" s="1464"/>
    </row>
    <row r="679">
      <c r="A679" s="1488" t="s">
        <v>4785</v>
      </c>
      <c r="B679" s="1486">
        <v>88000.0</v>
      </c>
      <c r="C679" s="1487">
        <v>2028.0</v>
      </c>
      <c r="D679" s="1486" t="s">
        <v>3636</v>
      </c>
      <c r="E679" s="1486" t="s">
        <v>666</v>
      </c>
      <c r="F679" s="1488" t="s">
        <v>4784</v>
      </c>
      <c r="G679" s="1489"/>
      <c r="H679" s="1489"/>
      <c r="I679" s="1487" t="s">
        <v>4774</v>
      </c>
      <c r="J679" s="1487" t="s">
        <v>761</v>
      </c>
      <c r="K679" s="1487" t="s">
        <v>3652</v>
      </c>
      <c r="L679" s="1479"/>
      <c r="M679" s="1464"/>
      <c r="N679" s="1464"/>
      <c r="O679" s="1464"/>
      <c r="P679" s="1464"/>
      <c r="Q679" s="1464"/>
      <c r="R679" s="1464"/>
      <c r="S679" s="1464"/>
      <c r="T679" s="1464"/>
      <c r="U679" s="1464"/>
      <c r="V679" s="1464"/>
      <c r="W679" s="1464"/>
      <c r="X679" s="1464"/>
      <c r="Y679" s="1464"/>
      <c r="Z679" s="1464"/>
    </row>
    <row r="680">
      <c r="A680" s="1488" t="s">
        <v>4786</v>
      </c>
      <c r="B680" s="1486">
        <v>88000.0</v>
      </c>
      <c r="C680" s="1487">
        <v>2028.0</v>
      </c>
      <c r="D680" s="1486" t="s">
        <v>3636</v>
      </c>
      <c r="E680" s="1486" t="s">
        <v>666</v>
      </c>
      <c r="F680" s="1488" t="s">
        <v>4784</v>
      </c>
      <c r="G680" s="1489"/>
      <c r="H680" s="1489"/>
      <c r="I680" s="1487" t="s">
        <v>4774</v>
      </c>
      <c r="J680" s="1487" t="s">
        <v>761</v>
      </c>
      <c r="K680" s="1487" t="s">
        <v>3652</v>
      </c>
      <c r="L680" s="1479"/>
      <c r="M680" s="1464"/>
      <c r="N680" s="1464"/>
      <c r="O680" s="1464"/>
      <c r="P680" s="1464"/>
      <c r="Q680" s="1464"/>
      <c r="R680" s="1464"/>
      <c r="S680" s="1464"/>
      <c r="T680" s="1464"/>
      <c r="U680" s="1464"/>
      <c r="V680" s="1464"/>
      <c r="W680" s="1464"/>
      <c r="X680" s="1464"/>
      <c r="Y680" s="1464"/>
      <c r="Z680" s="1464"/>
    </row>
    <row r="681">
      <c r="A681" s="1488" t="s">
        <v>4787</v>
      </c>
      <c r="B681" s="1486">
        <v>88000.0</v>
      </c>
      <c r="C681" s="1487">
        <v>2028.0</v>
      </c>
      <c r="D681" s="1486" t="s">
        <v>3636</v>
      </c>
      <c r="E681" s="1486" t="s">
        <v>666</v>
      </c>
      <c r="F681" s="1488" t="s">
        <v>4784</v>
      </c>
      <c r="G681" s="1489"/>
      <c r="H681" s="1489"/>
      <c r="I681" s="1487" t="s">
        <v>4774</v>
      </c>
      <c r="J681" s="1487" t="s">
        <v>761</v>
      </c>
      <c r="K681" s="1487" t="s">
        <v>3652</v>
      </c>
      <c r="L681" s="1479"/>
      <c r="M681" s="1464"/>
      <c r="N681" s="1464"/>
      <c r="O681" s="1464"/>
      <c r="P681" s="1464"/>
      <c r="Q681" s="1464"/>
      <c r="R681" s="1464"/>
      <c r="S681" s="1464"/>
      <c r="T681" s="1464"/>
      <c r="U681" s="1464"/>
      <c r="V681" s="1464"/>
      <c r="W681" s="1464"/>
      <c r="X681" s="1464"/>
      <c r="Y681" s="1464"/>
      <c r="Z681" s="1464"/>
    </row>
    <row r="682">
      <c r="A682" s="1468" t="s">
        <v>4165</v>
      </c>
      <c r="B682" s="1469">
        <v>83300.0</v>
      </c>
      <c r="C682" s="1470">
        <v>2009.0</v>
      </c>
      <c r="D682" s="1473"/>
      <c r="E682" s="1473"/>
      <c r="F682" s="1471" t="s">
        <v>4788</v>
      </c>
      <c r="G682" s="1464"/>
      <c r="H682" s="1464"/>
      <c r="I682" s="1470" t="s">
        <v>4774</v>
      </c>
      <c r="J682" s="1476" t="s">
        <v>2935</v>
      </c>
      <c r="K682" s="1470" t="s">
        <v>2935</v>
      </c>
      <c r="L682" s="1464"/>
      <c r="M682" s="1464"/>
      <c r="N682" s="1464"/>
      <c r="O682" s="1464"/>
      <c r="P682" s="1464"/>
      <c r="Q682" s="1464"/>
      <c r="R682" s="1464"/>
      <c r="S682" s="1464"/>
      <c r="T682" s="1464"/>
      <c r="U682" s="1464"/>
      <c r="V682" s="1464"/>
      <c r="W682" s="1464"/>
      <c r="X682" s="1464"/>
      <c r="Y682" s="1464"/>
      <c r="Z682" s="1464"/>
    </row>
    <row r="683">
      <c r="A683" s="1474" t="s">
        <v>3383</v>
      </c>
      <c r="B683" s="1475">
        <v>80000.0</v>
      </c>
      <c r="C683" s="1476">
        <v>2019.0</v>
      </c>
      <c r="D683" s="1469" t="s">
        <v>3636</v>
      </c>
      <c r="E683" s="1469" t="s">
        <v>3637</v>
      </c>
      <c r="F683" s="1477" t="s">
        <v>4789</v>
      </c>
      <c r="G683" s="1464"/>
      <c r="H683" s="1470" t="s">
        <v>3639</v>
      </c>
      <c r="I683" s="1476" t="s">
        <v>4774</v>
      </c>
      <c r="J683" s="1476" t="s">
        <v>830</v>
      </c>
      <c r="K683" s="1470" t="s">
        <v>3759</v>
      </c>
      <c r="L683" s="1470" t="s">
        <v>4790</v>
      </c>
      <c r="M683" s="1464"/>
      <c r="N683" s="1464"/>
      <c r="O683" s="1464"/>
      <c r="P683" s="1464"/>
      <c r="Q683" s="1464"/>
      <c r="R683" s="1464"/>
      <c r="S683" s="1464"/>
      <c r="T683" s="1464"/>
      <c r="U683" s="1464"/>
      <c r="V683" s="1464"/>
      <c r="W683" s="1464"/>
      <c r="X683" s="1464"/>
      <c r="Y683" s="1464"/>
      <c r="Z683" s="1464"/>
    </row>
    <row r="684">
      <c r="A684" s="1468" t="s">
        <v>4791</v>
      </c>
      <c r="B684" s="1469">
        <v>82000.0</v>
      </c>
      <c r="C684" s="1470">
        <v>2008.0</v>
      </c>
      <c r="D684" s="1473"/>
      <c r="E684" s="1473"/>
      <c r="F684" s="1471" t="s">
        <v>4773</v>
      </c>
      <c r="G684" s="1464"/>
      <c r="H684" s="1464"/>
      <c r="I684" s="1470" t="s">
        <v>4774</v>
      </c>
      <c r="J684" s="1470" t="s">
        <v>4317</v>
      </c>
      <c r="K684" s="1470" t="s">
        <v>4792</v>
      </c>
      <c r="L684" s="1479"/>
      <c r="M684" s="1464"/>
      <c r="N684" s="1464"/>
      <c r="O684" s="1464"/>
      <c r="P684" s="1464"/>
      <c r="Q684" s="1464"/>
      <c r="R684" s="1464"/>
      <c r="S684" s="1464"/>
      <c r="T684" s="1464"/>
      <c r="U684" s="1464"/>
      <c r="V684" s="1464"/>
      <c r="W684" s="1464"/>
      <c r="X684" s="1464"/>
      <c r="Y684" s="1464"/>
      <c r="Z684" s="1464"/>
    </row>
    <row r="685">
      <c r="A685" s="1488" t="s">
        <v>4634</v>
      </c>
      <c r="B685" s="1486">
        <v>87000.0</v>
      </c>
      <c r="C685" s="1487">
        <v>2026.0</v>
      </c>
      <c r="D685" s="1486" t="s">
        <v>3636</v>
      </c>
      <c r="E685" s="1486" t="s">
        <v>666</v>
      </c>
      <c r="F685" s="1488" t="s">
        <v>4793</v>
      </c>
      <c r="G685" s="1489"/>
      <c r="H685" s="1487" t="s">
        <v>4605</v>
      </c>
      <c r="I685" s="1487" t="s">
        <v>4774</v>
      </c>
      <c r="J685" s="1487" t="s">
        <v>3640</v>
      </c>
      <c r="K685" s="1487" t="s">
        <v>3641</v>
      </c>
      <c r="L685" s="1479"/>
      <c r="M685" s="1464"/>
      <c r="N685" s="1464"/>
      <c r="O685" s="1464"/>
      <c r="P685" s="1464"/>
      <c r="Q685" s="1464"/>
      <c r="R685" s="1464"/>
      <c r="S685" s="1464"/>
      <c r="T685" s="1464"/>
      <c r="U685" s="1464"/>
      <c r="V685" s="1464"/>
      <c r="W685" s="1464"/>
      <c r="X685" s="1464"/>
      <c r="Y685" s="1464"/>
      <c r="Z685" s="1464"/>
    </row>
    <row r="686">
      <c r="A686" s="1488" t="s">
        <v>4632</v>
      </c>
      <c r="B686" s="1486">
        <v>87000.0</v>
      </c>
      <c r="C686" s="1487">
        <v>2026.0</v>
      </c>
      <c r="D686" s="1486" t="s">
        <v>3636</v>
      </c>
      <c r="E686" s="1486" t="s">
        <v>666</v>
      </c>
      <c r="F686" s="1488" t="s">
        <v>4794</v>
      </c>
      <c r="G686" s="1489"/>
      <c r="H686" s="1487" t="s">
        <v>4605</v>
      </c>
      <c r="I686" s="1487" t="s">
        <v>4774</v>
      </c>
      <c r="J686" s="1487" t="s">
        <v>3640</v>
      </c>
      <c r="K686" s="1487" t="s">
        <v>3641</v>
      </c>
      <c r="L686" s="1479"/>
      <c r="M686" s="1464"/>
      <c r="N686" s="1464"/>
      <c r="O686" s="1464"/>
      <c r="P686" s="1464"/>
      <c r="Q686" s="1464"/>
      <c r="R686" s="1464"/>
      <c r="S686" s="1464"/>
      <c r="T686" s="1464"/>
      <c r="U686" s="1464"/>
      <c r="V686" s="1464"/>
      <c r="W686" s="1464"/>
      <c r="X686" s="1464"/>
      <c r="Y686" s="1464"/>
      <c r="Z686" s="1464"/>
    </row>
    <row r="687">
      <c r="A687" s="1488" t="s">
        <v>4606</v>
      </c>
      <c r="B687" s="1486">
        <v>87000.0</v>
      </c>
      <c r="C687" s="1487">
        <v>2025.0</v>
      </c>
      <c r="D687" s="1486" t="s">
        <v>3636</v>
      </c>
      <c r="E687" s="1486" t="s">
        <v>666</v>
      </c>
      <c r="F687" s="1488" t="s">
        <v>4795</v>
      </c>
      <c r="G687" s="1489"/>
      <c r="H687" s="1487" t="s">
        <v>4605</v>
      </c>
      <c r="I687" s="1487" t="s">
        <v>4774</v>
      </c>
      <c r="J687" s="1487" t="s">
        <v>3640</v>
      </c>
      <c r="K687" s="1487" t="s">
        <v>3641</v>
      </c>
      <c r="L687" s="1479"/>
      <c r="M687" s="1464"/>
      <c r="N687" s="1464"/>
      <c r="O687" s="1464"/>
      <c r="P687" s="1464"/>
      <c r="Q687" s="1464"/>
      <c r="R687" s="1464"/>
      <c r="S687" s="1464"/>
      <c r="T687" s="1464"/>
      <c r="U687" s="1464"/>
      <c r="V687" s="1464"/>
      <c r="W687" s="1464"/>
      <c r="X687" s="1464"/>
      <c r="Y687" s="1464"/>
      <c r="Z687" s="1464"/>
    </row>
    <row r="688">
      <c r="A688" s="1488" t="s">
        <v>4603</v>
      </c>
      <c r="B688" s="1486">
        <v>87000.0</v>
      </c>
      <c r="C688" s="1487">
        <v>2025.0</v>
      </c>
      <c r="D688" s="1486" t="s">
        <v>3636</v>
      </c>
      <c r="E688" s="1486" t="s">
        <v>666</v>
      </c>
      <c r="F688" s="1488" t="s">
        <v>4796</v>
      </c>
      <c r="G688" s="1489"/>
      <c r="H688" s="1487" t="s">
        <v>4605</v>
      </c>
      <c r="I688" s="1487" t="s">
        <v>4774</v>
      </c>
      <c r="J688" s="1487" t="s">
        <v>3640</v>
      </c>
      <c r="K688" s="1487" t="s">
        <v>3641</v>
      </c>
      <c r="L688" s="1479"/>
      <c r="M688" s="1464"/>
      <c r="N688" s="1464"/>
      <c r="O688" s="1464"/>
      <c r="P688" s="1464"/>
      <c r="Q688" s="1464"/>
      <c r="R688" s="1464"/>
      <c r="S688" s="1464"/>
      <c r="T688" s="1464"/>
      <c r="U688" s="1464"/>
      <c r="V688" s="1464"/>
      <c r="W688" s="1464"/>
      <c r="X688" s="1464"/>
      <c r="Y688" s="1464"/>
      <c r="Z688" s="1464"/>
    </row>
    <row r="689">
      <c r="A689" s="1468" t="s">
        <v>3376</v>
      </c>
      <c r="B689" s="1469">
        <v>84000.0</v>
      </c>
      <c r="C689" s="1470">
        <v>2020.0</v>
      </c>
      <c r="D689" s="1473"/>
      <c r="E689" s="1469" t="s">
        <v>3637</v>
      </c>
      <c r="F689" s="1471" t="s">
        <v>4797</v>
      </c>
      <c r="G689" s="1464"/>
      <c r="H689" s="1464"/>
      <c r="I689" s="1470" t="s">
        <v>4774</v>
      </c>
      <c r="J689" s="1470" t="s">
        <v>863</v>
      </c>
      <c r="K689" s="1470" t="s">
        <v>3652</v>
      </c>
      <c r="L689" s="1464"/>
      <c r="M689" s="1464"/>
      <c r="N689" s="1464"/>
      <c r="O689" s="1464"/>
      <c r="P689" s="1464"/>
      <c r="Q689" s="1464"/>
      <c r="R689" s="1464"/>
      <c r="S689" s="1464"/>
      <c r="T689" s="1464"/>
      <c r="U689" s="1464"/>
      <c r="V689" s="1464"/>
      <c r="W689" s="1464"/>
      <c r="X689" s="1464"/>
      <c r="Y689" s="1464"/>
      <c r="Z689" s="1464"/>
    </row>
    <row r="690">
      <c r="A690" s="1477" t="s">
        <v>4798</v>
      </c>
      <c r="B690" s="1475">
        <v>86000.0</v>
      </c>
      <c r="C690" s="1476">
        <v>2023.0</v>
      </c>
      <c r="D690" s="1475" t="s">
        <v>3636</v>
      </c>
      <c r="E690" s="1475" t="s">
        <v>666</v>
      </c>
      <c r="F690" s="1477" t="s">
        <v>4799</v>
      </c>
      <c r="G690" s="1479"/>
      <c r="H690" s="1479"/>
      <c r="I690" s="1476" t="s">
        <v>4774</v>
      </c>
      <c r="J690" s="1476" t="s">
        <v>3786</v>
      </c>
      <c r="K690" s="1476" t="s">
        <v>3652</v>
      </c>
      <c r="L690" s="1479"/>
      <c r="M690" s="1464"/>
      <c r="N690" s="1464"/>
      <c r="O690" s="1464"/>
      <c r="P690" s="1464"/>
      <c r="Q690" s="1464"/>
      <c r="R690" s="1464"/>
      <c r="S690" s="1464"/>
      <c r="T690" s="1464"/>
      <c r="U690" s="1464"/>
      <c r="V690" s="1464"/>
      <c r="W690" s="1464"/>
      <c r="X690" s="1464"/>
      <c r="Y690" s="1464"/>
      <c r="Z690" s="1464"/>
    </row>
    <row r="691">
      <c r="A691" s="1474" t="s">
        <v>4800</v>
      </c>
      <c r="B691" s="1475">
        <v>86000.0</v>
      </c>
      <c r="C691" s="1476">
        <v>2021.0</v>
      </c>
      <c r="D691" s="1481"/>
      <c r="E691" s="1475" t="s">
        <v>666</v>
      </c>
      <c r="F691" s="1477" t="s">
        <v>4801</v>
      </c>
      <c r="G691" s="1464"/>
      <c r="H691" s="1470" t="s">
        <v>3639</v>
      </c>
      <c r="I691" s="1476" t="s">
        <v>4774</v>
      </c>
      <c r="J691" s="1480" t="s">
        <v>3715</v>
      </c>
      <c r="K691" s="1470" t="s">
        <v>4802</v>
      </c>
      <c r="L691" s="1464"/>
      <c r="M691" s="1464"/>
      <c r="N691" s="1464"/>
      <c r="O691" s="1464"/>
      <c r="P691" s="1464"/>
      <c r="Q691" s="1464"/>
      <c r="R691" s="1464"/>
      <c r="S691" s="1464"/>
      <c r="T691" s="1464"/>
      <c r="U691" s="1464"/>
      <c r="V691" s="1464"/>
      <c r="W691" s="1464"/>
      <c r="X691" s="1464"/>
      <c r="Y691" s="1464"/>
      <c r="Z691" s="1464"/>
    </row>
    <row r="692">
      <c r="A692" s="1474" t="s">
        <v>4803</v>
      </c>
      <c r="B692" s="1475">
        <v>86000.0</v>
      </c>
      <c r="C692" s="1476">
        <v>2021.0</v>
      </c>
      <c r="D692" s="1481"/>
      <c r="E692" s="1475" t="s">
        <v>666</v>
      </c>
      <c r="F692" s="1477" t="s">
        <v>4801</v>
      </c>
      <c r="G692" s="1479"/>
      <c r="H692" s="1470" t="s">
        <v>3639</v>
      </c>
      <c r="I692" s="1476" t="s">
        <v>4774</v>
      </c>
      <c r="J692" s="1480" t="s">
        <v>3715</v>
      </c>
      <c r="K692" s="1476" t="s">
        <v>4802</v>
      </c>
      <c r="L692" s="1479"/>
      <c r="M692" s="1479"/>
      <c r="N692" s="1479"/>
      <c r="O692" s="1479"/>
      <c r="P692" s="1479"/>
      <c r="Q692" s="1479"/>
      <c r="R692" s="1479"/>
      <c r="S692" s="1479"/>
      <c r="T692" s="1479"/>
      <c r="U692" s="1479"/>
      <c r="V692" s="1479"/>
      <c r="W692" s="1479"/>
      <c r="X692" s="1479"/>
      <c r="Y692" s="1479"/>
      <c r="Z692" s="1479"/>
    </row>
    <row r="693">
      <c r="A693" s="1474" t="s">
        <v>4804</v>
      </c>
      <c r="B693" s="1475">
        <v>84000.0</v>
      </c>
      <c r="C693" s="1476">
        <v>2022.0</v>
      </c>
      <c r="D693" s="1481"/>
      <c r="E693" s="1475" t="s">
        <v>666</v>
      </c>
      <c r="F693" s="1477" t="s">
        <v>4805</v>
      </c>
      <c r="G693" s="1479"/>
      <c r="H693" s="1476" t="s">
        <v>3639</v>
      </c>
      <c r="I693" s="1476" t="s">
        <v>4774</v>
      </c>
      <c r="J693" s="1480" t="s">
        <v>3715</v>
      </c>
      <c r="K693" s="1476" t="s">
        <v>4001</v>
      </c>
      <c r="L693" s="1479"/>
      <c r="M693" s="1464"/>
      <c r="N693" s="1464"/>
      <c r="O693" s="1464"/>
      <c r="P693" s="1464"/>
      <c r="Q693" s="1464"/>
      <c r="R693" s="1464"/>
      <c r="S693" s="1464"/>
      <c r="T693" s="1464"/>
      <c r="U693" s="1464"/>
      <c r="V693" s="1464"/>
      <c r="W693" s="1464"/>
      <c r="X693" s="1464"/>
      <c r="Y693" s="1464"/>
      <c r="Z693" s="1464"/>
    </row>
    <row r="694">
      <c r="A694" s="1474" t="s">
        <v>4806</v>
      </c>
      <c r="B694" s="1475">
        <v>86000.0</v>
      </c>
      <c r="C694" s="1476">
        <v>2021.0</v>
      </c>
      <c r="D694" s="1481"/>
      <c r="E694" s="1475" t="s">
        <v>666</v>
      </c>
      <c r="F694" s="1477" t="s">
        <v>4807</v>
      </c>
      <c r="G694" s="1464"/>
      <c r="H694" s="1470" t="s">
        <v>3639</v>
      </c>
      <c r="I694" s="1476" t="s">
        <v>4774</v>
      </c>
      <c r="J694" s="1480" t="s">
        <v>3715</v>
      </c>
      <c r="K694" s="1476" t="s">
        <v>4802</v>
      </c>
      <c r="L694" s="1479"/>
      <c r="M694" s="1464"/>
      <c r="N694" s="1464"/>
      <c r="O694" s="1464"/>
      <c r="P694" s="1464"/>
      <c r="Q694" s="1464"/>
      <c r="R694" s="1464"/>
      <c r="S694" s="1464"/>
      <c r="T694" s="1464"/>
      <c r="U694" s="1464"/>
      <c r="V694" s="1464"/>
      <c r="W694" s="1464"/>
      <c r="X694" s="1464"/>
      <c r="Y694" s="1464"/>
      <c r="Z694" s="1464"/>
    </row>
    <row r="695">
      <c r="A695" s="1474" t="s">
        <v>4803</v>
      </c>
      <c r="B695" s="1475">
        <v>86000.0</v>
      </c>
      <c r="C695" s="1476">
        <v>2021.0</v>
      </c>
      <c r="D695" s="1481"/>
      <c r="E695" s="1475" t="s">
        <v>666</v>
      </c>
      <c r="F695" s="1477" t="s">
        <v>4807</v>
      </c>
      <c r="G695" s="1479"/>
      <c r="H695" s="1470" t="s">
        <v>3639</v>
      </c>
      <c r="I695" s="1476" t="s">
        <v>4774</v>
      </c>
      <c r="J695" s="1480" t="s">
        <v>3715</v>
      </c>
      <c r="K695" s="1476" t="s">
        <v>4802</v>
      </c>
      <c r="L695" s="1479"/>
      <c r="M695" s="1464"/>
      <c r="N695" s="1464"/>
      <c r="O695" s="1464"/>
      <c r="P695" s="1464"/>
      <c r="Q695" s="1464"/>
      <c r="R695" s="1464"/>
      <c r="S695" s="1464"/>
      <c r="T695" s="1464"/>
      <c r="U695" s="1464"/>
      <c r="V695" s="1464"/>
      <c r="W695" s="1464"/>
      <c r="X695" s="1464"/>
      <c r="Y695" s="1464"/>
      <c r="Z695" s="1464"/>
    </row>
    <row r="696">
      <c r="A696" s="1474" t="s">
        <v>4808</v>
      </c>
      <c r="B696" s="1475">
        <v>86700.0</v>
      </c>
      <c r="C696" s="1476">
        <v>2023.0</v>
      </c>
      <c r="D696" s="1473"/>
      <c r="E696" s="1469" t="s">
        <v>666</v>
      </c>
      <c r="F696" s="1477" t="s">
        <v>4809</v>
      </c>
      <c r="G696" s="1464"/>
      <c r="H696" s="1464"/>
      <c r="I696" s="1480" t="s">
        <v>4774</v>
      </c>
      <c r="J696" s="1470" t="s">
        <v>3695</v>
      </c>
      <c r="K696" s="1470" t="s">
        <v>3843</v>
      </c>
      <c r="L696" s="1464"/>
      <c r="M696" s="1464"/>
      <c r="N696" s="1464"/>
      <c r="O696" s="1464"/>
      <c r="P696" s="1464"/>
      <c r="Q696" s="1464"/>
      <c r="R696" s="1464"/>
      <c r="S696" s="1464"/>
      <c r="T696" s="1464"/>
      <c r="U696" s="1464"/>
      <c r="V696" s="1464"/>
      <c r="W696" s="1464"/>
      <c r="X696" s="1464"/>
      <c r="Y696" s="1464"/>
      <c r="Z696" s="1464"/>
    </row>
    <row r="697">
      <c r="A697" s="1468" t="s">
        <v>4810</v>
      </c>
      <c r="B697" s="1469">
        <v>82200.0</v>
      </c>
      <c r="C697" s="1470">
        <v>2020.0</v>
      </c>
      <c r="D697" s="1473"/>
      <c r="E697" s="1469" t="s">
        <v>3637</v>
      </c>
      <c r="F697" s="1471" t="s">
        <v>4811</v>
      </c>
      <c r="G697" s="1464"/>
      <c r="H697" s="1464"/>
      <c r="I697" s="1470" t="s">
        <v>4774</v>
      </c>
      <c r="J697" s="1472" t="s">
        <v>4285</v>
      </c>
      <c r="K697" s="1470" t="s">
        <v>3669</v>
      </c>
      <c r="L697" s="1464"/>
      <c r="M697" s="1479"/>
      <c r="N697" s="1479"/>
      <c r="O697" s="1479"/>
      <c r="P697" s="1479"/>
      <c r="Q697" s="1479"/>
      <c r="R697" s="1479"/>
      <c r="S697" s="1479"/>
      <c r="T697" s="1479"/>
      <c r="U697" s="1479"/>
      <c r="V697" s="1479"/>
      <c r="W697" s="1479"/>
      <c r="X697" s="1479"/>
      <c r="Y697" s="1479"/>
      <c r="Z697" s="1479"/>
    </row>
    <row r="698">
      <c r="A698" s="1468" t="s">
        <v>3364</v>
      </c>
      <c r="B698" s="1469">
        <v>82200.0</v>
      </c>
      <c r="C698" s="1470">
        <v>2020.0</v>
      </c>
      <c r="D698" s="1473"/>
      <c r="E698" s="1469" t="s">
        <v>3637</v>
      </c>
      <c r="F698" s="1471" t="s">
        <v>4812</v>
      </c>
      <c r="G698" s="1464"/>
      <c r="H698" s="1464"/>
      <c r="I698" s="1470" t="s">
        <v>4774</v>
      </c>
      <c r="J698" s="1472" t="s">
        <v>4285</v>
      </c>
      <c r="K698" s="1470" t="s">
        <v>3669</v>
      </c>
      <c r="L698" s="1479"/>
      <c r="M698" s="1479"/>
      <c r="N698" s="1479"/>
      <c r="O698" s="1479"/>
      <c r="P698" s="1479"/>
      <c r="Q698" s="1479"/>
      <c r="R698" s="1479"/>
      <c r="S698" s="1479"/>
      <c r="T698" s="1479"/>
      <c r="U698" s="1479"/>
      <c r="V698" s="1479"/>
      <c r="W698" s="1479"/>
      <c r="X698" s="1479"/>
      <c r="Y698" s="1479"/>
      <c r="Z698" s="1479"/>
    </row>
    <row r="699">
      <c r="A699" s="1468" t="s">
        <v>4808</v>
      </c>
      <c r="B699" s="1469">
        <v>86700.0</v>
      </c>
      <c r="C699" s="1470">
        <v>2023.0</v>
      </c>
      <c r="D699" s="1473"/>
      <c r="E699" s="1469" t="s">
        <v>666</v>
      </c>
      <c r="F699" s="1471" t="s">
        <v>4813</v>
      </c>
      <c r="G699" s="1464"/>
      <c r="H699" s="1464"/>
      <c r="I699" s="1472" t="s">
        <v>4774</v>
      </c>
      <c r="J699" s="1472" t="s">
        <v>3695</v>
      </c>
      <c r="K699" s="1470" t="s">
        <v>3843</v>
      </c>
      <c r="L699" s="1479"/>
      <c r="M699" s="1479"/>
      <c r="N699" s="1479"/>
      <c r="O699" s="1479"/>
      <c r="P699" s="1479"/>
      <c r="Q699" s="1479"/>
      <c r="R699" s="1479"/>
      <c r="S699" s="1479"/>
      <c r="T699" s="1479"/>
      <c r="U699" s="1479"/>
      <c r="V699" s="1479"/>
      <c r="W699" s="1479"/>
      <c r="X699" s="1479"/>
      <c r="Y699" s="1479"/>
      <c r="Z699" s="1479"/>
    </row>
    <row r="700">
      <c r="A700" s="1474" t="s">
        <v>3391</v>
      </c>
      <c r="B700" s="1475">
        <v>84000.0</v>
      </c>
      <c r="C700" s="1476">
        <v>2020.0</v>
      </c>
      <c r="D700" s="1481"/>
      <c r="E700" s="1481"/>
      <c r="F700" s="1477" t="s">
        <v>3737</v>
      </c>
      <c r="G700" s="1464"/>
      <c r="H700" s="1470" t="s">
        <v>3639</v>
      </c>
      <c r="I700" s="1476" t="s">
        <v>4774</v>
      </c>
      <c r="J700" s="1476" t="s">
        <v>3737</v>
      </c>
      <c r="K700" s="1470" t="s">
        <v>3816</v>
      </c>
      <c r="L700" s="1464"/>
      <c r="M700" s="1479"/>
      <c r="N700" s="1479"/>
      <c r="O700" s="1479"/>
      <c r="P700" s="1479"/>
      <c r="Q700" s="1479"/>
      <c r="R700" s="1479"/>
      <c r="S700" s="1479"/>
      <c r="T700" s="1479"/>
      <c r="U700" s="1479"/>
      <c r="V700" s="1479"/>
      <c r="W700" s="1479"/>
      <c r="X700" s="1479"/>
      <c r="Y700" s="1479"/>
      <c r="Z700" s="1479"/>
    </row>
    <row r="701">
      <c r="A701" s="1474" t="s">
        <v>3443</v>
      </c>
      <c r="B701" s="1475">
        <v>84000.0</v>
      </c>
      <c r="C701" s="1476">
        <v>2020.0</v>
      </c>
      <c r="D701" s="1481"/>
      <c r="E701" s="1481"/>
      <c r="F701" s="1477" t="s">
        <v>3737</v>
      </c>
      <c r="G701" s="1464"/>
      <c r="H701" s="1470" t="s">
        <v>3639</v>
      </c>
      <c r="I701" s="1476" t="s">
        <v>4774</v>
      </c>
      <c r="J701" s="1476" t="s">
        <v>3737</v>
      </c>
      <c r="K701" s="1470" t="s">
        <v>3816</v>
      </c>
      <c r="L701" s="1464"/>
      <c r="M701" s="1479"/>
      <c r="N701" s="1479"/>
      <c r="O701" s="1479"/>
      <c r="P701" s="1479"/>
      <c r="Q701" s="1479"/>
      <c r="R701" s="1479"/>
      <c r="S701" s="1479"/>
      <c r="T701" s="1479"/>
      <c r="U701" s="1479"/>
      <c r="V701" s="1479"/>
      <c r="W701" s="1479"/>
      <c r="X701" s="1479"/>
      <c r="Y701" s="1479"/>
      <c r="Z701" s="1479"/>
    </row>
    <row r="702">
      <c r="A702" s="1474" t="s">
        <v>3368</v>
      </c>
      <c r="B702" s="1475">
        <v>84000.0</v>
      </c>
      <c r="C702" s="1476">
        <v>2019.0</v>
      </c>
      <c r="D702" s="1481"/>
      <c r="E702" s="1481"/>
      <c r="F702" s="1477" t="s">
        <v>3737</v>
      </c>
      <c r="G702" s="1464"/>
      <c r="H702" s="1470" t="s">
        <v>3639</v>
      </c>
      <c r="I702" s="1476" t="s">
        <v>4774</v>
      </c>
      <c r="J702" s="1476" t="s">
        <v>3737</v>
      </c>
      <c r="K702" s="1470" t="s">
        <v>3816</v>
      </c>
      <c r="L702" s="1464"/>
      <c r="M702" s="1464"/>
      <c r="N702" s="1464"/>
      <c r="O702" s="1464"/>
      <c r="P702" s="1464"/>
      <c r="Q702" s="1464"/>
      <c r="R702" s="1464"/>
      <c r="S702" s="1464"/>
      <c r="T702" s="1464"/>
      <c r="U702" s="1464"/>
      <c r="V702" s="1464"/>
      <c r="W702" s="1464"/>
      <c r="X702" s="1464"/>
      <c r="Y702" s="1464"/>
      <c r="Z702" s="1464"/>
    </row>
    <row r="703">
      <c r="A703" s="1468" t="s">
        <v>4814</v>
      </c>
      <c r="B703" s="1469">
        <v>82000.0</v>
      </c>
      <c r="C703" s="1470">
        <v>2007.0</v>
      </c>
      <c r="D703" s="1473"/>
      <c r="E703" s="1473"/>
      <c r="F703" s="1471" t="s">
        <v>3737</v>
      </c>
      <c r="G703" s="1464"/>
      <c r="H703" s="1470" t="s">
        <v>3815</v>
      </c>
      <c r="I703" s="1476" t="s">
        <v>4774</v>
      </c>
      <c r="J703" s="1476" t="s">
        <v>3737</v>
      </c>
      <c r="K703" s="1470" t="s">
        <v>3816</v>
      </c>
      <c r="L703" s="1464"/>
      <c r="M703" s="1464"/>
      <c r="N703" s="1464"/>
      <c r="O703" s="1464"/>
      <c r="P703" s="1464"/>
      <c r="Q703" s="1464"/>
      <c r="R703" s="1464"/>
      <c r="S703" s="1464"/>
      <c r="T703" s="1464"/>
      <c r="U703" s="1464"/>
      <c r="V703" s="1464"/>
      <c r="W703" s="1464"/>
      <c r="X703" s="1464"/>
      <c r="Y703" s="1464"/>
      <c r="Z703" s="1464"/>
    </row>
    <row r="704">
      <c r="A704" s="1474" t="s">
        <v>4804</v>
      </c>
      <c r="B704" s="1475">
        <v>84000.0</v>
      </c>
      <c r="C704" s="1476">
        <v>2022.0</v>
      </c>
      <c r="D704" s="1481"/>
      <c r="E704" s="1475" t="s">
        <v>666</v>
      </c>
      <c r="F704" s="1477" t="s">
        <v>4815</v>
      </c>
      <c r="G704" s="1479"/>
      <c r="H704" s="1476" t="s">
        <v>3639</v>
      </c>
      <c r="I704" s="1476" t="s">
        <v>4774</v>
      </c>
      <c r="J704" s="1476" t="s">
        <v>3715</v>
      </c>
      <c r="K704" s="1476" t="s">
        <v>4001</v>
      </c>
      <c r="L704" s="1479"/>
      <c r="M704" s="1464"/>
      <c r="N704" s="1464"/>
      <c r="O704" s="1464"/>
      <c r="P704" s="1464"/>
      <c r="Q704" s="1464"/>
      <c r="R704" s="1464"/>
      <c r="S704" s="1464"/>
      <c r="T704" s="1464"/>
      <c r="U704" s="1464"/>
      <c r="V704" s="1464"/>
      <c r="W704" s="1464"/>
      <c r="X704" s="1464"/>
      <c r="Y704" s="1464"/>
      <c r="Z704" s="1464"/>
    </row>
    <row r="705">
      <c r="A705" s="1468" t="s">
        <v>3364</v>
      </c>
      <c r="B705" s="1469">
        <v>82200.0</v>
      </c>
      <c r="C705" s="1470">
        <v>2020.0</v>
      </c>
      <c r="D705" s="1473"/>
      <c r="E705" s="1469" t="s">
        <v>3637</v>
      </c>
      <c r="F705" s="1471" t="s">
        <v>4816</v>
      </c>
      <c r="G705" s="1464"/>
      <c r="H705" s="1464"/>
      <c r="I705" s="1470" t="s">
        <v>4774</v>
      </c>
      <c r="J705" s="1472" t="s">
        <v>4285</v>
      </c>
      <c r="K705" s="1470" t="s">
        <v>3696</v>
      </c>
      <c r="L705" s="1464"/>
      <c r="M705" s="1464"/>
      <c r="N705" s="1464"/>
      <c r="O705" s="1464"/>
      <c r="P705" s="1464"/>
      <c r="Q705" s="1464"/>
      <c r="R705" s="1464"/>
      <c r="S705" s="1464"/>
      <c r="T705" s="1464"/>
      <c r="U705" s="1464"/>
      <c r="V705" s="1464"/>
      <c r="W705" s="1464"/>
      <c r="X705" s="1464"/>
      <c r="Y705" s="1464"/>
      <c r="Z705" s="1464"/>
    </row>
    <row r="706">
      <c r="A706" s="1474" t="s">
        <v>3391</v>
      </c>
      <c r="B706" s="1475">
        <v>84000.0</v>
      </c>
      <c r="C706" s="1476">
        <v>2020.0</v>
      </c>
      <c r="D706" s="1481"/>
      <c r="E706" s="1481"/>
      <c r="F706" s="1495" t="s">
        <v>4817</v>
      </c>
      <c r="G706" s="1464"/>
      <c r="H706" s="1470" t="s">
        <v>3639</v>
      </c>
      <c r="I706" s="1476" t="s">
        <v>4774</v>
      </c>
      <c r="J706" s="1476" t="s">
        <v>3737</v>
      </c>
      <c r="K706" s="1470" t="s">
        <v>3816</v>
      </c>
      <c r="L706" s="1464"/>
      <c r="M706" s="1464"/>
      <c r="N706" s="1464"/>
      <c r="O706" s="1464"/>
      <c r="P706" s="1464"/>
      <c r="Q706" s="1464"/>
      <c r="R706" s="1464"/>
      <c r="S706" s="1464"/>
      <c r="T706" s="1464"/>
      <c r="U706" s="1464"/>
      <c r="V706" s="1464"/>
      <c r="W706" s="1464"/>
      <c r="X706" s="1464"/>
      <c r="Y706" s="1464"/>
      <c r="Z706" s="1464"/>
    </row>
    <row r="707">
      <c r="A707" s="1474" t="s">
        <v>3443</v>
      </c>
      <c r="B707" s="1475">
        <v>84000.0</v>
      </c>
      <c r="C707" s="1476">
        <v>2020.0</v>
      </c>
      <c r="D707" s="1481"/>
      <c r="E707" s="1481"/>
      <c r="F707" s="1495" t="s">
        <v>4817</v>
      </c>
      <c r="G707" s="1464"/>
      <c r="H707" s="1470" t="s">
        <v>3639</v>
      </c>
      <c r="I707" s="1476" t="s">
        <v>4774</v>
      </c>
      <c r="J707" s="1476" t="s">
        <v>3737</v>
      </c>
      <c r="K707" s="1470" t="s">
        <v>3816</v>
      </c>
      <c r="L707" s="1464"/>
      <c r="M707" s="1464"/>
      <c r="N707" s="1464"/>
      <c r="O707" s="1464"/>
      <c r="P707" s="1464"/>
      <c r="Q707" s="1464"/>
      <c r="R707" s="1464"/>
      <c r="S707" s="1464"/>
      <c r="T707" s="1464"/>
      <c r="U707" s="1464"/>
      <c r="V707" s="1464"/>
      <c r="W707" s="1464"/>
      <c r="X707" s="1464"/>
      <c r="Y707" s="1464"/>
      <c r="Z707" s="1464"/>
    </row>
    <row r="708">
      <c r="A708" s="1474" t="s">
        <v>3368</v>
      </c>
      <c r="B708" s="1475">
        <v>84000.0</v>
      </c>
      <c r="C708" s="1476">
        <v>2019.0</v>
      </c>
      <c r="D708" s="1481"/>
      <c r="E708" s="1481"/>
      <c r="F708" s="1495" t="s">
        <v>4817</v>
      </c>
      <c r="G708" s="1464"/>
      <c r="H708" s="1470" t="s">
        <v>3639</v>
      </c>
      <c r="I708" s="1476" t="s">
        <v>4774</v>
      </c>
      <c r="J708" s="1476" t="s">
        <v>3737</v>
      </c>
      <c r="K708" s="1470" t="s">
        <v>3816</v>
      </c>
      <c r="L708" s="1464"/>
      <c r="M708" s="1464"/>
      <c r="N708" s="1464"/>
      <c r="O708" s="1464"/>
      <c r="P708" s="1464"/>
      <c r="Q708" s="1464"/>
      <c r="R708" s="1464"/>
      <c r="S708" s="1464"/>
      <c r="T708" s="1464"/>
      <c r="U708" s="1464"/>
      <c r="V708" s="1464"/>
      <c r="W708" s="1464"/>
      <c r="X708" s="1464"/>
      <c r="Y708" s="1464"/>
      <c r="Z708" s="1464"/>
    </row>
    <row r="709">
      <c r="A709" s="1468" t="s">
        <v>4814</v>
      </c>
      <c r="B709" s="1469">
        <v>82000.0</v>
      </c>
      <c r="C709" s="1470">
        <v>2007.0</v>
      </c>
      <c r="D709" s="1473"/>
      <c r="E709" s="1473"/>
      <c r="F709" s="1471" t="s">
        <v>4817</v>
      </c>
      <c r="G709" s="1464"/>
      <c r="H709" s="1470" t="s">
        <v>3815</v>
      </c>
      <c r="I709" s="1470" t="s">
        <v>4774</v>
      </c>
      <c r="J709" s="1470" t="s">
        <v>3737</v>
      </c>
      <c r="K709" s="1470" t="s">
        <v>3816</v>
      </c>
      <c r="L709" s="1464"/>
      <c r="M709" s="1464"/>
      <c r="N709" s="1464"/>
      <c r="O709" s="1464"/>
      <c r="P709" s="1464"/>
      <c r="Q709" s="1464"/>
      <c r="R709" s="1464"/>
      <c r="S709" s="1464"/>
      <c r="T709" s="1464"/>
      <c r="U709" s="1464"/>
      <c r="V709" s="1464"/>
      <c r="W709" s="1464"/>
      <c r="X709" s="1464"/>
      <c r="Y709" s="1464"/>
      <c r="Z709" s="1464"/>
    </row>
    <row r="710">
      <c r="A710" s="1488" t="s">
        <v>4783</v>
      </c>
      <c r="B710" s="1486">
        <v>88000.0</v>
      </c>
      <c r="C710" s="1487">
        <v>2028.0</v>
      </c>
      <c r="D710" s="1486" t="s">
        <v>3636</v>
      </c>
      <c r="E710" s="1486" t="s">
        <v>666</v>
      </c>
      <c r="F710" s="1488" t="s">
        <v>4818</v>
      </c>
      <c r="G710" s="1489"/>
      <c r="H710" s="1489"/>
      <c r="I710" s="1487" t="s">
        <v>4774</v>
      </c>
      <c r="J710" s="1487" t="s">
        <v>761</v>
      </c>
      <c r="K710" s="1487" t="s">
        <v>3652</v>
      </c>
      <c r="L710" s="1479"/>
      <c r="M710" s="1464"/>
      <c r="N710" s="1464"/>
      <c r="O710" s="1464"/>
      <c r="P710" s="1464"/>
      <c r="Q710" s="1464"/>
      <c r="R710" s="1464"/>
      <c r="S710" s="1464"/>
      <c r="T710" s="1464"/>
      <c r="U710" s="1464"/>
      <c r="V710" s="1464"/>
      <c r="W710" s="1464"/>
      <c r="X710" s="1464"/>
      <c r="Y710" s="1464"/>
      <c r="Z710" s="1464"/>
    </row>
    <row r="711">
      <c r="A711" s="1488" t="s">
        <v>4785</v>
      </c>
      <c r="B711" s="1486">
        <v>88000.0</v>
      </c>
      <c r="C711" s="1487">
        <v>2028.0</v>
      </c>
      <c r="D711" s="1486" t="s">
        <v>3636</v>
      </c>
      <c r="E711" s="1486" t="s">
        <v>666</v>
      </c>
      <c r="F711" s="1488" t="s">
        <v>4818</v>
      </c>
      <c r="G711" s="1489"/>
      <c r="H711" s="1489"/>
      <c r="I711" s="1487" t="s">
        <v>4774</v>
      </c>
      <c r="J711" s="1487" t="s">
        <v>761</v>
      </c>
      <c r="K711" s="1487" t="s">
        <v>3652</v>
      </c>
      <c r="L711" s="1479"/>
      <c r="M711" s="1464"/>
      <c r="N711" s="1464"/>
      <c r="O711" s="1464"/>
      <c r="P711" s="1464"/>
      <c r="Q711" s="1464"/>
      <c r="R711" s="1464"/>
      <c r="S711" s="1464"/>
      <c r="T711" s="1464"/>
      <c r="U711" s="1464"/>
      <c r="V711" s="1464"/>
      <c r="W711" s="1464"/>
      <c r="X711" s="1464"/>
      <c r="Y711" s="1464"/>
      <c r="Z711" s="1464"/>
    </row>
    <row r="712">
      <c r="A712" s="1488" t="s">
        <v>4786</v>
      </c>
      <c r="B712" s="1486">
        <v>88000.0</v>
      </c>
      <c r="C712" s="1487">
        <v>2028.0</v>
      </c>
      <c r="D712" s="1486" t="s">
        <v>3636</v>
      </c>
      <c r="E712" s="1486" t="s">
        <v>666</v>
      </c>
      <c r="F712" s="1488" t="s">
        <v>4818</v>
      </c>
      <c r="G712" s="1489"/>
      <c r="H712" s="1489"/>
      <c r="I712" s="1487" t="s">
        <v>4774</v>
      </c>
      <c r="J712" s="1487" t="s">
        <v>761</v>
      </c>
      <c r="K712" s="1487" t="s">
        <v>3652</v>
      </c>
      <c r="L712" s="1479"/>
      <c r="M712" s="1479"/>
      <c r="N712" s="1479"/>
      <c r="O712" s="1479"/>
      <c r="P712" s="1479"/>
      <c r="Q712" s="1479"/>
      <c r="R712" s="1479"/>
      <c r="S712" s="1479"/>
      <c r="T712" s="1479"/>
      <c r="U712" s="1479"/>
      <c r="V712" s="1479"/>
      <c r="W712" s="1479"/>
      <c r="X712" s="1479"/>
      <c r="Y712" s="1479"/>
      <c r="Z712" s="1479"/>
    </row>
    <row r="713">
      <c r="A713" s="1488" t="s">
        <v>4787</v>
      </c>
      <c r="B713" s="1486">
        <v>88000.0</v>
      </c>
      <c r="C713" s="1487">
        <v>2028.0</v>
      </c>
      <c r="D713" s="1486" t="s">
        <v>3636</v>
      </c>
      <c r="E713" s="1486" t="s">
        <v>666</v>
      </c>
      <c r="F713" s="1488" t="s">
        <v>4818</v>
      </c>
      <c r="G713" s="1489"/>
      <c r="H713" s="1489"/>
      <c r="I713" s="1487" t="s">
        <v>4774</v>
      </c>
      <c r="J713" s="1487" t="s">
        <v>761</v>
      </c>
      <c r="K713" s="1487" t="s">
        <v>3652</v>
      </c>
      <c r="L713" s="1479"/>
      <c r="M713" s="1479"/>
      <c r="N713" s="1479"/>
      <c r="O713" s="1479"/>
      <c r="P713" s="1479"/>
      <c r="Q713" s="1479"/>
      <c r="R713" s="1479"/>
      <c r="S713" s="1479"/>
      <c r="T713" s="1479"/>
      <c r="U713" s="1479"/>
      <c r="V713" s="1479"/>
      <c r="W713" s="1479"/>
      <c r="X713" s="1479"/>
      <c r="Y713" s="1479"/>
      <c r="Z713" s="1479"/>
    </row>
    <row r="714">
      <c r="A714" s="1477" t="s">
        <v>4798</v>
      </c>
      <c r="B714" s="1475">
        <v>86000.0</v>
      </c>
      <c r="C714" s="1476">
        <v>2023.0</v>
      </c>
      <c r="D714" s="1475" t="s">
        <v>3636</v>
      </c>
      <c r="E714" s="1475" t="s">
        <v>666</v>
      </c>
      <c r="F714" s="1477" t="s">
        <v>4819</v>
      </c>
      <c r="G714" s="1479"/>
      <c r="H714" s="1479"/>
      <c r="I714" s="1476" t="s">
        <v>4774</v>
      </c>
      <c r="J714" s="1476" t="s">
        <v>3786</v>
      </c>
      <c r="K714" s="1476" t="s">
        <v>3652</v>
      </c>
      <c r="L714" s="1479"/>
      <c r="M714" s="1479"/>
      <c r="N714" s="1479"/>
      <c r="O714" s="1479"/>
      <c r="P714" s="1479"/>
      <c r="Q714" s="1479"/>
      <c r="R714" s="1479"/>
      <c r="S714" s="1479"/>
      <c r="T714" s="1479"/>
      <c r="U714" s="1479"/>
      <c r="V714" s="1479"/>
      <c r="W714" s="1479"/>
      <c r="X714" s="1479"/>
      <c r="Y714" s="1479"/>
      <c r="Z714" s="1479"/>
    </row>
    <row r="715">
      <c r="A715" s="1474" t="s">
        <v>3435</v>
      </c>
      <c r="B715" s="1475">
        <v>84600.0</v>
      </c>
      <c r="C715" s="1476">
        <v>2021.0</v>
      </c>
      <c r="D715" s="1473"/>
      <c r="E715" s="1469" t="s">
        <v>3637</v>
      </c>
      <c r="F715" s="1477" t="s">
        <v>4819</v>
      </c>
      <c r="G715" s="1479"/>
      <c r="H715" s="1464"/>
      <c r="I715" s="1476" t="s">
        <v>4774</v>
      </c>
      <c r="J715" s="1476" t="s">
        <v>3651</v>
      </c>
      <c r="K715" s="1470" t="s">
        <v>3652</v>
      </c>
      <c r="L715" s="1464"/>
      <c r="M715" s="1479"/>
      <c r="N715" s="1479"/>
      <c r="O715" s="1479"/>
      <c r="P715" s="1479"/>
      <c r="Q715" s="1479"/>
      <c r="R715" s="1479"/>
      <c r="S715" s="1479"/>
      <c r="T715" s="1479"/>
      <c r="U715" s="1479"/>
      <c r="V715" s="1479"/>
      <c r="W715" s="1479"/>
      <c r="X715" s="1479"/>
      <c r="Y715" s="1479"/>
      <c r="Z715" s="1479"/>
    </row>
    <row r="716">
      <c r="A716" s="1468" t="s">
        <v>3376</v>
      </c>
      <c r="B716" s="1469">
        <v>84000.0</v>
      </c>
      <c r="C716" s="1470">
        <v>2020.0</v>
      </c>
      <c r="D716" s="1473"/>
      <c r="E716" s="1469" t="s">
        <v>3637</v>
      </c>
      <c r="F716" s="1471" t="s">
        <v>4820</v>
      </c>
      <c r="G716" s="1479"/>
      <c r="H716" s="1479"/>
      <c r="I716" s="1470" t="s">
        <v>4774</v>
      </c>
      <c r="J716" s="1470" t="s">
        <v>863</v>
      </c>
      <c r="K716" s="1470" t="s">
        <v>3652</v>
      </c>
      <c r="L716" s="1464"/>
      <c r="M716" s="1479"/>
      <c r="N716" s="1479"/>
      <c r="O716" s="1479"/>
      <c r="P716" s="1479"/>
      <c r="Q716" s="1479"/>
      <c r="R716" s="1479"/>
      <c r="S716" s="1479"/>
      <c r="T716" s="1479"/>
      <c r="U716" s="1479"/>
      <c r="V716" s="1479"/>
      <c r="W716" s="1479"/>
      <c r="X716" s="1479"/>
      <c r="Y716" s="1479"/>
      <c r="Z716" s="1479"/>
    </row>
    <row r="717">
      <c r="A717" s="1477" t="s">
        <v>4778</v>
      </c>
      <c r="B717" s="1475">
        <v>86700.0</v>
      </c>
      <c r="C717" s="1476">
        <v>2024.0</v>
      </c>
      <c r="D717" s="1481"/>
      <c r="E717" s="1475" t="s">
        <v>666</v>
      </c>
      <c r="F717" s="1477" t="s">
        <v>4821</v>
      </c>
      <c r="G717" s="1479"/>
      <c r="H717" s="1476" t="s">
        <v>3718</v>
      </c>
      <c r="I717" s="1476" t="s">
        <v>4774</v>
      </c>
      <c r="J717" s="1476" t="s">
        <v>3207</v>
      </c>
      <c r="K717" s="1476" t="s">
        <v>3207</v>
      </c>
      <c r="L717" s="1479"/>
      <c r="M717" s="1479"/>
      <c r="N717" s="1479"/>
      <c r="O717" s="1479"/>
      <c r="P717" s="1479"/>
      <c r="Q717" s="1479"/>
      <c r="R717" s="1479"/>
      <c r="S717" s="1479"/>
      <c r="T717" s="1479"/>
      <c r="U717" s="1479"/>
      <c r="V717" s="1479"/>
      <c r="W717" s="1479"/>
      <c r="X717" s="1479"/>
      <c r="Y717" s="1479"/>
      <c r="Z717" s="1479"/>
    </row>
    <row r="718">
      <c r="A718" s="1477" t="s">
        <v>4822</v>
      </c>
      <c r="B718" s="1475">
        <v>86700.0</v>
      </c>
      <c r="C718" s="1476">
        <v>2024.0</v>
      </c>
      <c r="D718" s="1481"/>
      <c r="E718" s="1475" t="s">
        <v>666</v>
      </c>
      <c r="F718" s="1477" t="s">
        <v>4821</v>
      </c>
      <c r="G718" s="1479"/>
      <c r="H718" s="1476" t="s">
        <v>3718</v>
      </c>
      <c r="I718" s="1476" t="s">
        <v>4774</v>
      </c>
      <c r="J718" s="1476" t="s">
        <v>3797</v>
      </c>
      <c r="K718" s="1476" t="s">
        <v>4780</v>
      </c>
      <c r="L718" s="1479"/>
      <c r="M718" s="1464"/>
      <c r="N718" s="1464"/>
      <c r="O718" s="1464"/>
      <c r="P718" s="1464"/>
      <c r="Q718" s="1464"/>
      <c r="R718" s="1464"/>
      <c r="S718" s="1464"/>
      <c r="T718" s="1464"/>
      <c r="U718" s="1464"/>
      <c r="V718" s="1464"/>
      <c r="W718" s="1464"/>
      <c r="X718" s="1464"/>
      <c r="Y718" s="1464"/>
      <c r="Z718" s="1464"/>
    </row>
    <row r="719">
      <c r="A719" s="1477" t="s">
        <v>3920</v>
      </c>
      <c r="B719" s="1475">
        <v>86500.0</v>
      </c>
      <c r="C719" s="1476">
        <v>2022.0</v>
      </c>
      <c r="D719" s="1481"/>
      <c r="E719" s="1475" t="s">
        <v>666</v>
      </c>
      <c r="F719" s="1477" t="s">
        <v>4821</v>
      </c>
      <c r="G719" s="1479"/>
      <c r="H719" s="1476" t="s">
        <v>3639</v>
      </c>
      <c r="I719" s="1476" t="s">
        <v>4774</v>
      </c>
      <c r="J719" s="1476" t="s">
        <v>3797</v>
      </c>
      <c r="K719" s="1476" t="s">
        <v>3207</v>
      </c>
      <c r="L719" s="1479"/>
      <c r="M719" s="1464"/>
      <c r="N719" s="1464"/>
      <c r="O719" s="1464"/>
      <c r="P719" s="1464"/>
      <c r="Q719" s="1464"/>
      <c r="R719" s="1464"/>
      <c r="S719" s="1464"/>
      <c r="T719" s="1464"/>
      <c r="U719" s="1464"/>
      <c r="V719" s="1464"/>
      <c r="W719" s="1464"/>
      <c r="X719" s="1464"/>
      <c r="Y719" s="1464"/>
      <c r="Z719" s="1464"/>
    </row>
    <row r="720">
      <c r="A720" s="1474" t="s">
        <v>3773</v>
      </c>
      <c r="B720" s="1475">
        <v>86500.0</v>
      </c>
      <c r="C720" s="1476">
        <v>2022.0</v>
      </c>
      <c r="D720" s="1481"/>
      <c r="E720" s="1475" t="s">
        <v>666</v>
      </c>
      <c r="F720" s="1477" t="s">
        <v>4821</v>
      </c>
      <c r="G720" s="1479"/>
      <c r="H720" s="1476" t="s">
        <v>3639</v>
      </c>
      <c r="I720" s="1476" t="s">
        <v>4774</v>
      </c>
      <c r="J720" s="1476" t="s">
        <v>3797</v>
      </c>
      <c r="K720" s="1476" t="s">
        <v>3207</v>
      </c>
      <c r="L720" s="1479"/>
      <c r="M720" s="1464"/>
      <c r="N720" s="1464"/>
      <c r="O720" s="1464"/>
      <c r="P720" s="1464"/>
      <c r="Q720" s="1464"/>
      <c r="R720" s="1464"/>
      <c r="S720" s="1464"/>
      <c r="T720" s="1464"/>
      <c r="U720" s="1464"/>
      <c r="V720" s="1464"/>
      <c r="W720" s="1464"/>
      <c r="X720" s="1464"/>
      <c r="Y720" s="1464"/>
      <c r="Z720" s="1464"/>
    </row>
    <row r="721">
      <c r="A721" s="1468" t="s">
        <v>4782</v>
      </c>
      <c r="B721" s="1469">
        <v>83000.0</v>
      </c>
      <c r="C721" s="1470">
        <v>2018.0</v>
      </c>
      <c r="D721" s="1473"/>
      <c r="E721" s="1473"/>
      <c r="F721" s="1471" t="s">
        <v>4821</v>
      </c>
      <c r="G721" s="1464"/>
      <c r="H721" s="1476" t="s">
        <v>3639</v>
      </c>
      <c r="I721" s="1470" t="s">
        <v>4774</v>
      </c>
      <c r="J721" s="1472" t="s">
        <v>3797</v>
      </c>
      <c r="K721" s="1470" t="s">
        <v>3207</v>
      </c>
      <c r="L721" s="1464"/>
      <c r="M721" s="1464"/>
      <c r="N721" s="1464"/>
      <c r="O721" s="1464"/>
      <c r="P721" s="1464"/>
      <c r="Q721" s="1464"/>
      <c r="R721" s="1464"/>
      <c r="S721" s="1464"/>
      <c r="T721" s="1464"/>
      <c r="U721" s="1464"/>
      <c r="V721" s="1464"/>
      <c r="W721" s="1464"/>
      <c r="X721" s="1464"/>
      <c r="Y721" s="1464"/>
      <c r="Z721" s="1464"/>
    </row>
    <row r="722">
      <c r="A722" s="1474" t="s">
        <v>4823</v>
      </c>
      <c r="B722" s="1475">
        <v>91000.0</v>
      </c>
      <c r="C722" s="1476">
        <v>2024.0</v>
      </c>
      <c r="D722" s="1481"/>
      <c r="E722" s="1475" t="s">
        <v>666</v>
      </c>
      <c r="F722" s="1477" t="s">
        <v>4824</v>
      </c>
      <c r="G722" s="1479"/>
      <c r="H722" s="1476" t="s">
        <v>3639</v>
      </c>
      <c r="I722" s="1476" t="s">
        <v>4774</v>
      </c>
      <c r="J722" s="1476" t="s">
        <v>761</v>
      </c>
      <c r="K722" s="1476" t="s">
        <v>761</v>
      </c>
      <c r="L722" s="1479"/>
      <c r="M722" s="1464"/>
      <c r="N722" s="1464"/>
      <c r="O722" s="1464"/>
      <c r="P722" s="1464"/>
      <c r="Q722" s="1464"/>
      <c r="R722" s="1464"/>
      <c r="S722" s="1464"/>
      <c r="T722" s="1464"/>
      <c r="U722" s="1464"/>
      <c r="V722" s="1464"/>
      <c r="W722" s="1464"/>
      <c r="X722" s="1464"/>
      <c r="Y722" s="1464"/>
      <c r="Z722" s="1464"/>
    </row>
    <row r="723">
      <c r="A723" s="1474" t="s">
        <v>4825</v>
      </c>
      <c r="B723" s="1475">
        <v>91000.0</v>
      </c>
      <c r="C723" s="1476">
        <v>2024.0</v>
      </c>
      <c r="D723" s="1481"/>
      <c r="E723" s="1475" t="s">
        <v>666</v>
      </c>
      <c r="F723" s="1477" t="s">
        <v>4824</v>
      </c>
      <c r="G723" s="1479"/>
      <c r="H723" s="1476" t="s">
        <v>3639</v>
      </c>
      <c r="I723" s="1476" t="s">
        <v>4774</v>
      </c>
      <c r="J723" s="1476" t="s">
        <v>761</v>
      </c>
      <c r="K723" s="1476" t="s">
        <v>761</v>
      </c>
      <c r="L723" s="1479"/>
      <c r="M723" s="1464"/>
      <c r="N723" s="1464"/>
      <c r="O723" s="1464"/>
      <c r="P723" s="1464"/>
      <c r="Q723" s="1464"/>
      <c r="R723" s="1464"/>
      <c r="S723" s="1464"/>
      <c r="T723" s="1464"/>
      <c r="U723" s="1464"/>
      <c r="V723" s="1464"/>
      <c r="W723" s="1464"/>
      <c r="X723" s="1464"/>
      <c r="Y723" s="1464"/>
      <c r="Z723" s="1464"/>
    </row>
    <row r="724">
      <c r="A724" s="1468" t="s">
        <v>4772</v>
      </c>
      <c r="B724" s="1469">
        <v>83700.0</v>
      </c>
      <c r="C724" s="1470">
        <v>2008.0</v>
      </c>
      <c r="D724" s="1473"/>
      <c r="E724" s="1469" t="s">
        <v>70</v>
      </c>
      <c r="F724" s="1471" t="s">
        <v>4826</v>
      </c>
      <c r="G724" s="1464"/>
      <c r="H724" s="1464"/>
      <c r="I724" s="1470" t="s">
        <v>4774</v>
      </c>
      <c r="J724" s="1470" t="s">
        <v>4317</v>
      </c>
      <c r="K724" s="1470" t="s">
        <v>4775</v>
      </c>
      <c r="L724" s="1464"/>
      <c r="M724" s="1464"/>
      <c r="N724" s="1464"/>
      <c r="O724" s="1464"/>
      <c r="P724" s="1464"/>
      <c r="Q724" s="1464"/>
      <c r="R724" s="1464"/>
      <c r="S724" s="1464"/>
      <c r="T724" s="1464"/>
      <c r="U724" s="1464"/>
      <c r="V724" s="1464"/>
      <c r="W724" s="1464"/>
      <c r="X724" s="1464"/>
      <c r="Y724" s="1464"/>
      <c r="Z724" s="1464"/>
    </row>
    <row r="725">
      <c r="A725" s="1468" t="s">
        <v>4776</v>
      </c>
      <c r="B725" s="1469">
        <v>82200.0</v>
      </c>
      <c r="C725" s="1470">
        <v>2008.0</v>
      </c>
      <c r="D725" s="1473"/>
      <c r="E725" s="1469" t="s">
        <v>3637</v>
      </c>
      <c r="F725" s="1471" t="s">
        <v>4826</v>
      </c>
      <c r="G725" s="1464"/>
      <c r="H725" s="1464"/>
      <c r="I725" s="1470" t="s">
        <v>4774</v>
      </c>
      <c r="J725" s="1470" t="s">
        <v>4317</v>
      </c>
      <c r="K725" s="1470" t="s">
        <v>4775</v>
      </c>
      <c r="L725" s="1464"/>
      <c r="M725" s="1464"/>
      <c r="N725" s="1464"/>
      <c r="O725" s="1464"/>
      <c r="P725" s="1464"/>
      <c r="Q725" s="1464"/>
      <c r="R725" s="1464"/>
      <c r="S725" s="1464"/>
      <c r="T725" s="1464"/>
      <c r="U725" s="1464"/>
      <c r="V725" s="1464"/>
      <c r="W725" s="1464"/>
      <c r="X725" s="1464"/>
      <c r="Y725" s="1464"/>
      <c r="Z725" s="1464"/>
    </row>
    <row r="726">
      <c r="A726" s="1468" t="s">
        <v>4791</v>
      </c>
      <c r="B726" s="1469">
        <v>82000.0</v>
      </c>
      <c r="C726" s="1470">
        <v>2008.0</v>
      </c>
      <c r="D726" s="1473"/>
      <c r="E726" s="1473"/>
      <c r="F726" s="1471" t="s">
        <v>4827</v>
      </c>
      <c r="G726" s="1464"/>
      <c r="H726" s="1464"/>
      <c r="I726" s="1470" t="s">
        <v>4774</v>
      </c>
      <c r="J726" s="1470" t="s">
        <v>4317</v>
      </c>
      <c r="K726" s="1470" t="s">
        <v>4792</v>
      </c>
      <c r="L726" s="1464"/>
      <c r="M726" s="1464"/>
      <c r="N726" s="1464"/>
      <c r="O726" s="1464"/>
      <c r="P726" s="1464"/>
      <c r="Q726" s="1464"/>
      <c r="R726" s="1464"/>
      <c r="S726" s="1464"/>
      <c r="T726" s="1464"/>
      <c r="U726" s="1464"/>
      <c r="V726" s="1464"/>
      <c r="W726" s="1464"/>
      <c r="X726" s="1464"/>
      <c r="Y726" s="1464"/>
      <c r="Z726" s="1464"/>
    </row>
    <row r="727">
      <c r="A727" s="1468" t="s">
        <v>4828</v>
      </c>
      <c r="B727" s="1469">
        <v>82200.0</v>
      </c>
      <c r="C727" s="1470">
        <v>2008.0</v>
      </c>
      <c r="D727" s="1473"/>
      <c r="E727" s="1473"/>
      <c r="F727" s="1468" t="s">
        <v>4829</v>
      </c>
      <c r="G727" s="1464"/>
      <c r="H727" s="1464"/>
      <c r="I727" s="1470" t="s">
        <v>4774</v>
      </c>
      <c r="J727" s="1470" t="s">
        <v>4317</v>
      </c>
      <c r="K727" s="1470" t="s">
        <v>4830</v>
      </c>
      <c r="L727" s="1464"/>
      <c r="M727" s="1464"/>
      <c r="N727" s="1464"/>
      <c r="O727" s="1464"/>
      <c r="P727" s="1464"/>
      <c r="Q727" s="1464"/>
      <c r="R727" s="1464"/>
      <c r="S727" s="1464"/>
      <c r="T727" s="1464"/>
      <c r="U727" s="1464"/>
      <c r="V727" s="1464"/>
      <c r="W727" s="1464"/>
      <c r="X727" s="1464"/>
      <c r="Y727" s="1464"/>
      <c r="Z727" s="1464"/>
    </row>
    <row r="728">
      <c r="A728" s="1474" t="s">
        <v>4831</v>
      </c>
      <c r="B728" s="1475">
        <v>82000.0</v>
      </c>
      <c r="C728" s="1476">
        <v>2008.0</v>
      </c>
      <c r="D728" s="1481"/>
      <c r="E728" s="1481"/>
      <c r="F728" s="1477" t="s">
        <v>4832</v>
      </c>
      <c r="G728" s="1464"/>
      <c r="H728" s="1464"/>
      <c r="I728" s="1476" t="s">
        <v>4774</v>
      </c>
      <c r="J728" s="1476" t="s">
        <v>4317</v>
      </c>
      <c r="K728" s="1470" t="s">
        <v>4775</v>
      </c>
      <c r="L728" s="1464"/>
      <c r="M728" s="1464"/>
      <c r="N728" s="1464"/>
      <c r="O728" s="1464"/>
      <c r="P728" s="1464"/>
      <c r="Q728" s="1464"/>
      <c r="R728" s="1464"/>
      <c r="S728" s="1464"/>
      <c r="T728" s="1464"/>
      <c r="U728" s="1464"/>
      <c r="V728" s="1464"/>
      <c r="W728" s="1464"/>
      <c r="X728" s="1464"/>
      <c r="Y728" s="1464"/>
      <c r="Z728" s="1464"/>
    </row>
    <row r="729">
      <c r="A729" s="1468" t="s">
        <v>4828</v>
      </c>
      <c r="B729" s="1469">
        <v>82200.0</v>
      </c>
      <c r="C729" s="1470">
        <v>2008.0</v>
      </c>
      <c r="D729" s="1473"/>
      <c r="E729" s="1473"/>
      <c r="F729" s="1468" t="s">
        <v>4833</v>
      </c>
      <c r="G729" s="1464"/>
      <c r="H729" s="1464"/>
      <c r="I729" s="1470" t="s">
        <v>4774</v>
      </c>
      <c r="J729" s="1470" t="s">
        <v>4317</v>
      </c>
      <c r="K729" s="1470" t="s">
        <v>4830</v>
      </c>
      <c r="L729" s="1464"/>
      <c r="M729" s="1464"/>
      <c r="N729" s="1464"/>
      <c r="O729" s="1464"/>
      <c r="P729" s="1464"/>
      <c r="Q729" s="1464"/>
      <c r="R729" s="1464"/>
      <c r="S729" s="1464"/>
      <c r="T729" s="1464"/>
      <c r="U729" s="1464"/>
      <c r="V729" s="1464"/>
      <c r="W729" s="1464"/>
      <c r="X729" s="1464"/>
      <c r="Y729" s="1464"/>
      <c r="Z729" s="1464"/>
    </row>
    <row r="730">
      <c r="A730" s="1468" t="s">
        <v>4834</v>
      </c>
      <c r="B730" s="1469">
        <v>84000.0</v>
      </c>
      <c r="C730" s="1470">
        <v>2018.0</v>
      </c>
      <c r="D730" s="1473"/>
      <c r="E730" s="1469" t="s">
        <v>3637</v>
      </c>
      <c r="F730" s="1471" t="s">
        <v>4835</v>
      </c>
      <c r="G730" s="1464"/>
      <c r="H730" s="1464"/>
      <c r="I730" s="1476" t="s">
        <v>4774</v>
      </c>
      <c r="J730" s="1476" t="s">
        <v>3827</v>
      </c>
      <c r="K730" s="1470" t="s">
        <v>3984</v>
      </c>
      <c r="L730" s="1464"/>
      <c r="M730" s="1464"/>
      <c r="N730" s="1464"/>
      <c r="O730" s="1464"/>
      <c r="P730" s="1464"/>
      <c r="Q730" s="1464"/>
      <c r="R730" s="1464"/>
      <c r="S730" s="1464"/>
      <c r="T730" s="1464"/>
      <c r="U730" s="1464"/>
      <c r="V730" s="1464"/>
      <c r="W730" s="1464"/>
      <c r="X730" s="1464"/>
      <c r="Y730" s="1464"/>
      <c r="Z730" s="1464"/>
    </row>
    <row r="731">
      <c r="A731" s="1468" t="s">
        <v>4836</v>
      </c>
      <c r="B731" s="1469">
        <v>84000.0</v>
      </c>
      <c r="C731" s="1470">
        <v>2018.0</v>
      </c>
      <c r="D731" s="1473"/>
      <c r="E731" s="1469" t="s">
        <v>3637</v>
      </c>
      <c r="F731" s="1471" t="s">
        <v>4835</v>
      </c>
      <c r="G731" s="1464"/>
      <c r="H731" s="1464"/>
      <c r="I731" s="1476" t="s">
        <v>4774</v>
      </c>
      <c r="J731" s="1476" t="s">
        <v>3827</v>
      </c>
      <c r="K731" s="1470" t="s">
        <v>3984</v>
      </c>
      <c r="L731" s="1464"/>
      <c r="M731" s="1464"/>
      <c r="N731" s="1464"/>
      <c r="O731" s="1464"/>
      <c r="P731" s="1464"/>
      <c r="Q731" s="1464"/>
      <c r="R731" s="1464"/>
      <c r="S731" s="1464"/>
      <c r="T731" s="1464"/>
      <c r="U731" s="1464"/>
      <c r="V731" s="1464"/>
      <c r="W731" s="1464"/>
      <c r="X731" s="1464"/>
      <c r="Y731" s="1464"/>
      <c r="Z731" s="1464"/>
    </row>
    <row r="732">
      <c r="A732" s="1468" t="s">
        <v>4837</v>
      </c>
      <c r="B732" s="1469">
        <v>82000.0</v>
      </c>
      <c r="C732" s="1470">
        <v>2013.0</v>
      </c>
      <c r="D732" s="1473"/>
      <c r="E732" s="1469" t="s">
        <v>3637</v>
      </c>
      <c r="F732" s="1471" t="s">
        <v>4835</v>
      </c>
      <c r="G732" s="1464"/>
      <c r="H732" s="1464"/>
      <c r="I732" s="1476" t="s">
        <v>4774</v>
      </c>
      <c r="J732" s="1476" t="s">
        <v>3827</v>
      </c>
      <c r="K732" s="1470" t="s">
        <v>3984</v>
      </c>
      <c r="L732" s="1464"/>
      <c r="M732" s="1464"/>
      <c r="N732" s="1464"/>
      <c r="O732" s="1464"/>
      <c r="P732" s="1464"/>
      <c r="Q732" s="1464"/>
      <c r="R732" s="1464"/>
      <c r="S732" s="1464"/>
      <c r="T732" s="1464"/>
      <c r="U732" s="1464"/>
      <c r="V732" s="1464"/>
      <c r="W732" s="1464"/>
      <c r="X732" s="1464"/>
      <c r="Y732" s="1464"/>
      <c r="Z732" s="1464"/>
    </row>
    <row r="733">
      <c r="A733" s="1468" t="s">
        <v>4838</v>
      </c>
      <c r="B733" s="1469">
        <v>82000.0</v>
      </c>
      <c r="C733" s="1470">
        <v>2013.0</v>
      </c>
      <c r="D733" s="1473"/>
      <c r="E733" s="1473"/>
      <c r="F733" s="1471" t="s">
        <v>4835</v>
      </c>
      <c r="G733" s="1464"/>
      <c r="H733" s="1464"/>
      <c r="I733" s="1476" t="s">
        <v>4774</v>
      </c>
      <c r="J733" s="1476" t="s">
        <v>3827</v>
      </c>
      <c r="K733" s="1470" t="s">
        <v>3984</v>
      </c>
      <c r="L733" s="1464"/>
      <c r="M733" s="1464"/>
      <c r="N733" s="1464"/>
      <c r="O733" s="1464"/>
      <c r="P733" s="1464"/>
      <c r="Q733" s="1464"/>
      <c r="R733" s="1464"/>
      <c r="S733" s="1464"/>
      <c r="T733" s="1464"/>
      <c r="U733" s="1464"/>
      <c r="V733" s="1464"/>
      <c r="W733" s="1464"/>
      <c r="X733" s="1464"/>
      <c r="Y733" s="1464"/>
      <c r="Z733" s="1464"/>
    </row>
    <row r="734">
      <c r="A734" s="1468" t="s">
        <v>4839</v>
      </c>
      <c r="B734" s="1469">
        <v>82000.0</v>
      </c>
      <c r="C734" s="1470">
        <v>2013.0</v>
      </c>
      <c r="D734" s="1473"/>
      <c r="E734" s="1469" t="s">
        <v>3637</v>
      </c>
      <c r="F734" s="1471" t="s">
        <v>4835</v>
      </c>
      <c r="G734" s="1464"/>
      <c r="H734" s="1464"/>
      <c r="I734" s="1476" t="s">
        <v>4774</v>
      </c>
      <c r="J734" s="1476" t="s">
        <v>3827</v>
      </c>
      <c r="K734" s="1470" t="s">
        <v>3984</v>
      </c>
      <c r="L734" s="1464"/>
      <c r="M734" s="1464"/>
      <c r="N734" s="1464"/>
      <c r="O734" s="1464"/>
      <c r="P734" s="1464"/>
      <c r="Q734" s="1464"/>
      <c r="R734" s="1464"/>
      <c r="S734" s="1464"/>
      <c r="T734" s="1464"/>
      <c r="U734" s="1464"/>
      <c r="V734" s="1464"/>
      <c r="W734" s="1464"/>
      <c r="X734" s="1464"/>
      <c r="Y734" s="1464"/>
      <c r="Z734" s="1464"/>
    </row>
    <row r="735">
      <c r="A735" s="1468" t="s">
        <v>4840</v>
      </c>
      <c r="B735" s="1469">
        <v>82000.0</v>
      </c>
      <c r="C735" s="1470">
        <v>2008.0</v>
      </c>
      <c r="D735" s="1473"/>
      <c r="E735" s="1473"/>
      <c r="F735" s="1471" t="s">
        <v>4835</v>
      </c>
      <c r="G735" s="1464"/>
      <c r="H735" s="1464"/>
      <c r="I735" s="1476" t="s">
        <v>4774</v>
      </c>
      <c r="J735" s="1476" t="s">
        <v>3827</v>
      </c>
      <c r="K735" s="1470" t="s">
        <v>3984</v>
      </c>
      <c r="L735" s="1464"/>
      <c r="M735" s="1464"/>
      <c r="N735" s="1464"/>
      <c r="O735" s="1464"/>
      <c r="P735" s="1464"/>
      <c r="Q735" s="1464"/>
      <c r="R735" s="1464"/>
      <c r="S735" s="1464"/>
      <c r="T735" s="1464"/>
      <c r="U735" s="1464"/>
      <c r="V735" s="1464"/>
      <c r="W735" s="1464"/>
      <c r="X735" s="1464"/>
      <c r="Y735" s="1464"/>
      <c r="Z735" s="1464"/>
    </row>
    <row r="736">
      <c r="A736" s="1468" t="s">
        <v>4834</v>
      </c>
      <c r="B736" s="1469">
        <v>84000.0</v>
      </c>
      <c r="C736" s="1470">
        <v>2018.0</v>
      </c>
      <c r="D736" s="1473"/>
      <c r="E736" s="1469" t="s">
        <v>3637</v>
      </c>
      <c r="F736" s="1471" t="s">
        <v>4841</v>
      </c>
      <c r="G736" s="1464"/>
      <c r="H736" s="1464"/>
      <c r="I736" s="1476" t="s">
        <v>4774</v>
      </c>
      <c r="J736" s="1476" t="s">
        <v>3827</v>
      </c>
      <c r="K736" s="1470" t="s">
        <v>3984</v>
      </c>
      <c r="L736" s="1464"/>
      <c r="M736" s="1464"/>
      <c r="N736" s="1464"/>
      <c r="O736" s="1464"/>
      <c r="P736" s="1464"/>
      <c r="Q736" s="1464"/>
      <c r="R736" s="1464"/>
      <c r="S736" s="1464"/>
      <c r="T736" s="1464"/>
      <c r="U736" s="1464"/>
      <c r="V736" s="1464"/>
      <c r="W736" s="1464"/>
      <c r="X736" s="1464"/>
      <c r="Y736" s="1464"/>
      <c r="Z736" s="1464"/>
    </row>
    <row r="737">
      <c r="A737" s="1468" t="s">
        <v>4837</v>
      </c>
      <c r="B737" s="1469">
        <v>84000.0</v>
      </c>
      <c r="C737" s="1470">
        <v>2018.0</v>
      </c>
      <c r="D737" s="1473"/>
      <c r="E737" s="1469" t="s">
        <v>3637</v>
      </c>
      <c r="F737" s="1471" t="s">
        <v>4841</v>
      </c>
      <c r="G737" s="1464"/>
      <c r="H737" s="1464"/>
      <c r="I737" s="1476" t="s">
        <v>4774</v>
      </c>
      <c r="J737" s="1476" t="s">
        <v>3827</v>
      </c>
      <c r="K737" s="1470" t="s">
        <v>3984</v>
      </c>
      <c r="L737" s="1464"/>
      <c r="M737" s="1464"/>
      <c r="N737" s="1464"/>
      <c r="O737" s="1464"/>
      <c r="P737" s="1464"/>
      <c r="Q737" s="1464"/>
      <c r="R737" s="1464"/>
      <c r="S737" s="1464"/>
      <c r="T737" s="1464"/>
      <c r="U737" s="1464"/>
      <c r="V737" s="1464"/>
      <c r="W737" s="1464"/>
      <c r="X737" s="1464"/>
      <c r="Y737" s="1464"/>
      <c r="Z737" s="1464"/>
    </row>
    <row r="738">
      <c r="A738" s="1468" t="s">
        <v>4836</v>
      </c>
      <c r="B738" s="1469">
        <v>82000.0</v>
      </c>
      <c r="C738" s="1470">
        <v>2013.0</v>
      </c>
      <c r="D738" s="1473"/>
      <c r="E738" s="1469" t="s">
        <v>3637</v>
      </c>
      <c r="F738" s="1471" t="s">
        <v>4841</v>
      </c>
      <c r="G738" s="1464"/>
      <c r="H738" s="1464"/>
      <c r="I738" s="1476" t="s">
        <v>4774</v>
      </c>
      <c r="J738" s="1476" t="s">
        <v>3827</v>
      </c>
      <c r="K738" s="1470" t="s">
        <v>3984</v>
      </c>
      <c r="L738" s="1464"/>
      <c r="M738" s="1464"/>
      <c r="N738" s="1464"/>
      <c r="O738" s="1464"/>
      <c r="P738" s="1464"/>
      <c r="Q738" s="1464"/>
      <c r="R738" s="1464"/>
      <c r="S738" s="1464"/>
      <c r="T738" s="1464"/>
      <c r="U738" s="1464"/>
      <c r="V738" s="1464"/>
      <c r="W738" s="1464"/>
      <c r="X738" s="1464"/>
      <c r="Y738" s="1464"/>
      <c r="Z738" s="1464"/>
    </row>
    <row r="739">
      <c r="A739" s="1468" t="s">
        <v>4838</v>
      </c>
      <c r="B739" s="1469">
        <v>82000.0</v>
      </c>
      <c r="C739" s="1470">
        <v>2013.0</v>
      </c>
      <c r="D739" s="1473"/>
      <c r="E739" s="1473"/>
      <c r="F739" s="1471" t="s">
        <v>4841</v>
      </c>
      <c r="G739" s="1464"/>
      <c r="H739" s="1464"/>
      <c r="I739" s="1476" t="s">
        <v>4774</v>
      </c>
      <c r="J739" s="1476" t="s">
        <v>3827</v>
      </c>
      <c r="K739" s="1470" t="s">
        <v>3984</v>
      </c>
      <c r="L739" s="1464"/>
      <c r="M739" s="1464"/>
      <c r="N739" s="1464"/>
      <c r="O739" s="1464"/>
      <c r="P739" s="1464"/>
      <c r="Q739" s="1464"/>
      <c r="R739" s="1464"/>
      <c r="S739" s="1464"/>
      <c r="T739" s="1464"/>
      <c r="U739" s="1464"/>
      <c r="V739" s="1464"/>
      <c r="W739" s="1464"/>
      <c r="X739" s="1464"/>
      <c r="Y739" s="1464"/>
      <c r="Z739" s="1464"/>
    </row>
    <row r="740">
      <c r="A740" s="1468" t="s">
        <v>4839</v>
      </c>
      <c r="B740" s="1469">
        <v>82000.0</v>
      </c>
      <c r="C740" s="1470">
        <v>2013.0</v>
      </c>
      <c r="D740" s="1473"/>
      <c r="E740" s="1469" t="s">
        <v>3637</v>
      </c>
      <c r="F740" s="1471" t="s">
        <v>4841</v>
      </c>
      <c r="G740" s="1464"/>
      <c r="H740" s="1464"/>
      <c r="I740" s="1476" t="s">
        <v>4774</v>
      </c>
      <c r="J740" s="1476" t="s">
        <v>3827</v>
      </c>
      <c r="K740" s="1470" t="s">
        <v>3984</v>
      </c>
      <c r="L740" s="1464"/>
      <c r="M740" s="1464"/>
      <c r="N740" s="1464"/>
      <c r="O740" s="1464"/>
      <c r="P740" s="1464"/>
      <c r="Q740" s="1464"/>
      <c r="R740" s="1464"/>
      <c r="S740" s="1464"/>
      <c r="T740" s="1464"/>
      <c r="U740" s="1464"/>
      <c r="V740" s="1464"/>
      <c r="W740" s="1464"/>
      <c r="X740" s="1464"/>
      <c r="Y740" s="1464"/>
      <c r="Z740" s="1464"/>
    </row>
    <row r="741">
      <c r="A741" s="1468" t="s">
        <v>4840</v>
      </c>
      <c r="B741" s="1469">
        <v>82000.0</v>
      </c>
      <c r="C741" s="1470">
        <v>2008.0</v>
      </c>
      <c r="D741" s="1473"/>
      <c r="E741" s="1473"/>
      <c r="F741" s="1471" t="s">
        <v>4841</v>
      </c>
      <c r="G741" s="1464"/>
      <c r="H741" s="1464"/>
      <c r="I741" s="1476" t="s">
        <v>4774</v>
      </c>
      <c r="J741" s="1476" t="s">
        <v>3827</v>
      </c>
      <c r="K741" s="1470" t="s">
        <v>3984</v>
      </c>
      <c r="L741" s="1464"/>
      <c r="M741" s="1464"/>
      <c r="N741" s="1464"/>
      <c r="O741" s="1464"/>
      <c r="P741" s="1464"/>
      <c r="Q741" s="1464"/>
      <c r="R741" s="1464"/>
      <c r="S741" s="1464"/>
      <c r="T741" s="1464"/>
      <c r="U741" s="1464"/>
      <c r="V741" s="1464"/>
      <c r="W741" s="1464"/>
      <c r="X741" s="1464"/>
      <c r="Y741" s="1464"/>
      <c r="Z741" s="1464"/>
    </row>
    <row r="742">
      <c r="A742" s="1474" t="s">
        <v>3383</v>
      </c>
      <c r="B742" s="1475">
        <v>80000.0</v>
      </c>
      <c r="C742" s="1476">
        <v>2019.0</v>
      </c>
      <c r="D742" s="1469" t="s">
        <v>3636</v>
      </c>
      <c r="E742" s="1469" t="s">
        <v>3637</v>
      </c>
      <c r="F742" s="1477" t="s">
        <v>4842</v>
      </c>
      <c r="G742" s="1464"/>
      <c r="H742" s="1470" t="s">
        <v>3639</v>
      </c>
      <c r="I742" s="1476" t="s">
        <v>4774</v>
      </c>
      <c r="J742" s="1476" t="s">
        <v>830</v>
      </c>
      <c r="K742" s="1470" t="s">
        <v>3759</v>
      </c>
      <c r="L742" s="1464"/>
      <c r="M742" s="1464"/>
      <c r="N742" s="1464"/>
      <c r="O742" s="1464"/>
      <c r="P742" s="1464"/>
      <c r="Q742" s="1464"/>
      <c r="R742" s="1464"/>
      <c r="S742" s="1464"/>
      <c r="T742" s="1464"/>
      <c r="U742" s="1464"/>
      <c r="V742" s="1464"/>
      <c r="W742" s="1464"/>
      <c r="X742" s="1464"/>
      <c r="Y742" s="1464"/>
      <c r="Z742" s="1464"/>
    </row>
    <row r="743">
      <c r="A743" s="1474" t="s">
        <v>4843</v>
      </c>
      <c r="B743" s="1475">
        <v>86000.0</v>
      </c>
      <c r="C743" s="1476">
        <v>2023.0</v>
      </c>
      <c r="D743" s="1475" t="s">
        <v>3636</v>
      </c>
      <c r="E743" s="1475" t="s">
        <v>666</v>
      </c>
      <c r="F743" s="1477" t="s">
        <v>4844</v>
      </c>
      <c r="G743" s="1479"/>
      <c r="H743" s="1479"/>
      <c r="I743" s="1476" t="s">
        <v>4845</v>
      </c>
      <c r="J743" s="1476" t="s">
        <v>761</v>
      </c>
      <c r="K743" s="1476" t="s">
        <v>4846</v>
      </c>
      <c r="L743" s="1464"/>
      <c r="M743" s="1479"/>
      <c r="N743" s="1479"/>
      <c r="O743" s="1479"/>
      <c r="P743" s="1479"/>
      <c r="Q743" s="1479"/>
      <c r="R743" s="1479"/>
      <c r="S743" s="1479"/>
      <c r="T743" s="1479"/>
      <c r="U743" s="1479"/>
      <c r="V743" s="1479"/>
      <c r="W743" s="1479"/>
      <c r="X743" s="1479"/>
      <c r="Y743" s="1479"/>
      <c r="Z743" s="1479"/>
    </row>
    <row r="744">
      <c r="A744" s="1474" t="s">
        <v>4847</v>
      </c>
      <c r="B744" s="1475">
        <v>86000.0</v>
      </c>
      <c r="C744" s="1476">
        <v>2023.0</v>
      </c>
      <c r="D744" s="1475" t="s">
        <v>3636</v>
      </c>
      <c r="E744" s="1475" t="s">
        <v>666</v>
      </c>
      <c r="F744" s="1477" t="s">
        <v>4844</v>
      </c>
      <c r="G744" s="1479"/>
      <c r="H744" s="1479"/>
      <c r="I744" s="1476" t="s">
        <v>4845</v>
      </c>
      <c r="J744" s="1476" t="s">
        <v>761</v>
      </c>
      <c r="K744" s="1476" t="s">
        <v>4846</v>
      </c>
      <c r="L744" s="1479"/>
      <c r="M744" s="1464"/>
      <c r="N744" s="1464"/>
      <c r="O744" s="1464"/>
      <c r="P744" s="1464"/>
      <c r="Q744" s="1464"/>
      <c r="R744" s="1464"/>
      <c r="S744" s="1464"/>
      <c r="T744" s="1464"/>
      <c r="U744" s="1464"/>
      <c r="V744" s="1464"/>
      <c r="W744" s="1464"/>
      <c r="X744" s="1464"/>
      <c r="Y744" s="1464"/>
      <c r="Z744" s="1464"/>
    </row>
    <row r="745">
      <c r="A745" s="1488" t="s">
        <v>4848</v>
      </c>
      <c r="B745" s="1486">
        <v>93000.0</v>
      </c>
      <c r="C745" s="1487">
        <v>2027.0</v>
      </c>
      <c r="D745" s="1489"/>
      <c r="E745" s="1487" t="s">
        <v>666</v>
      </c>
      <c r="F745" s="1488" t="s">
        <v>4231</v>
      </c>
      <c r="G745" s="1489"/>
      <c r="H745" s="1487" t="s">
        <v>3962</v>
      </c>
      <c r="I745" s="1487" t="s">
        <v>4845</v>
      </c>
      <c r="J745" s="1487" t="s">
        <v>4849</v>
      </c>
      <c r="K745" s="1487" t="s">
        <v>4849</v>
      </c>
      <c r="L745" s="1464"/>
      <c r="M745" s="1464"/>
      <c r="N745" s="1464"/>
      <c r="O745" s="1464"/>
      <c r="P745" s="1464"/>
      <c r="Q745" s="1464"/>
      <c r="R745" s="1464"/>
      <c r="S745" s="1464"/>
      <c r="T745" s="1464"/>
      <c r="U745" s="1464"/>
      <c r="V745" s="1464"/>
      <c r="W745" s="1464"/>
      <c r="X745" s="1464"/>
      <c r="Y745" s="1464"/>
      <c r="Z745" s="1464"/>
    </row>
    <row r="746">
      <c r="A746" s="1488" t="s">
        <v>4850</v>
      </c>
      <c r="B746" s="1486">
        <v>93000.0</v>
      </c>
      <c r="C746" s="1487">
        <v>2027.0</v>
      </c>
      <c r="D746" s="1489"/>
      <c r="E746" s="1487" t="s">
        <v>666</v>
      </c>
      <c r="F746" s="1488" t="s">
        <v>4231</v>
      </c>
      <c r="G746" s="1489"/>
      <c r="H746" s="1487" t="s">
        <v>3962</v>
      </c>
      <c r="I746" s="1487" t="s">
        <v>4845</v>
      </c>
      <c r="J746" s="1487" t="s">
        <v>4849</v>
      </c>
      <c r="K746" s="1487" t="s">
        <v>4849</v>
      </c>
      <c r="L746" s="1464"/>
      <c r="M746" s="1464"/>
      <c r="N746" s="1464"/>
      <c r="O746" s="1464"/>
      <c r="P746" s="1464"/>
      <c r="Q746" s="1464"/>
      <c r="R746" s="1464"/>
      <c r="S746" s="1464"/>
      <c r="T746" s="1464"/>
      <c r="U746" s="1464"/>
      <c r="V746" s="1464"/>
      <c r="W746" s="1464"/>
      <c r="X746" s="1464"/>
      <c r="Y746" s="1464"/>
      <c r="Z746" s="1464"/>
    </row>
    <row r="747">
      <c r="A747" s="1488" t="s">
        <v>4851</v>
      </c>
      <c r="B747" s="1486">
        <v>93000.0</v>
      </c>
      <c r="C747" s="1487">
        <v>2027.0</v>
      </c>
      <c r="D747" s="1489"/>
      <c r="E747" s="1487" t="s">
        <v>666</v>
      </c>
      <c r="F747" s="1488" t="s">
        <v>4231</v>
      </c>
      <c r="G747" s="1489"/>
      <c r="H747" s="1487" t="s">
        <v>3962</v>
      </c>
      <c r="I747" s="1487" t="s">
        <v>4845</v>
      </c>
      <c r="J747" s="1487" t="s">
        <v>4849</v>
      </c>
      <c r="K747" s="1487" t="s">
        <v>4849</v>
      </c>
      <c r="L747" s="1464"/>
      <c r="M747" s="1464"/>
      <c r="N747" s="1464"/>
      <c r="O747" s="1464"/>
      <c r="P747" s="1464"/>
      <c r="Q747" s="1464"/>
      <c r="R747" s="1464"/>
      <c r="S747" s="1464"/>
      <c r="T747" s="1464"/>
      <c r="U747" s="1464"/>
      <c r="V747" s="1464"/>
      <c r="W747" s="1464"/>
      <c r="X747" s="1464"/>
      <c r="Y747" s="1464"/>
      <c r="Z747" s="1464"/>
    </row>
    <row r="748">
      <c r="A748" s="1488" t="s">
        <v>4852</v>
      </c>
      <c r="B748" s="1486">
        <v>93000.0</v>
      </c>
      <c r="C748" s="1487">
        <v>2027.0</v>
      </c>
      <c r="D748" s="1489"/>
      <c r="E748" s="1487" t="s">
        <v>666</v>
      </c>
      <c r="F748" s="1488" t="s">
        <v>4231</v>
      </c>
      <c r="G748" s="1489"/>
      <c r="H748" s="1487" t="s">
        <v>3962</v>
      </c>
      <c r="I748" s="1487" t="s">
        <v>4845</v>
      </c>
      <c r="J748" s="1487" t="s">
        <v>4849</v>
      </c>
      <c r="K748" s="1487" t="s">
        <v>4849</v>
      </c>
      <c r="L748" s="1464"/>
      <c r="M748" s="1464"/>
      <c r="N748" s="1464"/>
      <c r="O748" s="1464"/>
      <c r="P748" s="1464"/>
      <c r="Q748" s="1464"/>
      <c r="R748" s="1464"/>
      <c r="S748" s="1464"/>
      <c r="T748" s="1464"/>
      <c r="U748" s="1464"/>
      <c r="V748" s="1464"/>
      <c r="W748" s="1464"/>
      <c r="X748" s="1464"/>
      <c r="Y748" s="1464"/>
      <c r="Z748" s="1464"/>
    </row>
    <row r="749">
      <c r="A749" s="1468" t="s">
        <v>4853</v>
      </c>
      <c r="B749" s="1469">
        <v>83700.0</v>
      </c>
      <c r="C749" s="1470">
        <v>2008.0</v>
      </c>
      <c r="D749" s="1473"/>
      <c r="E749" s="1473"/>
      <c r="F749" s="1464"/>
      <c r="G749" s="1464"/>
      <c r="H749" s="1464"/>
      <c r="I749" s="1476" t="s">
        <v>4845</v>
      </c>
      <c r="J749" s="1476" t="s">
        <v>3858</v>
      </c>
      <c r="K749" s="1476" t="s">
        <v>3858</v>
      </c>
      <c r="L749" s="1464"/>
      <c r="M749" s="1464"/>
      <c r="N749" s="1464"/>
      <c r="O749" s="1464"/>
      <c r="P749" s="1464"/>
      <c r="Q749" s="1464"/>
      <c r="R749" s="1464"/>
      <c r="S749" s="1464"/>
      <c r="T749" s="1464"/>
      <c r="U749" s="1464"/>
      <c r="V749" s="1464"/>
      <c r="W749" s="1464"/>
      <c r="X749" s="1464"/>
      <c r="Y749" s="1464"/>
      <c r="Z749" s="1464"/>
    </row>
    <row r="750">
      <c r="A750" s="1468" t="s">
        <v>4627</v>
      </c>
      <c r="B750" s="1469">
        <v>78000.0</v>
      </c>
      <c r="C750" s="1470">
        <v>2003.0</v>
      </c>
      <c r="D750" s="1481"/>
      <c r="E750" s="1473"/>
      <c r="F750" s="1471" t="s">
        <v>4854</v>
      </c>
      <c r="G750" s="1464"/>
      <c r="H750" s="1476" t="s">
        <v>3639</v>
      </c>
      <c r="I750" s="1470" t="s">
        <v>4845</v>
      </c>
      <c r="J750" s="1470" t="s">
        <v>3797</v>
      </c>
      <c r="K750" s="1470" t="s">
        <v>3207</v>
      </c>
      <c r="L750" s="1464"/>
      <c r="M750" s="1464"/>
      <c r="N750" s="1464"/>
      <c r="O750" s="1464"/>
      <c r="P750" s="1464"/>
      <c r="Q750" s="1464"/>
      <c r="R750" s="1464"/>
      <c r="S750" s="1464"/>
      <c r="T750" s="1464"/>
      <c r="U750" s="1464"/>
      <c r="V750" s="1464"/>
      <c r="W750" s="1464"/>
      <c r="X750" s="1464"/>
      <c r="Y750" s="1464"/>
      <c r="Z750" s="1464"/>
    </row>
    <row r="751">
      <c r="A751" s="1474" t="s">
        <v>4823</v>
      </c>
      <c r="B751" s="1475">
        <v>91000.0</v>
      </c>
      <c r="C751" s="1476">
        <v>2024.0</v>
      </c>
      <c r="D751" s="1481"/>
      <c r="E751" s="1475" t="s">
        <v>666</v>
      </c>
      <c r="F751" s="1477" t="s">
        <v>4855</v>
      </c>
      <c r="G751" s="1479"/>
      <c r="H751" s="1476" t="s">
        <v>3639</v>
      </c>
      <c r="I751" s="1476" t="s">
        <v>4845</v>
      </c>
      <c r="J751" s="1476" t="s">
        <v>761</v>
      </c>
      <c r="K751" s="1476" t="s">
        <v>761</v>
      </c>
      <c r="L751" s="1479"/>
      <c r="M751" s="1464"/>
      <c r="N751" s="1464"/>
      <c r="O751" s="1464"/>
      <c r="P751" s="1464"/>
      <c r="Q751" s="1464"/>
      <c r="R751" s="1464"/>
      <c r="S751" s="1464"/>
      <c r="T751" s="1464"/>
      <c r="U751" s="1464"/>
      <c r="V751" s="1464"/>
      <c r="W751" s="1464"/>
      <c r="X751" s="1464"/>
      <c r="Y751" s="1464"/>
      <c r="Z751" s="1464"/>
    </row>
    <row r="752">
      <c r="A752" s="1474" t="s">
        <v>4825</v>
      </c>
      <c r="B752" s="1475">
        <v>91000.0</v>
      </c>
      <c r="C752" s="1476">
        <v>2024.0</v>
      </c>
      <c r="D752" s="1481"/>
      <c r="E752" s="1475" t="s">
        <v>666</v>
      </c>
      <c r="F752" s="1477" t="s">
        <v>4855</v>
      </c>
      <c r="G752" s="1479"/>
      <c r="H752" s="1476" t="s">
        <v>3639</v>
      </c>
      <c r="I752" s="1476" t="s">
        <v>4845</v>
      </c>
      <c r="J752" s="1476" t="s">
        <v>761</v>
      </c>
      <c r="K752" s="1476" t="s">
        <v>761</v>
      </c>
      <c r="L752" s="1479"/>
      <c r="M752" s="1464"/>
      <c r="N752" s="1464"/>
      <c r="O752" s="1464"/>
      <c r="P752" s="1464"/>
      <c r="Q752" s="1464"/>
      <c r="R752" s="1464"/>
      <c r="S752" s="1464"/>
      <c r="T752" s="1464"/>
      <c r="U752" s="1464"/>
      <c r="V752" s="1464"/>
      <c r="W752" s="1464"/>
      <c r="X752" s="1464"/>
      <c r="Y752" s="1464"/>
      <c r="Z752" s="1464"/>
    </row>
    <row r="753">
      <c r="A753" s="1485" t="s">
        <v>4856</v>
      </c>
      <c r="B753" s="1486">
        <v>88000.0</v>
      </c>
      <c r="C753" s="1487">
        <v>2028.0</v>
      </c>
      <c r="D753" s="1486" t="s">
        <v>3636</v>
      </c>
      <c r="E753" s="1486" t="s">
        <v>666</v>
      </c>
      <c r="F753" s="1488" t="s">
        <v>4857</v>
      </c>
      <c r="G753" s="1489"/>
      <c r="H753" s="1489"/>
      <c r="I753" s="1487" t="s">
        <v>4845</v>
      </c>
      <c r="J753" s="1487" t="s">
        <v>761</v>
      </c>
      <c r="K753" s="1487" t="s">
        <v>761</v>
      </c>
      <c r="L753" s="1479"/>
      <c r="M753" s="1464"/>
      <c r="N753" s="1464"/>
      <c r="O753" s="1464"/>
      <c r="P753" s="1464"/>
      <c r="Q753" s="1464"/>
      <c r="R753" s="1464"/>
      <c r="S753" s="1464"/>
      <c r="T753" s="1464"/>
      <c r="U753" s="1464"/>
      <c r="V753" s="1464"/>
      <c r="W753" s="1464"/>
      <c r="X753" s="1464"/>
      <c r="Y753" s="1464"/>
      <c r="Z753" s="1464"/>
    </row>
    <row r="754">
      <c r="A754" s="1485" t="s">
        <v>4858</v>
      </c>
      <c r="B754" s="1486">
        <v>88000.0</v>
      </c>
      <c r="C754" s="1487">
        <v>2028.0</v>
      </c>
      <c r="D754" s="1486" t="s">
        <v>3636</v>
      </c>
      <c r="E754" s="1486" t="s">
        <v>666</v>
      </c>
      <c r="F754" s="1488" t="s">
        <v>4857</v>
      </c>
      <c r="G754" s="1489"/>
      <c r="H754" s="1489"/>
      <c r="I754" s="1487" t="s">
        <v>4845</v>
      </c>
      <c r="J754" s="1487" t="s">
        <v>761</v>
      </c>
      <c r="K754" s="1487" t="s">
        <v>761</v>
      </c>
      <c r="L754" s="1479"/>
      <c r="M754" s="1464"/>
      <c r="N754" s="1464"/>
      <c r="O754" s="1464"/>
      <c r="P754" s="1464"/>
      <c r="Q754" s="1464"/>
      <c r="R754" s="1464"/>
      <c r="S754" s="1464"/>
      <c r="T754" s="1464"/>
      <c r="U754" s="1464"/>
      <c r="V754" s="1464"/>
      <c r="W754" s="1464"/>
      <c r="X754" s="1464"/>
      <c r="Y754" s="1464"/>
      <c r="Z754" s="1464"/>
    </row>
    <row r="755">
      <c r="A755" s="1474" t="s">
        <v>4843</v>
      </c>
      <c r="B755" s="1475">
        <v>86000.0</v>
      </c>
      <c r="C755" s="1476">
        <v>2023.0</v>
      </c>
      <c r="D755" s="1475" t="s">
        <v>3636</v>
      </c>
      <c r="E755" s="1475" t="s">
        <v>666</v>
      </c>
      <c r="F755" s="1477" t="s">
        <v>4859</v>
      </c>
      <c r="G755" s="1479"/>
      <c r="H755" s="1479"/>
      <c r="I755" s="1476" t="s">
        <v>4845</v>
      </c>
      <c r="J755" s="1476" t="s">
        <v>761</v>
      </c>
      <c r="K755" s="1476" t="s">
        <v>4846</v>
      </c>
      <c r="L755" s="1464"/>
      <c r="M755" s="1464"/>
      <c r="N755" s="1464"/>
      <c r="O755" s="1464"/>
      <c r="P755" s="1464"/>
      <c r="Q755" s="1464"/>
      <c r="R755" s="1464"/>
      <c r="S755" s="1464"/>
      <c r="T755" s="1464"/>
      <c r="U755" s="1464"/>
      <c r="V755" s="1464"/>
      <c r="W755" s="1464"/>
      <c r="X755" s="1464"/>
      <c r="Y755" s="1464"/>
      <c r="Z755" s="1464"/>
    </row>
    <row r="756">
      <c r="A756" s="1474" t="s">
        <v>4847</v>
      </c>
      <c r="B756" s="1475">
        <v>86000.0</v>
      </c>
      <c r="C756" s="1476">
        <v>2023.0</v>
      </c>
      <c r="D756" s="1475" t="s">
        <v>3636</v>
      </c>
      <c r="E756" s="1475" t="s">
        <v>666</v>
      </c>
      <c r="F756" s="1477" t="s">
        <v>4859</v>
      </c>
      <c r="G756" s="1479"/>
      <c r="H756" s="1479"/>
      <c r="I756" s="1476" t="s">
        <v>4845</v>
      </c>
      <c r="J756" s="1476" t="s">
        <v>761</v>
      </c>
      <c r="K756" s="1476" t="s">
        <v>4846</v>
      </c>
      <c r="L756" s="1479"/>
      <c r="M756" s="1464"/>
      <c r="N756" s="1464"/>
      <c r="O756" s="1464"/>
      <c r="P756" s="1464"/>
      <c r="Q756" s="1464"/>
      <c r="R756" s="1464"/>
      <c r="S756" s="1464"/>
      <c r="T756" s="1464"/>
      <c r="U756" s="1464"/>
      <c r="V756" s="1464"/>
      <c r="W756" s="1464"/>
      <c r="X756" s="1464"/>
      <c r="Y756" s="1464"/>
      <c r="Z756" s="1464"/>
    </row>
    <row r="757">
      <c r="A757" s="1468" t="s">
        <v>4860</v>
      </c>
      <c r="B757" s="1469">
        <v>82400.0</v>
      </c>
      <c r="C757" s="1470">
        <v>2008.0</v>
      </c>
      <c r="D757" s="1473"/>
      <c r="E757" s="1469" t="s">
        <v>3637</v>
      </c>
      <c r="F757" s="1464"/>
      <c r="G757" s="1464"/>
      <c r="H757" s="1464"/>
      <c r="I757" s="1470" t="s">
        <v>4845</v>
      </c>
      <c r="J757" s="1470" t="s">
        <v>761</v>
      </c>
      <c r="K757" s="1470" t="s">
        <v>761</v>
      </c>
      <c r="L757" s="1464"/>
      <c r="M757" s="1464"/>
      <c r="N757" s="1464"/>
      <c r="O757" s="1464"/>
      <c r="P757" s="1464"/>
      <c r="Q757" s="1464"/>
      <c r="R757" s="1464"/>
      <c r="S757" s="1464"/>
      <c r="T757" s="1464"/>
      <c r="U757" s="1464"/>
      <c r="V757" s="1464"/>
      <c r="W757" s="1464"/>
      <c r="X757" s="1464"/>
      <c r="Y757" s="1464"/>
      <c r="Z757" s="1464"/>
    </row>
    <row r="758">
      <c r="A758" s="1468" t="s">
        <v>4861</v>
      </c>
      <c r="B758" s="1469">
        <v>84600.0</v>
      </c>
      <c r="C758" s="1470">
        <v>2008.0</v>
      </c>
      <c r="D758" s="1473"/>
      <c r="E758" s="1473"/>
      <c r="F758" s="1464"/>
      <c r="G758" s="1464"/>
      <c r="H758" s="1464"/>
      <c r="I758" s="1470" t="s">
        <v>4845</v>
      </c>
      <c r="J758" s="1470" t="s">
        <v>3699</v>
      </c>
      <c r="K758" s="1470" t="s">
        <v>3699</v>
      </c>
      <c r="L758" s="1464"/>
      <c r="M758" s="1464"/>
      <c r="N758" s="1464"/>
      <c r="O758" s="1464"/>
      <c r="P758" s="1464"/>
      <c r="Q758" s="1464"/>
      <c r="R758" s="1464"/>
      <c r="S758" s="1464"/>
      <c r="T758" s="1464"/>
      <c r="U758" s="1464"/>
      <c r="V758" s="1464"/>
      <c r="W758" s="1464"/>
      <c r="X758" s="1464"/>
      <c r="Y758" s="1464"/>
      <c r="Z758" s="1464"/>
    </row>
    <row r="759">
      <c r="A759" s="1474" t="s">
        <v>4862</v>
      </c>
      <c r="B759" s="1475">
        <v>91000.0</v>
      </c>
      <c r="C759" s="1476">
        <v>2023.0</v>
      </c>
      <c r="D759" s="1481"/>
      <c r="E759" s="1475" t="s">
        <v>666</v>
      </c>
      <c r="F759" s="1479"/>
      <c r="G759" s="1479"/>
      <c r="H759" s="1476" t="s">
        <v>4863</v>
      </c>
      <c r="I759" s="1476" t="s">
        <v>4845</v>
      </c>
      <c r="J759" s="1476" t="s">
        <v>2935</v>
      </c>
      <c r="K759" s="1476" t="s">
        <v>2935</v>
      </c>
      <c r="L759" s="1479"/>
      <c r="M759" s="1464"/>
      <c r="N759" s="1464"/>
      <c r="O759" s="1464"/>
      <c r="P759" s="1464"/>
      <c r="Q759" s="1464"/>
      <c r="R759" s="1464"/>
      <c r="S759" s="1464"/>
      <c r="T759" s="1464"/>
      <c r="U759" s="1464"/>
      <c r="V759" s="1464"/>
      <c r="W759" s="1464"/>
      <c r="X759" s="1464"/>
      <c r="Y759" s="1464"/>
      <c r="Z759" s="1464"/>
    </row>
    <row r="760">
      <c r="A760" s="1474" t="s">
        <v>4864</v>
      </c>
      <c r="B760" s="1475">
        <v>91000.0</v>
      </c>
      <c r="C760" s="1476">
        <v>2023.0</v>
      </c>
      <c r="D760" s="1481"/>
      <c r="E760" s="1475" t="s">
        <v>666</v>
      </c>
      <c r="F760" s="1479"/>
      <c r="G760" s="1479"/>
      <c r="H760" s="1470" t="s">
        <v>4863</v>
      </c>
      <c r="I760" s="1476" t="s">
        <v>4845</v>
      </c>
      <c r="J760" s="1476" t="s">
        <v>2935</v>
      </c>
      <c r="K760" s="1476" t="s">
        <v>2935</v>
      </c>
      <c r="L760" s="1479"/>
      <c r="M760" s="1464"/>
      <c r="N760" s="1464"/>
      <c r="O760" s="1464"/>
      <c r="P760" s="1464"/>
      <c r="Q760" s="1464"/>
      <c r="R760" s="1464"/>
      <c r="S760" s="1464"/>
      <c r="T760" s="1464"/>
      <c r="U760" s="1464"/>
      <c r="V760" s="1464"/>
      <c r="W760" s="1464"/>
      <c r="X760" s="1464"/>
      <c r="Y760" s="1464"/>
      <c r="Z760" s="1464"/>
    </row>
    <row r="761">
      <c r="A761" s="1474" t="s">
        <v>4865</v>
      </c>
      <c r="B761" s="1475">
        <v>91000.0</v>
      </c>
      <c r="C761" s="1476">
        <v>2022.0</v>
      </c>
      <c r="D761" s="1481"/>
      <c r="E761" s="1475" t="s">
        <v>666</v>
      </c>
      <c r="F761" s="1479"/>
      <c r="G761" s="1464"/>
      <c r="H761" s="1470" t="s">
        <v>3639</v>
      </c>
      <c r="I761" s="1476" t="s">
        <v>4845</v>
      </c>
      <c r="J761" s="1476" t="s">
        <v>2935</v>
      </c>
      <c r="K761" s="1470" t="s">
        <v>2935</v>
      </c>
      <c r="L761" s="1464"/>
      <c r="M761" s="1464"/>
      <c r="N761" s="1464"/>
      <c r="O761" s="1464"/>
      <c r="P761" s="1464"/>
      <c r="Q761" s="1464"/>
      <c r="R761" s="1464"/>
      <c r="S761" s="1464"/>
      <c r="T761" s="1464"/>
      <c r="U761" s="1464"/>
      <c r="V761" s="1464"/>
      <c r="W761" s="1464"/>
      <c r="X761" s="1464"/>
      <c r="Y761" s="1464"/>
      <c r="Z761" s="1464"/>
    </row>
    <row r="762">
      <c r="A762" s="1468" t="s">
        <v>4866</v>
      </c>
      <c r="B762" s="1469">
        <v>84200.0</v>
      </c>
      <c r="C762" s="1470">
        <v>2016.0</v>
      </c>
      <c r="D762" s="1473"/>
      <c r="E762" s="1469" t="s">
        <v>666</v>
      </c>
      <c r="F762" s="1464"/>
      <c r="G762" s="1464"/>
      <c r="H762" s="1470" t="s">
        <v>3639</v>
      </c>
      <c r="I762" s="1476" t="s">
        <v>4845</v>
      </c>
      <c r="J762" s="1476" t="s">
        <v>2935</v>
      </c>
      <c r="K762" s="1470" t="s">
        <v>2935</v>
      </c>
      <c r="L762" s="1464"/>
      <c r="M762" s="1464"/>
      <c r="N762" s="1464"/>
      <c r="O762" s="1464"/>
      <c r="P762" s="1464"/>
      <c r="Q762" s="1464"/>
      <c r="R762" s="1464"/>
      <c r="S762" s="1464"/>
      <c r="T762" s="1464"/>
      <c r="U762" s="1464"/>
      <c r="V762" s="1464"/>
      <c r="W762" s="1464"/>
      <c r="X762" s="1464"/>
      <c r="Y762" s="1464"/>
      <c r="Z762" s="1464"/>
    </row>
    <row r="763">
      <c r="A763" s="1468" t="s">
        <v>3434</v>
      </c>
      <c r="B763" s="1469">
        <v>84200.0</v>
      </c>
      <c r="C763" s="1470">
        <v>2015.0</v>
      </c>
      <c r="D763" s="1473"/>
      <c r="E763" s="1469" t="s">
        <v>666</v>
      </c>
      <c r="F763" s="1464"/>
      <c r="G763" s="1464"/>
      <c r="H763" s="1470" t="s">
        <v>3639</v>
      </c>
      <c r="I763" s="1476" t="s">
        <v>4845</v>
      </c>
      <c r="J763" s="1476" t="s">
        <v>2935</v>
      </c>
      <c r="K763" s="1470" t="s">
        <v>2935</v>
      </c>
      <c r="L763" s="1464"/>
      <c r="M763" s="1464"/>
      <c r="N763" s="1464"/>
      <c r="O763" s="1464"/>
      <c r="P763" s="1464"/>
      <c r="Q763" s="1464"/>
      <c r="R763" s="1464"/>
      <c r="S763" s="1464"/>
      <c r="T763" s="1464"/>
      <c r="U763" s="1464"/>
      <c r="V763" s="1464"/>
      <c r="W763" s="1464"/>
      <c r="X763" s="1464"/>
      <c r="Y763" s="1464"/>
      <c r="Z763" s="1464"/>
    </row>
    <row r="764">
      <c r="A764" s="1468" t="s">
        <v>3374</v>
      </c>
      <c r="B764" s="1469">
        <v>84200.0</v>
      </c>
      <c r="C764" s="1470">
        <v>2015.0</v>
      </c>
      <c r="D764" s="1473"/>
      <c r="E764" s="1469" t="s">
        <v>666</v>
      </c>
      <c r="F764" s="1464"/>
      <c r="G764" s="1464"/>
      <c r="H764" s="1470" t="s">
        <v>3639</v>
      </c>
      <c r="I764" s="1476" t="s">
        <v>4845</v>
      </c>
      <c r="J764" s="1476" t="s">
        <v>2935</v>
      </c>
      <c r="K764" s="1470" t="s">
        <v>2935</v>
      </c>
      <c r="L764" s="1464"/>
      <c r="M764" s="1464"/>
      <c r="N764" s="1464"/>
      <c r="O764" s="1464"/>
      <c r="P764" s="1464"/>
      <c r="Q764" s="1464"/>
      <c r="R764" s="1464"/>
      <c r="S764" s="1464"/>
      <c r="T764" s="1464"/>
      <c r="U764" s="1464"/>
      <c r="V764" s="1464"/>
      <c r="W764" s="1464"/>
      <c r="X764" s="1464"/>
      <c r="Y764" s="1464"/>
      <c r="Z764" s="1464"/>
    </row>
    <row r="765">
      <c r="A765" s="1468" t="s">
        <v>3438</v>
      </c>
      <c r="B765" s="1469">
        <v>84200.0</v>
      </c>
      <c r="C765" s="1470">
        <v>2015.0</v>
      </c>
      <c r="D765" s="1473"/>
      <c r="E765" s="1469" t="s">
        <v>666</v>
      </c>
      <c r="F765" s="1464"/>
      <c r="G765" s="1464"/>
      <c r="H765" s="1470" t="s">
        <v>3639</v>
      </c>
      <c r="I765" s="1476" t="s">
        <v>4845</v>
      </c>
      <c r="J765" s="1476" t="s">
        <v>2935</v>
      </c>
      <c r="K765" s="1470" t="s">
        <v>2935</v>
      </c>
      <c r="L765" s="1464"/>
      <c r="M765" s="1464"/>
      <c r="N765" s="1464"/>
      <c r="O765" s="1464"/>
      <c r="P765" s="1464"/>
      <c r="Q765" s="1464"/>
      <c r="R765" s="1464"/>
      <c r="S765" s="1464"/>
      <c r="T765" s="1464"/>
      <c r="U765" s="1464"/>
      <c r="V765" s="1464"/>
      <c r="W765" s="1464"/>
      <c r="X765" s="1464"/>
      <c r="Y765" s="1464"/>
      <c r="Z765" s="1464"/>
    </row>
    <row r="766">
      <c r="A766" s="1468" t="s">
        <v>4867</v>
      </c>
      <c r="B766" s="1469">
        <v>84100.0</v>
      </c>
      <c r="C766" s="1470">
        <v>2016.0</v>
      </c>
      <c r="D766" s="1473"/>
      <c r="E766" s="1469" t="s">
        <v>666</v>
      </c>
      <c r="F766" s="1464"/>
      <c r="G766" s="1464"/>
      <c r="H766" s="1470" t="s">
        <v>3639</v>
      </c>
      <c r="I766" s="1476" t="s">
        <v>4845</v>
      </c>
      <c r="J766" s="1476" t="s">
        <v>2935</v>
      </c>
      <c r="K766" s="1470" t="s">
        <v>2935</v>
      </c>
      <c r="L766" s="1464"/>
      <c r="M766" s="1464"/>
      <c r="N766" s="1464"/>
      <c r="O766" s="1464"/>
      <c r="P766" s="1464"/>
      <c r="Q766" s="1464"/>
      <c r="R766" s="1464"/>
      <c r="S766" s="1464"/>
      <c r="T766" s="1464"/>
      <c r="U766" s="1464"/>
      <c r="V766" s="1464"/>
      <c r="W766" s="1464"/>
      <c r="X766" s="1464"/>
      <c r="Y766" s="1464"/>
      <c r="Z766" s="1464"/>
    </row>
    <row r="767">
      <c r="A767" s="1468" t="s">
        <v>4868</v>
      </c>
      <c r="B767" s="1469">
        <v>84100.0</v>
      </c>
      <c r="C767" s="1470">
        <v>2016.0</v>
      </c>
      <c r="D767" s="1473"/>
      <c r="E767" s="1469" t="s">
        <v>666</v>
      </c>
      <c r="F767" s="1464"/>
      <c r="G767" s="1464"/>
      <c r="H767" s="1470" t="s">
        <v>3639</v>
      </c>
      <c r="I767" s="1476" t="s">
        <v>4845</v>
      </c>
      <c r="J767" s="1476" t="s">
        <v>2935</v>
      </c>
      <c r="K767" s="1470" t="s">
        <v>2935</v>
      </c>
      <c r="L767" s="1470" t="s">
        <v>70</v>
      </c>
      <c r="M767" s="1464"/>
      <c r="N767" s="1464"/>
      <c r="O767" s="1464"/>
      <c r="P767" s="1464"/>
      <c r="Q767" s="1464"/>
      <c r="R767" s="1464"/>
      <c r="S767" s="1464"/>
      <c r="T767" s="1464"/>
      <c r="U767" s="1464"/>
      <c r="V767" s="1464"/>
      <c r="W767" s="1464"/>
      <c r="X767" s="1464"/>
      <c r="Y767" s="1464"/>
      <c r="Z767" s="1464"/>
    </row>
    <row r="768">
      <c r="A768" s="1468" t="s">
        <v>4869</v>
      </c>
      <c r="B768" s="1469">
        <v>84100.0</v>
      </c>
      <c r="C768" s="1470">
        <v>2016.0</v>
      </c>
      <c r="D768" s="1473"/>
      <c r="E768" s="1469" t="s">
        <v>666</v>
      </c>
      <c r="F768" s="1464"/>
      <c r="G768" s="1464"/>
      <c r="H768" s="1470" t="s">
        <v>3639</v>
      </c>
      <c r="I768" s="1476" t="s">
        <v>4845</v>
      </c>
      <c r="J768" s="1476" t="s">
        <v>2935</v>
      </c>
      <c r="K768" s="1470" t="s">
        <v>2935</v>
      </c>
      <c r="L768" s="1464"/>
      <c r="M768" s="1464"/>
      <c r="N768" s="1464"/>
      <c r="O768" s="1464"/>
      <c r="P768" s="1464"/>
      <c r="Q768" s="1464"/>
      <c r="R768" s="1464"/>
      <c r="S768" s="1464"/>
      <c r="T768" s="1464"/>
      <c r="U768" s="1464"/>
      <c r="V768" s="1464"/>
      <c r="W768" s="1464"/>
      <c r="X768" s="1464"/>
      <c r="Y768" s="1464"/>
      <c r="Z768" s="1464"/>
    </row>
    <row r="769">
      <c r="A769" s="1468" t="s">
        <v>4870</v>
      </c>
      <c r="B769" s="1469">
        <v>84100.0</v>
      </c>
      <c r="C769" s="1470">
        <v>2016.0</v>
      </c>
      <c r="D769" s="1473"/>
      <c r="E769" s="1469" t="s">
        <v>666</v>
      </c>
      <c r="F769" s="1464"/>
      <c r="G769" s="1464"/>
      <c r="H769" s="1470" t="s">
        <v>3639</v>
      </c>
      <c r="I769" s="1476" t="s">
        <v>4845</v>
      </c>
      <c r="J769" s="1476" t="s">
        <v>2935</v>
      </c>
      <c r="K769" s="1470" t="s">
        <v>2935</v>
      </c>
      <c r="L769" s="1464"/>
      <c r="M769" s="1464"/>
      <c r="N769" s="1464"/>
      <c r="O769" s="1464"/>
      <c r="P769" s="1464"/>
      <c r="Q769" s="1464"/>
      <c r="R769" s="1464"/>
      <c r="S769" s="1464"/>
      <c r="T769" s="1464"/>
      <c r="U769" s="1464"/>
      <c r="V769" s="1464"/>
      <c r="W769" s="1464"/>
      <c r="X769" s="1464"/>
      <c r="Y769" s="1464"/>
      <c r="Z769" s="1464"/>
    </row>
    <row r="770">
      <c r="A770" s="1468" t="s">
        <v>4871</v>
      </c>
      <c r="B770" s="1469">
        <v>84100.0</v>
      </c>
      <c r="C770" s="1470">
        <v>2016.0</v>
      </c>
      <c r="D770" s="1473"/>
      <c r="E770" s="1469" t="s">
        <v>666</v>
      </c>
      <c r="F770" s="1464"/>
      <c r="G770" s="1464"/>
      <c r="H770" s="1470" t="s">
        <v>3639</v>
      </c>
      <c r="I770" s="1476" t="s">
        <v>4845</v>
      </c>
      <c r="J770" s="1476" t="s">
        <v>2935</v>
      </c>
      <c r="K770" s="1470" t="s">
        <v>2935</v>
      </c>
      <c r="L770" s="1464"/>
      <c r="M770" s="1464"/>
      <c r="N770" s="1464"/>
      <c r="O770" s="1464"/>
      <c r="P770" s="1464"/>
      <c r="Q770" s="1464"/>
      <c r="R770" s="1464"/>
      <c r="S770" s="1464"/>
      <c r="T770" s="1464"/>
      <c r="U770" s="1464"/>
      <c r="V770" s="1464"/>
      <c r="W770" s="1464"/>
      <c r="X770" s="1464"/>
      <c r="Y770" s="1464"/>
      <c r="Z770" s="1464"/>
    </row>
    <row r="771">
      <c r="A771" s="1468" t="s">
        <v>4872</v>
      </c>
      <c r="B771" s="1469">
        <v>84100.0</v>
      </c>
      <c r="C771" s="1470">
        <v>2016.0</v>
      </c>
      <c r="D771" s="1473"/>
      <c r="E771" s="1469" t="s">
        <v>666</v>
      </c>
      <c r="F771" s="1464"/>
      <c r="G771" s="1464"/>
      <c r="H771" s="1470" t="s">
        <v>3639</v>
      </c>
      <c r="I771" s="1476" t="s">
        <v>4845</v>
      </c>
      <c r="J771" s="1476" t="s">
        <v>2935</v>
      </c>
      <c r="K771" s="1470" t="s">
        <v>2935</v>
      </c>
      <c r="L771" s="1464"/>
      <c r="M771" s="1464"/>
      <c r="N771" s="1464"/>
      <c r="O771" s="1464"/>
      <c r="P771" s="1464"/>
      <c r="Q771" s="1464"/>
      <c r="R771" s="1464"/>
      <c r="S771" s="1464"/>
      <c r="T771" s="1464"/>
      <c r="U771" s="1464"/>
      <c r="V771" s="1464"/>
      <c r="W771" s="1464"/>
      <c r="X771" s="1464"/>
      <c r="Y771" s="1464"/>
      <c r="Z771" s="1464"/>
    </row>
    <row r="772">
      <c r="A772" s="1468" t="s">
        <v>4873</v>
      </c>
      <c r="B772" s="1469">
        <v>84000.0</v>
      </c>
      <c r="C772" s="1470">
        <v>2016.0</v>
      </c>
      <c r="D772" s="1473"/>
      <c r="E772" s="1469" t="s">
        <v>666</v>
      </c>
      <c r="F772" s="1464"/>
      <c r="G772" s="1464"/>
      <c r="H772" s="1470" t="s">
        <v>3639</v>
      </c>
      <c r="I772" s="1476" t="s">
        <v>4845</v>
      </c>
      <c r="J772" s="1476" t="s">
        <v>2935</v>
      </c>
      <c r="K772" s="1470" t="s">
        <v>2935</v>
      </c>
      <c r="L772" s="1464"/>
      <c r="M772" s="1464"/>
      <c r="N772" s="1464"/>
      <c r="O772" s="1464"/>
      <c r="P772" s="1464"/>
      <c r="Q772" s="1464"/>
      <c r="R772" s="1464"/>
      <c r="S772" s="1464"/>
      <c r="T772" s="1464"/>
      <c r="U772" s="1464"/>
      <c r="V772" s="1464"/>
      <c r="W772" s="1464"/>
      <c r="X772" s="1464"/>
      <c r="Y772" s="1464"/>
      <c r="Z772" s="1464"/>
    </row>
    <row r="773">
      <c r="A773" s="1468" t="s">
        <v>4874</v>
      </c>
      <c r="B773" s="1469">
        <v>83800.0</v>
      </c>
      <c r="C773" s="1470">
        <v>2016.0</v>
      </c>
      <c r="D773" s="1473"/>
      <c r="E773" s="1469" t="s">
        <v>666</v>
      </c>
      <c r="F773" s="1464"/>
      <c r="G773" s="1464"/>
      <c r="H773" s="1470" t="s">
        <v>3639</v>
      </c>
      <c r="I773" s="1476" t="s">
        <v>4845</v>
      </c>
      <c r="J773" s="1476" t="s">
        <v>2935</v>
      </c>
      <c r="K773" s="1470" t="s">
        <v>2935</v>
      </c>
      <c r="L773" s="1464"/>
      <c r="M773" s="1464"/>
      <c r="N773" s="1464"/>
      <c r="O773" s="1464"/>
      <c r="P773" s="1464"/>
      <c r="Q773" s="1464"/>
      <c r="R773" s="1464"/>
      <c r="S773" s="1464"/>
      <c r="T773" s="1464"/>
      <c r="U773" s="1464"/>
      <c r="V773" s="1464"/>
      <c r="W773" s="1464"/>
      <c r="X773" s="1464"/>
      <c r="Y773" s="1464"/>
      <c r="Z773" s="1464"/>
    </row>
    <row r="774">
      <c r="A774" s="1474" t="s">
        <v>3388</v>
      </c>
      <c r="B774" s="1475">
        <v>83000.0</v>
      </c>
      <c r="C774" s="1470">
        <v>2019.0</v>
      </c>
      <c r="D774" s="1473"/>
      <c r="E774" s="1469" t="s">
        <v>3637</v>
      </c>
      <c r="F774" s="1477" t="s">
        <v>4875</v>
      </c>
      <c r="G774" s="1464"/>
      <c r="H774" s="1470" t="s">
        <v>3639</v>
      </c>
      <c r="I774" s="1476" t="s">
        <v>4845</v>
      </c>
      <c r="J774" s="1476" t="s">
        <v>2935</v>
      </c>
      <c r="K774" s="1470" t="s">
        <v>3652</v>
      </c>
      <c r="L774" s="1464"/>
      <c r="M774" s="1464"/>
      <c r="N774" s="1464"/>
      <c r="O774" s="1464"/>
      <c r="P774" s="1464"/>
      <c r="Q774" s="1464"/>
      <c r="R774" s="1464"/>
      <c r="S774" s="1464"/>
      <c r="T774" s="1464"/>
      <c r="U774" s="1464"/>
      <c r="V774" s="1464"/>
      <c r="W774" s="1464"/>
      <c r="X774" s="1464"/>
      <c r="Y774" s="1464"/>
      <c r="Z774" s="1464"/>
    </row>
    <row r="775">
      <c r="A775" s="1468" t="s">
        <v>3421</v>
      </c>
      <c r="B775" s="1469">
        <v>83000.0</v>
      </c>
      <c r="C775" s="1470">
        <v>2015.0</v>
      </c>
      <c r="D775" s="1473"/>
      <c r="E775" s="1469" t="s">
        <v>3637</v>
      </c>
      <c r="F775" s="1479"/>
      <c r="G775" s="1464"/>
      <c r="H775" s="1470" t="s">
        <v>3639</v>
      </c>
      <c r="I775" s="1476" t="s">
        <v>4845</v>
      </c>
      <c r="J775" s="1476" t="s">
        <v>2935</v>
      </c>
      <c r="K775" s="1476" t="s">
        <v>2935</v>
      </c>
      <c r="L775" s="1464"/>
      <c r="M775" s="1479"/>
      <c r="N775" s="1479"/>
      <c r="O775" s="1479"/>
      <c r="P775" s="1479"/>
      <c r="Q775" s="1479"/>
      <c r="R775" s="1479"/>
      <c r="S775" s="1479"/>
      <c r="T775" s="1479"/>
      <c r="U775" s="1479"/>
      <c r="V775" s="1479"/>
      <c r="W775" s="1479"/>
      <c r="X775" s="1479"/>
      <c r="Y775" s="1479"/>
      <c r="Z775" s="1479"/>
    </row>
    <row r="776">
      <c r="A776" s="1468" t="s">
        <v>3393</v>
      </c>
      <c r="B776" s="1469">
        <v>83000.0</v>
      </c>
      <c r="C776" s="1470">
        <v>2015.0</v>
      </c>
      <c r="D776" s="1473"/>
      <c r="E776" s="1469" t="s">
        <v>3637</v>
      </c>
      <c r="F776" s="1479"/>
      <c r="G776" s="1464"/>
      <c r="H776" s="1470" t="s">
        <v>3639</v>
      </c>
      <c r="I776" s="1476" t="s">
        <v>4845</v>
      </c>
      <c r="J776" s="1476" t="s">
        <v>2935</v>
      </c>
      <c r="K776" s="1476" t="s">
        <v>2935</v>
      </c>
      <c r="L776" s="1464"/>
      <c r="M776" s="1479"/>
      <c r="N776" s="1479"/>
      <c r="O776" s="1479"/>
      <c r="P776" s="1479"/>
      <c r="Q776" s="1479"/>
      <c r="R776" s="1479"/>
      <c r="S776" s="1479"/>
      <c r="T776" s="1479"/>
      <c r="U776" s="1479"/>
      <c r="V776" s="1479"/>
      <c r="W776" s="1479"/>
      <c r="X776" s="1479"/>
      <c r="Y776" s="1479"/>
      <c r="Z776" s="1479"/>
    </row>
    <row r="777">
      <c r="A777" s="1468" t="s">
        <v>3390</v>
      </c>
      <c r="B777" s="1469">
        <v>83000.0</v>
      </c>
      <c r="C777" s="1470">
        <v>2015.0</v>
      </c>
      <c r="D777" s="1473"/>
      <c r="E777" s="1469" t="s">
        <v>3637</v>
      </c>
      <c r="F777" s="1479"/>
      <c r="G777" s="1464"/>
      <c r="H777" s="1470" t="s">
        <v>3639</v>
      </c>
      <c r="I777" s="1476" t="s">
        <v>4845</v>
      </c>
      <c r="J777" s="1476" t="s">
        <v>2935</v>
      </c>
      <c r="K777" s="1476" t="s">
        <v>2935</v>
      </c>
      <c r="L777" s="1464"/>
      <c r="M777" s="1479"/>
      <c r="N777" s="1479"/>
      <c r="O777" s="1479"/>
      <c r="P777" s="1479"/>
      <c r="Q777" s="1479"/>
      <c r="R777" s="1479"/>
      <c r="S777" s="1479"/>
      <c r="T777" s="1479"/>
      <c r="U777" s="1479"/>
      <c r="V777" s="1479"/>
      <c r="W777" s="1479"/>
      <c r="X777" s="1479"/>
      <c r="Y777" s="1479"/>
      <c r="Z777" s="1479"/>
    </row>
    <row r="778">
      <c r="A778" s="1468" t="s">
        <v>3407</v>
      </c>
      <c r="B778" s="1469">
        <v>83000.0</v>
      </c>
      <c r="C778" s="1470">
        <v>2015.0</v>
      </c>
      <c r="D778" s="1473"/>
      <c r="E778" s="1469" t="s">
        <v>3637</v>
      </c>
      <c r="F778" s="1479"/>
      <c r="G778" s="1464"/>
      <c r="H778" s="1470" t="s">
        <v>3639</v>
      </c>
      <c r="I778" s="1476" t="s">
        <v>4845</v>
      </c>
      <c r="J778" s="1476" t="s">
        <v>2935</v>
      </c>
      <c r="K778" s="1476" t="s">
        <v>2935</v>
      </c>
      <c r="L778" s="1464"/>
      <c r="M778" s="1479"/>
      <c r="N778" s="1479"/>
      <c r="O778" s="1479"/>
      <c r="P778" s="1479"/>
      <c r="Q778" s="1479"/>
      <c r="R778" s="1479"/>
      <c r="S778" s="1479"/>
      <c r="T778" s="1479"/>
      <c r="U778" s="1479"/>
      <c r="V778" s="1479"/>
      <c r="W778" s="1479"/>
      <c r="X778" s="1479"/>
      <c r="Y778" s="1479"/>
      <c r="Z778" s="1479"/>
    </row>
    <row r="779">
      <c r="A779" s="1468" t="s">
        <v>3446</v>
      </c>
      <c r="B779" s="1469">
        <v>83000.0</v>
      </c>
      <c r="C779" s="1470">
        <v>2015.0</v>
      </c>
      <c r="D779" s="1473"/>
      <c r="E779" s="1469" t="s">
        <v>3637</v>
      </c>
      <c r="F779" s="1479"/>
      <c r="G779" s="1464"/>
      <c r="H779" s="1470" t="s">
        <v>3639</v>
      </c>
      <c r="I779" s="1476" t="s">
        <v>4845</v>
      </c>
      <c r="J779" s="1476" t="s">
        <v>2935</v>
      </c>
      <c r="K779" s="1476" t="s">
        <v>2935</v>
      </c>
      <c r="L779" s="1464"/>
      <c r="M779" s="1464"/>
      <c r="N779" s="1464"/>
      <c r="O779" s="1464"/>
      <c r="P779" s="1464"/>
      <c r="Q779" s="1464"/>
      <c r="R779" s="1464"/>
      <c r="S779" s="1464"/>
      <c r="T779" s="1464"/>
      <c r="U779" s="1464"/>
      <c r="V779" s="1464"/>
      <c r="W779" s="1464"/>
      <c r="X779" s="1464"/>
      <c r="Y779" s="1464"/>
      <c r="Z779" s="1464"/>
    </row>
    <row r="780">
      <c r="A780" s="1468" t="s">
        <v>4876</v>
      </c>
      <c r="B780" s="1469">
        <v>93000.0</v>
      </c>
      <c r="C780" s="1470">
        <v>2024.0</v>
      </c>
      <c r="D780" s="1473"/>
      <c r="E780" s="1469" t="s">
        <v>666</v>
      </c>
      <c r="F780" s="1471" t="s">
        <v>4877</v>
      </c>
      <c r="G780" s="1464"/>
      <c r="H780" s="1470" t="s">
        <v>3639</v>
      </c>
      <c r="I780" s="1470" t="s">
        <v>4845</v>
      </c>
      <c r="J780" s="1470" t="s">
        <v>4878</v>
      </c>
      <c r="K780" s="1470" t="s">
        <v>4878</v>
      </c>
      <c r="L780" s="1464"/>
      <c r="M780" s="1479"/>
      <c r="N780" s="1479"/>
      <c r="O780" s="1479"/>
      <c r="P780" s="1479"/>
      <c r="Q780" s="1479"/>
      <c r="R780" s="1479"/>
      <c r="S780" s="1479"/>
      <c r="T780" s="1479"/>
      <c r="U780" s="1479"/>
      <c r="V780" s="1479"/>
      <c r="W780" s="1479"/>
      <c r="X780" s="1479"/>
      <c r="Y780" s="1479"/>
      <c r="Z780" s="1479"/>
    </row>
    <row r="781">
      <c r="A781" s="1468" t="s">
        <v>3410</v>
      </c>
      <c r="B781" s="1469">
        <v>78900.0</v>
      </c>
      <c r="C781" s="1470">
        <v>2005.0</v>
      </c>
      <c r="D781" s="1473"/>
      <c r="E781" s="1473"/>
      <c r="F781" s="1471" t="s">
        <v>4879</v>
      </c>
      <c r="G781" s="1464"/>
      <c r="H781" s="1464"/>
      <c r="I781" s="1470" t="s">
        <v>4845</v>
      </c>
      <c r="J781" s="1470" t="s">
        <v>4880</v>
      </c>
      <c r="K781" s="1470" t="s">
        <v>4880</v>
      </c>
      <c r="L781" s="1464"/>
      <c r="M781" s="1464"/>
      <c r="N781" s="1464"/>
      <c r="O781" s="1464"/>
      <c r="P781" s="1464"/>
      <c r="Q781" s="1464"/>
      <c r="R781" s="1464"/>
      <c r="S781" s="1464"/>
      <c r="T781" s="1464"/>
      <c r="U781" s="1464"/>
      <c r="V781" s="1464"/>
      <c r="W781" s="1464"/>
      <c r="X781" s="1464"/>
      <c r="Y781" s="1464"/>
      <c r="Z781" s="1464"/>
    </row>
    <row r="782">
      <c r="A782" s="1474" t="s">
        <v>4461</v>
      </c>
      <c r="B782" s="1475">
        <v>86000.0</v>
      </c>
      <c r="C782" s="1476">
        <v>2023.0</v>
      </c>
      <c r="D782" s="1475" t="s">
        <v>3636</v>
      </c>
      <c r="E782" s="1475" t="s">
        <v>666</v>
      </c>
      <c r="F782" s="1477" t="s">
        <v>4799</v>
      </c>
      <c r="G782" s="1479"/>
      <c r="H782" s="1479"/>
      <c r="I782" s="1476" t="s">
        <v>4845</v>
      </c>
      <c r="J782" s="1472" t="s">
        <v>3939</v>
      </c>
      <c r="K782" s="1476" t="s">
        <v>3652</v>
      </c>
      <c r="L782" s="1479"/>
      <c r="M782" s="1479"/>
      <c r="N782" s="1479"/>
      <c r="O782" s="1479"/>
      <c r="P782" s="1479"/>
      <c r="Q782" s="1479"/>
      <c r="R782" s="1479"/>
      <c r="S782" s="1479"/>
      <c r="T782" s="1479"/>
      <c r="U782" s="1479"/>
      <c r="V782" s="1479"/>
      <c r="W782" s="1479"/>
      <c r="X782" s="1479"/>
      <c r="Y782" s="1479"/>
      <c r="Z782" s="1479"/>
    </row>
    <row r="783">
      <c r="A783" s="1468" t="s">
        <v>4881</v>
      </c>
      <c r="B783" s="1469">
        <v>86000.0</v>
      </c>
      <c r="C783" s="1470">
        <v>2023.0</v>
      </c>
      <c r="D783" s="1473"/>
      <c r="E783" s="1469" t="s">
        <v>666</v>
      </c>
      <c r="F783" s="1464"/>
      <c r="G783" s="1479"/>
      <c r="H783" s="1470" t="s">
        <v>3639</v>
      </c>
      <c r="I783" s="1476" t="s">
        <v>4845</v>
      </c>
      <c r="J783" s="1470" t="s">
        <v>3939</v>
      </c>
      <c r="K783" s="1470" t="s">
        <v>3673</v>
      </c>
      <c r="L783" s="1464"/>
      <c r="M783" s="1479"/>
      <c r="N783" s="1479"/>
      <c r="O783" s="1479"/>
      <c r="P783" s="1479"/>
      <c r="Q783" s="1479"/>
      <c r="R783" s="1479"/>
      <c r="S783" s="1479"/>
      <c r="T783" s="1479"/>
      <c r="U783" s="1479"/>
      <c r="V783" s="1479"/>
      <c r="W783" s="1479"/>
      <c r="X783" s="1479"/>
      <c r="Y783" s="1479"/>
      <c r="Z783" s="1479"/>
    </row>
    <row r="784">
      <c r="A784" s="1468" t="s">
        <v>4882</v>
      </c>
      <c r="B784" s="1469">
        <v>84000.0</v>
      </c>
      <c r="C784" s="1470">
        <v>2016.0</v>
      </c>
      <c r="D784" s="1473"/>
      <c r="E784" s="1469" t="s">
        <v>3637</v>
      </c>
      <c r="F784" s="1464"/>
      <c r="G784" s="1479"/>
      <c r="H784" s="1470" t="s">
        <v>3639</v>
      </c>
      <c r="I784" s="1476" t="s">
        <v>4845</v>
      </c>
      <c r="J784" s="1470" t="s">
        <v>3939</v>
      </c>
      <c r="K784" s="1470" t="s">
        <v>3673</v>
      </c>
      <c r="L784" s="1464"/>
      <c r="M784" s="1464"/>
      <c r="N784" s="1464"/>
      <c r="O784" s="1464"/>
      <c r="P784" s="1464"/>
      <c r="Q784" s="1464"/>
      <c r="R784" s="1464"/>
      <c r="S784" s="1464"/>
      <c r="T784" s="1464"/>
      <c r="U784" s="1464"/>
      <c r="V784" s="1464"/>
      <c r="W784" s="1464"/>
      <c r="X784" s="1464"/>
      <c r="Y784" s="1464"/>
      <c r="Z784" s="1464"/>
    </row>
    <row r="785">
      <c r="A785" s="1468" t="s">
        <v>3371</v>
      </c>
      <c r="B785" s="1469">
        <v>84000.0</v>
      </c>
      <c r="C785" s="1470">
        <v>2015.0</v>
      </c>
      <c r="D785" s="1473"/>
      <c r="E785" s="1469" t="s">
        <v>3637</v>
      </c>
      <c r="F785" s="1464"/>
      <c r="G785" s="1464"/>
      <c r="H785" s="1470" t="s">
        <v>3639</v>
      </c>
      <c r="I785" s="1476" t="s">
        <v>4845</v>
      </c>
      <c r="J785" s="1470" t="s">
        <v>3939</v>
      </c>
      <c r="K785" s="1470" t="s">
        <v>3673</v>
      </c>
      <c r="L785" s="1464"/>
      <c r="M785" s="1464"/>
      <c r="N785" s="1464"/>
      <c r="O785" s="1464"/>
      <c r="P785" s="1464"/>
      <c r="Q785" s="1464"/>
      <c r="R785" s="1464"/>
      <c r="S785" s="1464"/>
      <c r="T785" s="1464"/>
      <c r="U785" s="1464"/>
      <c r="V785" s="1464"/>
      <c r="W785" s="1464"/>
      <c r="X785" s="1464"/>
      <c r="Y785" s="1464"/>
      <c r="Z785" s="1464"/>
    </row>
    <row r="786">
      <c r="A786" s="1468" t="s">
        <v>3412</v>
      </c>
      <c r="B786" s="1469">
        <v>84000.0</v>
      </c>
      <c r="C786" s="1470">
        <v>2015.0</v>
      </c>
      <c r="D786" s="1473"/>
      <c r="E786" s="1469" t="s">
        <v>3637</v>
      </c>
      <c r="F786" s="1464"/>
      <c r="G786" s="1464"/>
      <c r="H786" s="1470" t="s">
        <v>3639</v>
      </c>
      <c r="I786" s="1476" t="s">
        <v>4845</v>
      </c>
      <c r="J786" s="1470" t="s">
        <v>3939</v>
      </c>
      <c r="K786" s="1470" t="s">
        <v>3673</v>
      </c>
      <c r="L786" s="1464"/>
      <c r="M786" s="1464"/>
      <c r="N786" s="1464"/>
      <c r="O786" s="1464"/>
      <c r="P786" s="1464"/>
      <c r="Q786" s="1464"/>
      <c r="R786" s="1464"/>
      <c r="S786" s="1464"/>
      <c r="T786" s="1464"/>
      <c r="U786" s="1464"/>
      <c r="V786" s="1464"/>
      <c r="W786" s="1464"/>
      <c r="X786" s="1464"/>
      <c r="Y786" s="1464"/>
      <c r="Z786" s="1464"/>
    </row>
    <row r="787">
      <c r="A787" s="1468" t="s">
        <v>3409</v>
      </c>
      <c r="B787" s="1469">
        <v>84000.0</v>
      </c>
      <c r="C787" s="1470">
        <v>2015.0</v>
      </c>
      <c r="D787" s="1473"/>
      <c r="E787" s="1473"/>
      <c r="F787" s="1464"/>
      <c r="G787" s="1464"/>
      <c r="H787" s="1470" t="s">
        <v>3639</v>
      </c>
      <c r="I787" s="1476" t="s">
        <v>4845</v>
      </c>
      <c r="J787" s="1470" t="s">
        <v>3939</v>
      </c>
      <c r="K787" s="1470" t="s">
        <v>3673</v>
      </c>
      <c r="L787" s="1464"/>
      <c r="M787" s="1464"/>
      <c r="N787" s="1464"/>
      <c r="O787" s="1464"/>
      <c r="P787" s="1464"/>
      <c r="Q787" s="1464"/>
      <c r="R787" s="1464"/>
      <c r="S787" s="1464"/>
      <c r="T787" s="1464"/>
      <c r="U787" s="1464"/>
      <c r="V787" s="1464"/>
      <c r="W787" s="1464"/>
      <c r="X787" s="1464"/>
      <c r="Y787" s="1464"/>
      <c r="Z787" s="1464"/>
    </row>
    <row r="788">
      <c r="A788" s="1468" t="s">
        <v>3413</v>
      </c>
      <c r="B788" s="1469">
        <v>84000.0</v>
      </c>
      <c r="C788" s="1470">
        <v>2015.0</v>
      </c>
      <c r="D788" s="1473"/>
      <c r="E788" s="1469" t="s">
        <v>3637</v>
      </c>
      <c r="F788" s="1464"/>
      <c r="G788" s="1464"/>
      <c r="H788" s="1470" t="s">
        <v>3639</v>
      </c>
      <c r="I788" s="1476" t="s">
        <v>4845</v>
      </c>
      <c r="J788" s="1470" t="s">
        <v>3939</v>
      </c>
      <c r="K788" s="1470" t="s">
        <v>3673</v>
      </c>
      <c r="L788" s="1464"/>
      <c r="M788" s="1464"/>
      <c r="N788" s="1464"/>
      <c r="O788" s="1464"/>
      <c r="P788" s="1464"/>
      <c r="Q788" s="1464"/>
      <c r="R788" s="1464"/>
      <c r="S788" s="1464"/>
      <c r="T788" s="1464"/>
      <c r="U788" s="1464"/>
      <c r="V788" s="1464"/>
      <c r="W788" s="1464"/>
      <c r="X788" s="1464"/>
      <c r="Y788" s="1464"/>
      <c r="Z788" s="1464"/>
    </row>
    <row r="789">
      <c r="A789" s="1468" t="s">
        <v>3392</v>
      </c>
      <c r="B789" s="1469">
        <v>84000.0</v>
      </c>
      <c r="C789" s="1470">
        <v>2015.0</v>
      </c>
      <c r="D789" s="1473"/>
      <c r="E789" s="1469" t="s">
        <v>3637</v>
      </c>
      <c r="F789" s="1464"/>
      <c r="G789" s="1464"/>
      <c r="H789" s="1470" t="s">
        <v>3639</v>
      </c>
      <c r="I789" s="1476" t="s">
        <v>4845</v>
      </c>
      <c r="J789" s="1470" t="s">
        <v>3939</v>
      </c>
      <c r="K789" s="1470" t="s">
        <v>3673</v>
      </c>
      <c r="L789" s="1470" t="s">
        <v>4883</v>
      </c>
      <c r="M789" s="1464"/>
      <c r="N789" s="1464"/>
      <c r="O789" s="1464"/>
      <c r="P789" s="1464"/>
      <c r="Q789" s="1464"/>
      <c r="R789" s="1464"/>
      <c r="S789" s="1464"/>
      <c r="T789" s="1464"/>
      <c r="U789" s="1464"/>
      <c r="V789" s="1464"/>
      <c r="W789" s="1464"/>
      <c r="X789" s="1464"/>
      <c r="Y789" s="1464"/>
      <c r="Z789" s="1464"/>
    </row>
    <row r="790">
      <c r="A790" s="1468" t="s">
        <v>3395</v>
      </c>
      <c r="B790" s="1469">
        <v>84000.0</v>
      </c>
      <c r="C790" s="1470">
        <v>2015.0</v>
      </c>
      <c r="D790" s="1473"/>
      <c r="E790" s="1469" t="s">
        <v>3637</v>
      </c>
      <c r="F790" s="1464"/>
      <c r="G790" s="1464"/>
      <c r="H790" s="1470" t="s">
        <v>3639</v>
      </c>
      <c r="I790" s="1476" t="s">
        <v>4845</v>
      </c>
      <c r="J790" s="1470" t="s">
        <v>3939</v>
      </c>
      <c r="K790" s="1470" t="s">
        <v>3673</v>
      </c>
      <c r="L790" s="1464"/>
      <c r="M790" s="1464"/>
      <c r="N790" s="1464"/>
      <c r="O790" s="1464"/>
      <c r="P790" s="1464"/>
      <c r="Q790" s="1464"/>
      <c r="R790" s="1464"/>
      <c r="S790" s="1464"/>
      <c r="T790" s="1464"/>
      <c r="U790" s="1464"/>
      <c r="V790" s="1464"/>
      <c r="W790" s="1464"/>
      <c r="X790" s="1464"/>
      <c r="Y790" s="1464"/>
      <c r="Z790" s="1464"/>
    </row>
    <row r="791">
      <c r="A791" s="1468" t="s">
        <v>3420</v>
      </c>
      <c r="B791" s="1469">
        <v>84000.0</v>
      </c>
      <c r="C791" s="1470">
        <v>2015.0</v>
      </c>
      <c r="D791" s="1473"/>
      <c r="E791" s="1469" t="s">
        <v>3637</v>
      </c>
      <c r="F791" s="1464"/>
      <c r="G791" s="1464"/>
      <c r="H791" s="1470" t="s">
        <v>3639</v>
      </c>
      <c r="I791" s="1476" t="s">
        <v>4845</v>
      </c>
      <c r="J791" s="1470" t="s">
        <v>3939</v>
      </c>
      <c r="K791" s="1470" t="s">
        <v>3673</v>
      </c>
      <c r="L791" s="1464"/>
      <c r="M791" s="1464"/>
      <c r="N791" s="1464"/>
      <c r="O791" s="1464"/>
      <c r="P791" s="1464"/>
      <c r="Q791" s="1464"/>
      <c r="R791" s="1464"/>
      <c r="S791" s="1464"/>
      <c r="T791" s="1464"/>
      <c r="U791" s="1464"/>
      <c r="V791" s="1464"/>
      <c r="W791" s="1464"/>
      <c r="X791" s="1464"/>
      <c r="Y791" s="1464"/>
      <c r="Z791" s="1464"/>
    </row>
    <row r="792">
      <c r="A792" s="1468" t="s">
        <v>3362</v>
      </c>
      <c r="B792" s="1469">
        <v>84000.0</v>
      </c>
      <c r="C792" s="1470">
        <v>2015.0</v>
      </c>
      <c r="D792" s="1473"/>
      <c r="E792" s="1469" t="s">
        <v>3637</v>
      </c>
      <c r="F792" s="1464"/>
      <c r="G792" s="1464"/>
      <c r="H792" s="1470" t="s">
        <v>3639</v>
      </c>
      <c r="I792" s="1476" t="s">
        <v>4845</v>
      </c>
      <c r="J792" s="1470" t="s">
        <v>3939</v>
      </c>
      <c r="K792" s="1470" t="s">
        <v>3673</v>
      </c>
      <c r="L792" s="1464"/>
      <c r="M792" s="1464"/>
      <c r="N792" s="1464"/>
      <c r="O792" s="1464"/>
      <c r="P792" s="1464"/>
      <c r="Q792" s="1464"/>
      <c r="R792" s="1464"/>
      <c r="S792" s="1464"/>
      <c r="T792" s="1464"/>
      <c r="U792" s="1464"/>
      <c r="V792" s="1464"/>
      <c r="W792" s="1464"/>
      <c r="X792" s="1464"/>
      <c r="Y792" s="1464"/>
      <c r="Z792" s="1464"/>
    </row>
    <row r="793">
      <c r="A793" s="1468" t="s">
        <v>3423</v>
      </c>
      <c r="B793" s="1469">
        <v>84000.0</v>
      </c>
      <c r="C793" s="1470">
        <v>2015.0</v>
      </c>
      <c r="D793" s="1473"/>
      <c r="E793" s="1469" t="s">
        <v>3637</v>
      </c>
      <c r="F793" s="1464"/>
      <c r="G793" s="1464"/>
      <c r="H793" s="1470" t="s">
        <v>3639</v>
      </c>
      <c r="I793" s="1476" t="s">
        <v>4845</v>
      </c>
      <c r="J793" s="1470" t="s">
        <v>3939</v>
      </c>
      <c r="K793" s="1470" t="s">
        <v>3673</v>
      </c>
      <c r="L793" s="1464"/>
      <c r="M793" s="1464"/>
      <c r="N793" s="1464"/>
      <c r="O793" s="1464"/>
      <c r="P793" s="1464"/>
      <c r="Q793" s="1464"/>
      <c r="R793" s="1464"/>
      <c r="S793" s="1464"/>
      <c r="T793" s="1464"/>
      <c r="U793" s="1464"/>
      <c r="V793" s="1464"/>
      <c r="W793" s="1464"/>
      <c r="X793" s="1464"/>
      <c r="Y793" s="1464"/>
      <c r="Z793" s="1464"/>
    </row>
    <row r="794">
      <c r="A794" s="1468" t="s">
        <v>3387</v>
      </c>
      <c r="B794" s="1469">
        <v>84000.0</v>
      </c>
      <c r="C794" s="1470">
        <v>2015.0</v>
      </c>
      <c r="D794" s="1473"/>
      <c r="E794" s="1469" t="s">
        <v>3637</v>
      </c>
      <c r="F794" s="1464"/>
      <c r="G794" s="1464"/>
      <c r="H794" s="1470" t="s">
        <v>3639</v>
      </c>
      <c r="I794" s="1476" t="s">
        <v>4845</v>
      </c>
      <c r="J794" s="1470" t="s">
        <v>3939</v>
      </c>
      <c r="K794" s="1470" t="s">
        <v>3673</v>
      </c>
      <c r="L794" s="1464"/>
      <c r="M794" s="1464"/>
      <c r="N794" s="1464"/>
      <c r="O794" s="1464"/>
      <c r="P794" s="1464"/>
      <c r="Q794" s="1464"/>
      <c r="R794" s="1464"/>
      <c r="S794" s="1464"/>
      <c r="T794" s="1464"/>
      <c r="U794" s="1464"/>
      <c r="V794" s="1464"/>
      <c r="W794" s="1464"/>
      <c r="X794" s="1464"/>
      <c r="Y794" s="1464"/>
      <c r="Z794" s="1464"/>
    </row>
    <row r="795">
      <c r="A795" s="1468" t="s">
        <v>3450</v>
      </c>
      <c r="B795" s="1469">
        <v>84000.0</v>
      </c>
      <c r="C795" s="1470">
        <v>2015.0</v>
      </c>
      <c r="D795" s="1473"/>
      <c r="E795" s="1473"/>
      <c r="F795" s="1464"/>
      <c r="G795" s="1464"/>
      <c r="H795" s="1470" t="s">
        <v>3639</v>
      </c>
      <c r="I795" s="1470" t="s">
        <v>4845</v>
      </c>
      <c r="J795" s="1470" t="s">
        <v>3939</v>
      </c>
      <c r="K795" s="1470" t="s">
        <v>3673</v>
      </c>
      <c r="L795" s="1464"/>
      <c r="M795" s="1464"/>
      <c r="N795" s="1464"/>
      <c r="O795" s="1464"/>
      <c r="P795" s="1464"/>
      <c r="Q795" s="1464"/>
      <c r="R795" s="1464"/>
      <c r="S795" s="1464"/>
      <c r="T795" s="1464"/>
      <c r="U795" s="1464"/>
      <c r="V795" s="1464"/>
      <c r="W795" s="1464"/>
      <c r="X795" s="1464"/>
      <c r="Y795" s="1464"/>
      <c r="Z795" s="1464"/>
    </row>
    <row r="796">
      <c r="A796" s="1468" t="s">
        <v>3432</v>
      </c>
      <c r="B796" s="1469">
        <v>84000.0</v>
      </c>
      <c r="C796" s="1470">
        <v>2015.0</v>
      </c>
      <c r="D796" s="1473"/>
      <c r="E796" s="1469" t="s">
        <v>3637</v>
      </c>
      <c r="F796" s="1464"/>
      <c r="G796" s="1464"/>
      <c r="H796" s="1470" t="s">
        <v>3639</v>
      </c>
      <c r="I796" s="1476" t="s">
        <v>4845</v>
      </c>
      <c r="J796" s="1470" t="s">
        <v>3939</v>
      </c>
      <c r="K796" s="1470" t="s">
        <v>3673</v>
      </c>
      <c r="L796" s="1464"/>
      <c r="M796" s="1464"/>
      <c r="N796" s="1464"/>
      <c r="O796" s="1464"/>
      <c r="P796" s="1464"/>
      <c r="Q796" s="1464"/>
      <c r="R796" s="1464"/>
      <c r="S796" s="1464"/>
      <c r="T796" s="1464"/>
      <c r="U796" s="1464"/>
      <c r="V796" s="1464"/>
      <c r="W796" s="1464"/>
      <c r="X796" s="1464"/>
      <c r="Y796" s="1464"/>
      <c r="Z796" s="1464"/>
    </row>
    <row r="797">
      <c r="A797" s="1468" t="s">
        <v>3411</v>
      </c>
      <c r="B797" s="1469">
        <v>84000.0</v>
      </c>
      <c r="C797" s="1470">
        <v>2015.0</v>
      </c>
      <c r="D797" s="1473"/>
      <c r="E797" s="1469" t="s">
        <v>3637</v>
      </c>
      <c r="F797" s="1464"/>
      <c r="G797" s="1464"/>
      <c r="H797" s="1470" t="s">
        <v>3639</v>
      </c>
      <c r="I797" s="1470" t="s">
        <v>4845</v>
      </c>
      <c r="J797" s="1470" t="s">
        <v>3939</v>
      </c>
      <c r="K797" s="1470" t="s">
        <v>3673</v>
      </c>
      <c r="L797" s="1464"/>
      <c r="M797" s="1464"/>
      <c r="N797" s="1464"/>
      <c r="O797" s="1464"/>
      <c r="P797" s="1464"/>
      <c r="Q797" s="1464"/>
      <c r="R797" s="1464"/>
      <c r="S797" s="1464"/>
      <c r="T797" s="1464"/>
      <c r="U797" s="1464"/>
      <c r="V797" s="1464"/>
      <c r="W797" s="1464"/>
      <c r="X797" s="1464"/>
      <c r="Y797" s="1464"/>
      <c r="Z797" s="1464"/>
    </row>
    <row r="798">
      <c r="A798" s="1468" t="s">
        <v>3416</v>
      </c>
      <c r="B798" s="1469">
        <v>84000.0</v>
      </c>
      <c r="C798" s="1470">
        <v>2014.0</v>
      </c>
      <c r="D798" s="1473"/>
      <c r="E798" s="1469" t="s">
        <v>3637</v>
      </c>
      <c r="F798" s="1464"/>
      <c r="G798" s="1464"/>
      <c r="H798" s="1470" t="s">
        <v>3639</v>
      </c>
      <c r="I798" s="1476" t="s">
        <v>4845</v>
      </c>
      <c r="J798" s="1470" t="s">
        <v>3939</v>
      </c>
      <c r="K798" s="1470" t="s">
        <v>3673</v>
      </c>
      <c r="L798" s="1464"/>
      <c r="M798" s="1464"/>
      <c r="N798" s="1464"/>
      <c r="O798" s="1464"/>
      <c r="P798" s="1464"/>
      <c r="Q798" s="1464"/>
      <c r="R798" s="1464"/>
      <c r="S798" s="1464"/>
      <c r="T798" s="1464"/>
      <c r="U798" s="1464"/>
      <c r="V798" s="1464"/>
      <c r="W798" s="1464"/>
      <c r="X798" s="1464"/>
      <c r="Y798" s="1464"/>
      <c r="Z798" s="1464"/>
    </row>
    <row r="799">
      <c r="A799" s="1468" t="s">
        <v>3363</v>
      </c>
      <c r="B799" s="1469">
        <v>84000.0</v>
      </c>
      <c r="C799" s="1470">
        <v>2014.0</v>
      </c>
      <c r="D799" s="1473"/>
      <c r="E799" s="1469" t="s">
        <v>3637</v>
      </c>
      <c r="F799" s="1471" t="s">
        <v>4884</v>
      </c>
      <c r="G799" s="1464"/>
      <c r="H799" s="1470" t="s">
        <v>3639</v>
      </c>
      <c r="I799" s="1470" t="s">
        <v>4845</v>
      </c>
      <c r="J799" s="1470" t="s">
        <v>3939</v>
      </c>
      <c r="K799" s="1470" t="s">
        <v>4615</v>
      </c>
      <c r="L799" s="1464"/>
      <c r="M799" s="1464"/>
      <c r="N799" s="1464"/>
      <c r="O799" s="1464"/>
      <c r="P799" s="1464"/>
      <c r="Q799" s="1464"/>
      <c r="R799" s="1464"/>
      <c r="S799" s="1464"/>
      <c r="T799" s="1464"/>
      <c r="U799" s="1464"/>
      <c r="V799" s="1464"/>
      <c r="W799" s="1464"/>
      <c r="X799" s="1464"/>
      <c r="Y799" s="1464"/>
      <c r="Z799" s="1464"/>
    </row>
    <row r="800">
      <c r="A800" s="1468" t="s">
        <v>3386</v>
      </c>
      <c r="B800" s="1469">
        <v>83300.0</v>
      </c>
      <c r="C800" s="1470">
        <v>2010.0</v>
      </c>
      <c r="D800" s="1473"/>
      <c r="E800" s="1469" t="s">
        <v>3637</v>
      </c>
      <c r="F800" s="1471" t="s">
        <v>4552</v>
      </c>
      <c r="G800" s="1464"/>
      <c r="H800" s="1470" t="s">
        <v>3639</v>
      </c>
      <c r="I800" s="1476" t="s">
        <v>4845</v>
      </c>
      <c r="J800" s="1470" t="s">
        <v>3939</v>
      </c>
      <c r="K800" s="1476" t="s">
        <v>3696</v>
      </c>
      <c r="L800" s="1464"/>
      <c r="M800" s="1464"/>
      <c r="N800" s="1464"/>
      <c r="O800" s="1464"/>
      <c r="P800" s="1464"/>
      <c r="Q800" s="1464"/>
      <c r="R800" s="1464"/>
      <c r="S800" s="1464"/>
      <c r="T800" s="1464"/>
      <c r="U800" s="1464"/>
      <c r="V800" s="1464"/>
      <c r="W800" s="1464"/>
      <c r="X800" s="1464"/>
      <c r="Y800" s="1464"/>
      <c r="Z800" s="1464"/>
    </row>
    <row r="801">
      <c r="A801" s="1468" t="s">
        <v>4885</v>
      </c>
      <c r="B801" s="1469">
        <v>82000.0</v>
      </c>
      <c r="C801" s="1470">
        <v>2007.0</v>
      </c>
      <c r="D801" s="1473"/>
      <c r="E801" s="1473"/>
      <c r="F801" s="1464"/>
      <c r="G801" s="1464"/>
      <c r="H801" s="1470" t="s">
        <v>3718</v>
      </c>
      <c r="I801" s="1476" t="s">
        <v>4845</v>
      </c>
      <c r="J801" s="1470" t="s">
        <v>3939</v>
      </c>
      <c r="K801" s="1470" t="s">
        <v>3673</v>
      </c>
      <c r="L801" s="1464"/>
      <c r="M801" s="1464"/>
      <c r="N801" s="1464"/>
      <c r="O801" s="1464"/>
      <c r="P801" s="1464"/>
      <c r="Q801" s="1464"/>
      <c r="R801" s="1464"/>
      <c r="S801" s="1464"/>
      <c r="T801" s="1464"/>
      <c r="U801" s="1464"/>
      <c r="V801" s="1464"/>
      <c r="W801" s="1464"/>
      <c r="X801" s="1464"/>
      <c r="Y801" s="1464"/>
      <c r="Z801" s="1464"/>
    </row>
    <row r="802">
      <c r="A802" s="1474" t="s">
        <v>4886</v>
      </c>
      <c r="B802" s="1475">
        <v>90000.0</v>
      </c>
      <c r="C802" s="1476">
        <v>2022.0</v>
      </c>
      <c r="D802" s="1481"/>
      <c r="E802" s="1475" t="s">
        <v>666</v>
      </c>
      <c r="F802" s="1477" t="s">
        <v>70</v>
      </c>
      <c r="G802" s="1464"/>
      <c r="H802" s="1464"/>
      <c r="I802" s="1476" t="s">
        <v>4845</v>
      </c>
      <c r="J802" s="1480" t="s">
        <v>3944</v>
      </c>
      <c r="K802" s="1476" t="s">
        <v>3944</v>
      </c>
      <c r="L802" s="1479"/>
      <c r="M802" s="1479"/>
      <c r="N802" s="1479"/>
      <c r="O802" s="1479"/>
      <c r="P802" s="1479"/>
      <c r="Q802" s="1479"/>
      <c r="R802" s="1479"/>
      <c r="S802" s="1479"/>
      <c r="T802" s="1479"/>
      <c r="U802" s="1479"/>
      <c r="V802" s="1479"/>
      <c r="W802" s="1479"/>
      <c r="X802" s="1479"/>
      <c r="Y802" s="1479"/>
      <c r="Z802" s="1479"/>
    </row>
    <row r="803">
      <c r="A803" s="1474" t="s">
        <v>4887</v>
      </c>
      <c r="B803" s="1475">
        <v>90000.0</v>
      </c>
      <c r="C803" s="1476">
        <v>2022.0</v>
      </c>
      <c r="D803" s="1481"/>
      <c r="E803" s="1475" t="s">
        <v>666</v>
      </c>
      <c r="F803" s="1464"/>
      <c r="G803" s="1479"/>
      <c r="H803" s="1479"/>
      <c r="I803" s="1476" t="s">
        <v>4845</v>
      </c>
      <c r="J803" s="1480" t="s">
        <v>3944</v>
      </c>
      <c r="K803" s="1476" t="s">
        <v>3944</v>
      </c>
      <c r="L803" s="1479"/>
      <c r="M803" s="1479"/>
      <c r="N803" s="1479"/>
      <c r="O803" s="1479"/>
      <c r="P803" s="1479"/>
      <c r="Q803" s="1479"/>
      <c r="R803" s="1479"/>
      <c r="S803" s="1479"/>
      <c r="T803" s="1479"/>
      <c r="U803" s="1479"/>
      <c r="V803" s="1479"/>
      <c r="W803" s="1479"/>
      <c r="X803" s="1479"/>
      <c r="Y803" s="1479"/>
      <c r="Z803" s="1479"/>
    </row>
    <row r="804">
      <c r="A804" s="1468" t="s">
        <v>4888</v>
      </c>
      <c r="B804" s="1469">
        <v>78000.0</v>
      </c>
      <c r="C804" s="1470">
        <v>2000.0</v>
      </c>
      <c r="D804" s="1473"/>
      <c r="E804" s="1473"/>
      <c r="F804" s="1464"/>
      <c r="G804" s="1464"/>
      <c r="H804" s="1464"/>
      <c r="I804" s="1470" t="s">
        <v>4845</v>
      </c>
      <c r="J804" s="1470" t="s">
        <v>3944</v>
      </c>
      <c r="K804" s="1470" t="s">
        <v>3944</v>
      </c>
      <c r="L804" s="1464"/>
      <c r="M804" s="1479"/>
      <c r="N804" s="1479"/>
      <c r="O804" s="1479"/>
      <c r="P804" s="1479"/>
      <c r="Q804" s="1479"/>
      <c r="R804" s="1479"/>
      <c r="S804" s="1479"/>
      <c r="T804" s="1479"/>
      <c r="U804" s="1479"/>
      <c r="V804" s="1479"/>
      <c r="W804" s="1479"/>
      <c r="X804" s="1479"/>
      <c r="Y804" s="1479"/>
      <c r="Z804" s="1479"/>
    </row>
    <row r="805">
      <c r="A805" s="1468" t="s">
        <v>3447</v>
      </c>
      <c r="B805" s="1469">
        <v>80000.0</v>
      </c>
      <c r="C805" s="1470">
        <v>2010.0</v>
      </c>
      <c r="D805" s="1473"/>
      <c r="E805" s="1473"/>
      <c r="F805" s="1471" t="s">
        <v>4889</v>
      </c>
      <c r="G805" s="1464"/>
      <c r="H805" s="1464"/>
      <c r="I805" s="1470" t="s">
        <v>4845</v>
      </c>
      <c r="J805" s="1470" t="s">
        <v>4519</v>
      </c>
      <c r="K805" s="1470" t="s">
        <v>4519</v>
      </c>
      <c r="L805" s="1479"/>
      <c r="M805" s="1464"/>
      <c r="N805" s="1464"/>
      <c r="O805" s="1464"/>
      <c r="P805" s="1464"/>
      <c r="Q805" s="1464"/>
      <c r="R805" s="1464"/>
      <c r="S805" s="1464"/>
      <c r="T805" s="1464"/>
      <c r="U805" s="1464"/>
      <c r="V805" s="1464"/>
      <c r="W805" s="1464"/>
      <c r="X805" s="1464"/>
      <c r="Y805" s="1464"/>
      <c r="Z805" s="1464"/>
    </row>
    <row r="806">
      <c r="A806" s="1474" t="s">
        <v>4890</v>
      </c>
      <c r="B806" s="1475">
        <v>93000.0</v>
      </c>
      <c r="C806" s="1476">
        <v>2023.0</v>
      </c>
      <c r="D806" s="1481"/>
      <c r="E806" s="1475" t="s">
        <v>666</v>
      </c>
      <c r="F806" s="1477" t="s">
        <v>70</v>
      </c>
      <c r="G806" s="1479"/>
      <c r="H806" s="1470" t="s">
        <v>3639</v>
      </c>
      <c r="I806" s="1476" t="s">
        <v>4845</v>
      </c>
      <c r="J806" s="1476" t="s">
        <v>4044</v>
      </c>
      <c r="K806" s="1476" t="s">
        <v>4044</v>
      </c>
      <c r="L806" s="1479"/>
      <c r="M806" s="1464"/>
      <c r="N806" s="1464"/>
      <c r="O806" s="1464"/>
      <c r="P806" s="1464"/>
      <c r="Q806" s="1464"/>
      <c r="R806" s="1464"/>
      <c r="S806" s="1464"/>
      <c r="T806" s="1464"/>
      <c r="U806" s="1464"/>
      <c r="V806" s="1464"/>
      <c r="W806" s="1464"/>
      <c r="X806" s="1464"/>
      <c r="Y806" s="1464"/>
      <c r="Z806" s="1464"/>
    </row>
    <row r="807">
      <c r="A807" s="1474" t="s">
        <v>4891</v>
      </c>
      <c r="B807" s="1475">
        <v>93000.0</v>
      </c>
      <c r="C807" s="1476">
        <v>2023.0</v>
      </c>
      <c r="D807" s="1481"/>
      <c r="E807" s="1475" t="s">
        <v>666</v>
      </c>
      <c r="F807" s="1479"/>
      <c r="G807" s="1479"/>
      <c r="H807" s="1470" t="s">
        <v>3639</v>
      </c>
      <c r="I807" s="1476" t="s">
        <v>4845</v>
      </c>
      <c r="J807" s="1476" t="s">
        <v>4044</v>
      </c>
      <c r="K807" s="1476" t="s">
        <v>4044</v>
      </c>
      <c r="L807" s="1479"/>
      <c r="M807" s="1464"/>
      <c r="N807" s="1464"/>
      <c r="O807" s="1464"/>
      <c r="P807" s="1464"/>
      <c r="Q807" s="1464"/>
      <c r="R807" s="1464"/>
      <c r="S807" s="1464"/>
      <c r="T807" s="1464"/>
      <c r="U807" s="1464"/>
      <c r="V807" s="1464"/>
      <c r="W807" s="1464"/>
      <c r="X807" s="1464"/>
      <c r="Y807" s="1464"/>
      <c r="Z807" s="1464"/>
    </row>
    <row r="808">
      <c r="A808" s="1468" t="s">
        <v>4892</v>
      </c>
      <c r="B808" s="1469">
        <v>82000.0</v>
      </c>
      <c r="C808" s="1470">
        <v>2009.0</v>
      </c>
      <c r="D808" s="1473"/>
      <c r="E808" s="1473"/>
      <c r="F808" s="1471" t="s">
        <v>4893</v>
      </c>
      <c r="G808" s="1464"/>
      <c r="H808" s="1470" t="s">
        <v>3639</v>
      </c>
      <c r="I808" s="1470" t="s">
        <v>4845</v>
      </c>
      <c r="J808" s="1470" t="s">
        <v>4894</v>
      </c>
      <c r="K808" s="1470" t="s">
        <v>4895</v>
      </c>
      <c r="L808" s="1464"/>
      <c r="M808" s="1464"/>
      <c r="N808" s="1464"/>
      <c r="O808" s="1464"/>
      <c r="P808" s="1464"/>
      <c r="Q808" s="1464"/>
      <c r="R808" s="1464"/>
      <c r="S808" s="1464"/>
      <c r="T808" s="1464"/>
      <c r="U808" s="1464"/>
      <c r="V808" s="1464"/>
      <c r="W808" s="1464"/>
      <c r="X808" s="1464"/>
      <c r="Y808" s="1464"/>
      <c r="Z808" s="1464"/>
    </row>
    <row r="809">
      <c r="A809" s="1468" t="s">
        <v>4896</v>
      </c>
      <c r="B809" s="1469">
        <v>82000.0</v>
      </c>
      <c r="C809" s="1470">
        <v>2008.0</v>
      </c>
      <c r="D809" s="1473"/>
      <c r="E809" s="1473"/>
      <c r="F809" s="1471" t="s">
        <v>4893</v>
      </c>
      <c r="G809" s="1464"/>
      <c r="H809" s="1470" t="s">
        <v>3639</v>
      </c>
      <c r="I809" s="1470" t="s">
        <v>4845</v>
      </c>
      <c r="J809" s="1470" t="s">
        <v>4894</v>
      </c>
      <c r="K809" s="1470" t="s">
        <v>4895</v>
      </c>
      <c r="L809" s="1464"/>
      <c r="M809" s="1464"/>
      <c r="N809" s="1464"/>
      <c r="O809" s="1464"/>
      <c r="P809" s="1464"/>
      <c r="Q809" s="1464"/>
      <c r="R809" s="1464"/>
      <c r="S809" s="1464"/>
      <c r="T809" s="1464"/>
      <c r="U809" s="1464"/>
      <c r="V809" s="1464"/>
      <c r="W809" s="1464"/>
      <c r="X809" s="1464"/>
      <c r="Y809" s="1464"/>
      <c r="Z809" s="1464"/>
    </row>
    <row r="810">
      <c r="A810" s="1468" t="s">
        <v>3386</v>
      </c>
      <c r="B810" s="1469">
        <v>83300.0</v>
      </c>
      <c r="C810" s="1470">
        <v>2010.0</v>
      </c>
      <c r="D810" s="1473"/>
      <c r="E810" s="1469" t="s">
        <v>3637</v>
      </c>
      <c r="F810" s="1471" t="s">
        <v>4897</v>
      </c>
      <c r="G810" s="1464"/>
      <c r="H810" s="1464"/>
      <c r="I810" s="1476" t="s">
        <v>4845</v>
      </c>
      <c r="J810" s="1472" t="s">
        <v>3939</v>
      </c>
      <c r="K810" s="1470" t="s">
        <v>3696</v>
      </c>
      <c r="L810" s="1464"/>
      <c r="M810" s="1464"/>
      <c r="N810" s="1464"/>
      <c r="O810" s="1464"/>
      <c r="P810" s="1464"/>
      <c r="Q810" s="1464"/>
      <c r="R810" s="1464"/>
      <c r="S810" s="1464"/>
      <c r="T810" s="1464"/>
      <c r="U810" s="1464"/>
      <c r="V810" s="1464"/>
      <c r="W810" s="1464"/>
      <c r="X810" s="1464"/>
      <c r="Y810" s="1464"/>
      <c r="Z810" s="1464"/>
    </row>
    <row r="811">
      <c r="A811" s="1468" t="s">
        <v>3449</v>
      </c>
      <c r="B811" s="1469">
        <v>82500.0</v>
      </c>
      <c r="C811" s="1470">
        <v>2010.0</v>
      </c>
      <c r="D811" s="1473"/>
      <c r="E811" s="1473"/>
      <c r="F811" s="1464"/>
      <c r="G811" s="1464"/>
      <c r="H811" s="1470" t="s">
        <v>3702</v>
      </c>
      <c r="I811" s="1470" t="s">
        <v>4845</v>
      </c>
      <c r="J811" s="1470" t="s">
        <v>3725</v>
      </c>
      <c r="K811" s="1476" t="s">
        <v>3725</v>
      </c>
      <c r="L811" s="1464"/>
      <c r="M811" s="1464"/>
      <c r="N811" s="1464"/>
      <c r="O811" s="1464"/>
      <c r="P811" s="1464"/>
      <c r="Q811" s="1464"/>
      <c r="R811" s="1464"/>
      <c r="S811" s="1464"/>
      <c r="T811" s="1464"/>
      <c r="U811" s="1464"/>
      <c r="V811" s="1464"/>
      <c r="W811" s="1464"/>
      <c r="X811" s="1464"/>
      <c r="Y811" s="1464"/>
      <c r="Z811" s="1464"/>
    </row>
    <row r="812">
      <c r="A812" s="1468" t="s">
        <v>4898</v>
      </c>
      <c r="B812" s="1469">
        <v>82500.0</v>
      </c>
      <c r="C812" s="1470">
        <v>2010.0</v>
      </c>
      <c r="D812" s="1473"/>
      <c r="E812" s="1473"/>
      <c r="F812" s="1471" t="s">
        <v>4899</v>
      </c>
      <c r="G812" s="1464"/>
      <c r="H812" s="1470" t="s">
        <v>3702</v>
      </c>
      <c r="I812" s="1470" t="s">
        <v>4845</v>
      </c>
      <c r="J812" s="1470" t="s">
        <v>3725</v>
      </c>
      <c r="K812" s="1476" t="s">
        <v>3725</v>
      </c>
      <c r="L812" s="1479"/>
      <c r="M812" s="1464"/>
      <c r="N812" s="1464"/>
      <c r="O812" s="1464"/>
      <c r="P812" s="1464"/>
      <c r="Q812" s="1464"/>
      <c r="R812" s="1464"/>
      <c r="S812" s="1464"/>
      <c r="T812" s="1464"/>
      <c r="U812" s="1464"/>
      <c r="V812" s="1464"/>
      <c r="W812" s="1464"/>
      <c r="X812" s="1464"/>
      <c r="Y812" s="1464"/>
      <c r="Z812" s="1464"/>
    </row>
    <row r="813">
      <c r="A813" s="1468" t="s">
        <v>4900</v>
      </c>
      <c r="B813" s="1469">
        <v>84000.0</v>
      </c>
      <c r="C813" s="1470">
        <v>2018.0</v>
      </c>
      <c r="D813" s="1473"/>
      <c r="E813" s="1473"/>
      <c r="F813" s="1464"/>
      <c r="G813" s="1464"/>
      <c r="H813" s="1470" t="s">
        <v>3639</v>
      </c>
      <c r="I813" s="1470" t="s">
        <v>4845</v>
      </c>
      <c r="J813" s="1470" t="s">
        <v>3963</v>
      </c>
      <c r="K813" s="1470" t="s">
        <v>3963</v>
      </c>
      <c r="L813" s="1464"/>
      <c r="M813" s="1464"/>
      <c r="N813" s="1464"/>
      <c r="O813" s="1464"/>
      <c r="P813" s="1464"/>
      <c r="Q813" s="1464"/>
      <c r="R813" s="1464"/>
      <c r="S813" s="1464"/>
      <c r="T813" s="1464"/>
      <c r="U813" s="1464"/>
      <c r="V813" s="1464"/>
      <c r="W813" s="1464"/>
      <c r="X813" s="1464"/>
      <c r="Y813" s="1464"/>
      <c r="Z813" s="1464"/>
    </row>
    <row r="814">
      <c r="A814" s="1474" t="s">
        <v>3445</v>
      </c>
      <c r="B814" s="1475">
        <v>84000.0</v>
      </c>
      <c r="C814" s="1476">
        <v>2015.0</v>
      </c>
      <c r="D814" s="1479"/>
      <c r="E814" s="1479"/>
      <c r="F814" s="1477" t="s">
        <v>4901</v>
      </c>
      <c r="G814" s="1479"/>
      <c r="H814" s="1470" t="s">
        <v>3639</v>
      </c>
      <c r="I814" s="1470" t="s">
        <v>4845</v>
      </c>
      <c r="J814" s="1476" t="s">
        <v>3963</v>
      </c>
      <c r="K814" s="1476" t="s">
        <v>3963</v>
      </c>
      <c r="L814" s="1479"/>
      <c r="M814" s="1464"/>
      <c r="N814" s="1464"/>
      <c r="O814" s="1464"/>
      <c r="P814" s="1464"/>
      <c r="Q814" s="1464"/>
      <c r="R814" s="1464"/>
      <c r="S814" s="1464"/>
      <c r="T814" s="1464"/>
      <c r="U814" s="1464"/>
      <c r="V814" s="1464"/>
      <c r="W814" s="1464"/>
      <c r="X814" s="1464"/>
      <c r="Y814" s="1464"/>
      <c r="Z814" s="1464"/>
    </row>
    <row r="815">
      <c r="A815" s="1474" t="s">
        <v>3388</v>
      </c>
      <c r="B815" s="1475">
        <v>83000.0</v>
      </c>
      <c r="C815" s="1476">
        <v>2020.0</v>
      </c>
      <c r="D815" s="1473"/>
      <c r="E815" s="1469" t="s">
        <v>3637</v>
      </c>
      <c r="F815" s="1477" t="s">
        <v>4902</v>
      </c>
      <c r="G815" s="1464"/>
      <c r="H815" s="1470" t="s">
        <v>3639</v>
      </c>
      <c r="I815" s="1476" t="s">
        <v>4845</v>
      </c>
      <c r="J815" s="1476" t="s">
        <v>2935</v>
      </c>
      <c r="K815" s="1470" t="s">
        <v>3652</v>
      </c>
      <c r="L815" s="1470" t="s">
        <v>3652</v>
      </c>
      <c r="M815" s="1464"/>
      <c r="N815" s="1464"/>
      <c r="O815" s="1464"/>
      <c r="P815" s="1464"/>
      <c r="Q815" s="1464"/>
      <c r="R815" s="1464"/>
      <c r="S815" s="1464"/>
      <c r="T815" s="1464"/>
      <c r="U815" s="1464"/>
      <c r="V815" s="1464"/>
      <c r="W815" s="1464"/>
      <c r="X815" s="1464"/>
      <c r="Y815" s="1464"/>
      <c r="Z815" s="1464"/>
    </row>
    <row r="816">
      <c r="A816" s="1477" t="s">
        <v>4903</v>
      </c>
      <c r="B816" s="1475">
        <v>87000.0</v>
      </c>
      <c r="C816" s="1476">
        <v>2024.0</v>
      </c>
      <c r="D816" s="1481"/>
      <c r="E816" s="1475" t="s">
        <v>666</v>
      </c>
      <c r="F816" s="1477" t="s">
        <v>4904</v>
      </c>
      <c r="G816" s="1479"/>
      <c r="H816" s="1476" t="s">
        <v>3718</v>
      </c>
      <c r="I816" s="1476" t="s">
        <v>4845</v>
      </c>
      <c r="J816" s="1476" t="s">
        <v>3797</v>
      </c>
      <c r="K816" s="1476" t="s">
        <v>3207</v>
      </c>
      <c r="L816" s="1479"/>
      <c r="M816" s="1464"/>
      <c r="N816" s="1464"/>
      <c r="O816" s="1464"/>
      <c r="P816" s="1464"/>
      <c r="Q816" s="1464"/>
      <c r="R816" s="1464"/>
      <c r="S816" s="1464"/>
      <c r="T816" s="1464"/>
      <c r="U816" s="1464"/>
      <c r="V816" s="1464"/>
      <c r="W816" s="1464"/>
      <c r="X816" s="1464"/>
      <c r="Y816" s="1464"/>
      <c r="Z816" s="1464"/>
    </row>
    <row r="817">
      <c r="A817" s="1468" t="s">
        <v>4627</v>
      </c>
      <c r="B817" s="1469">
        <v>78000.0</v>
      </c>
      <c r="C817" s="1470">
        <v>2003.0</v>
      </c>
      <c r="D817" s="1481"/>
      <c r="E817" s="1473"/>
      <c r="F817" s="1471" t="s">
        <v>4904</v>
      </c>
      <c r="G817" s="1464"/>
      <c r="H817" s="1476" t="s">
        <v>3639</v>
      </c>
      <c r="I817" s="1470" t="s">
        <v>4845</v>
      </c>
      <c r="J817" s="1470" t="s">
        <v>3797</v>
      </c>
      <c r="K817" s="1476" t="s">
        <v>4780</v>
      </c>
      <c r="L817" s="1464"/>
      <c r="M817" s="1464"/>
      <c r="N817" s="1464"/>
      <c r="O817" s="1464"/>
      <c r="P817" s="1464"/>
      <c r="Q817" s="1464"/>
      <c r="R817" s="1464"/>
      <c r="S817" s="1464"/>
      <c r="T817" s="1464"/>
      <c r="U817" s="1464"/>
      <c r="V817" s="1464"/>
      <c r="W817" s="1464"/>
      <c r="X817" s="1464"/>
      <c r="Y817" s="1464"/>
      <c r="Z817" s="1464"/>
    </row>
    <row r="818">
      <c r="A818" s="1474" t="s">
        <v>4905</v>
      </c>
      <c r="B818" s="1475">
        <v>93000.0</v>
      </c>
      <c r="C818" s="1476">
        <v>2024.0</v>
      </c>
      <c r="D818" s="1481"/>
      <c r="E818" s="1475" t="s">
        <v>666</v>
      </c>
      <c r="F818" s="1477" t="s">
        <v>4906</v>
      </c>
      <c r="G818" s="1479"/>
      <c r="H818" s="1476" t="s">
        <v>3639</v>
      </c>
      <c r="I818" s="1476" t="s">
        <v>4845</v>
      </c>
      <c r="J818" s="1476" t="s">
        <v>4878</v>
      </c>
      <c r="K818" s="1476" t="s">
        <v>4878</v>
      </c>
      <c r="L818" s="1479"/>
      <c r="M818" s="1464"/>
      <c r="N818" s="1464"/>
      <c r="O818" s="1464"/>
      <c r="P818" s="1464"/>
      <c r="Q818" s="1464"/>
      <c r="R818" s="1464"/>
      <c r="S818" s="1464"/>
      <c r="T818" s="1464"/>
      <c r="U818" s="1464"/>
      <c r="V818" s="1464"/>
      <c r="W818" s="1464"/>
      <c r="X818" s="1464"/>
      <c r="Y818" s="1464"/>
      <c r="Z818" s="1464"/>
    </row>
    <row r="819">
      <c r="A819" s="1468" t="s">
        <v>4907</v>
      </c>
      <c r="B819" s="1469">
        <v>84000.0</v>
      </c>
      <c r="C819" s="1470">
        <v>2014.0</v>
      </c>
      <c r="D819" s="1473"/>
      <c r="E819" s="1473"/>
      <c r="F819" s="1464"/>
      <c r="G819" s="1464"/>
      <c r="H819" s="1464"/>
      <c r="I819" s="1470" t="s">
        <v>4845</v>
      </c>
      <c r="J819" s="1470" t="s">
        <v>4317</v>
      </c>
      <c r="K819" s="1470" t="s">
        <v>4317</v>
      </c>
      <c r="L819" s="1464"/>
      <c r="M819" s="1464"/>
      <c r="N819" s="1464"/>
      <c r="O819" s="1464"/>
      <c r="P819" s="1464"/>
      <c r="Q819" s="1464"/>
      <c r="R819" s="1464"/>
      <c r="S819" s="1464"/>
      <c r="T819" s="1464"/>
      <c r="U819" s="1464"/>
      <c r="V819" s="1464"/>
      <c r="W819" s="1464"/>
      <c r="X819" s="1464"/>
      <c r="Y819" s="1464"/>
      <c r="Z819" s="1464"/>
    </row>
    <row r="820">
      <c r="A820" s="1468" t="s">
        <v>4908</v>
      </c>
      <c r="B820" s="1469">
        <v>84000.0</v>
      </c>
      <c r="C820" s="1470">
        <v>2014.0</v>
      </c>
      <c r="D820" s="1473"/>
      <c r="E820" s="1473"/>
      <c r="F820" s="1464"/>
      <c r="G820" s="1464"/>
      <c r="H820" s="1464"/>
      <c r="I820" s="1470" t="s">
        <v>4845</v>
      </c>
      <c r="J820" s="1470" t="s">
        <v>4317</v>
      </c>
      <c r="K820" s="1470" t="s">
        <v>4317</v>
      </c>
      <c r="L820" s="1464"/>
      <c r="M820" s="1464"/>
      <c r="N820" s="1464"/>
      <c r="O820" s="1464"/>
      <c r="P820" s="1464"/>
      <c r="Q820" s="1464"/>
      <c r="R820" s="1464"/>
      <c r="S820" s="1464"/>
      <c r="T820" s="1464"/>
      <c r="U820" s="1464"/>
      <c r="V820" s="1464"/>
      <c r="W820" s="1464"/>
      <c r="X820" s="1464"/>
      <c r="Y820" s="1464"/>
      <c r="Z820" s="1464"/>
    </row>
    <row r="821">
      <c r="A821" s="1474" t="s">
        <v>4909</v>
      </c>
      <c r="B821" s="1475">
        <v>93000.0</v>
      </c>
      <c r="C821" s="1476">
        <v>2024.0</v>
      </c>
      <c r="D821" s="1481"/>
      <c r="E821" s="1475" t="s">
        <v>666</v>
      </c>
      <c r="F821" s="1479"/>
      <c r="G821" s="1479"/>
      <c r="H821" s="1476" t="s">
        <v>3639</v>
      </c>
      <c r="I821" s="1476" t="s">
        <v>4845</v>
      </c>
      <c r="J821" s="1476" t="s">
        <v>3659</v>
      </c>
      <c r="K821" s="1476" t="s">
        <v>3659</v>
      </c>
      <c r="L821" s="1479"/>
      <c r="M821" s="1464"/>
      <c r="N821" s="1464"/>
      <c r="O821" s="1464"/>
      <c r="P821" s="1464"/>
      <c r="Q821" s="1464"/>
      <c r="R821" s="1464"/>
      <c r="S821" s="1464"/>
      <c r="T821" s="1464"/>
      <c r="U821" s="1464"/>
      <c r="V821" s="1464"/>
      <c r="W821" s="1464"/>
      <c r="X821" s="1464"/>
      <c r="Y821" s="1464"/>
      <c r="Z821" s="1464"/>
    </row>
    <row r="822">
      <c r="A822" s="1474" t="s">
        <v>4910</v>
      </c>
      <c r="B822" s="1475">
        <v>93000.0</v>
      </c>
      <c r="C822" s="1476">
        <v>2023.0</v>
      </c>
      <c r="D822" s="1481"/>
      <c r="E822" s="1475" t="s">
        <v>666</v>
      </c>
      <c r="F822" s="1479"/>
      <c r="G822" s="1479"/>
      <c r="H822" s="1476" t="s">
        <v>3639</v>
      </c>
      <c r="I822" s="1476" t="s">
        <v>4845</v>
      </c>
      <c r="J822" s="1476" t="s">
        <v>3659</v>
      </c>
      <c r="K822" s="1476" t="s">
        <v>3659</v>
      </c>
      <c r="L822" s="1479"/>
      <c r="M822" s="1464"/>
      <c r="N822" s="1464"/>
      <c r="O822" s="1464"/>
      <c r="P822" s="1464"/>
      <c r="Q822" s="1464"/>
      <c r="R822" s="1464"/>
      <c r="S822" s="1464"/>
      <c r="T822" s="1464"/>
      <c r="U822" s="1464"/>
      <c r="V822" s="1464"/>
      <c r="W822" s="1464"/>
      <c r="X822" s="1464"/>
      <c r="Y822" s="1464"/>
      <c r="Z822" s="1464"/>
    </row>
    <row r="823">
      <c r="A823" s="1474" t="s">
        <v>4911</v>
      </c>
      <c r="B823" s="1475">
        <v>93000.0</v>
      </c>
      <c r="C823" s="1476">
        <v>2023.0</v>
      </c>
      <c r="D823" s="1481"/>
      <c r="E823" s="1475" t="s">
        <v>666</v>
      </c>
      <c r="F823" s="1479"/>
      <c r="G823" s="1479"/>
      <c r="H823" s="1476" t="s">
        <v>3639</v>
      </c>
      <c r="I823" s="1476" t="s">
        <v>4845</v>
      </c>
      <c r="J823" s="1476" t="s">
        <v>3659</v>
      </c>
      <c r="K823" s="1476" t="s">
        <v>3659</v>
      </c>
      <c r="L823" s="1479"/>
      <c r="M823" s="1464"/>
      <c r="N823" s="1464"/>
      <c r="O823" s="1464"/>
      <c r="P823" s="1464"/>
      <c r="Q823" s="1464"/>
      <c r="R823" s="1464"/>
      <c r="S823" s="1464"/>
      <c r="T823" s="1464"/>
      <c r="U823" s="1464"/>
      <c r="V823" s="1464"/>
      <c r="W823" s="1464"/>
      <c r="X823" s="1464"/>
      <c r="Y823" s="1464"/>
      <c r="Z823" s="1464"/>
    </row>
    <row r="824">
      <c r="A824" s="1474" t="s">
        <v>4912</v>
      </c>
      <c r="B824" s="1475">
        <v>93000.0</v>
      </c>
      <c r="C824" s="1476">
        <v>2023.0</v>
      </c>
      <c r="D824" s="1481"/>
      <c r="E824" s="1475" t="s">
        <v>666</v>
      </c>
      <c r="F824" s="1479"/>
      <c r="G824" s="1479"/>
      <c r="H824" s="1476" t="s">
        <v>3639</v>
      </c>
      <c r="I824" s="1476" t="s">
        <v>4845</v>
      </c>
      <c r="J824" s="1476" t="s">
        <v>3659</v>
      </c>
      <c r="K824" s="1476" t="s">
        <v>3659</v>
      </c>
      <c r="L824" s="1479"/>
      <c r="M824" s="1464"/>
      <c r="N824" s="1464"/>
      <c r="O824" s="1464"/>
      <c r="P824" s="1464"/>
      <c r="Q824" s="1464"/>
      <c r="R824" s="1464"/>
      <c r="S824" s="1464"/>
      <c r="T824" s="1464"/>
      <c r="U824" s="1464"/>
      <c r="V824" s="1464"/>
      <c r="W824" s="1464"/>
      <c r="X824" s="1464"/>
      <c r="Y824" s="1464"/>
      <c r="Z824" s="1464"/>
    </row>
    <row r="825">
      <c r="A825" s="1474" t="s">
        <v>4913</v>
      </c>
      <c r="B825" s="1475">
        <v>93000.0</v>
      </c>
      <c r="C825" s="1476">
        <v>2023.0</v>
      </c>
      <c r="D825" s="1481"/>
      <c r="E825" s="1475" t="s">
        <v>666</v>
      </c>
      <c r="F825" s="1479"/>
      <c r="G825" s="1479"/>
      <c r="H825" s="1476" t="s">
        <v>3639</v>
      </c>
      <c r="I825" s="1476" t="s">
        <v>4845</v>
      </c>
      <c r="J825" s="1476" t="s">
        <v>3659</v>
      </c>
      <c r="K825" s="1476" t="s">
        <v>3659</v>
      </c>
      <c r="L825" s="1479"/>
      <c r="M825" s="1464"/>
      <c r="N825" s="1464"/>
      <c r="O825" s="1464"/>
      <c r="P825" s="1464"/>
      <c r="Q825" s="1464"/>
      <c r="R825" s="1464"/>
      <c r="S825" s="1464"/>
      <c r="T825" s="1464"/>
      <c r="U825" s="1464"/>
      <c r="V825" s="1464"/>
      <c r="W825" s="1464"/>
      <c r="X825" s="1464"/>
      <c r="Y825" s="1464"/>
      <c r="Z825" s="1464"/>
    </row>
    <row r="826">
      <c r="A826" s="1474" t="s">
        <v>3405</v>
      </c>
      <c r="B826" s="1475">
        <v>84000.0</v>
      </c>
      <c r="C826" s="1476">
        <v>2020.0</v>
      </c>
      <c r="D826" s="1473"/>
      <c r="E826" s="1469" t="s">
        <v>3637</v>
      </c>
      <c r="F826" s="1479"/>
      <c r="G826" s="1479"/>
      <c r="H826" s="1470" t="s">
        <v>3639</v>
      </c>
      <c r="I826" s="1476" t="s">
        <v>4845</v>
      </c>
      <c r="J826" s="1470" t="s">
        <v>3659</v>
      </c>
      <c r="K826" s="1470" t="s">
        <v>3659</v>
      </c>
      <c r="L826" s="1464"/>
      <c r="M826" s="1464"/>
      <c r="N826" s="1464"/>
      <c r="O826" s="1464"/>
      <c r="P826" s="1464"/>
      <c r="Q826" s="1464"/>
      <c r="R826" s="1464"/>
      <c r="S826" s="1464"/>
      <c r="T826" s="1464"/>
      <c r="U826" s="1464"/>
      <c r="V826" s="1464"/>
      <c r="W826" s="1464"/>
      <c r="X826" s="1464"/>
      <c r="Y826" s="1464"/>
      <c r="Z826" s="1464"/>
    </row>
    <row r="827">
      <c r="A827" s="1468" t="s">
        <v>4914</v>
      </c>
      <c r="B827" s="1469">
        <v>75500.0</v>
      </c>
      <c r="C827" s="1470">
        <v>1982.0</v>
      </c>
      <c r="D827" s="1473"/>
      <c r="E827" s="1473"/>
      <c r="F827" s="1479"/>
      <c r="G827" s="1464"/>
      <c r="H827" s="1464"/>
      <c r="I827" s="1470" t="s">
        <v>4845</v>
      </c>
      <c r="J827" s="1470" t="s">
        <v>4915</v>
      </c>
      <c r="K827" s="1470" t="s">
        <v>4915</v>
      </c>
      <c r="L827" s="1464"/>
      <c r="M827" s="1464"/>
      <c r="N827" s="1464"/>
      <c r="O827" s="1464"/>
      <c r="P827" s="1464"/>
      <c r="Q827" s="1464"/>
      <c r="R827" s="1464"/>
      <c r="S827" s="1464"/>
      <c r="T827" s="1464"/>
      <c r="U827" s="1464"/>
      <c r="V827" s="1464"/>
      <c r="W827" s="1464"/>
      <c r="X827" s="1464"/>
      <c r="Y827" s="1464"/>
      <c r="Z827" s="1464"/>
    </row>
    <row r="828">
      <c r="A828" s="1468" t="s">
        <v>4916</v>
      </c>
      <c r="B828" s="1469">
        <v>82500.0</v>
      </c>
      <c r="C828" s="1470">
        <v>2003.0</v>
      </c>
      <c r="D828" s="1473"/>
      <c r="E828" s="1473"/>
      <c r="F828" s="1468" t="s">
        <v>4917</v>
      </c>
      <c r="G828" s="1464"/>
      <c r="H828" s="1464"/>
      <c r="I828" s="1470" t="s">
        <v>4845</v>
      </c>
      <c r="J828" s="1470" t="s">
        <v>4349</v>
      </c>
      <c r="K828" s="1470" t="s">
        <v>4349</v>
      </c>
      <c r="L828" s="1464"/>
      <c r="M828" s="1464"/>
      <c r="N828" s="1464"/>
      <c r="O828" s="1464"/>
      <c r="P828" s="1464"/>
      <c r="Q828" s="1464"/>
      <c r="R828" s="1464"/>
      <c r="S828" s="1464"/>
      <c r="T828" s="1464"/>
      <c r="U828" s="1464"/>
      <c r="V828" s="1464"/>
      <c r="W828" s="1464"/>
      <c r="X828" s="1464"/>
      <c r="Y828" s="1464"/>
      <c r="Z828" s="1464"/>
    </row>
    <row r="829">
      <c r="A829" s="1468" t="s">
        <v>4918</v>
      </c>
      <c r="B829" s="1469">
        <v>78500.0</v>
      </c>
      <c r="C829" s="1470">
        <v>1990.0</v>
      </c>
      <c r="D829" s="1473"/>
      <c r="E829" s="1473"/>
      <c r="F829" s="1479"/>
      <c r="G829" s="1464"/>
      <c r="H829" s="1464"/>
      <c r="I829" s="1470" t="s">
        <v>4845</v>
      </c>
      <c r="J829" s="1470" t="s">
        <v>4349</v>
      </c>
      <c r="K829" s="1470" t="s">
        <v>4349</v>
      </c>
      <c r="L829" s="1464"/>
      <c r="M829" s="1464"/>
      <c r="N829" s="1464"/>
      <c r="O829" s="1464"/>
      <c r="P829" s="1464"/>
      <c r="Q829" s="1464"/>
      <c r="R829" s="1464"/>
      <c r="S829" s="1464"/>
      <c r="T829" s="1464"/>
      <c r="U829" s="1464"/>
      <c r="V829" s="1464"/>
      <c r="W829" s="1464"/>
      <c r="X829" s="1464"/>
      <c r="Y829" s="1464"/>
      <c r="Z829" s="1464"/>
    </row>
    <row r="830">
      <c r="A830" s="1468" t="s">
        <v>3404</v>
      </c>
      <c r="B830" s="1469">
        <v>78000.0</v>
      </c>
      <c r="C830" s="1470">
        <v>1991.0</v>
      </c>
      <c r="D830" s="1473"/>
      <c r="E830" s="1473"/>
      <c r="F830" s="1464"/>
      <c r="G830" s="1464"/>
      <c r="H830" s="1464"/>
      <c r="I830" s="1470" t="s">
        <v>4845</v>
      </c>
      <c r="J830" s="1470" t="s">
        <v>4349</v>
      </c>
      <c r="K830" s="1470" t="s">
        <v>4349</v>
      </c>
      <c r="L830" s="1464"/>
      <c r="M830" s="1464"/>
      <c r="N830" s="1464"/>
      <c r="O830" s="1464"/>
      <c r="P830" s="1464"/>
      <c r="Q830" s="1464"/>
      <c r="R830" s="1464"/>
      <c r="S830" s="1464"/>
      <c r="T830" s="1464"/>
      <c r="U830" s="1464"/>
      <c r="V830" s="1464"/>
      <c r="W830" s="1464"/>
      <c r="X830" s="1464"/>
      <c r="Y830" s="1464"/>
      <c r="Z830" s="1464"/>
    </row>
    <row r="831">
      <c r="A831" s="1468" t="s">
        <v>4919</v>
      </c>
      <c r="B831" s="1469">
        <v>75000.0</v>
      </c>
      <c r="C831" s="1470">
        <v>1992.0</v>
      </c>
      <c r="D831" s="1473"/>
      <c r="E831" s="1473"/>
      <c r="F831" s="1464"/>
      <c r="G831" s="1464"/>
      <c r="H831" s="1464"/>
      <c r="I831" s="1470" t="s">
        <v>4845</v>
      </c>
      <c r="J831" s="1470" t="s">
        <v>4349</v>
      </c>
      <c r="K831" s="1470" t="s">
        <v>4349</v>
      </c>
      <c r="L831" s="1464"/>
      <c r="M831" s="1464"/>
      <c r="N831" s="1464"/>
      <c r="O831" s="1464"/>
      <c r="P831" s="1464"/>
      <c r="Q831" s="1464"/>
      <c r="R831" s="1464"/>
      <c r="S831" s="1464"/>
      <c r="T831" s="1464"/>
      <c r="U831" s="1464"/>
      <c r="V831" s="1464"/>
      <c r="W831" s="1464"/>
      <c r="X831" s="1464"/>
      <c r="Y831" s="1464"/>
      <c r="Z831" s="1464"/>
    </row>
    <row r="832">
      <c r="A832" s="1477" t="s">
        <v>4920</v>
      </c>
      <c r="B832" s="1475">
        <v>93000.0</v>
      </c>
      <c r="C832" s="1476">
        <v>2024.0</v>
      </c>
      <c r="D832" s="1481"/>
      <c r="E832" s="1475" t="s">
        <v>666</v>
      </c>
      <c r="F832" s="1477" t="s">
        <v>4921</v>
      </c>
      <c r="G832" s="1479"/>
      <c r="H832" s="1476" t="s">
        <v>3639</v>
      </c>
      <c r="I832" s="1476" t="s">
        <v>4845</v>
      </c>
      <c r="J832" s="1476" t="s">
        <v>3647</v>
      </c>
      <c r="K832" s="1476" t="s">
        <v>3647</v>
      </c>
      <c r="L832" s="1479"/>
      <c r="M832" s="1464"/>
      <c r="N832" s="1464"/>
      <c r="O832" s="1464"/>
      <c r="P832" s="1464"/>
      <c r="Q832" s="1464"/>
      <c r="R832" s="1464"/>
      <c r="S832" s="1464"/>
      <c r="T832" s="1464"/>
      <c r="U832" s="1464"/>
      <c r="V832" s="1464"/>
      <c r="W832" s="1464"/>
      <c r="X832" s="1464"/>
      <c r="Y832" s="1464"/>
      <c r="Z832" s="1464"/>
    </row>
    <row r="833">
      <c r="A833" s="1474" t="s">
        <v>4922</v>
      </c>
      <c r="B833" s="1475">
        <v>93000.0</v>
      </c>
      <c r="C833" s="1476">
        <v>2024.0</v>
      </c>
      <c r="D833" s="1481"/>
      <c r="E833" s="1475" t="s">
        <v>666</v>
      </c>
      <c r="F833" s="1477" t="s">
        <v>4923</v>
      </c>
      <c r="G833" s="1479"/>
      <c r="H833" s="1476" t="s">
        <v>3639</v>
      </c>
      <c r="I833" s="1476" t="s">
        <v>4845</v>
      </c>
      <c r="J833" s="1476" t="s">
        <v>3647</v>
      </c>
      <c r="K833" s="1476" t="s">
        <v>3647</v>
      </c>
      <c r="L833" s="1479"/>
      <c r="M833" s="1464"/>
      <c r="N833" s="1464"/>
      <c r="O833" s="1464"/>
      <c r="P833" s="1464"/>
      <c r="Q833" s="1464"/>
      <c r="R833" s="1464"/>
      <c r="S833" s="1464"/>
      <c r="T833" s="1464"/>
      <c r="U833" s="1464"/>
      <c r="V833" s="1464"/>
      <c r="W833" s="1464"/>
      <c r="X833" s="1464"/>
      <c r="Y833" s="1464"/>
      <c r="Z833" s="1464"/>
    </row>
    <row r="834">
      <c r="A834" s="1474" t="s">
        <v>4924</v>
      </c>
      <c r="B834" s="1475">
        <v>93000.0</v>
      </c>
      <c r="C834" s="1476">
        <v>2023.0</v>
      </c>
      <c r="D834" s="1481"/>
      <c r="E834" s="1475" t="s">
        <v>666</v>
      </c>
      <c r="F834" s="1479"/>
      <c r="G834" s="1479"/>
      <c r="H834" s="1470" t="s">
        <v>3639</v>
      </c>
      <c r="I834" s="1476" t="s">
        <v>4845</v>
      </c>
      <c r="J834" s="1476" t="s">
        <v>3647</v>
      </c>
      <c r="K834" s="1476" t="s">
        <v>3647</v>
      </c>
      <c r="L834" s="1479"/>
      <c r="M834" s="1464"/>
      <c r="N834" s="1464"/>
      <c r="O834" s="1464"/>
      <c r="P834" s="1464"/>
      <c r="Q834" s="1464"/>
      <c r="R834" s="1464"/>
      <c r="S834" s="1464"/>
      <c r="T834" s="1464"/>
      <c r="U834" s="1464"/>
      <c r="V834" s="1464"/>
      <c r="W834" s="1464"/>
      <c r="X834" s="1464"/>
      <c r="Y834" s="1464"/>
      <c r="Z834" s="1464"/>
    </row>
    <row r="835">
      <c r="A835" s="1468" t="s">
        <v>4925</v>
      </c>
      <c r="B835" s="1469">
        <v>84500.0</v>
      </c>
      <c r="C835" s="1470">
        <v>2018.0</v>
      </c>
      <c r="D835" s="1473"/>
      <c r="E835" s="1469" t="s">
        <v>666</v>
      </c>
      <c r="F835" s="1464"/>
      <c r="G835" s="1464"/>
      <c r="H835" s="1470" t="s">
        <v>3639</v>
      </c>
      <c r="I835" s="1476" t="s">
        <v>4845</v>
      </c>
      <c r="J835" s="1470" t="s">
        <v>3647</v>
      </c>
      <c r="K835" s="1470" t="s">
        <v>3647</v>
      </c>
      <c r="L835" s="1464"/>
      <c r="M835" s="1464"/>
      <c r="N835" s="1464"/>
      <c r="O835" s="1464"/>
      <c r="P835" s="1464"/>
      <c r="Q835" s="1464"/>
      <c r="R835" s="1464"/>
      <c r="S835" s="1464"/>
      <c r="T835" s="1464"/>
      <c r="U835" s="1464"/>
      <c r="V835" s="1464"/>
      <c r="W835" s="1464"/>
      <c r="X835" s="1464"/>
      <c r="Y835" s="1464"/>
      <c r="Z835" s="1464"/>
    </row>
    <row r="836">
      <c r="A836" s="1468" t="s">
        <v>4926</v>
      </c>
      <c r="B836" s="1469">
        <v>84000.0</v>
      </c>
      <c r="C836" s="1470">
        <v>2000.0</v>
      </c>
      <c r="D836" s="1473"/>
      <c r="E836" s="1473"/>
      <c r="F836" s="1464"/>
      <c r="G836" s="1464"/>
      <c r="H836" s="1464"/>
      <c r="I836" s="1476" t="s">
        <v>4845</v>
      </c>
      <c r="J836" s="1476" t="s">
        <v>4927</v>
      </c>
      <c r="K836" s="1470" t="s">
        <v>4927</v>
      </c>
      <c r="L836" s="1464"/>
      <c r="M836" s="1464"/>
      <c r="N836" s="1464"/>
      <c r="O836" s="1464"/>
      <c r="P836" s="1464"/>
      <c r="Q836" s="1464"/>
      <c r="R836" s="1464"/>
      <c r="S836" s="1464"/>
      <c r="T836" s="1464"/>
      <c r="U836" s="1464"/>
      <c r="V836" s="1464"/>
      <c r="W836" s="1464"/>
      <c r="X836" s="1464"/>
      <c r="Y836" s="1464"/>
      <c r="Z836" s="1464"/>
    </row>
    <row r="837">
      <c r="A837" s="1468" t="s">
        <v>3365</v>
      </c>
      <c r="B837" s="1469">
        <v>84000.0</v>
      </c>
      <c r="C837" s="1470">
        <v>1999.0</v>
      </c>
      <c r="D837" s="1473"/>
      <c r="E837" s="1473"/>
      <c r="F837" s="1464"/>
      <c r="G837" s="1464"/>
      <c r="H837" s="1464"/>
      <c r="I837" s="1470" t="s">
        <v>4845</v>
      </c>
      <c r="J837" s="1470" t="s">
        <v>4927</v>
      </c>
      <c r="K837" s="1470" t="s">
        <v>4927</v>
      </c>
      <c r="L837" s="1464"/>
      <c r="M837" s="1479"/>
      <c r="N837" s="1479"/>
      <c r="O837" s="1479"/>
      <c r="P837" s="1479"/>
      <c r="Q837" s="1479"/>
      <c r="R837" s="1479"/>
      <c r="S837" s="1479"/>
      <c r="T837" s="1479"/>
      <c r="U837" s="1479"/>
      <c r="V837" s="1479"/>
      <c r="W837" s="1479"/>
      <c r="X837" s="1479"/>
      <c r="Y837" s="1479"/>
      <c r="Z837" s="1479"/>
    </row>
    <row r="838">
      <c r="A838" s="1468" t="s">
        <v>4928</v>
      </c>
      <c r="B838" s="1469">
        <v>84000.0</v>
      </c>
      <c r="C838" s="1470">
        <v>2016.0</v>
      </c>
      <c r="D838" s="1473"/>
      <c r="E838" s="1473"/>
      <c r="F838" s="1464"/>
      <c r="G838" s="1464"/>
      <c r="H838" s="1464"/>
      <c r="I838" s="1470" t="s">
        <v>4845</v>
      </c>
      <c r="J838" s="1470" t="s">
        <v>3833</v>
      </c>
      <c r="K838" s="1470" t="s">
        <v>3833</v>
      </c>
      <c r="L838" s="1464"/>
      <c r="M838" s="1479"/>
      <c r="N838" s="1479"/>
      <c r="O838" s="1479"/>
      <c r="P838" s="1479"/>
      <c r="Q838" s="1479"/>
      <c r="R838" s="1479"/>
      <c r="S838" s="1479"/>
      <c r="T838" s="1479"/>
      <c r="U838" s="1479"/>
      <c r="V838" s="1479"/>
      <c r="W838" s="1479"/>
      <c r="X838" s="1479"/>
      <c r="Y838" s="1479"/>
      <c r="Z838" s="1479"/>
    </row>
    <row r="839">
      <c r="A839" s="1468" t="s">
        <v>4929</v>
      </c>
      <c r="B839" s="1469">
        <v>84000.0</v>
      </c>
      <c r="C839" s="1470">
        <v>2017.0</v>
      </c>
      <c r="D839" s="1473"/>
      <c r="E839" s="1473"/>
      <c r="F839" s="1464"/>
      <c r="G839" s="1464"/>
      <c r="H839" s="1464"/>
      <c r="I839" s="1470" t="s">
        <v>4845</v>
      </c>
      <c r="J839" s="1470" t="s">
        <v>3981</v>
      </c>
      <c r="K839" s="1470" t="s">
        <v>3981</v>
      </c>
      <c r="L839" s="1464"/>
      <c r="M839" s="1479"/>
      <c r="N839" s="1479"/>
      <c r="O839" s="1479"/>
      <c r="P839" s="1479"/>
      <c r="Q839" s="1479"/>
      <c r="R839" s="1479"/>
      <c r="S839" s="1479"/>
      <c r="T839" s="1479"/>
      <c r="U839" s="1479"/>
      <c r="V839" s="1479"/>
      <c r="W839" s="1479"/>
      <c r="X839" s="1479"/>
      <c r="Y839" s="1479"/>
      <c r="Z839" s="1479"/>
    </row>
    <row r="840">
      <c r="A840" s="1468" t="s">
        <v>3399</v>
      </c>
      <c r="B840" s="1469">
        <v>84000.0</v>
      </c>
      <c r="C840" s="1470">
        <v>2014.0</v>
      </c>
      <c r="D840" s="1473"/>
      <c r="E840" s="1473"/>
      <c r="F840" s="1464"/>
      <c r="G840" s="1464"/>
      <c r="H840" s="1464"/>
      <c r="I840" s="1470" t="s">
        <v>4845</v>
      </c>
      <c r="J840" s="1470" t="s">
        <v>3981</v>
      </c>
      <c r="K840" s="1470" t="s">
        <v>3981</v>
      </c>
      <c r="L840" s="1464"/>
      <c r="M840" s="1464"/>
      <c r="N840" s="1464"/>
      <c r="O840" s="1464"/>
      <c r="P840" s="1464"/>
      <c r="Q840" s="1464"/>
      <c r="R840" s="1464"/>
      <c r="S840" s="1464"/>
      <c r="T840" s="1464"/>
      <c r="U840" s="1464"/>
      <c r="V840" s="1464"/>
      <c r="W840" s="1464"/>
      <c r="X840" s="1464"/>
      <c r="Y840" s="1464"/>
      <c r="Z840" s="1464"/>
    </row>
    <row r="841">
      <c r="A841" s="1474" t="s">
        <v>4930</v>
      </c>
      <c r="B841" s="1475">
        <v>90000.0</v>
      </c>
      <c r="C841" s="1476">
        <v>2021.0</v>
      </c>
      <c r="D841" s="1481"/>
      <c r="E841" s="1475" t="s">
        <v>666</v>
      </c>
      <c r="F841" s="1479"/>
      <c r="G841" s="1479"/>
      <c r="H841" s="1479"/>
      <c r="I841" s="1476" t="s">
        <v>4845</v>
      </c>
      <c r="J841" s="1480" t="s">
        <v>3658</v>
      </c>
      <c r="K841" s="1480" t="s">
        <v>3658</v>
      </c>
      <c r="L841" s="1464"/>
      <c r="M841" s="1464"/>
      <c r="N841" s="1464"/>
      <c r="O841" s="1464"/>
      <c r="P841" s="1464"/>
      <c r="Q841" s="1464"/>
      <c r="R841" s="1464"/>
      <c r="S841" s="1464"/>
      <c r="T841" s="1464"/>
      <c r="U841" s="1464"/>
      <c r="V841" s="1464"/>
      <c r="W841" s="1464"/>
      <c r="X841" s="1464"/>
      <c r="Y841" s="1464"/>
      <c r="Z841" s="1464"/>
    </row>
    <row r="842">
      <c r="A842" s="1468" t="s">
        <v>4931</v>
      </c>
      <c r="B842" s="1469">
        <v>84200.0</v>
      </c>
      <c r="C842" s="1470">
        <v>2019.0</v>
      </c>
      <c r="D842" s="1473"/>
      <c r="E842" s="1469" t="s">
        <v>3637</v>
      </c>
      <c r="F842" s="1464"/>
      <c r="G842" s="1464"/>
      <c r="H842" s="1464"/>
      <c r="I842" s="1470" t="s">
        <v>4845</v>
      </c>
      <c r="J842" s="1470" t="s">
        <v>3651</v>
      </c>
      <c r="K842" s="1470" t="s">
        <v>3651</v>
      </c>
      <c r="L842" s="1464"/>
      <c r="M842" s="1464"/>
      <c r="N842" s="1464"/>
      <c r="O842" s="1464"/>
      <c r="P842" s="1464"/>
      <c r="Q842" s="1464"/>
      <c r="R842" s="1464"/>
      <c r="S842" s="1464"/>
      <c r="T842" s="1464"/>
      <c r="U842" s="1464"/>
      <c r="V842" s="1464"/>
      <c r="W842" s="1464"/>
      <c r="X842" s="1464"/>
      <c r="Y842" s="1464"/>
      <c r="Z842" s="1464"/>
    </row>
    <row r="843">
      <c r="A843" s="1468" t="s">
        <v>4932</v>
      </c>
      <c r="B843" s="1469">
        <v>84200.0</v>
      </c>
      <c r="C843" s="1470">
        <v>2019.0</v>
      </c>
      <c r="D843" s="1473"/>
      <c r="E843" s="1469" t="s">
        <v>3637</v>
      </c>
      <c r="F843" s="1464"/>
      <c r="G843" s="1464"/>
      <c r="H843" s="1464"/>
      <c r="I843" s="1470" t="s">
        <v>4845</v>
      </c>
      <c r="J843" s="1470" t="s">
        <v>3651</v>
      </c>
      <c r="K843" s="1470" t="s">
        <v>3651</v>
      </c>
      <c r="L843" s="1464"/>
      <c r="M843" s="1464"/>
      <c r="N843" s="1464"/>
      <c r="O843" s="1464"/>
      <c r="P843" s="1464"/>
      <c r="Q843" s="1464"/>
      <c r="R843" s="1464"/>
      <c r="S843" s="1464"/>
      <c r="T843" s="1464"/>
      <c r="U843" s="1464"/>
      <c r="V843" s="1464"/>
      <c r="W843" s="1464"/>
      <c r="X843" s="1464"/>
      <c r="Y843" s="1464"/>
      <c r="Z843" s="1464"/>
    </row>
    <row r="844">
      <c r="A844" s="1468" t="s">
        <v>3429</v>
      </c>
      <c r="B844" s="1469">
        <v>80000.0</v>
      </c>
      <c r="C844" s="1470">
        <v>2019.0</v>
      </c>
      <c r="D844" s="1469" t="s">
        <v>3636</v>
      </c>
      <c r="E844" s="1469" t="s">
        <v>3637</v>
      </c>
      <c r="F844" s="1479"/>
      <c r="G844" s="1464"/>
      <c r="H844" s="1464"/>
      <c r="I844" s="1470" t="s">
        <v>4845</v>
      </c>
      <c r="J844" s="1470" t="s">
        <v>3651</v>
      </c>
      <c r="K844" s="1470" t="s">
        <v>3651</v>
      </c>
      <c r="L844" s="1464"/>
      <c r="M844" s="1464"/>
      <c r="N844" s="1464"/>
      <c r="O844" s="1464"/>
      <c r="P844" s="1464"/>
      <c r="Q844" s="1464"/>
      <c r="R844" s="1464"/>
      <c r="S844" s="1464"/>
      <c r="T844" s="1464"/>
      <c r="U844" s="1464"/>
      <c r="V844" s="1464"/>
      <c r="W844" s="1464"/>
      <c r="X844" s="1464"/>
      <c r="Y844" s="1464"/>
      <c r="Z844" s="1464"/>
    </row>
    <row r="845">
      <c r="A845" s="1468" t="s">
        <v>3360</v>
      </c>
      <c r="B845" s="1469">
        <v>80000.0</v>
      </c>
      <c r="C845" s="1470">
        <v>2019.0</v>
      </c>
      <c r="D845" s="1469" t="s">
        <v>3636</v>
      </c>
      <c r="E845" s="1469" t="s">
        <v>3637</v>
      </c>
      <c r="F845" s="1464"/>
      <c r="G845" s="1464"/>
      <c r="H845" s="1464"/>
      <c r="I845" s="1476" t="s">
        <v>4845</v>
      </c>
      <c r="J845" s="1472" t="s">
        <v>3651</v>
      </c>
      <c r="K845" s="1470" t="s">
        <v>3651</v>
      </c>
      <c r="L845" s="1464"/>
      <c r="M845" s="1464"/>
      <c r="N845" s="1464"/>
      <c r="O845" s="1464"/>
      <c r="P845" s="1464"/>
      <c r="Q845" s="1464"/>
      <c r="R845" s="1464"/>
      <c r="S845" s="1464"/>
      <c r="T845" s="1464"/>
      <c r="U845" s="1464"/>
      <c r="V845" s="1464"/>
      <c r="W845" s="1464"/>
      <c r="X845" s="1464"/>
      <c r="Y845" s="1464"/>
      <c r="Z845" s="1464"/>
    </row>
    <row r="846">
      <c r="A846" s="1474" t="s">
        <v>4933</v>
      </c>
      <c r="B846" s="1475">
        <v>86000.0</v>
      </c>
      <c r="C846" s="1476">
        <v>2022.0</v>
      </c>
      <c r="D846" s="1481"/>
      <c r="E846" s="1475" t="s">
        <v>666</v>
      </c>
      <c r="F846" s="1477" t="s">
        <v>4934</v>
      </c>
      <c r="G846" s="1479"/>
      <c r="H846" s="1470" t="s">
        <v>3639</v>
      </c>
      <c r="I846" s="1476" t="s">
        <v>4845</v>
      </c>
      <c r="J846" s="1476" t="s">
        <v>3976</v>
      </c>
      <c r="K846" s="1476" t="s">
        <v>4935</v>
      </c>
      <c r="L846" s="1479"/>
      <c r="M846" s="1464"/>
      <c r="N846" s="1464"/>
      <c r="O846" s="1464"/>
      <c r="P846" s="1464"/>
      <c r="Q846" s="1464"/>
      <c r="R846" s="1464"/>
      <c r="S846" s="1464"/>
      <c r="T846" s="1464"/>
      <c r="U846" s="1464"/>
      <c r="V846" s="1464"/>
      <c r="W846" s="1464"/>
      <c r="X846" s="1464"/>
      <c r="Y846" s="1464"/>
      <c r="Z846" s="1464"/>
    </row>
    <row r="847">
      <c r="A847" s="1474" t="s">
        <v>4936</v>
      </c>
      <c r="B847" s="1475">
        <v>86000.0</v>
      </c>
      <c r="C847" s="1476">
        <v>2022.0</v>
      </c>
      <c r="D847" s="1481"/>
      <c r="E847" s="1475" t="s">
        <v>666</v>
      </c>
      <c r="F847" s="1477" t="s">
        <v>4934</v>
      </c>
      <c r="G847" s="1479"/>
      <c r="H847" s="1470" t="s">
        <v>3639</v>
      </c>
      <c r="I847" s="1476" t="s">
        <v>4845</v>
      </c>
      <c r="J847" s="1476" t="s">
        <v>3976</v>
      </c>
      <c r="K847" s="1476" t="s">
        <v>4935</v>
      </c>
      <c r="L847" s="1479"/>
      <c r="M847" s="1464"/>
      <c r="N847" s="1464"/>
      <c r="O847" s="1464"/>
      <c r="P847" s="1464"/>
      <c r="Q847" s="1464"/>
      <c r="R847" s="1464"/>
      <c r="S847" s="1464"/>
      <c r="T847" s="1464"/>
      <c r="U847" s="1464"/>
      <c r="V847" s="1464"/>
      <c r="W847" s="1464"/>
      <c r="X847" s="1464"/>
      <c r="Y847" s="1464"/>
      <c r="Z847" s="1464"/>
    </row>
    <row r="848">
      <c r="A848" s="1474" t="s">
        <v>4937</v>
      </c>
      <c r="B848" s="1475">
        <v>86000.0</v>
      </c>
      <c r="C848" s="1476">
        <v>2022.0</v>
      </c>
      <c r="D848" s="1481"/>
      <c r="E848" s="1475" t="s">
        <v>666</v>
      </c>
      <c r="F848" s="1477" t="s">
        <v>4934</v>
      </c>
      <c r="G848" s="1464"/>
      <c r="H848" s="1470" t="s">
        <v>3639</v>
      </c>
      <c r="I848" s="1476" t="s">
        <v>4845</v>
      </c>
      <c r="J848" s="1476" t="s">
        <v>3976</v>
      </c>
      <c r="K848" s="1476" t="s">
        <v>4935</v>
      </c>
      <c r="L848" s="1479"/>
      <c r="M848" s="1464"/>
      <c r="N848" s="1464"/>
      <c r="O848" s="1464"/>
      <c r="P848" s="1464"/>
      <c r="Q848" s="1464"/>
      <c r="R848" s="1464"/>
      <c r="S848" s="1464"/>
      <c r="T848" s="1464"/>
      <c r="U848" s="1464"/>
      <c r="V848" s="1464"/>
      <c r="W848" s="1464"/>
      <c r="X848" s="1464"/>
      <c r="Y848" s="1464"/>
      <c r="Z848" s="1464"/>
    </row>
    <row r="849">
      <c r="A849" s="1474" t="s">
        <v>4938</v>
      </c>
      <c r="B849" s="1475">
        <v>86000.0</v>
      </c>
      <c r="C849" s="1476">
        <v>2022.0</v>
      </c>
      <c r="D849" s="1481"/>
      <c r="E849" s="1475" t="s">
        <v>666</v>
      </c>
      <c r="F849" s="1477" t="s">
        <v>4934</v>
      </c>
      <c r="G849" s="1479"/>
      <c r="H849" s="1470" t="s">
        <v>3639</v>
      </c>
      <c r="I849" s="1476" t="s">
        <v>4845</v>
      </c>
      <c r="J849" s="1476" t="s">
        <v>3976</v>
      </c>
      <c r="K849" s="1476" t="s">
        <v>4935</v>
      </c>
      <c r="L849" s="1464"/>
      <c r="M849" s="1464"/>
      <c r="N849" s="1464"/>
      <c r="O849" s="1464"/>
      <c r="P849" s="1464"/>
      <c r="Q849" s="1464"/>
      <c r="R849" s="1464"/>
      <c r="S849" s="1464"/>
      <c r="T849" s="1464"/>
      <c r="U849" s="1464"/>
      <c r="V849" s="1464"/>
      <c r="W849" s="1464"/>
      <c r="X849" s="1464"/>
      <c r="Y849" s="1464"/>
      <c r="Z849" s="1464"/>
    </row>
    <row r="850">
      <c r="A850" s="1468" t="s">
        <v>4939</v>
      </c>
      <c r="B850" s="1469">
        <v>86000.0</v>
      </c>
      <c r="C850" s="1470">
        <v>2022.0</v>
      </c>
      <c r="D850" s="1473"/>
      <c r="E850" s="1469" t="s">
        <v>666</v>
      </c>
      <c r="F850" s="1477" t="s">
        <v>4934</v>
      </c>
      <c r="G850" s="1479"/>
      <c r="H850" s="1470" t="s">
        <v>3639</v>
      </c>
      <c r="I850" s="1470" t="s">
        <v>4845</v>
      </c>
      <c r="J850" s="1470" t="s">
        <v>3976</v>
      </c>
      <c r="K850" s="1470" t="s">
        <v>4935</v>
      </c>
      <c r="L850" s="1464"/>
      <c r="M850" s="1464"/>
      <c r="N850" s="1464"/>
      <c r="O850" s="1464"/>
      <c r="P850" s="1464"/>
      <c r="Q850" s="1464"/>
      <c r="R850" s="1464"/>
      <c r="S850" s="1464"/>
      <c r="T850" s="1464"/>
      <c r="U850" s="1464"/>
      <c r="V850" s="1464"/>
      <c r="W850" s="1464"/>
      <c r="X850" s="1464"/>
      <c r="Y850" s="1464"/>
      <c r="Z850" s="1464"/>
    </row>
    <row r="851">
      <c r="A851" s="1468" t="s">
        <v>3401</v>
      </c>
      <c r="B851" s="1469">
        <v>84000.0</v>
      </c>
      <c r="C851" s="1470">
        <v>2016.0</v>
      </c>
      <c r="D851" s="1464"/>
      <c r="E851" s="1464"/>
      <c r="F851" s="1464"/>
      <c r="G851" s="1464"/>
      <c r="H851" s="1464"/>
      <c r="I851" s="1470" t="s">
        <v>4845</v>
      </c>
      <c r="J851" s="1470" t="s">
        <v>3976</v>
      </c>
      <c r="K851" s="1476" t="s">
        <v>3976</v>
      </c>
      <c r="L851" s="1479"/>
      <c r="M851" s="1464"/>
      <c r="N851" s="1464"/>
      <c r="O851" s="1464"/>
      <c r="P851" s="1464"/>
      <c r="Q851" s="1464"/>
      <c r="R851" s="1464"/>
      <c r="S851" s="1464"/>
      <c r="T851" s="1464"/>
      <c r="U851" s="1464"/>
      <c r="V851" s="1464"/>
      <c r="W851" s="1464"/>
      <c r="X851" s="1464"/>
      <c r="Y851" s="1464"/>
      <c r="Z851" s="1464"/>
    </row>
    <row r="852">
      <c r="A852" s="1511" t="s">
        <v>4940</v>
      </c>
      <c r="B852" s="1512"/>
      <c r="C852" s="1512"/>
      <c r="D852" s="1512"/>
      <c r="E852" s="1512"/>
      <c r="F852" s="1512"/>
      <c r="G852" s="1464"/>
      <c r="H852" s="1464"/>
      <c r="I852" s="1464"/>
      <c r="J852" s="1470" t="s">
        <v>1611</v>
      </c>
      <c r="K852" s="1464"/>
      <c r="L852" s="1464"/>
      <c r="M852" s="1464"/>
      <c r="N852" s="1464"/>
      <c r="O852" s="1464"/>
      <c r="P852" s="1464"/>
      <c r="Q852" s="1464"/>
      <c r="R852" s="1464"/>
      <c r="S852" s="1464"/>
      <c r="T852" s="1464"/>
      <c r="U852" s="1464"/>
      <c r="V852" s="1464"/>
      <c r="W852" s="1464"/>
      <c r="X852" s="1464"/>
      <c r="Y852" s="1464"/>
      <c r="Z852" s="1464"/>
    </row>
    <row r="853">
      <c r="A853" s="1511" t="s">
        <v>4849</v>
      </c>
      <c r="B853" s="1512"/>
      <c r="C853" s="1512"/>
      <c r="D853" s="1512"/>
      <c r="E853" s="1512"/>
      <c r="F853" s="1512"/>
      <c r="G853" s="1464"/>
      <c r="H853" s="1464"/>
      <c r="I853" s="1464"/>
      <c r="J853" s="1470" t="s">
        <v>1611</v>
      </c>
      <c r="K853" s="1464"/>
      <c r="L853" s="1464"/>
      <c r="M853" s="1464"/>
      <c r="N853" s="1464"/>
      <c r="O853" s="1464"/>
      <c r="P853" s="1464"/>
      <c r="Q853" s="1464"/>
      <c r="R853" s="1464"/>
      <c r="S853" s="1464"/>
      <c r="T853" s="1464"/>
      <c r="U853" s="1464"/>
      <c r="V853" s="1464"/>
      <c r="W853" s="1464"/>
      <c r="X853" s="1464"/>
      <c r="Y853" s="1464"/>
      <c r="Z853" s="1464"/>
    </row>
    <row r="854">
      <c r="A854" s="1511" t="s">
        <v>4941</v>
      </c>
      <c r="B854" s="1512"/>
      <c r="C854" s="1512"/>
      <c r="D854" s="1512"/>
      <c r="E854" s="1512"/>
      <c r="F854" s="1512"/>
      <c r="G854" s="1464"/>
      <c r="H854" s="1464"/>
      <c r="I854" s="1464"/>
      <c r="J854" s="1470" t="s">
        <v>1611</v>
      </c>
      <c r="K854" s="1464"/>
      <c r="L854" s="1464"/>
      <c r="M854" s="1479"/>
      <c r="N854" s="1479"/>
      <c r="O854" s="1479"/>
      <c r="P854" s="1479"/>
      <c r="Q854" s="1479"/>
      <c r="R854" s="1479"/>
      <c r="S854" s="1479"/>
      <c r="T854" s="1479"/>
      <c r="U854" s="1479"/>
      <c r="V854" s="1479"/>
      <c r="W854" s="1479"/>
      <c r="X854" s="1479"/>
      <c r="Y854" s="1479"/>
      <c r="Z854" s="1479"/>
    </row>
    <row r="855">
      <c r="A855" s="1511" t="s">
        <v>4137</v>
      </c>
      <c r="B855" s="1512"/>
      <c r="C855" s="1512"/>
      <c r="D855" s="1512"/>
      <c r="E855" s="1512"/>
      <c r="F855" s="1512"/>
      <c r="G855" s="1464"/>
      <c r="H855" s="1464"/>
      <c r="I855" s="1464"/>
      <c r="J855" s="1470" t="s">
        <v>1611</v>
      </c>
      <c r="K855" s="1464"/>
      <c r="L855" s="1464"/>
      <c r="M855" s="1464"/>
      <c r="N855" s="1464"/>
      <c r="O855" s="1464"/>
      <c r="P855" s="1464"/>
      <c r="Q855" s="1464"/>
      <c r="R855" s="1464"/>
      <c r="S855" s="1464"/>
      <c r="T855" s="1464"/>
      <c r="U855" s="1464"/>
      <c r="V855" s="1464"/>
      <c r="W855" s="1464"/>
      <c r="X855" s="1464"/>
      <c r="Y855" s="1464"/>
      <c r="Z855" s="1464"/>
    </row>
    <row r="856">
      <c r="A856" s="1511" t="s">
        <v>4022</v>
      </c>
      <c r="B856" s="1512"/>
      <c r="C856" s="1512"/>
      <c r="D856" s="1512"/>
      <c r="E856" s="1513" t="s">
        <v>1611</v>
      </c>
      <c r="F856" s="1512"/>
      <c r="G856" s="1464"/>
      <c r="H856" s="1464"/>
      <c r="I856" s="1464"/>
      <c r="J856" s="1464"/>
      <c r="K856" s="1464"/>
      <c r="L856" s="1464"/>
      <c r="M856" s="1464"/>
      <c r="N856" s="1464"/>
      <c r="O856" s="1464"/>
      <c r="P856" s="1464"/>
      <c r="Q856" s="1464"/>
      <c r="R856" s="1464"/>
      <c r="S856" s="1464"/>
      <c r="T856" s="1464"/>
      <c r="U856" s="1464"/>
      <c r="V856" s="1464"/>
      <c r="W856" s="1464"/>
      <c r="X856" s="1464"/>
      <c r="Y856" s="1464"/>
      <c r="Z856" s="1464"/>
    </row>
    <row r="857">
      <c r="A857" s="1511" t="s">
        <v>3192</v>
      </c>
      <c r="B857" s="1512"/>
      <c r="C857" s="1512"/>
      <c r="D857" s="1512"/>
      <c r="E857" s="1513" t="s">
        <v>1611</v>
      </c>
      <c r="F857" s="1512"/>
      <c r="G857" s="1464"/>
      <c r="H857" s="1464"/>
      <c r="I857" s="1464"/>
      <c r="J857" s="1470" t="s">
        <v>1611</v>
      </c>
      <c r="K857" s="1464"/>
      <c r="L857" s="1470" t="s">
        <v>70</v>
      </c>
      <c r="M857" s="1464"/>
      <c r="N857" s="1464"/>
      <c r="O857" s="1464"/>
      <c r="P857" s="1464"/>
      <c r="Q857" s="1464"/>
      <c r="R857" s="1464"/>
      <c r="S857" s="1464"/>
      <c r="T857" s="1464"/>
      <c r="U857" s="1464"/>
      <c r="V857" s="1464"/>
      <c r="W857" s="1464"/>
      <c r="X857" s="1464"/>
      <c r="Y857" s="1464"/>
      <c r="Z857" s="1464"/>
    </row>
    <row r="858">
      <c r="A858" s="1511" t="s">
        <v>4942</v>
      </c>
      <c r="B858" s="1512"/>
      <c r="C858" s="1512"/>
      <c r="D858" s="1512"/>
      <c r="E858" s="1512"/>
      <c r="F858" s="1512"/>
      <c r="G858" s="1464"/>
      <c r="H858" s="1464"/>
      <c r="I858" s="1464"/>
      <c r="J858" s="1470" t="s">
        <v>1611</v>
      </c>
      <c r="K858" s="1464"/>
      <c r="L858" s="1464"/>
      <c r="M858" s="1464"/>
      <c r="N858" s="1464"/>
      <c r="O858" s="1464"/>
      <c r="P858" s="1464"/>
      <c r="Q858" s="1464"/>
      <c r="R858" s="1464"/>
      <c r="S858" s="1464"/>
      <c r="T858" s="1464"/>
      <c r="U858" s="1464"/>
      <c r="V858" s="1464"/>
      <c r="W858" s="1464"/>
      <c r="X858" s="1464"/>
      <c r="Y858" s="1464"/>
      <c r="Z858" s="1464"/>
    </row>
    <row r="859">
      <c r="A859" s="1511" t="s">
        <v>4775</v>
      </c>
      <c r="B859" s="1512"/>
      <c r="C859" s="1512"/>
      <c r="D859" s="1512"/>
      <c r="E859" s="1512"/>
      <c r="F859" s="1512"/>
      <c r="G859" s="1464"/>
      <c r="H859" s="1464"/>
      <c r="I859" s="1464"/>
      <c r="J859" s="1470" t="s">
        <v>1611</v>
      </c>
      <c r="K859" s="1464"/>
      <c r="L859" s="1464"/>
      <c r="M859" s="1464"/>
      <c r="N859" s="1464"/>
      <c r="O859" s="1464"/>
      <c r="P859" s="1464"/>
      <c r="Q859" s="1464"/>
      <c r="R859" s="1464"/>
      <c r="S859" s="1464"/>
      <c r="T859" s="1464"/>
      <c r="U859" s="1464"/>
      <c r="V859" s="1464"/>
      <c r="W859" s="1464"/>
      <c r="X859" s="1464"/>
      <c r="Y859" s="1464"/>
      <c r="Z859" s="1464"/>
    </row>
    <row r="860">
      <c r="A860" s="1511" t="s">
        <v>3797</v>
      </c>
      <c r="B860" s="1512"/>
      <c r="C860" s="1512"/>
      <c r="D860" s="1512"/>
      <c r="E860" s="1513" t="s">
        <v>1611</v>
      </c>
      <c r="F860" s="1512"/>
      <c r="G860" s="1464"/>
      <c r="H860" s="1464"/>
      <c r="I860" s="1464"/>
      <c r="J860" s="1470" t="s">
        <v>1611</v>
      </c>
      <c r="K860" s="1464"/>
      <c r="L860" s="1479"/>
      <c r="M860" s="1479"/>
      <c r="N860" s="1479"/>
      <c r="O860" s="1479"/>
      <c r="P860" s="1479"/>
      <c r="Q860" s="1479"/>
      <c r="R860" s="1479"/>
      <c r="S860" s="1479"/>
      <c r="T860" s="1479"/>
      <c r="U860" s="1479"/>
      <c r="V860" s="1479"/>
      <c r="W860" s="1479"/>
      <c r="X860" s="1479"/>
      <c r="Y860" s="1479"/>
      <c r="Z860" s="1479"/>
    </row>
    <row r="861">
      <c r="A861" s="1511" t="s">
        <v>4943</v>
      </c>
      <c r="B861" s="1512"/>
      <c r="C861" s="1512"/>
      <c r="D861" s="1512"/>
      <c r="E861" s="1512"/>
      <c r="F861" s="1512"/>
      <c r="G861" s="1464"/>
      <c r="H861" s="1464"/>
      <c r="I861" s="1464"/>
      <c r="J861" s="1470" t="s">
        <v>1611</v>
      </c>
      <c r="K861" s="1464"/>
      <c r="L861" s="1464"/>
      <c r="M861" s="1479"/>
      <c r="N861" s="1479"/>
      <c r="O861" s="1479"/>
      <c r="P861" s="1479"/>
      <c r="Q861" s="1479"/>
      <c r="R861" s="1479"/>
      <c r="S861" s="1479"/>
      <c r="T861" s="1479"/>
      <c r="U861" s="1479"/>
      <c r="V861" s="1479"/>
      <c r="W861" s="1479"/>
      <c r="X861" s="1479"/>
      <c r="Y861" s="1479"/>
      <c r="Z861" s="1479"/>
    </row>
    <row r="862">
      <c r="A862" s="1511" t="s">
        <v>748</v>
      </c>
      <c r="B862" s="1512"/>
      <c r="C862" s="1512"/>
      <c r="D862" s="1512"/>
      <c r="E862" s="1512"/>
      <c r="F862" s="1512"/>
      <c r="G862" s="1464"/>
      <c r="H862" s="1464"/>
      <c r="I862" s="1464"/>
      <c r="J862" s="1470" t="s">
        <v>1611</v>
      </c>
      <c r="K862" s="1464"/>
      <c r="L862" s="1464"/>
      <c r="M862" s="1479"/>
      <c r="N862" s="1479"/>
      <c r="O862" s="1479"/>
      <c r="P862" s="1479"/>
      <c r="Q862" s="1479"/>
      <c r="R862" s="1479"/>
      <c r="S862" s="1479"/>
      <c r="T862" s="1479"/>
      <c r="U862" s="1479"/>
      <c r="V862" s="1479"/>
      <c r="W862" s="1479"/>
      <c r="X862" s="1479"/>
      <c r="Y862" s="1479"/>
      <c r="Z862" s="1479"/>
    </row>
    <row r="863">
      <c r="A863" s="1468" t="s">
        <v>4944</v>
      </c>
      <c r="B863" s="1469" t="s">
        <v>1611</v>
      </c>
      <c r="C863" s="1470" t="s">
        <v>1611</v>
      </c>
      <c r="D863" s="1481"/>
      <c r="E863" s="1469" t="s">
        <v>666</v>
      </c>
      <c r="F863" s="1471" t="s">
        <v>4945</v>
      </c>
      <c r="G863" s="1464"/>
      <c r="H863" s="1476" t="s">
        <v>3639</v>
      </c>
      <c r="I863" s="1516"/>
      <c r="J863" s="1476" t="s">
        <v>748</v>
      </c>
      <c r="K863" s="1470" t="s">
        <v>2935</v>
      </c>
      <c r="L863" s="1479"/>
      <c r="M863" s="1464"/>
      <c r="N863" s="1464"/>
      <c r="O863" s="1464"/>
      <c r="P863" s="1464"/>
      <c r="Q863" s="1464"/>
      <c r="R863" s="1464"/>
      <c r="S863" s="1464"/>
      <c r="T863" s="1464"/>
      <c r="U863" s="1464"/>
      <c r="V863" s="1464"/>
      <c r="W863" s="1464"/>
      <c r="X863" s="1464"/>
      <c r="Y863" s="1464"/>
      <c r="Z863" s="1464"/>
    </row>
    <row r="864">
      <c r="A864" s="1511" t="s">
        <v>3646</v>
      </c>
      <c r="B864" s="1512"/>
      <c r="C864" s="1512"/>
      <c r="D864" s="1512"/>
      <c r="E864" s="1513" t="s">
        <v>1611</v>
      </c>
      <c r="F864" s="1512"/>
      <c r="G864" s="1464"/>
      <c r="H864" s="1464"/>
      <c r="I864" s="1464"/>
      <c r="J864" s="1470" t="s">
        <v>1611</v>
      </c>
      <c r="K864" s="1464"/>
      <c r="L864" s="1464"/>
      <c r="M864" s="1479"/>
      <c r="N864" s="1479"/>
      <c r="O864" s="1479"/>
      <c r="P864" s="1479"/>
      <c r="Q864" s="1479"/>
      <c r="R864" s="1479"/>
      <c r="S864" s="1479"/>
      <c r="T864" s="1479"/>
      <c r="U864" s="1479"/>
      <c r="V864" s="1479"/>
      <c r="W864" s="1479"/>
      <c r="X864" s="1479"/>
      <c r="Y864" s="1479"/>
      <c r="Z864" s="1479"/>
    </row>
    <row r="865">
      <c r="A865" s="1511" t="s">
        <v>761</v>
      </c>
      <c r="B865" s="1512"/>
      <c r="C865" s="1512"/>
      <c r="D865" s="1512"/>
      <c r="E865" s="1513" t="s">
        <v>1611</v>
      </c>
      <c r="F865" s="1512"/>
      <c r="G865" s="1464"/>
      <c r="H865" s="1464"/>
      <c r="I865" s="1464"/>
      <c r="J865" s="1470" t="s">
        <v>1611</v>
      </c>
      <c r="K865" s="1464"/>
      <c r="L865" s="1479"/>
      <c r="M865" s="1479"/>
      <c r="N865" s="1479"/>
      <c r="O865" s="1479"/>
      <c r="P865" s="1479"/>
      <c r="Q865" s="1479"/>
      <c r="R865" s="1479"/>
      <c r="S865" s="1479"/>
      <c r="T865" s="1479"/>
      <c r="U865" s="1479"/>
      <c r="V865" s="1479"/>
      <c r="W865" s="1479"/>
      <c r="X865" s="1479"/>
      <c r="Y865" s="1479"/>
      <c r="Z865" s="1479"/>
    </row>
    <row r="866">
      <c r="A866" s="1511" t="s">
        <v>4238</v>
      </c>
      <c r="B866" s="1512"/>
      <c r="C866" s="1512"/>
      <c r="D866" s="1512"/>
      <c r="E866" s="1513" t="s">
        <v>1611</v>
      </c>
      <c r="F866" s="1512"/>
      <c r="G866" s="1464"/>
      <c r="H866" s="1464"/>
      <c r="I866" s="1464"/>
      <c r="J866" s="1470" t="s">
        <v>1611</v>
      </c>
      <c r="K866" s="1464"/>
      <c r="L866" s="1464"/>
      <c r="M866" s="1479"/>
      <c r="N866" s="1479"/>
      <c r="O866" s="1479"/>
      <c r="P866" s="1479"/>
      <c r="Q866" s="1479"/>
      <c r="R866" s="1479"/>
      <c r="S866" s="1479"/>
      <c r="T866" s="1479"/>
      <c r="U866" s="1479"/>
      <c r="V866" s="1479"/>
      <c r="W866" s="1479"/>
      <c r="X866" s="1479"/>
      <c r="Y866" s="1479"/>
      <c r="Z866" s="1479"/>
    </row>
    <row r="867">
      <c r="A867" s="1511" t="s">
        <v>822</v>
      </c>
      <c r="B867" s="1512"/>
      <c r="C867" s="1512"/>
      <c r="D867" s="1512"/>
      <c r="E867" s="1512"/>
      <c r="F867" s="1512"/>
      <c r="G867" s="1464"/>
      <c r="H867" s="1464"/>
      <c r="I867" s="1464"/>
      <c r="J867" s="1470" t="s">
        <v>1611</v>
      </c>
      <c r="K867" s="1464"/>
      <c r="L867" s="1464"/>
      <c r="M867" s="1479"/>
      <c r="N867" s="1479"/>
      <c r="O867" s="1479"/>
      <c r="P867" s="1479"/>
      <c r="Q867" s="1479"/>
      <c r="R867" s="1479"/>
      <c r="S867" s="1479"/>
      <c r="T867" s="1479"/>
      <c r="U867" s="1479"/>
      <c r="V867" s="1479"/>
      <c r="W867" s="1479"/>
      <c r="X867" s="1479"/>
      <c r="Y867" s="1479"/>
      <c r="Z867" s="1479"/>
    </row>
    <row r="868">
      <c r="A868" s="1511" t="s">
        <v>2899</v>
      </c>
      <c r="B868" s="1512"/>
      <c r="C868" s="1512"/>
      <c r="D868" s="1512"/>
      <c r="E868" s="1513" t="s">
        <v>1611</v>
      </c>
      <c r="F868" s="1512"/>
      <c r="G868" s="1464"/>
      <c r="H868" s="1464"/>
      <c r="I868" s="1464"/>
      <c r="J868" s="1470" t="s">
        <v>1611</v>
      </c>
      <c r="K868" s="1464"/>
      <c r="L868" s="1470" t="s">
        <v>4946</v>
      </c>
      <c r="M868" s="1479"/>
      <c r="N868" s="1479"/>
      <c r="O868" s="1479"/>
      <c r="P868" s="1479"/>
      <c r="Q868" s="1479"/>
      <c r="R868" s="1479"/>
      <c r="S868" s="1479"/>
      <c r="T868" s="1479"/>
      <c r="U868" s="1479"/>
      <c r="V868" s="1479"/>
      <c r="W868" s="1479"/>
      <c r="X868" s="1479"/>
      <c r="Y868" s="1479"/>
      <c r="Z868" s="1479"/>
    </row>
    <row r="869">
      <c r="A869" s="1511" t="s">
        <v>4947</v>
      </c>
      <c r="B869" s="1517"/>
      <c r="C869" s="1512"/>
      <c r="D869" s="1512"/>
      <c r="E869" s="1513" t="s">
        <v>1611</v>
      </c>
      <c r="F869" s="1512"/>
      <c r="G869" s="1464"/>
      <c r="H869" s="1464"/>
      <c r="I869" s="1464"/>
      <c r="J869" s="1470" t="s">
        <v>1611</v>
      </c>
      <c r="K869" s="1464"/>
      <c r="L869" s="1464"/>
      <c r="M869" s="1464"/>
      <c r="N869" s="1464"/>
      <c r="O869" s="1464"/>
      <c r="P869" s="1464"/>
      <c r="Q869" s="1464"/>
      <c r="R869" s="1464"/>
      <c r="S869" s="1464"/>
      <c r="T869" s="1464"/>
      <c r="U869" s="1464"/>
      <c r="V869" s="1464"/>
      <c r="W869" s="1464"/>
      <c r="X869" s="1464"/>
      <c r="Y869" s="1464"/>
      <c r="Z869" s="1464"/>
    </row>
    <row r="870">
      <c r="A870" s="1511" t="s">
        <v>2935</v>
      </c>
      <c r="B870" s="1512"/>
      <c r="C870" s="1512"/>
      <c r="D870" s="1512"/>
      <c r="E870" s="1512"/>
      <c r="F870" s="1512"/>
      <c r="G870" s="1464"/>
      <c r="H870" s="1464"/>
      <c r="I870" s="1464"/>
      <c r="J870" s="1470" t="s">
        <v>1611</v>
      </c>
      <c r="K870" s="1464"/>
      <c r="L870" s="1464"/>
      <c r="M870" s="1464"/>
      <c r="N870" s="1464"/>
      <c r="O870" s="1464"/>
      <c r="P870" s="1464"/>
      <c r="Q870" s="1464"/>
      <c r="R870" s="1464"/>
      <c r="S870" s="1464"/>
      <c r="T870" s="1464"/>
      <c r="U870" s="1464"/>
      <c r="V870" s="1464"/>
      <c r="W870" s="1464"/>
      <c r="X870" s="1464"/>
      <c r="Y870" s="1464"/>
      <c r="Z870" s="1464"/>
    </row>
    <row r="871">
      <c r="A871" s="1511" t="s">
        <v>4948</v>
      </c>
      <c r="B871" s="1512"/>
      <c r="C871" s="1512"/>
      <c r="D871" s="1512"/>
      <c r="E871" s="1512"/>
      <c r="F871" s="1512"/>
      <c r="G871" s="1464"/>
      <c r="H871" s="1464"/>
      <c r="I871" s="1464"/>
      <c r="J871" s="1470" t="s">
        <v>1611</v>
      </c>
      <c r="K871" s="1464"/>
      <c r="L871" s="1464"/>
      <c r="M871" s="1464"/>
      <c r="N871" s="1464"/>
      <c r="O871" s="1464"/>
      <c r="P871" s="1464"/>
      <c r="Q871" s="1464"/>
      <c r="R871" s="1464"/>
      <c r="S871" s="1464"/>
      <c r="T871" s="1464"/>
      <c r="U871" s="1464"/>
      <c r="V871" s="1464"/>
      <c r="W871" s="1464"/>
      <c r="X871" s="1464"/>
      <c r="Y871" s="1464"/>
      <c r="Z871" s="1464"/>
    </row>
    <row r="872">
      <c r="A872" s="1511" t="s">
        <v>4324</v>
      </c>
      <c r="B872" s="1512"/>
      <c r="C872" s="1512"/>
      <c r="D872" s="1512"/>
      <c r="E872" s="1512"/>
      <c r="F872" s="1512"/>
      <c r="G872" s="1464"/>
      <c r="H872" s="1464"/>
      <c r="I872" s="1464"/>
      <c r="J872" s="1470" t="s">
        <v>1611</v>
      </c>
      <c r="K872" s="1464"/>
      <c r="L872" s="1479"/>
      <c r="M872" s="1464"/>
      <c r="N872" s="1464"/>
      <c r="O872" s="1464"/>
      <c r="P872" s="1464"/>
      <c r="Q872" s="1464"/>
      <c r="R872" s="1464"/>
      <c r="S872" s="1464"/>
      <c r="T872" s="1464"/>
      <c r="U872" s="1464"/>
      <c r="V872" s="1464"/>
      <c r="W872" s="1464"/>
      <c r="X872" s="1464"/>
      <c r="Y872" s="1464"/>
      <c r="Z872" s="1464"/>
    </row>
    <row r="873">
      <c r="A873" s="1511" t="s">
        <v>4215</v>
      </c>
      <c r="B873" s="1512"/>
      <c r="C873" s="1512"/>
      <c r="D873" s="1512"/>
      <c r="E873" s="1512"/>
      <c r="F873" s="1512"/>
      <c r="G873" s="1464"/>
      <c r="H873" s="1464"/>
      <c r="I873" s="1464"/>
      <c r="J873" s="1470" t="s">
        <v>1611</v>
      </c>
      <c r="K873" s="1464"/>
      <c r="L873" s="1464"/>
      <c r="M873" s="1464"/>
      <c r="N873" s="1464"/>
      <c r="O873" s="1464"/>
      <c r="P873" s="1464"/>
      <c r="Q873" s="1464"/>
      <c r="R873" s="1464"/>
      <c r="S873" s="1464"/>
      <c r="T873" s="1464"/>
      <c r="U873" s="1464"/>
      <c r="V873" s="1464"/>
      <c r="W873" s="1464"/>
      <c r="X873" s="1464"/>
      <c r="Y873" s="1464"/>
      <c r="Z873" s="1464"/>
    </row>
    <row r="874">
      <c r="A874" s="1511" t="s">
        <v>4949</v>
      </c>
      <c r="B874" s="1512"/>
      <c r="C874" s="1512"/>
      <c r="D874" s="1512"/>
      <c r="E874" s="1513" t="s">
        <v>1611</v>
      </c>
      <c r="F874" s="1512"/>
      <c r="G874" s="1464"/>
      <c r="H874" s="1464"/>
      <c r="I874" s="1464"/>
      <c r="J874" s="1470" t="s">
        <v>1611</v>
      </c>
      <c r="K874" s="1464"/>
      <c r="L874" s="1479"/>
      <c r="M874" s="1464"/>
      <c r="N874" s="1464"/>
      <c r="O874" s="1464"/>
      <c r="P874" s="1464"/>
      <c r="Q874" s="1464"/>
      <c r="R874" s="1464"/>
      <c r="S874" s="1464"/>
      <c r="T874" s="1464"/>
      <c r="U874" s="1464"/>
      <c r="V874" s="1464"/>
      <c r="W874" s="1464"/>
      <c r="X874" s="1464"/>
      <c r="Y874" s="1464"/>
      <c r="Z874" s="1464"/>
    </row>
    <row r="875">
      <c r="A875" s="1511" t="s">
        <v>3640</v>
      </c>
      <c r="B875" s="1512"/>
      <c r="C875" s="1512"/>
      <c r="D875" s="1512"/>
      <c r="E875" s="1513" t="s">
        <v>1611</v>
      </c>
      <c r="F875" s="1512"/>
      <c r="G875" s="1464"/>
      <c r="H875" s="1464"/>
      <c r="I875" s="1464"/>
      <c r="J875" s="1470" t="s">
        <v>1611</v>
      </c>
      <c r="K875" s="1464"/>
      <c r="L875" s="1464"/>
      <c r="M875" s="1464"/>
      <c r="N875" s="1464"/>
      <c r="O875" s="1464"/>
      <c r="P875" s="1464"/>
      <c r="Q875" s="1464"/>
      <c r="R875" s="1464"/>
      <c r="S875" s="1464"/>
      <c r="T875" s="1464"/>
      <c r="U875" s="1464"/>
      <c r="V875" s="1464"/>
      <c r="W875" s="1464"/>
      <c r="X875" s="1464"/>
      <c r="Y875" s="1464"/>
      <c r="Z875" s="1464"/>
    </row>
    <row r="876">
      <c r="A876" s="1511" t="s">
        <v>3732</v>
      </c>
      <c r="B876" s="1512"/>
      <c r="C876" s="1512"/>
      <c r="D876" s="1512"/>
      <c r="E876" s="1513" t="s">
        <v>1611</v>
      </c>
      <c r="F876" s="1512"/>
      <c r="G876" s="1464"/>
      <c r="H876" s="1464"/>
      <c r="I876" s="1464"/>
      <c r="J876" s="1470" t="s">
        <v>1611</v>
      </c>
      <c r="K876" s="1464"/>
      <c r="L876" s="1464"/>
      <c r="M876" s="1464"/>
      <c r="N876" s="1464"/>
      <c r="O876" s="1464"/>
      <c r="P876" s="1464"/>
      <c r="Q876" s="1464"/>
      <c r="R876" s="1464"/>
      <c r="S876" s="1464"/>
      <c r="T876" s="1464"/>
      <c r="U876" s="1464"/>
      <c r="V876" s="1464"/>
      <c r="W876" s="1464"/>
      <c r="X876" s="1464"/>
      <c r="Y876" s="1464"/>
      <c r="Z876" s="1464"/>
    </row>
    <row r="877">
      <c r="A877" s="1511" t="s">
        <v>4950</v>
      </c>
      <c r="B877" s="1512"/>
      <c r="C877" s="1512"/>
      <c r="D877" s="1512"/>
      <c r="E877" s="1513" t="s">
        <v>1611</v>
      </c>
      <c r="F877" s="1512"/>
      <c r="G877" s="1464"/>
      <c r="H877" s="1464"/>
      <c r="I877" s="1464"/>
      <c r="J877" s="1470" t="s">
        <v>1611</v>
      </c>
      <c r="K877" s="1464"/>
      <c r="L877" s="1464"/>
      <c r="M877" s="1464"/>
      <c r="N877" s="1464"/>
      <c r="O877" s="1464"/>
      <c r="P877" s="1464"/>
      <c r="Q877" s="1464"/>
      <c r="R877" s="1464"/>
      <c r="S877" s="1464"/>
      <c r="T877" s="1464"/>
      <c r="U877" s="1464"/>
      <c r="V877" s="1464"/>
      <c r="W877" s="1464"/>
      <c r="X877" s="1464"/>
      <c r="Y877" s="1464"/>
      <c r="Z877" s="1464"/>
    </row>
    <row r="878">
      <c r="A878" s="1511" t="s">
        <v>4951</v>
      </c>
      <c r="B878" s="1512"/>
      <c r="C878" s="1512"/>
      <c r="D878" s="1512"/>
      <c r="E878" s="1512"/>
      <c r="F878" s="1512"/>
      <c r="G878" s="1464"/>
      <c r="H878" s="1464"/>
      <c r="I878" s="1464"/>
      <c r="J878" s="1470" t="s">
        <v>1611</v>
      </c>
      <c r="K878" s="1464"/>
      <c r="L878" s="1464"/>
      <c r="M878" s="1464"/>
      <c r="N878" s="1464"/>
      <c r="O878" s="1464"/>
      <c r="P878" s="1464"/>
      <c r="Q878" s="1464"/>
      <c r="R878" s="1464"/>
      <c r="S878" s="1464"/>
      <c r="T878" s="1464"/>
      <c r="U878" s="1464"/>
      <c r="V878" s="1464"/>
      <c r="W878" s="1464"/>
      <c r="X878" s="1464"/>
      <c r="Y878" s="1464"/>
      <c r="Z878" s="1464"/>
    </row>
    <row r="879">
      <c r="A879" s="1511" t="s">
        <v>4952</v>
      </c>
      <c r="B879" s="1512"/>
      <c r="C879" s="1512"/>
      <c r="D879" s="1512"/>
      <c r="E879" s="1512"/>
      <c r="F879" s="1512"/>
      <c r="G879" s="1464"/>
      <c r="H879" s="1464"/>
      <c r="I879" s="1464"/>
      <c r="J879" s="1470" t="s">
        <v>1611</v>
      </c>
      <c r="K879" s="1464"/>
      <c r="L879" s="1464"/>
      <c r="M879" s="1464"/>
      <c r="N879" s="1464"/>
      <c r="O879" s="1464"/>
      <c r="P879" s="1464"/>
      <c r="Q879" s="1464"/>
      <c r="R879" s="1464"/>
      <c r="S879" s="1464"/>
      <c r="T879" s="1464"/>
      <c r="U879" s="1464"/>
      <c r="V879" s="1464"/>
      <c r="W879" s="1464"/>
      <c r="X879" s="1464"/>
      <c r="Y879" s="1464"/>
      <c r="Z879" s="1464"/>
    </row>
    <row r="880">
      <c r="A880" s="1511" t="s">
        <v>4953</v>
      </c>
      <c r="B880" s="1512"/>
      <c r="C880" s="1512"/>
      <c r="D880" s="1512"/>
      <c r="E880" s="1513" t="s">
        <v>1611</v>
      </c>
      <c r="F880" s="1512"/>
      <c r="G880" s="1464"/>
      <c r="H880" s="1464"/>
      <c r="I880" s="1464"/>
      <c r="J880" s="1470" t="s">
        <v>1611</v>
      </c>
      <c r="K880" s="1464"/>
      <c r="L880" s="1464"/>
      <c r="M880" s="1464"/>
      <c r="N880" s="1464"/>
      <c r="O880" s="1464"/>
      <c r="P880" s="1464"/>
      <c r="Q880" s="1464"/>
      <c r="R880" s="1464"/>
      <c r="S880" s="1464"/>
      <c r="T880" s="1464"/>
      <c r="U880" s="1464"/>
      <c r="V880" s="1464"/>
      <c r="W880" s="1464"/>
      <c r="X880" s="1464"/>
      <c r="Y880" s="1464"/>
      <c r="Z880" s="1464"/>
    </row>
    <row r="881">
      <c r="A881" s="1511" t="s">
        <v>4615</v>
      </c>
      <c r="B881" s="1512"/>
      <c r="C881" s="1512"/>
      <c r="D881" s="1512"/>
      <c r="E881" s="1513" t="s">
        <v>1611</v>
      </c>
      <c r="F881" s="1512"/>
      <c r="G881" s="1464"/>
      <c r="H881" s="1464"/>
      <c r="I881" s="1464"/>
      <c r="J881" s="1470" t="s">
        <v>1611</v>
      </c>
      <c r="K881" s="1464"/>
      <c r="L881" s="1464"/>
      <c r="M881" s="1464"/>
      <c r="N881" s="1464"/>
      <c r="O881" s="1464"/>
      <c r="P881" s="1464"/>
      <c r="Q881" s="1464"/>
      <c r="R881" s="1464"/>
      <c r="S881" s="1464"/>
      <c r="T881" s="1464"/>
      <c r="U881" s="1464"/>
      <c r="V881" s="1464"/>
      <c r="W881" s="1464"/>
      <c r="X881" s="1464"/>
      <c r="Y881" s="1464"/>
      <c r="Z881" s="1464"/>
    </row>
    <row r="882">
      <c r="A882" s="1511" t="s">
        <v>863</v>
      </c>
      <c r="B882" s="1512"/>
      <c r="C882" s="1512"/>
      <c r="D882" s="1512"/>
      <c r="E882" s="1513" t="s">
        <v>1611</v>
      </c>
      <c r="F882" s="1512"/>
      <c r="G882" s="1464"/>
      <c r="H882" s="1464"/>
      <c r="I882" s="1464"/>
      <c r="J882" s="1470" t="s">
        <v>1611</v>
      </c>
      <c r="K882" s="1464"/>
      <c r="L882" s="1464"/>
      <c r="M882" s="1464"/>
      <c r="N882" s="1464"/>
      <c r="O882" s="1464"/>
      <c r="P882" s="1464"/>
      <c r="Q882" s="1464"/>
      <c r="R882" s="1464"/>
      <c r="S882" s="1464"/>
      <c r="T882" s="1464"/>
      <c r="U882" s="1464"/>
      <c r="V882" s="1464"/>
      <c r="W882" s="1464"/>
      <c r="X882" s="1464"/>
      <c r="Y882" s="1464"/>
      <c r="Z882" s="1464"/>
    </row>
    <row r="883">
      <c r="A883" s="1511" t="s">
        <v>4954</v>
      </c>
      <c r="B883" s="1512"/>
      <c r="C883" s="1512"/>
      <c r="D883" s="1512"/>
      <c r="E883" s="1512"/>
      <c r="F883" s="1512"/>
      <c r="G883" s="1464"/>
      <c r="H883" s="1464"/>
      <c r="I883" s="1464"/>
      <c r="J883" s="1464"/>
      <c r="K883" s="1464"/>
      <c r="L883" s="1464"/>
      <c r="M883" s="1464"/>
      <c r="N883" s="1464"/>
      <c r="O883" s="1464"/>
      <c r="P883" s="1464"/>
      <c r="Q883" s="1464"/>
      <c r="R883" s="1464"/>
      <c r="S883" s="1464"/>
      <c r="T883" s="1464"/>
      <c r="U883" s="1464"/>
      <c r="V883" s="1464"/>
      <c r="W883" s="1464"/>
      <c r="X883" s="1464"/>
      <c r="Y883" s="1464"/>
      <c r="Z883" s="1464"/>
    </row>
    <row r="884">
      <c r="A884" s="1511" t="s">
        <v>3723</v>
      </c>
      <c r="B884" s="1512"/>
      <c r="C884" s="1512"/>
      <c r="D884" s="1512"/>
      <c r="E884" s="1513" t="s">
        <v>1611</v>
      </c>
      <c r="F884" s="1512"/>
      <c r="G884" s="1464"/>
      <c r="H884" s="1464"/>
      <c r="I884" s="1464"/>
      <c r="J884" s="1470" t="s">
        <v>1611</v>
      </c>
      <c r="K884" s="1464"/>
      <c r="L884" s="1464"/>
      <c r="M884" s="1464"/>
      <c r="N884" s="1464"/>
      <c r="O884" s="1464"/>
      <c r="P884" s="1464"/>
      <c r="Q884" s="1464"/>
      <c r="R884" s="1464"/>
      <c r="S884" s="1464"/>
      <c r="T884" s="1464"/>
      <c r="U884" s="1464"/>
      <c r="V884" s="1464"/>
      <c r="W884" s="1464"/>
      <c r="X884" s="1464"/>
      <c r="Y884" s="1464"/>
      <c r="Z884" s="1464"/>
    </row>
    <row r="885">
      <c r="A885" s="1511" t="s">
        <v>3786</v>
      </c>
      <c r="B885" s="1512"/>
      <c r="C885" s="1512"/>
      <c r="D885" s="1512"/>
      <c r="E885" s="1513" t="s">
        <v>1611</v>
      </c>
      <c r="F885" s="1512"/>
      <c r="G885" s="1464"/>
      <c r="H885" s="1464"/>
      <c r="I885" s="1464"/>
      <c r="J885" s="1470" t="s">
        <v>1611</v>
      </c>
      <c r="K885" s="1464"/>
      <c r="L885" s="1464"/>
      <c r="M885" s="1464"/>
      <c r="N885" s="1464"/>
      <c r="O885" s="1464"/>
      <c r="P885" s="1464"/>
      <c r="Q885" s="1464"/>
      <c r="R885" s="1464"/>
      <c r="S885" s="1464"/>
      <c r="T885" s="1464"/>
      <c r="U885" s="1464"/>
      <c r="V885" s="1464"/>
      <c r="W885" s="1464"/>
      <c r="X885" s="1464"/>
      <c r="Y885" s="1464"/>
      <c r="Z885" s="1464"/>
    </row>
    <row r="886">
      <c r="A886" s="1511" t="s">
        <v>4955</v>
      </c>
      <c r="B886" s="1512"/>
      <c r="C886" s="1512"/>
      <c r="D886" s="1512"/>
      <c r="E886" s="1512"/>
      <c r="F886" s="1512"/>
      <c r="G886" s="1464"/>
      <c r="H886" s="1464"/>
      <c r="I886" s="1464"/>
      <c r="J886" s="1470" t="s">
        <v>1611</v>
      </c>
      <c r="K886" s="1464"/>
      <c r="L886" s="1464"/>
      <c r="M886" s="1464"/>
      <c r="N886" s="1464"/>
      <c r="O886" s="1464"/>
      <c r="P886" s="1464"/>
      <c r="Q886" s="1464"/>
      <c r="R886" s="1464"/>
      <c r="S886" s="1464"/>
      <c r="T886" s="1464"/>
      <c r="U886" s="1464"/>
      <c r="V886" s="1464"/>
      <c r="W886" s="1464"/>
      <c r="X886" s="1464"/>
      <c r="Y886" s="1464"/>
      <c r="Z886" s="1464"/>
    </row>
    <row r="887">
      <c r="A887" s="1511" t="s">
        <v>3715</v>
      </c>
      <c r="B887" s="1512"/>
      <c r="C887" s="1512"/>
      <c r="D887" s="1512"/>
      <c r="E887" s="1513" t="s">
        <v>1611</v>
      </c>
      <c r="F887" s="1512"/>
      <c r="G887" s="1464"/>
      <c r="H887" s="1464"/>
      <c r="I887" s="1464"/>
      <c r="J887" s="1470" t="s">
        <v>1611</v>
      </c>
      <c r="K887" s="1464"/>
      <c r="L887" s="1464"/>
      <c r="M887" s="1464"/>
      <c r="N887" s="1464"/>
      <c r="O887" s="1464"/>
      <c r="P887" s="1464"/>
      <c r="Q887" s="1464"/>
      <c r="R887" s="1464"/>
      <c r="S887" s="1464"/>
      <c r="T887" s="1464"/>
      <c r="U887" s="1464"/>
      <c r="V887" s="1464"/>
      <c r="W887" s="1464"/>
      <c r="X887" s="1464"/>
      <c r="Y887" s="1464"/>
      <c r="Z887" s="1464"/>
    </row>
    <row r="888">
      <c r="A888" s="1511" t="s">
        <v>4956</v>
      </c>
      <c r="B888" s="1512"/>
      <c r="C888" s="1512"/>
      <c r="D888" s="1512"/>
      <c r="E888" s="1513" t="s">
        <v>1611</v>
      </c>
      <c r="F888" s="1512"/>
      <c r="G888" s="1464"/>
      <c r="H888" s="1464"/>
      <c r="I888" s="1464"/>
      <c r="J888" s="1464"/>
      <c r="K888" s="1464"/>
      <c r="L888" s="1464"/>
      <c r="M888" s="1464"/>
      <c r="N888" s="1464"/>
      <c r="O888" s="1464"/>
      <c r="P888" s="1464"/>
      <c r="Q888" s="1464"/>
      <c r="R888" s="1464"/>
      <c r="S888" s="1464"/>
      <c r="T888" s="1464"/>
      <c r="U888" s="1464"/>
      <c r="V888" s="1464"/>
      <c r="W888" s="1464"/>
      <c r="X888" s="1464"/>
      <c r="Y888" s="1464"/>
      <c r="Z888" s="1464"/>
    </row>
    <row r="889">
      <c r="A889" s="1511" t="s">
        <v>4802</v>
      </c>
      <c r="B889" s="1512"/>
      <c r="C889" s="1512"/>
      <c r="D889" s="1512"/>
      <c r="E889" s="1513" t="s">
        <v>1611</v>
      </c>
      <c r="F889" s="1512"/>
      <c r="G889" s="1479"/>
      <c r="H889" s="1464"/>
      <c r="I889" s="1464"/>
      <c r="J889" s="1464"/>
      <c r="K889" s="1464"/>
      <c r="L889" s="1464"/>
      <c r="M889" s="1518"/>
      <c r="N889" s="1464"/>
      <c r="O889" s="1464"/>
      <c r="P889" s="1464"/>
      <c r="Q889" s="1464"/>
      <c r="R889" s="1464"/>
      <c r="S889" s="1464"/>
      <c r="T889" s="1464"/>
      <c r="U889" s="1464"/>
      <c r="V889" s="1464"/>
      <c r="W889" s="1464"/>
      <c r="X889" s="1464"/>
      <c r="Y889" s="1464"/>
      <c r="Z889" s="1464"/>
    </row>
    <row r="890">
      <c r="A890" s="1511" t="s">
        <v>4957</v>
      </c>
      <c r="B890" s="1512"/>
      <c r="C890" s="1512"/>
      <c r="D890" s="1512"/>
      <c r="E890" s="1513" t="s">
        <v>1611</v>
      </c>
      <c r="F890" s="1512"/>
      <c r="G890" s="1464"/>
      <c r="H890" s="1464"/>
      <c r="I890" s="1464"/>
      <c r="J890" s="1464"/>
      <c r="K890" s="1464"/>
      <c r="L890" s="1464"/>
      <c r="M890" s="1464"/>
      <c r="N890" s="1464"/>
      <c r="O890" s="1464"/>
      <c r="P890" s="1464"/>
      <c r="Q890" s="1464"/>
      <c r="R890" s="1464"/>
      <c r="S890" s="1464"/>
      <c r="T890" s="1464"/>
      <c r="U890" s="1464"/>
      <c r="V890" s="1464"/>
      <c r="W890" s="1464"/>
      <c r="X890" s="1464"/>
      <c r="Y890" s="1464"/>
      <c r="Z890" s="1464"/>
    </row>
    <row r="891">
      <c r="A891" s="1511" t="s">
        <v>4128</v>
      </c>
      <c r="B891" s="1512"/>
      <c r="C891" s="1512"/>
      <c r="D891" s="1512"/>
      <c r="E891" s="1512"/>
      <c r="F891" s="1512"/>
      <c r="G891" s="1464"/>
      <c r="H891" s="1464"/>
      <c r="I891" s="1464"/>
      <c r="J891" s="1464"/>
      <c r="K891" s="1464"/>
      <c r="L891" s="1464"/>
      <c r="M891" s="1464"/>
      <c r="N891" s="1464"/>
      <c r="O891" s="1464"/>
      <c r="P891" s="1464"/>
      <c r="Q891" s="1464"/>
      <c r="R891" s="1464"/>
      <c r="S891" s="1464"/>
      <c r="T891" s="1464"/>
      <c r="U891" s="1464"/>
      <c r="V891" s="1464"/>
      <c r="W891" s="1464"/>
      <c r="X891" s="1464"/>
      <c r="Y891" s="1464"/>
      <c r="Z891" s="1464"/>
    </row>
    <row r="892">
      <c r="A892" s="1511" t="s">
        <v>4958</v>
      </c>
      <c r="B892" s="1512"/>
      <c r="C892" s="1512"/>
      <c r="D892" s="1512"/>
      <c r="E892" s="1513" t="s">
        <v>1611</v>
      </c>
      <c r="F892" s="1512"/>
      <c r="G892" s="1464"/>
      <c r="H892" s="1464"/>
      <c r="I892" s="1464"/>
      <c r="J892" s="1464"/>
      <c r="K892" s="1464"/>
      <c r="L892" s="1464"/>
      <c r="M892" s="1464"/>
      <c r="N892" s="1464"/>
      <c r="O892" s="1464"/>
      <c r="P892" s="1464"/>
      <c r="Q892" s="1464"/>
      <c r="R892" s="1464"/>
      <c r="S892" s="1464"/>
      <c r="T892" s="1464"/>
      <c r="U892" s="1464"/>
      <c r="V892" s="1464"/>
      <c r="W892" s="1464"/>
      <c r="X892" s="1464"/>
      <c r="Y892" s="1464"/>
      <c r="Z892" s="1464"/>
    </row>
    <row r="893">
      <c r="A893" s="1511" t="s">
        <v>3655</v>
      </c>
      <c r="B893" s="1512"/>
      <c r="C893" s="1512"/>
      <c r="D893" s="1512"/>
      <c r="E893" s="1512"/>
      <c r="F893" s="1512"/>
      <c r="G893" s="1464"/>
      <c r="H893" s="1464"/>
      <c r="I893" s="1464"/>
      <c r="J893" s="1464"/>
      <c r="K893" s="1464"/>
      <c r="L893" s="1464"/>
      <c r="M893" s="1464"/>
      <c r="N893" s="1464"/>
      <c r="O893" s="1464"/>
      <c r="P893" s="1464"/>
      <c r="Q893" s="1464"/>
      <c r="R893" s="1464"/>
      <c r="S893" s="1464"/>
      <c r="T893" s="1464"/>
      <c r="U893" s="1464"/>
      <c r="V893" s="1464"/>
      <c r="W893" s="1464"/>
      <c r="X893" s="1464"/>
      <c r="Y893" s="1464"/>
      <c r="Z893" s="1464"/>
    </row>
    <row r="894">
      <c r="A894" s="1511" t="s">
        <v>3944</v>
      </c>
      <c r="B894" s="1512"/>
      <c r="C894" s="1512"/>
      <c r="D894" s="1512"/>
      <c r="E894" s="1513" t="s">
        <v>4959</v>
      </c>
      <c r="F894" s="1512"/>
      <c r="G894" s="1464"/>
      <c r="H894" s="1464"/>
      <c r="I894" s="1464"/>
      <c r="J894" s="1464"/>
      <c r="K894" s="1464"/>
      <c r="L894" s="1464"/>
      <c r="M894" s="1464"/>
      <c r="N894" s="1464"/>
      <c r="O894" s="1464"/>
      <c r="P894" s="1464"/>
      <c r="Q894" s="1464"/>
      <c r="R894" s="1464"/>
      <c r="S894" s="1464"/>
      <c r="T894" s="1464"/>
      <c r="U894" s="1464"/>
      <c r="V894" s="1464"/>
      <c r="W894" s="1464"/>
      <c r="X894" s="1464"/>
      <c r="Y894" s="1464"/>
      <c r="Z894" s="1464"/>
    </row>
    <row r="895">
      <c r="A895" s="1511" t="s">
        <v>4960</v>
      </c>
      <c r="B895" s="1512"/>
      <c r="C895" s="1512"/>
      <c r="D895" s="1512"/>
      <c r="E895" s="1513" t="s">
        <v>1611</v>
      </c>
      <c r="F895" s="1512"/>
      <c r="G895" s="1464"/>
      <c r="H895" s="1464"/>
      <c r="I895" s="1464"/>
      <c r="J895" s="1464"/>
      <c r="K895" s="1464"/>
      <c r="L895" s="1464"/>
      <c r="M895" s="1464"/>
      <c r="N895" s="1464"/>
      <c r="O895" s="1464"/>
      <c r="P895" s="1464"/>
      <c r="Q895" s="1464"/>
      <c r="R895" s="1464"/>
      <c r="S895" s="1464"/>
      <c r="T895" s="1464"/>
      <c r="U895" s="1464"/>
      <c r="V895" s="1464"/>
      <c r="W895" s="1464"/>
      <c r="X895" s="1464"/>
      <c r="Y895" s="1464"/>
      <c r="Z895" s="1464"/>
    </row>
    <row r="896">
      <c r="A896" s="1511" t="s">
        <v>4961</v>
      </c>
      <c r="B896" s="1512"/>
      <c r="C896" s="1512"/>
      <c r="D896" s="1512"/>
      <c r="E896" s="1513" t="s">
        <v>1611</v>
      </c>
      <c r="F896" s="1512"/>
      <c r="G896" s="1464"/>
      <c r="H896" s="1464"/>
      <c r="I896" s="1464"/>
      <c r="J896" s="1464"/>
      <c r="K896" s="1464"/>
      <c r="L896" s="1464"/>
      <c r="M896" s="1464"/>
      <c r="N896" s="1464"/>
      <c r="O896" s="1464"/>
      <c r="P896" s="1464"/>
      <c r="Q896" s="1464"/>
      <c r="R896" s="1464"/>
      <c r="S896" s="1464"/>
      <c r="T896" s="1464"/>
      <c r="U896" s="1464"/>
      <c r="V896" s="1464"/>
      <c r="W896" s="1464"/>
      <c r="X896" s="1464"/>
      <c r="Y896" s="1464"/>
      <c r="Z896" s="1464"/>
    </row>
    <row r="897">
      <c r="A897" s="1511" t="s">
        <v>4181</v>
      </c>
      <c r="B897" s="1512"/>
      <c r="C897" s="1512"/>
      <c r="D897" s="1512"/>
      <c r="E897" s="1512"/>
      <c r="F897" s="1512"/>
      <c r="G897" s="1464"/>
      <c r="H897" s="1464"/>
      <c r="I897" s="1464"/>
      <c r="J897" s="1464"/>
      <c r="K897" s="1464"/>
      <c r="L897" s="1464"/>
      <c r="M897" s="1464"/>
      <c r="N897" s="1464"/>
      <c r="O897" s="1464"/>
      <c r="P897" s="1464"/>
      <c r="Q897" s="1464"/>
      <c r="R897" s="1464"/>
      <c r="S897" s="1464"/>
      <c r="T897" s="1464"/>
      <c r="U897" s="1464"/>
      <c r="V897" s="1464"/>
      <c r="W897" s="1464"/>
      <c r="X897" s="1464"/>
      <c r="Y897" s="1464"/>
      <c r="Z897" s="1464"/>
    </row>
    <row r="898">
      <c r="A898" s="1511" t="s">
        <v>1362</v>
      </c>
      <c r="B898" s="1512"/>
      <c r="C898" s="1512"/>
      <c r="D898" s="1512"/>
      <c r="E898" s="1513" t="s">
        <v>1611</v>
      </c>
      <c r="F898" s="1512"/>
      <c r="G898" s="1464"/>
      <c r="H898" s="1464"/>
      <c r="I898" s="1464"/>
      <c r="J898" s="1464"/>
      <c r="K898" s="1464"/>
      <c r="L898" s="1464"/>
      <c r="M898" s="1464"/>
      <c r="N898" s="1464"/>
      <c r="O898" s="1464"/>
      <c r="P898" s="1464"/>
      <c r="Q898" s="1464"/>
      <c r="R898" s="1464"/>
      <c r="S898" s="1464"/>
      <c r="T898" s="1464"/>
      <c r="U898" s="1464"/>
      <c r="V898" s="1464"/>
      <c r="W898" s="1464"/>
      <c r="X898" s="1464"/>
      <c r="Y898" s="1464"/>
      <c r="Z898" s="1464"/>
    </row>
    <row r="899">
      <c r="A899" s="1511" t="s">
        <v>4517</v>
      </c>
      <c r="B899" s="1512"/>
      <c r="C899" s="1512"/>
      <c r="D899" s="1512"/>
      <c r="E899" s="1513" t="s">
        <v>1611</v>
      </c>
      <c r="F899" s="1512"/>
      <c r="G899" s="1464"/>
      <c r="H899" s="1464"/>
      <c r="I899" s="1464"/>
      <c r="J899" s="1464"/>
      <c r="K899" s="1464"/>
      <c r="L899" s="1464"/>
      <c r="M899" s="1464"/>
      <c r="N899" s="1464"/>
      <c r="O899" s="1464"/>
      <c r="P899" s="1464"/>
      <c r="Q899" s="1464"/>
      <c r="R899" s="1464"/>
      <c r="S899" s="1464"/>
      <c r="T899" s="1464"/>
      <c r="U899" s="1464"/>
      <c r="V899" s="1464"/>
      <c r="W899" s="1464"/>
      <c r="X899" s="1464"/>
      <c r="Y899" s="1464"/>
      <c r="Z899" s="1464"/>
    </row>
    <row r="900">
      <c r="A900" s="1511" t="s">
        <v>4962</v>
      </c>
      <c r="B900" s="1512"/>
      <c r="C900" s="1512"/>
      <c r="D900" s="1512"/>
      <c r="E900" s="1513" t="s">
        <v>1611</v>
      </c>
      <c r="F900" s="1512"/>
      <c r="G900" s="1464"/>
      <c r="H900" s="1464"/>
      <c r="I900" s="1464"/>
      <c r="J900" s="1464"/>
      <c r="K900" s="1464"/>
      <c r="L900" s="1464"/>
      <c r="M900" s="1479"/>
      <c r="N900" s="1479"/>
      <c r="O900" s="1479"/>
      <c r="P900" s="1479"/>
      <c r="Q900" s="1479"/>
      <c r="R900" s="1479"/>
      <c r="S900" s="1479"/>
      <c r="T900" s="1479"/>
      <c r="U900" s="1479"/>
      <c r="V900" s="1479"/>
      <c r="W900" s="1479"/>
      <c r="X900" s="1479"/>
      <c r="Y900" s="1479"/>
      <c r="Z900" s="1479"/>
    </row>
    <row r="901">
      <c r="A901" s="1511" t="s">
        <v>4963</v>
      </c>
      <c r="B901" s="1512"/>
      <c r="C901" s="1512"/>
      <c r="D901" s="1512"/>
      <c r="E901" s="1513" t="s">
        <v>1611</v>
      </c>
      <c r="F901" s="1512"/>
      <c r="G901" s="1464"/>
      <c r="H901" s="1464"/>
      <c r="I901" s="1464"/>
      <c r="J901" s="1464"/>
      <c r="K901" s="1464"/>
      <c r="L901" s="1464"/>
      <c r="M901" s="1479"/>
      <c r="N901" s="1479"/>
      <c r="O901" s="1479"/>
      <c r="P901" s="1479"/>
      <c r="Q901" s="1479"/>
      <c r="R901" s="1479"/>
      <c r="S901" s="1479"/>
      <c r="T901" s="1479"/>
      <c r="U901" s="1479"/>
      <c r="V901" s="1479"/>
      <c r="W901" s="1479"/>
      <c r="X901" s="1479"/>
      <c r="Y901" s="1479"/>
      <c r="Z901" s="1479"/>
    </row>
    <row r="902">
      <c r="A902" s="1511" t="s">
        <v>1190</v>
      </c>
      <c r="B902" s="1512"/>
      <c r="C902" s="1512"/>
      <c r="D902" s="1512"/>
      <c r="E902" s="1513" t="s">
        <v>1611</v>
      </c>
      <c r="F902" s="1512"/>
      <c r="G902" s="1464"/>
      <c r="H902" s="1464"/>
      <c r="I902" s="1464"/>
      <c r="J902" s="1464"/>
      <c r="K902" s="1464"/>
      <c r="L902" s="1464"/>
      <c r="M902" s="1464"/>
      <c r="N902" s="1464"/>
      <c r="O902" s="1464"/>
      <c r="P902" s="1464"/>
      <c r="Q902" s="1464"/>
      <c r="R902" s="1464"/>
      <c r="S902" s="1464"/>
      <c r="T902" s="1464"/>
      <c r="U902" s="1464"/>
      <c r="V902" s="1464"/>
      <c r="W902" s="1464"/>
      <c r="X902" s="1464"/>
      <c r="Y902" s="1464"/>
      <c r="Z902" s="1464"/>
    </row>
    <row r="903">
      <c r="A903" s="1511" t="s">
        <v>4285</v>
      </c>
      <c r="B903" s="1512"/>
      <c r="C903" s="1512"/>
      <c r="D903" s="1512"/>
      <c r="E903" s="1513" t="s">
        <v>1611</v>
      </c>
      <c r="F903" s="1512"/>
      <c r="G903" s="1464"/>
      <c r="H903" s="1464"/>
      <c r="I903" s="1464"/>
      <c r="J903" s="1464"/>
      <c r="K903" s="1464"/>
      <c r="L903" s="1464"/>
      <c r="M903" s="1479"/>
      <c r="N903" s="1479"/>
      <c r="O903" s="1479"/>
      <c r="P903" s="1479"/>
      <c r="Q903" s="1479"/>
      <c r="R903" s="1479"/>
      <c r="S903" s="1479"/>
      <c r="T903" s="1479"/>
      <c r="U903" s="1479"/>
      <c r="V903" s="1479"/>
      <c r="W903" s="1479"/>
      <c r="X903" s="1479"/>
      <c r="Y903" s="1479"/>
      <c r="Z903" s="1479"/>
    </row>
    <row r="904">
      <c r="A904" s="1511" t="s">
        <v>3955</v>
      </c>
      <c r="B904" s="1512"/>
      <c r="C904" s="1512"/>
      <c r="D904" s="1512"/>
      <c r="E904" s="1513" t="s">
        <v>1611</v>
      </c>
      <c r="F904" s="1512"/>
      <c r="G904" s="1464"/>
      <c r="H904" s="1464"/>
      <c r="I904" s="1464"/>
      <c r="J904" s="1464"/>
      <c r="K904" s="1464"/>
      <c r="L904" s="1464"/>
      <c r="M904" s="1464"/>
      <c r="N904" s="1464"/>
      <c r="O904" s="1464"/>
      <c r="P904" s="1464"/>
      <c r="Q904" s="1464"/>
      <c r="R904" s="1464"/>
      <c r="S904" s="1464"/>
      <c r="T904" s="1464"/>
      <c r="U904" s="1464"/>
      <c r="V904" s="1464"/>
      <c r="W904" s="1464"/>
      <c r="X904" s="1464"/>
      <c r="Y904" s="1464"/>
      <c r="Z904" s="1464"/>
    </row>
    <row r="905">
      <c r="A905" s="1511" t="s">
        <v>4313</v>
      </c>
      <c r="B905" s="1512"/>
      <c r="C905" s="1512"/>
      <c r="D905" s="1512"/>
      <c r="E905" s="1512"/>
      <c r="F905" s="1512"/>
      <c r="G905" s="1464"/>
      <c r="H905" s="1464"/>
      <c r="I905" s="1464"/>
      <c r="J905" s="1464"/>
      <c r="K905" s="1464"/>
      <c r="L905" s="1464"/>
      <c r="M905" s="1464"/>
      <c r="N905" s="1464"/>
      <c r="O905" s="1464"/>
      <c r="P905" s="1464"/>
      <c r="Q905" s="1464"/>
      <c r="R905" s="1464"/>
      <c r="S905" s="1464"/>
      <c r="T905" s="1464"/>
      <c r="U905" s="1464"/>
      <c r="V905" s="1464"/>
      <c r="W905" s="1464"/>
      <c r="X905" s="1464"/>
      <c r="Y905" s="1464"/>
      <c r="Z905" s="1464"/>
    </row>
    <row r="906">
      <c r="A906" s="1511" t="s">
        <v>4964</v>
      </c>
      <c r="B906" s="1512"/>
      <c r="C906" s="1512"/>
      <c r="D906" s="1512"/>
      <c r="E906" s="1513" t="s">
        <v>1611</v>
      </c>
      <c r="F906" s="1512"/>
      <c r="G906" s="1464"/>
      <c r="H906" s="1464"/>
      <c r="I906" s="1464"/>
      <c r="J906" s="1464"/>
      <c r="K906" s="1464"/>
      <c r="L906" s="1464"/>
      <c r="M906" s="1479"/>
      <c r="N906" s="1479"/>
      <c r="O906" s="1479"/>
      <c r="P906" s="1479"/>
      <c r="Q906" s="1479"/>
      <c r="R906" s="1479"/>
      <c r="S906" s="1479"/>
      <c r="T906" s="1479"/>
      <c r="U906" s="1479"/>
      <c r="V906" s="1479"/>
      <c r="W906" s="1479"/>
      <c r="X906" s="1479"/>
      <c r="Y906" s="1479"/>
      <c r="Z906" s="1479"/>
    </row>
    <row r="907">
      <c r="A907" s="1511" t="s">
        <v>4965</v>
      </c>
      <c r="B907" s="1512"/>
      <c r="C907" s="1512"/>
      <c r="D907" s="1512"/>
      <c r="E907" s="1513" t="s">
        <v>1611</v>
      </c>
      <c r="F907" s="1512"/>
      <c r="G907" s="1464"/>
      <c r="H907" s="1464"/>
      <c r="I907" s="1464"/>
      <c r="J907" s="1464"/>
      <c r="K907" s="1464"/>
      <c r="L907" s="1479"/>
      <c r="M907" s="1464"/>
      <c r="N907" s="1464"/>
      <c r="O907" s="1464"/>
      <c r="P907" s="1464"/>
      <c r="Q907" s="1464"/>
      <c r="R907" s="1464"/>
      <c r="S907" s="1464"/>
      <c r="T907" s="1464"/>
      <c r="U907" s="1464"/>
      <c r="V907" s="1464"/>
      <c r="W907" s="1464"/>
      <c r="X907" s="1464"/>
      <c r="Y907" s="1464"/>
      <c r="Z907" s="1464"/>
    </row>
    <row r="908">
      <c r="A908" s="1511" t="s">
        <v>4252</v>
      </c>
      <c r="B908" s="1512"/>
      <c r="C908" s="1512"/>
      <c r="D908" s="1512"/>
      <c r="E908" s="1513" t="s">
        <v>1611</v>
      </c>
      <c r="F908" s="1512"/>
      <c r="G908" s="1464"/>
      <c r="H908" s="1464"/>
      <c r="I908" s="1464"/>
      <c r="J908" s="1464"/>
      <c r="K908" s="1464"/>
      <c r="L908" s="1479"/>
      <c r="M908" s="1479"/>
      <c r="N908" s="1479"/>
      <c r="O908" s="1479"/>
      <c r="P908" s="1479"/>
      <c r="Q908" s="1479"/>
      <c r="R908" s="1479"/>
      <c r="S908" s="1479"/>
      <c r="T908" s="1479"/>
      <c r="U908" s="1479"/>
      <c r="V908" s="1479"/>
      <c r="W908" s="1479"/>
      <c r="X908" s="1479"/>
      <c r="Y908" s="1479"/>
      <c r="Z908" s="1479"/>
    </row>
    <row r="909">
      <c r="A909" s="1511" t="s">
        <v>3730</v>
      </c>
      <c r="B909" s="1512"/>
      <c r="C909" s="1512"/>
      <c r="D909" s="1512"/>
      <c r="E909" s="1513" t="s">
        <v>1611</v>
      </c>
      <c r="F909" s="1512"/>
      <c r="G909" s="1479"/>
      <c r="H909" s="1464"/>
      <c r="I909" s="1464"/>
      <c r="J909" s="1464"/>
      <c r="K909" s="1464"/>
      <c r="L909" s="1479"/>
      <c r="M909" s="1479"/>
      <c r="N909" s="1479"/>
      <c r="O909" s="1479"/>
      <c r="P909" s="1479"/>
      <c r="Q909" s="1479"/>
      <c r="R909" s="1479"/>
      <c r="S909" s="1479"/>
      <c r="T909" s="1479"/>
      <c r="U909" s="1479"/>
      <c r="V909" s="1479"/>
      <c r="W909" s="1479"/>
      <c r="X909" s="1479"/>
      <c r="Y909" s="1479"/>
      <c r="Z909" s="1479"/>
    </row>
    <row r="910">
      <c r="A910" s="1511" t="s">
        <v>3843</v>
      </c>
      <c r="B910" s="1512"/>
      <c r="C910" s="1512"/>
      <c r="D910" s="1512"/>
      <c r="E910" s="1513" t="s">
        <v>1611</v>
      </c>
      <c r="F910" s="1512"/>
      <c r="G910" s="1464"/>
      <c r="H910" s="1464"/>
      <c r="I910" s="1464"/>
      <c r="J910" s="1464"/>
      <c r="K910" s="1464"/>
      <c r="L910" s="1479"/>
      <c r="M910" s="1479"/>
      <c r="N910" s="1479"/>
      <c r="O910" s="1479"/>
      <c r="P910" s="1479"/>
      <c r="Q910" s="1479"/>
      <c r="R910" s="1479"/>
      <c r="S910" s="1479"/>
      <c r="T910" s="1479"/>
      <c r="U910" s="1479"/>
      <c r="V910" s="1479"/>
      <c r="W910" s="1479"/>
      <c r="X910" s="1479"/>
      <c r="Y910" s="1479"/>
      <c r="Z910" s="1479"/>
    </row>
    <row r="911">
      <c r="A911" s="1511" t="s">
        <v>4966</v>
      </c>
      <c r="B911" s="1512"/>
      <c r="C911" s="1512"/>
      <c r="D911" s="1512"/>
      <c r="E911" s="1513" t="s">
        <v>1611</v>
      </c>
      <c r="F911" s="1512"/>
      <c r="G911" s="1464"/>
      <c r="H911" s="1464"/>
      <c r="I911" s="1464"/>
      <c r="J911" s="1464"/>
      <c r="K911" s="1464"/>
      <c r="L911" s="1464"/>
      <c r="M911" s="1479"/>
      <c r="N911" s="1479"/>
      <c r="O911" s="1479"/>
      <c r="P911" s="1479"/>
      <c r="Q911" s="1479"/>
      <c r="R911" s="1479"/>
      <c r="S911" s="1479"/>
      <c r="T911" s="1479"/>
      <c r="U911" s="1479"/>
      <c r="V911" s="1479"/>
      <c r="W911" s="1479"/>
      <c r="X911" s="1479"/>
      <c r="Y911" s="1479"/>
      <c r="Z911" s="1479"/>
    </row>
    <row r="912">
      <c r="A912" s="1511" t="s">
        <v>4967</v>
      </c>
      <c r="B912" s="1512"/>
      <c r="C912" s="1512"/>
      <c r="D912" s="1512"/>
      <c r="E912" s="1513" t="s">
        <v>1611</v>
      </c>
      <c r="F912" s="1512"/>
      <c r="G912" s="1464"/>
      <c r="H912" s="1464"/>
      <c r="I912" s="1464"/>
      <c r="J912" s="1464"/>
      <c r="K912" s="1464"/>
      <c r="L912" s="1464"/>
      <c r="M912" s="1479"/>
      <c r="N912" s="1479"/>
      <c r="O912" s="1479"/>
      <c r="P912" s="1479"/>
      <c r="Q912" s="1479"/>
      <c r="R912" s="1479"/>
      <c r="S912" s="1479"/>
      <c r="T912" s="1479"/>
      <c r="U912" s="1479"/>
      <c r="V912" s="1479"/>
      <c r="W912" s="1479"/>
      <c r="X912" s="1479"/>
      <c r="Y912" s="1479"/>
      <c r="Z912" s="1479"/>
    </row>
    <row r="913">
      <c r="A913" s="1519" t="s">
        <v>4968</v>
      </c>
      <c r="B913" s="1520"/>
      <c r="C913" s="1520"/>
      <c r="D913" s="1520"/>
      <c r="E913" s="1521" t="s">
        <v>1611</v>
      </c>
      <c r="F913" s="1520"/>
      <c r="G913" s="1464"/>
      <c r="H913" s="1464"/>
      <c r="I913" s="1464"/>
      <c r="J913" s="1464"/>
      <c r="K913" s="1464"/>
      <c r="L913" s="1464"/>
      <c r="M913" s="1479"/>
      <c r="N913" s="1479"/>
      <c r="O913" s="1479"/>
      <c r="P913" s="1479"/>
      <c r="Q913" s="1479"/>
      <c r="R913" s="1479"/>
      <c r="S913" s="1479"/>
      <c r="T913" s="1479"/>
      <c r="U913" s="1479"/>
      <c r="V913" s="1479"/>
      <c r="W913" s="1479"/>
      <c r="X913" s="1479"/>
      <c r="Y913" s="1479"/>
      <c r="Z913" s="1479"/>
    </row>
    <row r="914">
      <c r="A914" s="1511" t="s">
        <v>4001</v>
      </c>
      <c r="B914" s="1512"/>
      <c r="C914" s="1512"/>
      <c r="D914" s="1512"/>
      <c r="E914" s="1513" t="s">
        <v>1611</v>
      </c>
      <c r="F914" s="1512"/>
      <c r="G914" s="1464"/>
      <c r="H914" s="1464"/>
      <c r="I914" s="1464"/>
      <c r="J914" s="1464"/>
      <c r="K914" s="1464"/>
      <c r="L914" s="1464"/>
      <c r="M914" s="1479"/>
      <c r="N914" s="1479"/>
      <c r="O914" s="1479"/>
      <c r="P914" s="1479"/>
      <c r="Q914" s="1479"/>
      <c r="R914" s="1479"/>
      <c r="S914" s="1479"/>
      <c r="T914" s="1479"/>
      <c r="U914" s="1479"/>
      <c r="V914" s="1479"/>
      <c r="W914" s="1479"/>
      <c r="X914" s="1479"/>
      <c r="Y914" s="1479"/>
      <c r="Z914" s="1479"/>
    </row>
    <row r="915">
      <c r="A915" s="1511" t="s">
        <v>4184</v>
      </c>
      <c r="B915" s="1512"/>
      <c r="C915" s="1512"/>
      <c r="D915" s="1512"/>
      <c r="E915" s="1512"/>
      <c r="F915" s="1512"/>
      <c r="G915" s="1464"/>
      <c r="H915" s="1464"/>
      <c r="I915" s="1464"/>
      <c r="J915" s="1464"/>
      <c r="K915" s="1464"/>
      <c r="L915" s="1464"/>
      <c r="M915" s="1479"/>
      <c r="N915" s="1479"/>
      <c r="O915" s="1479"/>
      <c r="P915" s="1479"/>
      <c r="Q915" s="1479"/>
      <c r="R915" s="1479"/>
      <c r="S915" s="1479"/>
      <c r="T915" s="1479"/>
      <c r="U915" s="1479"/>
      <c r="V915" s="1479"/>
      <c r="W915" s="1479"/>
      <c r="X915" s="1479"/>
      <c r="Y915" s="1479"/>
      <c r="Z915" s="1479"/>
    </row>
    <row r="916">
      <c r="A916" s="1511" t="s">
        <v>4969</v>
      </c>
      <c r="B916" s="1512"/>
      <c r="C916" s="1512"/>
      <c r="D916" s="1512"/>
      <c r="E916" s="1513" t="s">
        <v>1611</v>
      </c>
      <c r="F916" s="1512"/>
      <c r="G916" s="1464"/>
      <c r="H916" s="1464"/>
      <c r="I916" s="1464"/>
      <c r="J916" s="1464"/>
      <c r="K916" s="1464"/>
      <c r="L916" s="1464"/>
      <c r="M916" s="1479"/>
      <c r="N916" s="1479"/>
      <c r="O916" s="1479"/>
      <c r="P916" s="1479"/>
      <c r="Q916" s="1479"/>
      <c r="R916" s="1479"/>
      <c r="S916" s="1479"/>
      <c r="T916" s="1479"/>
      <c r="U916" s="1479"/>
      <c r="V916" s="1479"/>
      <c r="W916" s="1479"/>
      <c r="X916" s="1479"/>
      <c r="Y916" s="1479"/>
      <c r="Z916" s="1479"/>
    </row>
    <row r="917">
      <c r="A917" s="1511" t="s">
        <v>4209</v>
      </c>
      <c r="B917" s="1512"/>
      <c r="C917" s="1512"/>
      <c r="D917" s="1512"/>
      <c r="E917" s="1512"/>
      <c r="F917" s="1512"/>
      <c r="G917" s="1464"/>
      <c r="H917" s="1464"/>
      <c r="I917" s="1464"/>
      <c r="J917" s="1464"/>
      <c r="K917" s="1464"/>
      <c r="L917" s="1464"/>
      <c r="M917" s="1479"/>
      <c r="N917" s="1479"/>
      <c r="O917" s="1479"/>
      <c r="P917" s="1479"/>
      <c r="Q917" s="1479"/>
      <c r="R917" s="1479"/>
      <c r="S917" s="1479"/>
      <c r="T917" s="1479"/>
      <c r="U917" s="1479"/>
      <c r="V917" s="1479"/>
      <c r="W917" s="1479"/>
      <c r="X917" s="1479"/>
      <c r="Y917" s="1479"/>
      <c r="Z917" s="1479"/>
    </row>
    <row r="918">
      <c r="A918" s="1511" t="s">
        <v>3755</v>
      </c>
      <c r="B918" s="1512"/>
      <c r="C918" s="1512"/>
      <c r="D918" s="1512"/>
      <c r="E918" s="1512"/>
      <c r="F918" s="1512"/>
      <c r="G918" s="1464"/>
      <c r="H918" s="1464"/>
      <c r="I918" s="1464"/>
      <c r="J918" s="1464"/>
      <c r="K918" s="1464"/>
      <c r="L918" s="1464"/>
      <c r="M918" s="1479"/>
      <c r="N918" s="1479"/>
      <c r="O918" s="1479"/>
      <c r="P918" s="1479"/>
      <c r="Q918" s="1479"/>
      <c r="R918" s="1479"/>
      <c r="S918" s="1479"/>
      <c r="T918" s="1479"/>
      <c r="U918" s="1479"/>
      <c r="V918" s="1479"/>
      <c r="W918" s="1479"/>
      <c r="X918" s="1479"/>
      <c r="Y918" s="1479"/>
      <c r="Z918" s="1479"/>
    </row>
    <row r="919">
      <c r="A919" s="1511" t="s">
        <v>4167</v>
      </c>
      <c r="B919" s="1512"/>
      <c r="C919" s="1512"/>
      <c r="D919" s="1512"/>
      <c r="E919" s="1513" t="s">
        <v>1611</v>
      </c>
      <c r="F919" s="1512"/>
      <c r="G919" s="1464"/>
      <c r="H919" s="1464"/>
      <c r="I919" s="1464"/>
      <c r="J919" s="1464"/>
      <c r="K919" s="1464"/>
      <c r="L919" s="1464"/>
      <c r="M919" s="1479"/>
      <c r="N919" s="1479"/>
      <c r="O919" s="1479"/>
      <c r="P919" s="1479"/>
      <c r="Q919" s="1479"/>
      <c r="R919" s="1479"/>
      <c r="S919" s="1479"/>
      <c r="T919" s="1479"/>
      <c r="U919" s="1479"/>
      <c r="V919" s="1479"/>
      <c r="W919" s="1479"/>
      <c r="X919" s="1479"/>
      <c r="Y919" s="1479"/>
      <c r="Z919" s="1479"/>
    </row>
    <row r="920">
      <c r="A920" s="1511" t="s">
        <v>3684</v>
      </c>
      <c r="B920" s="1512"/>
      <c r="C920" s="1512"/>
      <c r="D920" s="1512"/>
      <c r="E920" s="1513" t="s">
        <v>1611</v>
      </c>
      <c r="F920" s="1512"/>
      <c r="G920" s="1464"/>
      <c r="H920" s="1464"/>
      <c r="I920" s="1464"/>
      <c r="J920" s="1464"/>
      <c r="K920" s="1464"/>
      <c r="L920" s="1464"/>
      <c r="M920" s="1464"/>
      <c r="N920" s="1464"/>
      <c r="O920" s="1464"/>
      <c r="P920" s="1464"/>
      <c r="Q920" s="1464"/>
      <c r="R920" s="1464"/>
      <c r="S920" s="1464"/>
      <c r="T920" s="1464"/>
      <c r="U920" s="1464"/>
      <c r="V920" s="1464"/>
      <c r="W920" s="1464"/>
      <c r="X920" s="1464"/>
      <c r="Y920" s="1464"/>
      <c r="Z920" s="1464"/>
    </row>
    <row r="921">
      <c r="A921" s="1522" t="s">
        <v>4895</v>
      </c>
      <c r="B921" s="1512"/>
      <c r="C921" s="1512"/>
      <c r="D921" s="1512"/>
      <c r="E921" s="1512"/>
      <c r="F921" s="1512"/>
      <c r="G921" s="1464"/>
      <c r="H921" s="1464"/>
      <c r="I921" s="1523"/>
      <c r="J921" s="1464"/>
      <c r="K921" s="1464"/>
      <c r="L921" s="1464"/>
      <c r="M921" s="1464"/>
      <c r="N921" s="1464"/>
      <c r="O921" s="1464"/>
      <c r="P921" s="1464"/>
      <c r="Q921" s="1464"/>
      <c r="R921" s="1464"/>
      <c r="S921" s="1464"/>
      <c r="T921" s="1464"/>
      <c r="U921" s="1464"/>
      <c r="V921" s="1464"/>
      <c r="W921" s="1464"/>
      <c r="X921" s="1464"/>
      <c r="Y921" s="1464"/>
      <c r="Z921" s="1464"/>
    </row>
    <row r="922">
      <c r="A922" s="1522" t="s">
        <v>4970</v>
      </c>
      <c r="B922" s="1512"/>
      <c r="C922" s="1512"/>
      <c r="D922" s="1512"/>
      <c r="E922" s="1513" t="s">
        <v>1611</v>
      </c>
      <c r="F922" s="1512"/>
      <c r="G922" s="1464"/>
      <c r="H922" s="1464"/>
      <c r="I922" s="1523"/>
      <c r="J922" s="1464"/>
      <c r="K922" s="1464"/>
      <c r="L922" s="1464"/>
      <c r="M922" s="1464"/>
      <c r="N922" s="1464"/>
      <c r="O922" s="1464"/>
      <c r="P922" s="1464"/>
      <c r="Q922" s="1464"/>
      <c r="R922" s="1464"/>
      <c r="S922" s="1464"/>
      <c r="T922" s="1464"/>
      <c r="U922" s="1464"/>
      <c r="V922" s="1464"/>
      <c r="W922" s="1464"/>
      <c r="X922" s="1464"/>
      <c r="Y922" s="1464"/>
      <c r="Z922" s="1464"/>
    </row>
    <row r="923">
      <c r="A923" s="1522" t="s">
        <v>4971</v>
      </c>
      <c r="B923" s="1512"/>
      <c r="C923" s="1512"/>
      <c r="D923" s="1512"/>
      <c r="E923" s="1513" t="s">
        <v>1611</v>
      </c>
      <c r="F923" s="1512"/>
      <c r="G923" s="1479"/>
      <c r="H923" s="1479"/>
      <c r="I923" s="1464"/>
      <c r="J923" s="1464"/>
      <c r="K923" s="1464"/>
      <c r="L923" s="1464"/>
      <c r="M923" s="1464"/>
      <c r="N923" s="1464"/>
      <c r="O923" s="1464"/>
      <c r="P923" s="1464"/>
      <c r="Q923" s="1464"/>
      <c r="R923" s="1464"/>
      <c r="S923" s="1464"/>
      <c r="T923" s="1464"/>
      <c r="U923" s="1464"/>
      <c r="V923" s="1464"/>
      <c r="W923" s="1464"/>
      <c r="X923" s="1464"/>
      <c r="Y923" s="1464"/>
      <c r="Z923" s="1464"/>
    </row>
    <row r="924">
      <c r="A924" s="1511" t="s">
        <v>3963</v>
      </c>
      <c r="B924" s="1512"/>
      <c r="C924" s="1512"/>
      <c r="D924" s="1512"/>
      <c r="E924" s="1513" t="s">
        <v>1611</v>
      </c>
      <c r="F924" s="1512"/>
      <c r="G924" s="1464"/>
      <c r="H924" s="1464"/>
      <c r="I924" s="1464"/>
      <c r="J924" s="1464"/>
      <c r="K924" s="1464"/>
      <c r="L924" s="1464"/>
      <c r="M924" s="1464"/>
      <c r="N924" s="1464"/>
      <c r="O924" s="1464"/>
      <c r="P924" s="1464"/>
      <c r="Q924" s="1464"/>
      <c r="R924" s="1464"/>
      <c r="S924" s="1464"/>
      <c r="T924" s="1464"/>
      <c r="U924" s="1464"/>
      <c r="V924" s="1464"/>
      <c r="W924" s="1464"/>
      <c r="X924" s="1464"/>
      <c r="Y924" s="1464"/>
      <c r="Z924" s="1464"/>
    </row>
    <row r="925">
      <c r="A925" s="1511" t="s">
        <v>4972</v>
      </c>
      <c r="B925" s="1512"/>
      <c r="C925" s="1512"/>
      <c r="D925" s="1512"/>
      <c r="E925" s="1513" t="s">
        <v>1611</v>
      </c>
      <c r="F925" s="1512"/>
      <c r="G925" s="1464"/>
      <c r="H925" s="1464"/>
      <c r="I925" s="1464"/>
      <c r="J925" s="1464"/>
      <c r="K925" s="1464"/>
      <c r="L925" s="1464"/>
      <c r="M925" s="1464"/>
      <c r="N925" s="1464"/>
      <c r="O925" s="1464"/>
      <c r="P925" s="1464"/>
      <c r="Q925" s="1464"/>
      <c r="R925" s="1464"/>
      <c r="S925" s="1464"/>
      <c r="T925" s="1464"/>
      <c r="U925" s="1464"/>
      <c r="V925" s="1464"/>
      <c r="W925" s="1464"/>
      <c r="X925" s="1464"/>
      <c r="Y925" s="1464"/>
      <c r="Z925" s="1464"/>
    </row>
    <row r="926">
      <c r="A926" s="1511" t="s">
        <v>4973</v>
      </c>
      <c r="B926" s="1512"/>
      <c r="C926" s="1512"/>
      <c r="D926" s="1512"/>
      <c r="E926" s="1512"/>
      <c r="F926" s="1512"/>
      <c r="G926" s="1464"/>
      <c r="H926" s="1464"/>
      <c r="I926" s="1464"/>
      <c r="J926" s="1464"/>
      <c r="K926" s="1464"/>
      <c r="L926" s="1464"/>
      <c r="M926" s="1464"/>
      <c r="N926" s="1464"/>
      <c r="O926" s="1464"/>
      <c r="P926" s="1464"/>
      <c r="Q926" s="1464"/>
      <c r="R926" s="1464"/>
      <c r="S926" s="1464"/>
      <c r="T926" s="1464"/>
      <c r="U926" s="1464"/>
      <c r="V926" s="1464"/>
      <c r="W926" s="1464"/>
      <c r="X926" s="1464"/>
      <c r="Y926" s="1464"/>
      <c r="Z926" s="1464"/>
    </row>
    <row r="927">
      <c r="A927" s="1511" t="s">
        <v>4260</v>
      </c>
      <c r="B927" s="1512"/>
      <c r="C927" s="1512"/>
      <c r="D927" s="1512"/>
      <c r="E927" s="1512"/>
      <c r="F927" s="1512"/>
      <c r="G927" s="1464"/>
      <c r="H927" s="1464"/>
      <c r="I927" s="1464"/>
      <c r="J927" s="1464"/>
      <c r="K927" s="1464"/>
      <c r="L927" s="1464"/>
      <c r="M927" s="1479"/>
      <c r="N927" s="1479"/>
      <c r="O927" s="1479"/>
      <c r="P927" s="1479"/>
      <c r="Q927" s="1479"/>
      <c r="R927" s="1479"/>
      <c r="S927" s="1479"/>
      <c r="T927" s="1479"/>
      <c r="U927" s="1479"/>
      <c r="V927" s="1479"/>
      <c r="W927" s="1479"/>
      <c r="X927" s="1479"/>
      <c r="Y927" s="1479"/>
      <c r="Z927" s="1479"/>
    </row>
    <row r="928">
      <c r="A928" s="1511" t="s">
        <v>4974</v>
      </c>
      <c r="B928" s="1512"/>
      <c r="C928" s="1512"/>
      <c r="D928" s="1512"/>
      <c r="E928" s="1513" t="s">
        <v>1611</v>
      </c>
      <c r="F928" s="1512"/>
      <c r="G928" s="1464"/>
      <c r="H928" s="1464"/>
      <c r="I928" s="1464"/>
      <c r="J928" s="1464"/>
      <c r="K928" s="1464"/>
      <c r="L928" s="1464"/>
      <c r="M928" s="1464"/>
      <c r="N928" s="1464"/>
      <c r="O928" s="1464"/>
      <c r="P928" s="1464"/>
      <c r="Q928" s="1464"/>
      <c r="R928" s="1464"/>
      <c r="S928" s="1464"/>
      <c r="T928" s="1464"/>
      <c r="U928" s="1464"/>
      <c r="V928" s="1464"/>
      <c r="W928" s="1464"/>
      <c r="X928" s="1464"/>
      <c r="Y928" s="1464"/>
      <c r="Z928" s="1464"/>
    </row>
    <row r="929">
      <c r="A929" s="1511" t="s">
        <v>4975</v>
      </c>
      <c r="B929" s="1512"/>
      <c r="C929" s="1512"/>
      <c r="D929" s="1512"/>
      <c r="E929" s="1513" t="s">
        <v>1611</v>
      </c>
      <c r="F929" s="1512"/>
      <c r="G929" s="1464"/>
      <c r="H929" s="1464"/>
      <c r="I929" s="1464"/>
      <c r="J929" s="1464"/>
      <c r="K929" s="1464"/>
      <c r="L929" s="1464"/>
      <c r="M929" s="1464"/>
      <c r="N929" s="1464"/>
      <c r="O929" s="1464"/>
      <c r="P929" s="1464"/>
      <c r="Q929" s="1464"/>
      <c r="R929" s="1464"/>
      <c r="S929" s="1464"/>
      <c r="T929" s="1464"/>
      <c r="U929" s="1464"/>
      <c r="V929" s="1464"/>
      <c r="W929" s="1464"/>
      <c r="X929" s="1464"/>
      <c r="Y929" s="1464"/>
      <c r="Z929" s="1464"/>
    </row>
    <row r="930">
      <c r="A930" s="1511" t="s">
        <v>4107</v>
      </c>
      <c r="B930" s="1512"/>
      <c r="C930" s="1512"/>
      <c r="D930" s="1512"/>
      <c r="E930" s="1512"/>
      <c r="F930" s="1512"/>
      <c r="G930" s="1464"/>
      <c r="H930" s="1464"/>
      <c r="I930" s="1464"/>
      <c r="J930" s="1464"/>
      <c r="K930" s="1464"/>
      <c r="L930" s="1464"/>
      <c r="M930" s="1464"/>
      <c r="N930" s="1464"/>
      <c r="O930" s="1464"/>
      <c r="P930" s="1464"/>
      <c r="Q930" s="1464"/>
      <c r="R930" s="1464"/>
      <c r="S930" s="1464"/>
      <c r="T930" s="1464"/>
      <c r="U930" s="1464"/>
      <c r="V930" s="1464"/>
      <c r="W930" s="1464"/>
      <c r="X930" s="1464"/>
      <c r="Y930" s="1464"/>
      <c r="Z930" s="1464"/>
    </row>
    <row r="931">
      <c r="A931" s="1511" t="s">
        <v>3652</v>
      </c>
      <c r="B931" s="1512"/>
      <c r="C931" s="1512"/>
      <c r="D931" s="1512"/>
      <c r="E931" s="1513" t="s">
        <v>1611</v>
      </c>
      <c r="F931" s="1512"/>
      <c r="G931" s="1464"/>
      <c r="H931" s="1464"/>
      <c r="I931" s="1464"/>
      <c r="J931" s="1464"/>
      <c r="K931" s="1464"/>
      <c r="L931" s="1464"/>
      <c r="M931" s="1464"/>
      <c r="N931" s="1464"/>
      <c r="O931" s="1464"/>
      <c r="P931" s="1464"/>
      <c r="Q931" s="1464"/>
      <c r="R931" s="1464"/>
      <c r="S931" s="1464"/>
      <c r="T931" s="1464"/>
      <c r="U931" s="1464"/>
      <c r="V931" s="1464"/>
      <c r="W931" s="1464"/>
      <c r="X931" s="1464"/>
      <c r="Y931" s="1464"/>
      <c r="Z931" s="1464"/>
    </row>
    <row r="932">
      <c r="A932" s="1511" t="s">
        <v>3839</v>
      </c>
      <c r="B932" s="1512"/>
      <c r="C932" s="1512"/>
      <c r="D932" s="1512"/>
      <c r="E932" s="1513" t="s">
        <v>1611</v>
      </c>
      <c r="F932" s="1512"/>
      <c r="G932" s="1464"/>
      <c r="H932" s="1464"/>
      <c r="I932" s="1464"/>
      <c r="J932" s="1464"/>
      <c r="K932" s="1464"/>
      <c r="L932" s="1464"/>
      <c r="M932" s="1464"/>
      <c r="N932" s="1464"/>
      <c r="O932" s="1464"/>
      <c r="P932" s="1464"/>
      <c r="Q932" s="1464"/>
      <c r="R932" s="1464"/>
      <c r="S932" s="1464"/>
      <c r="T932" s="1464"/>
      <c r="U932" s="1464"/>
      <c r="V932" s="1464"/>
      <c r="W932" s="1464"/>
      <c r="X932" s="1464"/>
      <c r="Y932" s="1464"/>
      <c r="Z932" s="1464"/>
    </row>
    <row r="933">
      <c r="A933" s="1511" t="s">
        <v>4976</v>
      </c>
      <c r="B933" s="1512"/>
      <c r="C933" s="1512"/>
      <c r="D933" s="1512"/>
      <c r="E933" s="1513" t="s">
        <v>1611</v>
      </c>
      <c r="F933" s="1512"/>
      <c r="G933" s="1464"/>
      <c r="H933" s="1464"/>
      <c r="I933" s="1464"/>
      <c r="J933" s="1464"/>
      <c r="K933" s="1464"/>
      <c r="L933" s="1464"/>
      <c r="M933" s="1464"/>
      <c r="N933" s="1464"/>
      <c r="O933" s="1464"/>
      <c r="P933" s="1464"/>
      <c r="Q933" s="1464"/>
      <c r="R933" s="1464"/>
      <c r="S933" s="1464"/>
      <c r="T933" s="1464"/>
      <c r="U933" s="1464"/>
      <c r="V933" s="1464"/>
      <c r="W933" s="1464"/>
      <c r="X933" s="1464"/>
      <c r="Y933" s="1464"/>
      <c r="Z933" s="1464"/>
    </row>
    <row r="934">
      <c r="A934" s="1511" t="s">
        <v>4977</v>
      </c>
      <c r="B934" s="1512"/>
      <c r="C934" s="1512"/>
      <c r="D934" s="1512"/>
      <c r="E934" s="1513" t="s">
        <v>1611</v>
      </c>
      <c r="F934" s="1512"/>
      <c r="G934" s="1464"/>
      <c r="H934" s="1464"/>
      <c r="I934" s="1464"/>
      <c r="J934" s="1470" t="s">
        <v>1611</v>
      </c>
      <c r="K934" s="1464"/>
      <c r="L934" s="1464"/>
      <c r="M934" s="1464"/>
      <c r="N934" s="1464"/>
      <c r="O934" s="1464"/>
      <c r="P934" s="1464"/>
      <c r="Q934" s="1464"/>
      <c r="R934" s="1464"/>
      <c r="S934" s="1464"/>
      <c r="T934" s="1464"/>
      <c r="U934" s="1464"/>
      <c r="V934" s="1464"/>
      <c r="W934" s="1464"/>
      <c r="X934" s="1464"/>
      <c r="Y934" s="1464"/>
      <c r="Z934" s="1464"/>
    </row>
    <row r="935">
      <c r="A935" s="1511" t="s">
        <v>4025</v>
      </c>
      <c r="B935" s="1512"/>
      <c r="C935" s="1512"/>
      <c r="D935" s="1512"/>
      <c r="E935" s="1513" t="s">
        <v>1611</v>
      </c>
      <c r="F935" s="1512"/>
      <c r="G935" s="1464"/>
      <c r="H935" s="1464"/>
      <c r="I935" s="1464"/>
      <c r="J935" s="1464"/>
      <c r="K935" s="1464"/>
      <c r="L935" s="1464"/>
      <c r="M935" s="1464"/>
      <c r="N935" s="1464"/>
      <c r="O935" s="1464"/>
      <c r="P935" s="1464"/>
      <c r="Q935" s="1464"/>
      <c r="R935" s="1464"/>
      <c r="S935" s="1464"/>
      <c r="T935" s="1464"/>
      <c r="U935" s="1464"/>
      <c r="V935" s="1464"/>
      <c r="W935" s="1464"/>
      <c r="X935" s="1464"/>
      <c r="Y935" s="1464"/>
      <c r="Z935" s="1464"/>
    </row>
    <row r="936">
      <c r="A936" s="1511" t="s">
        <v>1061</v>
      </c>
      <c r="B936" s="1512"/>
      <c r="C936" s="1512"/>
      <c r="D936" s="1512"/>
      <c r="E936" s="1513" t="s">
        <v>1611</v>
      </c>
      <c r="F936" s="1512"/>
      <c r="G936" s="1464"/>
      <c r="H936" s="1464"/>
      <c r="I936" s="1464"/>
      <c r="J936" s="1464"/>
      <c r="K936" s="1464"/>
      <c r="L936" s="1464"/>
      <c r="M936" s="1464"/>
      <c r="N936" s="1464"/>
      <c r="O936" s="1464"/>
      <c r="P936" s="1464"/>
      <c r="Q936" s="1464"/>
      <c r="R936" s="1464"/>
      <c r="S936" s="1464"/>
      <c r="T936" s="1464"/>
      <c r="U936" s="1464"/>
      <c r="V936" s="1464"/>
      <c r="W936" s="1464"/>
      <c r="X936" s="1464"/>
      <c r="Y936" s="1464"/>
      <c r="Z936" s="1464"/>
    </row>
    <row r="937">
      <c r="A937" s="1511" t="s">
        <v>4978</v>
      </c>
      <c r="B937" s="1512"/>
      <c r="C937" s="1512"/>
      <c r="D937" s="1512"/>
      <c r="E937" s="1513" t="s">
        <v>1611</v>
      </c>
      <c r="F937" s="1512"/>
      <c r="G937" s="1464"/>
      <c r="H937" s="1464"/>
      <c r="I937" s="1464"/>
      <c r="J937" s="1464"/>
      <c r="K937" s="1464"/>
      <c r="L937" s="1464"/>
      <c r="M937" s="1464"/>
      <c r="N937" s="1464"/>
      <c r="O937" s="1464"/>
      <c r="P937" s="1464"/>
      <c r="Q937" s="1464"/>
      <c r="R937" s="1464"/>
      <c r="S937" s="1464"/>
      <c r="T937" s="1464"/>
      <c r="U937" s="1464"/>
      <c r="V937" s="1464"/>
      <c r="W937" s="1464"/>
      <c r="X937" s="1464"/>
      <c r="Y937" s="1464"/>
      <c r="Z937" s="1464"/>
    </row>
    <row r="938">
      <c r="A938" s="1511" t="s">
        <v>4612</v>
      </c>
      <c r="B938" s="1512"/>
      <c r="C938" s="1512"/>
      <c r="D938" s="1512"/>
      <c r="E938" s="1512"/>
      <c r="F938" s="1512"/>
      <c r="G938" s="1464"/>
      <c r="H938" s="1464"/>
      <c r="I938" s="1464"/>
      <c r="J938" s="1464"/>
      <c r="K938" s="1464"/>
      <c r="L938" s="1464"/>
      <c r="M938" s="1464"/>
      <c r="N938" s="1464"/>
      <c r="O938" s="1464"/>
      <c r="P938" s="1464"/>
      <c r="Q938" s="1464"/>
      <c r="R938" s="1464"/>
      <c r="S938" s="1464"/>
      <c r="T938" s="1464"/>
      <c r="U938" s="1464"/>
      <c r="V938" s="1464"/>
      <c r="W938" s="1464"/>
      <c r="X938" s="1464"/>
      <c r="Y938" s="1464"/>
      <c r="Z938" s="1464"/>
    </row>
    <row r="939">
      <c r="A939" s="1511" t="s">
        <v>4256</v>
      </c>
      <c r="B939" s="1512"/>
      <c r="C939" s="1512"/>
      <c r="D939" s="1512"/>
      <c r="E939" s="1512"/>
      <c r="F939" s="1512"/>
      <c r="G939" s="1464"/>
      <c r="H939" s="1464"/>
      <c r="I939" s="1464"/>
      <c r="J939" s="1464"/>
      <c r="K939" s="1464"/>
      <c r="L939" s="1464"/>
      <c r="M939" s="1464"/>
      <c r="N939" s="1464"/>
      <c r="O939" s="1464"/>
      <c r="P939" s="1464"/>
      <c r="Q939" s="1464"/>
      <c r="R939" s="1464"/>
      <c r="S939" s="1464"/>
      <c r="T939" s="1464"/>
      <c r="U939" s="1464"/>
      <c r="V939" s="1464"/>
      <c r="W939" s="1464"/>
      <c r="X939" s="1464"/>
      <c r="Y939" s="1464"/>
      <c r="Z939" s="1464"/>
    </row>
    <row r="940">
      <c r="A940" s="1511" t="s">
        <v>4979</v>
      </c>
      <c r="B940" s="1512"/>
      <c r="C940" s="1512"/>
      <c r="D940" s="1512"/>
      <c r="E940" s="1512"/>
      <c r="F940" s="1512"/>
      <c r="G940" s="1464"/>
      <c r="H940" s="1464"/>
      <c r="I940" s="1464"/>
      <c r="J940" s="1464"/>
      <c r="K940" s="1464"/>
      <c r="L940" s="1464"/>
      <c r="M940" s="1464"/>
      <c r="N940" s="1464"/>
      <c r="O940" s="1464"/>
      <c r="P940" s="1464"/>
      <c r="Q940" s="1464"/>
      <c r="R940" s="1464"/>
      <c r="S940" s="1464"/>
      <c r="T940" s="1464"/>
      <c r="U940" s="1464"/>
      <c r="V940" s="1464"/>
      <c r="W940" s="1464"/>
      <c r="X940" s="1464"/>
      <c r="Y940" s="1464"/>
      <c r="Z940" s="1464"/>
    </row>
    <row r="941">
      <c r="A941" s="1511" t="s">
        <v>3980</v>
      </c>
      <c r="B941" s="1512"/>
      <c r="C941" s="1512"/>
      <c r="D941" s="1512"/>
      <c r="E941" s="1512"/>
      <c r="F941" s="1512"/>
      <c r="G941" s="1464"/>
      <c r="H941" s="1464"/>
      <c r="I941" s="1464"/>
      <c r="J941" s="1464"/>
      <c r="K941" s="1464"/>
      <c r="L941" s="1464"/>
      <c r="M941" s="1479"/>
      <c r="N941" s="1479"/>
      <c r="O941" s="1479"/>
      <c r="P941" s="1479"/>
      <c r="Q941" s="1479"/>
      <c r="R941" s="1479"/>
      <c r="S941" s="1479"/>
      <c r="T941" s="1479"/>
      <c r="U941" s="1479"/>
      <c r="V941" s="1479"/>
      <c r="W941" s="1479"/>
      <c r="X941" s="1479"/>
      <c r="Y941" s="1479"/>
      <c r="Z941" s="1479"/>
    </row>
    <row r="942">
      <c r="A942" s="1511" t="s">
        <v>4317</v>
      </c>
      <c r="B942" s="1512"/>
      <c r="C942" s="1512"/>
      <c r="D942" s="1512"/>
      <c r="E942" s="1513" t="s">
        <v>1611</v>
      </c>
      <c r="F942" s="1512"/>
      <c r="G942" s="1464"/>
      <c r="H942" s="1464"/>
      <c r="I942" s="1464"/>
      <c r="J942" s="1464"/>
      <c r="K942" s="1464"/>
      <c r="L942" s="1464"/>
      <c r="M942" s="1464"/>
      <c r="N942" s="1464"/>
      <c r="O942" s="1464"/>
      <c r="P942" s="1464"/>
      <c r="Q942" s="1464"/>
      <c r="R942" s="1464"/>
      <c r="S942" s="1464"/>
      <c r="T942" s="1464"/>
      <c r="U942" s="1464"/>
      <c r="V942" s="1464"/>
      <c r="W942" s="1464"/>
      <c r="X942" s="1464"/>
      <c r="Y942" s="1464"/>
      <c r="Z942" s="1464"/>
    </row>
    <row r="943">
      <c r="A943" s="1511" t="s">
        <v>3659</v>
      </c>
      <c r="B943" s="1512"/>
      <c r="C943" s="1512"/>
      <c r="D943" s="1512"/>
      <c r="E943" s="1513" t="s">
        <v>1611</v>
      </c>
      <c r="F943" s="1512"/>
      <c r="G943" s="1464"/>
      <c r="H943" s="1464"/>
      <c r="I943" s="1464"/>
      <c r="J943" s="1464"/>
      <c r="K943" s="1464"/>
      <c r="L943" s="1464"/>
      <c r="M943" s="1464"/>
      <c r="N943" s="1464"/>
      <c r="O943" s="1464"/>
      <c r="P943" s="1464"/>
      <c r="Q943" s="1464"/>
      <c r="R943" s="1464"/>
      <c r="S943" s="1464"/>
      <c r="T943" s="1464"/>
      <c r="U943" s="1464"/>
      <c r="V943" s="1464"/>
      <c r="W943" s="1464"/>
      <c r="X943" s="1464"/>
      <c r="Y943" s="1464"/>
      <c r="Z943" s="1464"/>
    </row>
    <row r="944">
      <c r="A944" s="1511" t="s">
        <v>3708</v>
      </c>
      <c r="B944" s="1512"/>
      <c r="C944" s="1512"/>
      <c r="D944" s="1512"/>
      <c r="E944" s="1513" t="s">
        <v>1611</v>
      </c>
      <c r="F944" s="1512"/>
      <c r="G944" s="1464"/>
      <c r="H944" s="1464"/>
      <c r="I944" s="1464"/>
      <c r="J944" s="1464"/>
      <c r="K944" s="1464"/>
      <c r="L944" s="1464"/>
      <c r="M944" s="1464"/>
      <c r="N944" s="1464"/>
      <c r="O944" s="1464"/>
      <c r="P944" s="1464"/>
      <c r="Q944" s="1464"/>
      <c r="R944" s="1464"/>
      <c r="S944" s="1464"/>
      <c r="T944" s="1464"/>
      <c r="U944" s="1464"/>
      <c r="V944" s="1464"/>
      <c r="W944" s="1464"/>
      <c r="X944" s="1464"/>
      <c r="Y944" s="1464"/>
      <c r="Z944" s="1464"/>
    </row>
    <row r="945">
      <c r="A945" s="1511" t="s">
        <v>4915</v>
      </c>
      <c r="B945" s="1512"/>
      <c r="C945" s="1512"/>
      <c r="D945" s="1512"/>
      <c r="E945" s="1513" t="s">
        <v>1611</v>
      </c>
      <c r="F945" s="1512"/>
      <c r="G945" s="1464"/>
      <c r="H945" s="1464"/>
      <c r="I945" s="1464"/>
      <c r="J945" s="1464"/>
      <c r="K945" s="1464"/>
      <c r="L945" s="1464"/>
      <c r="M945" s="1464"/>
      <c r="N945" s="1464"/>
      <c r="O945" s="1464"/>
      <c r="P945" s="1464"/>
      <c r="Q945" s="1464"/>
      <c r="R945" s="1464"/>
      <c r="S945" s="1464"/>
      <c r="T945" s="1464"/>
      <c r="U945" s="1464"/>
      <c r="V945" s="1464"/>
      <c r="W945" s="1464"/>
      <c r="X945" s="1464"/>
      <c r="Y945" s="1464"/>
      <c r="Z945" s="1464"/>
    </row>
    <row r="946">
      <c r="A946" s="1511" t="s">
        <v>1116</v>
      </c>
      <c r="B946" s="1512"/>
      <c r="C946" s="1512"/>
      <c r="D946" s="1512"/>
      <c r="E946" s="1513" t="s">
        <v>1611</v>
      </c>
      <c r="F946" s="1512"/>
      <c r="G946" s="1464"/>
      <c r="H946" s="1464"/>
      <c r="I946" s="1464"/>
      <c r="J946" s="1464"/>
      <c r="K946" s="1464"/>
      <c r="L946" s="1464"/>
      <c r="M946" s="1464"/>
      <c r="N946" s="1464"/>
      <c r="O946" s="1464"/>
      <c r="P946" s="1464"/>
      <c r="Q946" s="1464"/>
      <c r="R946" s="1464"/>
      <c r="S946" s="1464"/>
      <c r="T946" s="1464"/>
      <c r="U946" s="1464"/>
      <c r="V946" s="1464"/>
      <c r="W946" s="1464"/>
      <c r="X946" s="1464"/>
      <c r="Y946" s="1464"/>
      <c r="Z946" s="1464"/>
    </row>
    <row r="947">
      <c r="A947" s="1511" t="s">
        <v>3766</v>
      </c>
      <c r="B947" s="1512"/>
      <c r="C947" s="1512"/>
      <c r="D947" s="1512"/>
      <c r="E947" s="1512"/>
      <c r="F947" s="1512"/>
      <c r="G947" s="1479"/>
      <c r="H947" s="1479"/>
      <c r="I947" s="1464"/>
      <c r="J947" s="1464"/>
      <c r="K947" s="1464"/>
      <c r="L947" s="1464"/>
      <c r="M947" s="1464"/>
      <c r="N947" s="1464"/>
      <c r="O947" s="1464"/>
      <c r="P947" s="1464"/>
      <c r="Q947" s="1464"/>
      <c r="R947" s="1464"/>
      <c r="S947" s="1464"/>
      <c r="T947" s="1464"/>
      <c r="U947" s="1464"/>
      <c r="V947" s="1464"/>
      <c r="W947" s="1464"/>
      <c r="X947" s="1464"/>
      <c r="Y947" s="1464"/>
      <c r="Z947" s="1464"/>
    </row>
    <row r="948">
      <c r="A948" s="1511" t="s">
        <v>3681</v>
      </c>
      <c r="B948" s="1512"/>
      <c r="C948" s="1512"/>
      <c r="D948" s="1512"/>
      <c r="E948" s="1513" t="s">
        <v>1611</v>
      </c>
      <c r="F948" s="1512"/>
      <c r="G948" s="1464"/>
      <c r="H948" s="1464"/>
      <c r="I948" s="1464"/>
      <c r="J948" s="1464"/>
      <c r="K948" s="1464"/>
      <c r="L948" s="1464"/>
      <c r="M948" s="1464"/>
      <c r="N948" s="1464"/>
      <c r="O948" s="1464"/>
      <c r="P948" s="1464"/>
      <c r="Q948" s="1464"/>
      <c r="R948" s="1464"/>
      <c r="S948" s="1464"/>
      <c r="T948" s="1464"/>
      <c r="U948" s="1464"/>
      <c r="V948" s="1464"/>
      <c r="W948" s="1464"/>
      <c r="X948" s="1464"/>
      <c r="Y948" s="1464"/>
      <c r="Z948" s="1464"/>
    </row>
    <row r="949">
      <c r="A949" s="1511" t="s">
        <v>3890</v>
      </c>
      <c r="B949" s="1512"/>
      <c r="C949" s="1512"/>
      <c r="D949" s="1512"/>
      <c r="E949" s="1513" t="s">
        <v>1611</v>
      </c>
      <c r="F949" s="1512"/>
      <c r="G949" s="1464"/>
      <c r="H949" s="1464"/>
      <c r="I949" s="1464"/>
      <c r="J949" s="1464"/>
      <c r="K949" s="1464"/>
      <c r="L949" s="1464"/>
      <c r="M949" s="1464"/>
      <c r="N949" s="1464"/>
      <c r="O949" s="1464"/>
      <c r="P949" s="1464"/>
      <c r="Q949" s="1464"/>
      <c r="R949" s="1464"/>
      <c r="S949" s="1464"/>
      <c r="T949" s="1464"/>
      <c r="U949" s="1464"/>
      <c r="V949" s="1464"/>
      <c r="W949" s="1464"/>
      <c r="X949" s="1464"/>
      <c r="Y949" s="1464"/>
      <c r="Z949" s="1464"/>
    </row>
    <row r="950">
      <c r="A950" s="1511" t="s">
        <v>3729</v>
      </c>
      <c r="B950" s="1512"/>
      <c r="C950" s="1512"/>
      <c r="D950" s="1512"/>
      <c r="E950" s="1513" t="s">
        <v>1611</v>
      </c>
      <c r="F950" s="1512"/>
      <c r="G950" s="1464"/>
      <c r="H950" s="1464"/>
      <c r="I950" s="1464"/>
      <c r="J950" s="1464"/>
      <c r="K950" s="1464"/>
      <c r="L950" s="1464"/>
      <c r="M950" s="1464"/>
      <c r="N950" s="1464"/>
      <c r="O950" s="1464"/>
      <c r="P950" s="1464"/>
      <c r="Q950" s="1464"/>
      <c r="R950" s="1464"/>
      <c r="S950" s="1464"/>
      <c r="T950" s="1464"/>
      <c r="U950" s="1464"/>
      <c r="V950" s="1464"/>
      <c r="W950" s="1464"/>
      <c r="X950" s="1464"/>
      <c r="Y950" s="1464"/>
      <c r="Z950" s="1464"/>
    </row>
    <row r="951">
      <c r="A951" s="1511" t="s">
        <v>4980</v>
      </c>
      <c r="B951" s="1512"/>
      <c r="C951" s="1512"/>
      <c r="D951" s="1512"/>
      <c r="E951" s="1513" t="s">
        <v>1611</v>
      </c>
      <c r="F951" s="1512"/>
      <c r="G951" s="1464"/>
      <c r="H951" s="1464"/>
      <c r="I951" s="1464"/>
      <c r="J951" s="1464"/>
      <c r="K951" s="1464"/>
      <c r="L951" s="1464"/>
      <c r="M951" s="1464"/>
      <c r="N951" s="1464"/>
      <c r="O951" s="1464"/>
      <c r="P951" s="1464"/>
      <c r="Q951" s="1464"/>
      <c r="R951" s="1464"/>
      <c r="S951" s="1464"/>
      <c r="T951" s="1464"/>
      <c r="U951" s="1464"/>
      <c r="V951" s="1464"/>
      <c r="W951" s="1464"/>
      <c r="X951" s="1464"/>
      <c r="Y951" s="1464"/>
      <c r="Z951" s="1464"/>
    </row>
    <row r="952">
      <c r="A952" s="1511" t="s">
        <v>1144</v>
      </c>
      <c r="B952" s="1512"/>
      <c r="C952" s="1512"/>
      <c r="D952" s="1512"/>
      <c r="E952" s="1512"/>
      <c r="F952" s="1512"/>
      <c r="G952" s="1464"/>
      <c r="H952" s="1464"/>
      <c r="I952" s="1464"/>
      <c r="J952" s="1464"/>
      <c r="K952" s="1464"/>
      <c r="L952" s="1464"/>
      <c r="M952" s="1464"/>
      <c r="N952" s="1464"/>
      <c r="O952" s="1464"/>
      <c r="P952" s="1464"/>
      <c r="Q952" s="1464"/>
      <c r="R952" s="1464"/>
      <c r="S952" s="1464"/>
      <c r="T952" s="1464"/>
      <c r="U952" s="1464"/>
      <c r="V952" s="1464"/>
      <c r="W952" s="1464"/>
      <c r="X952" s="1464"/>
      <c r="Y952" s="1464"/>
      <c r="Z952" s="1464"/>
    </row>
    <row r="953">
      <c r="A953" s="1511" t="s">
        <v>4349</v>
      </c>
      <c r="B953" s="1512"/>
      <c r="C953" s="1512"/>
      <c r="D953" s="1512"/>
      <c r="E953" s="1513" t="s">
        <v>1611</v>
      </c>
      <c r="F953" s="1512"/>
      <c r="G953" s="1464"/>
      <c r="H953" s="1464"/>
      <c r="I953" s="1464"/>
      <c r="J953" s="1464"/>
      <c r="K953" s="1464"/>
      <c r="L953" s="1464"/>
      <c r="M953" s="1464"/>
      <c r="N953" s="1464"/>
      <c r="O953" s="1464"/>
      <c r="P953" s="1464"/>
      <c r="Q953" s="1464"/>
      <c r="R953" s="1464"/>
      <c r="S953" s="1464"/>
      <c r="T953" s="1464"/>
      <c r="U953" s="1464"/>
      <c r="V953" s="1464"/>
      <c r="W953" s="1464"/>
      <c r="X953" s="1464"/>
      <c r="Y953" s="1464"/>
      <c r="Z953" s="1464"/>
    </row>
    <row r="954">
      <c r="A954" s="1511" t="s">
        <v>4830</v>
      </c>
      <c r="B954" s="1512"/>
      <c r="C954" s="1512"/>
      <c r="D954" s="1512"/>
      <c r="E954" s="1513" t="s">
        <v>1611</v>
      </c>
      <c r="F954" s="1512"/>
      <c r="G954" s="1464"/>
      <c r="H954" s="1464"/>
      <c r="I954" s="1464"/>
      <c r="J954" s="1464"/>
      <c r="K954" s="1464"/>
      <c r="L954" s="1464"/>
      <c r="M954" s="1464"/>
      <c r="N954" s="1464"/>
      <c r="O954" s="1464"/>
      <c r="P954" s="1464"/>
      <c r="Q954" s="1464"/>
      <c r="R954" s="1464"/>
      <c r="S954" s="1464"/>
      <c r="T954" s="1464"/>
      <c r="U954" s="1464"/>
      <c r="V954" s="1464"/>
      <c r="W954" s="1464"/>
      <c r="X954" s="1464"/>
      <c r="Y954" s="1464"/>
      <c r="Z954" s="1464"/>
    </row>
    <row r="955">
      <c r="A955" s="1511" t="s">
        <v>4981</v>
      </c>
      <c r="B955" s="1512"/>
      <c r="C955" s="1512"/>
      <c r="D955" s="1512"/>
      <c r="E955" s="1513" t="s">
        <v>1611</v>
      </c>
      <c r="F955" s="1512"/>
      <c r="G955" s="1464"/>
      <c r="H955" s="1464"/>
      <c r="I955" s="1464"/>
      <c r="J955" s="1464"/>
      <c r="K955" s="1464"/>
      <c r="L955" s="1464"/>
      <c r="M955" s="1464"/>
      <c r="N955" s="1464"/>
      <c r="O955" s="1464"/>
      <c r="P955" s="1464"/>
      <c r="Q955" s="1464"/>
      <c r="R955" s="1464"/>
      <c r="S955" s="1464"/>
      <c r="T955" s="1464"/>
      <c r="U955" s="1464"/>
      <c r="V955" s="1464"/>
      <c r="W955" s="1464"/>
      <c r="X955" s="1464"/>
      <c r="Y955" s="1464"/>
      <c r="Z955" s="1464"/>
    </row>
    <row r="956">
      <c r="A956" s="1511" t="s">
        <v>3647</v>
      </c>
      <c r="B956" s="1512"/>
      <c r="C956" s="1512"/>
      <c r="D956" s="1512"/>
      <c r="E956" s="1513" t="s">
        <v>1611</v>
      </c>
      <c r="F956" s="1512"/>
      <c r="G956" s="1464"/>
      <c r="H956" s="1464"/>
      <c r="I956" s="1464"/>
      <c r="J956" s="1464"/>
      <c r="K956" s="1464"/>
      <c r="L956" s="1464"/>
      <c r="M956" s="1464"/>
      <c r="N956" s="1464"/>
      <c r="O956" s="1464"/>
      <c r="P956" s="1464"/>
      <c r="Q956" s="1464"/>
      <c r="R956" s="1464"/>
      <c r="S956" s="1464"/>
      <c r="T956" s="1464"/>
      <c r="U956" s="1464"/>
      <c r="V956" s="1464"/>
      <c r="W956" s="1464"/>
      <c r="X956" s="1464"/>
      <c r="Y956" s="1464"/>
      <c r="Z956" s="1464"/>
    </row>
    <row r="957">
      <c r="A957" s="1511" t="s">
        <v>3827</v>
      </c>
      <c r="B957" s="1512"/>
      <c r="C957" s="1512"/>
      <c r="D957" s="1512"/>
      <c r="E957" s="1513" t="s">
        <v>1611</v>
      </c>
      <c r="F957" s="1512"/>
      <c r="G957" s="1464"/>
      <c r="H957" s="1464"/>
      <c r="I957" s="1464"/>
      <c r="J957" s="1464"/>
      <c r="K957" s="1464"/>
      <c r="L957" s="1464"/>
      <c r="M957" s="1464"/>
      <c r="N957" s="1464"/>
      <c r="O957" s="1464"/>
      <c r="P957" s="1464"/>
      <c r="Q957" s="1464"/>
      <c r="R957" s="1464"/>
      <c r="S957" s="1464"/>
      <c r="T957" s="1464"/>
      <c r="U957" s="1464"/>
      <c r="V957" s="1464"/>
      <c r="W957" s="1464"/>
      <c r="X957" s="1464"/>
      <c r="Y957" s="1464"/>
      <c r="Z957" s="1464"/>
    </row>
    <row r="958">
      <c r="A958" s="1511" t="s">
        <v>3984</v>
      </c>
      <c r="B958" s="1512"/>
      <c r="C958" s="1512"/>
      <c r="D958" s="1512"/>
      <c r="E958" s="1513" t="s">
        <v>1611</v>
      </c>
      <c r="F958" s="1512"/>
      <c r="G958" s="1464"/>
      <c r="H958" s="1464"/>
      <c r="I958" s="1464"/>
      <c r="J958" s="1464"/>
      <c r="K958" s="1464"/>
      <c r="L958" s="1464"/>
      <c r="M958" s="1464"/>
      <c r="N958" s="1464"/>
      <c r="O958" s="1464"/>
      <c r="P958" s="1464"/>
      <c r="Q958" s="1464"/>
      <c r="R958" s="1464"/>
      <c r="S958" s="1464"/>
      <c r="T958" s="1464"/>
      <c r="U958" s="1464"/>
      <c r="V958" s="1464"/>
      <c r="W958" s="1464"/>
      <c r="X958" s="1464"/>
      <c r="Y958" s="1464"/>
      <c r="Z958" s="1464"/>
    </row>
    <row r="959">
      <c r="A959" s="1511" t="s">
        <v>4982</v>
      </c>
      <c r="B959" s="1512"/>
      <c r="C959" s="1512"/>
      <c r="D959" s="1512"/>
      <c r="E959" s="1513" t="s">
        <v>1611</v>
      </c>
      <c r="F959" s="1512"/>
      <c r="G959" s="1464"/>
      <c r="H959" s="1464"/>
      <c r="I959" s="1464"/>
      <c r="J959" s="1464"/>
      <c r="K959" s="1464"/>
      <c r="L959" s="1464"/>
      <c r="M959" s="1464"/>
      <c r="N959" s="1464"/>
      <c r="O959" s="1464"/>
      <c r="P959" s="1464"/>
      <c r="Q959" s="1464"/>
      <c r="R959" s="1464"/>
      <c r="S959" s="1464"/>
      <c r="T959" s="1464"/>
      <c r="U959" s="1464"/>
      <c r="V959" s="1464"/>
      <c r="W959" s="1464"/>
      <c r="X959" s="1464"/>
      <c r="Y959" s="1464"/>
      <c r="Z959" s="1464"/>
    </row>
    <row r="960">
      <c r="A960" s="1511" t="s">
        <v>3759</v>
      </c>
      <c r="B960" s="1512"/>
      <c r="C960" s="1512"/>
      <c r="D960" s="1512"/>
      <c r="E960" s="1513" t="s">
        <v>1611</v>
      </c>
      <c r="F960" s="1512"/>
      <c r="G960" s="1464"/>
      <c r="H960" s="1464"/>
      <c r="I960" s="1464"/>
      <c r="J960" s="1464"/>
      <c r="K960" s="1464"/>
      <c r="L960" s="1464"/>
      <c r="M960" s="1464"/>
      <c r="N960" s="1464"/>
      <c r="O960" s="1464"/>
      <c r="P960" s="1464"/>
      <c r="Q960" s="1464"/>
      <c r="R960" s="1464"/>
      <c r="S960" s="1464"/>
      <c r="T960" s="1464"/>
      <c r="U960" s="1464"/>
      <c r="V960" s="1464"/>
      <c r="W960" s="1464"/>
      <c r="X960" s="1464"/>
      <c r="Y960" s="1464"/>
      <c r="Z960" s="1464"/>
    </row>
    <row r="961">
      <c r="A961" s="1511" t="s">
        <v>3884</v>
      </c>
      <c r="B961" s="1512"/>
      <c r="C961" s="1512"/>
      <c r="D961" s="1512"/>
      <c r="E961" s="1513" t="s">
        <v>1611</v>
      </c>
      <c r="F961" s="1512"/>
      <c r="G961" s="1464"/>
      <c r="H961" s="1464"/>
      <c r="I961" s="1464"/>
      <c r="J961" s="1464"/>
      <c r="K961" s="1464"/>
      <c r="L961" s="1464"/>
      <c r="M961" s="1464"/>
      <c r="N961" s="1464"/>
      <c r="O961" s="1464"/>
      <c r="P961" s="1464"/>
      <c r="Q961" s="1464"/>
      <c r="R961" s="1464"/>
      <c r="S961" s="1464"/>
      <c r="T961" s="1464"/>
      <c r="U961" s="1464"/>
      <c r="V961" s="1464"/>
      <c r="W961" s="1464"/>
      <c r="X961" s="1464"/>
      <c r="Y961" s="1464"/>
      <c r="Z961" s="1464"/>
    </row>
    <row r="962">
      <c r="A962" s="1511" t="s">
        <v>4927</v>
      </c>
      <c r="B962" s="1512"/>
      <c r="C962" s="1512"/>
      <c r="D962" s="1512"/>
      <c r="E962" s="1513" t="s">
        <v>1611</v>
      </c>
      <c r="F962" s="1512"/>
      <c r="G962" s="1464"/>
      <c r="H962" s="1464"/>
      <c r="I962" s="1464"/>
      <c r="J962" s="1464"/>
      <c r="K962" s="1464"/>
      <c r="L962" s="1464"/>
      <c r="M962" s="1464"/>
      <c r="N962" s="1464"/>
      <c r="O962" s="1464"/>
      <c r="P962" s="1464"/>
      <c r="Q962" s="1464"/>
      <c r="R962" s="1464"/>
      <c r="S962" s="1464"/>
      <c r="T962" s="1464"/>
      <c r="U962" s="1464"/>
      <c r="V962" s="1464"/>
      <c r="W962" s="1464"/>
      <c r="X962" s="1464"/>
      <c r="Y962" s="1464"/>
      <c r="Z962" s="1464"/>
    </row>
    <row r="963">
      <c r="A963" s="1511" t="s">
        <v>3833</v>
      </c>
      <c r="B963" s="1512"/>
      <c r="C963" s="1512"/>
      <c r="D963" s="1512"/>
      <c r="E963" s="1513" t="s">
        <v>1611</v>
      </c>
      <c r="F963" s="1512"/>
      <c r="G963" s="1464"/>
      <c r="H963" s="1464"/>
      <c r="I963" s="1464"/>
      <c r="J963" s="1464"/>
      <c r="K963" s="1464"/>
      <c r="L963" s="1464"/>
      <c r="M963" s="1464"/>
      <c r="N963" s="1464"/>
      <c r="O963" s="1464"/>
      <c r="P963" s="1464"/>
      <c r="Q963" s="1464"/>
      <c r="R963" s="1464"/>
      <c r="S963" s="1464"/>
      <c r="T963" s="1464"/>
      <c r="U963" s="1464"/>
      <c r="V963" s="1464"/>
      <c r="W963" s="1464"/>
      <c r="X963" s="1464"/>
      <c r="Y963" s="1464"/>
      <c r="Z963" s="1464"/>
    </row>
    <row r="964">
      <c r="A964" s="1511" t="s">
        <v>3928</v>
      </c>
      <c r="B964" s="1512"/>
      <c r="C964" s="1512"/>
      <c r="D964" s="1512"/>
      <c r="E964" s="1512"/>
      <c r="F964" s="1512"/>
      <c r="G964" s="1464"/>
      <c r="H964" s="1464"/>
      <c r="I964" s="1464"/>
      <c r="J964" s="1464"/>
      <c r="K964" s="1464"/>
      <c r="L964" s="1464"/>
      <c r="M964" s="1464"/>
      <c r="N964" s="1464"/>
      <c r="O964" s="1464"/>
      <c r="P964" s="1464"/>
      <c r="Q964" s="1464"/>
      <c r="R964" s="1464"/>
      <c r="S964" s="1464"/>
      <c r="T964" s="1464"/>
      <c r="U964" s="1464"/>
      <c r="V964" s="1464"/>
      <c r="W964" s="1464"/>
      <c r="X964" s="1464"/>
      <c r="Y964" s="1464"/>
      <c r="Z964" s="1464"/>
    </row>
    <row r="965">
      <c r="A965" s="1511" t="s">
        <v>3981</v>
      </c>
      <c r="B965" s="1512"/>
      <c r="C965" s="1512"/>
      <c r="D965" s="1512"/>
      <c r="E965" s="1513" t="s">
        <v>1611</v>
      </c>
      <c r="F965" s="1512"/>
      <c r="G965" s="1464"/>
      <c r="H965" s="1464"/>
      <c r="I965" s="1464"/>
      <c r="J965" s="1464"/>
      <c r="K965" s="1464"/>
      <c r="L965" s="1464"/>
      <c r="M965" s="1464"/>
      <c r="N965" s="1464"/>
      <c r="O965" s="1464"/>
      <c r="P965" s="1464"/>
      <c r="Q965" s="1464"/>
      <c r="R965" s="1464"/>
      <c r="S965" s="1464"/>
      <c r="T965" s="1464"/>
      <c r="U965" s="1464"/>
      <c r="V965" s="1464"/>
      <c r="W965" s="1464"/>
      <c r="X965" s="1464"/>
      <c r="Y965" s="1464"/>
      <c r="Z965" s="1464"/>
    </row>
    <row r="966">
      <c r="A966" s="1511" t="s">
        <v>3705</v>
      </c>
      <c r="B966" s="1512"/>
      <c r="C966" s="1512"/>
      <c r="D966" s="1512"/>
      <c r="E966" s="1513" t="s">
        <v>1611</v>
      </c>
      <c r="F966" s="1512"/>
      <c r="G966" s="1464"/>
      <c r="H966" s="1464"/>
      <c r="I966" s="1464"/>
      <c r="J966" s="1464"/>
      <c r="K966" s="1464"/>
      <c r="L966" s="1464"/>
      <c r="M966" s="1464"/>
      <c r="N966" s="1464"/>
      <c r="O966" s="1464"/>
      <c r="P966" s="1464"/>
      <c r="Q966" s="1464"/>
      <c r="R966" s="1464"/>
      <c r="S966" s="1464"/>
      <c r="T966" s="1464"/>
      <c r="U966" s="1464"/>
      <c r="V966" s="1464"/>
      <c r="W966" s="1464"/>
      <c r="X966" s="1464"/>
      <c r="Y966" s="1464"/>
      <c r="Z966" s="1464"/>
    </row>
    <row r="967">
      <c r="A967" s="1511" t="s">
        <v>3658</v>
      </c>
      <c r="B967" s="1512"/>
      <c r="C967" s="1512"/>
      <c r="D967" s="1512"/>
      <c r="E967" s="1513" t="s">
        <v>1611</v>
      </c>
      <c r="F967" s="1512"/>
      <c r="G967" s="1464"/>
      <c r="H967" s="1464"/>
      <c r="I967" s="1464"/>
      <c r="J967" s="1464"/>
      <c r="K967" s="1464"/>
      <c r="L967" s="1479"/>
      <c r="M967" s="1464"/>
      <c r="N967" s="1464"/>
      <c r="O967" s="1464"/>
      <c r="P967" s="1464"/>
      <c r="Q967" s="1464"/>
      <c r="R967" s="1464"/>
      <c r="S967" s="1464"/>
      <c r="T967" s="1464"/>
      <c r="U967" s="1464"/>
      <c r="V967" s="1464"/>
      <c r="W967" s="1464"/>
      <c r="X967" s="1464"/>
      <c r="Y967" s="1464"/>
      <c r="Z967" s="1464"/>
    </row>
    <row r="968">
      <c r="A968" s="1511" t="s">
        <v>4282</v>
      </c>
      <c r="B968" s="1512"/>
      <c r="C968" s="1512"/>
      <c r="D968" s="1512"/>
      <c r="E968" s="1513" t="s">
        <v>1611</v>
      </c>
      <c r="F968" s="1512"/>
      <c r="G968" s="1464"/>
      <c r="H968" s="1464"/>
      <c r="I968" s="1464"/>
      <c r="J968" s="1464"/>
      <c r="K968" s="1464"/>
      <c r="L968" s="1464"/>
      <c r="M968" s="1464"/>
      <c r="N968" s="1464"/>
      <c r="O968" s="1464"/>
      <c r="P968" s="1464"/>
      <c r="Q968" s="1464"/>
      <c r="R968" s="1464"/>
      <c r="S968" s="1464"/>
      <c r="T968" s="1464"/>
      <c r="U968" s="1464"/>
      <c r="V968" s="1464"/>
      <c r="W968" s="1464"/>
      <c r="X968" s="1464"/>
      <c r="Y968" s="1464"/>
      <c r="Z968" s="1464"/>
    </row>
    <row r="969">
      <c r="A969" s="1511" t="s">
        <v>4983</v>
      </c>
      <c r="B969" s="1512"/>
      <c r="C969" s="1512"/>
      <c r="D969" s="1512"/>
      <c r="E969" s="1513" t="s">
        <v>1611</v>
      </c>
      <c r="F969" s="1512"/>
      <c r="G969" s="1464"/>
      <c r="H969" s="1464"/>
      <c r="I969" s="1464"/>
      <c r="J969" s="1464"/>
      <c r="K969" s="1464"/>
      <c r="L969" s="1464"/>
      <c r="M969" s="1464"/>
      <c r="N969" s="1464"/>
      <c r="O969" s="1464"/>
      <c r="P969" s="1464"/>
      <c r="Q969" s="1464"/>
      <c r="R969" s="1464"/>
      <c r="S969" s="1464"/>
      <c r="T969" s="1464"/>
      <c r="U969" s="1464"/>
      <c r="V969" s="1464"/>
      <c r="W969" s="1464"/>
      <c r="X969" s="1464"/>
      <c r="Y969" s="1464"/>
      <c r="Z969" s="1464"/>
    </row>
    <row r="970">
      <c r="A970" s="1511" t="s">
        <v>3471</v>
      </c>
      <c r="B970" s="1512"/>
      <c r="C970" s="1512"/>
      <c r="D970" s="1512"/>
      <c r="E970" s="1512"/>
      <c r="F970" s="1512"/>
      <c r="G970" s="1464"/>
      <c r="H970" s="1464"/>
      <c r="I970" s="1464"/>
      <c r="J970" s="1464"/>
      <c r="K970" s="1464"/>
      <c r="L970" s="1464"/>
      <c r="M970" s="1464"/>
      <c r="N970" s="1464"/>
      <c r="O970" s="1464"/>
      <c r="P970" s="1464"/>
      <c r="Q970" s="1464"/>
      <c r="R970" s="1464"/>
      <c r="S970" s="1464"/>
      <c r="T970" s="1464"/>
      <c r="U970" s="1464"/>
      <c r="V970" s="1464"/>
      <c r="W970" s="1464"/>
      <c r="X970" s="1464"/>
      <c r="Y970" s="1464"/>
      <c r="Z970" s="1464"/>
    </row>
    <row r="971">
      <c r="A971" s="1511" t="s">
        <v>3651</v>
      </c>
      <c r="B971" s="1512"/>
      <c r="C971" s="1512"/>
      <c r="D971" s="1512"/>
      <c r="E971" s="1513" t="s">
        <v>1611</v>
      </c>
      <c r="F971" s="1512"/>
      <c r="G971" s="1464"/>
      <c r="H971" s="1464"/>
      <c r="I971" s="1464"/>
      <c r="J971" s="1464"/>
      <c r="K971" s="1464"/>
      <c r="L971" s="1464"/>
      <c r="M971" s="1464"/>
      <c r="N971" s="1464"/>
      <c r="O971" s="1464"/>
      <c r="P971" s="1464"/>
      <c r="Q971" s="1464"/>
      <c r="R971" s="1464"/>
      <c r="S971" s="1464"/>
      <c r="T971" s="1464"/>
      <c r="U971" s="1464"/>
      <c r="V971" s="1464"/>
      <c r="W971" s="1464"/>
      <c r="X971" s="1464"/>
      <c r="Y971" s="1464"/>
      <c r="Z971" s="1464"/>
    </row>
    <row r="972">
      <c r="A972" s="1511" t="s">
        <v>4984</v>
      </c>
      <c r="B972" s="1512"/>
      <c r="C972" s="1512"/>
      <c r="D972" s="1512"/>
      <c r="E972" s="1513" t="s">
        <v>1611</v>
      </c>
      <c r="F972" s="1512"/>
      <c r="G972" s="1464"/>
      <c r="H972" s="1464"/>
      <c r="I972" s="1464"/>
      <c r="J972" s="1464"/>
      <c r="K972" s="1464"/>
      <c r="L972" s="1464"/>
      <c r="M972" s="1464"/>
      <c r="N972" s="1464"/>
      <c r="O972" s="1464"/>
      <c r="P972" s="1464"/>
      <c r="Q972" s="1464"/>
      <c r="R972" s="1464"/>
      <c r="S972" s="1464"/>
      <c r="T972" s="1464"/>
      <c r="U972" s="1464"/>
      <c r="V972" s="1464"/>
      <c r="W972" s="1464"/>
      <c r="X972" s="1464"/>
      <c r="Y972" s="1464"/>
      <c r="Z972" s="1464"/>
    </row>
    <row r="973">
      <c r="A973" s="1511" t="s">
        <v>4206</v>
      </c>
      <c r="B973" s="1512"/>
      <c r="C973" s="1512"/>
      <c r="D973" s="1512"/>
      <c r="E973" s="1512"/>
      <c r="F973" s="1512"/>
      <c r="G973" s="1464"/>
      <c r="H973" s="1464"/>
      <c r="I973" s="1464"/>
      <c r="J973" s="1464"/>
      <c r="K973" s="1464"/>
      <c r="L973" s="1479"/>
      <c r="M973" s="1464"/>
      <c r="N973" s="1464"/>
      <c r="O973" s="1464"/>
      <c r="P973" s="1464"/>
      <c r="Q973" s="1464"/>
      <c r="R973" s="1464"/>
      <c r="S973" s="1464"/>
      <c r="T973" s="1464"/>
      <c r="U973" s="1464"/>
      <c r="V973" s="1464"/>
      <c r="W973" s="1464"/>
      <c r="X973" s="1464"/>
      <c r="Y973" s="1464"/>
      <c r="Z973" s="1464"/>
    </row>
    <row r="974">
      <c r="A974" s="1511" t="s">
        <v>3753</v>
      </c>
      <c r="B974" s="1512"/>
      <c r="C974" s="1512"/>
      <c r="D974" s="1512"/>
      <c r="E974" s="1513" t="s">
        <v>1611</v>
      </c>
      <c r="F974" s="1512"/>
      <c r="G974" s="1464"/>
      <c r="H974" s="1464"/>
      <c r="I974" s="1464"/>
      <c r="J974" s="1464"/>
      <c r="K974" s="1464"/>
      <c r="L974" s="1479"/>
      <c r="M974" s="1464"/>
      <c r="N974" s="1464"/>
      <c r="O974" s="1464"/>
      <c r="P974" s="1464"/>
      <c r="Q974" s="1464"/>
      <c r="R974" s="1464"/>
      <c r="S974" s="1464"/>
      <c r="T974" s="1464"/>
      <c r="U974" s="1464"/>
      <c r="V974" s="1464"/>
      <c r="W974" s="1464"/>
      <c r="X974" s="1464"/>
      <c r="Y974" s="1464"/>
      <c r="Z974" s="1464"/>
    </row>
    <row r="975">
      <c r="A975" s="1511" t="s">
        <v>4985</v>
      </c>
      <c r="B975" s="1512"/>
      <c r="C975" s="1512"/>
      <c r="D975" s="1512"/>
      <c r="E975" s="1513" t="s">
        <v>1611</v>
      </c>
      <c r="F975" s="1512"/>
      <c r="G975" s="1464"/>
      <c r="H975" s="1464"/>
      <c r="I975" s="1464"/>
      <c r="J975" s="1464"/>
      <c r="K975" s="1464"/>
      <c r="L975" s="1464"/>
      <c r="M975" s="1464"/>
      <c r="N975" s="1464"/>
      <c r="O975" s="1464"/>
      <c r="P975" s="1464"/>
      <c r="Q975" s="1464"/>
      <c r="R975" s="1464"/>
      <c r="S975" s="1464"/>
      <c r="T975" s="1464"/>
      <c r="U975" s="1464"/>
      <c r="V975" s="1464"/>
      <c r="W975" s="1464"/>
      <c r="X975" s="1464"/>
      <c r="Y975" s="1464"/>
      <c r="Z975" s="1464"/>
    </row>
    <row r="976">
      <c r="A976" s="1464"/>
      <c r="B976" s="1464"/>
      <c r="C976" s="1464"/>
      <c r="D976" s="1464"/>
      <c r="E976" s="1464"/>
      <c r="F976" s="1464"/>
      <c r="G976" s="1464"/>
      <c r="H976" s="1464"/>
      <c r="I976" s="1464"/>
      <c r="J976" s="1464"/>
      <c r="K976" s="1464"/>
      <c r="L976" s="1464"/>
      <c r="M976" s="1464"/>
      <c r="N976" s="1464"/>
      <c r="O976" s="1464"/>
      <c r="P976" s="1464"/>
      <c r="Q976" s="1464"/>
      <c r="R976" s="1464"/>
      <c r="S976" s="1464"/>
      <c r="T976" s="1464"/>
      <c r="U976" s="1464"/>
      <c r="V976" s="1464"/>
      <c r="W976" s="1464"/>
      <c r="X976" s="1464"/>
      <c r="Y976" s="1464"/>
      <c r="Z976" s="1464"/>
    </row>
    <row r="977">
      <c r="A977" s="1464"/>
      <c r="B977" s="1464"/>
      <c r="C977" s="1464"/>
      <c r="D977" s="1464"/>
      <c r="E977" s="1464"/>
      <c r="F977" s="1464"/>
      <c r="G977" s="1464"/>
      <c r="H977" s="1464"/>
      <c r="I977" s="1464"/>
      <c r="J977" s="1464"/>
      <c r="K977" s="1464"/>
      <c r="L977" s="1464"/>
      <c r="M977" s="1464"/>
      <c r="N977" s="1464"/>
      <c r="O977" s="1464"/>
      <c r="P977" s="1464"/>
      <c r="Q977" s="1464"/>
      <c r="R977" s="1464"/>
      <c r="S977" s="1464"/>
      <c r="T977" s="1464"/>
      <c r="U977" s="1464"/>
      <c r="V977" s="1464"/>
      <c r="W977" s="1464"/>
      <c r="X977" s="1464"/>
      <c r="Y977" s="1464"/>
      <c r="Z977" s="1464"/>
    </row>
    <row r="978">
      <c r="A978" s="1464"/>
      <c r="B978" s="1464"/>
      <c r="C978" s="1464"/>
      <c r="D978" s="1464"/>
      <c r="E978" s="1464"/>
      <c r="F978" s="1464"/>
      <c r="G978" s="1464"/>
      <c r="H978" s="1464"/>
      <c r="I978" s="1464"/>
      <c r="J978" s="1464"/>
      <c r="K978" s="1464"/>
      <c r="L978" s="1464"/>
      <c r="M978" s="1464"/>
      <c r="N978" s="1464"/>
      <c r="O978" s="1464"/>
      <c r="P978" s="1464"/>
      <c r="Q978" s="1464"/>
      <c r="R978" s="1464"/>
      <c r="S978" s="1464"/>
      <c r="T978" s="1464"/>
      <c r="U978" s="1464"/>
      <c r="V978" s="1464"/>
      <c r="W978" s="1464"/>
      <c r="X978" s="1464"/>
      <c r="Y978" s="1464"/>
      <c r="Z978" s="1464"/>
    </row>
    <row r="979">
      <c r="A979" s="1464"/>
      <c r="B979" s="1464"/>
      <c r="C979" s="1464"/>
      <c r="D979" s="1464"/>
      <c r="E979" s="1464"/>
      <c r="F979" s="1464"/>
      <c r="G979" s="1464"/>
      <c r="H979" s="1464"/>
      <c r="I979" s="1464"/>
      <c r="J979" s="1464"/>
      <c r="K979" s="1464"/>
      <c r="L979" s="1464"/>
      <c r="M979" s="1464"/>
      <c r="N979" s="1464"/>
      <c r="O979" s="1464"/>
      <c r="P979" s="1464"/>
      <c r="Q979" s="1464"/>
      <c r="R979" s="1464"/>
      <c r="S979" s="1464"/>
      <c r="T979" s="1464"/>
      <c r="U979" s="1464"/>
      <c r="V979" s="1464"/>
      <c r="W979" s="1464"/>
      <c r="X979" s="1464"/>
      <c r="Y979" s="1464"/>
      <c r="Z979" s="1464"/>
    </row>
    <row r="980">
      <c r="A980" s="1464"/>
      <c r="B980" s="1464"/>
      <c r="C980" s="1464"/>
      <c r="D980" s="1464"/>
      <c r="E980" s="1464"/>
      <c r="F980" s="1464"/>
      <c r="G980" s="1464"/>
      <c r="H980" s="1464"/>
      <c r="I980" s="1464"/>
      <c r="J980" s="1464"/>
      <c r="K980" s="1464"/>
      <c r="L980" s="1464"/>
      <c r="M980" s="1464"/>
      <c r="N980" s="1464"/>
      <c r="O980" s="1464"/>
      <c r="P980" s="1464"/>
      <c r="Q980" s="1464"/>
      <c r="R980" s="1464"/>
      <c r="S980" s="1464"/>
      <c r="T980" s="1464"/>
      <c r="U980" s="1464"/>
      <c r="V980" s="1464"/>
      <c r="W980" s="1464"/>
      <c r="X980" s="1464"/>
      <c r="Y980" s="1464"/>
      <c r="Z980" s="1464"/>
    </row>
    <row r="981">
      <c r="A981" s="1464"/>
      <c r="B981" s="1464"/>
      <c r="C981" s="1464"/>
      <c r="D981" s="1464"/>
      <c r="E981" s="1464"/>
      <c r="F981" s="1464"/>
      <c r="G981" s="1464"/>
      <c r="H981" s="1464"/>
      <c r="I981" s="1464"/>
      <c r="J981" s="1464"/>
      <c r="K981" s="1464"/>
      <c r="L981" s="1464"/>
      <c r="M981" s="1464"/>
      <c r="N981" s="1464"/>
      <c r="O981" s="1464"/>
      <c r="P981" s="1464"/>
      <c r="Q981" s="1464"/>
      <c r="R981" s="1464"/>
      <c r="S981" s="1464"/>
      <c r="T981" s="1464"/>
      <c r="U981" s="1464"/>
      <c r="V981" s="1464"/>
      <c r="W981" s="1464"/>
      <c r="X981" s="1464"/>
      <c r="Y981" s="1464"/>
      <c r="Z981" s="1464"/>
    </row>
    <row r="982">
      <c r="A982" s="1464"/>
      <c r="B982" s="1464"/>
      <c r="C982" s="1464"/>
      <c r="D982" s="1464"/>
      <c r="E982" s="1464"/>
      <c r="F982" s="1464"/>
      <c r="G982" s="1464"/>
      <c r="H982" s="1464"/>
      <c r="I982" s="1464"/>
      <c r="J982" s="1464"/>
      <c r="K982" s="1464"/>
      <c r="L982" s="1464"/>
      <c r="M982" s="1464"/>
      <c r="N982" s="1464"/>
      <c r="O982" s="1464"/>
      <c r="P982" s="1464"/>
      <c r="Q982" s="1464"/>
      <c r="R982" s="1464"/>
      <c r="S982" s="1464"/>
      <c r="T982" s="1464"/>
      <c r="U982" s="1464"/>
      <c r="V982" s="1464"/>
      <c r="W982" s="1464"/>
      <c r="X982" s="1464"/>
      <c r="Y982" s="1464"/>
      <c r="Z982" s="1464"/>
    </row>
    <row r="983">
      <c r="A983" s="1464"/>
      <c r="B983" s="1464"/>
      <c r="C983" s="1464"/>
      <c r="D983" s="1464"/>
      <c r="E983" s="1464"/>
      <c r="F983" s="1464"/>
      <c r="G983" s="1464"/>
      <c r="H983" s="1464"/>
      <c r="I983" s="1464"/>
      <c r="J983" s="1464"/>
      <c r="K983" s="1464"/>
      <c r="L983" s="1464"/>
      <c r="M983" s="1464"/>
      <c r="N983" s="1464"/>
      <c r="O983" s="1464"/>
      <c r="P983" s="1464"/>
      <c r="Q983" s="1464"/>
      <c r="R983" s="1464"/>
      <c r="S983" s="1464"/>
      <c r="T983" s="1464"/>
      <c r="U983" s="1464"/>
      <c r="V983" s="1464"/>
      <c r="W983" s="1464"/>
      <c r="X983" s="1464"/>
      <c r="Y983" s="1464"/>
      <c r="Z983" s="1464"/>
    </row>
    <row r="984">
      <c r="A984" s="1464"/>
      <c r="B984" s="1464"/>
      <c r="C984" s="1464"/>
      <c r="D984" s="1464"/>
      <c r="E984" s="1464"/>
      <c r="F984" s="1464"/>
      <c r="G984" s="1464"/>
      <c r="H984" s="1464"/>
      <c r="I984" s="1464"/>
      <c r="J984" s="1464"/>
      <c r="K984" s="1464"/>
      <c r="L984" s="1464"/>
      <c r="M984" s="1464"/>
      <c r="N984" s="1464"/>
      <c r="O984" s="1464"/>
      <c r="P984" s="1464"/>
      <c r="Q984" s="1464"/>
      <c r="R984" s="1464"/>
      <c r="S984" s="1464"/>
      <c r="T984" s="1464"/>
      <c r="U984" s="1464"/>
      <c r="V984" s="1464"/>
      <c r="W984" s="1464"/>
      <c r="X984" s="1464"/>
      <c r="Y984" s="1464"/>
      <c r="Z984" s="1464"/>
    </row>
    <row r="985">
      <c r="A985" s="1464"/>
      <c r="B985" s="1464"/>
      <c r="C985" s="1464"/>
      <c r="D985" s="1464"/>
      <c r="E985" s="1464"/>
      <c r="F985" s="1464"/>
      <c r="G985" s="1464"/>
      <c r="H985" s="1464"/>
      <c r="I985" s="1464"/>
      <c r="J985" s="1464"/>
      <c r="K985" s="1464"/>
      <c r="L985" s="1464"/>
      <c r="M985" s="1464"/>
      <c r="N985" s="1464"/>
      <c r="O985" s="1464"/>
      <c r="P985" s="1464"/>
      <c r="Q985" s="1464"/>
      <c r="R985" s="1464"/>
      <c r="S985" s="1464"/>
      <c r="T985" s="1464"/>
      <c r="U985" s="1464"/>
      <c r="V985" s="1464"/>
      <c r="W985" s="1464"/>
      <c r="X985" s="1464"/>
      <c r="Y985" s="1464"/>
      <c r="Z985" s="1464"/>
    </row>
    <row r="986">
      <c r="A986" s="1464"/>
      <c r="B986" s="1464"/>
      <c r="C986" s="1464"/>
      <c r="D986" s="1464"/>
      <c r="E986" s="1464"/>
      <c r="F986" s="1464"/>
      <c r="G986" s="1464"/>
      <c r="H986" s="1464"/>
      <c r="I986" s="1464"/>
      <c r="J986" s="1464"/>
      <c r="K986" s="1464"/>
      <c r="L986" s="1464"/>
      <c r="M986" s="1464"/>
      <c r="N986" s="1464"/>
      <c r="O986" s="1464"/>
      <c r="P986" s="1464"/>
      <c r="Q986" s="1464"/>
      <c r="R986" s="1464"/>
      <c r="S986" s="1464"/>
      <c r="T986" s="1464"/>
      <c r="U986" s="1464"/>
      <c r="V986" s="1464"/>
      <c r="W986" s="1464"/>
      <c r="X986" s="1464"/>
      <c r="Y986" s="1464"/>
      <c r="Z986" s="1464"/>
    </row>
    <row r="987">
      <c r="A987" s="1464"/>
      <c r="B987" s="1464"/>
      <c r="C987" s="1464"/>
      <c r="D987" s="1464"/>
      <c r="E987" s="1464"/>
      <c r="F987" s="1464"/>
      <c r="G987" s="1464"/>
      <c r="H987" s="1464"/>
      <c r="I987" s="1464"/>
      <c r="J987" s="1464"/>
      <c r="K987" s="1464"/>
      <c r="L987" s="1464"/>
      <c r="M987" s="1464"/>
      <c r="N987" s="1464"/>
      <c r="O987" s="1464"/>
      <c r="P987" s="1464"/>
      <c r="Q987" s="1464"/>
      <c r="R987" s="1464"/>
      <c r="S987" s="1464"/>
      <c r="T987" s="1464"/>
      <c r="U987" s="1464"/>
      <c r="V987" s="1464"/>
      <c r="W987" s="1464"/>
      <c r="X987" s="1464"/>
      <c r="Y987" s="1464"/>
      <c r="Z987" s="1464"/>
    </row>
    <row r="988">
      <c r="A988" s="1464"/>
      <c r="B988" s="1464"/>
      <c r="C988" s="1464"/>
      <c r="D988" s="1464"/>
      <c r="E988" s="1464"/>
      <c r="F988" s="1464"/>
      <c r="G988" s="1464"/>
      <c r="H988" s="1464"/>
      <c r="I988" s="1464"/>
      <c r="J988" s="1464"/>
      <c r="K988" s="1464"/>
      <c r="L988" s="1464"/>
      <c r="M988" s="1464"/>
      <c r="N988" s="1464"/>
      <c r="O988" s="1464"/>
      <c r="P988" s="1464"/>
      <c r="Q988" s="1464"/>
      <c r="R988" s="1464"/>
      <c r="S988" s="1464"/>
      <c r="T988" s="1464"/>
      <c r="U988" s="1464"/>
      <c r="V988" s="1464"/>
      <c r="W988" s="1464"/>
      <c r="X988" s="1464"/>
      <c r="Y988" s="1464"/>
      <c r="Z988" s="1464"/>
    </row>
    <row r="989">
      <c r="A989" s="1464"/>
      <c r="B989" s="1464"/>
      <c r="C989" s="1464"/>
      <c r="D989" s="1464"/>
      <c r="E989" s="1464"/>
      <c r="F989" s="1464"/>
      <c r="G989" s="1464"/>
      <c r="H989" s="1464"/>
      <c r="I989" s="1464"/>
      <c r="J989" s="1464"/>
      <c r="K989" s="1464"/>
      <c r="L989" s="1464"/>
      <c r="M989" s="1464"/>
      <c r="N989" s="1464"/>
      <c r="O989" s="1464"/>
      <c r="P989" s="1464"/>
      <c r="Q989" s="1464"/>
      <c r="R989" s="1464"/>
      <c r="S989" s="1464"/>
      <c r="T989" s="1464"/>
      <c r="U989" s="1464"/>
      <c r="V989" s="1464"/>
      <c r="W989" s="1464"/>
      <c r="X989" s="1464"/>
      <c r="Y989" s="1464"/>
      <c r="Z989" s="1464"/>
    </row>
    <row r="990">
      <c r="A990" s="1464"/>
      <c r="B990" s="1464"/>
      <c r="C990" s="1464"/>
      <c r="D990" s="1464"/>
      <c r="E990" s="1464"/>
      <c r="F990" s="1464"/>
      <c r="G990" s="1464"/>
      <c r="H990" s="1464"/>
      <c r="I990" s="1464"/>
      <c r="J990" s="1464"/>
      <c r="K990" s="1464"/>
      <c r="L990" s="1464"/>
      <c r="M990" s="1464"/>
      <c r="N990" s="1464"/>
      <c r="O990" s="1464"/>
      <c r="P990" s="1464"/>
      <c r="Q990" s="1464"/>
      <c r="R990" s="1464"/>
      <c r="S990" s="1464"/>
      <c r="T990" s="1464"/>
      <c r="U990" s="1464"/>
      <c r="V990" s="1464"/>
      <c r="W990" s="1464"/>
      <c r="X990" s="1464"/>
      <c r="Y990" s="1464"/>
      <c r="Z990" s="1464"/>
    </row>
    <row r="991">
      <c r="A991" s="1464"/>
      <c r="B991" s="1464"/>
      <c r="C991" s="1464"/>
      <c r="D991" s="1464"/>
      <c r="E991" s="1464"/>
      <c r="F991" s="1464"/>
      <c r="G991" s="1464"/>
      <c r="H991" s="1464"/>
      <c r="I991" s="1464"/>
      <c r="J991" s="1464"/>
      <c r="K991" s="1464"/>
      <c r="L991" s="1464"/>
      <c r="M991" s="1464"/>
      <c r="N991" s="1464"/>
      <c r="O991" s="1464"/>
      <c r="P991" s="1464"/>
      <c r="Q991" s="1464"/>
      <c r="R991" s="1464"/>
      <c r="S991" s="1464"/>
      <c r="T991" s="1464"/>
      <c r="U991" s="1464"/>
      <c r="V991" s="1464"/>
      <c r="W991" s="1464"/>
      <c r="X991" s="1464"/>
      <c r="Y991" s="1464"/>
      <c r="Z991" s="1464"/>
    </row>
    <row r="992">
      <c r="A992" s="1464"/>
      <c r="B992" s="1464"/>
      <c r="C992" s="1464"/>
      <c r="D992" s="1464"/>
      <c r="E992" s="1464"/>
      <c r="F992" s="1464"/>
      <c r="G992" s="1464"/>
      <c r="H992" s="1464"/>
      <c r="I992" s="1464"/>
      <c r="J992" s="1464"/>
      <c r="K992" s="1464"/>
      <c r="L992" s="1464"/>
      <c r="M992" s="1464"/>
      <c r="N992" s="1464"/>
      <c r="O992" s="1464"/>
      <c r="P992" s="1464"/>
      <c r="Q992" s="1464"/>
      <c r="R992" s="1464"/>
      <c r="S992" s="1464"/>
      <c r="T992" s="1464"/>
      <c r="U992" s="1464"/>
      <c r="V992" s="1464"/>
      <c r="W992" s="1464"/>
      <c r="X992" s="1464"/>
      <c r="Y992" s="1464"/>
      <c r="Z992" s="1464"/>
    </row>
    <row r="993">
      <c r="A993" s="1464"/>
      <c r="B993" s="1464"/>
      <c r="C993" s="1464"/>
      <c r="D993" s="1464"/>
      <c r="E993" s="1464"/>
      <c r="F993" s="1464"/>
      <c r="G993" s="1464"/>
      <c r="H993" s="1464"/>
      <c r="I993" s="1464"/>
      <c r="J993" s="1464"/>
      <c r="K993" s="1464"/>
      <c r="L993" s="1464"/>
      <c r="M993" s="1464"/>
      <c r="N993" s="1464"/>
      <c r="O993" s="1464"/>
      <c r="P993" s="1464"/>
      <c r="Q993" s="1464"/>
      <c r="R993" s="1464"/>
      <c r="S993" s="1464"/>
      <c r="T993" s="1464"/>
      <c r="U993" s="1464"/>
      <c r="V993" s="1464"/>
      <c r="W993" s="1464"/>
      <c r="X993" s="1464"/>
      <c r="Y993" s="1464"/>
      <c r="Z993" s="1464"/>
    </row>
    <row r="994">
      <c r="A994" s="1464"/>
      <c r="B994" s="1464"/>
      <c r="C994" s="1464"/>
      <c r="D994" s="1464"/>
      <c r="E994" s="1464"/>
      <c r="F994" s="1464"/>
      <c r="G994" s="1464"/>
      <c r="H994" s="1464"/>
      <c r="I994" s="1464"/>
      <c r="J994" s="1464"/>
      <c r="K994" s="1464"/>
      <c r="L994" s="1464"/>
      <c r="M994" s="1464"/>
      <c r="N994" s="1464"/>
      <c r="O994" s="1464"/>
      <c r="P994" s="1464"/>
      <c r="Q994" s="1464"/>
      <c r="R994" s="1464"/>
      <c r="S994" s="1464"/>
      <c r="T994" s="1464"/>
      <c r="U994" s="1464"/>
      <c r="V994" s="1464"/>
      <c r="W994" s="1464"/>
      <c r="X994" s="1464"/>
      <c r="Y994" s="1464"/>
      <c r="Z994" s="1464"/>
    </row>
    <row r="995">
      <c r="A995" s="1464"/>
      <c r="B995" s="1464"/>
      <c r="C995" s="1464"/>
      <c r="D995" s="1464"/>
      <c r="E995" s="1464"/>
      <c r="F995" s="1464"/>
      <c r="G995" s="1464"/>
      <c r="H995" s="1464"/>
      <c r="I995" s="1464"/>
      <c r="J995" s="1464"/>
      <c r="K995" s="1464"/>
      <c r="L995" s="1464"/>
      <c r="M995" s="1464"/>
      <c r="N995" s="1464"/>
      <c r="O995" s="1464"/>
      <c r="P995" s="1464"/>
      <c r="Q995" s="1464"/>
      <c r="R995" s="1464"/>
      <c r="S995" s="1464"/>
      <c r="T995" s="1464"/>
      <c r="U995" s="1464"/>
      <c r="V995" s="1464"/>
      <c r="W995" s="1464"/>
      <c r="X995" s="1464"/>
      <c r="Y995" s="1464"/>
      <c r="Z995" s="1464"/>
    </row>
    <row r="996">
      <c r="A996" s="1464"/>
      <c r="B996" s="1464"/>
      <c r="C996" s="1464"/>
      <c r="D996" s="1464"/>
      <c r="E996" s="1464"/>
      <c r="F996" s="1464"/>
      <c r="G996" s="1464"/>
      <c r="H996" s="1464"/>
      <c r="I996" s="1464"/>
      <c r="J996" s="1464"/>
      <c r="K996" s="1464"/>
      <c r="L996" s="1464"/>
      <c r="M996" s="1464"/>
      <c r="N996" s="1464"/>
      <c r="O996" s="1464"/>
      <c r="P996" s="1464"/>
      <c r="Q996" s="1464"/>
      <c r="R996" s="1464"/>
      <c r="S996" s="1464"/>
      <c r="T996" s="1464"/>
      <c r="U996" s="1464"/>
      <c r="V996" s="1464"/>
      <c r="W996" s="1464"/>
      <c r="X996" s="1464"/>
      <c r="Y996" s="1464"/>
      <c r="Z996" s="1464"/>
    </row>
    <row r="997">
      <c r="A997" s="1464"/>
      <c r="B997" s="1464"/>
      <c r="C997" s="1464"/>
      <c r="D997" s="1464"/>
      <c r="E997" s="1464"/>
      <c r="F997" s="1464"/>
      <c r="G997" s="1464"/>
      <c r="H997" s="1464"/>
      <c r="I997" s="1464"/>
      <c r="J997" s="1464"/>
      <c r="K997" s="1464"/>
      <c r="L997" s="1464"/>
      <c r="M997" s="1464"/>
      <c r="N997" s="1464"/>
      <c r="O997" s="1464"/>
      <c r="P997" s="1464"/>
      <c r="Q997" s="1464"/>
      <c r="R997" s="1464"/>
      <c r="S997" s="1464"/>
      <c r="T997" s="1464"/>
      <c r="U997" s="1464"/>
      <c r="V997" s="1464"/>
      <c r="W997" s="1464"/>
      <c r="X997" s="1464"/>
      <c r="Y997" s="1464"/>
      <c r="Z997" s="1464"/>
    </row>
    <row r="998">
      <c r="A998" s="1464"/>
      <c r="B998" s="1464"/>
      <c r="C998" s="1464"/>
      <c r="D998" s="1464"/>
      <c r="E998" s="1464"/>
      <c r="F998" s="1464"/>
      <c r="G998" s="1464"/>
      <c r="H998" s="1464"/>
      <c r="I998" s="1464"/>
      <c r="J998" s="1464"/>
      <c r="K998" s="1464"/>
      <c r="L998" s="1464"/>
      <c r="M998" s="1464"/>
      <c r="N998" s="1464"/>
      <c r="O998" s="1464"/>
      <c r="P998" s="1464"/>
      <c r="Q998" s="1464"/>
      <c r="R998" s="1464"/>
      <c r="S998" s="1464"/>
      <c r="T998" s="1464"/>
      <c r="U998" s="1464"/>
      <c r="V998" s="1464"/>
      <c r="W998" s="1464"/>
      <c r="X998" s="1464"/>
      <c r="Y998" s="1464"/>
      <c r="Z998" s="1464"/>
    </row>
    <row r="999">
      <c r="A999" s="1464"/>
      <c r="B999" s="1464"/>
      <c r="C999" s="1464"/>
      <c r="D999" s="1464"/>
      <c r="E999" s="1464"/>
      <c r="F999" s="1464"/>
      <c r="G999" s="1464"/>
      <c r="H999" s="1464"/>
      <c r="I999" s="1464"/>
      <c r="J999" s="1464"/>
      <c r="K999" s="1464"/>
      <c r="L999" s="1464"/>
      <c r="M999" s="1464"/>
      <c r="N999" s="1464"/>
      <c r="O999" s="1464"/>
      <c r="P999" s="1464"/>
      <c r="Q999" s="1464"/>
      <c r="R999" s="1464"/>
      <c r="S999" s="1464"/>
      <c r="T999" s="1464"/>
      <c r="U999" s="1464"/>
      <c r="V999" s="1464"/>
      <c r="W999" s="1464"/>
      <c r="X999" s="1464"/>
      <c r="Y999" s="1464"/>
      <c r="Z999" s="1464"/>
    </row>
    <row r="1000">
      <c r="A1000" s="1464"/>
      <c r="B1000" s="1464"/>
      <c r="C1000" s="1464"/>
      <c r="D1000" s="1464"/>
      <c r="E1000" s="1464"/>
      <c r="F1000" s="1464"/>
      <c r="G1000" s="1464"/>
      <c r="H1000" s="1464"/>
      <c r="I1000" s="1464"/>
      <c r="J1000" s="1464"/>
      <c r="K1000" s="1464"/>
      <c r="L1000" s="1464"/>
      <c r="M1000" s="1464"/>
      <c r="N1000" s="1464"/>
      <c r="O1000" s="1464"/>
      <c r="P1000" s="1464"/>
      <c r="Q1000" s="1464"/>
      <c r="R1000" s="1464"/>
      <c r="S1000" s="1464"/>
      <c r="T1000" s="1464"/>
      <c r="U1000" s="1464"/>
      <c r="V1000" s="1464"/>
      <c r="W1000" s="1464"/>
      <c r="X1000" s="1464"/>
      <c r="Y1000" s="1464"/>
      <c r="Z1000" s="1464"/>
    </row>
    <row r="1001">
      <c r="A1001" s="1464"/>
      <c r="B1001" s="1464"/>
      <c r="C1001" s="1464"/>
      <c r="D1001" s="1464"/>
      <c r="E1001" s="1464"/>
      <c r="F1001" s="1464"/>
      <c r="G1001" s="1464"/>
      <c r="H1001" s="1464"/>
      <c r="I1001" s="1464"/>
      <c r="J1001" s="1464"/>
      <c r="K1001" s="1464"/>
      <c r="L1001" s="1464"/>
      <c r="M1001" s="1464"/>
      <c r="N1001" s="1464"/>
      <c r="O1001" s="1464"/>
      <c r="P1001" s="1464"/>
      <c r="Q1001" s="1464"/>
      <c r="R1001" s="1464"/>
      <c r="S1001" s="1464"/>
      <c r="T1001" s="1464"/>
      <c r="U1001" s="1464"/>
      <c r="V1001" s="1464"/>
      <c r="W1001" s="1464"/>
      <c r="X1001" s="1464"/>
      <c r="Y1001" s="1464"/>
      <c r="Z1001" s="1464"/>
    </row>
  </sheetData>
  <autoFilter ref="$A$2:$L$975">
    <sortState ref="A2:L975">
      <sortCondition ref="I2:I975"/>
    </sortState>
  </autoFilter>
  <mergeCells count="1">
    <mergeCell ref="A1:F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8.14"/>
  </cols>
  <sheetData>
    <row r="1">
      <c r="A1" s="1524" t="s">
        <v>4986</v>
      </c>
      <c r="B1" s="1524"/>
      <c r="C1" s="1524" t="s">
        <v>4987</v>
      </c>
      <c r="D1" s="1525"/>
      <c r="E1" s="1525"/>
      <c r="F1" s="1525" t="s">
        <v>1793</v>
      </c>
      <c r="G1" s="1526"/>
      <c r="H1" s="1526"/>
      <c r="I1" s="1526"/>
      <c r="J1" s="1525" t="s">
        <v>1844</v>
      </c>
      <c r="K1" s="1526"/>
      <c r="L1" s="1525" t="s">
        <v>4988</v>
      </c>
      <c r="M1" s="1526"/>
      <c r="N1" s="1527" t="s">
        <v>4989</v>
      </c>
      <c r="O1" s="1526"/>
      <c r="P1" s="1525" t="s">
        <v>4990</v>
      </c>
      <c r="Q1" s="1526"/>
      <c r="R1" s="1526"/>
      <c r="S1" s="1526"/>
      <c r="T1" s="1526" t="s">
        <v>4991</v>
      </c>
      <c r="U1" s="1526"/>
      <c r="V1" s="1526"/>
      <c r="W1" s="1526"/>
      <c r="X1" s="1526"/>
      <c r="Y1" s="1526"/>
      <c r="Z1" s="974"/>
      <c r="AA1" s="974"/>
      <c r="AB1" s="974"/>
      <c r="AC1" s="974"/>
      <c r="AD1" s="974"/>
      <c r="AE1" s="974"/>
    </row>
    <row r="2">
      <c r="A2" s="1528"/>
      <c r="B2" s="1524"/>
      <c r="C2" s="1524" t="s">
        <v>96</v>
      </c>
      <c r="D2" s="1524" t="s">
        <v>4992</v>
      </c>
      <c r="E2" s="1525"/>
      <c r="F2" s="1525" t="s">
        <v>1330</v>
      </c>
      <c r="G2" s="1526"/>
      <c r="H2" s="1526"/>
      <c r="I2" s="1526"/>
      <c r="J2" s="1471" t="s">
        <v>4993</v>
      </c>
      <c r="K2" s="1526"/>
      <c r="L2" s="1471" t="s">
        <v>4994</v>
      </c>
      <c r="M2" s="1526"/>
      <c r="N2" s="1526" t="s">
        <v>505</v>
      </c>
      <c r="O2" s="1526"/>
      <c r="P2" s="1471" t="s">
        <v>364</v>
      </c>
      <c r="Q2" s="1471" t="s">
        <v>555</v>
      </c>
      <c r="R2" s="1529" t="s">
        <v>4995</v>
      </c>
      <c r="S2" s="1526"/>
      <c r="T2" s="1526"/>
      <c r="U2" s="1526"/>
      <c r="V2" s="1526"/>
      <c r="W2" s="1526"/>
      <c r="X2" s="1526"/>
      <c r="Y2" s="1526"/>
      <c r="Z2" s="974"/>
      <c r="AA2" s="974"/>
      <c r="AB2" s="974"/>
      <c r="AC2" s="974"/>
      <c r="AD2" s="974"/>
      <c r="AE2" s="974"/>
    </row>
    <row r="3">
      <c r="A3" s="1530"/>
      <c r="B3" s="1471"/>
      <c r="C3" s="1471"/>
      <c r="D3" s="1471"/>
      <c r="E3" s="1471"/>
      <c r="F3" s="1471" t="s">
        <v>4996</v>
      </c>
      <c r="G3" s="1526" t="s">
        <v>4997</v>
      </c>
      <c r="H3" s="1526"/>
      <c r="I3" s="1526"/>
      <c r="J3" s="1471" t="s">
        <v>440</v>
      </c>
      <c r="K3" s="1526"/>
      <c r="L3" s="1471" t="s">
        <v>4998</v>
      </c>
      <c r="M3" s="1526"/>
      <c r="N3" s="1531" t="s">
        <v>550</v>
      </c>
      <c r="O3" s="1526"/>
      <c r="P3" s="1471" t="s">
        <v>532</v>
      </c>
      <c r="Q3" s="1471" t="s">
        <v>555</v>
      </c>
      <c r="R3" s="1529" t="s">
        <v>4999</v>
      </c>
      <c r="S3" s="1526"/>
      <c r="T3" s="1532" t="s">
        <v>5000</v>
      </c>
      <c r="U3" s="1532" t="s">
        <v>5001</v>
      </c>
      <c r="V3" s="1533" t="s">
        <v>5002</v>
      </c>
      <c r="W3" s="1532" t="s">
        <v>5003</v>
      </c>
      <c r="X3" s="1532" t="s">
        <v>5004</v>
      </c>
      <c r="Y3" s="1525" t="s">
        <v>5005</v>
      </c>
      <c r="Z3" s="974"/>
      <c r="AA3" s="974"/>
      <c r="AB3" s="974"/>
      <c r="AC3" s="974"/>
      <c r="AD3" s="974"/>
      <c r="AE3" s="974"/>
    </row>
    <row r="4">
      <c r="A4" s="1471"/>
      <c r="B4" s="1471"/>
      <c r="C4" s="1471"/>
      <c r="D4" s="1471"/>
      <c r="E4" s="1471"/>
      <c r="F4" s="1471" t="s">
        <v>5006</v>
      </c>
      <c r="G4" s="1526" t="s">
        <v>4997</v>
      </c>
      <c r="H4" s="1526"/>
      <c r="I4" s="1526"/>
      <c r="J4" s="1471" t="s">
        <v>228</v>
      </c>
      <c r="K4" s="1526"/>
      <c r="L4" s="1526"/>
      <c r="M4" s="1526"/>
      <c r="N4" s="1531" t="s">
        <v>311</v>
      </c>
      <c r="O4" s="1526"/>
      <c r="P4" s="1471" t="s">
        <v>5007</v>
      </c>
      <c r="Q4" s="1471" t="s">
        <v>555</v>
      </c>
      <c r="R4" s="1534">
        <v>44570.0</v>
      </c>
      <c r="S4" s="1526"/>
      <c r="T4" s="974"/>
      <c r="U4" s="974"/>
      <c r="V4" s="1535" t="s">
        <v>5008</v>
      </c>
      <c r="W4" s="974"/>
      <c r="X4" s="974"/>
      <c r="Y4" s="974"/>
      <c r="Z4" s="974"/>
      <c r="AA4" s="974"/>
      <c r="AB4" s="974"/>
      <c r="AC4" s="974"/>
      <c r="AD4" s="974"/>
      <c r="AE4" s="974"/>
    </row>
    <row r="5">
      <c r="A5" s="1471"/>
      <c r="B5" s="1471"/>
      <c r="C5" s="1471"/>
      <c r="D5" s="1471"/>
      <c r="E5" s="1471"/>
      <c r="F5" s="1471" t="s">
        <v>3933</v>
      </c>
      <c r="G5" s="1526" t="s">
        <v>5009</v>
      </c>
      <c r="H5" s="1526"/>
      <c r="I5" s="1526"/>
      <c r="J5" s="1471" t="s">
        <v>221</v>
      </c>
      <c r="K5" s="1526"/>
      <c r="L5" s="1526"/>
      <c r="M5" s="1526"/>
      <c r="N5" s="1526"/>
      <c r="O5" s="1526"/>
      <c r="P5" s="1471" t="s">
        <v>5010</v>
      </c>
      <c r="Q5" s="1471" t="s">
        <v>555</v>
      </c>
      <c r="R5" s="1534">
        <v>44812.0</v>
      </c>
      <c r="S5" s="1526"/>
      <c r="T5" s="974"/>
      <c r="U5" s="974"/>
      <c r="V5" s="974"/>
      <c r="W5" s="974"/>
      <c r="X5" s="974"/>
      <c r="Y5" s="974"/>
      <c r="Z5" s="974"/>
      <c r="AA5" s="974"/>
      <c r="AB5" s="974"/>
      <c r="AC5" s="974"/>
      <c r="AD5" s="974"/>
      <c r="AE5" s="974"/>
    </row>
    <row r="6">
      <c r="A6" s="1471"/>
      <c r="B6" s="1471"/>
      <c r="C6" s="1471"/>
      <c r="D6" s="1471"/>
      <c r="E6" s="1471"/>
      <c r="F6" s="1471" t="s">
        <v>5011</v>
      </c>
      <c r="G6" s="1526" t="s">
        <v>5009</v>
      </c>
      <c r="H6" s="1526"/>
      <c r="I6" s="1526"/>
      <c r="J6" s="1471" t="s">
        <v>3234</v>
      </c>
      <c r="K6" s="1526"/>
      <c r="L6" s="1526"/>
      <c r="M6" s="1526"/>
      <c r="N6" s="1526"/>
      <c r="O6" s="1526"/>
      <c r="P6" s="1471" t="s">
        <v>513</v>
      </c>
      <c r="Q6" s="1471" t="s">
        <v>555</v>
      </c>
      <c r="R6" s="1529" t="s">
        <v>5012</v>
      </c>
      <c r="S6" s="1526"/>
      <c r="T6" s="1471" t="s">
        <v>5013</v>
      </c>
      <c r="U6" s="1471" t="s">
        <v>437</v>
      </c>
      <c r="V6" s="1477" t="s">
        <v>360</v>
      </c>
      <c r="W6" s="1477" t="s">
        <v>420</v>
      </c>
      <c r="X6" s="1477" t="s">
        <v>5014</v>
      </c>
      <c r="Y6" s="1477" t="s">
        <v>325</v>
      </c>
      <c r="Z6" s="974"/>
      <c r="AA6" s="974"/>
      <c r="AB6" s="974"/>
      <c r="AC6" s="974"/>
      <c r="AD6" s="974"/>
      <c r="AE6" s="974"/>
    </row>
    <row r="7">
      <c r="A7" s="1471"/>
      <c r="B7" s="1471"/>
      <c r="C7" s="1471"/>
      <c r="D7" s="1471"/>
      <c r="E7" s="1471"/>
      <c r="F7" s="1471" t="s">
        <v>4033</v>
      </c>
      <c r="G7" s="1526" t="s">
        <v>5015</v>
      </c>
      <c r="H7" s="1526"/>
      <c r="I7" s="1526"/>
      <c r="J7" s="1471" t="s">
        <v>3243</v>
      </c>
      <c r="K7" s="1526"/>
      <c r="L7" s="1526"/>
      <c r="M7" s="1526"/>
      <c r="N7" s="1526"/>
      <c r="O7" s="1526"/>
      <c r="P7" s="1471" t="s">
        <v>5016</v>
      </c>
      <c r="Q7" s="1471" t="s">
        <v>555</v>
      </c>
      <c r="R7" s="1534">
        <v>44870.0</v>
      </c>
      <c r="S7" s="1526"/>
      <c r="T7" s="1471" t="s">
        <v>5017</v>
      </c>
      <c r="U7" s="1471" t="s">
        <v>413</v>
      </c>
      <c r="V7" s="1477" t="s">
        <v>420</v>
      </c>
      <c r="W7" s="1477" t="s">
        <v>414</v>
      </c>
      <c r="X7" s="1477" t="s">
        <v>5018</v>
      </c>
      <c r="Y7" s="1477" t="s">
        <v>5019</v>
      </c>
      <c r="Z7" s="974"/>
      <c r="AA7" s="974"/>
      <c r="AB7" s="974"/>
      <c r="AC7" s="974"/>
      <c r="AD7" s="974"/>
      <c r="AE7" s="974"/>
    </row>
    <row r="8">
      <c r="A8" s="1471"/>
      <c r="B8" s="1471"/>
      <c r="C8" s="1471"/>
      <c r="D8" s="1471"/>
      <c r="E8" s="1471"/>
      <c r="F8" s="1471" t="s">
        <v>5020</v>
      </c>
      <c r="G8" s="1471" t="s">
        <v>5021</v>
      </c>
      <c r="H8" s="1526"/>
      <c r="I8" s="1526"/>
      <c r="J8" s="1526"/>
      <c r="K8" s="1526"/>
      <c r="L8" s="1526"/>
      <c r="M8" s="1526"/>
      <c r="N8" s="1526"/>
      <c r="O8" s="1526"/>
      <c r="P8" s="1471" t="s">
        <v>198</v>
      </c>
      <c r="Q8" s="1471" t="s">
        <v>555</v>
      </c>
      <c r="R8" s="1534">
        <v>44869.0</v>
      </c>
      <c r="S8" s="1526"/>
      <c r="T8" s="1471" t="s">
        <v>5022</v>
      </c>
      <c r="U8" s="1471" t="s">
        <v>116</v>
      </c>
      <c r="V8" s="1477" t="s">
        <v>414</v>
      </c>
      <c r="W8" s="1471" t="s">
        <v>409</v>
      </c>
      <c r="X8" s="1477" t="s">
        <v>333</v>
      </c>
      <c r="Y8" s="1477" t="s">
        <v>2904</v>
      </c>
      <c r="Z8" s="974"/>
      <c r="AA8" s="974"/>
      <c r="AB8" s="974"/>
      <c r="AC8" s="974"/>
      <c r="AD8" s="974"/>
      <c r="AE8" s="974"/>
    </row>
    <row r="9">
      <c r="A9" s="1471"/>
      <c r="B9" s="1471"/>
      <c r="C9" s="1471"/>
      <c r="D9" s="1471"/>
      <c r="E9" s="1471"/>
      <c r="F9" s="1471" t="s">
        <v>4196</v>
      </c>
      <c r="G9" s="1526"/>
      <c r="H9" s="1526"/>
      <c r="I9" s="1526"/>
      <c r="J9" s="1526"/>
      <c r="K9" s="1526"/>
      <c r="L9" s="1526"/>
      <c r="M9" s="1526"/>
      <c r="N9" s="1526"/>
      <c r="O9" s="1526"/>
      <c r="P9" s="1471" t="s">
        <v>146</v>
      </c>
      <c r="Q9" s="1471" t="s">
        <v>555</v>
      </c>
      <c r="R9" s="1534">
        <v>44868.0</v>
      </c>
      <c r="S9" s="1526"/>
      <c r="T9" s="1471" t="s">
        <v>5023</v>
      </c>
      <c r="U9" s="1471" t="s">
        <v>48</v>
      </c>
      <c r="V9" s="1471" t="s">
        <v>409</v>
      </c>
      <c r="W9" s="1471" t="s">
        <v>247</v>
      </c>
      <c r="X9" s="1471" t="s">
        <v>496</v>
      </c>
      <c r="Y9" s="1477" t="s">
        <v>5024</v>
      </c>
      <c r="Z9" s="974"/>
      <c r="AA9" s="974"/>
      <c r="AB9" s="974"/>
      <c r="AC9" s="974"/>
      <c r="AD9" s="974"/>
      <c r="AE9" s="974"/>
    </row>
    <row r="10">
      <c r="A10" s="1471"/>
      <c r="B10" s="1471"/>
      <c r="C10" s="1471"/>
      <c r="D10" s="1471"/>
      <c r="E10" s="1471"/>
      <c r="F10" s="1471" t="s">
        <v>4063</v>
      </c>
      <c r="G10" s="1526"/>
      <c r="H10" s="1526"/>
      <c r="I10" s="1526"/>
      <c r="J10" s="1526"/>
      <c r="K10" s="1526"/>
      <c r="L10" s="1526"/>
      <c r="M10" s="1526"/>
      <c r="N10" s="1526"/>
      <c r="O10" s="1526"/>
      <c r="P10" s="1471" t="s">
        <v>198</v>
      </c>
      <c r="Q10" s="1471" t="s">
        <v>555</v>
      </c>
      <c r="R10" s="1534">
        <v>44836.0</v>
      </c>
      <c r="S10" s="1526"/>
      <c r="T10" s="1526"/>
      <c r="U10" s="1471" t="s">
        <v>317</v>
      </c>
      <c r="V10" s="1471" t="s">
        <v>247</v>
      </c>
      <c r="W10" s="1471" t="s">
        <v>264</v>
      </c>
      <c r="X10" s="1471" t="s">
        <v>569</v>
      </c>
      <c r="Y10" s="1526"/>
      <c r="Z10" s="974"/>
      <c r="AA10" s="974"/>
      <c r="AB10" s="974"/>
      <c r="AC10" s="974"/>
      <c r="AD10" s="974"/>
      <c r="AE10" s="974"/>
    </row>
    <row r="11">
      <c r="A11" s="1471"/>
      <c r="B11" s="1471"/>
      <c r="C11" s="1471"/>
      <c r="D11" s="1471"/>
      <c r="E11" s="1471"/>
      <c r="F11" s="1471" t="s">
        <v>4142</v>
      </c>
      <c r="G11" s="1526"/>
      <c r="H11" s="1526"/>
      <c r="I11" s="1526"/>
      <c r="J11" s="1526"/>
      <c r="K11" s="1526"/>
      <c r="L11" s="1526"/>
      <c r="M11" s="1526"/>
      <c r="N11" s="1526"/>
      <c r="O11" s="1526"/>
      <c r="P11" s="1471" t="s">
        <v>202</v>
      </c>
      <c r="Q11" s="1471" t="s">
        <v>555</v>
      </c>
      <c r="R11" s="1534">
        <v>44896.0</v>
      </c>
      <c r="S11" s="1526"/>
      <c r="T11" s="1526"/>
      <c r="U11" s="1471" t="s">
        <v>199</v>
      </c>
      <c r="V11" s="1471" t="s">
        <v>264</v>
      </c>
      <c r="W11" s="1471" t="s">
        <v>456</v>
      </c>
      <c r="X11" s="1471" t="s">
        <v>205</v>
      </c>
      <c r="Y11" s="1526"/>
      <c r="Z11" s="974"/>
      <c r="AA11" s="974"/>
      <c r="AB11" s="974"/>
      <c r="AC11" s="974"/>
      <c r="AD11" s="974"/>
      <c r="AE11" s="974"/>
    </row>
    <row r="12">
      <c r="A12" s="1526"/>
      <c r="B12" s="1526"/>
      <c r="C12" s="1526"/>
      <c r="D12" s="1526"/>
      <c r="E12" s="1526"/>
      <c r="F12" s="1526"/>
      <c r="G12" s="1526"/>
      <c r="H12" s="1526"/>
      <c r="I12" s="1526"/>
      <c r="J12" s="1526"/>
      <c r="K12" s="1526"/>
      <c r="L12" s="1526"/>
      <c r="M12" s="1526"/>
      <c r="N12" s="1526"/>
      <c r="O12" s="1526"/>
      <c r="P12" s="1526"/>
      <c r="Q12" s="1526"/>
      <c r="R12" s="1526"/>
      <c r="S12" s="1526"/>
      <c r="T12" s="1526"/>
      <c r="U12" s="1471" t="s">
        <v>109</v>
      </c>
      <c r="V12" s="1471" t="s">
        <v>456</v>
      </c>
      <c r="W12" s="1471" t="s">
        <v>417</v>
      </c>
      <c r="X12" s="1471" t="s">
        <v>360</v>
      </c>
      <c r="Y12" s="1526"/>
      <c r="Z12" s="974"/>
      <c r="AA12" s="974"/>
      <c r="AB12" s="974"/>
      <c r="AC12" s="974"/>
      <c r="AD12" s="974"/>
      <c r="AE12" s="974"/>
    </row>
    <row r="13">
      <c r="A13" s="1525"/>
      <c r="B13" s="1525"/>
      <c r="C13" s="1525"/>
      <c r="D13" s="1525"/>
      <c r="E13" s="1525"/>
      <c r="F13" s="1525" t="s">
        <v>5025</v>
      </c>
      <c r="G13" s="1526"/>
      <c r="H13" s="1526"/>
      <c r="I13" s="1526"/>
      <c r="J13" s="1526"/>
      <c r="K13" s="1526"/>
      <c r="L13" s="1526"/>
      <c r="M13" s="1526"/>
      <c r="N13" s="1526"/>
      <c r="O13" s="1526"/>
      <c r="P13" s="1471" t="s">
        <v>326</v>
      </c>
      <c r="Q13" s="1471" t="s">
        <v>555</v>
      </c>
      <c r="R13" s="1529" t="s">
        <v>5026</v>
      </c>
      <c r="S13" s="1526"/>
      <c r="T13" s="1526"/>
      <c r="U13" s="1471" t="s">
        <v>97</v>
      </c>
      <c r="V13" s="1471" t="s">
        <v>417</v>
      </c>
      <c r="W13" s="1471" t="s">
        <v>5017</v>
      </c>
      <c r="X13" s="1526"/>
      <c r="Y13" s="1526"/>
      <c r="Z13" s="974"/>
      <c r="AA13" s="974"/>
      <c r="AB13" s="974"/>
      <c r="AC13" s="974"/>
      <c r="AD13" s="974"/>
      <c r="AE13" s="974"/>
    </row>
    <row r="14">
      <c r="A14" s="1471"/>
      <c r="B14" s="1471"/>
      <c r="C14" s="1471"/>
      <c r="D14" s="1471"/>
      <c r="E14" s="1471"/>
      <c r="F14" s="1471" t="s">
        <v>5027</v>
      </c>
      <c r="G14" s="1526"/>
      <c r="H14" s="1526"/>
      <c r="I14" s="1526"/>
      <c r="J14" s="1526"/>
      <c r="K14" s="1526"/>
      <c r="L14" s="1526"/>
      <c r="M14" s="1526"/>
      <c r="N14" s="1526"/>
      <c r="O14" s="1526"/>
      <c r="P14" s="1471" t="s">
        <v>365</v>
      </c>
      <c r="Q14" s="1471" t="s">
        <v>555</v>
      </c>
      <c r="R14" s="1529" t="s">
        <v>5028</v>
      </c>
      <c r="S14" s="1526"/>
      <c r="T14" s="1526"/>
      <c r="U14" s="1526"/>
      <c r="V14" s="1526"/>
      <c r="W14" s="1526"/>
      <c r="X14" s="1526"/>
      <c r="Y14" s="1526"/>
      <c r="Z14" s="974"/>
      <c r="AA14" s="974"/>
      <c r="AB14" s="974"/>
      <c r="AC14" s="974"/>
      <c r="AD14" s="974"/>
      <c r="AE14" s="974"/>
    </row>
    <row r="15">
      <c r="A15" s="1471"/>
      <c r="B15" s="1471"/>
      <c r="C15" s="1471"/>
      <c r="D15" s="1471"/>
      <c r="E15" s="1471"/>
      <c r="F15" s="1471" t="s">
        <v>5029</v>
      </c>
      <c r="G15" s="1526"/>
      <c r="H15" s="1526"/>
      <c r="I15" s="1526"/>
      <c r="J15" s="1526"/>
      <c r="K15" s="1526"/>
      <c r="L15" s="1526"/>
      <c r="M15" s="1526"/>
      <c r="N15" s="1526"/>
      <c r="O15" s="1526"/>
      <c r="P15" s="1471" t="s">
        <v>192</v>
      </c>
      <c r="Q15" s="1471" t="s">
        <v>555</v>
      </c>
      <c r="R15" s="1529" t="s">
        <v>5030</v>
      </c>
      <c r="S15" s="1526"/>
      <c r="T15" s="1526"/>
      <c r="U15" s="1471" t="s">
        <v>463</v>
      </c>
      <c r="V15" s="1471" t="s">
        <v>5017</v>
      </c>
      <c r="W15" s="1471" t="s">
        <v>187</v>
      </c>
      <c r="X15" s="1526"/>
      <c r="Y15" s="1526"/>
      <c r="Z15" s="974"/>
      <c r="AA15" s="974"/>
      <c r="AB15" s="974"/>
      <c r="AC15" s="974"/>
      <c r="AD15" s="974"/>
      <c r="AE15" s="974"/>
    </row>
    <row r="16">
      <c r="A16" s="1471"/>
      <c r="B16" s="1471"/>
      <c r="C16" s="1471"/>
      <c r="D16" s="1471"/>
      <c r="E16" s="1471"/>
      <c r="F16" s="1471" t="s">
        <v>5031</v>
      </c>
      <c r="G16" s="1526"/>
      <c r="H16" s="1526"/>
      <c r="I16" s="1526"/>
      <c r="J16" s="1526"/>
      <c r="K16" s="1526"/>
      <c r="L16" s="1526"/>
      <c r="M16" s="1526"/>
      <c r="N16" s="1526"/>
      <c r="O16" s="1526"/>
      <c r="P16" s="1471" t="s">
        <v>146</v>
      </c>
      <c r="Q16" s="1471" t="s">
        <v>555</v>
      </c>
      <c r="R16" s="1529" t="s">
        <v>5032</v>
      </c>
      <c r="S16" s="1526"/>
      <c r="T16" s="1526"/>
      <c r="U16" s="1471" t="s">
        <v>117</v>
      </c>
      <c r="V16" s="1471" t="s">
        <v>187</v>
      </c>
      <c r="W16" s="1471" t="s">
        <v>195</v>
      </c>
      <c r="X16" s="1526"/>
      <c r="Y16" s="1526"/>
      <c r="Z16" s="974"/>
      <c r="AA16" s="974"/>
      <c r="AB16" s="974"/>
      <c r="AC16" s="974"/>
      <c r="AD16" s="974"/>
      <c r="AE16" s="974"/>
    </row>
    <row r="17">
      <c r="A17" s="1471"/>
      <c r="B17" s="1471"/>
      <c r="C17" s="1471"/>
      <c r="D17" s="1471"/>
      <c r="E17" s="1471"/>
      <c r="F17" s="1471" t="s">
        <v>5033</v>
      </c>
      <c r="G17" s="1526"/>
      <c r="H17" s="1526"/>
      <c r="I17" s="1526"/>
      <c r="J17" s="1526"/>
      <c r="K17" s="1526"/>
      <c r="L17" s="1526"/>
      <c r="M17" s="1526"/>
      <c r="N17" s="1526"/>
      <c r="O17" s="1526"/>
      <c r="P17" s="1471" t="s">
        <v>514</v>
      </c>
      <c r="Q17" s="1471" t="s">
        <v>555</v>
      </c>
      <c r="R17" s="1529" t="s">
        <v>5034</v>
      </c>
      <c r="S17" s="1526"/>
      <c r="T17" s="1526"/>
      <c r="U17" s="1471" t="s">
        <v>425</v>
      </c>
      <c r="V17" s="1471" t="s">
        <v>195</v>
      </c>
      <c r="W17" s="1471" t="s">
        <v>463</v>
      </c>
      <c r="X17" s="1526"/>
      <c r="Y17" s="1526"/>
      <c r="Z17" s="974"/>
      <c r="AA17" s="974"/>
      <c r="AB17" s="974"/>
      <c r="AC17" s="974"/>
      <c r="AD17" s="974"/>
      <c r="AE17" s="974"/>
    </row>
    <row r="18">
      <c r="A18" s="1471"/>
      <c r="B18" s="1471"/>
      <c r="C18" s="1471"/>
      <c r="D18" s="1471"/>
      <c r="E18" s="1471"/>
      <c r="F18" s="1471" t="s">
        <v>5035</v>
      </c>
      <c r="G18" s="1526"/>
      <c r="H18" s="1526"/>
      <c r="I18" s="1526"/>
      <c r="J18" s="1526"/>
      <c r="K18" s="1526"/>
      <c r="L18" s="1526"/>
      <c r="M18" s="1526"/>
      <c r="N18" s="1526"/>
      <c r="O18" s="1526"/>
      <c r="P18" s="1471" t="s">
        <v>3336</v>
      </c>
      <c r="Q18" s="1471" t="s">
        <v>555</v>
      </c>
      <c r="R18" s="1534">
        <v>44507.0</v>
      </c>
      <c r="S18" s="1526"/>
      <c r="T18" s="1526"/>
      <c r="U18" s="1471" t="s">
        <v>54</v>
      </c>
      <c r="V18" s="1471" t="s">
        <v>463</v>
      </c>
      <c r="W18" s="1471" t="s">
        <v>5036</v>
      </c>
      <c r="X18" s="1526"/>
      <c r="Y18" s="1526"/>
      <c r="Z18" s="974"/>
      <c r="AA18" s="974"/>
      <c r="AB18" s="974"/>
      <c r="AC18" s="974"/>
      <c r="AD18" s="974"/>
      <c r="AE18" s="974"/>
    </row>
    <row r="19">
      <c r="A19" s="1526"/>
      <c r="B19" s="1526"/>
      <c r="C19" s="1526"/>
      <c r="D19" s="1526"/>
      <c r="E19" s="1526"/>
      <c r="F19" s="1526"/>
      <c r="G19" s="1526"/>
      <c r="H19" s="1526"/>
      <c r="I19" s="1526"/>
      <c r="J19" s="1526"/>
      <c r="K19" s="1526"/>
      <c r="L19" s="1526"/>
      <c r="M19" s="1526"/>
      <c r="N19" s="1526"/>
      <c r="O19" s="1526"/>
      <c r="P19" s="1471" t="s">
        <v>164</v>
      </c>
      <c r="Q19" s="1471" t="s">
        <v>555</v>
      </c>
      <c r="R19" s="1534">
        <v>44414.0</v>
      </c>
      <c r="S19" s="1526"/>
      <c r="T19" s="1526"/>
      <c r="U19" s="1471" t="s">
        <v>421</v>
      </c>
      <c r="V19" s="1471" t="s">
        <v>5036</v>
      </c>
      <c r="W19" s="1471" t="s">
        <v>223</v>
      </c>
      <c r="X19" s="1526"/>
      <c r="Y19" s="1526"/>
      <c r="Z19" s="974"/>
      <c r="AA19" s="974"/>
      <c r="AB19" s="974"/>
      <c r="AC19" s="974"/>
      <c r="AD19" s="974"/>
      <c r="AE19" s="974"/>
    </row>
    <row r="20">
      <c r="A20" s="1525"/>
      <c r="B20" s="1525"/>
      <c r="C20" s="1525"/>
      <c r="D20" s="1525"/>
      <c r="E20" s="1525"/>
      <c r="F20" s="1525"/>
      <c r="G20" s="1526"/>
      <c r="H20" s="1526"/>
      <c r="I20" s="1526"/>
      <c r="J20" s="1526"/>
      <c r="K20" s="1526"/>
      <c r="L20" s="1526"/>
      <c r="M20" s="1526"/>
      <c r="N20" s="1526"/>
      <c r="O20" s="1526"/>
      <c r="P20" s="1471" t="s">
        <v>3336</v>
      </c>
      <c r="Q20" s="1471" t="s">
        <v>555</v>
      </c>
      <c r="R20" s="1534">
        <v>44352.0</v>
      </c>
      <c r="S20" s="1526"/>
      <c r="T20" s="1526"/>
      <c r="U20" s="1471" t="s">
        <v>128</v>
      </c>
      <c r="V20" s="1471" t="s">
        <v>223</v>
      </c>
      <c r="W20" s="1471" t="s">
        <v>5037</v>
      </c>
      <c r="X20" s="1526"/>
      <c r="Y20" s="1526"/>
      <c r="Z20" s="974"/>
      <c r="AA20" s="974"/>
      <c r="AB20" s="974"/>
      <c r="AC20" s="974"/>
      <c r="AD20" s="974"/>
      <c r="AE20" s="974"/>
    </row>
    <row r="21">
      <c r="A21" s="1471"/>
      <c r="B21" s="1471"/>
      <c r="C21" s="1471"/>
      <c r="D21" s="1471"/>
      <c r="E21" s="1471"/>
      <c r="F21" s="1471"/>
      <c r="G21" s="1471"/>
      <c r="H21" s="1526"/>
      <c r="I21" s="1526"/>
      <c r="J21" s="1526"/>
      <c r="K21" s="1526"/>
      <c r="L21" s="1526"/>
      <c r="M21" s="1526"/>
      <c r="N21" s="1526"/>
      <c r="O21" s="1526"/>
      <c r="P21" s="1471" t="s">
        <v>5010</v>
      </c>
      <c r="Q21" s="1471" t="s">
        <v>555</v>
      </c>
      <c r="R21" s="1534">
        <v>44351.0</v>
      </c>
      <c r="S21" s="1526"/>
      <c r="T21" s="1526"/>
      <c r="U21" s="1471" t="s">
        <v>202</v>
      </c>
      <c r="V21" s="1471" t="s">
        <v>5037</v>
      </c>
      <c r="W21" s="1471" t="s">
        <v>413</v>
      </c>
      <c r="X21" s="1526"/>
      <c r="Y21" s="1526"/>
      <c r="Z21" s="974"/>
      <c r="AA21" s="974"/>
      <c r="AB21" s="974"/>
      <c r="AC21" s="974"/>
      <c r="AD21" s="974"/>
      <c r="AE21" s="974"/>
    </row>
    <row r="22">
      <c r="A22" s="1471"/>
      <c r="B22" s="1471"/>
      <c r="C22" s="1471"/>
      <c r="D22" s="1471"/>
      <c r="E22" s="1471"/>
      <c r="F22" s="1471"/>
      <c r="G22" s="1471"/>
      <c r="H22" s="1526"/>
      <c r="I22" s="1526"/>
      <c r="J22" s="1526"/>
      <c r="K22" s="1526"/>
      <c r="L22" s="1526"/>
      <c r="M22" s="1526"/>
      <c r="N22" s="1526"/>
      <c r="O22" s="1526"/>
      <c r="P22" s="1471" t="s">
        <v>164</v>
      </c>
      <c r="Q22" s="1471" t="s">
        <v>555</v>
      </c>
      <c r="R22" s="1529" t="s">
        <v>5038</v>
      </c>
      <c r="S22" s="1526"/>
      <c r="T22" s="1526"/>
      <c r="U22" s="1471" t="s">
        <v>5039</v>
      </c>
      <c r="V22" s="1471" t="s">
        <v>413</v>
      </c>
      <c r="W22" s="1471" t="s">
        <v>341</v>
      </c>
      <c r="X22" s="1526"/>
      <c r="Y22" s="1526"/>
      <c r="Z22" s="974"/>
      <c r="AA22" s="974"/>
      <c r="AB22" s="974"/>
      <c r="AC22" s="974"/>
      <c r="AD22" s="974"/>
      <c r="AE22" s="974"/>
    </row>
    <row r="23">
      <c r="A23" s="1526"/>
      <c r="B23" s="1526"/>
      <c r="C23" s="1526"/>
      <c r="D23" s="1526"/>
      <c r="E23" s="1526"/>
      <c r="F23" s="1526"/>
      <c r="G23" s="1526"/>
      <c r="H23" s="1526"/>
      <c r="I23" s="1526"/>
      <c r="J23" s="1526"/>
      <c r="K23" s="1526"/>
      <c r="L23" s="1526"/>
      <c r="M23" s="1526"/>
      <c r="N23" s="1526"/>
      <c r="O23" s="1526"/>
      <c r="P23" s="1471" t="s">
        <v>2983</v>
      </c>
      <c r="Q23" s="1471" t="s">
        <v>555</v>
      </c>
      <c r="R23" s="1529" t="s">
        <v>5040</v>
      </c>
      <c r="S23" s="1526"/>
      <c r="T23" s="1526"/>
      <c r="U23" s="1471" t="s">
        <v>87</v>
      </c>
      <c r="V23" s="1471" t="s">
        <v>341</v>
      </c>
      <c r="W23" s="1471" t="s">
        <v>412</v>
      </c>
      <c r="X23" s="1526"/>
      <c r="Y23" s="1526"/>
      <c r="Z23" s="974"/>
      <c r="AA23" s="974"/>
      <c r="AB23" s="974"/>
      <c r="AC23" s="974"/>
      <c r="AD23" s="974"/>
      <c r="AE23" s="974"/>
    </row>
    <row r="24">
      <c r="A24" s="1526"/>
      <c r="B24" s="1526"/>
      <c r="C24" s="1526"/>
      <c r="D24" s="1526"/>
      <c r="E24" s="1526"/>
      <c r="F24" s="1526"/>
      <c r="G24" s="1526"/>
      <c r="H24" s="1526"/>
      <c r="I24" s="1526"/>
      <c r="J24" s="1526"/>
      <c r="K24" s="1526"/>
      <c r="L24" s="1526"/>
      <c r="M24" s="1526"/>
      <c r="N24" s="1526"/>
      <c r="O24" s="1526"/>
      <c r="P24" s="1471" t="s">
        <v>502</v>
      </c>
      <c r="Q24" s="1471" t="s">
        <v>555</v>
      </c>
      <c r="R24" s="1534">
        <v>44349.0</v>
      </c>
      <c r="S24" s="1526"/>
      <c r="T24" s="1526"/>
      <c r="U24" s="1526"/>
      <c r="V24" s="1471" t="s">
        <v>3159</v>
      </c>
      <c r="W24" s="1471" t="s">
        <v>3159</v>
      </c>
      <c r="X24" s="1526"/>
      <c r="Y24" s="1526"/>
      <c r="Z24" s="974"/>
      <c r="AA24" s="974"/>
      <c r="AB24" s="974"/>
      <c r="AC24" s="974"/>
      <c r="AD24" s="974"/>
      <c r="AE24" s="974"/>
    </row>
    <row r="25">
      <c r="A25" s="1526"/>
      <c r="B25" s="1526"/>
      <c r="C25" s="1526"/>
      <c r="D25" s="1526"/>
      <c r="E25" s="1526"/>
      <c r="F25" s="1526"/>
      <c r="G25" s="1526"/>
      <c r="H25" s="1526"/>
      <c r="I25" s="1526"/>
      <c r="J25" s="1526"/>
      <c r="K25" s="1526"/>
      <c r="L25" s="1526"/>
      <c r="M25" s="1526"/>
      <c r="N25" s="1526"/>
      <c r="O25" s="1526"/>
      <c r="P25" s="1471" t="s">
        <v>514</v>
      </c>
      <c r="Q25" s="1471" t="s">
        <v>555</v>
      </c>
      <c r="R25" s="1529" t="s">
        <v>5041</v>
      </c>
      <c r="S25" s="1526"/>
      <c r="T25" s="1526"/>
      <c r="U25" s="1526"/>
      <c r="V25" s="1471" t="s">
        <v>245</v>
      </c>
      <c r="W25" s="1471" t="s">
        <v>245</v>
      </c>
      <c r="X25" s="1526"/>
      <c r="Y25" s="1526"/>
      <c r="Z25" s="974"/>
      <c r="AA25" s="974"/>
      <c r="AB25" s="974"/>
      <c r="AC25" s="974"/>
      <c r="AD25" s="974"/>
      <c r="AE25" s="974"/>
    </row>
    <row r="26">
      <c r="A26" s="1526"/>
      <c r="B26" s="1526"/>
      <c r="C26" s="1526"/>
      <c r="D26" s="1526"/>
      <c r="E26" s="1526"/>
      <c r="F26" s="1526"/>
      <c r="G26" s="1526"/>
      <c r="H26" s="1526"/>
      <c r="I26" s="1526"/>
      <c r="J26" s="1526"/>
      <c r="K26" s="1526"/>
      <c r="L26" s="1526"/>
      <c r="M26" s="1526"/>
      <c r="N26" s="1526"/>
      <c r="O26" s="1526"/>
      <c r="P26" s="1471" t="s">
        <v>146</v>
      </c>
      <c r="Q26" s="1471" t="s">
        <v>555</v>
      </c>
      <c r="R26" s="1529" t="s">
        <v>5042</v>
      </c>
      <c r="S26" s="1526"/>
      <c r="T26" s="1526"/>
      <c r="U26" s="1526"/>
      <c r="V26" s="1471" t="s">
        <v>198</v>
      </c>
      <c r="W26" s="1471" t="s">
        <v>198</v>
      </c>
      <c r="X26" s="1526"/>
      <c r="Y26" s="1526"/>
      <c r="Z26" s="974"/>
      <c r="AA26" s="974"/>
      <c r="AB26" s="974"/>
      <c r="AC26" s="974"/>
      <c r="AD26" s="974"/>
      <c r="AE26" s="974"/>
    </row>
    <row r="27">
      <c r="A27" s="1526"/>
      <c r="B27" s="1526"/>
      <c r="C27" s="1526"/>
      <c r="D27" s="1526"/>
      <c r="E27" s="1526"/>
      <c r="F27" s="1526"/>
      <c r="G27" s="1526"/>
      <c r="H27" s="1526"/>
      <c r="I27" s="1526"/>
      <c r="J27" s="1526"/>
      <c r="K27" s="1526"/>
      <c r="L27" s="1526"/>
      <c r="M27" s="1526"/>
      <c r="N27" s="1526"/>
      <c r="O27" s="1526"/>
      <c r="P27" s="1471" t="s">
        <v>199</v>
      </c>
      <c r="Q27" s="1471" t="s">
        <v>555</v>
      </c>
      <c r="R27" s="1529" t="s">
        <v>5043</v>
      </c>
      <c r="S27" s="1526"/>
      <c r="T27" s="1526"/>
      <c r="U27" s="1526"/>
      <c r="V27" s="1471" t="s">
        <v>5044</v>
      </c>
      <c r="W27" s="1471" t="s">
        <v>5044</v>
      </c>
      <c r="X27" s="1526"/>
      <c r="Y27" s="1526"/>
      <c r="Z27" s="974"/>
      <c r="AA27" s="974"/>
      <c r="AB27" s="974"/>
      <c r="AC27" s="974"/>
      <c r="AD27" s="974"/>
      <c r="AE27" s="974"/>
    </row>
    <row r="28">
      <c r="A28" s="1526"/>
      <c r="B28" s="1526"/>
      <c r="C28" s="1526"/>
      <c r="D28" s="1526"/>
      <c r="E28" s="1526"/>
      <c r="F28" s="1526"/>
      <c r="G28" s="1526"/>
      <c r="H28" s="1526"/>
      <c r="I28" s="1526"/>
      <c r="J28" s="1526"/>
      <c r="K28" s="1526"/>
      <c r="L28" s="1526"/>
      <c r="M28" s="1526"/>
      <c r="N28" s="1526"/>
      <c r="O28" s="1526"/>
      <c r="P28" s="1471" t="s">
        <v>120</v>
      </c>
      <c r="Q28" s="1471" t="s">
        <v>555</v>
      </c>
      <c r="R28" s="1529" t="s">
        <v>5045</v>
      </c>
      <c r="S28" s="1526"/>
      <c r="T28" s="1526"/>
      <c r="U28" s="1526"/>
      <c r="V28" s="1471" t="s">
        <v>359</v>
      </c>
      <c r="W28" s="1471" t="s">
        <v>359</v>
      </c>
      <c r="X28" s="1526"/>
      <c r="Y28" s="1526"/>
      <c r="Z28" s="974"/>
      <c r="AA28" s="974"/>
      <c r="AB28" s="974"/>
      <c r="AC28" s="974"/>
      <c r="AD28" s="974"/>
      <c r="AE28" s="974"/>
    </row>
    <row r="29">
      <c r="A29" s="1526"/>
      <c r="B29" s="1526"/>
      <c r="C29" s="1526"/>
      <c r="D29" s="1526"/>
      <c r="E29" s="1526"/>
      <c r="F29" s="1526"/>
      <c r="G29" s="1526"/>
      <c r="H29" s="1526"/>
      <c r="I29" s="1526"/>
      <c r="J29" s="1526"/>
      <c r="K29" s="1526"/>
      <c r="L29" s="1526"/>
      <c r="M29" s="1526"/>
      <c r="N29" s="1526"/>
      <c r="O29" s="1526"/>
      <c r="P29" s="1471" t="s">
        <v>5007</v>
      </c>
      <c r="Q29" s="1471" t="s">
        <v>555</v>
      </c>
      <c r="R29" s="1529" t="s">
        <v>5046</v>
      </c>
      <c r="S29" s="1526"/>
      <c r="T29" s="1526"/>
      <c r="U29" s="1526"/>
      <c r="V29" s="1526"/>
      <c r="W29" s="1471" t="s">
        <v>371</v>
      </c>
      <c r="X29" s="1526"/>
      <c r="Y29" s="1526"/>
      <c r="Z29" s="974"/>
      <c r="AA29" s="974"/>
      <c r="AB29" s="974"/>
      <c r="AC29" s="974"/>
      <c r="AD29" s="974"/>
      <c r="AE29" s="974"/>
    </row>
    <row r="30">
      <c r="A30" s="1526"/>
      <c r="B30" s="1526"/>
      <c r="C30" s="1526"/>
      <c r="D30" s="1526"/>
      <c r="E30" s="1526"/>
      <c r="F30" s="1526"/>
      <c r="G30" s="1526"/>
      <c r="H30" s="1526"/>
      <c r="I30" s="1526"/>
      <c r="J30" s="1526"/>
      <c r="K30" s="1526"/>
      <c r="L30" s="1526"/>
      <c r="M30" s="1526"/>
      <c r="N30" s="1526"/>
      <c r="O30" s="1526"/>
      <c r="P30" s="1471" t="s">
        <v>125</v>
      </c>
      <c r="Q30" s="1471" t="s">
        <v>555</v>
      </c>
      <c r="R30" s="1529" t="s">
        <v>5047</v>
      </c>
      <c r="S30" s="1526"/>
      <c r="T30" s="1526"/>
      <c r="U30" s="1526"/>
      <c r="V30" s="1526"/>
      <c r="W30" s="1471" t="s">
        <v>287</v>
      </c>
      <c r="X30" s="1526"/>
      <c r="Y30" s="1526"/>
      <c r="Z30" s="974"/>
      <c r="AA30" s="974"/>
      <c r="AB30" s="974"/>
      <c r="AC30" s="974"/>
      <c r="AD30" s="974"/>
      <c r="AE30" s="974"/>
    </row>
    <row r="31">
      <c r="A31" s="1526"/>
      <c r="B31" s="1526"/>
      <c r="C31" s="1526"/>
      <c r="D31" s="1526"/>
      <c r="E31" s="1526"/>
      <c r="F31" s="1526"/>
      <c r="G31" s="1526"/>
      <c r="H31" s="1526"/>
      <c r="I31" s="1526"/>
      <c r="J31" s="1526"/>
      <c r="K31" s="1526"/>
      <c r="L31" s="1526"/>
      <c r="M31" s="1526"/>
      <c r="N31" s="1526"/>
      <c r="O31" s="1526"/>
      <c r="P31" s="1471" t="s">
        <v>2983</v>
      </c>
      <c r="Q31" s="1471" t="s">
        <v>555</v>
      </c>
      <c r="R31" s="1534">
        <v>43990.0</v>
      </c>
      <c r="S31" s="1526"/>
      <c r="T31" s="1526"/>
      <c r="U31" s="1526"/>
      <c r="V31" s="1526"/>
      <c r="W31" s="1471" t="s">
        <v>5048</v>
      </c>
      <c r="X31" s="1526"/>
      <c r="Y31" s="1526"/>
      <c r="Z31" s="974"/>
      <c r="AA31" s="974"/>
      <c r="AB31" s="974"/>
      <c r="AC31" s="974"/>
      <c r="AD31" s="974"/>
      <c r="AE31" s="974"/>
    </row>
    <row r="32">
      <c r="A32" s="1526"/>
      <c r="B32" s="1526"/>
      <c r="C32" s="1526"/>
      <c r="D32" s="1526"/>
      <c r="E32" s="1526"/>
      <c r="F32" s="1526"/>
      <c r="G32" s="1526"/>
      <c r="H32" s="1526"/>
      <c r="I32" s="1526"/>
      <c r="J32" s="1526"/>
      <c r="K32" s="1526"/>
      <c r="L32" s="1526"/>
      <c r="M32" s="1526"/>
      <c r="N32" s="1526"/>
      <c r="O32" s="1526"/>
      <c r="P32" s="1471" t="s">
        <v>117</v>
      </c>
      <c r="Q32" s="1471" t="s">
        <v>555</v>
      </c>
      <c r="R32" s="1534">
        <v>44172.0</v>
      </c>
      <c r="S32" s="1526"/>
      <c r="T32" s="1526"/>
      <c r="U32" s="1526"/>
      <c r="V32" s="1526"/>
      <c r="W32" s="1471" t="s">
        <v>548</v>
      </c>
      <c r="X32" s="1526"/>
      <c r="Y32" s="1526"/>
      <c r="Z32" s="974"/>
      <c r="AA32" s="974"/>
      <c r="AB32" s="974"/>
      <c r="AC32" s="974"/>
      <c r="AD32" s="974"/>
      <c r="AE32" s="974"/>
    </row>
    <row r="33">
      <c r="A33" s="1526"/>
      <c r="B33" s="1526"/>
      <c r="C33" s="1526"/>
      <c r="D33" s="1526"/>
      <c r="E33" s="1526"/>
      <c r="F33" s="1526"/>
      <c r="G33" s="1526"/>
      <c r="H33" s="1526"/>
      <c r="I33" s="1526"/>
      <c r="J33" s="1526"/>
      <c r="K33" s="1526"/>
      <c r="L33" s="1526"/>
      <c r="M33" s="1526"/>
      <c r="N33" s="1526"/>
      <c r="O33" s="1526"/>
      <c r="P33" s="1471" t="s">
        <v>360</v>
      </c>
      <c r="Q33" s="1471" t="s">
        <v>555</v>
      </c>
      <c r="R33" s="1529" t="s">
        <v>5049</v>
      </c>
      <c r="S33" s="1526"/>
      <c r="T33" s="1526"/>
      <c r="U33" s="1526"/>
      <c r="V33" s="1526"/>
      <c r="W33" s="1471" t="s">
        <v>465</v>
      </c>
      <c r="X33" s="1526"/>
      <c r="Y33" s="1526"/>
      <c r="Z33" s="974"/>
      <c r="AA33" s="974"/>
      <c r="AB33" s="974"/>
      <c r="AC33" s="974"/>
      <c r="AD33" s="974"/>
      <c r="AE33" s="974"/>
    </row>
    <row r="34">
      <c r="A34" s="1526"/>
      <c r="B34" s="1526"/>
      <c r="C34" s="1526"/>
      <c r="D34" s="1526"/>
      <c r="E34" s="1526"/>
      <c r="F34" s="1526"/>
      <c r="G34" s="1526"/>
      <c r="H34" s="1526"/>
      <c r="I34" s="1526"/>
      <c r="J34" s="1526"/>
      <c r="K34" s="1526"/>
      <c r="L34" s="1526"/>
      <c r="M34" s="1526"/>
      <c r="N34" s="1526"/>
      <c r="O34" s="1526"/>
      <c r="P34" s="1471" t="s">
        <v>255</v>
      </c>
      <c r="Q34" s="1471" t="s">
        <v>555</v>
      </c>
      <c r="R34" s="1529" t="s">
        <v>5050</v>
      </c>
      <c r="S34" s="1526"/>
      <c r="T34" s="1526"/>
      <c r="U34" s="1526"/>
      <c r="V34" s="1526"/>
      <c r="W34" s="1471" t="s">
        <v>54</v>
      </c>
      <c r="X34" s="1526"/>
      <c r="Y34" s="1526"/>
      <c r="Z34" s="974"/>
      <c r="AA34" s="974"/>
      <c r="AB34" s="974"/>
      <c r="AC34" s="974"/>
      <c r="AD34" s="974"/>
      <c r="AE34" s="974"/>
    </row>
    <row r="35">
      <c r="A35" s="1526"/>
      <c r="B35" s="1526"/>
      <c r="C35" s="1526"/>
      <c r="D35" s="1526"/>
      <c r="E35" s="1526"/>
      <c r="F35" s="1526"/>
      <c r="G35" s="1526"/>
      <c r="H35" s="1526"/>
      <c r="I35" s="1526"/>
      <c r="J35" s="1526"/>
      <c r="K35" s="1526"/>
      <c r="L35" s="1526"/>
      <c r="M35" s="1526"/>
      <c r="N35" s="1526"/>
      <c r="O35" s="1526"/>
      <c r="P35" s="1471" t="s">
        <v>357</v>
      </c>
      <c r="Q35" s="1471" t="s">
        <v>555</v>
      </c>
      <c r="R35" s="1534">
        <v>43926.0</v>
      </c>
      <c r="S35" s="1526"/>
      <c r="T35" s="1526"/>
      <c r="U35" s="1526"/>
      <c r="V35" s="1526"/>
      <c r="W35" s="1471" t="s">
        <v>48</v>
      </c>
      <c r="X35" s="1526"/>
      <c r="Y35" s="1526"/>
      <c r="Z35" s="974"/>
      <c r="AA35" s="974"/>
      <c r="AB35" s="974"/>
      <c r="AC35" s="974"/>
      <c r="AD35" s="974"/>
      <c r="AE35" s="974"/>
    </row>
    <row r="36">
      <c r="A36" s="1526"/>
      <c r="B36" s="1526"/>
      <c r="C36" s="1526"/>
      <c r="D36" s="1526"/>
      <c r="E36" s="1526"/>
      <c r="F36" s="1526"/>
      <c r="G36" s="1526"/>
      <c r="H36" s="1526"/>
      <c r="I36" s="1526"/>
      <c r="J36" s="1526"/>
      <c r="K36" s="1526"/>
      <c r="L36" s="1526"/>
      <c r="M36" s="1526"/>
      <c r="N36" s="1526"/>
      <c r="O36" s="1526"/>
      <c r="P36" s="1471" t="s">
        <v>196</v>
      </c>
      <c r="Q36" s="1471" t="s">
        <v>555</v>
      </c>
      <c r="R36" s="1534">
        <v>44139.0</v>
      </c>
      <c r="S36" s="1526"/>
      <c r="T36" s="1526"/>
      <c r="U36" s="1526"/>
      <c r="V36" s="1526"/>
      <c r="W36" s="1526"/>
      <c r="X36" s="1526"/>
      <c r="Y36" s="1526"/>
      <c r="Z36" s="974"/>
      <c r="AA36" s="974"/>
      <c r="AB36" s="974"/>
      <c r="AC36" s="974"/>
      <c r="AD36" s="974"/>
      <c r="AE36" s="974"/>
    </row>
    <row r="37">
      <c r="A37" s="1526"/>
      <c r="B37" s="1526"/>
      <c r="C37" s="1526"/>
      <c r="D37" s="1526"/>
      <c r="E37" s="1526"/>
      <c r="F37" s="1526"/>
      <c r="G37" s="1526"/>
      <c r="H37" s="1526"/>
      <c r="I37" s="1526"/>
      <c r="J37" s="1526"/>
      <c r="K37" s="1526"/>
      <c r="L37" s="1526"/>
      <c r="M37" s="1526"/>
      <c r="N37" s="1526"/>
      <c r="O37" s="1526"/>
      <c r="P37" s="1471" t="s">
        <v>152</v>
      </c>
      <c r="Q37" s="1471" t="s">
        <v>555</v>
      </c>
      <c r="R37" s="1529" t="s">
        <v>5051</v>
      </c>
      <c r="S37" s="1526"/>
      <c r="T37" s="1526"/>
      <c r="U37" s="1526"/>
      <c r="V37" s="1526"/>
      <c r="W37" s="1526"/>
      <c r="X37" s="1526"/>
      <c r="Y37" s="1526"/>
      <c r="Z37" s="974"/>
      <c r="AA37" s="974"/>
      <c r="AB37" s="974"/>
      <c r="AC37" s="974"/>
      <c r="AD37" s="974"/>
      <c r="AE37" s="974"/>
    </row>
    <row r="38">
      <c r="A38" s="1526"/>
      <c r="B38" s="1526"/>
      <c r="C38" s="1526"/>
      <c r="D38" s="1526"/>
      <c r="E38" s="1526"/>
      <c r="F38" s="1526"/>
      <c r="G38" s="1526"/>
      <c r="H38" s="1526"/>
      <c r="I38" s="1526"/>
      <c r="J38" s="1526"/>
      <c r="K38" s="1526"/>
      <c r="L38" s="1526"/>
      <c r="M38" s="1526"/>
      <c r="N38" s="1526"/>
      <c r="O38" s="1526"/>
      <c r="P38" s="1471" t="s">
        <v>502</v>
      </c>
      <c r="Q38" s="1471" t="s">
        <v>555</v>
      </c>
      <c r="R38" s="1534">
        <v>43954.0</v>
      </c>
      <c r="S38" s="1526"/>
      <c r="T38" s="1526"/>
      <c r="U38" s="1526"/>
      <c r="V38" s="1526"/>
      <c r="W38" s="1526"/>
      <c r="X38" s="1526"/>
      <c r="Y38" s="1526"/>
      <c r="Z38" s="974"/>
      <c r="AA38" s="974"/>
      <c r="AB38" s="974"/>
      <c r="AC38" s="974"/>
      <c r="AD38" s="974"/>
      <c r="AE38" s="974"/>
    </row>
    <row r="39">
      <c r="A39" s="1526"/>
      <c r="B39" s="1526"/>
      <c r="C39" s="1526"/>
      <c r="D39" s="1526"/>
      <c r="E39" s="1526"/>
      <c r="F39" s="1526"/>
      <c r="G39" s="1526"/>
      <c r="H39" s="1526"/>
      <c r="I39" s="1526"/>
      <c r="J39" s="1526"/>
      <c r="K39" s="1526"/>
      <c r="L39" s="1526"/>
      <c r="M39" s="1526"/>
      <c r="N39" s="1526"/>
      <c r="O39" s="1526"/>
      <c r="P39" s="1471" t="s">
        <v>113</v>
      </c>
      <c r="Q39" s="1471" t="s">
        <v>555</v>
      </c>
      <c r="R39" s="1529" t="s">
        <v>5052</v>
      </c>
      <c r="S39" s="1526"/>
      <c r="T39" s="1526"/>
      <c r="U39" s="1526"/>
      <c r="V39" s="1526"/>
      <c r="W39" s="1526"/>
      <c r="X39" s="1526"/>
      <c r="Y39" s="1526"/>
      <c r="Z39" s="974"/>
      <c r="AA39" s="974"/>
      <c r="AB39" s="974"/>
      <c r="AC39" s="974"/>
      <c r="AD39" s="974"/>
      <c r="AE39" s="974"/>
    </row>
    <row r="40">
      <c r="A40" s="1526"/>
      <c r="B40" s="1526"/>
      <c r="C40" s="1526"/>
      <c r="D40" s="1526"/>
      <c r="E40" s="1526"/>
      <c r="F40" s="1526"/>
      <c r="G40" s="1526"/>
      <c r="H40" s="1526"/>
      <c r="I40" s="1526"/>
      <c r="J40" s="1526"/>
      <c r="K40" s="1526"/>
      <c r="L40" s="1526"/>
      <c r="M40" s="1526"/>
      <c r="N40" s="1526"/>
      <c r="O40" s="1526"/>
      <c r="P40" s="1471" t="s">
        <v>572</v>
      </c>
      <c r="Q40" s="1471" t="s">
        <v>555</v>
      </c>
      <c r="R40" s="1534">
        <v>43832.0</v>
      </c>
      <c r="S40" s="1526"/>
      <c r="T40" s="1526"/>
      <c r="U40" s="1526"/>
      <c r="V40" s="1526"/>
      <c r="W40" s="1526"/>
      <c r="X40" s="1526"/>
      <c r="Y40" s="1526"/>
      <c r="Z40" s="974"/>
      <c r="AA40" s="974"/>
      <c r="AB40" s="974"/>
      <c r="AC40" s="974"/>
      <c r="AD40" s="974"/>
      <c r="AE40" s="974"/>
    </row>
    <row r="41">
      <c r="A41" s="1526"/>
      <c r="B41" s="1526"/>
      <c r="C41" s="1526"/>
      <c r="D41" s="1526"/>
      <c r="E41" s="1526"/>
      <c r="F41" s="1526"/>
      <c r="G41" s="1526"/>
      <c r="H41" s="1526"/>
      <c r="I41" s="1526"/>
      <c r="J41" s="1526"/>
      <c r="K41" s="1526"/>
      <c r="L41" s="1526"/>
      <c r="M41" s="1526"/>
      <c r="N41" s="1526"/>
      <c r="O41" s="1526"/>
      <c r="P41" s="1471" t="s">
        <v>502</v>
      </c>
      <c r="Q41" s="1471" t="s">
        <v>555</v>
      </c>
      <c r="R41" s="1529" t="s">
        <v>5053</v>
      </c>
      <c r="S41" s="1526"/>
      <c r="T41" s="1526"/>
      <c r="U41" s="1526"/>
      <c r="V41" s="1526"/>
      <c r="W41" s="1526"/>
      <c r="X41" s="1526"/>
      <c r="Y41" s="1526"/>
      <c r="Z41" s="974"/>
      <c r="AA41" s="974"/>
      <c r="AB41" s="974"/>
      <c r="AC41" s="974"/>
      <c r="AD41" s="974"/>
      <c r="AE41" s="974"/>
    </row>
    <row r="42">
      <c r="A42" s="1526"/>
      <c r="B42" s="1526"/>
      <c r="C42" s="1526"/>
      <c r="D42" s="1526"/>
      <c r="E42" s="1526"/>
      <c r="F42" s="1526"/>
      <c r="G42" s="1526"/>
      <c r="H42" s="1526"/>
      <c r="I42" s="1526"/>
      <c r="J42" s="1526"/>
      <c r="K42" s="1526"/>
      <c r="L42" s="1526"/>
      <c r="M42" s="1526"/>
      <c r="N42" s="1526"/>
      <c r="O42" s="1526"/>
      <c r="P42" s="1471" t="s">
        <v>5054</v>
      </c>
      <c r="Q42" s="1471" t="s">
        <v>555</v>
      </c>
      <c r="R42" s="1534">
        <v>44044.0</v>
      </c>
      <c r="S42" s="1526"/>
      <c r="T42" s="1526"/>
      <c r="U42" s="1526"/>
      <c r="V42" s="1526"/>
      <c r="W42" s="1526"/>
      <c r="X42" s="1526"/>
      <c r="Y42" s="1526"/>
      <c r="Z42" s="974"/>
      <c r="AA42" s="974"/>
      <c r="AB42" s="974"/>
      <c r="AC42" s="974"/>
      <c r="AD42" s="974"/>
      <c r="AE42" s="974"/>
    </row>
    <row r="43">
      <c r="A43" s="1526"/>
      <c r="B43" s="1526"/>
      <c r="C43" s="1526"/>
      <c r="D43" s="1526"/>
      <c r="E43" s="1526"/>
      <c r="F43" s="1526"/>
      <c r="G43" s="1526"/>
      <c r="H43" s="1526"/>
      <c r="I43" s="1526"/>
      <c r="J43" s="1526"/>
      <c r="K43" s="1526"/>
      <c r="L43" s="1526"/>
      <c r="M43" s="1526"/>
      <c r="N43" s="1526"/>
      <c r="O43" s="1526"/>
      <c r="P43" s="1471" t="s">
        <v>502</v>
      </c>
      <c r="Q43" s="1471" t="s">
        <v>555</v>
      </c>
      <c r="R43" s="1529" t="s">
        <v>5055</v>
      </c>
      <c r="S43" s="1526"/>
      <c r="T43" s="1526"/>
      <c r="U43" s="1526"/>
      <c r="V43" s="1526"/>
      <c r="W43" s="1526"/>
      <c r="X43" s="1526"/>
      <c r="Y43" s="1526"/>
      <c r="Z43" s="974"/>
      <c r="AA43" s="974"/>
      <c r="AB43" s="974"/>
      <c r="AC43" s="974"/>
      <c r="AD43" s="974"/>
      <c r="AE43" s="974"/>
    </row>
    <row r="44">
      <c r="A44" s="1526"/>
      <c r="B44" s="1526"/>
      <c r="C44" s="1526"/>
      <c r="D44" s="1526"/>
      <c r="E44" s="1526"/>
      <c r="F44" s="1526"/>
      <c r="G44" s="1526"/>
      <c r="H44" s="1526"/>
      <c r="I44" s="1526"/>
      <c r="J44" s="1526"/>
      <c r="K44" s="1526"/>
      <c r="L44" s="1526"/>
      <c r="M44" s="1526"/>
      <c r="N44" s="1526"/>
      <c r="O44" s="1526"/>
      <c r="P44" s="1471" t="s">
        <v>5007</v>
      </c>
      <c r="Q44" s="1471" t="s">
        <v>555</v>
      </c>
      <c r="R44" s="1529" t="s">
        <v>5056</v>
      </c>
      <c r="S44" s="1526"/>
      <c r="T44" s="1526"/>
      <c r="U44" s="1526"/>
      <c r="V44" s="1526"/>
      <c r="W44" s="1526"/>
      <c r="X44" s="1526"/>
      <c r="Y44" s="1526"/>
      <c r="Z44" s="974"/>
      <c r="AA44" s="974"/>
      <c r="AB44" s="974"/>
      <c r="AC44" s="974"/>
      <c r="AD44" s="974"/>
      <c r="AE44" s="974"/>
    </row>
    <row r="45">
      <c r="A45" s="1526"/>
      <c r="B45" s="1526"/>
      <c r="C45" s="1526"/>
      <c r="D45" s="1526"/>
      <c r="E45" s="1526"/>
      <c r="F45" s="1526"/>
      <c r="G45" s="1526"/>
      <c r="H45" s="1526"/>
      <c r="I45" s="1526"/>
      <c r="J45" s="1526"/>
      <c r="K45" s="1526"/>
      <c r="L45" s="1526"/>
      <c r="M45" s="1526"/>
      <c r="N45" s="1526"/>
      <c r="O45" s="1526"/>
      <c r="P45" s="1471" t="s">
        <v>123</v>
      </c>
      <c r="Q45" s="1471" t="s">
        <v>555</v>
      </c>
      <c r="R45" s="1529" t="s">
        <v>5057</v>
      </c>
      <c r="S45" s="1526"/>
      <c r="T45" s="1526"/>
      <c r="U45" s="1526"/>
      <c r="V45" s="1526"/>
      <c r="W45" s="1526"/>
      <c r="X45" s="1526"/>
      <c r="Y45" s="1526"/>
      <c r="Z45" s="974"/>
      <c r="AA45" s="974"/>
      <c r="AB45" s="974"/>
      <c r="AC45" s="974"/>
      <c r="AD45" s="974"/>
      <c r="AE45" s="974"/>
    </row>
    <row r="46">
      <c r="A46" s="1526"/>
      <c r="B46" s="1526"/>
      <c r="C46" s="1526"/>
      <c r="D46" s="1526"/>
      <c r="E46" s="1526"/>
      <c r="F46" s="1526"/>
      <c r="G46" s="1526"/>
      <c r="H46" s="1526"/>
      <c r="I46" s="1526"/>
      <c r="J46" s="1526"/>
      <c r="K46" s="1526"/>
      <c r="L46" s="1526"/>
      <c r="M46" s="1526"/>
      <c r="N46" s="1526"/>
      <c r="O46" s="1526"/>
      <c r="P46" s="1471" t="s">
        <v>502</v>
      </c>
      <c r="Q46" s="1471" t="s">
        <v>555</v>
      </c>
      <c r="R46" s="1529" t="s">
        <v>5058</v>
      </c>
      <c r="S46" s="1526"/>
      <c r="T46" s="1526"/>
      <c r="U46" s="1526"/>
      <c r="V46" s="1526"/>
      <c r="W46" s="1526"/>
      <c r="X46" s="1526"/>
      <c r="Y46" s="1526"/>
      <c r="Z46" s="974"/>
      <c r="AA46" s="974"/>
      <c r="AB46" s="974"/>
      <c r="AC46" s="974"/>
      <c r="AD46" s="974"/>
      <c r="AE46" s="974"/>
    </row>
    <row r="47">
      <c r="A47" s="1526"/>
      <c r="B47" s="1526"/>
      <c r="C47" s="1526"/>
      <c r="D47" s="1526"/>
      <c r="E47" s="1526"/>
      <c r="F47" s="1526"/>
      <c r="G47" s="1526"/>
      <c r="H47" s="1526"/>
      <c r="I47" s="1526"/>
      <c r="J47" s="1526"/>
      <c r="K47" s="1526"/>
      <c r="L47" s="1526"/>
      <c r="M47" s="1526"/>
      <c r="N47" s="1526"/>
      <c r="O47" s="1526"/>
      <c r="P47" s="1471" t="s">
        <v>5054</v>
      </c>
      <c r="Q47" s="1471" t="s">
        <v>555</v>
      </c>
      <c r="R47" s="1529" t="s">
        <v>5059</v>
      </c>
      <c r="S47" s="1526"/>
      <c r="T47" s="1526"/>
      <c r="U47" s="1526"/>
      <c r="V47" s="1526"/>
      <c r="W47" s="1526"/>
      <c r="X47" s="1526"/>
      <c r="Y47" s="1526"/>
      <c r="Z47" s="974"/>
      <c r="AA47" s="974"/>
      <c r="AB47" s="974"/>
      <c r="AC47" s="974"/>
      <c r="AD47" s="974"/>
      <c r="AE47" s="974"/>
    </row>
    <row r="48">
      <c r="A48" s="1526"/>
      <c r="B48" s="1526"/>
      <c r="C48" s="1526"/>
      <c r="D48" s="1526"/>
      <c r="E48" s="1526"/>
      <c r="F48" s="1526"/>
      <c r="G48" s="1526"/>
      <c r="H48" s="1526"/>
      <c r="I48" s="1526"/>
      <c r="J48" s="1526"/>
      <c r="K48" s="1526"/>
      <c r="L48" s="1526"/>
      <c r="M48" s="1526"/>
      <c r="N48" s="1526"/>
      <c r="O48" s="1526"/>
      <c r="P48" s="1471" t="s">
        <v>502</v>
      </c>
      <c r="Q48" s="1471" t="s">
        <v>555</v>
      </c>
      <c r="R48" s="1529" t="s">
        <v>5060</v>
      </c>
      <c r="S48" s="1526"/>
      <c r="T48" s="1526"/>
      <c r="U48" s="1526"/>
      <c r="V48" s="1526"/>
      <c r="W48" s="1526"/>
      <c r="X48" s="1526"/>
      <c r="Y48" s="1526"/>
      <c r="Z48" s="974"/>
      <c r="AA48" s="974"/>
      <c r="AB48" s="974"/>
      <c r="AC48" s="974"/>
      <c r="AD48" s="974"/>
      <c r="AE48" s="974"/>
    </row>
    <row r="49">
      <c r="A49" s="1526"/>
      <c r="B49" s="1526"/>
      <c r="C49" s="1526"/>
      <c r="D49" s="1526"/>
      <c r="E49" s="1526"/>
      <c r="F49" s="1526"/>
      <c r="G49" s="1526"/>
      <c r="H49" s="1526"/>
      <c r="I49" s="1526"/>
      <c r="J49" s="1526"/>
      <c r="K49" s="1526"/>
      <c r="L49" s="1526"/>
      <c r="M49" s="1526"/>
      <c r="N49" s="1526"/>
      <c r="O49" s="1526"/>
      <c r="P49" s="1471" t="s">
        <v>201</v>
      </c>
      <c r="Q49" s="1471" t="s">
        <v>555</v>
      </c>
      <c r="R49" s="1529" t="s">
        <v>5061</v>
      </c>
      <c r="S49" s="1526"/>
      <c r="T49" s="1526"/>
      <c r="U49" s="1526"/>
      <c r="V49" s="1526"/>
      <c r="W49" s="1526"/>
      <c r="X49" s="1526"/>
      <c r="Y49" s="1526"/>
      <c r="Z49" s="974"/>
      <c r="AA49" s="974"/>
      <c r="AB49" s="974"/>
      <c r="AC49" s="974"/>
      <c r="AD49" s="974"/>
      <c r="AE49" s="974"/>
    </row>
    <row r="50">
      <c r="A50" s="1526"/>
      <c r="B50" s="1526"/>
      <c r="C50" s="1526"/>
      <c r="D50" s="1526"/>
      <c r="E50" s="1526"/>
      <c r="F50" s="1526"/>
      <c r="G50" s="1526"/>
      <c r="H50" s="1526"/>
      <c r="I50" s="1526"/>
      <c r="J50" s="1526"/>
      <c r="K50" s="1526"/>
      <c r="L50" s="1526"/>
      <c r="M50" s="1526"/>
      <c r="N50" s="1526"/>
      <c r="O50" s="1526"/>
      <c r="P50" s="1471" t="s">
        <v>502</v>
      </c>
      <c r="Q50" s="1471" t="s">
        <v>555</v>
      </c>
      <c r="R50" s="1529" t="s">
        <v>5062</v>
      </c>
      <c r="S50" s="1526"/>
      <c r="T50" s="1526"/>
      <c r="U50" s="1526"/>
      <c r="V50" s="1526"/>
      <c r="W50" s="1526"/>
      <c r="X50" s="1526"/>
      <c r="Y50" s="1526"/>
      <c r="Z50" s="974"/>
      <c r="AA50" s="974"/>
      <c r="AB50" s="974"/>
      <c r="AC50" s="974"/>
      <c r="AD50" s="974"/>
      <c r="AE50" s="974"/>
    </row>
    <row r="51">
      <c r="A51" s="1526"/>
      <c r="B51" s="1526"/>
      <c r="C51" s="1526"/>
      <c r="D51" s="1526"/>
      <c r="E51" s="1526"/>
      <c r="F51" s="1526"/>
      <c r="G51" s="1526"/>
      <c r="H51" s="1526"/>
      <c r="I51" s="1526"/>
      <c r="J51" s="1526"/>
      <c r="K51" s="1526"/>
      <c r="L51" s="1526"/>
      <c r="M51" s="1526"/>
      <c r="N51" s="1526"/>
      <c r="O51" s="1526"/>
      <c r="P51" s="1471" t="s">
        <v>359</v>
      </c>
      <c r="Q51" s="1471" t="s">
        <v>555</v>
      </c>
      <c r="R51" s="1534">
        <v>43474.0</v>
      </c>
      <c r="S51" s="1526"/>
      <c r="T51" s="1526"/>
      <c r="U51" s="1526"/>
      <c r="V51" s="1526"/>
      <c r="W51" s="1526"/>
      <c r="X51" s="1526"/>
      <c r="Y51" s="1526"/>
      <c r="Z51" s="974"/>
      <c r="AA51" s="974"/>
      <c r="AB51" s="974"/>
      <c r="AC51" s="974"/>
      <c r="AD51" s="974"/>
      <c r="AE51" s="974"/>
    </row>
    <row r="52">
      <c r="A52" s="1526"/>
      <c r="B52" s="1526"/>
      <c r="C52" s="1526"/>
      <c r="D52" s="1526"/>
      <c r="E52" s="1526"/>
      <c r="F52" s="1526"/>
      <c r="G52" s="1526"/>
      <c r="H52" s="1526"/>
      <c r="I52" s="1526"/>
      <c r="J52" s="1526"/>
      <c r="K52" s="1526"/>
      <c r="L52" s="1526"/>
      <c r="M52" s="1526"/>
      <c r="N52" s="1526"/>
      <c r="O52" s="1526"/>
      <c r="P52" s="1471" t="s">
        <v>502</v>
      </c>
      <c r="Q52" s="1471" t="s">
        <v>555</v>
      </c>
      <c r="R52" s="1529" t="s">
        <v>5063</v>
      </c>
      <c r="S52" s="1526"/>
      <c r="T52" s="1526"/>
      <c r="U52" s="1526"/>
      <c r="V52" s="1526"/>
      <c r="W52" s="1526"/>
      <c r="X52" s="1526"/>
      <c r="Y52" s="1526"/>
      <c r="Z52" s="974"/>
      <c r="AA52" s="974"/>
      <c r="AB52" s="974"/>
      <c r="AC52" s="974"/>
      <c r="AD52" s="974"/>
      <c r="AE52" s="974"/>
    </row>
    <row r="53">
      <c r="A53" s="1526"/>
      <c r="B53" s="1526"/>
      <c r="C53" s="1526"/>
      <c r="D53" s="1526"/>
      <c r="E53" s="1526"/>
      <c r="F53" s="1526"/>
      <c r="G53" s="1526"/>
      <c r="H53" s="1526"/>
      <c r="I53" s="1526"/>
      <c r="J53" s="1526"/>
      <c r="K53" s="1526"/>
      <c r="L53" s="1526"/>
      <c r="M53" s="1526"/>
      <c r="N53" s="1526"/>
      <c r="O53" s="1526"/>
      <c r="P53" s="1471" t="s">
        <v>5007</v>
      </c>
      <c r="Q53" s="1471" t="s">
        <v>555</v>
      </c>
      <c r="R53" s="1529" t="s">
        <v>5064</v>
      </c>
      <c r="S53" s="1526"/>
      <c r="T53" s="1526"/>
      <c r="U53" s="1526"/>
      <c r="V53" s="1526"/>
      <c r="W53" s="1526"/>
      <c r="X53" s="1526"/>
      <c r="Y53" s="1526"/>
      <c r="Z53" s="974"/>
      <c r="AA53" s="974"/>
      <c r="AB53" s="974"/>
      <c r="AC53" s="974"/>
      <c r="AD53" s="974"/>
      <c r="AE53" s="974"/>
    </row>
    <row r="54">
      <c r="A54" s="1526"/>
      <c r="B54" s="1526"/>
      <c r="C54" s="1526"/>
      <c r="D54" s="1526"/>
      <c r="E54" s="1526"/>
      <c r="F54" s="1526"/>
      <c r="G54" s="1526"/>
      <c r="H54" s="1526"/>
      <c r="I54" s="1526"/>
      <c r="J54" s="1526"/>
      <c r="K54" s="1526"/>
      <c r="L54" s="1526"/>
      <c r="M54" s="1526"/>
      <c r="N54" s="1526"/>
      <c r="O54" s="1526"/>
      <c r="P54" s="1471" t="s">
        <v>502</v>
      </c>
      <c r="Q54" s="1471" t="s">
        <v>555</v>
      </c>
      <c r="R54" s="1529" t="s">
        <v>5065</v>
      </c>
      <c r="S54" s="1526"/>
      <c r="T54" s="1526"/>
      <c r="U54" s="1526"/>
      <c r="V54" s="1526"/>
      <c r="W54" s="1526"/>
      <c r="X54" s="1526"/>
      <c r="Y54" s="1526"/>
      <c r="Z54" s="974"/>
      <c r="AA54" s="974"/>
      <c r="AB54" s="974"/>
      <c r="AC54" s="974"/>
      <c r="AD54" s="974"/>
      <c r="AE54" s="974"/>
    </row>
    <row r="55">
      <c r="A55" s="1526"/>
      <c r="B55" s="1526"/>
      <c r="C55" s="1526"/>
      <c r="D55" s="1526"/>
      <c r="E55" s="1526"/>
      <c r="F55" s="1526"/>
      <c r="G55" s="1526"/>
      <c r="H55" s="1526"/>
      <c r="I55" s="1526"/>
      <c r="J55" s="1526"/>
      <c r="K55" s="1526"/>
      <c r="L55" s="1526"/>
      <c r="M55" s="1526"/>
      <c r="N55" s="1526"/>
      <c r="O55" s="1526"/>
      <c r="P55" s="1471" t="s">
        <v>199</v>
      </c>
      <c r="Q55" s="1471" t="s">
        <v>555</v>
      </c>
      <c r="R55" s="1529" t="s">
        <v>5066</v>
      </c>
      <c r="S55" s="1526"/>
      <c r="T55" s="1526"/>
      <c r="U55" s="1526"/>
      <c r="V55" s="1526"/>
      <c r="W55" s="1526"/>
      <c r="X55" s="1526"/>
      <c r="Y55" s="1526"/>
      <c r="Z55" s="974"/>
      <c r="AA55" s="974"/>
      <c r="AB55" s="974"/>
      <c r="AC55" s="974"/>
      <c r="AD55" s="974"/>
      <c r="AE55" s="974"/>
    </row>
    <row r="56">
      <c r="A56" s="1526"/>
      <c r="B56" s="1526"/>
      <c r="C56" s="1526"/>
      <c r="D56" s="1526"/>
      <c r="E56" s="1526"/>
      <c r="F56" s="1526"/>
      <c r="G56" s="1526"/>
      <c r="H56" s="1526"/>
      <c r="I56" s="1526"/>
      <c r="J56" s="1526"/>
      <c r="K56" s="1526"/>
      <c r="L56" s="1526"/>
      <c r="M56" s="1526"/>
      <c r="N56" s="1526"/>
      <c r="O56" s="1526"/>
      <c r="P56" s="1471" t="s">
        <v>5054</v>
      </c>
      <c r="Q56" s="1471" t="s">
        <v>555</v>
      </c>
      <c r="R56" s="1534">
        <v>43472.0</v>
      </c>
      <c r="S56" s="1526"/>
      <c r="T56" s="1526"/>
      <c r="U56" s="1526"/>
      <c r="V56" s="1526"/>
      <c r="W56" s="1526"/>
      <c r="X56" s="1526"/>
      <c r="Y56" s="1526"/>
      <c r="Z56" s="974"/>
      <c r="AA56" s="974"/>
      <c r="AB56" s="974"/>
      <c r="AC56" s="974"/>
      <c r="AD56" s="974"/>
      <c r="AE56" s="974"/>
    </row>
    <row r="57">
      <c r="A57" s="1526"/>
      <c r="B57" s="1526"/>
      <c r="C57" s="1526"/>
      <c r="D57" s="1526"/>
      <c r="E57" s="1526"/>
      <c r="F57" s="1526"/>
      <c r="G57" s="1526"/>
      <c r="H57" s="1526"/>
      <c r="I57" s="1526"/>
      <c r="J57" s="1526"/>
      <c r="K57" s="1526"/>
      <c r="L57" s="1526"/>
      <c r="M57" s="1526"/>
      <c r="N57" s="1526"/>
      <c r="O57" s="1526"/>
      <c r="P57" s="1471" t="s">
        <v>502</v>
      </c>
      <c r="Q57" s="1471" t="s">
        <v>555</v>
      </c>
      <c r="R57" s="1529" t="s">
        <v>5067</v>
      </c>
      <c r="S57" s="1526"/>
      <c r="T57" s="1526"/>
      <c r="U57" s="1526"/>
      <c r="V57" s="1526"/>
      <c r="W57" s="1526"/>
      <c r="X57" s="1526"/>
      <c r="Y57" s="1526"/>
      <c r="Z57" s="974"/>
      <c r="AA57" s="974"/>
      <c r="AB57" s="974"/>
      <c r="AC57" s="974"/>
      <c r="AD57" s="974"/>
      <c r="AE57" s="974"/>
    </row>
    <row r="58">
      <c r="A58" s="1526"/>
      <c r="B58" s="1526"/>
      <c r="C58" s="1526"/>
      <c r="D58" s="1526"/>
      <c r="E58" s="1526"/>
      <c r="F58" s="1526"/>
      <c r="G58" s="1526"/>
      <c r="H58" s="1526"/>
      <c r="I58" s="1526"/>
      <c r="J58" s="1526"/>
      <c r="K58" s="1526"/>
      <c r="L58" s="1526"/>
      <c r="M58" s="1526"/>
      <c r="N58" s="1526"/>
      <c r="O58" s="1526"/>
      <c r="P58" s="1471" t="s">
        <v>166</v>
      </c>
      <c r="Q58" s="1471" t="s">
        <v>555</v>
      </c>
      <c r="R58" s="1534">
        <v>43530.0</v>
      </c>
      <c r="S58" s="1526"/>
      <c r="T58" s="1526"/>
      <c r="U58" s="1526"/>
      <c r="V58" s="1526"/>
      <c r="W58" s="1526"/>
      <c r="X58" s="1526"/>
      <c r="Y58" s="1526"/>
      <c r="Z58" s="974"/>
      <c r="AA58" s="974"/>
      <c r="AB58" s="974"/>
      <c r="AC58" s="974"/>
      <c r="AD58" s="974"/>
      <c r="AE58" s="974"/>
    </row>
    <row r="59">
      <c r="A59" s="1526"/>
      <c r="B59" s="1526"/>
      <c r="C59" s="1526"/>
      <c r="D59" s="1526"/>
      <c r="E59" s="1526"/>
      <c r="F59" s="1526"/>
      <c r="G59" s="1526"/>
      <c r="H59" s="1526"/>
      <c r="I59" s="1526"/>
      <c r="J59" s="1526"/>
      <c r="K59" s="1526"/>
      <c r="L59" s="1526"/>
      <c r="M59" s="1526"/>
      <c r="N59" s="1526"/>
      <c r="O59" s="1526"/>
      <c r="P59" s="1471" t="s">
        <v>5068</v>
      </c>
      <c r="Q59" s="1471" t="s">
        <v>555</v>
      </c>
      <c r="R59" s="1529" t="s">
        <v>5069</v>
      </c>
      <c r="S59" s="1526"/>
      <c r="T59" s="1526"/>
      <c r="U59" s="1526"/>
      <c r="V59" s="1526"/>
      <c r="W59" s="1526"/>
      <c r="X59" s="1526"/>
      <c r="Y59" s="1526"/>
      <c r="Z59" s="974"/>
      <c r="AA59" s="974"/>
      <c r="AB59" s="974"/>
      <c r="AC59" s="974"/>
      <c r="AD59" s="974"/>
      <c r="AE59" s="974"/>
    </row>
    <row r="60">
      <c r="A60" s="1526"/>
      <c r="B60" s="1526"/>
      <c r="C60" s="1526"/>
      <c r="D60" s="1526"/>
      <c r="E60" s="1526"/>
      <c r="F60" s="1526"/>
      <c r="G60" s="1526"/>
      <c r="H60" s="1526"/>
      <c r="I60" s="1526"/>
      <c r="J60" s="1526"/>
      <c r="K60" s="1526"/>
      <c r="L60" s="1526"/>
      <c r="M60" s="1526"/>
      <c r="N60" s="1526"/>
      <c r="O60" s="1526"/>
      <c r="P60" s="1471" t="s">
        <v>5007</v>
      </c>
      <c r="Q60" s="1471" t="s">
        <v>555</v>
      </c>
      <c r="R60" s="1529" t="s">
        <v>5070</v>
      </c>
      <c r="S60" s="1526"/>
      <c r="T60" s="1526"/>
      <c r="U60" s="1526"/>
      <c r="V60" s="1526"/>
      <c r="W60" s="1526"/>
      <c r="X60" s="1526"/>
      <c r="Y60" s="1526"/>
      <c r="Z60" s="974"/>
      <c r="AA60" s="974"/>
      <c r="AB60" s="974"/>
      <c r="AC60" s="974"/>
      <c r="AD60" s="974"/>
      <c r="AE60" s="974"/>
    </row>
    <row r="61">
      <c r="A61" s="1526"/>
      <c r="B61" s="1526"/>
      <c r="C61" s="1526"/>
      <c r="D61" s="1526"/>
      <c r="E61" s="1526"/>
      <c r="F61" s="1526"/>
      <c r="G61" s="1526"/>
      <c r="H61" s="1526"/>
      <c r="I61" s="1526"/>
      <c r="J61" s="1526"/>
      <c r="K61" s="1526"/>
      <c r="L61" s="1526"/>
      <c r="M61" s="1526"/>
      <c r="N61" s="1526"/>
      <c r="O61" s="1526"/>
      <c r="P61" s="1471" t="s">
        <v>152</v>
      </c>
      <c r="Q61" s="1471" t="s">
        <v>555</v>
      </c>
      <c r="R61" s="1534">
        <v>43742.0</v>
      </c>
      <c r="S61" s="1526"/>
      <c r="T61" s="1526"/>
      <c r="U61" s="1526"/>
      <c r="V61" s="1526"/>
      <c r="W61" s="1526"/>
      <c r="X61" s="1526"/>
      <c r="Y61" s="1526"/>
      <c r="Z61" s="974"/>
      <c r="AA61" s="974"/>
      <c r="AB61" s="974"/>
      <c r="AC61" s="974"/>
      <c r="AD61" s="974"/>
      <c r="AE61" s="974"/>
    </row>
    <row r="62">
      <c r="A62" s="1526"/>
      <c r="B62" s="1526"/>
      <c r="C62" s="1526"/>
      <c r="D62" s="1526"/>
      <c r="E62" s="1526"/>
      <c r="F62" s="1526"/>
      <c r="G62" s="1526"/>
      <c r="H62" s="1526"/>
      <c r="I62" s="1526"/>
      <c r="J62" s="1526"/>
      <c r="K62" s="1526"/>
      <c r="L62" s="1526"/>
      <c r="M62" s="1526"/>
      <c r="N62" s="1526"/>
      <c r="O62" s="1526"/>
      <c r="P62" s="1471" t="s">
        <v>115</v>
      </c>
      <c r="Q62" s="1471" t="s">
        <v>555</v>
      </c>
      <c r="R62" s="1529" t="s">
        <v>5071</v>
      </c>
      <c r="S62" s="1526"/>
      <c r="T62" s="1526"/>
      <c r="U62" s="1526"/>
      <c r="V62" s="1526"/>
      <c r="W62" s="1526"/>
      <c r="X62" s="1526"/>
      <c r="Y62" s="1526"/>
      <c r="Z62" s="974"/>
      <c r="AA62" s="974"/>
      <c r="AB62" s="974"/>
      <c r="AC62" s="974"/>
      <c r="AD62" s="974"/>
      <c r="AE62" s="974"/>
    </row>
    <row r="63">
      <c r="A63" s="1526"/>
      <c r="B63" s="1526"/>
      <c r="C63" s="1526"/>
      <c r="D63" s="1526"/>
      <c r="E63" s="1526"/>
      <c r="F63" s="1526"/>
      <c r="G63" s="1526"/>
      <c r="H63" s="1526"/>
      <c r="I63" s="1526"/>
      <c r="J63" s="1526"/>
      <c r="K63" s="1526"/>
      <c r="L63" s="1526"/>
      <c r="M63" s="1526"/>
      <c r="N63" s="1526"/>
      <c r="O63" s="1526"/>
      <c r="P63" s="1471" t="s">
        <v>166</v>
      </c>
      <c r="Q63" s="1471" t="s">
        <v>555</v>
      </c>
      <c r="R63" s="1534">
        <v>43588.0</v>
      </c>
      <c r="S63" s="1526"/>
      <c r="T63" s="1526"/>
      <c r="U63" s="1526"/>
      <c r="V63" s="1526"/>
      <c r="W63" s="1526"/>
      <c r="X63" s="1526"/>
      <c r="Y63" s="1526"/>
      <c r="Z63" s="974"/>
      <c r="AA63" s="974"/>
      <c r="AB63" s="974"/>
      <c r="AC63" s="974"/>
      <c r="AD63" s="974"/>
      <c r="AE63" s="974"/>
    </row>
    <row r="64">
      <c r="A64" s="1526"/>
      <c r="B64" s="1526"/>
      <c r="C64" s="1526"/>
      <c r="D64" s="1526"/>
      <c r="E64" s="1526"/>
      <c r="F64" s="1526"/>
      <c r="G64" s="1526"/>
      <c r="H64" s="1526"/>
      <c r="I64" s="1526"/>
      <c r="J64" s="1526"/>
      <c r="K64" s="1526"/>
      <c r="L64" s="1526"/>
      <c r="M64" s="1526"/>
      <c r="N64" s="1526"/>
      <c r="O64" s="1526"/>
      <c r="P64" s="1471" t="s">
        <v>120</v>
      </c>
      <c r="Q64" s="1471" t="s">
        <v>555</v>
      </c>
      <c r="R64" s="1529" t="s">
        <v>5072</v>
      </c>
      <c r="S64" s="1526"/>
      <c r="T64" s="1526"/>
      <c r="U64" s="1526"/>
      <c r="V64" s="1526"/>
      <c r="W64" s="1526"/>
      <c r="X64" s="1526"/>
      <c r="Y64" s="1526"/>
      <c r="Z64" s="974"/>
      <c r="AA64" s="974"/>
      <c r="AB64" s="974"/>
      <c r="AC64" s="974"/>
      <c r="AD64" s="974"/>
      <c r="AE64" s="974"/>
    </row>
    <row r="65">
      <c r="A65" s="1526"/>
      <c r="B65" s="1526"/>
      <c r="C65" s="1526"/>
      <c r="D65" s="1526"/>
      <c r="E65" s="1526"/>
      <c r="F65" s="1526"/>
      <c r="G65" s="1526"/>
      <c r="H65" s="1526"/>
      <c r="I65" s="1526"/>
      <c r="J65" s="1526"/>
      <c r="K65" s="1526"/>
      <c r="L65" s="1526"/>
      <c r="M65" s="1526"/>
      <c r="N65" s="1526"/>
      <c r="O65" s="1526"/>
      <c r="P65" s="1471" t="s">
        <v>5007</v>
      </c>
      <c r="Q65" s="1471" t="s">
        <v>555</v>
      </c>
      <c r="R65" s="1534">
        <v>43648.0</v>
      </c>
      <c r="S65" s="1526"/>
      <c r="T65" s="1526"/>
      <c r="U65" s="1526"/>
      <c r="V65" s="1526"/>
      <c r="W65" s="1526"/>
      <c r="X65" s="1526"/>
      <c r="Y65" s="1526"/>
      <c r="Z65" s="974"/>
      <c r="AA65" s="974"/>
      <c r="AB65" s="974"/>
      <c r="AC65" s="974"/>
      <c r="AD65" s="974"/>
      <c r="AE65" s="974"/>
    </row>
    <row r="66">
      <c r="A66" s="1526"/>
      <c r="B66" s="1526"/>
      <c r="C66" s="1526"/>
      <c r="D66" s="1526"/>
      <c r="E66" s="1526"/>
      <c r="F66" s="1526"/>
      <c r="G66" s="1526"/>
      <c r="H66" s="1526"/>
      <c r="I66" s="1526"/>
      <c r="J66" s="1526"/>
      <c r="K66" s="1526"/>
      <c r="L66" s="1526"/>
      <c r="M66" s="1526"/>
      <c r="N66" s="1526"/>
      <c r="O66" s="1526"/>
      <c r="P66" s="1471" t="s">
        <v>104</v>
      </c>
      <c r="Q66" s="1471" t="s">
        <v>555</v>
      </c>
      <c r="R66" s="1529" t="s">
        <v>5073</v>
      </c>
      <c r="S66" s="1526"/>
      <c r="T66" s="1526"/>
      <c r="U66" s="1526"/>
      <c r="V66" s="1526"/>
      <c r="W66" s="1526"/>
      <c r="X66" s="1526"/>
      <c r="Y66" s="1526"/>
      <c r="Z66" s="974"/>
      <c r="AA66" s="974"/>
      <c r="AB66" s="974"/>
      <c r="AC66" s="974"/>
      <c r="AD66" s="974"/>
      <c r="AE66" s="974"/>
    </row>
    <row r="67">
      <c r="A67" s="1526"/>
      <c r="B67" s="1526"/>
      <c r="C67" s="1526"/>
      <c r="D67" s="1526"/>
      <c r="E67" s="1526"/>
      <c r="F67" s="1526"/>
      <c r="G67" s="1526"/>
      <c r="H67" s="1526"/>
      <c r="I67" s="1526"/>
      <c r="J67" s="1526"/>
      <c r="K67" s="1526"/>
      <c r="L67" s="1526"/>
      <c r="M67" s="1526"/>
      <c r="N67" s="1526"/>
      <c r="O67" s="1526"/>
      <c r="P67" s="1471" t="s">
        <v>5074</v>
      </c>
      <c r="Q67" s="1471" t="s">
        <v>555</v>
      </c>
      <c r="R67" s="1529" t="s">
        <v>5075</v>
      </c>
      <c r="S67" s="1526"/>
      <c r="T67" s="1526"/>
      <c r="U67" s="1526"/>
      <c r="V67" s="1526"/>
      <c r="W67" s="1526"/>
      <c r="X67" s="1526"/>
      <c r="Y67" s="1526"/>
      <c r="Z67" s="974"/>
      <c r="AA67" s="974"/>
      <c r="AB67" s="974"/>
      <c r="AC67" s="974"/>
      <c r="AD67" s="974"/>
      <c r="AE67" s="974"/>
    </row>
    <row r="68">
      <c r="A68" s="1526"/>
      <c r="B68" s="1526"/>
      <c r="C68" s="1526"/>
      <c r="D68" s="1526"/>
      <c r="E68" s="1526"/>
      <c r="F68" s="1526"/>
      <c r="G68" s="1526"/>
      <c r="H68" s="1526"/>
      <c r="I68" s="1526"/>
      <c r="J68" s="1526"/>
      <c r="K68" s="1526"/>
      <c r="L68" s="1526"/>
      <c r="M68" s="1526"/>
      <c r="N68" s="1526"/>
      <c r="O68" s="1526"/>
      <c r="P68" s="1471" t="s">
        <v>478</v>
      </c>
      <c r="Q68" s="1471" t="s">
        <v>555</v>
      </c>
      <c r="R68" s="1529" t="s">
        <v>5076</v>
      </c>
      <c r="S68" s="1526"/>
      <c r="T68" s="1526"/>
      <c r="U68" s="1526"/>
      <c r="V68" s="1526"/>
      <c r="W68" s="1526"/>
      <c r="X68" s="1526"/>
      <c r="Y68" s="1526"/>
      <c r="Z68" s="974"/>
      <c r="AA68" s="974"/>
      <c r="AB68" s="974"/>
      <c r="AC68" s="974"/>
      <c r="AD68" s="974"/>
      <c r="AE68" s="974"/>
    </row>
    <row r="69">
      <c r="A69" s="1526"/>
      <c r="B69" s="1526"/>
      <c r="C69" s="1526"/>
      <c r="D69" s="1526"/>
      <c r="E69" s="1526"/>
      <c r="F69" s="1526"/>
      <c r="G69" s="1526"/>
      <c r="H69" s="1526"/>
      <c r="I69" s="1526"/>
      <c r="J69" s="1526"/>
      <c r="K69" s="1526"/>
      <c r="L69" s="1526"/>
      <c r="M69" s="1526"/>
      <c r="N69" s="1526"/>
      <c r="O69" s="1526"/>
      <c r="P69" s="1471" t="s">
        <v>141</v>
      </c>
      <c r="Q69" s="1471" t="s">
        <v>555</v>
      </c>
      <c r="R69" s="1536">
        <v>43444.0</v>
      </c>
      <c r="S69" s="1526"/>
      <c r="T69" s="1526"/>
      <c r="U69" s="1526"/>
      <c r="V69" s="1526"/>
      <c r="W69" s="1526"/>
      <c r="X69" s="1526"/>
      <c r="Y69" s="1526"/>
      <c r="Z69" s="974"/>
      <c r="AA69" s="974"/>
      <c r="AB69" s="974"/>
      <c r="AC69" s="974"/>
      <c r="AD69" s="974"/>
      <c r="AE69" s="974"/>
    </row>
    <row r="70">
      <c r="A70" s="1526"/>
      <c r="B70" s="1526"/>
      <c r="C70" s="1526"/>
      <c r="D70" s="1526"/>
      <c r="E70" s="1526"/>
      <c r="F70" s="1526"/>
      <c r="G70" s="1526"/>
      <c r="H70" s="1526"/>
      <c r="I70" s="1526"/>
      <c r="J70" s="1526"/>
      <c r="K70" s="1526"/>
      <c r="L70" s="1526"/>
      <c r="M70" s="1526"/>
      <c r="N70" s="1526"/>
      <c r="O70" s="1526"/>
      <c r="P70" s="1471" t="s">
        <v>502</v>
      </c>
      <c r="Q70" s="1471" t="s">
        <v>555</v>
      </c>
      <c r="R70" s="1529" t="s">
        <v>5077</v>
      </c>
      <c r="S70" s="1526"/>
      <c r="T70" s="1526"/>
      <c r="U70" s="1526"/>
      <c r="V70" s="1526"/>
      <c r="W70" s="1526"/>
      <c r="X70" s="1526"/>
      <c r="Y70" s="1526"/>
      <c r="Z70" s="974"/>
      <c r="AA70" s="974"/>
      <c r="AB70" s="974"/>
      <c r="AC70" s="974"/>
      <c r="AD70" s="974"/>
      <c r="AE70" s="974"/>
    </row>
    <row r="71">
      <c r="A71" s="1526"/>
      <c r="B71" s="1526"/>
      <c r="C71" s="1526"/>
      <c r="D71" s="1526"/>
      <c r="E71" s="1526"/>
      <c r="F71" s="1526"/>
      <c r="G71" s="1526"/>
      <c r="H71" s="1526"/>
      <c r="I71" s="1526"/>
      <c r="J71" s="1526"/>
      <c r="K71" s="1526"/>
      <c r="L71" s="1526"/>
      <c r="M71" s="1526"/>
      <c r="N71" s="1526"/>
      <c r="O71" s="1526"/>
      <c r="P71" s="1471" t="s">
        <v>359</v>
      </c>
      <c r="Q71" s="1471" t="s">
        <v>555</v>
      </c>
      <c r="R71" s="1534">
        <v>43413.0</v>
      </c>
      <c r="S71" s="1526"/>
      <c r="T71" s="1526"/>
      <c r="U71" s="1526"/>
      <c r="V71" s="1526"/>
      <c r="W71" s="1526"/>
      <c r="X71" s="1526"/>
      <c r="Y71" s="1526"/>
      <c r="Z71" s="974"/>
      <c r="AA71" s="974"/>
      <c r="AB71" s="974"/>
      <c r="AC71" s="974"/>
      <c r="AD71" s="974"/>
      <c r="AE71" s="974"/>
    </row>
    <row r="72">
      <c r="A72" s="1526"/>
      <c r="B72" s="1526"/>
      <c r="C72" s="1526"/>
      <c r="D72" s="1526"/>
      <c r="E72" s="1526"/>
      <c r="F72" s="1526"/>
      <c r="G72" s="1526"/>
      <c r="H72" s="1526"/>
      <c r="I72" s="1526"/>
      <c r="J72" s="1526"/>
      <c r="K72" s="1526"/>
      <c r="L72" s="1526"/>
      <c r="M72" s="1526"/>
      <c r="N72" s="1526"/>
      <c r="O72" s="1526"/>
      <c r="P72" s="1471" t="s">
        <v>502</v>
      </c>
      <c r="Q72" s="1471" t="s">
        <v>555</v>
      </c>
      <c r="R72" s="1529" t="s">
        <v>5078</v>
      </c>
      <c r="S72" s="1526"/>
      <c r="T72" s="1526"/>
      <c r="U72" s="1526"/>
      <c r="V72" s="1526"/>
      <c r="W72" s="1526"/>
      <c r="X72" s="1526"/>
      <c r="Y72" s="1526"/>
      <c r="Z72" s="974"/>
      <c r="AA72" s="974"/>
      <c r="AB72" s="974"/>
      <c r="AC72" s="974"/>
      <c r="AD72" s="974"/>
      <c r="AE72" s="974"/>
    </row>
    <row r="73">
      <c r="A73" s="1526"/>
      <c r="B73" s="1526"/>
      <c r="C73" s="1526"/>
      <c r="D73" s="1526"/>
      <c r="E73" s="1526"/>
      <c r="F73" s="1526"/>
      <c r="G73" s="1526"/>
      <c r="H73" s="1526"/>
      <c r="I73" s="1526"/>
      <c r="J73" s="1526"/>
      <c r="K73" s="1526"/>
      <c r="L73" s="1526"/>
      <c r="M73" s="1526"/>
      <c r="N73" s="1526"/>
      <c r="O73" s="1526"/>
      <c r="P73" s="1471" t="s">
        <v>135</v>
      </c>
      <c r="Q73" s="1471" t="s">
        <v>555</v>
      </c>
      <c r="R73" s="1534">
        <v>43351.0</v>
      </c>
      <c r="S73" s="1526"/>
      <c r="T73" s="1526"/>
      <c r="U73" s="1526"/>
      <c r="V73" s="1526"/>
      <c r="W73" s="1526"/>
      <c r="X73" s="1526"/>
      <c r="Y73" s="1526"/>
      <c r="Z73" s="974"/>
      <c r="AA73" s="974"/>
      <c r="AB73" s="974"/>
      <c r="AC73" s="974"/>
      <c r="AD73" s="974"/>
      <c r="AE73" s="974"/>
    </row>
    <row r="74">
      <c r="A74" s="1526"/>
      <c r="B74" s="1526"/>
      <c r="C74" s="1526"/>
      <c r="D74" s="1526"/>
      <c r="E74" s="1526"/>
      <c r="F74" s="1526"/>
      <c r="G74" s="1526"/>
      <c r="H74" s="1526"/>
      <c r="I74" s="1526"/>
      <c r="J74" s="1526"/>
      <c r="K74" s="1526"/>
      <c r="L74" s="1526"/>
      <c r="M74" s="1526"/>
      <c r="N74" s="1526"/>
      <c r="O74" s="1526"/>
      <c r="P74" s="1471" t="s">
        <v>502</v>
      </c>
      <c r="Q74" s="1471" t="s">
        <v>555</v>
      </c>
      <c r="R74" s="1529" t="s">
        <v>5079</v>
      </c>
      <c r="S74" s="1526"/>
      <c r="T74" s="1526"/>
      <c r="U74" s="1526"/>
      <c r="V74" s="1526"/>
      <c r="W74" s="1526"/>
      <c r="X74" s="1526"/>
      <c r="Y74" s="1526"/>
      <c r="Z74" s="974"/>
      <c r="AA74" s="974"/>
      <c r="AB74" s="974"/>
      <c r="AC74" s="974"/>
      <c r="AD74" s="974"/>
      <c r="AE74" s="974"/>
    </row>
    <row r="75">
      <c r="A75" s="1526"/>
      <c r="B75" s="1526"/>
      <c r="C75" s="1526"/>
      <c r="D75" s="1526"/>
      <c r="E75" s="1526"/>
      <c r="F75" s="1526"/>
      <c r="G75" s="1526"/>
      <c r="H75" s="1526"/>
      <c r="I75" s="1526"/>
      <c r="J75" s="1526"/>
      <c r="K75" s="1526"/>
      <c r="L75" s="1526"/>
      <c r="M75" s="1526"/>
      <c r="N75" s="1526"/>
      <c r="O75" s="1526"/>
      <c r="P75" s="1471" t="s">
        <v>109</v>
      </c>
      <c r="Q75" s="1471" t="s">
        <v>555</v>
      </c>
      <c r="R75" s="1534">
        <v>43440.0</v>
      </c>
      <c r="S75" s="1526"/>
      <c r="T75" s="1526"/>
      <c r="U75" s="1526"/>
      <c r="V75" s="1526"/>
      <c r="W75" s="1526"/>
      <c r="X75" s="1526"/>
      <c r="Y75" s="1526"/>
      <c r="Z75" s="974"/>
      <c r="AA75" s="974"/>
      <c r="AB75" s="974"/>
      <c r="AC75" s="974"/>
      <c r="AD75" s="974"/>
      <c r="AE75" s="974"/>
    </row>
    <row r="76">
      <c r="A76" s="1526"/>
      <c r="B76" s="1526"/>
      <c r="C76" s="1526"/>
      <c r="D76" s="1526"/>
      <c r="E76" s="1526"/>
      <c r="F76" s="1526"/>
      <c r="G76" s="1526"/>
      <c r="H76" s="1526"/>
      <c r="I76" s="1526"/>
      <c r="J76" s="1526"/>
      <c r="K76" s="1526"/>
      <c r="L76" s="1526"/>
      <c r="M76" s="1526"/>
      <c r="N76" s="1526"/>
      <c r="O76" s="1526"/>
      <c r="P76" s="1471" t="s">
        <v>5080</v>
      </c>
      <c r="Q76" s="1471" t="s">
        <v>555</v>
      </c>
      <c r="R76" s="1529" t="s">
        <v>5081</v>
      </c>
      <c r="S76" s="1526"/>
      <c r="T76" s="1526"/>
      <c r="U76" s="1526"/>
      <c r="V76" s="1526"/>
      <c r="W76" s="1526"/>
      <c r="X76" s="1526"/>
      <c r="Y76" s="1526"/>
      <c r="Z76" s="974"/>
      <c r="AA76" s="974"/>
      <c r="AB76" s="974"/>
      <c r="AC76" s="974"/>
      <c r="AD76" s="974"/>
      <c r="AE76" s="974"/>
    </row>
    <row r="77">
      <c r="A77" s="1526"/>
      <c r="B77" s="1526"/>
      <c r="C77" s="1526"/>
      <c r="D77" s="1526"/>
      <c r="E77" s="1526"/>
      <c r="F77" s="1526"/>
      <c r="G77" s="1526"/>
      <c r="H77" s="1526"/>
      <c r="I77" s="1526"/>
      <c r="J77" s="1526"/>
      <c r="K77" s="1526"/>
      <c r="L77" s="1526"/>
      <c r="M77" s="1526"/>
      <c r="N77" s="1526"/>
      <c r="O77" s="1526"/>
      <c r="P77" s="1471" t="s">
        <v>583</v>
      </c>
      <c r="Q77" s="1471" t="s">
        <v>555</v>
      </c>
      <c r="R77" s="1529" t="s">
        <v>5082</v>
      </c>
      <c r="S77" s="1526"/>
      <c r="T77" s="1526"/>
      <c r="U77" s="1526"/>
      <c r="V77" s="1526"/>
      <c r="W77" s="1526"/>
      <c r="X77" s="1526"/>
      <c r="Y77" s="1526"/>
      <c r="Z77" s="974"/>
      <c r="AA77" s="974"/>
      <c r="AB77" s="974"/>
      <c r="AC77" s="974"/>
      <c r="AD77" s="974"/>
      <c r="AE77" s="974"/>
    </row>
    <row r="78">
      <c r="A78" s="1526"/>
      <c r="B78" s="1526"/>
      <c r="C78" s="1526"/>
      <c r="D78" s="1526"/>
      <c r="E78" s="1526"/>
      <c r="F78" s="1526"/>
      <c r="G78" s="1526"/>
      <c r="H78" s="1526"/>
      <c r="I78" s="1526"/>
      <c r="J78" s="1526"/>
      <c r="K78" s="1526"/>
      <c r="L78" s="1526"/>
      <c r="M78" s="1526"/>
      <c r="N78" s="1526"/>
      <c r="O78" s="1526"/>
      <c r="P78" s="1471" t="s">
        <v>5080</v>
      </c>
      <c r="Q78" s="1471" t="s">
        <v>555</v>
      </c>
      <c r="R78" s="1529" t="s">
        <v>5083</v>
      </c>
      <c r="S78" s="1526"/>
      <c r="T78" s="1526"/>
      <c r="U78" s="1526"/>
      <c r="V78" s="1526"/>
      <c r="W78" s="1526"/>
      <c r="X78" s="1526"/>
      <c r="Y78" s="1526"/>
      <c r="Z78" s="974"/>
      <c r="AA78" s="974"/>
      <c r="AB78" s="974"/>
      <c r="AC78" s="974"/>
      <c r="AD78" s="974"/>
      <c r="AE78" s="974"/>
    </row>
    <row r="79">
      <c r="A79" s="1526"/>
      <c r="B79" s="1526"/>
      <c r="C79" s="1526"/>
      <c r="D79" s="1526"/>
      <c r="E79" s="1526"/>
      <c r="F79" s="1526"/>
      <c r="G79" s="1526"/>
      <c r="H79" s="1526"/>
      <c r="I79" s="1526"/>
      <c r="J79" s="1526"/>
      <c r="K79" s="1526"/>
      <c r="L79" s="1526"/>
      <c r="M79" s="1526"/>
      <c r="N79" s="1526"/>
      <c r="O79" s="1526"/>
      <c r="P79" s="1471" t="s">
        <v>389</v>
      </c>
      <c r="Q79" s="1471" t="s">
        <v>555</v>
      </c>
      <c r="R79" s="1529" t="s">
        <v>5084</v>
      </c>
      <c r="S79" s="1526"/>
      <c r="T79" s="1526"/>
      <c r="U79" s="1526"/>
      <c r="V79" s="1526"/>
      <c r="W79" s="1526"/>
      <c r="X79" s="1526"/>
      <c r="Y79" s="1526"/>
      <c r="Z79" s="974"/>
      <c r="AA79" s="974"/>
      <c r="AB79" s="974"/>
      <c r="AC79" s="974"/>
      <c r="AD79" s="974"/>
      <c r="AE79" s="974"/>
    </row>
    <row r="80">
      <c r="A80" s="1526"/>
      <c r="B80" s="1526"/>
      <c r="C80" s="1526"/>
      <c r="D80" s="1526"/>
      <c r="E80" s="1526"/>
      <c r="F80" s="1526"/>
      <c r="G80" s="1526"/>
      <c r="H80" s="1526"/>
      <c r="I80" s="1526"/>
      <c r="J80" s="1526"/>
      <c r="K80" s="1526"/>
      <c r="L80" s="1526"/>
      <c r="M80" s="1526"/>
      <c r="N80" s="1526"/>
      <c r="O80" s="1526"/>
      <c r="P80" s="1471" t="s">
        <v>152</v>
      </c>
      <c r="Q80" s="1471" t="s">
        <v>555</v>
      </c>
      <c r="R80" s="1529" t="s">
        <v>5085</v>
      </c>
      <c r="S80" s="1526"/>
      <c r="T80" s="1526"/>
      <c r="U80" s="1526"/>
      <c r="V80" s="1526"/>
      <c r="W80" s="1526"/>
      <c r="X80" s="1526"/>
      <c r="Y80" s="1526"/>
      <c r="Z80" s="974"/>
      <c r="AA80" s="974"/>
      <c r="AB80" s="974"/>
      <c r="AC80" s="974"/>
      <c r="AD80" s="974"/>
      <c r="AE80" s="974"/>
    </row>
    <row r="81">
      <c r="A81" s="1526"/>
      <c r="B81" s="1526"/>
      <c r="C81" s="1526"/>
      <c r="D81" s="1526"/>
      <c r="E81" s="1526"/>
      <c r="F81" s="1526"/>
      <c r="G81" s="1526"/>
      <c r="H81" s="1526"/>
      <c r="I81" s="1526"/>
      <c r="J81" s="1526"/>
      <c r="K81" s="1526"/>
      <c r="L81" s="1526"/>
      <c r="M81" s="1526"/>
      <c r="N81" s="1526"/>
      <c r="O81" s="1526"/>
      <c r="P81" s="1471" t="s">
        <v>5080</v>
      </c>
      <c r="Q81" s="1471" t="s">
        <v>555</v>
      </c>
      <c r="R81" s="1529" t="s">
        <v>5086</v>
      </c>
      <c r="S81" s="1526"/>
      <c r="T81" s="1526"/>
      <c r="U81" s="1526"/>
      <c r="V81" s="1526"/>
      <c r="W81" s="1526"/>
      <c r="X81" s="1526"/>
      <c r="Y81" s="1526"/>
      <c r="Z81" s="974"/>
      <c r="AA81" s="974"/>
      <c r="AB81" s="974"/>
      <c r="AC81" s="974"/>
      <c r="AD81" s="974"/>
      <c r="AE81" s="974"/>
    </row>
    <row r="82">
      <c r="A82" s="1526"/>
      <c r="B82" s="1526"/>
      <c r="C82" s="1526"/>
      <c r="D82" s="1526"/>
      <c r="E82" s="1526"/>
      <c r="F82" s="1526"/>
      <c r="G82" s="1526"/>
      <c r="H82" s="1526"/>
      <c r="I82" s="1526"/>
      <c r="J82" s="1526"/>
      <c r="K82" s="1526"/>
      <c r="L82" s="1526"/>
      <c r="M82" s="1526"/>
      <c r="N82" s="1526"/>
      <c r="O82" s="1526"/>
      <c r="P82" s="1471" t="s">
        <v>250</v>
      </c>
      <c r="Q82" s="1471" t="s">
        <v>555</v>
      </c>
      <c r="R82" s="1529" t="s">
        <v>5087</v>
      </c>
      <c r="S82" s="1526"/>
      <c r="T82" s="1526"/>
      <c r="U82" s="1526"/>
      <c r="V82" s="1526"/>
      <c r="W82" s="1526"/>
      <c r="X82" s="1526"/>
      <c r="Y82" s="1526"/>
      <c r="Z82" s="974"/>
      <c r="AA82" s="974"/>
      <c r="AB82" s="974"/>
      <c r="AC82" s="974"/>
      <c r="AD82" s="974"/>
      <c r="AE82" s="974"/>
    </row>
    <row r="83">
      <c r="A83" s="1526"/>
      <c r="B83" s="1526"/>
      <c r="C83" s="1526"/>
      <c r="D83" s="1526"/>
      <c r="E83" s="1526"/>
      <c r="F83" s="1526"/>
      <c r="G83" s="1526"/>
      <c r="H83" s="1526"/>
      <c r="I83" s="1526"/>
      <c r="J83" s="1526"/>
      <c r="K83" s="1526"/>
      <c r="L83" s="1526"/>
      <c r="M83" s="1526"/>
      <c r="N83" s="1526"/>
      <c r="O83" s="1526"/>
      <c r="P83" s="1471" t="s">
        <v>5080</v>
      </c>
      <c r="Q83" s="1471" t="s">
        <v>555</v>
      </c>
      <c r="R83" s="1534">
        <v>43102.0</v>
      </c>
      <c r="S83" s="1526"/>
      <c r="T83" s="1526"/>
      <c r="U83" s="1526"/>
      <c r="V83" s="1526"/>
      <c r="W83" s="1526"/>
      <c r="X83" s="1526"/>
      <c r="Y83" s="1526"/>
      <c r="Z83" s="974"/>
      <c r="AA83" s="974"/>
      <c r="AB83" s="974"/>
      <c r="AC83" s="974"/>
      <c r="AD83" s="974"/>
      <c r="AE83" s="974"/>
    </row>
    <row r="84">
      <c r="A84" s="1526"/>
      <c r="B84" s="1526"/>
      <c r="C84" s="1526"/>
      <c r="D84" s="1526"/>
      <c r="E84" s="1526"/>
      <c r="F84" s="1526"/>
      <c r="G84" s="1526"/>
      <c r="H84" s="1526"/>
      <c r="I84" s="1526"/>
      <c r="J84" s="1526"/>
      <c r="K84" s="1526"/>
      <c r="L84" s="1526"/>
      <c r="M84" s="1526"/>
      <c r="N84" s="1526"/>
      <c r="O84" s="1526"/>
      <c r="P84" s="1471" t="s">
        <v>141</v>
      </c>
      <c r="Q84" s="1471" t="s">
        <v>555</v>
      </c>
      <c r="R84" s="1529" t="s">
        <v>5088</v>
      </c>
      <c r="S84" s="1526"/>
      <c r="T84" s="1526"/>
      <c r="U84" s="1526"/>
      <c r="V84" s="1526"/>
      <c r="W84" s="1526"/>
      <c r="X84" s="1526"/>
      <c r="Y84" s="1526"/>
      <c r="Z84" s="974"/>
      <c r="AA84" s="974"/>
      <c r="AB84" s="974"/>
      <c r="AC84" s="974"/>
      <c r="AD84" s="974"/>
      <c r="AE84" s="974"/>
    </row>
    <row r="85">
      <c r="A85" s="1526"/>
      <c r="B85" s="1526"/>
      <c r="C85" s="1526"/>
      <c r="D85" s="1526"/>
      <c r="E85" s="1526"/>
      <c r="F85" s="1526"/>
      <c r="G85" s="1526"/>
      <c r="H85" s="1526"/>
      <c r="I85" s="1526"/>
      <c r="J85" s="1526"/>
      <c r="K85" s="1526"/>
      <c r="L85" s="1526"/>
      <c r="M85" s="1526"/>
      <c r="N85" s="1526"/>
      <c r="O85" s="1526"/>
      <c r="P85" s="1471" t="s">
        <v>5054</v>
      </c>
      <c r="Q85" s="1471" t="s">
        <v>555</v>
      </c>
      <c r="R85" s="1529" t="s">
        <v>5089</v>
      </c>
      <c r="S85" s="1526"/>
      <c r="T85" s="1526"/>
      <c r="U85" s="1526"/>
      <c r="V85" s="1526"/>
      <c r="W85" s="1526"/>
      <c r="X85" s="1526"/>
      <c r="Y85" s="1526"/>
      <c r="Z85" s="974"/>
      <c r="AA85" s="974"/>
      <c r="AB85" s="974"/>
      <c r="AC85" s="974"/>
      <c r="AD85" s="974"/>
      <c r="AE85" s="974"/>
    </row>
    <row r="86">
      <c r="A86" s="1526"/>
      <c r="B86" s="1526"/>
      <c r="C86" s="1526"/>
      <c r="D86" s="1526"/>
      <c r="E86" s="1526"/>
      <c r="F86" s="1526"/>
      <c r="G86" s="1526"/>
      <c r="H86" s="1526"/>
      <c r="I86" s="1526"/>
      <c r="J86" s="1526"/>
      <c r="K86" s="1526"/>
      <c r="L86" s="1526"/>
      <c r="M86" s="1526"/>
      <c r="N86" s="1526"/>
      <c r="O86" s="1526"/>
      <c r="P86" s="1471" t="s">
        <v>505</v>
      </c>
      <c r="Q86" s="1471" t="s">
        <v>555</v>
      </c>
      <c r="R86" s="1529" t="s">
        <v>5090</v>
      </c>
      <c r="S86" s="1526"/>
      <c r="T86" s="1526"/>
      <c r="U86" s="1526"/>
      <c r="V86" s="1526"/>
      <c r="W86" s="1526"/>
      <c r="X86" s="1526"/>
      <c r="Y86" s="1526"/>
      <c r="Z86" s="974"/>
      <c r="AA86" s="974"/>
      <c r="AB86" s="974"/>
      <c r="AC86" s="974"/>
      <c r="AD86" s="974"/>
      <c r="AE86" s="974"/>
    </row>
    <row r="87">
      <c r="A87" s="1526"/>
      <c r="B87" s="1526"/>
      <c r="C87" s="1526"/>
      <c r="D87" s="1526"/>
      <c r="E87" s="1526"/>
      <c r="F87" s="1526"/>
      <c r="G87" s="1526"/>
      <c r="H87" s="1526"/>
      <c r="I87" s="1526"/>
      <c r="J87" s="1526"/>
      <c r="K87" s="1526"/>
      <c r="L87" s="1526"/>
      <c r="M87" s="1526"/>
      <c r="N87" s="1526"/>
      <c r="O87" s="1526"/>
      <c r="P87" s="1471" t="s">
        <v>475</v>
      </c>
      <c r="Q87" s="1471" t="s">
        <v>555</v>
      </c>
      <c r="R87" s="1529" t="s">
        <v>5091</v>
      </c>
      <c r="S87" s="1526"/>
      <c r="T87" s="1526"/>
      <c r="U87" s="1526"/>
      <c r="V87" s="1526"/>
      <c r="W87" s="1526"/>
      <c r="X87" s="1526"/>
      <c r="Y87" s="1526"/>
      <c r="Z87" s="974"/>
      <c r="AA87" s="974"/>
      <c r="AB87" s="974"/>
      <c r="AC87" s="974"/>
      <c r="AD87" s="974"/>
      <c r="AE87" s="974"/>
    </row>
    <row r="88">
      <c r="A88" s="1526"/>
      <c r="B88" s="1526"/>
      <c r="C88" s="1526"/>
      <c r="D88" s="1526"/>
      <c r="E88" s="1526"/>
      <c r="F88" s="1526"/>
      <c r="G88" s="1526"/>
      <c r="H88" s="1526"/>
      <c r="I88" s="1526"/>
      <c r="J88" s="1526"/>
      <c r="K88" s="1526"/>
      <c r="L88" s="1526"/>
      <c r="M88" s="1526"/>
      <c r="N88" s="1526"/>
      <c r="O88" s="1526"/>
      <c r="P88" s="1471" t="s">
        <v>104</v>
      </c>
      <c r="Q88" s="1471" t="s">
        <v>555</v>
      </c>
      <c r="R88" s="1529" t="s">
        <v>5092</v>
      </c>
      <c r="S88" s="1526"/>
      <c r="T88" s="1526"/>
      <c r="U88" s="1526"/>
      <c r="V88" s="1526"/>
      <c r="W88" s="1526"/>
      <c r="X88" s="1526"/>
      <c r="Y88" s="1526"/>
      <c r="Z88" s="974"/>
      <c r="AA88" s="974"/>
      <c r="AB88" s="974"/>
      <c r="AC88" s="974"/>
      <c r="AD88" s="974"/>
      <c r="AE88" s="974"/>
    </row>
    <row r="89">
      <c r="A89" s="1526"/>
      <c r="B89" s="1526"/>
      <c r="C89" s="1526"/>
      <c r="D89" s="1526"/>
      <c r="E89" s="1526"/>
      <c r="F89" s="1526"/>
      <c r="G89" s="1526"/>
      <c r="H89" s="1526"/>
      <c r="I89" s="1526"/>
      <c r="J89" s="1526"/>
      <c r="K89" s="1526"/>
      <c r="L89" s="1526"/>
      <c r="M89" s="1526"/>
      <c r="N89" s="1526"/>
      <c r="O89" s="1526"/>
      <c r="P89" s="1471" t="s">
        <v>202</v>
      </c>
      <c r="Q89" s="1471" t="s">
        <v>555</v>
      </c>
      <c r="R89" s="1529" t="s">
        <v>5093</v>
      </c>
      <c r="S89" s="1526"/>
      <c r="T89" s="1526"/>
      <c r="U89" s="1526"/>
      <c r="V89" s="1526"/>
      <c r="W89" s="1526"/>
      <c r="X89" s="1526"/>
      <c r="Y89" s="1526"/>
      <c r="Z89" s="974"/>
      <c r="AA89" s="974"/>
      <c r="AB89" s="974"/>
      <c r="AC89" s="974"/>
      <c r="AD89" s="974"/>
      <c r="AE89" s="974"/>
    </row>
    <row r="90">
      <c r="A90" s="1526"/>
      <c r="B90" s="1526"/>
      <c r="C90" s="1526"/>
      <c r="D90" s="1526"/>
      <c r="E90" s="1526"/>
      <c r="F90" s="1526"/>
      <c r="G90" s="1526"/>
      <c r="H90" s="1526"/>
      <c r="I90" s="1526"/>
      <c r="J90" s="1526"/>
      <c r="K90" s="1526"/>
      <c r="L90" s="1526"/>
      <c r="M90" s="1526"/>
      <c r="N90" s="1526"/>
      <c r="O90" s="1526"/>
      <c r="P90" s="1471" t="s">
        <v>118</v>
      </c>
      <c r="Q90" s="1471" t="s">
        <v>555</v>
      </c>
      <c r="R90" s="1529" t="s">
        <v>5094</v>
      </c>
      <c r="S90" s="1526"/>
      <c r="T90" s="1526"/>
      <c r="U90" s="1526"/>
      <c r="V90" s="1526"/>
      <c r="W90" s="1526"/>
      <c r="X90" s="1526"/>
      <c r="Y90" s="1526"/>
      <c r="Z90" s="974"/>
      <c r="AA90" s="974"/>
      <c r="AB90" s="974"/>
      <c r="AC90" s="974"/>
      <c r="AD90" s="974"/>
      <c r="AE90" s="974"/>
    </row>
    <row r="91">
      <c r="A91" s="1526"/>
      <c r="B91" s="1526"/>
      <c r="C91" s="1526"/>
      <c r="D91" s="1526"/>
      <c r="E91" s="1526"/>
      <c r="F91" s="1526"/>
      <c r="G91" s="1526"/>
      <c r="H91" s="1526"/>
      <c r="I91" s="1526"/>
      <c r="J91" s="1526"/>
      <c r="K91" s="1526"/>
      <c r="L91" s="1526"/>
      <c r="M91" s="1526"/>
      <c r="N91" s="1526"/>
      <c r="O91" s="1526"/>
      <c r="P91" s="1471" t="s">
        <v>104</v>
      </c>
      <c r="Q91" s="1471" t="s">
        <v>555</v>
      </c>
      <c r="R91" s="1529" t="s">
        <v>5095</v>
      </c>
      <c r="S91" s="1526"/>
      <c r="T91" s="1526"/>
      <c r="U91" s="1526"/>
      <c r="V91" s="1526"/>
      <c r="W91" s="1526"/>
      <c r="X91" s="1526"/>
      <c r="Y91" s="1526"/>
      <c r="Z91" s="974"/>
      <c r="AA91" s="974"/>
      <c r="AB91" s="974"/>
      <c r="AC91" s="974"/>
      <c r="AD91" s="974"/>
      <c r="AE91" s="974"/>
    </row>
    <row r="92">
      <c r="A92" s="1526"/>
      <c r="B92" s="1526"/>
      <c r="C92" s="1526"/>
      <c r="D92" s="1526"/>
      <c r="E92" s="1526"/>
      <c r="F92" s="1526"/>
      <c r="G92" s="1526"/>
      <c r="H92" s="1526"/>
      <c r="I92" s="1526"/>
      <c r="J92" s="1526"/>
      <c r="K92" s="1526"/>
      <c r="L92" s="1526"/>
      <c r="M92" s="1526"/>
      <c r="N92" s="1526"/>
      <c r="O92" s="1526"/>
      <c r="P92" s="1471" t="s">
        <v>359</v>
      </c>
      <c r="Q92" s="1471" t="s">
        <v>555</v>
      </c>
      <c r="R92" s="1534">
        <v>42832.0</v>
      </c>
      <c r="S92" s="1526"/>
      <c r="T92" s="1526"/>
      <c r="U92" s="1526"/>
      <c r="V92" s="1526"/>
      <c r="W92" s="1526"/>
      <c r="X92" s="1526"/>
      <c r="Y92" s="1526"/>
      <c r="Z92" s="974"/>
      <c r="AA92" s="974"/>
      <c r="AB92" s="974"/>
      <c r="AC92" s="974"/>
      <c r="AD92" s="974"/>
      <c r="AE92" s="974"/>
    </row>
    <row r="93">
      <c r="A93" s="1526"/>
      <c r="B93" s="1526"/>
      <c r="C93" s="1526"/>
      <c r="D93" s="1526"/>
      <c r="E93" s="1526"/>
      <c r="F93" s="1526"/>
      <c r="G93" s="1526"/>
      <c r="H93" s="1526"/>
      <c r="I93" s="1526"/>
      <c r="J93" s="1526"/>
      <c r="K93" s="1526"/>
      <c r="L93" s="1526"/>
      <c r="M93" s="1526"/>
      <c r="N93" s="1526"/>
      <c r="O93" s="1526"/>
      <c r="P93" s="1471" t="s">
        <v>5080</v>
      </c>
      <c r="Q93" s="1471" t="s">
        <v>555</v>
      </c>
      <c r="R93" s="1534">
        <v>42741.0</v>
      </c>
      <c r="S93" s="1526"/>
      <c r="T93" s="1526"/>
      <c r="U93" s="1526"/>
      <c r="V93" s="1526"/>
      <c r="W93" s="1526"/>
      <c r="X93" s="1526"/>
      <c r="Y93" s="1526"/>
      <c r="Z93" s="974"/>
      <c r="AA93" s="974"/>
      <c r="AB93" s="974"/>
      <c r="AC93" s="974"/>
      <c r="AD93" s="974"/>
      <c r="AE93" s="974"/>
    </row>
    <row r="94">
      <c r="A94" s="1526"/>
      <c r="B94" s="1526"/>
      <c r="C94" s="1526"/>
      <c r="D94" s="1526"/>
      <c r="E94" s="1526"/>
      <c r="F94" s="1526"/>
      <c r="G94" s="1526"/>
      <c r="H94" s="1526"/>
      <c r="I94" s="1526"/>
      <c r="J94" s="1526"/>
      <c r="K94" s="1526"/>
      <c r="L94" s="1526"/>
      <c r="M94" s="1526"/>
      <c r="N94" s="1526"/>
      <c r="O94" s="1526"/>
      <c r="P94" s="1471" t="s">
        <v>583</v>
      </c>
      <c r="Q94" s="1471" t="s">
        <v>555</v>
      </c>
      <c r="R94" s="1534">
        <v>42891.0</v>
      </c>
      <c r="S94" s="1526"/>
      <c r="T94" s="1526"/>
      <c r="U94" s="1526"/>
      <c r="V94" s="1526"/>
      <c r="W94" s="1526"/>
      <c r="X94" s="1526"/>
      <c r="Y94" s="1526"/>
      <c r="Z94" s="974"/>
      <c r="AA94" s="974"/>
      <c r="AB94" s="974"/>
      <c r="AC94" s="974"/>
      <c r="AD94" s="974"/>
      <c r="AE94" s="974"/>
    </row>
    <row r="95">
      <c r="A95" s="1526"/>
      <c r="B95" s="1526"/>
      <c r="C95" s="1526"/>
      <c r="D95" s="1526"/>
      <c r="E95" s="1526"/>
      <c r="F95" s="1526"/>
      <c r="G95" s="1526"/>
      <c r="H95" s="1526"/>
      <c r="I95" s="1526"/>
      <c r="J95" s="1526"/>
      <c r="K95" s="1526"/>
      <c r="L95" s="1526"/>
      <c r="M95" s="1526"/>
      <c r="N95" s="1526"/>
      <c r="O95" s="1526"/>
      <c r="P95" s="1471" t="s">
        <v>5023</v>
      </c>
      <c r="Q95" s="1471" t="s">
        <v>555</v>
      </c>
      <c r="R95" s="1529" t="s">
        <v>5096</v>
      </c>
      <c r="S95" s="1526"/>
      <c r="T95" s="1526"/>
      <c r="U95" s="1526"/>
      <c r="V95" s="1526"/>
      <c r="W95" s="1526"/>
      <c r="X95" s="1526"/>
      <c r="Y95" s="1526"/>
      <c r="Z95" s="974"/>
      <c r="AA95" s="974"/>
      <c r="AB95" s="974"/>
      <c r="AC95" s="974"/>
      <c r="AD95" s="974"/>
      <c r="AE95" s="974"/>
    </row>
    <row r="96">
      <c r="A96" s="1526"/>
      <c r="B96" s="1526"/>
      <c r="C96" s="1526"/>
      <c r="D96" s="1526"/>
      <c r="E96" s="1526"/>
      <c r="F96" s="1526"/>
      <c r="G96" s="1526"/>
      <c r="H96" s="1526"/>
      <c r="I96" s="1526"/>
      <c r="J96" s="1526"/>
      <c r="K96" s="1526"/>
      <c r="L96" s="1526"/>
      <c r="M96" s="1526"/>
      <c r="N96" s="1526"/>
      <c r="O96" s="1526"/>
      <c r="P96" s="1471" t="s">
        <v>389</v>
      </c>
      <c r="Q96" s="1471" t="s">
        <v>555</v>
      </c>
      <c r="R96" s="1529" t="s">
        <v>5097</v>
      </c>
      <c r="S96" s="1526"/>
      <c r="T96" s="1526"/>
      <c r="U96" s="1526"/>
      <c r="V96" s="1526"/>
      <c r="W96" s="1526"/>
      <c r="X96" s="1526"/>
      <c r="Y96" s="1526"/>
      <c r="Z96" s="974"/>
      <c r="AA96" s="974"/>
      <c r="AB96" s="974"/>
      <c r="AC96" s="974"/>
      <c r="AD96" s="974"/>
      <c r="AE96" s="974"/>
    </row>
    <row r="97">
      <c r="A97" s="1526"/>
      <c r="B97" s="1526"/>
      <c r="C97" s="1526"/>
      <c r="D97" s="1526"/>
      <c r="E97" s="1526"/>
      <c r="F97" s="1526"/>
      <c r="G97" s="1526"/>
      <c r="H97" s="1526"/>
      <c r="I97" s="1526"/>
      <c r="J97" s="1526"/>
      <c r="K97" s="1526"/>
      <c r="L97" s="1526"/>
      <c r="M97" s="1526"/>
      <c r="N97" s="1526"/>
      <c r="O97" s="1526"/>
      <c r="P97" s="1471" t="s">
        <v>156</v>
      </c>
      <c r="Q97" s="1471" t="s">
        <v>555</v>
      </c>
      <c r="R97" s="1529" t="s">
        <v>5098</v>
      </c>
      <c r="S97" s="1526"/>
      <c r="T97" s="1526"/>
      <c r="U97" s="1526"/>
      <c r="V97" s="1526"/>
      <c r="W97" s="1526"/>
      <c r="X97" s="1526"/>
      <c r="Y97" s="1526"/>
      <c r="Z97" s="974"/>
      <c r="AA97" s="974"/>
      <c r="AB97" s="974"/>
      <c r="AC97" s="974"/>
      <c r="AD97" s="974"/>
      <c r="AE97" s="974"/>
    </row>
    <row r="98">
      <c r="A98" s="1526"/>
      <c r="B98" s="1526"/>
      <c r="C98" s="1526"/>
      <c r="D98" s="1526"/>
      <c r="E98" s="1526"/>
      <c r="F98" s="1526"/>
      <c r="G98" s="1526"/>
      <c r="H98" s="1526"/>
      <c r="I98" s="1526"/>
      <c r="J98" s="1526"/>
      <c r="K98" s="1526"/>
      <c r="L98" s="1526"/>
      <c r="M98" s="1526"/>
      <c r="N98" s="1526"/>
      <c r="O98" s="1526"/>
      <c r="P98" s="1471" t="s">
        <v>503</v>
      </c>
      <c r="Q98" s="1471" t="s">
        <v>555</v>
      </c>
      <c r="R98" s="1529" t="s">
        <v>5099</v>
      </c>
      <c r="S98" s="1526"/>
      <c r="T98" s="1526"/>
      <c r="U98" s="1526"/>
      <c r="V98" s="1526"/>
      <c r="W98" s="1526"/>
      <c r="X98" s="1526"/>
      <c r="Y98" s="1526"/>
      <c r="Z98" s="974"/>
      <c r="AA98" s="974"/>
      <c r="AB98" s="974"/>
      <c r="AC98" s="974"/>
      <c r="AD98" s="974"/>
      <c r="AE98" s="974"/>
    </row>
    <row r="99">
      <c r="A99" s="1526"/>
      <c r="B99" s="1526"/>
      <c r="C99" s="1526"/>
      <c r="D99" s="1526"/>
      <c r="E99" s="1526"/>
      <c r="F99" s="1526"/>
      <c r="G99" s="1526"/>
      <c r="H99" s="1526"/>
      <c r="I99" s="1526"/>
      <c r="J99" s="1526"/>
      <c r="K99" s="1526"/>
      <c r="L99" s="1526"/>
      <c r="M99" s="1526"/>
      <c r="N99" s="1526"/>
      <c r="O99" s="1526"/>
      <c r="P99" s="1471" t="s">
        <v>389</v>
      </c>
      <c r="Q99" s="1471" t="s">
        <v>555</v>
      </c>
      <c r="R99" s="1529" t="s">
        <v>5100</v>
      </c>
      <c r="S99" s="1526"/>
      <c r="T99" s="1526"/>
      <c r="U99" s="1526"/>
      <c r="V99" s="1526"/>
      <c r="W99" s="1526"/>
      <c r="X99" s="1526"/>
      <c r="Y99" s="1526"/>
      <c r="Z99" s="974"/>
      <c r="AA99" s="974"/>
      <c r="AB99" s="974"/>
      <c r="AC99" s="974"/>
      <c r="AD99" s="974"/>
      <c r="AE99" s="974"/>
    </row>
    <row r="100">
      <c r="A100" s="1526"/>
      <c r="B100" s="1526"/>
      <c r="C100" s="1526"/>
      <c r="D100" s="1526"/>
      <c r="E100" s="1526"/>
      <c r="F100" s="1526"/>
      <c r="G100" s="1526"/>
      <c r="H100" s="1526"/>
      <c r="I100" s="1526"/>
      <c r="J100" s="1526"/>
      <c r="K100" s="1526"/>
      <c r="L100" s="1526"/>
      <c r="M100" s="1526"/>
      <c r="N100" s="1526"/>
      <c r="O100" s="1526"/>
      <c r="P100" s="1471" t="s">
        <v>158</v>
      </c>
      <c r="Q100" s="1471" t="s">
        <v>555</v>
      </c>
      <c r="R100" s="1536">
        <v>42684.0</v>
      </c>
      <c r="S100" s="1526"/>
      <c r="T100" s="1526"/>
      <c r="U100" s="1526"/>
      <c r="V100" s="1526"/>
      <c r="W100" s="1526"/>
      <c r="X100" s="1526"/>
      <c r="Y100" s="1526"/>
      <c r="Z100" s="974"/>
      <c r="AA100" s="974"/>
      <c r="AB100" s="974"/>
      <c r="AC100" s="974"/>
      <c r="AD100" s="974"/>
      <c r="AE100" s="974"/>
    </row>
    <row r="101">
      <c r="A101" s="1526"/>
      <c r="B101" s="1526"/>
      <c r="C101" s="1526"/>
      <c r="D101" s="1526"/>
      <c r="E101" s="1526"/>
      <c r="F101" s="1526"/>
      <c r="G101" s="1526"/>
      <c r="H101" s="1526"/>
      <c r="I101" s="1526"/>
      <c r="J101" s="1526"/>
      <c r="K101" s="1526"/>
      <c r="L101" s="1526"/>
      <c r="M101" s="1526"/>
      <c r="N101" s="1526"/>
      <c r="O101" s="1526"/>
      <c r="P101" s="1471" t="s">
        <v>3541</v>
      </c>
      <c r="Q101" s="1471" t="s">
        <v>555</v>
      </c>
      <c r="R101" s="1529" t="s">
        <v>5101</v>
      </c>
      <c r="S101" s="1526"/>
      <c r="T101" s="1526"/>
      <c r="U101" s="1526"/>
      <c r="V101" s="1526"/>
      <c r="W101" s="1526"/>
      <c r="X101" s="1526"/>
      <c r="Y101" s="1526"/>
      <c r="Z101" s="974"/>
      <c r="AA101" s="974"/>
      <c r="AB101" s="974"/>
      <c r="AC101" s="974"/>
      <c r="AD101" s="974"/>
      <c r="AE101" s="974"/>
    </row>
    <row r="102">
      <c r="A102" s="1526"/>
      <c r="B102" s="1526"/>
      <c r="C102" s="1526"/>
      <c r="D102" s="1526"/>
      <c r="E102" s="1526"/>
      <c r="F102" s="1526"/>
      <c r="G102" s="1526"/>
      <c r="H102" s="1526"/>
      <c r="I102" s="1526"/>
      <c r="J102" s="1526"/>
      <c r="K102" s="1526"/>
      <c r="L102" s="1526"/>
      <c r="M102" s="1526"/>
      <c r="N102" s="1526"/>
      <c r="O102" s="1526"/>
      <c r="P102" s="1526"/>
      <c r="Q102" s="1526"/>
      <c r="R102" s="1526"/>
      <c r="S102" s="1526"/>
      <c r="T102" s="1526"/>
      <c r="U102" s="1526"/>
      <c r="V102" s="1526"/>
      <c r="W102" s="1526"/>
      <c r="X102" s="1526"/>
      <c r="Y102" s="1526"/>
      <c r="Z102" s="974"/>
      <c r="AA102" s="974"/>
      <c r="AB102" s="974"/>
      <c r="AC102" s="974"/>
      <c r="AD102" s="974"/>
      <c r="AE102" s="974"/>
    </row>
    <row r="103">
      <c r="A103" s="1526"/>
      <c r="B103" s="1526"/>
      <c r="C103" s="1526"/>
      <c r="D103" s="1526"/>
      <c r="E103" s="1526"/>
      <c r="F103" s="1526"/>
      <c r="G103" s="1526"/>
      <c r="H103" s="1526"/>
      <c r="I103" s="1526"/>
      <c r="J103" s="1526"/>
      <c r="K103" s="1526"/>
      <c r="L103" s="1526"/>
      <c r="M103" s="1526"/>
      <c r="N103" s="1526"/>
      <c r="O103" s="1526"/>
      <c r="P103" s="1526"/>
      <c r="Q103" s="1526"/>
      <c r="R103" s="1526"/>
      <c r="S103" s="1526"/>
      <c r="T103" s="1526"/>
      <c r="U103" s="1526"/>
      <c r="V103" s="1526"/>
      <c r="W103" s="1526"/>
      <c r="X103" s="1526"/>
      <c r="Y103" s="1526"/>
      <c r="Z103" s="974"/>
      <c r="AA103" s="974"/>
      <c r="AB103" s="974"/>
      <c r="AC103" s="974"/>
      <c r="AD103" s="974"/>
      <c r="AE103" s="974"/>
    </row>
    <row r="104">
      <c r="A104" s="1526"/>
      <c r="B104" s="1526"/>
      <c r="C104" s="1526"/>
      <c r="D104" s="1526"/>
      <c r="E104" s="1526"/>
      <c r="F104" s="1526"/>
      <c r="G104" s="1526"/>
      <c r="H104" s="1526"/>
      <c r="I104" s="1526"/>
      <c r="J104" s="1526"/>
      <c r="K104" s="1526"/>
      <c r="L104" s="1526"/>
      <c r="M104" s="1526"/>
      <c r="N104" s="1526"/>
      <c r="O104" s="1526"/>
      <c r="P104" s="1526"/>
      <c r="Q104" s="1526"/>
      <c r="R104" s="1526"/>
      <c r="S104" s="1526"/>
      <c r="T104" s="1526"/>
      <c r="U104" s="1526"/>
      <c r="V104" s="1526"/>
      <c r="W104" s="1526"/>
      <c r="X104" s="1526"/>
      <c r="Y104" s="1526"/>
      <c r="Z104" s="974"/>
      <c r="AA104" s="974"/>
      <c r="AB104" s="974"/>
      <c r="AC104" s="974"/>
      <c r="AD104" s="974"/>
      <c r="AE104" s="974"/>
    </row>
    <row r="105">
      <c r="A105" s="1526"/>
      <c r="B105" s="1526"/>
      <c r="C105" s="1526"/>
      <c r="D105" s="1526"/>
      <c r="E105" s="1526"/>
      <c r="F105" s="1526"/>
      <c r="G105" s="1526"/>
      <c r="H105" s="1526"/>
      <c r="I105" s="1526"/>
      <c r="J105" s="1526"/>
      <c r="K105" s="1526"/>
      <c r="L105" s="1526"/>
      <c r="M105" s="1526"/>
      <c r="N105" s="1526"/>
      <c r="O105" s="1526"/>
      <c r="P105" s="1526"/>
      <c r="Q105" s="1526"/>
      <c r="R105" s="1526"/>
      <c r="S105" s="1526"/>
      <c r="T105" s="1526"/>
      <c r="U105" s="1526"/>
      <c r="V105" s="1526"/>
      <c r="W105" s="1526"/>
      <c r="X105" s="1526"/>
      <c r="Y105" s="1526"/>
      <c r="Z105" s="974"/>
      <c r="AA105" s="974"/>
      <c r="AB105" s="974"/>
      <c r="AC105" s="974"/>
      <c r="AD105" s="974"/>
      <c r="AE105" s="974"/>
    </row>
    <row r="106">
      <c r="A106" s="1526"/>
      <c r="B106" s="1526"/>
      <c r="C106" s="1526"/>
      <c r="D106" s="1526"/>
      <c r="E106" s="1526"/>
      <c r="F106" s="1526"/>
      <c r="G106" s="1526"/>
      <c r="H106" s="1526"/>
      <c r="I106" s="1526"/>
      <c r="J106" s="1526"/>
      <c r="K106" s="1526"/>
      <c r="L106" s="1526"/>
      <c r="M106" s="1526"/>
      <c r="N106" s="1526"/>
      <c r="O106" s="1526"/>
      <c r="P106" s="1526"/>
      <c r="Q106" s="1526"/>
      <c r="R106" s="1526"/>
      <c r="S106" s="1526"/>
      <c r="T106" s="1526"/>
      <c r="U106" s="1526"/>
      <c r="V106" s="1526"/>
      <c r="W106" s="1526"/>
      <c r="X106" s="1526"/>
      <c r="Y106" s="1526"/>
      <c r="Z106" s="974"/>
      <c r="AA106" s="974"/>
      <c r="AB106" s="974"/>
      <c r="AC106" s="974"/>
      <c r="AD106" s="974"/>
      <c r="AE106" s="974"/>
    </row>
    <row r="107">
      <c r="A107" s="1526"/>
      <c r="B107" s="1526"/>
      <c r="C107" s="1526"/>
      <c r="D107" s="1526"/>
      <c r="E107" s="1526"/>
      <c r="F107" s="1526"/>
      <c r="G107" s="1526"/>
      <c r="H107" s="1526"/>
      <c r="I107" s="1526"/>
      <c r="J107" s="1526"/>
      <c r="K107" s="1526"/>
      <c r="L107" s="1526"/>
      <c r="M107" s="1526"/>
      <c r="N107" s="1526"/>
      <c r="O107" s="1526"/>
      <c r="P107" s="1526"/>
      <c r="Q107" s="1526"/>
      <c r="R107" s="1526"/>
      <c r="S107" s="1526"/>
      <c r="T107" s="1526"/>
      <c r="U107" s="1526"/>
      <c r="V107" s="1526"/>
      <c r="W107" s="1526"/>
      <c r="X107" s="1526"/>
      <c r="Y107" s="1526"/>
      <c r="Z107" s="974"/>
      <c r="AA107" s="974"/>
      <c r="AB107" s="974"/>
      <c r="AC107" s="974"/>
      <c r="AD107" s="974"/>
      <c r="AE107" s="974"/>
    </row>
    <row r="108">
      <c r="A108" s="1526"/>
      <c r="B108" s="1526"/>
      <c r="C108" s="1526"/>
      <c r="D108" s="1526"/>
      <c r="E108" s="1526"/>
      <c r="F108" s="1526"/>
      <c r="G108" s="1526"/>
      <c r="H108" s="1526"/>
      <c r="I108" s="1526"/>
      <c r="J108" s="1526"/>
      <c r="K108" s="1526"/>
      <c r="L108" s="1526"/>
      <c r="M108" s="1526"/>
      <c r="N108" s="1526"/>
      <c r="O108" s="1526"/>
      <c r="P108" s="1526"/>
      <c r="Q108" s="1526"/>
      <c r="R108" s="1526"/>
      <c r="S108" s="1526"/>
      <c r="T108" s="1526"/>
      <c r="U108" s="1526"/>
      <c r="V108" s="1526"/>
      <c r="W108" s="1526"/>
      <c r="X108" s="1526"/>
      <c r="Y108" s="1526"/>
      <c r="Z108" s="974"/>
      <c r="AA108" s="974"/>
      <c r="AB108" s="974"/>
      <c r="AC108" s="974"/>
      <c r="AD108" s="974"/>
      <c r="AE108" s="974"/>
    </row>
    <row r="109">
      <c r="A109" s="1526"/>
      <c r="B109" s="1526"/>
      <c r="C109" s="1526"/>
      <c r="D109" s="1526"/>
      <c r="E109" s="1526"/>
      <c r="F109" s="1526"/>
      <c r="G109" s="1526"/>
      <c r="H109" s="1526"/>
      <c r="I109" s="1526"/>
      <c r="J109" s="1526"/>
      <c r="K109" s="1526"/>
      <c r="L109" s="1526"/>
      <c r="M109" s="1526"/>
      <c r="N109" s="1526"/>
      <c r="O109" s="1526"/>
      <c r="P109" s="1526"/>
      <c r="Q109" s="1526"/>
      <c r="R109" s="1526"/>
      <c r="S109" s="1526"/>
      <c r="T109" s="1526"/>
      <c r="U109" s="1526"/>
      <c r="V109" s="1526"/>
      <c r="W109" s="1526"/>
      <c r="X109" s="1526"/>
      <c r="Y109" s="1526"/>
      <c r="Z109" s="974"/>
      <c r="AA109" s="974"/>
      <c r="AB109" s="974"/>
      <c r="AC109" s="974"/>
      <c r="AD109" s="974"/>
      <c r="AE109" s="974"/>
    </row>
    <row r="110">
      <c r="A110" s="1526"/>
      <c r="B110" s="1526"/>
      <c r="C110" s="1526"/>
      <c r="D110" s="1526"/>
      <c r="E110" s="1526"/>
      <c r="F110" s="1526"/>
      <c r="G110" s="1526"/>
      <c r="H110" s="1526"/>
      <c r="I110" s="1526"/>
      <c r="J110" s="1526"/>
      <c r="K110" s="1526"/>
      <c r="L110" s="1526"/>
      <c r="M110" s="1526"/>
      <c r="N110" s="1526"/>
      <c r="O110" s="1526"/>
      <c r="P110" s="1526"/>
      <c r="Q110" s="1526"/>
      <c r="R110" s="1526"/>
      <c r="S110" s="1526"/>
      <c r="T110" s="1526"/>
      <c r="U110" s="1526"/>
      <c r="V110" s="1526"/>
      <c r="W110" s="1526"/>
      <c r="X110" s="1526"/>
      <c r="Y110" s="1526"/>
      <c r="Z110" s="974"/>
      <c r="AA110" s="974"/>
      <c r="AB110" s="974"/>
      <c r="AC110" s="974"/>
      <c r="AD110" s="974"/>
      <c r="AE110" s="974"/>
    </row>
    <row r="111">
      <c r="A111" s="1526"/>
      <c r="B111" s="1526"/>
      <c r="C111" s="1526"/>
      <c r="D111" s="1526"/>
      <c r="E111" s="1526"/>
      <c r="F111" s="1526"/>
      <c r="G111" s="1526"/>
      <c r="H111" s="1526"/>
      <c r="I111" s="1526"/>
      <c r="J111" s="1526"/>
      <c r="K111" s="1526"/>
      <c r="L111" s="1526"/>
      <c r="M111" s="1526"/>
      <c r="N111" s="1526"/>
      <c r="O111" s="1526"/>
      <c r="P111" s="1526"/>
      <c r="Q111" s="1526"/>
      <c r="R111" s="1526"/>
      <c r="S111" s="1526"/>
      <c r="T111" s="1526"/>
      <c r="U111" s="1526"/>
      <c r="V111" s="1526"/>
      <c r="W111" s="1526"/>
      <c r="X111" s="1526"/>
      <c r="Y111" s="1526"/>
      <c r="Z111" s="974"/>
      <c r="AA111" s="974"/>
      <c r="AB111" s="974"/>
      <c r="AC111" s="974"/>
      <c r="AD111" s="974"/>
      <c r="AE111" s="974"/>
    </row>
    <row r="112">
      <c r="A112" s="1526"/>
      <c r="B112" s="1526"/>
      <c r="C112" s="1526"/>
      <c r="D112" s="1526"/>
      <c r="E112" s="1526"/>
      <c r="F112" s="1526"/>
      <c r="G112" s="1526"/>
      <c r="H112" s="1526"/>
      <c r="I112" s="1526"/>
      <c r="J112" s="1526"/>
      <c r="K112" s="1526"/>
      <c r="L112" s="1526"/>
      <c r="M112" s="1526"/>
      <c r="N112" s="1526"/>
      <c r="O112" s="1526"/>
      <c r="P112" s="1526"/>
      <c r="Q112" s="1526"/>
      <c r="R112" s="1526"/>
      <c r="S112" s="1526"/>
      <c r="T112" s="1526"/>
      <c r="U112" s="1526"/>
      <c r="V112" s="1526"/>
      <c r="W112" s="1526"/>
      <c r="X112" s="1526"/>
      <c r="Y112" s="1526"/>
      <c r="Z112" s="974"/>
      <c r="AA112" s="974"/>
      <c r="AB112" s="974"/>
      <c r="AC112" s="974"/>
      <c r="AD112" s="974"/>
      <c r="AE112" s="974"/>
    </row>
    <row r="113">
      <c r="A113" s="1526"/>
      <c r="B113" s="1526"/>
      <c r="C113" s="1526"/>
      <c r="D113" s="1526"/>
      <c r="E113" s="1526"/>
      <c r="F113" s="1526"/>
      <c r="G113" s="1526"/>
      <c r="H113" s="1526"/>
      <c r="I113" s="1526"/>
      <c r="J113" s="1526"/>
      <c r="K113" s="1526"/>
      <c r="L113" s="1526"/>
      <c r="M113" s="1526"/>
      <c r="N113" s="1526"/>
      <c r="O113" s="1526"/>
      <c r="P113" s="1526"/>
      <c r="Q113" s="1526"/>
      <c r="R113" s="1526"/>
      <c r="S113" s="1526"/>
      <c r="T113" s="1526"/>
      <c r="U113" s="1526"/>
      <c r="V113" s="1526"/>
      <c r="W113" s="1526"/>
      <c r="X113" s="1526"/>
      <c r="Y113" s="1526"/>
      <c r="Z113" s="974"/>
      <c r="AA113" s="974"/>
      <c r="AB113" s="974"/>
      <c r="AC113" s="974"/>
      <c r="AD113" s="974"/>
      <c r="AE113" s="974"/>
    </row>
    <row r="114">
      <c r="A114" s="1526"/>
      <c r="B114" s="1526"/>
      <c r="C114" s="1526"/>
      <c r="D114" s="1526"/>
      <c r="E114" s="1526"/>
      <c r="F114" s="1526"/>
      <c r="G114" s="1526"/>
      <c r="H114" s="1526"/>
      <c r="I114" s="1526"/>
      <c r="J114" s="1526"/>
      <c r="K114" s="1526"/>
      <c r="L114" s="1526"/>
      <c r="M114" s="1526"/>
      <c r="N114" s="1526"/>
      <c r="O114" s="1526"/>
      <c r="P114" s="1526"/>
      <c r="Q114" s="1526"/>
      <c r="R114" s="1526"/>
      <c r="S114" s="1526"/>
      <c r="T114" s="1526"/>
      <c r="U114" s="1526"/>
      <c r="V114" s="1526"/>
      <c r="W114" s="1526"/>
      <c r="X114" s="1526"/>
      <c r="Y114" s="1526"/>
      <c r="Z114" s="974"/>
      <c r="AA114" s="974"/>
      <c r="AB114" s="974"/>
      <c r="AC114" s="974"/>
      <c r="AD114" s="974"/>
      <c r="AE114" s="974"/>
    </row>
    <row r="115">
      <c r="A115" s="1526"/>
      <c r="B115" s="1526"/>
      <c r="C115" s="1526"/>
      <c r="D115" s="1526"/>
      <c r="E115" s="1526"/>
      <c r="F115" s="1526"/>
      <c r="G115" s="1526"/>
      <c r="H115" s="1526"/>
      <c r="I115" s="1526"/>
      <c r="J115" s="1526"/>
      <c r="K115" s="1526"/>
      <c r="L115" s="1526"/>
      <c r="M115" s="1526"/>
      <c r="N115" s="1526"/>
      <c r="O115" s="1526"/>
      <c r="P115" s="1526"/>
      <c r="Q115" s="1526"/>
      <c r="R115" s="1526"/>
      <c r="S115" s="1526"/>
      <c r="T115" s="1526"/>
      <c r="U115" s="1526"/>
      <c r="V115" s="1526"/>
      <c r="W115" s="1526"/>
      <c r="X115" s="1526"/>
      <c r="Y115" s="1526"/>
      <c r="Z115" s="974"/>
      <c r="AA115" s="974"/>
      <c r="AB115" s="974"/>
      <c r="AC115" s="974"/>
      <c r="AD115" s="974"/>
      <c r="AE115" s="974"/>
    </row>
    <row r="116">
      <c r="A116" s="1526"/>
      <c r="B116" s="1526"/>
      <c r="C116" s="1526"/>
      <c r="D116" s="1526"/>
      <c r="E116" s="1526"/>
      <c r="F116" s="1526"/>
      <c r="G116" s="1526"/>
      <c r="H116" s="1526"/>
      <c r="I116" s="1526"/>
      <c r="J116" s="1526"/>
      <c r="K116" s="1526"/>
      <c r="L116" s="1526"/>
      <c r="M116" s="1526"/>
      <c r="N116" s="1526"/>
      <c r="O116" s="1526"/>
      <c r="P116" s="1526"/>
      <c r="Q116" s="1526"/>
      <c r="R116" s="1526"/>
      <c r="S116" s="1526"/>
      <c r="T116" s="1526"/>
      <c r="U116" s="1526"/>
      <c r="V116" s="1526"/>
      <c r="W116" s="1526"/>
      <c r="X116" s="1526"/>
      <c r="Y116" s="1526"/>
      <c r="Z116" s="974"/>
      <c r="AA116" s="974"/>
      <c r="AB116" s="974"/>
      <c r="AC116" s="974"/>
      <c r="AD116" s="974"/>
      <c r="AE116" s="974"/>
    </row>
    <row r="117">
      <c r="A117" s="1526"/>
      <c r="B117" s="1526"/>
      <c r="C117" s="1526"/>
      <c r="D117" s="1526"/>
      <c r="E117" s="1526"/>
      <c r="F117" s="1526"/>
      <c r="G117" s="1526"/>
      <c r="H117" s="1526"/>
      <c r="I117" s="1526"/>
      <c r="J117" s="1526"/>
      <c r="K117" s="1526"/>
      <c r="L117" s="1526"/>
      <c r="M117" s="1526"/>
      <c r="N117" s="1526"/>
      <c r="O117" s="1526"/>
      <c r="P117" s="1526"/>
      <c r="Q117" s="1526"/>
      <c r="R117" s="1526"/>
      <c r="S117" s="1526"/>
      <c r="T117" s="1526"/>
      <c r="U117" s="1526"/>
      <c r="V117" s="1526"/>
      <c r="W117" s="1526"/>
      <c r="X117" s="1526"/>
      <c r="Y117" s="1526"/>
      <c r="Z117" s="974"/>
      <c r="AA117" s="974"/>
      <c r="AB117" s="974"/>
      <c r="AC117" s="974"/>
      <c r="AD117" s="974"/>
      <c r="AE117" s="974"/>
    </row>
    <row r="118">
      <c r="A118" s="1526"/>
      <c r="B118" s="1526"/>
      <c r="C118" s="1526"/>
      <c r="D118" s="1526"/>
      <c r="E118" s="1526"/>
      <c r="F118" s="1526"/>
      <c r="G118" s="1526"/>
      <c r="H118" s="1526"/>
      <c r="I118" s="1526"/>
      <c r="J118" s="1526"/>
      <c r="K118" s="1526"/>
      <c r="L118" s="1526"/>
      <c r="M118" s="1526"/>
      <c r="N118" s="1526"/>
      <c r="O118" s="1526"/>
      <c r="P118" s="1526"/>
      <c r="Q118" s="1526"/>
      <c r="R118" s="1526"/>
      <c r="S118" s="1526"/>
      <c r="T118" s="1526"/>
      <c r="U118" s="1526"/>
      <c r="V118" s="1526"/>
      <c r="W118" s="1526"/>
      <c r="X118" s="1526"/>
      <c r="Y118" s="1526"/>
      <c r="Z118" s="974"/>
      <c r="AA118" s="974"/>
      <c r="AB118" s="974"/>
      <c r="AC118" s="974"/>
      <c r="AD118" s="974"/>
      <c r="AE118" s="974"/>
    </row>
    <row r="119">
      <c r="A119" s="1526"/>
      <c r="B119" s="1526"/>
      <c r="C119" s="1526"/>
      <c r="D119" s="1526"/>
      <c r="E119" s="1526"/>
      <c r="F119" s="1526"/>
      <c r="G119" s="1526"/>
      <c r="H119" s="1526"/>
      <c r="I119" s="1526"/>
      <c r="J119" s="1526"/>
      <c r="K119" s="1526"/>
      <c r="L119" s="1526"/>
      <c r="M119" s="1526"/>
      <c r="N119" s="1526"/>
      <c r="O119" s="1526"/>
      <c r="P119" s="1526"/>
      <c r="Q119" s="1526"/>
      <c r="R119" s="1526"/>
      <c r="S119" s="1526"/>
      <c r="T119" s="1526"/>
      <c r="U119" s="1526"/>
      <c r="V119" s="1526"/>
      <c r="W119" s="1526"/>
      <c r="X119" s="1526"/>
      <c r="Y119" s="1526"/>
      <c r="Z119" s="974"/>
      <c r="AA119" s="974"/>
      <c r="AB119" s="974"/>
      <c r="AC119" s="974"/>
      <c r="AD119" s="974"/>
      <c r="AE119" s="974"/>
    </row>
    <row r="120">
      <c r="A120" s="1526"/>
      <c r="B120" s="1526"/>
      <c r="C120" s="1526"/>
      <c r="D120" s="1526"/>
      <c r="E120" s="1526"/>
      <c r="F120" s="1526"/>
      <c r="G120" s="1526"/>
      <c r="H120" s="1526"/>
      <c r="I120" s="1526"/>
      <c r="J120" s="1526"/>
      <c r="K120" s="1526"/>
      <c r="L120" s="1526"/>
      <c r="M120" s="1526"/>
      <c r="N120" s="1526"/>
      <c r="O120" s="1526"/>
      <c r="P120" s="1526"/>
      <c r="Q120" s="1526"/>
      <c r="R120" s="1526"/>
      <c r="S120" s="1526"/>
      <c r="T120" s="1526"/>
      <c r="U120" s="1526"/>
      <c r="V120" s="1526"/>
      <c r="W120" s="1526"/>
      <c r="X120" s="1526"/>
      <c r="Y120" s="1526"/>
      <c r="Z120" s="974"/>
      <c r="AA120" s="974"/>
      <c r="AB120" s="974"/>
      <c r="AC120" s="974"/>
      <c r="AD120" s="974"/>
      <c r="AE120" s="974"/>
    </row>
    <row r="121">
      <c r="A121" s="1526"/>
      <c r="B121" s="1526"/>
      <c r="C121" s="1526"/>
      <c r="D121" s="1526"/>
      <c r="E121" s="1526"/>
      <c r="F121" s="1526"/>
      <c r="G121" s="1526"/>
      <c r="H121" s="1526"/>
      <c r="I121" s="1526"/>
      <c r="J121" s="1526"/>
      <c r="K121" s="1526"/>
      <c r="L121" s="1526"/>
      <c r="M121" s="1526"/>
      <c r="N121" s="1526"/>
      <c r="O121" s="1526"/>
      <c r="P121" s="1526"/>
      <c r="Q121" s="1526"/>
      <c r="R121" s="1526"/>
      <c r="S121" s="1526"/>
      <c r="T121" s="1526"/>
      <c r="U121" s="1526"/>
      <c r="V121" s="1526"/>
      <c r="W121" s="1526"/>
      <c r="X121" s="1526"/>
      <c r="Y121" s="1526"/>
      <c r="Z121" s="974"/>
      <c r="AA121" s="974"/>
      <c r="AB121" s="974"/>
      <c r="AC121" s="974"/>
      <c r="AD121" s="974"/>
      <c r="AE121" s="974"/>
    </row>
    <row r="122">
      <c r="A122" s="1526"/>
      <c r="B122" s="1526"/>
      <c r="C122" s="1526"/>
      <c r="D122" s="1526"/>
      <c r="E122" s="1526"/>
      <c r="F122" s="1526"/>
      <c r="G122" s="1526"/>
      <c r="H122" s="1526"/>
      <c r="I122" s="1526"/>
      <c r="J122" s="1526"/>
      <c r="K122" s="1526"/>
      <c r="L122" s="1526"/>
      <c r="M122" s="1526"/>
      <c r="N122" s="1526"/>
      <c r="O122" s="1526"/>
      <c r="P122" s="1526"/>
      <c r="Q122" s="1526"/>
      <c r="R122" s="1526"/>
      <c r="S122" s="1526"/>
      <c r="T122" s="1526"/>
      <c r="U122" s="1526"/>
      <c r="V122" s="1526"/>
      <c r="W122" s="1526"/>
      <c r="X122" s="1526"/>
      <c r="Y122" s="1526"/>
      <c r="Z122" s="974"/>
      <c r="AA122" s="974"/>
      <c r="AB122" s="974"/>
      <c r="AC122" s="974"/>
      <c r="AD122" s="974"/>
      <c r="AE122" s="974"/>
    </row>
    <row r="123">
      <c r="A123" s="1526"/>
      <c r="B123" s="1526"/>
      <c r="C123" s="1526"/>
      <c r="D123" s="1526"/>
      <c r="E123" s="1526"/>
      <c r="F123" s="1526"/>
      <c r="G123" s="1526"/>
      <c r="H123" s="1526"/>
      <c r="I123" s="1526"/>
      <c r="J123" s="1526"/>
      <c r="K123" s="1526"/>
      <c r="L123" s="1526"/>
      <c r="M123" s="1526"/>
      <c r="N123" s="1526"/>
      <c r="O123" s="1526"/>
      <c r="P123" s="1526"/>
      <c r="Q123" s="1526"/>
      <c r="R123" s="1526"/>
      <c r="S123" s="1526"/>
      <c r="T123" s="1526"/>
      <c r="U123" s="1526"/>
      <c r="V123" s="1526"/>
      <c r="W123" s="1526"/>
      <c r="X123" s="1526"/>
      <c r="Y123" s="1526"/>
      <c r="Z123" s="974"/>
      <c r="AA123" s="974"/>
      <c r="AB123" s="974"/>
      <c r="AC123" s="974"/>
      <c r="AD123" s="974"/>
      <c r="AE123" s="974"/>
    </row>
    <row r="124">
      <c r="A124" s="1526"/>
      <c r="B124" s="1526"/>
      <c r="C124" s="1526"/>
      <c r="D124" s="1526"/>
      <c r="E124" s="1526"/>
      <c r="F124" s="1526"/>
      <c r="G124" s="1526"/>
      <c r="H124" s="1526"/>
      <c r="I124" s="1526"/>
      <c r="J124" s="1526"/>
      <c r="K124" s="1526"/>
      <c r="L124" s="1526"/>
      <c r="M124" s="1526"/>
      <c r="N124" s="1526"/>
      <c r="O124" s="1526"/>
      <c r="P124" s="1526"/>
      <c r="Q124" s="1526"/>
      <c r="R124" s="1526"/>
      <c r="S124" s="1526"/>
      <c r="T124" s="1526"/>
      <c r="U124" s="1526"/>
      <c r="V124" s="1526"/>
      <c r="W124" s="1526"/>
      <c r="X124" s="1526"/>
      <c r="Y124" s="1526"/>
      <c r="Z124" s="974"/>
      <c r="AA124" s="974"/>
      <c r="AB124" s="974"/>
      <c r="AC124" s="974"/>
      <c r="AD124" s="974"/>
      <c r="AE124" s="974"/>
    </row>
    <row r="125">
      <c r="A125" s="1526"/>
      <c r="B125" s="1526"/>
      <c r="C125" s="1526"/>
      <c r="D125" s="1526"/>
      <c r="E125" s="1526"/>
      <c r="F125" s="1526"/>
      <c r="G125" s="1526"/>
      <c r="H125" s="1526"/>
      <c r="I125" s="1526"/>
      <c r="J125" s="1526"/>
      <c r="K125" s="1526"/>
      <c r="L125" s="1526"/>
      <c r="M125" s="1526"/>
      <c r="N125" s="1526"/>
      <c r="O125" s="1526"/>
      <c r="P125" s="1526"/>
      <c r="Q125" s="1526"/>
      <c r="R125" s="1526"/>
      <c r="S125" s="1526"/>
      <c r="T125" s="1526"/>
      <c r="U125" s="1526"/>
      <c r="V125" s="1526"/>
      <c r="W125" s="1526"/>
      <c r="X125" s="1526"/>
      <c r="Y125" s="1526"/>
      <c r="Z125" s="974"/>
      <c r="AA125" s="974"/>
      <c r="AB125" s="974"/>
      <c r="AC125" s="974"/>
      <c r="AD125" s="974"/>
      <c r="AE125" s="974"/>
    </row>
    <row r="126">
      <c r="A126" s="1526"/>
      <c r="B126" s="1526"/>
      <c r="C126" s="1526"/>
      <c r="D126" s="1526"/>
      <c r="E126" s="1526"/>
      <c r="F126" s="1526"/>
      <c r="G126" s="1526"/>
      <c r="H126" s="1526"/>
      <c r="I126" s="1526"/>
      <c r="J126" s="1526"/>
      <c r="K126" s="1526"/>
      <c r="L126" s="1526"/>
      <c r="M126" s="1526"/>
      <c r="N126" s="1526"/>
      <c r="O126" s="1526"/>
      <c r="P126" s="1526"/>
      <c r="Q126" s="1526"/>
      <c r="R126" s="1526"/>
      <c r="S126" s="1526"/>
      <c r="T126" s="1526"/>
      <c r="U126" s="1526"/>
      <c r="V126" s="1526"/>
      <c r="W126" s="1526"/>
      <c r="X126" s="1526"/>
      <c r="Y126" s="1526"/>
      <c r="Z126" s="974"/>
      <c r="AA126" s="974"/>
      <c r="AB126" s="974"/>
      <c r="AC126" s="974"/>
      <c r="AD126" s="974"/>
      <c r="AE126" s="974"/>
    </row>
    <row r="127">
      <c r="A127" s="1526"/>
      <c r="B127" s="1526"/>
      <c r="C127" s="1526"/>
      <c r="D127" s="1526"/>
      <c r="E127" s="1526"/>
      <c r="F127" s="1526"/>
      <c r="G127" s="1526"/>
      <c r="H127" s="1526"/>
      <c r="I127" s="1526"/>
      <c r="J127" s="1526"/>
      <c r="K127" s="1526"/>
      <c r="L127" s="1526"/>
      <c r="M127" s="1526"/>
      <c r="N127" s="1526"/>
      <c r="O127" s="1526"/>
      <c r="P127" s="1526"/>
      <c r="Q127" s="1526"/>
      <c r="R127" s="1526"/>
      <c r="S127" s="1526"/>
      <c r="T127" s="1526"/>
      <c r="U127" s="1526"/>
      <c r="V127" s="1526"/>
      <c r="W127" s="1526"/>
      <c r="X127" s="1526"/>
      <c r="Y127" s="1526"/>
      <c r="Z127" s="974"/>
      <c r="AA127" s="974"/>
      <c r="AB127" s="974"/>
      <c r="AC127" s="974"/>
      <c r="AD127" s="974"/>
      <c r="AE127" s="974"/>
    </row>
    <row r="128">
      <c r="A128" s="1526"/>
      <c r="B128" s="1526"/>
      <c r="C128" s="1526"/>
      <c r="D128" s="1526"/>
      <c r="E128" s="1526"/>
      <c r="F128" s="1526"/>
      <c r="G128" s="1526"/>
      <c r="H128" s="1526"/>
      <c r="I128" s="1526"/>
      <c r="J128" s="1526"/>
      <c r="K128" s="1526"/>
      <c r="L128" s="1526"/>
      <c r="M128" s="1526"/>
      <c r="N128" s="1526"/>
      <c r="O128" s="1526"/>
      <c r="P128" s="1526"/>
      <c r="Q128" s="1526"/>
      <c r="R128" s="1526"/>
      <c r="S128" s="1526"/>
      <c r="T128" s="1526"/>
      <c r="U128" s="1526"/>
      <c r="V128" s="1526"/>
      <c r="W128" s="1526"/>
      <c r="X128" s="1526"/>
      <c r="Y128" s="1526"/>
      <c r="Z128" s="974"/>
      <c r="AA128" s="974"/>
      <c r="AB128" s="974"/>
      <c r="AC128" s="974"/>
      <c r="AD128" s="974"/>
      <c r="AE128" s="974"/>
    </row>
    <row r="129">
      <c r="A129" s="1526"/>
      <c r="B129" s="1526"/>
      <c r="C129" s="1526"/>
      <c r="D129" s="1526"/>
      <c r="E129" s="1526"/>
      <c r="F129" s="1526"/>
      <c r="G129" s="1526"/>
      <c r="H129" s="1526"/>
      <c r="I129" s="1526"/>
      <c r="J129" s="1526"/>
      <c r="K129" s="1526"/>
      <c r="L129" s="1526"/>
      <c r="M129" s="1526"/>
      <c r="N129" s="1526"/>
      <c r="O129" s="1526"/>
      <c r="P129" s="1526"/>
      <c r="Q129" s="1526"/>
      <c r="R129" s="1526"/>
      <c r="S129" s="1526"/>
      <c r="T129" s="1526"/>
      <c r="U129" s="1526"/>
      <c r="V129" s="1526"/>
      <c r="W129" s="1526"/>
      <c r="X129" s="1526"/>
      <c r="Y129" s="1526"/>
      <c r="Z129" s="974"/>
      <c r="AA129" s="974"/>
      <c r="AB129" s="974"/>
      <c r="AC129" s="974"/>
      <c r="AD129" s="974"/>
      <c r="AE129" s="974"/>
    </row>
    <row r="130">
      <c r="A130" s="1526"/>
      <c r="B130" s="1526"/>
      <c r="C130" s="1526"/>
      <c r="D130" s="1526"/>
      <c r="E130" s="1526"/>
      <c r="F130" s="1526"/>
      <c r="G130" s="1526"/>
      <c r="H130" s="1526"/>
      <c r="I130" s="1526"/>
      <c r="J130" s="1526"/>
      <c r="K130" s="1526"/>
      <c r="L130" s="1526"/>
      <c r="M130" s="1526"/>
      <c r="N130" s="1526"/>
      <c r="O130" s="1526"/>
      <c r="P130" s="1526"/>
      <c r="Q130" s="1526"/>
      <c r="R130" s="1526"/>
      <c r="S130" s="1526"/>
      <c r="T130" s="1526"/>
      <c r="U130" s="1526"/>
      <c r="V130" s="1526"/>
      <c r="W130" s="1526"/>
      <c r="X130" s="1526"/>
      <c r="Y130" s="1526"/>
      <c r="Z130" s="974"/>
      <c r="AA130" s="974"/>
      <c r="AB130" s="974"/>
      <c r="AC130" s="974"/>
      <c r="AD130" s="974"/>
      <c r="AE130" s="974"/>
    </row>
    <row r="131">
      <c r="A131" s="1526"/>
      <c r="B131" s="1526"/>
      <c r="C131" s="1526"/>
      <c r="D131" s="1526"/>
      <c r="E131" s="1526"/>
      <c r="F131" s="1526"/>
      <c r="G131" s="1526"/>
      <c r="H131" s="1526"/>
      <c r="I131" s="1526"/>
      <c r="J131" s="1526"/>
      <c r="K131" s="1526"/>
      <c r="L131" s="1526"/>
      <c r="M131" s="1526"/>
      <c r="N131" s="1526"/>
      <c r="O131" s="1526"/>
      <c r="P131" s="1526"/>
      <c r="Q131" s="1526"/>
      <c r="R131" s="1526"/>
      <c r="S131" s="1526"/>
      <c r="T131" s="1526"/>
      <c r="U131" s="1526"/>
      <c r="V131" s="1526"/>
      <c r="W131" s="1526"/>
      <c r="X131" s="1526"/>
      <c r="Y131" s="1526"/>
      <c r="Z131" s="974"/>
      <c r="AA131" s="974"/>
      <c r="AB131" s="974"/>
      <c r="AC131" s="974"/>
      <c r="AD131" s="974"/>
      <c r="AE131" s="974"/>
    </row>
    <row r="132">
      <c r="A132" s="1526"/>
      <c r="B132" s="1526"/>
      <c r="C132" s="1526"/>
      <c r="D132" s="1526"/>
      <c r="E132" s="1526"/>
      <c r="F132" s="1526"/>
      <c r="G132" s="1526"/>
      <c r="H132" s="1526"/>
      <c r="I132" s="1526"/>
      <c r="J132" s="1526"/>
      <c r="K132" s="1526"/>
      <c r="L132" s="1526"/>
      <c r="M132" s="1526"/>
      <c r="N132" s="1526"/>
      <c r="O132" s="1526"/>
      <c r="P132" s="1526"/>
      <c r="Q132" s="1526"/>
      <c r="R132" s="1526"/>
      <c r="S132" s="1526"/>
      <c r="T132" s="1526"/>
      <c r="U132" s="1526"/>
      <c r="V132" s="1526"/>
      <c r="W132" s="1526"/>
      <c r="X132" s="1526"/>
      <c r="Y132" s="1526"/>
      <c r="Z132" s="974"/>
      <c r="AA132" s="974"/>
      <c r="AB132" s="974"/>
      <c r="AC132" s="974"/>
      <c r="AD132" s="974"/>
      <c r="AE132" s="974"/>
    </row>
    <row r="133">
      <c r="A133" s="1526"/>
      <c r="B133" s="1526"/>
      <c r="C133" s="1526"/>
      <c r="D133" s="1526"/>
      <c r="E133" s="1526"/>
      <c r="F133" s="1526"/>
      <c r="G133" s="1526"/>
      <c r="H133" s="1526"/>
      <c r="I133" s="1526"/>
      <c r="J133" s="1526"/>
      <c r="K133" s="1526"/>
      <c r="L133" s="1526"/>
      <c r="M133" s="1526"/>
      <c r="N133" s="1526"/>
      <c r="O133" s="1526"/>
      <c r="P133" s="1526"/>
      <c r="Q133" s="1526"/>
      <c r="R133" s="1526"/>
      <c r="S133" s="1526"/>
      <c r="T133" s="1526"/>
      <c r="U133" s="1526"/>
      <c r="V133" s="1526"/>
      <c r="W133" s="1526"/>
      <c r="X133" s="1526"/>
      <c r="Y133" s="1526"/>
      <c r="Z133" s="974"/>
      <c r="AA133" s="974"/>
      <c r="AB133" s="974"/>
      <c r="AC133" s="974"/>
      <c r="AD133" s="974"/>
      <c r="AE133" s="974"/>
    </row>
    <row r="134">
      <c r="A134" s="1526"/>
      <c r="B134" s="1526"/>
      <c r="C134" s="1526"/>
      <c r="D134" s="1526"/>
      <c r="E134" s="1526"/>
      <c r="F134" s="1526"/>
      <c r="G134" s="1526"/>
      <c r="H134" s="1526"/>
      <c r="I134" s="1526"/>
      <c r="J134" s="1526"/>
      <c r="K134" s="1526"/>
      <c r="L134" s="1526"/>
      <c r="M134" s="1526"/>
      <c r="N134" s="1526"/>
      <c r="O134" s="1526"/>
      <c r="P134" s="1526"/>
      <c r="Q134" s="1526"/>
      <c r="R134" s="1526"/>
      <c r="S134" s="1526"/>
      <c r="T134" s="1526"/>
      <c r="U134" s="1526"/>
      <c r="V134" s="1526"/>
      <c r="W134" s="1526"/>
      <c r="X134" s="1526"/>
      <c r="Y134" s="1526"/>
      <c r="Z134" s="974"/>
      <c r="AA134" s="974"/>
      <c r="AB134" s="974"/>
      <c r="AC134" s="974"/>
      <c r="AD134" s="974"/>
      <c r="AE134" s="974"/>
    </row>
    <row r="135">
      <c r="A135" s="1526"/>
      <c r="B135" s="1526"/>
      <c r="C135" s="1526"/>
      <c r="D135" s="1526"/>
      <c r="E135" s="1526"/>
      <c r="F135" s="1526"/>
      <c r="G135" s="1526"/>
      <c r="H135" s="1526"/>
      <c r="I135" s="1526"/>
      <c r="J135" s="1526"/>
      <c r="K135" s="1526"/>
      <c r="L135" s="1526"/>
      <c r="M135" s="1526"/>
      <c r="N135" s="1526"/>
      <c r="O135" s="1526"/>
      <c r="P135" s="1526"/>
      <c r="Q135" s="1526"/>
      <c r="R135" s="1526"/>
      <c r="S135" s="1526"/>
      <c r="T135" s="1526"/>
      <c r="U135" s="1526"/>
      <c r="V135" s="1526"/>
      <c r="W135" s="1526"/>
      <c r="X135" s="1526"/>
      <c r="Y135" s="1526"/>
      <c r="Z135" s="974"/>
      <c r="AA135" s="974"/>
      <c r="AB135" s="974"/>
      <c r="AC135" s="974"/>
      <c r="AD135" s="974"/>
      <c r="AE135" s="974"/>
    </row>
    <row r="136">
      <c r="A136" s="1526"/>
      <c r="B136" s="1526"/>
      <c r="C136" s="1526"/>
      <c r="D136" s="1526"/>
      <c r="E136" s="1526"/>
      <c r="F136" s="1526"/>
      <c r="G136" s="1526"/>
      <c r="H136" s="1526"/>
      <c r="I136" s="1526"/>
      <c r="J136" s="1526"/>
      <c r="K136" s="1526"/>
      <c r="L136" s="1526"/>
      <c r="M136" s="1526"/>
      <c r="N136" s="1526"/>
      <c r="O136" s="1526"/>
      <c r="P136" s="1526"/>
      <c r="Q136" s="1526"/>
      <c r="R136" s="1526"/>
      <c r="S136" s="1526"/>
      <c r="T136" s="1526"/>
      <c r="U136" s="1526"/>
      <c r="V136" s="1526"/>
      <c r="W136" s="1526"/>
      <c r="X136" s="1526"/>
      <c r="Y136" s="1526"/>
      <c r="Z136" s="974"/>
      <c r="AA136" s="974"/>
      <c r="AB136" s="974"/>
      <c r="AC136" s="974"/>
      <c r="AD136" s="974"/>
      <c r="AE136" s="974"/>
    </row>
    <row r="137">
      <c r="A137" s="1526"/>
      <c r="B137" s="1526"/>
      <c r="C137" s="1526"/>
      <c r="D137" s="1526"/>
      <c r="E137" s="1526"/>
      <c r="F137" s="1526"/>
      <c r="G137" s="1526"/>
      <c r="H137" s="1526"/>
      <c r="I137" s="1526"/>
      <c r="J137" s="1526"/>
      <c r="K137" s="1526"/>
      <c r="L137" s="1526"/>
      <c r="M137" s="1526"/>
      <c r="N137" s="1526"/>
      <c r="O137" s="1526"/>
      <c r="P137" s="1526"/>
      <c r="Q137" s="1526"/>
      <c r="R137" s="1526"/>
      <c r="S137" s="1526"/>
      <c r="T137" s="1526"/>
      <c r="U137" s="1526"/>
      <c r="V137" s="1526"/>
      <c r="W137" s="1526"/>
      <c r="X137" s="1526"/>
      <c r="Y137" s="1526"/>
      <c r="Z137" s="974"/>
      <c r="AA137" s="974"/>
      <c r="AB137" s="974"/>
      <c r="AC137" s="974"/>
      <c r="AD137" s="974"/>
      <c r="AE137" s="974"/>
    </row>
    <row r="138">
      <c r="A138" s="1526"/>
      <c r="B138" s="1526"/>
      <c r="C138" s="1526"/>
      <c r="D138" s="1526"/>
      <c r="E138" s="1526"/>
      <c r="F138" s="1526"/>
      <c r="G138" s="1526"/>
      <c r="H138" s="1526"/>
      <c r="I138" s="1526"/>
      <c r="J138" s="1526"/>
      <c r="K138" s="1526"/>
      <c r="L138" s="1526"/>
      <c r="M138" s="1526"/>
      <c r="N138" s="1526"/>
      <c r="O138" s="1526"/>
      <c r="P138" s="1526"/>
      <c r="Q138" s="1526"/>
      <c r="R138" s="1526"/>
      <c r="S138" s="1526"/>
      <c r="T138" s="1526"/>
      <c r="U138" s="1526"/>
      <c r="V138" s="1526"/>
      <c r="W138" s="1526"/>
      <c r="X138" s="1526"/>
      <c r="Y138" s="1526"/>
      <c r="Z138" s="974"/>
      <c r="AA138" s="974"/>
      <c r="AB138" s="974"/>
      <c r="AC138" s="974"/>
      <c r="AD138" s="974"/>
      <c r="AE138" s="974"/>
    </row>
    <row r="139">
      <c r="A139" s="1526"/>
      <c r="B139" s="1526"/>
      <c r="C139" s="1526"/>
      <c r="D139" s="1526"/>
      <c r="E139" s="1526"/>
      <c r="F139" s="1526"/>
      <c r="G139" s="1526"/>
      <c r="H139" s="1526"/>
      <c r="I139" s="1526"/>
      <c r="J139" s="1526"/>
      <c r="K139" s="1526"/>
      <c r="L139" s="1526"/>
      <c r="M139" s="1526"/>
      <c r="N139" s="1526"/>
      <c r="O139" s="1526"/>
      <c r="P139" s="1526"/>
      <c r="Q139" s="1526"/>
      <c r="R139" s="1526"/>
      <c r="S139" s="1526"/>
      <c r="T139" s="1526"/>
      <c r="U139" s="1526"/>
      <c r="V139" s="1526"/>
      <c r="W139" s="1526"/>
      <c r="X139" s="1526"/>
      <c r="Y139" s="1526"/>
      <c r="Z139" s="974"/>
      <c r="AA139" s="974"/>
      <c r="AB139" s="974"/>
      <c r="AC139" s="974"/>
      <c r="AD139" s="974"/>
      <c r="AE139" s="974"/>
    </row>
    <row r="140">
      <c r="A140" s="1526"/>
      <c r="B140" s="1526"/>
      <c r="C140" s="1526"/>
      <c r="D140" s="1526"/>
      <c r="E140" s="1526"/>
      <c r="F140" s="1526"/>
      <c r="G140" s="1526"/>
      <c r="H140" s="1526"/>
      <c r="I140" s="1526"/>
      <c r="J140" s="1526"/>
      <c r="K140" s="1526"/>
      <c r="L140" s="1526"/>
      <c r="M140" s="1526"/>
      <c r="N140" s="1526"/>
      <c r="O140" s="1526"/>
      <c r="P140" s="1526"/>
      <c r="Q140" s="1526"/>
      <c r="R140" s="1526"/>
      <c r="S140" s="1526"/>
      <c r="T140" s="1526"/>
      <c r="U140" s="1526"/>
      <c r="V140" s="1526"/>
      <c r="W140" s="1526"/>
      <c r="X140" s="1526"/>
      <c r="Y140" s="1526"/>
      <c r="Z140" s="974"/>
      <c r="AA140" s="974"/>
      <c r="AB140" s="974"/>
      <c r="AC140" s="974"/>
      <c r="AD140" s="974"/>
      <c r="AE140" s="974"/>
    </row>
    <row r="141">
      <c r="A141" s="1526"/>
      <c r="B141" s="1526"/>
      <c r="C141" s="1526"/>
      <c r="D141" s="1526"/>
      <c r="E141" s="1526"/>
      <c r="F141" s="1526"/>
      <c r="G141" s="1526"/>
      <c r="H141" s="1526"/>
      <c r="I141" s="1526"/>
      <c r="J141" s="1526"/>
      <c r="K141" s="1526"/>
      <c r="L141" s="1526"/>
      <c r="M141" s="1526"/>
      <c r="N141" s="1526"/>
      <c r="O141" s="1526"/>
      <c r="P141" s="1526"/>
      <c r="Q141" s="1526"/>
      <c r="R141" s="1526"/>
      <c r="S141" s="1526"/>
      <c r="T141" s="1526"/>
      <c r="U141" s="1526"/>
      <c r="V141" s="1526"/>
      <c r="W141" s="1526"/>
      <c r="X141" s="1526"/>
      <c r="Y141" s="1526"/>
      <c r="Z141" s="974"/>
      <c r="AA141" s="974"/>
      <c r="AB141" s="974"/>
      <c r="AC141" s="974"/>
      <c r="AD141" s="974"/>
      <c r="AE141" s="974"/>
    </row>
    <row r="142">
      <c r="A142" s="1526"/>
      <c r="B142" s="1526"/>
      <c r="C142" s="1526"/>
      <c r="D142" s="1526"/>
      <c r="E142" s="1526"/>
      <c r="F142" s="1526"/>
      <c r="G142" s="1526"/>
      <c r="H142" s="1526"/>
      <c r="I142" s="1526"/>
      <c r="J142" s="1526"/>
      <c r="K142" s="1526"/>
      <c r="L142" s="1526"/>
      <c r="M142" s="1526"/>
      <c r="N142" s="1526"/>
      <c r="O142" s="1526"/>
      <c r="P142" s="1526"/>
      <c r="Q142" s="1526"/>
      <c r="R142" s="1526"/>
      <c r="S142" s="1526"/>
      <c r="T142" s="1526"/>
      <c r="U142" s="1526"/>
      <c r="V142" s="1526"/>
      <c r="W142" s="1526"/>
      <c r="X142" s="1526"/>
      <c r="Y142" s="1526"/>
      <c r="Z142" s="974"/>
      <c r="AA142" s="974"/>
      <c r="AB142" s="974"/>
      <c r="AC142" s="974"/>
      <c r="AD142" s="974"/>
      <c r="AE142" s="974"/>
    </row>
    <row r="143">
      <c r="A143" s="1526"/>
      <c r="B143" s="1526"/>
      <c r="C143" s="1526"/>
      <c r="D143" s="1526"/>
      <c r="E143" s="1526"/>
      <c r="F143" s="1526"/>
      <c r="G143" s="1526"/>
      <c r="H143" s="1526"/>
      <c r="I143" s="1526"/>
      <c r="J143" s="1526"/>
      <c r="K143" s="1526"/>
      <c r="L143" s="1526"/>
      <c r="M143" s="1526"/>
      <c r="N143" s="1526"/>
      <c r="O143" s="1526"/>
      <c r="P143" s="1526"/>
      <c r="Q143" s="1526"/>
      <c r="R143" s="1526"/>
      <c r="S143" s="1526"/>
      <c r="T143" s="1526"/>
      <c r="U143" s="1526"/>
      <c r="V143" s="1526"/>
      <c r="W143" s="1526"/>
      <c r="X143" s="1526"/>
      <c r="Y143" s="1526"/>
      <c r="Z143" s="974"/>
      <c r="AA143" s="974"/>
      <c r="AB143" s="974"/>
      <c r="AC143" s="974"/>
      <c r="AD143" s="974"/>
      <c r="AE143" s="974"/>
    </row>
    <row r="144">
      <c r="A144" s="1526"/>
      <c r="B144" s="1526"/>
      <c r="C144" s="1526"/>
      <c r="D144" s="1526"/>
      <c r="E144" s="1526"/>
      <c r="F144" s="1526"/>
      <c r="G144" s="1526"/>
      <c r="H144" s="1526"/>
      <c r="I144" s="1526"/>
      <c r="J144" s="1526"/>
      <c r="K144" s="1526"/>
      <c r="L144" s="1526"/>
      <c r="M144" s="1526"/>
      <c r="N144" s="1526"/>
      <c r="O144" s="1526"/>
      <c r="P144" s="1526"/>
      <c r="Q144" s="1526"/>
      <c r="R144" s="1526"/>
      <c r="S144" s="1526"/>
      <c r="T144" s="1526"/>
      <c r="U144" s="1526"/>
      <c r="V144" s="1526"/>
      <c r="W144" s="1526"/>
      <c r="X144" s="1526"/>
      <c r="Y144" s="1526"/>
      <c r="Z144" s="974"/>
      <c r="AA144" s="974"/>
      <c r="AB144" s="974"/>
      <c r="AC144" s="974"/>
      <c r="AD144" s="974"/>
      <c r="AE144" s="974"/>
    </row>
    <row r="145">
      <c r="A145" s="1526"/>
      <c r="B145" s="1526"/>
      <c r="C145" s="1526"/>
      <c r="D145" s="1526"/>
      <c r="E145" s="1526"/>
      <c r="F145" s="1526"/>
      <c r="G145" s="1526"/>
      <c r="H145" s="1526"/>
      <c r="I145" s="1526"/>
      <c r="J145" s="1526"/>
      <c r="K145" s="1526"/>
      <c r="L145" s="1526"/>
      <c r="M145" s="1526"/>
      <c r="N145" s="1526"/>
      <c r="O145" s="1526"/>
      <c r="P145" s="1526"/>
      <c r="Q145" s="1526"/>
      <c r="R145" s="1526"/>
      <c r="S145" s="1526"/>
      <c r="T145" s="1526"/>
      <c r="U145" s="1526"/>
      <c r="V145" s="1526"/>
      <c r="W145" s="1526"/>
      <c r="X145" s="1526"/>
      <c r="Y145" s="1526"/>
      <c r="Z145" s="974"/>
      <c r="AA145" s="974"/>
      <c r="AB145" s="974"/>
      <c r="AC145" s="974"/>
      <c r="AD145" s="974"/>
      <c r="AE145" s="974"/>
    </row>
    <row r="146">
      <c r="A146" s="1526"/>
      <c r="B146" s="1526"/>
      <c r="C146" s="1526"/>
      <c r="D146" s="1526"/>
      <c r="E146" s="1526"/>
      <c r="F146" s="1526"/>
      <c r="G146" s="1526"/>
      <c r="H146" s="1526"/>
      <c r="I146" s="1526"/>
      <c r="J146" s="1526"/>
      <c r="K146" s="1526"/>
      <c r="L146" s="1526"/>
      <c r="M146" s="1526"/>
      <c r="N146" s="1526"/>
      <c r="O146" s="1526"/>
      <c r="P146" s="1526"/>
      <c r="Q146" s="1526"/>
      <c r="R146" s="1526"/>
      <c r="S146" s="1526"/>
      <c r="T146" s="1526"/>
      <c r="U146" s="1526"/>
      <c r="V146" s="1526"/>
      <c r="W146" s="1526"/>
      <c r="X146" s="1526"/>
      <c r="Y146" s="1526"/>
      <c r="Z146" s="974"/>
      <c r="AA146" s="974"/>
      <c r="AB146" s="974"/>
      <c r="AC146" s="974"/>
      <c r="AD146" s="974"/>
      <c r="AE146" s="974"/>
    </row>
    <row r="147">
      <c r="A147" s="1526"/>
      <c r="B147" s="1526"/>
      <c r="C147" s="1526"/>
      <c r="D147" s="1526"/>
      <c r="E147" s="1526"/>
      <c r="F147" s="1526"/>
      <c r="G147" s="1526"/>
      <c r="H147" s="1526"/>
      <c r="I147" s="1526"/>
      <c r="J147" s="1526"/>
      <c r="K147" s="1526"/>
      <c r="L147" s="1526"/>
      <c r="M147" s="1526"/>
      <c r="N147" s="1526"/>
      <c r="O147" s="1526"/>
      <c r="P147" s="1526"/>
      <c r="Q147" s="1526"/>
      <c r="R147" s="1526"/>
      <c r="S147" s="1526"/>
      <c r="T147" s="1526"/>
      <c r="U147" s="1526"/>
      <c r="V147" s="1526"/>
      <c r="W147" s="1526"/>
      <c r="X147" s="1526"/>
      <c r="Y147" s="1526"/>
      <c r="Z147" s="974"/>
      <c r="AA147" s="974"/>
      <c r="AB147" s="974"/>
      <c r="AC147" s="974"/>
      <c r="AD147" s="974"/>
      <c r="AE147" s="974"/>
    </row>
    <row r="148">
      <c r="A148" s="1526"/>
      <c r="B148" s="1526"/>
      <c r="C148" s="1526"/>
      <c r="D148" s="1526"/>
      <c r="E148" s="1526"/>
      <c r="F148" s="1526"/>
      <c r="G148" s="1526"/>
      <c r="H148" s="1526"/>
      <c r="I148" s="1526"/>
      <c r="J148" s="1526"/>
      <c r="K148" s="1526"/>
      <c r="L148" s="1526"/>
      <c r="M148" s="1526"/>
      <c r="N148" s="1526"/>
      <c r="O148" s="1526"/>
      <c r="P148" s="1526"/>
      <c r="Q148" s="1526"/>
      <c r="R148" s="1526"/>
      <c r="S148" s="1526"/>
      <c r="T148" s="1526"/>
      <c r="U148" s="1526"/>
      <c r="V148" s="1526"/>
      <c r="W148" s="1526"/>
      <c r="X148" s="1526"/>
      <c r="Y148" s="1526"/>
      <c r="Z148" s="974"/>
      <c r="AA148" s="974"/>
      <c r="AB148" s="974"/>
      <c r="AC148" s="974"/>
      <c r="AD148" s="974"/>
      <c r="AE148" s="974"/>
    </row>
    <row r="149">
      <c r="A149" s="1526"/>
      <c r="B149" s="1526"/>
      <c r="C149" s="1526"/>
      <c r="D149" s="1526"/>
      <c r="E149" s="1526"/>
      <c r="F149" s="1526"/>
      <c r="G149" s="1526"/>
      <c r="H149" s="1526"/>
      <c r="I149" s="1526"/>
      <c r="J149" s="1526"/>
      <c r="K149" s="1526"/>
      <c r="L149" s="1526"/>
      <c r="M149" s="1526"/>
      <c r="N149" s="1526"/>
      <c r="O149" s="1526"/>
      <c r="P149" s="1526"/>
      <c r="Q149" s="1526"/>
      <c r="R149" s="1526"/>
      <c r="S149" s="1526"/>
      <c r="T149" s="1526"/>
      <c r="U149" s="1526"/>
      <c r="V149" s="1526"/>
      <c r="W149" s="1526"/>
      <c r="X149" s="1526"/>
      <c r="Y149" s="1526"/>
      <c r="Z149" s="974"/>
      <c r="AA149" s="974"/>
      <c r="AB149" s="974"/>
      <c r="AC149" s="974"/>
      <c r="AD149" s="974"/>
      <c r="AE149" s="974"/>
    </row>
    <row r="150">
      <c r="A150" s="1526"/>
      <c r="B150" s="1526"/>
      <c r="C150" s="1526"/>
      <c r="D150" s="1526"/>
      <c r="E150" s="1526"/>
      <c r="F150" s="1526"/>
      <c r="G150" s="1526"/>
      <c r="H150" s="1526"/>
      <c r="I150" s="1526"/>
      <c r="J150" s="1526"/>
      <c r="K150" s="1526"/>
      <c r="L150" s="1526"/>
      <c r="M150" s="1526"/>
      <c r="N150" s="1526"/>
      <c r="O150" s="1526"/>
      <c r="P150" s="1526"/>
      <c r="Q150" s="1526"/>
      <c r="R150" s="1526"/>
      <c r="S150" s="1526"/>
      <c r="T150" s="1526"/>
      <c r="U150" s="1526"/>
      <c r="V150" s="1526"/>
      <c r="W150" s="1526"/>
      <c r="X150" s="1526"/>
      <c r="Y150" s="1526"/>
      <c r="Z150" s="974"/>
      <c r="AA150" s="974"/>
      <c r="AB150" s="974"/>
      <c r="AC150" s="974"/>
      <c r="AD150" s="974"/>
      <c r="AE150" s="974"/>
    </row>
    <row r="151">
      <c r="A151" s="1526"/>
      <c r="B151" s="1526"/>
      <c r="C151" s="1526"/>
      <c r="D151" s="1526"/>
      <c r="E151" s="1526"/>
      <c r="F151" s="1526"/>
      <c r="G151" s="1526"/>
      <c r="H151" s="1526"/>
      <c r="I151" s="1526"/>
      <c r="J151" s="1526"/>
      <c r="K151" s="1526"/>
      <c r="L151" s="1526"/>
      <c r="M151" s="1526"/>
      <c r="N151" s="1526"/>
      <c r="O151" s="1526"/>
      <c r="P151" s="1526"/>
      <c r="Q151" s="1526"/>
      <c r="R151" s="1526"/>
      <c r="S151" s="1526"/>
      <c r="T151" s="1526"/>
      <c r="U151" s="1526"/>
      <c r="V151" s="1526"/>
      <c r="W151" s="1526"/>
      <c r="X151" s="1526"/>
      <c r="Y151" s="1526"/>
      <c r="Z151" s="974"/>
      <c r="AA151" s="974"/>
      <c r="AB151" s="974"/>
      <c r="AC151" s="974"/>
      <c r="AD151" s="974"/>
      <c r="AE151" s="974"/>
    </row>
    <row r="152">
      <c r="A152" s="1526"/>
      <c r="B152" s="1526"/>
      <c r="C152" s="1526"/>
      <c r="D152" s="1526"/>
      <c r="E152" s="1526"/>
      <c r="F152" s="1526"/>
      <c r="G152" s="1526"/>
      <c r="H152" s="1526"/>
      <c r="I152" s="1526"/>
      <c r="J152" s="1526"/>
      <c r="K152" s="1526"/>
      <c r="L152" s="1526"/>
      <c r="M152" s="1526"/>
      <c r="N152" s="1526"/>
      <c r="O152" s="1526"/>
      <c r="P152" s="1526"/>
      <c r="Q152" s="1526"/>
      <c r="R152" s="1526"/>
      <c r="S152" s="1526"/>
      <c r="T152" s="1526"/>
      <c r="U152" s="1526"/>
      <c r="V152" s="1526"/>
      <c r="W152" s="1526"/>
      <c r="X152" s="1526"/>
      <c r="Y152" s="1526"/>
      <c r="Z152" s="974"/>
      <c r="AA152" s="974"/>
      <c r="AB152" s="974"/>
      <c r="AC152" s="974"/>
      <c r="AD152" s="974"/>
      <c r="AE152" s="974"/>
    </row>
    <row r="153">
      <c r="A153" s="1526"/>
      <c r="B153" s="1526"/>
      <c r="C153" s="1526"/>
      <c r="D153" s="1526"/>
      <c r="E153" s="1526"/>
      <c r="F153" s="1526"/>
      <c r="G153" s="1526"/>
      <c r="H153" s="1526"/>
      <c r="I153" s="1526"/>
      <c r="J153" s="1526"/>
      <c r="K153" s="1526"/>
      <c r="L153" s="1526"/>
      <c r="M153" s="1526"/>
      <c r="N153" s="1526"/>
      <c r="O153" s="1526"/>
      <c r="P153" s="1526"/>
      <c r="Q153" s="1526"/>
      <c r="R153" s="1526"/>
      <c r="S153" s="1526"/>
      <c r="T153" s="1526"/>
      <c r="U153" s="1526"/>
      <c r="V153" s="1526"/>
      <c r="W153" s="1526"/>
      <c r="X153" s="1526"/>
      <c r="Y153" s="1526"/>
      <c r="Z153" s="974"/>
      <c r="AA153" s="974"/>
      <c r="AB153" s="974"/>
      <c r="AC153" s="974"/>
      <c r="AD153" s="974"/>
      <c r="AE153" s="974"/>
    </row>
    <row r="154">
      <c r="A154" s="1526"/>
      <c r="B154" s="1526"/>
      <c r="C154" s="1526"/>
      <c r="D154" s="1526"/>
      <c r="E154" s="1526"/>
      <c r="F154" s="1526"/>
      <c r="G154" s="1526"/>
      <c r="H154" s="1526"/>
      <c r="I154" s="1526"/>
      <c r="J154" s="1526"/>
      <c r="K154" s="1526"/>
      <c r="L154" s="1526"/>
      <c r="M154" s="1526"/>
      <c r="N154" s="1526"/>
      <c r="O154" s="1526"/>
      <c r="P154" s="1526"/>
      <c r="Q154" s="1526"/>
      <c r="R154" s="1526"/>
      <c r="S154" s="1526"/>
      <c r="T154" s="1526"/>
      <c r="U154" s="1526"/>
      <c r="V154" s="1526"/>
      <c r="W154" s="1526"/>
      <c r="X154" s="1526"/>
      <c r="Y154" s="1526"/>
      <c r="Z154" s="974"/>
      <c r="AA154" s="974"/>
      <c r="AB154" s="974"/>
      <c r="AC154" s="974"/>
      <c r="AD154" s="974"/>
      <c r="AE154" s="974"/>
    </row>
    <row r="155">
      <c r="A155" s="1526"/>
      <c r="B155" s="1526"/>
      <c r="C155" s="1526"/>
      <c r="D155" s="1526"/>
      <c r="E155" s="1526"/>
      <c r="F155" s="1526"/>
      <c r="G155" s="1526"/>
      <c r="H155" s="1526"/>
      <c r="I155" s="1526"/>
      <c r="J155" s="1526"/>
      <c r="K155" s="1526"/>
      <c r="L155" s="1526"/>
      <c r="M155" s="1526"/>
      <c r="N155" s="1526"/>
      <c r="O155" s="1526"/>
      <c r="P155" s="1526"/>
      <c r="Q155" s="1526"/>
      <c r="R155" s="1526"/>
      <c r="S155" s="1526"/>
      <c r="T155" s="1526"/>
      <c r="U155" s="1526"/>
      <c r="V155" s="1526"/>
      <c r="W155" s="1526"/>
      <c r="X155" s="1526"/>
      <c r="Y155" s="1526"/>
      <c r="Z155" s="974"/>
      <c r="AA155" s="974"/>
      <c r="AB155" s="974"/>
      <c r="AC155" s="974"/>
      <c r="AD155" s="974"/>
      <c r="AE155" s="974"/>
    </row>
    <row r="156">
      <c r="A156" s="1526"/>
      <c r="B156" s="1526"/>
      <c r="C156" s="1526"/>
      <c r="D156" s="1526"/>
      <c r="E156" s="1526"/>
      <c r="F156" s="1526"/>
      <c r="G156" s="1526"/>
      <c r="H156" s="1526"/>
      <c r="I156" s="1526"/>
      <c r="J156" s="1526"/>
      <c r="K156" s="1526"/>
      <c r="L156" s="1526"/>
      <c r="M156" s="1526"/>
      <c r="N156" s="1526"/>
      <c r="O156" s="1526"/>
      <c r="P156" s="1526"/>
      <c r="Q156" s="1526"/>
      <c r="R156" s="1526"/>
      <c r="S156" s="1526"/>
      <c r="T156" s="1526"/>
      <c r="U156" s="1526"/>
      <c r="V156" s="1526"/>
      <c r="W156" s="1526"/>
      <c r="X156" s="1526"/>
      <c r="Y156" s="1526"/>
      <c r="Z156" s="974"/>
      <c r="AA156" s="974"/>
      <c r="AB156" s="974"/>
      <c r="AC156" s="974"/>
      <c r="AD156" s="974"/>
      <c r="AE156" s="974"/>
    </row>
    <row r="157">
      <c r="A157" s="1526"/>
      <c r="B157" s="1526"/>
      <c r="C157" s="1526"/>
      <c r="D157" s="1526"/>
      <c r="E157" s="1526"/>
      <c r="F157" s="1526"/>
      <c r="G157" s="1526"/>
      <c r="H157" s="1526"/>
      <c r="I157" s="1526"/>
      <c r="J157" s="1526"/>
      <c r="K157" s="1526"/>
      <c r="L157" s="1526"/>
      <c r="M157" s="1526"/>
      <c r="N157" s="1526"/>
      <c r="O157" s="1526"/>
      <c r="P157" s="1526"/>
      <c r="Q157" s="1526"/>
      <c r="R157" s="1526"/>
      <c r="S157" s="1526"/>
      <c r="T157" s="1526"/>
      <c r="U157" s="1526"/>
      <c r="V157" s="1526"/>
      <c r="W157" s="1526"/>
      <c r="X157" s="1526"/>
      <c r="Y157" s="1526"/>
      <c r="Z157" s="974"/>
      <c r="AA157" s="974"/>
      <c r="AB157" s="974"/>
      <c r="AC157" s="974"/>
      <c r="AD157" s="974"/>
      <c r="AE157" s="974"/>
    </row>
    <row r="158">
      <c r="A158" s="1526"/>
      <c r="B158" s="1526"/>
      <c r="C158" s="1526"/>
      <c r="D158" s="1526"/>
      <c r="E158" s="1526"/>
      <c r="F158" s="1526"/>
      <c r="G158" s="1526"/>
      <c r="H158" s="1526"/>
      <c r="I158" s="1526"/>
      <c r="J158" s="1526"/>
      <c r="K158" s="1526"/>
      <c r="L158" s="1526"/>
      <c r="M158" s="1526"/>
      <c r="N158" s="1526"/>
      <c r="O158" s="1526"/>
      <c r="P158" s="1526"/>
      <c r="Q158" s="1526"/>
      <c r="R158" s="1526"/>
      <c r="S158" s="1526"/>
      <c r="T158" s="1526"/>
      <c r="U158" s="1526"/>
      <c r="V158" s="1526"/>
      <c r="W158" s="1526"/>
      <c r="X158" s="1526"/>
      <c r="Y158" s="1526"/>
      <c r="Z158" s="974"/>
      <c r="AA158" s="974"/>
      <c r="AB158" s="974"/>
      <c r="AC158" s="974"/>
      <c r="AD158" s="974"/>
      <c r="AE158" s="974"/>
    </row>
    <row r="159">
      <c r="A159" s="1526"/>
      <c r="B159" s="1526"/>
      <c r="C159" s="1526"/>
      <c r="D159" s="1526"/>
      <c r="E159" s="1526"/>
      <c r="F159" s="1526"/>
      <c r="G159" s="1526"/>
      <c r="H159" s="1526"/>
      <c r="I159" s="1526"/>
      <c r="J159" s="1526"/>
      <c r="K159" s="1526"/>
      <c r="L159" s="1526"/>
      <c r="M159" s="1526"/>
      <c r="N159" s="1526"/>
      <c r="O159" s="1526"/>
      <c r="P159" s="1526"/>
      <c r="Q159" s="1526"/>
      <c r="R159" s="1526"/>
      <c r="S159" s="1526"/>
      <c r="T159" s="1526"/>
      <c r="U159" s="1526"/>
      <c r="V159" s="1526"/>
      <c r="W159" s="1526"/>
      <c r="X159" s="1526"/>
      <c r="Y159" s="1526"/>
      <c r="Z159" s="974"/>
      <c r="AA159" s="974"/>
      <c r="AB159" s="974"/>
      <c r="AC159" s="974"/>
      <c r="AD159" s="974"/>
      <c r="AE159" s="974"/>
    </row>
    <row r="160">
      <c r="A160" s="1526"/>
      <c r="B160" s="1526"/>
      <c r="C160" s="1526"/>
      <c r="D160" s="1526"/>
      <c r="E160" s="1526"/>
      <c r="F160" s="1526"/>
      <c r="G160" s="1526"/>
      <c r="H160" s="1526"/>
      <c r="I160" s="1526"/>
      <c r="J160" s="1526"/>
      <c r="K160" s="1526"/>
      <c r="L160" s="1526"/>
      <c r="M160" s="1526"/>
      <c r="N160" s="1526"/>
      <c r="O160" s="1526"/>
      <c r="P160" s="1526"/>
      <c r="Q160" s="1526"/>
      <c r="R160" s="1526"/>
      <c r="S160" s="1526"/>
      <c r="T160" s="1526"/>
      <c r="U160" s="1526"/>
      <c r="V160" s="1526"/>
      <c r="W160" s="1526"/>
      <c r="X160" s="1526"/>
      <c r="Y160" s="1526"/>
      <c r="Z160" s="974"/>
      <c r="AA160" s="974"/>
      <c r="AB160" s="974"/>
      <c r="AC160" s="974"/>
      <c r="AD160" s="974"/>
      <c r="AE160" s="974"/>
    </row>
    <row r="161">
      <c r="A161" s="1526"/>
      <c r="B161" s="1526"/>
      <c r="C161" s="1526"/>
      <c r="D161" s="1526"/>
      <c r="E161" s="1526"/>
      <c r="F161" s="1526"/>
      <c r="G161" s="1526"/>
      <c r="H161" s="1526"/>
      <c r="I161" s="1526"/>
      <c r="J161" s="1526"/>
      <c r="K161" s="1526"/>
      <c r="L161" s="1526"/>
      <c r="M161" s="1526"/>
      <c r="N161" s="1526"/>
      <c r="O161" s="1526"/>
      <c r="P161" s="1526"/>
      <c r="Q161" s="1526"/>
      <c r="R161" s="1526"/>
      <c r="S161" s="1526"/>
      <c r="T161" s="1526"/>
      <c r="U161" s="1526"/>
      <c r="V161" s="1526"/>
      <c r="W161" s="1526"/>
      <c r="X161" s="1526"/>
      <c r="Y161" s="1526"/>
      <c r="Z161" s="974"/>
      <c r="AA161" s="974"/>
      <c r="AB161" s="974"/>
      <c r="AC161" s="974"/>
      <c r="AD161" s="974"/>
      <c r="AE161" s="974"/>
    </row>
    <row r="162">
      <c r="A162" s="1526"/>
      <c r="B162" s="1526"/>
      <c r="C162" s="1526"/>
      <c r="D162" s="1526"/>
      <c r="E162" s="1526"/>
      <c r="F162" s="1526"/>
      <c r="G162" s="1526"/>
      <c r="H162" s="1526"/>
      <c r="I162" s="1526"/>
      <c r="J162" s="1526"/>
      <c r="K162" s="1526"/>
      <c r="L162" s="1526"/>
      <c r="M162" s="1526"/>
      <c r="N162" s="1526"/>
      <c r="O162" s="1526"/>
      <c r="P162" s="1526"/>
      <c r="Q162" s="1526"/>
      <c r="R162" s="1526"/>
      <c r="S162" s="1526"/>
      <c r="T162" s="1526"/>
      <c r="U162" s="1526"/>
      <c r="V162" s="1526"/>
      <c r="W162" s="1526"/>
      <c r="X162" s="1526"/>
      <c r="Y162" s="1526"/>
      <c r="Z162" s="974"/>
      <c r="AA162" s="974"/>
      <c r="AB162" s="974"/>
      <c r="AC162" s="974"/>
      <c r="AD162" s="974"/>
      <c r="AE162" s="974"/>
    </row>
    <row r="163">
      <c r="A163" s="1526"/>
      <c r="B163" s="1526"/>
      <c r="C163" s="1526"/>
      <c r="D163" s="1526"/>
      <c r="E163" s="1526"/>
      <c r="F163" s="1526"/>
      <c r="G163" s="1526"/>
      <c r="H163" s="1526"/>
      <c r="I163" s="1526"/>
      <c r="J163" s="1526"/>
      <c r="K163" s="1526"/>
      <c r="L163" s="1526"/>
      <c r="M163" s="1526"/>
      <c r="N163" s="1526"/>
      <c r="O163" s="1526"/>
      <c r="P163" s="1526"/>
      <c r="Q163" s="1526"/>
      <c r="R163" s="1526"/>
      <c r="S163" s="1526"/>
      <c r="T163" s="1526"/>
      <c r="U163" s="1526"/>
      <c r="V163" s="1526"/>
      <c r="W163" s="1526"/>
      <c r="X163" s="1526"/>
      <c r="Y163" s="1526"/>
      <c r="Z163" s="974"/>
      <c r="AA163" s="974"/>
      <c r="AB163" s="974"/>
      <c r="AC163" s="974"/>
      <c r="AD163" s="974"/>
      <c r="AE163" s="974"/>
    </row>
    <row r="164">
      <c r="A164" s="1526"/>
      <c r="B164" s="1526"/>
      <c r="C164" s="1526"/>
      <c r="D164" s="1526"/>
      <c r="E164" s="1526"/>
      <c r="F164" s="1526"/>
      <c r="G164" s="1526"/>
      <c r="H164" s="1526"/>
      <c r="I164" s="1526"/>
      <c r="J164" s="1526"/>
      <c r="K164" s="1526"/>
      <c r="L164" s="1526"/>
      <c r="M164" s="1526"/>
      <c r="N164" s="1526"/>
      <c r="O164" s="1526"/>
      <c r="P164" s="1526"/>
      <c r="Q164" s="1526"/>
      <c r="R164" s="1526"/>
      <c r="S164" s="1526"/>
      <c r="T164" s="1526"/>
      <c r="U164" s="1526"/>
      <c r="V164" s="1526"/>
      <c r="W164" s="1526"/>
      <c r="X164" s="1526"/>
      <c r="Y164" s="1526"/>
      <c r="Z164" s="974"/>
      <c r="AA164" s="974"/>
      <c r="AB164" s="974"/>
      <c r="AC164" s="974"/>
      <c r="AD164" s="974"/>
      <c r="AE164" s="974"/>
    </row>
    <row r="165">
      <c r="A165" s="1526"/>
      <c r="B165" s="1526"/>
      <c r="C165" s="1526"/>
      <c r="D165" s="1526"/>
      <c r="E165" s="1526"/>
      <c r="F165" s="1526"/>
      <c r="G165" s="1526"/>
      <c r="H165" s="1526"/>
      <c r="I165" s="1526"/>
      <c r="J165" s="1526"/>
      <c r="K165" s="1526"/>
      <c r="L165" s="1526"/>
      <c r="M165" s="1526"/>
      <c r="N165" s="1526"/>
      <c r="O165" s="1526"/>
      <c r="P165" s="1526"/>
      <c r="Q165" s="1526"/>
      <c r="R165" s="1526"/>
      <c r="S165" s="1526"/>
      <c r="T165" s="1526"/>
      <c r="U165" s="1526"/>
      <c r="V165" s="1526"/>
      <c r="W165" s="1526"/>
      <c r="X165" s="1526"/>
      <c r="Y165" s="1526"/>
      <c r="Z165" s="974"/>
      <c r="AA165" s="974"/>
      <c r="AB165" s="974"/>
      <c r="AC165" s="974"/>
      <c r="AD165" s="974"/>
      <c r="AE165" s="974"/>
    </row>
    <row r="166">
      <c r="A166" s="1526"/>
      <c r="B166" s="1526"/>
      <c r="C166" s="1526"/>
      <c r="D166" s="1526"/>
      <c r="E166" s="1526"/>
      <c r="F166" s="1526"/>
      <c r="G166" s="1526"/>
      <c r="H166" s="1526"/>
      <c r="I166" s="1526"/>
      <c r="J166" s="1526"/>
      <c r="K166" s="1526"/>
      <c r="L166" s="1526"/>
      <c r="M166" s="1526"/>
      <c r="N166" s="1526"/>
      <c r="O166" s="1526"/>
      <c r="P166" s="1526"/>
      <c r="Q166" s="1526"/>
      <c r="R166" s="1526"/>
      <c r="S166" s="1526"/>
      <c r="T166" s="1526"/>
      <c r="U166" s="1526"/>
      <c r="V166" s="1526"/>
      <c r="W166" s="1526"/>
      <c r="X166" s="1526"/>
      <c r="Y166" s="1526"/>
      <c r="Z166" s="974"/>
      <c r="AA166" s="974"/>
      <c r="AB166" s="974"/>
      <c r="AC166" s="974"/>
      <c r="AD166" s="974"/>
      <c r="AE166" s="974"/>
    </row>
    <row r="167">
      <c r="A167" s="1526"/>
      <c r="B167" s="1526"/>
      <c r="C167" s="1526"/>
      <c r="D167" s="1526"/>
      <c r="E167" s="1526"/>
      <c r="F167" s="1526"/>
      <c r="G167" s="1526"/>
      <c r="H167" s="1526"/>
      <c r="I167" s="1526"/>
      <c r="J167" s="1526"/>
      <c r="K167" s="1526"/>
      <c r="L167" s="1526"/>
      <c r="M167" s="1526"/>
      <c r="N167" s="1526"/>
      <c r="O167" s="1526"/>
      <c r="P167" s="1526"/>
      <c r="Q167" s="1526"/>
      <c r="R167" s="1526"/>
      <c r="S167" s="1526"/>
      <c r="T167" s="1526"/>
      <c r="U167" s="1526"/>
      <c r="V167" s="1526"/>
      <c r="W167" s="1526"/>
      <c r="X167" s="1526"/>
      <c r="Y167" s="1526"/>
      <c r="Z167" s="974"/>
      <c r="AA167" s="974"/>
      <c r="AB167" s="974"/>
      <c r="AC167" s="974"/>
      <c r="AD167" s="974"/>
      <c r="AE167" s="974"/>
    </row>
    <row r="168">
      <c r="A168" s="1526"/>
      <c r="B168" s="1526"/>
      <c r="C168" s="1526"/>
      <c r="D168" s="1526"/>
      <c r="E168" s="1526"/>
      <c r="F168" s="1526"/>
      <c r="G168" s="1526"/>
      <c r="H168" s="1526"/>
      <c r="I168" s="1526"/>
      <c r="J168" s="1526"/>
      <c r="K168" s="1526"/>
      <c r="L168" s="1526"/>
      <c r="M168" s="1526"/>
      <c r="N168" s="1526"/>
      <c r="O168" s="1526"/>
      <c r="P168" s="1526"/>
      <c r="Q168" s="1526"/>
      <c r="R168" s="1526"/>
      <c r="S168" s="1526"/>
      <c r="T168" s="1526"/>
      <c r="U168" s="1526"/>
      <c r="V168" s="1526"/>
      <c r="W168" s="1526"/>
      <c r="X168" s="1526"/>
      <c r="Y168" s="1526"/>
      <c r="Z168" s="974"/>
      <c r="AA168" s="974"/>
      <c r="AB168" s="974"/>
      <c r="AC168" s="974"/>
      <c r="AD168" s="974"/>
      <c r="AE168" s="974"/>
    </row>
    <row r="169">
      <c r="A169" s="1526"/>
      <c r="B169" s="1526"/>
      <c r="C169" s="1526"/>
      <c r="D169" s="1526"/>
      <c r="E169" s="1526"/>
      <c r="F169" s="1526"/>
      <c r="G169" s="1526"/>
      <c r="H169" s="1526"/>
      <c r="I169" s="1526"/>
      <c r="J169" s="1526"/>
      <c r="K169" s="1526"/>
      <c r="L169" s="1526"/>
      <c r="M169" s="1526"/>
      <c r="N169" s="1526"/>
      <c r="O169" s="1526"/>
      <c r="P169" s="1526"/>
      <c r="Q169" s="1526"/>
      <c r="R169" s="1526"/>
      <c r="S169" s="1526"/>
      <c r="T169" s="1526"/>
      <c r="U169" s="1526"/>
      <c r="V169" s="1526"/>
      <c r="W169" s="1526"/>
      <c r="X169" s="1526"/>
      <c r="Y169" s="1526"/>
      <c r="Z169" s="974"/>
      <c r="AA169" s="974"/>
      <c r="AB169" s="974"/>
      <c r="AC169" s="974"/>
      <c r="AD169" s="974"/>
      <c r="AE169" s="974"/>
    </row>
    <row r="170">
      <c r="A170" s="1526"/>
      <c r="B170" s="1526"/>
      <c r="C170" s="1526"/>
      <c r="D170" s="1526"/>
      <c r="E170" s="1526"/>
      <c r="F170" s="1526"/>
      <c r="G170" s="1526"/>
      <c r="H170" s="1526"/>
      <c r="I170" s="1526"/>
      <c r="J170" s="1526"/>
      <c r="K170" s="1526"/>
      <c r="L170" s="1526"/>
      <c r="M170" s="1526"/>
      <c r="N170" s="1526"/>
      <c r="O170" s="1526"/>
      <c r="P170" s="1526"/>
      <c r="Q170" s="1526"/>
      <c r="R170" s="1526"/>
      <c r="S170" s="1526"/>
      <c r="T170" s="1526"/>
      <c r="U170" s="1526"/>
      <c r="V170" s="1526"/>
      <c r="W170" s="1526"/>
      <c r="X170" s="1526"/>
      <c r="Y170" s="1526"/>
      <c r="Z170" s="974"/>
      <c r="AA170" s="974"/>
      <c r="AB170" s="974"/>
      <c r="AC170" s="974"/>
      <c r="AD170" s="974"/>
      <c r="AE170" s="974"/>
    </row>
    <row r="171">
      <c r="A171" s="1526"/>
      <c r="B171" s="1526"/>
      <c r="C171" s="1526"/>
      <c r="D171" s="1526"/>
      <c r="E171" s="1526"/>
      <c r="F171" s="1526"/>
      <c r="G171" s="1526"/>
      <c r="H171" s="1526"/>
      <c r="I171" s="1526"/>
      <c r="J171" s="1526"/>
      <c r="K171" s="1526"/>
      <c r="L171" s="1526"/>
      <c r="M171" s="1526"/>
      <c r="N171" s="1526"/>
      <c r="O171" s="1526"/>
      <c r="P171" s="1526"/>
      <c r="Q171" s="1526"/>
      <c r="R171" s="1526"/>
      <c r="S171" s="1526"/>
      <c r="T171" s="1526"/>
      <c r="U171" s="1526"/>
      <c r="V171" s="1526"/>
      <c r="W171" s="1526"/>
      <c r="X171" s="1526"/>
      <c r="Y171" s="1526"/>
      <c r="Z171" s="974"/>
      <c r="AA171" s="974"/>
      <c r="AB171" s="974"/>
      <c r="AC171" s="974"/>
      <c r="AD171" s="974"/>
      <c r="AE171" s="974"/>
    </row>
    <row r="172">
      <c r="A172" s="1526"/>
      <c r="B172" s="1526"/>
      <c r="C172" s="1526"/>
      <c r="D172" s="1526"/>
      <c r="E172" s="1526"/>
      <c r="F172" s="1526"/>
      <c r="G172" s="1526"/>
      <c r="H172" s="1526"/>
      <c r="I172" s="1526"/>
      <c r="J172" s="1526"/>
      <c r="K172" s="1526"/>
      <c r="L172" s="1526"/>
      <c r="M172" s="1526"/>
      <c r="N172" s="1526"/>
      <c r="O172" s="1526"/>
      <c r="P172" s="1526"/>
      <c r="Q172" s="1526"/>
      <c r="R172" s="1526"/>
      <c r="S172" s="1526"/>
      <c r="T172" s="1526"/>
      <c r="U172" s="1526"/>
      <c r="V172" s="1526"/>
      <c r="W172" s="1526"/>
      <c r="X172" s="1526"/>
      <c r="Y172" s="1526"/>
      <c r="Z172" s="974"/>
      <c r="AA172" s="974"/>
      <c r="AB172" s="974"/>
      <c r="AC172" s="974"/>
      <c r="AD172" s="974"/>
      <c r="AE172" s="974"/>
    </row>
    <row r="173">
      <c r="A173" s="1526"/>
      <c r="B173" s="1526"/>
      <c r="C173" s="1526"/>
      <c r="D173" s="1526"/>
      <c r="E173" s="1526"/>
      <c r="F173" s="1526"/>
      <c r="G173" s="1526"/>
      <c r="H173" s="1526"/>
      <c r="I173" s="1526"/>
      <c r="J173" s="1526"/>
      <c r="K173" s="1526"/>
      <c r="L173" s="1526"/>
      <c r="M173" s="1526"/>
      <c r="N173" s="1526"/>
      <c r="O173" s="1526"/>
      <c r="P173" s="1526"/>
      <c r="Q173" s="1526"/>
      <c r="R173" s="1526"/>
      <c r="S173" s="1526"/>
      <c r="T173" s="1526"/>
      <c r="U173" s="1526"/>
      <c r="V173" s="1526"/>
      <c r="W173" s="1526"/>
      <c r="X173" s="1526"/>
      <c r="Y173" s="1526"/>
      <c r="Z173" s="974"/>
      <c r="AA173" s="974"/>
      <c r="AB173" s="974"/>
      <c r="AC173" s="974"/>
      <c r="AD173" s="974"/>
      <c r="AE173" s="974"/>
    </row>
    <row r="174">
      <c r="A174" s="1526"/>
      <c r="B174" s="1526"/>
      <c r="C174" s="1526"/>
      <c r="D174" s="1526"/>
      <c r="E174" s="1526"/>
      <c r="F174" s="1526"/>
      <c r="G174" s="1526"/>
      <c r="H174" s="1526"/>
      <c r="I174" s="1526"/>
      <c r="J174" s="1526"/>
      <c r="K174" s="1526"/>
      <c r="L174" s="1526"/>
      <c r="M174" s="1526"/>
      <c r="N174" s="1526"/>
      <c r="O174" s="1526"/>
      <c r="P174" s="1526"/>
      <c r="Q174" s="1526"/>
      <c r="R174" s="1526"/>
      <c r="S174" s="1526"/>
      <c r="T174" s="1526"/>
      <c r="U174" s="1526"/>
      <c r="V174" s="1526"/>
      <c r="W174" s="1526"/>
      <c r="X174" s="1526"/>
      <c r="Y174" s="1526"/>
      <c r="Z174" s="974"/>
      <c r="AA174" s="974"/>
      <c r="AB174" s="974"/>
      <c r="AC174" s="974"/>
      <c r="AD174" s="974"/>
      <c r="AE174" s="974"/>
    </row>
    <row r="175">
      <c r="A175" s="1526"/>
      <c r="B175" s="1526"/>
      <c r="C175" s="1526"/>
      <c r="D175" s="1526"/>
      <c r="E175" s="1526"/>
      <c r="F175" s="1526"/>
      <c r="G175" s="1526"/>
      <c r="H175" s="1526"/>
      <c r="I175" s="1526"/>
      <c r="J175" s="1526"/>
      <c r="K175" s="1526"/>
      <c r="L175" s="1526"/>
      <c r="M175" s="1526"/>
      <c r="N175" s="1526"/>
      <c r="O175" s="1526"/>
      <c r="P175" s="1526"/>
      <c r="Q175" s="1526"/>
      <c r="R175" s="1526"/>
      <c r="S175" s="1526"/>
      <c r="T175" s="1526"/>
      <c r="U175" s="1526"/>
      <c r="V175" s="1526"/>
      <c r="W175" s="1526"/>
      <c r="X175" s="1526"/>
      <c r="Y175" s="1526"/>
      <c r="Z175" s="974"/>
      <c r="AA175" s="974"/>
      <c r="AB175" s="974"/>
      <c r="AC175" s="974"/>
      <c r="AD175" s="974"/>
      <c r="AE175" s="974"/>
    </row>
    <row r="176">
      <c r="A176" s="1526"/>
      <c r="B176" s="1526"/>
      <c r="C176" s="1526"/>
      <c r="D176" s="1526"/>
      <c r="E176" s="1526"/>
      <c r="F176" s="1526"/>
      <c r="G176" s="1526"/>
      <c r="H176" s="1526"/>
      <c r="I176" s="1526"/>
      <c r="J176" s="1526"/>
      <c r="K176" s="1526"/>
      <c r="L176" s="1526"/>
      <c r="M176" s="1526"/>
      <c r="N176" s="1526"/>
      <c r="O176" s="1526"/>
      <c r="P176" s="1526"/>
      <c r="Q176" s="1526"/>
      <c r="R176" s="1526"/>
      <c r="S176" s="1526"/>
      <c r="T176" s="1526"/>
      <c r="U176" s="1526"/>
      <c r="V176" s="1526"/>
      <c r="W176" s="1526"/>
      <c r="X176" s="1526"/>
      <c r="Y176" s="1526"/>
      <c r="Z176" s="974"/>
      <c r="AA176" s="974"/>
      <c r="AB176" s="974"/>
      <c r="AC176" s="974"/>
      <c r="AD176" s="974"/>
      <c r="AE176" s="974"/>
    </row>
    <row r="177">
      <c r="A177" s="1526"/>
      <c r="B177" s="1526"/>
      <c r="C177" s="1526"/>
      <c r="D177" s="1526"/>
      <c r="E177" s="1526"/>
      <c r="F177" s="1526"/>
      <c r="G177" s="1526"/>
      <c r="H177" s="1526"/>
      <c r="I177" s="1526"/>
      <c r="J177" s="1526"/>
      <c r="K177" s="1526"/>
      <c r="L177" s="1526"/>
      <c r="M177" s="1526"/>
      <c r="N177" s="1526"/>
      <c r="O177" s="1526"/>
      <c r="P177" s="1526"/>
      <c r="Q177" s="1526"/>
      <c r="R177" s="1526"/>
      <c r="S177" s="1526"/>
      <c r="T177" s="1526"/>
      <c r="U177" s="1526"/>
      <c r="V177" s="1526"/>
      <c r="W177" s="1526"/>
      <c r="X177" s="1526"/>
      <c r="Y177" s="1526"/>
      <c r="Z177" s="974"/>
      <c r="AA177" s="974"/>
      <c r="AB177" s="974"/>
      <c r="AC177" s="974"/>
      <c r="AD177" s="974"/>
      <c r="AE177" s="974"/>
    </row>
    <row r="178">
      <c r="A178" s="1526"/>
      <c r="B178" s="1526"/>
      <c r="C178" s="1526"/>
      <c r="D178" s="1526"/>
      <c r="E178" s="1526"/>
      <c r="F178" s="1526"/>
      <c r="G178" s="1526"/>
      <c r="H178" s="1526"/>
      <c r="I178" s="1526"/>
      <c r="J178" s="1526"/>
      <c r="K178" s="1526"/>
      <c r="L178" s="1526"/>
      <c r="M178" s="1526"/>
      <c r="N178" s="1526"/>
      <c r="O178" s="1526"/>
      <c r="P178" s="1526"/>
      <c r="Q178" s="1526"/>
      <c r="R178" s="1526"/>
      <c r="S178" s="1526"/>
      <c r="T178" s="1526"/>
      <c r="U178" s="1526"/>
      <c r="V178" s="1526"/>
      <c r="W178" s="1526"/>
      <c r="X178" s="1526"/>
      <c r="Y178" s="1526"/>
      <c r="Z178" s="974"/>
      <c r="AA178" s="974"/>
      <c r="AB178" s="974"/>
      <c r="AC178" s="974"/>
      <c r="AD178" s="974"/>
      <c r="AE178" s="974"/>
    </row>
    <row r="179">
      <c r="A179" s="1526"/>
      <c r="B179" s="1526"/>
      <c r="C179" s="1526"/>
      <c r="D179" s="1526"/>
      <c r="E179" s="1526"/>
      <c r="F179" s="1526"/>
      <c r="G179" s="1526"/>
      <c r="H179" s="1526"/>
      <c r="I179" s="1526"/>
      <c r="J179" s="1526"/>
      <c r="K179" s="1526"/>
      <c r="L179" s="1526"/>
      <c r="M179" s="1526"/>
      <c r="N179" s="1526"/>
      <c r="O179" s="1526"/>
      <c r="P179" s="1526"/>
      <c r="Q179" s="1526"/>
      <c r="R179" s="1526"/>
      <c r="S179" s="1526"/>
      <c r="T179" s="1526"/>
      <c r="U179" s="1526"/>
      <c r="V179" s="1526"/>
      <c r="W179" s="1526"/>
      <c r="X179" s="1526"/>
      <c r="Y179" s="1526"/>
      <c r="Z179" s="974"/>
      <c r="AA179" s="974"/>
      <c r="AB179" s="974"/>
      <c r="AC179" s="974"/>
      <c r="AD179" s="974"/>
      <c r="AE179" s="974"/>
    </row>
    <row r="180">
      <c r="A180" s="1526"/>
      <c r="B180" s="1526"/>
      <c r="C180" s="1526"/>
      <c r="D180" s="1526"/>
      <c r="E180" s="1526"/>
      <c r="F180" s="1526"/>
      <c r="G180" s="1526"/>
      <c r="H180" s="1526"/>
      <c r="I180" s="1526"/>
      <c r="J180" s="1526"/>
      <c r="K180" s="1526"/>
      <c r="L180" s="1526"/>
      <c r="M180" s="1526"/>
      <c r="N180" s="1526"/>
      <c r="O180" s="1526"/>
      <c r="P180" s="1526"/>
      <c r="Q180" s="1526"/>
      <c r="R180" s="1526"/>
      <c r="S180" s="1526"/>
      <c r="T180" s="1526"/>
      <c r="U180" s="1526"/>
      <c r="V180" s="1526"/>
      <c r="W180" s="1526"/>
      <c r="X180" s="1526"/>
      <c r="Y180" s="1526"/>
      <c r="Z180" s="974"/>
      <c r="AA180" s="974"/>
      <c r="AB180" s="974"/>
      <c r="AC180" s="974"/>
      <c r="AD180" s="974"/>
      <c r="AE180" s="974"/>
    </row>
    <row r="181">
      <c r="A181" s="1526"/>
      <c r="B181" s="1526"/>
      <c r="C181" s="1526"/>
      <c r="D181" s="1526"/>
      <c r="E181" s="1526"/>
      <c r="F181" s="1526"/>
      <c r="G181" s="1526"/>
      <c r="H181" s="1526"/>
      <c r="I181" s="1526"/>
      <c r="J181" s="1526"/>
      <c r="K181" s="1526"/>
      <c r="L181" s="1526"/>
      <c r="M181" s="1526"/>
      <c r="N181" s="1526"/>
      <c r="O181" s="1526"/>
      <c r="P181" s="1526"/>
      <c r="Q181" s="1526"/>
      <c r="R181" s="1526"/>
      <c r="S181" s="1526"/>
      <c r="T181" s="1526"/>
      <c r="U181" s="1526"/>
      <c r="V181" s="1526"/>
      <c r="W181" s="1526"/>
      <c r="X181" s="1526"/>
      <c r="Y181" s="1526"/>
      <c r="Z181" s="974"/>
      <c r="AA181" s="974"/>
      <c r="AB181" s="974"/>
      <c r="AC181" s="974"/>
      <c r="AD181" s="974"/>
      <c r="AE181" s="974"/>
    </row>
    <row r="182">
      <c r="A182" s="1526"/>
      <c r="B182" s="1526"/>
      <c r="C182" s="1526"/>
      <c r="D182" s="1526"/>
      <c r="E182" s="1526"/>
      <c r="F182" s="1526"/>
      <c r="G182" s="1526"/>
      <c r="H182" s="1526"/>
      <c r="I182" s="1526"/>
      <c r="J182" s="1526"/>
      <c r="K182" s="1526"/>
      <c r="L182" s="1526"/>
      <c r="M182" s="1526"/>
      <c r="N182" s="1526"/>
      <c r="O182" s="1526"/>
      <c r="P182" s="1526"/>
      <c r="Q182" s="1526"/>
      <c r="R182" s="1526"/>
      <c r="S182" s="1526"/>
      <c r="T182" s="1526"/>
      <c r="U182" s="1526"/>
      <c r="V182" s="1526"/>
      <c r="W182" s="1526"/>
      <c r="X182" s="1526"/>
      <c r="Y182" s="1526"/>
      <c r="Z182" s="974"/>
      <c r="AA182" s="974"/>
      <c r="AB182" s="974"/>
      <c r="AC182" s="974"/>
      <c r="AD182" s="974"/>
      <c r="AE182" s="974"/>
    </row>
    <row r="183">
      <c r="A183" s="1526"/>
      <c r="B183" s="1526"/>
      <c r="C183" s="1526"/>
      <c r="D183" s="1526"/>
      <c r="E183" s="1526"/>
      <c r="F183" s="1526"/>
      <c r="G183" s="1526"/>
      <c r="H183" s="1526"/>
      <c r="I183" s="1526"/>
      <c r="J183" s="1526"/>
      <c r="K183" s="1526"/>
      <c r="L183" s="1526"/>
      <c r="M183" s="1526"/>
      <c r="N183" s="1526"/>
      <c r="O183" s="1526"/>
      <c r="P183" s="1526"/>
      <c r="Q183" s="1526"/>
      <c r="R183" s="1526"/>
      <c r="S183" s="1526"/>
      <c r="T183" s="1526"/>
      <c r="U183" s="1526"/>
      <c r="V183" s="1526"/>
      <c r="W183" s="1526"/>
      <c r="X183" s="1526"/>
      <c r="Y183" s="1526"/>
      <c r="Z183" s="974"/>
      <c r="AA183" s="974"/>
      <c r="AB183" s="974"/>
      <c r="AC183" s="974"/>
      <c r="AD183" s="974"/>
      <c r="AE183" s="974"/>
    </row>
    <row r="184">
      <c r="A184" s="1526"/>
      <c r="B184" s="1526"/>
      <c r="C184" s="1526"/>
      <c r="D184" s="1526"/>
      <c r="E184" s="1526"/>
      <c r="F184" s="1526"/>
      <c r="G184" s="1526"/>
      <c r="H184" s="1526"/>
      <c r="I184" s="1526"/>
      <c r="J184" s="1526"/>
      <c r="K184" s="1526"/>
      <c r="L184" s="1526"/>
      <c r="M184" s="1526"/>
      <c r="N184" s="1526"/>
      <c r="O184" s="1526"/>
      <c r="P184" s="1526"/>
      <c r="Q184" s="1526"/>
      <c r="R184" s="1526"/>
      <c r="S184" s="1526"/>
      <c r="T184" s="1526"/>
      <c r="U184" s="1526"/>
      <c r="V184" s="1526"/>
      <c r="W184" s="1526"/>
      <c r="X184" s="1526"/>
      <c r="Y184" s="1526"/>
      <c r="Z184" s="974"/>
      <c r="AA184" s="974"/>
      <c r="AB184" s="974"/>
      <c r="AC184" s="974"/>
      <c r="AD184" s="974"/>
      <c r="AE184" s="974"/>
    </row>
    <row r="185">
      <c r="A185" s="1526"/>
      <c r="B185" s="1526"/>
      <c r="C185" s="1526"/>
      <c r="D185" s="1526"/>
      <c r="E185" s="1526"/>
      <c r="F185" s="1526"/>
      <c r="G185" s="1526"/>
      <c r="H185" s="1526"/>
      <c r="I185" s="1526"/>
      <c r="J185" s="1526"/>
      <c r="K185" s="1526"/>
      <c r="L185" s="1526"/>
      <c r="M185" s="1526"/>
      <c r="N185" s="1526"/>
      <c r="O185" s="1526"/>
      <c r="P185" s="1526"/>
      <c r="Q185" s="1526"/>
      <c r="R185" s="1526"/>
      <c r="S185" s="1526"/>
      <c r="T185" s="1526"/>
      <c r="U185" s="1526"/>
      <c r="V185" s="1526"/>
      <c r="W185" s="1526"/>
      <c r="X185" s="1526"/>
      <c r="Y185" s="1526"/>
      <c r="Z185" s="974"/>
      <c r="AA185" s="974"/>
      <c r="AB185" s="974"/>
      <c r="AC185" s="974"/>
      <c r="AD185" s="974"/>
      <c r="AE185" s="974"/>
    </row>
    <row r="186">
      <c r="A186" s="1526"/>
      <c r="B186" s="1526"/>
      <c r="C186" s="1526"/>
      <c r="D186" s="1526"/>
      <c r="E186" s="1526"/>
      <c r="F186" s="1526"/>
      <c r="G186" s="1526"/>
      <c r="H186" s="1526"/>
      <c r="I186" s="1526"/>
      <c r="J186" s="1526"/>
      <c r="K186" s="1526"/>
      <c r="L186" s="1526"/>
      <c r="M186" s="1526"/>
      <c r="N186" s="1526"/>
      <c r="O186" s="1526"/>
      <c r="P186" s="1526"/>
      <c r="Q186" s="1526"/>
      <c r="R186" s="1526"/>
      <c r="S186" s="1526"/>
      <c r="T186" s="1526"/>
      <c r="U186" s="1526"/>
      <c r="V186" s="1526"/>
      <c r="W186" s="1526"/>
      <c r="X186" s="1526"/>
      <c r="Y186" s="1526"/>
      <c r="Z186" s="974"/>
      <c r="AA186" s="974"/>
      <c r="AB186" s="974"/>
      <c r="AC186" s="974"/>
      <c r="AD186" s="974"/>
      <c r="AE186" s="974"/>
    </row>
    <row r="187">
      <c r="A187" s="1526"/>
      <c r="B187" s="1526"/>
      <c r="C187" s="1526"/>
      <c r="D187" s="1526"/>
      <c r="E187" s="1526"/>
      <c r="F187" s="1526"/>
      <c r="G187" s="1526"/>
      <c r="H187" s="1526"/>
      <c r="I187" s="1526"/>
      <c r="J187" s="1526"/>
      <c r="K187" s="1526"/>
      <c r="L187" s="1526"/>
      <c r="M187" s="1526"/>
      <c r="N187" s="1526"/>
      <c r="O187" s="1526"/>
      <c r="P187" s="1526"/>
      <c r="Q187" s="1526"/>
      <c r="R187" s="1526"/>
      <c r="S187" s="1526"/>
      <c r="T187" s="1526"/>
      <c r="U187" s="1526"/>
      <c r="V187" s="1526"/>
      <c r="W187" s="1526"/>
      <c r="X187" s="1526"/>
      <c r="Y187" s="1526"/>
      <c r="Z187" s="974"/>
      <c r="AA187" s="974"/>
      <c r="AB187" s="974"/>
      <c r="AC187" s="974"/>
      <c r="AD187" s="974"/>
      <c r="AE187" s="974"/>
    </row>
    <row r="188">
      <c r="A188" s="1526"/>
      <c r="B188" s="1526"/>
      <c r="C188" s="1526"/>
      <c r="D188" s="1526"/>
      <c r="E188" s="1526"/>
      <c r="F188" s="1526"/>
      <c r="G188" s="1526"/>
      <c r="H188" s="1526"/>
      <c r="I188" s="1526"/>
      <c r="J188" s="1526"/>
      <c r="K188" s="1526"/>
      <c r="L188" s="1526"/>
      <c r="M188" s="1526"/>
      <c r="N188" s="1526"/>
      <c r="O188" s="1526"/>
      <c r="P188" s="1526"/>
      <c r="Q188" s="1526"/>
      <c r="R188" s="1526"/>
      <c r="S188" s="1526"/>
      <c r="T188" s="1526"/>
      <c r="U188" s="1526"/>
      <c r="V188" s="1526"/>
      <c r="W188" s="1526"/>
      <c r="X188" s="1526"/>
      <c r="Y188" s="1526"/>
      <c r="Z188" s="974"/>
      <c r="AA188" s="974"/>
      <c r="AB188" s="974"/>
      <c r="AC188" s="974"/>
      <c r="AD188" s="974"/>
      <c r="AE188" s="974"/>
    </row>
    <row r="189">
      <c r="A189" s="1526"/>
      <c r="B189" s="1526"/>
      <c r="C189" s="1526"/>
      <c r="D189" s="1526"/>
      <c r="E189" s="1526"/>
      <c r="F189" s="1526"/>
      <c r="G189" s="1526"/>
      <c r="H189" s="1526"/>
      <c r="I189" s="1526"/>
      <c r="J189" s="1526"/>
      <c r="K189" s="1526"/>
      <c r="L189" s="1526"/>
      <c r="M189" s="1526"/>
      <c r="N189" s="1526"/>
      <c r="O189" s="1526"/>
      <c r="P189" s="1526"/>
      <c r="Q189" s="1526"/>
      <c r="R189" s="1526"/>
      <c r="S189" s="1526"/>
      <c r="T189" s="1526"/>
      <c r="U189" s="1526"/>
      <c r="V189" s="1526"/>
      <c r="W189" s="1526"/>
      <c r="X189" s="1526"/>
      <c r="Y189" s="1526"/>
      <c r="Z189" s="974"/>
      <c r="AA189" s="974"/>
      <c r="AB189" s="974"/>
      <c r="AC189" s="974"/>
      <c r="AD189" s="974"/>
      <c r="AE189" s="974"/>
    </row>
    <row r="190">
      <c r="A190" s="1526"/>
      <c r="B190" s="1526"/>
      <c r="C190" s="1526"/>
      <c r="D190" s="1526"/>
      <c r="E190" s="1526"/>
      <c r="F190" s="1526"/>
      <c r="G190" s="1526"/>
      <c r="H190" s="1526"/>
      <c r="I190" s="1526"/>
      <c r="J190" s="1526"/>
      <c r="K190" s="1526"/>
      <c r="L190" s="1526"/>
      <c r="M190" s="1526"/>
      <c r="N190" s="1526"/>
      <c r="O190" s="1526"/>
      <c r="P190" s="1526"/>
      <c r="Q190" s="1526"/>
      <c r="R190" s="1526"/>
      <c r="S190" s="1526"/>
      <c r="T190" s="1526"/>
      <c r="U190" s="1526"/>
      <c r="V190" s="1526"/>
      <c r="W190" s="1526"/>
      <c r="X190" s="1526"/>
      <c r="Y190" s="1526"/>
      <c r="Z190" s="974"/>
      <c r="AA190" s="974"/>
      <c r="AB190" s="974"/>
      <c r="AC190" s="974"/>
      <c r="AD190" s="974"/>
      <c r="AE190" s="974"/>
    </row>
    <row r="191">
      <c r="A191" s="1526"/>
      <c r="B191" s="1526"/>
      <c r="C191" s="1526"/>
      <c r="D191" s="1526"/>
      <c r="E191" s="1526"/>
      <c r="F191" s="1526"/>
      <c r="G191" s="1526"/>
      <c r="H191" s="1526"/>
      <c r="I191" s="1526"/>
      <c r="J191" s="1526"/>
      <c r="K191" s="1526"/>
      <c r="L191" s="1526"/>
      <c r="M191" s="1526"/>
      <c r="N191" s="1526"/>
      <c r="O191" s="1526"/>
      <c r="P191" s="1526"/>
      <c r="Q191" s="1526"/>
      <c r="R191" s="1526"/>
      <c r="S191" s="1526"/>
      <c r="T191" s="1526"/>
      <c r="U191" s="1526"/>
      <c r="V191" s="1526"/>
      <c r="W191" s="1526"/>
      <c r="X191" s="1526"/>
      <c r="Y191" s="1526"/>
      <c r="Z191" s="974"/>
      <c r="AA191" s="974"/>
      <c r="AB191" s="974"/>
      <c r="AC191" s="974"/>
      <c r="AD191" s="974"/>
      <c r="AE191" s="974"/>
    </row>
    <row r="192">
      <c r="A192" s="1526"/>
      <c r="B192" s="1526"/>
      <c r="C192" s="1526"/>
      <c r="D192" s="1526"/>
      <c r="E192" s="1526"/>
      <c r="F192" s="1526"/>
      <c r="G192" s="1526"/>
      <c r="H192" s="1526"/>
      <c r="I192" s="1526"/>
      <c r="J192" s="1526"/>
      <c r="K192" s="1526"/>
      <c r="L192" s="1526"/>
      <c r="M192" s="1526"/>
      <c r="N192" s="1526"/>
      <c r="O192" s="1526"/>
      <c r="P192" s="1526"/>
      <c r="Q192" s="1526"/>
      <c r="R192" s="1526"/>
      <c r="S192" s="1526"/>
      <c r="T192" s="1526"/>
      <c r="U192" s="1526"/>
      <c r="V192" s="1526"/>
      <c r="W192" s="1526"/>
      <c r="X192" s="1526"/>
      <c r="Y192" s="1526"/>
      <c r="Z192" s="974"/>
      <c r="AA192" s="974"/>
      <c r="AB192" s="974"/>
      <c r="AC192" s="974"/>
      <c r="AD192" s="974"/>
      <c r="AE192" s="974"/>
    </row>
    <row r="193">
      <c r="A193" s="1526"/>
      <c r="B193" s="1526"/>
      <c r="C193" s="1526"/>
      <c r="D193" s="1526"/>
      <c r="E193" s="1526"/>
      <c r="F193" s="1526"/>
      <c r="G193" s="1526"/>
      <c r="H193" s="1526"/>
      <c r="I193" s="1526"/>
      <c r="J193" s="1526"/>
      <c r="K193" s="1526"/>
      <c r="L193" s="1526"/>
      <c r="M193" s="1526"/>
      <c r="N193" s="1526"/>
      <c r="O193" s="1526"/>
      <c r="P193" s="1526"/>
      <c r="Q193" s="1526"/>
      <c r="R193" s="1526"/>
      <c r="S193" s="1526"/>
      <c r="T193" s="1526"/>
      <c r="U193" s="1526"/>
      <c r="V193" s="1526"/>
      <c r="W193" s="1526"/>
      <c r="X193" s="1526"/>
      <c r="Y193" s="1526"/>
      <c r="Z193" s="974"/>
      <c r="AA193" s="974"/>
      <c r="AB193" s="974"/>
      <c r="AC193" s="974"/>
      <c r="AD193" s="974"/>
      <c r="AE193" s="974"/>
    </row>
    <row r="194">
      <c r="A194" s="1526"/>
      <c r="B194" s="1526"/>
      <c r="C194" s="1526"/>
      <c r="D194" s="1526"/>
      <c r="E194" s="1526"/>
      <c r="F194" s="1526"/>
      <c r="G194" s="1526"/>
      <c r="H194" s="1526"/>
      <c r="I194" s="1526"/>
      <c r="J194" s="1526"/>
      <c r="K194" s="1526"/>
      <c r="L194" s="1526"/>
      <c r="M194" s="1526"/>
      <c r="N194" s="1526"/>
      <c r="O194" s="1526"/>
      <c r="P194" s="1526"/>
      <c r="Q194" s="1526"/>
      <c r="R194" s="1526"/>
      <c r="S194" s="1526"/>
      <c r="T194" s="1526"/>
      <c r="U194" s="1526"/>
      <c r="V194" s="1526"/>
      <c r="W194" s="1526"/>
      <c r="X194" s="1526"/>
      <c r="Y194" s="1526"/>
      <c r="Z194" s="974"/>
      <c r="AA194" s="974"/>
      <c r="AB194" s="974"/>
      <c r="AC194" s="974"/>
      <c r="AD194" s="974"/>
      <c r="AE194" s="974"/>
    </row>
    <row r="195">
      <c r="A195" s="1526"/>
      <c r="B195" s="1526"/>
      <c r="C195" s="1526"/>
      <c r="D195" s="1526"/>
      <c r="E195" s="1526"/>
      <c r="F195" s="1526"/>
      <c r="G195" s="1526"/>
      <c r="H195" s="1526"/>
      <c r="I195" s="1526"/>
      <c r="J195" s="1526"/>
      <c r="K195" s="1526"/>
      <c r="L195" s="1526"/>
      <c r="M195" s="1526"/>
      <c r="N195" s="1526"/>
      <c r="O195" s="1526"/>
      <c r="P195" s="1526"/>
      <c r="Q195" s="1526"/>
      <c r="R195" s="1526"/>
      <c r="S195" s="1526"/>
      <c r="T195" s="1526"/>
      <c r="U195" s="1526"/>
      <c r="V195" s="1526"/>
      <c r="W195" s="1526"/>
      <c r="X195" s="1526"/>
      <c r="Y195" s="1526"/>
      <c r="Z195" s="974"/>
      <c r="AA195" s="974"/>
      <c r="AB195" s="974"/>
      <c r="AC195" s="974"/>
      <c r="AD195" s="974"/>
      <c r="AE195" s="974"/>
    </row>
    <row r="196">
      <c r="A196" s="1526"/>
      <c r="B196" s="1526"/>
      <c r="C196" s="1526"/>
      <c r="D196" s="1526"/>
      <c r="E196" s="1526"/>
      <c r="F196" s="1526"/>
      <c r="G196" s="1526"/>
      <c r="H196" s="1526"/>
      <c r="I196" s="1526"/>
      <c r="J196" s="1526"/>
      <c r="K196" s="1526"/>
      <c r="L196" s="1526"/>
      <c r="M196" s="1526"/>
      <c r="N196" s="1526"/>
      <c r="O196" s="1526"/>
      <c r="P196" s="1526"/>
      <c r="Q196" s="1526"/>
      <c r="R196" s="1526"/>
      <c r="S196" s="1526"/>
      <c r="T196" s="1526"/>
      <c r="U196" s="1526"/>
      <c r="V196" s="1526"/>
      <c r="W196" s="1526"/>
      <c r="X196" s="1526"/>
      <c r="Y196" s="1526"/>
      <c r="Z196" s="974"/>
      <c r="AA196" s="974"/>
      <c r="AB196" s="974"/>
      <c r="AC196" s="974"/>
      <c r="AD196" s="974"/>
      <c r="AE196" s="974"/>
    </row>
    <row r="197">
      <c r="A197" s="1526"/>
      <c r="B197" s="1526"/>
      <c r="C197" s="1526"/>
      <c r="D197" s="1526"/>
      <c r="E197" s="1526"/>
      <c r="F197" s="1526"/>
      <c r="G197" s="1526"/>
      <c r="H197" s="1526"/>
      <c r="I197" s="1526"/>
      <c r="J197" s="1526"/>
      <c r="K197" s="1526"/>
      <c r="L197" s="1526"/>
      <c r="M197" s="1526"/>
      <c r="N197" s="1526"/>
      <c r="O197" s="1526"/>
      <c r="P197" s="1526"/>
      <c r="Q197" s="1526"/>
      <c r="R197" s="1526"/>
      <c r="S197" s="1526"/>
      <c r="T197" s="1526"/>
      <c r="U197" s="1526"/>
      <c r="V197" s="1526"/>
      <c r="W197" s="1526"/>
      <c r="X197" s="1526"/>
      <c r="Y197" s="1526"/>
      <c r="Z197" s="974"/>
      <c r="AA197" s="974"/>
      <c r="AB197" s="974"/>
      <c r="AC197" s="974"/>
      <c r="AD197" s="974"/>
      <c r="AE197" s="974"/>
    </row>
    <row r="198">
      <c r="A198" s="1526"/>
      <c r="B198" s="1526"/>
      <c r="C198" s="1526"/>
      <c r="D198" s="1526"/>
      <c r="E198" s="1526"/>
      <c r="F198" s="1526"/>
      <c r="G198" s="1526"/>
      <c r="H198" s="1526"/>
      <c r="I198" s="1526"/>
      <c r="J198" s="1526"/>
      <c r="K198" s="1526"/>
      <c r="L198" s="1526"/>
      <c r="M198" s="1526"/>
      <c r="N198" s="1526"/>
      <c r="O198" s="1526"/>
      <c r="P198" s="1526"/>
      <c r="Q198" s="1526"/>
      <c r="R198" s="1526"/>
      <c r="S198" s="1526"/>
      <c r="T198" s="1526"/>
      <c r="U198" s="1526"/>
      <c r="V198" s="1526"/>
      <c r="W198" s="1526"/>
      <c r="X198" s="1526"/>
      <c r="Y198" s="1526"/>
      <c r="Z198" s="974"/>
      <c r="AA198" s="974"/>
      <c r="AB198" s="974"/>
      <c r="AC198" s="974"/>
      <c r="AD198" s="974"/>
      <c r="AE198" s="974"/>
    </row>
    <row r="199">
      <c r="A199" s="1526"/>
      <c r="B199" s="1526"/>
      <c r="C199" s="1526"/>
      <c r="D199" s="1526"/>
      <c r="E199" s="1526"/>
      <c r="F199" s="1526"/>
      <c r="G199" s="1526"/>
      <c r="H199" s="1526"/>
      <c r="I199" s="1526"/>
      <c r="J199" s="1526"/>
      <c r="K199" s="1526"/>
      <c r="L199" s="1526"/>
      <c r="M199" s="1526"/>
      <c r="N199" s="1526"/>
      <c r="O199" s="1526"/>
      <c r="P199" s="1526"/>
      <c r="Q199" s="1526"/>
      <c r="R199" s="1526"/>
      <c r="S199" s="1526"/>
      <c r="T199" s="1526"/>
      <c r="U199" s="1526"/>
      <c r="V199" s="1526"/>
      <c r="W199" s="1526"/>
      <c r="X199" s="1526"/>
      <c r="Y199" s="1526"/>
      <c r="Z199" s="974"/>
      <c r="AA199" s="974"/>
      <c r="AB199" s="974"/>
      <c r="AC199" s="974"/>
      <c r="AD199" s="974"/>
      <c r="AE199" s="974"/>
    </row>
    <row r="200">
      <c r="A200" s="1526"/>
      <c r="B200" s="1526"/>
      <c r="C200" s="1526"/>
      <c r="D200" s="1526"/>
      <c r="E200" s="1526"/>
      <c r="F200" s="1526"/>
      <c r="G200" s="1526"/>
      <c r="H200" s="1526"/>
      <c r="I200" s="1526"/>
      <c r="J200" s="1526"/>
      <c r="K200" s="1526"/>
      <c r="L200" s="1526"/>
      <c r="M200" s="1526"/>
      <c r="N200" s="1526"/>
      <c r="O200" s="1526"/>
      <c r="P200" s="1526"/>
      <c r="Q200" s="1526"/>
      <c r="R200" s="1526"/>
      <c r="S200" s="1526"/>
      <c r="T200" s="1526"/>
      <c r="U200" s="1526"/>
      <c r="V200" s="1526"/>
      <c r="W200" s="1526"/>
      <c r="X200" s="1526"/>
      <c r="Y200" s="1526"/>
      <c r="Z200" s="974"/>
      <c r="AA200" s="974"/>
      <c r="AB200" s="974"/>
      <c r="AC200" s="974"/>
      <c r="AD200" s="974"/>
      <c r="AE200" s="974"/>
    </row>
    <row r="201">
      <c r="A201" s="1526"/>
      <c r="B201" s="1526"/>
      <c r="C201" s="1526"/>
      <c r="D201" s="1526"/>
      <c r="E201" s="1526"/>
      <c r="F201" s="1526"/>
      <c r="G201" s="1526"/>
      <c r="H201" s="1526"/>
      <c r="I201" s="1526"/>
      <c r="J201" s="1526"/>
      <c r="K201" s="1526"/>
      <c r="L201" s="1526"/>
      <c r="M201" s="1526"/>
      <c r="N201" s="1526"/>
      <c r="O201" s="1526"/>
      <c r="P201" s="1526"/>
      <c r="Q201" s="1526"/>
      <c r="R201" s="1526"/>
      <c r="S201" s="1526"/>
      <c r="T201" s="1526"/>
      <c r="U201" s="1526"/>
      <c r="V201" s="1526"/>
      <c r="W201" s="1526"/>
      <c r="X201" s="1526"/>
      <c r="Y201" s="1526"/>
      <c r="Z201" s="974"/>
      <c r="AA201" s="974"/>
      <c r="AB201" s="974"/>
      <c r="AC201" s="974"/>
      <c r="AD201" s="974"/>
      <c r="AE201" s="974"/>
    </row>
    <row r="202">
      <c r="A202" s="1526"/>
      <c r="B202" s="1526"/>
      <c r="C202" s="1526"/>
      <c r="D202" s="1526"/>
      <c r="E202" s="1526"/>
      <c r="F202" s="1526"/>
      <c r="G202" s="1526"/>
      <c r="H202" s="1526"/>
      <c r="I202" s="1526"/>
      <c r="J202" s="1526"/>
      <c r="K202" s="1526"/>
      <c r="L202" s="1526"/>
      <c r="M202" s="1526"/>
      <c r="N202" s="1526"/>
      <c r="O202" s="1526"/>
      <c r="P202" s="1526"/>
      <c r="Q202" s="1526"/>
      <c r="R202" s="1526"/>
      <c r="S202" s="1526"/>
      <c r="T202" s="1526"/>
      <c r="U202" s="1526"/>
      <c r="V202" s="1526"/>
      <c r="W202" s="1526"/>
      <c r="X202" s="1526"/>
      <c r="Y202" s="1526"/>
      <c r="Z202" s="974"/>
      <c r="AA202" s="974"/>
      <c r="AB202" s="974"/>
      <c r="AC202" s="974"/>
      <c r="AD202" s="974"/>
      <c r="AE202" s="974"/>
    </row>
    <row r="203">
      <c r="A203" s="1526"/>
      <c r="B203" s="1526"/>
      <c r="C203" s="1526"/>
      <c r="D203" s="1526"/>
      <c r="E203" s="1526"/>
      <c r="F203" s="1526"/>
      <c r="G203" s="1526"/>
      <c r="H203" s="1526"/>
      <c r="I203" s="1526"/>
      <c r="J203" s="1526"/>
      <c r="K203" s="1526"/>
      <c r="L203" s="1526"/>
      <c r="M203" s="1526"/>
      <c r="N203" s="1526"/>
      <c r="O203" s="1526"/>
      <c r="P203" s="1526"/>
      <c r="Q203" s="1526"/>
      <c r="R203" s="1526"/>
      <c r="S203" s="1526"/>
      <c r="T203" s="1526"/>
      <c r="U203" s="1526"/>
      <c r="V203" s="1526"/>
      <c r="W203" s="1526"/>
      <c r="X203" s="1526"/>
      <c r="Y203" s="1526"/>
      <c r="Z203" s="974"/>
      <c r="AA203" s="974"/>
      <c r="AB203" s="974"/>
      <c r="AC203" s="974"/>
      <c r="AD203" s="974"/>
      <c r="AE203" s="974"/>
    </row>
    <row r="204">
      <c r="A204" s="1526"/>
      <c r="B204" s="1526"/>
      <c r="C204" s="1526"/>
      <c r="D204" s="1526"/>
      <c r="E204" s="1526"/>
      <c r="F204" s="1526"/>
      <c r="G204" s="1526"/>
      <c r="H204" s="1526"/>
      <c r="I204" s="1526"/>
      <c r="J204" s="1526"/>
      <c r="K204" s="1526"/>
      <c r="L204" s="1526"/>
      <c r="M204" s="1526"/>
      <c r="N204" s="1526"/>
      <c r="O204" s="1526"/>
      <c r="P204" s="1526"/>
      <c r="Q204" s="1526"/>
      <c r="R204" s="1526"/>
      <c r="S204" s="1526"/>
      <c r="T204" s="1526"/>
      <c r="U204" s="1526"/>
      <c r="V204" s="1526"/>
      <c r="W204" s="1526"/>
      <c r="X204" s="1526"/>
      <c r="Y204" s="1526"/>
      <c r="Z204" s="974"/>
      <c r="AA204" s="974"/>
      <c r="AB204" s="974"/>
      <c r="AC204" s="974"/>
      <c r="AD204" s="974"/>
      <c r="AE204" s="974"/>
    </row>
    <row r="205">
      <c r="A205" s="1526"/>
      <c r="B205" s="1526"/>
      <c r="C205" s="1526"/>
      <c r="D205" s="1526"/>
      <c r="E205" s="1526"/>
      <c r="F205" s="1526"/>
      <c r="G205" s="1526"/>
      <c r="H205" s="1526"/>
      <c r="I205" s="1526"/>
      <c r="J205" s="1526"/>
      <c r="K205" s="1526"/>
      <c r="L205" s="1526"/>
      <c r="M205" s="1526"/>
      <c r="N205" s="1526"/>
      <c r="O205" s="1526"/>
      <c r="P205" s="1526"/>
      <c r="Q205" s="1526"/>
      <c r="R205" s="1526"/>
      <c r="S205" s="1526"/>
      <c r="T205" s="1526"/>
      <c r="U205" s="1526"/>
      <c r="V205" s="1526"/>
      <c r="W205" s="1526"/>
      <c r="X205" s="1526"/>
      <c r="Y205" s="1526"/>
      <c r="Z205" s="974"/>
      <c r="AA205" s="974"/>
      <c r="AB205" s="974"/>
      <c r="AC205" s="974"/>
      <c r="AD205" s="974"/>
      <c r="AE205" s="974"/>
    </row>
    <row r="206">
      <c r="A206" s="1526"/>
      <c r="B206" s="1526"/>
      <c r="C206" s="1526"/>
      <c r="D206" s="1526"/>
      <c r="E206" s="1526"/>
      <c r="F206" s="1526"/>
      <c r="G206" s="1526"/>
      <c r="H206" s="1526"/>
      <c r="I206" s="1526"/>
      <c r="J206" s="1526"/>
      <c r="K206" s="1526"/>
      <c r="L206" s="1526"/>
      <c r="M206" s="1526"/>
      <c r="N206" s="1526"/>
      <c r="O206" s="1526"/>
      <c r="P206" s="1526"/>
      <c r="Q206" s="1526"/>
      <c r="R206" s="1526"/>
      <c r="S206" s="1526"/>
      <c r="T206" s="1526"/>
      <c r="U206" s="1526"/>
      <c r="V206" s="1526"/>
      <c r="W206" s="1526"/>
      <c r="X206" s="1526"/>
      <c r="Y206" s="1526"/>
      <c r="Z206" s="974"/>
      <c r="AA206" s="974"/>
      <c r="AB206" s="974"/>
      <c r="AC206" s="974"/>
      <c r="AD206" s="974"/>
      <c r="AE206" s="974"/>
    </row>
    <row r="207">
      <c r="A207" s="1526"/>
      <c r="B207" s="1526"/>
      <c r="C207" s="1526"/>
      <c r="D207" s="1526"/>
      <c r="E207" s="1526"/>
      <c r="F207" s="1526"/>
      <c r="G207" s="1526"/>
      <c r="H207" s="1526"/>
      <c r="I207" s="1526"/>
      <c r="J207" s="1526"/>
      <c r="K207" s="1526"/>
      <c r="L207" s="1526"/>
      <c r="M207" s="1526"/>
      <c r="N207" s="1526"/>
      <c r="O207" s="1526"/>
      <c r="P207" s="1526"/>
      <c r="Q207" s="1526"/>
      <c r="R207" s="1526"/>
      <c r="S207" s="1526"/>
      <c r="T207" s="1526"/>
      <c r="U207" s="1526"/>
      <c r="V207" s="1526"/>
      <c r="W207" s="1526"/>
      <c r="X207" s="1526"/>
      <c r="Y207" s="1526"/>
      <c r="Z207" s="974"/>
      <c r="AA207" s="974"/>
      <c r="AB207" s="974"/>
      <c r="AC207" s="974"/>
      <c r="AD207" s="974"/>
      <c r="AE207" s="974"/>
    </row>
    <row r="208">
      <c r="A208" s="1526"/>
      <c r="B208" s="1526"/>
      <c r="C208" s="1526"/>
      <c r="D208" s="1526"/>
      <c r="E208" s="1526"/>
      <c r="F208" s="1526"/>
      <c r="G208" s="1526"/>
      <c r="H208" s="1526"/>
      <c r="I208" s="1526"/>
      <c r="J208" s="1526"/>
      <c r="K208" s="1526"/>
      <c r="L208" s="1526"/>
      <c r="M208" s="1526"/>
      <c r="N208" s="1526"/>
      <c r="O208" s="1526"/>
      <c r="P208" s="1526"/>
      <c r="Q208" s="1526"/>
      <c r="R208" s="1526"/>
      <c r="S208" s="1526"/>
      <c r="T208" s="1526"/>
      <c r="U208" s="1526"/>
      <c r="V208" s="1526"/>
      <c r="W208" s="1526"/>
      <c r="X208" s="1526"/>
      <c r="Y208" s="1526"/>
      <c r="Z208" s="974"/>
      <c r="AA208" s="974"/>
      <c r="AB208" s="974"/>
      <c r="AC208" s="974"/>
      <c r="AD208" s="974"/>
      <c r="AE208" s="974"/>
    </row>
    <row r="209">
      <c r="A209" s="1526"/>
      <c r="B209" s="1526"/>
      <c r="C209" s="1526"/>
      <c r="D209" s="1526"/>
      <c r="E209" s="1526"/>
      <c r="F209" s="1526"/>
      <c r="G209" s="1526"/>
      <c r="H209" s="1526"/>
      <c r="I209" s="1526"/>
      <c r="J209" s="1526"/>
      <c r="K209" s="1526"/>
      <c r="L209" s="1526"/>
      <c r="M209" s="1526"/>
      <c r="N209" s="1526"/>
      <c r="O209" s="1526"/>
      <c r="P209" s="1526"/>
      <c r="Q209" s="1526"/>
      <c r="R209" s="1526"/>
      <c r="S209" s="1526"/>
      <c r="T209" s="1526"/>
      <c r="U209" s="1526"/>
      <c r="V209" s="1526"/>
      <c r="W209" s="1526"/>
      <c r="X209" s="1526"/>
      <c r="Y209" s="1526"/>
      <c r="Z209" s="974"/>
      <c r="AA209" s="974"/>
      <c r="AB209" s="974"/>
      <c r="AC209" s="974"/>
      <c r="AD209" s="974"/>
      <c r="AE209" s="974"/>
    </row>
    <row r="210">
      <c r="A210" s="1526"/>
      <c r="B210" s="1526"/>
      <c r="C210" s="1526"/>
      <c r="D210" s="1526"/>
      <c r="E210" s="1526"/>
      <c r="F210" s="1526"/>
      <c r="G210" s="1526"/>
      <c r="H210" s="1526"/>
      <c r="I210" s="1526"/>
      <c r="J210" s="1526"/>
      <c r="K210" s="1526"/>
      <c r="L210" s="1526"/>
      <c r="M210" s="1526"/>
      <c r="N210" s="1526"/>
      <c r="O210" s="1526"/>
      <c r="P210" s="1526"/>
      <c r="Q210" s="1526"/>
      <c r="R210" s="1526"/>
      <c r="S210" s="1526"/>
      <c r="T210" s="1526"/>
      <c r="U210" s="1526"/>
      <c r="V210" s="1526"/>
      <c r="W210" s="1526"/>
      <c r="X210" s="1526"/>
      <c r="Y210" s="1526"/>
      <c r="Z210" s="974"/>
      <c r="AA210" s="974"/>
      <c r="AB210" s="974"/>
      <c r="AC210" s="974"/>
      <c r="AD210" s="974"/>
      <c r="AE210" s="974"/>
    </row>
    <row r="211">
      <c r="A211" s="1526"/>
      <c r="B211" s="1526"/>
      <c r="C211" s="1526"/>
      <c r="D211" s="1526"/>
      <c r="E211" s="1526"/>
      <c r="F211" s="1526"/>
      <c r="G211" s="1526"/>
      <c r="H211" s="1526"/>
      <c r="I211" s="1526"/>
      <c r="J211" s="1526"/>
      <c r="K211" s="1526"/>
      <c r="L211" s="1526"/>
      <c r="M211" s="1526"/>
      <c r="N211" s="1526"/>
      <c r="O211" s="1526"/>
      <c r="P211" s="1526"/>
      <c r="Q211" s="1526"/>
      <c r="R211" s="1526"/>
      <c r="S211" s="1526"/>
      <c r="T211" s="1526"/>
      <c r="U211" s="1526"/>
      <c r="V211" s="1526"/>
      <c r="W211" s="1526"/>
      <c r="X211" s="1526"/>
      <c r="Y211" s="1526"/>
      <c r="Z211" s="974"/>
      <c r="AA211" s="974"/>
      <c r="AB211" s="974"/>
      <c r="AC211" s="974"/>
      <c r="AD211" s="974"/>
      <c r="AE211" s="974"/>
    </row>
    <row r="212">
      <c r="A212" s="1526"/>
      <c r="B212" s="1526"/>
      <c r="C212" s="1526"/>
      <c r="D212" s="1526"/>
      <c r="E212" s="1526"/>
      <c r="F212" s="1526"/>
      <c r="G212" s="1526"/>
      <c r="H212" s="1526"/>
      <c r="I212" s="1526"/>
      <c r="J212" s="1526"/>
      <c r="K212" s="1526"/>
      <c r="L212" s="1526"/>
      <c r="M212" s="1526"/>
      <c r="N212" s="1526"/>
      <c r="O212" s="1526"/>
      <c r="P212" s="1526"/>
      <c r="Q212" s="1526"/>
      <c r="R212" s="1526"/>
      <c r="S212" s="1526"/>
      <c r="T212" s="1526"/>
      <c r="U212" s="1526"/>
      <c r="V212" s="1526"/>
      <c r="W212" s="1526"/>
      <c r="X212" s="1526"/>
      <c r="Y212" s="1526"/>
      <c r="Z212" s="974"/>
      <c r="AA212" s="974"/>
      <c r="AB212" s="974"/>
      <c r="AC212" s="974"/>
      <c r="AD212" s="974"/>
      <c r="AE212" s="974"/>
    </row>
    <row r="213">
      <c r="A213" s="1526"/>
      <c r="B213" s="1526"/>
      <c r="C213" s="1526"/>
      <c r="D213" s="1526"/>
      <c r="E213" s="1526"/>
      <c r="F213" s="1526"/>
      <c r="G213" s="1526"/>
      <c r="H213" s="1526"/>
      <c r="I213" s="1526"/>
      <c r="J213" s="1526"/>
      <c r="K213" s="1526"/>
      <c r="L213" s="1526"/>
      <c r="M213" s="1526"/>
      <c r="N213" s="1526"/>
      <c r="O213" s="1526"/>
      <c r="P213" s="1526"/>
      <c r="Q213" s="1526"/>
      <c r="R213" s="1526"/>
      <c r="S213" s="1526"/>
      <c r="T213" s="1526"/>
      <c r="U213" s="1526"/>
      <c r="V213" s="1526"/>
      <c r="W213" s="1526"/>
      <c r="X213" s="1526"/>
      <c r="Y213" s="1526"/>
      <c r="Z213" s="974"/>
      <c r="AA213" s="974"/>
      <c r="AB213" s="974"/>
      <c r="AC213" s="974"/>
      <c r="AD213" s="974"/>
      <c r="AE213" s="974"/>
    </row>
    <row r="214">
      <c r="A214" s="1526"/>
      <c r="B214" s="1526"/>
      <c r="C214" s="1526"/>
      <c r="D214" s="1526"/>
      <c r="E214" s="1526"/>
      <c r="F214" s="1526"/>
      <c r="G214" s="1526"/>
      <c r="H214" s="1526"/>
      <c r="I214" s="1526"/>
      <c r="J214" s="1526"/>
      <c r="K214" s="1526"/>
      <c r="L214" s="1526"/>
      <c r="M214" s="1526"/>
      <c r="N214" s="1526"/>
      <c r="O214" s="1526"/>
      <c r="P214" s="1526"/>
      <c r="Q214" s="1526"/>
      <c r="R214" s="1526"/>
      <c r="S214" s="1526"/>
      <c r="T214" s="1526"/>
      <c r="U214" s="1526"/>
      <c r="V214" s="1526"/>
      <c r="W214" s="1526"/>
      <c r="X214" s="1526"/>
      <c r="Y214" s="1526"/>
      <c r="Z214" s="974"/>
      <c r="AA214" s="974"/>
      <c r="AB214" s="974"/>
      <c r="AC214" s="974"/>
      <c r="AD214" s="974"/>
      <c r="AE214" s="974"/>
    </row>
    <row r="215">
      <c r="A215" s="1526"/>
      <c r="B215" s="1526"/>
      <c r="C215" s="1526"/>
      <c r="D215" s="1526"/>
      <c r="E215" s="1526"/>
      <c r="F215" s="1526"/>
      <c r="G215" s="1526"/>
      <c r="H215" s="1526"/>
      <c r="I215" s="1526"/>
      <c r="J215" s="1526"/>
      <c r="K215" s="1526"/>
      <c r="L215" s="1526"/>
      <c r="M215" s="1526"/>
      <c r="N215" s="1526"/>
      <c r="O215" s="1526"/>
      <c r="P215" s="1526"/>
      <c r="Q215" s="1526"/>
      <c r="R215" s="1526"/>
      <c r="S215" s="1526"/>
      <c r="T215" s="1526"/>
      <c r="U215" s="1526"/>
      <c r="V215" s="1526"/>
      <c r="W215" s="1526"/>
      <c r="X215" s="1526"/>
      <c r="Y215" s="1526"/>
      <c r="Z215" s="974"/>
      <c r="AA215" s="974"/>
      <c r="AB215" s="974"/>
      <c r="AC215" s="974"/>
      <c r="AD215" s="974"/>
      <c r="AE215" s="974"/>
    </row>
    <row r="216">
      <c r="A216" s="1526"/>
      <c r="B216" s="1526"/>
      <c r="C216" s="1526"/>
      <c r="D216" s="1526"/>
      <c r="E216" s="1526"/>
      <c r="F216" s="1526"/>
      <c r="G216" s="1526"/>
      <c r="H216" s="1526"/>
      <c r="I216" s="1526"/>
      <c r="J216" s="1526"/>
      <c r="K216" s="1526"/>
      <c r="L216" s="1526"/>
      <c r="M216" s="1526"/>
      <c r="N216" s="1526"/>
      <c r="O216" s="1526"/>
      <c r="P216" s="1526"/>
      <c r="Q216" s="1526"/>
      <c r="R216" s="1526"/>
      <c r="S216" s="1526"/>
      <c r="T216" s="1526"/>
      <c r="U216" s="1526"/>
      <c r="V216" s="1526"/>
      <c r="W216" s="1526"/>
      <c r="X216" s="1526"/>
      <c r="Y216" s="1526"/>
      <c r="Z216" s="974"/>
      <c r="AA216" s="974"/>
      <c r="AB216" s="974"/>
      <c r="AC216" s="974"/>
      <c r="AD216" s="974"/>
      <c r="AE216" s="974"/>
    </row>
    <row r="217">
      <c r="A217" s="1526"/>
      <c r="B217" s="1526"/>
      <c r="C217" s="1526"/>
      <c r="D217" s="1526"/>
      <c r="E217" s="1526"/>
      <c r="F217" s="1526"/>
      <c r="G217" s="1526"/>
      <c r="H217" s="1526"/>
      <c r="I217" s="1526"/>
      <c r="J217" s="1526"/>
      <c r="K217" s="1526"/>
      <c r="L217" s="1526"/>
      <c r="M217" s="1526"/>
      <c r="N217" s="1526"/>
      <c r="O217" s="1526"/>
      <c r="P217" s="1526"/>
      <c r="Q217" s="1526"/>
      <c r="R217" s="1526"/>
      <c r="S217" s="1526"/>
      <c r="T217" s="1526"/>
      <c r="U217" s="1526"/>
      <c r="V217" s="1526"/>
      <c r="W217" s="1526"/>
      <c r="X217" s="1526"/>
      <c r="Y217" s="1526"/>
      <c r="Z217" s="974"/>
      <c r="AA217" s="974"/>
      <c r="AB217" s="974"/>
      <c r="AC217" s="974"/>
      <c r="AD217" s="974"/>
      <c r="AE217" s="974"/>
    </row>
    <row r="218">
      <c r="A218" s="1526"/>
      <c r="B218" s="1526"/>
      <c r="C218" s="1526"/>
      <c r="D218" s="1526"/>
      <c r="E218" s="1526"/>
      <c r="F218" s="1526"/>
      <c r="G218" s="1526"/>
      <c r="H218" s="1526"/>
      <c r="I218" s="1526"/>
      <c r="J218" s="1526"/>
      <c r="K218" s="1526"/>
      <c r="L218" s="1526"/>
      <c r="M218" s="1526"/>
      <c r="N218" s="1526"/>
      <c r="O218" s="1526"/>
      <c r="P218" s="1526"/>
      <c r="Q218" s="1526"/>
      <c r="R218" s="1526"/>
      <c r="S218" s="1526"/>
      <c r="T218" s="1526"/>
      <c r="U218" s="1526"/>
      <c r="V218" s="1526"/>
      <c r="W218" s="1526"/>
      <c r="X218" s="1526"/>
      <c r="Y218" s="1526"/>
      <c r="Z218" s="974"/>
      <c r="AA218" s="974"/>
      <c r="AB218" s="974"/>
      <c r="AC218" s="974"/>
      <c r="AD218" s="974"/>
      <c r="AE218" s="974"/>
    </row>
    <row r="219">
      <c r="A219" s="1526"/>
      <c r="B219" s="1526"/>
      <c r="C219" s="1526"/>
      <c r="D219" s="1526"/>
      <c r="E219" s="1526"/>
      <c r="F219" s="1526"/>
      <c r="G219" s="1526"/>
      <c r="H219" s="1526"/>
      <c r="I219" s="1526"/>
      <c r="J219" s="1526"/>
      <c r="K219" s="1526"/>
      <c r="L219" s="1526"/>
      <c r="M219" s="1526"/>
      <c r="N219" s="1526"/>
      <c r="O219" s="1526"/>
      <c r="P219" s="1526"/>
      <c r="Q219" s="1526"/>
      <c r="R219" s="1526"/>
      <c r="S219" s="1526"/>
      <c r="T219" s="1526"/>
      <c r="U219" s="1526"/>
      <c r="V219" s="1526"/>
      <c r="W219" s="1526"/>
      <c r="X219" s="1526"/>
      <c r="Y219" s="1526"/>
      <c r="Z219" s="974"/>
      <c r="AA219" s="974"/>
      <c r="AB219" s="974"/>
      <c r="AC219" s="974"/>
      <c r="AD219" s="974"/>
      <c r="AE219" s="974"/>
    </row>
    <row r="220">
      <c r="A220" s="1526"/>
      <c r="B220" s="1526"/>
      <c r="C220" s="1526"/>
      <c r="D220" s="1526"/>
      <c r="E220" s="1526"/>
      <c r="F220" s="1526"/>
      <c r="G220" s="1526"/>
      <c r="H220" s="1526"/>
      <c r="I220" s="1526"/>
      <c r="J220" s="1526"/>
      <c r="K220" s="1526"/>
      <c r="L220" s="1526"/>
      <c r="M220" s="1526"/>
      <c r="N220" s="1526"/>
      <c r="O220" s="1526"/>
      <c r="P220" s="1526"/>
      <c r="Q220" s="1526"/>
      <c r="R220" s="1526"/>
      <c r="S220" s="1526"/>
      <c r="T220" s="1526"/>
      <c r="U220" s="1526"/>
      <c r="V220" s="1526"/>
      <c r="W220" s="1526"/>
      <c r="X220" s="1526"/>
      <c r="Y220" s="1526"/>
      <c r="Z220" s="974"/>
      <c r="AA220" s="974"/>
      <c r="AB220" s="974"/>
      <c r="AC220" s="974"/>
      <c r="AD220" s="974"/>
      <c r="AE220" s="974"/>
    </row>
    <row r="221">
      <c r="A221" s="1526"/>
      <c r="B221" s="1526"/>
      <c r="C221" s="1526"/>
      <c r="D221" s="1526"/>
      <c r="E221" s="1526"/>
      <c r="F221" s="1526"/>
      <c r="G221" s="1526"/>
      <c r="H221" s="1526"/>
      <c r="I221" s="1526"/>
      <c r="J221" s="1526"/>
      <c r="K221" s="1526"/>
      <c r="L221" s="1526"/>
      <c r="M221" s="1526"/>
      <c r="N221" s="1526"/>
      <c r="O221" s="1526"/>
      <c r="P221" s="1526"/>
      <c r="Q221" s="1526"/>
      <c r="R221" s="1526"/>
      <c r="S221" s="1526"/>
      <c r="T221" s="1526"/>
      <c r="U221" s="1526"/>
      <c r="V221" s="1526"/>
      <c r="W221" s="1526"/>
      <c r="X221" s="1526"/>
      <c r="Y221" s="1526"/>
      <c r="Z221" s="974"/>
      <c r="AA221" s="974"/>
      <c r="AB221" s="974"/>
      <c r="AC221" s="974"/>
      <c r="AD221" s="974"/>
      <c r="AE221" s="974"/>
    </row>
    <row r="222">
      <c r="A222" s="1526"/>
      <c r="B222" s="1526"/>
      <c r="C222" s="1526"/>
      <c r="D222" s="1526"/>
      <c r="E222" s="1526"/>
      <c r="F222" s="1526"/>
      <c r="G222" s="1526"/>
      <c r="H222" s="1526"/>
      <c r="I222" s="1526"/>
      <c r="J222" s="1526"/>
      <c r="K222" s="1526"/>
      <c r="L222" s="1526"/>
      <c r="M222" s="1526"/>
      <c r="N222" s="1526"/>
      <c r="O222" s="1526"/>
      <c r="P222" s="1526"/>
      <c r="Q222" s="1526"/>
      <c r="R222" s="1526"/>
      <c r="S222" s="1526"/>
      <c r="T222" s="1526"/>
      <c r="U222" s="1526"/>
      <c r="V222" s="1526"/>
      <c r="W222" s="1526"/>
      <c r="X222" s="1526"/>
      <c r="Y222" s="1526"/>
      <c r="Z222" s="974"/>
      <c r="AA222" s="974"/>
      <c r="AB222" s="974"/>
      <c r="AC222" s="974"/>
      <c r="AD222" s="974"/>
      <c r="AE222" s="974"/>
    </row>
    <row r="223">
      <c r="A223" s="1526"/>
      <c r="B223" s="1526"/>
      <c r="C223" s="1526"/>
      <c r="D223" s="1526"/>
      <c r="E223" s="1526"/>
      <c r="F223" s="1526"/>
      <c r="G223" s="1526"/>
      <c r="H223" s="1526"/>
      <c r="I223" s="1526"/>
      <c r="J223" s="1526"/>
      <c r="K223" s="1526"/>
      <c r="L223" s="1526"/>
      <c r="M223" s="1526"/>
      <c r="N223" s="1526"/>
      <c r="O223" s="1526"/>
      <c r="P223" s="1526"/>
      <c r="Q223" s="1526"/>
      <c r="R223" s="1526"/>
      <c r="S223" s="1526"/>
      <c r="T223" s="1526"/>
      <c r="U223" s="1526"/>
      <c r="V223" s="1526"/>
      <c r="W223" s="1526"/>
      <c r="X223" s="1526"/>
      <c r="Y223" s="1526"/>
      <c r="Z223" s="974"/>
      <c r="AA223" s="974"/>
      <c r="AB223" s="974"/>
      <c r="AC223" s="974"/>
      <c r="AD223" s="974"/>
      <c r="AE223" s="974"/>
    </row>
    <row r="224">
      <c r="A224" s="1526"/>
      <c r="B224" s="1526"/>
      <c r="C224" s="1526"/>
      <c r="D224" s="1526"/>
      <c r="E224" s="1526"/>
      <c r="F224" s="1526"/>
      <c r="G224" s="1526"/>
      <c r="H224" s="1526"/>
      <c r="I224" s="1526"/>
      <c r="J224" s="1526"/>
      <c r="K224" s="1526"/>
      <c r="L224" s="1526"/>
      <c r="M224" s="1526"/>
      <c r="N224" s="1526"/>
      <c r="O224" s="1526"/>
      <c r="P224" s="1526"/>
      <c r="Q224" s="1526"/>
      <c r="R224" s="1526"/>
      <c r="S224" s="1526"/>
      <c r="T224" s="1526"/>
      <c r="U224" s="1526"/>
      <c r="V224" s="1526"/>
      <c r="W224" s="1526"/>
      <c r="X224" s="1526"/>
      <c r="Y224" s="1526"/>
      <c r="Z224" s="974"/>
      <c r="AA224" s="974"/>
      <c r="AB224" s="974"/>
      <c r="AC224" s="974"/>
      <c r="AD224" s="974"/>
      <c r="AE224" s="974"/>
    </row>
    <row r="225">
      <c r="A225" s="1526"/>
      <c r="B225" s="1526"/>
      <c r="C225" s="1526"/>
      <c r="D225" s="1526"/>
      <c r="E225" s="1526"/>
      <c r="F225" s="1526"/>
      <c r="G225" s="1526"/>
      <c r="H225" s="1526"/>
      <c r="I225" s="1526"/>
      <c r="J225" s="1526"/>
      <c r="K225" s="1526"/>
      <c r="L225" s="1526"/>
      <c r="M225" s="1526"/>
      <c r="N225" s="1526"/>
      <c r="O225" s="1526"/>
      <c r="P225" s="1526"/>
      <c r="Q225" s="1526"/>
      <c r="R225" s="1526"/>
      <c r="S225" s="1526"/>
      <c r="T225" s="1526"/>
      <c r="U225" s="1526"/>
      <c r="V225" s="1526"/>
      <c r="W225" s="1526"/>
      <c r="X225" s="1526"/>
      <c r="Y225" s="1526"/>
      <c r="Z225" s="974"/>
      <c r="AA225" s="974"/>
      <c r="AB225" s="974"/>
      <c r="AC225" s="974"/>
      <c r="AD225" s="974"/>
      <c r="AE225" s="974"/>
    </row>
    <row r="226">
      <c r="A226" s="1526"/>
      <c r="B226" s="1526"/>
      <c r="C226" s="1526"/>
      <c r="D226" s="1526"/>
      <c r="E226" s="1526"/>
      <c r="F226" s="1526"/>
      <c r="G226" s="1526"/>
      <c r="H226" s="1526"/>
      <c r="I226" s="1526"/>
      <c r="J226" s="1526"/>
      <c r="K226" s="1526"/>
      <c r="L226" s="1526"/>
      <c r="M226" s="1526"/>
      <c r="N226" s="1526"/>
      <c r="O226" s="1526"/>
      <c r="P226" s="1526"/>
      <c r="Q226" s="1526"/>
      <c r="R226" s="1526"/>
      <c r="S226" s="1526"/>
      <c r="T226" s="1526"/>
      <c r="U226" s="1526"/>
      <c r="V226" s="1526"/>
      <c r="W226" s="1526"/>
      <c r="X226" s="1526"/>
      <c r="Y226" s="1526"/>
      <c r="Z226" s="974"/>
      <c r="AA226" s="974"/>
      <c r="AB226" s="974"/>
      <c r="AC226" s="974"/>
      <c r="AD226" s="974"/>
      <c r="AE226" s="974"/>
    </row>
    <row r="227">
      <c r="A227" s="1526"/>
      <c r="B227" s="1526"/>
      <c r="C227" s="1526"/>
      <c r="D227" s="1526"/>
      <c r="E227" s="1526"/>
      <c r="F227" s="1526"/>
      <c r="G227" s="1526"/>
      <c r="H227" s="1526"/>
      <c r="I227" s="1526"/>
      <c r="J227" s="1526"/>
      <c r="K227" s="1526"/>
      <c r="L227" s="1526"/>
      <c r="M227" s="1526"/>
      <c r="N227" s="1526"/>
      <c r="O227" s="1526"/>
      <c r="P227" s="1526"/>
      <c r="Q227" s="1526"/>
      <c r="R227" s="1526"/>
      <c r="S227" s="1526"/>
      <c r="T227" s="1526"/>
      <c r="U227" s="1526"/>
      <c r="V227" s="1526"/>
      <c r="W227" s="1526"/>
      <c r="X227" s="1526"/>
      <c r="Y227" s="1526"/>
      <c r="Z227" s="974"/>
      <c r="AA227" s="974"/>
      <c r="AB227" s="974"/>
      <c r="AC227" s="974"/>
      <c r="AD227" s="974"/>
      <c r="AE227" s="974"/>
    </row>
    <row r="228">
      <c r="A228" s="1526"/>
      <c r="B228" s="1526"/>
      <c r="C228" s="1526"/>
      <c r="D228" s="1526"/>
      <c r="E228" s="1526"/>
      <c r="F228" s="1526"/>
      <c r="G228" s="1526"/>
      <c r="H228" s="1526"/>
      <c r="I228" s="1526"/>
      <c r="J228" s="1526"/>
      <c r="K228" s="1526"/>
      <c r="L228" s="1526"/>
      <c r="M228" s="1526"/>
      <c r="N228" s="1526"/>
      <c r="O228" s="1526"/>
      <c r="P228" s="1526"/>
      <c r="Q228" s="1526"/>
      <c r="R228" s="1526"/>
      <c r="S228" s="1526"/>
      <c r="T228" s="1526"/>
      <c r="U228" s="1526"/>
      <c r="V228" s="1526"/>
      <c r="W228" s="1526"/>
      <c r="X228" s="1526"/>
      <c r="Y228" s="1526"/>
      <c r="Z228" s="974"/>
      <c r="AA228" s="974"/>
      <c r="AB228" s="974"/>
      <c r="AC228" s="974"/>
      <c r="AD228" s="974"/>
      <c r="AE228" s="974"/>
    </row>
    <row r="229">
      <c r="A229" s="1526"/>
      <c r="B229" s="1526"/>
      <c r="C229" s="1526"/>
      <c r="D229" s="1526"/>
      <c r="E229" s="1526"/>
      <c r="F229" s="1526"/>
      <c r="G229" s="1526"/>
      <c r="H229" s="1526"/>
      <c r="I229" s="1526"/>
      <c r="J229" s="1526"/>
      <c r="K229" s="1526"/>
      <c r="L229" s="1526"/>
      <c r="M229" s="1526"/>
      <c r="N229" s="1526"/>
      <c r="O229" s="1526"/>
      <c r="P229" s="1526"/>
      <c r="Q229" s="1526"/>
      <c r="R229" s="1526"/>
      <c r="S229" s="1526"/>
      <c r="T229" s="1526"/>
      <c r="U229" s="1526"/>
      <c r="V229" s="1526"/>
      <c r="W229" s="1526"/>
      <c r="X229" s="1526"/>
      <c r="Y229" s="1526"/>
      <c r="Z229" s="974"/>
      <c r="AA229" s="974"/>
      <c r="AB229" s="974"/>
      <c r="AC229" s="974"/>
      <c r="AD229" s="974"/>
      <c r="AE229" s="974"/>
    </row>
    <row r="230">
      <c r="A230" s="1526"/>
      <c r="B230" s="1526"/>
      <c r="C230" s="1526"/>
      <c r="D230" s="1526"/>
      <c r="E230" s="1526"/>
      <c r="F230" s="1526"/>
      <c r="G230" s="1526"/>
      <c r="H230" s="1526"/>
      <c r="I230" s="1526"/>
      <c r="J230" s="1526"/>
      <c r="K230" s="1526"/>
      <c r="L230" s="1526"/>
      <c r="M230" s="1526"/>
      <c r="N230" s="1526"/>
      <c r="O230" s="1526"/>
      <c r="P230" s="1526"/>
      <c r="Q230" s="1526"/>
      <c r="R230" s="1526"/>
      <c r="S230" s="1526"/>
      <c r="T230" s="1526"/>
      <c r="U230" s="1526"/>
      <c r="V230" s="1526"/>
      <c r="W230" s="1526"/>
      <c r="X230" s="1526"/>
      <c r="Y230" s="1526"/>
      <c r="Z230" s="974"/>
      <c r="AA230" s="974"/>
      <c r="AB230" s="974"/>
      <c r="AC230" s="974"/>
      <c r="AD230" s="974"/>
      <c r="AE230" s="974"/>
    </row>
    <row r="231">
      <c r="A231" s="1526"/>
      <c r="B231" s="1526"/>
      <c r="C231" s="1526"/>
      <c r="D231" s="1526"/>
      <c r="E231" s="1526"/>
      <c r="F231" s="1526"/>
      <c r="G231" s="1526"/>
      <c r="H231" s="1526"/>
      <c r="I231" s="1526"/>
      <c r="J231" s="1526"/>
      <c r="K231" s="1526"/>
      <c r="L231" s="1526"/>
      <c r="M231" s="1526"/>
      <c r="N231" s="1526"/>
      <c r="O231" s="1526"/>
      <c r="P231" s="1526"/>
      <c r="Q231" s="1526"/>
      <c r="R231" s="1526"/>
      <c r="S231" s="1526"/>
      <c r="T231" s="1526"/>
      <c r="U231" s="1526"/>
      <c r="V231" s="1526"/>
      <c r="W231" s="1526"/>
      <c r="X231" s="1526"/>
      <c r="Y231" s="1526"/>
      <c r="Z231" s="974"/>
      <c r="AA231" s="974"/>
      <c r="AB231" s="974"/>
      <c r="AC231" s="974"/>
      <c r="AD231" s="974"/>
      <c r="AE231" s="974"/>
    </row>
    <row r="232">
      <c r="A232" s="1526"/>
      <c r="B232" s="1526"/>
      <c r="C232" s="1526"/>
      <c r="D232" s="1526"/>
      <c r="E232" s="1526"/>
      <c r="F232" s="1526"/>
      <c r="G232" s="1526"/>
      <c r="H232" s="1526"/>
      <c r="I232" s="1526"/>
      <c r="J232" s="1526"/>
      <c r="K232" s="1526"/>
      <c r="L232" s="1526"/>
      <c r="M232" s="1526"/>
      <c r="N232" s="1526"/>
      <c r="O232" s="1526"/>
      <c r="P232" s="1526"/>
      <c r="Q232" s="1526"/>
      <c r="R232" s="1526"/>
      <c r="S232" s="1526"/>
      <c r="T232" s="1526"/>
      <c r="U232" s="1526"/>
      <c r="V232" s="1526"/>
      <c r="W232" s="1526"/>
      <c r="X232" s="1526"/>
      <c r="Y232" s="1526"/>
      <c r="Z232" s="974"/>
      <c r="AA232" s="974"/>
      <c r="AB232" s="974"/>
      <c r="AC232" s="974"/>
      <c r="AD232" s="974"/>
      <c r="AE232" s="974"/>
    </row>
    <row r="233">
      <c r="A233" s="1526"/>
      <c r="B233" s="1526"/>
      <c r="C233" s="1526"/>
      <c r="D233" s="1526"/>
      <c r="E233" s="1526"/>
      <c r="F233" s="1526"/>
      <c r="G233" s="1526"/>
      <c r="H233" s="1526"/>
      <c r="I233" s="1526"/>
      <c r="J233" s="1526"/>
      <c r="K233" s="1526"/>
      <c r="L233" s="1526"/>
      <c r="M233" s="1526"/>
      <c r="N233" s="1526"/>
      <c r="O233" s="1526"/>
      <c r="P233" s="1526"/>
      <c r="Q233" s="1526"/>
      <c r="R233" s="1526"/>
      <c r="S233" s="1526"/>
      <c r="T233" s="1526"/>
      <c r="U233" s="1526"/>
      <c r="V233" s="1526"/>
      <c r="W233" s="1526"/>
      <c r="X233" s="1526"/>
      <c r="Y233" s="1526"/>
      <c r="Z233" s="974"/>
      <c r="AA233" s="974"/>
      <c r="AB233" s="974"/>
      <c r="AC233" s="974"/>
      <c r="AD233" s="974"/>
      <c r="AE233" s="974"/>
    </row>
    <row r="234">
      <c r="A234" s="1526"/>
      <c r="B234" s="1526"/>
      <c r="C234" s="1526"/>
      <c r="D234" s="1526"/>
      <c r="E234" s="1526"/>
      <c r="F234" s="1526"/>
      <c r="G234" s="1526"/>
      <c r="H234" s="1526"/>
      <c r="I234" s="1526"/>
      <c r="J234" s="1526"/>
      <c r="K234" s="1526"/>
      <c r="L234" s="1526"/>
      <c r="M234" s="1526"/>
      <c r="N234" s="1526"/>
      <c r="O234" s="1526"/>
      <c r="P234" s="1526"/>
      <c r="Q234" s="1526"/>
      <c r="R234" s="1526"/>
      <c r="S234" s="1526"/>
      <c r="T234" s="1526"/>
      <c r="U234" s="1526"/>
      <c r="V234" s="1526"/>
      <c r="W234" s="1526"/>
      <c r="X234" s="1526"/>
      <c r="Y234" s="1526"/>
      <c r="Z234" s="974"/>
      <c r="AA234" s="974"/>
      <c r="AB234" s="974"/>
      <c r="AC234" s="974"/>
      <c r="AD234" s="974"/>
      <c r="AE234" s="974"/>
    </row>
    <row r="235">
      <c r="A235" s="1526"/>
      <c r="B235" s="1526"/>
      <c r="C235" s="1526"/>
      <c r="D235" s="1526"/>
      <c r="E235" s="1526"/>
      <c r="F235" s="1526"/>
      <c r="G235" s="1526"/>
      <c r="H235" s="1526"/>
      <c r="I235" s="1526"/>
      <c r="J235" s="1526"/>
      <c r="K235" s="1526"/>
      <c r="L235" s="1526"/>
      <c r="M235" s="1526"/>
      <c r="N235" s="1526"/>
      <c r="O235" s="1526"/>
      <c r="P235" s="1526"/>
      <c r="Q235" s="1526"/>
      <c r="R235" s="1526"/>
      <c r="S235" s="1526"/>
      <c r="T235" s="1526"/>
      <c r="U235" s="1526"/>
      <c r="V235" s="1526"/>
      <c r="W235" s="1526"/>
      <c r="X235" s="1526"/>
      <c r="Y235" s="1526"/>
      <c r="Z235" s="974"/>
      <c r="AA235" s="974"/>
      <c r="AB235" s="974"/>
      <c r="AC235" s="974"/>
      <c r="AD235" s="974"/>
      <c r="AE235" s="974"/>
    </row>
    <row r="236">
      <c r="A236" s="1526"/>
      <c r="B236" s="1526"/>
      <c r="C236" s="1526"/>
      <c r="D236" s="1526"/>
      <c r="E236" s="1526"/>
      <c r="F236" s="1526"/>
      <c r="G236" s="1526"/>
      <c r="H236" s="1526"/>
      <c r="I236" s="1526"/>
      <c r="J236" s="1526"/>
      <c r="K236" s="1526"/>
      <c r="L236" s="1526"/>
      <c r="M236" s="1526"/>
      <c r="N236" s="1526"/>
      <c r="O236" s="1526"/>
      <c r="P236" s="1526"/>
      <c r="Q236" s="1526"/>
      <c r="R236" s="1526"/>
      <c r="S236" s="1526"/>
      <c r="T236" s="1526"/>
      <c r="U236" s="1526"/>
      <c r="V236" s="1526"/>
      <c r="W236" s="1526"/>
      <c r="X236" s="1526"/>
      <c r="Y236" s="1526"/>
      <c r="Z236" s="974"/>
      <c r="AA236" s="974"/>
      <c r="AB236" s="974"/>
      <c r="AC236" s="974"/>
      <c r="AD236" s="974"/>
      <c r="AE236" s="974"/>
    </row>
    <row r="237">
      <c r="A237" s="1526"/>
      <c r="B237" s="1526"/>
      <c r="C237" s="1526"/>
      <c r="D237" s="1526"/>
      <c r="E237" s="1526"/>
      <c r="F237" s="1526"/>
      <c r="G237" s="1526"/>
      <c r="H237" s="1526"/>
      <c r="I237" s="1526"/>
      <c r="J237" s="1526"/>
      <c r="K237" s="1526"/>
      <c r="L237" s="1526"/>
      <c r="M237" s="1526"/>
      <c r="N237" s="1526"/>
      <c r="O237" s="1526"/>
      <c r="P237" s="1526"/>
      <c r="Q237" s="1526"/>
      <c r="R237" s="1526"/>
      <c r="S237" s="1526"/>
      <c r="T237" s="1526"/>
      <c r="U237" s="1526"/>
      <c r="V237" s="1526"/>
      <c r="W237" s="1526"/>
      <c r="X237" s="1526"/>
      <c r="Y237" s="1526"/>
      <c r="Z237" s="974"/>
      <c r="AA237" s="974"/>
      <c r="AB237" s="974"/>
      <c r="AC237" s="974"/>
      <c r="AD237" s="974"/>
      <c r="AE237" s="974"/>
    </row>
    <row r="238">
      <c r="A238" s="1526"/>
      <c r="B238" s="1526"/>
      <c r="C238" s="1526"/>
      <c r="D238" s="1526"/>
      <c r="E238" s="1526"/>
      <c r="F238" s="1526"/>
      <c r="G238" s="1526"/>
      <c r="H238" s="1526"/>
      <c r="I238" s="1526"/>
      <c r="J238" s="1526"/>
      <c r="K238" s="1526"/>
      <c r="L238" s="1526"/>
      <c r="M238" s="1526"/>
      <c r="N238" s="1526"/>
      <c r="O238" s="1526"/>
      <c r="P238" s="1526"/>
      <c r="Q238" s="1526"/>
      <c r="R238" s="1526"/>
      <c r="S238" s="1526"/>
      <c r="T238" s="1526"/>
      <c r="U238" s="1526"/>
      <c r="V238" s="1526"/>
      <c r="W238" s="1526"/>
      <c r="X238" s="1526"/>
      <c r="Y238" s="1526"/>
      <c r="Z238" s="974"/>
      <c r="AA238" s="974"/>
      <c r="AB238" s="974"/>
      <c r="AC238" s="974"/>
      <c r="AD238" s="974"/>
      <c r="AE238" s="974"/>
    </row>
    <row r="239">
      <c r="A239" s="1526"/>
      <c r="B239" s="1526"/>
      <c r="C239" s="1526"/>
      <c r="D239" s="1526"/>
      <c r="E239" s="1526"/>
      <c r="F239" s="1526"/>
      <c r="G239" s="1526"/>
      <c r="H239" s="1526"/>
      <c r="I239" s="1526"/>
      <c r="J239" s="1526"/>
      <c r="K239" s="1526"/>
      <c r="L239" s="1526"/>
      <c r="M239" s="1526"/>
      <c r="N239" s="1526"/>
      <c r="O239" s="1526"/>
      <c r="P239" s="1526"/>
      <c r="Q239" s="1526"/>
      <c r="R239" s="1526"/>
      <c r="S239" s="1526"/>
      <c r="T239" s="1526"/>
      <c r="U239" s="1526"/>
      <c r="V239" s="1526"/>
      <c r="W239" s="1526"/>
      <c r="X239" s="1526"/>
      <c r="Y239" s="1526"/>
      <c r="Z239" s="974"/>
      <c r="AA239" s="974"/>
      <c r="AB239" s="974"/>
      <c r="AC239" s="974"/>
      <c r="AD239" s="974"/>
      <c r="AE239" s="974"/>
    </row>
    <row r="240">
      <c r="A240" s="1526"/>
      <c r="B240" s="1526"/>
      <c r="C240" s="1526"/>
      <c r="D240" s="1526"/>
      <c r="E240" s="1526"/>
      <c r="F240" s="1526"/>
      <c r="G240" s="1526"/>
      <c r="H240" s="1526"/>
      <c r="I240" s="1526"/>
      <c r="J240" s="1526"/>
      <c r="K240" s="1526"/>
      <c r="L240" s="1526"/>
      <c r="M240" s="1526"/>
      <c r="N240" s="1526"/>
      <c r="O240" s="1526"/>
      <c r="P240" s="1526"/>
      <c r="Q240" s="1526"/>
      <c r="R240" s="1526"/>
      <c r="S240" s="1526"/>
      <c r="T240" s="1526"/>
      <c r="U240" s="1526"/>
      <c r="V240" s="1526"/>
      <c r="W240" s="1526"/>
      <c r="X240" s="1526"/>
      <c r="Y240" s="1526"/>
      <c r="Z240" s="974"/>
      <c r="AA240" s="974"/>
      <c r="AB240" s="974"/>
      <c r="AC240" s="974"/>
      <c r="AD240" s="974"/>
      <c r="AE240" s="974"/>
    </row>
    <row r="241">
      <c r="A241" s="1526"/>
      <c r="B241" s="1526"/>
      <c r="C241" s="1526"/>
      <c r="D241" s="1526"/>
      <c r="E241" s="1526"/>
      <c r="F241" s="1526"/>
      <c r="G241" s="1526"/>
      <c r="H241" s="1526"/>
      <c r="I241" s="1526"/>
      <c r="J241" s="1526"/>
      <c r="K241" s="1526"/>
      <c r="L241" s="1526"/>
      <c r="M241" s="1526"/>
      <c r="N241" s="1526"/>
      <c r="O241" s="1526"/>
      <c r="P241" s="1526"/>
      <c r="Q241" s="1526"/>
      <c r="R241" s="1526"/>
      <c r="S241" s="1526"/>
      <c r="T241" s="1526"/>
      <c r="U241" s="1526"/>
      <c r="V241" s="1526"/>
      <c r="W241" s="1526"/>
      <c r="X241" s="1526"/>
      <c r="Y241" s="1526"/>
      <c r="Z241" s="974"/>
      <c r="AA241" s="974"/>
      <c r="AB241" s="974"/>
      <c r="AC241" s="974"/>
      <c r="AD241" s="974"/>
      <c r="AE241" s="974"/>
    </row>
    <row r="242">
      <c r="A242" s="1526"/>
      <c r="B242" s="1526"/>
      <c r="C242" s="1526"/>
      <c r="D242" s="1526"/>
      <c r="E242" s="1526"/>
      <c r="F242" s="1526"/>
      <c r="G242" s="1526"/>
      <c r="H242" s="1526"/>
      <c r="I242" s="1526"/>
      <c r="J242" s="1526"/>
      <c r="K242" s="1526"/>
      <c r="L242" s="1526"/>
      <c r="M242" s="1526"/>
      <c r="N242" s="1526"/>
      <c r="O242" s="1526"/>
      <c r="P242" s="1526"/>
      <c r="Q242" s="1526"/>
      <c r="R242" s="1526"/>
      <c r="S242" s="1526"/>
      <c r="T242" s="1526"/>
      <c r="U242" s="1526"/>
      <c r="V242" s="1526"/>
      <c r="W242" s="1526"/>
      <c r="X242" s="1526"/>
      <c r="Y242" s="1526"/>
      <c r="Z242" s="974"/>
      <c r="AA242" s="974"/>
      <c r="AB242" s="974"/>
      <c r="AC242" s="974"/>
      <c r="AD242" s="974"/>
      <c r="AE242" s="974"/>
    </row>
    <row r="243">
      <c r="A243" s="1526"/>
      <c r="B243" s="1526"/>
      <c r="C243" s="1526"/>
      <c r="D243" s="1526"/>
      <c r="E243" s="1526"/>
      <c r="F243" s="1526"/>
      <c r="G243" s="1526"/>
      <c r="H243" s="1526"/>
      <c r="I243" s="1526"/>
      <c r="J243" s="1526"/>
      <c r="K243" s="1526"/>
      <c r="L243" s="1526"/>
      <c r="M243" s="1526"/>
      <c r="N243" s="1526"/>
      <c r="O243" s="1526"/>
      <c r="P243" s="1526"/>
      <c r="Q243" s="1526"/>
      <c r="R243" s="1526"/>
      <c r="S243" s="1526"/>
      <c r="T243" s="1526"/>
      <c r="U243" s="1526"/>
      <c r="V243" s="1526"/>
      <c r="W243" s="1526"/>
      <c r="X243" s="1526"/>
      <c r="Y243" s="1526"/>
      <c r="Z243" s="974"/>
      <c r="AA243" s="974"/>
      <c r="AB243" s="974"/>
      <c r="AC243" s="974"/>
      <c r="AD243" s="974"/>
      <c r="AE243" s="974"/>
    </row>
    <row r="244">
      <c r="A244" s="1526"/>
      <c r="B244" s="1526"/>
      <c r="C244" s="1526"/>
      <c r="D244" s="1526"/>
      <c r="E244" s="1526"/>
      <c r="F244" s="1526"/>
      <c r="G244" s="1526"/>
      <c r="H244" s="1526"/>
      <c r="I244" s="1526"/>
      <c r="J244" s="1526"/>
      <c r="K244" s="1526"/>
      <c r="L244" s="1526"/>
      <c r="M244" s="1526"/>
      <c r="N244" s="1526"/>
      <c r="O244" s="1526"/>
      <c r="P244" s="1526"/>
      <c r="Q244" s="1526"/>
      <c r="R244" s="1526"/>
      <c r="S244" s="1526"/>
      <c r="T244" s="1526"/>
      <c r="U244" s="1526"/>
      <c r="V244" s="1526"/>
      <c r="W244" s="1526"/>
      <c r="X244" s="1526"/>
      <c r="Y244" s="1526"/>
      <c r="Z244" s="974"/>
      <c r="AA244" s="974"/>
      <c r="AB244" s="974"/>
      <c r="AC244" s="974"/>
      <c r="AD244" s="974"/>
      <c r="AE244" s="974"/>
    </row>
    <row r="245">
      <c r="A245" s="1526"/>
      <c r="B245" s="1526"/>
      <c r="C245" s="1526"/>
      <c r="D245" s="1526"/>
      <c r="E245" s="1526"/>
      <c r="F245" s="1526"/>
      <c r="G245" s="1526"/>
      <c r="H245" s="1526"/>
      <c r="I245" s="1526"/>
      <c r="J245" s="1526"/>
      <c r="K245" s="1526"/>
      <c r="L245" s="1526"/>
      <c r="M245" s="1526"/>
      <c r="N245" s="1526"/>
      <c r="O245" s="1526"/>
      <c r="P245" s="1526"/>
      <c r="Q245" s="1526"/>
      <c r="R245" s="1526"/>
      <c r="S245" s="1526"/>
      <c r="T245" s="1526"/>
      <c r="U245" s="1526"/>
      <c r="V245" s="1526"/>
      <c r="W245" s="1526"/>
      <c r="X245" s="1526"/>
      <c r="Y245" s="1526"/>
      <c r="Z245" s="974"/>
      <c r="AA245" s="974"/>
      <c r="AB245" s="974"/>
      <c r="AC245" s="974"/>
      <c r="AD245" s="974"/>
      <c r="AE245" s="974"/>
    </row>
    <row r="246">
      <c r="A246" s="1526"/>
      <c r="B246" s="1526"/>
      <c r="C246" s="1526"/>
      <c r="D246" s="1526"/>
      <c r="E246" s="1526"/>
      <c r="F246" s="1526"/>
      <c r="G246" s="1526"/>
      <c r="H246" s="1526"/>
      <c r="I246" s="1526"/>
      <c r="J246" s="1526"/>
      <c r="K246" s="1526"/>
      <c r="L246" s="1526"/>
      <c r="M246" s="1526"/>
      <c r="N246" s="1526"/>
      <c r="O246" s="1526"/>
      <c r="P246" s="1526"/>
      <c r="Q246" s="1526"/>
      <c r="R246" s="1526"/>
      <c r="S246" s="1526"/>
      <c r="T246" s="1526"/>
      <c r="U246" s="1526"/>
      <c r="V246" s="1526"/>
      <c r="W246" s="1526"/>
      <c r="X246" s="1526"/>
      <c r="Y246" s="1526"/>
      <c r="Z246" s="974"/>
      <c r="AA246" s="974"/>
      <c r="AB246" s="974"/>
      <c r="AC246" s="974"/>
      <c r="AD246" s="974"/>
      <c r="AE246" s="974"/>
    </row>
    <row r="247">
      <c r="A247" s="1526"/>
      <c r="B247" s="1526"/>
      <c r="C247" s="1526"/>
      <c r="D247" s="1526"/>
      <c r="E247" s="1526"/>
      <c r="F247" s="1526"/>
      <c r="G247" s="1526"/>
      <c r="H247" s="1526"/>
      <c r="I247" s="1526"/>
      <c r="J247" s="1526"/>
      <c r="K247" s="1526"/>
      <c r="L247" s="1526"/>
      <c r="M247" s="1526"/>
      <c r="N247" s="1526"/>
      <c r="O247" s="1526"/>
      <c r="P247" s="1526"/>
      <c r="Q247" s="1526"/>
      <c r="R247" s="1526"/>
      <c r="S247" s="1526"/>
      <c r="T247" s="1526"/>
      <c r="U247" s="1526"/>
      <c r="V247" s="1526"/>
      <c r="W247" s="1526"/>
      <c r="X247" s="1526"/>
      <c r="Y247" s="1526"/>
      <c r="Z247" s="974"/>
      <c r="AA247" s="974"/>
      <c r="AB247" s="974"/>
      <c r="AC247" s="974"/>
      <c r="AD247" s="974"/>
      <c r="AE247" s="974"/>
    </row>
    <row r="248">
      <c r="A248" s="1526"/>
      <c r="B248" s="1526"/>
      <c r="C248" s="1526"/>
      <c r="D248" s="1526"/>
      <c r="E248" s="1526"/>
      <c r="F248" s="1526"/>
      <c r="G248" s="1526"/>
      <c r="H248" s="1526"/>
      <c r="I248" s="1526"/>
      <c r="J248" s="1526"/>
      <c r="K248" s="1526"/>
      <c r="L248" s="1526"/>
      <c r="M248" s="1526"/>
      <c r="N248" s="1526"/>
      <c r="O248" s="1526"/>
      <c r="P248" s="1526"/>
      <c r="Q248" s="1526"/>
      <c r="R248" s="1526"/>
      <c r="S248" s="1526"/>
      <c r="T248" s="1526"/>
      <c r="U248" s="1526"/>
      <c r="V248" s="1526"/>
      <c r="W248" s="1526"/>
      <c r="X248" s="1526"/>
      <c r="Y248" s="1526"/>
      <c r="Z248" s="974"/>
      <c r="AA248" s="974"/>
      <c r="AB248" s="974"/>
      <c r="AC248" s="974"/>
      <c r="AD248" s="974"/>
      <c r="AE248" s="974"/>
    </row>
    <row r="249">
      <c r="A249" s="1526"/>
      <c r="B249" s="1526"/>
      <c r="C249" s="1526"/>
      <c r="D249" s="1526"/>
      <c r="E249" s="1526"/>
      <c r="F249" s="1526"/>
      <c r="G249" s="1526"/>
      <c r="H249" s="1526"/>
      <c r="I249" s="1526"/>
      <c r="J249" s="1526"/>
      <c r="K249" s="1526"/>
      <c r="L249" s="1526"/>
      <c r="M249" s="1526"/>
      <c r="N249" s="1526"/>
      <c r="O249" s="1526"/>
      <c r="P249" s="1526"/>
      <c r="Q249" s="1526"/>
      <c r="R249" s="1526"/>
      <c r="S249" s="1526"/>
      <c r="T249" s="1526"/>
      <c r="U249" s="1526"/>
      <c r="V249" s="1526"/>
      <c r="W249" s="1526"/>
      <c r="X249" s="1526"/>
      <c r="Y249" s="1526"/>
      <c r="Z249" s="974"/>
      <c r="AA249" s="974"/>
      <c r="AB249" s="974"/>
      <c r="AC249" s="974"/>
      <c r="AD249" s="974"/>
      <c r="AE249" s="974"/>
    </row>
    <row r="250">
      <c r="A250" s="1526"/>
      <c r="B250" s="1526"/>
      <c r="C250" s="1526"/>
      <c r="D250" s="1526"/>
      <c r="E250" s="1526"/>
      <c r="F250" s="1526"/>
      <c r="G250" s="1526"/>
      <c r="H250" s="1526"/>
      <c r="I250" s="1526"/>
      <c r="J250" s="1526"/>
      <c r="K250" s="1526"/>
      <c r="L250" s="1526"/>
      <c r="M250" s="1526"/>
      <c r="N250" s="1526"/>
      <c r="O250" s="1526"/>
      <c r="P250" s="1526"/>
      <c r="Q250" s="1526"/>
      <c r="R250" s="1526"/>
      <c r="S250" s="1526"/>
      <c r="T250" s="1526"/>
      <c r="U250" s="1526"/>
      <c r="V250" s="1526"/>
      <c r="W250" s="1526"/>
      <c r="X250" s="1526"/>
      <c r="Y250" s="1526"/>
      <c r="Z250" s="974"/>
      <c r="AA250" s="974"/>
      <c r="AB250" s="974"/>
      <c r="AC250" s="974"/>
      <c r="AD250" s="974"/>
      <c r="AE250" s="974"/>
    </row>
    <row r="251">
      <c r="A251" s="1526"/>
      <c r="B251" s="1526"/>
      <c r="C251" s="1526"/>
      <c r="D251" s="1526"/>
      <c r="E251" s="1526"/>
      <c r="F251" s="1526"/>
      <c r="G251" s="1526"/>
      <c r="H251" s="1526"/>
      <c r="I251" s="1526"/>
      <c r="J251" s="1526"/>
      <c r="K251" s="1526"/>
      <c r="L251" s="1526"/>
      <c r="M251" s="1526"/>
      <c r="N251" s="1526"/>
      <c r="O251" s="1526"/>
      <c r="P251" s="1526"/>
      <c r="Q251" s="1526"/>
      <c r="R251" s="1526"/>
      <c r="S251" s="1526"/>
      <c r="T251" s="1526"/>
      <c r="U251" s="1526"/>
      <c r="V251" s="1526"/>
      <c r="W251" s="1526"/>
      <c r="X251" s="1526"/>
      <c r="Y251" s="1526"/>
      <c r="Z251" s="974"/>
      <c r="AA251" s="974"/>
      <c r="AB251" s="974"/>
      <c r="AC251" s="974"/>
      <c r="AD251" s="974"/>
      <c r="AE251" s="974"/>
    </row>
    <row r="252">
      <c r="A252" s="1526"/>
      <c r="B252" s="1526"/>
      <c r="C252" s="1526"/>
      <c r="D252" s="1526"/>
      <c r="E252" s="1526"/>
      <c r="F252" s="1526"/>
      <c r="G252" s="1526"/>
      <c r="H252" s="1526"/>
      <c r="I252" s="1526"/>
      <c r="J252" s="1526"/>
      <c r="K252" s="1526"/>
      <c r="L252" s="1526"/>
      <c r="M252" s="1526"/>
      <c r="N252" s="1526"/>
      <c r="O252" s="1526"/>
      <c r="P252" s="1526"/>
      <c r="Q252" s="1526"/>
      <c r="R252" s="1526"/>
      <c r="S252" s="1526"/>
      <c r="T252" s="1526"/>
      <c r="U252" s="1526"/>
      <c r="V252" s="1526"/>
      <c r="W252" s="1526"/>
      <c r="X252" s="1526"/>
      <c r="Y252" s="1526"/>
      <c r="Z252" s="974"/>
      <c r="AA252" s="974"/>
      <c r="AB252" s="974"/>
      <c r="AC252" s="974"/>
      <c r="AD252" s="974"/>
      <c r="AE252" s="974"/>
    </row>
    <row r="253">
      <c r="A253" s="1526"/>
      <c r="B253" s="1526"/>
      <c r="C253" s="1526"/>
      <c r="D253" s="1526"/>
      <c r="E253" s="1526"/>
      <c r="F253" s="1526"/>
      <c r="G253" s="1526"/>
      <c r="H253" s="1526"/>
      <c r="I253" s="1526"/>
      <c r="J253" s="1526"/>
      <c r="K253" s="1526"/>
      <c r="L253" s="1526"/>
      <c r="M253" s="1526"/>
      <c r="N253" s="1526"/>
      <c r="O253" s="1526"/>
      <c r="P253" s="1526"/>
      <c r="Q253" s="1526"/>
      <c r="R253" s="1526"/>
      <c r="S253" s="1526"/>
      <c r="T253" s="1526"/>
      <c r="U253" s="1526"/>
      <c r="V253" s="1526"/>
      <c r="W253" s="1526"/>
      <c r="X253" s="1526"/>
      <c r="Y253" s="1526"/>
      <c r="Z253" s="974"/>
      <c r="AA253" s="974"/>
      <c r="AB253" s="974"/>
      <c r="AC253" s="974"/>
      <c r="AD253" s="974"/>
      <c r="AE253" s="974"/>
    </row>
    <row r="254">
      <c r="A254" s="1526"/>
      <c r="B254" s="1526"/>
      <c r="C254" s="1526"/>
      <c r="D254" s="1526"/>
      <c r="E254" s="1526"/>
      <c r="F254" s="1526"/>
      <c r="G254" s="1526"/>
      <c r="H254" s="1526"/>
      <c r="I254" s="1526"/>
      <c r="J254" s="1526"/>
      <c r="K254" s="1526"/>
      <c r="L254" s="1526"/>
      <c r="M254" s="1526"/>
      <c r="N254" s="1526"/>
      <c r="O254" s="1526"/>
      <c r="P254" s="1526"/>
      <c r="Q254" s="1526"/>
      <c r="R254" s="1526"/>
      <c r="S254" s="1526"/>
      <c r="T254" s="1526"/>
      <c r="U254" s="1526"/>
      <c r="V254" s="1526"/>
      <c r="W254" s="1526"/>
      <c r="X254" s="1526"/>
      <c r="Y254" s="1526"/>
      <c r="Z254" s="974"/>
      <c r="AA254" s="974"/>
      <c r="AB254" s="974"/>
      <c r="AC254" s="974"/>
      <c r="AD254" s="974"/>
      <c r="AE254" s="974"/>
    </row>
    <row r="255">
      <c r="A255" s="1526"/>
      <c r="B255" s="1526"/>
      <c r="C255" s="1526"/>
      <c r="D255" s="1526"/>
      <c r="E255" s="1526"/>
      <c r="F255" s="1526"/>
      <c r="G255" s="1526"/>
      <c r="H255" s="1526"/>
      <c r="I255" s="1526"/>
      <c r="J255" s="1526"/>
      <c r="K255" s="1526"/>
      <c r="L255" s="1526"/>
      <c r="M255" s="1526"/>
      <c r="N255" s="1526"/>
      <c r="O255" s="1526"/>
      <c r="P255" s="1526"/>
      <c r="Q255" s="1526"/>
      <c r="R255" s="1526"/>
      <c r="S255" s="1526"/>
      <c r="T255" s="1526"/>
      <c r="U255" s="1526"/>
      <c r="V255" s="1526"/>
      <c r="W255" s="1526"/>
      <c r="X255" s="1526"/>
      <c r="Y255" s="1526"/>
      <c r="Z255" s="974"/>
      <c r="AA255" s="974"/>
      <c r="AB255" s="974"/>
      <c r="AC255" s="974"/>
      <c r="AD255" s="974"/>
      <c r="AE255" s="974"/>
    </row>
    <row r="256">
      <c r="A256" s="1526"/>
      <c r="B256" s="1526"/>
      <c r="C256" s="1526"/>
      <c r="D256" s="1526"/>
      <c r="E256" s="1526"/>
      <c r="F256" s="1526"/>
      <c r="G256" s="1526"/>
      <c r="H256" s="1526"/>
      <c r="I256" s="1526"/>
      <c r="J256" s="1526"/>
      <c r="K256" s="1526"/>
      <c r="L256" s="1526"/>
      <c r="M256" s="1526"/>
      <c r="N256" s="1526"/>
      <c r="O256" s="1526"/>
      <c r="P256" s="1526"/>
      <c r="Q256" s="1526"/>
      <c r="R256" s="1526"/>
      <c r="S256" s="1526"/>
      <c r="T256" s="1526"/>
      <c r="U256" s="1526"/>
      <c r="V256" s="1526"/>
      <c r="W256" s="1526"/>
      <c r="X256" s="1526"/>
      <c r="Y256" s="1526"/>
      <c r="Z256" s="974"/>
      <c r="AA256" s="974"/>
      <c r="AB256" s="974"/>
      <c r="AC256" s="974"/>
      <c r="AD256" s="974"/>
      <c r="AE256" s="974"/>
    </row>
    <row r="257">
      <c r="A257" s="1526"/>
      <c r="B257" s="1526"/>
      <c r="C257" s="1526"/>
      <c r="D257" s="1526"/>
      <c r="E257" s="1526"/>
      <c r="F257" s="1526"/>
      <c r="G257" s="1526"/>
      <c r="H257" s="1526"/>
      <c r="I257" s="1526"/>
      <c r="J257" s="1526"/>
      <c r="K257" s="1526"/>
      <c r="L257" s="1526"/>
      <c r="M257" s="1526"/>
      <c r="N257" s="1526"/>
      <c r="O257" s="1526"/>
      <c r="P257" s="1526"/>
      <c r="Q257" s="1526"/>
      <c r="R257" s="1526"/>
      <c r="S257" s="1526"/>
      <c r="T257" s="1526"/>
      <c r="U257" s="1526"/>
      <c r="V257" s="1526"/>
      <c r="W257" s="1526"/>
      <c r="X257" s="1526"/>
      <c r="Y257" s="1526"/>
      <c r="Z257" s="974"/>
      <c r="AA257" s="974"/>
      <c r="AB257" s="974"/>
      <c r="AC257" s="974"/>
      <c r="AD257" s="974"/>
      <c r="AE257" s="974"/>
    </row>
    <row r="258">
      <c r="A258" s="1526"/>
      <c r="B258" s="1526"/>
      <c r="C258" s="1526"/>
      <c r="D258" s="1526"/>
      <c r="E258" s="1526"/>
      <c r="F258" s="1526"/>
      <c r="G258" s="1526"/>
      <c r="H258" s="1526"/>
      <c r="I258" s="1526"/>
      <c r="J258" s="1526"/>
      <c r="K258" s="1526"/>
      <c r="L258" s="1526"/>
      <c r="M258" s="1526"/>
      <c r="N258" s="1526"/>
      <c r="O258" s="1526"/>
      <c r="P258" s="1526"/>
      <c r="Q258" s="1526"/>
      <c r="R258" s="1526"/>
      <c r="S258" s="1526"/>
      <c r="T258" s="1526"/>
      <c r="U258" s="1526"/>
      <c r="V258" s="1526"/>
      <c r="W258" s="1526"/>
      <c r="X258" s="1526"/>
      <c r="Y258" s="1526"/>
      <c r="Z258" s="974"/>
      <c r="AA258" s="974"/>
      <c r="AB258" s="974"/>
      <c r="AC258" s="974"/>
      <c r="AD258" s="974"/>
      <c r="AE258" s="974"/>
    </row>
    <row r="259">
      <c r="A259" s="1526"/>
      <c r="B259" s="1526"/>
      <c r="C259" s="1526"/>
      <c r="D259" s="1526"/>
      <c r="E259" s="1526"/>
      <c r="F259" s="1526"/>
      <c r="G259" s="1526"/>
      <c r="H259" s="1526"/>
      <c r="I259" s="1526"/>
      <c r="J259" s="1526"/>
      <c r="K259" s="1526"/>
      <c r="L259" s="1526"/>
      <c r="M259" s="1526"/>
      <c r="N259" s="1526"/>
      <c r="O259" s="1526"/>
      <c r="P259" s="1526"/>
      <c r="Q259" s="1526"/>
      <c r="R259" s="1526"/>
      <c r="S259" s="1526"/>
      <c r="T259" s="1526"/>
      <c r="U259" s="1526"/>
      <c r="V259" s="1526"/>
      <c r="W259" s="1526"/>
      <c r="X259" s="1526"/>
      <c r="Y259" s="1526"/>
      <c r="Z259" s="974"/>
      <c r="AA259" s="974"/>
      <c r="AB259" s="974"/>
      <c r="AC259" s="974"/>
      <c r="AD259" s="974"/>
      <c r="AE259" s="974"/>
    </row>
    <row r="260">
      <c r="A260" s="1526"/>
      <c r="B260" s="1526"/>
      <c r="C260" s="1526"/>
      <c r="D260" s="1526"/>
      <c r="E260" s="1526"/>
      <c r="F260" s="1526"/>
      <c r="G260" s="1526"/>
      <c r="H260" s="1526"/>
      <c r="I260" s="1526"/>
      <c r="J260" s="1526"/>
      <c r="K260" s="1526"/>
      <c r="L260" s="1526"/>
      <c r="M260" s="1526"/>
      <c r="N260" s="1526"/>
      <c r="O260" s="1526"/>
      <c r="P260" s="1526"/>
      <c r="Q260" s="1526"/>
      <c r="R260" s="1526"/>
      <c r="S260" s="1526"/>
      <c r="T260" s="1526"/>
      <c r="U260" s="1526"/>
      <c r="V260" s="1526"/>
      <c r="W260" s="1526"/>
      <c r="X260" s="1526"/>
      <c r="Y260" s="1526"/>
      <c r="Z260" s="974"/>
      <c r="AA260" s="974"/>
      <c r="AB260" s="974"/>
      <c r="AC260" s="974"/>
      <c r="AD260" s="974"/>
      <c r="AE260" s="974"/>
    </row>
    <row r="261">
      <c r="A261" s="1526"/>
      <c r="B261" s="1526"/>
      <c r="C261" s="1526"/>
      <c r="D261" s="1526"/>
      <c r="E261" s="1526"/>
      <c r="F261" s="1526"/>
      <c r="G261" s="1526"/>
      <c r="H261" s="1526"/>
      <c r="I261" s="1526"/>
      <c r="J261" s="1526"/>
      <c r="K261" s="1526"/>
      <c r="L261" s="1526"/>
      <c r="M261" s="1526"/>
      <c r="N261" s="1526"/>
      <c r="O261" s="1526"/>
      <c r="P261" s="1526"/>
      <c r="Q261" s="1526"/>
      <c r="R261" s="1526"/>
      <c r="S261" s="1526"/>
      <c r="T261" s="1526"/>
      <c r="U261" s="1526"/>
      <c r="V261" s="1526"/>
      <c r="W261" s="1526"/>
      <c r="X261" s="1526"/>
      <c r="Y261" s="1526"/>
      <c r="Z261" s="974"/>
      <c r="AA261" s="974"/>
      <c r="AB261" s="974"/>
      <c r="AC261" s="974"/>
      <c r="AD261" s="974"/>
      <c r="AE261" s="974"/>
    </row>
    <row r="262">
      <c r="A262" s="1526"/>
      <c r="B262" s="1526"/>
      <c r="C262" s="1526"/>
      <c r="D262" s="1526"/>
      <c r="E262" s="1526"/>
      <c r="F262" s="1526"/>
      <c r="G262" s="1526"/>
      <c r="H262" s="1526"/>
      <c r="I262" s="1526"/>
      <c r="J262" s="1526"/>
      <c r="K262" s="1526"/>
      <c r="L262" s="1526"/>
      <c r="M262" s="1526"/>
      <c r="N262" s="1526"/>
      <c r="O262" s="1526"/>
      <c r="P262" s="1526"/>
      <c r="Q262" s="1526"/>
      <c r="R262" s="1526"/>
      <c r="S262" s="1526"/>
      <c r="T262" s="1526"/>
      <c r="U262" s="1526"/>
      <c r="V262" s="1526"/>
      <c r="W262" s="1526"/>
      <c r="X262" s="1526"/>
      <c r="Y262" s="1526"/>
      <c r="Z262" s="974"/>
      <c r="AA262" s="974"/>
      <c r="AB262" s="974"/>
      <c r="AC262" s="974"/>
      <c r="AD262" s="974"/>
      <c r="AE262" s="974"/>
    </row>
    <row r="263">
      <c r="A263" s="1526"/>
      <c r="B263" s="1526"/>
      <c r="C263" s="1526"/>
      <c r="D263" s="1526"/>
      <c r="E263" s="1526"/>
      <c r="F263" s="1526"/>
      <c r="G263" s="1526"/>
      <c r="H263" s="1526"/>
      <c r="I263" s="1526"/>
      <c r="J263" s="1526"/>
      <c r="K263" s="1526"/>
      <c r="L263" s="1526"/>
      <c r="M263" s="1526"/>
      <c r="N263" s="1526"/>
      <c r="O263" s="1526"/>
      <c r="P263" s="1526"/>
      <c r="Q263" s="1526"/>
      <c r="R263" s="1526"/>
      <c r="S263" s="1526"/>
      <c r="T263" s="1526"/>
      <c r="U263" s="1526"/>
      <c r="V263" s="1526"/>
      <c r="W263" s="1526"/>
      <c r="X263" s="1526"/>
      <c r="Y263" s="1526"/>
      <c r="Z263" s="974"/>
      <c r="AA263" s="974"/>
      <c r="AB263" s="974"/>
      <c r="AC263" s="974"/>
      <c r="AD263" s="974"/>
      <c r="AE263" s="974"/>
    </row>
    <row r="264">
      <c r="A264" s="1526"/>
      <c r="B264" s="1526"/>
      <c r="C264" s="1526"/>
      <c r="D264" s="1526"/>
      <c r="E264" s="1526"/>
      <c r="F264" s="1526"/>
      <c r="G264" s="1526"/>
      <c r="H264" s="1526"/>
      <c r="I264" s="1526"/>
      <c r="J264" s="1526"/>
      <c r="K264" s="1526"/>
      <c r="L264" s="1526"/>
      <c r="M264" s="1526"/>
      <c r="N264" s="1526"/>
      <c r="O264" s="1526"/>
      <c r="P264" s="1526"/>
      <c r="Q264" s="1526"/>
      <c r="R264" s="1526"/>
      <c r="S264" s="1526"/>
      <c r="T264" s="1526"/>
      <c r="U264" s="1526"/>
      <c r="V264" s="1526"/>
      <c r="W264" s="1526"/>
      <c r="X264" s="1526"/>
      <c r="Y264" s="1526"/>
      <c r="Z264" s="974"/>
      <c r="AA264" s="974"/>
      <c r="AB264" s="974"/>
      <c r="AC264" s="974"/>
      <c r="AD264" s="974"/>
      <c r="AE264" s="974"/>
    </row>
    <row r="265">
      <c r="A265" s="1526"/>
      <c r="B265" s="1526"/>
      <c r="C265" s="1526"/>
      <c r="D265" s="1526"/>
      <c r="E265" s="1526"/>
      <c r="F265" s="1526"/>
      <c r="G265" s="1526"/>
      <c r="H265" s="1526"/>
      <c r="I265" s="1526"/>
      <c r="J265" s="1526"/>
      <c r="K265" s="1526"/>
      <c r="L265" s="1526"/>
      <c r="M265" s="1526"/>
      <c r="N265" s="1526"/>
      <c r="O265" s="1526"/>
      <c r="P265" s="1526"/>
      <c r="Q265" s="1526"/>
      <c r="R265" s="1526"/>
      <c r="S265" s="1526"/>
      <c r="T265" s="1526"/>
      <c r="U265" s="1526"/>
      <c r="V265" s="1526"/>
      <c r="W265" s="1526"/>
      <c r="X265" s="1526"/>
      <c r="Y265" s="1526"/>
      <c r="Z265" s="974"/>
      <c r="AA265" s="974"/>
      <c r="AB265" s="974"/>
      <c r="AC265" s="974"/>
      <c r="AD265" s="974"/>
      <c r="AE265" s="974"/>
    </row>
    <row r="266">
      <c r="A266" s="1526"/>
      <c r="B266" s="1526"/>
      <c r="C266" s="1526"/>
      <c r="D266" s="1526"/>
      <c r="E266" s="1526"/>
      <c r="F266" s="1526"/>
      <c r="G266" s="1526"/>
      <c r="H266" s="1526"/>
      <c r="I266" s="1526"/>
      <c r="J266" s="1526"/>
      <c r="K266" s="1526"/>
      <c r="L266" s="1526"/>
      <c r="M266" s="1526"/>
      <c r="N266" s="1526"/>
      <c r="O266" s="1526"/>
      <c r="P266" s="1526"/>
      <c r="Q266" s="1526"/>
      <c r="R266" s="1526"/>
      <c r="S266" s="1526"/>
      <c r="T266" s="1526"/>
      <c r="U266" s="1526"/>
      <c r="V266" s="1526"/>
      <c r="W266" s="1526"/>
      <c r="X266" s="1526"/>
      <c r="Y266" s="1526"/>
      <c r="Z266" s="974"/>
      <c r="AA266" s="974"/>
      <c r="AB266" s="974"/>
      <c r="AC266" s="974"/>
      <c r="AD266" s="974"/>
      <c r="AE266" s="974"/>
    </row>
    <row r="267">
      <c r="A267" s="1526"/>
      <c r="B267" s="1526"/>
      <c r="C267" s="1526"/>
      <c r="D267" s="1526"/>
      <c r="E267" s="1526"/>
      <c r="F267" s="1526"/>
      <c r="G267" s="1526"/>
      <c r="H267" s="1526"/>
      <c r="I267" s="1526"/>
      <c r="J267" s="1526"/>
      <c r="K267" s="1526"/>
      <c r="L267" s="1526"/>
      <c r="M267" s="1526"/>
      <c r="N267" s="1526"/>
      <c r="O267" s="1526"/>
      <c r="P267" s="1526"/>
      <c r="Q267" s="1526"/>
      <c r="R267" s="1526"/>
      <c r="S267" s="1526"/>
      <c r="T267" s="1526"/>
      <c r="U267" s="1526"/>
      <c r="V267" s="1526"/>
      <c r="W267" s="1526"/>
      <c r="X267" s="1526"/>
      <c r="Y267" s="1526"/>
      <c r="Z267" s="974"/>
      <c r="AA267" s="974"/>
      <c r="AB267" s="974"/>
      <c r="AC267" s="974"/>
      <c r="AD267" s="974"/>
      <c r="AE267" s="974"/>
    </row>
    <row r="268">
      <c r="A268" s="1526"/>
      <c r="B268" s="1526"/>
      <c r="C268" s="1526"/>
      <c r="D268" s="1526"/>
      <c r="E268" s="1526"/>
      <c r="F268" s="1526"/>
      <c r="G268" s="1526"/>
      <c r="H268" s="1526"/>
      <c r="I268" s="1526"/>
      <c r="J268" s="1526"/>
      <c r="K268" s="1526"/>
      <c r="L268" s="1526"/>
      <c r="M268" s="1526"/>
      <c r="N268" s="1526"/>
      <c r="O268" s="1526"/>
      <c r="P268" s="1526"/>
      <c r="Q268" s="1526"/>
      <c r="R268" s="1526"/>
      <c r="S268" s="1526"/>
      <c r="T268" s="1526"/>
      <c r="U268" s="1526"/>
      <c r="V268" s="1526"/>
      <c r="W268" s="1526"/>
      <c r="X268" s="1526"/>
      <c r="Y268" s="1526"/>
      <c r="Z268" s="974"/>
      <c r="AA268" s="974"/>
      <c r="AB268" s="974"/>
      <c r="AC268" s="974"/>
      <c r="AD268" s="974"/>
      <c r="AE268" s="974"/>
    </row>
    <row r="269">
      <c r="A269" s="1526"/>
      <c r="B269" s="1526"/>
      <c r="C269" s="1526"/>
      <c r="D269" s="1526"/>
      <c r="E269" s="1526"/>
      <c r="F269" s="1526"/>
      <c r="G269" s="1526"/>
      <c r="H269" s="1526"/>
      <c r="I269" s="1526"/>
      <c r="J269" s="1526"/>
      <c r="K269" s="1526"/>
      <c r="L269" s="1526"/>
      <c r="M269" s="1526"/>
      <c r="N269" s="1526"/>
      <c r="O269" s="1526"/>
      <c r="P269" s="1526"/>
      <c r="Q269" s="1526"/>
      <c r="R269" s="1526"/>
      <c r="S269" s="1526"/>
      <c r="T269" s="1526"/>
      <c r="U269" s="1526"/>
      <c r="V269" s="1526"/>
      <c r="W269" s="1526"/>
      <c r="X269" s="1526"/>
      <c r="Y269" s="1526"/>
      <c r="Z269" s="974"/>
      <c r="AA269" s="974"/>
      <c r="AB269" s="974"/>
      <c r="AC269" s="974"/>
      <c r="AD269" s="974"/>
      <c r="AE269" s="974"/>
    </row>
    <row r="270">
      <c r="A270" s="1526"/>
      <c r="B270" s="1526"/>
      <c r="C270" s="1526"/>
      <c r="D270" s="1526"/>
      <c r="E270" s="1526"/>
      <c r="F270" s="1526"/>
      <c r="G270" s="1526"/>
      <c r="H270" s="1526"/>
      <c r="I270" s="1526"/>
      <c r="J270" s="1526"/>
      <c r="K270" s="1526"/>
      <c r="L270" s="1526"/>
      <c r="M270" s="1526"/>
      <c r="N270" s="1526"/>
      <c r="O270" s="1526"/>
      <c r="P270" s="1526"/>
      <c r="Q270" s="1526"/>
      <c r="R270" s="1526"/>
      <c r="S270" s="1526"/>
      <c r="T270" s="1526"/>
      <c r="U270" s="1526"/>
      <c r="V270" s="1526"/>
      <c r="W270" s="1526"/>
      <c r="X270" s="1526"/>
      <c r="Y270" s="1526"/>
      <c r="Z270" s="974"/>
      <c r="AA270" s="974"/>
      <c r="AB270" s="974"/>
      <c r="AC270" s="974"/>
      <c r="AD270" s="974"/>
      <c r="AE270" s="974"/>
    </row>
    <row r="271">
      <c r="A271" s="1526"/>
      <c r="B271" s="1526"/>
      <c r="C271" s="1526"/>
      <c r="D271" s="1526"/>
      <c r="E271" s="1526"/>
      <c r="F271" s="1526"/>
      <c r="G271" s="1526"/>
      <c r="H271" s="1526"/>
      <c r="I271" s="1526"/>
      <c r="J271" s="1526"/>
      <c r="K271" s="1526"/>
      <c r="L271" s="1526"/>
      <c r="M271" s="1526"/>
      <c r="N271" s="1526"/>
      <c r="O271" s="1526"/>
      <c r="P271" s="1526"/>
      <c r="Q271" s="1526"/>
      <c r="R271" s="1526"/>
      <c r="S271" s="1526"/>
      <c r="T271" s="1526"/>
      <c r="U271" s="1526"/>
      <c r="V271" s="1526"/>
      <c r="W271" s="1526"/>
      <c r="X271" s="1526"/>
      <c r="Y271" s="1526"/>
      <c r="Z271" s="974"/>
      <c r="AA271" s="974"/>
      <c r="AB271" s="974"/>
      <c r="AC271" s="974"/>
      <c r="AD271" s="974"/>
      <c r="AE271" s="974"/>
    </row>
    <row r="272">
      <c r="A272" s="1526"/>
      <c r="B272" s="1526"/>
      <c r="C272" s="1526"/>
      <c r="D272" s="1526"/>
      <c r="E272" s="1526"/>
      <c r="F272" s="1526"/>
      <c r="G272" s="1526"/>
      <c r="H272" s="1526"/>
      <c r="I272" s="1526"/>
      <c r="J272" s="1526"/>
      <c r="K272" s="1526"/>
      <c r="L272" s="1526"/>
      <c r="M272" s="1526"/>
      <c r="N272" s="1526"/>
      <c r="O272" s="1526"/>
      <c r="P272" s="1526"/>
      <c r="Q272" s="1526"/>
      <c r="R272" s="1526"/>
      <c r="S272" s="1526"/>
      <c r="T272" s="1526"/>
      <c r="U272" s="1526"/>
      <c r="V272" s="1526"/>
      <c r="W272" s="1526"/>
      <c r="X272" s="1526"/>
      <c r="Y272" s="1526"/>
      <c r="Z272" s="974"/>
      <c r="AA272" s="974"/>
      <c r="AB272" s="974"/>
      <c r="AC272" s="974"/>
      <c r="AD272" s="974"/>
      <c r="AE272" s="974"/>
    </row>
    <row r="273">
      <c r="A273" s="1526"/>
      <c r="B273" s="1526"/>
      <c r="C273" s="1526"/>
      <c r="D273" s="1526"/>
      <c r="E273" s="1526"/>
      <c r="F273" s="1526"/>
      <c r="G273" s="1526"/>
      <c r="H273" s="1526"/>
      <c r="I273" s="1526"/>
      <c r="J273" s="1526"/>
      <c r="K273" s="1526"/>
      <c r="L273" s="1526"/>
      <c r="M273" s="1526"/>
      <c r="N273" s="1526"/>
      <c r="O273" s="1526"/>
      <c r="P273" s="1526"/>
      <c r="Q273" s="1526"/>
      <c r="R273" s="1526"/>
      <c r="S273" s="1526"/>
      <c r="T273" s="1526"/>
      <c r="U273" s="1526"/>
      <c r="V273" s="1526"/>
      <c r="W273" s="1526"/>
      <c r="X273" s="1526"/>
      <c r="Y273" s="1526"/>
      <c r="Z273" s="974"/>
      <c r="AA273" s="974"/>
      <c r="AB273" s="974"/>
      <c r="AC273" s="974"/>
      <c r="AD273" s="974"/>
      <c r="AE273" s="974"/>
    </row>
    <row r="274">
      <c r="A274" s="1526"/>
      <c r="B274" s="1526"/>
      <c r="C274" s="1526"/>
      <c r="D274" s="1526"/>
      <c r="E274" s="1526"/>
      <c r="F274" s="1526"/>
      <c r="G274" s="1526"/>
      <c r="H274" s="1526"/>
      <c r="I274" s="1526"/>
      <c r="J274" s="1526"/>
      <c r="K274" s="1526"/>
      <c r="L274" s="1526"/>
      <c r="M274" s="1526"/>
      <c r="N274" s="1526"/>
      <c r="O274" s="1526"/>
      <c r="P274" s="1526"/>
      <c r="Q274" s="1526"/>
      <c r="R274" s="1526"/>
      <c r="S274" s="1526"/>
      <c r="T274" s="1526"/>
      <c r="U274" s="1526"/>
      <c r="V274" s="1526"/>
      <c r="W274" s="1526"/>
      <c r="X274" s="1526"/>
      <c r="Y274" s="1526"/>
      <c r="Z274" s="974"/>
      <c r="AA274" s="974"/>
      <c r="AB274" s="974"/>
      <c r="AC274" s="974"/>
      <c r="AD274" s="974"/>
      <c r="AE274" s="974"/>
    </row>
    <row r="275">
      <c r="A275" s="1526"/>
      <c r="B275" s="1526"/>
      <c r="C275" s="1526"/>
      <c r="D275" s="1526"/>
      <c r="E275" s="1526"/>
      <c r="F275" s="1526"/>
      <c r="G275" s="1526"/>
      <c r="H275" s="1526"/>
      <c r="I275" s="1526"/>
      <c r="J275" s="1526"/>
      <c r="K275" s="1526"/>
      <c r="L275" s="1526"/>
      <c r="M275" s="1526"/>
      <c r="N275" s="1526"/>
      <c r="O275" s="1526"/>
      <c r="P275" s="1526"/>
      <c r="Q275" s="1526"/>
      <c r="R275" s="1526"/>
      <c r="S275" s="1526"/>
      <c r="T275" s="1526"/>
      <c r="U275" s="1526"/>
      <c r="V275" s="1526"/>
      <c r="W275" s="1526"/>
      <c r="X275" s="1526"/>
      <c r="Y275" s="1526"/>
      <c r="Z275" s="974"/>
      <c r="AA275" s="974"/>
      <c r="AB275" s="974"/>
      <c r="AC275" s="974"/>
      <c r="AD275" s="974"/>
      <c r="AE275" s="974"/>
    </row>
    <row r="276">
      <c r="A276" s="1526"/>
      <c r="B276" s="1526"/>
      <c r="C276" s="1526"/>
      <c r="D276" s="1526"/>
      <c r="E276" s="1526"/>
      <c r="F276" s="1526"/>
      <c r="G276" s="1526"/>
      <c r="H276" s="1526"/>
      <c r="I276" s="1526"/>
      <c r="J276" s="1526"/>
      <c r="K276" s="1526"/>
      <c r="L276" s="1526"/>
      <c r="M276" s="1526"/>
      <c r="N276" s="1526"/>
      <c r="O276" s="1526"/>
      <c r="P276" s="1526"/>
      <c r="Q276" s="1526"/>
      <c r="R276" s="1526"/>
      <c r="S276" s="1526"/>
      <c r="T276" s="1526"/>
      <c r="U276" s="1526"/>
      <c r="V276" s="1526"/>
      <c r="W276" s="1526"/>
      <c r="X276" s="1526"/>
      <c r="Y276" s="1526"/>
      <c r="Z276" s="974"/>
      <c r="AA276" s="974"/>
      <c r="AB276" s="974"/>
      <c r="AC276" s="974"/>
      <c r="AD276" s="974"/>
      <c r="AE276" s="974"/>
    </row>
    <row r="277">
      <c r="A277" s="1526"/>
      <c r="B277" s="1526"/>
      <c r="C277" s="1526"/>
      <c r="D277" s="1526"/>
      <c r="E277" s="1526"/>
      <c r="F277" s="1526"/>
      <c r="G277" s="1526"/>
      <c r="H277" s="1526"/>
      <c r="I277" s="1526"/>
      <c r="J277" s="1526"/>
      <c r="K277" s="1526"/>
      <c r="L277" s="1526"/>
      <c r="M277" s="1526"/>
      <c r="N277" s="1526"/>
      <c r="O277" s="1526"/>
      <c r="P277" s="1526"/>
      <c r="Q277" s="1526"/>
      <c r="R277" s="1526"/>
      <c r="S277" s="1526"/>
      <c r="T277" s="1526"/>
      <c r="U277" s="1526"/>
      <c r="V277" s="1526"/>
      <c r="W277" s="1526"/>
      <c r="X277" s="1526"/>
      <c r="Y277" s="1526"/>
      <c r="Z277" s="974"/>
      <c r="AA277" s="974"/>
      <c r="AB277" s="974"/>
      <c r="AC277" s="974"/>
      <c r="AD277" s="974"/>
      <c r="AE277" s="974"/>
    </row>
    <row r="278">
      <c r="A278" s="1526"/>
      <c r="B278" s="1526"/>
      <c r="C278" s="1526"/>
      <c r="D278" s="1526"/>
      <c r="E278" s="1526"/>
      <c r="F278" s="1526"/>
      <c r="G278" s="1526"/>
      <c r="H278" s="1526"/>
      <c r="I278" s="1526"/>
      <c r="J278" s="1526"/>
      <c r="K278" s="1526"/>
      <c r="L278" s="1526"/>
      <c r="M278" s="1526"/>
      <c r="N278" s="1526"/>
      <c r="O278" s="1526"/>
      <c r="P278" s="1526"/>
      <c r="Q278" s="1526"/>
      <c r="R278" s="1526"/>
      <c r="S278" s="1526"/>
      <c r="T278" s="1526"/>
      <c r="U278" s="1526"/>
      <c r="V278" s="1526"/>
      <c r="W278" s="1526"/>
      <c r="X278" s="1526"/>
      <c r="Y278" s="1526"/>
      <c r="Z278" s="974"/>
      <c r="AA278" s="974"/>
      <c r="AB278" s="974"/>
      <c r="AC278" s="974"/>
      <c r="AD278" s="974"/>
      <c r="AE278" s="974"/>
    </row>
    <row r="279">
      <c r="A279" s="1526"/>
      <c r="B279" s="1526"/>
      <c r="C279" s="1526"/>
      <c r="D279" s="1526"/>
      <c r="E279" s="1526"/>
      <c r="F279" s="1526"/>
      <c r="G279" s="1526"/>
      <c r="H279" s="1526"/>
      <c r="I279" s="1526"/>
      <c r="J279" s="1526"/>
      <c r="K279" s="1526"/>
      <c r="L279" s="1526"/>
      <c r="M279" s="1526"/>
      <c r="N279" s="1526"/>
      <c r="O279" s="1526"/>
      <c r="P279" s="1526"/>
      <c r="Q279" s="1526"/>
      <c r="R279" s="1526"/>
      <c r="S279" s="1526"/>
      <c r="T279" s="1526"/>
      <c r="U279" s="1526"/>
      <c r="V279" s="1526"/>
      <c r="W279" s="1526"/>
      <c r="X279" s="1526"/>
      <c r="Y279" s="1526"/>
      <c r="Z279" s="974"/>
      <c r="AA279" s="974"/>
      <c r="AB279" s="974"/>
      <c r="AC279" s="974"/>
      <c r="AD279" s="974"/>
      <c r="AE279" s="974"/>
    </row>
    <row r="280">
      <c r="A280" s="1526"/>
      <c r="B280" s="1526"/>
      <c r="C280" s="1526"/>
      <c r="D280" s="1526"/>
      <c r="E280" s="1526"/>
      <c r="F280" s="1526"/>
      <c r="G280" s="1526"/>
      <c r="H280" s="1526"/>
      <c r="I280" s="1526"/>
      <c r="J280" s="1526"/>
      <c r="K280" s="1526"/>
      <c r="L280" s="1526"/>
      <c r="M280" s="1526"/>
      <c r="N280" s="1526"/>
      <c r="O280" s="1526"/>
      <c r="P280" s="1526"/>
      <c r="Q280" s="1526"/>
      <c r="R280" s="1526"/>
      <c r="S280" s="1526"/>
      <c r="T280" s="1526"/>
      <c r="U280" s="1526"/>
      <c r="V280" s="1526"/>
      <c r="W280" s="1526"/>
      <c r="X280" s="1526"/>
      <c r="Y280" s="1526"/>
      <c r="Z280" s="974"/>
      <c r="AA280" s="974"/>
      <c r="AB280" s="974"/>
      <c r="AC280" s="974"/>
      <c r="AD280" s="974"/>
      <c r="AE280" s="974"/>
    </row>
    <row r="281">
      <c r="A281" s="1526"/>
      <c r="B281" s="1526"/>
      <c r="C281" s="1526"/>
      <c r="D281" s="1526"/>
      <c r="E281" s="1526"/>
      <c r="F281" s="1526"/>
      <c r="G281" s="1526"/>
      <c r="H281" s="1526"/>
      <c r="I281" s="1526"/>
      <c r="J281" s="1526"/>
      <c r="K281" s="1526"/>
      <c r="L281" s="1526"/>
      <c r="M281" s="1526"/>
      <c r="N281" s="1526"/>
      <c r="O281" s="1526"/>
      <c r="P281" s="1526"/>
      <c r="Q281" s="1526"/>
      <c r="R281" s="1526"/>
      <c r="S281" s="1526"/>
      <c r="T281" s="1526"/>
      <c r="U281" s="1526"/>
      <c r="V281" s="1526"/>
      <c r="W281" s="1526"/>
      <c r="X281" s="1526"/>
      <c r="Y281" s="1526"/>
      <c r="Z281" s="974"/>
      <c r="AA281" s="974"/>
      <c r="AB281" s="974"/>
      <c r="AC281" s="974"/>
      <c r="AD281" s="974"/>
      <c r="AE281" s="974"/>
    </row>
    <row r="282">
      <c r="A282" s="1526"/>
      <c r="B282" s="1526"/>
      <c r="C282" s="1526"/>
      <c r="D282" s="1526"/>
      <c r="E282" s="1526"/>
      <c r="F282" s="1526"/>
      <c r="G282" s="1526"/>
      <c r="H282" s="1526"/>
      <c r="I282" s="1526"/>
      <c r="J282" s="1526"/>
      <c r="K282" s="1526"/>
      <c r="L282" s="1526"/>
      <c r="M282" s="1526"/>
      <c r="N282" s="1526"/>
      <c r="O282" s="1526"/>
      <c r="P282" s="1526"/>
      <c r="Q282" s="1526"/>
      <c r="R282" s="1526"/>
      <c r="S282" s="1526"/>
      <c r="T282" s="1526"/>
      <c r="U282" s="1526"/>
      <c r="V282" s="1526"/>
      <c r="W282" s="1526"/>
      <c r="X282" s="1526"/>
      <c r="Y282" s="1526"/>
      <c r="Z282" s="974"/>
      <c r="AA282" s="974"/>
      <c r="AB282" s="974"/>
      <c r="AC282" s="974"/>
      <c r="AD282" s="974"/>
      <c r="AE282" s="974"/>
    </row>
    <row r="283">
      <c r="A283" s="1526"/>
      <c r="B283" s="1526"/>
      <c r="C283" s="1526"/>
      <c r="D283" s="1526"/>
      <c r="E283" s="1526"/>
      <c r="F283" s="1526"/>
      <c r="G283" s="1526"/>
      <c r="H283" s="1526"/>
      <c r="I283" s="1526"/>
      <c r="J283" s="1526"/>
      <c r="K283" s="1526"/>
      <c r="L283" s="1526"/>
      <c r="M283" s="1526"/>
      <c r="N283" s="1526"/>
      <c r="O283" s="1526"/>
      <c r="P283" s="1526"/>
      <c r="Q283" s="1526"/>
      <c r="R283" s="1526"/>
      <c r="S283" s="1526"/>
      <c r="T283" s="1526"/>
      <c r="U283" s="1526"/>
      <c r="V283" s="1526"/>
      <c r="W283" s="1526"/>
      <c r="X283" s="1526"/>
      <c r="Y283" s="1526"/>
      <c r="Z283" s="974"/>
      <c r="AA283" s="974"/>
      <c r="AB283" s="974"/>
      <c r="AC283" s="974"/>
      <c r="AD283" s="974"/>
      <c r="AE283" s="974"/>
    </row>
    <row r="284">
      <c r="A284" s="1526"/>
      <c r="B284" s="1526"/>
      <c r="C284" s="1526"/>
      <c r="D284" s="1526"/>
      <c r="E284" s="1526"/>
      <c r="F284" s="1526"/>
      <c r="G284" s="1526"/>
      <c r="H284" s="1526"/>
      <c r="I284" s="1526"/>
      <c r="J284" s="1526"/>
      <c r="K284" s="1526"/>
      <c r="L284" s="1526"/>
      <c r="M284" s="1526"/>
      <c r="N284" s="1526"/>
      <c r="O284" s="1526"/>
      <c r="P284" s="1526"/>
      <c r="Q284" s="1526"/>
      <c r="R284" s="1526"/>
      <c r="S284" s="1526"/>
      <c r="T284" s="1526"/>
      <c r="U284" s="1526"/>
      <c r="V284" s="1526"/>
      <c r="W284" s="1526"/>
      <c r="X284" s="1526"/>
      <c r="Y284" s="1526"/>
      <c r="Z284" s="974"/>
      <c r="AA284" s="974"/>
      <c r="AB284" s="974"/>
      <c r="AC284" s="974"/>
      <c r="AD284" s="974"/>
      <c r="AE284" s="974"/>
    </row>
    <row r="285">
      <c r="A285" s="1526"/>
      <c r="B285" s="1526"/>
      <c r="C285" s="1526"/>
      <c r="D285" s="1526"/>
      <c r="E285" s="1526"/>
      <c r="F285" s="1526"/>
      <c r="G285" s="1526"/>
      <c r="H285" s="1526"/>
      <c r="I285" s="1526"/>
      <c r="J285" s="1526"/>
      <c r="K285" s="1526"/>
      <c r="L285" s="1526"/>
      <c r="M285" s="1526"/>
      <c r="N285" s="1526"/>
      <c r="O285" s="1526"/>
      <c r="P285" s="1526"/>
      <c r="Q285" s="1526"/>
      <c r="R285" s="1526"/>
      <c r="S285" s="1526"/>
      <c r="T285" s="1526"/>
      <c r="U285" s="1526"/>
      <c r="V285" s="1526"/>
      <c r="W285" s="1526"/>
      <c r="X285" s="1526"/>
      <c r="Y285" s="1526"/>
      <c r="Z285" s="974"/>
      <c r="AA285" s="974"/>
      <c r="AB285" s="974"/>
      <c r="AC285" s="974"/>
      <c r="AD285" s="974"/>
      <c r="AE285" s="974"/>
    </row>
    <row r="286">
      <c r="A286" s="1526"/>
      <c r="B286" s="1526"/>
      <c r="C286" s="1526"/>
      <c r="D286" s="1526"/>
      <c r="E286" s="1526"/>
      <c r="F286" s="1526"/>
      <c r="G286" s="1526"/>
      <c r="H286" s="1526"/>
      <c r="I286" s="1526"/>
      <c r="J286" s="1526"/>
      <c r="K286" s="1526"/>
      <c r="L286" s="1526"/>
      <c r="M286" s="1526"/>
      <c r="N286" s="1526"/>
      <c r="O286" s="1526"/>
      <c r="P286" s="1526"/>
      <c r="Q286" s="1526"/>
      <c r="R286" s="1526"/>
      <c r="S286" s="1526"/>
      <c r="T286" s="1526"/>
      <c r="U286" s="1526"/>
      <c r="V286" s="1526"/>
      <c r="W286" s="1526"/>
      <c r="X286" s="1526"/>
      <c r="Y286" s="1526"/>
      <c r="Z286" s="974"/>
      <c r="AA286" s="974"/>
      <c r="AB286" s="974"/>
      <c r="AC286" s="974"/>
      <c r="AD286" s="974"/>
      <c r="AE286" s="974"/>
    </row>
    <row r="287">
      <c r="A287" s="1526"/>
      <c r="B287" s="1526"/>
      <c r="C287" s="1526"/>
      <c r="D287" s="1526"/>
      <c r="E287" s="1526"/>
      <c r="F287" s="1526"/>
      <c r="G287" s="1526"/>
      <c r="H287" s="1526"/>
      <c r="I287" s="1526"/>
      <c r="J287" s="1526"/>
      <c r="K287" s="1526"/>
      <c r="L287" s="1526"/>
      <c r="M287" s="1526"/>
      <c r="N287" s="1526"/>
      <c r="O287" s="1526"/>
      <c r="P287" s="1526"/>
      <c r="Q287" s="1526"/>
      <c r="R287" s="1526"/>
      <c r="S287" s="1526"/>
      <c r="T287" s="1526"/>
      <c r="U287" s="1526"/>
      <c r="V287" s="1526"/>
      <c r="W287" s="1526"/>
      <c r="X287" s="1526"/>
      <c r="Y287" s="1526"/>
      <c r="Z287" s="974"/>
      <c r="AA287" s="974"/>
      <c r="AB287" s="974"/>
      <c r="AC287" s="974"/>
      <c r="AD287" s="974"/>
      <c r="AE287" s="974"/>
    </row>
    <row r="288">
      <c r="A288" s="1526"/>
      <c r="B288" s="1526"/>
      <c r="C288" s="1526"/>
      <c r="D288" s="1526"/>
      <c r="E288" s="1526"/>
      <c r="F288" s="1526"/>
      <c r="G288" s="1526"/>
      <c r="H288" s="1526"/>
      <c r="I288" s="1526"/>
      <c r="J288" s="1526"/>
      <c r="K288" s="1526"/>
      <c r="L288" s="1526"/>
      <c r="M288" s="1526"/>
      <c r="N288" s="1526"/>
      <c r="O288" s="1526"/>
      <c r="P288" s="1526"/>
      <c r="Q288" s="1526"/>
      <c r="R288" s="1526"/>
      <c r="S288" s="1526"/>
      <c r="T288" s="1526"/>
      <c r="U288" s="1526"/>
      <c r="V288" s="1526"/>
      <c r="W288" s="1526"/>
      <c r="X288" s="1526"/>
      <c r="Y288" s="1526"/>
      <c r="Z288" s="974"/>
      <c r="AA288" s="974"/>
      <c r="AB288" s="974"/>
      <c r="AC288" s="974"/>
      <c r="AD288" s="974"/>
      <c r="AE288" s="974"/>
    </row>
    <row r="289">
      <c r="A289" s="1526"/>
      <c r="B289" s="1526"/>
      <c r="C289" s="1526"/>
      <c r="D289" s="1526"/>
      <c r="E289" s="1526"/>
      <c r="F289" s="1526"/>
      <c r="G289" s="1526"/>
      <c r="H289" s="1526"/>
      <c r="I289" s="1526"/>
      <c r="J289" s="1526"/>
      <c r="K289" s="1526"/>
      <c r="L289" s="1526"/>
      <c r="M289" s="1526"/>
      <c r="N289" s="1526"/>
      <c r="O289" s="1526"/>
      <c r="P289" s="1526"/>
      <c r="Q289" s="1526"/>
      <c r="R289" s="1526"/>
      <c r="S289" s="1526"/>
      <c r="T289" s="1526"/>
      <c r="U289" s="1526"/>
      <c r="V289" s="1526"/>
      <c r="W289" s="1526"/>
      <c r="X289" s="1526"/>
      <c r="Y289" s="1526"/>
      <c r="Z289" s="974"/>
      <c r="AA289" s="974"/>
      <c r="AB289" s="974"/>
      <c r="AC289" s="974"/>
      <c r="AD289" s="974"/>
      <c r="AE289" s="974"/>
    </row>
    <row r="290">
      <c r="A290" s="1526"/>
      <c r="B290" s="1526"/>
      <c r="C290" s="1526"/>
      <c r="D290" s="1526"/>
      <c r="E290" s="1526"/>
      <c r="F290" s="1526"/>
      <c r="G290" s="1526"/>
      <c r="H290" s="1526"/>
      <c r="I290" s="1526"/>
      <c r="J290" s="1526"/>
      <c r="K290" s="1526"/>
      <c r="L290" s="1526"/>
      <c r="M290" s="1526"/>
      <c r="N290" s="1526"/>
      <c r="O290" s="1526"/>
      <c r="P290" s="1526"/>
      <c r="Q290" s="1526"/>
      <c r="R290" s="1526"/>
      <c r="S290" s="1526"/>
      <c r="T290" s="1526"/>
      <c r="U290" s="1526"/>
      <c r="V290" s="1526"/>
      <c r="W290" s="1526"/>
      <c r="X290" s="1526"/>
      <c r="Y290" s="1526"/>
      <c r="Z290" s="974"/>
      <c r="AA290" s="974"/>
      <c r="AB290" s="974"/>
      <c r="AC290" s="974"/>
      <c r="AD290" s="974"/>
      <c r="AE290" s="974"/>
    </row>
    <row r="291">
      <c r="A291" s="1526"/>
      <c r="B291" s="1526"/>
      <c r="C291" s="1526"/>
      <c r="D291" s="1526"/>
      <c r="E291" s="1526"/>
      <c r="F291" s="1526"/>
      <c r="G291" s="1526"/>
      <c r="H291" s="1526"/>
      <c r="I291" s="1526"/>
      <c r="J291" s="1526"/>
      <c r="K291" s="1526"/>
      <c r="L291" s="1526"/>
      <c r="M291" s="1526"/>
      <c r="N291" s="1526"/>
      <c r="O291" s="1526"/>
      <c r="P291" s="1526"/>
      <c r="Q291" s="1526"/>
      <c r="R291" s="1526"/>
      <c r="S291" s="1526"/>
      <c r="T291" s="1526"/>
      <c r="U291" s="1526"/>
      <c r="V291" s="1526"/>
      <c r="W291" s="1526"/>
      <c r="X291" s="1526"/>
      <c r="Y291" s="1526"/>
      <c r="Z291" s="974"/>
      <c r="AA291" s="974"/>
      <c r="AB291" s="974"/>
      <c r="AC291" s="974"/>
      <c r="AD291" s="974"/>
      <c r="AE291" s="974"/>
    </row>
    <row r="292">
      <c r="A292" s="1526"/>
      <c r="B292" s="1526"/>
      <c r="C292" s="1526"/>
      <c r="D292" s="1526"/>
      <c r="E292" s="1526"/>
      <c r="F292" s="1526"/>
      <c r="G292" s="1526"/>
      <c r="H292" s="1526"/>
      <c r="I292" s="1526"/>
      <c r="J292" s="1526"/>
      <c r="K292" s="1526"/>
      <c r="L292" s="1526"/>
      <c r="M292" s="1526"/>
      <c r="N292" s="1526"/>
      <c r="O292" s="1526"/>
      <c r="P292" s="1526"/>
      <c r="Q292" s="1526"/>
      <c r="R292" s="1526"/>
      <c r="S292" s="1526"/>
      <c r="T292" s="1526"/>
      <c r="U292" s="1526"/>
      <c r="V292" s="1526"/>
      <c r="W292" s="1526"/>
      <c r="X292" s="1526"/>
      <c r="Y292" s="1526"/>
      <c r="Z292" s="974"/>
      <c r="AA292" s="974"/>
      <c r="AB292" s="974"/>
      <c r="AC292" s="974"/>
      <c r="AD292" s="974"/>
      <c r="AE292" s="974"/>
    </row>
    <row r="293">
      <c r="A293" s="1526"/>
      <c r="B293" s="1526"/>
      <c r="C293" s="1526"/>
      <c r="D293" s="1526"/>
      <c r="E293" s="1526"/>
      <c r="F293" s="1526"/>
      <c r="G293" s="1526"/>
      <c r="H293" s="1526"/>
      <c r="I293" s="1526"/>
      <c r="J293" s="1526"/>
      <c r="K293" s="1526"/>
      <c r="L293" s="1526"/>
      <c r="M293" s="1526"/>
      <c r="N293" s="1526"/>
      <c r="O293" s="1526"/>
      <c r="P293" s="1526"/>
      <c r="Q293" s="1526"/>
      <c r="R293" s="1526"/>
      <c r="S293" s="1526"/>
      <c r="T293" s="1526"/>
      <c r="U293" s="1526"/>
      <c r="V293" s="1526"/>
      <c r="W293" s="1526"/>
      <c r="X293" s="1526"/>
      <c r="Y293" s="1526"/>
      <c r="Z293" s="974"/>
      <c r="AA293" s="974"/>
      <c r="AB293" s="974"/>
      <c r="AC293" s="974"/>
      <c r="AD293" s="974"/>
      <c r="AE293" s="974"/>
    </row>
    <row r="294">
      <c r="A294" s="1526"/>
      <c r="B294" s="1526"/>
      <c r="C294" s="1526"/>
      <c r="D294" s="1526"/>
      <c r="E294" s="1526"/>
      <c r="F294" s="1526"/>
      <c r="G294" s="1526"/>
      <c r="H294" s="1526"/>
      <c r="I294" s="1526"/>
      <c r="J294" s="1526"/>
      <c r="K294" s="1526"/>
      <c r="L294" s="1526"/>
      <c r="M294" s="1526"/>
      <c r="N294" s="1526"/>
      <c r="O294" s="1526"/>
      <c r="P294" s="1526"/>
      <c r="Q294" s="1526"/>
      <c r="R294" s="1526"/>
      <c r="S294" s="1526"/>
      <c r="T294" s="1526"/>
      <c r="U294" s="1526"/>
      <c r="V294" s="1526"/>
      <c r="W294" s="1526"/>
      <c r="X294" s="1526"/>
      <c r="Y294" s="1526"/>
      <c r="Z294" s="974"/>
      <c r="AA294" s="974"/>
      <c r="AB294" s="974"/>
      <c r="AC294" s="974"/>
      <c r="AD294" s="974"/>
      <c r="AE294" s="974"/>
    </row>
    <row r="295">
      <c r="A295" s="1526"/>
      <c r="B295" s="1526"/>
      <c r="C295" s="1526"/>
      <c r="D295" s="1526"/>
      <c r="E295" s="1526"/>
      <c r="F295" s="1526"/>
      <c r="G295" s="1526"/>
      <c r="H295" s="1526"/>
      <c r="I295" s="1526"/>
      <c r="J295" s="1526"/>
      <c r="K295" s="1526"/>
      <c r="L295" s="1526"/>
      <c r="M295" s="1526"/>
      <c r="N295" s="1526"/>
      <c r="O295" s="1526"/>
      <c r="P295" s="1526"/>
      <c r="Q295" s="1526"/>
      <c r="R295" s="1526"/>
      <c r="S295" s="1526"/>
      <c r="T295" s="1526"/>
      <c r="U295" s="1526"/>
      <c r="V295" s="1526"/>
      <c r="W295" s="1526"/>
      <c r="X295" s="1526"/>
      <c r="Y295" s="1526"/>
      <c r="Z295" s="974"/>
      <c r="AA295" s="974"/>
      <c r="AB295" s="974"/>
      <c r="AC295" s="974"/>
      <c r="AD295" s="974"/>
      <c r="AE295" s="974"/>
    </row>
    <row r="296">
      <c r="A296" s="1526"/>
      <c r="B296" s="1526"/>
      <c r="C296" s="1526"/>
      <c r="D296" s="1526"/>
      <c r="E296" s="1526"/>
      <c r="F296" s="1526"/>
      <c r="G296" s="1526"/>
      <c r="H296" s="1526"/>
      <c r="I296" s="1526"/>
      <c r="J296" s="1526"/>
      <c r="K296" s="1526"/>
      <c r="L296" s="1526"/>
      <c r="M296" s="1526"/>
      <c r="N296" s="1526"/>
      <c r="O296" s="1526"/>
      <c r="P296" s="1526"/>
      <c r="Q296" s="1526"/>
      <c r="R296" s="1526"/>
      <c r="S296" s="1526"/>
      <c r="T296" s="1526"/>
      <c r="U296" s="1526"/>
      <c r="V296" s="1526"/>
      <c r="W296" s="1526"/>
      <c r="X296" s="1526"/>
      <c r="Y296" s="1526"/>
      <c r="Z296" s="974"/>
      <c r="AA296" s="974"/>
      <c r="AB296" s="974"/>
      <c r="AC296" s="974"/>
      <c r="AD296" s="974"/>
      <c r="AE296" s="974"/>
    </row>
    <row r="297">
      <c r="A297" s="1526"/>
      <c r="B297" s="1526"/>
      <c r="C297" s="1526"/>
      <c r="D297" s="1526"/>
      <c r="E297" s="1526"/>
      <c r="F297" s="1526"/>
      <c r="G297" s="1526"/>
      <c r="H297" s="1526"/>
      <c r="I297" s="1526"/>
      <c r="J297" s="1526"/>
      <c r="K297" s="1526"/>
      <c r="L297" s="1526"/>
      <c r="M297" s="1526"/>
      <c r="N297" s="1526"/>
      <c r="O297" s="1526"/>
      <c r="P297" s="1526"/>
      <c r="Q297" s="1526"/>
      <c r="R297" s="1526"/>
      <c r="S297" s="1526"/>
      <c r="T297" s="1526"/>
      <c r="U297" s="1526"/>
      <c r="V297" s="1526"/>
      <c r="W297" s="1526"/>
      <c r="X297" s="1526"/>
      <c r="Y297" s="1526"/>
      <c r="Z297" s="974"/>
      <c r="AA297" s="974"/>
      <c r="AB297" s="974"/>
      <c r="AC297" s="974"/>
      <c r="AD297" s="974"/>
      <c r="AE297" s="974"/>
    </row>
    <row r="298">
      <c r="A298" s="1526"/>
      <c r="B298" s="1526"/>
      <c r="C298" s="1526"/>
      <c r="D298" s="1526"/>
      <c r="E298" s="1526"/>
      <c r="F298" s="1526"/>
      <c r="G298" s="1526"/>
      <c r="H298" s="1526"/>
      <c r="I298" s="1526"/>
      <c r="J298" s="1526"/>
      <c r="K298" s="1526"/>
      <c r="L298" s="1526"/>
      <c r="M298" s="1526"/>
      <c r="N298" s="1526"/>
      <c r="O298" s="1526"/>
      <c r="P298" s="1526"/>
      <c r="Q298" s="1526"/>
      <c r="R298" s="1526"/>
      <c r="S298" s="1526"/>
      <c r="T298" s="1526"/>
      <c r="U298" s="1526"/>
      <c r="V298" s="1526"/>
      <c r="W298" s="1526"/>
      <c r="X298" s="1526"/>
      <c r="Y298" s="1526"/>
      <c r="Z298" s="974"/>
      <c r="AA298" s="974"/>
      <c r="AB298" s="974"/>
      <c r="AC298" s="974"/>
      <c r="AD298" s="974"/>
      <c r="AE298" s="974"/>
    </row>
    <row r="299">
      <c r="A299" s="1526"/>
      <c r="B299" s="1526"/>
      <c r="C299" s="1526"/>
      <c r="D299" s="1526"/>
      <c r="E299" s="1526"/>
      <c r="F299" s="1526"/>
      <c r="G299" s="1526"/>
      <c r="H299" s="1526"/>
      <c r="I299" s="1526"/>
      <c r="J299" s="1526"/>
      <c r="K299" s="1526"/>
      <c r="L299" s="1526"/>
      <c r="M299" s="1526"/>
      <c r="N299" s="1526"/>
      <c r="O299" s="1526"/>
      <c r="P299" s="1526"/>
      <c r="Q299" s="1526"/>
      <c r="R299" s="1526"/>
      <c r="S299" s="1526"/>
      <c r="T299" s="1526"/>
      <c r="U299" s="1526"/>
      <c r="V299" s="1526"/>
      <c r="W299" s="1526"/>
      <c r="X299" s="1526"/>
      <c r="Y299" s="1526"/>
      <c r="Z299" s="974"/>
      <c r="AA299" s="974"/>
      <c r="AB299" s="974"/>
      <c r="AC299" s="974"/>
      <c r="AD299" s="974"/>
      <c r="AE299" s="974"/>
    </row>
    <row r="300">
      <c r="A300" s="1526"/>
      <c r="B300" s="1526"/>
      <c r="C300" s="1526"/>
      <c r="D300" s="1526"/>
      <c r="E300" s="1526"/>
      <c r="F300" s="1526"/>
      <c r="G300" s="1526"/>
      <c r="H300" s="1526"/>
      <c r="I300" s="1526"/>
      <c r="J300" s="1526"/>
      <c r="K300" s="1526"/>
      <c r="L300" s="1526"/>
      <c r="M300" s="1526"/>
      <c r="N300" s="1526"/>
      <c r="O300" s="1526"/>
      <c r="P300" s="1526"/>
      <c r="Q300" s="1526"/>
      <c r="R300" s="1526"/>
      <c r="S300" s="1526"/>
      <c r="T300" s="1526"/>
      <c r="U300" s="1526"/>
      <c r="V300" s="1526"/>
      <c r="W300" s="1526"/>
      <c r="X300" s="1526"/>
      <c r="Y300" s="1526"/>
      <c r="Z300" s="974"/>
      <c r="AA300" s="974"/>
      <c r="AB300" s="974"/>
      <c r="AC300" s="974"/>
      <c r="AD300" s="974"/>
      <c r="AE300" s="974"/>
    </row>
    <row r="301">
      <c r="A301" s="1526"/>
      <c r="B301" s="1526"/>
      <c r="C301" s="1526"/>
      <c r="D301" s="1526"/>
      <c r="E301" s="1526"/>
      <c r="F301" s="1526"/>
      <c r="G301" s="1526"/>
      <c r="H301" s="1526"/>
      <c r="I301" s="1526"/>
      <c r="J301" s="1526"/>
      <c r="K301" s="1526"/>
      <c r="L301" s="1526"/>
      <c r="M301" s="1526"/>
      <c r="N301" s="1526"/>
      <c r="O301" s="1526"/>
      <c r="P301" s="1526"/>
      <c r="Q301" s="1526"/>
      <c r="R301" s="1526"/>
      <c r="S301" s="1526"/>
      <c r="T301" s="1526"/>
      <c r="U301" s="1526"/>
      <c r="V301" s="1526"/>
      <c r="W301" s="1526"/>
      <c r="X301" s="1526"/>
      <c r="Y301" s="1526"/>
      <c r="Z301" s="974"/>
      <c r="AA301" s="974"/>
      <c r="AB301" s="974"/>
      <c r="AC301" s="974"/>
      <c r="AD301" s="974"/>
      <c r="AE301" s="974"/>
    </row>
    <row r="302">
      <c r="A302" s="1526"/>
      <c r="B302" s="1526"/>
      <c r="C302" s="1526"/>
      <c r="D302" s="1526"/>
      <c r="E302" s="1526"/>
      <c r="F302" s="1526"/>
      <c r="G302" s="1526"/>
      <c r="H302" s="1526"/>
      <c r="I302" s="1526"/>
      <c r="J302" s="1526"/>
      <c r="K302" s="1526"/>
      <c r="L302" s="1526"/>
      <c r="M302" s="1526"/>
      <c r="N302" s="1526"/>
      <c r="O302" s="1526"/>
      <c r="P302" s="1526"/>
      <c r="Q302" s="1526"/>
      <c r="R302" s="1526"/>
      <c r="S302" s="1526"/>
      <c r="T302" s="1526"/>
      <c r="U302" s="1526"/>
      <c r="V302" s="1526"/>
      <c r="W302" s="1526"/>
      <c r="X302" s="1526"/>
      <c r="Y302" s="1526"/>
      <c r="Z302" s="974"/>
      <c r="AA302" s="974"/>
      <c r="AB302" s="974"/>
      <c r="AC302" s="974"/>
      <c r="AD302" s="974"/>
      <c r="AE302" s="974"/>
    </row>
    <row r="303">
      <c r="A303" s="1526"/>
      <c r="B303" s="1526"/>
      <c r="C303" s="1526"/>
      <c r="D303" s="1526"/>
      <c r="E303" s="1526"/>
      <c r="F303" s="1526"/>
      <c r="G303" s="1526"/>
      <c r="H303" s="1526"/>
      <c r="I303" s="1526"/>
      <c r="J303" s="1526"/>
      <c r="K303" s="1526"/>
      <c r="L303" s="1526"/>
      <c r="M303" s="1526"/>
      <c r="N303" s="1526"/>
      <c r="O303" s="1526"/>
      <c r="P303" s="1526"/>
      <c r="Q303" s="1526"/>
      <c r="R303" s="1526"/>
      <c r="S303" s="1526"/>
      <c r="T303" s="1526"/>
      <c r="U303" s="1526"/>
      <c r="V303" s="1526"/>
      <c r="W303" s="1526"/>
      <c r="X303" s="1526"/>
      <c r="Y303" s="1526"/>
      <c r="Z303" s="974"/>
      <c r="AA303" s="974"/>
      <c r="AB303" s="974"/>
      <c r="AC303" s="974"/>
      <c r="AD303" s="974"/>
      <c r="AE303" s="974"/>
    </row>
    <row r="304">
      <c r="A304" s="1526"/>
      <c r="B304" s="1526"/>
      <c r="C304" s="1526"/>
      <c r="D304" s="1526"/>
      <c r="E304" s="1526"/>
      <c r="F304" s="1526"/>
      <c r="G304" s="1526"/>
      <c r="H304" s="1526"/>
      <c r="I304" s="1526"/>
      <c r="J304" s="1526"/>
      <c r="K304" s="1526"/>
      <c r="L304" s="1526"/>
      <c r="M304" s="1526"/>
      <c r="N304" s="1526"/>
      <c r="O304" s="1526"/>
      <c r="P304" s="1526"/>
      <c r="Q304" s="1526"/>
      <c r="R304" s="1526"/>
      <c r="S304" s="1526"/>
      <c r="T304" s="1526"/>
      <c r="U304" s="1526"/>
      <c r="V304" s="1526"/>
      <c r="W304" s="1526"/>
      <c r="X304" s="1526"/>
      <c r="Y304" s="1526"/>
      <c r="Z304" s="974"/>
      <c r="AA304" s="974"/>
      <c r="AB304" s="974"/>
      <c r="AC304" s="974"/>
      <c r="AD304" s="974"/>
      <c r="AE304" s="974"/>
    </row>
    <row r="305">
      <c r="A305" s="1526"/>
      <c r="B305" s="1526"/>
      <c r="C305" s="1526"/>
      <c r="D305" s="1526"/>
      <c r="E305" s="1526"/>
      <c r="F305" s="1526"/>
      <c r="G305" s="1526"/>
      <c r="H305" s="1526"/>
      <c r="I305" s="1526"/>
      <c r="J305" s="1526"/>
      <c r="K305" s="1526"/>
      <c r="L305" s="1526"/>
      <c r="M305" s="1526"/>
      <c r="N305" s="1526"/>
      <c r="O305" s="1526"/>
      <c r="P305" s="1526"/>
      <c r="Q305" s="1526"/>
      <c r="R305" s="1526"/>
      <c r="S305" s="1526"/>
      <c r="T305" s="1526"/>
      <c r="U305" s="1526"/>
      <c r="V305" s="1526"/>
      <c r="W305" s="1526"/>
      <c r="X305" s="1526"/>
      <c r="Y305" s="1526"/>
      <c r="Z305" s="974"/>
      <c r="AA305" s="974"/>
      <c r="AB305" s="974"/>
      <c r="AC305" s="974"/>
      <c r="AD305" s="974"/>
      <c r="AE305" s="974"/>
    </row>
    <row r="306">
      <c r="A306" s="1526"/>
      <c r="B306" s="1526"/>
      <c r="C306" s="1526"/>
      <c r="D306" s="1526"/>
      <c r="E306" s="1526"/>
      <c r="F306" s="1526"/>
      <c r="G306" s="1526"/>
      <c r="H306" s="1526"/>
      <c r="I306" s="1526"/>
      <c r="J306" s="1526"/>
      <c r="K306" s="1526"/>
      <c r="L306" s="1526"/>
      <c r="M306" s="1526"/>
      <c r="N306" s="1526"/>
      <c r="O306" s="1526"/>
      <c r="P306" s="1526"/>
      <c r="Q306" s="1526"/>
      <c r="R306" s="1526"/>
      <c r="S306" s="1526"/>
      <c r="T306" s="1526"/>
      <c r="U306" s="1526"/>
      <c r="V306" s="1526"/>
      <c r="W306" s="1526"/>
      <c r="X306" s="1526"/>
      <c r="Y306" s="1526"/>
      <c r="Z306" s="974"/>
      <c r="AA306" s="974"/>
      <c r="AB306" s="974"/>
      <c r="AC306" s="974"/>
      <c r="AD306" s="974"/>
      <c r="AE306" s="974"/>
    </row>
    <row r="307">
      <c r="A307" s="1526"/>
      <c r="B307" s="1526"/>
      <c r="C307" s="1526"/>
      <c r="D307" s="1526"/>
      <c r="E307" s="1526"/>
      <c r="F307" s="1526"/>
      <c r="G307" s="1526"/>
      <c r="H307" s="1526"/>
      <c r="I307" s="1526"/>
      <c r="J307" s="1526"/>
      <c r="K307" s="1526"/>
      <c r="L307" s="1526"/>
      <c r="M307" s="1526"/>
      <c r="N307" s="1526"/>
      <c r="O307" s="1526"/>
      <c r="P307" s="1526"/>
      <c r="Q307" s="1526"/>
      <c r="R307" s="1526"/>
      <c r="S307" s="1526"/>
      <c r="T307" s="1526"/>
      <c r="U307" s="1526"/>
      <c r="V307" s="1526"/>
      <c r="W307" s="1526"/>
      <c r="X307" s="1526"/>
      <c r="Y307" s="1526"/>
      <c r="Z307" s="974"/>
      <c r="AA307" s="974"/>
      <c r="AB307" s="974"/>
      <c r="AC307" s="974"/>
      <c r="AD307" s="974"/>
      <c r="AE307" s="974"/>
    </row>
    <row r="308">
      <c r="A308" s="1526"/>
      <c r="B308" s="1526"/>
      <c r="C308" s="1526"/>
      <c r="D308" s="1526"/>
      <c r="E308" s="1526"/>
      <c r="F308" s="1526"/>
      <c r="G308" s="1526"/>
      <c r="H308" s="1526"/>
      <c r="I308" s="1526"/>
      <c r="J308" s="1526"/>
      <c r="K308" s="1526"/>
      <c r="L308" s="1526"/>
      <c r="M308" s="1526"/>
      <c r="N308" s="1526"/>
      <c r="O308" s="1526"/>
      <c r="P308" s="1526"/>
      <c r="Q308" s="1526"/>
      <c r="R308" s="1526"/>
      <c r="S308" s="1526"/>
      <c r="T308" s="1526"/>
      <c r="U308" s="1526"/>
      <c r="V308" s="1526"/>
      <c r="W308" s="1526"/>
      <c r="X308" s="1526"/>
      <c r="Y308" s="1526"/>
      <c r="Z308" s="974"/>
      <c r="AA308" s="974"/>
      <c r="AB308" s="974"/>
      <c r="AC308" s="974"/>
      <c r="AD308" s="974"/>
      <c r="AE308" s="974"/>
    </row>
    <row r="309">
      <c r="A309" s="1526"/>
      <c r="B309" s="1526"/>
      <c r="C309" s="1526"/>
      <c r="D309" s="1526"/>
      <c r="E309" s="1526"/>
      <c r="F309" s="1526"/>
      <c r="G309" s="1526"/>
      <c r="H309" s="1526"/>
      <c r="I309" s="1526"/>
      <c r="J309" s="1526"/>
      <c r="K309" s="1526"/>
      <c r="L309" s="1526"/>
      <c r="M309" s="1526"/>
      <c r="N309" s="1526"/>
      <c r="O309" s="1526"/>
      <c r="P309" s="1526"/>
      <c r="Q309" s="1526"/>
      <c r="R309" s="1526"/>
      <c r="S309" s="1526"/>
      <c r="T309" s="1526"/>
      <c r="U309" s="1526"/>
      <c r="V309" s="1526"/>
      <c r="W309" s="1526"/>
      <c r="X309" s="1526"/>
      <c r="Y309" s="1526"/>
      <c r="Z309" s="974"/>
      <c r="AA309" s="974"/>
      <c r="AB309" s="974"/>
      <c r="AC309" s="974"/>
      <c r="AD309" s="974"/>
      <c r="AE309" s="974"/>
    </row>
    <row r="310">
      <c r="A310" s="1526"/>
      <c r="B310" s="1526"/>
      <c r="C310" s="1526"/>
      <c r="D310" s="1526"/>
      <c r="E310" s="1526"/>
      <c r="F310" s="1526"/>
      <c r="G310" s="1526"/>
      <c r="H310" s="1526"/>
      <c r="I310" s="1526"/>
      <c r="J310" s="1526"/>
      <c r="K310" s="1526"/>
      <c r="L310" s="1526"/>
      <c r="M310" s="1526"/>
      <c r="N310" s="1526"/>
      <c r="O310" s="1526"/>
      <c r="P310" s="1526"/>
      <c r="Q310" s="1526"/>
      <c r="R310" s="1526"/>
      <c r="S310" s="1526"/>
      <c r="T310" s="1526"/>
      <c r="U310" s="1526"/>
      <c r="V310" s="1526"/>
      <c r="W310" s="1526"/>
      <c r="X310" s="1526"/>
      <c r="Y310" s="1526"/>
      <c r="Z310" s="974"/>
      <c r="AA310" s="974"/>
      <c r="AB310" s="974"/>
      <c r="AC310" s="974"/>
      <c r="AD310" s="974"/>
      <c r="AE310" s="974"/>
    </row>
    <row r="311">
      <c r="A311" s="1526"/>
      <c r="B311" s="1526"/>
      <c r="C311" s="1526"/>
      <c r="D311" s="1526"/>
      <c r="E311" s="1526"/>
      <c r="F311" s="1526"/>
      <c r="G311" s="1526"/>
      <c r="H311" s="1526"/>
      <c r="I311" s="1526"/>
      <c r="J311" s="1526"/>
      <c r="K311" s="1526"/>
      <c r="L311" s="1526"/>
      <c r="M311" s="1526"/>
      <c r="N311" s="1526"/>
      <c r="O311" s="1526"/>
      <c r="P311" s="1526"/>
      <c r="Q311" s="1526"/>
      <c r="R311" s="1526"/>
      <c r="S311" s="1526"/>
      <c r="T311" s="1526"/>
      <c r="U311" s="1526"/>
      <c r="V311" s="1526"/>
      <c r="W311" s="1526"/>
      <c r="X311" s="1526"/>
      <c r="Y311" s="1526"/>
      <c r="Z311" s="974"/>
      <c r="AA311" s="974"/>
      <c r="AB311" s="974"/>
      <c r="AC311" s="974"/>
      <c r="AD311" s="974"/>
      <c r="AE311" s="974"/>
    </row>
    <row r="312">
      <c r="A312" s="1526"/>
      <c r="B312" s="1526"/>
      <c r="C312" s="1526"/>
      <c r="D312" s="1526"/>
      <c r="E312" s="1526"/>
      <c r="F312" s="1526"/>
      <c r="G312" s="1526"/>
      <c r="H312" s="1526"/>
      <c r="I312" s="1526"/>
      <c r="J312" s="1526"/>
      <c r="K312" s="1526"/>
      <c r="L312" s="1526"/>
      <c r="M312" s="1526"/>
      <c r="N312" s="1526"/>
      <c r="O312" s="1526"/>
      <c r="P312" s="1526"/>
      <c r="Q312" s="1526"/>
      <c r="R312" s="1526"/>
      <c r="S312" s="1526"/>
      <c r="T312" s="1526"/>
      <c r="U312" s="1526"/>
      <c r="V312" s="1526"/>
      <c r="W312" s="1526"/>
      <c r="X312" s="1526"/>
      <c r="Y312" s="1526"/>
      <c r="Z312" s="974"/>
      <c r="AA312" s="974"/>
      <c r="AB312" s="974"/>
      <c r="AC312" s="974"/>
      <c r="AD312" s="974"/>
      <c r="AE312" s="974"/>
    </row>
    <row r="313">
      <c r="A313" s="1526"/>
      <c r="B313" s="1526"/>
      <c r="C313" s="1526"/>
      <c r="D313" s="1526"/>
      <c r="E313" s="1526"/>
      <c r="F313" s="1526"/>
      <c r="G313" s="1526"/>
      <c r="H313" s="1526"/>
      <c r="I313" s="1526"/>
      <c r="J313" s="1526"/>
      <c r="K313" s="1526"/>
      <c r="L313" s="1526"/>
      <c r="M313" s="1526"/>
      <c r="N313" s="1526"/>
      <c r="O313" s="1526"/>
      <c r="P313" s="1526"/>
      <c r="Q313" s="1526"/>
      <c r="R313" s="1526"/>
      <c r="S313" s="1526"/>
      <c r="T313" s="1526"/>
      <c r="U313" s="1526"/>
      <c r="V313" s="1526"/>
      <c r="W313" s="1526"/>
      <c r="X313" s="1526"/>
      <c r="Y313" s="1526"/>
      <c r="Z313" s="974"/>
      <c r="AA313" s="974"/>
      <c r="AB313" s="974"/>
      <c r="AC313" s="974"/>
      <c r="AD313" s="974"/>
      <c r="AE313" s="974"/>
    </row>
    <row r="314">
      <c r="A314" s="1526"/>
      <c r="B314" s="1526"/>
      <c r="C314" s="1526"/>
      <c r="D314" s="1526"/>
      <c r="E314" s="1526"/>
      <c r="F314" s="1526"/>
      <c r="G314" s="1526"/>
      <c r="H314" s="1526"/>
      <c r="I314" s="1526"/>
      <c r="J314" s="1526"/>
      <c r="K314" s="1526"/>
      <c r="L314" s="1526"/>
      <c r="M314" s="1526"/>
      <c r="N314" s="1526"/>
      <c r="O314" s="1526"/>
      <c r="P314" s="1526"/>
      <c r="Q314" s="1526"/>
      <c r="R314" s="1526"/>
      <c r="S314" s="1526"/>
      <c r="T314" s="1526"/>
      <c r="U314" s="1526"/>
      <c r="V314" s="1526"/>
      <c r="W314" s="1526"/>
      <c r="X314" s="1526"/>
      <c r="Y314" s="1526"/>
      <c r="Z314" s="974"/>
      <c r="AA314" s="974"/>
      <c r="AB314" s="974"/>
      <c r="AC314" s="974"/>
      <c r="AD314" s="974"/>
      <c r="AE314" s="974"/>
    </row>
    <row r="315">
      <c r="A315" s="1526"/>
      <c r="B315" s="1526"/>
      <c r="C315" s="1526"/>
      <c r="D315" s="1526"/>
      <c r="E315" s="1526"/>
      <c r="F315" s="1526"/>
      <c r="G315" s="1526"/>
      <c r="H315" s="1526"/>
      <c r="I315" s="1526"/>
      <c r="J315" s="1526"/>
      <c r="K315" s="1526"/>
      <c r="L315" s="1526"/>
      <c r="M315" s="1526"/>
      <c r="N315" s="1526"/>
      <c r="O315" s="1526"/>
      <c r="P315" s="1526"/>
      <c r="Q315" s="1526"/>
      <c r="R315" s="1526"/>
      <c r="S315" s="1526"/>
      <c r="T315" s="1526"/>
      <c r="U315" s="1526"/>
      <c r="V315" s="1526"/>
      <c r="W315" s="1526"/>
      <c r="X315" s="1526"/>
      <c r="Y315" s="1526"/>
      <c r="Z315" s="974"/>
      <c r="AA315" s="974"/>
      <c r="AB315" s="974"/>
      <c r="AC315" s="974"/>
      <c r="AD315" s="974"/>
      <c r="AE315" s="974"/>
    </row>
    <row r="316">
      <c r="A316" s="1526"/>
      <c r="B316" s="1526"/>
      <c r="C316" s="1526"/>
      <c r="D316" s="1526"/>
      <c r="E316" s="1526"/>
      <c r="F316" s="1526"/>
      <c r="G316" s="1526"/>
      <c r="H316" s="1526"/>
      <c r="I316" s="1526"/>
      <c r="J316" s="1526"/>
      <c r="K316" s="1526"/>
      <c r="L316" s="1526"/>
      <c r="M316" s="1526"/>
      <c r="N316" s="1526"/>
      <c r="O316" s="1526"/>
      <c r="P316" s="1526"/>
      <c r="Q316" s="1526"/>
      <c r="R316" s="1526"/>
      <c r="S316" s="1526"/>
      <c r="T316" s="1526"/>
      <c r="U316" s="1526"/>
      <c r="V316" s="1526"/>
      <c r="W316" s="1526"/>
      <c r="X316" s="1526"/>
      <c r="Y316" s="1526"/>
      <c r="Z316" s="974"/>
      <c r="AA316" s="974"/>
      <c r="AB316" s="974"/>
      <c r="AC316" s="974"/>
      <c r="AD316" s="974"/>
      <c r="AE316" s="974"/>
    </row>
    <row r="317">
      <c r="A317" s="1526"/>
      <c r="B317" s="1526"/>
      <c r="C317" s="1526"/>
      <c r="D317" s="1526"/>
      <c r="E317" s="1526"/>
      <c r="F317" s="1526"/>
      <c r="G317" s="1526"/>
      <c r="H317" s="1526"/>
      <c r="I317" s="1526"/>
      <c r="J317" s="1526"/>
      <c r="K317" s="1526"/>
      <c r="L317" s="1526"/>
      <c r="M317" s="1526"/>
      <c r="N317" s="1526"/>
      <c r="O317" s="1526"/>
      <c r="P317" s="1526"/>
      <c r="Q317" s="1526"/>
      <c r="R317" s="1526"/>
      <c r="S317" s="1526"/>
      <c r="T317" s="1526"/>
      <c r="U317" s="1526"/>
      <c r="V317" s="1526"/>
      <c r="W317" s="1526"/>
      <c r="X317" s="1526"/>
      <c r="Y317" s="1526"/>
      <c r="Z317" s="974"/>
      <c r="AA317" s="974"/>
      <c r="AB317" s="974"/>
      <c r="AC317" s="974"/>
      <c r="AD317" s="974"/>
      <c r="AE317" s="974"/>
    </row>
    <row r="318">
      <c r="A318" s="1526"/>
      <c r="B318" s="1526"/>
      <c r="C318" s="1526"/>
      <c r="D318" s="1526"/>
      <c r="E318" s="1526"/>
      <c r="F318" s="1526"/>
      <c r="G318" s="1526"/>
      <c r="H318" s="1526"/>
      <c r="I318" s="1526"/>
      <c r="J318" s="1526"/>
      <c r="K318" s="1526"/>
      <c r="L318" s="1526"/>
      <c r="M318" s="1526"/>
      <c r="N318" s="1526"/>
      <c r="O318" s="1526"/>
      <c r="P318" s="1526"/>
      <c r="Q318" s="1526"/>
      <c r="R318" s="1526"/>
      <c r="S318" s="1526"/>
      <c r="T318" s="1526"/>
      <c r="U318" s="1526"/>
      <c r="V318" s="1526"/>
      <c r="W318" s="1526"/>
      <c r="X318" s="1526"/>
      <c r="Y318" s="1526"/>
      <c r="Z318" s="974"/>
      <c r="AA318" s="974"/>
      <c r="AB318" s="974"/>
      <c r="AC318" s="974"/>
      <c r="AD318" s="974"/>
      <c r="AE318" s="974"/>
    </row>
    <row r="319">
      <c r="A319" s="1526"/>
      <c r="B319" s="1526"/>
      <c r="C319" s="1526"/>
      <c r="D319" s="1526"/>
      <c r="E319" s="1526"/>
      <c r="F319" s="1526"/>
      <c r="G319" s="1526"/>
      <c r="H319" s="1526"/>
      <c r="I319" s="1526"/>
      <c r="J319" s="1526"/>
      <c r="K319" s="1526"/>
      <c r="L319" s="1526"/>
      <c r="M319" s="1526"/>
      <c r="N319" s="1526"/>
      <c r="O319" s="1526"/>
      <c r="P319" s="1526"/>
      <c r="Q319" s="1526"/>
      <c r="R319" s="1526"/>
      <c r="S319" s="1526"/>
      <c r="T319" s="1526"/>
      <c r="U319" s="1526"/>
      <c r="V319" s="1526"/>
      <c r="W319" s="1526"/>
      <c r="X319" s="1526"/>
      <c r="Y319" s="1526"/>
      <c r="Z319" s="974"/>
      <c r="AA319" s="974"/>
      <c r="AB319" s="974"/>
      <c r="AC319" s="974"/>
      <c r="AD319" s="974"/>
      <c r="AE319" s="974"/>
    </row>
    <row r="320">
      <c r="A320" s="1526"/>
      <c r="B320" s="1526"/>
      <c r="C320" s="1526"/>
      <c r="D320" s="1526"/>
      <c r="E320" s="1526"/>
      <c r="F320" s="1526"/>
      <c r="G320" s="1526"/>
      <c r="H320" s="1526"/>
      <c r="I320" s="1526"/>
      <c r="J320" s="1526"/>
      <c r="K320" s="1526"/>
      <c r="L320" s="1526"/>
      <c r="M320" s="1526"/>
      <c r="N320" s="1526"/>
      <c r="O320" s="1526"/>
      <c r="P320" s="1526"/>
      <c r="Q320" s="1526"/>
      <c r="R320" s="1526"/>
      <c r="S320" s="1526"/>
      <c r="T320" s="1526"/>
      <c r="U320" s="1526"/>
      <c r="V320" s="1526"/>
      <c r="W320" s="1526"/>
      <c r="X320" s="1526"/>
      <c r="Y320" s="1526"/>
      <c r="Z320" s="974"/>
      <c r="AA320" s="974"/>
      <c r="AB320" s="974"/>
      <c r="AC320" s="974"/>
      <c r="AD320" s="974"/>
      <c r="AE320" s="974"/>
    </row>
    <row r="321">
      <c r="A321" s="1526"/>
      <c r="B321" s="1526"/>
      <c r="C321" s="1526"/>
      <c r="D321" s="1526"/>
      <c r="E321" s="1526"/>
      <c r="F321" s="1526"/>
      <c r="G321" s="1526"/>
      <c r="H321" s="1526"/>
      <c r="I321" s="1526"/>
      <c r="J321" s="1526"/>
      <c r="K321" s="1526"/>
      <c r="L321" s="1526"/>
      <c r="M321" s="1526"/>
      <c r="N321" s="1526"/>
      <c r="O321" s="1526"/>
      <c r="P321" s="1526"/>
      <c r="Q321" s="1526"/>
      <c r="R321" s="1526"/>
      <c r="S321" s="1526"/>
      <c r="T321" s="1526"/>
      <c r="U321" s="1526"/>
      <c r="V321" s="1526"/>
      <c r="W321" s="1526"/>
      <c r="X321" s="1526"/>
      <c r="Y321" s="1526"/>
      <c r="Z321" s="974"/>
      <c r="AA321" s="974"/>
      <c r="AB321" s="974"/>
      <c r="AC321" s="974"/>
      <c r="AD321" s="974"/>
      <c r="AE321" s="974"/>
    </row>
    <row r="322">
      <c r="A322" s="1526"/>
      <c r="B322" s="1526"/>
      <c r="C322" s="1526"/>
      <c r="D322" s="1526"/>
      <c r="E322" s="1526"/>
      <c r="F322" s="1526"/>
      <c r="G322" s="1526"/>
      <c r="H322" s="1526"/>
      <c r="I322" s="1526"/>
      <c r="J322" s="1526"/>
      <c r="K322" s="1526"/>
      <c r="L322" s="1526"/>
      <c r="M322" s="1526"/>
      <c r="N322" s="1526"/>
      <c r="O322" s="1526"/>
      <c r="P322" s="1526"/>
      <c r="Q322" s="1526"/>
      <c r="R322" s="1526"/>
      <c r="S322" s="1526"/>
      <c r="T322" s="1526"/>
      <c r="U322" s="1526"/>
      <c r="V322" s="1526"/>
      <c r="W322" s="1526"/>
      <c r="X322" s="1526"/>
      <c r="Y322" s="1526"/>
      <c r="Z322" s="974"/>
      <c r="AA322" s="974"/>
      <c r="AB322" s="974"/>
      <c r="AC322" s="974"/>
      <c r="AD322" s="974"/>
      <c r="AE322" s="974"/>
    </row>
    <row r="323">
      <c r="A323" s="1526"/>
      <c r="B323" s="1526"/>
      <c r="C323" s="1526"/>
      <c r="D323" s="1526"/>
      <c r="E323" s="1526"/>
      <c r="F323" s="1526"/>
      <c r="G323" s="1526"/>
      <c r="H323" s="1526"/>
      <c r="I323" s="1526"/>
      <c r="J323" s="1526"/>
      <c r="K323" s="1526"/>
      <c r="L323" s="1526"/>
      <c r="M323" s="1526"/>
      <c r="N323" s="1526"/>
      <c r="O323" s="1526"/>
      <c r="P323" s="1526"/>
      <c r="Q323" s="1526"/>
      <c r="R323" s="1526"/>
      <c r="S323" s="1526"/>
      <c r="T323" s="1526"/>
      <c r="U323" s="1526"/>
      <c r="V323" s="1526"/>
      <c r="W323" s="1526"/>
      <c r="X323" s="1526"/>
      <c r="Y323" s="1526"/>
      <c r="Z323" s="974"/>
      <c r="AA323" s="974"/>
      <c r="AB323" s="974"/>
      <c r="AC323" s="974"/>
      <c r="AD323" s="974"/>
      <c r="AE323" s="974"/>
    </row>
    <row r="324">
      <c r="A324" s="1526"/>
      <c r="B324" s="1526"/>
      <c r="C324" s="1526"/>
      <c r="D324" s="1526"/>
      <c r="E324" s="1526"/>
      <c r="F324" s="1526"/>
      <c r="G324" s="1526"/>
      <c r="H324" s="1526"/>
      <c r="I324" s="1526"/>
      <c r="J324" s="1526"/>
      <c r="K324" s="1526"/>
      <c r="L324" s="1526"/>
      <c r="M324" s="1526"/>
      <c r="N324" s="1526"/>
      <c r="O324" s="1526"/>
      <c r="P324" s="1526"/>
      <c r="Q324" s="1526"/>
      <c r="R324" s="1526"/>
      <c r="S324" s="1526"/>
      <c r="T324" s="1526"/>
      <c r="U324" s="1526"/>
      <c r="V324" s="1526"/>
      <c r="W324" s="1526"/>
      <c r="X324" s="1526"/>
      <c r="Y324" s="1526"/>
      <c r="Z324" s="974"/>
      <c r="AA324" s="974"/>
      <c r="AB324" s="974"/>
      <c r="AC324" s="974"/>
      <c r="AD324" s="974"/>
      <c r="AE324" s="974"/>
    </row>
    <row r="325">
      <c r="A325" s="1526"/>
      <c r="B325" s="1526"/>
      <c r="C325" s="1526"/>
      <c r="D325" s="1526"/>
      <c r="E325" s="1526"/>
      <c r="F325" s="1526"/>
      <c r="G325" s="1526"/>
      <c r="H325" s="1526"/>
      <c r="I325" s="1526"/>
      <c r="J325" s="1526"/>
      <c r="K325" s="1526"/>
      <c r="L325" s="1526"/>
      <c r="M325" s="1526"/>
      <c r="N325" s="1526"/>
      <c r="O325" s="1526"/>
      <c r="P325" s="1526"/>
      <c r="Q325" s="1526"/>
      <c r="R325" s="1526"/>
      <c r="S325" s="1526"/>
      <c r="T325" s="1526"/>
      <c r="U325" s="1526"/>
      <c r="V325" s="1526"/>
      <c r="W325" s="1526"/>
      <c r="X325" s="1526"/>
      <c r="Y325" s="1526"/>
      <c r="Z325" s="974"/>
      <c r="AA325" s="974"/>
      <c r="AB325" s="974"/>
      <c r="AC325" s="974"/>
      <c r="AD325" s="974"/>
      <c r="AE325" s="974"/>
    </row>
    <row r="326">
      <c r="A326" s="1526"/>
      <c r="B326" s="1526"/>
      <c r="C326" s="1526"/>
      <c r="D326" s="1526"/>
      <c r="E326" s="1526"/>
      <c r="F326" s="1526"/>
      <c r="G326" s="1526"/>
      <c r="H326" s="1526"/>
      <c r="I326" s="1526"/>
      <c r="J326" s="1526"/>
      <c r="K326" s="1526"/>
      <c r="L326" s="1526"/>
      <c r="M326" s="1526"/>
      <c r="N326" s="1526"/>
      <c r="O326" s="1526"/>
      <c r="P326" s="1526"/>
      <c r="Q326" s="1526"/>
      <c r="R326" s="1526"/>
      <c r="S326" s="1526"/>
      <c r="T326" s="1526"/>
      <c r="U326" s="1526"/>
      <c r="V326" s="1526"/>
      <c r="W326" s="1526"/>
      <c r="X326" s="1526"/>
      <c r="Y326" s="1526"/>
      <c r="Z326" s="974"/>
      <c r="AA326" s="974"/>
      <c r="AB326" s="974"/>
      <c r="AC326" s="974"/>
      <c r="AD326" s="974"/>
      <c r="AE326" s="974"/>
    </row>
    <row r="327">
      <c r="A327" s="1526"/>
      <c r="B327" s="1526"/>
      <c r="C327" s="1526"/>
      <c r="D327" s="1526"/>
      <c r="E327" s="1526"/>
      <c r="F327" s="1526"/>
      <c r="G327" s="1526"/>
      <c r="H327" s="1526"/>
      <c r="I327" s="1526"/>
      <c r="J327" s="1526"/>
      <c r="K327" s="1526"/>
      <c r="L327" s="1526"/>
      <c r="M327" s="1526"/>
      <c r="N327" s="1526"/>
      <c r="O327" s="1526"/>
      <c r="P327" s="1526"/>
      <c r="Q327" s="1526"/>
      <c r="R327" s="1526"/>
      <c r="S327" s="1526"/>
      <c r="T327" s="1526"/>
      <c r="U327" s="1526"/>
      <c r="V327" s="1526"/>
      <c r="W327" s="1526"/>
      <c r="X327" s="1526"/>
      <c r="Y327" s="1526"/>
      <c r="Z327" s="974"/>
      <c r="AA327" s="974"/>
      <c r="AB327" s="974"/>
      <c r="AC327" s="974"/>
      <c r="AD327" s="974"/>
      <c r="AE327" s="974"/>
    </row>
    <row r="328">
      <c r="A328" s="1526"/>
      <c r="B328" s="1526"/>
      <c r="C328" s="1526"/>
      <c r="D328" s="1526"/>
      <c r="E328" s="1526"/>
      <c r="F328" s="1526"/>
      <c r="G328" s="1526"/>
      <c r="H328" s="1526"/>
      <c r="I328" s="1526"/>
      <c r="J328" s="1526"/>
      <c r="K328" s="1526"/>
      <c r="L328" s="1526"/>
      <c r="M328" s="1526"/>
      <c r="N328" s="1526"/>
      <c r="O328" s="1526"/>
      <c r="P328" s="1526"/>
      <c r="Q328" s="1526"/>
      <c r="R328" s="1526"/>
      <c r="S328" s="1526"/>
      <c r="T328" s="1526"/>
      <c r="U328" s="1526"/>
      <c r="V328" s="1526"/>
      <c r="W328" s="1526"/>
      <c r="X328" s="1526"/>
      <c r="Y328" s="1526"/>
      <c r="Z328" s="974"/>
      <c r="AA328" s="974"/>
      <c r="AB328" s="974"/>
      <c r="AC328" s="974"/>
      <c r="AD328" s="974"/>
      <c r="AE328" s="974"/>
    </row>
    <row r="329">
      <c r="A329" s="1526"/>
      <c r="B329" s="1526"/>
      <c r="C329" s="1526"/>
      <c r="D329" s="1526"/>
      <c r="E329" s="1526"/>
      <c r="F329" s="1526"/>
      <c r="G329" s="1526"/>
      <c r="H329" s="1526"/>
      <c r="I329" s="1526"/>
      <c r="J329" s="1526"/>
      <c r="K329" s="1526"/>
      <c r="L329" s="1526"/>
      <c r="M329" s="1526"/>
      <c r="N329" s="1526"/>
      <c r="O329" s="1526"/>
      <c r="P329" s="1526"/>
      <c r="Q329" s="1526"/>
      <c r="R329" s="1526"/>
      <c r="S329" s="1526"/>
      <c r="T329" s="1526"/>
      <c r="U329" s="1526"/>
      <c r="V329" s="1526"/>
      <c r="W329" s="1526"/>
      <c r="X329" s="1526"/>
      <c r="Y329" s="1526"/>
      <c r="Z329" s="974"/>
      <c r="AA329" s="974"/>
      <c r="AB329" s="974"/>
      <c r="AC329" s="974"/>
      <c r="AD329" s="974"/>
      <c r="AE329" s="974"/>
    </row>
    <row r="330">
      <c r="A330" s="1526"/>
      <c r="B330" s="1526"/>
      <c r="C330" s="1526"/>
      <c r="D330" s="1526"/>
      <c r="E330" s="1526"/>
      <c r="F330" s="1526"/>
      <c r="G330" s="1526"/>
      <c r="H330" s="1526"/>
      <c r="I330" s="1526"/>
      <c r="J330" s="1526"/>
      <c r="K330" s="1526"/>
      <c r="L330" s="1526"/>
      <c r="M330" s="1526"/>
      <c r="N330" s="1526"/>
      <c r="O330" s="1526"/>
      <c r="P330" s="1526"/>
      <c r="Q330" s="1526"/>
      <c r="R330" s="1526"/>
      <c r="S330" s="1526"/>
      <c r="T330" s="1526"/>
      <c r="U330" s="1526"/>
      <c r="V330" s="1526"/>
      <c r="W330" s="1526"/>
      <c r="X330" s="1526"/>
      <c r="Y330" s="1526"/>
      <c r="Z330" s="974"/>
      <c r="AA330" s="974"/>
      <c r="AB330" s="974"/>
      <c r="AC330" s="974"/>
      <c r="AD330" s="974"/>
      <c r="AE330" s="974"/>
    </row>
    <row r="331">
      <c r="A331" s="1526"/>
      <c r="B331" s="1526"/>
      <c r="C331" s="1526"/>
      <c r="D331" s="1526"/>
      <c r="E331" s="1526"/>
      <c r="F331" s="1526"/>
      <c r="G331" s="1526"/>
      <c r="H331" s="1526"/>
      <c r="I331" s="1526"/>
      <c r="J331" s="1526"/>
      <c r="K331" s="1526"/>
      <c r="L331" s="1526"/>
      <c r="M331" s="1526"/>
      <c r="N331" s="1526"/>
      <c r="O331" s="1526"/>
      <c r="P331" s="1526"/>
      <c r="Q331" s="1526"/>
      <c r="R331" s="1526"/>
      <c r="S331" s="1526"/>
      <c r="T331" s="1526"/>
      <c r="U331" s="1526"/>
      <c r="V331" s="1526"/>
      <c r="W331" s="1526"/>
      <c r="X331" s="1526"/>
      <c r="Y331" s="1526"/>
      <c r="Z331" s="974"/>
      <c r="AA331" s="974"/>
      <c r="AB331" s="974"/>
      <c r="AC331" s="974"/>
      <c r="AD331" s="974"/>
      <c r="AE331" s="974"/>
    </row>
    <row r="332">
      <c r="A332" s="1526"/>
      <c r="B332" s="1526"/>
      <c r="C332" s="1526"/>
      <c r="D332" s="1526"/>
      <c r="E332" s="1526"/>
      <c r="F332" s="1526"/>
      <c r="G332" s="1526"/>
      <c r="H332" s="1526"/>
      <c r="I332" s="1526"/>
      <c r="J332" s="1526"/>
      <c r="K332" s="1526"/>
      <c r="L332" s="1526"/>
      <c r="M332" s="1526"/>
      <c r="N332" s="1526"/>
      <c r="O332" s="1526"/>
      <c r="P332" s="1526"/>
      <c r="Q332" s="1526"/>
      <c r="R332" s="1526"/>
      <c r="S332" s="1526"/>
      <c r="T332" s="1526"/>
      <c r="U332" s="1526"/>
      <c r="V332" s="1526"/>
      <c r="W332" s="1526"/>
      <c r="X332" s="1526"/>
      <c r="Y332" s="1526"/>
      <c r="Z332" s="974"/>
      <c r="AA332" s="974"/>
      <c r="AB332" s="974"/>
      <c r="AC332" s="974"/>
      <c r="AD332" s="974"/>
      <c r="AE332" s="974"/>
    </row>
    <row r="333">
      <c r="A333" s="1526"/>
      <c r="B333" s="1526"/>
      <c r="C333" s="1526"/>
      <c r="D333" s="1526"/>
      <c r="E333" s="1526"/>
      <c r="F333" s="1526"/>
      <c r="G333" s="1526"/>
      <c r="H333" s="1526"/>
      <c r="I333" s="1526"/>
      <c r="J333" s="1526"/>
      <c r="K333" s="1526"/>
      <c r="L333" s="1526"/>
      <c r="M333" s="1526"/>
      <c r="N333" s="1526"/>
      <c r="O333" s="1526"/>
      <c r="P333" s="1526"/>
      <c r="Q333" s="1526"/>
      <c r="R333" s="1526"/>
      <c r="S333" s="1526"/>
      <c r="T333" s="1526"/>
      <c r="U333" s="1526"/>
      <c r="V333" s="1526"/>
      <c r="W333" s="1526"/>
      <c r="X333" s="1526"/>
      <c r="Y333" s="1526"/>
      <c r="Z333" s="974"/>
      <c r="AA333" s="974"/>
      <c r="AB333" s="974"/>
      <c r="AC333" s="974"/>
      <c r="AD333" s="974"/>
      <c r="AE333" s="974"/>
    </row>
    <row r="334">
      <c r="A334" s="1526"/>
      <c r="B334" s="1526"/>
      <c r="C334" s="1526"/>
      <c r="D334" s="1526"/>
      <c r="E334" s="1526"/>
      <c r="F334" s="1526"/>
      <c r="G334" s="1526"/>
      <c r="H334" s="1526"/>
      <c r="I334" s="1526"/>
      <c r="J334" s="1526"/>
      <c r="K334" s="1526"/>
      <c r="L334" s="1526"/>
      <c r="M334" s="1526"/>
      <c r="N334" s="1526"/>
      <c r="O334" s="1526"/>
      <c r="P334" s="1526"/>
      <c r="Q334" s="1526"/>
      <c r="R334" s="1526"/>
      <c r="S334" s="1526"/>
      <c r="T334" s="1526"/>
      <c r="U334" s="1526"/>
      <c r="V334" s="1526"/>
      <c r="W334" s="1526"/>
      <c r="X334" s="1526"/>
      <c r="Y334" s="1526"/>
      <c r="Z334" s="974"/>
      <c r="AA334" s="974"/>
      <c r="AB334" s="974"/>
      <c r="AC334" s="974"/>
      <c r="AD334" s="974"/>
      <c r="AE334" s="974"/>
    </row>
    <row r="335">
      <c r="A335" s="1526"/>
      <c r="B335" s="1526"/>
      <c r="C335" s="1526"/>
      <c r="D335" s="1526"/>
      <c r="E335" s="1526"/>
      <c r="F335" s="1526"/>
      <c r="G335" s="1526"/>
      <c r="H335" s="1526"/>
      <c r="I335" s="1526"/>
      <c r="J335" s="1526"/>
      <c r="K335" s="1526"/>
      <c r="L335" s="1526"/>
      <c r="M335" s="1526"/>
      <c r="N335" s="1526"/>
      <c r="O335" s="1526"/>
      <c r="P335" s="1526"/>
      <c r="Q335" s="1526"/>
      <c r="R335" s="1526"/>
      <c r="S335" s="1526"/>
      <c r="T335" s="1526"/>
      <c r="U335" s="1526"/>
      <c r="V335" s="1526"/>
      <c r="W335" s="1526"/>
      <c r="X335" s="1526"/>
      <c r="Y335" s="1526"/>
      <c r="Z335" s="974"/>
      <c r="AA335" s="974"/>
      <c r="AB335" s="974"/>
      <c r="AC335" s="974"/>
      <c r="AD335" s="974"/>
      <c r="AE335" s="974"/>
    </row>
    <row r="336">
      <c r="A336" s="1526"/>
      <c r="B336" s="1526"/>
      <c r="C336" s="1526"/>
      <c r="D336" s="1526"/>
      <c r="E336" s="1526"/>
      <c r="F336" s="1526"/>
      <c r="G336" s="1526"/>
      <c r="H336" s="1526"/>
      <c r="I336" s="1526"/>
      <c r="J336" s="1526"/>
      <c r="K336" s="1526"/>
      <c r="L336" s="1526"/>
      <c r="M336" s="1526"/>
      <c r="N336" s="1526"/>
      <c r="O336" s="1526"/>
      <c r="P336" s="1526"/>
      <c r="Q336" s="1526"/>
      <c r="R336" s="1526"/>
      <c r="S336" s="1526"/>
      <c r="T336" s="1526"/>
      <c r="U336" s="1526"/>
      <c r="V336" s="1526"/>
      <c r="W336" s="1526"/>
      <c r="X336" s="1526"/>
      <c r="Y336" s="1526"/>
      <c r="Z336" s="974"/>
      <c r="AA336" s="974"/>
      <c r="AB336" s="974"/>
      <c r="AC336" s="974"/>
      <c r="AD336" s="974"/>
      <c r="AE336" s="974"/>
    </row>
    <row r="337">
      <c r="A337" s="1526"/>
      <c r="B337" s="1526"/>
      <c r="C337" s="1526"/>
      <c r="D337" s="1526"/>
      <c r="E337" s="1526"/>
      <c r="F337" s="1526"/>
      <c r="G337" s="1526"/>
      <c r="H337" s="1526"/>
      <c r="I337" s="1526"/>
      <c r="J337" s="1526"/>
      <c r="K337" s="1526"/>
      <c r="L337" s="1526"/>
      <c r="M337" s="1526"/>
      <c r="N337" s="1526"/>
      <c r="O337" s="1526"/>
      <c r="P337" s="1526"/>
      <c r="Q337" s="1526"/>
      <c r="R337" s="1526"/>
      <c r="S337" s="1526"/>
      <c r="T337" s="1526"/>
      <c r="U337" s="1526"/>
      <c r="V337" s="1526"/>
      <c r="W337" s="1526"/>
      <c r="X337" s="1526"/>
      <c r="Y337" s="1526"/>
      <c r="Z337" s="974"/>
      <c r="AA337" s="974"/>
      <c r="AB337" s="974"/>
      <c r="AC337" s="974"/>
      <c r="AD337" s="974"/>
      <c r="AE337" s="974"/>
    </row>
    <row r="338">
      <c r="A338" s="1526"/>
      <c r="B338" s="1526"/>
      <c r="C338" s="1526"/>
      <c r="D338" s="1526"/>
      <c r="E338" s="1526"/>
      <c r="F338" s="1526"/>
      <c r="G338" s="1526"/>
      <c r="H338" s="1526"/>
      <c r="I338" s="1526"/>
      <c r="J338" s="1526"/>
      <c r="K338" s="1526"/>
      <c r="L338" s="1526"/>
      <c r="M338" s="1526"/>
      <c r="N338" s="1526"/>
      <c r="O338" s="1526"/>
      <c r="P338" s="1526"/>
      <c r="Q338" s="1526"/>
      <c r="R338" s="1526"/>
      <c r="S338" s="1526"/>
      <c r="T338" s="1526"/>
      <c r="U338" s="1526"/>
      <c r="V338" s="1526"/>
      <c r="W338" s="1526"/>
      <c r="X338" s="1526"/>
      <c r="Y338" s="1526"/>
      <c r="Z338" s="974"/>
      <c r="AA338" s="974"/>
      <c r="AB338" s="974"/>
      <c r="AC338" s="974"/>
      <c r="AD338" s="974"/>
      <c r="AE338" s="974"/>
    </row>
    <row r="339">
      <c r="A339" s="1526"/>
      <c r="B339" s="1526"/>
      <c r="C339" s="1526"/>
      <c r="D339" s="1526"/>
      <c r="E339" s="1526"/>
      <c r="F339" s="1526"/>
      <c r="G339" s="1526"/>
      <c r="H339" s="1526"/>
      <c r="I339" s="1526"/>
      <c r="J339" s="1526"/>
      <c r="K339" s="1526"/>
      <c r="L339" s="1526"/>
      <c r="M339" s="1526"/>
      <c r="N339" s="1526"/>
      <c r="O339" s="1526"/>
      <c r="P339" s="1526"/>
      <c r="Q339" s="1526"/>
      <c r="R339" s="1526"/>
      <c r="S339" s="1526"/>
      <c r="T339" s="1526"/>
      <c r="U339" s="1526"/>
      <c r="V339" s="1526"/>
      <c r="W339" s="1526"/>
      <c r="X339" s="1526"/>
      <c r="Y339" s="1526"/>
      <c r="Z339" s="974"/>
      <c r="AA339" s="974"/>
      <c r="AB339" s="974"/>
      <c r="AC339" s="974"/>
      <c r="AD339" s="974"/>
      <c r="AE339" s="974"/>
    </row>
    <row r="340">
      <c r="A340" s="1526"/>
      <c r="B340" s="1526"/>
      <c r="C340" s="1526"/>
      <c r="D340" s="1526"/>
      <c r="E340" s="1526"/>
      <c r="F340" s="1526"/>
      <c r="G340" s="1526"/>
      <c r="H340" s="1526"/>
      <c r="I340" s="1526"/>
      <c r="J340" s="1526"/>
      <c r="K340" s="1526"/>
      <c r="L340" s="1526"/>
      <c r="M340" s="1526"/>
      <c r="N340" s="1526"/>
      <c r="O340" s="1526"/>
      <c r="P340" s="1526"/>
      <c r="Q340" s="1526"/>
      <c r="R340" s="1526"/>
      <c r="S340" s="1526"/>
      <c r="T340" s="1526"/>
      <c r="U340" s="1526"/>
      <c r="V340" s="1526"/>
      <c r="W340" s="1526"/>
      <c r="X340" s="1526"/>
      <c r="Y340" s="1526"/>
      <c r="Z340" s="974"/>
      <c r="AA340" s="974"/>
      <c r="AB340" s="974"/>
      <c r="AC340" s="974"/>
      <c r="AD340" s="974"/>
      <c r="AE340" s="974"/>
    </row>
    <row r="341">
      <c r="A341" s="1526"/>
      <c r="B341" s="1526"/>
      <c r="C341" s="1526"/>
      <c r="D341" s="1526"/>
      <c r="E341" s="1526"/>
      <c r="F341" s="1526"/>
      <c r="G341" s="1526"/>
      <c r="H341" s="1526"/>
      <c r="I341" s="1526"/>
      <c r="J341" s="1526"/>
      <c r="K341" s="1526"/>
      <c r="L341" s="1526"/>
      <c r="M341" s="1526"/>
      <c r="N341" s="1526"/>
      <c r="O341" s="1526"/>
      <c r="P341" s="1526"/>
      <c r="Q341" s="1526"/>
      <c r="R341" s="1526"/>
      <c r="S341" s="1526"/>
      <c r="T341" s="1526"/>
      <c r="U341" s="1526"/>
      <c r="V341" s="1526"/>
      <c r="W341" s="1526"/>
      <c r="X341" s="1526"/>
      <c r="Y341" s="1526"/>
      <c r="Z341" s="974"/>
      <c r="AA341" s="974"/>
      <c r="AB341" s="974"/>
      <c r="AC341" s="974"/>
      <c r="AD341" s="974"/>
      <c r="AE341" s="974"/>
    </row>
    <row r="342">
      <c r="A342" s="1526"/>
      <c r="B342" s="1526"/>
      <c r="C342" s="1526"/>
      <c r="D342" s="1526"/>
      <c r="E342" s="1526"/>
      <c r="F342" s="1526"/>
      <c r="G342" s="1526"/>
      <c r="H342" s="1526"/>
      <c r="I342" s="1526"/>
      <c r="J342" s="1526"/>
      <c r="K342" s="1526"/>
      <c r="L342" s="1526"/>
      <c r="M342" s="1526"/>
      <c r="N342" s="1526"/>
      <c r="O342" s="1526"/>
      <c r="P342" s="1526"/>
      <c r="Q342" s="1526"/>
      <c r="R342" s="1526"/>
      <c r="S342" s="1526"/>
      <c r="T342" s="1526"/>
      <c r="U342" s="1526"/>
      <c r="V342" s="1526"/>
      <c r="W342" s="1526"/>
      <c r="X342" s="1526"/>
      <c r="Y342" s="1526"/>
      <c r="Z342" s="974"/>
      <c r="AA342" s="974"/>
      <c r="AB342" s="974"/>
      <c r="AC342" s="974"/>
      <c r="AD342" s="974"/>
      <c r="AE342" s="974"/>
    </row>
    <row r="343">
      <c r="A343" s="1526"/>
      <c r="B343" s="1526"/>
      <c r="C343" s="1526"/>
      <c r="D343" s="1526"/>
      <c r="E343" s="1526"/>
      <c r="F343" s="1526"/>
      <c r="G343" s="1526"/>
      <c r="H343" s="1526"/>
      <c r="I343" s="1526"/>
      <c r="J343" s="1526"/>
      <c r="K343" s="1526"/>
      <c r="L343" s="1526"/>
      <c r="M343" s="1526"/>
      <c r="N343" s="1526"/>
      <c r="O343" s="1526"/>
      <c r="P343" s="1526"/>
      <c r="Q343" s="1526"/>
      <c r="R343" s="1526"/>
      <c r="S343" s="1526"/>
      <c r="T343" s="1526"/>
      <c r="U343" s="1526"/>
      <c r="V343" s="1526"/>
      <c r="W343" s="1526"/>
      <c r="X343" s="1526"/>
      <c r="Y343" s="1526"/>
      <c r="Z343" s="974"/>
      <c r="AA343" s="974"/>
      <c r="AB343" s="974"/>
      <c r="AC343" s="974"/>
      <c r="AD343" s="974"/>
      <c r="AE343" s="974"/>
    </row>
    <row r="344">
      <c r="A344" s="1526"/>
      <c r="B344" s="1526"/>
      <c r="C344" s="1526"/>
      <c r="D344" s="1526"/>
      <c r="E344" s="1526"/>
      <c r="F344" s="1526"/>
      <c r="G344" s="1526"/>
      <c r="H344" s="1526"/>
      <c r="I344" s="1526"/>
      <c r="J344" s="1526"/>
      <c r="K344" s="1526"/>
      <c r="L344" s="1526"/>
      <c r="M344" s="1526"/>
      <c r="N344" s="1526"/>
      <c r="O344" s="1526"/>
      <c r="P344" s="1526"/>
      <c r="Q344" s="1526"/>
      <c r="R344" s="1526"/>
      <c r="S344" s="1526"/>
      <c r="T344" s="1526"/>
      <c r="U344" s="1526"/>
      <c r="V344" s="1526"/>
      <c r="W344" s="1526"/>
      <c r="X344" s="1526"/>
      <c r="Y344" s="1526"/>
      <c r="Z344" s="974"/>
      <c r="AA344" s="974"/>
      <c r="AB344" s="974"/>
      <c r="AC344" s="974"/>
      <c r="AD344" s="974"/>
      <c r="AE344" s="974"/>
    </row>
    <row r="345">
      <c r="A345" s="1526"/>
      <c r="B345" s="1526"/>
      <c r="C345" s="1526"/>
      <c r="D345" s="1526"/>
      <c r="E345" s="1526"/>
      <c r="F345" s="1526"/>
      <c r="G345" s="1526"/>
      <c r="H345" s="1526"/>
      <c r="I345" s="1526"/>
      <c r="J345" s="1526"/>
      <c r="K345" s="1526"/>
      <c r="L345" s="1526"/>
      <c r="M345" s="1526"/>
      <c r="N345" s="1526"/>
      <c r="O345" s="1526"/>
      <c r="P345" s="1526"/>
      <c r="Q345" s="1526"/>
      <c r="R345" s="1526"/>
      <c r="S345" s="1526"/>
      <c r="T345" s="1526"/>
      <c r="U345" s="1526"/>
      <c r="V345" s="1526"/>
      <c r="W345" s="1526"/>
      <c r="X345" s="1526"/>
      <c r="Y345" s="1526"/>
      <c r="Z345" s="974"/>
      <c r="AA345" s="974"/>
      <c r="AB345" s="974"/>
      <c r="AC345" s="974"/>
      <c r="AD345" s="974"/>
      <c r="AE345" s="974"/>
    </row>
    <row r="346">
      <c r="A346" s="1526"/>
      <c r="B346" s="1526"/>
      <c r="C346" s="1526"/>
      <c r="D346" s="1526"/>
      <c r="E346" s="1526"/>
      <c r="F346" s="1526"/>
      <c r="G346" s="1526"/>
      <c r="H346" s="1526"/>
      <c r="I346" s="1526"/>
      <c r="J346" s="1526"/>
      <c r="K346" s="1526"/>
      <c r="L346" s="1526"/>
      <c r="M346" s="1526"/>
      <c r="N346" s="1526"/>
      <c r="O346" s="1526"/>
      <c r="P346" s="1526"/>
      <c r="Q346" s="1526"/>
      <c r="R346" s="1526"/>
      <c r="S346" s="1526"/>
      <c r="T346" s="1526"/>
      <c r="U346" s="1526"/>
      <c r="V346" s="1526"/>
      <c r="W346" s="1526"/>
      <c r="X346" s="1526"/>
      <c r="Y346" s="1526"/>
      <c r="Z346" s="974"/>
      <c r="AA346" s="974"/>
      <c r="AB346" s="974"/>
      <c r="AC346" s="974"/>
      <c r="AD346" s="974"/>
      <c r="AE346" s="974"/>
    </row>
    <row r="347">
      <c r="A347" s="1526"/>
      <c r="B347" s="1526"/>
      <c r="C347" s="1526"/>
      <c r="D347" s="1526"/>
      <c r="E347" s="1526"/>
      <c r="F347" s="1526"/>
      <c r="G347" s="1526"/>
      <c r="H347" s="1526"/>
      <c r="I347" s="1526"/>
      <c r="J347" s="1526"/>
      <c r="K347" s="1526"/>
      <c r="L347" s="1526"/>
      <c r="M347" s="1526"/>
      <c r="N347" s="1526"/>
      <c r="O347" s="1526"/>
      <c r="P347" s="1526"/>
      <c r="Q347" s="1526"/>
      <c r="R347" s="1526"/>
      <c r="S347" s="1526"/>
      <c r="T347" s="1526"/>
      <c r="U347" s="1526"/>
      <c r="V347" s="1526"/>
      <c r="W347" s="1526"/>
      <c r="X347" s="1526"/>
      <c r="Y347" s="1526"/>
      <c r="Z347" s="974"/>
      <c r="AA347" s="974"/>
      <c r="AB347" s="974"/>
      <c r="AC347" s="974"/>
      <c r="AD347" s="974"/>
      <c r="AE347" s="974"/>
    </row>
    <row r="348">
      <c r="A348" s="1526"/>
      <c r="B348" s="1526"/>
      <c r="C348" s="1526"/>
      <c r="D348" s="1526"/>
      <c r="E348" s="1526"/>
      <c r="F348" s="1526"/>
      <c r="G348" s="1526"/>
      <c r="H348" s="1526"/>
      <c r="I348" s="1526"/>
      <c r="J348" s="1526"/>
      <c r="K348" s="1526"/>
      <c r="L348" s="1526"/>
      <c r="M348" s="1526"/>
      <c r="N348" s="1526"/>
      <c r="O348" s="1526"/>
      <c r="P348" s="1526"/>
      <c r="Q348" s="1526"/>
      <c r="R348" s="1526"/>
      <c r="S348" s="1526"/>
      <c r="T348" s="1526"/>
      <c r="U348" s="1526"/>
      <c r="V348" s="1526"/>
      <c r="W348" s="1526"/>
      <c r="X348" s="1526"/>
      <c r="Y348" s="1526"/>
      <c r="Z348" s="974"/>
      <c r="AA348" s="974"/>
      <c r="AB348" s="974"/>
      <c r="AC348" s="974"/>
      <c r="AD348" s="974"/>
      <c r="AE348" s="974"/>
    </row>
    <row r="349">
      <c r="A349" s="1526"/>
      <c r="B349" s="1526"/>
      <c r="C349" s="1526"/>
      <c r="D349" s="1526"/>
      <c r="E349" s="1526"/>
      <c r="F349" s="1526"/>
      <c r="G349" s="1526"/>
      <c r="H349" s="1526"/>
      <c r="I349" s="1526"/>
      <c r="J349" s="1526"/>
      <c r="K349" s="1526"/>
      <c r="L349" s="1526"/>
      <c r="M349" s="1526"/>
      <c r="N349" s="1526"/>
      <c r="O349" s="1526"/>
      <c r="P349" s="1526"/>
      <c r="Q349" s="1526"/>
      <c r="R349" s="1526"/>
      <c r="S349" s="1526"/>
      <c r="T349" s="1526"/>
      <c r="U349" s="1526"/>
      <c r="V349" s="1526"/>
      <c r="W349" s="1526"/>
      <c r="X349" s="1526"/>
      <c r="Y349" s="1526"/>
      <c r="Z349" s="974"/>
      <c r="AA349" s="974"/>
      <c r="AB349" s="974"/>
      <c r="AC349" s="974"/>
      <c r="AD349" s="974"/>
      <c r="AE349" s="974"/>
    </row>
    <row r="350">
      <c r="A350" s="1526"/>
      <c r="B350" s="1526"/>
      <c r="C350" s="1526"/>
      <c r="D350" s="1526"/>
      <c r="E350" s="1526"/>
      <c r="F350" s="1526"/>
      <c r="G350" s="1526"/>
      <c r="H350" s="1526"/>
      <c r="I350" s="1526"/>
      <c r="J350" s="1526"/>
      <c r="K350" s="1526"/>
      <c r="L350" s="1526"/>
      <c r="M350" s="1526"/>
      <c r="N350" s="1526"/>
      <c r="O350" s="1526"/>
      <c r="P350" s="1526"/>
      <c r="Q350" s="1526"/>
      <c r="R350" s="1526"/>
      <c r="S350" s="1526"/>
      <c r="T350" s="1526"/>
      <c r="U350" s="1526"/>
      <c r="V350" s="1526"/>
      <c r="W350" s="1526"/>
      <c r="X350" s="1526"/>
      <c r="Y350" s="1526"/>
      <c r="Z350" s="974"/>
      <c r="AA350" s="974"/>
      <c r="AB350" s="974"/>
      <c r="AC350" s="974"/>
      <c r="AD350" s="974"/>
      <c r="AE350" s="974"/>
    </row>
    <row r="351">
      <c r="A351" s="1526"/>
      <c r="B351" s="1526"/>
      <c r="C351" s="1526"/>
      <c r="D351" s="1526"/>
      <c r="E351" s="1526"/>
      <c r="F351" s="1526"/>
      <c r="G351" s="1526"/>
      <c r="H351" s="1526"/>
      <c r="I351" s="1526"/>
      <c r="J351" s="1526"/>
      <c r="K351" s="1526"/>
      <c r="L351" s="1526"/>
      <c r="M351" s="1526"/>
      <c r="N351" s="1526"/>
      <c r="O351" s="1526"/>
      <c r="P351" s="1526"/>
      <c r="Q351" s="1526"/>
      <c r="R351" s="1526"/>
      <c r="S351" s="1526"/>
      <c r="T351" s="1526"/>
      <c r="U351" s="1526"/>
      <c r="V351" s="1526"/>
      <c r="W351" s="1526"/>
      <c r="X351" s="1526"/>
      <c r="Y351" s="1526"/>
      <c r="Z351" s="974"/>
      <c r="AA351" s="974"/>
      <c r="AB351" s="974"/>
      <c r="AC351" s="974"/>
      <c r="AD351" s="974"/>
      <c r="AE351" s="974"/>
    </row>
    <row r="352">
      <c r="A352" s="1526"/>
      <c r="B352" s="1526"/>
      <c r="C352" s="1526"/>
      <c r="D352" s="1526"/>
      <c r="E352" s="1526"/>
      <c r="F352" s="1526"/>
      <c r="G352" s="1526"/>
      <c r="H352" s="1526"/>
      <c r="I352" s="1526"/>
      <c r="J352" s="1526"/>
      <c r="K352" s="1526"/>
      <c r="L352" s="1526"/>
      <c r="M352" s="1526"/>
      <c r="N352" s="1526"/>
      <c r="O352" s="1526"/>
      <c r="P352" s="1526"/>
      <c r="Q352" s="1526"/>
      <c r="R352" s="1526"/>
      <c r="S352" s="1526"/>
      <c r="T352" s="1526"/>
      <c r="U352" s="1526"/>
      <c r="V352" s="1526"/>
      <c r="W352" s="1526"/>
      <c r="X352" s="1526"/>
      <c r="Y352" s="1526"/>
      <c r="Z352" s="974"/>
      <c r="AA352" s="974"/>
      <c r="AB352" s="974"/>
      <c r="AC352" s="974"/>
      <c r="AD352" s="974"/>
      <c r="AE352" s="974"/>
    </row>
    <row r="353">
      <c r="A353" s="1526"/>
      <c r="B353" s="1526"/>
      <c r="C353" s="1526"/>
      <c r="D353" s="1526"/>
      <c r="E353" s="1526"/>
      <c r="F353" s="1526"/>
      <c r="G353" s="1526"/>
      <c r="H353" s="1526"/>
      <c r="I353" s="1526"/>
      <c r="J353" s="1526"/>
      <c r="K353" s="1526"/>
      <c r="L353" s="1526"/>
      <c r="M353" s="1526"/>
      <c r="N353" s="1526"/>
      <c r="O353" s="1526"/>
      <c r="P353" s="1526"/>
      <c r="Q353" s="1526"/>
      <c r="R353" s="1526"/>
      <c r="S353" s="1526"/>
      <c r="T353" s="1526"/>
      <c r="U353" s="1526"/>
      <c r="V353" s="1526"/>
      <c r="W353" s="1526"/>
      <c r="X353" s="1526"/>
      <c r="Y353" s="1526"/>
      <c r="Z353" s="974"/>
      <c r="AA353" s="974"/>
      <c r="AB353" s="974"/>
      <c r="AC353" s="974"/>
      <c r="AD353" s="974"/>
      <c r="AE353" s="974"/>
    </row>
    <row r="354">
      <c r="A354" s="1526"/>
      <c r="B354" s="1526"/>
      <c r="C354" s="1526"/>
      <c r="D354" s="1526"/>
      <c r="E354" s="1526"/>
      <c r="F354" s="1526"/>
      <c r="G354" s="1526"/>
      <c r="H354" s="1526"/>
      <c r="I354" s="1526"/>
      <c r="J354" s="1526"/>
      <c r="K354" s="1526"/>
      <c r="L354" s="1526"/>
      <c r="M354" s="1526"/>
      <c r="N354" s="1526"/>
      <c r="O354" s="1526"/>
      <c r="P354" s="1526"/>
      <c r="Q354" s="1526"/>
      <c r="R354" s="1526"/>
      <c r="S354" s="1526"/>
      <c r="T354" s="1526"/>
      <c r="U354" s="1526"/>
      <c r="V354" s="1526"/>
      <c r="W354" s="1526"/>
      <c r="X354" s="1526"/>
      <c r="Y354" s="1526"/>
      <c r="Z354" s="974"/>
      <c r="AA354" s="974"/>
      <c r="AB354" s="974"/>
      <c r="AC354" s="974"/>
      <c r="AD354" s="974"/>
      <c r="AE354" s="974"/>
    </row>
    <row r="355">
      <c r="A355" s="1526"/>
      <c r="B355" s="1526"/>
      <c r="C355" s="1526"/>
      <c r="D355" s="1526"/>
      <c r="E355" s="1526"/>
      <c r="F355" s="1526"/>
      <c r="G355" s="1526"/>
      <c r="H355" s="1526"/>
      <c r="I355" s="1526"/>
      <c r="J355" s="1526"/>
      <c r="K355" s="1526"/>
      <c r="L355" s="1526"/>
      <c r="M355" s="1526"/>
      <c r="N355" s="1526"/>
      <c r="O355" s="1526"/>
      <c r="P355" s="1526"/>
      <c r="Q355" s="1526"/>
      <c r="R355" s="1526"/>
      <c r="S355" s="1526"/>
      <c r="T355" s="1526"/>
      <c r="U355" s="1526"/>
      <c r="V355" s="1526"/>
      <c r="W355" s="1526"/>
      <c r="X355" s="1526"/>
      <c r="Y355" s="1526"/>
      <c r="Z355" s="974"/>
      <c r="AA355" s="974"/>
      <c r="AB355" s="974"/>
      <c r="AC355" s="974"/>
      <c r="AD355" s="974"/>
      <c r="AE355" s="974"/>
    </row>
    <row r="356">
      <c r="A356" s="1526"/>
      <c r="B356" s="1526"/>
      <c r="C356" s="1526"/>
      <c r="D356" s="1526"/>
      <c r="E356" s="1526"/>
      <c r="F356" s="1526"/>
      <c r="G356" s="1526"/>
      <c r="H356" s="1526"/>
      <c r="I356" s="1526"/>
      <c r="J356" s="1526"/>
      <c r="K356" s="1526"/>
      <c r="L356" s="1526"/>
      <c r="M356" s="1526"/>
      <c r="N356" s="1526"/>
      <c r="O356" s="1526"/>
      <c r="P356" s="1526"/>
      <c r="Q356" s="1526"/>
      <c r="R356" s="1526"/>
      <c r="S356" s="1526"/>
      <c r="T356" s="1526"/>
      <c r="U356" s="1526"/>
      <c r="V356" s="1526"/>
      <c r="W356" s="1526"/>
      <c r="X356" s="1526"/>
      <c r="Y356" s="1526"/>
      <c r="Z356" s="974"/>
      <c r="AA356" s="974"/>
      <c r="AB356" s="974"/>
      <c r="AC356" s="974"/>
      <c r="AD356" s="974"/>
      <c r="AE356" s="974"/>
    </row>
    <row r="357">
      <c r="A357" s="1526"/>
      <c r="B357" s="1526"/>
      <c r="C357" s="1526"/>
      <c r="D357" s="1526"/>
      <c r="E357" s="1526"/>
      <c r="F357" s="1526"/>
      <c r="G357" s="1526"/>
      <c r="H357" s="1526"/>
      <c r="I357" s="1526"/>
      <c r="J357" s="1526"/>
      <c r="K357" s="1526"/>
      <c r="L357" s="1526"/>
      <c r="M357" s="1526"/>
      <c r="N357" s="1526"/>
      <c r="O357" s="1526"/>
      <c r="P357" s="1526"/>
      <c r="Q357" s="1526"/>
      <c r="R357" s="1526"/>
      <c r="S357" s="1526"/>
      <c r="T357" s="1526"/>
      <c r="U357" s="1526"/>
      <c r="V357" s="1526"/>
      <c r="W357" s="1526"/>
      <c r="X357" s="1526"/>
      <c r="Y357" s="1526"/>
      <c r="Z357" s="974"/>
      <c r="AA357" s="974"/>
      <c r="AB357" s="974"/>
      <c r="AC357" s="974"/>
      <c r="AD357" s="974"/>
      <c r="AE357" s="974"/>
    </row>
    <row r="358">
      <c r="A358" s="1526"/>
      <c r="B358" s="1526"/>
      <c r="C358" s="1526"/>
      <c r="D358" s="1526"/>
      <c r="E358" s="1526"/>
      <c r="F358" s="1526"/>
      <c r="G358" s="1526"/>
      <c r="H358" s="1526"/>
      <c r="I358" s="1526"/>
      <c r="J358" s="1526"/>
      <c r="K358" s="1526"/>
      <c r="L358" s="1526"/>
      <c r="M358" s="1526"/>
      <c r="N358" s="1526"/>
      <c r="O358" s="1526"/>
      <c r="P358" s="1526"/>
      <c r="Q358" s="1526"/>
      <c r="R358" s="1526"/>
      <c r="S358" s="1526"/>
      <c r="T358" s="1526"/>
      <c r="U358" s="1526"/>
      <c r="V358" s="1526"/>
      <c r="W358" s="1526"/>
      <c r="X358" s="1526"/>
      <c r="Y358" s="1526"/>
      <c r="Z358" s="974"/>
      <c r="AA358" s="974"/>
      <c r="AB358" s="974"/>
      <c r="AC358" s="974"/>
      <c r="AD358" s="974"/>
      <c r="AE358" s="974"/>
    </row>
    <row r="359">
      <c r="A359" s="1526"/>
      <c r="B359" s="1526"/>
      <c r="C359" s="1526"/>
      <c r="D359" s="1526"/>
      <c r="E359" s="1526"/>
      <c r="F359" s="1526"/>
      <c r="G359" s="1526"/>
      <c r="H359" s="1526"/>
      <c r="I359" s="1526"/>
      <c r="J359" s="1526"/>
      <c r="K359" s="1526"/>
      <c r="L359" s="1526"/>
      <c r="M359" s="1526"/>
      <c r="N359" s="1526"/>
      <c r="O359" s="1526"/>
      <c r="P359" s="1526"/>
      <c r="Q359" s="1526"/>
      <c r="R359" s="1526"/>
      <c r="S359" s="1526"/>
      <c r="T359" s="1526"/>
      <c r="U359" s="1526"/>
      <c r="V359" s="1526"/>
      <c r="W359" s="1526"/>
      <c r="X359" s="1526"/>
      <c r="Y359" s="1526"/>
      <c r="Z359" s="974"/>
      <c r="AA359" s="974"/>
      <c r="AB359" s="974"/>
      <c r="AC359" s="974"/>
      <c r="AD359" s="974"/>
      <c r="AE359" s="974"/>
    </row>
    <row r="360">
      <c r="A360" s="1526"/>
      <c r="B360" s="1526"/>
      <c r="C360" s="1526"/>
      <c r="D360" s="1526"/>
      <c r="E360" s="1526"/>
      <c r="F360" s="1526"/>
      <c r="G360" s="1526"/>
      <c r="H360" s="1526"/>
      <c r="I360" s="1526"/>
      <c r="J360" s="1526"/>
      <c r="K360" s="1526"/>
      <c r="L360" s="1526"/>
      <c r="M360" s="1526"/>
      <c r="N360" s="1526"/>
      <c r="O360" s="1526"/>
      <c r="P360" s="1526"/>
      <c r="Q360" s="1526"/>
      <c r="R360" s="1526"/>
      <c r="S360" s="1526"/>
      <c r="T360" s="1526"/>
      <c r="U360" s="1526"/>
      <c r="V360" s="1526"/>
      <c r="W360" s="1526"/>
      <c r="X360" s="1526"/>
      <c r="Y360" s="1526"/>
      <c r="Z360" s="974"/>
      <c r="AA360" s="974"/>
      <c r="AB360" s="974"/>
      <c r="AC360" s="974"/>
      <c r="AD360" s="974"/>
      <c r="AE360" s="974"/>
    </row>
    <row r="361">
      <c r="A361" s="1526"/>
      <c r="B361" s="1526"/>
      <c r="C361" s="1526"/>
      <c r="D361" s="1526"/>
      <c r="E361" s="1526"/>
      <c r="F361" s="1526"/>
      <c r="G361" s="1526"/>
      <c r="H361" s="1526"/>
      <c r="I361" s="1526"/>
      <c r="J361" s="1526"/>
      <c r="K361" s="1526"/>
      <c r="L361" s="1526"/>
      <c r="M361" s="1526"/>
      <c r="N361" s="1526"/>
      <c r="O361" s="1526"/>
      <c r="P361" s="1526"/>
      <c r="Q361" s="1526"/>
      <c r="R361" s="1526"/>
      <c r="S361" s="1526"/>
      <c r="T361" s="1526"/>
      <c r="U361" s="1526"/>
      <c r="V361" s="1526"/>
      <c r="W361" s="1526"/>
      <c r="X361" s="1526"/>
      <c r="Y361" s="1526"/>
      <c r="Z361" s="974"/>
      <c r="AA361" s="974"/>
      <c r="AB361" s="974"/>
      <c r="AC361" s="974"/>
      <c r="AD361" s="974"/>
      <c r="AE361" s="974"/>
    </row>
    <row r="362">
      <c r="A362" s="1526"/>
      <c r="B362" s="1526"/>
      <c r="C362" s="1526"/>
      <c r="D362" s="1526"/>
      <c r="E362" s="1526"/>
      <c r="F362" s="1526"/>
      <c r="G362" s="1526"/>
      <c r="H362" s="1526"/>
      <c r="I362" s="1526"/>
      <c r="J362" s="1526"/>
      <c r="K362" s="1526"/>
      <c r="L362" s="1526"/>
      <c r="M362" s="1526"/>
      <c r="N362" s="1526"/>
      <c r="O362" s="1526"/>
      <c r="P362" s="1526"/>
      <c r="Q362" s="1526"/>
      <c r="R362" s="1526"/>
      <c r="S362" s="1526"/>
      <c r="T362" s="1526"/>
      <c r="U362" s="1526"/>
      <c r="V362" s="1526"/>
      <c r="W362" s="1526"/>
      <c r="X362" s="1526"/>
      <c r="Y362" s="1526"/>
      <c r="Z362" s="974"/>
      <c r="AA362" s="974"/>
      <c r="AB362" s="974"/>
      <c r="AC362" s="974"/>
      <c r="AD362" s="974"/>
      <c r="AE362" s="974"/>
    </row>
    <row r="363">
      <c r="A363" s="1526"/>
      <c r="B363" s="1526"/>
      <c r="C363" s="1526"/>
      <c r="D363" s="1526"/>
      <c r="E363" s="1526"/>
      <c r="F363" s="1526"/>
      <c r="G363" s="1526"/>
      <c r="H363" s="1526"/>
      <c r="I363" s="1526"/>
      <c r="J363" s="1526"/>
      <c r="K363" s="1526"/>
      <c r="L363" s="1526"/>
      <c r="M363" s="1526"/>
      <c r="N363" s="1526"/>
      <c r="O363" s="1526"/>
      <c r="P363" s="1526"/>
      <c r="Q363" s="1526"/>
      <c r="R363" s="1526"/>
      <c r="S363" s="1526"/>
      <c r="T363" s="1526"/>
      <c r="U363" s="1526"/>
      <c r="V363" s="1526"/>
      <c r="W363" s="1526"/>
      <c r="X363" s="1526"/>
      <c r="Y363" s="1526"/>
      <c r="Z363" s="974"/>
      <c r="AA363" s="974"/>
      <c r="AB363" s="974"/>
      <c r="AC363" s="974"/>
      <c r="AD363" s="974"/>
      <c r="AE363" s="974"/>
    </row>
    <row r="364">
      <c r="A364" s="1526"/>
      <c r="B364" s="1526"/>
      <c r="C364" s="1526"/>
      <c r="D364" s="1526"/>
      <c r="E364" s="1526"/>
      <c r="F364" s="1526"/>
      <c r="G364" s="1526"/>
      <c r="H364" s="1526"/>
      <c r="I364" s="1526"/>
      <c r="J364" s="1526"/>
      <c r="K364" s="1526"/>
      <c r="L364" s="1526"/>
      <c r="M364" s="1526"/>
      <c r="N364" s="1526"/>
      <c r="O364" s="1526"/>
      <c r="P364" s="1526"/>
      <c r="Q364" s="1526"/>
      <c r="R364" s="1526"/>
      <c r="S364" s="1526"/>
      <c r="T364" s="1526"/>
      <c r="U364" s="1526"/>
      <c r="V364" s="1526"/>
      <c r="W364" s="1526"/>
      <c r="X364" s="1526"/>
      <c r="Y364" s="1526"/>
      <c r="Z364" s="974"/>
      <c r="AA364" s="974"/>
      <c r="AB364" s="974"/>
      <c r="AC364" s="974"/>
      <c r="AD364" s="974"/>
      <c r="AE364" s="974"/>
    </row>
    <row r="365">
      <c r="A365" s="1526"/>
      <c r="B365" s="1526"/>
      <c r="C365" s="1526"/>
      <c r="D365" s="1526"/>
      <c r="E365" s="1526"/>
      <c r="F365" s="1526"/>
      <c r="G365" s="1526"/>
      <c r="H365" s="1526"/>
      <c r="I365" s="1526"/>
      <c r="J365" s="1526"/>
      <c r="K365" s="1526"/>
      <c r="L365" s="1526"/>
      <c r="M365" s="1526"/>
      <c r="N365" s="1526"/>
      <c r="O365" s="1526"/>
      <c r="P365" s="1526"/>
      <c r="Q365" s="1526"/>
      <c r="R365" s="1526"/>
      <c r="S365" s="1526"/>
      <c r="T365" s="1526"/>
      <c r="U365" s="1526"/>
      <c r="V365" s="1526"/>
      <c r="W365" s="1526"/>
      <c r="X365" s="1526"/>
      <c r="Y365" s="1526"/>
      <c r="Z365" s="974"/>
      <c r="AA365" s="974"/>
      <c r="AB365" s="974"/>
      <c r="AC365" s="974"/>
      <c r="AD365" s="974"/>
      <c r="AE365" s="974"/>
    </row>
    <row r="366">
      <c r="A366" s="1526"/>
      <c r="B366" s="1526"/>
      <c r="C366" s="1526"/>
      <c r="D366" s="1526"/>
      <c r="E366" s="1526"/>
      <c r="F366" s="1526"/>
      <c r="G366" s="1526"/>
      <c r="H366" s="1526"/>
      <c r="I366" s="1526"/>
      <c r="J366" s="1526"/>
      <c r="K366" s="1526"/>
      <c r="L366" s="1526"/>
      <c r="M366" s="1526"/>
      <c r="N366" s="1526"/>
      <c r="O366" s="1526"/>
      <c r="P366" s="1526"/>
      <c r="Q366" s="1526"/>
      <c r="R366" s="1526"/>
      <c r="S366" s="1526"/>
      <c r="T366" s="1526"/>
      <c r="U366" s="1526"/>
      <c r="V366" s="1526"/>
      <c r="W366" s="1526"/>
      <c r="X366" s="1526"/>
      <c r="Y366" s="1526"/>
      <c r="Z366" s="974"/>
      <c r="AA366" s="974"/>
      <c r="AB366" s="974"/>
      <c r="AC366" s="974"/>
      <c r="AD366" s="974"/>
      <c r="AE366" s="974"/>
    </row>
    <row r="367">
      <c r="A367" s="1526"/>
      <c r="B367" s="1526"/>
      <c r="C367" s="1526"/>
      <c r="D367" s="1526"/>
      <c r="E367" s="1526"/>
      <c r="F367" s="1526"/>
      <c r="G367" s="1526"/>
      <c r="H367" s="1526"/>
      <c r="I367" s="1526"/>
      <c r="J367" s="1526"/>
      <c r="K367" s="1526"/>
      <c r="L367" s="1526"/>
      <c r="M367" s="1526"/>
      <c r="N367" s="1526"/>
      <c r="O367" s="1526"/>
      <c r="P367" s="1526"/>
      <c r="Q367" s="1526"/>
      <c r="R367" s="1526"/>
      <c r="S367" s="1526"/>
      <c r="T367" s="1526"/>
      <c r="U367" s="1526"/>
      <c r="V367" s="1526"/>
      <c r="W367" s="1526"/>
      <c r="X367" s="1526"/>
      <c r="Y367" s="1526"/>
      <c r="Z367" s="974"/>
      <c r="AA367" s="974"/>
      <c r="AB367" s="974"/>
      <c r="AC367" s="974"/>
      <c r="AD367" s="974"/>
      <c r="AE367" s="974"/>
    </row>
    <row r="368">
      <c r="A368" s="1526"/>
      <c r="B368" s="1526"/>
      <c r="C368" s="1526"/>
      <c r="D368" s="1526"/>
      <c r="E368" s="1526"/>
      <c r="F368" s="1526"/>
      <c r="G368" s="1526"/>
      <c r="H368" s="1526"/>
      <c r="I368" s="1526"/>
      <c r="J368" s="1526"/>
      <c r="K368" s="1526"/>
      <c r="L368" s="1526"/>
      <c r="M368" s="1526"/>
      <c r="N368" s="1526"/>
      <c r="O368" s="1526"/>
      <c r="P368" s="1526"/>
      <c r="Q368" s="1526"/>
      <c r="R368" s="1526"/>
      <c r="S368" s="1526"/>
      <c r="T368" s="1526"/>
      <c r="U368" s="1526"/>
      <c r="V368" s="1526"/>
      <c r="W368" s="1526"/>
      <c r="X368" s="1526"/>
      <c r="Y368" s="1526"/>
      <c r="Z368" s="974"/>
      <c r="AA368" s="974"/>
      <c r="AB368" s="974"/>
      <c r="AC368" s="974"/>
      <c r="AD368" s="974"/>
      <c r="AE368" s="974"/>
    </row>
    <row r="369">
      <c r="A369" s="1526"/>
      <c r="B369" s="1526"/>
      <c r="C369" s="1526"/>
      <c r="D369" s="1526"/>
      <c r="E369" s="1526"/>
      <c r="F369" s="1526"/>
      <c r="G369" s="1526"/>
      <c r="H369" s="1526"/>
      <c r="I369" s="1526"/>
      <c r="J369" s="1526"/>
      <c r="K369" s="1526"/>
      <c r="L369" s="1526"/>
      <c r="M369" s="1526"/>
      <c r="N369" s="1526"/>
      <c r="O369" s="1526"/>
      <c r="P369" s="1526"/>
      <c r="Q369" s="1526"/>
      <c r="R369" s="1526"/>
      <c r="S369" s="1526"/>
      <c r="T369" s="1526"/>
      <c r="U369" s="1526"/>
      <c r="V369" s="1526"/>
      <c r="W369" s="1526"/>
      <c r="X369" s="1526"/>
      <c r="Y369" s="1526"/>
      <c r="Z369" s="974"/>
      <c r="AA369" s="974"/>
      <c r="AB369" s="974"/>
      <c r="AC369" s="974"/>
      <c r="AD369" s="974"/>
      <c r="AE369" s="974"/>
    </row>
    <row r="370">
      <c r="A370" s="1526"/>
      <c r="B370" s="1526"/>
      <c r="C370" s="1526"/>
      <c r="D370" s="1526"/>
      <c r="E370" s="1526"/>
      <c r="F370" s="1526"/>
      <c r="G370" s="1526"/>
      <c r="H370" s="1526"/>
      <c r="I370" s="1526"/>
      <c r="J370" s="1526"/>
      <c r="K370" s="1526"/>
      <c r="L370" s="1526"/>
      <c r="M370" s="1526"/>
      <c r="N370" s="1526"/>
      <c r="O370" s="1526"/>
      <c r="P370" s="1526"/>
      <c r="Q370" s="1526"/>
      <c r="R370" s="1526"/>
      <c r="S370" s="1526"/>
      <c r="T370" s="1526"/>
      <c r="U370" s="1526"/>
      <c r="V370" s="1526"/>
      <c r="W370" s="1526"/>
      <c r="X370" s="1526"/>
      <c r="Y370" s="1526"/>
      <c r="Z370" s="974"/>
      <c r="AA370" s="974"/>
      <c r="AB370" s="974"/>
      <c r="AC370" s="974"/>
      <c r="AD370" s="974"/>
      <c r="AE370" s="974"/>
    </row>
    <row r="371">
      <c r="A371" s="1526"/>
      <c r="B371" s="1526"/>
      <c r="C371" s="1526"/>
      <c r="D371" s="1526"/>
      <c r="E371" s="1526"/>
      <c r="F371" s="1526"/>
      <c r="G371" s="1526"/>
      <c r="H371" s="1526"/>
      <c r="I371" s="1526"/>
      <c r="J371" s="1526"/>
      <c r="K371" s="1526"/>
      <c r="L371" s="1526"/>
      <c r="M371" s="1526"/>
      <c r="N371" s="1526"/>
      <c r="O371" s="1526"/>
      <c r="P371" s="1526"/>
      <c r="Q371" s="1526"/>
      <c r="R371" s="1526"/>
      <c r="S371" s="1526"/>
      <c r="T371" s="1526"/>
      <c r="U371" s="1526"/>
      <c r="V371" s="1526"/>
      <c r="W371" s="1526"/>
      <c r="X371" s="1526"/>
      <c r="Y371" s="1526"/>
      <c r="Z371" s="974"/>
      <c r="AA371" s="974"/>
      <c r="AB371" s="974"/>
      <c r="AC371" s="974"/>
      <c r="AD371" s="974"/>
      <c r="AE371" s="974"/>
    </row>
    <row r="372">
      <c r="A372" s="1526"/>
      <c r="B372" s="1526"/>
      <c r="C372" s="1526"/>
      <c r="D372" s="1526"/>
      <c r="E372" s="1526"/>
      <c r="F372" s="1526"/>
      <c r="G372" s="1526"/>
      <c r="H372" s="1526"/>
      <c r="I372" s="1526"/>
      <c r="J372" s="1526"/>
      <c r="K372" s="1526"/>
      <c r="L372" s="1526"/>
      <c r="M372" s="1526"/>
      <c r="N372" s="1526"/>
      <c r="O372" s="1526"/>
      <c r="P372" s="1526"/>
      <c r="Q372" s="1526"/>
      <c r="R372" s="1526"/>
      <c r="S372" s="1526"/>
      <c r="T372" s="1526"/>
      <c r="U372" s="1526"/>
      <c r="V372" s="1526"/>
      <c r="W372" s="1526"/>
      <c r="X372" s="1526"/>
      <c r="Y372" s="1526"/>
      <c r="Z372" s="974"/>
      <c r="AA372" s="974"/>
      <c r="AB372" s="974"/>
      <c r="AC372" s="974"/>
      <c r="AD372" s="974"/>
      <c r="AE372" s="974"/>
    </row>
    <row r="373">
      <c r="A373" s="1526"/>
      <c r="B373" s="1526"/>
      <c r="C373" s="1526"/>
      <c r="D373" s="1526"/>
      <c r="E373" s="1526"/>
      <c r="F373" s="1526"/>
      <c r="G373" s="1526"/>
      <c r="H373" s="1526"/>
      <c r="I373" s="1526"/>
      <c r="J373" s="1526"/>
      <c r="K373" s="1526"/>
      <c r="L373" s="1526"/>
      <c r="M373" s="1526"/>
      <c r="N373" s="1526"/>
      <c r="O373" s="1526"/>
      <c r="P373" s="1526"/>
      <c r="Q373" s="1526"/>
      <c r="R373" s="1526"/>
      <c r="S373" s="1526"/>
      <c r="T373" s="1526"/>
      <c r="U373" s="1526"/>
      <c r="V373" s="1526"/>
      <c r="W373" s="1526"/>
      <c r="X373" s="1526"/>
      <c r="Y373" s="1526"/>
      <c r="Z373" s="974"/>
      <c r="AA373" s="974"/>
      <c r="AB373" s="974"/>
      <c r="AC373" s="974"/>
      <c r="AD373" s="974"/>
      <c r="AE373" s="974"/>
    </row>
    <row r="374">
      <c r="A374" s="1526"/>
      <c r="B374" s="1526"/>
      <c r="C374" s="1526"/>
      <c r="D374" s="1526"/>
      <c r="E374" s="1526"/>
      <c r="F374" s="1526"/>
      <c r="G374" s="1526"/>
      <c r="H374" s="1526"/>
      <c r="I374" s="1526"/>
      <c r="J374" s="1526"/>
      <c r="K374" s="1526"/>
      <c r="L374" s="1526"/>
      <c r="M374" s="1526"/>
      <c r="N374" s="1526"/>
      <c r="O374" s="1526"/>
      <c r="P374" s="1526"/>
      <c r="Q374" s="1526"/>
      <c r="R374" s="1526"/>
      <c r="S374" s="1526"/>
      <c r="T374" s="1526"/>
      <c r="U374" s="1526"/>
      <c r="V374" s="1526"/>
      <c r="W374" s="1526"/>
      <c r="X374" s="1526"/>
      <c r="Y374" s="1526"/>
      <c r="Z374" s="974"/>
      <c r="AA374" s="974"/>
      <c r="AB374" s="974"/>
      <c r="AC374" s="974"/>
      <c r="AD374" s="974"/>
      <c r="AE374" s="974"/>
    </row>
    <row r="375">
      <c r="A375" s="1526"/>
      <c r="B375" s="1526"/>
      <c r="C375" s="1526"/>
      <c r="D375" s="1526"/>
      <c r="E375" s="1526"/>
      <c r="F375" s="1526"/>
      <c r="G375" s="1526"/>
      <c r="H375" s="1526"/>
      <c r="I375" s="1526"/>
      <c r="J375" s="1526"/>
      <c r="K375" s="1526"/>
      <c r="L375" s="1526"/>
      <c r="M375" s="1526"/>
      <c r="N375" s="1526"/>
      <c r="O375" s="1526"/>
      <c r="P375" s="1526"/>
      <c r="Q375" s="1526"/>
      <c r="R375" s="1526"/>
      <c r="S375" s="1526"/>
      <c r="T375" s="1526"/>
      <c r="U375" s="1526"/>
      <c r="V375" s="1526"/>
      <c r="W375" s="1526"/>
      <c r="X375" s="1526"/>
      <c r="Y375" s="1526"/>
      <c r="Z375" s="974"/>
      <c r="AA375" s="974"/>
      <c r="AB375" s="974"/>
      <c r="AC375" s="974"/>
      <c r="AD375" s="974"/>
      <c r="AE375" s="974"/>
    </row>
    <row r="376">
      <c r="A376" s="1526"/>
      <c r="B376" s="1526"/>
      <c r="C376" s="1526"/>
      <c r="D376" s="1526"/>
      <c r="E376" s="1526"/>
      <c r="F376" s="1526"/>
      <c r="G376" s="1526"/>
      <c r="H376" s="1526"/>
      <c r="I376" s="1526"/>
      <c r="J376" s="1526"/>
      <c r="K376" s="1526"/>
      <c r="L376" s="1526"/>
      <c r="M376" s="1526"/>
      <c r="N376" s="1526"/>
      <c r="O376" s="1526"/>
      <c r="P376" s="1526"/>
      <c r="Q376" s="1526"/>
      <c r="R376" s="1526"/>
      <c r="S376" s="1526"/>
      <c r="T376" s="1526"/>
      <c r="U376" s="1526"/>
      <c r="V376" s="1526"/>
      <c r="W376" s="1526"/>
      <c r="X376" s="1526"/>
      <c r="Y376" s="1526"/>
      <c r="Z376" s="974"/>
      <c r="AA376" s="974"/>
      <c r="AB376" s="974"/>
      <c r="AC376" s="974"/>
      <c r="AD376" s="974"/>
      <c r="AE376" s="974"/>
    </row>
    <row r="377">
      <c r="A377" s="1526"/>
      <c r="B377" s="1526"/>
      <c r="C377" s="1526"/>
      <c r="D377" s="1526"/>
      <c r="E377" s="1526"/>
      <c r="F377" s="1526"/>
      <c r="G377" s="1526"/>
      <c r="H377" s="1526"/>
      <c r="I377" s="1526"/>
      <c r="J377" s="1526"/>
      <c r="K377" s="1526"/>
      <c r="L377" s="1526"/>
      <c r="M377" s="1526"/>
      <c r="N377" s="1526"/>
      <c r="O377" s="1526"/>
      <c r="P377" s="1526"/>
      <c r="Q377" s="1526"/>
      <c r="R377" s="1526"/>
      <c r="S377" s="1526"/>
      <c r="T377" s="1526"/>
      <c r="U377" s="1526"/>
      <c r="V377" s="1526"/>
      <c r="W377" s="1526"/>
      <c r="X377" s="1526"/>
      <c r="Y377" s="1526"/>
      <c r="Z377" s="974"/>
      <c r="AA377" s="974"/>
      <c r="AB377" s="974"/>
      <c r="AC377" s="974"/>
      <c r="AD377" s="974"/>
      <c r="AE377" s="974"/>
    </row>
    <row r="378">
      <c r="A378" s="1526"/>
      <c r="B378" s="1526"/>
      <c r="C378" s="1526"/>
      <c r="D378" s="1526"/>
      <c r="E378" s="1526"/>
      <c r="F378" s="1526"/>
      <c r="G378" s="1526"/>
      <c r="H378" s="1526"/>
      <c r="I378" s="1526"/>
      <c r="J378" s="1526"/>
      <c r="K378" s="1526"/>
      <c r="L378" s="1526"/>
      <c r="M378" s="1526"/>
      <c r="N378" s="1526"/>
      <c r="O378" s="1526"/>
      <c r="P378" s="1526"/>
      <c r="Q378" s="1526"/>
      <c r="R378" s="1526"/>
      <c r="S378" s="1526"/>
      <c r="T378" s="1526"/>
      <c r="U378" s="1526"/>
      <c r="V378" s="1526"/>
      <c r="W378" s="1526"/>
      <c r="X378" s="1526"/>
      <c r="Y378" s="1526"/>
      <c r="Z378" s="974"/>
      <c r="AA378" s="974"/>
      <c r="AB378" s="974"/>
      <c r="AC378" s="974"/>
      <c r="AD378" s="974"/>
      <c r="AE378" s="974"/>
    </row>
    <row r="379">
      <c r="A379" s="1526"/>
      <c r="B379" s="1526"/>
      <c r="C379" s="1526"/>
      <c r="D379" s="1526"/>
      <c r="E379" s="1526"/>
      <c r="F379" s="1526"/>
      <c r="G379" s="1526"/>
      <c r="H379" s="1526"/>
      <c r="I379" s="1526"/>
      <c r="J379" s="1526"/>
      <c r="K379" s="1526"/>
      <c r="L379" s="1526"/>
      <c r="M379" s="1526"/>
      <c r="N379" s="1526"/>
      <c r="O379" s="1526"/>
      <c r="P379" s="1526"/>
      <c r="Q379" s="1526"/>
      <c r="R379" s="1526"/>
      <c r="S379" s="1526"/>
      <c r="T379" s="1526"/>
      <c r="U379" s="1526"/>
      <c r="V379" s="1526"/>
      <c r="W379" s="1526"/>
      <c r="X379" s="1526"/>
      <c r="Y379" s="1526"/>
      <c r="Z379" s="974"/>
      <c r="AA379" s="974"/>
      <c r="AB379" s="974"/>
      <c r="AC379" s="974"/>
      <c r="AD379" s="974"/>
      <c r="AE379" s="974"/>
    </row>
    <row r="380">
      <c r="A380" s="1526"/>
      <c r="B380" s="1526"/>
      <c r="C380" s="1526"/>
      <c r="D380" s="1526"/>
      <c r="E380" s="1526"/>
      <c r="F380" s="1526"/>
      <c r="G380" s="1526"/>
      <c r="H380" s="1526"/>
      <c r="I380" s="1526"/>
      <c r="J380" s="1526"/>
      <c r="K380" s="1526"/>
      <c r="L380" s="1526"/>
      <c r="M380" s="1526"/>
      <c r="N380" s="1526"/>
      <c r="O380" s="1526"/>
      <c r="P380" s="1526"/>
      <c r="Q380" s="1526"/>
      <c r="R380" s="1526"/>
      <c r="S380" s="1526"/>
      <c r="T380" s="1526"/>
      <c r="U380" s="1526"/>
      <c r="V380" s="1526"/>
      <c r="W380" s="1526"/>
      <c r="X380" s="1526"/>
      <c r="Y380" s="1526"/>
      <c r="Z380" s="974"/>
      <c r="AA380" s="974"/>
      <c r="AB380" s="974"/>
      <c r="AC380" s="974"/>
      <c r="AD380" s="974"/>
      <c r="AE380" s="974"/>
    </row>
    <row r="381">
      <c r="A381" s="1526"/>
      <c r="B381" s="1526"/>
      <c r="C381" s="1526"/>
      <c r="D381" s="1526"/>
      <c r="E381" s="1526"/>
      <c r="F381" s="1526"/>
      <c r="G381" s="1526"/>
      <c r="H381" s="1526"/>
      <c r="I381" s="1526"/>
      <c r="J381" s="1526"/>
      <c r="K381" s="1526"/>
      <c r="L381" s="1526"/>
      <c r="M381" s="1526"/>
      <c r="N381" s="1526"/>
      <c r="O381" s="1526"/>
      <c r="P381" s="1526"/>
      <c r="Q381" s="1526"/>
      <c r="R381" s="1526"/>
      <c r="S381" s="1526"/>
      <c r="T381" s="1526"/>
      <c r="U381" s="1526"/>
      <c r="V381" s="1526"/>
      <c r="W381" s="1526"/>
      <c r="X381" s="1526"/>
      <c r="Y381" s="1526"/>
      <c r="Z381" s="974"/>
      <c r="AA381" s="974"/>
      <c r="AB381" s="974"/>
      <c r="AC381" s="974"/>
      <c r="AD381" s="974"/>
      <c r="AE381" s="974"/>
    </row>
    <row r="382">
      <c r="A382" s="1526"/>
      <c r="B382" s="1526"/>
      <c r="C382" s="1526"/>
      <c r="D382" s="1526"/>
      <c r="E382" s="1526"/>
      <c r="F382" s="1526"/>
      <c r="G382" s="1526"/>
      <c r="H382" s="1526"/>
      <c r="I382" s="1526"/>
      <c r="J382" s="1526"/>
      <c r="K382" s="1526"/>
      <c r="L382" s="1526"/>
      <c r="M382" s="1526"/>
      <c r="N382" s="1526"/>
      <c r="O382" s="1526"/>
      <c r="P382" s="1526"/>
      <c r="Q382" s="1526"/>
      <c r="R382" s="1526"/>
      <c r="S382" s="1526"/>
      <c r="T382" s="1526"/>
      <c r="U382" s="1526"/>
      <c r="V382" s="1526"/>
      <c r="W382" s="1526"/>
      <c r="X382" s="1526"/>
      <c r="Y382" s="1526"/>
      <c r="Z382" s="974"/>
      <c r="AA382" s="974"/>
      <c r="AB382" s="974"/>
      <c r="AC382" s="974"/>
      <c r="AD382" s="974"/>
      <c r="AE382" s="974"/>
    </row>
    <row r="383">
      <c r="A383" s="1526"/>
      <c r="B383" s="1526"/>
      <c r="C383" s="1526"/>
      <c r="D383" s="1526"/>
      <c r="E383" s="1526"/>
      <c r="F383" s="1526"/>
      <c r="G383" s="1526"/>
      <c r="H383" s="1526"/>
      <c r="I383" s="1526"/>
      <c r="J383" s="1526"/>
      <c r="K383" s="1526"/>
      <c r="L383" s="1526"/>
      <c r="M383" s="1526"/>
      <c r="N383" s="1526"/>
      <c r="O383" s="1526"/>
      <c r="P383" s="1526"/>
      <c r="Q383" s="1526"/>
      <c r="R383" s="1526"/>
      <c r="S383" s="1526"/>
      <c r="T383" s="1526"/>
      <c r="U383" s="1526"/>
      <c r="V383" s="1526"/>
      <c r="W383" s="1526"/>
      <c r="X383" s="1526"/>
      <c r="Y383" s="1526"/>
      <c r="Z383" s="974"/>
      <c r="AA383" s="974"/>
      <c r="AB383" s="974"/>
      <c r="AC383" s="974"/>
      <c r="AD383" s="974"/>
      <c r="AE383" s="974"/>
    </row>
    <row r="384">
      <c r="A384" s="1526"/>
      <c r="B384" s="1526"/>
      <c r="C384" s="1526"/>
      <c r="D384" s="1526"/>
      <c r="E384" s="1526"/>
      <c r="F384" s="1526"/>
      <c r="G384" s="1526"/>
      <c r="H384" s="1526"/>
      <c r="I384" s="1526"/>
      <c r="J384" s="1526"/>
      <c r="K384" s="1526"/>
      <c r="L384" s="1526"/>
      <c r="M384" s="1526"/>
      <c r="N384" s="1526"/>
      <c r="O384" s="1526"/>
      <c r="P384" s="1526"/>
      <c r="Q384" s="1526"/>
      <c r="R384" s="1526"/>
      <c r="S384" s="1526"/>
      <c r="T384" s="1526"/>
      <c r="U384" s="1526"/>
      <c r="V384" s="1526"/>
      <c r="W384" s="1526"/>
      <c r="X384" s="1526"/>
      <c r="Y384" s="1526"/>
      <c r="Z384" s="974"/>
      <c r="AA384" s="974"/>
      <c r="AB384" s="974"/>
      <c r="AC384" s="974"/>
      <c r="AD384" s="974"/>
      <c r="AE384" s="974"/>
    </row>
    <row r="385">
      <c r="A385" s="1526"/>
      <c r="B385" s="1526"/>
      <c r="C385" s="1526"/>
      <c r="D385" s="1526"/>
      <c r="E385" s="1526"/>
      <c r="F385" s="1526"/>
      <c r="G385" s="1526"/>
      <c r="H385" s="1526"/>
      <c r="I385" s="1526"/>
      <c r="J385" s="1526"/>
      <c r="K385" s="1526"/>
      <c r="L385" s="1526"/>
      <c r="M385" s="1526"/>
      <c r="N385" s="1526"/>
      <c r="O385" s="1526"/>
      <c r="P385" s="1526"/>
      <c r="Q385" s="1526"/>
      <c r="R385" s="1526"/>
      <c r="S385" s="1526"/>
      <c r="T385" s="1526"/>
      <c r="U385" s="1526"/>
      <c r="V385" s="1526"/>
      <c r="W385" s="1526"/>
      <c r="X385" s="1526"/>
      <c r="Y385" s="1526"/>
      <c r="Z385" s="974"/>
      <c r="AA385" s="974"/>
      <c r="AB385" s="974"/>
      <c r="AC385" s="974"/>
      <c r="AD385" s="974"/>
      <c r="AE385" s="974"/>
    </row>
    <row r="386">
      <c r="A386" s="1526"/>
      <c r="B386" s="1526"/>
      <c r="C386" s="1526"/>
      <c r="D386" s="1526"/>
      <c r="E386" s="1526"/>
      <c r="F386" s="1526"/>
      <c r="G386" s="1526"/>
      <c r="H386" s="1526"/>
      <c r="I386" s="1526"/>
      <c r="J386" s="1526"/>
      <c r="K386" s="1526"/>
      <c r="L386" s="1526"/>
      <c r="M386" s="1526"/>
      <c r="N386" s="1526"/>
      <c r="O386" s="1526"/>
      <c r="P386" s="1526"/>
      <c r="Q386" s="1526"/>
      <c r="R386" s="1526"/>
      <c r="S386" s="1526"/>
      <c r="T386" s="1526"/>
      <c r="U386" s="1526"/>
      <c r="V386" s="1526"/>
      <c r="W386" s="1526"/>
      <c r="X386" s="1526"/>
      <c r="Y386" s="1526"/>
      <c r="Z386" s="974"/>
      <c r="AA386" s="974"/>
      <c r="AB386" s="974"/>
      <c r="AC386" s="974"/>
      <c r="AD386" s="974"/>
      <c r="AE386" s="974"/>
    </row>
    <row r="387">
      <c r="A387" s="1526"/>
      <c r="B387" s="1526"/>
      <c r="C387" s="1526"/>
      <c r="D387" s="1526"/>
      <c r="E387" s="1526"/>
      <c r="F387" s="1526"/>
      <c r="G387" s="1526"/>
      <c r="H387" s="1526"/>
      <c r="I387" s="1526"/>
      <c r="J387" s="1526"/>
      <c r="K387" s="1526"/>
      <c r="L387" s="1526"/>
      <c r="M387" s="1526"/>
      <c r="N387" s="1526"/>
      <c r="O387" s="1526"/>
      <c r="P387" s="1526"/>
      <c r="Q387" s="1526"/>
      <c r="R387" s="1526"/>
      <c r="S387" s="1526"/>
      <c r="T387" s="1526"/>
      <c r="U387" s="1526"/>
      <c r="V387" s="1526"/>
      <c r="W387" s="1526"/>
      <c r="X387" s="1526"/>
      <c r="Y387" s="1526"/>
      <c r="Z387" s="974"/>
      <c r="AA387" s="974"/>
      <c r="AB387" s="974"/>
      <c r="AC387" s="974"/>
      <c r="AD387" s="974"/>
      <c r="AE387" s="974"/>
    </row>
    <row r="388">
      <c r="A388" s="1526"/>
      <c r="B388" s="1526"/>
      <c r="C388" s="1526"/>
      <c r="D388" s="1526"/>
      <c r="E388" s="1526"/>
      <c r="F388" s="1526"/>
      <c r="G388" s="1526"/>
      <c r="H388" s="1526"/>
      <c r="I388" s="1526"/>
      <c r="J388" s="1526"/>
      <c r="K388" s="1526"/>
      <c r="L388" s="1526"/>
      <c r="M388" s="1526"/>
      <c r="N388" s="1526"/>
      <c r="O388" s="1526"/>
      <c r="P388" s="1526"/>
      <c r="Q388" s="1526"/>
      <c r="R388" s="1526"/>
      <c r="S388" s="1526"/>
      <c r="T388" s="1526"/>
      <c r="U388" s="1526"/>
      <c r="V388" s="1526"/>
      <c r="W388" s="1526"/>
      <c r="X388" s="1526"/>
      <c r="Y388" s="1526"/>
      <c r="Z388" s="974"/>
      <c r="AA388" s="974"/>
      <c r="AB388" s="974"/>
      <c r="AC388" s="974"/>
      <c r="AD388" s="974"/>
      <c r="AE388" s="974"/>
    </row>
    <row r="389">
      <c r="A389" s="1526"/>
      <c r="B389" s="1526"/>
      <c r="C389" s="1526"/>
      <c r="D389" s="1526"/>
      <c r="E389" s="1526"/>
      <c r="F389" s="1526"/>
      <c r="G389" s="1526"/>
      <c r="H389" s="1526"/>
      <c r="I389" s="1526"/>
      <c r="J389" s="1526"/>
      <c r="K389" s="1526"/>
      <c r="L389" s="1526"/>
      <c r="M389" s="1526"/>
      <c r="N389" s="1526"/>
      <c r="O389" s="1526"/>
      <c r="P389" s="1526"/>
      <c r="Q389" s="1526"/>
      <c r="R389" s="1526"/>
      <c r="S389" s="1526"/>
      <c r="T389" s="1526"/>
      <c r="U389" s="1526"/>
      <c r="V389" s="1526"/>
      <c r="W389" s="1526"/>
      <c r="X389" s="1526"/>
      <c r="Y389" s="1526"/>
      <c r="Z389" s="974"/>
      <c r="AA389" s="974"/>
      <c r="AB389" s="974"/>
      <c r="AC389" s="974"/>
      <c r="AD389" s="974"/>
      <c r="AE389" s="974"/>
    </row>
    <row r="390">
      <c r="A390" s="1526"/>
      <c r="B390" s="1526"/>
      <c r="C390" s="1526"/>
      <c r="D390" s="1526"/>
      <c r="E390" s="1526"/>
      <c r="F390" s="1526"/>
      <c r="G390" s="1526"/>
      <c r="H390" s="1526"/>
      <c r="I390" s="1526"/>
      <c r="J390" s="1526"/>
      <c r="K390" s="1526"/>
      <c r="L390" s="1526"/>
      <c r="M390" s="1526"/>
      <c r="N390" s="1526"/>
      <c r="O390" s="1526"/>
      <c r="P390" s="1526"/>
      <c r="Q390" s="1526"/>
      <c r="R390" s="1526"/>
      <c r="S390" s="1526"/>
      <c r="T390" s="1526"/>
      <c r="U390" s="1526"/>
      <c r="V390" s="1526"/>
      <c r="W390" s="1526"/>
      <c r="X390" s="1526"/>
      <c r="Y390" s="1526"/>
      <c r="Z390" s="974"/>
      <c r="AA390" s="974"/>
      <c r="AB390" s="974"/>
      <c r="AC390" s="974"/>
      <c r="AD390" s="974"/>
      <c r="AE390" s="974"/>
    </row>
    <row r="391">
      <c r="A391" s="1526"/>
      <c r="B391" s="1526"/>
      <c r="C391" s="1526"/>
      <c r="D391" s="1526"/>
      <c r="E391" s="1526"/>
      <c r="F391" s="1526"/>
      <c r="G391" s="1526"/>
      <c r="H391" s="1526"/>
      <c r="I391" s="1526"/>
      <c r="J391" s="1526"/>
      <c r="K391" s="1526"/>
      <c r="L391" s="1526"/>
      <c r="M391" s="1526"/>
      <c r="N391" s="1526"/>
      <c r="O391" s="1526"/>
      <c r="P391" s="1526"/>
      <c r="Q391" s="1526"/>
      <c r="R391" s="1526"/>
      <c r="S391" s="1526"/>
      <c r="T391" s="1526"/>
      <c r="U391" s="1526"/>
      <c r="V391" s="1526"/>
      <c r="W391" s="1526"/>
      <c r="X391" s="1526"/>
      <c r="Y391" s="1526"/>
      <c r="Z391" s="974"/>
      <c r="AA391" s="974"/>
      <c r="AB391" s="974"/>
      <c r="AC391" s="974"/>
      <c r="AD391" s="974"/>
      <c r="AE391" s="974"/>
    </row>
    <row r="392">
      <c r="A392" s="1526"/>
      <c r="B392" s="1526"/>
      <c r="C392" s="1526"/>
      <c r="D392" s="1526"/>
      <c r="E392" s="1526"/>
      <c r="F392" s="1526"/>
      <c r="G392" s="1526"/>
      <c r="H392" s="1526"/>
      <c r="I392" s="1526"/>
      <c r="J392" s="1526"/>
      <c r="K392" s="1526"/>
      <c r="L392" s="1526"/>
      <c r="M392" s="1526"/>
      <c r="N392" s="1526"/>
      <c r="O392" s="1526"/>
      <c r="P392" s="1526"/>
      <c r="Q392" s="1526"/>
      <c r="R392" s="1526"/>
      <c r="S392" s="1526"/>
      <c r="T392" s="1526"/>
      <c r="U392" s="1526"/>
      <c r="V392" s="1526"/>
      <c r="W392" s="1526"/>
      <c r="X392" s="1526"/>
      <c r="Y392" s="1526"/>
      <c r="Z392" s="974"/>
      <c r="AA392" s="974"/>
      <c r="AB392" s="974"/>
      <c r="AC392" s="974"/>
      <c r="AD392" s="974"/>
      <c r="AE392" s="974"/>
    </row>
    <row r="393">
      <c r="A393" s="1526"/>
      <c r="B393" s="1526"/>
      <c r="C393" s="1526"/>
      <c r="D393" s="1526"/>
      <c r="E393" s="1526"/>
      <c r="F393" s="1526"/>
      <c r="G393" s="1526"/>
      <c r="H393" s="1526"/>
      <c r="I393" s="1526"/>
      <c r="J393" s="1526"/>
      <c r="K393" s="1526"/>
      <c r="L393" s="1526"/>
      <c r="M393" s="1526"/>
      <c r="N393" s="1526"/>
      <c r="O393" s="1526"/>
      <c r="P393" s="1526"/>
      <c r="Q393" s="1526"/>
      <c r="R393" s="1526"/>
      <c r="S393" s="1526"/>
      <c r="T393" s="1526"/>
      <c r="U393" s="1526"/>
      <c r="V393" s="1526"/>
      <c r="W393" s="1526"/>
      <c r="X393" s="1526"/>
      <c r="Y393" s="1526"/>
      <c r="Z393" s="974"/>
      <c r="AA393" s="974"/>
      <c r="AB393" s="974"/>
      <c r="AC393" s="974"/>
      <c r="AD393" s="974"/>
      <c r="AE393" s="974"/>
    </row>
    <row r="394">
      <c r="A394" s="1526"/>
      <c r="B394" s="1526"/>
      <c r="C394" s="1526"/>
      <c r="D394" s="1526"/>
      <c r="E394" s="1526"/>
      <c r="F394" s="1526"/>
      <c r="G394" s="1526"/>
      <c r="H394" s="1526"/>
      <c r="I394" s="1526"/>
      <c r="J394" s="1526"/>
      <c r="K394" s="1526"/>
      <c r="L394" s="1526"/>
      <c r="M394" s="1526"/>
      <c r="N394" s="1526"/>
      <c r="O394" s="1526"/>
      <c r="P394" s="1526"/>
      <c r="Q394" s="1526"/>
      <c r="R394" s="1526"/>
      <c r="S394" s="1526"/>
      <c r="T394" s="1526"/>
      <c r="U394" s="1526"/>
      <c r="V394" s="1526"/>
      <c r="W394" s="1526"/>
      <c r="X394" s="1526"/>
      <c r="Y394" s="1526"/>
      <c r="Z394" s="974"/>
      <c r="AA394" s="974"/>
      <c r="AB394" s="974"/>
      <c r="AC394" s="974"/>
      <c r="AD394" s="974"/>
      <c r="AE394" s="974"/>
    </row>
    <row r="395">
      <c r="A395" s="1526"/>
      <c r="B395" s="1526"/>
      <c r="C395" s="1526"/>
      <c r="D395" s="1526"/>
      <c r="E395" s="1526"/>
      <c r="F395" s="1526"/>
      <c r="G395" s="1526"/>
      <c r="H395" s="1526"/>
      <c r="I395" s="1526"/>
      <c r="J395" s="1526"/>
      <c r="K395" s="1526"/>
      <c r="L395" s="1526"/>
      <c r="M395" s="1526"/>
      <c r="N395" s="1526"/>
      <c r="O395" s="1526"/>
      <c r="P395" s="1526"/>
      <c r="Q395" s="1526"/>
      <c r="R395" s="1526"/>
      <c r="S395" s="1526"/>
      <c r="T395" s="1526"/>
      <c r="U395" s="1526"/>
      <c r="V395" s="1526"/>
      <c r="W395" s="1526"/>
      <c r="X395" s="1526"/>
      <c r="Y395" s="1526"/>
      <c r="Z395" s="974"/>
      <c r="AA395" s="974"/>
      <c r="AB395" s="974"/>
      <c r="AC395" s="974"/>
      <c r="AD395" s="974"/>
      <c r="AE395" s="974"/>
    </row>
    <row r="396">
      <c r="A396" s="1526"/>
      <c r="B396" s="1526"/>
      <c r="C396" s="1526"/>
      <c r="D396" s="1526"/>
      <c r="E396" s="1526"/>
      <c r="F396" s="1526"/>
      <c r="G396" s="1526"/>
      <c r="H396" s="1526"/>
      <c r="I396" s="1526"/>
      <c r="J396" s="1526"/>
      <c r="K396" s="1526"/>
      <c r="L396" s="1526"/>
      <c r="M396" s="1526"/>
      <c r="N396" s="1526"/>
      <c r="O396" s="1526"/>
      <c r="P396" s="1526"/>
      <c r="Q396" s="1526"/>
      <c r="R396" s="1526"/>
      <c r="S396" s="1526"/>
      <c r="T396" s="1526"/>
      <c r="U396" s="1526"/>
      <c r="V396" s="1526"/>
      <c r="W396" s="1526"/>
      <c r="X396" s="1526"/>
      <c r="Y396" s="1526"/>
      <c r="Z396" s="974"/>
      <c r="AA396" s="974"/>
      <c r="AB396" s="974"/>
      <c r="AC396" s="974"/>
      <c r="AD396" s="974"/>
      <c r="AE396" s="974"/>
    </row>
    <row r="397">
      <c r="A397" s="1526"/>
      <c r="B397" s="1526"/>
      <c r="C397" s="1526"/>
      <c r="D397" s="1526"/>
      <c r="E397" s="1526"/>
      <c r="F397" s="1526"/>
      <c r="G397" s="1526"/>
      <c r="H397" s="1526"/>
      <c r="I397" s="1526"/>
      <c r="J397" s="1526"/>
      <c r="K397" s="1526"/>
      <c r="L397" s="1526"/>
      <c r="M397" s="1526"/>
      <c r="N397" s="1526"/>
      <c r="O397" s="1526"/>
      <c r="P397" s="1526"/>
      <c r="Q397" s="1526"/>
      <c r="R397" s="1526"/>
      <c r="S397" s="1526"/>
      <c r="T397" s="1526"/>
      <c r="U397" s="1526"/>
      <c r="V397" s="1526"/>
      <c r="W397" s="1526"/>
      <c r="X397" s="1526"/>
      <c r="Y397" s="1526"/>
      <c r="Z397" s="974"/>
      <c r="AA397" s="974"/>
      <c r="AB397" s="974"/>
      <c r="AC397" s="974"/>
      <c r="AD397" s="974"/>
      <c r="AE397" s="974"/>
    </row>
    <row r="398">
      <c r="A398" s="1526"/>
      <c r="B398" s="1526"/>
      <c r="C398" s="1526"/>
      <c r="D398" s="1526"/>
      <c r="E398" s="1526"/>
      <c r="F398" s="1526"/>
      <c r="G398" s="1526"/>
      <c r="H398" s="1526"/>
      <c r="I398" s="1526"/>
      <c r="J398" s="1526"/>
      <c r="K398" s="1526"/>
      <c r="L398" s="1526"/>
      <c r="M398" s="1526"/>
      <c r="N398" s="1526"/>
      <c r="O398" s="1526"/>
      <c r="P398" s="1526"/>
      <c r="Q398" s="1526"/>
      <c r="R398" s="1526"/>
      <c r="S398" s="1526"/>
      <c r="T398" s="1526"/>
      <c r="U398" s="1526"/>
      <c r="V398" s="1526"/>
      <c r="W398" s="1526"/>
      <c r="X398" s="1526"/>
      <c r="Y398" s="1526"/>
      <c r="Z398" s="974"/>
      <c r="AA398" s="974"/>
      <c r="AB398" s="974"/>
      <c r="AC398" s="974"/>
      <c r="AD398" s="974"/>
      <c r="AE398" s="974"/>
    </row>
    <row r="399">
      <c r="A399" s="1526"/>
      <c r="B399" s="1526"/>
      <c r="C399" s="1526"/>
      <c r="D399" s="1526"/>
      <c r="E399" s="1526"/>
      <c r="F399" s="1526"/>
      <c r="G399" s="1526"/>
      <c r="H399" s="1526"/>
      <c r="I399" s="1526"/>
      <c r="J399" s="1526"/>
      <c r="K399" s="1526"/>
      <c r="L399" s="1526"/>
      <c r="M399" s="1526"/>
      <c r="N399" s="1526"/>
      <c r="O399" s="1526"/>
      <c r="P399" s="1526"/>
      <c r="Q399" s="1526"/>
      <c r="R399" s="1526"/>
      <c r="S399" s="1526"/>
      <c r="T399" s="1526"/>
      <c r="U399" s="1526"/>
      <c r="V399" s="1526"/>
      <c r="W399" s="1526"/>
      <c r="X399" s="1526"/>
      <c r="Y399" s="1526"/>
      <c r="Z399" s="974"/>
      <c r="AA399" s="974"/>
      <c r="AB399" s="974"/>
      <c r="AC399" s="974"/>
      <c r="AD399" s="974"/>
      <c r="AE399" s="974"/>
    </row>
    <row r="400">
      <c r="A400" s="1526"/>
      <c r="B400" s="1526"/>
      <c r="C400" s="1526"/>
      <c r="D400" s="1526"/>
      <c r="E400" s="1526"/>
      <c r="F400" s="1526"/>
      <c r="G400" s="1526"/>
      <c r="H400" s="1526"/>
      <c r="I400" s="1526"/>
      <c r="J400" s="1526"/>
      <c r="K400" s="1526"/>
      <c r="L400" s="1526"/>
      <c r="M400" s="1526"/>
      <c r="N400" s="1526"/>
      <c r="O400" s="1526"/>
      <c r="P400" s="1526"/>
      <c r="Q400" s="1526"/>
      <c r="R400" s="1526"/>
      <c r="S400" s="1526"/>
      <c r="T400" s="1526"/>
      <c r="U400" s="1526"/>
      <c r="V400" s="1526"/>
      <c r="W400" s="1526"/>
      <c r="X400" s="1526"/>
      <c r="Y400" s="1526"/>
      <c r="Z400" s="974"/>
      <c r="AA400" s="974"/>
      <c r="AB400" s="974"/>
      <c r="AC400" s="974"/>
      <c r="AD400" s="974"/>
      <c r="AE400" s="974"/>
    </row>
    <row r="401">
      <c r="A401" s="1526"/>
      <c r="B401" s="1526"/>
      <c r="C401" s="1526"/>
      <c r="D401" s="1526"/>
      <c r="E401" s="1526"/>
      <c r="F401" s="1526"/>
      <c r="G401" s="1526"/>
      <c r="H401" s="1526"/>
      <c r="I401" s="1526"/>
      <c r="J401" s="1526"/>
      <c r="K401" s="1526"/>
      <c r="L401" s="1526"/>
      <c r="M401" s="1526"/>
      <c r="N401" s="1526"/>
      <c r="O401" s="1526"/>
      <c r="P401" s="1526"/>
      <c r="Q401" s="1526"/>
      <c r="R401" s="1526"/>
      <c r="S401" s="1526"/>
      <c r="T401" s="1526"/>
      <c r="U401" s="1526"/>
      <c r="V401" s="1526"/>
      <c r="W401" s="1526"/>
      <c r="X401" s="1526"/>
      <c r="Y401" s="1526"/>
      <c r="Z401" s="974"/>
      <c r="AA401" s="974"/>
      <c r="AB401" s="974"/>
      <c r="AC401" s="974"/>
      <c r="AD401" s="974"/>
      <c r="AE401" s="974"/>
    </row>
    <row r="402">
      <c r="A402" s="1526"/>
      <c r="B402" s="1526"/>
      <c r="C402" s="1526"/>
      <c r="D402" s="1526"/>
      <c r="E402" s="1526"/>
      <c r="F402" s="1526"/>
      <c r="G402" s="1526"/>
      <c r="H402" s="1526"/>
      <c r="I402" s="1526"/>
      <c r="J402" s="1526"/>
      <c r="K402" s="1526"/>
      <c r="L402" s="1526"/>
      <c r="M402" s="1526"/>
      <c r="N402" s="1526"/>
      <c r="O402" s="1526"/>
      <c r="P402" s="1526"/>
      <c r="Q402" s="1526"/>
      <c r="R402" s="1526"/>
      <c r="S402" s="1526"/>
      <c r="T402" s="1526"/>
      <c r="U402" s="1526"/>
      <c r="V402" s="1526"/>
      <c r="W402" s="1526"/>
      <c r="X402" s="1526"/>
      <c r="Y402" s="1526"/>
      <c r="Z402" s="974"/>
      <c r="AA402" s="974"/>
      <c r="AB402" s="974"/>
      <c r="AC402" s="974"/>
      <c r="AD402" s="974"/>
      <c r="AE402" s="974"/>
    </row>
    <row r="403">
      <c r="A403" s="1526"/>
      <c r="B403" s="1526"/>
      <c r="C403" s="1526"/>
      <c r="D403" s="1526"/>
      <c r="E403" s="1526"/>
      <c r="F403" s="1526"/>
      <c r="G403" s="1526"/>
      <c r="H403" s="1526"/>
      <c r="I403" s="1526"/>
      <c r="J403" s="1526"/>
      <c r="K403" s="1526"/>
      <c r="L403" s="1526"/>
      <c r="M403" s="1526"/>
      <c r="N403" s="1526"/>
      <c r="O403" s="1526"/>
      <c r="P403" s="1526"/>
      <c r="Q403" s="1526"/>
      <c r="R403" s="1526"/>
      <c r="S403" s="1526"/>
      <c r="T403" s="1526"/>
      <c r="U403" s="1526"/>
      <c r="V403" s="1526"/>
      <c r="W403" s="1526"/>
      <c r="X403" s="1526"/>
      <c r="Y403" s="1526"/>
      <c r="Z403" s="974"/>
      <c r="AA403" s="974"/>
      <c r="AB403" s="974"/>
      <c r="AC403" s="974"/>
      <c r="AD403" s="974"/>
      <c r="AE403" s="974"/>
    </row>
    <row r="404">
      <c r="A404" s="1526"/>
      <c r="B404" s="1526"/>
      <c r="C404" s="1526"/>
      <c r="D404" s="1526"/>
      <c r="E404" s="1526"/>
      <c r="F404" s="1526"/>
      <c r="G404" s="1526"/>
      <c r="H404" s="1526"/>
      <c r="I404" s="1526"/>
      <c r="J404" s="1526"/>
      <c r="K404" s="1526"/>
      <c r="L404" s="1526"/>
      <c r="M404" s="1526"/>
      <c r="N404" s="1526"/>
      <c r="O404" s="1526"/>
      <c r="P404" s="1526"/>
      <c r="Q404" s="1526"/>
      <c r="R404" s="1526"/>
      <c r="S404" s="1526"/>
      <c r="T404" s="1526"/>
      <c r="U404" s="1526"/>
      <c r="V404" s="1526"/>
      <c r="W404" s="1526"/>
      <c r="X404" s="1526"/>
      <c r="Y404" s="1526"/>
      <c r="Z404" s="974"/>
      <c r="AA404" s="974"/>
      <c r="AB404" s="974"/>
      <c r="AC404" s="974"/>
      <c r="AD404" s="974"/>
      <c r="AE404" s="974"/>
    </row>
    <row r="405">
      <c r="A405" s="1526"/>
      <c r="B405" s="1526"/>
      <c r="C405" s="1526"/>
      <c r="D405" s="1526"/>
      <c r="E405" s="1526"/>
      <c r="F405" s="1526"/>
      <c r="G405" s="1526"/>
      <c r="H405" s="1526"/>
      <c r="I405" s="1526"/>
      <c r="J405" s="1526"/>
      <c r="K405" s="1526"/>
      <c r="L405" s="1526"/>
      <c r="M405" s="1526"/>
      <c r="N405" s="1526"/>
      <c r="O405" s="1526"/>
      <c r="P405" s="1526"/>
      <c r="Q405" s="1526"/>
      <c r="R405" s="1526"/>
      <c r="S405" s="1526"/>
      <c r="T405" s="1526"/>
      <c r="U405" s="1526"/>
      <c r="V405" s="1526"/>
      <c r="W405" s="1526"/>
      <c r="X405" s="1526"/>
      <c r="Y405" s="1526"/>
      <c r="Z405" s="974"/>
      <c r="AA405" s="974"/>
      <c r="AB405" s="974"/>
      <c r="AC405" s="974"/>
      <c r="AD405" s="974"/>
      <c r="AE405" s="974"/>
    </row>
    <row r="406">
      <c r="A406" s="1526"/>
      <c r="B406" s="1526"/>
      <c r="C406" s="1526"/>
      <c r="D406" s="1526"/>
      <c r="E406" s="1526"/>
      <c r="F406" s="1526"/>
      <c r="G406" s="1526"/>
      <c r="H406" s="1526"/>
      <c r="I406" s="1526"/>
      <c r="J406" s="1526"/>
      <c r="K406" s="1526"/>
      <c r="L406" s="1526"/>
      <c r="M406" s="1526"/>
      <c r="N406" s="1526"/>
      <c r="O406" s="1526"/>
      <c r="P406" s="1526"/>
      <c r="Q406" s="1526"/>
      <c r="R406" s="1526"/>
      <c r="S406" s="1526"/>
      <c r="T406" s="1526"/>
      <c r="U406" s="1526"/>
      <c r="V406" s="1526"/>
      <c r="W406" s="1526"/>
      <c r="X406" s="1526"/>
      <c r="Y406" s="1526"/>
      <c r="Z406" s="974"/>
      <c r="AA406" s="974"/>
      <c r="AB406" s="974"/>
      <c r="AC406" s="974"/>
      <c r="AD406" s="974"/>
      <c r="AE406" s="974"/>
    </row>
    <row r="407">
      <c r="A407" s="1526"/>
      <c r="B407" s="1526"/>
      <c r="C407" s="1526"/>
      <c r="D407" s="1526"/>
      <c r="E407" s="1526"/>
      <c r="F407" s="1526"/>
      <c r="G407" s="1526"/>
      <c r="H407" s="1526"/>
      <c r="I407" s="1526"/>
      <c r="J407" s="1526"/>
      <c r="K407" s="1526"/>
      <c r="L407" s="1526"/>
      <c r="M407" s="1526"/>
      <c r="N407" s="1526"/>
      <c r="O407" s="1526"/>
      <c r="P407" s="1526"/>
      <c r="Q407" s="1526"/>
      <c r="R407" s="1526"/>
      <c r="S407" s="1526"/>
      <c r="T407" s="1526"/>
      <c r="U407" s="1526"/>
      <c r="V407" s="1526"/>
      <c r="W407" s="1526"/>
      <c r="X407" s="1526"/>
      <c r="Y407" s="1526"/>
      <c r="Z407" s="974"/>
      <c r="AA407" s="974"/>
      <c r="AB407" s="974"/>
      <c r="AC407" s="974"/>
      <c r="AD407" s="974"/>
      <c r="AE407" s="974"/>
    </row>
    <row r="408">
      <c r="A408" s="1526"/>
      <c r="B408" s="1526"/>
      <c r="C408" s="1526"/>
      <c r="D408" s="1526"/>
      <c r="E408" s="1526"/>
      <c r="F408" s="1526"/>
      <c r="G408" s="1526"/>
      <c r="H408" s="1526"/>
      <c r="I408" s="1526"/>
      <c r="J408" s="1526"/>
      <c r="K408" s="1526"/>
      <c r="L408" s="1526"/>
      <c r="M408" s="1526"/>
      <c r="N408" s="1526"/>
      <c r="O408" s="1526"/>
      <c r="P408" s="1526"/>
      <c r="Q408" s="1526"/>
      <c r="R408" s="1526"/>
      <c r="S408" s="1526"/>
      <c r="T408" s="1526"/>
      <c r="U408" s="1526"/>
      <c r="V408" s="1526"/>
      <c r="W408" s="1526"/>
      <c r="X408" s="1526"/>
      <c r="Y408" s="1526"/>
      <c r="Z408" s="974"/>
      <c r="AA408" s="974"/>
      <c r="AB408" s="974"/>
      <c r="AC408" s="974"/>
      <c r="AD408" s="974"/>
      <c r="AE408" s="974"/>
    </row>
    <row r="409">
      <c r="A409" s="1526"/>
      <c r="B409" s="1526"/>
      <c r="C409" s="1526"/>
      <c r="D409" s="1526"/>
      <c r="E409" s="1526"/>
      <c r="F409" s="1526"/>
      <c r="G409" s="1526"/>
      <c r="H409" s="1526"/>
      <c r="I409" s="1526"/>
      <c r="J409" s="1526"/>
      <c r="K409" s="1526"/>
      <c r="L409" s="1526"/>
      <c r="M409" s="1526"/>
      <c r="N409" s="1526"/>
      <c r="O409" s="1526"/>
      <c r="P409" s="1526"/>
      <c r="Q409" s="1526"/>
      <c r="R409" s="1526"/>
      <c r="S409" s="1526"/>
      <c r="T409" s="1526"/>
      <c r="U409" s="1526"/>
      <c r="V409" s="1526"/>
      <c r="W409" s="1526"/>
      <c r="X409" s="1526"/>
      <c r="Y409" s="1526"/>
      <c r="Z409" s="974"/>
      <c r="AA409" s="974"/>
      <c r="AB409" s="974"/>
      <c r="AC409" s="974"/>
      <c r="AD409" s="974"/>
      <c r="AE409" s="974"/>
    </row>
    <row r="410">
      <c r="A410" s="1526"/>
      <c r="B410" s="1526"/>
      <c r="C410" s="1526"/>
      <c r="D410" s="1526"/>
      <c r="E410" s="1526"/>
      <c r="F410" s="1526"/>
      <c r="G410" s="1526"/>
      <c r="H410" s="1526"/>
      <c r="I410" s="1526"/>
      <c r="J410" s="1526"/>
      <c r="K410" s="1526"/>
      <c r="L410" s="1526"/>
      <c r="M410" s="1526"/>
      <c r="N410" s="1526"/>
      <c r="O410" s="1526"/>
      <c r="P410" s="1526"/>
      <c r="Q410" s="1526"/>
      <c r="R410" s="1526"/>
      <c r="S410" s="1526"/>
      <c r="T410" s="1526"/>
      <c r="U410" s="1526"/>
      <c r="V410" s="1526"/>
      <c r="W410" s="1526"/>
      <c r="X410" s="1526"/>
      <c r="Y410" s="1526"/>
      <c r="Z410" s="974"/>
      <c r="AA410" s="974"/>
      <c r="AB410" s="974"/>
      <c r="AC410" s="974"/>
      <c r="AD410" s="974"/>
      <c r="AE410" s="974"/>
    </row>
    <row r="411">
      <c r="A411" s="1526"/>
      <c r="B411" s="1526"/>
      <c r="C411" s="1526"/>
      <c r="D411" s="1526"/>
      <c r="E411" s="1526"/>
      <c r="F411" s="1526"/>
      <c r="G411" s="1526"/>
      <c r="H411" s="1526"/>
      <c r="I411" s="1526"/>
      <c r="J411" s="1526"/>
      <c r="K411" s="1526"/>
      <c r="L411" s="1526"/>
      <c r="M411" s="1526"/>
      <c r="N411" s="1526"/>
      <c r="O411" s="1526"/>
      <c r="P411" s="1526"/>
      <c r="Q411" s="1526"/>
      <c r="R411" s="1526"/>
      <c r="S411" s="1526"/>
      <c r="T411" s="1526"/>
      <c r="U411" s="1526"/>
      <c r="V411" s="1526"/>
      <c r="W411" s="1526"/>
      <c r="X411" s="1526"/>
      <c r="Y411" s="1526"/>
      <c r="Z411" s="974"/>
      <c r="AA411" s="974"/>
      <c r="AB411" s="974"/>
      <c r="AC411" s="974"/>
      <c r="AD411" s="974"/>
      <c r="AE411" s="974"/>
    </row>
    <row r="412">
      <c r="A412" s="1526"/>
      <c r="B412" s="1526"/>
      <c r="C412" s="1526"/>
      <c r="D412" s="1526"/>
      <c r="E412" s="1526"/>
      <c r="F412" s="1526"/>
      <c r="G412" s="1526"/>
      <c r="H412" s="1526"/>
      <c r="I412" s="1526"/>
      <c r="J412" s="1526"/>
      <c r="K412" s="1526"/>
      <c r="L412" s="1526"/>
      <c r="M412" s="1526"/>
      <c r="N412" s="1526"/>
      <c r="O412" s="1526"/>
      <c r="P412" s="1526"/>
      <c r="Q412" s="1526"/>
      <c r="R412" s="1526"/>
      <c r="S412" s="1526"/>
      <c r="T412" s="1526"/>
      <c r="U412" s="1526"/>
      <c r="V412" s="1526"/>
      <c r="W412" s="1526"/>
      <c r="X412" s="1526"/>
      <c r="Y412" s="1526"/>
      <c r="Z412" s="974"/>
      <c r="AA412" s="974"/>
      <c r="AB412" s="974"/>
      <c r="AC412" s="974"/>
      <c r="AD412" s="974"/>
      <c r="AE412" s="974"/>
    </row>
    <row r="413">
      <c r="A413" s="1526"/>
      <c r="B413" s="1526"/>
      <c r="C413" s="1526"/>
      <c r="D413" s="1526"/>
      <c r="E413" s="1526"/>
      <c r="F413" s="1526"/>
      <c r="G413" s="1526"/>
      <c r="H413" s="1526"/>
      <c r="I413" s="1526"/>
      <c r="J413" s="1526"/>
      <c r="K413" s="1526"/>
      <c r="L413" s="1526"/>
      <c r="M413" s="1526"/>
      <c r="N413" s="1526"/>
      <c r="O413" s="1526"/>
      <c r="P413" s="1526"/>
      <c r="Q413" s="1526"/>
      <c r="R413" s="1526"/>
      <c r="S413" s="1526"/>
      <c r="T413" s="1526"/>
      <c r="U413" s="1526"/>
      <c r="V413" s="1526"/>
      <c r="W413" s="1526"/>
      <c r="X413" s="1526"/>
      <c r="Y413" s="1526"/>
      <c r="Z413" s="974"/>
      <c r="AA413" s="974"/>
      <c r="AB413" s="974"/>
      <c r="AC413" s="974"/>
      <c r="AD413" s="974"/>
      <c r="AE413" s="974"/>
    </row>
    <row r="414">
      <c r="A414" s="1526"/>
      <c r="B414" s="1526"/>
      <c r="C414" s="1526"/>
      <c r="D414" s="1526"/>
      <c r="E414" s="1526"/>
      <c r="F414" s="1526"/>
      <c r="G414" s="1526"/>
      <c r="H414" s="1526"/>
      <c r="I414" s="1526"/>
      <c r="J414" s="1526"/>
      <c r="K414" s="1526"/>
      <c r="L414" s="1526"/>
      <c r="M414" s="1526"/>
      <c r="N414" s="1526"/>
      <c r="O414" s="1526"/>
      <c r="P414" s="1526"/>
      <c r="Q414" s="1526"/>
      <c r="R414" s="1526"/>
      <c r="S414" s="1526"/>
      <c r="T414" s="1526"/>
      <c r="U414" s="1526"/>
      <c r="V414" s="1526"/>
      <c r="W414" s="1526"/>
      <c r="X414" s="1526"/>
      <c r="Y414" s="1526"/>
      <c r="Z414" s="974"/>
      <c r="AA414" s="974"/>
      <c r="AB414" s="974"/>
      <c r="AC414" s="974"/>
      <c r="AD414" s="974"/>
      <c r="AE414" s="974"/>
    </row>
    <row r="415">
      <c r="A415" s="1526"/>
      <c r="B415" s="1526"/>
      <c r="C415" s="1526"/>
      <c r="D415" s="1526"/>
      <c r="E415" s="1526"/>
      <c r="F415" s="1526"/>
      <c r="G415" s="1526"/>
      <c r="H415" s="1526"/>
      <c r="I415" s="1526"/>
      <c r="J415" s="1526"/>
      <c r="K415" s="1526"/>
      <c r="L415" s="1526"/>
      <c r="M415" s="1526"/>
      <c r="N415" s="1526"/>
      <c r="O415" s="1526"/>
      <c r="P415" s="1526"/>
      <c r="Q415" s="1526"/>
      <c r="R415" s="1526"/>
      <c r="S415" s="1526"/>
      <c r="T415" s="1526"/>
      <c r="U415" s="1526"/>
      <c r="V415" s="1526"/>
      <c r="W415" s="1526"/>
      <c r="X415" s="1526"/>
      <c r="Y415" s="1526"/>
      <c r="Z415" s="974"/>
      <c r="AA415" s="974"/>
      <c r="AB415" s="974"/>
      <c r="AC415" s="974"/>
      <c r="AD415" s="974"/>
      <c r="AE415" s="974"/>
    </row>
    <row r="416">
      <c r="A416" s="1526"/>
      <c r="B416" s="1526"/>
      <c r="C416" s="1526"/>
      <c r="D416" s="1526"/>
      <c r="E416" s="1526"/>
      <c r="F416" s="1526"/>
      <c r="G416" s="1526"/>
      <c r="H416" s="1526"/>
      <c r="I416" s="1526"/>
      <c r="J416" s="1526"/>
      <c r="K416" s="1526"/>
      <c r="L416" s="1526"/>
      <c r="M416" s="1526"/>
      <c r="N416" s="1526"/>
      <c r="O416" s="1526"/>
      <c r="P416" s="1526"/>
      <c r="Q416" s="1526"/>
      <c r="R416" s="1526"/>
      <c r="S416" s="1526"/>
      <c r="T416" s="1526"/>
      <c r="U416" s="1526"/>
      <c r="V416" s="1526"/>
      <c r="W416" s="1526"/>
      <c r="X416" s="1526"/>
      <c r="Y416" s="1526"/>
      <c r="Z416" s="974"/>
      <c r="AA416" s="974"/>
      <c r="AB416" s="974"/>
      <c r="AC416" s="974"/>
      <c r="AD416" s="974"/>
      <c r="AE416" s="974"/>
    </row>
    <row r="417">
      <c r="A417" s="1526"/>
      <c r="B417" s="1526"/>
      <c r="C417" s="1526"/>
      <c r="D417" s="1526"/>
      <c r="E417" s="1526"/>
      <c r="F417" s="1526"/>
      <c r="G417" s="1526"/>
      <c r="H417" s="1526"/>
      <c r="I417" s="1526"/>
      <c r="J417" s="1526"/>
      <c r="K417" s="1526"/>
      <c r="L417" s="1526"/>
      <c r="M417" s="1526"/>
      <c r="N417" s="1526"/>
      <c r="O417" s="1526"/>
      <c r="P417" s="1526"/>
      <c r="Q417" s="1526"/>
      <c r="R417" s="1526"/>
      <c r="S417" s="1526"/>
      <c r="T417" s="1526"/>
      <c r="U417" s="1526"/>
      <c r="V417" s="1526"/>
      <c r="W417" s="1526"/>
      <c r="X417" s="1526"/>
      <c r="Y417" s="1526"/>
      <c r="Z417" s="974"/>
      <c r="AA417" s="974"/>
      <c r="AB417" s="974"/>
      <c r="AC417" s="974"/>
      <c r="AD417" s="974"/>
      <c r="AE417" s="974"/>
    </row>
    <row r="418">
      <c r="A418" s="1526"/>
      <c r="B418" s="1526"/>
      <c r="C418" s="1526"/>
      <c r="D418" s="1526"/>
      <c r="E418" s="1526"/>
      <c r="F418" s="1526"/>
      <c r="G418" s="1526"/>
      <c r="H418" s="1526"/>
      <c r="I418" s="1526"/>
      <c r="J418" s="1526"/>
      <c r="K418" s="1526"/>
      <c r="L418" s="1526"/>
      <c r="M418" s="1526"/>
      <c r="N418" s="1526"/>
      <c r="O418" s="1526"/>
      <c r="P418" s="1526"/>
      <c r="Q418" s="1526"/>
      <c r="R418" s="1526"/>
      <c r="S418" s="1526"/>
      <c r="T418" s="1526"/>
      <c r="U418" s="1526"/>
      <c r="V418" s="1526"/>
      <c r="W418" s="1526"/>
      <c r="X418" s="1526"/>
      <c r="Y418" s="1526"/>
      <c r="Z418" s="974"/>
      <c r="AA418" s="974"/>
      <c r="AB418" s="974"/>
      <c r="AC418" s="974"/>
      <c r="AD418" s="974"/>
      <c r="AE418" s="974"/>
    </row>
    <row r="419">
      <c r="A419" s="1526"/>
      <c r="B419" s="1526"/>
      <c r="C419" s="1526"/>
      <c r="D419" s="1526"/>
      <c r="E419" s="1526"/>
      <c r="F419" s="1526"/>
      <c r="G419" s="1526"/>
      <c r="H419" s="1526"/>
      <c r="I419" s="1526"/>
      <c r="J419" s="1526"/>
      <c r="K419" s="1526"/>
      <c r="L419" s="1526"/>
      <c r="M419" s="1526"/>
      <c r="N419" s="1526"/>
      <c r="O419" s="1526"/>
      <c r="P419" s="1526"/>
      <c r="Q419" s="1526"/>
      <c r="R419" s="1526"/>
      <c r="S419" s="1526"/>
      <c r="T419" s="1526"/>
      <c r="U419" s="1526"/>
      <c r="V419" s="1526"/>
      <c r="W419" s="1526"/>
      <c r="X419" s="1526"/>
      <c r="Y419" s="1526"/>
      <c r="Z419" s="974"/>
      <c r="AA419" s="974"/>
      <c r="AB419" s="974"/>
      <c r="AC419" s="974"/>
      <c r="AD419" s="974"/>
      <c r="AE419" s="974"/>
    </row>
    <row r="420">
      <c r="A420" s="1526"/>
      <c r="B420" s="1526"/>
      <c r="C420" s="1526"/>
      <c r="D420" s="1526"/>
      <c r="E420" s="1526"/>
      <c r="F420" s="1526"/>
      <c r="G420" s="1526"/>
      <c r="H420" s="1526"/>
      <c r="I420" s="1526"/>
      <c r="J420" s="1526"/>
      <c r="K420" s="1526"/>
      <c r="L420" s="1526"/>
      <c r="M420" s="1526"/>
      <c r="N420" s="1526"/>
      <c r="O420" s="1526"/>
      <c r="P420" s="1526"/>
      <c r="Q420" s="1526"/>
      <c r="R420" s="1526"/>
      <c r="S420" s="1526"/>
      <c r="T420" s="1526"/>
      <c r="U420" s="1526"/>
      <c r="V420" s="1526"/>
      <c r="W420" s="1526"/>
      <c r="X420" s="1526"/>
      <c r="Y420" s="1526"/>
      <c r="Z420" s="974"/>
      <c r="AA420" s="974"/>
      <c r="AB420" s="974"/>
      <c r="AC420" s="974"/>
      <c r="AD420" s="974"/>
      <c r="AE420" s="974"/>
    </row>
    <row r="421">
      <c r="A421" s="1526"/>
      <c r="B421" s="1526"/>
      <c r="C421" s="1526"/>
      <c r="D421" s="1526"/>
      <c r="E421" s="1526"/>
      <c r="F421" s="1526"/>
      <c r="G421" s="1526"/>
      <c r="H421" s="1526"/>
      <c r="I421" s="1526"/>
      <c r="J421" s="1526"/>
      <c r="K421" s="1526"/>
      <c r="L421" s="1526"/>
      <c r="M421" s="1526"/>
      <c r="N421" s="1526"/>
      <c r="O421" s="1526"/>
      <c r="P421" s="1526"/>
      <c r="Q421" s="1526"/>
      <c r="R421" s="1526"/>
      <c r="S421" s="1526"/>
      <c r="T421" s="1526"/>
      <c r="U421" s="1526"/>
      <c r="V421" s="1526"/>
      <c r="W421" s="1526"/>
      <c r="X421" s="1526"/>
      <c r="Y421" s="1526"/>
      <c r="Z421" s="974"/>
      <c r="AA421" s="974"/>
      <c r="AB421" s="974"/>
      <c r="AC421" s="974"/>
      <c r="AD421" s="974"/>
      <c r="AE421" s="974"/>
    </row>
    <row r="422">
      <c r="A422" s="1526"/>
      <c r="B422" s="1526"/>
      <c r="C422" s="1526"/>
      <c r="D422" s="1526"/>
      <c r="E422" s="1526"/>
      <c r="F422" s="1526"/>
      <c r="G422" s="1526"/>
      <c r="H422" s="1526"/>
      <c r="I422" s="1526"/>
      <c r="J422" s="1526"/>
      <c r="K422" s="1526"/>
      <c r="L422" s="1526"/>
      <c r="M422" s="1526"/>
      <c r="N422" s="1526"/>
      <c r="O422" s="1526"/>
      <c r="P422" s="1526"/>
      <c r="Q422" s="1526"/>
      <c r="R422" s="1526"/>
      <c r="S422" s="1526"/>
      <c r="T422" s="1526"/>
      <c r="U422" s="1526"/>
      <c r="V422" s="1526"/>
      <c r="W422" s="1526"/>
      <c r="X422" s="1526"/>
      <c r="Y422" s="1526"/>
      <c r="Z422" s="974"/>
      <c r="AA422" s="974"/>
      <c r="AB422" s="974"/>
      <c r="AC422" s="974"/>
      <c r="AD422" s="974"/>
      <c r="AE422" s="974"/>
    </row>
    <row r="423">
      <c r="A423" s="1526"/>
      <c r="B423" s="1526"/>
      <c r="C423" s="1526"/>
      <c r="D423" s="1526"/>
      <c r="E423" s="1526"/>
      <c r="F423" s="1526"/>
      <c r="G423" s="1526"/>
      <c r="H423" s="1526"/>
      <c r="I423" s="1526"/>
      <c r="J423" s="1526"/>
      <c r="K423" s="1526"/>
      <c r="L423" s="1526"/>
      <c r="M423" s="1526"/>
      <c r="N423" s="1526"/>
      <c r="O423" s="1526"/>
      <c r="P423" s="1526"/>
      <c r="Q423" s="1526"/>
      <c r="R423" s="1526"/>
      <c r="S423" s="1526"/>
      <c r="T423" s="1526"/>
      <c r="U423" s="1526"/>
      <c r="V423" s="1526"/>
      <c r="W423" s="1526"/>
      <c r="X423" s="1526"/>
      <c r="Y423" s="1526"/>
      <c r="Z423" s="974"/>
      <c r="AA423" s="974"/>
      <c r="AB423" s="974"/>
      <c r="AC423" s="974"/>
      <c r="AD423" s="974"/>
      <c r="AE423" s="974"/>
    </row>
    <row r="424">
      <c r="A424" s="1526"/>
      <c r="B424" s="1526"/>
      <c r="C424" s="1526"/>
      <c r="D424" s="1526"/>
      <c r="E424" s="1526"/>
      <c r="F424" s="1526"/>
      <c r="G424" s="1526"/>
      <c r="H424" s="1526"/>
      <c r="I424" s="1526"/>
      <c r="J424" s="1526"/>
      <c r="K424" s="1526"/>
      <c r="L424" s="1526"/>
      <c r="M424" s="1526"/>
      <c r="N424" s="1526"/>
      <c r="O424" s="1526"/>
      <c r="P424" s="1526"/>
      <c r="Q424" s="1526"/>
      <c r="R424" s="1526"/>
      <c r="S424" s="1526"/>
      <c r="T424" s="1526"/>
      <c r="U424" s="1526"/>
      <c r="V424" s="1526"/>
      <c r="W424" s="1526"/>
      <c r="X424" s="1526"/>
      <c r="Y424" s="1526"/>
      <c r="Z424" s="974"/>
      <c r="AA424" s="974"/>
      <c r="AB424" s="974"/>
      <c r="AC424" s="974"/>
      <c r="AD424" s="974"/>
      <c r="AE424" s="974"/>
    </row>
    <row r="425">
      <c r="A425" s="1526"/>
      <c r="B425" s="1526"/>
      <c r="C425" s="1526"/>
      <c r="D425" s="1526"/>
      <c r="E425" s="1526"/>
      <c r="F425" s="1526"/>
      <c r="G425" s="1526"/>
      <c r="H425" s="1526"/>
      <c r="I425" s="1526"/>
      <c r="J425" s="1526"/>
      <c r="K425" s="1526"/>
      <c r="L425" s="1526"/>
      <c r="M425" s="1526"/>
      <c r="N425" s="1526"/>
      <c r="O425" s="1526"/>
      <c r="P425" s="1526"/>
      <c r="Q425" s="1526"/>
      <c r="R425" s="1526"/>
      <c r="S425" s="1526"/>
      <c r="T425" s="1526"/>
      <c r="U425" s="1526"/>
      <c r="V425" s="1526"/>
      <c r="W425" s="1526"/>
      <c r="X425" s="1526"/>
      <c r="Y425" s="1526"/>
      <c r="Z425" s="974"/>
      <c r="AA425" s="974"/>
      <c r="AB425" s="974"/>
      <c r="AC425" s="974"/>
      <c r="AD425" s="974"/>
      <c r="AE425" s="974"/>
    </row>
    <row r="426">
      <c r="A426" s="1526"/>
      <c r="B426" s="1526"/>
      <c r="C426" s="1526"/>
      <c r="D426" s="1526"/>
      <c r="E426" s="1526"/>
      <c r="F426" s="1526"/>
      <c r="G426" s="1526"/>
      <c r="H426" s="1526"/>
      <c r="I426" s="1526"/>
      <c r="J426" s="1526"/>
      <c r="K426" s="1526"/>
      <c r="L426" s="1526"/>
      <c r="M426" s="1526"/>
      <c r="N426" s="1526"/>
      <c r="O426" s="1526"/>
      <c r="P426" s="1526"/>
      <c r="Q426" s="1526"/>
      <c r="R426" s="1526"/>
      <c r="S426" s="1526"/>
      <c r="T426" s="1526"/>
      <c r="U426" s="1526"/>
      <c r="V426" s="1526"/>
      <c r="W426" s="1526"/>
      <c r="X426" s="1526"/>
      <c r="Y426" s="1526"/>
      <c r="Z426" s="974"/>
      <c r="AA426" s="974"/>
      <c r="AB426" s="974"/>
      <c r="AC426" s="974"/>
      <c r="AD426" s="974"/>
      <c r="AE426" s="974"/>
    </row>
    <row r="427">
      <c r="A427" s="1526"/>
      <c r="B427" s="1526"/>
      <c r="C427" s="1526"/>
      <c r="D427" s="1526"/>
      <c r="E427" s="1526"/>
      <c r="F427" s="1526"/>
      <c r="G427" s="1526"/>
      <c r="H427" s="1526"/>
      <c r="I427" s="1526"/>
      <c r="J427" s="1526"/>
      <c r="K427" s="1526"/>
      <c r="L427" s="1526"/>
      <c r="M427" s="1526"/>
      <c r="N427" s="1526"/>
      <c r="O427" s="1526"/>
      <c r="P427" s="1526"/>
      <c r="Q427" s="1526"/>
      <c r="R427" s="1526"/>
      <c r="S427" s="1526"/>
      <c r="T427" s="1526"/>
      <c r="U427" s="1526"/>
      <c r="V427" s="1526"/>
      <c r="W427" s="1526"/>
      <c r="X427" s="1526"/>
      <c r="Y427" s="1526"/>
      <c r="Z427" s="974"/>
      <c r="AA427" s="974"/>
      <c r="AB427" s="974"/>
      <c r="AC427" s="974"/>
      <c r="AD427" s="974"/>
      <c r="AE427" s="974"/>
    </row>
    <row r="428">
      <c r="A428" s="1526"/>
      <c r="B428" s="1526"/>
      <c r="C428" s="1526"/>
      <c r="D428" s="1526"/>
      <c r="E428" s="1526"/>
      <c r="F428" s="1526"/>
      <c r="G428" s="1526"/>
      <c r="H428" s="1526"/>
      <c r="I428" s="1526"/>
      <c r="J428" s="1526"/>
      <c r="K428" s="1526"/>
      <c r="L428" s="1526"/>
      <c r="M428" s="1526"/>
      <c r="N428" s="1526"/>
      <c r="O428" s="1526"/>
      <c r="P428" s="1526"/>
      <c r="Q428" s="1526"/>
      <c r="R428" s="1526"/>
      <c r="S428" s="1526"/>
      <c r="T428" s="1526"/>
      <c r="U428" s="1526"/>
      <c r="V428" s="1526"/>
      <c r="W428" s="1526"/>
      <c r="X428" s="1526"/>
      <c r="Y428" s="1526"/>
      <c r="Z428" s="974"/>
      <c r="AA428" s="974"/>
      <c r="AB428" s="974"/>
      <c r="AC428" s="974"/>
      <c r="AD428" s="974"/>
      <c r="AE428" s="974"/>
    </row>
    <row r="429">
      <c r="A429" s="1526"/>
      <c r="B429" s="1526"/>
      <c r="C429" s="1526"/>
      <c r="D429" s="1526"/>
      <c r="E429" s="1526"/>
      <c r="F429" s="1526"/>
      <c r="G429" s="1526"/>
      <c r="H429" s="1526"/>
      <c r="I429" s="1526"/>
      <c r="J429" s="1526"/>
      <c r="K429" s="1526"/>
      <c r="L429" s="1526"/>
      <c r="M429" s="1526"/>
      <c r="N429" s="1526"/>
      <c r="O429" s="1526"/>
      <c r="P429" s="1526"/>
      <c r="Q429" s="1526"/>
      <c r="R429" s="1526"/>
      <c r="S429" s="1526"/>
      <c r="T429" s="1526"/>
      <c r="U429" s="1526"/>
      <c r="V429" s="1526"/>
      <c r="W429" s="1526"/>
      <c r="X429" s="1526"/>
      <c r="Y429" s="1526"/>
      <c r="Z429" s="974"/>
      <c r="AA429" s="974"/>
      <c r="AB429" s="974"/>
      <c r="AC429" s="974"/>
      <c r="AD429" s="974"/>
      <c r="AE429" s="974"/>
    </row>
    <row r="430">
      <c r="A430" s="1526"/>
      <c r="B430" s="1526"/>
      <c r="C430" s="1526"/>
      <c r="D430" s="1526"/>
      <c r="E430" s="1526"/>
      <c r="F430" s="1526"/>
      <c r="G430" s="1526"/>
      <c r="H430" s="1526"/>
      <c r="I430" s="1526"/>
      <c r="J430" s="1526"/>
      <c r="K430" s="1526"/>
      <c r="L430" s="1526"/>
      <c r="M430" s="1526"/>
      <c r="N430" s="1526"/>
      <c r="O430" s="1526"/>
      <c r="P430" s="1526"/>
      <c r="Q430" s="1526"/>
      <c r="R430" s="1526"/>
      <c r="S430" s="1526"/>
      <c r="T430" s="1526"/>
      <c r="U430" s="1526"/>
      <c r="V430" s="1526"/>
      <c r="W430" s="1526"/>
      <c r="X430" s="1526"/>
      <c r="Y430" s="1526"/>
      <c r="Z430" s="974"/>
      <c r="AA430" s="974"/>
      <c r="AB430" s="974"/>
      <c r="AC430" s="974"/>
      <c r="AD430" s="974"/>
      <c r="AE430" s="974"/>
    </row>
    <row r="431">
      <c r="A431" s="1526"/>
      <c r="B431" s="1526"/>
      <c r="C431" s="1526"/>
      <c r="D431" s="1526"/>
      <c r="E431" s="1526"/>
      <c r="F431" s="1526"/>
      <c r="G431" s="1526"/>
      <c r="H431" s="1526"/>
      <c r="I431" s="1526"/>
      <c r="J431" s="1526"/>
      <c r="K431" s="1526"/>
      <c r="L431" s="1526"/>
      <c r="M431" s="1526"/>
      <c r="N431" s="1526"/>
      <c r="O431" s="1526"/>
      <c r="P431" s="1526"/>
      <c r="Q431" s="1526"/>
      <c r="R431" s="1526"/>
      <c r="S431" s="1526"/>
      <c r="T431" s="1526"/>
      <c r="U431" s="1526"/>
      <c r="V431" s="1526"/>
      <c r="W431" s="1526"/>
      <c r="X431" s="1526"/>
      <c r="Y431" s="1526"/>
      <c r="Z431" s="974"/>
      <c r="AA431" s="974"/>
      <c r="AB431" s="974"/>
      <c r="AC431" s="974"/>
      <c r="AD431" s="974"/>
      <c r="AE431" s="974"/>
    </row>
    <row r="432">
      <c r="A432" s="1526"/>
      <c r="B432" s="1526"/>
      <c r="C432" s="1526"/>
      <c r="D432" s="1526"/>
      <c r="E432" s="1526"/>
      <c r="F432" s="1526"/>
      <c r="G432" s="1526"/>
      <c r="H432" s="1526"/>
      <c r="I432" s="1526"/>
      <c r="J432" s="1526"/>
      <c r="K432" s="1526"/>
      <c r="L432" s="1526"/>
      <c r="M432" s="1526"/>
      <c r="N432" s="1526"/>
      <c r="O432" s="1526"/>
      <c r="P432" s="1526"/>
      <c r="Q432" s="1526"/>
      <c r="R432" s="1526"/>
      <c r="S432" s="1526"/>
      <c r="T432" s="1526"/>
      <c r="U432" s="1526"/>
      <c r="V432" s="1526"/>
      <c r="W432" s="1526"/>
      <c r="X432" s="1526"/>
      <c r="Y432" s="1526"/>
      <c r="Z432" s="974"/>
      <c r="AA432" s="974"/>
      <c r="AB432" s="974"/>
      <c r="AC432" s="974"/>
      <c r="AD432" s="974"/>
      <c r="AE432" s="974"/>
    </row>
    <row r="433">
      <c r="A433" s="1526"/>
      <c r="B433" s="1526"/>
      <c r="C433" s="1526"/>
      <c r="D433" s="1526"/>
      <c r="E433" s="1526"/>
      <c r="F433" s="1526"/>
      <c r="G433" s="1526"/>
      <c r="H433" s="1526"/>
      <c r="I433" s="1526"/>
      <c r="J433" s="1526"/>
      <c r="K433" s="1526"/>
      <c r="L433" s="1526"/>
      <c r="M433" s="1526"/>
      <c r="N433" s="1526"/>
      <c r="O433" s="1526"/>
      <c r="P433" s="1526"/>
      <c r="Q433" s="1526"/>
      <c r="R433" s="1526"/>
      <c r="S433" s="1526"/>
      <c r="T433" s="1526"/>
      <c r="U433" s="1526"/>
      <c r="V433" s="1526"/>
      <c r="W433" s="1526"/>
      <c r="X433" s="1526"/>
      <c r="Y433" s="1526"/>
      <c r="Z433" s="974"/>
      <c r="AA433" s="974"/>
      <c r="AB433" s="974"/>
      <c r="AC433" s="974"/>
      <c r="AD433" s="974"/>
      <c r="AE433" s="974"/>
    </row>
    <row r="434">
      <c r="A434" s="1526"/>
      <c r="B434" s="1526"/>
      <c r="C434" s="1526"/>
      <c r="D434" s="1526"/>
      <c r="E434" s="1526"/>
      <c r="F434" s="1526"/>
      <c r="G434" s="1526"/>
      <c r="H434" s="1526"/>
      <c r="I434" s="1526"/>
      <c r="J434" s="1526"/>
      <c r="K434" s="1526"/>
      <c r="L434" s="1526"/>
      <c r="M434" s="1526"/>
      <c r="N434" s="1526"/>
      <c r="O434" s="1526"/>
      <c r="P434" s="1526"/>
      <c r="Q434" s="1526"/>
      <c r="R434" s="1526"/>
      <c r="S434" s="1526"/>
      <c r="T434" s="1526"/>
      <c r="U434" s="1526"/>
      <c r="V434" s="1526"/>
      <c r="W434" s="1526"/>
      <c r="X434" s="1526"/>
      <c r="Y434" s="1526"/>
      <c r="Z434" s="974"/>
      <c r="AA434" s="974"/>
      <c r="AB434" s="974"/>
      <c r="AC434" s="974"/>
      <c r="AD434" s="974"/>
      <c r="AE434" s="974"/>
    </row>
    <row r="435">
      <c r="A435" s="1526"/>
      <c r="B435" s="1526"/>
      <c r="C435" s="1526"/>
      <c r="D435" s="1526"/>
      <c r="E435" s="1526"/>
      <c r="F435" s="1526"/>
      <c r="G435" s="1526"/>
      <c r="H435" s="1526"/>
      <c r="I435" s="1526"/>
      <c r="J435" s="1526"/>
      <c r="K435" s="1526"/>
      <c r="L435" s="1526"/>
      <c r="M435" s="1526"/>
      <c r="N435" s="1526"/>
      <c r="O435" s="1526"/>
      <c r="P435" s="1526"/>
      <c r="Q435" s="1526"/>
      <c r="R435" s="1526"/>
      <c r="S435" s="1526"/>
      <c r="T435" s="1526"/>
      <c r="U435" s="1526"/>
      <c r="V435" s="1526"/>
      <c r="W435" s="1526"/>
      <c r="X435" s="1526"/>
      <c r="Y435" s="1526"/>
      <c r="Z435" s="974"/>
      <c r="AA435" s="974"/>
      <c r="AB435" s="974"/>
      <c r="AC435" s="974"/>
      <c r="AD435" s="974"/>
      <c r="AE435" s="974"/>
    </row>
    <row r="436">
      <c r="A436" s="1526"/>
      <c r="B436" s="1526"/>
      <c r="C436" s="1526"/>
      <c r="D436" s="1526"/>
      <c r="E436" s="1526"/>
      <c r="F436" s="1526"/>
      <c r="G436" s="1526"/>
      <c r="H436" s="1526"/>
      <c r="I436" s="1526"/>
      <c r="J436" s="1526"/>
      <c r="K436" s="1526"/>
      <c r="L436" s="1526"/>
      <c r="M436" s="1526"/>
      <c r="N436" s="1526"/>
      <c r="O436" s="1526"/>
      <c r="P436" s="1526"/>
      <c r="Q436" s="1526"/>
      <c r="R436" s="1526"/>
      <c r="S436" s="1526"/>
      <c r="T436" s="1526"/>
      <c r="U436" s="1526"/>
      <c r="V436" s="1526"/>
      <c r="W436" s="1526"/>
      <c r="X436" s="1526"/>
      <c r="Y436" s="1526"/>
      <c r="Z436" s="974"/>
      <c r="AA436" s="974"/>
      <c r="AB436" s="974"/>
      <c r="AC436" s="974"/>
      <c r="AD436" s="974"/>
      <c r="AE436" s="974"/>
    </row>
    <row r="437">
      <c r="A437" s="1526"/>
      <c r="B437" s="1526"/>
      <c r="C437" s="1526"/>
      <c r="D437" s="1526"/>
      <c r="E437" s="1526"/>
      <c r="F437" s="1526"/>
      <c r="G437" s="1526"/>
      <c r="H437" s="1526"/>
      <c r="I437" s="1526"/>
      <c r="J437" s="1526"/>
      <c r="K437" s="1526"/>
      <c r="L437" s="1526"/>
      <c r="M437" s="1526"/>
      <c r="N437" s="1526"/>
      <c r="O437" s="1526"/>
      <c r="P437" s="1526"/>
      <c r="Q437" s="1526"/>
      <c r="R437" s="1526"/>
      <c r="S437" s="1526"/>
      <c r="T437" s="1526"/>
      <c r="U437" s="1526"/>
      <c r="V437" s="1526"/>
      <c r="W437" s="1526"/>
      <c r="X437" s="1526"/>
      <c r="Y437" s="1526"/>
      <c r="Z437" s="974"/>
      <c r="AA437" s="974"/>
      <c r="AB437" s="974"/>
      <c r="AC437" s="974"/>
      <c r="AD437" s="974"/>
      <c r="AE437" s="974"/>
    </row>
    <row r="438">
      <c r="A438" s="1526"/>
      <c r="B438" s="1526"/>
      <c r="C438" s="1526"/>
      <c r="D438" s="1526"/>
      <c r="E438" s="1526"/>
      <c r="F438" s="1526"/>
      <c r="G438" s="1526"/>
      <c r="H438" s="1526"/>
      <c r="I438" s="1526"/>
      <c r="J438" s="1526"/>
      <c r="K438" s="1526"/>
      <c r="L438" s="1526"/>
      <c r="M438" s="1526"/>
      <c r="N438" s="1526"/>
      <c r="O438" s="1526"/>
      <c r="P438" s="1526"/>
      <c r="Q438" s="1526"/>
      <c r="R438" s="1526"/>
      <c r="S438" s="1526"/>
      <c r="T438" s="1526"/>
      <c r="U438" s="1526"/>
      <c r="V438" s="1526"/>
      <c r="W438" s="1526"/>
      <c r="X438" s="1526"/>
      <c r="Y438" s="1526"/>
      <c r="Z438" s="974"/>
      <c r="AA438" s="974"/>
      <c r="AB438" s="974"/>
      <c r="AC438" s="974"/>
      <c r="AD438" s="974"/>
      <c r="AE438" s="974"/>
    </row>
    <row r="439">
      <c r="A439" s="1526"/>
      <c r="B439" s="1526"/>
      <c r="C439" s="1526"/>
      <c r="D439" s="1526"/>
      <c r="E439" s="1526"/>
      <c r="F439" s="1526"/>
      <c r="G439" s="1526"/>
      <c r="H439" s="1526"/>
      <c r="I439" s="1526"/>
      <c r="J439" s="1526"/>
      <c r="K439" s="1526"/>
      <c r="L439" s="1526"/>
      <c r="M439" s="1526"/>
      <c r="N439" s="1526"/>
      <c r="O439" s="1526"/>
      <c r="P439" s="1526"/>
      <c r="Q439" s="1526"/>
      <c r="R439" s="1526"/>
      <c r="S439" s="1526"/>
      <c r="T439" s="1526"/>
      <c r="U439" s="1526"/>
      <c r="V439" s="1526"/>
      <c r="W439" s="1526"/>
      <c r="X439" s="1526"/>
      <c r="Y439" s="1526"/>
      <c r="Z439" s="974"/>
      <c r="AA439" s="974"/>
      <c r="AB439" s="974"/>
      <c r="AC439" s="974"/>
      <c r="AD439" s="974"/>
      <c r="AE439" s="974"/>
    </row>
    <row r="440">
      <c r="A440" s="1526"/>
      <c r="B440" s="1526"/>
      <c r="C440" s="1526"/>
      <c r="D440" s="1526"/>
      <c r="E440" s="1526"/>
      <c r="F440" s="1526"/>
      <c r="G440" s="1526"/>
      <c r="H440" s="1526"/>
      <c r="I440" s="1526"/>
      <c r="J440" s="1526"/>
      <c r="K440" s="1526"/>
      <c r="L440" s="1526"/>
      <c r="M440" s="1526"/>
      <c r="N440" s="1526"/>
      <c r="O440" s="1526"/>
      <c r="P440" s="1526"/>
      <c r="Q440" s="1526"/>
      <c r="R440" s="1526"/>
      <c r="S440" s="1526"/>
      <c r="T440" s="1526"/>
      <c r="U440" s="1526"/>
      <c r="V440" s="1526"/>
      <c r="W440" s="1526"/>
      <c r="X440" s="1526"/>
      <c r="Y440" s="1526"/>
      <c r="Z440" s="974"/>
      <c r="AA440" s="974"/>
      <c r="AB440" s="974"/>
      <c r="AC440" s="974"/>
      <c r="AD440" s="974"/>
      <c r="AE440" s="974"/>
    </row>
    <row r="441">
      <c r="A441" s="1526"/>
      <c r="B441" s="1526"/>
      <c r="C441" s="1526"/>
      <c r="D441" s="1526"/>
      <c r="E441" s="1526"/>
      <c r="F441" s="1526"/>
      <c r="G441" s="1526"/>
      <c r="H441" s="1526"/>
      <c r="I441" s="1526"/>
      <c r="J441" s="1526"/>
      <c r="K441" s="1526"/>
      <c r="L441" s="1526"/>
      <c r="M441" s="1526"/>
      <c r="N441" s="1526"/>
      <c r="O441" s="1526"/>
      <c r="P441" s="1526"/>
      <c r="Q441" s="1526"/>
      <c r="R441" s="1526"/>
      <c r="S441" s="1526"/>
      <c r="T441" s="1526"/>
      <c r="U441" s="1526"/>
      <c r="V441" s="1526"/>
      <c r="W441" s="1526"/>
      <c r="X441" s="1526"/>
      <c r="Y441" s="1526"/>
      <c r="Z441" s="974"/>
      <c r="AA441" s="974"/>
      <c r="AB441" s="974"/>
      <c r="AC441" s="974"/>
      <c r="AD441" s="974"/>
      <c r="AE441" s="974"/>
    </row>
    <row r="442">
      <c r="A442" s="1526"/>
      <c r="B442" s="1526"/>
      <c r="C442" s="1526"/>
      <c r="D442" s="1526"/>
      <c r="E442" s="1526"/>
      <c r="F442" s="1526"/>
      <c r="G442" s="1526"/>
      <c r="H442" s="1526"/>
      <c r="I442" s="1526"/>
      <c r="J442" s="1526"/>
      <c r="K442" s="1526"/>
      <c r="L442" s="1526"/>
      <c r="M442" s="1526"/>
      <c r="N442" s="1526"/>
      <c r="O442" s="1526"/>
      <c r="P442" s="1526"/>
      <c r="Q442" s="1526"/>
      <c r="R442" s="1526"/>
      <c r="S442" s="1526"/>
      <c r="T442" s="1526"/>
      <c r="U442" s="1526"/>
      <c r="V442" s="1526"/>
      <c r="W442" s="1526"/>
      <c r="X442" s="1526"/>
      <c r="Y442" s="1526"/>
      <c r="Z442" s="974"/>
      <c r="AA442" s="974"/>
      <c r="AB442" s="974"/>
      <c r="AC442" s="974"/>
      <c r="AD442" s="974"/>
      <c r="AE442" s="974"/>
    </row>
    <row r="443">
      <c r="A443" s="1526"/>
      <c r="B443" s="1526"/>
      <c r="C443" s="1526"/>
      <c r="D443" s="1526"/>
      <c r="E443" s="1526"/>
      <c r="F443" s="1526"/>
      <c r="G443" s="1526"/>
      <c r="H443" s="1526"/>
      <c r="I443" s="1526"/>
      <c r="J443" s="1526"/>
      <c r="K443" s="1526"/>
      <c r="L443" s="1526"/>
      <c r="M443" s="1526"/>
      <c r="N443" s="1526"/>
      <c r="O443" s="1526"/>
      <c r="P443" s="1526"/>
      <c r="Q443" s="1526"/>
      <c r="R443" s="1526"/>
      <c r="S443" s="1526"/>
      <c r="T443" s="1526"/>
      <c r="U443" s="1526"/>
      <c r="V443" s="1526"/>
      <c r="W443" s="1526"/>
      <c r="X443" s="1526"/>
      <c r="Y443" s="1526"/>
      <c r="Z443" s="974"/>
      <c r="AA443" s="974"/>
      <c r="AB443" s="974"/>
      <c r="AC443" s="974"/>
      <c r="AD443" s="974"/>
      <c r="AE443" s="974"/>
    </row>
    <row r="444">
      <c r="A444" s="1526"/>
      <c r="B444" s="1526"/>
      <c r="C444" s="1526"/>
      <c r="D444" s="1526"/>
      <c r="E444" s="1526"/>
      <c r="F444" s="1526"/>
      <c r="G444" s="1526"/>
      <c r="H444" s="1526"/>
      <c r="I444" s="1526"/>
      <c r="J444" s="1526"/>
      <c r="K444" s="1526"/>
      <c r="L444" s="1526"/>
      <c r="M444" s="1526"/>
      <c r="N444" s="1526"/>
      <c r="O444" s="1526"/>
      <c r="P444" s="1526"/>
      <c r="Q444" s="1526"/>
      <c r="R444" s="1526"/>
      <c r="S444" s="1526"/>
      <c r="T444" s="1526"/>
      <c r="U444" s="1526"/>
      <c r="V444" s="1526"/>
      <c r="W444" s="1526"/>
      <c r="X444" s="1526"/>
      <c r="Y444" s="1526"/>
      <c r="Z444" s="974"/>
      <c r="AA444" s="974"/>
      <c r="AB444" s="974"/>
      <c r="AC444" s="974"/>
      <c r="AD444" s="974"/>
      <c r="AE444" s="974"/>
    </row>
    <row r="445">
      <c r="A445" s="1526"/>
      <c r="B445" s="1526"/>
      <c r="C445" s="1526"/>
      <c r="D445" s="1526"/>
      <c r="E445" s="1526"/>
      <c r="F445" s="1526"/>
      <c r="G445" s="1526"/>
      <c r="H445" s="1526"/>
      <c r="I445" s="1526"/>
      <c r="J445" s="1526"/>
      <c r="K445" s="1526"/>
      <c r="L445" s="1526"/>
      <c r="M445" s="1526"/>
      <c r="N445" s="1526"/>
      <c r="O445" s="1526"/>
      <c r="P445" s="1526"/>
      <c r="Q445" s="1526"/>
      <c r="R445" s="1526"/>
      <c r="S445" s="1526"/>
      <c r="T445" s="1526"/>
      <c r="U445" s="1526"/>
      <c r="V445" s="1526"/>
      <c r="W445" s="1526"/>
      <c r="X445" s="1526"/>
      <c r="Y445" s="1526"/>
      <c r="Z445" s="974"/>
      <c r="AA445" s="974"/>
      <c r="AB445" s="974"/>
      <c r="AC445" s="974"/>
      <c r="AD445" s="974"/>
      <c r="AE445" s="974"/>
    </row>
    <row r="446">
      <c r="A446" s="1526"/>
      <c r="B446" s="1526"/>
      <c r="C446" s="1526"/>
      <c r="D446" s="1526"/>
      <c r="E446" s="1526"/>
      <c r="F446" s="1526"/>
      <c r="G446" s="1526"/>
      <c r="H446" s="1526"/>
      <c r="I446" s="1526"/>
      <c r="J446" s="1526"/>
      <c r="K446" s="1526"/>
      <c r="L446" s="1526"/>
      <c r="M446" s="1526"/>
      <c r="N446" s="1526"/>
      <c r="O446" s="1526"/>
      <c r="P446" s="1526"/>
      <c r="Q446" s="1526"/>
      <c r="R446" s="1526"/>
      <c r="S446" s="1526"/>
      <c r="T446" s="1526"/>
      <c r="U446" s="1526"/>
      <c r="V446" s="1526"/>
      <c r="W446" s="1526"/>
      <c r="X446" s="1526"/>
      <c r="Y446" s="1526"/>
      <c r="Z446" s="974"/>
      <c r="AA446" s="974"/>
      <c r="AB446" s="974"/>
      <c r="AC446" s="974"/>
      <c r="AD446" s="974"/>
      <c r="AE446" s="974"/>
    </row>
    <row r="447">
      <c r="A447" s="1526"/>
      <c r="B447" s="1526"/>
      <c r="C447" s="1526"/>
      <c r="D447" s="1526"/>
      <c r="E447" s="1526"/>
      <c r="F447" s="1526"/>
      <c r="G447" s="1526"/>
      <c r="H447" s="1526"/>
      <c r="I447" s="1526"/>
      <c r="J447" s="1526"/>
      <c r="K447" s="1526"/>
      <c r="L447" s="1526"/>
      <c r="M447" s="1526"/>
      <c r="N447" s="1526"/>
      <c r="O447" s="1526"/>
      <c r="P447" s="1526"/>
      <c r="Q447" s="1526"/>
      <c r="R447" s="1526"/>
      <c r="S447" s="1526"/>
      <c r="T447" s="1526"/>
      <c r="U447" s="1526"/>
      <c r="V447" s="1526"/>
      <c r="W447" s="1526"/>
      <c r="X447" s="1526"/>
      <c r="Y447" s="1526"/>
      <c r="Z447" s="974"/>
      <c r="AA447" s="974"/>
      <c r="AB447" s="974"/>
      <c r="AC447" s="974"/>
      <c r="AD447" s="974"/>
      <c r="AE447" s="974"/>
    </row>
    <row r="448">
      <c r="A448" s="1526"/>
      <c r="B448" s="1526"/>
      <c r="C448" s="1526"/>
      <c r="D448" s="1526"/>
      <c r="E448" s="1526"/>
      <c r="F448" s="1526"/>
      <c r="G448" s="1526"/>
      <c r="H448" s="1526"/>
      <c r="I448" s="1526"/>
      <c r="J448" s="1526"/>
      <c r="K448" s="1526"/>
      <c r="L448" s="1526"/>
      <c r="M448" s="1526"/>
      <c r="N448" s="1526"/>
      <c r="O448" s="1526"/>
      <c r="P448" s="1526"/>
      <c r="Q448" s="1526"/>
      <c r="R448" s="1526"/>
      <c r="S448" s="1526"/>
      <c r="T448" s="1526"/>
      <c r="U448" s="1526"/>
      <c r="V448" s="1526"/>
      <c r="W448" s="1526"/>
      <c r="X448" s="1526"/>
      <c r="Y448" s="1526"/>
      <c r="Z448" s="974"/>
      <c r="AA448" s="974"/>
      <c r="AB448" s="974"/>
      <c r="AC448" s="974"/>
      <c r="AD448" s="974"/>
      <c r="AE448" s="974"/>
    </row>
    <row r="449">
      <c r="A449" s="1526"/>
      <c r="B449" s="1526"/>
      <c r="C449" s="1526"/>
      <c r="D449" s="1526"/>
      <c r="E449" s="1526"/>
      <c r="F449" s="1526"/>
      <c r="G449" s="1526"/>
      <c r="H449" s="1526"/>
      <c r="I449" s="1526"/>
      <c r="J449" s="1526"/>
      <c r="K449" s="1526"/>
      <c r="L449" s="1526"/>
      <c r="M449" s="1526"/>
      <c r="N449" s="1526"/>
      <c r="O449" s="1526"/>
      <c r="P449" s="1526"/>
      <c r="Q449" s="1526"/>
      <c r="R449" s="1526"/>
      <c r="S449" s="1526"/>
      <c r="T449" s="1526"/>
      <c r="U449" s="1526"/>
      <c r="V449" s="1526"/>
      <c r="W449" s="1526"/>
      <c r="X449" s="1526"/>
      <c r="Y449" s="1526"/>
      <c r="Z449" s="974"/>
      <c r="AA449" s="974"/>
      <c r="AB449" s="974"/>
      <c r="AC449" s="974"/>
      <c r="AD449" s="974"/>
      <c r="AE449" s="974"/>
    </row>
    <row r="450">
      <c r="A450" s="1526"/>
      <c r="B450" s="1526"/>
      <c r="C450" s="1526"/>
      <c r="D450" s="1526"/>
      <c r="E450" s="1526"/>
      <c r="F450" s="1526"/>
      <c r="G450" s="1526"/>
      <c r="H450" s="1526"/>
      <c r="I450" s="1526"/>
      <c r="J450" s="1526"/>
      <c r="K450" s="1526"/>
      <c r="L450" s="1526"/>
      <c r="M450" s="1526"/>
      <c r="N450" s="1526"/>
      <c r="O450" s="1526"/>
      <c r="P450" s="1526"/>
      <c r="Q450" s="1526"/>
      <c r="R450" s="1526"/>
      <c r="S450" s="1526"/>
      <c r="T450" s="1526"/>
      <c r="U450" s="1526"/>
      <c r="V450" s="1526"/>
      <c r="W450" s="1526"/>
      <c r="X450" s="1526"/>
      <c r="Y450" s="1526"/>
      <c r="Z450" s="974"/>
      <c r="AA450" s="974"/>
      <c r="AB450" s="974"/>
      <c r="AC450" s="974"/>
      <c r="AD450" s="974"/>
      <c r="AE450" s="974"/>
    </row>
    <row r="451">
      <c r="A451" s="1526"/>
      <c r="B451" s="1526"/>
      <c r="C451" s="1526"/>
      <c r="D451" s="1526"/>
      <c r="E451" s="1526"/>
      <c r="F451" s="1526"/>
      <c r="G451" s="1526"/>
      <c r="H451" s="1526"/>
      <c r="I451" s="1526"/>
      <c r="J451" s="1526"/>
      <c r="K451" s="1526"/>
      <c r="L451" s="1526"/>
      <c r="M451" s="1526"/>
      <c r="N451" s="1526"/>
      <c r="O451" s="1526"/>
      <c r="P451" s="1526"/>
      <c r="Q451" s="1526"/>
      <c r="R451" s="1526"/>
      <c r="S451" s="1526"/>
      <c r="T451" s="1526"/>
      <c r="U451" s="1526"/>
      <c r="V451" s="1526"/>
      <c r="W451" s="1526"/>
      <c r="X451" s="1526"/>
      <c r="Y451" s="1526"/>
      <c r="Z451" s="974"/>
      <c r="AA451" s="974"/>
      <c r="AB451" s="974"/>
      <c r="AC451" s="974"/>
      <c r="AD451" s="974"/>
      <c r="AE451" s="974"/>
    </row>
    <row r="452">
      <c r="A452" s="1526"/>
      <c r="B452" s="1526"/>
      <c r="C452" s="1526"/>
      <c r="D452" s="1526"/>
      <c r="E452" s="1526"/>
      <c r="F452" s="1526"/>
      <c r="G452" s="1526"/>
      <c r="H452" s="1526"/>
      <c r="I452" s="1526"/>
      <c r="J452" s="1526"/>
      <c r="K452" s="1526"/>
      <c r="L452" s="1526"/>
      <c r="M452" s="1526"/>
      <c r="N452" s="1526"/>
      <c r="O452" s="1526"/>
      <c r="P452" s="1526"/>
      <c r="Q452" s="1526"/>
      <c r="R452" s="1526"/>
      <c r="S452" s="1526"/>
      <c r="T452" s="1526"/>
      <c r="U452" s="1526"/>
      <c r="V452" s="1526"/>
      <c r="W452" s="1526"/>
      <c r="X452" s="1526"/>
      <c r="Y452" s="1526"/>
      <c r="Z452" s="974"/>
      <c r="AA452" s="974"/>
      <c r="AB452" s="974"/>
      <c r="AC452" s="974"/>
      <c r="AD452" s="974"/>
      <c r="AE452" s="974"/>
    </row>
    <row r="453">
      <c r="A453" s="1526"/>
      <c r="B453" s="1526"/>
      <c r="C453" s="1526"/>
      <c r="D453" s="1526"/>
      <c r="E453" s="1526"/>
      <c r="F453" s="1526"/>
      <c r="G453" s="1526"/>
      <c r="H453" s="1526"/>
      <c r="I453" s="1526"/>
      <c r="J453" s="1526"/>
      <c r="K453" s="1526"/>
      <c r="L453" s="1526"/>
      <c r="M453" s="1526"/>
      <c r="N453" s="1526"/>
      <c r="O453" s="1526"/>
      <c r="P453" s="1526"/>
      <c r="Q453" s="1526"/>
      <c r="R453" s="1526"/>
      <c r="S453" s="1526"/>
      <c r="T453" s="1526"/>
      <c r="U453" s="1526"/>
      <c r="V453" s="1526"/>
      <c r="W453" s="1526"/>
      <c r="X453" s="1526"/>
      <c r="Y453" s="1526"/>
      <c r="Z453" s="974"/>
      <c r="AA453" s="974"/>
      <c r="AB453" s="974"/>
      <c r="AC453" s="974"/>
      <c r="AD453" s="974"/>
      <c r="AE453" s="974"/>
    </row>
    <row r="454">
      <c r="A454" s="1526"/>
      <c r="B454" s="1526"/>
      <c r="C454" s="1526"/>
      <c r="D454" s="1526"/>
      <c r="E454" s="1526"/>
      <c r="F454" s="1526"/>
      <c r="G454" s="1526"/>
      <c r="H454" s="1526"/>
      <c r="I454" s="1526"/>
      <c r="J454" s="1526"/>
      <c r="K454" s="1526"/>
      <c r="L454" s="1526"/>
      <c r="M454" s="1526"/>
      <c r="N454" s="1526"/>
      <c r="O454" s="1526"/>
      <c r="P454" s="1526"/>
      <c r="Q454" s="1526"/>
      <c r="R454" s="1526"/>
      <c r="S454" s="1526"/>
      <c r="T454" s="1526"/>
      <c r="U454" s="1526"/>
      <c r="V454" s="1526"/>
      <c r="W454" s="1526"/>
      <c r="X454" s="1526"/>
      <c r="Y454" s="1526"/>
      <c r="Z454" s="974"/>
      <c r="AA454" s="974"/>
      <c r="AB454" s="974"/>
      <c r="AC454" s="974"/>
      <c r="AD454" s="974"/>
      <c r="AE454" s="974"/>
    </row>
    <row r="455">
      <c r="A455" s="1526"/>
      <c r="B455" s="1526"/>
      <c r="C455" s="1526"/>
      <c r="D455" s="1526"/>
      <c r="E455" s="1526"/>
      <c r="F455" s="1526"/>
      <c r="G455" s="1526"/>
      <c r="H455" s="1526"/>
      <c r="I455" s="1526"/>
      <c r="J455" s="1526"/>
      <c r="K455" s="1526"/>
      <c r="L455" s="1526"/>
      <c r="M455" s="1526"/>
      <c r="N455" s="1526"/>
      <c r="O455" s="1526"/>
      <c r="P455" s="1526"/>
      <c r="Q455" s="1526"/>
      <c r="R455" s="1526"/>
      <c r="S455" s="1526"/>
      <c r="T455" s="1526"/>
      <c r="U455" s="1526"/>
      <c r="V455" s="1526"/>
      <c r="W455" s="1526"/>
      <c r="X455" s="1526"/>
      <c r="Y455" s="1526"/>
      <c r="Z455" s="974"/>
      <c r="AA455" s="974"/>
      <c r="AB455" s="974"/>
      <c r="AC455" s="974"/>
      <c r="AD455" s="974"/>
      <c r="AE455" s="974"/>
    </row>
    <row r="456">
      <c r="A456" s="1526"/>
      <c r="B456" s="1526"/>
      <c r="C456" s="1526"/>
      <c r="D456" s="1526"/>
      <c r="E456" s="1526"/>
      <c r="F456" s="1526"/>
      <c r="G456" s="1526"/>
      <c r="H456" s="1526"/>
      <c r="I456" s="1526"/>
      <c r="J456" s="1526"/>
      <c r="K456" s="1526"/>
      <c r="L456" s="1526"/>
      <c r="M456" s="1526"/>
      <c r="N456" s="1526"/>
      <c r="O456" s="1526"/>
      <c r="P456" s="1526"/>
      <c r="Q456" s="1526"/>
      <c r="R456" s="1526"/>
      <c r="S456" s="1526"/>
      <c r="T456" s="1526"/>
      <c r="U456" s="1526"/>
      <c r="V456" s="1526"/>
      <c r="W456" s="1526"/>
      <c r="X456" s="1526"/>
      <c r="Y456" s="1526"/>
      <c r="Z456" s="974"/>
      <c r="AA456" s="974"/>
      <c r="AB456" s="974"/>
      <c r="AC456" s="974"/>
      <c r="AD456" s="974"/>
      <c r="AE456" s="974"/>
    </row>
    <row r="457">
      <c r="A457" s="1526"/>
      <c r="B457" s="1526"/>
      <c r="C457" s="1526"/>
      <c r="D457" s="1526"/>
      <c r="E457" s="1526"/>
      <c r="F457" s="1526"/>
      <c r="G457" s="1526"/>
      <c r="H457" s="1526"/>
      <c r="I457" s="1526"/>
      <c r="J457" s="1526"/>
      <c r="K457" s="1526"/>
      <c r="L457" s="1526"/>
      <c r="M457" s="1526"/>
      <c r="N457" s="1526"/>
      <c r="O457" s="1526"/>
      <c r="P457" s="1526"/>
      <c r="Q457" s="1526"/>
      <c r="R457" s="1526"/>
      <c r="S457" s="1526"/>
      <c r="T457" s="1526"/>
      <c r="U457" s="1526"/>
      <c r="V457" s="1526"/>
      <c r="W457" s="1526"/>
      <c r="X457" s="1526"/>
      <c r="Y457" s="1526"/>
      <c r="Z457" s="974"/>
      <c r="AA457" s="974"/>
      <c r="AB457" s="974"/>
      <c r="AC457" s="974"/>
      <c r="AD457" s="974"/>
      <c r="AE457" s="974"/>
    </row>
    <row r="458">
      <c r="A458" s="1526"/>
      <c r="B458" s="1526"/>
      <c r="C458" s="1526"/>
      <c r="D458" s="1526"/>
      <c r="E458" s="1526"/>
      <c r="F458" s="1526"/>
      <c r="G458" s="1526"/>
      <c r="H458" s="1526"/>
      <c r="I458" s="1526"/>
      <c r="J458" s="1526"/>
      <c r="K458" s="1526"/>
      <c r="L458" s="1526"/>
      <c r="M458" s="1526"/>
      <c r="N458" s="1526"/>
      <c r="O458" s="1526"/>
      <c r="P458" s="1526"/>
      <c r="Q458" s="1526"/>
      <c r="R458" s="1526"/>
      <c r="S458" s="1526"/>
      <c r="T458" s="1526"/>
      <c r="U458" s="1526"/>
      <c r="V458" s="1526"/>
      <c r="W458" s="1526"/>
      <c r="X458" s="1526"/>
      <c r="Y458" s="1526"/>
      <c r="Z458" s="974"/>
      <c r="AA458" s="974"/>
      <c r="AB458" s="974"/>
      <c r="AC458" s="974"/>
      <c r="AD458" s="974"/>
      <c r="AE458" s="974"/>
    </row>
    <row r="459">
      <c r="A459" s="1526"/>
      <c r="B459" s="1526"/>
      <c r="C459" s="1526"/>
      <c r="D459" s="1526"/>
      <c r="E459" s="1526"/>
      <c r="F459" s="1526"/>
      <c r="G459" s="1526"/>
      <c r="H459" s="1526"/>
      <c r="I459" s="1526"/>
      <c r="J459" s="1526"/>
      <c r="K459" s="1526"/>
      <c r="L459" s="1526"/>
      <c r="M459" s="1526"/>
      <c r="N459" s="1526"/>
      <c r="O459" s="1526"/>
      <c r="P459" s="1526"/>
      <c r="Q459" s="1526"/>
      <c r="R459" s="1526"/>
      <c r="S459" s="1526"/>
      <c r="T459" s="1526"/>
      <c r="U459" s="1526"/>
      <c r="V459" s="1526"/>
      <c r="W459" s="1526"/>
      <c r="X459" s="1526"/>
      <c r="Y459" s="1526"/>
      <c r="Z459" s="974"/>
      <c r="AA459" s="974"/>
      <c r="AB459" s="974"/>
      <c r="AC459" s="974"/>
      <c r="AD459" s="974"/>
      <c r="AE459" s="974"/>
    </row>
    <row r="460">
      <c r="A460" s="1526"/>
      <c r="B460" s="1526"/>
      <c r="C460" s="1526"/>
      <c r="D460" s="1526"/>
      <c r="E460" s="1526"/>
      <c r="F460" s="1526"/>
      <c r="G460" s="1526"/>
      <c r="H460" s="1526"/>
      <c r="I460" s="1526"/>
      <c r="J460" s="1526"/>
      <c r="K460" s="1526"/>
      <c r="L460" s="1526"/>
      <c r="M460" s="1526"/>
      <c r="N460" s="1526"/>
      <c r="O460" s="1526"/>
      <c r="P460" s="1526"/>
      <c r="Q460" s="1526"/>
      <c r="R460" s="1526"/>
      <c r="S460" s="1526"/>
      <c r="T460" s="1526"/>
      <c r="U460" s="1526"/>
      <c r="V460" s="1526"/>
      <c r="W460" s="1526"/>
      <c r="X460" s="1526"/>
      <c r="Y460" s="1526"/>
      <c r="Z460" s="974"/>
      <c r="AA460" s="974"/>
      <c r="AB460" s="974"/>
      <c r="AC460" s="974"/>
      <c r="AD460" s="974"/>
      <c r="AE460" s="974"/>
    </row>
    <row r="461">
      <c r="A461" s="1526"/>
      <c r="B461" s="1526"/>
      <c r="C461" s="1526"/>
      <c r="D461" s="1526"/>
      <c r="E461" s="1526"/>
      <c r="F461" s="1526"/>
      <c r="G461" s="1526"/>
      <c r="H461" s="1526"/>
      <c r="I461" s="1526"/>
      <c r="J461" s="1526"/>
      <c r="K461" s="1526"/>
      <c r="L461" s="1526"/>
      <c r="M461" s="1526"/>
      <c r="N461" s="1526"/>
      <c r="O461" s="1526"/>
      <c r="P461" s="1526"/>
      <c r="Q461" s="1526"/>
      <c r="R461" s="1526"/>
      <c r="S461" s="1526"/>
      <c r="T461" s="1526"/>
      <c r="U461" s="1526"/>
      <c r="V461" s="1526"/>
      <c r="W461" s="1526"/>
      <c r="X461" s="1526"/>
      <c r="Y461" s="1526"/>
      <c r="Z461" s="974"/>
      <c r="AA461" s="974"/>
      <c r="AB461" s="974"/>
      <c r="AC461" s="974"/>
      <c r="AD461" s="974"/>
      <c r="AE461" s="974"/>
    </row>
    <row r="462">
      <c r="A462" s="1526"/>
      <c r="B462" s="1526"/>
      <c r="C462" s="1526"/>
      <c r="D462" s="1526"/>
      <c r="E462" s="1526"/>
      <c r="F462" s="1526"/>
      <c r="G462" s="1526"/>
      <c r="H462" s="1526"/>
      <c r="I462" s="1526"/>
      <c r="J462" s="1526"/>
      <c r="K462" s="1526"/>
      <c r="L462" s="1526"/>
      <c r="M462" s="1526"/>
      <c r="N462" s="1526"/>
      <c r="O462" s="1526"/>
      <c r="P462" s="1526"/>
      <c r="Q462" s="1526"/>
      <c r="R462" s="1526"/>
      <c r="S462" s="1526"/>
      <c r="T462" s="1526"/>
      <c r="U462" s="1526"/>
      <c r="V462" s="1526"/>
      <c r="W462" s="1526"/>
      <c r="X462" s="1526"/>
      <c r="Y462" s="1526"/>
      <c r="Z462" s="974"/>
      <c r="AA462" s="974"/>
      <c r="AB462" s="974"/>
      <c r="AC462" s="974"/>
      <c r="AD462" s="974"/>
      <c r="AE462" s="974"/>
    </row>
    <row r="463">
      <c r="A463" s="1526"/>
      <c r="B463" s="1526"/>
      <c r="C463" s="1526"/>
      <c r="D463" s="1526"/>
      <c r="E463" s="1526"/>
      <c r="F463" s="1526"/>
      <c r="G463" s="1526"/>
      <c r="H463" s="1526"/>
      <c r="I463" s="1526"/>
      <c r="J463" s="1526"/>
      <c r="K463" s="1526"/>
      <c r="L463" s="1526"/>
      <c r="M463" s="1526"/>
      <c r="N463" s="1526"/>
      <c r="O463" s="1526"/>
      <c r="P463" s="1526"/>
      <c r="Q463" s="1526"/>
      <c r="R463" s="1526"/>
      <c r="S463" s="1526"/>
      <c r="T463" s="1526"/>
      <c r="U463" s="1526"/>
      <c r="V463" s="1526"/>
      <c r="W463" s="1526"/>
      <c r="X463" s="1526"/>
      <c r="Y463" s="1526"/>
      <c r="Z463" s="974"/>
      <c r="AA463" s="974"/>
      <c r="AB463" s="974"/>
      <c r="AC463" s="974"/>
      <c r="AD463" s="974"/>
      <c r="AE463" s="974"/>
    </row>
    <row r="464">
      <c r="A464" s="1526"/>
      <c r="B464" s="1526"/>
      <c r="C464" s="1526"/>
      <c r="D464" s="1526"/>
      <c r="E464" s="1526"/>
      <c r="F464" s="1526"/>
      <c r="G464" s="1526"/>
      <c r="H464" s="1526"/>
      <c r="I464" s="1526"/>
      <c r="J464" s="1526"/>
      <c r="K464" s="1526"/>
      <c r="L464" s="1526"/>
      <c r="M464" s="1526"/>
      <c r="N464" s="1526"/>
      <c r="O464" s="1526"/>
      <c r="P464" s="1526"/>
      <c r="Q464" s="1526"/>
      <c r="R464" s="1526"/>
      <c r="S464" s="1526"/>
      <c r="T464" s="1526"/>
      <c r="U464" s="1526"/>
      <c r="V464" s="1526"/>
      <c r="W464" s="1526"/>
      <c r="X464" s="1526"/>
      <c r="Y464" s="1526"/>
      <c r="Z464" s="974"/>
      <c r="AA464" s="974"/>
      <c r="AB464" s="974"/>
      <c r="AC464" s="974"/>
      <c r="AD464" s="974"/>
      <c r="AE464" s="974"/>
    </row>
    <row r="465">
      <c r="A465" s="1526"/>
      <c r="B465" s="1526"/>
      <c r="C465" s="1526"/>
      <c r="D465" s="1526"/>
      <c r="E465" s="1526"/>
      <c r="F465" s="1526"/>
      <c r="G465" s="1526"/>
      <c r="H465" s="1526"/>
      <c r="I465" s="1526"/>
      <c r="J465" s="1526"/>
      <c r="K465" s="1526"/>
      <c r="L465" s="1526"/>
      <c r="M465" s="1526"/>
      <c r="N465" s="1526"/>
      <c r="O465" s="1526"/>
      <c r="P465" s="1526"/>
      <c r="Q465" s="1526"/>
      <c r="R465" s="1526"/>
      <c r="S465" s="1526"/>
      <c r="T465" s="1526"/>
      <c r="U465" s="1526"/>
      <c r="V465" s="1526"/>
      <c r="W465" s="1526"/>
      <c r="X465" s="1526"/>
      <c r="Y465" s="1526"/>
      <c r="Z465" s="974"/>
      <c r="AA465" s="974"/>
      <c r="AB465" s="974"/>
      <c r="AC465" s="974"/>
      <c r="AD465" s="974"/>
      <c r="AE465" s="974"/>
    </row>
    <row r="466">
      <c r="A466" s="1526"/>
      <c r="B466" s="1526"/>
      <c r="C466" s="1526"/>
      <c r="D466" s="1526"/>
      <c r="E466" s="1526"/>
      <c r="F466" s="1526"/>
      <c r="G466" s="1526"/>
      <c r="H466" s="1526"/>
      <c r="I466" s="1526"/>
      <c r="J466" s="1526"/>
      <c r="K466" s="1526"/>
      <c r="L466" s="1526"/>
      <c r="M466" s="1526"/>
      <c r="N466" s="1526"/>
      <c r="O466" s="1526"/>
      <c r="P466" s="1526"/>
      <c r="Q466" s="1526"/>
      <c r="R466" s="1526"/>
      <c r="S466" s="1526"/>
      <c r="T466" s="1526"/>
      <c r="U466" s="1526"/>
      <c r="V466" s="1526"/>
      <c r="W466" s="1526"/>
      <c r="X466" s="1526"/>
      <c r="Y466" s="1526"/>
      <c r="Z466" s="974"/>
      <c r="AA466" s="974"/>
      <c r="AB466" s="974"/>
      <c r="AC466" s="974"/>
      <c r="AD466" s="974"/>
      <c r="AE466" s="974"/>
    </row>
    <row r="467">
      <c r="A467" s="1526"/>
      <c r="B467" s="1526"/>
      <c r="C467" s="1526"/>
      <c r="D467" s="1526"/>
      <c r="E467" s="1526"/>
      <c r="F467" s="1526"/>
      <c r="G467" s="1526"/>
      <c r="H467" s="1526"/>
      <c r="I467" s="1526"/>
      <c r="J467" s="1526"/>
      <c r="K467" s="1526"/>
      <c r="L467" s="1526"/>
      <c r="M467" s="1526"/>
      <c r="N467" s="1526"/>
      <c r="O467" s="1526"/>
      <c r="P467" s="1526"/>
      <c r="Q467" s="1526"/>
      <c r="R467" s="1526"/>
      <c r="S467" s="1526"/>
      <c r="T467" s="1526"/>
      <c r="U467" s="1526"/>
      <c r="V467" s="1526"/>
      <c r="W467" s="1526"/>
      <c r="X467" s="1526"/>
      <c r="Y467" s="1526"/>
      <c r="Z467" s="974"/>
      <c r="AA467" s="974"/>
      <c r="AB467" s="974"/>
      <c r="AC467" s="974"/>
      <c r="AD467" s="974"/>
      <c r="AE467" s="974"/>
    </row>
    <row r="468">
      <c r="A468" s="1526"/>
      <c r="B468" s="1526"/>
      <c r="C468" s="1526"/>
      <c r="D468" s="1526"/>
      <c r="E468" s="1526"/>
      <c r="F468" s="1526"/>
      <c r="G468" s="1526"/>
      <c r="H468" s="1526"/>
      <c r="I468" s="1526"/>
      <c r="J468" s="1526"/>
      <c r="K468" s="1526"/>
      <c r="L468" s="1526"/>
      <c r="M468" s="1526"/>
      <c r="N468" s="1526"/>
      <c r="O468" s="1526"/>
      <c r="P468" s="1526"/>
      <c r="Q468" s="1526"/>
      <c r="R468" s="1526"/>
      <c r="S468" s="1526"/>
      <c r="T468" s="1526"/>
      <c r="U468" s="1526"/>
      <c r="V468" s="1526"/>
      <c r="W468" s="1526"/>
      <c r="X468" s="1526"/>
      <c r="Y468" s="1526"/>
      <c r="Z468" s="974"/>
      <c r="AA468" s="974"/>
      <c r="AB468" s="974"/>
      <c r="AC468" s="974"/>
      <c r="AD468" s="974"/>
      <c r="AE468" s="974"/>
    </row>
    <row r="469">
      <c r="A469" s="1526"/>
      <c r="B469" s="1526"/>
      <c r="C469" s="1526"/>
      <c r="D469" s="1526"/>
      <c r="E469" s="1526"/>
      <c r="F469" s="1526"/>
      <c r="G469" s="1526"/>
      <c r="H469" s="1526"/>
      <c r="I469" s="1526"/>
      <c r="J469" s="1526"/>
      <c r="K469" s="1526"/>
      <c r="L469" s="1526"/>
      <c r="M469" s="1526"/>
      <c r="N469" s="1526"/>
      <c r="O469" s="1526"/>
      <c r="P469" s="1526"/>
      <c r="Q469" s="1526"/>
      <c r="R469" s="1526"/>
      <c r="S469" s="1526"/>
      <c r="T469" s="1526"/>
      <c r="U469" s="1526"/>
      <c r="V469" s="1526"/>
      <c r="W469" s="1526"/>
      <c r="X469" s="1526"/>
      <c r="Y469" s="1526"/>
      <c r="Z469" s="974"/>
      <c r="AA469" s="974"/>
      <c r="AB469" s="974"/>
      <c r="AC469" s="974"/>
      <c r="AD469" s="974"/>
      <c r="AE469" s="974"/>
    </row>
    <row r="470">
      <c r="A470" s="1526"/>
      <c r="B470" s="1526"/>
      <c r="C470" s="1526"/>
      <c r="D470" s="1526"/>
      <c r="E470" s="1526"/>
      <c r="F470" s="1526"/>
      <c r="G470" s="1526"/>
      <c r="H470" s="1526"/>
      <c r="I470" s="1526"/>
      <c r="J470" s="1526"/>
      <c r="K470" s="1526"/>
      <c r="L470" s="1526"/>
      <c r="M470" s="1526"/>
      <c r="N470" s="1526"/>
      <c r="O470" s="1526"/>
      <c r="P470" s="1526"/>
      <c r="Q470" s="1526"/>
      <c r="R470" s="1526"/>
      <c r="S470" s="1526"/>
      <c r="T470" s="1526"/>
      <c r="U470" s="1526"/>
      <c r="V470" s="1526"/>
      <c r="W470" s="1526"/>
      <c r="X470" s="1526"/>
      <c r="Y470" s="1526"/>
      <c r="Z470" s="974"/>
      <c r="AA470" s="974"/>
      <c r="AB470" s="974"/>
      <c r="AC470" s="974"/>
      <c r="AD470" s="974"/>
      <c r="AE470" s="974"/>
    </row>
    <row r="471">
      <c r="A471" s="1526"/>
      <c r="B471" s="1526"/>
      <c r="C471" s="1526"/>
      <c r="D471" s="1526"/>
      <c r="E471" s="1526"/>
      <c r="F471" s="1526"/>
      <c r="G471" s="1526"/>
      <c r="H471" s="1526"/>
      <c r="I471" s="1526"/>
      <c r="J471" s="1526"/>
      <c r="K471" s="1526"/>
      <c r="L471" s="1526"/>
      <c r="M471" s="1526"/>
      <c r="N471" s="1526"/>
      <c r="O471" s="1526"/>
      <c r="P471" s="1526"/>
      <c r="Q471" s="1526"/>
      <c r="R471" s="1526"/>
      <c r="S471" s="1526"/>
      <c r="T471" s="1526"/>
      <c r="U471" s="1526"/>
      <c r="V471" s="1526"/>
      <c r="W471" s="1526"/>
      <c r="X471" s="1526"/>
      <c r="Y471" s="1526"/>
      <c r="Z471" s="974"/>
      <c r="AA471" s="974"/>
      <c r="AB471" s="974"/>
      <c r="AC471" s="974"/>
      <c r="AD471" s="974"/>
      <c r="AE471" s="974"/>
    </row>
    <row r="472">
      <c r="A472" s="1526"/>
      <c r="B472" s="1526"/>
      <c r="C472" s="1526"/>
      <c r="D472" s="1526"/>
      <c r="E472" s="1526"/>
      <c r="F472" s="1526"/>
      <c r="G472" s="1526"/>
      <c r="H472" s="1526"/>
      <c r="I472" s="1526"/>
      <c r="J472" s="1526"/>
      <c r="K472" s="1526"/>
      <c r="L472" s="1526"/>
      <c r="M472" s="1526"/>
      <c r="N472" s="1526"/>
      <c r="O472" s="1526"/>
      <c r="P472" s="1526"/>
      <c r="Q472" s="1526"/>
      <c r="R472" s="1526"/>
      <c r="S472" s="1526"/>
      <c r="T472" s="1526"/>
      <c r="U472" s="1526"/>
      <c r="V472" s="1526"/>
      <c r="W472" s="1526"/>
      <c r="X472" s="1526"/>
      <c r="Y472" s="1526"/>
      <c r="Z472" s="974"/>
      <c r="AA472" s="974"/>
      <c r="AB472" s="974"/>
      <c r="AC472" s="974"/>
      <c r="AD472" s="974"/>
      <c r="AE472" s="974"/>
    </row>
    <row r="473">
      <c r="A473" s="1526"/>
      <c r="B473" s="1526"/>
      <c r="C473" s="1526"/>
      <c r="D473" s="1526"/>
      <c r="E473" s="1526"/>
      <c r="F473" s="1526"/>
      <c r="G473" s="1526"/>
      <c r="H473" s="1526"/>
      <c r="I473" s="1526"/>
      <c r="J473" s="1526"/>
      <c r="K473" s="1526"/>
      <c r="L473" s="1526"/>
      <c r="M473" s="1526"/>
      <c r="N473" s="1526"/>
      <c r="O473" s="1526"/>
      <c r="P473" s="1526"/>
      <c r="Q473" s="1526"/>
      <c r="R473" s="1526"/>
      <c r="S473" s="1526"/>
      <c r="T473" s="1526"/>
      <c r="U473" s="1526"/>
      <c r="V473" s="1526"/>
      <c r="W473" s="1526"/>
      <c r="X473" s="1526"/>
      <c r="Y473" s="1526"/>
      <c r="Z473" s="974"/>
      <c r="AA473" s="974"/>
      <c r="AB473" s="974"/>
      <c r="AC473" s="974"/>
      <c r="AD473" s="974"/>
      <c r="AE473" s="974"/>
    </row>
    <row r="474">
      <c r="A474" s="1526"/>
      <c r="B474" s="1526"/>
      <c r="C474" s="1526"/>
      <c r="D474" s="1526"/>
      <c r="E474" s="1526"/>
      <c r="F474" s="1526"/>
      <c r="G474" s="1526"/>
      <c r="H474" s="1526"/>
      <c r="I474" s="1526"/>
      <c r="J474" s="1526"/>
      <c r="K474" s="1526"/>
      <c r="L474" s="1526"/>
      <c r="M474" s="1526"/>
      <c r="N474" s="1526"/>
      <c r="O474" s="1526"/>
      <c r="P474" s="1526"/>
      <c r="Q474" s="1526"/>
      <c r="R474" s="1526"/>
      <c r="S474" s="1526"/>
      <c r="T474" s="1526"/>
      <c r="U474" s="1526"/>
      <c r="V474" s="1526"/>
      <c r="W474" s="1526"/>
      <c r="X474" s="1526"/>
      <c r="Y474" s="1526"/>
      <c r="Z474" s="974"/>
      <c r="AA474" s="974"/>
      <c r="AB474" s="974"/>
      <c r="AC474" s="974"/>
      <c r="AD474" s="974"/>
      <c r="AE474" s="974"/>
    </row>
    <row r="475">
      <c r="A475" s="1526"/>
      <c r="B475" s="1526"/>
      <c r="C475" s="1526"/>
      <c r="D475" s="1526"/>
      <c r="E475" s="1526"/>
      <c r="F475" s="1526"/>
      <c r="G475" s="1526"/>
      <c r="H475" s="1526"/>
      <c r="I475" s="1526"/>
      <c r="J475" s="1526"/>
      <c r="K475" s="1526"/>
      <c r="L475" s="1526"/>
      <c r="M475" s="1526"/>
      <c r="N475" s="1526"/>
      <c r="O475" s="1526"/>
      <c r="P475" s="1526"/>
      <c r="Q475" s="1526"/>
      <c r="R475" s="1526"/>
      <c r="S475" s="1526"/>
      <c r="T475" s="1526"/>
      <c r="U475" s="1526"/>
      <c r="V475" s="1526"/>
      <c r="W475" s="1526"/>
      <c r="X475" s="1526"/>
      <c r="Y475" s="1526"/>
      <c r="Z475" s="974"/>
      <c r="AA475" s="974"/>
      <c r="AB475" s="974"/>
      <c r="AC475" s="974"/>
      <c r="AD475" s="974"/>
      <c r="AE475" s="974"/>
    </row>
    <row r="476">
      <c r="A476" s="1526"/>
      <c r="B476" s="1526"/>
      <c r="C476" s="1526"/>
      <c r="D476" s="1526"/>
      <c r="E476" s="1526"/>
      <c r="F476" s="1526"/>
      <c r="G476" s="1526"/>
      <c r="H476" s="1526"/>
      <c r="I476" s="1526"/>
      <c r="J476" s="1526"/>
      <c r="K476" s="1526"/>
      <c r="L476" s="1526"/>
      <c r="M476" s="1526"/>
      <c r="N476" s="1526"/>
      <c r="O476" s="1526"/>
      <c r="P476" s="1526"/>
      <c r="Q476" s="1526"/>
      <c r="R476" s="1526"/>
      <c r="S476" s="1526"/>
      <c r="T476" s="1526"/>
      <c r="U476" s="1526"/>
      <c r="V476" s="1526"/>
      <c r="W476" s="1526"/>
      <c r="X476" s="1526"/>
      <c r="Y476" s="1526"/>
      <c r="Z476" s="974"/>
      <c r="AA476" s="974"/>
      <c r="AB476" s="974"/>
      <c r="AC476" s="974"/>
      <c r="AD476" s="974"/>
      <c r="AE476" s="974"/>
    </row>
    <row r="477">
      <c r="A477" s="1526"/>
      <c r="B477" s="1526"/>
      <c r="C477" s="1526"/>
      <c r="D477" s="1526"/>
      <c r="E477" s="1526"/>
      <c r="F477" s="1526"/>
      <c r="G477" s="1526"/>
      <c r="H477" s="1526"/>
      <c r="I477" s="1526"/>
      <c r="J477" s="1526"/>
      <c r="K477" s="1526"/>
      <c r="L477" s="1526"/>
      <c r="M477" s="1526"/>
      <c r="N477" s="1526"/>
      <c r="O477" s="1526"/>
      <c r="P477" s="1526"/>
      <c r="Q477" s="1526"/>
      <c r="R477" s="1526"/>
      <c r="S477" s="1526"/>
      <c r="T477" s="1526"/>
      <c r="U477" s="1526"/>
      <c r="V477" s="1526"/>
      <c r="W477" s="1526"/>
      <c r="X477" s="1526"/>
      <c r="Y477" s="1526"/>
      <c r="Z477" s="974"/>
      <c r="AA477" s="974"/>
      <c r="AB477" s="974"/>
      <c r="AC477" s="974"/>
      <c r="AD477" s="974"/>
      <c r="AE477" s="974"/>
    </row>
    <row r="478">
      <c r="A478" s="1526"/>
      <c r="B478" s="1526"/>
      <c r="C478" s="1526"/>
      <c r="D478" s="1526"/>
      <c r="E478" s="1526"/>
      <c r="F478" s="1526"/>
      <c r="G478" s="1526"/>
      <c r="H478" s="1526"/>
      <c r="I478" s="1526"/>
      <c r="J478" s="1526"/>
      <c r="K478" s="1526"/>
      <c r="L478" s="1526"/>
      <c r="M478" s="1526"/>
      <c r="N478" s="1526"/>
      <c r="O478" s="1526"/>
      <c r="P478" s="1526"/>
      <c r="Q478" s="1526"/>
      <c r="R478" s="1526"/>
      <c r="S478" s="1526"/>
      <c r="T478" s="1526"/>
      <c r="U478" s="1526"/>
      <c r="V478" s="1526"/>
      <c r="W478" s="1526"/>
      <c r="X478" s="1526"/>
      <c r="Y478" s="1526"/>
      <c r="Z478" s="974"/>
      <c r="AA478" s="974"/>
      <c r="AB478" s="974"/>
      <c r="AC478" s="974"/>
      <c r="AD478" s="974"/>
      <c r="AE478" s="974"/>
    </row>
    <row r="479">
      <c r="A479" s="1526"/>
      <c r="B479" s="1526"/>
      <c r="C479" s="1526"/>
      <c r="D479" s="1526"/>
      <c r="E479" s="1526"/>
      <c r="F479" s="1526"/>
      <c r="G479" s="1526"/>
      <c r="H479" s="1526"/>
      <c r="I479" s="1526"/>
      <c r="J479" s="1526"/>
      <c r="K479" s="1526"/>
      <c r="L479" s="1526"/>
      <c r="M479" s="1526"/>
      <c r="N479" s="1526"/>
      <c r="O479" s="1526"/>
      <c r="P479" s="1526"/>
      <c r="Q479" s="1526"/>
      <c r="R479" s="1526"/>
      <c r="S479" s="1526"/>
      <c r="T479" s="1526"/>
      <c r="U479" s="1526"/>
      <c r="V479" s="1526"/>
      <c r="W479" s="1526"/>
      <c r="X479" s="1526"/>
      <c r="Y479" s="1526"/>
      <c r="Z479" s="974"/>
      <c r="AA479" s="974"/>
      <c r="AB479" s="974"/>
      <c r="AC479" s="974"/>
      <c r="AD479" s="974"/>
      <c r="AE479" s="974"/>
    </row>
    <row r="480">
      <c r="A480" s="1526"/>
      <c r="B480" s="1526"/>
      <c r="C480" s="1526"/>
      <c r="D480" s="1526"/>
      <c r="E480" s="1526"/>
      <c r="F480" s="1526"/>
      <c r="G480" s="1526"/>
      <c r="H480" s="1526"/>
      <c r="I480" s="1526"/>
      <c r="J480" s="1526"/>
      <c r="K480" s="1526"/>
      <c r="L480" s="1526"/>
      <c r="M480" s="1526"/>
      <c r="N480" s="1526"/>
      <c r="O480" s="1526"/>
      <c r="P480" s="1526"/>
      <c r="Q480" s="1526"/>
      <c r="R480" s="1526"/>
      <c r="S480" s="1526"/>
      <c r="T480" s="1526"/>
      <c r="U480" s="1526"/>
      <c r="V480" s="1526"/>
      <c r="W480" s="1526"/>
      <c r="X480" s="1526"/>
      <c r="Y480" s="1526"/>
      <c r="Z480" s="974"/>
      <c r="AA480" s="974"/>
      <c r="AB480" s="974"/>
      <c r="AC480" s="974"/>
      <c r="AD480" s="974"/>
      <c r="AE480" s="974"/>
    </row>
    <row r="481">
      <c r="A481" s="1526"/>
      <c r="B481" s="1526"/>
      <c r="C481" s="1526"/>
      <c r="D481" s="1526"/>
      <c r="E481" s="1526"/>
      <c r="F481" s="1526"/>
      <c r="G481" s="1526"/>
      <c r="H481" s="1526"/>
      <c r="I481" s="1526"/>
      <c r="J481" s="1526"/>
      <c r="K481" s="1526"/>
      <c r="L481" s="1526"/>
      <c r="M481" s="1526"/>
      <c r="N481" s="1526"/>
      <c r="O481" s="1526"/>
      <c r="P481" s="1526"/>
      <c r="Q481" s="1526"/>
      <c r="R481" s="1526"/>
      <c r="S481" s="1526"/>
      <c r="T481" s="1526"/>
      <c r="U481" s="1526"/>
      <c r="V481" s="1526"/>
      <c r="W481" s="1526"/>
      <c r="X481" s="1526"/>
      <c r="Y481" s="1526"/>
      <c r="Z481" s="974"/>
      <c r="AA481" s="974"/>
      <c r="AB481" s="974"/>
      <c r="AC481" s="974"/>
      <c r="AD481" s="974"/>
      <c r="AE481" s="974"/>
    </row>
    <row r="482">
      <c r="A482" s="1526"/>
      <c r="B482" s="1526"/>
      <c r="C482" s="1526"/>
      <c r="D482" s="1526"/>
      <c r="E482" s="1526"/>
      <c r="F482" s="1526"/>
      <c r="G482" s="1526"/>
      <c r="H482" s="1526"/>
      <c r="I482" s="1526"/>
      <c r="J482" s="1526"/>
      <c r="K482" s="1526"/>
      <c r="L482" s="1526"/>
      <c r="M482" s="1526"/>
      <c r="N482" s="1526"/>
      <c r="O482" s="1526"/>
      <c r="P482" s="1526"/>
      <c r="Q482" s="1526"/>
      <c r="R482" s="1526"/>
      <c r="S482" s="1526"/>
      <c r="T482" s="1526"/>
      <c r="U482" s="1526"/>
      <c r="V482" s="1526"/>
      <c r="W482" s="1526"/>
      <c r="X482" s="1526"/>
      <c r="Y482" s="1526"/>
      <c r="Z482" s="974"/>
      <c r="AA482" s="974"/>
      <c r="AB482" s="974"/>
      <c r="AC482" s="974"/>
      <c r="AD482" s="974"/>
      <c r="AE482" s="974"/>
    </row>
    <row r="483">
      <c r="A483" s="1526"/>
      <c r="B483" s="1526"/>
      <c r="C483" s="1526"/>
      <c r="D483" s="1526"/>
      <c r="E483" s="1526"/>
      <c r="F483" s="1526"/>
      <c r="G483" s="1526"/>
      <c r="H483" s="1526"/>
      <c r="I483" s="1526"/>
      <c r="J483" s="1526"/>
      <c r="K483" s="1526"/>
      <c r="L483" s="1526"/>
      <c r="M483" s="1526"/>
      <c r="N483" s="1526"/>
      <c r="O483" s="1526"/>
      <c r="P483" s="1526"/>
      <c r="Q483" s="1526"/>
      <c r="R483" s="1526"/>
      <c r="S483" s="1526"/>
      <c r="T483" s="1526"/>
      <c r="U483" s="1526"/>
      <c r="V483" s="1526"/>
      <c r="W483" s="1526"/>
      <c r="X483" s="1526"/>
      <c r="Y483" s="1526"/>
      <c r="Z483" s="974"/>
      <c r="AA483" s="974"/>
      <c r="AB483" s="974"/>
      <c r="AC483" s="974"/>
      <c r="AD483" s="974"/>
      <c r="AE483" s="974"/>
    </row>
    <row r="484">
      <c r="A484" s="1526"/>
      <c r="B484" s="1526"/>
      <c r="C484" s="1526"/>
      <c r="D484" s="1526"/>
      <c r="E484" s="1526"/>
      <c r="F484" s="1526"/>
      <c r="G484" s="1526"/>
      <c r="H484" s="1526"/>
      <c r="I484" s="1526"/>
      <c r="J484" s="1526"/>
      <c r="K484" s="1526"/>
      <c r="L484" s="1526"/>
      <c r="M484" s="1526"/>
      <c r="N484" s="1526"/>
      <c r="O484" s="1526"/>
      <c r="P484" s="1526"/>
      <c r="Q484" s="1526"/>
      <c r="R484" s="1526"/>
      <c r="S484" s="1526"/>
      <c r="T484" s="1526"/>
      <c r="U484" s="1526"/>
      <c r="V484" s="1526"/>
      <c r="W484" s="1526"/>
      <c r="X484" s="1526"/>
      <c r="Y484" s="1526"/>
      <c r="Z484" s="974"/>
      <c r="AA484" s="974"/>
      <c r="AB484" s="974"/>
      <c r="AC484" s="974"/>
      <c r="AD484" s="974"/>
      <c r="AE484" s="974"/>
    </row>
    <row r="485">
      <c r="A485" s="1526"/>
      <c r="B485" s="1526"/>
      <c r="C485" s="1526"/>
      <c r="D485" s="1526"/>
      <c r="E485" s="1526"/>
      <c r="F485" s="1526"/>
      <c r="G485" s="1526"/>
      <c r="H485" s="1526"/>
      <c r="I485" s="1526"/>
      <c r="J485" s="1526"/>
      <c r="K485" s="1526"/>
      <c r="L485" s="1526"/>
      <c r="M485" s="1526"/>
      <c r="N485" s="1526"/>
      <c r="O485" s="1526"/>
      <c r="P485" s="1526"/>
      <c r="Q485" s="1526"/>
      <c r="R485" s="1526"/>
      <c r="S485" s="1526"/>
      <c r="T485" s="1526"/>
      <c r="U485" s="1526"/>
      <c r="V485" s="1526"/>
      <c r="W485" s="1526"/>
      <c r="X485" s="1526"/>
      <c r="Y485" s="1526"/>
      <c r="Z485" s="974"/>
      <c r="AA485" s="974"/>
      <c r="AB485" s="974"/>
      <c r="AC485" s="974"/>
      <c r="AD485" s="974"/>
      <c r="AE485" s="974"/>
    </row>
    <row r="486">
      <c r="A486" s="1526"/>
      <c r="B486" s="1526"/>
      <c r="C486" s="1526"/>
      <c r="D486" s="1526"/>
      <c r="E486" s="1526"/>
      <c r="F486" s="1526"/>
      <c r="G486" s="1526"/>
      <c r="H486" s="1526"/>
      <c r="I486" s="1526"/>
      <c r="J486" s="1526"/>
      <c r="K486" s="1526"/>
      <c r="L486" s="1526"/>
      <c r="M486" s="1526"/>
      <c r="N486" s="1526"/>
      <c r="O486" s="1526"/>
      <c r="P486" s="1526"/>
      <c r="Q486" s="1526"/>
      <c r="R486" s="1526"/>
      <c r="S486" s="1526"/>
      <c r="T486" s="1526"/>
      <c r="U486" s="1526"/>
      <c r="V486" s="1526"/>
      <c r="W486" s="1526"/>
      <c r="X486" s="1526"/>
      <c r="Y486" s="1526"/>
      <c r="Z486" s="974"/>
      <c r="AA486" s="974"/>
      <c r="AB486" s="974"/>
      <c r="AC486" s="974"/>
      <c r="AD486" s="974"/>
      <c r="AE486" s="974"/>
    </row>
    <row r="487">
      <c r="A487" s="1526"/>
      <c r="B487" s="1526"/>
      <c r="C487" s="1526"/>
      <c r="D487" s="1526"/>
      <c r="E487" s="1526"/>
      <c r="F487" s="1526"/>
      <c r="G487" s="1526"/>
      <c r="H487" s="1526"/>
      <c r="I487" s="1526"/>
      <c r="J487" s="1526"/>
      <c r="K487" s="1526"/>
      <c r="L487" s="1526"/>
      <c r="M487" s="1526"/>
      <c r="N487" s="1526"/>
      <c r="O487" s="1526"/>
      <c r="P487" s="1526"/>
      <c r="Q487" s="1526"/>
      <c r="R487" s="1526"/>
      <c r="S487" s="1526"/>
      <c r="T487" s="1526"/>
      <c r="U487" s="1526"/>
      <c r="V487" s="1526"/>
      <c r="W487" s="1526"/>
      <c r="X487" s="1526"/>
      <c r="Y487" s="1526"/>
      <c r="Z487" s="974"/>
      <c r="AA487" s="974"/>
      <c r="AB487" s="974"/>
      <c r="AC487" s="974"/>
      <c r="AD487" s="974"/>
      <c r="AE487" s="974"/>
    </row>
    <row r="488">
      <c r="A488" s="1526"/>
      <c r="B488" s="1526"/>
      <c r="C488" s="1526"/>
      <c r="D488" s="1526"/>
      <c r="E488" s="1526"/>
      <c r="F488" s="1526"/>
      <c r="G488" s="1526"/>
      <c r="H488" s="1526"/>
      <c r="I488" s="1526"/>
      <c r="J488" s="1526"/>
      <c r="K488" s="1526"/>
      <c r="L488" s="1526"/>
      <c r="M488" s="1526"/>
      <c r="N488" s="1526"/>
      <c r="O488" s="1526"/>
      <c r="P488" s="1526"/>
      <c r="Q488" s="1526"/>
      <c r="R488" s="1526"/>
      <c r="S488" s="1526"/>
      <c r="T488" s="1526"/>
      <c r="U488" s="1526"/>
      <c r="V488" s="1526"/>
      <c r="W488" s="1526"/>
      <c r="X488" s="1526"/>
      <c r="Y488" s="1526"/>
      <c r="Z488" s="974"/>
      <c r="AA488" s="974"/>
      <c r="AB488" s="974"/>
      <c r="AC488" s="974"/>
      <c r="AD488" s="974"/>
      <c r="AE488" s="974"/>
    </row>
    <row r="489">
      <c r="A489" s="1526"/>
      <c r="B489" s="1526"/>
      <c r="C489" s="1526"/>
      <c r="D489" s="1526"/>
      <c r="E489" s="1526"/>
      <c r="F489" s="1526"/>
      <c r="G489" s="1526"/>
      <c r="H489" s="1526"/>
      <c r="I489" s="1526"/>
      <c r="J489" s="1526"/>
      <c r="K489" s="1526"/>
      <c r="L489" s="1526"/>
      <c r="M489" s="1526"/>
      <c r="N489" s="1526"/>
      <c r="O489" s="1526"/>
      <c r="P489" s="1526"/>
      <c r="Q489" s="1526"/>
      <c r="R489" s="1526"/>
      <c r="S489" s="1526"/>
      <c r="T489" s="1526"/>
      <c r="U489" s="1526"/>
      <c r="V489" s="1526"/>
      <c r="W489" s="1526"/>
      <c r="X489" s="1526"/>
      <c r="Y489" s="1526"/>
      <c r="Z489" s="974"/>
      <c r="AA489" s="974"/>
      <c r="AB489" s="974"/>
      <c r="AC489" s="974"/>
      <c r="AD489" s="974"/>
      <c r="AE489" s="974"/>
    </row>
    <row r="490">
      <c r="A490" s="1526"/>
      <c r="B490" s="1526"/>
      <c r="C490" s="1526"/>
      <c r="D490" s="1526"/>
      <c r="E490" s="1526"/>
      <c r="F490" s="1526"/>
      <c r="G490" s="1526"/>
      <c r="H490" s="1526"/>
      <c r="I490" s="1526"/>
      <c r="J490" s="1526"/>
      <c r="K490" s="1526"/>
      <c r="L490" s="1526"/>
      <c r="M490" s="1526"/>
      <c r="N490" s="1526"/>
      <c r="O490" s="1526"/>
      <c r="P490" s="1526"/>
      <c r="Q490" s="1526"/>
      <c r="R490" s="1526"/>
      <c r="S490" s="1526"/>
      <c r="T490" s="1526"/>
      <c r="U490" s="1526"/>
      <c r="V490" s="1526"/>
      <c r="W490" s="1526"/>
      <c r="X490" s="1526"/>
      <c r="Y490" s="1526"/>
      <c r="Z490" s="974"/>
      <c r="AA490" s="974"/>
      <c r="AB490" s="974"/>
      <c r="AC490" s="974"/>
      <c r="AD490" s="974"/>
      <c r="AE490" s="974"/>
    </row>
    <row r="491">
      <c r="A491" s="1526"/>
      <c r="B491" s="1526"/>
      <c r="C491" s="1526"/>
      <c r="D491" s="1526"/>
      <c r="E491" s="1526"/>
      <c r="F491" s="1526"/>
      <c r="G491" s="1526"/>
      <c r="H491" s="1526"/>
      <c r="I491" s="1526"/>
      <c r="J491" s="1526"/>
      <c r="K491" s="1526"/>
      <c r="L491" s="1526"/>
      <c r="M491" s="1526"/>
      <c r="N491" s="1526"/>
      <c r="O491" s="1526"/>
      <c r="P491" s="1526"/>
      <c r="Q491" s="1526"/>
      <c r="R491" s="1526"/>
      <c r="S491" s="1526"/>
      <c r="T491" s="1526"/>
      <c r="U491" s="1526"/>
      <c r="V491" s="1526"/>
      <c r="W491" s="1526"/>
      <c r="X491" s="1526"/>
      <c r="Y491" s="1526"/>
      <c r="Z491" s="974"/>
      <c r="AA491" s="974"/>
      <c r="AB491" s="974"/>
      <c r="AC491" s="974"/>
      <c r="AD491" s="974"/>
      <c r="AE491" s="974"/>
    </row>
    <row r="492">
      <c r="A492" s="1526"/>
      <c r="B492" s="1526"/>
      <c r="C492" s="1526"/>
      <c r="D492" s="1526"/>
      <c r="E492" s="1526"/>
      <c r="F492" s="1526"/>
      <c r="G492" s="1526"/>
      <c r="H492" s="1526"/>
      <c r="I492" s="1526"/>
      <c r="J492" s="1526"/>
      <c r="K492" s="1526"/>
      <c r="L492" s="1526"/>
      <c r="M492" s="1526"/>
      <c r="N492" s="1526"/>
      <c r="O492" s="1526"/>
      <c r="P492" s="1526"/>
      <c r="Q492" s="1526"/>
      <c r="R492" s="1526"/>
      <c r="S492" s="1526"/>
      <c r="T492" s="1526"/>
      <c r="U492" s="1526"/>
      <c r="V492" s="1526"/>
      <c r="W492" s="1526"/>
      <c r="X492" s="1526"/>
      <c r="Y492" s="1526"/>
      <c r="Z492" s="974"/>
      <c r="AA492" s="974"/>
      <c r="AB492" s="974"/>
      <c r="AC492" s="974"/>
      <c r="AD492" s="974"/>
      <c r="AE492" s="974"/>
    </row>
    <row r="493">
      <c r="A493" s="1526"/>
      <c r="B493" s="1526"/>
      <c r="C493" s="1526"/>
      <c r="D493" s="1526"/>
      <c r="E493" s="1526"/>
      <c r="F493" s="1526"/>
      <c r="G493" s="1526"/>
      <c r="H493" s="1526"/>
      <c r="I493" s="1526"/>
      <c r="J493" s="1526"/>
      <c r="K493" s="1526"/>
      <c r="L493" s="1526"/>
      <c r="M493" s="1526"/>
      <c r="N493" s="1526"/>
      <c r="O493" s="1526"/>
      <c r="P493" s="1526"/>
      <c r="Q493" s="1526"/>
      <c r="R493" s="1526"/>
      <c r="S493" s="1526"/>
      <c r="T493" s="1526"/>
      <c r="U493" s="1526"/>
      <c r="V493" s="1526"/>
      <c r="W493" s="1526"/>
      <c r="X493" s="1526"/>
      <c r="Y493" s="1526"/>
      <c r="Z493" s="974"/>
      <c r="AA493" s="974"/>
      <c r="AB493" s="974"/>
      <c r="AC493" s="974"/>
      <c r="AD493" s="974"/>
      <c r="AE493" s="974"/>
    </row>
    <row r="494">
      <c r="A494" s="1526"/>
      <c r="B494" s="1526"/>
      <c r="C494" s="1526"/>
      <c r="D494" s="1526"/>
      <c r="E494" s="1526"/>
      <c r="F494" s="1526"/>
      <c r="G494" s="1526"/>
      <c r="H494" s="1526"/>
      <c r="I494" s="1526"/>
      <c r="J494" s="1526"/>
      <c r="K494" s="1526"/>
      <c r="L494" s="1526"/>
      <c r="M494" s="1526"/>
      <c r="N494" s="1526"/>
      <c r="O494" s="1526"/>
      <c r="P494" s="1526"/>
      <c r="Q494" s="1526"/>
      <c r="R494" s="1526"/>
      <c r="S494" s="1526"/>
      <c r="T494" s="1526"/>
      <c r="U494" s="1526"/>
      <c r="V494" s="1526"/>
      <c r="W494" s="1526"/>
      <c r="X494" s="1526"/>
      <c r="Y494" s="1526"/>
      <c r="Z494" s="974"/>
      <c r="AA494" s="974"/>
      <c r="AB494" s="974"/>
      <c r="AC494" s="974"/>
      <c r="AD494" s="974"/>
      <c r="AE494" s="974"/>
    </row>
    <row r="495">
      <c r="A495" s="1526"/>
      <c r="B495" s="1526"/>
      <c r="C495" s="1526"/>
      <c r="D495" s="1526"/>
      <c r="E495" s="1526"/>
      <c r="F495" s="1526"/>
      <c r="G495" s="1526"/>
      <c r="H495" s="1526"/>
      <c r="I495" s="1526"/>
      <c r="J495" s="1526"/>
      <c r="K495" s="1526"/>
      <c r="L495" s="1526"/>
      <c r="M495" s="1526"/>
      <c r="N495" s="1526"/>
      <c r="O495" s="1526"/>
      <c r="P495" s="1526"/>
      <c r="Q495" s="1526"/>
      <c r="R495" s="1526"/>
      <c r="S495" s="1526"/>
      <c r="T495" s="1526"/>
      <c r="U495" s="1526"/>
      <c r="V495" s="1526"/>
      <c r="W495" s="1526"/>
      <c r="X495" s="1526"/>
      <c r="Y495" s="1526"/>
      <c r="Z495" s="974"/>
      <c r="AA495" s="974"/>
      <c r="AB495" s="974"/>
      <c r="AC495" s="974"/>
      <c r="AD495" s="974"/>
      <c r="AE495" s="974"/>
    </row>
    <row r="496">
      <c r="A496" s="1526"/>
      <c r="B496" s="1526"/>
      <c r="C496" s="1526"/>
      <c r="D496" s="1526"/>
      <c r="E496" s="1526"/>
      <c r="F496" s="1526"/>
      <c r="G496" s="1526"/>
      <c r="H496" s="1526"/>
      <c r="I496" s="1526"/>
      <c r="J496" s="1526"/>
      <c r="K496" s="1526"/>
      <c r="L496" s="1526"/>
      <c r="M496" s="1526"/>
      <c r="N496" s="1526"/>
      <c r="O496" s="1526"/>
      <c r="P496" s="1526"/>
      <c r="Q496" s="1526"/>
      <c r="R496" s="1526"/>
      <c r="S496" s="1526"/>
      <c r="T496" s="1526"/>
      <c r="U496" s="1526"/>
      <c r="V496" s="1526"/>
      <c r="W496" s="1526"/>
      <c r="X496" s="1526"/>
      <c r="Y496" s="1526"/>
      <c r="Z496" s="974"/>
      <c r="AA496" s="974"/>
      <c r="AB496" s="974"/>
      <c r="AC496" s="974"/>
      <c r="AD496" s="974"/>
      <c r="AE496" s="974"/>
    </row>
    <row r="497">
      <c r="A497" s="1526"/>
      <c r="B497" s="1526"/>
      <c r="C497" s="1526"/>
      <c r="D497" s="1526"/>
      <c r="E497" s="1526"/>
      <c r="F497" s="1526"/>
      <c r="G497" s="1526"/>
      <c r="H497" s="1526"/>
      <c r="I497" s="1526"/>
      <c r="J497" s="1526"/>
      <c r="K497" s="1526"/>
      <c r="L497" s="1526"/>
      <c r="M497" s="1526"/>
      <c r="N497" s="1526"/>
      <c r="O497" s="1526"/>
      <c r="P497" s="1526"/>
      <c r="Q497" s="1526"/>
      <c r="R497" s="1526"/>
      <c r="S497" s="1526"/>
      <c r="T497" s="1526"/>
      <c r="U497" s="1526"/>
      <c r="V497" s="1526"/>
      <c r="W497" s="1526"/>
      <c r="X497" s="1526"/>
      <c r="Y497" s="1526"/>
      <c r="Z497" s="974"/>
      <c r="AA497" s="974"/>
      <c r="AB497" s="974"/>
      <c r="AC497" s="974"/>
      <c r="AD497" s="974"/>
      <c r="AE497" s="974"/>
    </row>
    <row r="498">
      <c r="A498" s="1526"/>
      <c r="B498" s="1526"/>
      <c r="C498" s="1526"/>
      <c r="D498" s="1526"/>
      <c r="E498" s="1526"/>
      <c r="F498" s="1526"/>
      <c r="G498" s="1526"/>
      <c r="H498" s="1526"/>
      <c r="I498" s="1526"/>
      <c r="J498" s="1526"/>
      <c r="K498" s="1526"/>
      <c r="L498" s="1526"/>
      <c r="M498" s="1526"/>
      <c r="N498" s="1526"/>
      <c r="O498" s="1526"/>
      <c r="P498" s="1526"/>
      <c r="Q498" s="1526"/>
      <c r="R498" s="1526"/>
      <c r="S498" s="1526"/>
      <c r="T498" s="1526"/>
      <c r="U498" s="1526"/>
      <c r="V498" s="1526"/>
      <c r="W498" s="1526"/>
      <c r="X498" s="1526"/>
      <c r="Y498" s="1526"/>
      <c r="Z498" s="974"/>
      <c r="AA498" s="974"/>
      <c r="AB498" s="974"/>
      <c r="AC498" s="974"/>
      <c r="AD498" s="974"/>
      <c r="AE498" s="974"/>
    </row>
    <row r="499">
      <c r="A499" s="1526"/>
      <c r="B499" s="1526"/>
      <c r="C499" s="1526"/>
      <c r="D499" s="1526"/>
      <c r="E499" s="1526"/>
      <c r="F499" s="1526"/>
      <c r="G499" s="1526"/>
      <c r="H499" s="1526"/>
      <c r="I499" s="1526"/>
      <c r="J499" s="1526"/>
      <c r="K499" s="1526"/>
      <c r="L499" s="1526"/>
      <c r="M499" s="1526"/>
      <c r="N499" s="1526"/>
      <c r="O499" s="1526"/>
      <c r="P499" s="1526"/>
      <c r="Q499" s="1526"/>
      <c r="R499" s="1526"/>
      <c r="S499" s="1526"/>
      <c r="T499" s="1526"/>
      <c r="U499" s="1526"/>
      <c r="V499" s="1526"/>
      <c r="W499" s="1526"/>
      <c r="X499" s="1526"/>
      <c r="Y499" s="1526"/>
      <c r="Z499" s="974"/>
      <c r="AA499" s="974"/>
      <c r="AB499" s="974"/>
      <c r="AC499" s="974"/>
      <c r="AD499" s="974"/>
      <c r="AE499" s="974"/>
    </row>
    <row r="500">
      <c r="A500" s="1526"/>
      <c r="B500" s="1526"/>
      <c r="C500" s="1526"/>
      <c r="D500" s="1526"/>
      <c r="E500" s="1526"/>
      <c r="F500" s="1526"/>
      <c r="G500" s="1526"/>
      <c r="H500" s="1526"/>
      <c r="I500" s="1526"/>
      <c r="J500" s="1526"/>
      <c r="K500" s="1526"/>
      <c r="L500" s="1526"/>
      <c r="M500" s="1526"/>
      <c r="N500" s="1526"/>
      <c r="O500" s="1526"/>
      <c r="P500" s="1526"/>
      <c r="Q500" s="1526"/>
      <c r="R500" s="1526"/>
      <c r="S500" s="1526"/>
      <c r="T500" s="1526"/>
      <c r="U500" s="1526"/>
      <c r="V500" s="1526"/>
      <c r="W500" s="1526"/>
      <c r="X500" s="1526"/>
      <c r="Y500" s="1526"/>
      <c r="Z500" s="974"/>
      <c r="AA500" s="974"/>
      <c r="AB500" s="974"/>
      <c r="AC500" s="974"/>
      <c r="AD500" s="974"/>
      <c r="AE500" s="974"/>
    </row>
    <row r="501">
      <c r="A501" s="1526"/>
      <c r="B501" s="1526"/>
      <c r="C501" s="1526"/>
      <c r="D501" s="1526"/>
      <c r="E501" s="1526"/>
      <c r="F501" s="1526"/>
      <c r="G501" s="1526"/>
      <c r="H501" s="1526"/>
      <c r="I501" s="1526"/>
      <c r="J501" s="1526"/>
      <c r="K501" s="1526"/>
      <c r="L501" s="1526"/>
      <c r="M501" s="1526"/>
      <c r="N501" s="1526"/>
      <c r="O501" s="1526"/>
      <c r="P501" s="1526"/>
      <c r="Q501" s="1526"/>
      <c r="R501" s="1526"/>
      <c r="S501" s="1526"/>
      <c r="T501" s="1526"/>
      <c r="U501" s="1526"/>
      <c r="V501" s="1526"/>
      <c r="W501" s="1526"/>
      <c r="X501" s="1526"/>
      <c r="Y501" s="1526"/>
      <c r="Z501" s="974"/>
      <c r="AA501" s="974"/>
      <c r="AB501" s="974"/>
      <c r="AC501" s="974"/>
      <c r="AD501" s="974"/>
      <c r="AE501" s="974"/>
    </row>
    <row r="502">
      <c r="A502" s="1526"/>
      <c r="B502" s="1526"/>
      <c r="C502" s="1526"/>
      <c r="D502" s="1526"/>
      <c r="E502" s="1526"/>
      <c r="F502" s="1526"/>
      <c r="G502" s="1526"/>
      <c r="H502" s="1526"/>
      <c r="I502" s="1526"/>
      <c r="J502" s="1526"/>
      <c r="K502" s="1526"/>
      <c r="L502" s="1526"/>
      <c r="M502" s="1526"/>
      <c r="N502" s="1526"/>
      <c r="O502" s="1526"/>
      <c r="P502" s="1526"/>
      <c r="Q502" s="1526"/>
      <c r="R502" s="1526"/>
      <c r="S502" s="1526"/>
      <c r="T502" s="1526"/>
      <c r="U502" s="1526"/>
      <c r="V502" s="1526"/>
      <c r="W502" s="1526"/>
      <c r="X502" s="1526"/>
      <c r="Y502" s="1526"/>
      <c r="Z502" s="974"/>
      <c r="AA502" s="974"/>
      <c r="AB502" s="974"/>
      <c r="AC502" s="974"/>
      <c r="AD502" s="974"/>
      <c r="AE502" s="974"/>
    </row>
    <row r="503">
      <c r="A503" s="1526"/>
      <c r="B503" s="1526"/>
      <c r="C503" s="1526"/>
      <c r="D503" s="1526"/>
      <c r="E503" s="1526"/>
      <c r="F503" s="1526"/>
      <c r="G503" s="1526"/>
      <c r="H503" s="1526"/>
      <c r="I503" s="1526"/>
      <c r="J503" s="1526"/>
      <c r="K503" s="1526"/>
      <c r="L503" s="1526"/>
      <c r="M503" s="1526"/>
      <c r="N503" s="1526"/>
      <c r="O503" s="1526"/>
      <c r="P503" s="1526"/>
      <c r="Q503" s="1526"/>
      <c r="R503" s="1526"/>
      <c r="S503" s="1526"/>
      <c r="T503" s="1526"/>
      <c r="U503" s="1526"/>
      <c r="V503" s="1526"/>
      <c r="W503" s="1526"/>
      <c r="X503" s="1526"/>
      <c r="Y503" s="1526"/>
      <c r="Z503" s="974"/>
      <c r="AA503" s="974"/>
      <c r="AB503" s="974"/>
      <c r="AC503" s="974"/>
      <c r="AD503" s="974"/>
      <c r="AE503" s="974"/>
    </row>
    <row r="504">
      <c r="A504" s="1526"/>
      <c r="B504" s="1526"/>
      <c r="C504" s="1526"/>
      <c r="D504" s="1526"/>
      <c r="E504" s="1526"/>
      <c r="F504" s="1526"/>
      <c r="G504" s="1526"/>
      <c r="H504" s="1526"/>
      <c r="I504" s="1526"/>
      <c r="J504" s="1526"/>
      <c r="K504" s="1526"/>
      <c r="L504" s="1526"/>
      <c r="M504" s="1526"/>
      <c r="N504" s="1526"/>
      <c r="O504" s="1526"/>
      <c r="P504" s="1526"/>
      <c r="Q504" s="1526"/>
      <c r="R504" s="1526"/>
      <c r="S504" s="1526"/>
      <c r="T504" s="1526"/>
      <c r="U504" s="1526"/>
      <c r="V504" s="1526"/>
      <c r="W504" s="1526"/>
      <c r="X504" s="1526"/>
      <c r="Y504" s="1526"/>
      <c r="Z504" s="974"/>
      <c r="AA504" s="974"/>
      <c r="AB504" s="974"/>
      <c r="AC504" s="974"/>
      <c r="AD504" s="974"/>
      <c r="AE504" s="974"/>
    </row>
    <row r="505">
      <c r="A505" s="1526"/>
      <c r="B505" s="1526"/>
      <c r="C505" s="1526"/>
      <c r="D505" s="1526"/>
      <c r="E505" s="1526"/>
      <c r="F505" s="1526"/>
      <c r="G505" s="1526"/>
      <c r="H505" s="1526"/>
      <c r="I505" s="1526"/>
      <c r="J505" s="1526"/>
      <c r="K505" s="1526"/>
      <c r="L505" s="1526"/>
      <c r="M505" s="1526"/>
      <c r="N505" s="1526"/>
      <c r="O505" s="1526"/>
      <c r="P505" s="1526"/>
      <c r="Q505" s="1526"/>
      <c r="R505" s="1526"/>
      <c r="S505" s="1526"/>
      <c r="T505" s="1526"/>
      <c r="U505" s="1526"/>
      <c r="V505" s="1526"/>
      <c r="W505" s="1526"/>
      <c r="X505" s="1526"/>
      <c r="Y505" s="1526"/>
      <c r="Z505" s="974"/>
      <c r="AA505" s="974"/>
      <c r="AB505" s="974"/>
      <c r="AC505" s="974"/>
      <c r="AD505" s="974"/>
      <c r="AE505" s="974"/>
    </row>
    <row r="506">
      <c r="A506" s="1526"/>
      <c r="B506" s="1526"/>
      <c r="C506" s="1526"/>
      <c r="D506" s="1526"/>
      <c r="E506" s="1526"/>
      <c r="F506" s="1526"/>
      <c r="G506" s="1526"/>
      <c r="H506" s="1526"/>
      <c r="I506" s="1526"/>
      <c r="J506" s="1526"/>
      <c r="K506" s="1526"/>
      <c r="L506" s="1526"/>
      <c r="M506" s="1526"/>
      <c r="N506" s="1526"/>
      <c r="O506" s="1526"/>
      <c r="P506" s="1526"/>
      <c r="Q506" s="1526"/>
      <c r="R506" s="1526"/>
      <c r="S506" s="1526"/>
      <c r="T506" s="1526"/>
      <c r="U506" s="1526"/>
      <c r="V506" s="1526"/>
      <c r="W506" s="1526"/>
      <c r="X506" s="1526"/>
      <c r="Y506" s="1526"/>
      <c r="Z506" s="974"/>
      <c r="AA506" s="974"/>
      <c r="AB506" s="974"/>
      <c r="AC506" s="974"/>
      <c r="AD506" s="974"/>
      <c r="AE506" s="974"/>
    </row>
    <row r="507">
      <c r="A507" s="1526"/>
      <c r="B507" s="1526"/>
      <c r="C507" s="1526"/>
      <c r="D507" s="1526"/>
      <c r="E507" s="1526"/>
      <c r="F507" s="1526"/>
      <c r="G507" s="1526"/>
      <c r="H507" s="1526"/>
      <c r="I507" s="1526"/>
      <c r="J507" s="1526"/>
      <c r="K507" s="1526"/>
      <c r="L507" s="1526"/>
      <c r="M507" s="1526"/>
      <c r="N507" s="1526"/>
      <c r="O507" s="1526"/>
      <c r="P507" s="1526"/>
      <c r="Q507" s="1526"/>
      <c r="R507" s="1526"/>
      <c r="S507" s="1526"/>
      <c r="T507" s="1526"/>
      <c r="U507" s="1526"/>
      <c r="V507" s="1526"/>
      <c r="W507" s="1526"/>
      <c r="X507" s="1526"/>
      <c r="Y507" s="1526"/>
      <c r="Z507" s="974"/>
      <c r="AA507" s="974"/>
      <c r="AB507" s="974"/>
      <c r="AC507" s="974"/>
      <c r="AD507" s="974"/>
      <c r="AE507" s="974"/>
    </row>
    <row r="508">
      <c r="A508" s="1526"/>
      <c r="B508" s="1526"/>
      <c r="C508" s="1526"/>
      <c r="D508" s="1526"/>
      <c r="E508" s="1526"/>
      <c r="F508" s="1526"/>
      <c r="G508" s="1526"/>
      <c r="H508" s="1526"/>
      <c r="I508" s="1526"/>
      <c r="J508" s="1526"/>
      <c r="K508" s="1526"/>
      <c r="L508" s="1526"/>
      <c r="M508" s="1526"/>
      <c r="N508" s="1526"/>
      <c r="O508" s="1526"/>
      <c r="P508" s="1526"/>
      <c r="Q508" s="1526"/>
      <c r="R508" s="1526"/>
      <c r="S508" s="1526"/>
      <c r="T508" s="1526"/>
      <c r="U508" s="1526"/>
      <c r="V508" s="1526"/>
      <c r="W508" s="1526"/>
      <c r="X508" s="1526"/>
      <c r="Y508" s="1526"/>
      <c r="Z508" s="974"/>
      <c r="AA508" s="974"/>
      <c r="AB508" s="974"/>
      <c r="AC508" s="974"/>
      <c r="AD508" s="974"/>
      <c r="AE508" s="974"/>
    </row>
    <row r="509">
      <c r="A509" s="1526"/>
      <c r="B509" s="1526"/>
      <c r="C509" s="1526"/>
      <c r="D509" s="1526"/>
      <c r="E509" s="1526"/>
      <c r="F509" s="1526"/>
      <c r="G509" s="1526"/>
      <c r="H509" s="1526"/>
      <c r="I509" s="1526"/>
      <c r="J509" s="1526"/>
      <c r="K509" s="1526"/>
      <c r="L509" s="1526"/>
      <c r="M509" s="1526"/>
      <c r="N509" s="1526"/>
      <c r="O509" s="1526"/>
      <c r="P509" s="1526"/>
      <c r="Q509" s="1526"/>
      <c r="R509" s="1526"/>
      <c r="S509" s="1526"/>
      <c r="T509" s="1526"/>
      <c r="U509" s="1526"/>
      <c r="V509" s="1526"/>
      <c r="W509" s="1526"/>
      <c r="X509" s="1526"/>
      <c r="Y509" s="1526"/>
      <c r="Z509" s="974"/>
      <c r="AA509" s="974"/>
      <c r="AB509" s="974"/>
      <c r="AC509" s="974"/>
      <c r="AD509" s="974"/>
      <c r="AE509" s="974"/>
    </row>
    <row r="510">
      <c r="A510" s="1526"/>
      <c r="B510" s="1526"/>
      <c r="C510" s="1526"/>
      <c r="D510" s="1526"/>
      <c r="E510" s="1526"/>
      <c r="F510" s="1526"/>
      <c r="G510" s="1526"/>
      <c r="H510" s="1526"/>
      <c r="I510" s="1526"/>
      <c r="J510" s="1526"/>
      <c r="K510" s="1526"/>
      <c r="L510" s="1526"/>
      <c r="M510" s="1526"/>
      <c r="N510" s="1526"/>
      <c r="O510" s="1526"/>
      <c r="P510" s="1526"/>
      <c r="Q510" s="1526"/>
      <c r="R510" s="1526"/>
      <c r="S510" s="1526"/>
      <c r="T510" s="1526"/>
      <c r="U510" s="1526"/>
      <c r="V510" s="1526"/>
      <c r="W510" s="1526"/>
      <c r="X510" s="1526"/>
      <c r="Y510" s="1526"/>
      <c r="Z510" s="974"/>
      <c r="AA510" s="974"/>
      <c r="AB510" s="974"/>
      <c r="AC510" s="974"/>
      <c r="AD510" s="974"/>
      <c r="AE510" s="974"/>
    </row>
    <row r="511">
      <c r="A511" s="1526"/>
      <c r="B511" s="1526"/>
      <c r="C511" s="1526"/>
      <c r="D511" s="1526"/>
      <c r="E511" s="1526"/>
      <c r="F511" s="1526"/>
      <c r="G511" s="1526"/>
      <c r="H511" s="1526"/>
      <c r="I511" s="1526"/>
      <c r="J511" s="1526"/>
      <c r="K511" s="1526"/>
      <c r="L511" s="1526"/>
      <c r="M511" s="1526"/>
      <c r="N511" s="1526"/>
      <c r="O511" s="1526"/>
      <c r="P511" s="1526"/>
      <c r="Q511" s="1526"/>
      <c r="R511" s="1526"/>
      <c r="S511" s="1526"/>
      <c r="T511" s="1526"/>
      <c r="U511" s="1526"/>
      <c r="V511" s="1526"/>
      <c r="W511" s="1526"/>
      <c r="X511" s="1526"/>
      <c r="Y511" s="1526"/>
      <c r="Z511" s="974"/>
      <c r="AA511" s="974"/>
      <c r="AB511" s="974"/>
      <c r="AC511" s="974"/>
      <c r="AD511" s="974"/>
      <c r="AE511" s="974"/>
    </row>
    <row r="512">
      <c r="A512" s="1526"/>
      <c r="B512" s="1526"/>
      <c r="C512" s="1526"/>
      <c r="D512" s="1526"/>
      <c r="E512" s="1526"/>
      <c r="F512" s="1526"/>
      <c r="G512" s="1526"/>
      <c r="H512" s="1526"/>
      <c r="I512" s="1526"/>
      <c r="J512" s="1526"/>
      <c r="K512" s="1526"/>
      <c r="L512" s="1526"/>
      <c r="M512" s="1526"/>
      <c r="N512" s="1526"/>
      <c r="O512" s="1526"/>
      <c r="P512" s="1526"/>
      <c r="Q512" s="1526"/>
      <c r="R512" s="1526"/>
      <c r="S512" s="1526"/>
      <c r="T512" s="1526"/>
      <c r="U512" s="1526"/>
      <c r="V512" s="1526"/>
      <c r="W512" s="1526"/>
      <c r="X512" s="1526"/>
      <c r="Y512" s="1526"/>
      <c r="Z512" s="974"/>
      <c r="AA512" s="974"/>
      <c r="AB512" s="974"/>
      <c r="AC512" s="974"/>
      <c r="AD512" s="974"/>
      <c r="AE512" s="974"/>
    </row>
    <row r="513">
      <c r="A513" s="1526"/>
      <c r="B513" s="1526"/>
      <c r="C513" s="1526"/>
      <c r="D513" s="1526"/>
      <c r="E513" s="1526"/>
      <c r="F513" s="1526"/>
      <c r="G513" s="1526"/>
      <c r="H513" s="1526"/>
      <c r="I513" s="1526"/>
      <c r="J513" s="1526"/>
      <c r="K513" s="1526"/>
      <c r="L513" s="1526"/>
      <c r="M513" s="1526"/>
      <c r="N513" s="1526"/>
      <c r="O513" s="1526"/>
      <c r="P513" s="1526"/>
      <c r="Q513" s="1526"/>
      <c r="R513" s="1526"/>
      <c r="S513" s="1526"/>
      <c r="T513" s="1526"/>
      <c r="U513" s="1526"/>
      <c r="V513" s="1526"/>
      <c r="W513" s="1526"/>
      <c r="X513" s="1526"/>
      <c r="Y513" s="1526"/>
      <c r="Z513" s="974"/>
      <c r="AA513" s="974"/>
      <c r="AB513" s="974"/>
      <c r="AC513" s="974"/>
      <c r="AD513" s="974"/>
      <c r="AE513" s="974"/>
    </row>
    <row r="514">
      <c r="A514" s="1526"/>
      <c r="B514" s="1526"/>
      <c r="C514" s="1526"/>
      <c r="D514" s="1526"/>
      <c r="E514" s="1526"/>
      <c r="F514" s="1526"/>
      <c r="G514" s="1526"/>
      <c r="H514" s="1526"/>
      <c r="I514" s="1526"/>
      <c r="J514" s="1526"/>
      <c r="K514" s="1526"/>
      <c r="L514" s="1526"/>
      <c r="M514" s="1526"/>
      <c r="N514" s="1526"/>
      <c r="O514" s="1526"/>
      <c r="P514" s="1526"/>
      <c r="Q514" s="1526"/>
      <c r="R514" s="1526"/>
      <c r="S514" s="1526"/>
      <c r="T514" s="1526"/>
      <c r="U514" s="1526"/>
      <c r="V514" s="1526"/>
      <c r="W514" s="1526"/>
      <c r="X514" s="1526"/>
      <c r="Y514" s="1526"/>
      <c r="Z514" s="974"/>
      <c r="AA514" s="974"/>
      <c r="AB514" s="974"/>
      <c r="AC514" s="974"/>
      <c r="AD514" s="974"/>
      <c r="AE514" s="974"/>
    </row>
    <row r="515">
      <c r="A515" s="1526"/>
      <c r="B515" s="1526"/>
      <c r="C515" s="1526"/>
      <c r="D515" s="1526"/>
      <c r="E515" s="1526"/>
      <c r="F515" s="1526"/>
      <c r="G515" s="1526"/>
      <c r="H515" s="1526"/>
      <c r="I515" s="1526"/>
      <c r="J515" s="1526"/>
      <c r="K515" s="1526"/>
      <c r="L515" s="1526"/>
      <c r="M515" s="1526"/>
      <c r="N515" s="1526"/>
      <c r="O515" s="1526"/>
      <c r="P515" s="1526"/>
      <c r="Q515" s="1526"/>
      <c r="R515" s="1526"/>
      <c r="S515" s="1526"/>
      <c r="T515" s="1526"/>
      <c r="U515" s="1526"/>
      <c r="V515" s="1526"/>
      <c r="W515" s="1526"/>
      <c r="X515" s="1526"/>
      <c r="Y515" s="1526"/>
      <c r="Z515" s="974"/>
      <c r="AA515" s="974"/>
      <c r="AB515" s="974"/>
      <c r="AC515" s="974"/>
      <c r="AD515" s="974"/>
      <c r="AE515" s="974"/>
    </row>
    <row r="516">
      <c r="A516" s="1526"/>
      <c r="B516" s="1526"/>
      <c r="C516" s="1526"/>
      <c r="D516" s="1526"/>
      <c r="E516" s="1526"/>
      <c r="F516" s="1526"/>
      <c r="G516" s="1526"/>
      <c r="H516" s="1526"/>
      <c r="I516" s="1526"/>
      <c r="J516" s="1526"/>
      <c r="K516" s="1526"/>
      <c r="L516" s="1526"/>
      <c r="M516" s="1526"/>
      <c r="N516" s="1526"/>
      <c r="O516" s="1526"/>
      <c r="P516" s="1526"/>
      <c r="Q516" s="1526"/>
      <c r="R516" s="1526"/>
      <c r="S516" s="1526"/>
      <c r="T516" s="1526"/>
      <c r="U516" s="1526"/>
      <c r="V516" s="1526"/>
      <c r="W516" s="1526"/>
      <c r="X516" s="1526"/>
      <c r="Y516" s="1526"/>
      <c r="Z516" s="974"/>
      <c r="AA516" s="974"/>
      <c r="AB516" s="974"/>
      <c r="AC516" s="974"/>
      <c r="AD516" s="974"/>
      <c r="AE516" s="974"/>
    </row>
    <row r="517">
      <c r="A517" s="1526"/>
      <c r="B517" s="1526"/>
      <c r="C517" s="1526"/>
      <c r="D517" s="1526"/>
      <c r="E517" s="1526"/>
      <c r="F517" s="1526"/>
      <c r="G517" s="1526"/>
      <c r="H517" s="1526"/>
      <c r="I517" s="1526"/>
      <c r="J517" s="1526"/>
      <c r="K517" s="1526"/>
      <c r="L517" s="1526"/>
      <c r="M517" s="1526"/>
      <c r="N517" s="1526"/>
      <c r="O517" s="1526"/>
      <c r="P517" s="1526"/>
      <c r="Q517" s="1526"/>
      <c r="R517" s="1526"/>
      <c r="S517" s="1526"/>
      <c r="T517" s="1526"/>
      <c r="U517" s="1526"/>
      <c r="V517" s="1526"/>
      <c r="W517" s="1526"/>
      <c r="X517" s="1526"/>
      <c r="Y517" s="1526"/>
      <c r="Z517" s="974"/>
      <c r="AA517" s="974"/>
      <c r="AB517" s="974"/>
      <c r="AC517" s="974"/>
      <c r="AD517" s="974"/>
      <c r="AE517" s="974"/>
    </row>
    <row r="518">
      <c r="A518" s="1526"/>
      <c r="B518" s="1526"/>
      <c r="C518" s="1526"/>
      <c r="D518" s="1526"/>
      <c r="E518" s="1526"/>
      <c r="F518" s="1526"/>
      <c r="G518" s="1526"/>
      <c r="H518" s="1526"/>
      <c r="I518" s="1526"/>
      <c r="J518" s="1526"/>
      <c r="K518" s="1526"/>
      <c r="L518" s="1526"/>
      <c r="M518" s="1526"/>
      <c r="N518" s="1526"/>
      <c r="O518" s="1526"/>
      <c r="P518" s="1526"/>
      <c r="Q518" s="1526"/>
      <c r="R518" s="1526"/>
      <c r="S518" s="1526"/>
      <c r="T518" s="1526"/>
      <c r="U518" s="1526"/>
      <c r="V518" s="1526"/>
      <c r="W518" s="1526"/>
      <c r="X518" s="1526"/>
      <c r="Y518" s="1526"/>
      <c r="Z518" s="974"/>
      <c r="AA518" s="974"/>
      <c r="AB518" s="974"/>
      <c r="AC518" s="974"/>
      <c r="AD518" s="974"/>
      <c r="AE518" s="974"/>
    </row>
    <row r="519">
      <c r="A519" s="1526"/>
      <c r="B519" s="1526"/>
      <c r="C519" s="1526"/>
      <c r="D519" s="1526"/>
      <c r="E519" s="1526"/>
      <c r="F519" s="1526"/>
      <c r="G519" s="1526"/>
      <c r="H519" s="1526"/>
      <c r="I519" s="1526"/>
      <c r="J519" s="1526"/>
      <c r="K519" s="1526"/>
      <c r="L519" s="1526"/>
      <c r="M519" s="1526"/>
      <c r="N519" s="1526"/>
      <c r="O519" s="1526"/>
      <c r="P519" s="1526"/>
      <c r="Q519" s="1526"/>
      <c r="R519" s="1526"/>
      <c r="S519" s="1526"/>
      <c r="T519" s="1526"/>
      <c r="U519" s="1526"/>
      <c r="V519" s="1526"/>
      <c r="W519" s="1526"/>
      <c r="X519" s="1526"/>
      <c r="Y519" s="1526"/>
      <c r="Z519" s="974"/>
      <c r="AA519" s="974"/>
      <c r="AB519" s="974"/>
      <c r="AC519" s="974"/>
      <c r="AD519" s="974"/>
      <c r="AE519" s="974"/>
    </row>
    <row r="520">
      <c r="A520" s="1526"/>
      <c r="B520" s="1526"/>
      <c r="C520" s="1526"/>
      <c r="D520" s="1526"/>
      <c r="E520" s="1526"/>
      <c r="F520" s="1526"/>
      <c r="G520" s="1526"/>
      <c r="H520" s="1526"/>
      <c r="I520" s="1526"/>
      <c r="J520" s="1526"/>
      <c r="K520" s="1526"/>
      <c r="L520" s="1526"/>
      <c r="M520" s="1526"/>
      <c r="N520" s="1526"/>
      <c r="O520" s="1526"/>
      <c r="P520" s="1526"/>
      <c r="Q520" s="1526"/>
      <c r="R520" s="1526"/>
      <c r="S520" s="1526"/>
      <c r="T520" s="1526"/>
      <c r="U520" s="1526"/>
      <c r="V520" s="1526"/>
      <c r="W520" s="1526"/>
      <c r="X520" s="1526"/>
      <c r="Y520" s="1526"/>
      <c r="Z520" s="974"/>
      <c r="AA520" s="974"/>
      <c r="AB520" s="974"/>
      <c r="AC520" s="974"/>
      <c r="AD520" s="974"/>
      <c r="AE520" s="974"/>
    </row>
    <row r="521">
      <c r="A521" s="1526"/>
      <c r="B521" s="1526"/>
      <c r="C521" s="1526"/>
      <c r="D521" s="1526"/>
      <c r="E521" s="1526"/>
      <c r="F521" s="1526"/>
      <c r="G521" s="1526"/>
      <c r="H521" s="1526"/>
      <c r="I521" s="1526"/>
      <c r="J521" s="1526"/>
      <c r="K521" s="1526"/>
      <c r="L521" s="1526"/>
      <c r="M521" s="1526"/>
      <c r="N521" s="1526"/>
      <c r="O521" s="1526"/>
      <c r="P521" s="1526"/>
      <c r="Q521" s="1526"/>
      <c r="R521" s="1526"/>
      <c r="S521" s="1526"/>
      <c r="T521" s="1526"/>
      <c r="U521" s="1526"/>
      <c r="V521" s="1526"/>
      <c r="W521" s="1526"/>
      <c r="X521" s="1526"/>
      <c r="Y521" s="1526"/>
      <c r="Z521" s="974"/>
      <c r="AA521" s="974"/>
      <c r="AB521" s="974"/>
      <c r="AC521" s="974"/>
      <c r="AD521" s="974"/>
      <c r="AE521" s="974"/>
    </row>
    <row r="522">
      <c r="A522" s="1526"/>
      <c r="B522" s="1526"/>
      <c r="C522" s="1526"/>
      <c r="D522" s="1526"/>
      <c r="E522" s="1526"/>
      <c r="F522" s="1526"/>
      <c r="G522" s="1526"/>
      <c r="H522" s="1526"/>
      <c r="I522" s="1526"/>
      <c r="J522" s="1526"/>
      <c r="K522" s="1526"/>
      <c r="L522" s="1526"/>
      <c r="M522" s="1526"/>
      <c r="N522" s="1526"/>
      <c r="O522" s="1526"/>
      <c r="P522" s="1526"/>
      <c r="Q522" s="1526"/>
      <c r="R522" s="1526"/>
      <c r="S522" s="1526"/>
      <c r="T522" s="1526"/>
      <c r="U522" s="1526"/>
      <c r="V522" s="1526"/>
      <c r="W522" s="1526"/>
      <c r="X522" s="1526"/>
      <c r="Y522" s="1526"/>
      <c r="Z522" s="974"/>
      <c r="AA522" s="974"/>
      <c r="AB522" s="974"/>
      <c r="AC522" s="974"/>
      <c r="AD522" s="974"/>
      <c r="AE522" s="974"/>
    </row>
    <row r="523">
      <c r="A523" s="1526"/>
      <c r="B523" s="1526"/>
      <c r="C523" s="1526"/>
      <c r="D523" s="1526"/>
      <c r="E523" s="1526"/>
      <c r="F523" s="1526"/>
      <c r="G523" s="1526"/>
      <c r="H523" s="1526"/>
      <c r="I523" s="1526"/>
      <c r="J523" s="1526"/>
      <c r="K523" s="1526"/>
      <c r="L523" s="1526"/>
      <c r="M523" s="1526"/>
      <c r="N523" s="1526"/>
      <c r="O523" s="1526"/>
      <c r="P523" s="1526"/>
      <c r="Q523" s="1526"/>
      <c r="R523" s="1526"/>
      <c r="S523" s="1526"/>
      <c r="T523" s="1526"/>
      <c r="U523" s="1526"/>
      <c r="V523" s="1526"/>
      <c r="W523" s="1526"/>
      <c r="X523" s="1526"/>
      <c r="Y523" s="1526"/>
      <c r="Z523" s="974"/>
      <c r="AA523" s="974"/>
      <c r="AB523" s="974"/>
      <c r="AC523" s="974"/>
      <c r="AD523" s="974"/>
      <c r="AE523" s="974"/>
    </row>
    <row r="524">
      <c r="A524" s="1526"/>
      <c r="B524" s="1526"/>
      <c r="C524" s="1526"/>
      <c r="D524" s="1526"/>
      <c r="E524" s="1526"/>
      <c r="F524" s="1526"/>
      <c r="G524" s="1526"/>
      <c r="H524" s="1526"/>
      <c r="I524" s="1526"/>
      <c r="J524" s="1526"/>
      <c r="K524" s="1526"/>
      <c r="L524" s="1526"/>
      <c r="M524" s="1526"/>
      <c r="N524" s="1526"/>
      <c r="O524" s="1526"/>
      <c r="P524" s="1526"/>
      <c r="Q524" s="1526"/>
      <c r="R524" s="1526"/>
      <c r="S524" s="1526"/>
      <c r="T524" s="1526"/>
      <c r="U524" s="1526"/>
      <c r="V524" s="1526"/>
      <c r="W524" s="1526"/>
      <c r="X524" s="1526"/>
      <c r="Y524" s="1526"/>
      <c r="Z524" s="974"/>
      <c r="AA524" s="974"/>
      <c r="AB524" s="974"/>
      <c r="AC524" s="974"/>
      <c r="AD524" s="974"/>
      <c r="AE524" s="974"/>
    </row>
    <row r="525">
      <c r="A525" s="1526"/>
      <c r="B525" s="1526"/>
      <c r="C525" s="1526"/>
      <c r="D525" s="1526"/>
      <c r="E525" s="1526"/>
      <c r="F525" s="1526"/>
      <c r="G525" s="1526"/>
      <c r="H525" s="1526"/>
      <c r="I525" s="1526"/>
      <c r="J525" s="1526"/>
      <c r="K525" s="1526"/>
      <c r="L525" s="1526"/>
      <c r="M525" s="1526"/>
      <c r="N525" s="1526"/>
      <c r="O525" s="1526"/>
      <c r="P525" s="1526"/>
      <c r="Q525" s="1526"/>
      <c r="R525" s="1526"/>
      <c r="S525" s="1526"/>
      <c r="T525" s="1526"/>
      <c r="U525" s="1526"/>
      <c r="V525" s="1526"/>
      <c r="W525" s="1526"/>
      <c r="X525" s="1526"/>
      <c r="Y525" s="1526"/>
      <c r="Z525" s="974"/>
      <c r="AA525" s="974"/>
      <c r="AB525" s="974"/>
      <c r="AC525" s="974"/>
      <c r="AD525" s="974"/>
      <c r="AE525" s="974"/>
    </row>
    <row r="526">
      <c r="A526" s="1526"/>
      <c r="B526" s="1526"/>
      <c r="C526" s="1526"/>
      <c r="D526" s="1526"/>
      <c r="E526" s="1526"/>
      <c r="F526" s="1526"/>
      <c r="G526" s="1526"/>
      <c r="H526" s="1526"/>
      <c r="I526" s="1526"/>
      <c r="J526" s="1526"/>
      <c r="K526" s="1526"/>
      <c r="L526" s="1526"/>
      <c r="M526" s="1526"/>
      <c r="N526" s="1526"/>
      <c r="O526" s="1526"/>
      <c r="P526" s="1526"/>
      <c r="Q526" s="1526"/>
      <c r="R526" s="1526"/>
      <c r="S526" s="1526"/>
      <c r="T526" s="1526"/>
      <c r="U526" s="1526"/>
      <c r="V526" s="1526"/>
      <c r="W526" s="1526"/>
      <c r="X526" s="1526"/>
      <c r="Y526" s="1526"/>
      <c r="Z526" s="974"/>
      <c r="AA526" s="974"/>
      <c r="AB526" s="974"/>
      <c r="AC526" s="974"/>
      <c r="AD526" s="974"/>
      <c r="AE526" s="974"/>
    </row>
    <row r="527">
      <c r="A527" s="1526"/>
      <c r="B527" s="1526"/>
      <c r="C527" s="1526"/>
      <c r="D527" s="1526"/>
      <c r="E527" s="1526"/>
      <c r="F527" s="1526"/>
      <c r="G527" s="1526"/>
      <c r="H527" s="1526"/>
      <c r="I527" s="1526"/>
      <c r="J527" s="1526"/>
      <c r="K527" s="1526"/>
      <c r="L527" s="1526"/>
      <c r="M527" s="1526"/>
      <c r="N527" s="1526"/>
      <c r="O527" s="1526"/>
      <c r="P527" s="1526"/>
      <c r="Q527" s="1526"/>
      <c r="R527" s="1526"/>
      <c r="S527" s="1526"/>
      <c r="T527" s="1526"/>
      <c r="U527" s="1526"/>
      <c r="V527" s="1526"/>
      <c r="W527" s="1526"/>
      <c r="X527" s="1526"/>
      <c r="Y527" s="1526"/>
      <c r="Z527" s="974"/>
      <c r="AA527" s="974"/>
      <c r="AB527" s="974"/>
      <c r="AC527" s="974"/>
      <c r="AD527" s="974"/>
      <c r="AE527" s="974"/>
    </row>
    <row r="528">
      <c r="A528" s="1526"/>
      <c r="B528" s="1526"/>
      <c r="C528" s="1526"/>
      <c r="D528" s="1526"/>
      <c r="E528" s="1526"/>
      <c r="F528" s="1526"/>
      <c r="G528" s="1526"/>
      <c r="H528" s="1526"/>
      <c r="I528" s="1526"/>
      <c r="J528" s="1526"/>
      <c r="K528" s="1526"/>
      <c r="L528" s="1526"/>
      <c r="M528" s="1526"/>
      <c r="N528" s="1526"/>
      <c r="O528" s="1526"/>
      <c r="P528" s="1526"/>
      <c r="Q528" s="1526"/>
      <c r="R528" s="1526"/>
      <c r="S528" s="1526"/>
      <c r="T528" s="1526"/>
      <c r="U528" s="1526"/>
      <c r="V528" s="1526"/>
      <c r="W528" s="1526"/>
      <c r="X528" s="1526"/>
      <c r="Y528" s="1526"/>
      <c r="Z528" s="974"/>
      <c r="AA528" s="974"/>
      <c r="AB528" s="974"/>
      <c r="AC528" s="974"/>
      <c r="AD528" s="974"/>
      <c r="AE528" s="974"/>
    </row>
    <row r="529">
      <c r="A529" s="1526"/>
      <c r="B529" s="1526"/>
      <c r="C529" s="1526"/>
      <c r="D529" s="1526"/>
      <c r="E529" s="1526"/>
      <c r="F529" s="1526"/>
      <c r="G529" s="1526"/>
      <c r="H529" s="1526"/>
      <c r="I529" s="1526"/>
      <c r="J529" s="1526"/>
      <c r="K529" s="1526"/>
      <c r="L529" s="1526"/>
      <c r="M529" s="1526"/>
      <c r="N529" s="1526"/>
      <c r="O529" s="1526"/>
      <c r="P529" s="1526"/>
      <c r="Q529" s="1526"/>
      <c r="R529" s="1526"/>
      <c r="S529" s="1526"/>
      <c r="T529" s="1526"/>
      <c r="U529" s="1526"/>
      <c r="V529" s="1526"/>
      <c r="W529" s="1526"/>
      <c r="X529" s="1526"/>
      <c r="Y529" s="1526"/>
      <c r="Z529" s="974"/>
      <c r="AA529" s="974"/>
      <c r="AB529" s="974"/>
      <c r="AC529" s="974"/>
      <c r="AD529" s="974"/>
      <c r="AE529" s="974"/>
    </row>
    <row r="530">
      <c r="A530" s="1526"/>
      <c r="B530" s="1526"/>
      <c r="C530" s="1526"/>
      <c r="D530" s="1526"/>
      <c r="E530" s="1526"/>
      <c r="F530" s="1526"/>
      <c r="G530" s="1526"/>
      <c r="H530" s="1526"/>
      <c r="I530" s="1526"/>
      <c r="J530" s="1526"/>
      <c r="K530" s="1526"/>
      <c r="L530" s="1526"/>
      <c r="M530" s="1526"/>
      <c r="N530" s="1526"/>
      <c r="O530" s="1526"/>
      <c r="P530" s="1526"/>
      <c r="Q530" s="1526"/>
      <c r="R530" s="1526"/>
      <c r="S530" s="1526"/>
      <c r="T530" s="1526"/>
      <c r="U530" s="1526"/>
      <c r="V530" s="1526"/>
      <c r="W530" s="1526"/>
      <c r="X530" s="1526"/>
      <c r="Y530" s="1526"/>
      <c r="Z530" s="974"/>
      <c r="AA530" s="974"/>
      <c r="AB530" s="974"/>
      <c r="AC530" s="974"/>
      <c r="AD530" s="974"/>
      <c r="AE530" s="974"/>
    </row>
    <row r="531">
      <c r="A531" s="1526"/>
      <c r="B531" s="1526"/>
      <c r="C531" s="1526"/>
      <c r="D531" s="1526"/>
      <c r="E531" s="1526"/>
      <c r="F531" s="1526"/>
      <c r="G531" s="1526"/>
      <c r="H531" s="1526"/>
      <c r="I531" s="1526"/>
      <c r="J531" s="1526"/>
      <c r="K531" s="1526"/>
      <c r="L531" s="1526"/>
      <c r="M531" s="1526"/>
      <c r="N531" s="1526"/>
      <c r="O531" s="1526"/>
      <c r="P531" s="1526"/>
      <c r="Q531" s="1526"/>
      <c r="R531" s="1526"/>
      <c r="S531" s="1526"/>
      <c r="T531" s="1526"/>
      <c r="U531" s="1526"/>
      <c r="V531" s="1526"/>
      <c r="W531" s="1526"/>
      <c r="X531" s="1526"/>
      <c r="Y531" s="1526"/>
      <c r="Z531" s="974"/>
      <c r="AA531" s="974"/>
      <c r="AB531" s="974"/>
      <c r="AC531" s="974"/>
      <c r="AD531" s="974"/>
      <c r="AE531" s="974"/>
    </row>
    <row r="532">
      <c r="A532" s="1526"/>
      <c r="B532" s="1526"/>
      <c r="C532" s="1526"/>
      <c r="D532" s="1526"/>
      <c r="E532" s="1526"/>
      <c r="F532" s="1526"/>
      <c r="G532" s="1526"/>
      <c r="H532" s="1526"/>
      <c r="I532" s="1526"/>
      <c r="J532" s="1526"/>
      <c r="K532" s="1526"/>
      <c r="L532" s="1526"/>
      <c r="M532" s="1526"/>
      <c r="N532" s="1526"/>
      <c r="O532" s="1526"/>
      <c r="P532" s="1526"/>
      <c r="Q532" s="1526"/>
      <c r="R532" s="1526"/>
      <c r="S532" s="1526"/>
      <c r="T532" s="1526"/>
      <c r="U532" s="1526"/>
      <c r="V532" s="1526"/>
      <c r="W532" s="1526"/>
      <c r="X532" s="1526"/>
      <c r="Y532" s="1526"/>
      <c r="Z532" s="974"/>
      <c r="AA532" s="974"/>
      <c r="AB532" s="974"/>
      <c r="AC532" s="974"/>
      <c r="AD532" s="974"/>
      <c r="AE532" s="974"/>
    </row>
    <row r="533">
      <c r="A533" s="1526"/>
      <c r="B533" s="1526"/>
      <c r="C533" s="1526"/>
      <c r="D533" s="1526"/>
      <c r="E533" s="1526"/>
      <c r="F533" s="1526"/>
      <c r="G533" s="1526"/>
      <c r="H533" s="1526"/>
      <c r="I533" s="1526"/>
      <c r="J533" s="1526"/>
      <c r="K533" s="1526"/>
      <c r="L533" s="1526"/>
      <c r="M533" s="1526"/>
      <c r="N533" s="1526"/>
      <c r="O533" s="1526"/>
      <c r="P533" s="1526"/>
      <c r="Q533" s="1526"/>
      <c r="R533" s="1526"/>
      <c r="S533" s="1526"/>
      <c r="T533" s="1526"/>
      <c r="U533" s="1526"/>
      <c r="V533" s="1526"/>
      <c r="W533" s="1526"/>
      <c r="X533" s="1526"/>
      <c r="Y533" s="1526"/>
      <c r="Z533" s="974"/>
      <c r="AA533" s="974"/>
      <c r="AB533" s="974"/>
      <c r="AC533" s="974"/>
      <c r="AD533" s="974"/>
      <c r="AE533" s="974"/>
    </row>
    <row r="534">
      <c r="A534" s="1526"/>
      <c r="B534" s="1526"/>
      <c r="C534" s="1526"/>
      <c r="D534" s="1526"/>
      <c r="E534" s="1526"/>
      <c r="F534" s="1526"/>
      <c r="G534" s="1526"/>
      <c r="H534" s="1526"/>
      <c r="I534" s="1526"/>
      <c r="J534" s="1526"/>
      <c r="K534" s="1526"/>
      <c r="L534" s="1526"/>
      <c r="M534" s="1526"/>
      <c r="N534" s="1526"/>
      <c r="O534" s="1526"/>
      <c r="P534" s="1526"/>
      <c r="Q534" s="1526"/>
      <c r="R534" s="1526"/>
      <c r="S534" s="1526"/>
      <c r="T534" s="1526"/>
      <c r="U534" s="1526"/>
      <c r="V534" s="1526"/>
      <c r="W534" s="1526"/>
      <c r="X534" s="1526"/>
      <c r="Y534" s="1526"/>
      <c r="Z534" s="974"/>
      <c r="AA534" s="974"/>
      <c r="AB534" s="974"/>
      <c r="AC534" s="974"/>
      <c r="AD534" s="974"/>
      <c r="AE534" s="974"/>
    </row>
    <row r="535">
      <c r="A535" s="1526"/>
      <c r="B535" s="1526"/>
      <c r="C535" s="1526"/>
      <c r="D535" s="1526"/>
      <c r="E535" s="1526"/>
      <c r="F535" s="1526"/>
      <c r="G535" s="1526"/>
      <c r="H535" s="1526"/>
      <c r="I535" s="1526"/>
      <c r="J535" s="1526"/>
      <c r="K535" s="1526"/>
      <c r="L535" s="1526"/>
      <c r="M535" s="1526"/>
      <c r="N535" s="1526"/>
      <c r="O535" s="1526"/>
      <c r="P535" s="1526"/>
      <c r="Q535" s="1526"/>
      <c r="R535" s="1526"/>
      <c r="S535" s="1526"/>
      <c r="T535" s="1526"/>
      <c r="U535" s="1526"/>
      <c r="V535" s="1526"/>
      <c r="W535" s="1526"/>
      <c r="X535" s="1526"/>
      <c r="Y535" s="1526"/>
      <c r="Z535" s="974"/>
      <c r="AA535" s="974"/>
      <c r="AB535" s="974"/>
      <c r="AC535" s="974"/>
      <c r="AD535" s="974"/>
      <c r="AE535" s="974"/>
    </row>
    <row r="536">
      <c r="A536" s="1526"/>
      <c r="B536" s="1526"/>
      <c r="C536" s="1526"/>
      <c r="D536" s="1526"/>
      <c r="E536" s="1526"/>
      <c r="F536" s="1526"/>
      <c r="G536" s="1526"/>
      <c r="H536" s="1526"/>
      <c r="I536" s="1526"/>
      <c r="J536" s="1526"/>
      <c r="K536" s="1526"/>
      <c r="L536" s="1526"/>
      <c r="M536" s="1526"/>
      <c r="N536" s="1526"/>
      <c r="O536" s="1526"/>
      <c r="P536" s="1526"/>
      <c r="Q536" s="1526"/>
      <c r="R536" s="1526"/>
      <c r="S536" s="1526"/>
      <c r="T536" s="1526"/>
      <c r="U536" s="1526"/>
      <c r="V536" s="1526"/>
      <c r="W536" s="1526"/>
      <c r="X536" s="1526"/>
      <c r="Y536" s="1526"/>
      <c r="Z536" s="974"/>
      <c r="AA536" s="974"/>
      <c r="AB536" s="974"/>
      <c r="AC536" s="974"/>
      <c r="AD536" s="974"/>
      <c r="AE536" s="974"/>
    </row>
    <row r="537">
      <c r="A537" s="1526"/>
      <c r="B537" s="1526"/>
      <c r="C537" s="1526"/>
      <c r="D537" s="1526"/>
      <c r="E537" s="1526"/>
      <c r="F537" s="1526"/>
      <c r="G537" s="1526"/>
      <c r="H537" s="1526"/>
      <c r="I537" s="1526"/>
      <c r="J537" s="1526"/>
      <c r="K537" s="1526"/>
      <c r="L537" s="1526"/>
      <c r="M537" s="1526"/>
      <c r="N537" s="1526"/>
      <c r="O537" s="1526"/>
      <c r="P537" s="1526"/>
      <c r="Q537" s="1526"/>
      <c r="R537" s="1526"/>
      <c r="S537" s="1526"/>
      <c r="T537" s="1526"/>
      <c r="U537" s="1526"/>
      <c r="V537" s="1526"/>
      <c r="W537" s="1526"/>
      <c r="X537" s="1526"/>
      <c r="Y537" s="1526"/>
      <c r="Z537" s="974"/>
      <c r="AA537" s="974"/>
      <c r="AB537" s="974"/>
      <c r="AC537" s="974"/>
      <c r="AD537" s="974"/>
      <c r="AE537" s="974"/>
    </row>
    <row r="538">
      <c r="A538" s="1526"/>
      <c r="B538" s="1526"/>
      <c r="C538" s="1526"/>
      <c r="D538" s="1526"/>
      <c r="E538" s="1526"/>
      <c r="F538" s="1526"/>
      <c r="G538" s="1526"/>
      <c r="H538" s="1526"/>
      <c r="I538" s="1526"/>
      <c r="J538" s="1526"/>
      <c r="K538" s="1526"/>
      <c r="L538" s="1526"/>
      <c r="M538" s="1526"/>
      <c r="N538" s="1526"/>
      <c r="O538" s="1526"/>
      <c r="P538" s="1526"/>
      <c r="Q538" s="1526"/>
      <c r="R538" s="1526"/>
      <c r="S538" s="1526"/>
      <c r="T538" s="1526"/>
      <c r="U538" s="1526"/>
      <c r="V538" s="1526"/>
      <c r="W538" s="1526"/>
      <c r="X538" s="1526"/>
      <c r="Y538" s="1526"/>
      <c r="Z538" s="974"/>
      <c r="AA538" s="974"/>
      <c r="AB538" s="974"/>
      <c r="AC538" s="974"/>
      <c r="AD538" s="974"/>
      <c r="AE538" s="974"/>
    </row>
    <row r="539">
      <c r="A539" s="1526"/>
      <c r="B539" s="1526"/>
      <c r="C539" s="1526"/>
      <c r="D539" s="1526"/>
      <c r="E539" s="1526"/>
      <c r="F539" s="1526"/>
      <c r="G539" s="1526"/>
      <c r="H539" s="1526"/>
      <c r="I539" s="1526"/>
      <c r="J539" s="1526"/>
      <c r="K539" s="1526"/>
      <c r="L539" s="1526"/>
      <c r="M539" s="1526"/>
      <c r="N539" s="1526"/>
      <c r="O539" s="1526"/>
      <c r="P539" s="1526"/>
      <c r="Q539" s="1526"/>
      <c r="R539" s="1526"/>
      <c r="S539" s="1526"/>
      <c r="T539" s="1526"/>
      <c r="U539" s="1526"/>
      <c r="V539" s="1526"/>
      <c r="W539" s="1526"/>
      <c r="X539" s="1526"/>
      <c r="Y539" s="1526"/>
      <c r="Z539" s="974"/>
      <c r="AA539" s="974"/>
      <c r="AB539" s="974"/>
      <c r="AC539" s="974"/>
      <c r="AD539" s="974"/>
      <c r="AE539" s="974"/>
    </row>
    <row r="540">
      <c r="A540" s="1526"/>
      <c r="B540" s="1526"/>
      <c r="C540" s="1526"/>
      <c r="D540" s="1526"/>
      <c r="E540" s="1526"/>
      <c r="F540" s="1526"/>
      <c r="G540" s="1526"/>
      <c r="H540" s="1526"/>
      <c r="I540" s="1526"/>
      <c r="J540" s="1526"/>
      <c r="K540" s="1526"/>
      <c r="L540" s="1526"/>
      <c r="M540" s="1526"/>
      <c r="N540" s="1526"/>
      <c r="O540" s="1526"/>
      <c r="P540" s="1526"/>
      <c r="Q540" s="1526"/>
      <c r="R540" s="1526"/>
      <c r="S540" s="1526"/>
      <c r="T540" s="1526"/>
      <c r="U540" s="1526"/>
      <c r="V540" s="1526"/>
      <c r="W540" s="1526"/>
      <c r="X540" s="1526"/>
      <c r="Y540" s="1526"/>
      <c r="Z540" s="974"/>
      <c r="AA540" s="974"/>
      <c r="AB540" s="974"/>
      <c r="AC540" s="974"/>
      <c r="AD540" s="974"/>
      <c r="AE540" s="974"/>
    </row>
    <row r="541">
      <c r="A541" s="1526"/>
      <c r="B541" s="1526"/>
      <c r="C541" s="1526"/>
      <c r="D541" s="1526"/>
      <c r="E541" s="1526"/>
      <c r="F541" s="1526"/>
      <c r="G541" s="1526"/>
      <c r="H541" s="1526"/>
      <c r="I541" s="1526"/>
      <c r="J541" s="1526"/>
      <c r="K541" s="1526"/>
      <c r="L541" s="1526"/>
      <c r="M541" s="1526"/>
      <c r="N541" s="1526"/>
      <c r="O541" s="1526"/>
      <c r="P541" s="1526"/>
      <c r="Q541" s="1526"/>
      <c r="R541" s="1526"/>
      <c r="S541" s="1526"/>
      <c r="T541" s="1526"/>
      <c r="U541" s="1526"/>
      <c r="V541" s="1526"/>
      <c r="W541" s="1526"/>
      <c r="X541" s="1526"/>
      <c r="Y541" s="1526"/>
      <c r="Z541" s="974"/>
      <c r="AA541" s="974"/>
      <c r="AB541" s="974"/>
      <c r="AC541" s="974"/>
      <c r="AD541" s="974"/>
      <c r="AE541" s="974"/>
    </row>
    <row r="542">
      <c r="A542" s="1526"/>
      <c r="B542" s="1526"/>
      <c r="C542" s="1526"/>
      <c r="D542" s="1526"/>
      <c r="E542" s="1526"/>
      <c r="F542" s="1526"/>
      <c r="G542" s="1526"/>
      <c r="H542" s="1526"/>
      <c r="I542" s="1526"/>
      <c r="J542" s="1526"/>
      <c r="K542" s="1526"/>
      <c r="L542" s="1526"/>
      <c r="M542" s="1526"/>
      <c r="N542" s="1526"/>
      <c r="O542" s="1526"/>
      <c r="P542" s="1526"/>
      <c r="Q542" s="1526"/>
      <c r="R542" s="1526"/>
      <c r="S542" s="1526"/>
      <c r="T542" s="1526"/>
      <c r="U542" s="1526"/>
      <c r="V542" s="1526"/>
      <c r="W542" s="1526"/>
      <c r="X542" s="1526"/>
      <c r="Y542" s="1526"/>
      <c r="Z542" s="974"/>
      <c r="AA542" s="974"/>
      <c r="AB542" s="974"/>
      <c r="AC542" s="974"/>
      <c r="AD542" s="974"/>
      <c r="AE542" s="974"/>
    </row>
    <row r="543">
      <c r="A543" s="1526"/>
      <c r="B543" s="1526"/>
      <c r="C543" s="1526"/>
      <c r="D543" s="1526"/>
      <c r="E543" s="1526"/>
      <c r="F543" s="1526"/>
      <c r="G543" s="1526"/>
      <c r="H543" s="1526"/>
      <c r="I543" s="1526"/>
      <c r="J543" s="1526"/>
      <c r="K543" s="1526"/>
      <c r="L543" s="1526"/>
      <c r="M543" s="1526"/>
      <c r="N543" s="1526"/>
      <c r="O543" s="1526"/>
      <c r="P543" s="1526"/>
      <c r="Q543" s="1526"/>
      <c r="R543" s="1526"/>
      <c r="S543" s="1526"/>
      <c r="T543" s="1526"/>
      <c r="U543" s="1526"/>
      <c r="V543" s="1526"/>
      <c r="W543" s="1526"/>
      <c r="X543" s="1526"/>
      <c r="Y543" s="1526"/>
      <c r="Z543" s="974"/>
      <c r="AA543" s="974"/>
      <c r="AB543" s="974"/>
      <c r="AC543" s="974"/>
      <c r="AD543" s="974"/>
      <c r="AE543" s="974"/>
    </row>
    <row r="544">
      <c r="A544" s="1526"/>
      <c r="B544" s="1526"/>
      <c r="C544" s="1526"/>
      <c r="D544" s="1526"/>
      <c r="E544" s="1526"/>
      <c r="F544" s="1526"/>
      <c r="G544" s="1526"/>
      <c r="H544" s="1526"/>
      <c r="I544" s="1526"/>
      <c r="J544" s="1526"/>
      <c r="K544" s="1526"/>
      <c r="L544" s="1526"/>
      <c r="M544" s="1526"/>
      <c r="N544" s="1526"/>
      <c r="O544" s="1526"/>
      <c r="P544" s="1526"/>
      <c r="Q544" s="1526"/>
      <c r="R544" s="1526"/>
      <c r="S544" s="1526"/>
      <c r="T544" s="1526"/>
      <c r="U544" s="1526"/>
      <c r="V544" s="1526"/>
      <c r="W544" s="1526"/>
      <c r="X544" s="1526"/>
      <c r="Y544" s="1526"/>
      <c r="Z544" s="974"/>
      <c r="AA544" s="974"/>
      <c r="AB544" s="974"/>
      <c r="AC544" s="974"/>
      <c r="AD544" s="974"/>
      <c r="AE544" s="974"/>
    </row>
    <row r="545">
      <c r="A545" s="1526"/>
      <c r="B545" s="1526"/>
      <c r="C545" s="1526"/>
      <c r="D545" s="1526"/>
      <c r="E545" s="1526"/>
      <c r="F545" s="1526"/>
      <c r="G545" s="1526"/>
      <c r="H545" s="1526"/>
      <c r="I545" s="1526"/>
      <c r="J545" s="1526"/>
      <c r="K545" s="1526"/>
      <c r="L545" s="1526"/>
      <c r="M545" s="1526"/>
      <c r="N545" s="1526"/>
      <c r="O545" s="1526"/>
      <c r="P545" s="1526"/>
      <c r="Q545" s="1526"/>
      <c r="R545" s="1526"/>
      <c r="S545" s="1526"/>
      <c r="T545" s="1526"/>
      <c r="U545" s="1526"/>
      <c r="V545" s="1526"/>
      <c r="W545" s="1526"/>
      <c r="X545" s="1526"/>
      <c r="Y545" s="1526"/>
      <c r="Z545" s="974"/>
      <c r="AA545" s="974"/>
      <c r="AB545" s="974"/>
      <c r="AC545" s="974"/>
      <c r="AD545" s="974"/>
      <c r="AE545" s="974"/>
    </row>
    <row r="546">
      <c r="A546" s="1526"/>
      <c r="B546" s="1526"/>
      <c r="C546" s="1526"/>
      <c r="D546" s="1526"/>
      <c r="E546" s="1526"/>
      <c r="F546" s="1526"/>
      <c r="G546" s="1526"/>
      <c r="H546" s="1526"/>
      <c r="I546" s="1526"/>
      <c r="J546" s="1526"/>
      <c r="K546" s="1526"/>
      <c r="L546" s="1526"/>
      <c r="M546" s="1526"/>
      <c r="N546" s="1526"/>
      <c r="O546" s="1526"/>
      <c r="P546" s="1526"/>
      <c r="Q546" s="1526"/>
      <c r="R546" s="1526"/>
      <c r="S546" s="1526"/>
      <c r="T546" s="1526"/>
      <c r="U546" s="1526"/>
      <c r="V546" s="1526"/>
      <c r="W546" s="1526"/>
      <c r="X546" s="1526"/>
      <c r="Y546" s="1526"/>
      <c r="Z546" s="974"/>
      <c r="AA546" s="974"/>
      <c r="AB546" s="974"/>
      <c r="AC546" s="974"/>
      <c r="AD546" s="974"/>
      <c r="AE546" s="974"/>
    </row>
    <row r="547">
      <c r="A547" s="1526"/>
      <c r="B547" s="1526"/>
      <c r="C547" s="1526"/>
      <c r="D547" s="1526"/>
      <c r="E547" s="1526"/>
      <c r="F547" s="1526"/>
      <c r="G547" s="1526"/>
      <c r="H547" s="1526"/>
      <c r="I547" s="1526"/>
      <c r="J547" s="1526"/>
      <c r="K547" s="1526"/>
      <c r="L547" s="1526"/>
      <c r="M547" s="1526"/>
      <c r="N547" s="1526"/>
      <c r="O547" s="1526"/>
      <c r="P547" s="1526"/>
      <c r="Q547" s="1526"/>
      <c r="R547" s="1526"/>
      <c r="S547" s="1526"/>
      <c r="T547" s="1526"/>
      <c r="U547" s="1526"/>
      <c r="V547" s="1526"/>
      <c r="W547" s="1526"/>
      <c r="X547" s="1526"/>
      <c r="Y547" s="1526"/>
      <c r="Z547" s="974"/>
      <c r="AA547" s="974"/>
      <c r="AB547" s="974"/>
      <c r="AC547" s="974"/>
      <c r="AD547" s="974"/>
      <c r="AE547" s="974"/>
    </row>
    <row r="548">
      <c r="A548" s="1526"/>
      <c r="B548" s="1526"/>
      <c r="C548" s="1526"/>
      <c r="D548" s="1526"/>
      <c r="E548" s="1526"/>
      <c r="F548" s="1526"/>
      <c r="G548" s="1526"/>
      <c r="H548" s="1526"/>
      <c r="I548" s="1526"/>
      <c r="J548" s="1526"/>
      <c r="K548" s="1526"/>
      <c r="L548" s="1526"/>
      <c r="M548" s="1526"/>
      <c r="N548" s="1526"/>
      <c r="O548" s="1526"/>
      <c r="P548" s="1526"/>
      <c r="Q548" s="1526"/>
      <c r="R548" s="1526"/>
      <c r="S548" s="1526"/>
      <c r="T548" s="1526"/>
      <c r="U548" s="1526"/>
      <c r="V548" s="1526"/>
      <c r="W548" s="1526"/>
      <c r="X548" s="1526"/>
      <c r="Y548" s="1526"/>
      <c r="Z548" s="974"/>
      <c r="AA548" s="974"/>
      <c r="AB548" s="974"/>
      <c r="AC548" s="974"/>
      <c r="AD548" s="974"/>
      <c r="AE548" s="974"/>
    </row>
    <row r="549">
      <c r="A549" s="1526"/>
      <c r="B549" s="1526"/>
      <c r="C549" s="1526"/>
      <c r="D549" s="1526"/>
      <c r="E549" s="1526"/>
      <c r="F549" s="1526"/>
      <c r="G549" s="1526"/>
      <c r="H549" s="1526"/>
      <c r="I549" s="1526"/>
      <c r="J549" s="1526"/>
      <c r="K549" s="1526"/>
      <c r="L549" s="1526"/>
      <c r="M549" s="1526"/>
      <c r="N549" s="1526"/>
      <c r="O549" s="1526"/>
      <c r="P549" s="1526"/>
      <c r="Q549" s="1526"/>
      <c r="R549" s="1526"/>
      <c r="S549" s="1526"/>
      <c r="T549" s="1526"/>
      <c r="U549" s="1526"/>
      <c r="V549" s="1526"/>
      <c r="W549" s="1526"/>
      <c r="X549" s="1526"/>
      <c r="Y549" s="1526"/>
      <c r="Z549" s="974"/>
      <c r="AA549" s="974"/>
      <c r="AB549" s="974"/>
      <c r="AC549" s="974"/>
      <c r="AD549" s="974"/>
      <c r="AE549" s="974"/>
    </row>
    <row r="550">
      <c r="A550" s="1526"/>
      <c r="B550" s="1526"/>
      <c r="C550" s="1526"/>
      <c r="D550" s="1526"/>
      <c r="E550" s="1526"/>
      <c r="F550" s="1526"/>
      <c r="G550" s="1526"/>
      <c r="H550" s="1526"/>
      <c r="I550" s="1526"/>
      <c r="J550" s="1526"/>
      <c r="K550" s="1526"/>
      <c r="L550" s="1526"/>
      <c r="M550" s="1526"/>
      <c r="N550" s="1526"/>
      <c r="O550" s="1526"/>
      <c r="P550" s="1526"/>
      <c r="Q550" s="1526"/>
      <c r="R550" s="1526"/>
      <c r="S550" s="1526"/>
      <c r="T550" s="1526"/>
      <c r="U550" s="1526"/>
      <c r="V550" s="1526"/>
      <c r="W550" s="1526"/>
      <c r="X550" s="1526"/>
      <c r="Y550" s="1526"/>
      <c r="Z550" s="974"/>
      <c r="AA550" s="974"/>
      <c r="AB550" s="974"/>
      <c r="AC550" s="974"/>
      <c r="AD550" s="974"/>
      <c r="AE550" s="974"/>
    </row>
    <row r="551">
      <c r="A551" s="1526"/>
      <c r="B551" s="1526"/>
      <c r="C551" s="1526"/>
      <c r="D551" s="1526"/>
      <c r="E551" s="1526"/>
      <c r="F551" s="1526"/>
      <c r="G551" s="1526"/>
      <c r="H551" s="1526"/>
      <c r="I551" s="1526"/>
      <c r="J551" s="1526"/>
      <c r="K551" s="1526"/>
      <c r="L551" s="1526"/>
      <c r="M551" s="1526"/>
      <c r="N551" s="1526"/>
      <c r="O551" s="1526"/>
      <c r="P551" s="1526"/>
      <c r="Q551" s="1526"/>
      <c r="R551" s="1526"/>
      <c r="S551" s="1526"/>
      <c r="T551" s="1526"/>
      <c r="U551" s="1526"/>
      <c r="V551" s="1526"/>
      <c r="W551" s="1526"/>
      <c r="X551" s="1526"/>
      <c r="Y551" s="1526"/>
      <c r="Z551" s="974"/>
      <c r="AA551" s="974"/>
      <c r="AB551" s="974"/>
      <c r="AC551" s="974"/>
      <c r="AD551" s="974"/>
      <c r="AE551" s="974"/>
    </row>
    <row r="552">
      <c r="A552" s="1526"/>
      <c r="B552" s="1526"/>
      <c r="C552" s="1526"/>
      <c r="D552" s="1526"/>
      <c r="E552" s="1526"/>
      <c r="F552" s="1526"/>
      <c r="G552" s="1526"/>
      <c r="H552" s="1526"/>
      <c r="I552" s="1526"/>
      <c r="J552" s="1526"/>
      <c r="K552" s="1526"/>
      <c r="L552" s="1526"/>
      <c r="M552" s="1526"/>
      <c r="N552" s="1526"/>
      <c r="O552" s="1526"/>
      <c r="P552" s="1526"/>
      <c r="Q552" s="1526"/>
      <c r="R552" s="1526"/>
      <c r="S552" s="1526"/>
      <c r="T552" s="1526"/>
      <c r="U552" s="1526"/>
      <c r="V552" s="1526"/>
      <c r="W552" s="1526"/>
      <c r="X552" s="1526"/>
      <c r="Y552" s="1526"/>
      <c r="Z552" s="974"/>
      <c r="AA552" s="974"/>
      <c r="AB552" s="974"/>
      <c r="AC552" s="974"/>
      <c r="AD552" s="974"/>
      <c r="AE552" s="974"/>
    </row>
    <row r="553">
      <c r="A553" s="1526"/>
      <c r="B553" s="1526"/>
      <c r="C553" s="1526"/>
      <c r="D553" s="1526"/>
      <c r="E553" s="1526"/>
      <c r="F553" s="1526"/>
      <c r="G553" s="1526"/>
      <c r="H553" s="1526"/>
      <c r="I553" s="1526"/>
      <c r="J553" s="1526"/>
      <c r="K553" s="1526"/>
      <c r="L553" s="1526"/>
      <c r="M553" s="1526"/>
      <c r="N553" s="1526"/>
      <c r="O553" s="1526"/>
      <c r="P553" s="1526"/>
      <c r="Q553" s="1526"/>
      <c r="R553" s="1526"/>
      <c r="S553" s="1526"/>
      <c r="T553" s="1526"/>
      <c r="U553" s="1526"/>
      <c r="V553" s="1526"/>
      <c r="W553" s="1526"/>
      <c r="X553" s="1526"/>
      <c r="Y553" s="1526"/>
      <c r="Z553" s="974"/>
      <c r="AA553" s="974"/>
      <c r="AB553" s="974"/>
      <c r="AC553" s="974"/>
      <c r="AD553" s="974"/>
      <c r="AE553" s="974"/>
    </row>
    <row r="554">
      <c r="A554" s="1526"/>
      <c r="B554" s="1526"/>
      <c r="C554" s="1526"/>
      <c r="D554" s="1526"/>
      <c r="E554" s="1526"/>
      <c r="F554" s="1526"/>
      <c r="G554" s="1526"/>
      <c r="H554" s="1526"/>
      <c r="I554" s="1526"/>
      <c r="J554" s="1526"/>
      <c r="K554" s="1526"/>
      <c r="L554" s="1526"/>
      <c r="M554" s="1526"/>
      <c r="N554" s="1526"/>
      <c r="O554" s="1526"/>
      <c r="P554" s="1526"/>
      <c r="Q554" s="1526"/>
      <c r="R554" s="1526"/>
      <c r="S554" s="1526"/>
      <c r="T554" s="1526"/>
      <c r="U554" s="1526"/>
      <c r="V554" s="1526"/>
      <c r="W554" s="1526"/>
      <c r="X554" s="1526"/>
      <c r="Y554" s="1526"/>
      <c r="Z554" s="974"/>
      <c r="AA554" s="974"/>
      <c r="AB554" s="974"/>
      <c r="AC554" s="974"/>
      <c r="AD554" s="974"/>
      <c r="AE554" s="974"/>
    </row>
    <row r="555">
      <c r="A555" s="1526"/>
      <c r="B555" s="1526"/>
      <c r="C555" s="1526"/>
      <c r="D555" s="1526"/>
      <c r="E555" s="1526"/>
      <c r="F555" s="1526"/>
      <c r="G555" s="1526"/>
      <c r="H555" s="1526"/>
      <c r="I555" s="1526"/>
      <c r="J555" s="1526"/>
      <c r="K555" s="1526"/>
      <c r="L555" s="1526"/>
      <c r="M555" s="1526"/>
      <c r="N555" s="1526"/>
      <c r="O555" s="1526"/>
      <c r="P555" s="1526"/>
      <c r="Q555" s="1526"/>
      <c r="R555" s="1526"/>
      <c r="S555" s="1526"/>
      <c r="T555" s="1526"/>
      <c r="U555" s="1526"/>
      <c r="V555" s="1526"/>
      <c r="W555" s="1526"/>
      <c r="X555" s="1526"/>
      <c r="Y555" s="1526"/>
      <c r="Z555" s="974"/>
      <c r="AA555" s="974"/>
      <c r="AB555" s="974"/>
      <c r="AC555" s="974"/>
      <c r="AD555" s="974"/>
      <c r="AE555" s="974"/>
    </row>
    <row r="556">
      <c r="A556" s="1526"/>
      <c r="B556" s="1526"/>
      <c r="C556" s="1526"/>
      <c r="D556" s="1526"/>
      <c r="E556" s="1526"/>
      <c r="F556" s="1526"/>
      <c r="G556" s="1526"/>
      <c r="H556" s="1526"/>
      <c r="I556" s="1526"/>
      <c r="J556" s="1526"/>
      <c r="K556" s="1526"/>
      <c r="L556" s="1526"/>
      <c r="M556" s="1526"/>
      <c r="N556" s="1526"/>
      <c r="O556" s="1526"/>
      <c r="P556" s="1526"/>
      <c r="Q556" s="1526"/>
      <c r="R556" s="1526"/>
      <c r="S556" s="1526"/>
      <c r="T556" s="1526"/>
      <c r="U556" s="1526"/>
      <c r="V556" s="1526"/>
      <c r="W556" s="1526"/>
      <c r="X556" s="1526"/>
      <c r="Y556" s="1526"/>
      <c r="Z556" s="974"/>
      <c r="AA556" s="974"/>
      <c r="AB556" s="974"/>
      <c r="AC556" s="974"/>
      <c r="AD556" s="974"/>
      <c r="AE556" s="974"/>
    </row>
    <row r="557">
      <c r="A557" s="1526"/>
      <c r="B557" s="1526"/>
      <c r="C557" s="1526"/>
      <c r="D557" s="1526"/>
      <c r="E557" s="1526"/>
      <c r="F557" s="1526"/>
      <c r="G557" s="1526"/>
      <c r="H557" s="1526"/>
      <c r="I557" s="1526"/>
      <c r="J557" s="1526"/>
      <c r="K557" s="1526"/>
      <c r="L557" s="1526"/>
      <c r="M557" s="1526"/>
      <c r="N557" s="1526"/>
      <c r="O557" s="1526"/>
      <c r="P557" s="1526"/>
      <c r="Q557" s="1526"/>
      <c r="R557" s="1526"/>
      <c r="S557" s="1526"/>
      <c r="T557" s="1526"/>
      <c r="U557" s="1526"/>
      <c r="V557" s="1526"/>
      <c r="W557" s="1526"/>
      <c r="X557" s="1526"/>
      <c r="Y557" s="1526"/>
      <c r="Z557" s="974"/>
      <c r="AA557" s="974"/>
      <c r="AB557" s="974"/>
      <c r="AC557" s="974"/>
      <c r="AD557" s="974"/>
      <c r="AE557" s="974"/>
    </row>
    <row r="558">
      <c r="A558" s="1526"/>
      <c r="B558" s="1526"/>
      <c r="C558" s="1526"/>
      <c r="D558" s="1526"/>
      <c r="E558" s="1526"/>
      <c r="F558" s="1526"/>
      <c r="G558" s="1526"/>
      <c r="H558" s="1526"/>
      <c r="I558" s="1526"/>
      <c r="J558" s="1526"/>
      <c r="K558" s="1526"/>
      <c r="L558" s="1526"/>
      <c r="M558" s="1526"/>
      <c r="N558" s="1526"/>
      <c r="O558" s="1526"/>
      <c r="P558" s="1526"/>
      <c r="Q558" s="1526"/>
      <c r="R558" s="1526"/>
      <c r="S558" s="1526"/>
      <c r="T558" s="1526"/>
      <c r="U558" s="1526"/>
      <c r="V558" s="1526"/>
      <c r="W558" s="1526"/>
      <c r="X558" s="1526"/>
      <c r="Y558" s="1526"/>
      <c r="Z558" s="974"/>
      <c r="AA558" s="974"/>
      <c r="AB558" s="974"/>
      <c r="AC558" s="974"/>
      <c r="AD558" s="974"/>
      <c r="AE558" s="974"/>
    </row>
    <row r="559">
      <c r="A559" s="1526"/>
      <c r="B559" s="1526"/>
      <c r="C559" s="1526"/>
      <c r="D559" s="1526"/>
      <c r="E559" s="1526"/>
      <c r="F559" s="1526"/>
      <c r="G559" s="1526"/>
      <c r="H559" s="1526"/>
      <c r="I559" s="1526"/>
      <c r="J559" s="1526"/>
      <c r="K559" s="1526"/>
      <c r="L559" s="1526"/>
      <c r="M559" s="1526"/>
      <c r="N559" s="1526"/>
      <c r="O559" s="1526"/>
      <c r="P559" s="1526"/>
      <c r="Q559" s="1526"/>
      <c r="R559" s="1526"/>
      <c r="S559" s="1526"/>
      <c r="T559" s="1526"/>
      <c r="U559" s="1526"/>
      <c r="V559" s="1526"/>
      <c r="W559" s="1526"/>
      <c r="X559" s="1526"/>
      <c r="Y559" s="1526"/>
      <c r="Z559" s="974"/>
      <c r="AA559" s="974"/>
      <c r="AB559" s="974"/>
      <c r="AC559" s="974"/>
      <c r="AD559" s="974"/>
      <c r="AE559" s="974"/>
    </row>
    <row r="560">
      <c r="A560" s="1526"/>
      <c r="B560" s="1526"/>
      <c r="C560" s="1526"/>
      <c r="D560" s="1526"/>
      <c r="E560" s="1526"/>
      <c r="F560" s="1526"/>
      <c r="G560" s="1526"/>
      <c r="H560" s="1526"/>
      <c r="I560" s="1526"/>
      <c r="J560" s="1526"/>
      <c r="K560" s="1526"/>
      <c r="L560" s="1526"/>
      <c r="M560" s="1526"/>
      <c r="N560" s="1526"/>
      <c r="O560" s="1526"/>
      <c r="P560" s="1526"/>
      <c r="Q560" s="1526"/>
      <c r="R560" s="1526"/>
      <c r="S560" s="1526"/>
      <c r="T560" s="1526"/>
      <c r="U560" s="1526"/>
      <c r="V560" s="1526"/>
      <c r="W560" s="1526"/>
      <c r="X560" s="1526"/>
      <c r="Y560" s="1526"/>
      <c r="Z560" s="974"/>
      <c r="AA560" s="974"/>
      <c r="AB560" s="974"/>
      <c r="AC560" s="974"/>
      <c r="AD560" s="974"/>
      <c r="AE560" s="974"/>
    </row>
    <row r="561">
      <c r="A561" s="1526"/>
      <c r="B561" s="1526"/>
      <c r="C561" s="1526"/>
      <c r="D561" s="1526"/>
      <c r="E561" s="1526"/>
      <c r="F561" s="1526"/>
      <c r="G561" s="1526"/>
      <c r="H561" s="1526"/>
      <c r="I561" s="1526"/>
      <c r="J561" s="1526"/>
      <c r="K561" s="1526"/>
      <c r="L561" s="1526"/>
      <c r="M561" s="1526"/>
      <c r="N561" s="1526"/>
      <c r="O561" s="1526"/>
      <c r="P561" s="1526"/>
      <c r="Q561" s="1526"/>
      <c r="R561" s="1526"/>
      <c r="S561" s="1526"/>
      <c r="T561" s="1526"/>
      <c r="U561" s="1526"/>
      <c r="V561" s="1526"/>
      <c r="W561" s="1526"/>
      <c r="X561" s="1526"/>
      <c r="Y561" s="1526"/>
      <c r="Z561" s="974"/>
      <c r="AA561" s="974"/>
      <c r="AB561" s="974"/>
      <c r="AC561" s="974"/>
      <c r="AD561" s="974"/>
      <c r="AE561" s="974"/>
    </row>
    <row r="562">
      <c r="A562" s="1526"/>
      <c r="B562" s="1526"/>
      <c r="C562" s="1526"/>
      <c r="D562" s="1526"/>
      <c r="E562" s="1526"/>
      <c r="F562" s="1526"/>
      <c r="G562" s="1526"/>
      <c r="H562" s="1526"/>
      <c r="I562" s="1526"/>
      <c r="J562" s="1526"/>
      <c r="K562" s="1526"/>
      <c r="L562" s="1526"/>
      <c r="M562" s="1526"/>
      <c r="N562" s="1526"/>
      <c r="O562" s="1526"/>
      <c r="P562" s="1526"/>
      <c r="Q562" s="1526"/>
      <c r="R562" s="1526"/>
      <c r="S562" s="1526"/>
      <c r="T562" s="1526"/>
      <c r="U562" s="1526"/>
      <c r="V562" s="1526"/>
      <c r="W562" s="1526"/>
      <c r="X562" s="1526"/>
      <c r="Y562" s="1526"/>
      <c r="Z562" s="974"/>
      <c r="AA562" s="974"/>
      <c r="AB562" s="974"/>
      <c r="AC562" s="974"/>
      <c r="AD562" s="974"/>
      <c r="AE562" s="974"/>
    </row>
    <row r="563">
      <c r="A563" s="1526"/>
      <c r="B563" s="1526"/>
      <c r="C563" s="1526"/>
      <c r="D563" s="1526"/>
      <c r="E563" s="1526"/>
      <c r="F563" s="1526"/>
      <c r="G563" s="1526"/>
      <c r="H563" s="1526"/>
      <c r="I563" s="1526"/>
      <c r="J563" s="1526"/>
      <c r="K563" s="1526"/>
      <c r="L563" s="1526"/>
      <c r="M563" s="1526"/>
      <c r="N563" s="1526"/>
      <c r="O563" s="1526"/>
      <c r="P563" s="1526"/>
      <c r="Q563" s="1526"/>
      <c r="R563" s="1526"/>
      <c r="S563" s="1526"/>
      <c r="T563" s="1526"/>
      <c r="U563" s="1526"/>
      <c r="V563" s="1526"/>
      <c r="W563" s="1526"/>
      <c r="X563" s="1526"/>
      <c r="Y563" s="1526"/>
      <c r="Z563" s="974"/>
      <c r="AA563" s="974"/>
      <c r="AB563" s="974"/>
      <c r="AC563" s="974"/>
      <c r="AD563" s="974"/>
      <c r="AE563" s="974"/>
    </row>
    <row r="564">
      <c r="A564" s="1526"/>
      <c r="B564" s="1526"/>
      <c r="C564" s="1526"/>
      <c r="D564" s="1526"/>
      <c r="E564" s="1526"/>
      <c r="F564" s="1526"/>
      <c r="G564" s="1526"/>
      <c r="H564" s="1526"/>
      <c r="I564" s="1526"/>
      <c r="J564" s="1526"/>
      <c r="K564" s="1526"/>
      <c r="L564" s="1526"/>
      <c r="M564" s="1526"/>
      <c r="N564" s="1526"/>
      <c r="O564" s="1526"/>
      <c r="P564" s="1526"/>
      <c r="Q564" s="1526"/>
      <c r="R564" s="1526"/>
      <c r="S564" s="1526"/>
      <c r="T564" s="1526"/>
      <c r="U564" s="1526"/>
      <c r="V564" s="1526"/>
      <c r="W564" s="1526"/>
      <c r="X564" s="1526"/>
      <c r="Y564" s="1526"/>
      <c r="Z564" s="974"/>
      <c r="AA564" s="974"/>
      <c r="AB564" s="974"/>
      <c r="AC564" s="974"/>
      <c r="AD564" s="974"/>
      <c r="AE564" s="974"/>
    </row>
    <row r="565">
      <c r="A565" s="1526"/>
      <c r="B565" s="1526"/>
      <c r="C565" s="1526"/>
      <c r="D565" s="1526"/>
      <c r="E565" s="1526"/>
      <c r="F565" s="1526"/>
      <c r="G565" s="1526"/>
      <c r="H565" s="1526"/>
      <c r="I565" s="1526"/>
      <c r="J565" s="1526"/>
      <c r="K565" s="1526"/>
      <c r="L565" s="1526"/>
      <c r="M565" s="1526"/>
      <c r="N565" s="1526"/>
      <c r="O565" s="1526"/>
      <c r="P565" s="1526"/>
      <c r="Q565" s="1526"/>
      <c r="R565" s="1526"/>
      <c r="S565" s="1526"/>
      <c r="T565" s="1526"/>
      <c r="U565" s="1526"/>
      <c r="V565" s="1526"/>
      <c r="W565" s="1526"/>
      <c r="X565" s="1526"/>
      <c r="Y565" s="1526"/>
      <c r="Z565" s="974"/>
      <c r="AA565" s="974"/>
      <c r="AB565" s="974"/>
      <c r="AC565" s="974"/>
      <c r="AD565" s="974"/>
      <c r="AE565" s="974"/>
    </row>
    <row r="566">
      <c r="A566" s="1526"/>
      <c r="B566" s="1526"/>
      <c r="C566" s="1526"/>
      <c r="D566" s="1526"/>
      <c r="E566" s="1526"/>
      <c r="F566" s="1526"/>
      <c r="G566" s="1526"/>
      <c r="H566" s="1526"/>
      <c r="I566" s="1526"/>
      <c r="J566" s="1526"/>
      <c r="K566" s="1526"/>
      <c r="L566" s="1526"/>
      <c r="M566" s="1526"/>
      <c r="N566" s="1526"/>
      <c r="O566" s="1526"/>
      <c r="P566" s="1526"/>
      <c r="Q566" s="1526"/>
      <c r="R566" s="1526"/>
      <c r="S566" s="1526"/>
      <c r="T566" s="1526"/>
      <c r="U566" s="1526"/>
      <c r="V566" s="1526"/>
      <c r="W566" s="1526"/>
      <c r="X566" s="1526"/>
      <c r="Y566" s="1526"/>
      <c r="Z566" s="974"/>
      <c r="AA566" s="974"/>
      <c r="AB566" s="974"/>
      <c r="AC566" s="974"/>
      <c r="AD566" s="974"/>
      <c r="AE566" s="974"/>
    </row>
    <row r="567">
      <c r="A567" s="1526"/>
      <c r="B567" s="1526"/>
      <c r="C567" s="1526"/>
      <c r="D567" s="1526"/>
      <c r="E567" s="1526"/>
      <c r="F567" s="1526"/>
      <c r="G567" s="1526"/>
      <c r="H567" s="1526"/>
      <c r="I567" s="1526"/>
      <c r="J567" s="1526"/>
      <c r="K567" s="1526"/>
      <c r="L567" s="1526"/>
      <c r="M567" s="1526"/>
      <c r="N567" s="1526"/>
      <c r="O567" s="1526"/>
      <c r="P567" s="1526"/>
      <c r="Q567" s="1526"/>
      <c r="R567" s="1526"/>
      <c r="S567" s="1526"/>
      <c r="T567" s="1526"/>
      <c r="U567" s="1526"/>
      <c r="V567" s="1526"/>
      <c r="W567" s="1526"/>
      <c r="X567" s="1526"/>
      <c r="Y567" s="1526"/>
      <c r="Z567" s="974"/>
      <c r="AA567" s="974"/>
      <c r="AB567" s="974"/>
      <c r="AC567" s="974"/>
      <c r="AD567" s="974"/>
      <c r="AE567" s="974"/>
    </row>
    <row r="568">
      <c r="A568" s="1526"/>
      <c r="B568" s="1526"/>
      <c r="C568" s="1526"/>
      <c r="D568" s="1526"/>
      <c r="E568" s="1526"/>
      <c r="F568" s="1526"/>
      <c r="G568" s="1526"/>
      <c r="H568" s="1526"/>
      <c r="I568" s="1526"/>
      <c r="J568" s="1526"/>
      <c r="K568" s="1526"/>
      <c r="L568" s="1526"/>
      <c r="M568" s="1526"/>
      <c r="N568" s="1526"/>
      <c r="O568" s="1526"/>
      <c r="P568" s="1526"/>
      <c r="Q568" s="1526"/>
      <c r="R568" s="1526"/>
      <c r="S568" s="1526"/>
      <c r="T568" s="1526"/>
      <c r="U568" s="1526"/>
      <c r="V568" s="1526"/>
      <c r="W568" s="1526"/>
      <c r="X568" s="1526"/>
      <c r="Y568" s="1526"/>
      <c r="Z568" s="974"/>
      <c r="AA568" s="974"/>
      <c r="AB568" s="974"/>
      <c r="AC568" s="974"/>
      <c r="AD568" s="974"/>
      <c r="AE568" s="974"/>
    </row>
    <row r="569">
      <c r="A569" s="1526"/>
      <c r="B569" s="1526"/>
      <c r="C569" s="1526"/>
      <c r="D569" s="1526"/>
      <c r="E569" s="1526"/>
      <c r="F569" s="1526"/>
      <c r="G569" s="1526"/>
      <c r="H569" s="1526"/>
      <c r="I569" s="1526"/>
      <c r="J569" s="1526"/>
      <c r="K569" s="1526"/>
      <c r="L569" s="1526"/>
      <c r="M569" s="1526"/>
      <c r="N569" s="1526"/>
      <c r="O569" s="1526"/>
      <c r="P569" s="1526"/>
      <c r="Q569" s="1526"/>
      <c r="R569" s="1526"/>
      <c r="S569" s="1526"/>
      <c r="T569" s="1526"/>
      <c r="U569" s="1526"/>
      <c r="V569" s="1526"/>
      <c r="W569" s="1526"/>
      <c r="X569" s="1526"/>
      <c r="Y569" s="1526"/>
      <c r="Z569" s="974"/>
      <c r="AA569" s="974"/>
      <c r="AB569" s="974"/>
      <c r="AC569" s="974"/>
      <c r="AD569" s="974"/>
      <c r="AE569" s="974"/>
    </row>
    <row r="570">
      <c r="A570" s="1526"/>
      <c r="B570" s="1526"/>
      <c r="C570" s="1526"/>
      <c r="D570" s="1526"/>
      <c r="E570" s="1526"/>
      <c r="F570" s="1526"/>
      <c r="G570" s="1526"/>
      <c r="H570" s="1526"/>
      <c r="I570" s="1526"/>
      <c r="J570" s="1526"/>
      <c r="K570" s="1526"/>
      <c r="L570" s="1526"/>
      <c r="M570" s="1526"/>
      <c r="N570" s="1526"/>
      <c r="O570" s="1526"/>
      <c r="P570" s="1526"/>
      <c r="Q570" s="1526"/>
      <c r="R570" s="1526"/>
      <c r="S570" s="1526"/>
      <c r="T570" s="1526"/>
      <c r="U570" s="1526"/>
      <c r="V570" s="1526"/>
      <c r="W570" s="1526"/>
      <c r="X570" s="1526"/>
      <c r="Y570" s="1526"/>
      <c r="Z570" s="974"/>
      <c r="AA570" s="974"/>
      <c r="AB570" s="974"/>
      <c r="AC570" s="974"/>
      <c r="AD570" s="974"/>
      <c r="AE570" s="974"/>
    </row>
    <row r="571">
      <c r="A571" s="1526"/>
      <c r="B571" s="1526"/>
      <c r="C571" s="1526"/>
      <c r="D571" s="1526"/>
      <c r="E571" s="1526"/>
      <c r="F571" s="1526"/>
      <c r="G571" s="1526"/>
      <c r="H571" s="1526"/>
      <c r="I571" s="1526"/>
      <c r="J571" s="1526"/>
      <c r="K571" s="1526"/>
      <c r="L571" s="1526"/>
      <c r="M571" s="1526"/>
      <c r="N571" s="1526"/>
      <c r="O571" s="1526"/>
      <c r="P571" s="1526"/>
      <c r="Q571" s="1526"/>
      <c r="R571" s="1526"/>
      <c r="S571" s="1526"/>
      <c r="T571" s="1526"/>
      <c r="U571" s="1526"/>
      <c r="V571" s="1526"/>
      <c r="W571" s="1526"/>
      <c r="X571" s="1526"/>
      <c r="Y571" s="1526"/>
      <c r="Z571" s="974"/>
      <c r="AA571" s="974"/>
      <c r="AB571" s="974"/>
      <c r="AC571" s="974"/>
      <c r="AD571" s="974"/>
      <c r="AE571" s="974"/>
    </row>
    <row r="572">
      <c r="A572" s="1526"/>
      <c r="B572" s="1526"/>
      <c r="C572" s="1526"/>
      <c r="D572" s="1526"/>
      <c r="E572" s="1526"/>
      <c r="F572" s="1526"/>
      <c r="G572" s="1526"/>
      <c r="H572" s="1526"/>
      <c r="I572" s="1526"/>
      <c r="J572" s="1526"/>
      <c r="K572" s="1526"/>
      <c r="L572" s="1526"/>
      <c r="M572" s="1526"/>
      <c r="N572" s="1526"/>
      <c r="O572" s="1526"/>
      <c r="P572" s="1526"/>
      <c r="Q572" s="1526"/>
      <c r="R572" s="1526"/>
      <c r="S572" s="1526"/>
      <c r="T572" s="1526"/>
      <c r="U572" s="1526"/>
      <c r="V572" s="1526"/>
      <c r="W572" s="1526"/>
      <c r="X572" s="1526"/>
      <c r="Y572" s="1526"/>
      <c r="Z572" s="974"/>
      <c r="AA572" s="974"/>
      <c r="AB572" s="974"/>
      <c r="AC572" s="974"/>
      <c r="AD572" s="974"/>
      <c r="AE572" s="974"/>
    </row>
    <row r="573">
      <c r="A573" s="1526"/>
      <c r="B573" s="1526"/>
      <c r="C573" s="1526"/>
      <c r="D573" s="1526"/>
      <c r="E573" s="1526"/>
      <c r="F573" s="1526"/>
      <c r="G573" s="1526"/>
      <c r="H573" s="1526"/>
      <c r="I573" s="1526"/>
      <c r="J573" s="1526"/>
      <c r="K573" s="1526"/>
      <c r="L573" s="1526"/>
      <c r="M573" s="1526"/>
      <c r="N573" s="1526"/>
      <c r="O573" s="1526"/>
      <c r="P573" s="1526"/>
      <c r="Q573" s="1526"/>
      <c r="R573" s="1526"/>
      <c r="S573" s="1526"/>
      <c r="T573" s="1526"/>
      <c r="U573" s="1526"/>
      <c r="V573" s="1526"/>
      <c r="W573" s="1526"/>
      <c r="X573" s="1526"/>
      <c r="Y573" s="1526"/>
      <c r="Z573" s="974"/>
      <c r="AA573" s="974"/>
      <c r="AB573" s="974"/>
      <c r="AC573" s="974"/>
      <c r="AD573" s="974"/>
      <c r="AE573" s="974"/>
    </row>
    <row r="574">
      <c r="A574" s="1526"/>
      <c r="B574" s="1526"/>
      <c r="C574" s="1526"/>
      <c r="D574" s="1526"/>
      <c r="E574" s="1526"/>
      <c r="F574" s="1526"/>
      <c r="G574" s="1526"/>
      <c r="H574" s="1526"/>
      <c r="I574" s="1526"/>
      <c r="J574" s="1526"/>
      <c r="K574" s="1526"/>
      <c r="L574" s="1526"/>
      <c r="M574" s="1526"/>
      <c r="N574" s="1526"/>
      <c r="O574" s="1526"/>
      <c r="P574" s="1526"/>
      <c r="Q574" s="1526"/>
      <c r="R574" s="1526"/>
      <c r="S574" s="1526"/>
      <c r="T574" s="1526"/>
      <c r="U574" s="1526"/>
      <c r="V574" s="1526"/>
      <c r="W574" s="1526"/>
      <c r="X574" s="1526"/>
      <c r="Y574" s="1526"/>
      <c r="Z574" s="974"/>
      <c r="AA574" s="974"/>
      <c r="AB574" s="974"/>
      <c r="AC574" s="974"/>
      <c r="AD574" s="974"/>
      <c r="AE574" s="974"/>
    </row>
    <row r="575">
      <c r="A575" s="1526"/>
      <c r="B575" s="1526"/>
      <c r="C575" s="1526"/>
      <c r="D575" s="1526"/>
      <c r="E575" s="1526"/>
      <c r="F575" s="1526"/>
      <c r="G575" s="1526"/>
      <c r="H575" s="1526"/>
      <c r="I575" s="1526"/>
      <c r="J575" s="1526"/>
      <c r="K575" s="1526"/>
      <c r="L575" s="1526"/>
      <c r="M575" s="1526"/>
      <c r="N575" s="1526"/>
      <c r="O575" s="1526"/>
      <c r="P575" s="1526"/>
      <c r="Q575" s="1526"/>
      <c r="R575" s="1526"/>
      <c r="S575" s="1526"/>
      <c r="T575" s="1526"/>
      <c r="U575" s="1526"/>
      <c r="V575" s="1526"/>
      <c r="W575" s="1526"/>
      <c r="X575" s="1526"/>
      <c r="Y575" s="1526"/>
      <c r="Z575" s="974"/>
      <c r="AA575" s="974"/>
      <c r="AB575" s="974"/>
      <c r="AC575" s="974"/>
      <c r="AD575" s="974"/>
      <c r="AE575" s="974"/>
    </row>
    <row r="576">
      <c r="A576" s="1526"/>
      <c r="B576" s="1526"/>
      <c r="C576" s="1526"/>
      <c r="D576" s="1526"/>
      <c r="E576" s="1526"/>
      <c r="F576" s="1526"/>
      <c r="G576" s="1526"/>
      <c r="H576" s="1526"/>
      <c r="I576" s="1526"/>
      <c r="J576" s="1526"/>
      <c r="K576" s="1526"/>
      <c r="L576" s="1526"/>
      <c r="M576" s="1526"/>
      <c r="N576" s="1526"/>
      <c r="O576" s="1526"/>
      <c r="P576" s="1526"/>
      <c r="Q576" s="1526"/>
      <c r="R576" s="1526"/>
      <c r="S576" s="1526"/>
      <c r="T576" s="1526"/>
      <c r="U576" s="1526"/>
      <c r="V576" s="1526"/>
      <c r="W576" s="1526"/>
      <c r="X576" s="1526"/>
      <c r="Y576" s="1526"/>
      <c r="Z576" s="974"/>
      <c r="AA576" s="974"/>
      <c r="AB576" s="974"/>
      <c r="AC576" s="974"/>
      <c r="AD576" s="974"/>
      <c r="AE576" s="974"/>
    </row>
    <row r="577">
      <c r="A577" s="1526"/>
      <c r="B577" s="1526"/>
      <c r="C577" s="1526"/>
      <c r="D577" s="1526"/>
      <c r="E577" s="1526"/>
      <c r="F577" s="1526"/>
      <c r="G577" s="1526"/>
      <c r="H577" s="1526"/>
      <c r="I577" s="1526"/>
      <c r="J577" s="1526"/>
      <c r="K577" s="1526"/>
      <c r="L577" s="1526"/>
      <c r="M577" s="1526"/>
      <c r="N577" s="1526"/>
      <c r="O577" s="1526"/>
      <c r="P577" s="1526"/>
      <c r="Q577" s="1526"/>
      <c r="R577" s="1526"/>
      <c r="S577" s="1526"/>
      <c r="T577" s="1526"/>
      <c r="U577" s="1526"/>
      <c r="V577" s="1526"/>
      <c r="W577" s="1526"/>
      <c r="X577" s="1526"/>
      <c r="Y577" s="1526"/>
      <c r="Z577" s="974"/>
      <c r="AA577" s="974"/>
      <c r="AB577" s="974"/>
      <c r="AC577" s="974"/>
      <c r="AD577" s="974"/>
      <c r="AE577" s="974"/>
    </row>
    <row r="578">
      <c r="A578" s="1526"/>
      <c r="B578" s="1526"/>
      <c r="C578" s="1526"/>
      <c r="D578" s="1526"/>
      <c r="E578" s="1526"/>
      <c r="F578" s="1526"/>
      <c r="G578" s="1526"/>
      <c r="H578" s="1526"/>
      <c r="I578" s="1526"/>
      <c r="J578" s="1526"/>
      <c r="K578" s="1526"/>
      <c r="L578" s="1526"/>
      <c r="M578" s="1526"/>
      <c r="N578" s="1526"/>
      <c r="O578" s="1526"/>
      <c r="P578" s="1526"/>
      <c r="Q578" s="1526"/>
      <c r="R578" s="1526"/>
      <c r="S578" s="1526"/>
      <c r="T578" s="1526"/>
      <c r="U578" s="1526"/>
      <c r="V578" s="1526"/>
      <c r="W578" s="1526"/>
      <c r="X578" s="1526"/>
      <c r="Y578" s="1526"/>
      <c r="Z578" s="974"/>
      <c r="AA578" s="974"/>
      <c r="AB578" s="974"/>
      <c r="AC578" s="974"/>
      <c r="AD578" s="974"/>
      <c r="AE578" s="974"/>
    </row>
    <row r="579">
      <c r="A579" s="1526"/>
      <c r="B579" s="1526"/>
      <c r="C579" s="1526"/>
      <c r="D579" s="1526"/>
      <c r="E579" s="1526"/>
      <c r="F579" s="1526"/>
      <c r="G579" s="1526"/>
      <c r="H579" s="1526"/>
      <c r="I579" s="1526"/>
      <c r="J579" s="1526"/>
      <c r="K579" s="1526"/>
      <c r="L579" s="1526"/>
      <c r="M579" s="1526"/>
      <c r="N579" s="1526"/>
      <c r="O579" s="1526"/>
      <c r="P579" s="1526"/>
      <c r="Q579" s="1526"/>
      <c r="R579" s="1526"/>
      <c r="S579" s="1526"/>
      <c r="T579" s="1526"/>
      <c r="U579" s="1526"/>
      <c r="V579" s="1526"/>
      <c r="W579" s="1526"/>
      <c r="X579" s="1526"/>
      <c r="Y579" s="1526"/>
      <c r="Z579" s="974"/>
      <c r="AA579" s="974"/>
      <c r="AB579" s="974"/>
      <c r="AC579" s="974"/>
      <c r="AD579" s="974"/>
      <c r="AE579" s="974"/>
    </row>
    <row r="580">
      <c r="A580" s="1526"/>
      <c r="B580" s="1526"/>
      <c r="C580" s="1526"/>
      <c r="D580" s="1526"/>
      <c r="E580" s="1526"/>
      <c r="F580" s="1526"/>
      <c r="G580" s="1526"/>
      <c r="H580" s="1526"/>
      <c r="I580" s="1526"/>
      <c r="J580" s="1526"/>
      <c r="K580" s="1526"/>
      <c r="L580" s="1526"/>
      <c r="M580" s="1526"/>
      <c r="N580" s="1526"/>
      <c r="O580" s="1526"/>
      <c r="P580" s="1526"/>
      <c r="Q580" s="1526"/>
      <c r="R580" s="1526"/>
      <c r="S580" s="1526"/>
      <c r="T580" s="1526"/>
      <c r="U580" s="1526"/>
      <c r="V580" s="1526"/>
      <c r="W580" s="1526"/>
      <c r="X580" s="1526"/>
      <c r="Y580" s="1526"/>
      <c r="Z580" s="974"/>
      <c r="AA580" s="974"/>
      <c r="AB580" s="974"/>
      <c r="AC580" s="974"/>
      <c r="AD580" s="974"/>
      <c r="AE580" s="974"/>
    </row>
    <row r="581">
      <c r="A581" s="1526"/>
      <c r="B581" s="1526"/>
      <c r="C581" s="1526"/>
      <c r="D581" s="1526"/>
      <c r="E581" s="1526"/>
      <c r="F581" s="1526"/>
      <c r="G581" s="1526"/>
      <c r="H581" s="1526"/>
      <c r="I581" s="1526"/>
      <c r="J581" s="1526"/>
      <c r="K581" s="1526"/>
      <c r="L581" s="1526"/>
      <c r="M581" s="1526"/>
      <c r="N581" s="1526"/>
      <c r="O581" s="1526"/>
      <c r="P581" s="1526"/>
      <c r="Q581" s="1526"/>
      <c r="R581" s="1526"/>
      <c r="S581" s="1526"/>
      <c r="T581" s="1526"/>
      <c r="U581" s="1526"/>
      <c r="V581" s="1526"/>
      <c r="W581" s="1526"/>
      <c r="X581" s="1526"/>
      <c r="Y581" s="1526"/>
      <c r="Z581" s="974"/>
      <c r="AA581" s="974"/>
      <c r="AB581" s="974"/>
      <c r="AC581" s="974"/>
      <c r="AD581" s="974"/>
      <c r="AE581" s="974"/>
    </row>
    <row r="582">
      <c r="A582" s="1526"/>
      <c r="B582" s="1526"/>
      <c r="C582" s="1526"/>
      <c r="D582" s="1526"/>
      <c r="E582" s="1526"/>
      <c r="F582" s="1526"/>
      <c r="G582" s="1526"/>
      <c r="H582" s="1526"/>
      <c r="I582" s="1526"/>
      <c r="J582" s="1526"/>
      <c r="K582" s="1526"/>
      <c r="L582" s="1526"/>
      <c r="M582" s="1526"/>
      <c r="N582" s="1526"/>
      <c r="O582" s="1526"/>
      <c r="P582" s="1526"/>
      <c r="Q582" s="1526"/>
      <c r="R582" s="1526"/>
      <c r="S582" s="1526"/>
      <c r="T582" s="1526"/>
      <c r="U582" s="1526"/>
      <c r="V582" s="1526"/>
      <c r="W582" s="1526"/>
      <c r="X582" s="1526"/>
      <c r="Y582" s="1526"/>
      <c r="Z582" s="974"/>
      <c r="AA582" s="974"/>
      <c r="AB582" s="974"/>
      <c r="AC582" s="974"/>
      <c r="AD582" s="974"/>
      <c r="AE582" s="974"/>
    </row>
    <row r="583">
      <c r="A583" s="1526"/>
      <c r="B583" s="1526"/>
      <c r="C583" s="1526"/>
      <c r="D583" s="1526"/>
      <c r="E583" s="1526"/>
      <c r="F583" s="1526"/>
      <c r="G583" s="1526"/>
      <c r="H583" s="1526"/>
      <c r="I583" s="1526"/>
      <c r="J583" s="1526"/>
      <c r="K583" s="1526"/>
      <c r="L583" s="1526"/>
      <c r="M583" s="1526"/>
      <c r="N583" s="1526"/>
      <c r="O583" s="1526"/>
      <c r="P583" s="1526"/>
      <c r="Q583" s="1526"/>
      <c r="R583" s="1526"/>
      <c r="S583" s="1526"/>
      <c r="T583" s="1526"/>
      <c r="U583" s="1526"/>
      <c r="V583" s="1526"/>
      <c r="W583" s="1526"/>
      <c r="X583" s="1526"/>
      <c r="Y583" s="1526"/>
      <c r="Z583" s="974"/>
      <c r="AA583" s="974"/>
      <c r="AB583" s="974"/>
      <c r="AC583" s="974"/>
      <c r="AD583" s="974"/>
      <c r="AE583" s="974"/>
    </row>
    <row r="584">
      <c r="A584" s="1526"/>
      <c r="B584" s="1526"/>
      <c r="C584" s="1526"/>
      <c r="D584" s="1526"/>
      <c r="E584" s="1526"/>
      <c r="F584" s="1526"/>
      <c r="G584" s="1526"/>
      <c r="H584" s="1526"/>
      <c r="I584" s="1526"/>
      <c r="J584" s="1526"/>
      <c r="K584" s="1526"/>
      <c r="L584" s="1526"/>
      <c r="M584" s="1526"/>
      <c r="N584" s="1526"/>
      <c r="O584" s="1526"/>
      <c r="P584" s="1526"/>
      <c r="Q584" s="1526"/>
      <c r="R584" s="1526"/>
      <c r="S584" s="1526"/>
      <c r="T584" s="1526"/>
      <c r="U584" s="1526"/>
      <c r="V584" s="1526"/>
      <c r="W584" s="1526"/>
      <c r="X584" s="1526"/>
      <c r="Y584" s="1526"/>
      <c r="Z584" s="974"/>
      <c r="AA584" s="974"/>
      <c r="AB584" s="974"/>
      <c r="AC584" s="974"/>
      <c r="AD584" s="974"/>
      <c r="AE584" s="974"/>
    </row>
    <row r="585">
      <c r="A585" s="1526"/>
      <c r="B585" s="1526"/>
      <c r="C585" s="1526"/>
      <c r="D585" s="1526"/>
      <c r="E585" s="1526"/>
      <c r="F585" s="1526"/>
      <c r="G585" s="1526"/>
      <c r="H585" s="1526"/>
      <c r="I585" s="1526"/>
      <c r="J585" s="1526"/>
      <c r="K585" s="1526"/>
      <c r="L585" s="1526"/>
      <c r="M585" s="1526"/>
      <c r="N585" s="1526"/>
      <c r="O585" s="1526"/>
      <c r="P585" s="1526"/>
      <c r="Q585" s="1526"/>
      <c r="R585" s="1526"/>
      <c r="S585" s="1526"/>
      <c r="T585" s="1526"/>
      <c r="U585" s="1526"/>
      <c r="V585" s="1526"/>
      <c r="W585" s="1526"/>
      <c r="X585" s="1526"/>
      <c r="Y585" s="1526"/>
      <c r="Z585" s="974"/>
      <c r="AA585" s="974"/>
      <c r="AB585" s="974"/>
      <c r="AC585" s="974"/>
      <c r="AD585" s="974"/>
      <c r="AE585" s="974"/>
    </row>
    <row r="586">
      <c r="A586" s="1526"/>
      <c r="B586" s="1526"/>
      <c r="C586" s="1526"/>
      <c r="D586" s="1526"/>
      <c r="E586" s="1526"/>
      <c r="F586" s="1526"/>
      <c r="G586" s="1526"/>
      <c r="H586" s="1526"/>
      <c r="I586" s="1526"/>
      <c r="J586" s="1526"/>
      <c r="K586" s="1526"/>
      <c r="L586" s="1526"/>
      <c r="M586" s="1526"/>
      <c r="N586" s="1526"/>
      <c r="O586" s="1526"/>
      <c r="P586" s="1526"/>
      <c r="Q586" s="1526"/>
      <c r="R586" s="1526"/>
      <c r="S586" s="1526"/>
      <c r="T586" s="1526"/>
      <c r="U586" s="1526"/>
      <c r="V586" s="1526"/>
      <c r="W586" s="1526"/>
      <c r="X586" s="1526"/>
      <c r="Y586" s="1526"/>
      <c r="Z586" s="974"/>
      <c r="AA586" s="974"/>
      <c r="AB586" s="974"/>
      <c r="AC586" s="974"/>
      <c r="AD586" s="974"/>
      <c r="AE586" s="974"/>
    </row>
    <row r="587">
      <c r="A587" s="1526"/>
      <c r="B587" s="1526"/>
      <c r="C587" s="1526"/>
      <c r="D587" s="1526"/>
      <c r="E587" s="1526"/>
      <c r="F587" s="1526"/>
      <c r="G587" s="1526"/>
      <c r="H587" s="1526"/>
      <c r="I587" s="1526"/>
      <c r="J587" s="1526"/>
      <c r="K587" s="1526"/>
      <c r="L587" s="1526"/>
      <c r="M587" s="1526"/>
      <c r="N587" s="1526"/>
      <c r="O587" s="1526"/>
      <c r="P587" s="1526"/>
      <c r="Q587" s="1526"/>
      <c r="R587" s="1526"/>
      <c r="S587" s="1526"/>
      <c r="T587" s="1526"/>
      <c r="U587" s="1526"/>
      <c r="V587" s="1526"/>
      <c r="W587" s="1526"/>
      <c r="X587" s="1526"/>
      <c r="Y587" s="1526"/>
      <c r="Z587" s="974"/>
      <c r="AA587" s="974"/>
      <c r="AB587" s="974"/>
      <c r="AC587" s="974"/>
      <c r="AD587" s="974"/>
      <c r="AE587" s="974"/>
    </row>
    <row r="588">
      <c r="A588" s="1526"/>
      <c r="B588" s="1526"/>
      <c r="C588" s="1526"/>
      <c r="D588" s="1526"/>
      <c r="E588" s="1526"/>
      <c r="F588" s="1526"/>
      <c r="G588" s="1526"/>
      <c r="H588" s="1526"/>
      <c r="I588" s="1526"/>
      <c r="J588" s="1526"/>
      <c r="K588" s="1526"/>
      <c r="L588" s="1526"/>
      <c r="M588" s="1526"/>
      <c r="N588" s="1526"/>
      <c r="O588" s="1526"/>
      <c r="P588" s="1526"/>
      <c r="Q588" s="1526"/>
      <c r="R588" s="1526"/>
      <c r="S588" s="1526"/>
      <c r="T588" s="1526"/>
      <c r="U588" s="1526"/>
      <c r="V588" s="1526"/>
      <c r="W588" s="1526"/>
      <c r="X588" s="1526"/>
      <c r="Y588" s="1526"/>
      <c r="Z588" s="974"/>
      <c r="AA588" s="974"/>
      <c r="AB588" s="974"/>
      <c r="AC588" s="974"/>
      <c r="AD588" s="974"/>
      <c r="AE588" s="974"/>
    </row>
    <row r="589">
      <c r="A589" s="1526"/>
      <c r="B589" s="1526"/>
      <c r="C589" s="1526"/>
      <c r="D589" s="1526"/>
      <c r="E589" s="1526"/>
      <c r="F589" s="1526"/>
      <c r="G589" s="1526"/>
      <c r="H589" s="1526"/>
      <c r="I589" s="1526"/>
      <c r="J589" s="1526"/>
      <c r="K589" s="1526"/>
      <c r="L589" s="1526"/>
      <c r="M589" s="1526"/>
      <c r="N589" s="1526"/>
      <c r="O589" s="1526"/>
      <c r="P589" s="1526"/>
      <c r="Q589" s="1526"/>
      <c r="R589" s="1526"/>
      <c r="S589" s="1526"/>
      <c r="T589" s="1526"/>
      <c r="U589" s="1526"/>
      <c r="V589" s="1526"/>
      <c r="W589" s="1526"/>
      <c r="X589" s="1526"/>
      <c r="Y589" s="1526"/>
      <c r="Z589" s="974"/>
      <c r="AA589" s="974"/>
      <c r="AB589" s="974"/>
      <c r="AC589" s="974"/>
      <c r="AD589" s="974"/>
      <c r="AE589" s="974"/>
    </row>
    <row r="590">
      <c r="A590" s="1526"/>
      <c r="B590" s="1526"/>
      <c r="C590" s="1526"/>
      <c r="D590" s="1526"/>
      <c r="E590" s="1526"/>
      <c r="F590" s="1526"/>
      <c r="G590" s="1526"/>
      <c r="H590" s="1526"/>
      <c r="I590" s="1526"/>
      <c r="J590" s="1526"/>
      <c r="K590" s="1526"/>
      <c r="L590" s="1526"/>
      <c r="M590" s="1526"/>
      <c r="N590" s="1526"/>
      <c r="O590" s="1526"/>
      <c r="P590" s="1526"/>
      <c r="Q590" s="1526"/>
      <c r="R590" s="1526"/>
      <c r="S590" s="1526"/>
      <c r="T590" s="1526"/>
      <c r="U590" s="1526"/>
      <c r="V590" s="1526"/>
      <c r="W590" s="1526"/>
      <c r="X590" s="1526"/>
      <c r="Y590" s="1526"/>
      <c r="Z590" s="974"/>
      <c r="AA590" s="974"/>
      <c r="AB590" s="974"/>
      <c r="AC590" s="974"/>
      <c r="AD590" s="974"/>
      <c r="AE590" s="974"/>
    </row>
    <row r="591">
      <c r="A591" s="1526"/>
      <c r="B591" s="1526"/>
      <c r="C591" s="1526"/>
      <c r="D591" s="1526"/>
      <c r="E591" s="1526"/>
      <c r="F591" s="1526"/>
      <c r="G591" s="1526"/>
      <c r="H591" s="1526"/>
      <c r="I591" s="1526"/>
      <c r="J591" s="1526"/>
      <c r="K591" s="1526"/>
      <c r="L591" s="1526"/>
      <c r="M591" s="1526"/>
      <c r="N591" s="1526"/>
      <c r="O591" s="1526"/>
      <c r="P591" s="1526"/>
      <c r="Q591" s="1526"/>
      <c r="R591" s="1526"/>
      <c r="S591" s="1526"/>
      <c r="T591" s="1526"/>
      <c r="U591" s="1526"/>
      <c r="V591" s="1526"/>
      <c r="W591" s="1526"/>
      <c r="X591" s="1526"/>
      <c r="Y591" s="1526"/>
      <c r="Z591" s="974"/>
      <c r="AA591" s="974"/>
      <c r="AB591" s="974"/>
      <c r="AC591" s="974"/>
      <c r="AD591" s="974"/>
      <c r="AE591" s="974"/>
    </row>
    <row r="592">
      <c r="A592" s="1526"/>
      <c r="B592" s="1526"/>
      <c r="C592" s="1526"/>
      <c r="D592" s="1526"/>
      <c r="E592" s="1526"/>
      <c r="F592" s="1526"/>
      <c r="G592" s="1526"/>
      <c r="H592" s="1526"/>
      <c r="I592" s="1526"/>
      <c r="J592" s="1526"/>
      <c r="K592" s="1526"/>
      <c r="L592" s="1526"/>
      <c r="M592" s="1526"/>
      <c r="N592" s="1526"/>
      <c r="O592" s="1526"/>
      <c r="P592" s="1526"/>
      <c r="Q592" s="1526"/>
      <c r="R592" s="1526"/>
      <c r="S592" s="1526"/>
      <c r="T592" s="1526"/>
      <c r="U592" s="1526"/>
      <c r="V592" s="1526"/>
      <c r="W592" s="1526"/>
      <c r="X592" s="1526"/>
      <c r="Y592" s="1526"/>
      <c r="Z592" s="974"/>
      <c r="AA592" s="974"/>
      <c r="AB592" s="974"/>
      <c r="AC592" s="974"/>
      <c r="AD592" s="974"/>
      <c r="AE592" s="974"/>
    </row>
    <row r="593">
      <c r="A593" s="1526"/>
      <c r="B593" s="1526"/>
      <c r="C593" s="1526"/>
      <c r="D593" s="1526"/>
      <c r="E593" s="1526"/>
      <c r="F593" s="1526"/>
      <c r="G593" s="1526"/>
      <c r="H593" s="1526"/>
      <c r="I593" s="1526"/>
      <c r="J593" s="1526"/>
      <c r="K593" s="1526"/>
      <c r="L593" s="1526"/>
      <c r="M593" s="1526"/>
      <c r="N593" s="1526"/>
      <c r="O593" s="1526"/>
      <c r="P593" s="1526"/>
      <c r="Q593" s="1526"/>
      <c r="R593" s="1526"/>
      <c r="S593" s="1526"/>
      <c r="T593" s="1526"/>
      <c r="U593" s="1526"/>
      <c r="V593" s="1526"/>
      <c r="W593" s="1526"/>
      <c r="X593" s="1526"/>
      <c r="Y593" s="1526"/>
      <c r="Z593" s="974"/>
      <c r="AA593" s="974"/>
      <c r="AB593" s="974"/>
      <c r="AC593" s="974"/>
      <c r="AD593" s="974"/>
      <c r="AE593" s="974"/>
    </row>
    <row r="594">
      <c r="A594" s="1526"/>
      <c r="B594" s="1526"/>
      <c r="C594" s="1526"/>
      <c r="D594" s="1526"/>
      <c r="E594" s="1526"/>
      <c r="F594" s="1526"/>
      <c r="G594" s="1526"/>
      <c r="H594" s="1526"/>
      <c r="I594" s="1526"/>
      <c r="J594" s="1526"/>
      <c r="K594" s="1526"/>
      <c r="L594" s="1526"/>
      <c r="M594" s="1526"/>
      <c r="N594" s="1526"/>
      <c r="O594" s="1526"/>
      <c r="P594" s="1526"/>
      <c r="Q594" s="1526"/>
      <c r="R594" s="1526"/>
      <c r="S594" s="1526"/>
      <c r="T594" s="1526"/>
      <c r="U594" s="1526"/>
      <c r="V594" s="1526"/>
      <c r="W594" s="1526"/>
      <c r="X594" s="1526"/>
      <c r="Y594" s="1526"/>
      <c r="Z594" s="974"/>
      <c r="AA594" s="974"/>
      <c r="AB594" s="974"/>
      <c r="AC594" s="974"/>
      <c r="AD594" s="974"/>
      <c r="AE594" s="974"/>
    </row>
    <row r="595">
      <c r="A595" s="1526"/>
      <c r="B595" s="1526"/>
      <c r="C595" s="1526"/>
      <c r="D595" s="1526"/>
      <c r="E595" s="1526"/>
      <c r="F595" s="1526"/>
      <c r="G595" s="1526"/>
      <c r="H595" s="1526"/>
      <c r="I595" s="1526"/>
      <c r="J595" s="1526"/>
      <c r="K595" s="1526"/>
      <c r="L595" s="1526"/>
      <c r="M595" s="1526"/>
      <c r="N595" s="1526"/>
      <c r="O595" s="1526"/>
      <c r="P595" s="1526"/>
      <c r="Q595" s="1526"/>
      <c r="R595" s="1526"/>
      <c r="S595" s="1526"/>
      <c r="T595" s="1526"/>
      <c r="U595" s="1526"/>
      <c r="V595" s="1526"/>
      <c r="W595" s="1526"/>
      <c r="X595" s="1526"/>
      <c r="Y595" s="1526"/>
      <c r="Z595" s="974"/>
      <c r="AA595" s="974"/>
      <c r="AB595" s="974"/>
      <c r="AC595" s="974"/>
      <c r="AD595" s="974"/>
      <c r="AE595" s="974"/>
    </row>
    <row r="596">
      <c r="A596" s="1526"/>
      <c r="B596" s="1526"/>
      <c r="C596" s="1526"/>
      <c r="D596" s="1526"/>
      <c r="E596" s="1526"/>
      <c r="F596" s="1526"/>
      <c r="G596" s="1526"/>
      <c r="H596" s="1526"/>
      <c r="I596" s="1526"/>
      <c r="J596" s="1526"/>
      <c r="K596" s="1526"/>
      <c r="L596" s="1526"/>
      <c r="M596" s="1526"/>
      <c r="N596" s="1526"/>
      <c r="O596" s="1526"/>
      <c r="P596" s="1526"/>
      <c r="Q596" s="1526"/>
      <c r="R596" s="1526"/>
      <c r="S596" s="1526"/>
      <c r="T596" s="1526"/>
      <c r="U596" s="1526"/>
      <c r="V596" s="1526"/>
      <c r="W596" s="1526"/>
      <c r="X596" s="1526"/>
      <c r="Y596" s="1526"/>
      <c r="Z596" s="974"/>
      <c r="AA596" s="974"/>
      <c r="AB596" s="974"/>
      <c r="AC596" s="974"/>
      <c r="AD596" s="974"/>
      <c r="AE596" s="974"/>
    </row>
    <row r="597">
      <c r="A597" s="1526"/>
      <c r="B597" s="1526"/>
      <c r="C597" s="1526"/>
      <c r="D597" s="1526"/>
      <c r="E597" s="1526"/>
      <c r="F597" s="1526"/>
      <c r="G597" s="1526"/>
      <c r="H597" s="1526"/>
      <c r="I597" s="1526"/>
      <c r="J597" s="1526"/>
      <c r="K597" s="1526"/>
      <c r="L597" s="1526"/>
      <c r="M597" s="1526"/>
      <c r="N597" s="1526"/>
      <c r="O597" s="1526"/>
      <c r="P597" s="1526"/>
      <c r="Q597" s="1526"/>
      <c r="R597" s="1526"/>
      <c r="S597" s="1526"/>
      <c r="T597" s="1526"/>
      <c r="U597" s="1526"/>
      <c r="V597" s="1526"/>
      <c r="W597" s="1526"/>
      <c r="X597" s="1526"/>
      <c r="Y597" s="1526"/>
      <c r="Z597" s="974"/>
      <c r="AA597" s="974"/>
      <c r="AB597" s="974"/>
      <c r="AC597" s="974"/>
      <c r="AD597" s="974"/>
      <c r="AE597" s="974"/>
    </row>
    <row r="598">
      <c r="A598" s="1526"/>
      <c r="B598" s="1526"/>
      <c r="C598" s="1526"/>
      <c r="D598" s="1526"/>
      <c r="E598" s="1526"/>
      <c r="F598" s="1526"/>
      <c r="G598" s="1526"/>
      <c r="H598" s="1526"/>
      <c r="I598" s="1526"/>
      <c r="J598" s="1526"/>
      <c r="K598" s="1526"/>
      <c r="L598" s="1526"/>
      <c r="M598" s="1526"/>
      <c r="N598" s="1526"/>
      <c r="O598" s="1526"/>
      <c r="P598" s="1526"/>
      <c r="Q598" s="1526"/>
      <c r="R598" s="1526"/>
      <c r="S598" s="1526"/>
      <c r="T598" s="1526"/>
      <c r="U598" s="1526"/>
      <c r="V598" s="1526"/>
      <c r="W598" s="1526"/>
      <c r="X598" s="1526"/>
      <c r="Y598" s="1526"/>
      <c r="Z598" s="974"/>
      <c r="AA598" s="974"/>
      <c r="AB598" s="974"/>
      <c r="AC598" s="974"/>
      <c r="AD598" s="974"/>
      <c r="AE598" s="974"/>
    </row>
    <row r="599">
      <c r="A599" s="1526"/>
      <c r="B599" s="1526"/>
      <c r="C599" s="1526"/>
      <c r="D599" s="1526"/>
      <c r="E599" s="1526"/>
      <c r="F599" s="1526"/>
      <c r="G599" s="1526"/>
      <c r="H599" s="1526"/>
      <c r="I599" s="1526"/>
      <c r="J599" s="1526"/>
      <c r="K599" s="1526"/>
      <c r="L599" s="1526"/>
      <c r="M599" s="1526"/>
      <c r="N599" s="1526"/>
      <c r="O599" s="1526"/>
      <c r="P599" s="1526"/>
      <c r="Q599" s="1526"/>
      <c r="R599" s="1526"/>
      <c r="S599" s="1526"/>
      <c r="T599" s="1526"/>
      <c r="U599" s="1526"/>
      <c r="V599" s="1526"/>
      <c r="W599" s="1526"/>
      <c r="X599" s="1526"/>
      <c r="Y599" s="1526"/>
      <c r="Z599" s="974"/>
      <c r="AA599" s="974"/>
      <c r="AB599" s="974"/>
      <c r="AC599" s="974"/>
      <c r="AD599" s="974"/>
      <c r="AE599" s="974"/>
    </row>
    <row r="600">
      <c r="A600" s="1526"/>
      <c r="B600" s="1526"/>
      <c r="C600" s="1526"/>
      <c r="D600" s="1526"/>
      <c r="E600" s="1526"/>
      <c r="F600" s="1526"/>
      <c r="G600" s="1526"/>
      <c r="H600" s="1526"/>
      <c r="I600" s="1526"/>
      <c r="J600" s="1526"/>
      <c r="K600" s="1526"/>
      <c r="L600" s="1526"/>
      <c r="M600" s="1526"/>
      <c r="N600" s="1526"/>
      <c r="O600" s="1526"/>
      <c r="P600" s="1526"/>
      <c r="Q600" s="1526"/>
      <c r="R600" s="1526"/>
      <c r="S600" s="1526"/>
      <c r="T600" s="1526"/>
      <c r="U600" s="1526"/>
      <c r="V600" s="1526"/>
      <c r="W600" s="1526"/>
      <c r="X600" s="1526"/>
      <c r="Y600" s="1526"/>
      <c r="Z600" s="974"/>
      <c r="AA600" s="974"/>
      <c r="AB600" s="974"/>
      <c r="AC600" s="974"/>
      <c r="AD600" s="974"/>
      <c r="AE600" s="974"/>
    </row>
    <row r="601">
      <c r="A601" s="1526"/>
      <c r="B601" s="1526"/>
      <c r="C601" s="1526"/>
      <c r="D601" s="1526"/>
      <c r="E601" s="1526"/>
      <c r="F601" s="1526"/>
      <c r="G601" s="1526"/>
      <c r="H601" s="1526"/>
      <c r="I601" s="1526"/>
      <c r="J601" s="1526"/>
      <c r="K601" s="1526"/>
      <c r="L601" s="1526"/>
      <c r="M601" s="1526"/>
      <c r="N601" s="1526"/>
      <c r="O601" s="1526"/>
      <c r="P601" s="1526"/>
      <c r="Q601" s="1526"/>
      <c r="R601" s="1526"/>
      <c r="S601" s="1526"/>
      <c r="T601" s="1526"/>
      <c r="U601" s="1526"/>
      <c r="V601" s="1526"/>
      <c r="W601" s="1526"/>
      <c r="X601" s="1526"/>
      <c r="Y601" s="1526"/>
      <c r="Z601" s="974"/>
      <c r="AA601" s="974"/>
      <c r="AB601" s="974"/>
      <c r="AC601" s="974"/>
      <c r="AD601" s="974"/>
      <c r="AE601" s="974"/>
    </row>
    <row r="602">
      <c r="A602" s="1526"/>
      <c r="B602" s="1526"/>
      <c r="C602" s="1526"/>
      <c r="D602" s="1526"/>
      <c r="E602" s="1526"/>
      <c r="F602" s="1526"/>
      <c r="G602" s="1526"/>
      <c r="H602" s="1526"/>
      <c r="I602" s="1526"/>
      <c r="J602" s="1526"/>
      <c r="K602" s="1526"/>
      <c r="L602" s="1526"/>
      <c r="M602" s="1526"/>
      <c r="N602" s="1526"/>
      <c r="O602" s="1526"/>
      <c r="P602" s="1526"/>
      <c r="Q602" s="1526"/>
      <c r="R602" s="1526"/>
      <c r="S602" s="1526"/>
      <c r="T602" s="1526"/>
      <c r="U602" s="1526"/>
      <c r="V602" s="1526"/>
      <c r="W602" s="1526"/>
      <c r="X602" s="1526"/>
      <c r="Y602" s="1526"/>
      <c r="Z602" s="974"/>
      <c r="AA602" s="974"/>
      <c r="AB602" s="974"/>
      <c r="AC602" s="974"/>
      <c r="AD602" s="974"/>
      <c r="AE602" s="974"/>
    </row>
    <row r="603">
      <c r="A603" s="1526"/>
      <c r="B603" s="1526"/>
      <c r="C603" s="1526"/>
      <c r="D603" s="1526"/>
      <c r="E603" s="1526"/>
      <c r="F603" s="1526"/>
      <c r="G603" s="1526"/>
      <c r="H603" s="1526"/>
      <c r="I603" s="1526"/>
      <c r="J603" s="1526"/>
      <c r="K603" s="1526"/>
      <c r="L603" s="1526"/>
      <c r="M603" s="1526"/>
      <c r="N603" s="1526"/>
      <c r="O603" s="1526"/>
      <c r="P603" s="1526"/>
      <c r="Q603" s="1526"/>
      <c r="R603" s="1526"/>
      <c r="S603" s="1526"/>
      <c r="T603" s="1526"/>
      <c r="U603" s="1526"/>
      <c r="V603" s="1526"/>
      <c r="W603" s="1526"/>
      <c r="X603" s="1526"/>
      <c r="Y603" s="1526"/>
      <c r="Z603" s="974"/>
      <c r="AA603" s="974"/>
      <c r="AB603" s="974"/>
      <c r="AC603" s="974"/>
      <c r="AD603" s="974"/>
      <c r="AE603" s="974"/>
    </row>
    <row r="604">
      <c r="A604" s="1526"/>
      <c r="B604" s="1526"/>
      <c r="C604" s="1526"/>
      <c r="D604" s="1526"/>
      <c r="E604" s="1526"/>
      <c r="F604" s="1526"/>
      <c r="G604" s="1526"/>
      <c r="H604" s="1526"/>
      <c r="I604" s="1526"/>
      <c r="J604" s="1526"/>
      <c r="K604" s="1526"/>
      <c r="L604" s="1526"/>
      <c r="M604" s="1526"/>
      <c r="N604" s="1526"/>
      <c r="O604" s="1526"/>
      <c r="P604" s="1526"/>
      <c r="Q604" s="1526"/>
      <c r="R604" s="1526"/>
      <c r="S604" s="1526"/>
      <c r="T604" s="1526"/>
      <c r="U604" s="1526"/>
      <c r="V604" s="1526"/>
      <c r="W604" s="1526"/>
      <c r="X604" s="1526"/>
      <c r="Y604" s="1526"/>
      <c r="Z604" s="974"/>
      <c r="AA604" s="974"/>
      <c r="AB604" s="974"/>
      <c r="AC604" s="974"/>
      <c r="AD604" s="974"/>
      <c r="AE604" s="974"/>
    </row>
    <row r="605">
      <c r="A605" s="1526"/>
      <c r="B605" s="1526"/>
      <c r="C605" s="1526"/>
      <c r="D605" s="1526"/>
      <c r="E605" s="1526"/>
      <c r="F605" s="1526"/>
      <c r="G605" s="1526"/>
      <c r="H605" s="1526"/>
      <c r="I605" s="1526"/>
      <c r="J605" s="1526"/>
      <c r="K605" s="1526"/>
      <c r="L605" s="1526"/>
      <c r="M605" s="1526"/>
      <c r="N605" s="1526"/>
      <c r="O605" s="1526"/>
      <c r="P605" s="1526"/>
      <c r="Q605" s="1526"/>
      <c r="R605" s="1526"/>
      <c r="S605" s="1526"/>
      <c r="T605" s="1526"/>
      <c r="U605" s="1526"/>
      <c r="V605" s="1526"/>
      <c r="W605" s="1526"/>
      <c r="X605" s="1526"/>
      <c r="Y605" s="1526"/>
      <c r="Z605" s="974"/>
      <c r="AA605" s="974"/>
      <c r="AB605" s="974"/>
      <c r="AC605" s="974"/>
      <c r="AD605" s="974"/>
      <c r="AE605" s="974"/>
    </row>
    <row r="606">
      <c r="A606" s="1526"/>
      <c r="B606" s="1526"/>
      <c r="C606" s="1526"/>
      <c r="D606" s="1526"/>
      <c r="E606" s="1526"/>
      <c r="F606" s="1526"/>
      <c r="G606" s="1526"/>
      <c r="H606" s="1526"/>
      <c r="I606" s="1526"/>
      <c r="J606" s="1526"/>
      <c r="K606" s="1526"/>
      <c r="L606" s="1526"/>
      <c r="M606" s="1526"/>
      <c r="N606" s="1526"/>
      <c r="O606" s="1526"/>
      <c r="P606" s="1526"/>
      <c r="Q606" s="1526"/>
      <c r="R606" s="1526"/>
      <c r="S606" s="1526"/>
      <c r="T606" s="1526"/>
      <c r="U606" s="1526"/>
      <c r="V606" s="1526"/>
      <c r="W606" s="1526"/>
      <c r="X606" s="1526"/>
      <c r="Y606" s="1526"/>
      <c r="Z606" s="974"/>
      <c r="AA606" s="974"/>
      <c r="AB606" s="974"/>
      <c r="AC606" s="974"/>
      <c r="AD606" s="974"/>
      <c r="AE606" s="974"/>
    </row>
    <row r="607">
      <c r="A607" s="1526"/>
      <c r="B607" s="1526"/>
      <c r="C607" s="1526"/>
      <c r="D607" s="1526"/>
      <c r="E607" s="1526"/>
      <c r="F607" s="1526"/>
      <c r="G607" s="1526"/>
      <c r="H607" s="1526"/>
      <c r="I607" s="1526"/>
      <c r="J607" s="1526"/>
      <c r="K607" s="1526"/>
      <c r="L607" s="1526"/>
      <c r="M607" s="1526"/>
      <c r="N607" s="1526"/>
      <c r="O607" s="1526"/>
      <c r="P607" s="1526"/>
      <c r="Q607" s="1526"/>
      <c r="R607" s="1526"/>
      <c r="S607" s="1526"/>
      <c r="T607" s="1526"/>
      <c r="U607" s="1526"/>
      <c r="V607" s="1526"/>
      <c r="W607" s="1526"/>
      <c r="X607" s="1526"/>
      <c r="Y607" s="1526"/>
      <c r="Z607" s="974"/>
      <c r="AA607" s="974"/>
      <c r="AB607" s="974"/>
      <c r="AC607" s="974"/>
      <c r="AD607" s="974"/>
      <c r="AE607" s="974"/>
    </row>
    <row r="608">
      <c r="A608" s="1526"/>
      <c r="B608" s="1526"/>
      <c r="C608" s="1526"/>
      <c r="D608" s="1526"/>
      <c r="E608" s="1526"/>
      <c r="F608" s="1526"/>
      <c r="G608" s="1526"/>
      <c r="H608" s="1526"/>
      <c r="I608" s="1526"/>
      <c r="J608" s="1526"/>
      <c r="K608" s="1526"/>
      <c r="L608" s="1526"/>
      <c r="M608" s="1526"/>
      <c r="N608" s="1526"/>
      <c r="O608" s="1526"/>
      <c r="P608" s="1526"/>
      <c r="Q608" s="1526"/>
      <c r="R608" s="1526"/>
      <c r="S608" s="1526"/>
      <c r="T608" s="1526"/>
      <c r="U608" s="1526"/>
      <c r="V608" s="1526"/>
      <c r="W608" s="1526"/>
      <c r="X608" s="1526"/>
      <c r="Y608" s="1526"/>
      <c r="Z608" s="974"/>
      <c r="AA608" s="974"/>
      <c r="AB608" s="974"/>
      <c r="AC608" s="974"/>
      <c r="AD608" s="974"/>
      <c r="AE608" s="974"/>
    </row>
    <row r="609">
      <c r="A609" s="1526"/>
      <c r="B609" s="1526"/>
      <c r="C609" s="1526"/>
      <c r="D609" s="1526"/>
      <c r="E609" s="1526"/>
      <c r="F609" s="1526"/>
      <c r="G609" s="1526"/>
      <c r="H609" s="1526"/>
      <c r="I609" s="1526"/>
      <c r="J609" s="1526"/>
      <c r="K609" s="1526"/>
      <c r="L609" s="1526"/>
      <c r="M609" s="1526"/>
      <c r="N609" s="1526"/>
      <c r="O609" s="1526"/>
      <c r="P609" s="1526"/>
      <c r="Q609" s="1526"/>
      <c r="R609" s="1526"/>
      <c r="S609" s="1526"/>
      <c r="T609" s="1526"/>
      <c r="U609" s="1526"/>
      <c r="V609" s="1526"/>
      <c r="W609" s="1526"/>
      <c r="X609" s="1526"/>
      <c r="Y609" s="1526"/>
      <c r="Z609" s="974"/>
      <c r="AA609" s="974"/>
      <c r="AB609" s="974"/>
      <c r="AC609" s="974"/>
      <c r="AD609" s="974"/>
      <c r="AE609" s="974"/>
    </row>
    <row r="610">
      <c r="A610" s="1526"/>
      <c r="B610" s="1526"/>
      <c r="C610" s="1526"/>
      <c r="D610" s="1526"/>
      <c r="E610" s="1526"/>
      <c r="F610" s="1526"/>
      <c r="G610" s="1526"/>
      <c r="H610" s="1526"/>
      <c r="I610" s="1526"/>
      <c r="J610" s="1526"/>
      <c r="K610" s="1526"/>
      <c r="L610" s="1526"/>
      <c r="M610" s="1526"/>
      <c r="N610" s="1526"/>
      <c r="O610" s="1526"/>
      <c r="P610" s="1526"/>
      <c r="Q610" s="1526"/>
      <c r="R610" s="1526"/>
      <c r="S610" s="1526"/>
      <c r="T610" s="1526"/>
      <c r="U610" s="1526"/>
      <c r="V610" s="1526"/>
      <c r="W610" s="1526"/>
      <c r="X610" s="1526"/>
      <c r="Y610" s="1526"/>
      <c r="Z610" s="974"/>
      <c r="AA610" s="974"/>
      <c r="AB610" s="974"/>
      <c r="AC610" s="974"/>
      <c r="AD610" s="974"/>
      <c r="AE610" s="974"/>
    </row>
    <row r="611">
      <c r="A611" s="1526"/>
      <c r="B611" s="1526"/>
      <c r="C611" s="1526"/>
      <c r="D611" s="1526"/>
      <c r="E611" s="1526"/>
      <c r="F611" s="1526"/>
      <c r="G611" s="1526"/>
      <c r="H611" s="1526"/>
      <c r="I611" s="1526"/>
      <c r="J611" s="1526"/>
      <c r="K611" s="1526"/>
      <c r="L611" s="1526"/>
      <c r="M611" s="1526"/>
      <c r="N611" s="1526"/>
      <c r="O611" s="1526"/>
      <c r="P611" s="1526"/>
      <c r="Q611" s="1526"/>
      <c r="R611" s="1526"/>
      <c r="S611" s="1526"/>
      <c r="T611" s="1526"/>
      <c r="U611" s="1526"/>
      <c r="V611" s="1526"/>
      <c r="W611" s="1526"/>
      <c r="X611" s="1526"/>
      <c r="Y611" s="1526"/>
      <c r="Z611" s="974"/>
      <c r="AA611" s="974"/>
      <c r="AB611" s="974"/>
      <c r="AC611" s="974"/>
      <c r="AD611" s="974"/>
      <c r="AE611" s="974"/>
    </row>
    <row r="612">
      <c r="A612" s="1526"/>
      <c r="B612" s="1526"/>
      <c r="C612" s="1526"/>
      <c r="D612" s="1526"/>
      <c r="E612" s="1526"/>
      <c r="F612" s="1526"/>
      <c r="G612" s="1526"/>
      <c r="H612" s="1526"/>
      <c r="I612" s="1526"/>
      <c r="J612" s="1526"/>
      <c r="K612" s="1526"/>
      <c r="L612" s="1526"/>
      <c r="M612" s="1526"/>
      <c r="N612" s="1526"/>
      <c r="O612" s="1526"/>
      <c r="P612" s="1526"/>
      <c r="Q612" s="1526"/>
      <c r="R612" s="1526"/>
      <c r="S612" s="1526"/>
      <c r="T612" s="1526"/>
      <c r="U612" s="1526"/>
      <c r="V612" s="1526"/>
      <c r="W612" s="1526"/>
      <c r="X612" s="1526"/>
      <c r="Y612" s="1526"/>
      <c r="Z612" s="974"/>
      <c r="AA612" s="974"/>
      <c r="AB612" s="974"/>
      <c r="AC612" s="974"/>
      <c r="AD612" s="974"/>
      <c r="AE612" s="974"/>
    </row>
    <row r="613">
      <c r="A613" s="1526"/>
      <c r="B613" s="1526"/>
      <c r="C613" s="1526"/>
      <c r="D613" s="1526"/>
      <c r="E613" s="1526"/>
      <c r="F613" s="1526"/>
      <c r="G613" s="1526"/>
      <c r="H613" s="1526"/>
      <c r="I613" s="1526"/>
      <c r="J613" s="1526"/>
      <c r="K613" s="1526"/>
      <c r="L613" s="1526"/>
      <c r="M613" s="1526"/>
      <c r="N613" s="1526"/>
      <c r="O613" s="1526"/>
      <c r="P613" s="1526"/>
      <c r="Q613" s="1526"/>
      <c r="R613" s="1526"/>
      <c r="S613" s="1526"/>
      <c r="T613" s="1526"/>
      <c r="U613" s="1526"/>
      <c r="V613" s="1526"/>
      <c r="W613" s="1526"/>
      <c r="X613" s="1526"/>
      <c r="Y613" s="1526"/>
      <c r="Z613" s="974"/>
      <c r="AA613" s="974"/>
      <c r="AB613" s="974"/>
      <c r="AC613" s="974"/>
      <c r="AD613" s="974"/>
      <c r="AE613" s="974"/>
    </row>
    <row r="614">
      <c r="A614" s="1526"/>
      <c r="B614" s="1526"/>
      <c r="C614" s="1526"/>
      <c r="D614" s="1526"/>
      <c r="E614" s="1526"/>
      <c r="F614" s="1526"/>
      <c r="G614" s="1526"/>
      <c r="H614" s="1526"/>
      <c r="I614" s="1526"/>
      <c r="J614" s="1526"/>
      <c r="K614" s="1526"/>
      <c r="L614" s="1526"/>
      <c r="M614" s="1526"/>
      <c r="N614" s="1526"/>
      <c r="O614" s="1526"/>
      <c r="P614" s="1526"/>
      <c r="Q614" s="1526"/>
      <c r="R614" s="1526"/>
      <c r="S614" s="1526"/>
      <c r="T614" s="1526"/>
      <c r="U614" s="1526"/>
      <c r="V614" s="1526"/>
      <c r="W614" s="1526"/>
      <c r="X614" s="1526"/>
      <c r="Y614" s="1526"/>
      <c r="Z614" s="974"/>
      <c r="AA614" s="974"/>
      <c r="AB614" s="974"/>
      <c r="AC614" s="974"/>
      <c r="AD614" s="974"/>
      <c r="AE614" s="974"/>
    </row>
    <row r="615">
      <c r="A615" s="1526"/>
      <c r="B615" s="1526"/>
      <c r="C615" s="1526"/>
      <c r="D615" s="1526"/>
      <c r="E615" s="1526"/>
      <c r="F615" s="1526"/>
      <c r="G615" s="1526"/>
      <c r="H615" s="1526"/>
      <c r="I615" s="1526"/>
      <c r="J615" s="1526"/>
      <c r="K615" s="1526"/>
      <c r="L615" s="1526"/>
      <c r="M615" s="1526"/>
      <c r="N615" s="1526"/>
      <c r="O615" s="1526"/>
      <c r="P615" s="1526"/>
      <c r="Q615" s="1526"/>
      <c r="R615" s="1526"/>
      <c r="S615" s="1526"/>
      <c r="T615" s="1526"/>
      <c r="U615" s="1526"/>
      <c r="V615" s="1526"/>
      <c r="W615" s="1526"/>
      <c r="X615" s="1526"/>
      <c r="Y615" s="1526"/>
      <c r="Z615" s="974"/>
      <c r="AA615" s="974"/>
      <c r="AB615" s="974"/>
      <c r="AC615" s="974"/>
      <c r="AD615" s="974"/>
      <c r="AE615" s="974"/>
    </row>
    <row r="616">
      <c r="A616" s="1526"/>
      <c r="B616" s="1526"/>
      <c r="C616" s="1526"/>
      <c r="D616" s="1526"/>
      <c r="E616" s="1526"/>
      <c r="F616" s="1526"/>
      <c r="G616" s="1526"/>
      <c r="H616" s="1526"/>
      <c r="I616" s="1526"/>
      <c r="J616" s="1526"/>
      <c r="K616" s="1526"/>
      <c r="L616" s="1526"/>
      <c r="M616" s="1526"/>
      <c r="N616" s="1526"/>
      <c r="O616" s="1526"/>
      <c r="P616" s="1526"/>
      <c r="Q616" s="1526"/>
      <c r="R616" s="1526"/>
      <c r="S616" s="1526"/>
      <c r="T616" s="1526"/>
      <c r="U616" s="1526"/>
      <c r="V616" s="1526"/>
      <c r="W616" s="1526"/>
      <c r="X616" s="1526"/>
      <c r="Y616" s="1526"/>
      <c r="Z616" s="974"/>
      <c r="AA616" s="974"/>
      <c r="AB616" s="974"/>
      <c r="AC616" s="974"/>
      <c r="AD616" s="974"/>
      <c r="AE616" s="974"/>
    </row>
    <row r="617">
      <c r="A617" s="1526"/>
      <c r="B617" s="1526"/>
      <c r="C617" s="1526"/>
      <c r="D617" s="1526"/>
      <c r="E617" s="1526"/>
      <c r="F617" s="1526"/>
      <c r="G617" s="1526"/>
      <c r="H617" s="1526"/>
      <c r="I617" s="1526"/>
      <c r="J617" s="1526"/>
      <c r="K617" s="1526"/>
      <c r="L617" s="1526"/>
      <c r="M617" s="1526"/>
      <c r="N617" s="1526"/>
      <c r="O617" s="1526"/>
      <c r="P617" s="1526"/>
      <c r="Q617" s="1526"/>
      <c r="R617" s="1526"/>
      <c r="S617" s="1526"/>
      <c r="T617" s="1526"/>
      <c r="U617" s="1526"/>
      <c r="V617" s="1526"/>
      <c r="W617" s="1526"/>
      <c r="X617" s="1526"/>
      <c r="Y617" s="1526"/>
      <c r="Z617" s="974"/>
      <c r="AA617" s="974"/>
      <c r="AB617" s="974"/>
      <c r="AC617" s="974"/>
      <c r="AD617" s="974"/>
      <c r="AE617" s="974"/>
    </row>
    <row r="618">
      <c r="A618" s="1526"/>
      <c r="B618" s="1526"/>
      <c r="C618" s="1526"/>
      <c r="D618" s="1526"/>
      <c r="E618" s="1526"/>
      <c r="F618" s="1526"/>
      <c r="G618" s="1526"/>
      <c r="H618" s="1526"/>
      <c r="I618" s="1526"/>
      <c r="J618" s="1526"/>
      <c r="K618" s="1526"/>
      <c r="L618" s="1526"/>
      <c r="M618" s="1526"/>
      <c r="N618" s="1526"/>
      <c r="O618" s="1526"/>
      <c r="P618" s="1526"/>
      <c r="Q618" s="1526"/>
      <c r="R618" s="1526"/>
      <c r="S618" s="1526"/>
      <c r="T618" s="1526"/>
      <c r="U618" s="1526"/>
      <c r="V618" s="1526"/>
      <c r="W618" s="1526"/>
      <c r="X618" s="1526"/>
      <c r="Y618" s="1526"/>
      <c r="Z618" s="974"/>
      <c r="AA618" s="974"/>
      <c r="AB618" s="974"/>
      <c r="AC618" s="974"/>
      <c r="AD618" s="974"/>
      <c r="AE618" s="974"/>
    </row>
    <row r="619">
      <c r="A619" s="1526"/>
      <c r="B619" s="1526"/>
      <c r="C619" s="1526"/>
      <c r="D619" s="1526"/>
      <c r="E619" s="1526"/>
      <c r="F619" s="1526"/>
      <c r="G619" s="1526"/>
      <c r="H619" s="1526"/>
      <c r="I619" s="1526"/>
      <c r="J619" s="1526"/>
      <c r="K619" s="1526"/>
      <c r="L619" s="1526"/>
      <c r="M619" s="1526"/>
      <c r="N619" s="1526"/>
      <c r="O619" s="1526"/>
      <c r="P619" s="1526"/>
      <c r="Q619" s="1526"/>
      <c r="R619" s="1526"/>
      <c r="S619" s="1526"/>
      <c r="T619" s="1526"/>
      <c r="U619" s="1526"/>
      <c r="V619" s="1526"/>
      <c r="W619" s="1526"/>
      <c r="X619" s="1526"/>
      <c r="Y619" s="1526"/>
      <c r="Z619" s="974"/>
      <c r="AA619" s="974"/>
      <c r="AB619" s="974"/>
      <c r="AC619" s="974"/>
      <c r="AD619" s="974"/>
      <c r="AE619" s="974"/>
    </row>
    <row r="620">
      <c r="A620" s="1526"/>
      <c r="B620" s="1526"/>
      <c r="C620" s="1526"/>
      <c r="D620" s="1526"/>
      <c r="E620" s="1526"/>
      <c r="F620" s="1526"/>
      <c r="G620" s="1526"/>
      <c r="H620" s="1526"/>
      <c r="I620" s="1526"/>
      <c r="J620" s="1526"/>
      <c r="K620" s="1526"/>
      <c r="L620" s="1526"/>
      <c r="M620" s="1526"/>
      <c r="N620" s="1526"/>
      <c r="O620" s="1526"/>
      <c r="P620" s="1526"/>
      <c r="Q620" s="1526"/>
      <c r="R620" s="1526"/>
      <c r="S620" s="1526"/>
      <c r="T620" s="1526"/>
      <c r="U620" s="1526"/>
      <c r="V620" s="1526"/>
      <c r="W620" s="1526"/>
      <c r="X620" s="1526"/>
      <c r="Y620" s="1526"/>
      <c r="Z620" s="974"/>
      <c r="AA620" s="974"/>
      <c r="AB620" s="974"/>
      <c r="AC620" s="974"/>
      <c r="AD620" s="974"/>
      <c r="AE620" s="974"/>
    </row>
    <row r="621">
      <c r="A621" s="1526"/>
      <c r="B621" s="1526"/>
      <c r="C621" s="1526"/>
      <c r="D621" s="1526"/>
      <c r="E621" s="1526"/>
      <c r="F621" s="1526"/>
      <c r="G621" s="1526"/>
      <c r="H621" s="1526"/>
      <c r="I621" s="1526"/>
      <c r="J621" s="1526"/>
      <c r="K621" s="1526"/>
      <c r="L621" s="1526"/>
      <c r="M621" s="1526"/>
      <c r="N621" s="1526"/>
      <c r="O621" s="1526"/>
      <c r="P621" s="1526"/>
      <c r="Q621" s="1526"/>
      <c r="R621" s="1526"/>
      <c r="S621" s="1526"/>
      <c r="T621" s="1526"/>
      <c r="U621" s="1526"/>
      <c r="V621" s="1526"/>
      <c r="W621" s="1526"/>
      <c r="X621" s="1526"/>
      <c r="Y621" s="1526"/>
      <c r="Z621" s="974"/>
      <c r="AA621" s="974"/>
      <c r="AB621" s="974"/>
      <c r="AC621" s="974"/>
      <c r="AD621" s="974"/>
      <c r="AE621" s="974"/>
    </row>
    <row r="622">
      <c r="A622" s="1526"/>
      <c r="B622" s="1526"/>
      <c r="C622" s="1526"/>
      <c r="D622" s="1526"/>
      <c r="E622" s="1526"/>
      <c r="F622" s="1526"/>
      <c r="G622" s="1526"/>
      <c r="H622" s="1526"/>
      <c r="I622" s="1526"/>
      <c r="J622" s="1526"/>
      <c r="K622" s="1526"/>
      <c r="L622" s="1526"/>
      <c r="M622" s="1526"/>
      <c r="N622" s="1526"/>
      <c r="O622" s="1526"/>
      <c r="P622" s="1526"/>
      <c r="Q622" s="1526"/>
      <c r="R622" s="1526"/>
      <c r="S622" s="1526"/>
      <c r="T622" s="1526"/>
      <c r="U622" s="1526"/>
      <c r="V622" s="1526"/>
      <c r="W622" s="1526"/>
      <c r="X622" s="1526"/>
      <c r="Y622" s="1526"/>
      <c r="Z622" s="974"/>
      <c r="AA622" s="974"/>
      <c r="AB622" s="974"/>
      <c r="AC622" s="974"/>
      <c r="AD622" s="974"/>
      <c r="AE622" s="974"/>
    </row>
    <row r="623">
      <c r="A623" s="1526"/>
      <c r="B623" s="1526"/>
      <c r="C623" s="1526"/>
      <c r="D623" s="1526"/>
      <c r="E623" s="1526"/>
      <c r="F623" s="1526"/>
      <c r="G623" s="1526"/>
      <c r="H623" s="1526"/>
      <c r="I623" s="1526"/>
      <c r="J623" s="1526"/>
      <c r="K623" s="1526"/>
      <c r="L623" s="1526"/>
      <c r="M623" s="1526"/>
      <c r="N623" s="1526"/>
      <c r="O623" s="1526"/>
      <c r="P623" s="1526"/>
      <c r="Q623" s="1526"/>
      <c r="R623" s="1526"/>
      <c r="S623" s="1526"/>
      <c r="T623" s="1526"/>
      <c r="U623" s="1526"/>
      <c r="V623" s="1526"/>
      <c r="W623" s="1526"/>
      <c r="X623" s="1526"/>
      <c r="Y623" s="1526"/>
      <c r="Z623" s="974"/>
      <c r="AA623" s="974"/>
      <c r="AB623" s="974"/>
      <c r="AC623" s="974"/>
      <c r="AD623" s="974"/>
      <c r="AE623" s="974"/>
    </row>
    <row r="624">
      <c r="A624" s="1526"/>
      <c r="B624" s="1526"/>
      <c r="C624" s="1526"/>
      <c r="D624" s="1526"/>
      <c r="E624" s="1526"/>
      <c r="F624" s="1526"/>
      <c r="G624" s="1526"/>
      <c r="H624" s="1526"/>
      <c r="I624" s="1526"/>
      <c r="J624" s="1526"/>
      <c r="K624" s="1526"/>
      <c r="L624" s="1526"/>
      <c r="M624" s="1526"/>
      <c r="N624" s="1526"/>
      <c r="O624" s="1526"/>
      <c r="P624" s="1526"/>
      <c r="Q624" s="1526"/>
      <c r="R624" s="1526"/>
      <c r="S624" s="1526"/>
      <c r="T624" s="1526"/>
      <c r="U624" s="1526"/>
      <c r="V624" s="1526"/>
      <c r="W624" s="1526"/>
      <c r="X624" s="1526"/>
      <c r="Y624" s="1526"/>
      <c r="Z624" s="974"/>
      <c r="AA624" s="974"/>
      <c r="AB624" s="974"/>
      <c r="AC624" s="974"/>
      <c r="AD624" s="974"/>
      <c r="AE624" s="974"/>
    </row>
    <row r="625">
      <c r="A625" s="1526"/>
      <c r="B625" s="1526"/>
      <c r="C625" s="1526"/>
      <c r="D625" s="1526"/>
      <c r="E625" s="1526"/>
      <c r="F625" s="1526"/>
      <c r="G625" s="1526"/>
      <c r="H625" s="1526"/>
      <c r="I625" s="1526"/>
      <c r="J625" s="1526"/>
      <c r="K625" s="1526"/>
      <c r="L625" s="1526"/>
      <c r="M625" s="1526"/>
      <c r="N625" s="1526"/>
      <c r="O625" s="1526"/>
      <c r="P625" s="1526"/>
      <c r="Q625" s="1526"/>
      <c r="R625" s="1526"/>
      <c r="S625" s="1526"/>
      <c r="T625" s="1526"/>
      <c r="U625" s="1526"/>
      <c r="V625" s="1526"/>
      <c r="W625" s="1526"/>
      <c r="X625" s="1526"/>
      <c r="Y625" s="1526"/>
      <c r="Z625" s="974"/>
      <c r="AA625" s="974"/>
      <c r="AB625" s="974"/>
      <c r="AC625" s="974"/>
      <c r="AD625" s="974"/>
      <c r="AE625" s="974"/>
    </row>
    <row r="626">
      <c r="A626" s="1526"/>
      <c r="B626" s="1526"/>
      <c r="C626" s="1526"/>
      <c r="D626" s="1526"/>
      <c r="E626" s="1526"/>
      <c r="F626" s="1526"/>
      <c r="G626" s="1526"/>
      <c r="H626" s="1526"/>
      <c r="I626" s="1526"/>
      <c r="J626" s="1526"/>
      <c r="K626" s="1526"/>
      <c r="L626" s="1526"/>
      <c r="M626" s="1526"/>
      <c r="N626" s="1526"/>
      <c r="O626" s="1526"/>
      <c r="P626" s="1526"/>
      <c r="Q626" s="1526"/>
      <c r="R626" s="1526"/>
      <c r="S626" s="1526"/>
      <c r="T626" s="1526"/>
      <c r="U626" s="1526"/>
      <c r="V626" s="1526"/>
      <c r="W626" s="1526"/>
      <c r="X626" s="1526"/>
      <c r="Y626" s="1526"/>
      <c r="Z626" s="974"/>
      <c r="AA626" s="974"/>
      <c r="AB626" s="974"/>
      <c r="AC626" s="974"/>
      <c r="AD626" s="974"/>
      <c r="AE626" s="974"/>
    </row>
    <row r="627">
      <c r="A627" s="1526"/>
      <c r="B627" s="1526"/>
      <c r="C627" s="1526"/>
      <c r="D627" s="1526"/>
      <c r="E627" s="1526"/>
      <c r="F627" s="1526"/>
      <c r="G627" s="1526"/>
      <c r="H627" s="1526"/>
      <c r="I627" s="1526"/>
      <c r="J627" s="1526"/>
      <c r="K627" s="1526"/>
      <c r="L627" s="1526"/>
      <c r="M627" s="1526"/>
      <c r="N627" s="1526"/>
      <c r="O627" s="1526"/>
      <c r="P627" s="1526"/>
      <c r="Q627" s="1526"/>
      <c r="R627" s="1526"/>
      <c r="S627" s="1526"/>
      <c r="T627" s="1526"/>
      <c r="U627" s="1526"/>
      <c r="V627" s="1526"/>
      <c r="W627" s="1526"/>
      <c r="X627" s="1526"/>
      <c r="Y627" s="1526"/>
      <c r="Z627" s="974"/>
      <c r="AA627" s="974"/>
      <c r="AB627" s="974"/>
      <c r="AC627" s="974"/>
      <c r="AD627" s="974"/>
      <c r="AE627" s="974"/>
    </row>
    <row r="628">
      <c r="A628" s="1526"/>
      <c r="B628" s="1526"/>
      <c r="C628" s="1526"/>
      <c r="D628" s="1526"/>
      <c r="E628" s="1526"/>
      <c r="F628" s="1526"/>
      <c r="G628" s="1526"/>
      <c r="H628" s="1526"/>
      <c r="I628" s="1526"/>
      <c r="J628" s="1526"/>
      <c r="K628" s="1526"/>
      <c r="L628" s="1526"/>
      <c r="M628" s="1526"/>
      <c r="N628" s="1526"/>
      <c r="O628" s="1526"/>
      <c r="P628" s="1526"/>
      <c r="Q628" s="1526"/>
      <c r="R628" s="1526"/>
      <c r="S628" s="1526"/>
      <c r="T628" s="1526"/>
      <c r="U628" s="1526"/>
      <c r="V628" s="1526"/>
      <c r="W628" s="1526"/>
      <c r="X628" s="1526"/>
      <c r="Y628" s="1526"/>
      <c r="Z628" s="974"/>
      <c r="AA628" s="974"/>
      <c r="AB628" s="974"/>
      <c r="AC628" s="974"/>
      <c r="AD628" s="974"/>
      <c r="AE628" s="974"/>
    </row>
    <row r="629">
      <c r="A629" s="1526"/>
      <c r="B629" s="1526"/>
      <c r="C629" s="1526"/>
      <c r="D629" s="1526"/>
      <c r="E629" s="1526"/>
      <c r="F629" s="1526"/>
      <c r="G629" s="1526"/>
      <c r="H629" s="1526"/>
      <c r="I629" s="1526"/>
      <c r="J629" s="1526"/>
      <c r="K629" s="1526"/>
      <c r="L629" s="1526"/>
      <c r="M629" s="1526"/>
      <c r="N629" s="1526"/>
      <c r="O629" s="1526"/>
      <c r="P629" s="1526"/>
      <c r="Q629" s="1526"/>
      <c r="R629" s="1526"/>
      <c r="S629" s="1526"/>
      <c r="T629" s="1526"/>
      <c r="U629" s="1526"/>
      <c r="V629" s="1526"/>
      <c r="W629" s="1526"/>
      <c r="X629" s="1526"/>
      <c r="Y629" s="1526"/>
      <c r="Z629" s="974"/>
      <c r="AA629" s="974"/>
      <c r="AB629" s="974"/>
      <c r="AC629" s="974"/>
      <c r="AD629" s="974"/>
      <c r="AE629" s="974"/>
    </row>
    <row r="630">
      <c r="A630" s="1526"/>
      <c r="B630" s="1526"/>
      <c r="C630" s="1526"/>
      <c r="D630" s="1526"/>
      <c r="E630" s="1526"/>
      <c r="F630" s="1526"/>
      <c r="G630" s="1526"/>
      <c r="H630" s="1526"/>
      <c r="I630" s="1526"/>
      <c r="J630" s="1526"/>
      <c r="K630" s="1526"/>
      <c r="L630" s="1526"/>
      <c r="M630" s="1526"/>
      <c r="N630" s="1526"/>
      <c r="O630" s="1526"/>
      <c r="P630" s="1526"/>
      <c r="Q630" s="1526"/>
      <c r="R630" s="1526"/>
      <c r="S630" s="1526"/>
      <c r="T630" s="1526"/>
      <c r="U630" s="1526"/>
      <c r="V630" s="1526"/>
      <c r="W630" s="1526"/>
      <c r="X630" s="1526"/>
      <c r="Y630" s="1526"/>
      <c r="Z630" s="974"/>
      <c r="AA630" s="974"/>
      <c r="AB630" s="974"/>
      <c r="AC630" s="974"/>
      <c r="AD630" s="974"/>
      <c r="AE630" s="974"/>
    </row>
    <row r="631">
      <c r="A631" s="1526"/>
      <c r="B631" s="1526"/>
      <c r="C631" s="1526"/>
      <c r="D631" s="1526"/>
      <c r="E631" s="1526"/>
      <c r="F631" s="1526"/>
      <c r="G631" s="1526"/>
      <c r="H631" s="1526"/>
      <c r="I631" s="1526"/>
      <c r="J631" s="1526"/>
      <c r="K631" s="1526"/>
      <c r="L631" s="1526"/>
      <c r="M631" s="1526"/>
      <c r="N631" s="1526"/>
      <c r="O631" s="1526"/>
      <c r="P631" s="1526"/>
      <c r="Q631" s="1526"/>
      <c r="R631" s="1526"/>
      <c r="S631" s="1526"/>
      <c r="T631" s="1526"/>
      <c r="U631" s="1526"/>
      <c r="V631" s="1526"/>
      <c r="W631" s="1526"/>
      <c r="X631" s="1526"/>
      <c r="Y631" s="1526"/>
      <c r="Z631" s="974"/>
      <c r="AA631" s="974"/>
      <c r="AB631" s="974"/>
      <c r="AC631" s="974"/>
      <c r="AD631" s="974"/>
      <c r="AE631" s="974"/>
    </row>
    <row r="632">
      <c r="A632" s="1526"/>
      <c r="B632" s="1526"/>
      <c r="C632" s="1526"/>
      <c r="D632" s="1526"/>
      <c r="E632" s="1526"/>
      <c r="F632" s="1526"/>
      <c r="G632" s="1526"/>
      <c r="H632" s="1526"/>
      <c r="I632" s="1526"/>
      <c r="J632" s="1526"/>
      <c r="K632" s="1526"/>
      <c r="L632" s="1526"/>
      <c r="M632" s="1526"/>
      <c r="N632" s="1526"/>
      <c r="O632" s="1526"/>
      <c r="P632" s="1526"/>
      <c r="Q632" s="1526"/>
      <c r="R632" s="1526"/>
      <c r="S632" s="1526"/>
      <c r="T632" s="1526"/>
      <c r="U632" s="1526"/>
      <c r="V632" s="1526"/>
      <c r="W632" s="1526"/>
      <c r="X632" s="1526"/>
      <c r="Y632" s="1526"/>
      <c r="Z632" s="974"/>
      <c r="AA632" s="974"/>
      <c r="AB632" s="974"/>
      <c r="AC632" s="974"/>
      <c r="AD632" s="974"/>
      <c r="AE632" s="974"/>
    </row>
    <row r="633">
      <c r="A633" s="1526"/>
      <c r="B633" s="1526"/>
      <c r="C633" s="1526"/>
      <c r="D633" s="1526"/>
      <c r="E633" s="1526"/>
      <c r="F633" s="1526"/>
      <c r="G633" s="1526"/>
      <c r="H633" s="1526"/>
      <c r="I633" s="1526"/>
      <c r="J633" s="1526"/>
      <c r="K633" s="1526"/>
      <c r="L633" s="1526"/>
      <c r="M633" s="1526"/>
      <c r="N633" s="1526"/>
      <c r="O633" s="1526"/>
      <c r="P633" s="1526"/>
      <c r="Q633" s="1526"/>
      <c r="R633" s="1526"/>
      <c r="S633" s="1526"/>
      <c r="T633" s="1526"/>
      <c r="U633" s="1526"/>
      <c r="V633" s="1526"/>
      <c r="W633" s="1526"/>
      <c r="X633" s="1526"/>
      <c r="Y633" s="1526"/>
      <c r="Z633" s="974"/>
      <c r="AA633" s="974"/>
      <c r="AB633" s="974"/>
      <c r="AC633" s="974"/>
      <c r="AD633" s="974"/>
      <c r="AE633" s="974"/>
    </row>
    <row r="634">
      <c r="A634" s="1526"/>
      <c r="B634" s="1526"/>
      <c r="C634" s="1526"/>
      <c r="D634" s="1526"/>
      <c r="E634" s="1526"/>
      <c r="F634" s="1526"/>
      <c r="G634" s="1526"/>
      <c r="H634" s="1526"/>
      <c r="I634" s="1526"/>
      <c r="J634" s="1526"/>
      <c r="K634" s="1526"/>
      <c r="L634" s="1526"/>
      <c r="M634" s="1526"/>
      <c r="N634" s="1526"/>
      <c r="O634" s="1526"/>
      <c r="P634" s="1526"/>
      <c r="Q634" s="1526"/>
      <c r="R634" s="1526"/>
      <c r="S634" s="1526"/>
      <c r="T634" s="1526"/>
      <c r="U634" s="1526"/>
      <c r="V634" s="1526"/>
      <c r="W634" s="1526"/>
      <c r="X634" s="1526"/>
      <c r="Y634" s="1526"/>
      <c r="Z634" s="974"/>
      <c r="AA634" s="974"/>
      <c r="AB634" s="974"/>
      <c r="AC634" s="974"/>
      <c r="AD634" s="974"/>
      <c r="AE634" s="974"/>
    </row>
    <row r="635">
      <c r="A635" s="1526"/>
      <c r="B635" s="1526"/>
      <c r="C635" s="1526"/>
      <c r="D635" s="1526"/>
      <c r="E635" s="1526"/>
      <c r="F635" s="1526"/>
      <c r="G635" s="1526"/>
      <c r="H635" s="1526"/>
      <c r="I635" s="1526"/>
      <c r="J635" s="1526"/>
      <c r="K635" s="1526"/>
      <c r="L635" s="1526"/>
      <c r="M635" s="1526"/>
      <c r="N635" s="1526"/>
      <c r="O635" s="1526"/>
      <c r="P635" s="1526"/>
      <c r="Q635" s="1526"/>
      <c r="R635" s="1526"/>
      <c r="S635" s="1526"/>
      <c r="T635" s="1526"/>
      <c r="U635" s="1526"/>
      <c r="V635" s="1526"/>
      <c r="W635" s="1526"/>
      <c r="X635" s="1526"/>
      <c r="Y635" s="1526"/>
      <c r="Z635" s="974"/>
      <c r="AA635" s="974"/>
      <c r="AB635" s="974"/>
      <c r="AC635" s="974"/>
      <c r="AD635" s="974"/>
      <c r="AE635" s="974"/>
    </row>
    <row r="636">
      <c r="A636" s="1526"/>
      <c r="B636" s="1526"/>
      <c r="C636" s="1526"/>
      <c r="D636" s="1526"/>
      <c r="E636" s="1526"/>
      <c r="F636" s="1526"/>
      <c r="G636" s="1526"/>
      <c r="H636" s="1526"/>
      <c r="I636" s="1526"/>
      <c r="J636" s="1526"/>
      <c r="K636" s="1526"/>
      <c r="L636" s="1526"/>
      <c r="M636" s="1526"/>
      <c r="N636" s="1526"/>
      <c r="O636" s="1526"/>
      <c r="P636" s="1526"/>
      <c r="Q636" s="1526"/>
      <c r="R636" s="1526"/>
      <c r="S636" s="1526"/>
      <c r="T636" s="1526"/>
      <c r="U636" s="1526"/>
      <c r="V636" s="1526"/>
      <c r="W636" s="1526"/>
      <c r="X636" s="1526"/>
      <c r="Y636" s="1526"/>
      <c r="Z636" s="974"/>
      <c r="AA636" s="974"/>
      <c r="AB636" s="974"/>
      <c r="AC636" s="974"/>
      <c r="AD636" s="974"/>
      <c r="AE636" s="974"/>
    </row>
    <row r="637">
      <c r="A637" s="1526"/>
      <c r="B637" s="1526"/>
      <c r="C637" s="1526"/>
      <c r="D637" s="1526"/>
      <c r="E637" s="1526"/>
      <c r="F637" s="1526"/>
      <c r="G637" s="1526"/>
      <c r="H637" s="1526"/>
      <c r="I637" s="1526"/>
      <c r="J637" s="1526"/>
      <c r="K637" s="1526"/>
      <c r="L637" s="1526"/>
      <c r="M637" s="1526"/>
      <c r="N637" s="1526"/>
      <c r="O637" s="1526"/>
      <c r="P637" s="1526"/>
      <c r="Q637" s="1526"/>
      <c r="R637" s="1526"/>
      <c r="S637" s="1526"/>
      <c r="T637" s="1526"/>
      <c r="U637" s="1526"/>
      <c r="V637" s="1526"/>
      <c r="W637" s="1526"/>
      <c r="X637" s="1526"/>
      <c r="Y637" s="1526"/>
      <c r="Z637" s="974"/>
      <c r="AA637" s="974"/>
      <c r="AB637" s="974"/>
      <c r="AC637" s="974"/>
      <c r="AD637" s="974"/>
      <c r="AE637" s="974"/>
    </row>
    <row r="638">
      <c r="A638" s="1526"/>
      <c r="B638" s="1526"/>
      <c r="C638" s="1526"/>
      <c r="D638" s="1526"/>
      <c r="E638" s="1526"/>
      <c r="F638" s="1526"/>
      <c r="G638" s="1526"/>
      <c r="H638" s="1526"/>
      <c r="I638" s="1526"/>
      <c r="J638" s="1526"/>
      <c r="K638" s="1526"/>
      <c r="L638" s="1526"/>
      <c r="M638" s="1526"/>
      <c r="N638" s="1526"/>
      <c r="O638" s="1526"/>
      <c r="P638" s="1526"/>
      <c r="Q638" s="1526"/>
      <c r="R638" s="1526"/>
      <c r="S638" s="1526"/>
      <c r="T638" s="1526"/>
      <c r="U638" s="1526"/>
      <c r="V638" s="1526"/>
      <c r="W638" s="1526"/>
      <c r="X638" s="1526"/>
      <c r="Y638" s="1526"/>
      <c r="Z638" s="974"/>
      <c r="AA638" s="974"/>
      <c r="AB638" s="974"/>
      <c r="AC638" s="974"/>
      <c r="AD638" s="974"/>
      <c r="AE638" s="974"/>
    </row>
    <row r="639">
      <c r="A639" s="1526"/>
      <c r="B639" s="1526"/>
      <c r="C639" s="1526"/>
      <c r="D639" s="1526"/>
      <c r="E639" s="1526"/>
      <c r="F639" s="1526"/>
      <c r="G639" s="1526"/>
      <c r="H639" s="1526"/>
      <c r="I639" s="1526"/>
      <c r="J639" s="1526"/>
      <c r="K639" s="1526"/>
      <c r="L639" s="1526"/>
      <c r="M639" s="1526"/>
      <c r="N639" s="1526"/>
      <c r="O639" s="1526"/>
      <c r="P639" s="1526"/>
      <c r="Q639" s="1526"/>
      <c r="R639" s="1526"/>
      <c r="S639" s="1526"/>
      <c r="T639" s="1526"/>
      <c r="U639" s="1526"/>
      <c r="V639" s="1526"/>
      <c r="W639" s="1526"/>
      <c r="X639" s="1526"/>
      <c r="Y639" s="1526"/>
      <c r="Z639" s="974"/>
      <c r="AA639" s="974"/>
      <c r="AB639" s="974"/>
      <c r="AC639" s="974"/>
      <c r="AD639" s="974"/>
      <c r="AE639" s="974"/>
    </row>
    <row r="640">
      <c r="A640" s="1526"/>
      <c r="B640" s="1526"/>
      <c r="C640" s="1526"/>
      <c r="D640" s="1526"/>
      <c r="E640" s="1526"/>
      <c r="F640" s="1526"/>
      <c r="G640" s="1526"/>
      <c r="H640" s="1526"/>
      <c r="I640" s="1526"/>
      <c r="J640" s="1526"/>
      <c r="K640" s="1526"/>
      <c r="L640" s="1526"/>
      <c r="M640" s="1526"/>
      <c r="N640" s="1526"/>
      <c r="O640" s="1526"/>
      <c r="P640" s="1526"/>
      <c r="Q640" s="1526"/>
      <c r="R640" s="1526"/>
      <c r="S640" s="1526"/>
      <c r="T640" s="1526"/>
      <c r="U640" s="1526"/>
      <c r="V640" s="1526"/>
      <c r="W640" s="1526"/>
      <c r="X640" s="1526"/>
      <c r="Y640" s="1526"/>
      <c r="Z640" s="974"/>
      <c r="AA640" s="974"/>
      <c r="AB640" s="974"/>
      <c r="AC640" s="974"/>
      <c r="AD640" s="974"/>
      <c r="AE640" s="974"/>
    </row>
    <row r="641">
      <c r="A641" s="1526"/>
      <c r="B641" s="1526"/>
      <c r="C641" s="1526"/>
      <c r="D641" s="1526"/>
      <c r="E641" s="1526"/>
      <c r="F641" s="1526"/>
      <c r="G641" s="1526"/>
      <c r="H641" s="1526"/>
      <c r="I641" s="1526"/>
      <c r="J641" s="1526"/>
      <c r="K641" s="1526"/>
      <c r="L641" s="1526"/>
      <c r="M641" s="1526"/>
      <c r="N641" s="1526"/>
      <c r="O641" s="1526"/>
      <c r="P641" s="1526"/>
      <c r="Q641" s="1526"/>
      <c r="R641" s="1526"/>
      <c r="S641" s="1526"/>
      <c r="T641" s="1526"/>
      <c r="U641" s="1526"/>
      <c r="V641" s="1526"/>
      <c r="W641" s="1526"/>
      <c r="X641" s="1526"/>
      <c r="Y641" s="1526"/>
      <c r="Z641" s="974"/>
      <c r="AA641" s="974"/>
      <c r="AB641" s="974"/>
      <c r="AC641" s="974"/>
      <c r="AD641" s="974"/>
      <c r="AE641" s="974"/>
    </row>
    <row r="642">
      <c r="A642" s="1526"/>
      <c r="B642" s="1526"/>
      <c r="C642" s="1526"/>
      <c r="D642" s="1526"/>
      <c r="E642" s="1526"/>
      <c r="F642" s="1526"/>
      <c r="G642" s="1526"/>
      <c r="H642" s="1526"/>
      <c r="I642" s="1526"/>
      <c r="J642" s="1526"/>
      <c r="K642" s="1526"/>
      <c r="L642" s="1526"/>
      <c r="M642" s="1526"/>
      <c r="N642" s="1526"/>
      <c r="O642" s="1526"/>
      <c r="P642" s="1526"/>
      <c r="Q642" s="1526"/>
      <c r="R642" s="1526"/>
      <c r="S642" s="1526"/>
      <c r="T642" s="1526"/>
      <c r="U642" s="1526"/>
      <c r="V642" s="1526"/>
      <c r="W642" s="1526"/>
      <c r="X642" s="1526"/>
      <c r="Y642" s="1526"/>
      <c r="Z642" s="974"/>
      <c r="AA642" s="974"/>
      <c r="AB642" s="974"/>
      <c r="AC642" s="974"/>
      <c r="AD642" s="974"/>
      <c r="AE642" s="974"/>
    </row>
    <row r="643">
      <c r="A643" s="1526"/>
      <c r="B643" s="1526"/>
      <c r="C643" s="1526"/>
      <c r="D643" s="1526"/>
      <c r="E643" s="1526"/>
      <c r="F643" s="1526"/>
      <c r="G643" s="1526"/>
      <c r="H643" s="1526"/>
      <c r="I643" s="1526"/>
      <c r="J643" s="1526"/>
      <c r="K643" s="1526"/>
      <c r="L643" s="1526"/>
      <c r="M643" s="1526"/>
      <c r="N643" s="1526"/>
      <c r="O643" s="1526"/>
      <c r="P643" s="1526"/>
      <c r="Q643" s="1526"/>
      <c r="R643" s="1526"/>
      <c r="S643" s="1526"/>
      <c r="T643" s="1526"/>
      <c r="U643" s="1526"/>
      <c r="V643" s="1526"/>
      <c r="W643" s="1526"/>
      <c r="X643" s="1526"/>
      <c r="Y643" s="1526"/>
      <c r="Z643" s="974"/>
      <c r="AA643" s="974"/>
      <c r="AB643" s="974"/>
      <c r="AC643" s="974"/>
      <c r="AD643" s="974"/>
      <c r="AE643" s="974"/>
    </row>
    <row r="644">
      <c r="A644" s="1526"/>
      <c r="B644" s="1526"/>
      <c r="C644" s="1526"/>
      <c r="D644" s="1526"/>
      <c r="E644" s="1526"/>
      <c r="F644" s="1526"/>
      <c r="G644" s="1526"/>
      <c r="H644" s="1526"/>
      <c r="I644" s="1526"/>
      <c r="J644" s="1526"/>
      <c r="K644" s="1526"/>
      <c r="L644" s="1526"/>
      <c r="M644" s="1526"/>
      <c r="N644" s="1526"/>
      <c r="O644" s="1526"/>
      <c r="P644" s="1526"/>
      <c r="Q644" s="1526"/>
      <c r="R644" s="1526"/>
      <c r="S644" s="1526"/>
      <c r="T644" s="1526"/>
      <c r="U644" s="1526"/>
      <c r="V644" s="1526"/>
      <c r="W644" s="1526"/>
      <c r="X644" s="1526"/>
      <c r="Y644" s="1526"/>
      <c r="Z644" s="974"/>
      <c r="AA644" s="974"/>
      <c r="AB644" s="974"/>
      <c r="AC644" s="974"/>
      <c r="AD644" s="974"/>
      <c r="AE644" s="974"/>
    </row>
    <row r="645">
      <c r="A645" s="1526"/>
      <c r="B645" s="1526"/>
      <c r="C645" s="1526"/>
      <c r="D645" s="1526"/>
      <c r="E645" s="1526"/>
      <c r="F645" s="1526"/>
      <c r="G645" s="1526"/>
      <c r="H645" s="1526"/>
      <c r="I645" s="1526"/>
      <c r="J645" s="1526"/>
      <c r="K645" s="1526"/>
      <c r="L645" s="1526"/>
      <c r="M645" s="1526"/>
      <c r="N645" s="1526"/>
      <c r="O645" s="1526"/>
      <c r="P645" s="1526"/>
      <c r="Q645" s="1526"/>
      <c r="R645" s="1526"/>
      <c r="S645" s="1526"/>
      <c r="T645" s="1526"/>
      <c r="U645" s="1526"/>
      <c r="V645" s="1526"/>
      <c r="W645" s="1526"/>
      <c r="X645" s="1526"/>
      <c r="Y645" s="1526"/>
      <c r="Z645" s="974"/>
      <c r="AA645" s="974"/>
      <c r="AB645" s="974"/>
      <c r="AC645" s="974"/>
      <c r="AD645" s="974"/>
      <c r="AE645" s="974"/>
    </row>
    <row r="646">
      <c r="A646" s="1526"/>
      <c r="B646" s="1526"/>
      <c r="C646" s="1526"/>
      <c r="D646" s="1526"/>
      <c r="E646" s="1526"/>
      <c r="F646" s="1526"/>
      <c r="G646" s="1526"/>
      <c r="H646" s="1526"/>
      <c r="I646" s="1526"/>
      <c r="J646" s="1526"/>
      <c r="K646" s="1526"/>
      <c r="L646" s="1526"/>
      <c r="M646" s="1526"/>
      <c r="N646" s="1526"/>
      <c r="O646" s="1526"/>
      <c r="P646" s="1526"/>
      <c r="Q646" s="1526"/>
      <c r="R646" s="1526"/>
      <c r="S646" s="1526"/>
      <c r="T646" s="1526"/>
      <c r="U646" s="1526"/>
      <c r="V646" s="1526"/>
      <c r="W646" s="1526"/>
      <c r="X646" s="1526"/>
      <c r="Y646" s="1526"/>
      <c r="Z646" s="974"/>
      <c r="AA646" s="974"/>
      <c r="AB646" s="974"/>
      <c r="AC646" s="974"/>
      <c r="AD646" s="974"/>
      <c r="AE646" s="974"/>
    </row>
    <row r="647">
      <c r="A647" s="1526"/>
      <c r="B647" s="1526"/>
      <c r="C647" s="1526"/>
      <c r="D647" s="1526"/>
      <c r="E647" s="1526"/>
      <c r="F647" s="1526"/>
      <c r="G647" s="1526"/>
      <c r="H647" s="1526"/>
      <c r="I647" s="1526"/>
      <c r="J647" s="1526"/>
      <c r="K647" s="1526"/>
      <c r="L647" s="1526"/>
      <c r="M647" s="1526"/>
      <c r="N647" s="1526"/>
      <c r="O647" s="1526"/>
      <c r="P647" s="1526"/>
      <c r="Q647" s="1526"/>
      <c r="R647" s="1526"/>
      <c r="S647" s="1526"/>
      <c r="T647" s="1526"/>
      <c r="U647" s="1526"/>
      <c r="V647" s="1526"/>
      <c r="W647" s="1526"/>
      <c r="X647" s="1526"/>
      <c r="Y647" s="1526"/>
      <c r="Z647" s="974"/>
      <c r="AA647" s="974"/>
      <c r="AB647" s="974"/>
      <c r="AC647" s="974"/>
      <c r="AD647" s="974"/>
      <c r="AE647" s="974"/>
    </row>
    <row r="648">
      <c r="A648" s="1526"/>
      <c r="B648" s="1526"/>
      <c r="C648" s="1526"/>
      <c r="D648" s="1526"/>
      <c r="E648" s="1526"/>
      <c r="F648" s="1526"/>
      <c r="G648" s="1526"/>
      <c r="H648" s="1526"/>
      <c r="I648" s="1526"/>
      <c r="J648" s="1526"/>
      <c r="K648" s="1526"/>
      <c r="L648" s="1526"/>
      <c r="M648" s="1526"/>
      <c r="N648" s="1526"/>
      <c r="O648" s="1526"/>
      <c r="P648" s="1526"/>
      <c r="Q648" s="1526"/>
      <c r="R648" s="1526"/>
      <c r="S648" s="1526"/>
      <c r="T648" s="1526"/>
      <c r="U648" s="1526"/>
      <c r="V648" s="1526"/>
      <c r="W648" s="1526"/>
      <c r="X648" s="1526"/>
      <c r="Y648" s="1526"/>
      <c r="Z648" s="974"/>
      <c r="AA648" s="974"/>
      <c r="AB648" s="974"/>
      <c r="AC648" s="974"/>
      <c r="AD648" s="974"/>
      <c r="AE648" s="974"/>
    </row>
    <row r="649">
      <c r="A649" s="1526"/>
      <c r="B649" s="1526"/>
      <c r="C649" s="1526"/>
      <c r="D649" s="1526"/>
      <c r="E649" s="1526"/>
      <c r="F649" s="1526"/>
      <c r="G649" s="1526"/>
      <c r="H649" s="1526"/>
      <c r="I649" s="1526"/>
      <c r="J649" s="1526"/>
      <c r="K649" s="1526"/>
      <c r="L649" s="1526"/>
      <c r="M649" s="1526"/>
      <c r="N649" s="1526"/>
      <c r="O649" s="1526"/>
      <c r="P649" s="1526"/>
      <c r="Q649" s="1526"/>
      <c r="R649" s="1526"/>
      <c r="S649" s="1526"/>
      <c r="T649" s="1526"/>
      <c r="U649" s="1526"/>
      <c r="V649" s="1526"/>
      <c r="W649" s="1526"/>
      <c r="X649" s="1526"/>
      <c r="Y649" s="1526"/>
      <c r="Z649" s="974"/>
      <c r="AA649" s="974"/>
      <c r="AB649" s="974"/>
      <c r="AC649" s="974"/>
      <c r="AD649" s="974"/>
      <c r="AE649" s="974"/>
    </row>
    <row r="650">
      <c r="A650" s="1526"/>
      <c r="B650" s="1526"/>
      <c r="C650" s="1526"/>
      <c r="D650" s="1526"/>
      <c r="E650" s="1526"/>
      <c r="F650" s="1526"/>
      <c r="G650" s="1526"/>
      <c r="H650" s="1526"/>
      <c r="I650" s="1526"/>
      <c r="J650" s="1526"/>
      <c r="K650" s="1526"/>
      <c r="L650" s="1526"/>
      <c r="M650" s="1526"/>
      <c r="N650" s="1526"/>
      <c r="O650" s="1526"/>
      <c r="P650" s="1526"/>
      <c r="Q650" s="1526"/>
      <c r="R650" s="1526"/>
      <c r="S650" s="1526"/>
      <c r="T650" s="1526"/>
      <c r="U650" s="1526"/>
      <c r="V650" s="1526"/>
      <c r="W650" s="1526"/>
      <c r="X650" s="1526"/>
      <c r="Y650" s="1526"/>
      <c r="Z650" s="974"/>
      <c r="AA650" s="974"/>
      <c r="AB650" s="974"/>
      <c r="AC650" s="974"/>
      <c r="AD650" s="974"/>
      <c r="AE650" s="974"/>
    </row>
    <row r="651">
      <c r="A651" s="1526"/>
      <c r="B651" s="1526"/>
      <c r="C651" s="1526"/>
      <c r="D651" s="1526"/>
      <c r="E651" s="1526"/>
      <c r="F651" s="1526"/>
      <c r="G651" s="1526"/>
      <c r="H651" s="1526"/>
      <c r="I651" s="1526"/>
      <c r="J651" s="1526"/>
      <c r="K651" s="1526"/>
      <c r="L651" s="1526"/>
      <c r="M651" s="1526"/>
      <c r="N651" s="1526"/>
      <c r="O651" s="1526"/>
      <c r="P651" s="1526"/>
      <c r="Q651" s="1526"/>
      <c r="R651" s="1526"/>
      <c r="S651" s="1526"/>
      <c r="T651" s="1526"/>
      <c r="U651" s="1526"/>
      <c r="V651" s="1526"/>
      <c r="W651" s="1526"/>
      <c r="X651" s="1526"/>
      <c r="Y651" s="1526"/>
      <c r="Z651" s="974"/>
      <c r="AA651" s="974"/>
      <c r="AB651" s="974"/>
      <c r="AC651" s="974"/>
      <c r="AD651" s="974"/>
      <c r="AE651" s="974"/>
    </row>
    <row r="652">
      <c r="A652" s="1526"/>
      <c r="B652" s="1526"/>
      <c r="C652" s="1526"/>
      <c r="D652" s="1526"/>
      <c r="E652" s="1526"/>
      <c r="F652" s="1526"/>
      <c r="G652" s="1526"/>
      <c r="H652" s="1526"/>
      <c r="I652" s="1526"/>
      <c r="J652" s="1526"/>
      <c r="K652" s="1526"/>
      <c r="L652" s="1526"/>
      <c r="M652" s="1526"/>
      <c r="N652" s="1526"/>
      <c r="O652" s="1526"/>
      <c r="P652" s="1526"/>
      <c r="Q652" s="1526"/>
      <c r="R652" s="1526"/>
      <c r="S652" s="1526"/>
      <c r="T652" s="1526"/>
      <c r="U652" s="1526"/>
      <c r="V652" s="1526"/>
      <c r="W652" s="1526"/>
      <c r="X652" s="1526"/>
      <c r="Y652" s="1526"/>
      <c r="Z652" s="974"/>
      <c r="AA652" s="974"/>
      <c r="AB652" s="974"/>
      <c r="AC652" s="974"/>
      <c r="AD652" s="974"/>
      <c r="AE652" s="974"/>
    </row>
    <row r="653">
      <c r="A653" s="1526"/>
      <c r="B653" s="1526"/>
      <c r="C653" s="1526"/>
      <c r="D653" s="1526"/>
      <c r="E653" s="1526"/>
      <c r="F653" s="1526"/>
      <c r="G653" s="1526"/>
      <c r="H653" s="1526"/>
      <c r="I653" s="1526"/>
      <c r="J653" s="1526"/>
      <c r="K653" s="1526"/>
      <c r="L653" s="1526"/>
      <c r="M653" s="1526"/>
      <c r="N653" s="1526"/>
      <c r="O653" s="1526"/>
      <c r="P653" s="1526"/>
      <c r="Q653" s="1526"/>
      <c r="R653" s="1526"/>
      <c r="S653" s="1526"/>
      <c r="T653" s="1526"/>
      <c r="U653" s="1526"/>
      <c r="V653" s="1526"/>
      <c r="W653" s="1526"/>
      <c r="X653" s="1526"/>
      <c r="Y653" s="1526"/>
      <c r="Z653" s="974"/>
      <c r="AA653" s="974"/>
      <c r="AB653" s="974"/>
      <c r="AC653" s="974"/>
      <c r="AD653" s="974"/>
      <c r="AE653" s="974"/>
    </row>
    <row r="654">
      <c r="A654" s="1526"/>
      <c r="B654" s="1526"/>
      <c r="C654" s="1526"/>
      <c r="D654" s="1526"/>
      <c r="E654" s="1526"/>
      <c r="F654" s="1526"/>
      <c r="G654" s="1526"/>
      <c r="H654" s="1526"/>
      <c r="I654" s="1526"/>
      <c r="J654" s="1526"/>
      <c r="K654" s="1526"/>
      <c r="L654" s="1526"/>
      <c r="M654" s="1526"/>
      <c r="N654" s="1526"/>
      <c r="O654" s="1526"/>
      <c r="P654" s="1526"/>
      <c r="Q654" s="1526"/>
      <c r="R654" s="1526"/>
      <c r="S654" s="1526"/>
      <c r="T654" s="1526"/>
      <c r="U654" s="1526"/>
      <c r="V654" s="1526"/>
      <c r="W654" s="1526"/>
      <c r="X654" s="1526"/>
      <c r="Y654" s="1526"/>
      <c r="Z654" s="974"/>
      <c r="AA654" s="974"/>
      <c r="AB654" s="974"/>
      <c r="AC654" s="974"/>
      <c r="AD654" s="974"/>
      <c r="AE654" s="974"/>
    </row>
    <row r="655">
      <c r="A655" s="1526"/>
      <c r="B655" s="1526"/>
      <c r="C655" s="1526"/>
      <c r="D655" s="1526"/>
      <c r="E655" s="1526"/>
      <c r="F655" s="1526"/>
      <c r="G655" s="1526"/>
      <c r="H655" s="1526"/>
      <c r="I655" s="1526"/>
      <c r="J655" s="1526"/>
      <c r="K655" s="1526"/>
      <c r="L655" s="1526"/>
      <c r="M655" s="1526"/>
      <c r="N655" s="1526"/>
      <c r="O655" s="1526"/>
      <c r="P655" s="1526"/>
      <c r="Q655" s="1526"/>
      <c r="R655" s="1526"/>
      <c r="S655" s="1526"/>
      <c r="T655" s="1526"/>
      <c r="U655" s="1526"/>
      <c r="V655" s="1526"/>
      <c r="W655" s="1526"/>
      <c r="X655" s="1526"/>
      <c r="Y655" s="1526"/>
      <c r="Z655" s="974"/>
      <c r="AA655" s="974"/>
      <c r="AB655" s="974"/>
      <c r="AC655" s="974"/>
      <c r="AD655" s="974"/>
      <c r="AE655" s="974"/>
    </row>
    <row r="656">
      <c r="A656" s="1526"/>
      <c r="B656" s="1526"/>
      <c r="C656" s="1526"/>
      <c r="D656" s="1526"/>
      <c r="E656" s="1526"/>
      <c r="F656" s="1526"/>
      <c r="G656" s="1526"/>
      <c r="H656" s="1526"/>
      <c r="I656" s="1526"/>
      <c r="J656" s="1526"/>
      <c r="K656" s="1526"/>
      <c r="L656" s="1526"/>
      <c r="M656" s="1526"/>
      <c r="N656" s="1526"/>
      <c r="O656" s="1526"/>
      <c r="P656" s="1526"/>
      <c r="Q656" s="1526"/>
      <c r="R656" s="1526"/>
      <c r="S656" s="1526"/>
      <c r="T656" s="1526"/>
      <c r="U656" s="1526"/>
      <c r="V656" s="1526"/>
      <c r="W656" s="1526"/>
      <c r="X656" s="1526"/>
      <c r="Y656" s="1526"/>
      <c r="Z656" s="974"/>
      <c r="AA656" s="974"/>
      <c r="AB656" s="974"/>
      <c r="AC656" s="974"/>
      <c r="AD656" s="974"/>
      <c r="AE656" s="974"/>
    </row>
    <row r="657">
      <c r="A657" s="1526"/>
      <c r="B657" s="1526"/>
      <c r="C657" s="1526"/>
      <c r="D657" s="1526"/>
      <c r="E657" s="1526"/>
      <c r="F657" s="1526"/>
      <c r="G657" s="1526"/>
      <c r="H657" s="1526"/>
      <c r="I657" s="1526"/>
      <c r="J657" s="1526"/>
      <c r="K657" s="1526"/>
      <c r="L657" s="1526"/>
      <c r="M657" s="1526"/>
      <c r="N657" s="1526"/>
      <c r="O657" s="1526"/>
      <c r="P657" s="1526"/>
      <c r="Q657" s="1526"/>
      <c r="R657" s="1526"/>
      <c r="S657" s="1526"/>
      <c r="T657" s="1526"/>
      <c r="U657" s="1526"/>
      <c r="V657" s="1526"/>
      <c r="W657" s="1526"/>
      <c r="X657" s="1526"/>
      <c r="Y657" s="1526"/>
      <c r="Z657" s="974"/>
      <c r="AA657" s="974"/>
      <c r="AB657" s="974"/>
      <c r="AC657" s="974"/>
      <c r="AD657" s="974"/>
      <c r="AE657" s="974"/>
    </row>
    <row r="658">
      <c r="A658" s="1526"/>
      <c r="B658" s="1526"/>
      <c r="C658" s="1526"/>
      <c r="D658" s="1526"/>
      <c r="E658" s="1526"/>
      <c r="F658" s="1526"/>
      <c r="G658" s="1526"/>
      <c r="H658" s="1526"/>
      <c r="I658" s="1526"/>
      <c r="J658" s="1526"/>
      <c r="K658" s="1526"/>
      <c r="L658" s="1526"/>
      <c r="M658" s="1526"/>
      <c r="N658" s="1526"/>
      <c r="O658" s="1526"/>
      <c r="P658" s="1526"/>
      <c r="Q658" s="1526"/>
      <c r="R658" s="1526"/>
      <c r="S658" s="1526"/>
      <c r="T658" s="1526"/>
      <c r="U658" s="1526"/>
      <c r="V658" s="1526"/>
      <c r="W658" s="1526"/>
      <c r="X658" s="1526"/>
      <c r="Y658" s="1526"/>
      <c r="Z658" s="974"/>
      <c r="AA658" s="974"/>
      <c r="AB658" s="974"/>
      <c r="AC658" s="974"/>
      <c r="AD658" s="974"/>
      <c r="AE658" s="974"/>
    </row>
    <row r="659">
      <c r="A659" s="1526"/>
      <c r="B659" s="1526"/>
      <c r="C659" s="1526"/>
      <c r="D659" s="1526"/>
      <c r="E659" s="1526"/>
      <c r="F659" s="1526"/>
      <c r="G659" s="1526"/>
      <c r="H659" s="1526"/>
      <c r="I659" s="1526"/>
      <c r="J659" s="1526"/>
      <c r="K659" s="1526"/>
      <c r="L659" s="1526"/>
      <c r="M659" s="1526"/>
      <c r="N659" s="1526"/>
      <c r="O659" s="1526"/>
      <c r="P659" s="1526"/>
      <c r="Q659" s="1526"/>
      <c r="R659" s="1526"/>
      <c r="S659" s="1526"/>
      <c r="T659" s="1526"/>
      <c r="U659" s="1526"/>
      <c r="V659" s="1526"/>
      <c r="W659" s="1526"/>
      <c r="X659" s="1526"/>
      <c r="Y659" s="1526"/>
      <c r="Z659" s="974"/>
      <c r="AA659" s="974"/>
      <c r="AB659" s="974"/>
      <c r="AC659" s="974"/>
      <c r="AD659" s="974"/>
      <c r="AE659" s="974"/>
    </row>
    <row r="660">
      <c r="A660" s="1526"/>
      <c r="B660" s="1526"/>
      <c r="C660" s="1526"/>
      <c r="D660" s="1526"/>
      <c r="E660" s="1526"/>
      <c r="F660" s="1526"/>
      <c r="G660" s="1526"/>
      <c r="H660" s="1526"/>
      <c r="I660" s="1526"/>
      <c r="J660" s="1526"/>
      <c r="K660" s="1526"/>
      <c r="L660" s="1526"/>
      <c r="M660" s="1526"/>
      <c r="N660" s="1526"/>
      <c r="O660" s="1526"/>
      <c r="P660" s="1526"/>
      <c r="Q660" s="1526"/>
      <c r="R660" s="1526"/>
      <c r="S660" s="1526"/>
      <c r="T660" s="1526"/>
      <c r="U660" s="1526"/>
      <c r="V660" s="1526"/>
      <c r="W660" s="1526"/>
      <c r="X660" s="1526"/>
      <c r="Y660" s="1526"/>
      <c r="Z660" s="974"/>
      <c r="AA660" s="974"/>
      <c r="AB660" s="974"/>
      <c r="AC660" s="974"/>
      <c r="AD660" s="974"/>
      <c r="AE660" s="974"/>
    </row>
    <row r="661">
      <c r="A661" s="1526"/>
      <c r="B661" s="1526"/>
      <c r="C661" s="1526"/>
      <c r="D661" s="1526"/>
      <c r="E661" s="1526"/>
      <c r="F661" s="1526"/>
      <c r="G661" s="1526"/>
      <c r="H661" s="1526"/>
      <c r="I661" s="1526"/>
      <c r="J661" s="1526"/>
      <c r="K661" s="1526"/>
      <c r="L661" s="1526"/>
      <c r="M661" s="1526"/>
      <c r="N661" s="1526"/>
      <c r="O661" s="1526"/>
      <c r="P661" s="1526"/>
      <c r="Q661" s="1526"/>
      <c r="R661" s="1526"/>
      <c r="S661" s="1526"/>
      <c r="T661" s="1526"/>
      <c r="U661" s="1526"/>
      <c r="V661" s="1526"/>
      <c r="W661" s="1526"/>
      <c r="X661" s="1526"/>
      <c r="Y661" s="1526"/>
      <c r="Z661" s="974"/>
      <c r="AA661" s="974"/>
      <c r="AB661" s="974"/>
      <c r="AC661" s="974"/>
      <c r="AD661" s="974"/>
      <c r="AE661" s="974"/>
    </row>
    <row r="662">
      <c r="A662" s="1526"/>
      <c r="B662" s="1526"/>
      <c r="C662" s="1526"/>
      <c r="D662" s="1526"/>
      <c r="E662" s="1526"/>
      <c r="F662" s="1526"/>
      <c r="G662" s="1526"/>
      <c r="H662" s="1526"/>
      <c r="I662" s="1526"/>
      <c r="J662" s="1526"/>
      <c r="K662" s="1526"/>
      <c r="L662" s="1526"/>
      <c r="M662" s="1526"/>
      <c r="N662" s="1526"/>
      <c r="O662" s="1526"/>
      <c r="P662" s="1526"/>
      <c r="Q662" s="1526"/>
      <c r="R662" s="1526"/>
      <c r="S662" s="1526"/>
      <c r="T662" s="1526"/>
      <c r="U662" s="1526"/>
      <c r="V662" s="1526"/>
      <c r="W662" s="1526"/>
      <c r="X662" s="1526"/>
      <c r="Y662" s="1526"/>
      <c r="Z662" s="974"/>
      <c r="AA662" s="974"/>
      <c r="AB662" s="974"/>
      <c r="AC662" s="974"/>
      <c r="AD662" s="974"/>
      <c r="AE662" s="974"/>
    </row>
    <row r="663">
      <c r="A663" s="1526"/>
      <c r="B663" s="1526"/>
      <c r="C663" s="1526"/>
      <c r="D663" s="1526"/>
      <c r="E663" s="1526"/>
      <c r="F663" s="1526"/>
      <c r="G663" s="1526"/>
      <c r="H663" s="1526"/>
      <c r="I663" s="1526"/>
      <c r="J663" s="1526"/>
      <c r="K663" s="1526"/>
      <c r="L663" s="1526"/>
      <c r="M663" s="1526"/>
      <c r="N663" s="1526"/>
      <c r="O663" s="1526"/>
      <c r="P663" s="1526"/>
      <c r="Q663" s="1526"/>
      <c r="R663" s="1526"/>
      <c r="S663" s="1526"/>
      <c r="T663" s="1526"/>
      <c r="U663" s="1526"/>
      <c r="V663" s="1526"/>
      <c r="W663" s="1526"/>
      <c r="X663" s="1526"/>
      <c r="Y663" s="1526"/>
      <c r="Z663" s="974"/>
      <c r="AA663" s="974"/>
      <c r="AB663" s="974"/>
      <c r="AC663" s="974"/>
      <c r="AD663" s="974"/>
      <c r="AE663" s="974"/>
    </row>
    <row r="664">
      <c r="A664" s="1526"/>
      <c r="B664" s="1526"/>
      <c r="C664" s="1526"/>
      <c r="D664" s="1526"/>
      <c r="E664" s="1526"/>
      <c r="F664" s="1526"/>
      <c r="G664" s="1526"/>
      <c r="H664" s="1526"/>
      <c r="I664" s="1526"/>
      <c r="J664" s="1526"/>
      <c r="K664" s="1526"/>
      <c r="L664" s="1526"/>
      <c r="M664" s="1526"/>
      <c r="N664" s="1526"/>
      <c r="O664" s="1526"/>
      <c r="P664" s="1526"/>
      <c r="Q664" s="1526"/>
      <c r="R664" s="1526"/>
      <c r="S664" s="1526"/>
      <c r="T664" s="1526"/>
      <c r="U664" s="1526"/>
      <c r="V664" s="1526"/>
      <c r="W664" s="1526"/>
      <c r="X664" s="1526"/>
      <c r="Y664" s="1526"/>
      <c r="Z664" s="974"/>
      <c r="AA664" s="974"/>
      <c r="AB664" s="974"/>
      <c r="AC664" s="974"/>
      <c r="AD664" s="974"/>
      <c r="AE664" s="974"/>
    </row>
    <row r="665">
      <c r="A665" s="1526"/>
      <c r="B665" s="1526"/>
      <c r="C665" s="1526"/>
      <c r="D665" s="1526"/>
      <c r="E665" s="1526"/>
      <c r="F665" s="1526"/>
      <c r="G665" s="1526"/>
      <c r="H665" s="1526"/>
      <c r="I665" s="1526"/>
      <c r="J665" s="1526"/>
      <c r="K665" s="1526"/>
      <c r="L665" s="1526"/>
      <c r="M665" s="1526"/>
      <c r="N665" s="1526"/>
      <c r="O665" s="1526"/>
      <c r="P665" s="1526"/>
      <c r="Q665" s="1526"/>
      <c r="R665" s="1526"/>
      <c r="S665" s="1526"/>
      <c r="T665" s="1526"/>
      <c r="U665" s="1526"/>
      <c r="V665" s="1526"/>
      <c r="W665" s="1526"/>
      <c r="X665" s="1526"/>
      <c r="Y665" s="1526"/>
      <c r="Z665" s="974"/>
      <c r="AA665" s="974"/>
      <c r="AB665" s="974"/>
      <c r="AC665" s="974"/>
      <c r="AD665" s="974"/>
      <c r="AE665" s="974"/>
    </row>
    <row r="666">
      <c r="A666" s="1526"/>
      <c r="B666" s="1526"/>
      <c r="C666" s="1526"/>
      <c r="D666" s="1526"/>
      <c r="E666" s="1526"/>
      <c r="F666" s="1526"/>
      <c r="G666" s="1526"/>
      <c r="H666" s="1526"/>
      <c r="I666" s="1526"/>
      <c r="J666" s="1526"/>
      <c r="K666" s="1526"/>
      <c r="L666" s="1526"/>
      <c r="M666" s="1526"/>
      <c r="N666" s="1526"/>
      <c r="O666" s="1526"/>
      <c r="P666" s="1526"/>
      <c r="Q666" s="1526"/>
      <c r="R666" s="1526"/>
      <c r="S666" s="1526"/>
      <c r="T666" s="1526"/>
      <c r="U666" s="1526"/>
      <c r="V666" s="1526"/>
      <c r="W666" s="1526"/>
      <c r="X666" s="1526"/>
      <c r="Y666" s="1526"/>
      <c r="Z666" s="974"/>
      <c r="AA666" s="974"/>
      <c r="AB666" s="974"/>
      <c r="AC666" s="974"/>
      <c r="AD666" s="974"/>
      <c r="AE666" s="974"/>
    </row>
    <row r="667">
      <c r="A667" s="1526"/>
      <c r="B667" s="1526"/>
      <c r="C667" s="1526"/>
      <c r="D667" s="1526"/>
      <c r="E667" s="1526"/>
      <c r="F667" s="1526"/>
      <c r="G667" s="1526"/>
      <c r="H667" s="1526"/>
      <c r="I667" s="1526"/>
      <c r="J667" s="1526"/>
      <c r="K667" s="1526"/>
      <c r="L667" s="1526"/>
      <c r="M667" s="1526"/>
      <c r="N667" s="1526"/>
      <c r="O667" s="1526"/>
      <c r="P667" s="1526"/>
      <c r="Q667" s="1526"/>
      <c r="R667" s="1526"/>
      <c r="S667" s="1526"/>
      <c r="T667" s="1526"/>
      <c r="U667" s="1526"/>
      <c r="V667" s="1526"/>
      <c r="W667" s="1526"/>
      <c r="X667" s="1526"/>
      <c r="Y667" s="1526"/>
      <c r="Z667" s="974"/>
      <c r="AA667" s="974"/>
      <c r="AB667" s="974"/>
      <c r="AC667" s="974"/>
      <c r="AD667" s="974"/>
      <c r="AE667" s="974"/>
    </row>
    <row r="668">
      <c r="A668" s="1526"/>
      <c r="B668" s="1526"/>
      <c r="C668" s="1526"/>
      <c r="D668" s="1526"/>
      <c r="E668" s="1526"/>
      <c r="F668" s="1526"/>
      <c r="G668" s="1526"/>
      <c r="H668" s="1526"/>
      <c r="I668" s="1526"/>
      <c r="J668" s="1526"/>
      <c r="K668" s="1526"/>
      <c r="L668" s="1526"/>
      <c r="M668" s="1526"/>
      <c r="N668" s="1526"/>
      <c r="O668" s="1526"/>
      <c r="P668" s="1526"/>
      <c r="Q668" s="1526"/>
      <c r="R668" s="1526"/>
      <c r="S668" s="1526"/>
      <c r="T668" s="1526"/>
      <c r="U668" s="1526"/>
      <c r="V668" s="1526"/>
      <c r="W668" s="1526"/>
      <c r="X668" s="1526"/>
      <c r="Y668" s="1526"/>
      <c r="Z668" s="974"/>
      <c r="AA668" s="974"/>
      <c r="AB668" s="974"/>
      <c r="AC668" s="974"/>
      <c r="AD668" s="974"/>
      <c r="AE668" s="974"/>
    </row>
    <row r="669">
      <c r="A669" s="1526"/>
      <c r="B669" s="1526"/>
      <c r="C669" s="1526"/>
      <c r="D669" s="1526"/>
      <c r="E669" s="1526"/>
      <c r="F669" s="1526"/>
      <c r="G669" s="1526"/>
      <c r="H669" s="1526"/>
      <c r="I669" s="1526"/>
      <c r="J669" s="1526"/>
      <c r="K669" s="1526"/>
      <c r="L669" s="1526"/>
      <c r="M669" s="1526"/>
      <c r="N669" s="1526"/>
      <c r="O669" s="1526"/>
      <c r="P669" s="1526"/>
      <c r="Q669" s="1526"/>
      <c r="R669" s="1526"/>
      <c r="S669" s="1526"/>
      <c r="T669" s="1526"/>
      <c r="U669" s="1526"/>
      <c r="V669" s="1526"/>
      <c r="W669" s="1526"/>
      <c r="X669" s="1526"/>
      <c r="Y669" s="1526"/>
      <c r="Z669" s="974"/>
      <c r="AA669" s="974"/>
      <c r="AB669" s="974"/>
      <c r="AC669" s="974"/>
      <c r="AD669" s="974"/>
      <c r="AE669" s="974"/>
    </row>
    <row r="670">
      <c r="A670" s="1526"/>
      <c r="B670" s="1526"/>
      <c r="C670" s="1526"/>
      <c r="D670" s="1526"/>
      <c r="E670" s="1526"/>
      <c r="F670" s="1526"/>
      <c r="G670" s="1526"/>
      <c r="H670" s="1526"/>
      <c r="I670" s="1526"/>
      <c r="J670" s="1526"/>
      <c r="K670" s="1526"/>
      <c r="L670" s="1526"/>
      <c r="M670" s="1526"/>
      <c r="N670" s="1526"/>
      <c r="O670" s="1526"/>
      <c r="P670" s="1526"/>
      <c r="Q670" s="1526"/>
      <c r="R670" s="1526"/>
      <c r="S670" s="1526"/>
      <c r="T670" s="1526"/>
      <c r="U670" s="1526"/>
      <c r="V670" s="1526"/>
      <c r="W670" s="1526"/>
      <c r="X670" s="1526"/>
      <c r="Y670" s="1526"/>
      <c r="Z670" s="974"/>
      <c r="AA670" s="974"/>
      <c r="AB670" s="974"/>
      <c r="AC670" s="974"/>
      <c r="AD670" s="974"/>
      <c r="AE670" s="974"/>
    </row>
    <row r="671">
      <c r="A671" s="1526"/>
      <c r="B671" s="1526"/>
      <c r="C671" s="1526"/>
      <c r="D671" s="1526"/>
      <c r="E671" s="1526"/>
      <c r="F671" s="1526"/>
      <c r="G671" s="1526"/>
      <c r="H671" s="1526"/>
      <c r="I671" s="1526"/>
      <c r="J671" s="1526"/>
      <c r="K671" s="1526"/>
      <c r="L671" s="1526"/>
      <c r="M671" s="1526"/>
      <c r="N671" s="1526"/>
      <c r="O671" s="1526"/>
      <c r="P671" s="1526"/>
      <c r="Q671" s="1526"/>
      <c r="R671" s="1526"/>
      <c r="S671" s="1526"/>
      <c r="T671" s="1526"/>
      <c r="U671" s="1526"/>
      <c r="V671" s="1526"/>
      <c r="W671" s="1526"/>
      <c r="X671" s="1526"/>
      <c r="Y671" s="1526"/>
      <c r="Z671" s="974"/>
      <c r="AA671" s="974"/>
      <c r="AB671" s="974"/>
      <c r="AC671" s="974"/>
      <c r="AD671" s="974"/>
      <c r="AE671" s="974"/>
    </row>
    <row r="672">
      <c r="A672" s="1526"/>
      <c r="B672" s="1526"/>
      <c r="C672" s="1526"/>
      <c r="D672" s="1526"/>
      <c r="E672" s="1526"/>
      <c r="F672" s="1526"/>
      <c r="G672" s="1526"/>
      <c r="H672" s="1526"/>
      <c r="I672" s="1526"/>
      <c r="J672" s="1526"/>
      <c r="K672" s="1526"/>
      <c r="L672" s="1526"/>
      <c r="M672" s="1526"/>
      <c r="N672" s="1526"/>
      <c r="O672" s="1526"/>
      <c r="P672" s="1526"/>
      <c r="Q672" s="1526"/>
      <c r="R672" s="1526"/>
      <c r="S672" s="1526"/>
      <c r="T672" s="1526"/>
      <c r="U672" s="1526"/>
      <c r="V672" s="1526"/>
      <c r="W672" s="1526"/>
      <c r="X672" s="1526"/>
      <c r="Y672" s="1526"/>
      <c r="Z672" s="974"/>
      <c r="AA672" s="974"/>
      <c r="AB672" s="974"/>
      <c r="AC672" s="974"/>
      <c r="AD672" s="974"/>
      <c r="AE672" s="974"/>
    </row>
    <row r="673">
      <c r="A673" s="1526"/>
      <c r="B673" s="1526"/>
      <c r="C673" s="1526"/>
      <c r="D673" s="1526"/>
      <c r="E673" s="1526"/>
      <c r="F673" s="1526"/>
      <c r="G673" s="1526"/>
      <c r="H673" s="1526"/>
      <c r="I673" s="1526"/>
      <c r="J673" s="1526"/>
      <c r="K673" s="1526"/>
      <c r="L673" s="1526"/>
      <c r="M673" s="1526"/>
      <c r="N673" s="1526"/>
      <c r="O673" s="1526"/>
      <c r="P673" s="1526"/>
      <c r="Q673" s="1526"/>
      <c r="R673" s="1526"/>
      <c r="S673" s="1526"/>
      <c r="T673" s="1526"/>
      <c r="U673" s="1526"/>
      <c r="V673" s="1526"/>
      <c r="W673" s="1526"/>
      <c r="X673" s="1526"/>
      <c r="Y673" s="1526"/>
      <c r="Z673" s="974"/>
      <c r="AA673" s="974"/>
      <c r="AB673" s="974"/>
      <c r="AC673" s="974"/>
      <c r="AD673" s="974"/>
      <c r="AE673" s="974"/>
    </row>
    <row r="674">
      <c r="A674" s="1526"/>
      <c r="B674" s="1526"/>
      <c r="C674" s="1526"/>
      <c r="D674" s="1526"/>
      <c r="E674" s="1526"/>
      <c r="F674" s="1526"/>
      <c r="G674" s="1526"/>
      <c r="H674" s="1526"/>
      <c r="I674" s="1526"/>
      <c r="J674" s="1526"/>
      <c r="K674" s="1526"/>
      <c r="L674" s="1526"/>
      <c r="M674" s="1526"/>
      <c r="N674" s="1526"/>
      <c r="O674" s="1526"/>
      <c r="P674" s="1526"/>
      <c r="Q674" s="1526"/>
      <c r="R674" s="1526"/>
      <c r="S674" s="1526"/>
      <c r="T674" s="1526"/>
      <c r="U674" s="1526"/>
      <c r="V674" s="1526"/>
      <c r="W674" s="1526"/>
      <c r="X674" s="1526"/>
      <c r="Y674" s="1526"/>
      <c r="Z674" s="974"/>
      <c r="AA674" s="974"/>
      <c r="AB674" s="974"/>
      <c r="AC674" s="974"/>
      <c r="AD674" s="974"/>
      <c r="AE674" s="974"/>
    </row>
    <row r="675">
      <c r="A675" s="1526"/>
      <c r="B675" s="1526"/>
      <c r="C675" s="1526"/>
      <c r="D675" s="1526"/>
      <c r="E675" s="1526"/>
      <c r="F675" s="1526"/>
      <c r="G675" s="1526"/>
      <c r="H675" s="1526"/>
      <c r="I675" s="1526"/>
      <c r="J675" s="1526"/>
      <c r="K675" s="1526"/>
      <c r="L675" s="1526"/>
      <c r="M675" s="1526"/>
      <c r="N675" s="1526"/>
      <c r="O675" s="1526"/>
      <c r="P675" s="1526"/>
      <c r="Q675" s="1526"/>
      <c r="R675" s="1526"/>
      <c r="S675" s="1526"/>
      <c r="T675" s="1526"/>
      <c r="U675" s="1526"/>
      <c r="V675" s="1526"/>
      <c r="W675" s="1526"/>
      <c r="X675" s="1526"/>
      <c r="Y675" s="1526"/>
      <c r="Z675" s="974"/>
      <c r="AA675" s="974"/>
      <c r="AB675" s="974"/>
      <c r="AC675" s="974"/>
      <c r="AD675" s="974"/>
      <c r="AE675" s="974"/>
    </row>
    <row r="676">
      <c r="A676" s="1526"/>
      <c r="B676" s="1526"/>
      <c r="C676" s="1526"/>
      <c r="D676" s="1526"/>
      <c r="E676" s="1526"/>
      <c r="F676" s="1526"/>
      <c r="G676" s="1526"/>
      <c r="H676" s="1526"/>
      <c r="I676" s="1526"/>
      <c r="J676" s="1526"/>
      <c r="K676" s="1526"/>
      <c r="L676" s="1526"/>
      <c r="M676" s="1526"/>
      <c r="N676" s="1526"/>
      <c r="O676" s="1526"/>
      <c r="P676" s="1526"/>
      <c r="Q676" s="1526"/>
      <c r="R676" s="1526"/>
      <c r="S676" s="1526"/>
      <c r="T676" s="1526"/>
      <c r="U676" s="1526"/>
      <c r="V676" s="1526"/>
      <c r="W676" s="1526"/>
      <c r="X676" s="1526"/>
      <c r="Y676" s="1526"/>
      <c r="Z676" s="974"/>
      <c r="AA676" s="974"/>
      <c r="AB676" s="974"/>
      <c r="AC676" s="974"/>
      <c r="AD676" s="974"/>
      <c r="AE676" s="974"/>
    </row>
    <row r="677">
      <c r="A677" s="1526"/>
      <c r="B677" s="1526"/>
      <c r="C677" s="1526"/>
      <c r="D677" s="1526"/>
      <c r="E677" s="1526"/>
      <c r="F677" s="1526"/>
      <c r="G677" s="1526"/>
      <c r="H677" s="1526"/>
      <c r="I677" s="1526"/>
      <c r="J677" s="1526"/>
      <c r="K677" s="1526"/>
      <c r="L677" s="1526"/>
      <c r="M677" s="1526"/>
      <c r="N677" s="1526"/>
      <c r="O677" s="1526"/>
      <c r="P677" s="1526"/>
      <c r="Q677" s="1526"/>
      <c r="R677" s="1526"/>
      <c r="S677" s="1526"/>
      <c r="T677" s="1526"/>
      <c r="U677" s="1526"/>
      <c r="V677" s="1526"/>
      <c r="W677" s="1526"/>
      <c r="X677" s="1526"/>
      <c r="Y677" s="1526"/>
      <c r="Z677" s="974"/>
      <c r="AA677" s="974"/>
      <c r="AB677" s="974"/>
      <c r="AC677" s="974"/>
      <c r="AD677" s="974"/>
      <c r="AE677" s="974"/>
    </row>
    <row r="678">
      <c r="A678" s="1526"/>
      <c r="B678" s="1526"/>
      <c r="C678" s="1526"/>
      <c r="D678" s="1526"/>
      <c r="E678" s="1526"/>
      <c r="F678" s="1526"/>
      <c r="G678" s="1526"/>
      <c r="H678" s="1526"/>
      <c r="I678" s="1526"/>
      <c r="J678" s="1526"/>
      <c r="K678" s="1526"/>
      <c r="L678" s="1526"/>
      <c r="M678" s="1526"/>
      <c r="N678" s="1526"/>
      <c r="O678" s="1526"/>
      <c r="P678" s="1526"/>
      <c r="Q678" s="1526"/>
      <c r="R678" s="1526"/>
      <c r="S678" s="1526"/>
      <c r="T678" s="1526"/>
      <c r="U678" s="1526"/>
      <c r="V678" s="1526"/>
      <c r="W678" s="1526"/>
      <c r="X678" s="1526"/>
      <c r="Y678" s="1526"/>
      <c r="Z678" s="974"/>
      <c r="AA678" s="974"/>
      <c r="AB678" s="974"/>
      <c r="AC678" s="974"/>
      <c r="AD678" s="974"/>
      <c r="AE678" s="974"/>
    </row>
    <row r="679">
      <c r="A679" s="1526"/>
      <c r="B679" s="1526"/>
      <c r="C679" s="1526"/>
      <c r="D679" s="1526"/>
      <c r="E679" s="1526"/>
      <c r="F679" s="1526"/>
      <c r="G679" s="1526"/>
      <c r="H679" s="1526"/>
      <c r="I679" s="1526"/>
      <c r="J679" s="1526"/>
      <c r="K679" s="1526"/>
      <c r="L679" s="1526"/>
      <c r="M679" s="1526"/>
      <c r="N679" s="1526"/>
      <c r="O679" s="1526"/>
      <c r="P679" s="1526"/>
      <c r="Q679" s="1526"/>
      <c r="R679" s="1526"/>
      <c r="S679" s="1526"/>
      <c r="T679" s="1526"/>
      <c r="U679" s="1526"/>
      <c r="V679" s="1526"/>
      <c r="W679" s="1526"/>
      <c r="X679" s="1526"/>
      <c r="Y679" s="1526"/>
      <c r="Z679" s="974"/>
      <c r="AA679" s="974"/>
      <c r="AB679" s="974"/>
      <c r="AC679" s="974"/>
      <c r="AD679" s="974"/>
      <c r="AE679" s="974"/>
    </row>
    <row r="680">
      <c r="A680" s="1526"/>
      <c r="B680" s="1526"/>
      <c r="C680" s="1526"/>
      <c r="D680" s="1526"/>
      <c r="E680" s="1526"/>
      <c r="F680" s="1526"/>
      <c r="G680" s="1526"/>
      <c r="H680" s="1526"/>
      <c r="I680" s="1526"/>
      <c r="J680" s="1526"/>
      <c r="K680" s="1526"/>
      <c r="L680" s="1526"/>
      <c r="M680" s="1526"/>
      <c r="N680" s="1526"/>
      <c r="O680" s="1526"/>
      <c r="P680" s="1526"/>
      <c r="Q680" s="1526"/>
      <c r="R680" s="1526"/>
      <c r="S680" s="1526"/>
      <c r="T680" s="1526"/>
      <c r="U680" s="1526"/>
      <c r="V680" s="1526"/>
      <c r="W680" s="1526"/>
      <c r="X680" s="1526"/>
      <c r="Y680" s="1526"/>
      <c r="Z680" s="974"/>
      <c r="AA680" s="974"/>
      <c r="AB680" s="974"/>
      <c r="AC680" s="974"/>
      <c r="AD680" s="974"/>
      <c r="AE680" s="974"/>
    </row>
    <row r="681">
      <c r="A681" s="1526"/>
      <c r="B681" s="1526"/>
      <c r="C681" s="1526"/>
      <c r="D681" s="1526"/>
      <c r="E681" s="1526"/>
      <c r="F681" s="1526"/>
      <c r="G681" s="1526"/>
      <c r="H681" s="1526"/>
      <c r="I681" s="1526"/>
      <c r="J681" s="1526"/>
      <c r="K681" s="1526"/>
      <c r="L681" s="1526"/>
      <c r="M681" s="1526"/>
      <c r="N681" s="1526"/>
      <c r="O681" s="1526"/>
      <c r="P681" s="1526"/>
      <c r="Q681" s="1526"/>
      <c r="R681" s="1526"/>
      <c r="S681" s="1526"/>
      <c r="T681" s="1526"/>
      <c r="U681" s="1526"/>
      <c r="V681" s="1526"/>
      <c r="W681" s="1526"/>
      <c r="X681" s="1526"/>
      <c r="Y681" s="1526"/>
      <c r="Z681" s="974"/>
      <c r="AA681" s="974"/>
      <c r="AB681" s="974"/>
      <c r="AC681" s="974"/>
      <c r="AD681" s="974"/>
      <c r="AE681" s="974"/>
    </row>
    <row r="682">
      <c r="A682" s="1526"/>
      <c r="B682" s="1526"/>
      <c r="C682" s="1526"/>
      <c r="D682" s="1526"/>
      <c r="E682" s="1526"/>
      <c r="F682" s="1526"/>
      <c r="G682" s="1526"/>
      <c r="H682" s="1526"/>
      <c r="I682" s="1526"/>
      <c r="J682" s="1526"/>
      <c r="K682" s="1526"/>
      <c r="L682" s="1526"/>
      <c r="M682" s="1526"/>
      <c r="N682" s="1526"/>
      <c r="O682" s="1526"/>
      <c r="P682" s="1526"/>
      <c r="Q682" s="1526"/>
      <c r="R682" s="1526"/>
      <c r="S682" s="1526"/>
      <c r="T682" s="1526"/>
      <c r="U682" s="1526"/>
      <c r="V682" s="1526"/>
      <c r="W682" s="1526"/>
      <c r="X682" s="1526"/>
      <c r="Y682" s="1526"/>
      <c r="Z682" s="974"/>
      <c r="AA682" s="974"/>
      <c r="AB682" s="974"/>
      <c r="AC682" s="974"/>
      <c r="AD682" s="974"/>
      <c r="AE682" s="974"/>
    </row>
    <row r="683">
      <c r="A683" s="1526"/>
      <c r="B683" s="1526"/>
      <c r="C683" s="1526"/>
      <c r="D683" s="1526"/>
      <c r="E683" s="1526"/>
      <c r="F683" s="1526"/>
      <c r="G683" s="1526"/>
      <c r="H683" s="1526"/>
      <c r="I683" s="1526"/>
      <c r="J683" s="1526"/>
      <c r="K683" s="1526"/>
      <c r="L683" s="1526"/>
      <c r="M683" s="1526"/>
      <c r="N683" s="1526"/>
      <c r="O683" s="1526"/>
      <c r="P683" s="1526"/>
      <c r="Q683" s="1526"/>
      <c r="R683" s="1526"/>
      <c r="S683" s="1526"/>
      <c r="T683" s="1526"/>
      <c r="U683" s="1526"/>
      <c r="V683" s="1526"/>
      <c r="W683" s="1526"/>
      <c r="X683" s="1526"/>
      <c r="Y683" s="1526"/>
      <c r="Z683" s="974"/>
      <c r="AA683" s="974"/>
      <c r="AB683" s="974"/>
      <c r="AC683" s="974"/>
      <c r="AD683" s="974"/>
      <c r="AE683" s="974"/>
    </row>
    <row r="684">
      <c r="A684" s="1526"/>
      <c r="B684" s="1526"/>
      <c r="C684" s="1526"/>
      <c r="D684" s="1526"/>
      <c r="E684" s="1526"/>
      <c r="F684" s="1526"/>
      <c r="G684" s="1526"/>
      <c r="H684" s="1526"/>
      <c r="I684" s="1526"/>
      <c r="J684" s="1526"/>
      <c r="K684" s="1526"/>
      <c r="L684" s="1526"/>
      <c r="M684" s="1526"/>
      <c r="N684" s="1526"/>
      <c r="O684" s="1526"/>
      <c r="P684" s="1526"/>
      <c r="Q684" s="1526"/>
      <c r="R684" s="1526"/>
      <c r="S684" s="1526"/>
      <c r="T684" s="1526"/>
      <c r="U684" s="1526"/>
      <c r="V684" s="1526"/>
      <c r="W684" s="1526"/>
      <c r="X684" s="1526"/>
      <c r="Y684" s="1526"/>
      <c r="Z684" s="974"/>
      <c r="AA684" s="974"/>
      <c r="AB684" s="974"/>
      <c r="AC684" s="974"/>
      <c r="AD684" s="974"/>
      <c r="AE684" s="974"/>
    </row>
    <row r="685">
      <c r="A685" s="1526"/>
      <c r="B685" s="1526"/>
      <c r="C685" s="1526"/>
      <c r="D685" s="1526"/>
      <c r="E685" s="1526"/>
      <c r="F685" s="1526"/>
      <c r="G685" s="1526"/>
      <c r="H685" s="1526"/>
      <c r="I685" s="1526"/>
      <c r="J685" s="1526"/>
      <c r="K685" s="1526"/>
      <c r="L685" s="1526"/>
      <c r="M685" s="1526"/>
      <c r="N685" s="1526"/>
      <c r="O685" s="1526"/>
      <c r="P685" s="1526"/>
      <c r="Q685" s="1526"/>
      <c r="R685" s="1526"/>
      <c r="S685" s="1526"/>
      <c r="T685" s="1526"/>
      <c r="U685" s="1526"/>
      <c r="V685" s="1526"/>
      <c r="W685" s="1526"/>
      <c r="X685" s="1526"/>
      <c r="Y685" s="1526"/>
      <c r="Z685" s="974"/>
      <c r="AA685" s="974"/>
      <c r="AB685" s="974"/>
      <c r="AC685" s="974"/>
      <c r="AD685" s="974"/>
      <c r="AE685" s="974"/>
    </row>
    <row r="686">
      <c r="A686" s="1526"/>
      <c r="B686" s="1526"/>
      <c r="C686" s="1526"/>
      <c r="D686" s="1526"/>
      <c r="E686" s="1526"/>
      <c r="F686" s="1526"/>
      <c r="G686" s="1526"/>
      <c r="H686" s="1526"/>
      <c r="I686" s="1526"/>
      <c r="J686" s="1526"/>
      <c r="K686" s="1526"/>
      <c r="L686" s="1526"/>
      <c r="M686" s="1526"/>
      <c r="N686" s="1526"/>
      <c r="O686" s="1526"/>
      <c r="P686" s="1526"/>
      <c r="Q686" s="1526"/>
      <c r="R686" s="1526"/>
      <c r="S686" s="1526"/>
      <c r="T686" s="1526"/>
      <c r="U686" s="1526"/>
      <c r="V686" s="1526"/>
      <c r="W686" s="1526"/>
      <c r="X686" s="1526"/>
      <c r="Y686" s="1526"/>
      <c r="Z686" s="974"/>
      <c r="AA686" s="974"/>
      <c r="AB686" s="974"/>
      <c r="AC686" s="974"/>
      <c r="AD686" s="974"/>
      <c r="AE686" s="974"/>
    </row>
    <row r="687">
      <c r="A687" s="1526"/>
      <c r="B687" s="1526"/>
      <c r="C687" s="1526"/>
      <c r="D687" s="1526"/>
      <c r="E687" s="1526"/>
      <c r="F687" s="1526"/>
      <c r="G687" s="1526"/>
      <c r="H687" s="1526"/>
      <c r="I687" s="1526"/>
      <c r="J687" s="1526"/>
      <c r="K687" s="1526"/>
      <c r="L687" s="1526"/>
      <c r="M687" s="1526"/>
      <c r="N687" s="1526"/>
      <c r="O687" s="1526"/>
      <c r="P687" s="1526"/>
      <c r="Q687" s="1526"/>
      <c r="R687" s="1526"/>
      <c r="S687" s="1526"/>
      <c r="T687" s="1526"/>
      <c r="U687" s="1526"/>
      <c r="V687" s="1526"/>
      <c r="W687" s="1526"/>
      <c r="X687" s="1526"/>
      <c r="Y687" s="1526"/>
      <c r="Z687" s="974"/>
      <c r="AA687" s="974"/>
      <c r="AB687" s="974"/>
      <c r="AC687" s="974"/>
      <c r="AD687" s="974"/>
      <c r="AE687" s="974"/>
    </row>
    <row r="688">
      <c r="A688" s="1526"/>
      <c r="B688" s="1526"/>
      <c r="C688" s="1526"/>
      <c r="D688" s="1526"/>
      <c r="E688" s="1526"/>
      <c r="F688" s="1526"/>
      <c r="G688" s="1526"/>
      <c r="H688" s="1526"/>
      <c r="I688" s="1526"/>
      <c r="J688" s="1526"/>
      <c r="K688" s="1526"/>
      <c r="L688" s="1526"/>
      <c r="M688" s="1526"/>
      <c r="N688" s="1526"/>
      <c r="O688" s="1526"/>
      <c r="P688" s="1526"/>
      <c r="Q688" s="1526"/>
      <c r="R688" s="1526"/>
      <c r="S688" s="1526"/>
      <c r="T688" s="1526"/>
      <c r="U688" s="1526"/>
      <c r="V688" s="1526"/>
      <c r="W688" s="1526"/>
      <c r="X688" s="1526"/>
      <c r="Y688" s="1526"/>
      <c r="Z688" s="974"/>
      <c r="AA688" s="974"/>
      <c r="AB688" s="974"/>
      <c r="AC688" s="974"/>
      <c r="AD688" s="974"/>
      <c r="AE688" s="974"/>
    </row>
    <row r="689">
      <c r="A689" s="1526"/>
      <c r="B689" s="1526"/>
      <c r="C689" s="1526"/>
      <c r="D689" s="1526"/>
      <c r="E689" s="1526"/>
      <c r="F689" s="1526"/>
      <c r="G689" s="1526"/>
      <c r="H689" s="1526"/>
      <c r="I689" s="1526"/>
      <c r="J689" s="1526"/>
      <c r="K689" s="1526"/>
      <c r="L689" s="1526"/>
      <c r="M689" s="1526"/>
      <c r="N689" s="1526"/>
      <c r="O689" s="1526"/>
      <c r="P689" s="1526"/>
      <c r="Q689" s="1526"/>
      <c r="R689" s="1526"/>
      <c r="S689" s="1526"/>
      <c r="T689" s="1526"/>
      <c r="U689" s="1526"/>
      <c r="V689" s="1526"/>
      <c r="W689" s="1526"/>
      <c r="X689" s="1526"/>
      <c r="Y689" s="1526"/>
      <c r="Z689" s="974"/>
      <c r="AA689" s="974"/>
      <c r="AB689" s="974"/>
      <c r="AC689" s="974"/>
      <c r="AD689" s="974"/>
      <c r="AE689" s="974"/>
    </row>
    <row r="690">
      <c r="A690" s="1526"/>
      <c r="B690" s="1526"/>
      <c r="C690" s="1526"/>
      <c r="D690" s="1526"/>
      <c r="E690" s="1526"/>
      <c r="F690" s="1526"/>
      <c r="G690" s="1526"/>
      <c r="H690" s="1526"/>
      <c r="I690" s="1526"/>
      <c r="J690" s="1526"/>
      <c r="K690" s="1526"/>
      <c r="L690" s="1526"/>
      <c r="M690" s="1526"/>
      <c r="N690" s="1526"/>
      <c r="O690" s="1526"/>
      <c r="P690" s="1526"/>
      <c r="Q690" s="1526"/>
      <c r="R690" s="1526"/>
      <c r="S690" s="1526"/>
      <c r="T690" s="1526"/>
      <c r="U690" s="1526"/>
      <c r="V690" s="1526"/>
      <c r="W690" s="1526"/>
      <c r="X690" s="1526"/>
      <c r="Y690" s="1526"/>
      <c r="Z690" s="974"/>
      <c r="AA690" s="974"/>
      <c r="AB690" s="974"/>
      <c r="AC690" s="974"/>
      <c r="AD690" s="974"/>
      <c r="AE690" s="974"/>
    </row>
    <row r="691">
      <c r="A691" s="1526"/>
      <c r="B691" s="1526"/>
      <c r="C691" s="1526"/>
      <c r="D691" s="1526"/>
      <c r="E691" s="1526"/>
      <c r="F691" s="1526"/>
      <c r="G691" s="1526"/>
      <c r="H691" s="1526"/>
      <c r="I691" s="1526"/>
      <c r="J691" s="1526"/>
      <c r="K691" s="1526"/>
      <c r="L691" s="1526"/>
      <c r="M691" s="1526"/>
      <c r="N691" s="1526"/>
      <c r="O691" s="1526"/>
      <c r="P691" s="1526"/>
      <c r="Q691" s="1526"/>
      <c r="R691" s="1526"/>
      <c r="S691" s="1526"/>
      <c r="T691" s="1526"/>
      <c r="U691" s="1526"/>
      <c r="V691" s="1526"/>
      <c r="W691" s="1526"/>
      <c r="X691" s="1526"/>
      <c r="Y691" s="1526"/>
      <c r="Z691" s="974"/>
      <c r="AA691" s="974"/>
      <c r="AB691" s="974"/>
      <c r="AC691" s="974"/>
      <c r="AD691" s="974"/>
      <c r="AE691" s="974"/>
    </row>
    <row r="692">
      <c r="A692" s="1526"/>
      <c r="B692" s="1526"/>
      <c r="C692" s="1526"/>
      <c r="D692" s="1526"/>
      <c r="E692" s="1526"/>
      <c r="F692" s="1526"/>
      <c r="G692" s="1526"/>
      <c r="H692" s="1526"/>
      <c r="I692" s="1526"/>
      <c r="J692" s="1526"/>
      <c r="K692" s="1526"/>
      <c r="L692" s="1526"/>
      <c r="M692" s="1526"/>
      <c r="N692" s="1526"/>
      <c r="O692" s="1526"/>
      <c r="P692" s="1526"/>
      <c r="Q692" s="1526"/>
      <c r="R692" s="1526"/>
      <c r="S692" s="1526"/>
      <c r="T692" s="1526"/>
      <c r="U692" s="1526"/>
      <c r="V692" s="1526"/>
      <c r="W692" s="1526"/>
      <c r="X692" s="1526"/>
      <c r="Y692" s="1526"/>
      <c r="Z692" s="974"/>
      <c r="AA692" s="974"/>
      <c r="AB692" s="974"/>
      <c r="AC692" s="974"/>
      <c r="AD692" s="974"/>
      <c r="AE692" s="974"/>
    </row>
    <row r="693">
      <c r="A693" s="1526"/>
      <c r="B693" s="1526"/>
      <c r="C693" s="1526"/>
      <c r="D693" s="1526"/>
      <c r="E693" s="1526"/>
      <c r="F693" s="1526"/>
      <c r="G693" s="1526"/>
      <c r="H693" s="1526"/>
      <c r="I693" s="1526"/>
      <c r="J693" s="1526"/>
      <c r="K693" s="1526"/>
      <c r="L693" s="1526"/>
      <c r="M693" s="1526"/>
      <c r="N693" s="1526"/>
      <c r="O693" s="1526"/>
      <c r="P693" s="1526"/>
      <c r="Q693" s="1526"/>
      <c r="R693" s="1526"/>
      <c r="S693" s="1526"/>
      <c r="T693" s="1526"/>
      <c r="U693" s="1526"/>
      <c r="V693" s="1526"/>
      <c r="W693" s="1526"/>
      <c r="X693" s="1526"/>
      <c r="Y693" s="1526"/>
      <c r="Z693" s="974"/>
      <c r="AA693" s="974"/>
      <c r="AB693" s="974"/>
      <c r="AC693" s="974"/>
      <c r="AD693" s="974"/>
      <c r="AE693" s="974"/>
    </row>
    <row r="694">
      <c r="A694" s="1526"/>
      <c r="B694" s="1526"/>
      <c r="C694" s="1526"/>
      <c r="D694" s="1526"/>
      <c r="E694" s="1526"/>
      <c r="F694" s="1526"/>
      <c r="G694" s="1526"/>
      <c r="H694" s="1526"/>
      <c r="I694" s="1526"/>
      <c r="J694" s="1526"/>
      <c r="K694" s="1526"/>
      <c r="L694" s="1526"/>
      <c r="M694" s="1526"/>
      <c r="N694" s="1526"/>
      <c r="O694" s="1526"/>
      <c r="P694" s="1526"/>
      <c r="Q694" s="1526"/>
      <c r="R694" s="1526"/>
      <c r="S694" s="1526"/>
      <c r="T694" s="1526"/>
      <c r="U694" s="1526"/>
      <c r="V694" s="1526"/>
      <c r="W694" s="1526"/>
      <c r="X694" s="1526"/>
      <c r="Y694" s="1526"/>
      <c r="Z694" s="974"/>
      <c r="AA694" s="974"/>
      <c r="AB694" s="974"/>
      <c r="AC694" s="974"/>
      <c r="AD694" s="974"/>
      <c r="AE694" s="974"/>
    </row>
    <row r="695">
      <c r="A695" s="1526"/>
      <c r="B695" s="1526"/>
      <c r="C695" s="1526"/>
      <c r="D695" s="1526"/>
      <c r="E695" s="1526"/>
      <c r="F695" s="1526"/>
      <c r="G695" s="1526"/>
      <c r="H695" s="1526"/>
      <c r="I695" s="1526"/>
      <c r="J695" s="1526"/>
      <c r="K695" s="1526"/>
      <c r="L695" s="1526"/>
      <c r="M695" s="1526"/>
      <c r="N695" s="1526"/>
      <c r="O695" s="1526"/>
      <c r="P695" s="1526"/>
      <c r="Q695" s="1526"/>
      <c r="R695" s="1526"/>
      <c r="S695" s="1526"/>
      <c r="T695" s="1526"/>
      <c r="U695" s="1526"/>
      <c r="V695" s="1526"/>
      <c r="W695" s="1526"/>
      <c r="X695" s="1526"/>
      <c r="Y695" s="1526"/>
      <c r="Z695" s="974"/>
      <c r="AA695" s="974"/>
      <c r="AB695" s="974"/>
      <c r="AC695" s="974"/>
      <c r="AD695" s="974"/>
      <c r="AE695" s="974"/>
    </row>
    <row r="696">
      <c r="A696" s="1526"/>
      <c r="B696" s="1526"/>
      <c r="C696" s="1526"/>
      <c r="D696" s="1526"/>
      <c r="E696" s="1526"/>
      <c r="F696" s="1526"/>
      <c r="G696" s="1526"/>
      <c r="H696" s="1526"/>
      <c r="I696" s="1526"/>
      <c r="J696" s="1526"/>
      <c r="K696" s="1526"/>
      <c r="L696" s="1526"/>
      <c r="M696" s="1526"/>
      <c r="N696" s="1526"/>
      <c r="O696" s="1526"/>
      <c r="P696" s="1526"/>
      <c r="Q696" s="1526"/>
      <c r="R696" s="1526"/>
      <c r="S696" s="1526"/>
      <c r="T696" s="1526"/>
      <c r="U696" s="1526"/>
      <c r="V696" s="1526"/>
      <c r="W696" s="1526"/>
      <c r="X696" s="1526"/>
      <c r="Y696" s="1526"/>
      <c r="Z696" s="974"/>
      <c r="AA696" s="974"/>
      <c r="AB696" s="974"/>
      <c r="AC696" s="974"/>
      <c r="AD696" s="974"/>
      <c r="AE696" s="974"/>
    </row>
    <row r="697">
      <c r="A697" s="1526"/>
      <c r="B697" s="1526"/>
      <c r="C697" s="1526"/>
      <c r="D697" s="1526"/>
      <c r="E697" s="1526"/>
      <c r="F697" s="1526"/>
      <c r="G697" s="1526"/>
      <c r="H697" s="1526"/>
      <c r="I697" s="1526"/>
      <c r="J697" s="1526"/>
      <c r="K697" s="1526"/>
      <c r="L697" s="1526"/>
      <c r="M697" s="1526"/>
      <c r="N697" s="1526"/>
      <c r="O697" s="1526"/>
      <c r="P697" s="1526"/>
      <c r="Q697" s="1526"/>
      <c r="R697" s="1526"/>
      <c r="S697" s="1526"/>
      <c r="T697" s="1526"/>
      <c r="U697" s="1526"/>
      <c r="V697" s="1526"/>
      <c r="W697" s="1526"/>
      <c r="X697" s="1526"/>
      <c r="Y697" s="1526"/>
      <c r="Z697" s="974"/>
      <c r="AA697" s="974"/>
      <c r="AB697" s="974"/>
      <c r="AC697" s="974"/>
      <c r="AD697" s="974"/>
      <c r="AE697" s="974"/>
    </row>
    <row r="698">
      <c r="A698" s="1526"/>
      <c r="B698" s="1526"/>
      <c r="C698" s="1526"/>
      <c r="D698" s="1526"/>
      <c r="E698" s="1526"/>
      <c r="F698" s="1526"/>
      <c r="G698" s="1526"/>
      <c r="H698" s="1526"/>
      <c r="I698" s="1526"/>
      <c r="J698" s="1526"/>
      <c r="K698" s="1526"/>
      <c r="L698" s="1526"/>
      <c r="M698" s="1526"/>
      <c r="N698" s="1526"/>
      <c r="O698" s="1526"/>
      <c r="P698" s="1526"/>
      <c r="Q698" s="1526"/>
      <c r="R698" s="1526"/>
      <c r="S698" s="1526"/>
      <c r="T698" s="1526"/>
      <c r="U698" s="1526"/>
      <c r="V698" s="1526"/>
      <c r="W698" s="1526"/>
      <c r="X698" s="1526"/>
      <c r="Y698" s="1526"/>
      <c r="Z698" s="974"/>
      <c r="AA698" s="974"/>
      <c r="AB698" s="974"/>
      <c r="AC698" s="974"/>
      <c r="AD698" s="974"/>
      <c r="AE698" s="974"/>
    </row>
    <row r="699">
      <c r="A699" s="1526"/>
      <c r="B699" s="1526"/>
      <c r="C699" s="1526"/>
      <c r="D699" s="1526"/>
      <c r="E699" s="1526"/>
      <c r="F699" s="1526"/>
      <c r="G699" s="1526"/>
      <c r="H699" s="1526"/>
      <c r="I699" s="1526"/>
      <c r="J699" s="1526"/>
      <c r="K699" s="1526"/>
      <c r="L699" s="1526"/>
      <c r="M699" s="1526"/>
      <c r="N699" s="1526"/>
      <c r="O699" s="1526"/>
      <c r="P699" s="1526"/>
      <c r="Q699" s="1526"/>
      <c r="R699" s="1526"/>
      <c r="S699" s="1526"/>
      <c r="T699" s="1526"/>
      <c r="U699" s="1526"/>
      <c r="V699" s="1526"/>
      <c r="W699" s="1526"/>
      <c r="X699" s="1526"/>
      <c r="Y699" s="1526"/>
      <c r="Z699" s="974"/>
      <c r="AA699" s="974"/>
      <c r="AB699" s="974"/>
      <c r="AC699" s="974"/>
      <c r="AD699" s="974"/>
      <c r="AE699" s="974"/>
    </row>
    <row r="700">
      <c r="A700" s="1526"/>
      <c r="B700" s="1526"/>
      <c r="C700" s="1526"/>
      <c r="D700" s="1526"/>
      <c r="E700" s="1526"/>
      <c r="F700" s="1526"/>
      <c r="G700" s="1526"/>
      <c r="H700" s="1526"/>
      <c r="I700" s="1526"/>
      <c r="J700" s="1526"/>
      <c r="K700" s="1526"/>
      <c r="L700" s="1526"/>
      <c r="M700" s="1526"/>
      <c r="N700" s="1526"/>
      <c r="O700" s="1526"/>
      <c r="P700" s="1526"/>
      <c r="Q700" s="1526"/>
      <c r="R700" s="1526"/>
      <c r="S700" s="1526"/>
      <c r="T700" s="1526"/>
      <c r="U700" s="1526"/>
      <c r="V700" s="1526"/>
      <c r="W700" s="1526"/>
      <c r="X700" s="1526"/>
      <c r="Y700" s="1526"/>
      <c r="Z700" s="974"/>
      <c r="AA700" s="974"/>
      <c r="AB700" s="974"/>
      <c r="AC700" s="974"/>
      <c r="AD700" s="974"/>
      <c r="AE700" s="974"/>
    </row>
    <row r="701">
      <c r="A701" s="1526"/>
      <c r="B701" s="1526"/>
      <c r="C701" s="1526"/>
      <c r="D701" s="1526"/>
      <c r="E701" s="1526"/>
      <c r="F701" s="1526"/>
      <c r="G701" s="1526"/>
      <c r="H701" s="1526"/>
      <c r="I701" s="1526"/>
      <c r="J701" s="1526"/>
      <c r="K701" s="1526"/>
      <c r="L701" s="1526"/>
      <c r="M701" s="1526"/>
      <c r="N701" s="1526"/>
      <c r="O701" s="1526"/>
      <c r="P701" s="1526"/>
      <c r="Q701" s="1526"/>
      <c r="R701" s="1526"/>
      <c r="S701" s="1526"/>
      <c r="T701" s="1526"/>
      <c r="U701" s="1526"/>
      <c r="V701" s="1526"/>
      <c r="W701" s="1526"/>
      <c r="X701" s="1526"/>
      <c r="Y701" s="1526"/>
      <c r="Z701" s="974"/>
      <c r="AA701" s="974"/>
      <c r="AB701" s="974"/>
      <c r="AC701" s="974"/>
      <c r="AD701" s="974"/>
      <c r="AE701" s="974"/>
    </row>
    <row r="702">
      <c r="A702" s="1526"/>
      <c r="B702" s="1526"/>
      <c r="C702" s="1526"/>
      <c r="D702" s="1526"/>
      <c r="E702" s="1526"/>
      <c r="F702" s="1526"/>
      <c r="G702" s="1526"/>
      <c r="H702" s="1526"/>
      <c r="I702" s="1526"/>
      <c r="J702" s="1526"/>
      <c r="K702" s="1526"/>
      <c r="L702" s="1526"/>
      <c r="M702" s="1526"/>
      <c r="N702" s="1526"/>
      <c r="O702" s="1526"/>
      <c r="P702" s="1526"/>
      <c r="Q702" s="1526"/>
      <c r="R702" s="1526"/>
      <c r="S702" s="1526"/>
      <c r="T702" s="1526"/>
      <c r="U702" s="1526"/>
      <c r="V702" s="1526"/>
      <c r="W702" s="1526"/>
      <c r="X702" s="1526"/>
      <c r="Y702" s="1526"/>
      <c r="Z702" s="974"/>
      <c r="AA702" s="974"/>
      <c r="AB702" s="974"/>
      <c r="AC702" s="974"/>
      <c r="AD702" s="974"/>
      <c r="AE702" s="974"/>
    </row>
    <row r="703">
      <c r="A703" s="1526"/>
      <c r="B703" s="1526"/>
      <c r="C703" s="1526"/>
      <c r="D703" s="1526"/>
      <c r="E703" s="1526"/>
      <c r="F703" s="1526"/>
      <c r="G703" s="1526"/>
      <c r="H703" s="1526"/>
      <c r="I703" s="1526"/>
      <c r="J703" s="1526"/>
      <c r="K703" s="1526"/>
      <c r="L703" s="1526"/>
      <c r="M703" s="1526"/>
      <c r="N703" s="1526"/>
      <c r="O703" s="1526"/>
      <c r="P703" s="1526"/>
      <c r="Q703" s="1526"/>
      <c r="R703" s="1526"/>
      <c r="S703" s="1526"/>
      <c r="T703" s="1526"/>
      <c r="U703" s="1526"/>
      <c r="V703" s="1526"/>
      <c r="W703" s="1526"/>
      <c r="X703" s="1526"/>
      <c r="Y703" s="1526"/>
      <c r="Z703" s="974"/>
      <c r="AA703" s="974"/>
      <c r="AB703" s="974"/>
      <c r="AC703" s="974"/>
      <c r="AD703" s="974"/>
      <c r="AE703" s="974"/>
    </row>
    <row r="704">
      <c r="A704" s="1526"/>
      <c r="B704" s="1526"/>
      <c r="C704" s="1526"/>
      <c r="D704" s="1526"/>
      <c r="E704" s="1526"/>
      <c r="F704" s="1526"/>
      <c r="G704" s="1526"/>
      <c r="H704" s="1526"/>
      <c r="I704" s="1526"/>
      <c r="J704" s="1526"/>
      <c r="K704" s="1526"/>
      <c r="L704" s="1526"/>
      <c r="M704" s="1526"/>
      <c r="N704" s="1526"/>
      <c r="O704" s="1526"/>
      <c r="P704" s="1526"/>
      <c r="Q704" s="1526"/>
      <c r="R704" s="1526"/>
      <c r="S704" s="1526"/>
      <c r="T704" s="1526"/>
      <c r="U704" s="1526"/>
      <c r="V704" s="1526"/>
      <c r="W704" s="1526"/>
      <c r="X704" s="1526"/>
      <c r="Y704" s="1526"/>
      <c r="Z704" s="974"/>
      <c r="AA704" s="974"/>
      <c r="AB704" s="974"/>
      <c r="AC704" s="974"/>
      <c r="AD704" s="974"/>
      <c r="AE704" s="974"/>
    </row>
    <row r="705">
      <c r="A705" s="1526"/>
      <c r="B705" s="1526"/>
      <c r="C705" s="1526"/>
      <c r="D705" s="1526"/>
      <c r="E705" s="1526"/>
      <c r="F705" s="1526"/>
      <c r="G705" s="1526"/>
      <c r="H705" s="1526"/>
      <c r="I705" s="1526"/>
      <c r="J705" s="1526"/>
      <c r="K705" s="1526"/>
      <c r="L705" s="1526"/>
      <c r="M705" s="1526"/>
      <c r="N705" s="1526"/>
      <c r="O705" s="1526"/>
      <c r="P705" s="1526"/>
      <c r="Q705" s="1526"/>
      <c r="R705" s="1526"/>
      <c r="S705" s="1526"/>
      <c r="T705" s="1526"/>
      <c r="U705" s="1526"/>
      <c r="V705" s="1526"/>
      <c r="W705" s="1526"/>
      <c r="X705" s="1526"/>
      <c r="Y705" s="1526"/>
      <c r="Z705" s="974"/>
      <c r="AA705" s="974"/>
      <c r="AB705" s="974"/>
      <c r="AC705" s="974"/>
      <c r="AD705" s="974"/>
      <c r="AE705" s="974"/>
    </row>
    <row r="706">
      <c r="A706" s="1526"/>
      <c r="B706" s="1526"/>
      <c r="C706" s="1526"/>
      <c r="D706" s="1526"/>
      <c r="E706" s="1526"/>
      <c r="F706" s="1526"/>
      <c r="G706" s="1526"/>
      <c r="H706" s="1526"/>
      <c r="I706" s="1526"/>
      <c r="J706" s="1526"/>
      <c r="K706" s="1526"/>
      <c r="L706" s="1526"/>
      <c r="M706" s="1526"/>
      <c r="N706" s="1526"/>
      <c r="O706" s="1526"/>
      <c r="P706" s="1526"/>
      <c r="Q706" s="1526"/>
      <c r="R706" s="1526"/>
      <c r="S706" s="1526"/>
      <c r="T706" s="1526"/>
      <c r="U706" s="1526"/>
      <c r="V706" s="1526"/>
      <c r="W706" s="1526"/>
      <c r="X706" s="1526"/>
      <c r="Y706" s="1526"/>
      <c r="Z706" s="974"/>
      <c r="AA706" s="974"/>
      <c r="AB706" s="974"/>
      <c r="AC706" s="974"/>
      <c r="AD706" s="974"/>
      <c r="AE706" s="974"/>
    </row>
    <row r="707">
      <c r="A707" s="1526"/>
      <c r="B707" s="1526"/>
      <c r="C707" s="1526"/>
      <c r="D707" s="1526"/>
      <c r="E707" s="1526"/>
      <c r="F707" s="1526"/>
      <c r="G707" s="1526"/>
      <c r="H707" s="1526"/>
      <c r="I707" s="1526"/>
      <c r="J707" s="1526"/>
      <c r="K707" s="1526"/>
      <c r="L707" s="1526"/>
      <c r="M707" s="1526"/>
      <c r="N707" s="1526"/>
      <c r="O707" s="1526"/>
      <c r="P707" s="1526"/>
      <c r="Q707" s="1526"/>
      <c r="R707" s="1526"/>
      <c r="S707" s="1526"/>
      <c r="T707" s="1526"/>
      <c r="U707" s="1526"/>
      <c r="V707" s="1526"/>
      <c r="W707" s="1526"/>
      <c r="X707" s="1526"/>
      <c r="Y707" s="1526"/>
      <c r="Z707" s="974"/>
      <c r="AA707" s="974"/>
      <c r="AB707" s="974"/>
      <c r="AC707" s="974"/>
      <c r="AD707" s="974"/>
      <c r="AE707" s="974"/>
    </row>
    <row r="708">
      <c r="A708" s="1526"/>
      <c r="B708" s="1526"/>
      <c r="C708" s="1526"/>
      <c r="D708" s="1526"/>
      <c r="E708" s="1526"/>
      <c r="F708" s="1526"/>
      <c r="G708" s="1526"/>
      <c r="H708" s="1526"/>
      <c r="I708" s="1526"/>
      <c r="J708" s="1526"/>
      <c r="K708" s="1526"/>
      <c r="L708" s="1526"/>
      <c r="M708" s="1526"/>
      <c r="N708" s="1526"/>
      <c r="O708" s="1526"/>
      <c r="P708" s="1526"/>
      <c r="Q708" s="1526"/>
      <c r="R708" s="1526"/>
      <c r="S708" s="1526"/>
      <c r="T708" s="1526"/>
      <c r="U708" s="1526"/>
      <c r="V708" s="1526"/>
      <c r="W708" s="1526"/>
      <c r="X708" s="1526"/>
      <c r="Y708" s="1526"/>
      <c r="Z708" s="974"/>
      <c r="AA708" s="974"/>
      <c r="AB708" s="974"/>
      <c r="AC708" s="974"/>
      <c r="AD708" s="974"/>
      <c r="AE708" s="974"/>
    </row>
    <row r="709">
      <c r="A709" s="1526"/>
      <c r="B709" s="1526"/>
      <c r="C709" s="1526"/>
      <c r="D709" s="1526"/>
      <c r="E709" s="1526"/>
      <c r="F709" s="1526"/>
      <c r="G709" s="1526"/>
      <c r="H709" s="1526"/>
      <c r="I709" s="1526"/>
      <c r="J709" s="1526"/>
      <c r="K709" s="1526"/>
      <c r="L709" s="1526"/>
      <c r="M709" s="1526"/>
      <c r="N709" s="1526"/>
      <c r="O709" s="1526"/>
      <c r="P709" s="1526"/>
      <c r="Q709" s="1526"/>
      <c r="R709" s="1526"/>
      <c r="S709" s="1526"/>
      <c r="T709" s="1526"/>
      <c r="U709" s="1526"/>
      <c r="V709" s="1526"/>
      <c r="W709" s="1526"/>
      <c r="X709" s="1526"/>
      <c r="Y709" s="1526"/>
      <c r="Z709" s="974"/>
      <c r="AA709" s="974"/>
      <c r="AB709" s="974"/>
      <c r="AC709" s="974"/>
      <c r="AD709" s="974"/>
      <c r="AE709" s="974"/>
    </row>
    <row r="710">
      <c r="A710" s="1526"/>
      <c r="B710" s="1526"/>
      <c r="C710" s="1526"/>
      <c r="D710" s="1526"/>
      <c r="E710" s="1526"/>
      <c r="F710" s="1526"/>
      <c r="G710" s="1526"/>
      <c r="H710" s="1526"/>
      <c r="I710" s="1526"/>
      <c r="J710" s="1526"/>
      <c r="K710" s="1526"/>
      <c r="L710" s="1526"/>
      <c r="M710" s="1526"/>
      <c r="N710" s="1526"/>
      <c r="O710" s="1526"/>
      <c r="P710" s="1526"/>
      <c r="Q710" s="1526"/>
      <c r="R710" s="1526"/>
      <c r="S710" s="1526"/>
      <c r="T710" s="1526"/>
      <c r="U710" s="1526"/>
      <c r="V710" s="1526"/>
      <c r="W710" s="1526"/>
      <c r="X710" s="1526"/>
      <c r="Y710" s="1526"/>
      <c r="Z710" s="974"/>
      <c r="AA710" s="974"/>
      <c r="AB710" s="974"/>
      <c r="AC710" s="974"/>
      <c r="AD710" s="974"/>
      <c r="AE710" s="974"/>
    </row>
    <row r="711">
      <c r="A711" s="1526"/>
      <c r="B711" s="1526"/>
      <c r="C711" s="1526"/>
      <c r="D711" s="1526"/>
      <c r="E711" s="1526"/>
      <c r="F711" s="1526"/>
      <c r="G711" s="1526"/>
      <c r="H711" s="1526"/>
      <c r="I711" s="1526"/>
      <c r="J711" s="1526"/>
      <c r="K711" s="1526"/>
      <c r="L711" s="1526"/>
      <c r="M711" s="1526"/>
      <c r="N711" s="1526"/>
      <c r="O711" s="1526"/>
      <c r="P711" s="1526"/>
      <c r="Q711" s="1526"/>
      <c r="R711" s="1526"/>
      <c r="S711" s="1526"/>
      <c r="T711" s="1526"/>
      <c r="U711" s="1526"/>
      <c r="V711" s="1526"/>
      <c r="W711" s="1526"/>
      <c r="X711" s="1526"/>
      <c r="Y711" s="1526"/>
      <c r="Z711" s="974"/>
      <c r="AA711" s="974"/>
      <c r="AB711" s="974"/>
      <c r="AC711" s="974"/>
      <c r="AD711" s="974"/>
      <c r="AE711" s="974"/>
    </row>
    <row r="712">
      <c r="A712" s="1526"/>
      <c r="B712" s="1526"/>
      <c r="C712" s="1526"/>
      <c r="D712" s="1526"/>
      <c r="E712" s="1526"/>
      <c r="F712" s="1526"/>
      <c r="G712" s="1526"/>
      <c r="H712" s="1526"/>
      <c r="I712" s="1526"/>
      <c r="J712" s="1526"/>
      <c r="K712" s="1526"/>
      <c r="L712" s="1526"/>
      <c r="M712" s="1526"/>
      <c r="N712" s="1526"/>
      <c r="O712" s="1526"/>
      <c r="P712" s="1526"/>
      <c r="Q712" s="1526"/>
      <c r="R712" s="1526"/>
      <c r="S712" s="1526"/>
      <c r="T712" s="1526"/>
      <c r="U712" s="1526"/>
      <c r="V712" s="1526"/>
      <c r="W712" s="1526"/>
      <c r="X712" s="1526"/>
      <c r="Y712" s="1526"/>
      <c r="Z712" s="974"/>
      <c r="AA712" s="974"/>
      <c r="AB712" s="974"/>
      <c r="AC712" s="974"/>
      <c r="AD712" s="974"/>
      <c r="AE712" s="974"/>
    </row>
    <row r="713">
      <c r="A713" s="1526"/>
      <c r="B713" s="1526"/>
      <c r="C713" s="1526"/>
      <c r="D713" s="1526"/>
      <c r="E713" s="1526"/>
      <c r="F713" s="1526"/>
      <c r="G713" s="1526"/>
      <c r="H713" s="1526"/>
      <c r="I713" s="1526"/>
      <c r="J713" s="1526"/>
      <c r="K713" s="1526"/>
      <c r="L713" s="1526"/>
      <c r="M713" s="1526"/>
      <c r="N713" s="1526"/>
      <c r="O713" s="1526"/>
      <c r="P713" s="1526"/>
      <c r="Q713" s="1526"/>
      <c r="R713" s="1526"/>
      <c r="S713" s="1526"/>
      <c r="T713" s="1526"/>
      <c r="U713" s="1526"/>
      <c r="V713" s="1526"/>
      <c r="W713" s="1526"/>
      <c r="X713" s="1526"/>
      <c r="Y713" s="1526"/>
      <c r="Z713" s="974"/>
      <c r="AA713" s="974"/>
      <c r="AB713" s="974"/>
      <c r="AC713" s="974"/>
      <c r="AD713" s="974"/>
      <c r="AE713" s="974"/>
    </row>
    <row r="714">
      <c r="A714" s="1526"/>
      <c r="B714" s="1526"/>
      <c r="C714" s="1526"/>
      <c r="D714" s="1526"/>
      <c r="E714" s="1526"/>
      <c r="F714" s="1526"/>
      <c r="G714" s="1526"/>
      <c r="H714" s="1526"/>
      <c r="I714" s="1526"/>
      <c r="J714" s="1526"/>
      <c r="K714" s="1526"/>
      <c r="L714" s="1526"/>
      <c r="M714" s="1526"/>
      <c r="N714" s="1526"/>
      <c r="O714" s="1526"/>
      <c r="P714" s="1526"/>
      <c r="Q714" s="1526"/>
      <c r="R714" s="1526"/>
      <c r="S714" s="1526"/>
      <c r="T714" s="1526"/>
      <c r="U714" s="1526"/>
      <c r="V714" s="1526"/>
      <c r="W714" s="1526"/>
      <c r="X714" s="1526"/>
      <c r="Y714" s="1526"/>
      <c r="Z714" s="974"/>
      <c r="AA714" s="974"/>
      <c r="AB714" s="974"/>
      <c r="AC714" s="974"/>
      <c r="AD714" s="974"/>
      <c r="AE714" s="974"/>
    </row>
    <row r="715">
      <c r="A715" s="1526"/>
      <c r="B715" s="1526"/>
      <c r="C715" s="1526"/>
      <c r="D715" s="1526"/>
      <c r="E715" s="1526"/>
      <c r="F715" s="1526"/>
      <c r="G715" s="1526"/>
      <c r="H715" s="1526"/>
      <c r="I715" s="1526"/>
      <c r="J715" s="1526"/>
      <c r="K715" s="1526"/>
      <c r="L715" s="1526"/>
      <c r="M715" s="1526"/>
      <c r="N715" s="1526"/>
      <c r="O715" s="1526"/>
      <c r="P715" s="1526"/>
      <c r="Q715" s="1526"/>
      <c r="R715" s="1526"/>
      <c r="S715" s="1526"/>
      <c r="T715" s="1526"/>
      <c r="U715" s="1526"/>
      <c r="V715" s="1526"/>
      <c r="W715" s="1526"/>
      <c r="X715" s="1526"/>
      <c r="Y715" s="1526"/>
      <c r="Z715" s="974"/>
      <c r="AA715" s="974"/>
      <c r="AB715" s="974"/>
      <c r="AC715" s="974"/>
      <c r="AD715" s="974"/>
      <c r="AE715" s="974"/>
    </row>
    <row r="716">
      <c r="A716" s="1526"/>
      <c r="B716" s="1526"/>
      <c r="C716" s="1526"/>
      <c r="D716" s="1526"/>
      <c r="E716" s="1526"/>
      <c r="F716" s="1526"/>
      <c r="G716" s="1526"/>
      <c r="H716" s="1526"/>
      <c r="I716" s="1526"/>
      <c r="J716" s="1526"/>
      <c r="K716" s="1526"/>
      <c r="L716" s="1526"/>
      <c r="M716" s="1526"/>
      <c r="N716" s="1526"/>
      <c r="O716" s="1526"/>
      <c r="P716" s="1526"/>
      <c r="Q716" s="1526"/>
      <c r="R716" s="1526"/>
      <c r="S716" s="1526"/>
      <c r="T716" s="1526"/>
      <c r="U716" s="1526"/>
      <c r="V716" s="1526"/>
      <c r="W716" s="1526"/>
      <c r="X716" s="1526"/>
      <c r="Y716" s="1526"/>
      <c r="Z716" s="974"/>
      <c r="AA716" s="974"/>
      <c r="AB716" s="974"/>
      <c r="AC716" s="974"/>
      <c r="AD716" s="974"/>
      <c r="AE716" s="974"/>
    </row>
    <row r="717">
      <c r="A717" s="1526"/>
      <c r="B717" s="1526"/>
      <c r="C717" s="1526"/>
      <c r="D717" s="1526"/>
      <c r="E717" s="1526"/>
      <c r="F717" s="1526"/>
      <c r="G717" s="1526"/>
      <c r="H717" s="1526"/>
      <c r="I717" s="1526"/>
      <c r="J717" s="1526"/>
      <c r="K717" s="1526"/>
      <c r="L717" s="1526"/>
      <c r="M717" s="1526"/>
      <c r="N717" s="1526"/>
      <c r="O717" s="1526"/>
      <c r="P717" s="1526"/>
      <c r="Q717" s="1526"/>
      <c r="R717" s="1526"/>
      <c r="S717" s="1526"/>
      <c r="T717" s="1526"/>
      <c r="U717" s="1526"/>
      <c r="V717" s="1526"/>
      <c r="W717" s="1526"/>
      <c r="X717" s="1526"/>
      <c r="Y717" s="1526"/>
      <c r="Z717" s="974"/>
      <c r="AA717" s="974"/>
      <c r="AB717" s="974"/>
      <c r="AC717" s="974"/>
      <c r="AD717" s="974"/>
      <c r="AE717" s="974"/>
    </row>
    <row r="718">
      <c r="A718" s="1526"/>
      <c r="B718" s="1526"/>
      <c r="C718" s="1526"/>
      <c r="D718" s="1526"/>
      <c r="E718" s="1526"/>
      <c r="F718" s="1526"/>
      <c r="G718" s="1526"/>
      <c r="H718" s="1526"/>
      <c r="I718" s="1526"/>
      <c r="J718" s="1526"/>
      <c r="K718" s="1526"/>
      <c r="L718" s="1526"/>
      <c r="M718" s="1526"/>
      <c r="N718" s="1526"/>
      <c r="O718" s="1526"/>
      <c r="P718" s="1526"/>
      <c r="Q718" s="1526"/>
      <c r="R718" s="1526"/>
      <c r="S718" s="1526"/>
      <c r="T718" s="1526"/>
      <c r="U718" s="1526"/>
      <c r="V718" s="1526"/>
      <c r="W718" s="1526"/>
      <c r="X718" s="1526"/>
      <c r="Y718" s="1526"/>
      <c r="Z718" s="974"/>
      <c r="AA718" s="974"/>
      <c r="AB718" s="974"/>
      <c r="AC718" s="974"/>
      <c r="AD718" s="974"/>
      <c r="AE718" s="974"/>
    </row>
    <row r="719">
      <c r="A719" s="1526"/>
      <c r="B719" s="1526"/>
      <c r="C719" s="1526"/>
      <c r="D719" s="1526"/>
      <c r="E719" s="1526"/>
      <c r="F719" s="1526"/>
      <c r="G719" s="1526"/>
      <c r="H719" s="1526"/>
      <c r="I719" s="1526"/>
      <c r="J719" s="1526"/>
      <c r="K719" s="1526"/>
      <c r="L719" s="1526"/>
      <c r="M719" s="1526"/>
      <c r="N719" s="1526"/>
      <c r="O719" s="1526"/>
      <c r="P719" s="1526"/>
      <c r="Q719" s="1526"/>
      <c r="R719" s="1526"/>
      <c r="S719" s="1526"/>
      <c r="T719" s="1526"/>
      <c r="U719" s="1526"/>
      <c r="V719" s="1526"/>
      <c r="W719" s="1526"/>
      <c r="X719" s="1526"/>
      <c r="Y719" s="1526"/>
      <c r="Z719" s="974"/>
      <c r="AA719" s="974"/>
      <c r="AB719" s="974"/>
      <c r="AC719" s="974"/>
      <c r="AD719" s="974"/>
      <c r="AE719" s="974"/>
    </row>
    <row r="720">
      <c r="A720" s="1526"/>
      <c r="B720" s="1526"/>
      <c r="C720" s="1526"/>
      <c r="D720" s="1526"/>
      <c r="E720" s="1526"/>
      <c r="F720" s="1526"/>
      <c r="G720" s="1526"/>
      <c r="H720" s="1526"/>
      <c r="I720" s="1526"/>
      <c r="J720" s="1526"/>
      <c r="K720" s="1526"/>
      <c r="L720" s="1526"/>
      <c r="M720" s="1526"/>
      <c r="N720" s="1526"/>
      <c r="O720" s="1526"/>
      <c r="P720" s="1526"/>
      <c r="Q720" s="1526"/>
      <c r="R720" s="1526"/>
      <c r="S720" s="1526"/>
      <c r="T720" s="1526"/>
      <c r="U720" s="1526"/>
      <c r="V720" s="1526"/>
      <c r="W720" s="1526"/>
      <c r="X720" s="1526"/>
      <c r="Y720" s="1526"/>
      <c r="Z720" s="974"/>
      <c r="AA720" s="974"/>
      <c r="AB720" s="974"/>
      <c r="AC720" s="974"/>
      <c r="AD720" s="974"/>
      <c r="AE720" s="974"/>
    </row>
    <row r="721">
      <c r="A721" s="1526"/>
      <c r="B721" s="1526"/>
      <c r="C721" s="1526"/>
      <c r="D721" s="1526"/>
      <c r="E721" s="1526"/>
      <c r="F721" s="1526"/>
      <c r="G721" s="1526"/>
      <c r="H721" s="1526"/>
      <c r="I721" s="1526"/>
      <c r="J721" s="1526"/>
      <c r="K721" s="1526"/>
      <c r="L721" s="1526"/>
      <c r="M721" s="1526"/>
      <c r="N721" s="1526"/>
      <c r="O721" s="1526"/>
      <c r="P721" s="1526"/>
      <c r="Q721" s="1526"/>
      <c r="R721" s="1526"/>
      <c r="S721" s="1526"/>
      <c r="T721" s="1526"/>
      <c r="U721" s="1526"/>
      <c r="V721" s="1526"/>
      <c r="W721" s="1526"/>
      <c r="X721" s="1526"/>
      <c r="Y721" s="1526"/>
      <c r="Z721" s="974"/>
      <c r="AA721" s="974"/>
      <c r="AB721" s="974"/>
      <c r="AC721" s="974"/>
      <c r="AD721" s="974"/>
      <c r="AE721" s="974"/>
    </row>
    <row r="722">
      <c r="A722" s="1526"/>
      <c r="B722" s="1526"/>
      <c r="C722" s="1526"/>
      <c r="D722" s="1526"/>
      <c r="E722" s="1526"/>
      <c r="F722" s="1526"/>
      <c r="G722" s="1526"/>
      <c r="H722" s="1526"/>
      <c r="I722" s="1526"/>
      <c r="J722" s="1526"/>
      <c r="K722" s="1526"/>
      <c r="L722" s="1526"/>
      <c r="M722" s="1526"/>
      <c r="N722" s="1526"/>
      <c r="O722" s="1526"/>
      <c r="P722" s="1526"/>
      <c r="Q722" s="1526"/>
      <c r="R722" s="1526"/>
      <c r="S722" s="1526"/>
      <c r="T722" s="1526"/>
      <c r="U722" s="1526"/>
      <c r="V722" s="1526"/>
      <c r="W722" s="1526"/>
      <c r="X722" s="1526"/>
      <c r="Y722" s="1526"/>
      <c r="Z722" s="974"/>
      <c r="AA722" s="974"/>
      <c r="AB722" s="974"/>
      <c r="AC722" s="974"/>
      <c r="AD722" s="974"/>
      <c r="AE722" s="974"/>
    </row>
    <row r="723">
      <c r="A723" s="1526"/>
      <c r="B723" s="1526"/>
      <c r="C723" s="1526"/>
      <c r="D723" s="1526"/>
      <c r="E723" s="1526"/>
      <c r="F723" s="1526"/>
      <c r="G723" s="1526"/>
      <c r="H723" s="1526"/>
      <c r="I723" s="1526"/>
      <c r="J723" s="1526"/>
      <c r="K723" s="1526"/>
      <c r="L723" s="1526"/>
      <c r="M723" s="1526"/>
      <c r="N723" s="1526"/>
      <c r="O723" s="1526"/>
      <c r="P723" s="1526"/>
      <c r="Q723" s="1526"/>
      <c r="R723" s="1526"/>
      <c r="S723" s="1526"/>
      <c r="T723" s="1526"/>
      <c r="U723" s="1526"/>
      <c r="V723" s="1526"/>
      <c r="W723" s="1526"/>
      <c r="X723" s="1526"/>
      <c r="Y723" s="1526"/>
      <c r="Z723" s="974"/>
      <c r="AA723" s="974"/>
      <c r="AB723" s="974"/>
      <c r="AC723" s="974"/>
      <c r="AD723" s="974"/>
      <c r="AE723" s="974"/>
    </row>
    <row r="724">
      <c r="A724" s="1526"/>
      <c r="B724" s="1526"/>
      <c r="C724" s="1526"/>
      <c r="D724" s="1526"/>
      <c r="E724" s="1526"/>
      <c r="F724" s="1526"/>
      <c r="G724" s="1526"/>
      <c r="H724" s="1526"/>
      <c r="I724" s="1526"/>
      <c r="J724" s="1526"/>
      <c r="K724" s="1526"/>
      <c r="L724" s="1526"/>
      <c r="M724" s="1526"/>
      <c r="N724" s="1526"/>
      <c r="O724" s="1526"/>
      <c r="P724" s="1526"/>
      <c r="Q724" s="1526"/>
      <c r="R724" s="1526"/>
      <c r="S724" s="1526"/>
      <c r="T724" s="1526"/>
      <c r="U724" s="1526"/>
      <c r="V724" s="1526"/>
      <c r="W724" s="1526"/>
      <c r="X724" s="1526"/>
      <c r="Y724" s="1526"/>
      <c r="Z724" s="974"/>
      <c r="AA724" s="974"/>
      <c r="AB724" s="974"/>
      <c r="AC724" s="974"/>
      <c r="AD724" s="974"/>
      <c r="AE724" s="974"/>
    </row>
    <row r="725">
      <c r="A725" s="1526"/>
      <c r="B725" s="1526"/>
      <c r="C725" s="1526"/>
      <c r="D725" s="1526"/>
      <c r="E725" s="1526"/>
      <c r="F725" s="1526"/>
      <c r="G725" s="1526"/>
      <c r="H725" s="1526"/>
      <c r="I725" s="1526"/>
      <c r="J725" s="1526"/>
      <c r="K725" s="1526"/>
      <c r="L725" s="1526"/>
      <c r="M725" s="1526"/>
      <c r="N725" s="1526"/>
      <c r="O725" s="1526"/>
      <c r="P725" s="1526"/>
      <c r="Q725" s="1526"/>
      <c r="R725" s="1526"/>
      <c r="S725" s="1526"/>
      <c r="T725" s="1526"/>
      <c r="U725" s="1526"/>
      <c r="V725" s="1526"/>
      <c r="W725" s="1526"/>
      <c r="X725" s="1526"/>
      <c r="Y725" s="1526"/>
      <c r="Z725" s="974"/>
      <c r="AA725" s="974"/>
      <c r="AB725" s="974"/>
      <c r="AC725" s="974"/>
      <c r="AD725" s="974"/>
      <c r="AE725" s="974"/>
    </row>
    <row r="726">
      <c r="A726" s="1526"/>
      <c r="B726" s="1526"/>
      <c r="C726" s="1526"/>
      <c r="D726" s="1526"/>
      <c r="E726" s="1526"/>
      <c r="F726" s="1526"/>
      <c r="G726" s="1526"/>
      <c r="H726" s="1526"/>
      <c r="I726" s="1526"/>
      <c r="J726" s="1526"/>
      <c r="K726" s="1526"/>
      <c r="L726" s="1526"/>
      <c r="M726" s="1526"/>
      <c r="N726" s="1526"/>
      <c r="O726" s="1526"/>
      <c r="P726" s="1526"/>
      <c r="Q726" s="1526"/>
      <c r="R726" s="1526"/>
      <c r="S726" s="1526"/>
      <c r="T726" s="1526"/>
      <c r="U726" s="1526"/>
      <c r="V726" s="1526"/>
      <c r="W726" s="1526"/>
      <c r="X726" s="1526"/>
      <c r="Y726" s="1526"/>
      <c r="Z726" s="974"/>
      <c r="AA726" s="974"/>
      <c r="AB726" s="974"/>
      <c r="AC726" s="974"/>
      <c r="AD726" s="974"/>
      <c r="AE726" s="974"/>
    </row>
    <row r="727">
      <c r="A727" s="1526"/>
      <c r="B727" s="1526"/>
      <c r="C727" s="1526"/>
      <c r="D727" s="1526"/>
      <c r="E727" s="1526"/>
      <c r="F727" s="1526"/>
      <c r="G727" s="1526"/>
      <c r="H727" s="1526"/>
      <c r="I727" s="1526"/>
      <c r="J727" s="1526"/>
      <c r="K727" s="1526"/>
      <c r="L727" s="1526"/>
      <c r="M727" s="1526"/>
      <c r="N727" s="1526"/>
      <c r="O727" s="1526"/>
      <c r="P727" s="1526"/>
      <c r="Q727" s="1526"/>
      <c r="R727" s="1526"/>
      <c r="S727" s="1526"/>
      <c r="T727" s="1526"/>
      <c r="U727" s="1526"/>
      <c r="V727" s="1526"/>
      <c r="W727" s="1526"/>
      <c r="X727" s="1526"/>
      <c r="Y727" s="1526"/>
      <c r="Z727" s="974"/>
      <c r="AA727" s="974"/>
      <c r="AB727" s="974"/>
      <c r="AC727" s="974"/>
      <c r="AD727" s="974"/>
      <c r="AE727" s="974"/>
    </row>
    <row r="728">
      <c r="A728" s="1526"/>
      <c r="B728" s="1526"/>
      <c r="C728" s="1526"/>
      <c r="D728" s="1526"/>
      <c r="E728" s="1526"/>
      <c r="F728" s="1526"/>
      <c r="G728" s="1526"/>
      <c r="H728" s="1526"/>
      <c r="I728" s="1526"/>
      <c r="J728" s="1526"/>
      <c r="K728" s="1526"/>
      <c r="L728" s="1526"/>
      <c r="M728" s="1526"/>
      <c r="N728" s="1526"/>
      <c r="O728" s="1526"/>
      <c r="P728" s="1526"/>
      <c r="Q728" s="1526"/>
      <c r="R728" s="1526"/>
      <c r="S728" s="1526"/>
      <c r="T728" s="1526"/>
      <c r="U728" s="1526"/>
      <c r="V728" s="1526"/>
      <c r="W728" s="1526"/>
      <c r="X728" s="1526"/>
      <c r="Y728" s="1526"/>
      <c r="Z728" s="974"/>
      <c r="AA728" s="974"/>
      <c r="AB728" s="974"/>
      <c r="AC728" s="974"/>
      <c r="AD728" s="974"/>
      <c r="AE728" s="974"/>
    </row>
    <row r="729">
      <c r="A729" s="1526"/>
      <c r="B729" s="1526"/>
      <c r="C729" s="1526"/>
      <c r="D729" s="1526"/>
      <c r="E729" s="1526"/>
      <c r="F729" s="1526"/>
      <c r="G729" s="1526"/>
      <c r="H729" s="1526"/>
      <c r="I729" s="1526"/>
      <c r="J729" s="1526"/>
      <c r="K729" s="1526"/>
      <c r="L729" s="1526"/>
      <c r="M729" s="1526"/>
      <c r="N729" s="1526"/>
      <c r="O729" s="1526"/>
      <c r="P729" s="1526"/>
      <c r="Q729" s="1526"/>
      <c r="R729" s="1526"/>
      <c r="S729" s="1526"/>
      <c r="T729" s="1526"/>
      <c r="U729" s="1526"/>
      <c r="V729" s="1526"/>
      <c r="W729" s="1526"/>
      <c r="X729" s="1526"/>
      <c r="Y729" s="1526"/>
      <c r="Z729" s="974"/>
      <c r="AA729" s="974"/>
      <c r="AB729" s="974"/>
      <c r="AC729" s="974"/>
      <c r="AD729" s="974"/>
      <c r="AE729" s="974"/>
    </row>
    <row r="730">
      <c r="A730" s="1526"/>
      <c r="B730" s="1526"/>
      <c r="C730" s="1526"/>
      <c r="D730" s="1526"/>
      <c r="E730" s="1526"/>
      <c r="F730" s="1526"/>
      <c r="G730" s="1526"/>
      <c r="H730" s="1526"/>
      <c r="I730" s="1526"/>
      <c r="J730" s="1526"/>
      <c r="K730" s="1526"/>
      <c r="L730" s="1526"/>
      <c r="M730" s="1526"/>
      <c r="N730" s="1526"/>
      <c r="O730" s="1526"/>
      <c r="P730" s="1526"/>
      <c r="Q730" s="1526"/>
      <c r="R730" s="1526"/>
      <c r="S730" s="1526"/>
      <c r="T730" s="1526"/>
      <c r="U730" s="1526"/>
      <c r="V730" s="1526"/>
      <c r="W730" s="1526"/>
      <c r="X730" s="1526"/>
      <c r="Y730" s="1526"/>
      <c r="Z730" s="974"/>
      <c r="AA730" s="974"/>
      <c r="AB730" s="974"/>
      <c r="AC730" s="974"/>
      <c r="AD730" s="974"/>
      <c r="AE730" s="974"/>
    </row>
    <row r="731">
      <c r="A731" s="1526"/>
      <c r="B731" s="1526"/>
      <c r="C731" s="1526"/>
      <c r="D731" s="1526"/>
      <c r="E731" s="1526"/>
      <c r="F731" s="1526"/>
      <c r="G731" s="1526"/>
      <c r="H731" s="1526"/>
      <c r="I731" s="1526"/>
      <c r="J731" s="1526"/>
      <c r="K731" s="1526"/>
      <c r="L731" s="1526"/>
      <c r="M731" s="1526"/>
      <c r="N731" s="1526"/>
      <c r="O731" s="1526"/>
      <c r="P731" s="1526"/>
      <c r="Q731" s="1526"/>
      <c r="R731" s="1526"/>
      <c r="S731" s="1526"/>
      <c r="T731" s="1526"/>
      <c r="U731" s="1526"/>
      <c r="V731" s="1526"/>
      <c r="W731" s="1526"/>
      <c r="X731" s="1526"/>
      <c r="Y731" s="1526"/>
      <c r="Z731" s="974"/>
      <c r="AA731" s="974"/>
      <c r="AB731" s="974"/>
      <c r="AC731" s="974"/>
      <c r="AD731" s="974"/>
      <c r="AE731" s="974"/>
    </row>
    <row r="732">
      <c r="A732" s="1526"/>
      <c r="B732" s="1526"/>
      <c r="C732" s="1526"/>
      <c r="D732" s="1526"/>
      <c r="E732" s="1526"/>
      <c r="F732" s="1526"/>
      <c r="G732" s="1526"/>
      <c r="H732" s="1526"/>
      <c r="I732" s="1526"/>
      <c r="J732" s="1526"/>
      <c r="K732" s="1526"/>
      <c r="L732" s="1526"/>
      <c r="M732" s="1526"/>
      <c r="N732" s="1526"/>
      <c r="O732" s="1526"/>
      <c r="P732" s="1526"/>
      <c r="Q732" s="1526"/>
      <c r="R732" s="1526"/>
      <c r="S732" s="1526"/>
      <c r="T732" s="1526"/>
      <c r="U732" s="1526"/>
      <c r="V732" s="1526"/>
      <c r="W732" s="1526"/>
      <c r="X732" s="1526"/>
      <c r="Y732" s="1526"/>
      <c r="Z732" s="974"/>
      <c r="AA732" s="974"/>
      <c r="AB732" s="974"/>
      <c r="AC732" s="974"/>
      <c r="AD732" s="974"/>
      <c r="AE732" s="974"/>
    </row>
    <row r="733">
      <c r="A733" s="1526"/>
      <c r="B733" s="1526"/>
      <c r="C733" s="1526"/>
      <c r="D733" s="1526"/>
      <c r="E733" s="1526"/>
      <c r="F733" s="1526"/>
      <c r="G733" s="1526"/>
      <c r="H733" s="1526"/>
      <c r="I733" s="1526"/>
      <c r="J733" s="1526"/>
      <c r="K733" s="1526"/>
      <c r="L733" s="1526"/>
      <c r="M733" s="1526"/>
      <c r="N733" s="1526"/>
      <c r="O733" s="1526"/>
      <c r="P733" s="1526"/>
      <c r="Q733" s="1526"/>
      <c r="R733" s="1526"/>
      <c r="S733" s="1526"/>
      <c r="T733" s="1526"/>
      <c r="U733" s="1526"/>
      <c r="V733" s="1526"/>
      <c r="W733" s="1526"/>
      <c r="X733" s="1526"/>
      <c r="Y733" s="1526"/>
      <c r="Z733" s="974"/>
      <c r="AA733" s="974"/>
      <c r="AB733" s="974"/>
      <c r="AC733" s="974"/>
      <c r="AD733" s="974"/>
      <c r="AE733" s="974"/>
    </row>
    <row r="734">
      <c r="A734" s="1526"/>
      <c r="B734" s="1526"/>
      <c r="C734" s="1526"/>
      <c r="D734" s="1526"/>
      <c r="E734" s="1526"/>
      <c r="F734" s="1526"/>
      <c r="G734" s="1526"/>
      <c r="H734" s="1526"/>
      <c r="I734" s="1526"/>
      <c r="J734" s="1526"/>
      <c r="K734" s="1526"/>
      <c r="L734" s="1526"/>
      <c r="M734" s="1526"/>
      <c r="N734" s="1526"/>
      <c r="O734" s="1526"/>
      <c r="P734" s="1526"/>
      <c r="Q734" s="1526"/>
      <c r="R734" s="1526"/>
      <c r="S734" s="1526"/>
      <c r="T734" s="1526"/>
      <c r="U734" s="1526"/>
      <c r="V734" s="1526"/>
      <c r="W734" s="1526"/>
      <c r="X734" s="1526"/>
      <c r="Y734" s="1526"/>
      <c r="Z734" s="974"/>
      <c r="AA734" s="974"/>
      <c r="AB734" s="974"/>
      <c r="AC734" s="974"/>
      <c r="AD734" s="974"/>
      <c r="AE734" s="974"/>
    </row>
    <row r="735">
      <c r="A735" s="1526"/>
      <c r="B735" s="1526"/>
      <c r="C735" s="1526"/>
      <c r="D735" s="1526"/>
      <c r="E735" s="1526"/>
      <c r="F735" s="1526"/>
      <c r="G735" s="1526"/>
      <c r="H735" s="1526"/>
      <c r="I735" s="1526"/>
      <c r="J735" s="1526"/>
      <c r="K735" s="1526"/>
      <c r="L735" s="1526"/>
      <c r="M735" s="1526"/>
      <c r="N735" s="1526"/>
      <c r="O735" s="1526"/>
      <c r="P735" s="1526"/>
      <c r="Q735" s="1526"/>
      <c r="R735" s="1526"/>
      <c r="S735" s="1526"/>
      <c r="T735" s="1526"/>
      <c r="U735" s="1526"/>
      <c r="V735" s="1526"/>
      <c r="W735" s="1526"/>
      <c r="X735" s="1526"/>
      <c r="Y735" s="1526"/>
      <c r="Z735" s="974"/>
      <c r="AA735" s="974"/>
      <c r="AB735" s="974"/>
      <c r="AC735" s="974"/>
      <c r="AD735" s="974"/>
      <c r="AE735" s="974"/>
    </row>
    <row r="736">
      <c r="A736" s="1526"/>
      <c r="B736" s="1526"/>
      <c r="C736" s="1526"/>
      <c r="D736" s="1526"/>
      <c r="E736" s="1526"/>
      <c r="F736" s="1526"/>
      <c r="G736" s="1526"/>
      <c r="H736" s="1526"/>
      <c r="I736" s="1526"/>
      <c r="J736" s="1526"/>
      <c r="K736" s="1526"/>
      <c r="L736" s="1526"/>
      <c r="M736" s="1526"/>
      <c r="N736" s="1526"/>
      <c r="O736" s="1526"/>
      <c r="P736" s="1526"/>
      <c r="Q736" s="1526"/>
      <c r="R736" s="1526"/>
      <c r="S736" s="1526"/>
      <c r="T736" s="1526"/>
      <c r="U736" s="1526"/>
      <c r="V736" s="1526"/>
      <c r="W736" s="1526"/>
      <c r="X736" s="1526"/>
      <c r="Y736" s="1526"/>
      <c r="Z736" s="974"/>
      <c r="AA736" s="974"/>
      <c r="AB736" s="974"/>
      <c r="AC736" s="974"/>
      <c r="AD736" s="974"/>
      <c r="AE736" s="974"/>
    </row>
    <row r="737">
      <c r="A737" s="1526"/>
      <c r="B737" s="1526"/>
      <c r="C737" s="1526"/>
      <c r="D737" s="1526"/>
      <c r="E737" s="1526"/>
      <c r="F737" s="1526"/>
      <c r="G737" s="1526"/>
      <c r="H737" s="1526"/>
      <c r="I737" s="1526"/>
      <c r="J737" s="1526"/>
      <c r="K737" s="1526"/>
      <c r="L737" s="1526"/>
      <c r="M737" s="1526"/>
      <c r="N737" s="1526"/>
      <c r="O737" s="1526"/>
      <c r="P737" s="1526"/>
      <c r="Q737" s="1526"/>
      <c r="R737" s="1526"/>
      <c r="S737" s="1526"/>
      <c r="T737" s="1526"/>
      <c r="U737" s="1526"/>
      <c r="V737" s="1526"/>
      <c r="W737" s="1526"/>
      <c r="X737" s="1526"/>
      <c r="Y737" s="1526"/>
      <c r="Z737" s="974"/>
      <c r="AA737" s="974"/>
      <c r="AB737" s="974"/>
      <c r="AC737" s="974"/>
      <c r="AD737" s="974"/>
      <c r="AE737" s="974"/>
    </row>
    <row r="738">
      <c r="A738" s="1526"/>
      <c r="B738" s="1526"/>
      <c r="C738" s="1526"/>
      <c r="D738" s="1526"/>
      <c r="E738" s="1526"/>
      <c r="F738" s="1526"/>
      <c r="G738" s="1526"/>
      <c r="H738" s="1526"/>
      <c r="I738" s="1526"/>
      <c r="J738" s="1526"/>
      <c r="K738" s="1526"/>
      <c r="L738" s="1526"/>
      <c r="M738" s="1526"/>
      <c r="N738" s="1526"/>
      <c r="O738" s="1526"/>
      <c r="P738" s="1526"/>
      <c r="Q738" s="1526"/>
      <c r="R738" s="1526"/>
      <c r="S738" s="1526"/>
      <c r="T738" s="1526"/>
      <c r="U738" s="1526"/>
      <c r="V738" s="1526"/>
      <c r="W738" s="1526"/>
      <c r="X738" s="1526"/>
      <c r="Y738" s="1526"/>
      <c r="Z738" s="974"/>
      <c r="AA738" s="974"/>
      <c r="AB738" s="974"/>
      <c r="AC738" s="974"/>
      <c r="AD738" s="974"/>
      <c r="AE738" s="974"/>
    </row>
    <row r="739">
      <c r="A739" s="1526"/>
      <c r="B739" s="1526"/>
      <c r="C739" s="1526"/>
      <c r="D739" s="1526"/>
      <c r="E739" s="1526"/>
      <c r="F739" s="1526"/>
      <c r="G739" s="1526"/>
      <c r="H739" s="1526"/>
      <c r="I739" s="1526"/>
      <c r="J739" s="1526"/>
      <c r="K739" s="1526"/>
      <c r="L739" s="1526"/>
      <c r="M739" s="1526"/>
      <c r="N739" s="1526"/>
      <c r="O739" s="1526"/>
      <c r="P739" s="1526"/>
      <c r="Q739" s="1526"/>
      <c r="R739" s="1526"/>
      <c r="S739" s="1526"/>
      <c r="T739" s="1526"/>
      <c r="U739" s="1526"/>
      <c r="V739" s="1526"/>
      <c r="W739" s="1526"/>
      <c r="X739" s="1526"/>
      <c r="Y739" s="1526"/>
      <c r="Z739" s="974"/>
      <c r="AA739" s="974"/>
      <c r="AB739" s="974"/>
      <c r="AC739" s="974"/>
      <c r="AD739" s="974"/>
      <c r="AE739" s="974"/>
    </row>
    <row r="740">
      <c r="A740" s="1526"/>
      <c r="B740" s="1526"/>
      <c r="C740" s="1526"/>
      <c r="D740" s="1526"/>
      <c r="E740" s="1526"/>
      <c r="F740" s="1526"/>
      <c r="G740" s="1526"/>
      <c r="H740" s="1526"/>
      <c r="I740" s="1526"/>
      <c r="J740" s="1526"/>
      <c r="K740" s="1526"/>
      <c r="L740" s="1526"/>
      <c r="M740" s="1526"/>
      <c r="N740" s="1526"/>
      <c r="O740" s="1526"/>
      <c r="P740" s="1526"/>
      <c r="Q740" s="1526"/>
      <c r="R740" s="1526"/>
      <c r="S740" s="1526"/>
      <c r="T740" s="1526"/>
      <c r="U740" s="1526"/>
      <c r="V740" s="1526"/>
      <c r="W740" s="1526"/>
      <c r="X740" s="1526"/>
      <c r="Y740" s="1526"/>
      <c r="Z740" s="974"/>
      <c r="AA740" s="974"/>
      <c r="AB740" s="974"/>
      <c r="AC740" s="974"/>
      <c r="AD740" s="974"/>
      <c r="AE740" s="974"/>
    </row>
    <row r="741">
      <c r="A741" s="1526"/>
      <c r="B741" s="1526"/>
      <c r="C741" s="1526"/>
      <c r="D741" s="1526"/>
      <c r="E741" s="1526"/>
      <c r="F741" s="1526"/>
      <c r="G741" s="1526"/>
      <c r="H741" s="1526"/>
      <c r="I741" s="1526"/>
      <c r="J741" s="1526"/>
      <c r="K741" s="1526"/>
      <c r="L741" s="1526"/>
      <c r="M741" s="1526"/>
      <c r="N741" s="1526"/>
      <c r="O741" s="1526"/>
      <c r="P741" s="1526"/>
      <c r="Q741" s="1526"/>
      <c r="R741" s="1526"/>
      <c r="S741" s="1526"/>
      <c r="T741" s="1526"/>
      <c r="U741" s="1526"/>
      <c r="V741" s="1526"/>
      <c r="W741" s="1526"/>
      <c r="X741" s="1526"/>
      <c r="Y741" s="1526"/>
      <c r="Z741" s="974"/>
      <c r="AA741" s="974"/>
      <c r="AB741" s="974"/>
      <c r="AC741" s="974"/>
      <c r="AD741" s="974"/>
      <c r="AE741" s="974"/>
    </row>
    <row r="742">
      <c r="A742" s="1526"/>
      <c r="B742" s="1526"/>
      <c r="C742" s="1526"/>
      <c r="D742" s="1526"/>
      <c r="E742" s="1526"/>
      <c r="F742" s="1526"/>
      <c r="G742" s="1526"/>
      <c r="H742" s="1526"/>
      <c r="I742" s="1526"/>
      <c r="J742" s="1526"/>
      <c r="K742" s="1526"/>
      <c r="L742" s="1526"/>
      <c r="M742" s="1526"/>
      <c r="N742" s="1526"/>
      <c r="O742" s="1526"/>
      <c r="P742" s="1526"/>
      <c r="Q742" s="1526"/>
      <c r="R742" s="1526"/>
      <c r="S742" s="1526"/>
      <c r="T742" s="1526"/>
      <c r="U742" s="1526"/>
      <c r="V742" s="1526"/>
      <c r="W742" s="1526"/>
      <c r="X742" s="1526"/>
      <c r="Y742" s="1526"/>
      <c r="Z742" s="974"/>
      <c r="AA742" s="974"/>
      <c r="AB742" s="974"/>
      <c r="AC742" s="974"/>
      <c r="AD742" s="974"/>
      <c r="AE742" s="974"/>
    </row>
    <row r="743">
      <c r="A743" s="1526"/>
      <c r="B743" s="1526"/>
      <c r="C743" s="1526"/>
      <c r="D743" s="1526"/>
      <c r="E743" s="1526"/>
      <c r="F743" s="1526"/>
      <c r="G743" s="1526"/>
      <c r="H743" s="1526"/>
      <c r="I743" s="1526"/>
      <c r="J743" s="1526"/>
      <c r="K743" s="1526"/>
      <c r="L743" s="1526"/>
      <c r="M743" s="1526"/>
      <c r="N743" s="1526"/>
      <c r="O743" s="1526"/>
      <c r="P743" s="1526"/>
      <c r="Q743" s="1526"/>
      <c r="R743" s="1526"/>
      <c r="S743" s="1526"/>
      <c r="T743" s="1526"/>
      <c r="U743" s="1526"/>
      <c r="V743" s="1526"/>
      <c r="W743" s="1526"/>
      <c r="X743" s="1526"/>
      <c r="Y743" s="1526"/>
      <c r="Z743" s="974"/>
      <c r="AA743" s="974"/>
      <c r="AB743" s="974"/>
      <c r="AC743" s="974"/>
      <c r="AD743" s="974"/>
      <c r="AE743" s="974"/>
    </row>
    <row r="744">
      <c r="A744" s="1526"/>
      <c r="B744" s="1526"/>
      <c r="C744" s="1526"/>
      <c r="D744" s="1526"/>
      <c r="E744" s="1526"/>
      <c r="F744" s="1526"/>
      <c r="G744" s="1526"/>
      <c r="H744" s="1526"/>
      <c r="I744" s="1526"/>
      <c r="J744" s="1526"/>
      <c r="K744" s="1526"/>
      <c r="L744" s="1526"/>
      <c r="M744" s="1526"/>
      <c r="N744" s="1526"/>
      <c r="O744" s="1526"/>
      <c r="P744" s="1526"/>
      <c r="Q744" s="1526"/>
      <c r="R744" s="1526"/>
      <c r="S744" s="1526"/>
      <c r="T744" s="1526"/>
      <c r="U744" s="1526"/>
      <c r="V744" s="1526"/>
      <c r="W744" s="1526"/>
      <c r="X744" s="1526"/>
      <c r="Y744" s="1526"/>
      <c r="Z744" s="974"/>
      <c r="AA744" s="974"/>
      <c r="AB744" s="974"/>
      <c r="AC744" s="974"/>
      <c r="AD744" s="974"/>
      <c r="AE744" s="974"/>
    </row>
    <row r="745">
      <c r="A745" s="1526"/>
      <c r="B745" s="1526"/>
      <c r="C745" s="1526"/>
      <c r="D745" s="1526"/>
      <c r="E745" s="1526"/>
      <c r="F745" s="1526"/>
      <c r="G745" s="1526"/>
      <c r="H745" s="1526"/>
      <c r="I745" s="1526"/>
      <c r="J745" s="1526"/>
      <c r="K745" s="1526"/>
      <c r="L745" s="1526"/>
      <c r="M745" s="1526"/>
      <c r="N745" s="1526"/>
      <c r="O745" s="1526"/>
      <c r="P745" s="1526"/>
      <c r="Q745" s="1526"/>
      <c r="R745" s="1526"/>
      <c r="S745" s="1526"/>
      <c r="T745" s="1526"/>
      <c r="U745" s="1526"/>
      <c r="V745" s="1526"/>
      <c r="W745" s="1526"/>
      <c r="X745" s="1526"/>
      <c r="Y745" s="1526"/>
      <c r="Z745" s="974"/>
      <c r="AA745" s="974"/>
      <c r="AB745" s="974"/>
      <c r="AC745" s="974"/>
      <c r="AD745" s="974"/>
      <c r="AE745" s="974"/>
    </row>
    <row r="746">
      <c r="A746" s="1526"/>
      <c r="B746" s="1526"/>
      <c r="C746" s="1526"/>
      <c r="D746" s="1526"/>
      <c r="E746" s="1526"/>
      <c r="F746" s="1526"/>
      <c r="G746" s="1526"/>
      <c r="H746" s="1526"/>
      <c r="I746" s="1526"/>
      <c r="J746" s="1526"/>
      <c r="K746" s="1526"/>
      <c r="L746" s="1526"/>
      <c r="M746" s="1526"/>
      <c r="N746" s="1526"/>
      <c r="O746" s="1526"/>
      <c r="P746" s="1526"/>
      <c r="Q746" s="1526"/>
      <c r="R746" s="1526"/>
      <c r="S746" s="1526"/>
      <c r="T746" s="1526"/>
      <c r="U746" s="1526"/>
      <c r="V746" s="1526"/>
      <c r="W746" s="1526"/>
      <c r="X746" s="1526"/>
      <c r="Y746" s="1526"/>
      <c r="Z746" s="974"/>
      <c r="AA746" s="974"/>
      <c r="AB746" s="974"/>
      <c r="AC746" s="974"/>
      <c r="AD746" s="974"/>
      <c r="AE746" s="974"/>
    </row>
    <row r="747">
      <c r="A747" s="1526"/>
      <c r="B747" s="1526"/>
      <c r="C747" s="1526"/>
      <c r="D747" s="1526"/>
      <c r="E747" s="1526"/>
      <c r="F747" s="1526"/>
      <c r="G747" s="1526"/>
      <c r="H747" s="1526"/>
      <c r="I747" s="1526"/>
      <c r="J747" s="1526"/>
      <c r="K747" s="1526"/>
      <c r="L747" s="1526"/>
      <c r="M747" s="1526"/>
      <c r="N747" s="1526"/>
      <c r="O747" s="1526"/>
      <c r="P747" s="1526"/>
      <c r="Q747" s="1526"/>
      <c r="R747" s="1526"/>
      <c r="S747" s="1526"/>
      <c r="T747" s="1526"/>
      <c r="U747" s="1526"/>
      <c r="V747" s="1526"/>
      <c r="W747" s="1526"/>
      <c r="X747" s="1526"/>
      <c r="Y747" s="1526"/>
      <c r="Z747" s="974"/>
      <c r="AA747" s="974"/>
      <c r="AB747" s="974"/>
      <c r="AC747" s="974"/>
      <c r="AD747" s="974"/>
      <c r="AE747" s="974"/>
    </row>
    <row r="748">
      <c r="A748" s="1526"/>
      <c r="B748" s="1526"/>
      <c r="C748" s="1526"/>
      <c r="D748" s="1526"/>
      <c r="E748" s="1526"/>
      <c r="F748" s="1526"/>
      <c r="G748" s="1526"/>
      <c r="H748" s="1526"/>
      <c r="I748" s="1526"/>
      <c r="J748" s="1526"/>
      <c r="K748" s="1526"/>
      <c r="L748" s="1526"/>
      <c r="M748" s="1526"/>
      <c r="N748" s="1526"/>
      <c r="O748" s="1526"/>
      <c r="P748" s="1526"/>
      <c r="Q748" s="1526"/>
      <c r="R748" s="1526"/>
      <c r="S748" s="1526"/>
      <c r="T748" s="1526"/>
      <c r="U748" s="1526"/>
      <c r="V748" s="1526"/>
      <c r="W748" s="1526"/>
      <c r="X748" s="1526"/>
      <c r="Y748" s="1526"/>
      <c r="Z748" s="974"/>
      <c r="AA748" s="974"/>
      <c r="AB748" s="974"/>
      <c r="AC748" s="974"/>
      <c r="AD748" s="974"/>
      <c r="AE748" s="974"/>
    </row>
    <row r="749">
      <c r="A749" s="1526"/>
      <c r="B749" s="1526"/>
      <c r="C749" s="1526"/>
      <c r="D749" s="1526"/>
      <c r="E749" s="1526"/>
      <c r="F749" s="1526"/>
      <c r="G749" s="1526"/>
      <c r="H749" s="1526"/>
      <c r="I749" s="1526"/>
      <c r="J749" s="1526"/>
      <c r="K749" s="1526"/>
      <c r="L749" s="1526"/>
      <c r="M749" s="1526"/>
      <c r="N749" s="1526"/>
      <c r="O749" s="1526"/>
      <c r="P749" s="1526"/>
      <c r="Q749" s="1526"/>
      <c r="R749" s="1526"/>
      <c r="S749" s="1526"/>
      <c r="T749" s="1526"/>
      <c r="U749" s="1526"/>
      <c r="V749" s="1526"/>
      <c r="W749" s="1526"/>
      <c r="X749" s="1526"/>
      <c r="Y749" s="1526"/>
      <c r="Z749" s="974"/>
      <c r="AA749" s="974"/>
      <c r="AB749" s="974"/>
      <c r="AC749" s="974"/>
      <c r="AD749" s="974"/>
      <c r="AE749" s="974"/>
    </row>
    <row r="750">
      <c r="A750" s="1526"/>
      <c r="B750" s="1526"/>
      <c r="C750" s="1526"/>
      <c r="D750" s="1526"/>
      <c r="E750" s="1526"/>
      <c r="F750" s="1526"/>
      <c r="G750" s="1526"/>
      <c r="H750" s="1526"/>
      <c r="I750" s="1526"/>
      <c r="J750" s="1526"/>
      <c r="K750" s="1526"/>
      <c r="L750" s="1526"/>
      <c r="M750" s="1526"/>
      <c r="N750" s="1526"/>
      <c r="O750" s="1526"/>
      <c r="P750" s="1526"/>
      <c r="Q750" s="1526"/>
      <c r="R750" s="1526"/>
      <c r="S750" s="1526"/>
      <c r="T750" s="1526"/>
      <c r="U750" s="1526"/>
      <c r="V750" s="1526"/>
      <c r="W750" s="1526"/>
      <c r="X750" s="1526"/>
      <c r="Y750" s="1526"/>
      <c r="Z750" s="974"/>
      <c r="AA750" s="974"/>
      <c r="AB750" s="974"/>
      <c r="AC750" s="974"/>
      <c r="AD750" s="974"/>
      <c r="AE750" s="974"/>
    </row>
    <row r="751">
      <c r="A751" s="1526"/>
      <c r="B751" s="1526"/>
      <c r="C751" s="1526"/>
      <c r="D751" s="1526"/>
      <c r="E751" s="1526"/>
      <c r="F751" s="1526"/>
      <c r="G751" s="1526"/>
      <c r="H751" s="1526"/>
      <c r="I751" s="1526"/>
      <c r="J751" s="1526"/>
      <c r="K751" s="1526"/>
      <c r="L751" s="1526"/>
      <c r="M751" s="1526"/>
      <c r="N751" s="1526"/>
      <c r="O751" s="1526"/>
      <c r="P751" s="1526"/>
      <c r="Q751" s="1526"/>
      <c r="R751" s="1526"/>
      <c r="S751" s="1526"/>
      <c r="T751" s="1526"/>
      <c r="U751" s="1526"/>
      <c r="V751" s="1526"/>
      <c r="W751" s="1526"/>
      <c r="X751" s="1526"/>
      <c r="Y751" s="1526"/>
      <c r="Z751" s="974"/>
      <c r="AA751" s="974"/>
      <c r="AB751" s="974"/>
      <c r="AC751" s="974"/>
      <c r="AD751" s="974"/>
      <c r="AE751" s="974"/>
    </row>
    <row r="752">
      <c r="A752" s="1526"/>
      <c r="B752" s="1526"/>
      <c r="C752" s="1526"/>
      <c r="D752" s="1526"/>
      <c r="E752" s="1526"/>
      <c r="F752" s="1526"/>
      <c r="G752" s="1526"/>
      <c r="H752" s="1526"/>
      <c r="I752" s="1526"/>
      <c r="J752" s="1526"/>
      <c r="K752" s="1526"/>
      <c r="L752" s="1526"/>
      <c r="M752" s="1526"/>
      <c r="N752" s="1526"/>
      <c r="O752" s="1526"/>
      <c r="P752" s="1526"/>
      <c r="Q752" s="1526"/>
      <c r="R752" s="1526"/>
      <c r="S752" s="1526"/>
      <c r="T752" s="1526"/>
      <c r="U752" s="1526"/>
      <c r="V752" s="1526"/>
      <c r="W752" s="1526"/>
      <c r="X752" s="1526"/>
      <c r="Y752" s="1526"/>
      <c r="Z752" s="974"/>
      <c r="AA752" s="974"/>
      <c r="AB752" s="974"/>
      <c r="AC752" s="974"/>
      <c r="AD752" s="974"/>
      <c r="AE752" s="974"/>
    </row>
    <row r="753">
      <c r="A753" s="1526"/>
      <c r="B753" s="1526"/>
      <c r="C753" s="1526"/>
      <c r="D753" s="1526"/>
      <c r="E753" s="1526"/>
      <c r="F753" s="1526"/>
      <c r="G753" s="1526"/>
      <c r="H753" s="1526"/>
      <c r="I753" s="1526"/>
      <c r="J753" s="1526"/>
      <c r="K753" s="1526"/>
      <c r="L753" s="1526"/>
      <c r="M753" s="1526"/>
      <c r="N753" s="1526"/>
      <c r="O753" s="1526"/>
      <c r="P753" s="1526"/>
      <c r="Q753" s="1526"/>
      <c r="R753" s="1526"/>
      <c r="S753" s="1526"/>
      <c r="T753" s="1526"/>
      <c r="U753" s="1526"/>
      <c r="V753" s="1526"/>
      <c r="W753" s="1526"/>
      <c r="X753" s="1526"/>
      <c r="Y753" s="1526"/>
      <c r="Z753" s="974"/>
      <c r="AA753" s="974"/>
      <c r="AB753" s="974"/>
      <c r="AC753" s="974"/>
      <c r="AD753" s="974"/>
      <c r="AE753" s="974"/>
    </row>
    <row r="754">
      <c r="A754" s="1526"/>
      <c r="B754" s="1526"/>
      <c r="C754" s="1526"/>
      <c r="D754" s="1526"/>
      <c r="E754" s="1526"/>
      <c r="F754" s="1526"/>
      <c r="G754" s="1526"/>
      <c r="H754" s="1526"/>
      <c r="I754" s="1526"/>
      <c r="J754" s="1526"/>
      <c r="K754" s="1526"/>
      <c r="L754" s="1526"/>
      <c r="M754" s="1526"/>
      <c r="N754" s="1526"/>
      <c r="O754" s="1526"/>
      <c r="P754" s="1526"/>
      <c r="Q754" s="1526"/>
      <c r="R754" s="1526"/>
      <c r="S754" s="1526"/>
      <c r="T754" s="1526"/>
      <c r="U754" s="1526"/>
      <c r="V754" s="1526"/>
      <c r="W754" s="1526"/>
      <c r="X754" s="1526"/>
      <c r="Y754" s="1526"/>
      <c r="Z754" s="974"/>
      <c r="AA754" s="974"/>
      <c r="AB754" s="974"/>
      <c r="AC754" s="974"/>
      <c r="AD754" s="974"/>
      <c r="AE754" s="974"/>
    </row>
    <row r="755">
      <c r="A755" s="1526"/>
      <c r="B755" s="1526"/>
      <c r="C755" s="1526"/>
      <c r="D755" s="1526"/>
      <c r="E755" s="1526"/>
      <c r="F755" s="1526"/>
      <c r="G755" s="1526"/>
      <c r="H755" s="1526"/>
      <c r="I755" s="1526"/>
      <c r="J755" s="1526"/>
      <c r="K755" s="1526"/>
      <c r="L755" s="1526"/>
      <c r="M755" s="1526"/>
      <c r="N755" s="1526"/>
      <c r="O755" s="1526"/>
      <c r="P755" s="1526"/>
      <c r="Q755" s="1526"/>
      <c r="R755" s="1526"/>
      <c r="S755" s="1526"/>
      <c r="T755" s="1526"/>
      <c r="U755" s="1526"/>
      <c r="V755" s="1526"/>
      <c r="W755" s="1526"/>
      <c r="X755" s="1526"/>
      <c r="Y755" s="1526"/>
      <c r="Z755" s="974"/>
      <c r="AA755" s="974"/>
      <c r="AB755" s="974"/>
      <c r="AC755" s="974"/>
      <c r="AD755" s="974"/>
      <c r="AE755" s="974"/>
    </row>
    <row r="756">
      <c r="A756" s="1526"/>
      <c r="B756" s="1526"/>
      <c r="C756" s="1526"/>
      <c r="D756" s="1526"/>
      <c r="E756" s="1526"/>
      <c r="F756" s="1526"/>
      <c r="G756" s="1526"/>
      <c r="H756" s="1526"/>
      <c r="I756" s="1526"/>
      <c r="J756" s="1526"/>
      <c r="K756" s="1526"/>
      <c r="L756" s="1526"/>
      <c r="M756" s="1526"/>
      <c r="N756" s="1526"/>
      <c r="O756" s="1526"/>
      <c r="P756" s="1526"/>
      <c r="Q756" s="1526"/>
      <c r="R756" s="1526"/>
      <c r="S756" s="1526"/>
      <c r="T756" s="1526"/>
      <c r="U756" s="1526"/>
      <c r="V756" s="1526"/>
      <c r="W756" s="1526"/>
      <c r="X756" s="1526"/>
      <c r="Y756" s="1526"/>
      <c r="Z756" s="974"/>
      <c r="AA756" s="974"/>
      <c r="AB756" s="974"/>
      <c r="AC756" s="974"/>
      <c r="AD756" s="974"/>
      <c r="AE756" s="974"/>
    </row>
    <row r="757">
      <c r="A757" s="1526"/>
      <c r="B757" s="1526"/>
      <c r="C757" s="1526"/>
      <c r="D757" s="1526"/>
      <c r="E757" s="1526"/>
      <c r="F757" s="1526"/>
      <c r="G757" s="1526"/>
      <c r="H757" s="1526"/>
      <c r="I757" s="1526"/>
      <c r="J757" s="1526"/>
      <c r="K757" s="1526"/>
      <c r="L757" s="1526"/>
      <c r="M757" s="1526"/>
      <c r="N757" s="1526"/>
      <c r="O757" s="1526"/>
      <c r="P757" s="1526"/>
      <c r="Q757" s="1526"/>
      <c r="R757" s="1526"/>
      <c r="S757" s="1526"/>
      <c r="T757" s="1526"/>
      <c r="U757" s="1526"/>
      <c r="V757" s="1526"/>
      <c r="W757" s="1526"/>
      <c r="X757" s="1526"/>
      <c r="Y757" s="1526"/>
      <c r="Z757" s="974"/>
      <c r="AA757" s="974"/>
      <c r="AB757" s="974"/>
      <c r="AC757" s="974"/>
      <c r="AD757" s="974"/>
      <c r="AE757" s="974"/>
    </row>
    <row r="758">
      <c r="A758" s="1526"/>
      <c r="B758" s="1526"/>
      <c r="C758" s="1526"/>
      <c r="D758" s="1526"/>
      <c r="E758" s="1526"/>
      <c r="F758" s="1526"/>
      <c r="G758" s="1526"/>
      <c r="H758" s="1526"/>
      <c r="I758" s="1526"/>
      <c r="J758" s="1526"/>
      <c r="K758" s="1526"/>
      <c r="L758" s="1526"/>
      <c r="M758" s="1526"/>
      <c r="N758" s="1526"/>
      <c r="O758" s="1526"/>
      <c r="P758" s="1526"/>
      <c r="Q758" s="1526"/>
      <c r="R758" s="1526"/>
      <c r="S758" s="1526"/>
      <c r="T758" s="1526"/>
      <c r="U758" s="1526"/>
      <c r="V758" s="1526"/>
      <c r="W758" s="1526"/>
      <c r="X758" s="1526"/>
      <c r="Y758" s="1526"/>
      <c r="Z758" s="974"/>
      <c r="AA758" s="974"/>
      <c r="AB758" s="974"/>
      <c r="AC758" s="974"/>
      <c r="AD758" s="974"/>
      <c r="AE758" s="974"/>
    </row>
    <row r="759">
      <c r="A759" s="1526"/>
      <c r="B759" s="1526"/>
      <c r="C759" s="1526"/>
      <c r="D759" s="1526"/>
      <c r="E759" s="1526"/>
      <c r="F759" s="1526"/>
      <c r="G759" s="1526"/>
      <c r="H759" s="1526"/>
      <c r="I759" s="1526"/>
      <c r="J759" s="1526"/>
      <c r="K759" s="1526"/>
      <c r="L759" s="1526"/>
      <c r="M759" s="1526"/>
      <c r="N759" s="1526"/>
      <c r="O759" s="1526"/>
      <c r="P759" s="1526"/>
      <c r="Q759" s="1526"/>
      <c r="R759" s="1526"/>
      <c r="S759" s="1526"/>
      <c r="T759" s="1526"/>
      <c r="U759" s="1526"/>
      <c r="V759" s="1526"/>
      <c r="W759" s="1526"/>
      <c r="X759" s="1526"/>
      <c r="Y759" s="1526"/>
      <c r="Z759" s="974"/>
      <c r="AA759" s="974"/>
      <c r="AB759" s="974"/>
      <c r="AC759" s="974"/>
      <c r="AD759" s="974"/>
      <c r="AE759" s="974"/>
    </row>
    <row r="760">
      <c r="A760" s="1526"/>
      <c r="B760" s="1526"/>
      <c r="C760" s="1526"/>
      <c r="D760" s="1526"/>
      <c r="E760" s="1526"/>
      <c r="F760" s="1526"/>
      <c r="G760" s="1526"/>
      <c r="H760" s="1526"/>
      <c r="I760" s="1526"/>
      <c r="J760" s="1526"/>
      <c r="K760" s="1526"/>
      <c r="L760" s="1526"/>
      <c r="M760" s="1526"/>
      <c r="N760" s="1526"/>
      <c r="O760" s="1526"/>
      <c r="P760" s="1526"/>
      <c r="Q760" s="1526"/>
      <c r="R760" s="1526"/>
      <c r="S760" s="1526"/>
      <c r="T760" s="1526"/>
      <c r="U760" s="1526"/>
      <c r="V760" s="1526"/>
      <c r="W760" s="1526"/>
      <c r="X760" s="1526"/>
      <c r="Y760" s="1526"/>
      <c r="Z760" s="974"/>
      <c r="AA760" s="974"/>
      <c r="AB760" s="974"/>
      <c r="AC760" s="974"/>
      <c r="AD760" s="974"/>
      <c r="AE760" s="974"/>
    </row>
    <row r="761">
      <c r="A761" s="1526"/>
      <c r="B761" s="1526"/>
      <c r="C761" s="1526"/>
      <c r="D761" s="1526"/>
      <c r="E761" s="1526"/>
      <c r="F761" s="1526"/>
      <c r="G761" s="1526"/>
      <c r="H761" s="1526"/>
      <c r="I761" s="1526"/>
      <c r="J761" s="1526"/>
      <c r="K761" s="1526"/>
      <c r="L761" s="1526"/>
      <c r="M761" s="1526"/>
      <c r="N761" s="1526"/>
      <c r="O761" s="1526"/>
      <c r="P761" s="1526"/>
      <c r="Q761" s="1526"/>
      <c r="R761" s="1526"/>
      <c r="S761" s="1526"/>
      <c r="T761" s="1526"/>
      <c r="U761" s="1526"/>
      <c r="V761" s="1526"/>
      <c r="W761" s="1526"/>
      <c r="X761" s="1526"/>
      <c r="Y761" s="1526"/>
      <c r="Z761" s="974"/>
      <c r="AA761" s="974"/>
      <c r="AB761" s="974"/>
      <c r="AC761" s="974"/>
      <c r="AD761" s="974"/>
      <c r="AE761" s="974"/>
    </row>
    <row r="762">
      <c r="A762" s="1526"/>
      <c r="B762" s="1526"/>
      <c r="C762" s="1526"/>
      <c r="D762" s="1526"/>
      <c r="E762" s="1526"/>
      <c r="F762" s="1526"/>
      <c r="G762" s="1526"/>
      <c r="H762" s="1526"/>
      <c r="I762" s="1526"/>
      <c r="J762" s="1526"/>
      <c r="K762" s="1526"/>
      <c r="L762" s="1526"/>
      <c r="M762" s="1526"/>
      <c r="N762" s="1526"/>
      <c r="O762" s="1526"/>
      <c r="P762" s="1526"/>
      <c r="Q762" s="1526"/>
      <c r="R762" s="1526"/>
      <c r="S762" s="1526"/>
      <c r="T762" s="1526"/>
      <c r="U762" s="1526"/>
      <c r="V762" s="1526"/>
      <c r="W762" s="1526"/>
      <c r="X762" s="1526"/>
      <c r="Y762" s="1526"/>
      <c r="Z762" s="974"/>
      <c r="AA762" s="974"/>
      <c r="AB762" s="974"/>
      <c r="AC762" s="974"/>
      <c r="AD762" s="974"/>
      <c r="AE762" s="974"/>
    </row>
    <row r="763">
      <c r="A763" s="1526"/>
      <c r="B763" s="1526"/>
      <c r="C763" s="1526"/>
      <c r="D763" s="1526"/>
      <c r="E763" s="1526"/>
      <c r="F763" s="1526"/>
      <c r="G763" s="1526"/>
      <c r="H763" s="1526"/>
      <c r="I763" s="1526"/>
      <c r="J763" s="1526"/>
      <c r="K763" s="1526"/>
      <c r="L763" s="1526"/>
      <c r="M763" s="1526"/>
      <c r="N763" s="1526"/>
      <c r="O763" s="1526"/>
      <c r="P763" s="1526"/>
      <c r="Q763" s="1526"/>
      <c r="R763" s="1526"/>
      <c r="S763" s="1526"/>
      <c r="T763" s="1526"/>
      <c r="U763" s="1526"/>
      <c r="V763" s="1526"/>
      <c r="W763" s="1526"/>
      <c r="X763" s="1526"/>
      <c r="Y763" s="1526"/>
      <c r="Z763" s="974"/>
      <c r="AA763" s="974"/>
      <c r="AB763" s="974"/>
      <c r="AC763" s="974"/>
      <c r="AD763" s="974"/>
      <c r="AE763" s="974"/>
    </row>
    <row r="764">
      <c r="A764" s="1526"/>
      <c r="B764" s="1526"/>
      <c r="C764" s="1526"/>
      <c r="D764" s="1526"/>
      <c r="E764" s="1526"/>
      <c r="F764" s="1526"/>
      <c r="G764" s="1526"/>
      <c r="H764" s="1526"/>
      <c r="I764" s="1526"/>
      <c r="J764" s="1526"/>
      <c r="K764" s="1526"/>
      <c r="L764" s="1526"/>
      <c r="M764" s="1526"/>
      <c r="N764" s="1526"/>
      <c r="O764" s="1526"/>
      <c r="P764" s="1526"/>
      <c r="Q764" s="1526"/>
      <c r="R764" s="1526"/>
      <c r="S764" s="1526"/>
      <c r="T764" s="1526"/>
      <c r="U764" s="1526"/>
      <c r="V764" s="1526"/>
      <c r="W764" s="1526"/>
      <c r="X764" s="1526"/>
      <c r="Y764" s="1526"/>
      <c r="Z764" s="974"/>
      <c r="AA764" s="974"/>
      <c r="AB764" s="974"/>
      <c r="AC764" s="974"/>
      <c r="AD764" s="974"/>
      <c r="AE764" s="974"/>
    </row>
    <row r="765">
      <c r="A765" s="1526"/>
      <c r="B765" s="1526"/>
      <c r="C765" s="1526"/>
      <c r="D765" s="1526"/>
      <c r="E765" s="1526"/>
      <c r="F765" s="1526"/>
      <c r="G765" s="1526"/>
      <c r="H765" s="1526"/>
      <c r="I765" s="1526"/>
      <c r="J765" s="1526"/>
      <c r="K765" s="1526"/>
      <c r="L765" s="1526"/>
      <c r="M765" s="1526"/>
      <c r="N765" s="1526"/>
      <c r="O765" s="1526"/>
      <c r="P765" s="1526"/>
      <c r="Q765" s="1526"/>
      <c r="R765" s="1526"/>
      <c r="S765" s="1526"/>
      <c r="T765" s="1526"/>
      <c r="U765" s="1526"/>
      <c r="V765" s="1526"/>
      <c r="W765" s="1526"/>
      <c r="X765" s="1526"/>
      <c r="Y765" s="1526"/>
      <c r="Z765" s="974"/>
      <c r="AA765" s="974"/>
      <c r="AB765" s="974"/>
      <c r="AC765" s="974"/>
      <c r="AD765" s="974"/>
      <c r="AE765" s="974"/>
    </row>
    <row r="766">
      <c r="A766" s="1526"/>
      <c r="B766" s="1526"/>
      <c r="C766" s="1526"/>
      <c r="D766" s="1526"/>
      <c r="E766" s="1526"/>
      <c r="F766" s="1526"/>
      <c r="G766" s="1526"/>
      <c r="H766" s="1526"/>
      <c r="I766" s="1526"/>
      <c r="J766" s="1526"/>
      <c r="K766" s="1526"/>
      <c r="L766" s="1526"/>
      <c r="M766" s="1526"/>
      <c r="N766" s="1526"/>
      <c r="O766" s="1526"/>
      <c r="P766" s="1526"/>
      <c r="Q766" s="1526"/>
      <c r="R766" s="1526"/>
      <c r="S766" s="1526"/>
      <c r="T766" s="1526"/>
      <c r="U766" s="1526"/>
      <c r="V766" s="1526"/>
      <c r="W766" s="1526"/>
      <c r="X766" s="1526"/>
      <c r="Y766" s="1526"/>
      <c r="Z766" s="974"/>
      <c r="AA766" s="974"/>
      <c r="AB766" s="974"/>
      <c r="AC766" s="974"/>
      <c r="AD766" s="974"/>
      <c r="AE766" s="974"/>
    </row>
    <row r="767">
      <c r="A767" s="1526"/>
      <c r="B767" s="1526"/>
      <c r="C767" s="1526"/>
      <c r="D767" s="1526"/>
      <c r="E767" s="1526"/>
      <c r="F767" s="1526"/>
      <c r="G767" s="1526"/>
      <c r="H767" s="1526"/>
      <c r="I767" s="1526"/>
      <c r="J767" s="1526"/>
      <c r="K767" s="1526"/>
      <c r="L767" s="1526"/>
      <c r="M767" s="1526"/>
      <c r="N767" s="1526"/>
      <c r="O767" s="1526"/>
      <c r="P767" s="1526"/>
      <c r="Q767" s="1526"/>
      <c r="R767" s="1526"/>
      <c r="S767" s="1526"/>
      <c r="T767" s="1526"/>
      <c r="U767" s="1526"/>
      <c r="V767" s="1526"/>
      <c r="W767" s="1526"/>
      <c r="X767" s="1526"/>
      <c r="Y767" s="1526"/>
      <c r="Z767" s="974"/>
      <c r="AA767" s="974"/>
      <c r="AB767" s="974"/>
      <c r="AC767" s="974"/>
      <c r="AD767" s="974"/>
      <c r="AE767" s="974"/>
    </row>
    <row r="768">
      <c r="A768" s="1526"/>
      <c r="B768" s="1526"/>
      <c r="C768" s="1526"/>
      <c r="D768" s="1526"/>
      <c r="E768" s="1526"/>
      <c r="F768" s="1526"/>
      <c r="G768" s="1526"/>
      <c r="H768" s="1526"/>
      <c r="I768" s="1526"/>
      <c r="J768" s="1526"/>
      <c r="K768" s="1526"/>
      <c r="L768" s="1526"/>
      <c r="M768" s="1526"/>
      <c r="N768" s="1526"/>
      <c r="O768" s="1526"/>
      <c r="P768" s="1526"/>
      <c r="Q768" s="1526"/>
      <c r="R768" s="1526"/>
      <c r="S768" s="1526"/>
      <c r="T768" s="1526"/>
      <c r="U768" s="1526"/>
      <c r="V768" s="1526"/>
      <c r="W768" s="1526"/>
      <c r="X768" s="1526"/>
      <c r="Y768" s="1526"/>
      <c r="Z768" s="974"/>
      <c r="AA768" s="974"/>
      <c r="AB768" s="974"/>
      <c r="AC768" s="974"/>
      <c r="AD768" s="974"/>
      <c r="AE768" s="974"/>
    </row>
    <row r="769">
      <c r="A769" s="1526"/>
      <c r="B769" s="1526"/>
      <c r="C769" s="1526"/>
      <c r="D769" s="1526"/>
      <c r="E769" s="1526"/>
      <c r="F769" s="1526"/>
      <c r="G769" s="1526"/>
      <c r="H769" s="1526"/>
      <c r="I769" s="1526"/>
      <c r="J769" s="1526"/>
      <c r="K769" s="1526"/>
      <c r="L769" s="1526"/>
      <c r="M769" s="1526"/>
      <c r="N769" s="1526"/>
      <c r="O769" s="1526"/>
      <c r="P769" s="1526"/>
      <c r="Q769" s="1526"/>
      <c r="R769" s="1526"/>
      <c r="S769" s="1526"/>
      <c r="T769" s="1526"/>
      <c r="U769" s="1526"/>
      <c r="V769" s="1526"/>
      <c r="W769" s="1526"/>
      <c r="X769" s="1526"/>
      <c r="Y769" s="1526"/>
      <c r="Z769" s="974"/>
      <c r="AA769" s="974"/>
      <c r="AB769" s="974"/>
      <c r="AC769" s="974"/>
      <c r="AD769" s="974"/>
      <c r="AE769" s="974"/>
    </row>
    <row r="770">
      <c r="A770" s="1526"/>
      <c r="B770" s="1526"/>
      <c r="C770" s="1526"/>
      <c r="D770" s="1526"/>
      <c r="E770" s="1526"/>
      <c r="F770" s="1526"/>
      <c r="G770" s="1526"/>
      <c r="H770" s="1526"/>
      <c r="I770" s="1526"/>
      <c r="J770" s="1526"/>
      <c r="K770" s="1526"/>
      <c r="L770" s="1526"/>
      <c r="M770" s="1526"/>
      <c r="N770" s="1526"/>
      <c r="O770" s="1526"/>
      <c r="P770" s="1526"/>
      <c r="Q770" s="1526"/>
      <c r="R770" s="1526"/>
      <c r="S770" s="1526"/>
      <c r="T770" s="1526"/>
      <c r="U770" s="1526"/>
      <c r="V770" s="1526"/>
      <c r="W770" s="1526"/>
      <c r="X770" s="1526"/>
      <c r="Y770" s="1526"/>
      <c r="Z770" s="974"/>
      <c r="AA770" s="974"/>
      <c r="AB770" s="974"/>
      <c r="AC770" s="974"/>
      <c r="AD770" s="974"/>
      <c r="AE770" s="974"/>
    </row>
    <row r="771">
      <c r="A771" s="1526"/>
      <c r="B771" s="1526"/>
      <c r="C771" s="1526"/>
      <c r="D771" s="1526"/>
      <c r="E771" s="1526"/>
      <c r="F771" s="1526"/>
      <c r="G771" s="1526"/>
      <c r="H771" s="1526"/>
      <c r="I771" s="1526"/>
      <c r="J771" s="1526"/>
      <c r="K771" s="1526"/>
      <c r="L771" s="1526"/>
      <c r="M771" s="1526"/>
      <c r="N771" s="1526"/>
      <c r="O771" s="1526"/>
      <c r="P771" s="1526"/>
      <c r="Q771" s="1526"/>
      <c r="R771" s="1526"/>
      <c r="S771" s="1526"/>
      <c r="T771" s="1526"/>
      <c r="U771" s="1526"/>
      <c r="V771" s="1526"/>
      <c r="W771" s="1526"/>
      <c r="X771" s="1526"/>
      <c r="Y771" s="1526"/>
      <c r="Z771" s="974"/>
      <c r="AA771" s="974"/>
      <c r="AB771" s="974"/>
      <c r="AC771" s="974"/>
      <c r="AD771" s="974"/>
      <c r="AE771" s="974"/>
    </row>
    <row r="772">
      <c r="A772" s="1526"/>
      <c r="B772" s="1526"/>
      <c r="C772" s="1526"/>
      <c r="D772" s="1526"/>
      <c r="E772" s="1526"/>
      <c r="F772" s="1526"/>
      <c r="G772" s="1526"/>
      <c r="H772" s="1526"/>
      <c r="I772" s="1526"/>
      <c r="J772" s="1526"/>
      <c r="K772" s="1526"/>
      <c r="L772" s="1526"/>
      <c r="M772" s="1526"/>
      <c r="N772" s="1526"/>
      <c r="O772" s="1526"/>
      <c r="P772" s="1526"/>
      <c r="Q772" s="1526"/>
      <c r="R772" s="1526"/>
      <c r="S772" s="1526"/>
      <c r="T772" s="1526"/>
      <c r="U772" s="1526"/>
      <c r="V772" s="1526"/>
      <c r="W772" s="1526"/>
      <c r="X772" s="1526"/>
      <c r="Y772" s="1526"/>
      <c r="Z772" s="974"/>
      <c r="AA772" s="974"/>
      <c r="AB772" s="974"/>
      <c r="AC772" s="974"/>
      <c r="AD772" s="974"/>
      <c r="AE772" s="974"/>
    </row>
    <row r="773">
      <c r="A773" s="1526"/>
      <c r="B773" s="1526"/>
      <c r="C773" s="1526"/>
      <c r="D773" s="1526"/>
      <c r="E773" s="1526"/>
      <c r="F773" s="1526"/>
      <c r="G773" s="1526"/>
      <c r="H773" s="1526"/>
      <c r="I773" s="1526"/>
      <c r="J773" s="1526"/>
      <c r="K773" s="1526"/>
      <c r="L773" s="1526"/>
      <c r="M773" s="1526"/>
      <c r="N773" s="1526"/>
      <c r="O773" s="1526"/>
      <c r="P773" s="1526"/>
      <c r="Q773" s="1526"/>
      <c r="R773" s="1526"/>
      <c r="S773" s="1526"/>
      <c r="T773" s="1526"/>
      <c r="U773" s="1526"/>
      <c r="V773" s="1526"/>
      <c r="W773" s="1526"/>
      <c r="X773" s="1526"/>
      <c r="Y773" s="1526"/>
      <c r="Z773" s="974"/>
      <c r="AA773" s="974"/>
      <c r="AB773" s="974"/>
      <c r="AC773" s="974"/>
      <c r="AD773" s="974"/>
      <c r="AE773" s="974"/>
    </row>
    <row r="774">
      <c r="A774" s="1526"/>
      <c r="B774" s="1526"/>
      <c r="C774" s="1526"/>
      <c r="D774" s="1526"/>
      <c r="E774" s="1526"/>
      <c r="F774" s="1526"/>
      <c r="G774" s="1526"/>
      <c r="H774" s="1526"/>
      <c r="I774" s="1526"/>
      <c r="J774" s="1526"/>
      <c r="K774" s="1526"/>
      <c r="L774" s="1526"/>
      <c r="M774" s="1526"/>
      <c r="N774" s="1526"/>
      <c r="O774" s="1526"/>
      <c r="P774" s="1526"/>
      <c r="Q774" s="1526"/>
      <c r="R774" s="1526"/>
      <c r="S774" s="1526"/>
      <c r="T774" s="1526"/>
      <c r="U774" s="1526"/>
      <c r="V774" s="1526"/>
      <c r="W774" s="1526"/>
      <c r="X774" s="1526"/>
      <c r="Y774" s="1526"/>
      <c r="Z774" s="974"/>
      <c r="AA774" s="974"/>
      <c r="AB774" s="974"/>
      <c r="AC774" s="974"/>
      <c r="AD774" s="974"/>
      <c r="AE774" s="974"/>
    </row>
    <row r="775">
      <c r="A775" s="1526"/>
      <c r="B775" s="1526"/>
      <c r="C775" s="1526"/>
      <c r="D775" s="1526"/>
      <c r="E775" s="1526"/>
      <c r="F775" s="1526"/>
      <c r="G775" s="1526"/>
      <c r="H775" s="1526"/>
      <c r="I775" s="1526"/>
      <c r="J775" s="1526"/>
      <c r="K775" s="1526"/>
      <c r="L775" s="1526"/>
      <c r="M775" s="1526"/>
      <c r="N775" s="1526"/>
      <c r="O775" s="1526"/>
      <c r="P775" s="1526"/>
      <c r="Q775" s="1526"/>
      <c r="R775" s="1526"/>
      <c r="S775" s="1526"/>
      <c r="T775" s="1526"/>
      <c r="U775" s="1526"/>
      <c r="V775" s="1526"/>
      <c r="W775" s="1526"/>
      <c r="X775" s="1526"/>
      <c r="Y775" s="1526"/>
      <c r="Z775" s="974"/>
      <c r="AA775" s="974"/>
      <c r="AB775" s="974"/>
      <c r="AC775" s="974"/>
      <c r="AD775" s="974"/>
      <c r="AE775" s="974"/>
    </row>
    <row r="776">
      <c r="A776" s="1526"/>
      <c r="B776" s="1526"/>
      <c r="C776" s="1526"/>
      <c r="D776" s="1526"/>
      <c r="E776" s="1526"/>
      <c r="F776" s="1526"/>
      <c r="G776" s="1526"/>
      <c r="H776" s="1526"/>
      <c r="I776" s="1526"/>
      <c r="J776" s="1526"/>
      <c r="K776" s="1526"/>
      <c r="L776" s="1526"/>
      <c r="M776" s="1526"/>
      <c r="N776" s="1526"/>
      <c r="O776" s="1526"/>
      <c r="P776" s="1526"/>
      <c r="Q776" s="1526"/>
      <c r="R776" s="1526"/>
      <c r="S776" s="1526"/>
      <c r="T776" s="1526"/>
      <c r="U776" s="1526"/>
      <c r="V776" s="1526"/>
      <c r="W776" s="1526"/>
      <c r="X776" s="1526"/>
      <c r="Y776" s="1526"/>
      <c r="Z776" s="974"/>
      <c r="AA776" s="974"/>
      <c r="AB776" s="974"/>
      <c r="AC776" s="974"/>
      <c r="AD776" s="974"/>
      <c r="AE776" s="974"/>
    </row>
    <row r="777">
      <c r="A777" s="1526"/>
      <c r="B777" s="1526"/>
      <c r="C777" s="1526"/>
      <c r="D777" s="1526"/>
      <c r="E777" s="1526"/>
      <c r="F777" s="1526"/>
      <c r="G777" s="1526"/>
      <c r="H777" s="1526"/>
      <c r="I777" s="1526"/>
      <c r="J777" s="1526"/>
      <c r="K777" s="1526"/>
      <c r="L777" s="1526"/>
      <c r="M777" s="1526"/>
      <c r="N777" s="1526"/>
      <c r="O777" s="1526"/>
      <c r="P777" s="1526"/>
      <c r="Q777" s="1526"/>
      <c r="R777" s="1526"/>
      <c r="S777" s="1526"/>
      <c r="T777" s="1526"/>
      <c r="U777" s="1526"/>
      <c r="V777" s="1526"/>
      <c r="W777" s="1526"/>
      <c r="X777" s="1526"/>
      <c r="Y777" s="1526"/>
      <c r="Z777" s="974"/>
      <c r="AA777" s="974"/>
      <c r="AB777" s="974"/>
      <c r="AC777" s="974"/>
      <c r="AD777" s="974"/>
      <c r="AE777" s="974"/>
    </row>
    <row r="778">
      <c r="A778" s="1526"/>
      <c r="B778" s="1526"/>
      <c r="C778" s="1526"/>
      <c r="D778" s="1526"/>
      <c r="E778" s="1526"/>
      <c r="F778" s="1526"/>
      <c r="G778" s="1526"/>
      <c r="H778" s="1526"/>
      <c r="I778" s="1526"/>
      <c r="J778" s="1526"/>
      <c r="K778" s="1526"/>
      <c r="L778" s="1526"/>
      <c r="M778" s="1526"/>
      <c r="N778" s="1526"/>
      <c r="O778" s="1526"/>
      <c r="P778" s="1526"/>
      <c r="Q778" s="1526"/>
      <c r="R778" s="1526"/>
      <c r="S778" s="1526"/>
      <c r="T778" s="1526"/>
      <c r="U778" s="1526"/>
      <c r="V778" s="1526"/>
      <c r="W778" s="1526"/>
      <c r="X778" s="1526"/>
      <c r="Y778" s="1526"/>
      <c r="Z778" s="974"/>
      <c r="AA778" s="974"/>
      <c r="AB778" s="974"/>
      <c r="AC778" s="974"/>
      <c r="AD778" s="974"/>
      <c r="AE778" s="974"/>
    </row>
    <row r="779">
      <c r="A779" s="1526"/>
      <c r="B779" s="1526"/>
      <c r="C779" s="1526"/>
      <c r="D779" s="1526"/>
      <c r="E779" s="1526"/>
      <c r="F779" s="1526"/>
      <c r="G779" s="1526"/>
      <c r="H779" s="1526"/>
      <c r="I779" s="1526"/>
      <c r="J779" s="1526"/>
      <c r="K779" s="1526"/>
      <c r="L779" s="1526"/>
      <c r="M779" s="1526"/>
      <c r="N779" s="1526"/>
      <c r="O779" s="1526"/>
      <c r="P779" s="1526"/>
      <c r="Q779" s="1526"/>
      <c r="R779" s="1526"/>
      <c r="S779" s="1526"/>
      <c r="T779" s="1526"/>
      <c r="U779" s="1526"/>
      <c r="V779" s="1526"/>
      <c r="W779" s="1526"/>
      <c r="X779" s="1526"/>
      <c r="Y779" s="1526"/>
      <c r="Z779" s="974"/>
      <c r="AA779" s="974"/>
      <c r="AB779" s="974"/>
      <c r="AC779" s="974"/>
      <c r="AD779" s="974"/>
      <c r="AE779" s="974"/>
    </row>
    <row r="780">
      <c r="A780" s="1526"/>
      <c r="B780" s="1526"/>
      <c r="C780" s="1526"/>
      <c r="D780" s="1526"/>
      <c r="E780" s="1526"/>
      <c r="F780" s="1526"/>
      <c r="G780" s="1526"/>
      <c r="H780" s="1526"/>
      <c r="I780" s="1526"/>
      <c r="J780" s="1526"/>
      <c r="K780" s="1526"/>
      <c r="L780" s="1526"/>
      <c r="M780" s="1526"/>
      <c r="N780" s="1526"/>
      <c r="O780" s="1526"/>
      <c r="P780" s="1526"/>
      <c r="Q780" s="1526"/>
      <c r="R780" s="1526"/>
      <c r="S780" s="1526"/>
      <c r="T780" s="1526"/>
      <c r="U780" s="1526"/>
      <c r="V780" s="1526"/>
      <c r="W780" s="1526"/>
      <c r="X780" s="1526"/>
      <c r="Y780" s="1526"/>
      <c r="Z780" s="974"/>
      <c r="AA780" s="974"/>
      <c r="AB780" s="974"/>
      <c r="AC780" s="974"/>
      <c r="AD780" s="974"/>
      <c r="AE780" s="974"/>
    </row>
    <row r="781">
      <c r="A781" s="1526"/>
      <c r="B781" s="1526"/>
      <c r="C781" s="1526"/>
      <c r="D781" s="1526"/>
      <c r="E781" s="1526"/>
      <c r="F781" s="1526"/>
      <c r="G781" s="1526"/>
      <c r="H781" s="1526"/>
      <c r="I781" s="1526"/>
      <c r="J781" s="1526"/>
      <c r="K781" s="1526"/>
      <c r="L781" s="1526"/>
      <c r="M781" s="1526"/>
      <c r="N781" s="1526"/>
      <c r="O781" s="1526"/>
      <c r="P781" s="1526"/>
      <c r="Q781" s="1526"/>
      <c r="R781" s="1526"/>
      <c r="S781" s="1526"/>
      <c r="T781" s="1526"/>
      <c r="U781" s="1526"/>
      <c r="V781" s="1526"/>
      <c r="W781" s="1526"/>
      <c r="X781" s="1526"/>
      <c r="Y781" s="1526"/>
      <c r="Z781" s="974"/>
      <c r="AA781" s="974"/>
      <c r="AB781" s="974"/>
      <c r="AC781" s="974"/>
      <c r="AD781" s="974"/>
      <c r="AE781" s="974"/>
    </row>
    <row r="782">
      <c r="A782" s="1526"/>
      <c r="B782" s="1526"/>
      <c r="C782" s="1526"/>
      <c r="D782" s="1526"/>
      <c r="E782" s="1526"/>
      <c r="F782" s="1526"/>
      <c r="G782" s="1526"/>
      <c r="H782" s="1526"/>
      <c r="I782" s="1526"/>
      <c r="J782" s="1526"/>
      <c r="K782" s="1526"/>
      <c r="L782" s="1526"/>
      <c r="M782" s="1526"/>
      <c r="N782" s="1526"/>
      <c r="O782" s="1526"/>
      <c r="P782" s="1526"/>
      <c r="Q782" s="1526"/>
      <c r="R782" s="1526"/>
      <c r="S782" s="1526"/>
      <c r="T782" s="1526"/>
      <c r="U782" s="1526"/>
      <c r="V782" s="1526"/>
      <c r="W782" s="1526"/>
      <c r="X782" s="1526"/>
      <c r="Y782" s="1526"/>
      <c r="Z782" s="974"/>
      <c r="AA782" s="974"/>
      <c r="AB782" s="974"/>
      <c r="AC782" s="974"/>
      <c r="AD782" s="974"/>
      <c r="AE782" s="974"/>
    </row>
    <row r="783">
      <c r="A783" s="1526"/>
      <c r="B783" s="1526"/>
      <c r="C783" s="1526"/>
      <c r="D783" s="1526"/>
      <c r="E783" s="1526"/>
      <c r="F783" s="1526"/>
      <c r="G783" s="1526"/>
      <c r="H783" s="1526"/>
      <c r="I783" s="1526"/>
      <c r="J783" s="1526"/>
      <c r="K783" s="1526"/>
      <c r="L783" s="1526"/>
      <c r="M783" s="1526"/>
      <c r="N783" s="1526"/>
      <c r="O783" s="1526"/>
      <c r="P783" s="1526"/>
      <c r="Q783" s="1526"/>
      <c r="R783" s="1526"/>
      <c r="S783" s="1526"/>
      <c r="T783" s="1526"/>
      <c r="U783" s="1526"/>
      <c r="V783" s="1526"/>
      <c r="W783" s="1526"/>
      <c r="X783" s="1526"/>
      <c r="Y783" s="1526"/>
      <c r="Z783" s="974"/>
      <c r="AA783" s="974"/>
      <c r="AB783" s="974"/>
      <c r="AC783" s="974"/>
      <c r="AD783" s="974"/>
      <c r="AE783" s="974"/>
    </row>
    <row r="784">
      <c r="A784" s="1526"/>
      <c r="B784" s="1526"/>
      <c r="C784" s="1526"/>
      <c r="D784" s="1526"/>
      <c r="E784" s="1526"/>
      <c r="F784" s="1526"/>
      <c r="G784" s="1526"/>
      <c r="H784" s="1526"/>
      <c r="I784" s="1526"/>
      <c r="J784" s="1526"/>
      <c r="K784" s="1526"/>
      <c r="L784" s="1526"/>
      <c r="M784" s="1526"/>
      <c r="N784" s="1526"/>
      <c r="O784" s="1526"/>
      <c r="P784" s="1526"/>
      <c r="Q784" s="1526"/>
      <c r="R784" s="1526"/>
      <c r="S784" s="1526"/>
      <c r="T784" s="1526"/>
      <c r="U784" s="1526"/>
      <c r="V784" s="1526"/>
      <c r="W784" s="1526"/>
      <c r="X784" s="1526"/>
      <c r="Y784" s="1526"/>
      <c r="Z784" s="974"/>
      <c r="AA784" s="974"/>
      <c r="AB784" s="974"/>
      <c r="AC784" s="974"/>
      <c r="AD784" s="974"/>
      <c r="AE784" s="974"/>
    </row>
    <row r="785">
      <c r="A785" s="1526"/>
      <c r="B785" s="1526"/>
      <c r="C785" s="1526"/>
      <c r="D785" s="1526"/>
      <c r="E785" s="1526"/>
      <c r="F785" s="1526"/>
      <c r="G785" s="1526"/>
      <c r="H785" s="1526"/>
      <c r="I785" s="1526"/>
      <c r="J785" s="1526"/>
      <c r="K785" s="1526"/>
      <c r="L785" s="1526"/>
      <c r="M785" s="1526"/>
      <c r="N785" s="1526"/>
      <c r="O785" s="1526"/>
      <c r="P785" s="1526"/>
      <c r="Q785" s="1526"/>
      <c r="R785" s="1526"/>
      <c r="S785" s="1526"/>
      <c r="T785" s="1526"/>
      <c r="U785" s="1526"/>
      <c r="V785" s="1526"/>
      <c r="W785" s="1526"/>
      <c r="X785" s="1526"/>
      <c r="Y785" s="1526"/>
      <c r="Z785" s="974"/>
      <c r="AA785" s="974"/>
      <c r="AB785" s="974"/>
      <c r="AC785" s="974"/>
      <c r="AD785" s="974"/>
      <c r="AE785" s="974"/>
    </row>
    <row r="786">
      <c r="A786" s="1526"/>
      <c r="B786" s="1526"/>
      <c r="C786" s="1526"/>
      <c r="D786" s="1526"/>
      <c r="E786" s="1526"/>
      <c r="F786" s="1526"/>
      <c r="G786" s="1526"/>
      <c r="H786" s="1526"/>
      <c r="I786" s="1526"/>
      <c r="J786" s="1526"/>
      <c r="K786" s="1526"/>
      <c r="L786" s="1526"/>
      <c r="M786" s="1526"/>
      <c r="N786" s="1526"/>
      <c r="O786" s="1526"/>
      <c r="P786" s="1526"/>
      <c r="Q786" s="1526"/>
      <c r="R786" s="1526"/>
      <c r="S786" s="1526"/>
      <c r="T786" s="1526"/>
      <c r="U786" s="1526"/>
      <c r="V786" s="1526"/>
      <c r="W786" s="1526"/>
      <c r="X786" s="1526"/>
      <c r="Y786" s="1526"/>
      <c r="Z786" s="974"/>
      <c r="AA786" s="974"/>
      <c r="AB786" s="974"/>
      <c r="AC786" s="974"/>
      <c r="AD786" s="974"/>
      <c r="AE786" s="974"/>
    </row>
    <row r="787">
      <c r="A787" s="1526"/>
      <c r="B787" s="1526"/>
      <c r="C787" s="1526"/>
      <c r="D787" s="1526"/>
      <c r="E787" s="1526"/>
      <c r="F787" s="1526"/>
      <c r="G787" s="1526"/>
      <c r="H787" s="1526"/>
      <c r="I787" s="1526"/>
      <c r="J787" s="1526"/>
      <c r="K787" s="1526"/>
      <c r="L787" s="1526"/>
      <c r="M787" s="1526"/>
      <c r="N787" s="1526"/>
      <c r="O787" s="1526"/>
      <c r="P787" s="1526"/>
      <c r="Q787" s="1526"/>
      <c r="R787" s="1526"/>
      <c r="S787" s="1526"/>
      <c r="T787" s="1526"/>
      <c r="U787" s="1526"/>
      <c r="V787" s="1526"/>
      <c r="W787" s="1526"/>
      <c r="X787" s="1526"/>
      <c r="Y787" s="1526"/>
      <c r="Z787" s="974"/>
      <c r="AA787" s="974"/>
      <c r="AB787" s="974"/>
      <c r="AC787" s="974"/>
      <c r="AD787" s="974"/>
      <c r="AE787" s="974"/>
    </row>
    <row r="788">
      <c r="A788" s="1526"/>
      <c r="B788" s="1526"/>
      <c r="C788" s="1526"/>
      <c r="D788" s="1526"/>
      <c r="E788" s="1526"/>
      <c r="F788" s="1526"/>
      <c r="G788" s="1526"/>
      <c r="H788" s="1526"/>
      <c r="I788" s="1526"/>
      <c r="J788" s="1526"/>
      <c r="K788" s="1526"/>
      <c r="L788" s="1526"/>
      <c r="M788" s="1526"/>
      <c r="N788" s="1526"/>
      <c r="O788" s="1526"/>
      <c r="P788" s="1526"/>
      <c r="Q788" s="1526"/>
      <c r="R788" s="1526"/>
      <c r="S788" s="1526"/>
      <c r="T788" s="1526"/>
      <c r="U788" s="1526"/>
      <c r="V788" s="1526"/>
      <c r="W788" s="1526"/>
      <c r="X788" s="1526"/>
      <c r="Y788" s="1526"/>
      <c r="Z788" s="974"/>
      <c r="AA788" s="974"/>
      <c r="AB788" s="974"/>
      <c r="AC788" s="974"/>
      <c r="AD788" s="974"/>
      <c r="AE788" s="974"/>
    </row>
    <row r="789">
      <c r="A789" s="1526"/>
      <c r="B789" s="1526"/>
      <c r="C789" s="1526"/>
      <c r="D789" s="1526"/>
      <c r="E789" s="1526"/>
      <c r="F789" s="1526"/>
      <c r="G789" s="1526"/>
      <c r="H789" s="1526"/>
      <c r="I789" s="1526"/>
      <c r="J789" s="1526"/>
      <c r="K789" s="1526"/>
      <c r="L789" s="1526"/>
      <c r="M789" s="1526"/>
      <c r="N789" s="1526"/>
      <c r="O789" s="1526"/>
      <c r="P789" s="1526"/>
      <c r="Q789" s="1526"/>
      <c r="R789" s="1526"/>
      <c r="S789" s="1526"/>
      <c r="T789" s="1526"/>
      <c r="U789" s="1526"/>
      <c r="V789" s="1526"/>
      <c r="W789" s="1526"/>
      <c r="X789" s="1526"/>
      <c r="Y789" s="1526"/>
      <c r="Z789" s="974"/>
      <c r="AA789" s="974"/>
      <c r="AB789" s="974"/>
      <c r="AC789" s="974"/>
      <c r="AD789" s="974"/>
      <c r="AE789" s="974"/>
    </row>
    <row r="790">
      <c r="A790" s="1526"/>
      <c r="B790" s="1526"/>
      <c r="C790" s="1526"/>
      <c r="D790" s="1526"/>
      <c r="E790" s="1526"/>
      <c r="F790" s="1526"/>
      <c r="G790" s="1526"/>
      <c r="H790" s="1526"/>
      <c r="I790" s="1526"/>
      <c r="J790" s="1526"/>
      <c r="K790" s="1526"/>
      <c r="L790" s="1526"/>
      <c r="M790" s="1526"/>
      <c r="N790" s="1526"/>
      <c r="O790" s="1526"/>
      <c r="P790" s="1526"/>
      <c r="Q790" s="1526"/>
      <c r="R790" s="1526"/>
      <c r="S790" s="1526"/>
      <c r="T790" s="1526"/>
      <c r="U790" s="1526"/>
      <c r="V790" s="1526"/>
      <c r="W790" s="1526"/>
      <c r="X790" s="1526"/>
      <c r="Y790" s="1526"/>
      <c r="Z790" s="974"/>
      <c r="AA790" s="974"/>
      <c r="AB790" s="974"/>
      <c r="AC790" s="974"/>
      <c r="AD790" s="974"/>
      <c r="AE790" s="974"/>
    </row>
    <row r="791">
      <c r="A791" s="1526"/>
      <c r="B791" s="1526"/>
      <c r="C791" s="1526"/>
      <c r="D791" s="1526"/>
      <c r="E791" s="1526"/>
      <c r="F791" s="1526"/>
      <c r="G791" s="1526"/>
      <c r="H791" s="1526"/>
      <c r="I791" s="1526"/>
      <c r="J791" s="1526"/>
      <c r="K791" s="1526"/>
      <c r="L791" s="1526"/>
      <c r="M791" s="1526"/>
      <c r="N791" s="1526"/>
      <c r="O791" s="1526"/>
      <c r="P791" s="1526"/>
      <c r="Q791" s="1526"/>
      <c r="R791" s="1526"/>
      <c r="S791" s="1526"/>
      <c r="T791" s="1526"/>
      <c r="U791" s="1526"/>
      <c r="V791" s="1526"/>
      <c r="W791" s="1526"/>
      <c r="X791" s="1526"/>
      <c r="Y791" s="1526"/>
      <c r="Z791" s="974"/>
      <c r="AA791" s="974"/>
      <c r="AB791" s="974"/>
      <c r="AC791" s="974"/>
      <c r="AD791" s="974"/>
      <c r="AE791" s="974"/>
    </row>
    <row r="792">
      <c r="A792" s="1526"/>
      <c r="B792" s="1526"/>
      <c r="C792" s="1526"/>
      <c r="D792" s="1526"/>
      <c r="E792" s="1526"/>
      <c r="F792" s="1526"/>
      <c r="G792" s="1526"/>
      <c r="H792" s="1526"/>
      <c r="I792" s="1526"/>
      <c r="J792" s="1526"/>
      <c r="K792" s="1526"/>
      <c r="L792" s="1526"/>
      <c r="M792" s="1526"/>
      <c r="N792" s="1526"/>
      <c r="O792" s="1526"/>
      <c r="P792" s="1526"/>
      <c r="Q792" s="1526"/>
      <c r="R792" s="1526"/>
      <c r="S792" s="1526"/>
      <c r="T792" s="1526"/>
      <c r="U792" s="1526"/>
      <c r="V792" s="1526"/>
      <c r="W792" s="1526"/>
      <c r="X792" s="1526"/>
      <c r="Y792" s="1526"/>
      <c r="Z792" s="974"/>
      <c r="AA792" s="974"/>
      <c r="AB792" s="974"/>
      <c r="AC792" s="974"/>
      <c r="AD792" s="974"/>
      <c r="AE792" s="974"/>
    </row>
    <row r="793">
      <c r="A793" s="1526"/>
      <c r="B793" s="1526"/>
      <c r="C793" s="1526"/>
      <c r="D793" s="1526"/>
      <c r="E793" s="1526"/>
      <c r="F793" s="1526"/>
      <c r="G793" s="1526"/>
      <c r="H793" s="1526"/>
      <c r="I793" s="1526"/>
      <c r="J793" s="1526"/>
      <c r="K793" s="1526"/>
      <c r="L793" s="1526"/>
      <c r="M793" s="1526"/>
      <c r="N793" s="1526"/>
      <c r="O793" s="1526"/>
      <c r="P793" s="1526"/>
      <c r="Q793" s="1526"/>
      <c r="R793" s="1526"/>
      <c r="S793" s="1526"/>
      <c r="T793" s="1526"/>
      <c r="U793" s="1526"/>
      <c r="V793" s="1526"/>
      <c r="W793" s="1526"/>
      <c r="X793" s="1526"/>
      <c r="Y793" s="1526"/>
      <c r="Z793" s="974"/>
      <c r="AA793" s="974"/>
      <c r="AB793" s="974"/>
      <c r="AC793" s="974"/>
      <c r="AD793" s="974"/>
      <c r="AE793" s="974"/>
    </row>
    <row r="794">
      <c r="A794" s="1526"/>
      <c r="B794" s="1526"/>
      <c r="C794" s="1526"/>
      <c r="D794" s="1526"/>
      <c r="E794" s="1526"/>
      <c r="F794" s="1526"/>
      <c r="G794" s="1526"/>
      <c r="H794" s="1526"/>
      <c r="I794" s="1526"/>
      <c r="J794" s="1526"/>
      <c r="K794" s="1526"/>
      <c r="L794" s="1526"/>
      <c r="M794" s="1526"/>
      <c r="N794" s="1526"/>
      <c r="O794" s="1526"/>
      <c r="P794" s="1526"/>
      <c r="Q794" s="1526"/>
      <c r="R794" s="1526"/>
      <c r="S794" s="1526"/>
      <c r="T794" s="1526"/>
      <c r="U794" s="1526"/>
      <c r="V794" s="1526"/>
      <c r="W794" s="1526"/>
      <c r="X794" s="1526"/>
      <c r="Y794" s="1526"/>
      <c r="Z794" s="974"/>
      <c r="AA794" s="974"/>
      <c r="AB794" s="974"/>
      <c r="AC794" s="974"/>
      <c r="AD794" s="974"/>
      <c r="AE794" s="974"/>
    </row>
    <row r="795">
      <c r="A795" s="1526"/>
      <c r="B795" s="1526"/>
      <c r="C795" s="1526"/>
      <c r="D795" s="1526"/>
      <c r="E795" s="1526"/>
      <c r="F795" s="1526"/>
      <c r="G795" s="1526"/>
      <c r="H795" s="1526"/>
      <c r="I795" s="1526"/>
      <c r="J795" s="1526"/>
      <c r="K795" s="1526"/>
      <c r="L795" s="1526"/>
      <c r="M795" s="1526"/>
      <c r="N795" s="1526"/>
      <c r="O795" s="1526"/>
      <c r="P795" s="1526"/>
      <c r="Q795" s="1526"/>
      <c r="R795" s="1526"/>
      <c r="S795" s="1526"/>
      <c r="T795" s="1526"/>
      <c r="U795" s="1526"/>
      <c r="V795" s="1526"/>
      <c r="W795" s="1526"/>
      <c r="X795" s="1526"/>
      <c r="Y795" s="1526"/>
      <c r="Z795" s="974"/>
      <c r="AA795" s="974"/>
      <c r="AB795" s="974"/>
      <c r="AC795" s="974"/>
      <c r="AD795" s="974"/>
      <c r="AE795" s="974"/>
    </row>
    <row r="796">
      <c r="A796" s="1526"/>
      <c r="B796" s="1526"/>
      <c r="C796" s="1526"/>
      <c r="D796" s="1526"/>
      <c r="E796" s="1526"/>
      <c r="F796" s="1526"/>
      <c r="G796" s="1526"/>
      <c r="H796" s="1526"/>
      <c r="I796" s="1526"/>
      <c r="J796" s="1526"/>
      <c r="K796" s="1526"/>
      <c r="L796" s="1526"/>
      <c r="M796" s="1526"/>
      <c r="N796" s="1526"/>
      <c r="O796" s="1526"/>
      <c r="P796" s="1526"/>
      <c r="Q796" s="1526"/>
      <c r="R796" s="1526"/>
      <c r="S796" s="1526"/>
      <c r="T796" s="1526"/>
      <c r="U796" s="1526"/>
      <c r="V796" s="1526"/>
      <c r="W796" s="1526"/>
      <c r="X796" s="1526"/>
      <c r="Y796" s="1526"/>
      <c r="Z796" s="974"/>
      <c r="AA796" s="974"/>
      <c r="AB796" s="974"/>
      <c r="AC796" s="974"/>
      <c r="AD796" s="974"/>
      <c r="AE796" s="974"/>
    </row>
    <row r="797">
      <c r="A797" s="1526"/>
      <c r="B797" s="1526"/>
      <c r="C797" s="1526"/>
      <c r="D797" s="1526"/>
      <c r="E797" s="1526"/>
      <c r="F797" s="1526"/>
      <c r="G797" s="1526"/>
      <c r="H797" s="1526"/>
      <c r="I797" s="1526"/>
      <c r="J797" s="1526"/>
      <c r="K797" s="1526"/>
      <c r="L797" s="1526"/>
      <c r="M797" s="1526"/>
      <c r="N797" s="1526"/>
      <c r="O797" s="1526"/>
      <c r="P797" s="1526"/>
      <c r="Q797" s="1526"/>
      <c r="R797" s="1526"/>
      <c r="S797" s="1526"/>
      <c r="T797" s="1526"/>
      <c r="U797" s="1526"/>
      <c r="V797" s="1526"/>
      <c r="W797" s="1526"/>
      <c r="X797" s="1526"/>
      <c r="Y797" s="1526"/>
      <c r="Z797" s="974"/>
      <c r="AA797" s="974"/>
      <c r="AB797" s="974"/>
      <c r="AC797" s="974"/>
      <c r="AD797" s="974"/>
      <c r="AE797" s="974"/>
    </row>
    <row r="798">
      <c r="A798" s="1526"/>
      <c r="B798" s="1526"/>
      <c r="C798" s="1526"/>
      <c r="D798" s="1526"/>
      <c r="E798" s="1526"/>
      <c r="F798" s="1526"/>
      <c r="G798" s="1526"/>
      <c r="H798" s="1526"/>
      <c r="I798" s="1526"/>
      <c r="J798" s="1526"/>
      <c r="K798" s="1526"/>
      <c r="L798" s="1526"/>
      <c r="M798" s="1526"/>
      <c r="N798" s="1526"/>
      <c r="O798" s="1526"/>
      <c r="P798" s="1526"/>
      <c r="Q798" s="1526"/>
      <c r="R798" s="1526"/>
      <c r="S798" s="1526"/>
      <c r="T798" s="1526"/>
      <c r="U798" s="1526"/>
      <c r="V798" s="1526"/>
      <c r="W798" s="1526"/>
      <c r="X798" s="1526"/>
      <c r="Y798" s="1526"/>
      <c r="Z798" s="974"/>
      <c r="AA798" s="974"/>
      <c r="AB798" s="974"/>
      <c r="AC798" s="974"/>
      <c r="AD798" s="974"/>
      <c r="AE798" s="974"/>
    </row>
    <row r="799">
      <c r="A799" s="1526"/>
      <c r="B799" s="1526"/>
      <c r="C799" s="1526"/>
      <c r="D799" s="1526"/>
      <c r="E799" s="1526"/>
      <c r="F799" s="1526"/>
      <c r="G799" s="1526"/>
      <c r="H799" s="1526"/>
      <c r="I799" s="1526"/>
      <c r="J799" s="1526"/>
      <c r="K799" s="1526"/>
      <c r="L799" s="1526"/>
      <c r="M799" s="1526"/>
      <c r="N799" s="1526"/>
      <c r="O799" s="1526"/>
      <c r="P799" s="1526"/>
      <c r="Q799" s="1526"/>
      <c r="R799" s="1526"/>
      <c r="S799" s="1526"/>
      <c r="T799" s="1526"/>
      <c r="U799" s="1526"/>
      <c r="V799" s="1526"/>
      <c r="W799" s="1526"/>
      <c r="X799" s="1526"/>
      <c r="Y799" s="1526"/>
      <c r="Z799" s="974"/>
      <c r="AA799" s="974"/>
      <c r="AB799" s="974"/>
      <c r="AC799" s="974"/>
      <c r="AD799" s="974"/>
      <c r="AE799" s="974"/>
    </row>
    <row r="800">
      <c r="A800" s="1526"/>
      <c r="B800" s="1526"/>
      <c r="C800" s="1526"/>
      <c r="D800" s="1526"/>
      <c r="E800" s="1526"/>
      <c r="F800" s="1526"/>
      <c r="G800" s="1526"/>
      <c r="H800" s="1526"/>
      <c r="I800" s="1526"/>
      <c r="J800" s="1526"/>
      <c r="K800" s="1526"/>
      <c r="L800" s="1526"/>
      <c r="M800" s="1526"/>
      <c r="N800" s="1526"/>
      <c r="O800" s="1526"/>
      <c r="P800" s="1526"/>
      <c r="Q800" s="1526"/>
      <c r="R800" s="1526"/>
      <c r="S800" s="1526"/>
      <c r="T800" s="1526"/>
      <c r="U800" s="1526"/>
      <c r="V800" s="1526"/>
      <c r="W800" s="1526"/>
      <c r="X800" s="1526"/>
      <c r="Y800" s="1526"/>
      <c r="Z800" s="974"/>
      <c r="AA800" s="974"/>
      <c r="AB800" s="974"/>
      <c r="AC800" s="974"/>
      <c r="AD800" s="974"/>
      <c r="AE800" s="974"/>
    </row>
    <row r="801">
      <c r="A801" s="1526"/>
      <c r="B801" s="1526"/>
      <c r="C801" s="1526"/>
      <c r="D801" s="1526"/>
      <c r="E801" s="1526"/>
      <c r="F801" s="1526"/>
      <c r="G801" s="1526"/>
      <c r="H801" s="1526"/>
      <c r="I801" s="1526"/>
      <c r="J801" s="1526"/>
      <c r="K801" s="1526"/>
      <c r="L801" s="1526"/>
      <c r="M801" s="1526"/>
      <c r="N801" s="1526"/>
      <c r="O801" s="1526"/>
      <c r="P801" s="1526"/>
      <c r="Q801" s="1526"/>
      <c r="R801" s="1526"/>
      <c r="S801" s="1526"/>
      <c r="T801" s="1526"/>
      <c r="U801" s="1526"/>
      <c r="V801" s="1526"/>
      <c r="W801" s="1526"/>
      <c r="X801" s="1526"/>
      <c r="Y801" s="1526"/>
      <c r="Z801" s="974"/>
      <c r="AA801" s="974"/>
      <c r="AB801" s="974"/>
      <c r="AC801" s="974"/>
      <c r="AD801" s="974"/>
      <c r="AE801" s="974"/>
    </row>
    <row r="802">
      <c r="A802" s="1526"/>
      <c r="B802" s="1526"/>
      <c r="C802" s="1526"/>
      <c r="D802" s="1526"/>
      <c r="E802" s="1526"/>
      <c r="F802" s="1526"/>
      <c r="G802" s="1526"/>
      <c r="H802" s="1526"/>
      <c r="I802" s="1526"/>
      <c r="J802" s="1526"/>
      <c r="K802" s="1526"/>
      <c r="L802" s="1526"/>
      <c r="M802" s="1526"/>
      <c r="N802" s="1526"/>
      <c r="O802" s="1526"/>
      <c r="P802" s="1526"/>
      <c r="Q802" s="1526"/>
      <c r="R802" s="1526"/>
      <c r="S802" s="1526"/>
      <c r="T802" s="1526"/>
      <c r="U802" s="1526"/>
      <c r="V802" s="1526"/>
      <c r="W802" s="1526"/>
      <c r="X802" s="1526"/>
      <c r="Y802" s="1526"/>
      <c r="Z802" s="974"/>
      <c r="AA802" s="974"/>
      <c r="AB802" s="974"/>
      <c r="AC802" s="974"/>
      <c r="AD802" s="974"/>
      <c r="AE802" s="974"/>
    </row>
    <row r="803">
      <c r="A803" s="1526"/>
      <c r="B803" s="1526"/>
      <c r="C803" s="1526"/>
      <c r="D803" s="1526"/>
      <c r="E803" s="1526"/>
      <c r="F803" s="1526"/>
      <c r="G803" s="1526"/>
      <c r="H803" s="1526"/>
      <c r="I803" s="1526"/>
      <c r="J803" s="1526"/>
      <c r="K803" s="1526"/>
      <c r="L803" s="1526"/>
      <c r="M803" s="1526"/>
      <c r="N803" s="1526"/>
      <c r="O803" s="1526"/>
      <c r="P803" s="1526"/>
      <c r="Q803" s="1526"/>
      <c r="R803" s="1526"/>
      <c r="S803" s="1526"/>
      <c r="T803" s="1526"/>
      <c r="U803" s="1526"/>
      <c r="V803" s="1526"/>
      <c r="W803" s="1526"/>
      <c r="X803" s="1526"/>
      <c r="Y803" s="1526"/>
      <c r="Z803" s="974"/>
      <c r="AA803" s="974"/>
      <c r="AB803" s="974"/>
      <c r="AC803" s="974"/>
      <c r="AD803" s="974"/>
      <c r="AE803" s="974"/>
    </row>
    <row r="804">
      <c r="A804" s="1526"/>
      <c r="B804" s="1526"/>
      <c r="C804" s="1526"/>
      <c r="D804" s="1526"/>
      <c r="E804" s="1526"/>
      <c r="F804" s="1526"/>
      <c r="G804" s="1526"/>
      <c r="H804" s="1526"/>
      <c r="I804" s="1526"/>
      <c r="J804" s="1526"/>
      <c r="K804" s="1526"/>
      <c r="L804" s="1526"/>
      <c r="M804" s="1526"/>
      <c r="N804" s="1526"/>
      <c r="O804" s="1526"/>
      <c r="P804" s="1526"/>
      <c r="Q804" s="1526"/>
      <c r="R804" s="1526"/>
      <c r="S804" s="1526"/>
      <c r="T804" s="1526"/>
      <c r="U804" s="1526"/>
      <c r="V804" s="1526"/>
      <c r="W804" s="1526"/>
      <c r="X804" s="1526"/>
      <c r="Y804" s="1526"/>
      <c r="Z804" s="974"/>
      <c r="AA804" s="974"/>
      <c r="AB804" s="974"/>
      <c r="AC804" s="974"/>
      <c r="AD804" s="974"/>
      <c r="AE804" s="974"/>
    </row>
    <row r="805">
      <c r="A805" s="1526"/>
      <c r="B805" s="1526"/>
      <c r="C805" s="1526"/>
      <c r="D805" s="1526"/>
      <c r="E805" s="1526"/>
      <c r="F805" s="1526"/>
      <c r="G805" s="1526"/>
      <c r="H805" s="1526"/>
      <c r="I805" s="1526"/>
      <c r="J805" s="1526"/>
      <c r="K805" s="1526"/>
      <c r="L805" s="1526"/>
      <c r="M805" s="1526"/>
      <c r="N805" s="1526"/>
      <c r="O805" s="1526"/>
      <c r="P805" s="1526"/>
      <c r="Q805" s="1526"/>
      <c r="R805" s="1526"/>
      <c r="S805" s="1526"/>
      <c r="T805" s="1526"/>
      <c r="U805" s="1526"/>
      <c r="V805" s="1526"/>
      <c r="W805" s="1526"/>
      <c r="X805" s="1526"/>
      <c r="Y805" s="1526"/>
      <c r="Z805" s="974"/>
      <c r="AA805" s="974"/>
      <c r="AB805" s="974"/>
      <c r="AC805" s="974"/>
      <c r="AD805" s="974"/>
      <c r="AE805" s="974"/>
    </row>
    <row r="806">
      <c r="A806" s="1526"/>
      <c r="B806" s="1526"/>
      <c r="C806" s="1526"/>
      <c r="D806" s="1526"/>
      <c r="E806" s="1526"/>
      <c r="F806" s="1526"/>
      <c r="G806" s="1526"/>
      <c r="H806" s="1526"/>
      <c r="I806" s="1526"/>
      <c r="J806" s="1526"/>
      <c r="K806" s="1526"/>
      <c r="L806" s="1526"/>
      <c r="M806" s="1526"/>
      <c r="N806" s="1526"/>
      <c r="O806" s="1526"/>
      <c r="P806" s="1526"/>
      <c r="Q806" s="1526"/>
      <c r="R806" s="1526"/>
      <c r="S806" s="1526"/>
      <c r="T806" s="1526"/>
      <c r="U806" s="1526"/>
      <c r="V806" s="1526"/>
      <c r="W806" s="1526"/>
      <c r="X806" s="1526"/>
      <c r="Y806" s="1526"/>
      <c r="Z806" s="974"/>
      <c r="AA806" s="974"/>
      <c r="AB806" s="974"/>
      <c r="AC806" s="974"/>
      <c r="AD806" s="974"/>
      <c r="AE806" s="974"/>
    </row>
    <row r="807">
      <c r="A807" s="1526"/>
      <c r="B807" s="1526"/>
      <c r="C807" s="1526"/>
      <c r="D807" s="1526"/>
      <c r="E807" s="1526"/>
      <c r="F807" s="1526"/>
      <c r="G807" s="1526"/>
      <c r="H807" s="1526"/>
      <c r="I807" s="1526"/>
      <c r="J807" s="1526"/>
      <c r="K807" s="1526"/>
      <c r="L807" s="1526"/>
      <c r="M807" s="1526"/>
      <c r="N807" s="1526"/>
      <c r="O807" s="1526"/>
      <c r="P807" s="1526"/>
      <c r="Q807" s="1526"/>
      <c r="R807" s="1526"/>
      <c r="S807" s="1526"/>
      <c r="T807" s="1526"/>
      <c r="U807" s="1526"/>
      <c r="V807" s="1526"/>
      <c r="W807" s="1526"/>
      <c r="X807" s="1526"/>
      <c r="Y807" s="1526"/>
      <c r="Z807" s="974"/>
      <c r="AA807" s="974"/>
      <c r="AB807" s="974"/>
      <c r="AC807" s="974"/>
      <c r="AD807" s="974"/>
      <c r="AE807" s="974"/>
    </row>
    <row r="808">
      <c r="A808" s="1526"/>
      <c r="B808" s="1526"/>
      <c r="C808" s="1526"/>
      <c r="D808" s="1526"/>
      <c r="E808" s="1526"/>
      <c r="F808" s="1526"/>
      <c r="G808" s="1526"/>
      <c r="H808" s="1526"/>
      <c r="I808" s="1526"/>
      <c r="J808" s="1526"/>
      <c r="K808" s="1526"/>
      <c r="L808" s="1526"/>
      <c r="M808" s="1526"/>
      <c r="N808" s="1526"/>
      <c r="O808" s="1526"/>
      <c r="P808" s="1526"/>
      <c r="Q808" s="1526"/>
      <c r="R808" s="1526"/>
      <c r="S808" s="1526"/>
      <c r="T808" s="1526"/>
      <c r="U808" s="1526"/>
      <c r="V808" s="1526"/>
      <c r="W808" s="1526"/>
      <c r="X808" s="1526"/>
      <c r="Y808" s="1526"/>
      <c r="Z808" s="974"/>
      <c r="AA808" s="974"/>
      <c r="AB808" s="974"/>
      <c r="AC808" s="974"/>
      <c r="AD808" s="974"/>
      <c r="AE808" s="974"/>
    </row>
    <row r="809">
      <c r="A809" s="1526"/>
      <c r="B809" s="1526"/>
      <c r="C809" s="1526"/>
      <c r="D809" s="1526"/>
      <c r="E809" s="1526"/>
      <c r="F809" s="1526"/>
      <c r="G809" s="1526"/>
      <c r="H809" s="1526"/>
      <c r="I809" s="1526"/>
      <c r="J809" s="1526"/>
      <c r="K809" s="1526"/>
      <c r="L809" s="1526"/>
      <c r="M809" s="1526"/>
      <c r="N809" s="1526"/>
      <c r="O809" s="1526"/>
      <c r="P809" s="1526"/>
      <c r="Q809" s="1526"/>
      <c r="R809" s="1526"/>
      <c r="S809" s="1526"/>
      <c r="T809" s="1526"/>
      <c r="U809" s="1526"/>
      <c r="V809" s="1526"/>
      <c r="W809" s="1526"/>
      <c r="X809" s="1526"/>
      <c r="Y809" s="1526"/>
      <c r="Z809" s="974"/>
      <c r="AA809" s="974"/>
      <c r="AB809" s="974"/>
      <c r="AC809" s="974"/>
      <c r="AD809" s="974"/>
      <c r="AE809" s="974"/>
    </row>
    <row r="810">
      <c r="A810" s="1526"/>
      <c r="B810" s="1526"/>
      <c r="C810" s="1526"/>
      <c r="D810" s="1526"/>
      <c r="E810" s="1526"/>
      <c r="F810" s="1526"/>
      <c r="G810" s="1526"/>
      <c r="H810" s="1526"/>
      <c r="I810" s="1526"/>
      <c r="J810" s="1526"/>
      <c r="K810" s="1526"/>
      <c r="L810" s="1526"/>
      <c r="M810" s="1526"/>
      <c r="N810" s="1526"/>
      <c r="O810" s="1526"/>
      <c r="P810" s="1526"/>
      <c r="Q810" s="1526"/>
      <c r="R810" s="1526"/>
      <c r="S810" s="1526"/>
      <c r="T810" s="1526"/>
      <c r="U810" s="1526"/>
      <c r="V810" s="1526"/>
      <c r="W810" s="1526"/>
      <c r="X810" s="1526"/>
      <c r="Y810" s="1526"/>
      <c r="Z810" s="974"/>
      <c r="AA810" s="974"/>
      <c r="AB810" s="974"/>
      <c r="AC810" s="974"/>
      <c r="AD810" s="974"/>
      <c r="AE810" s="974"/>
    </row>
    <row r="811">
      <c r="A811" s="1526"/>
      <c r="B811" s="1526"/>
      <c r="C811" s="1526"/>
      <c r="D811" s="1526"/>
      <c r="E811" s="1526"/>
      <c r="F811" s="1526"/>
      <c r="G811" s="1526"/>
      <c r="H811" s="1526"/>
      <c r="I811" s="1526"/>
      <c r="J811" s="1526"/>
      <c r="K811" s="1526"/>
      <c r="L811" s="1526"/>
      <c r="M811" s="1526"/>
      <c r="N811" s="1526"/>
      <c r="O811" s="1526"/>
      <c r="P811" s="1526"/>
      <c r="Q811" s="1526"/>
      <c r="R811" s="1526"/>
      <c r="S811" s="1526"/>
      <c r="T811" s="1526"/>
      <c r="U811" s="1526"/>
      <c r="V811" s="1526"/>
      <c r="W811" s="1526"/>
      <c r="X811" s="1526"/>
      <c r="Y811" s="1526"/>
      <c r="Z811" s="974"/>
      <c r="AA811" s="974"/>
      <c r="AB811" s="974"/>
      <c r="AC811" s="974"/>
      <c r="AD811" s="974"/>
      <c r="AE811" s="974"/>
    </row>
    <row r="812">
      <c r="A812" s="1526"/>
      <c r="B812" s="1526"/>
      <c r="C812" s="1526"/>
      <c r="D812" s="1526"/>
      <c r="E812" s="1526"/>
      <c r="F812" s="1526"/>
      <c r="G812" s="1526"/>
      <c r="H812" s="1526"/>
      <c r="I812" s="1526"/>
      <c r="J812" s="1526"/>
      <c r="K812" s="1526"/>
      <c r="L812" s="1526"/>
      <c r="M812" s="1526"/>
      <c r="N812" s="1526"/>
      <c r="O812" s="1526"/>
      <c r="P812" s="1526"/>
      <c r="Q812" s="1526"/>
      <c r="R812" s="1526"/>
      <c r="S812" s="1526"/>
      <c r="T812" s="1526"/>
      <c r="U812" s="1526"/>
      <c r="V812" s="1526"/>
      <c r="W812" s="1526"/>
      <c r="X812" s="1526"/>
      <c r="Y812" s="1526"/>
      <c r="Z812" s="974"/>
      <c r="AA812" s="974"/>
      <c r="AB812" s="974"/>
      <c r="AC812" s="974"/>
      <c r="AD812" s="974"/>
      <c r="AE812" s="974"/>
    </row>
    <row r="813">
      <c r="A813" s="1526"/>
      <c r="B813" s="1526"/>
      <c r="C813" s="1526"/>
      <c r="D813" s="1526"/>
      <c r="E813" s="1526"/>
      <c r="F813" s="1526"/>
      <c r="G813" s="1526"/>
      <c r="H813" s="1526"/>
      <c r="I813" s="1526"/>
      <c r="J813" s="1526"/>
      <c r="K813" s="1526"/>
      <c r="L813" s="1526"/>
      <c r="M813" s="1526"/>
      <c r="N813" s="1526"/>
      <c r="O813" s="1526"/>
      <c r="P813" s="1526"/>
      <c r="Q813" s="1526"/>
      <c r="R813" s="1526"/>
      <c r="S813" s="1526"/>
      <c r="T813" s="1526"/>
      <c r="U813" s="1526"/>
      <c r="V813" s="1526"/>
      <c r="W813" s="1526"/>
      <c r="X813" s="1526"/>
      <c r="Y813" s="1526"/>
      <c r="Z813" s="974"/>
      <c r="AA813" s="974"/>
      <c r="AB813" s="974"/>
      <c r="AC813" s="974"/>
      <c r="AD813" s="974"/>
      <c r="AE813" s="974"/>
    </row>
    <row r="814">
      <c r="A814" s="1526"/>
      <c r="B814" s="1526"/>
      <c r="C814" s="1526"/>
      <c r="D814" s="1526"/>
      <c r="E814" s="1526"/>
      <c r="F814" s="1526"/>
      <c r="G814" s="1526"/>
      <c r="H814" s="1526"/>
      <c r="I814" s="1526"/>
      <c r="J814" s="1526"/>
      <c r="K814" s="1526"/>
      <c r="L814" s="1526"/>
      <c r="M814" s="1526"/>
      <c r="N814" s="1526"/>
      <c r="O814" s="1526"/>
      <c r="P814" s="1526"/>
      <c r="Q814" s="1526"/>
      <c r="R814" s="1526"/>
      <c r="S814" s="1526"/>
      <c r="T814" s="1526"/>
      <c r="U814" s="1526"/>
      <c r="V814" s="1526"/>
      <c r="W814" s="1526"/>
      <c r="X814" s="1526"/>
      <c r="Y814" s="1526"/>
      <c r="Z814" s="974"/>
      <c r="AA814" s="974"/>
      <c r="AB814" s="974"/>
      <c r="AC814" s="974"/>
      <c r="AD814" s="974"/>
      <c r="AE814" s="974"/>
    </row>
    <row r="815">
      <c r="A815" s="1526"/>
      <c r="B815" s="1526"/>
      <c r="C815" s="1526"/>
      <c r="D815" s="1526"/>
      <c r="E815" s="1526"/>
      <c r="F815" s="1526"/>
      <c r="G815" s="1526"/>
      <c r="H815" s="1526"/>
      <c r="I815" s="1526"/>
      <c r="J815" s="1526"/>
      <c r="K815" s="1526"/>
      <c r="L815" s="1526"/>
      <c r="M815" s="1526"/>
      <c r="N815" s="1526"/>
      <c r="O815" s="1526"/>
      <c r="P815" s="1526"/>
      <c r="Q815" s="1526"/>
      <c r="R815" s="1526"/>
      <c r="S815" s="1526"/>
      <c r="T815" s="1526"/>
      <c r="U815" s="1526"/>
      <c r="V815" s="1526"/>
      <c r="W815" s="1526"/>
      <c r="X815" s="1526"/>
      <c r="Y815" s="1526"/>
      <c r="Z815" s="974"/>
      <c r="AA815" s="974"/>
      <c r="AB815" s="974"/>
      <c r="AC815" s="974"/>
      <c r="AD815" s="974"/>
      <c r="AE815" s="974"/>
    </row>
    <row r="816">
      <c r="A816" s="1526"/>
      <c r="B816" s="1526"/>
      <c r="C816" s="1526"/>
      <c r="D816" s="1526"/>
      <c r="E816" s="1526"/>
      <c r="F816" s="1526"/>
      <c r="G816" s="1526"/>
      <c r="H816" s="1526"/>
      <c r="I816" s="1526"/>
      <c r="J816" s="1526"/>
      <c r="K816" s="1526"/>
      <c r="L816" s="1526"/>
      <c r="M816" s="1526"/>
      <c r="N816" s="1526"/>
      <c r="O816" s="1526"/>
      <c r="P816" s="1526"/>
      <c r="Q816" s="1526"/>
      <c r="R816" s="1526"/>
      <c r="S816" s="1526"/>
      <c r="T816" s="1526"/>
      <c r="U816" s="1526"/>
      <c r="V816" s="1526"/>
      <c r="W816" s="1526"/>
      <c r="X816" s="1526"/>
      <c r="Y816" s="1526"/>
      <c r="Z816" s="974"/>
      <c r="AA816" s="974"/>
      <c r="AB816" s="974"/>
      <c r="AC816" s="974"/>
      <c r="AD816" s="974"/>
      <c r="AE816" s="974"/>
    </row>
    <row r="817">
      <c r="A817" s="1526"/>
      <c r="B817" s="1526"/>
      <c r="C817" s="1526"/>
      <c r="D817" s="1526"/>
      <c r="E817" s="1526"/>
      <c r="F817" s="1526"/>
      <c r="G817" s="1526"/>
      <c r="H817" s="1526"/>
      <c r="I817" s="1526"/>
      <c r="J817" s="1526"/>
      <c r="K817" s="1526"/>
      <c r="L817" s="1526"/>
      <c r="M817" s="1526"/>
      <c r="N817" s="1526"/>
      <c r="O817" s="1526"/>
      <c r="P817" s="1526"/>
      <c r="Q817" s="1526"/>
      <c r="R817" s="1526"/>
      <c r="S817" s="1526"/>
      <c r="T817" s="1526"/>
      <c r="U817" s="1526"/>
      <c r="V817" s="1526"/>
      <c r="W817" s="1526"/>
      <c r="X817" s="1526"/>
      <c r="Y817" s="1526"/>
      <c r="Z817" s="974"/>
      <c r="AA817" s="974"/>
      <c r="AB817" s="974"/>
      <c r="AC817" s="974"/>
      <c r="AD817" s="974"/>
      <c r="AE817" s="974"/>
    </row>
    <row r="818">
      <c r="A818" s="1526"/>
      <c r="B818" s="1526"/>
      <c r="C818" s="1526"/>
      <c r="D818" s="1526"/>
      <c r="E818" s="1526"/>
      <c r="F818" s="1526"/>
      <c r="G818" s="1526"/>
      <c r="H818" s="1526"/>
      <c r="I818" s="1526"/>
      <c r="J818" s="1526"/>
      <c r="K818" s="1526"/>
      <c r="L818" s="1526"/>
      <c r="M818" s="1526"/>
      <c r="N818" s="1526"/>
      <c r="O818" s="1526"/>
      <c r="P818" s="1526"/>
      <c r="Q818" s="1526"/>
      <c r="R818" s="1526"/>
      <c r="S818" s="1526"/>
      <c r="T818" s="1526"/>
      <c r="U818" s="1526"/>
      <c r="V818" s="1526"/>
      <c r="W818" s="1526"/>
      <c r="X818" s="1526"/>
      <c r="Y818" s="1526"/>
      <c r="Z818" s="974"/>
      <c r="AA818" s="974"/>
      <c r="AB818" s="974"/>
      <c r="AC818" s="974"/>
      <c r="AD818" s="974"/>
      <c r="AE818" s="974"/>
    </row>
    <row r="819">
      <c r="A819" s="1526"/>
      <c r="B819" s="1526"/>
      <c r="C819" s="1526"/>
      <c r="D819" s="1526"/>
      <c r="E819" s="1526"/>
      <c r="F819" s="1526"/>
      <c r="G819" s="1526"/>
      <c r="H819" s="1526"/>
      <c r="I819" s="1526"/>
      <c r="J819" s="1526"/>
      <c r="K819" s="1526"/>
      <c r="L819" s="1526"/>
      <c r="M819" s="1526"/>
      <c r="N819" s="1526"/>
      <c r="O819" s="1526"/>
      <c r="P819" s="1526"/>
      <c r="Q819" s="1526"/>
      <c r="R819" s="1526"/>
      <c r="S819" s="1526"/>
      <c r="T819" s="1526"/>
      <c r="U819" s="1526"/>
      <c r="V819" s="1526"/>
      <c r="W819" s="1526"/>
      <c r="X819" s="1526"/>
      <c r="Y819" s="1526"/>
      <c r="Z819" s="974"/>
      <c r="AA819" s="974"/>
      <c r="AB819" s="974"/>
      <c r="AC819" s="974"/>
      <c r="AD819" s="974"/>
      <c r="AE819" s="974"/>
    </row>
    <row r="820">
      <c r="A820" s="1526"/>
      <c r="B820" s="1526"/>
      <c r="C820" s="1526"/>
      <c r="D820" s="1526"/>
      <c r="E820" s="1526"/>
      <c r="F820" s="1526"/>
      <c r="G820" s="1526"/>
      <c r="H820" s="1526"/>
      <c r="I820" s="1526"/>
      <c r="J820" s="1526"/>
      <c r="K820" s="1526"/>
      <c r="L820" s="1526"/>
      <c r="M820" s="1526"/>
      <c r="N820" s="1526"/>
      <c r="O820" s="1526"/>
      <c r="P820" s="1526"/>
      <c r="Q820" s="1526"/>
      <c r="R820" s="1526"/>
      <c r="S820" s="1526"/>
      <c r="T820" s="1526"/>
      <c r="U820" s="1526"/>
      <c r="V820" s="1526"/>
      <c r="W820" s="1526"/>
      <c r="X820" s="1526"/>
      <c r="Y820" s="1526"/>
      <c r="Z820" s="974"/>
      <c r="AA820" s="974"/>
      <c r="AB820" s="974"/>
      <c r="AC820" s="974"/>
      <c r="AD820" s="974"/>
      <c r="AE820" s="974"/>
    </row>
    <row r="821">
      <c r="A821" s="1526"/>
      <c r="B821" s="1526"/>
      <c r="C821" s="1526"/>
      <c r="D821" s="1526"/>
      <c r="E821" s="1526"/>
      <c r="F821" s="1526"/>
      <c r="G821" s="1526"/>
      <c r="H821" s="1526"/>
      <c r="I821" s="1526"/>
      <c r="J821" s="1526"/>
      <c r="K821" s="1526"/>
      <c r="L821" s="1526"/>
      <c r="M821" s="1526"/>
      <c r="N821" s="1526"/>
      <c r="O821" s="1526"/>
      <c r="P821" s="1526"/>
      <c r="Q821" s="1526"/>
      <c r="R821" s="1526"/>
      <c r="S821" s="1526"/>
      <c r="T821" s="1526"/>
      <c r="U821" s="1526"/>
      <c r="V821" s="1526"/>
      <c r="W821" s="1526"/>
      <c r="X821" s="1526"/>
      <c r="Y821" s="1526"/>
      <c r="Z821" s="974"/>
      <c r="AA821" s="974"/>
      <c r="AB821" s="974"/>
      <c r="AC821" s="974"/>
      <c r="AD821" s="974"/>
      <c r="AE821" s="974"/>
    </row>
    <row r="822">
      <c r="A822" s="1526"/>
      <c r="B822" s="1526"/>
      <c r="C822" s="1526"/>
      <c r="D822" s="1526"/>
      <c r="E822" s="1526"/>
      <c r="F822" s="1526"/>
      <c r="G822" s="1526"/>
      <c r="H822" s="1526"/>
      <c r="I822" s="1526"/>
      <c r="J822" s="1526"/>
      <c r="K822" s="1526"/>
      <c r="L822" s="1526"/>
      <c r="M822" s="1526"/>
      <c r="N822" s="1526"/>
      <c r="O822" s="1526"/>
      <c r="P822" s="1526"/>
      <c r="Q822" s="1526"/>
      <c r="R822" s="1526"/>
      <c r="S822" s="1526"/>
      <c r="T822" s="1526"/>
      <c r="U822" s="1526"/>
      <c r="V822" s="1526"/>
      <c r="W822" s="1526"/>
      <c r="X822" s="1526"/>
      <c r="Y822" s="1526"/>
      <c r="Z822" s="974"/>
      <c r="AA822" s="974"/>
      <c r="AB822" s="974"/>
      <c r="AC822" s="974"/>
      <c r="AD822" s="974"/>
      <c r="AE822" s="974"/>
    </row>
    <row r="823">
      <c r="A823" s="1526"/>
      <c r="B823" s="1526"/>
      <c r="C823" s="1526"/>
      <c r="D823" s="1526"/>
      <c r="E823" s="1526"/>
      <c r="F823" s="1526"/>
      <c r="G823" s="1526"/>
      <c r="H823" s="1526"/>
      <c r="I823" s="1526"/>
      <c r="J823" s="1526"/>
      <c r="K823" s="1526"/>
      <c r="L823" s="1526"/>
      <c r="M823" s="1526"/>
      <c r="N823" s="1526"/>
      <c r="O823" s="1526"/>
      <c r="P823" s="1526"/>
      <c r="Q823" s="1526"/>
      <c r="R823" s="1526"/>
      <c r="S823" s="1526"/>
      <c r="T823" s="1526"/>
      <c r="U823" s="1526"/>
      <c r="V823" s="1526"/>
      <c r="W823" s="1526"/>
      <c r="X823" s="1526"/>
      <c r="Y823" s="1526"/>
      <c r="Z823" s="974"/>
      <c r="AA823" s="974"/>
      <c r="AB823" s="974"/>
      <c r="AC823" s="974"/>
      <c r="AD823" s="974"/>
      <c r="AE823" s="974"/>
    </row>
    <row r="824">
      <c r="A824" s="1526"/>
      <c r="B824" s="1526"/>
      <c r="C824" s="1526"/>
      <c r="D824" s="1526"/>
      <c r="E824" s="1526"/>
      <c r="F824" s="1526"/>
      <c r="G824" s="1526"/>
      <c r="H824" s="1526"/>
      <c r="I824" s="1526"/>
      <c r="J824" s="1526"/>
      <c r="K824" s="1526"/>
      <c r="L824" s="1526"/>
      <c r="M824" s="1526"/>
      <c r="N824" s="1526"/>
      <c r="O824" s="1526"/>
      <c r="P824" s="1526"/>
      <c r="Q824" s="1526"/>
      <c r="R824" s="1526"/>
      <c r="S824" s="1526"/>
      <c r="T824" s="1526"/>
      <c r="U824" s="1526"/>
      <c r="V824" s="1526"/>
      <c r="W824" s="1526"/>
      <c r="X824" s="1526"/>
      <c r="Y824" s="1526"/>
      <c r="Z824" s="974"/>
      <c r="AA824" s="974"/>
      <c r="AB824" s="974"/>
      <c r="AC824" s="974"/>
      <c r="AD824" s="974"/>
      <c r="AE824" s="974"/>
    </row>
    <row r="825">
      <c r="A825" s="1526"/>
      <c r="B825" s="1526"/>
      <c r="C825" s="1526"/>
      <c r="D825" s="1526"/>
      <c r="E825" s="1526"/>
      <c r="F825" s="1526"/>
      <c r="G825" s="1526"/>
      <c r="H825" s="1526"/>
      <c r="I825" s="1526"/>
      <c r="J825" s="1526"/>
      <c r="K825" s="1526"/>
      <c r="L825" s="1526"/>
      <c r="M825" s="1526"/>
      <c r="N825" s="1526"/>
      <c r="O825" s="1526"/>
      <c r="P825" s="1526"/>
      <c r="Q825" s="1526"/>
      <c r="R825" s="1526"/>
      <c r="S825" s="1526"/>
      <c r="T825" s="1526"/>
      <c r="U825" s="1526"/>
      <c r="V825" s="1526"/>
      <c r="W825" s="1526"/>
      <c r="X825" s="1526"/>
      <c r="Y825" s="1526"/>
      <c r="Z825" s="974"/>
      <c r="AA825" s="974"/>
      <c r="AB825" s="974"/>
      <c r="AC825" s="974"/>
      <c r="AD825" s="974"/>
      <c r="AE825" s="974"/>
    </row>
    <row r="826">
      <c r="A826" s="1526"/>
      <c r="B826" s="1526"/>
      <c r="C826" s="1526"/>
      <c r="D826" s="1526"/>
      <c r="E826" s="1526"/>
      <c r="F826" s="1526"/>
      <c r="G826" s="1526"/>
      <c r="H826" s="1526"/>
      <c r="I826" s="1526"/>
      <c r="J826" s="1526"/>
      <c r="K826" s="1526"/>
      <c r="L826" s="1526"/>
      <c r="M826" s="1526"/>
      <c r="N826" s="1526"/>
      <c r="O826" s="1526"/>
      <c r="P826" s="1526"/>
      <c r="Q826" s="1526"/>
      <c r="R826" s="1526"/>
      <c r="S826" s="1526"/>
      <c r="T826" s="1526"/>
      <c r="U826" s="1526"/>
      <c r="V826" s="1526"/>
      <c r="W826" s="1526"/>
      <c r="X826" s="1526"/>
      <c r="Y826" s="1526"/>
      <c r="Z826" s="974"/>
      <c r="AA826" s="974"/>
      <c r="AB826" s="974"/>
      <c r="AC826" s="974"/>
      <c r="AD826" s="974"/>
      <c r="AE826" s="974"/>
    </row>
    <row r="827">
      <c r="A827" s="1526"/>
      <c r="B827" s="1526"/>
      <c r="C827" s="1526"/>
      <c r="D827" s="1526"/>
      <c r="E827" s="1526"/>
      <c r="F827" s="1526"/>
      <c r="G827" s="1526"/>
      <c r="H827" s="1526"/>
      <c r="I827" s="1526"/>
      <c r="J827" s="1526"/>
      <c r="K827" s="1526"/>
      <c r="L827" s="1526"/>
      <c r="M827" s="1526"/>
      <c r="N827" s="1526"/>
      <c r="O827" s="1526"/>
      <c r="P827" s="1526"/>
      <c r="Q827" s="1526"/>
      <c r="R827" s="1526"/>
      <c r="S827" s="1526"/>
      <c r="T827" s="1526"/>
      <c r="U827" s="1526"/>
      <c r="V827" s="1526"/>
      <c r="W827" s="1526"/>
      <c r="X827" s="1526"/>
      <c r="Y827" s="1526"/>
      <c r="Z827" s="974"/>
      <c r="AA827" s="974"/>
      <c r="AB827" s="974"/>
      <c r="AC827" s="974"/>
      <c r="AD827" s="974"/>
      <c r="AE827" s="974"/>
    </row>
    <row r="828">
      <c r="A828" s="1526"/>
      <c r="B828" s="1526"/>
      <c r="C828" s="1526"/>
      <c r="D828" s="1526"/>
      <c r="E828" s="1526"/>
      <c r="F828" s="1526"/>
      <c r="G828" s="1526"/>
      <c r="H828" s="1526"/>
      <c r="I828" s="1526"/>
      <c r="J828" s="1526"/>
      <c r="K828" s="1526"/>
      <c r="L828" s="1526"/>
      <c r="M828" s="1526"/>
      <c r="N828" s="1526"/>
      <c r="O828" s="1526"/>
      <c r="P828" s="1526"/>
      <c r="Q828" s="1526"/>
      <c r="R828" s="1526"/>
      <c r="S828" s="1526"/>
      <c r="T828" s="1526"/>
      <c r="U828" s="1526"/>
      <c r="V828" s="1526"/>
      <c r="W828" s="1526"/>
      <c r="X828" s="1526"/>
      <c r="Y828" s="1526"/>
      <c r="Z828" s="974"/>
      <c r="AA828" s="974"/>
      <c r="AB828" s="974"/>
      <c r="AC828" s="974"/>
      <c r="AD828" s="974"/>
      <c r="AE828" s="974"/>
    </row>
    <row r="829">
      <c r="A829" s="1526"/>
      <c r="B829" s="1526"/>
      <c r="C829" s="1526"/>
      <c r="D829" s="1526"/>
      <c r="E829" s="1526"/>
      <c r="F829" s="1526"/>
      <c r="G829" s="1526"/>
      <c r="H829" s="1526"/>
      <c r="I829" s="1526"/>
      <c r="J829" s="1526"/>
      <c r="K829" s="1526"/>
      <c r="L829" s="1526"/>
      <c r="M829" s="1526"/>
      <c r="N829" s="1526"/>
      <c r="O829" s="1526"/>
      <c r="P829" s="1526"/>
      <c r="Q829" s="1526"/>
      <c r="R829" s="1526"/>
      <c r="S829" s="1526"/>
      <c r="T829" s="1526"/>
      <c r="U829" s="1526"/>
      <c r="V829" s="1526"/>
      <c r="W829" s="1526"/>
      <c r="X829" s="1526"/>
      <c r="Y829" s="1526"/>
      <c r="Z829" s="974"/>
      <c r="AA829" s="974"/>
      <c r="AB829" s="974"/>
      <c r="AC829" s="974"/>
      <c r="AD829" s="974"/>
      <c r="AE829" s="974"/>
    </row>
    <row r="830">
      <c r="A830" s="1526"/>
      <c r="B830" s="1526"/>
      <c r="C830" s="1526"/>
      <c r="D830" s="1526"/>
      <c r="E830" s="1526"/>
      <c r="F830" s="1526"/>
      <c r="G830" s="1526"/>
      <c r="H830" s="1526"/>
      <c r="I830" s="1526"/>
      <c r="J830" s="1526"/>
      <c r="K830" s="1526"/>
      <c r="L830" s="1526"/>
      <c r="M830" s="1526"/>
      <c r="N830" s="1526"/>
      <c r="O830" s="1526"/>
      <c r="P830" s="1526"/>
      <c r="Q830" s="1526"/>
      <c r="R830" s="1526"/>
      <c r="S830" s="1526"/>
      <c r="T830" s="1526"/>
      <c r="U830" s="1526"/>
      <c r="V830" s="1526"/>
      <c r="W830" s="1526"/>
      <c r="X830" s="1526"/>
      <c r="Y830" s="1526"/>
      <c r="Z830" s="974"/>
      <c r="AA830" s="974"/>
      <c r="AB830" s="974"/>
      <c r="AC830" s="974"/>
      <c r="AD830" s="974"/>
      <c r="AE830" s="974"/>
    </row>
    <row r="831">
      <c r="A831" s="1526"/>
      <c r="B831" s="1526"/>
      <c r="C831" s="1526"/>
      <c r="D831" s="1526"/>
      <c r="E831" s="1526"/>
      <c r="F831" s="1526"/>
      <c r="G831" s="1526"/>
      <c r="H831" s="1526"/>
      <c r="I831" s="1526"/>
      <c r="J831" s="1526"/>
      <c r="K831" s="1526"/>
      <c r="L831" s="1526"/>
      <c r="M831" s="1526"/>
      <c r="N831" s="1526"/>
      <c r="O831" s="1526"/>
      <c r="P831" s="1526"/>
      <c r="Q831" s="1526"/>
      <c r="R831" s="1526"/>
      <c r="S831" s="1526"/>
      <c r="T831" s="1526"/>
      <c r="U831" s="1526"/>
      <c r="V831" s="1526"/>
      <c r="W831" s="1526"/>
      <c r="X831" s="1526"/>
      <c r="Y831" s="1526"/>
      <c r="Z831" s="974"/>
      <c r="AA831" s="974"/>
      <c r="AB831" s="974"/>
      <c r="AC831" s="974"/>
      <c r="AD831" s="974"/>
      <c r="AE831" s="974"/>
    </row>
    <row r="832">
      <c r="A832" s="1526"/>
      <c r="B832" s="1526"/>
      <c r="C832" s="1526"/>
      <c r="D832" s="1526"/>
      <c r="E832" s="1526"/>
      <c r="F832" s="1526"/>
      <c r="G832" s="1526"/>
      <c r="H832" s="1526"/>
      <c r="I832" s="1526"/>
      <c r="J832" s="1526"/>
      <c r="K832" s="1526"/>
      <c r="L832" s="1526"/>
      <c r="M832" s="1526"/>
      <c r="N832" s="1526"/>
      <c r="O832" s="1526"/>
      <c r="P832" s="1526"/>
      <c r="Q832" s="1526"/>
      <c r="R832" s="1526"/>
      <c r="S832" s="1526"/>
      <c r="T832" s="1526"/>
      <c r="U832" s="1526"/>
      <c r="V832" s="1526"/>
      <c r="W832" s="1526"/>
      <c r="X832" s="1526"/>
      <c r="Y832" s="1526"/>
      <c r="Z832" s="974"/>
      <c r="AA832" s="974"/>
      <c r="AB832" s="974"/>
      <c r="AC832" s="974"/>
      <c r="AD832" s="974"/>
      <c r="AE832" s="974"/>
    </row>
    <row r="833">
      <c r="A833" s="1526"/>
      <c r="B833" s="1526"/>
      <c r="C833" s="1526"/>
      <c r="D833" s="1526"/>
      <c r="E833" s="1526"/>
      <c r="F833" s="1526"/>
      <c r="G833" s="1526"/>
      <c r="H833" s="1526"/>
      <c r="I833" s="1526"/>
      <c r="J833" s="1526"/>
      <c r="K833" s="1526"/>
      <c r="L833" s="1526"/>
      <c r="M833" s="1526"/>
      <c r="N833" s="1526"/>
      <c r="O833" s="1526"/>
      <c r="P833" s="1526"/>
      <c r="Q833" s="1526"/>
      <c r="R833" s="1526"/>
      <c r="S833" s="1526"/>
      <c r="T833" s="1526"/>
      <c r="U833" s="1526"/>
      <c r="V833" s="1526"/>
      <c r="W833" s="1526"/>
      <c r="X833" s="1526"/>
      <c r="Y833" s="1526"/>
      <c r="Z833" s="974"/>
      <c r="AA833" s="974"/>
      <c r="AB833" s="974"/>
      <c r="AC833" s="974"/>
      <c r="AD833" s="974"/>
      <c r="AE833" s="974"/>
    </row>
    <row r="834">
      <c r="A834" s="1526"/>
      <c r="B834" s="1526"/>
      <c r="C834" s="1526"/>
      <c r="D834" s="1526"/>
      <c r="E834" s="1526"/>
      <c r="F834" s="1526"/>
      <c r="G834" s="1526"/>
      <c r="H834" s="1526"/>
      <c r="I834" s="1526"/>
      <c r="J834" s="1526"/>
      <c r="K834" s="1526"/>
      <c r="L834" s="1526"/>
      <c r="M834" s="1526"/>
      <c r="N834" s="1526"/>
      <c r="O834" s="1526"/>
      <c r="P834" s="1526"/>
      <c r="Q834" s="1526"/>
      <c r="R834" s="1526"/>
      <c r="S834" s="1526"/>
      <c r="T834" s="1526"/>
      <c r="U834" s="1526"/>
      <c r="V834" s="1526"/>
      <c r="W834" s="1526"/>
      <c r="X834" s="1526"/>
      <c r="Y834" s="1526"/>
      <c r="Z834" s="974"/>
      <c r="AA834" s="974"/>
      <c r="AB834" s="974"/>
      <c r="AC834" s="974"/>
      <c r="AD834" s="974"/>
      <c r="AE834" s="974"/>
    </row>
    <row r="835">
      <c r="A835" s="1526"/>
      <c r="B835" s="1526"/>
      <c r="C835" s="1526"/>
      <c r="D835" s="1526"/>
      <c r="E835" s="1526"/>
      <c r="F835" s="1526"/>
      <c r="G835" s="1526"/>
      <c r="H835" s="1526"/>
      <c r="I835" s="1526"/>
      <c r="J835" s="1526"/>
      <c r="K835" s="1526"/>
      <c r="L835" s="1526"/>
      <c r="M835" s="1526"/>
      <c r="N835" s="1526"/>
      <c r="O835" s="1526"/>
      <c r="P835" s="1526"/>
      <c r="Q835" s="1526"/>
      <c r="R835" s="1526"/>
      <c r="S835" s="1526"/>
      <c r="T835" s="1526"/>
      <c r="U835" s="1526"/>
      <c r="V835" s="1526"/>
      <c r="W835" s="1526"/>
      <c r="X835" s="1526"/>
      <c r="Y835" s="1526"/>
      <c r="Z835" s="974"/>
      <c r="AA835" s="974"/>
      <c r="AB835" s="974"/>
      <c r="AC835" s="974"/>
      <c r="AD835" s="974"/>
      <c r="AE835" s="974"/>
    </row>
    <row r="836">
      <c r="A836" s="1526"/>
      <c r="B836" s="1526"/>
      <c r="C836" s="1526"/>
      <c r="D836" s="1526"/>
      <c r="E836" s="1526"/>
      <c r="F836" s="1526"/>
      <c r="G836" s="1526"/>
      <c r="H836" s="1526"/>
      <c r="I836" s="1526"/>
      <c r="J836" s="1526"/>
      <c r="K836" s="1526"/>
      <c r="L836" s="1526"/>
      <c r="M836" s="1526"/>
      <c r="N836" s="1526"/>
      <c r="O836" s="1526"/>
      <c r="P836" s="1526"/>
      <c r="Q836" s="1526"/>
      <c r="R836" s="1526"/>
      <c r="S836" s="1526"/>
      <c r="T836" s="1526"/>
      <c r="U836" s="1526"/>
      <c r="V836" s="1526"/>
      <c r="W836" s="1526"/>
      <c r="X836" s="1526"/>
      <c r="Y836" s="1526"/>
      <c r="Z836" s="974"/>
      <c r="AA836" s="974"/>
      <c r="AB836" s="974"/>
      <c r="AC836" s="974"/>
      <c r="AD836" s="974"/>
      <c r="AE836" s="974"/>
    </row>
    <row r="837">
      <c r="A837" s="1526"/>
      <c r="B837" s="1526"/>
      <c r="C837" s="1526"/>
      <c r="D837" s="1526"/>
      <c r="E837" s="1526"/>
      <c r="F837" s="1526"/>
      <c r="G837" s="1526"/>
      <c r="H837" s="1526"/>
      <c r="I837" s="1526"/>
      <c r="J837" s="1526"/>
      <c r="K837" s="1526"/>
      <c r="L837" s="1526"/>
      <c r="M837" s="1526"/>
      <c r="N837" s="1526"/>
      <c r="O837" s="1526"/>
      <c r="P837" s="1526"/>
      <c r="Q837" s="1526"/>
      <c r="R837" s="1526"/>
      <c r="S837" s="1526"/>
      <c r="T837" s="1526"/>
      <c r="U837" s="1526"/>
      <c r="V837" s="1526"/>
      <c r="W837" s="1526"/>
      <c r="X837" s="1526"/>
      <c r="Y837" s="1526"/>
      <c r="Z837" s="974"/>
      <c r="AA837" s="974"/>
      <c r="AB837" s="974"/>
      <c r="AC837" s="974"/>
      <c r="AD837" s="974"/>
      <c r="AE837" s="974"/>
    </row>
    <row r="838">
      <c r="A838" s="1526"/>
      <c r="B838" s="1526"/>
      <c r="C838" s="1526"/>
      <c r="D838" s="1526"/>
      <c r="E838" s="1526"/>
      <c r="F838" s="1526"/>
      <c r="G838" s="1526"/>
      <c r="H838" s="1526"/>
      <c r="I838" s="1526"/>
      <c r="J838" s="1526"/>
      <c r="K838" s="1526"/>
      <c r="L838" s="1526"/>
      <c r="M838" s="1526"/>
      <c r="N838" s="1526"/>
      <c r="O838" s="1526"/>
      <c r="P838" s="1526"/>
      <c r="Q838" s="1526"/>
      <c r="R838" s="1526"/>
      <c r="S838" s="1526"/>
      <c r="T838" s="1526"/>
      <c r="U838" s="1526"/>
      <c r="V838" s="1526"/>
      <c r="W838" s="1526"/>
      <c r="X838" s="1526"/>
      <c r="Y838" s="1526"/>
      <c r="Z838" s="974"/>
      <c r="AA838" s="974"/>
      <c r="AB838" s="974"/>
      <c r="AC838" s="974"/>
      <c r="AD838" s="974"/>
      <c r="AE838" s="974"/>
    </row>
    <row r="839">
      <c r="A839" s="1526"/>
      <c r="B839" s="1526"/>
      <c r="C839" s="1526"/>
      <c r="D839" s="1526"/>
      <c r="E839" s="1526"/>
      <c r="F839" s="1526"/>
      <c r="G839" s="1526"/>
      <c r="H839" s="1526"/>
      <c r="I839" s="1526"/>
      <c r="J839" s="1526"/>
      <c r="K839" s="1526"/>
      <c r="L839" s="1526"/>
      <c r="M839" s="1526"/>
      <c r="N839" s="1526"/>
      <c r="O839" s="1526"/>
      <c r="P839" s="1526"/>
      <c r="Q839" s="1526"/>
      <c r="R839" s="1526"/>
      <c r="S839" s="1526"/>
      <c r="T839" s="1526"/>
      <c r="U839" s="1526"/>
      <c r="V839" s="1526"/>
      <c r="W839" s="1526"/>
      <c r="X839" s="1526"/>
      <c r="Y839" s="1526"/>
      <c r="Z839" s="974"/>
      <c r="AA839" s="974"/>
      <c r="AB839" s="974"/>
      <c r="AC839" s="974"/>
      <c r="AD839" s="974"/>
      <c r="AE839" s="974"/>
    </row>
    <row r="840">
      <c r="A840" s="1526"/>
      <c r="B840" s="1526"/>
      <c r="C840" s="1526"/>
      <c r="D840" s="1526"/>
      <c r="E840" s="1526"/>
      <c r="F840" s="1526"/>
      <c r="G840" s="1526"/>
      <c r="H840" s="1526"/>
      <c r="I840" s="1526"/>
      <c r="J840" s="1526"/>
      <c r="K840" s="1526"/>
      <c r="L840" s="1526"/>
      <c r="M840" s="1526"/>
      <c r="N840" s="1526"/>
      <c r="O840" s="1526"/>
      <c r="P840" s="1526"/>
      <c r="Q840" s="1526"/>
      <c r="R840" s="1526"/>
      <c r="S840" s="1526"/>
      <c r="T840" s="1526"/>
      <c r="U840" s="1526"/>
      <c r="V840" s="1526"/>
      <c r="W840" s="1526"/>
      <c r="X840" s="1526"/>
      <c r="Y840" s="1526"/>
      <c r="Z840" s="974"/>
      <c r="AA840" s="974"/>
      <c r="AB840" s="974"/>
      <c r="AC840" s="974"/>
      <c r="AD840" s="974"/>
      <c r="AE840" s="974"/>
    </row>
    <row r="841">
      <c r="A841" s="1526"/>
      <c r="B841" s="1526"/>
      <c r="C841" s="1526"/>
      <c r="D841" s="1526"/>
      <c r="E841" s="1526"/>
      <c r="F841" s="1526"/>
      <c r="G841" s="1526"/>
      <c r="H841" s="1526"/>
      <c r="I841" s="1526"/>
      <c r="J841" s="1526"/>
      <c r="K841" s="1526"/>
      <c r="L841" s="1526"/>
      <c r="M841" s="1526"/>
      <c r="N841" s="1526"/>
      <c r="O841" s="1526"/>
      <c r="P841" s="1526"/>
      <c r="Q841" s="1526"/>
      <c r="R841" s="1526"/>
      <c r="S841" s="1526"/>
      <c r="T841" s="1526"/>
      <c r="U841" s="1526"/>
      <c r="V841" s="1526"/>
      <c r="W841" s="1526"/>
      <c r="X841" s="1526"/>
      <c r="Y841" s="1526"/>
      <c r="Z841" s="974"/>
      <c r="AA841" s="974"/>
      <c r="AB841" s="974"/>
      <c r="AC841" s="974"/>
      <c r="AD841" s="974"/>
      <c r="AE841" s="974"/>
    </row>
    <row r="842">
      <c r="A842" s="1526"/>
      <c r="B842" s="1526"/>
      <c r="C842" s="1526"/>
      <c r="D842" s="1526"/>
      <c r="E842" s="1526"/>
      <c r="F842" s="1526"/>
      <c r="G842" s="1526"/>
      <c r="H842" s="1526"/>
      <c r="I842" s="1526"/>
      <c r="J842" s="1526"/>
      <c r="K842" s="1526"/>
      <c r="L842" s="1526"/>
      <c r="M842" s="1526"/>
      <c r="N842" s="1526"/>
      <c r="O842" s="1526"/>
      <c r="P842" s="1526"/>
      <c r="Q842" s="1526"/>
      <c r="R842" s="1526"/>
      <c r="S842" s="1526"/>
      <c r="T842" s="1526"/>
      <c r="U842" s="1526"/>
      <c r="V842" s="1526"/>
      <c r="W842" s="1526"/>
      <c r="X842" s="1526"/>
      <c r="Y842" s="1526"/>
      <c r="Z842" s="974"/>
      <c r="AA842" s="974"/>
      <c r="AB842" s="974"/>
      <c r="AC842" s="974"/>
      <c r="AD842" s="974"/>
      <c r="AE842" s="974"/>
    </row>
    <row r="843">
      <c r="A843" s="1526"/>
      <c r="B843" s="1526"/>
      <c r="C843" s="1526"/>
      <c r="D843" s="1526"/>
      <c r="E843" s="1526"/>
      <c r="F843" s="1526"/>
      <c r="G843" s="1526"/>
      <c r="H843" s="1526"/>
      <c r="I843" s="1526"/>
      <c r="J843" s="1526"/>
      <c r="K843" s="1526"/>
      <c r="L843" s="1526"/>
      <c r="M843" s="1526"/>
      <c r="N843" s="1526"/>
      <c r="O843" s="1526"/>
      <c r="P843" s="1526"/>
      <c r="Q843" s="1526"/>
      <c r="R843" s="1526"/>
      <c r="S843" s="1526"/>
      <c r="T843" s="1526"/>
      <c r="U843" s="1526"/>
      <c r="V843" s="1526"/>
      <c r="W843" s="1526"/>
      <c r="X843" s="1526"/>
      <c r="Y843" s="1526"/>
      <c r="Z843" s="974"/>
      <c r="AA843" s="974"/>
      <c r="AB843" s="974"/>
      <c r="AC843" s="974"/>
      <c r="AD843" s="974"/>
      <c r="AE843" s="974"/>
    </row>
    <row r="844">
      <c r="A844" s="1526"/>
      <c r="B844" s="1526"/>
      <c r="C844" s="1526"/>
      <c r="D844" s="1526"/>
      <c r="E844" s="1526"/>
      <c r="F844" s="1526"/>
      <c r="G844" s="1526"/>
      <c r="H844" s="1526"/>
      <c r="I844" s="1526"/>
      <c r="J844" s="1526"/>
      <c r="K844" s="1526"/>
      <c r="L844" s="1526"/>
      <c r="M844" s="1526"/>
      <c r="N844" s="1526"/>
      <c r="O844" s="1526"/>
      <c r="P844" s="1526"/>
      <c r="Q844" s="1526"/>
      <c r="R844" s="1526"/>
      <c r="S844" s="1526"/>
      <c r="T844" s="1526"/>
      <c r="U844" s="1526"/>
      <c r="V844" s="1526"/>
      <c r="W844" s="1526"/>
      <c r="X844" s="1526"/>
      <c r="Y844" s="1526"/>
      <c r="Z844" s="974"/>
      <c r="AA844" s="974"/>
      <c r="AB844" s="974"/>
      <c r="AC844" s="974"/>
      <c r="AD844" s="974"/>
      <c r="AE844" s="974"/>
    </row>
    <row r="845">
      <c r="A845" s="1526"/>
      <c r="B845" s="1526"/>
      <c r="C845" s="1526"/>
      <c r="D845" s="1526"/>
      <c r="E845" s="1526"/>
      <c r="F845" s="1526"/>
      <c r="G845" s="1526"/>
      <c r="H845" s="1526"/>
      <c r="I845" s="1526"/>
      <c r="J845" s="1526"/>
      <c r="K845" s="1526"/>
      <c r="L845" s="1526"/>
      <c r="M845" s="1526"/>
      <c r="N845" s="1526"/>
      <c r="O845" s="1526"/>
      <c r="P845" s="1526"/>
      <c r="Q845" s="1526"/>
      <c r="R845" s="1526"/>
      <c r="S845" s="1526"/>
      <c r="T845" s="1526"/>
      <c r="U845" s="1526"/>
      <c r="V845" s="1526"/>
      <c r="W845" s="1526"/>
      <c r="X845" s="1526"/>
      <c r="Y845" s="1526"/>
      <c r="Z845" s="974"/>
      <c r="AA845" s="974"/>
      <c r="AB845" s="974"/>
      <c r="AC845" s="974"/>
      <c r="AD845" s="974"/>
      <c r="AE845" s="974"/>
    </row>
    <row r="846">
      <c r="A846" s="1526"/>
      <c r="B846" s="1526"/>
      <c r="C846" s="1526"/>
      <c r="D846" s="1526"/>
      <c r="E846" s="1526"/>
      <c r="F846" s="1526"/>
      <c r="G846" s="1526"/>
      <c r="H846" s="1526"/>
      <c r="I846" s="1526"/>
      <c r="J846" s="1526"/>
      <c r="K846" s="1526"/>
      <c r="L846" s="1526"/>
      <c r="M846" s="1526"/>
      <c r="N846" s="1526"/>
      <c r="O846" s="1526"/>
      <c r="P846" s="1526"/>
      <c r="Q846" s="1526"/>
      <c r="R846" s="1526"/>
      <c r="S846" s="1526"/>
      <c r="T846" s="1526"/>
      <c r="U846" s="1526"/>
      <c r="V846" s="1526"/>
      <c r="W846" s="1526"/>
      <c r="X846" s="1526"/>
      <c r="Y846" s="1526"/>
      <c r="Z846" s="974"/>
      <c r="AA846" s="974"/>
      <c r="AB846" s="974"/>
      <c r="AC846" s="974"/>
      <c r="AD846" s="974"/>
      <c r="AE846" s="974"/>
    </row>
    <row r="847">
      <c r="A847" s="1526"/>
      <c r="B847" s="1526"/>
      <c r="C847" s="1526"/>
      <c r="D847" s="1526"/>
      <c r="E847" s="1526"/>
      <c r="F847" s="1526"/>
      <c r="G847" s="1526"/>
      <c r="H847" s="1526"/>
      <c r="I847" s="1526"/>
      <c r="J847" s="1526"/>
      <c r="K847" s="1526"/>
      <c r="L847" s="1526"/>
      <c r="M847" s="1526"/>
      <c r="N847" s="1526"/>
      <c r="O847" s="1526"/>
      <c r="P847" s="1526"/>
      <c r="Q847" s="1526"/>
      <c r="R847" s="1526"/>
      <c r="S847" s="1526"/>
      <c r="T847" s="1526"/>
      <c r="U847" s="1526"/>
      <c r="V847" s="1526"/>
      <c r="W847" s="1526"/>
      <c r="X847" s="1526"/>
      <c r="Y847" s="1526"/>
      <c r="Z847" s="974"/>
      <c r="AA847" s="974"/>
      <c r="AB847" s="974"/>
      <c r="AC847" s="974"/>
      <c r="AD847" s="974"/>
      <c r="AE847" s="974"/>
    </row>
    <row r="848">
      <c r="A848" s="1526"/>
      <c r="B848" s="1526"/>
      <c r="C848" s="1526"/>
      <c r="D848" s="1526"/>
      <c r="E848" s="1526"/>
      <c r="F848" s="1526"/>
      <c r="G848" s="1526"/>
      <c r="H848" s="1526"/>
      <c r="I848" s="1526"/>
      <c r="J848" s="1526"/>
      <c r="K848" s="1526"/>
      <c r="L848" s="1526"/>
      <c r="M848" s="1526"/>
      <c r="N848" s="1526"/>
      <c r="O848" s="1526"/>
      <c r="P848" s="1526"/>
      <c r="Q848" s="1526"/>
      <c r="R848" s="1526"/>
      <c r="S848" s="1526"/>
      <c r="T848" s="1526"/>
      <c r="U848" s="1526"/>
      <c r="V848" s="1526"/>
      <c r="W848" s="1526"/>
      <c r="X848" s="1526"/>
      <c r="Y848" s="1526"/>
      <c r="Z848" s="974"/>
      <c r="AA848" s="974"/>
      <c r="AB848" s="974"/>
      <c r="AC848" s="974"/>
      <c r="AD848" s="974"/>
      <c r="AE848" s="974"/>
    </row>
    <row r="849">
      <c r="A849" s="1526"/>
      <c r="B849" s="1526"/>
      <c r="C849" s="1526"/>
      <c r="D849" s="1526"/>
      <c r="E849" s="1526"/>
      <c r="F849" s="1526"/>
      <c r="G849" s="1526"/>
      <c r="H849" s="1526"/>
      <c r="I849" s="1526"/>
      <c r="J849" s="1526"/>
      <c r="K849" s="1526"/>
      <c r="L849" s="1526"/>
      <c r="M849" s="1526"/>
      <c r="N849" s="1526"/>
      <c r="O849" s="1526"/>
      <c r="P849" s="1526"/>
      <c r="Q849" s="1526"/>
      <c r="R849" s="1526"/>
      <c r="S849" s="1526"/>
      <c r="T849" s="1526"/>
      <c r="U849" s="1526"/>
      <c r="V849" s="1526"/>
      <c r="W849" s="1526"/>
      <c r="X849" s="1526"/>
      <c r="Y849" s="1526"/>
      <c r="Z849" s="974"/>
      <c r="AA849" s="974"/>
      <c r="AB849" s="974"/>
      <c r="AC849" s="974"/>
      <c r="AD849" s="974"/>
      <c r="AE849" s="974"/>
    </row>
    <row r="850">
      <c r="A850" s="1526"/>
      <c r="B850" s="1526"/>
      <c r="C850" s="1526"/>
      <c r="D850" s="1526"/>
      <c r="E850" s="1526"/>
      <c r="F850" s="1526"/>
      <c r="G850" s="1526"/>
      <c r="H850" s="1526"/>
      <c r="I850" s="1526"/>
      <c r="J850" s="1526"/>
      <c r="K850" s="1526"/>
      <c r="L850" s="1526"/>
      <c r="M850" s="1526"/>
      <c r="N850" s="1526"/>
      <c r="O850" s="1526"/>
      <c r="P850" s="1526"/>
      <c r="Q850" s="1526"/>
      <c r="R850" s="1526"/>
      <c r="S850" s="1526"/>
      <c r="T850" s="1526"/>
      <c r="U850" s="1526"/>
      <c r="V850" s="1526"/>
      <c r="W850" s="1526"/>
      <c r="X850" s="1526"/>
      <c r="Y850" s="1526"/>
      <c r="Z850" s="974"/>
      <c r="AA850" s="974"/>
      <c r="AB850" s="974"/>
      <c r="AC850" s="974"/>
      <c r="AD850" s="974"/>
      <c r="AE850" s="974"/>
    </row>
    <row r="851">
      <c r="A851" s="1526"/>
      <c r="B851" s="1526"/>
      <c r="C851" s="1526"/>
      <c r="D851" s="1526"/>
      <c r="E851" s="1526"/>
      <c r="F851" s="1526"/>
      <c r="G851" s="1526"/>
      <c r="H851" s="1526"/>
      <c r="I851" s="1526"/>
      <c r="J851" s="1526"/>
      <c r="K851" s="1526"/>
      <c r="L851" s="1526"/>
      <c r="M851" s="1526"/>
      <c r="N851" s="1526"/>
      <c r="O851" s="1526"/>
      <c r="P851" s="1526"/>
      <c r="Q851" s="1526"/>
      <c r="R851" s="1526"/>
      <c r="S851" s="1526"/>
      <c r="T851" s="1526"/>
      <c r="U851" s="1526"/>
      <c r="V851" s="1526"/>
      <c r="W851" s="1526"/>
      <c r="X851" s="1526"/>
      <c r="Y851" s="1526"/>
      <c r="Z851" s="974"/>
      <c r="AA851" s="974"/>
      <c r="AB851" s="974"/>
      <c r="AC851" s="974"/>
      <c r="AD851" s="974"/>
      <c r="AE851" s="974"/>
    </row>
    <row r="852">
      <c r="A852" s="1526"/>
      <c r="B852" s="1526"/>
      <c r="C852" s="1526"/>
      <c r="D852" s="1526"/>
      <c r="E852" s="1526"/>
      <c r="F852" s="1526"/>
      <c r="G852" s="1526"/>
      <c r="H852" s="1526"/>
      <c r="I852" s="1526"/>
      <c r="J852" s="1526"/>
      <c r="K852" s="1526"/>
      <c r="L852" s="1526"/>
      <c r="M852" s="1526"/>
      <c r="N852" s="1526"/>
      <c r="O852" s="1526"/>
      <c r="P852" s="1526"/>
      <c r="Q852" s="1526"/>
      <c r="R852" s="1526"/>
      <c r="S852" s="1526"/>
      <c r="T852" s="1526"/>
      <c r="U852" s="1526"/>
      <c r="V852" s="1526"/>
      <c r="W852" s="1526"/>
      <c r="X852" s="1526"/>
      <c r="Y852" s="1526"/>
      <c r="Z852" s="974"/>
      <c r="AA852" s="974"/>
      <c r="AB852" s="974"/>
      <c r="AC852" s="974"/>
      <c r="AD852" s="974"/>
      <c r="AE852" s="974"/>
    </row>
    <row r="853">
      <c r="A853" s="1526"/>
      <c r="B853" s="1526"/>
      <c r="C853" s="1526"/>
      <c r="D853" s="1526"/>
      <c r="E853" s="1526"/>
      <c r="F853" s="1526"/>
      <c r="G853" s="1526"/>
      <c r="H853" s="1526"/>
      <c r="I853" s="1526"/>
      <c r="J853" s="1526"/>
      <c r="K853" s="1526"/>
      <c r="L853" s="1526"/>
      <c r="M853" s="1526"/>
      <c r="N853" s="1526"/>
      <c r="O853" s="1526"/>
      <c r="P853" s="1526"/>
      <c r="Q853" s="1526"/>
      <c r="R853" s="1526"/>
      <c r="S853" s="1526"/>
      <c r="T853" s="1526"/>
      <c r="U853" s="1526"/>
      <c r="V853" s="1526"/>
      <c r="W853" s="1526"/>
      <c r="X853" s="1526"/>
      <c r="Y853" s="1526"/>
      <c r="Z853" s="974"/>
      <c r="AA853" s="974"/>
      <c r="AB853" s="974"/>
      <c r="AC853" s="974"/>
      <c r="AD853" s="974"/>
      <c r="AE853" s="974"/>
    </row>
    <row r="854">
      <c r="A854" s="1526"/>
      <c r="B854" s="1526"/>
      <c r="C854" s="1526"/>
      <c r="D854" s="1526"/>
      <c r="E854" s="1526"/>
      <c r="F854" s="1526"/>
      <c r="G854" s="1526"/>
      <c r="H854" s="1526"/>
      <c r="I854" s="1526"/>
      <c r="J854" s="1526"/>
      <c r="K854" s="1526"/>
      <c r="L854" s="1526"/>
      <c r="M854" s="1526"/>
      <c r="N854" s="1526"/>
      <c r="O854" s="1526"/>
      <c r="P854" s="1526"/>
      <c r="Q854" s="1526"/>
      <c r="R854" s="1526"/>
      <c r="S854" s="1526"/>
      <c r="T854" s="1526"/>
      <c r="U854" s="1526"/>
      <c r="V854" s="1526"/>
      <c r="W854" s="1526"/>
      <c r="X854" s="1526"/>
      <c r="Y854" s="1526"/>
      <c r="Z854" s="974"/>
      <c r="AA854" s="974"/>
      <c r="AB854" s="974"/>
      <c r="AC854" s="974"/>
      <c r="AD854" s="974"/>
      <c r="AE854" s="974"/>
    </row>
    <row r="855">
      <c r="A855" s="1526"/>
      <c r="B855" s="1526"/>
      <c r="C855" s="1526"/>
      <c r="D855" s="1526"/>
      <c r="E855" s="1526"/>
      <c r="F855" s="1526"/>
      <c r="G855" s="1526"/>
      <c r="H855" s="1526"/>
      <c r="I855" s="1526"/>
      <c r="J855" s="1526"/>
      <c r="K855" s="1526"/>
      <c r="L855" s="1526"/>
      <c r="M855" s="1526"/>
      <c r="N855" s="1526"/>
      <c r="O855" s="1526"/>
      <c r="P855" s="1526"/>
      <c r="Q855" s="1526"/>
      <c r="R855" s="1526"/>
      <c r="S855" s="1526"/>
      <c r="T855" s="1526"/>
      <c r="U855" s="1526"/>
      <c r="V855" s="1526"/>
      <c r="W855" s="1526"/>
      <c r="X855" s="1526"/>
      <c r="Y855" s="1526"/>
      <c r="Z855" s="974"/>
      <c r="AA855" s="974"/>
      <c r="AB855" s="974"/>
      <c r="AC855" s="974"/>
      <c r="AD855" s="974"/>
      <c r="AE855" s="974"/>
    </row>
    <row r="856">
      <c r="A856" s="1526"/>
      <c r="B856" s="1526"/>
      <c r="C856" s="1526"/>
      <c r="D856" s="1526"/>
      <c r="E856" s="1526"/>
      <c r="F856" s="1526"/>
      <c r="G856" s="1526"/>
      <c r="H856" s="1526"/>
      <c r="I856" s="1526"/>
      <c r="J856" s="1526"/>
      <c r="K856" s="1526"/>
      <c r="L856" s="1526"/>
      <c r="M856" s="1526"/>
      <c r="N856" s="1526"/>
      <c r="O856" s="1526"/>
      <c r="P856" s="1526"/>
      <c r="Q856" s="1526"/>
      <c r="R856" s="1526"/>
      <c r="S856" s="1526"/>
      <c r="T856" s="1526"/>
      <c r="U856" s="1526"/>
      <c r="V856" s="1526"/>
      <c r="W856" s="1526"/>
      <c r="X856" s="1526"/>
      <c r="Y856" s="1526"/>
      <c r="Z856" s="974"/>
      <c r="AA856" s="974"/>
      <c r="AB856" s="974"/>
      <c r="AC856" s="974"/>
      <c r="AD856" s="974"/>
      <c r="AE856" s="974"/>
    </row>
    <row r="857">
      <c r="A857" s="1526"/>
      <c r="B857" s="1526"/>
      <c r="C857" s="1526"/>
      <c r="D857" s="1526"/>
      <c r="E857" s="1526"/>
      <c r="F857" s="1526"/>
      <c r="G857" s="1526"/>
      <c r="H857" s="1526"/>
      <c r="I857" s="1526"/>
      <c r="J857" s="1526"/>
      <c r="K857" s="1526"/>
      <c r="L857" s="1526"/>
      <c r="M857" s="1526"/>
      <c r="N857" s="1526"/>
      <c r="O857" s="1526"/>
      <c r="P857" s="1526"/>
      <c r="Q857" s="1526"/>
      <c r="R857" s="1526"/>
      <c r="S857" s="1526"/>
      <c r="T857" s="1526"/>
      <c r="U857" s="1526"/>
      <c r="V857" s="1526"/>
      <c r="W857" s="1526"/>
      <c r="X857" s="1526"/>
      <c r="Y857" s="1526"/>
      <c r="Z857" s="974"/>
      <c r="AA857" s="974"/>
      <c r="AB857" s="974"/>
      <c r="AC857" s="974"/>
      <c r="AD857" s="974"/>
      <c r="AE857" s="974"/>
    </row>
    <row r="858">
      <c r="A858" s="1526"/>
      <c r="B858" s="1526"/>
      <c r="C858" s="1526"/>
      <c r="D858" s="1526"/>
      <c r="E858" s="1526"/>
      <c r="F858" s="1526"/>
      <c r="G858" s="1526"/>
      <c r="H858" s="1526"/>
      <c r="I858" s="1526"/>
      <c r="J858" s="1526"/>
      <c r="K858" s="1526"/>
      <c r="L858" s="1526"/>
      <c r="M858" s="1526"/>
      <c r="N858" s="1526"/>
      <c r="O858" s="1526"/>
      <c r="P858" s="1526"/>
      <c r="Q858" s="1526"/>
      <c r="R858" s="1526"/>
      <c r="S858" s="1526"/>
      <c r="T858" s="1526"/>
      <c r="U858" s="1526"/>
      <c r="V858" s="1526"/>
      <c r="W858" s="1526"/>
      <c r="X858" s="1526"/>
      <c r="Y858" s="1526"/>
      <c r="Z858" s="974"/>
      <c r="AA858" s="974"/>
      <c r="AB858" s="974"/>
      <c r="AC858" s="974"/>
      <c r="AD858" s="974"/>
      <c r="AE858" s="974"/>
    </row>
    <row r="859">
      <c r="A859" s="1526"/>
      <c r="B859" s="1526"/>
      <c r="C859" s="1526"/>
      <c r="D859" s="1526"/>
      <c r="E859" s="1526"/>
      <c r="F859" s="1526"/>
      <c r="G859" s="1526"/>
      <c r="H859" s="1526"/>
      <c r="I859" s="1526"/>
      <c r="J859" s="1526"/>
      <c r="K859" s="1526"/>
      <c r="L859" s="1526"/>
      <c r="M859" s="1526"/>
      <c r="N859" s="1526"/>
      <c r="O859" s="1526"/>
      <c r="P859" s="1526"/>
      <c r="Q859" s="1526"/>
      <c r="R859" s="1526"/>
      <c r="S859" s="1526"/>
      <c r="T859" s="1526"/>
      <c r="U859" s="1526"/>
      <c r="V859" s="1526"/>
      <c r="W859" s="1526"/>
      <c r="X859" s="1526"/>
      <c r="Y859" s="1526"/>
      <c r="Z859" s="974"/>
      <c r="AA859" s="974"/>
      <c r="AB859" s="974"/>
      <c r="AC859" s="974"/>
      <c r="AD859" s="974"/>
      <c r="AE859" s="974"/>
    </row>
    <row r="860">
      <c r="A860" s="1526"/>
      <c r="B860" s="1526"/>
      <c r="C860" s="1526"/>
      <c r="D860" s="1526"/>
      <c r="E860" s="1526"/>
      <c r="F860" s="1526"/>
      <c r="G860" s="1526"/>
      <c r="H860" s="1526"/>
      <c r="I860" s="1526"/>
      <c r="J860" s="1526"/>
      <c r="K860" s="1526"/>
      <c r="L860" s="1526"/>
      <c r="M860" s="1526"/>
      <c r="N860" s="1526"/>
      <c r="O860" s="1526"/>
      <c r="P860" s="1526"/>
      <c r="Q860" s="1526"/>
      <c r="R860" s="1526"/>
      <c r="S860" s="1526"/>
      <c r="T860" s="1526"/>
      <c r="U860" s="1526"/>
      <c r="V860" s="1526"/>
      <c r="W860" s="1526"/>
      <c r="X860" s="1526"/>
      <c r="Y860" s="1526"/>
      <c r="Z860" s="974"/>
      <c r="AA860" s="974"/>
      <c r="AB860" s="974"/>
      <c r="AC860" s="974"/>
      <c r="AD860" s="974"/>
      <c r="AE860" s="974"/>
    </row>
    <row r="861">
      <c r="A861" s="1526"/>
      <c r="B861" s="1526"/>
      <c r="C861" s="1526"/>
      <c r="D861" s="1526"/>
      <c r="E861" s="1526"/>
      <c r="F861" s="1526"/>
      <c r="G861" s="1526"/>
      <c r="H861" s="1526"/>
      <c r="I861" s="1526"/>
      <c r="J861" s="1526"/>
      <c r="K861" s="1526"/>
      <c r="L861" s="1526"/>
      <c r="M861" s="1526"/>
      <c r="N861" s="1526"/>
      <c r="O861" s="1526"/>
      <c r="P861" s="1526"/>
      <c r="Q861" s="1526"/>
      <c r="R861" s="1526"/>
      <c r="S861" s="1526"/>
      <c r="T861" s="1526"/>
      <c r="U861" s="1526"/>
      <c r="V861" s="1526"/>
      <c r="W861" s="1526"/>
      <c r="X861" s="1526"/>
      <c r="Y861" s="1526"/>
      <c r="Z861" s="974"/>
      <c r="AA861" s="974"/>
      <c r="AB861" s="974"/>
      <c r="AC861" s="974"/>
      <c r="AD861" s="974"/>
      <c r="AE861" s="974"/>
    </row>
    <row r="862">
      <c r="A862" s="1526"/>
      <c r="B862" s="1526"/>
      <c r="C862" s="1526"/>
      <c r="D862" s="1526"/>
      <c r="E862" s="1526"/>
      <c r="F862" s="1526"/>
      <c r="G862" s="1526"/>
      <c r="H862" s="1526"/>
      <c r="I862" s="1526"/>
      <c r="J862" s="1526"/>
      <c r="K862" s="1526"/>
      <c r="L862" s="1526"/>
      <c r="M862" s="1526"/>
      <c r="N862" s="1526"/>
      <c r="O862" s="1526"/>
      <c r="P862" s="1526"/>
      <c r="Q862" s="1526"/>
      <c r="R862" s="1526"/>
      <c r="S862" s="1526"/>
      <c r="T862" s="1526"/>
      <c r="U862" s="1526"/>
      <c r="V862" s="1526"/>
      <c r="W862" s="1526"/>
      <c r="X862" s="1526"/>
      <c r="Y862" s="1526"/>
      <c r="Z862" s="974"/>
      <c r="AA862" s="974"/>
      <c r="AB862" s="974"/>
      <c r="AC862" s="974"/>
      <c r="AD862" s="974"/>
      <c r="AE862" s="974"/>
    </row>
    <row r="863">
      <c r="A863" s="1526"/>
      <c r="B863" s="1526"/>
      <c r="C863" s="1526"/>
      <c r="D863" s="1526"/>
      <c r="E863" s="1526"/>
      <c r="F863" s="1526"/>
      <c r="G863" s="1526"/>
      <c r="H863" s="1526"/>
      <c r="I863" s="1526"/>
      <c r="J863" s="1526"/>
      <c r="K863" s="1526"/>
      <c r="L863" s="1526"/>
      <c r="M863" s="1526"/>
      <c r="N863" s="1526"/>
      <c r="O863" s="1526"/>
      <c r="P863" s="1526"/>
      <c r="Q863" s="1526"/>
      <c r="R863" s="1526"/>
      <c r="S863" s="1526"/>
      <c r="T863" s="1526"/>
      <c r="U863" s="1526"/>
      <c r="V863" s="1526"/>
      <c r="W863" s="1526"/>
      <c r="X863" s="1526"/>
      <c r="Y863" s="1526"/>
      <c r="Z863" s="974"/>
      <c r="AA863" s="974"/>
      <c r="AB863" s="974"/>
      <c r="AC863" s="974"/>
      <c r="AD863" s="974"/>
      <c r="AE863" s="974"/>
    </row>
    <row r="864">
      <c r="A864" s="1526"/>
      <c r="B864" s="1526"/>
      <c r="C864" s="1526"/>
      <c r="D864" s="1526"/>
      <c r="E864" s="1526"/>
      <c r="F864" s="1526"/>
      <c r="G864" s="1526"/>
      <c r="H864" s="1526"/>
      <c r="I864" s="1526"/>
      <c r="J864" s="1526"/>
      <c r="K864" s="1526"/>
      <c r="L864" s="1526"/>
      <c r="M864" s="1526"/>
      <c r="N864" s="1526"/>
      <c r="O864" s="1526"/>
      <c r="P864" s="1526"/>
      <c r="Q864" s="1526"/>
      <c r="R864" s="1526"/>
      <c r="S864" s="1526"/>
      <c r="T864" s="1526"/>
      <c r="U864" s="1526"/>
      <c r="V864" s="1526"/>
      <c r="W864" s="1526"/>
      <c r="X864" s="1526"/>
      <c r="Y864" s="1526"/>
      <c r="Z864" s="974"/>
      <c r="AA864" s="974"/>
      <c r="AB864" s="974"/>
      <c r="AC864" s="974"/>
      <c r="AD864" s="974"/>
      <c r="AE864" s="974"/>
    </row>
    <row r="865">
      <c r="A865" s="1526"/>
      <c r="B865" s="1526"/>
      <c r="C865" s="1526"/>
      <c r="D865" s="1526"/>
      <c r="E865" s="1526"/>
      <c r="F865" s="1526"/>
      <c r="G865" s="1526"/>
      <c r="H865" s="1526"/>
      <c r="I865" s="1526"/>
      <c r="J865" s="1526"/>
      <c r="K865" s="1526"/>
      <c r="L865" s="1526"/>
      <c r="M865" s="1526"/>
      <c r="N865" s="1526"/>
      <c r="O865" s="1526"/>
      <c r="P865" s="1526"/>
      <c r="Q865" s="1526"/>
      <c r="R865" s="1526"/>
      <c r="S865" s="1526"/>
      <c r="T865" s="1526"/>
      <c r="U865" s="1526"/>
      <c r="V865" s="1526"/>
      <c r="W865" s="1526"/>
      <c r="X865" s="1526"/>
      <c r="Y865" s="1526"/>
      <c r="Z865" s="974"/>
      <c r="AA865" s="974"/>
      <c r="AB865" s="974"/>
      <c r="AC865" s="974"/>
      <c r="AD865" s="974"/>
      <c r="AE865" s="974"/>
    </row>
    <row r="866">
      <c r="A866" s="1526"/>
      <c r="B866" s="1526"/>
      <c r="C866" s="1526"/>
      <c r="D866" s="1526"/>
      <c r="E866" s="1526"/>
      <c r="F866" s="1526"/>
      <c r="G866" s="1526"/>
      <c r="H866" s="1526"/>
      <c r="I866" s="1526"/>
      <c r="J866" s="1526"/>
      <c r="K866" s="1526"/>
      <c r="L866" s="1526"/>
      <c r="M866" s="1526"/>
      <c r="N866" s="1526"/>
      <c r="O866" s="1526"/>
      <c r="P866" s="1526"/>
      <c r="Q866" s="1526"/>
      <c r="R866" s="1526"/>
      <c r="S866" s="1526"/>
      <c r="T866" s="1526"/>
      <c r="U866" s="1526"/>
      <c r="V866" s="1526"/>
      <c r="W866" s="1526"/>
      <c r="X866" s="1526"/>
      <c r="Y866" s="1526"/>
      <c r="Z866" s="974"/>
      <c r="AA866" s="974"/>
      <c r="AB866" s="974"/>
      <c r="AC866" s="974"/>
      <c r="AD866" s="974"/>
      <c r="AE866" s="974"/>
    </row>
    <row r="867">
      <c r="A867" s="1526"/>
      <c r="B867" s="1526"/>
      <c r="C867" s="1526"/>
      <c r="D867" s="1526"/>
      <c r="E867" s="1526"/>
      <c r="F867" s="1526"/>
      <c r="G867" s="1526"/>
      <c r="H867" s="1526"/>
      <c r="I867" s="1526"/>
      <c r="J867" s="1526"/>
      <c r="K867" s="1526"/>
      <c r="L867" s="1526"/>
      <c r="M867" s="1526"/>
      <c r="N867" s="1526"/>
      <c r="O867" s="1526"/>
      <c r="P867" s="1526"/>
      <c r="Q867" s="1526"/>
      <c r="R867" s="1526"/>
      <c r="S867" s="1526"/>
      <c r="T867" s="1526"/>
      <c r="U867" s="1526"/>
      <c r="V867" s="1526"/>
      <c r="W867" s="1526"/>
      <c r="X867" s="1526"/>
      <c r="Y867" s="1526"/>
      <c r="Z867" s="974"/>
      <c r="AA867" s="974"/>
      <c r="AB867" s="974"/>
      <c r="AC867" s="974"/>
      <c r="AD867" s="974"/>
      <c r="AE867" s="974"/>
    </row>
    <row r="868">
      <c r="A868" s="1526"/>
      <c r="B868" s="1526"/>
      <c r="C868" s="1526"/>
      <c r="D868" s="1526"/>
      <c r="E868" s="1526"/>
      <c r="F868" s="1526"/>
      <c r="G868" s="1526"/>
      <c r="H868" s="1526"/>
      <c r="I868" s="1526"/>
      <c r="J868" s="1526"/>
      <c r="K868" s="1526"/>
      <c r="L868" s="1526"/>
      <c r="M868" s="1526"/>
      <c r="N868" s="1526"/>
      <c r="O868" s="1526"/>
      <c r="P868" s="1526"/>
      <c r="Q868" s="1526"/>
      <c r="R868" s="1526"/>
      <c r="S868" s="1526"/>
      <c r="T868" s="1526"/>
      <c r="U868" s="1526"/>
      <c r="V868" s="1526"/>
      <c r="W868" s="1526"/>
      <c r="X868" s="1526"/>
      <c r="Y868" s="1526"/>
      <c r="Z868" s="974"/>
      <c r="AA868" s="974"/>
      <c r="AB868" s="974"/>
      <c r="AC868" s="974"/>
      <c r="AD868" s="974"/>
      <c r="AE868" s="974"/>
    </row>
    <row r="869">
      <c r="A869" s="1526"/>
      <c r="B869" s="1526"/>
      <c r="C869" s="1526"/>
      <c r="D869" s="1526"/>
      <c r="E869" s="1526"/>
      <c r="F869" s="1526"/>
      <c r="G869" s="1526"/>
      <c r="H869" s="1526"/>
      <c r="I869" s="1526"/>
      <c r="J869" s="1526"/>
      <c r="K869" s="1526"/>
      <c r="L869" s="1526"/>
      <c r="M869" s="1526"/>
      <c r="N869" s="1526"/>
      <c r="O869" s="1526"/>
      <c r="P869" s="1526"/>
      <c r="Q869" s="1526"/>
      <c r="R869" s="1526"/>
      <c r="S869" s="1526"/>
      <c r="T869" s="1526"/>
      <c r="U869" s="1526"/>
      <c r="V869" s="1526"/>
      <c r="W869" s="1526"/>
      <c r="X869" s="1526"/>
      <c r="Y869" s="1526"/>
      <c r="Z869" s="974"/>
      <c r="AA869" s="974"/>
      <c r="AB869" s="974"/>
      <c r="AC869" s="974"/>
      <c r="AD869" s="974"/>
      <c r="AE869" s="974"/>
    </row>
    <row r="870">
      <c r="A870" s="1526"/>
      <c r="B870" s="1526"/>
      <c r="C870" s="1526"/>
      <c r="D870" s="1526"/>
      <c r="E870" s="1526"/>
      <c r="F870" s="1526"/>
      <c r="G870" s="1526"/>
      <c r="H870" s="1526"/>
      <c r="I870" s="1526"/>
      <c r="J870" s="1526"/>
      <c r="K870" s="1526"/>
      <c r="L870" s="1526"/>
      <c r="M870" s="1526"/>
      <c r="N870" s="1526"/>
      <c r="O870" s="1526"/>
      <c r="P870" s="1526"/>
      <c r="Q870" s="1526"/>
      <c r="R870" s="1526"/>
      <c r="S870" s="1526"/>
      <c r="T870" s="1526"/>
      <c r="U870" s="1526"/>
      <c r="V870" s="1526"/>
      <c r="W870" s="1526"/>
      <c r="X870" s="1526"/>
      <c r="Y870" s="1526"/>
      <c r="Z870" s="974"/>
      <c r="AA870" s="974"/>
      <c r="AB870" s="974"/>
      <c r="AC870" s="974"/>
      <c r="AD870" s="974"/>
      <c r="AE870" s="974"/>
    </row>
    <row r="871">
      <c r="A871" s="1526"/>
      <c r="B871" s="1526"/>
      <c r="C871" s="1526"/>
      <c r="D871" s="1526"/>
      <c r="E871" s="1526"/>
      <c r="F871" s="1526"/>
      <c r="G871" s="1526"/>
      <c r="H871" s="1526"/>
      <c r="I871" s="1526"/>
      <c r="J871" s="1526"/>
      <c r="K871" s="1526"/>
      <c r="L871" s="1526"/>
      <c r="M871" s="1526"/>
      <c r="N871" s="1526"/>
      <c r="O871" s="1526"/>
      <c r="P871" s="1526"/>
      <c r="Q871" s="1526"/>
      <c r="R871" s="1526"/>
      <c r="S871" s="1526"/>
      <c r="T871" s="1526"/>
      <c r="U871" s="1526"/>
      <c r="V871" s="1526"/>
      <c r="W871" s="1526"/>
      <c r="X871" s="1526"/>
      <c r="Y871" s="1526"/>
      <c r="Z871" s="974"/>
      <c r="AA871" s="974"/>
      <c r="AB871" s="974"/>
      <c r="AC871" s="974"/>
      <c r="AD871" s="974"/>
      <c r="AE871" s="974"/>
    </row>
    <row r="872">
      <c r="A872" s="1526"/>
      <c r="B872" s="1526"/>
      <c r="C872" s="1526"/>
      <c r="D872" s="1526"/>
      <c r="E872" s="1526"/>
      <c r="F872" s="1526"/>
      <c r="G872" s="1526"/>
      <c r="H872" s="1526"/>
      <c r="I872" s="1526"/>
      <c r="J872" s="1526"/>
      <c r="K872" s="1526"/>
      <c r="L872" s="1526"/>
      <c r="M872" s="1526"/>
      <c r="N872" s="1526"/>
      <c r="O872" s="1526"/>
      <c r="P872" s="1526"/>
      <c r="Q872" s="1526"/>
      <c r="R872" s="1526"/>
      <c r="S872" s="1526"/>
      <c r="T872" s="1526"/>
      <c r="U872" s="1526"/>
      <c r="V872" s="1526"/>
      <c r="W872" s="1526"/>
      <c r="X872" s="1526"/>
      <c r="Y872" s="1526"/>
      <c r="Z872" s="974"/>
      <c r="AA872" s="974"/>
      <c r="AB872" s="974"/>
      <c r="AC872" s="974"/>
      <c r="AD872" s="974"/>
      <c r="AE872" s="974"/>
    </row>
    <row r="873">
      <c r="A873" s="1526"/>
      <c r="B873" s="1526"/>
      <c r="C873" s="1526"/>
      <c r="D873" s="1526"/>
      <c r="E873" s="1526"/>
      <c r="F873" s="1526"/>
      <c r="G873" s="1526"/>
      <c r="H873" s="1526"/>
      <c r="I873" s="1526"/>
      <c r="J873" s="1526"/>
      <c r="K873" s="1526"/>
      <c r="L873" s="1526"/>
      <c r="M873" s="1526"/>
      <c r="N873" s="1526"/>
      <c r="O873" s="1526"/>
      <c r="P873" s="1526"/>
      <c r="Q873" s="1526"/>
      <c r="R873" s="1526"/>
      <c r="S873" s="1526"/>
      <c r="T873" s="1526"/>
      <c r="U873" s="1526"/>
      <c r="V873" s="1526"/>
      <c r="W873" s="1526"/>
      <c r="X873" s="1526"/>
      <c r="Y873" s="1526"/>
      <c r="Z873" s="974"/>
      <c r="AA873" s="974"/>
      <c r="AB873" s="974"/>
      <c r="AC873" s="974"/>
      <c r="AD873" s="974"/>
      <c r="AE873" s="974"/>
    </row>
    <row r="874">
      <c r="A874" s="1526"/>
      <c r="B874" s="1526"/>
      <c r="C874" s="1526"/>
      <c r="D874" s="1526"/>
      <c r="E874" s="1526"/>
      <c r="F874" s="1526"/>
      <c r="G874" s="1526"/>
      <c r="H874" s="1526"/>
      <c r="I874" s="1526"/>
      <c r="J874" s="1526"/>
      <c r="K874" s="1526"/>
      <c r="L874" s="1526"/>
      <c r="M874" s="1526"/>
      <c r="N874" s="1526"/>
      <c r="O874" s="1526"/>
      <c r="P874" s="1526"/>
      <c r="Q874" s="1526"/>
      <c r="R874" s="1526"/>
      <c r="S874" s="1526"/>
      <c r="T874" s="1526"/>
      <c r="U874" s="1526"/>
      <c r="V874" s="1526"/>
      <c r="W874" s="1526"/>
      <c r="X874" s="1526"/>
      <c r="Y874" s="1526"/>
      <c r="Z874" s="974"/>
      <c r="AA874" s="974"/>
      <c r="AB874" s="974"/>
      <c r="AC874" s="974"/>
      <c r="AD874" s="974"/>
      <c r="AE874" s="974"/>
    </row>
    <row r="875">
      <c r="A875" s="1526"/>
      <c r="B875" s="1526"/>
      <c r="C875" s="1526"/>
      <c r="D875" s="1526"/>
      <c r="E875" s="1526"/>
      <c r="F875" s="1526"/>
      <c r="G875" s="1526"/>
      <c r="H875" s="1526"/>
      <c r="I875" s="1526"/>
      <c r="J875" s="1526"/>
      <c r="K875" s="1526"/>
      <c r="L875" s="1526"/>
      <c r="M875" s="1526"/>
      <c r="N875" s="1526"/>
      <c r="O875" s="1526"/>
      <c r="P875" s="1526"/>
      <c r="Q875" s="1526"/>
      <c r="R875" s="1526"/>
      <c r="S875" s="1526"/>
      <c r="T875" s="1526"/>
      <c r="U875" s="1526"/>
      <c r="V875" s="1526"/>
      <c r="W875" s="1526"/>
      <c r="X875" s="1526"/>
      <c r="Y875" s="1526"/>
      <c r="Z875" s="974"/>
      <c r="AA875" s="974"/>
      <c r="AB875" s="974"/>
      <c r="AC875" s="974"/>
      <c r="AD875" s="974"/>
      <c r="AE875" s="974"/>
    </row>
    <row r="876">
      <c r="A876" s="1526"/>
      <c r="B876" s="1526"/>
      <c r="C876" s="1526"/>
      <c r="D876" s="1526"/>
      <c r="E876" s="1526"/>
      <c r="F876" s="1526"/>
      <c r="G876" s="1526"/>
      <c r="H876" s="1526"/>
      <c r="I876" s="1526"/>
      <c r="J876" s="1526"/>
      <c r="K876" s="1526"/>
      <c r="L876" s="1526"/>
      <c r="M876" s="1526"/>
      <c r="N876" s="1526"/>
      <c r="O876" s="1526"/>
      <c r="P876" s="1526"/>
      <c r="Q876" s="1526"/>
      <c r="R876" s="1526"/>
      <c r="S876" s="1526"/>
      <c r="T876" s="1526"/>
      <c r="U876" s="1526"/>
      <c r="V876" s="1526"/>
      <c r="W876" s="1526"/>
      <c r="X876" s="1526"/>
      <c r="Y876" s="1526"/>
      <c r="Z876" s="974"/>
      <c r="AA876" s="974"/>
      <c r="AB876" s="974"/>
      <c r="AC876" s="974"/>
      <c r="AD876" s="974"/>
      <c r="AE876" s="974"/>
    </row>
    <row r="877">
      <c r="A877" s="1526"/>
      <c r="B877" s="1526"/>
      <c r="C877" s="1526"/>
      <c r="D877" s="1526"/>
      <c r="E877" s="1526"/>
      <c r="F877" s="1526"/>
      <c r="G877" s="1526"/>
      <c r="H877" s="1526"/>
      <c r="I877" s="1526"/>
      <c r="J877" s="1526"/>
      <c r="K877" s="1526"/>
      <c r="L877" s="1526"/>
      <c r="M877" s="1526"/>
      <c r="N877" s="1526"/>
      <c r="O877" s="1526"/>
      <c r="P877" s="1526"/>
      <c r="Q877" s="1526"/>
      <c r="R877" s="1526"/>
      <c r="S877" s="1526"/>
      <c r="T877" s="1526"/>
      <c r="U877" s="1526"/>
      <c r="V877" s="1526"/>
      <c r="W877" s="1526"/>
      <c r="X877" s="1526"/>
      <c r="Y877" s="1526"/>
      <c r="Z877" s="974"/>
      <c r="AA877" s="974"/>
      <c r="AB877" s="974"/>
      <c r="AC877" s="974"/>
      <c r="AD877" s="974"/>
      <c r="AE877" s="974"/>
    </row>
    <row r="878">
      <c r="A878" s="1526"/>
      <c r="B878" s="1526"/>
      <c r="C878" s="1526"/>
      <c r="D878" s="1526"/>
      <c r="E878" s="1526"/>
      <c r="F878" s="1526"/>
      <c r="G878" s="1526"/>
      <c r="H878" s="1526"/>
      <c r="I878" s="1526"/>
      <c r="J878" s="1526"/>
      <c r="K878" s="1526"/>
      <c r="L878" s="1526"/>
      <c r="M878" s="1526"/>
      <c r="N878" s="1526"/>
      <c r="O878" s="1526"/>
      <c r="P878" s="1526"/>
      <c r="Q878" s="1526"/>
      <c r="R878" s="1526"/>
      <c r="S878" s="1526"/>
      <c r="T878" s="1526"/>
      <c r="U878" s="1526"/>
      <c r="V878" s="1526"/>
      <c r="W878" s="1526"/>
      <c r="X878" s="1526"/>
      <c r="Y878" s="1526"/>
      <c r="Z878" s="974"/>
      <c r="AA878" s="974"/>
      <c r="AB878" s="974"/>
      <c r="AC878" s="974"/>
      <c r="AD878" s="974"/>
      <c r="AE878" s="974"/>
    </row>
    <row r="879">
      <c r="A879" s="1526"/>
      <c r="B879" s="1526"/>
      <c r="C879" s="1526"/>
      <c r="D879" s="1526"/>
      <c r="E879" s="1526"/>
      <c r="F879" s="1526"/>
      <c r="G879" s="1526"/>
      <c r="H879" s="1526"/>
      <c r="I879" s="1526"/>
      <c r="J879" s="1526"/>
      <c r="K879" s="1526"/>
      <c r="L879" s="1526"/>
      <c r="M879" s="1526"/>
      <c r="N879" s="1526"/>
      <c r="O879" s="1526"/>
      <c r="P879" s="1526"/>
      <c r="Q879" s="1526"/>
      <c r="R879" s="1526"/>
      <c r="S879" s="1526"/>
      <c r="T879" s="1526"/>
      <c r="U879" s="1526"/>
      <c r="V879" s="1526"/>
      <c r="W879" s="1526"/>
      <c r="X879" s="1526"/>
      <c r="Y879" s="1526"/>
      <c r="Z879" s="974"/>
      <c r="AA879" s="974"/>
      <c r="AB879" s="974"/>
      <c r="AC879" s="974"/>
      <c r="AD879" s="974"/>
      <c r="AE879" s="974"/>
    </row>
    <row r="880">
      <c r="A880" s="1526"/>
      <c r="B880" s="1526"/>
      <c r="C880" s="1526"/>
      <c r="D880" s="1526"/>
      <c r="E880" s="1526"/>
      <c r="F880" s="1526"/>
      <c r="G880" s="1526"/>
      <c r="H880" s="1526"/>
      <c r="I880" s="1526"/>
      <c r="J880" s="1526"/>
      <c r="K880" s="1526"/>
      <c r="L880" s="1526"/>
      <c r="M880" s="1526"/>
      <c r="N880" s="1526"/>
      <c r="O880" s="1526"/>
      <c r="P880" s="1526"/>
      <c r="Q880" s="1526"/>
      <c r="R880" s="1526"/>
      <c r="S880" s="1526"/>
      <c r="T880" s="1526"/>
      <c r="U880" s="1526"/>
      <c r="V880" s="1526"/>
      <c r="W880" s="1526"/>
      <c r="X880" s="1526"/>
      <c r="Y880" s="1526"/>
      <c r="Z880" s="974"/>
      <c r="AA880" s="974"/>
      <c r="AB880" s="974"/>
      <c r="AC880" s="974"/>
      <c r="AD880" s="974"/>
      <c r="AE880" s="974"/>
    </row>
    <row r="881">
      <c r="A881" s="1526"/>
      <c r="B881" s="1526"/>
      <c r="C881" s="1526"/>
      <c r="D881" s="1526"/>
      <c r="E881" s="1526"/>
      <c r="F881" s="1526"/>
      <c r="G881" s="1526"/>
      <c r="H881" s="1526"/>
      <c r="I881" s="1526"/>
      <c r="J881" s="1526"/>
      <c r="K881" s="1526"/>
      <c r="L881" s="1526"/>
      <c r="M881" s="1526"/>
      <c r="N881" s="1526"/>
      <c r="O881" s="1526"/>
      <c r="P881" s="1526"/>
      <c r="Q881" s="1526"/>
      <c r="R881" s="1526"/>
      <c r="S881" s="1526"/>
      <c r="T881" s="1526"/>
      <c r="U881" s="1526"/>
      <c r="V881" s="1526"/>
      <c r="W881" s="1526"/>
      <c r="X881" s="1526"/>
      <c r="Y881" s="1526"/>
      <c r="Z881" s="974"/>
      <c r="AA881" s="974"/>
      <c r="AB881" s="974"/>
      <c r="AC881" s="974"/>
      <c r="AD881" s="974"/>
      <c r="AE881" s="974"/>
    </row>
    <row r="882">
      <c r="A882" s="1526"/>
      <c r="B882" s="1526"/>
      <c r="C882" s="1526"/>
      <c r="D882" s="1526"/>
      <c r="E882" s="1526"/>
      <c r="F882" s="1526"/>
      <c r="G882" s="1526"/>
      <c r="H882" s="1526"/>
      <c r="I882" s="1526"/>
      <c r="J882" s="1526"/>
      <c r="K882" s="1526"/>
      <c r="L882" s="1526"/>
      <c r="M882" s="1526"/>
      <c r="N882" s="1526"/>
      <c r="O882" s="1526"/>
      <c r="P882" s="1526"/>
      <c r="Q882" s="1526"/>
      <c r="R882" s="1526"/>
      <c r="S882" s="1526"/>
      <c r="T882" s="1526"/>
      <c r="U882" s="1526"/>
      <c r="V882" s="1526"/>
      <c r="W882" s="1526"/>
      <c r="X882" s="1526"/>
      <c r="Y882" s="1526"/>
      <c r="Z882" s="974"/>
      <c r="AA882" s="974"/>
      <c r="AB882" s="974"/>
      <c r="AC882" s="974"/>
      <c r="AD882" s="974"/>
      <c r="AE882" s="974"/>
    </row>
    <row r="883">
      <c r="A883" s="1526"/>
      <c r="B883" s="1526"/>
      <c r="C883" s="1526"/>
      <c r="D883" s="1526"/>
      <c r="E883" s="1526"/>
      <c r="F883" s="1526"/>
      <c r="G883" s="1526"/>
      <c r="H883" s="1526"/>
      <c r="I883" s="1526"/>
      <c r="J883" s="1526"/>
      <c r="K883" s="1526"/>
      <c r="L883" s="1526"/>
      <c r="M883" s="1526"/>
      <c r="N883" s="1526"/>
      <c r="O883" s="1526"/>
      <c r="P883" s="1526"/>
      <c r="Q883" s="1526"/>
      <c r="R883" s="1526"/>
      <c r="S883" s="1526"/>
      <c r="T883" s="1526"/>
      <c r="U883" s="1526"/>
      <c r="V883" s="1526"/>
      <c r="W883" s="1526"/>
      <c r="X883" s="1526"/>
      <c r="Y883" s="1526"/>
      <c r="Z883" s="974"/>
      <c r="AA883" s="974"/>
      <c r="AB883" s="974"/>
      <c r="AC883" s="974"/>
      <c r="AD883" s="974"/>
      <c r="AE883" s="974"/>
    </row>
    <row r="884">
      <c r="A884" s="1526"/>
      <c r="B884" s="1526"/>
      <c r="C884" s="1526"/>
      <c r="D884" s="1526"/>
      <c r="E884" s="1526"/>
      <c r="F884" s="1526"/>
      <c r="G884" s="1526"/>
      <c r="H884" s="1526"/>
      <c r="I884" s="1526"/>
      <c r="J884" s="1526"/>
      <c r="K884" s="1526"/>
      <c r="L884" s="1526"/>
      <c r="M884" s="1526"/>
      <c r="N884" s="1526"/>
      <c r="O884" s="1526"/>
      <c r="P884" s="1526"/>
      <c r="Q884" s="1526"/>
      <c r="R884" s="1526"/>
      <c r="S884" s="1526"/>
      <c r="T884" s="1526"/>
      <c r="U884" s="1526"/>
      <c r="V884" s="1526"/>
      <c r="W884" s="1526"/>
      <c r="X884" s="1526"/>
      <c r="Y884" s="1526"/>
      <c r="Z884" s="974"/>
      <c r="AA884" s="974"/>
      <c r="AB884" s="974"/>
      <c r="AC884" s="974"/>
      <c r="AD884" s="974"/>
      <c r="AE884" s="974"/>
    </row>
    <row r="885">
      <c r="A885" s="1526"/>
      <c r="B885" s="1526"/>
      <c r="C885" s="1526"/>
      <c r="D885" s="1526"/>
      <c r="E885" s="1526"/>
      <c r="F885" s="1526"/>
      <c r="G885" s="1526"/>
      <c r="H885" s="1526"/>
      <c r="I885" s="1526"/>
      <c r="J885" s="1526"/>
      <c r="K885" s="1526"/>
      <c r="L885" s="1526"/>
      <c r="M885" s="1526"/>
      <c r="N885" s="1526"/>
      <c r="O885" s="1526"/>
      <c r="P885" s="1526"/>
      <c r="Q885" s="1526"/>
      <c r="R885" s="1526"/>
      <c r="S885" s="1526"/>
      <c r="T885" s="1526"/>
      <c r="U885" s="1526"/>
      <c r="V885" s="1526"/>
      <c r="W885" s="1526"/>
      <c r="X885" s="1526"/>
      <c r="Y885" s="1526"/>
      <c r="Z885" s="974"/>
      <c r="AA885" s="974"/>
      <c r="AB885" s="974"/>
      <c r="AC885" s="974"/>
      <c r="AD885" s="974"/>
      <c r="AE885" s="974"/>
    </row>
    <row r="886">
      <c r="A886" s="1526"/>
      <c r="B886" s="1526"/>
      <c r="C886" s="1526"/>
      <c r="D886" s="1526"/>
      <c r="E886" s="1526"/>
      <c r="F886" s="1526"/>
      <c r="G886" s="1526"/>
      <c r="H886" s="1526"/>
      <c r="I886" s="1526"/>
      <c r="J886" s="1526"/>
      <c r="K886" s="1526"/>
      <c r="L886" s="1526"/>
      <c r="M886" s="1526"/>
      <c r="N886" s="1526"/>
      <c r="O886" s="1526"/>
      <c r="P886" s="1526"/>
      <c r="Q886" s="1526"/>
      <c r="R886" s="1526"/>
      <c r="S886" s="1526"/>
      <c r="T886" s="1526"/>
      <c r="U886" s="1526"/>
      <c r="V886" s="1526"/>
      <c r="W886" s="1526"/>
      <c r="X886" s="1526"/>
      <c r="Y886" s="1526"/>
      <c r="Z886" s="974"/>
      <c r="AA886" s="974"/>
      <c r="AB886" s="974"/>
      <c r="AC886" s="974"/>
      <c r="AD886" s="974"/>
      <c r="AE886" s="974"/>
    </row>
    <row r="887">
      <c r="A887" s="1526"/>
      <c r="B887" s="1526"/>
      <c r="C887" s="1526"/>
      <c r="D887" s="1526"/>
      <c r="E887" s="1526"/>
      <c r="F887" s="1526"/>
      <c r="G887" s="1526"/>
      <c r="H887" s="1526"/>
      <c r="I887" s="1526"/>
      <c r="J887" s="1526"/>
      <c r="K887" s="1526"/>
      <c r="L887" s="1526"/>
      <c r="M887" s="1526"/>
      <c r="N887" s="1526"/>
      <c r="O887" s="1526"/>
      <c r="P887" s="1526"/>
      <c r="Q887" s="1526"/>
      <c r="R887" s="1526"/>
      <c r="S887" s="1526"/>
      <c r="T887" s="1526"/>
      <c r="U887" s="1526"/>
      <c r="V887" s="1526"/>
      <c r="W887" s="1526"/>
      <c r="X887" s="1526"/>
      <c r="Y887" s="1526"/>
      <c r="Z887" s="974"/>
      <c r="AA887" s="974"/>
      <c r="AB887" s="974"/>
      <c r="AC887" s="974"/>
      <c r="AD887" s="974"/>
      <c r="AE887" s="974"/>
    </row>
    <row r="888">
      <c r="A888" s="1526"/>
      <c r="B888" s="1526"/>
      <c r="C888" s="1526"/>
      <c r="D888" s="1526"/>
      <c r="E888" s="1526"/>
      <c r="F888" s="1526"/>
      <c r="G888" s="1526"/>
      <c r="H888" s="1526"/>
      <c r="I888" s="1526"/>
      <c r="J888" s="1526"/>
      <c r="K888" s="1526"/>
      <c r="L888" s="1526"/>
      <c r="M888" s="1526"/>
      <c r="N888" s="1526"/>
      <c r="O888" s="1526"/>
      <c r="P888" s="1526"/>
      <c r="Q888" s="1526"/>
      <c r="R888" s="1526"/>
      <c r="S888" s="1526"/>
      <c r="T888" s="1526"/>
      <c r="U888" s="1526"/>
      <c r="V888" s="1526"/>
      <c r="W888" s="1526"/>
      <c r="X888" s="1526"/>
      <c r="Y888" s="1526"/>
      <c r="Z888" s="974"/>
      <c r="AA888" s="974"/>
      <c r="AB888" s="974"/>
      <c r="AC888" s="974"/>
      <c r="AD888" s="974"/>
      <c r="AE888" s="974"/>
    </row>
    <row r="889">
      <c r="A889" s="1526"/>
      <c r="B889" s="1526"/>
      <c r="C889" s="1526"/>
      <c r="D889" s="1526"/>
      <c r="E889" s="1526"/>
      <c r="F889" s="1526"/>
      <c r="G889" s="1526"/>
      <c r="H889" s="1526"/>
      <c r="I889" s="1526"/>
      <c r="J889" s="1526"/>
      <c r="K889" s="1526"/>
      <c r="L889" s="1526"/>
      <c r="M889" s="1526"/>
      <c r="N889" s="1526"/>
      <c r="O889" s="1526"/>
      <c r="P889" s="1526"/>
      <c r="Q889" s="1526"/>
      <c r="R889" s="1526"/>
      <c r="S889" s="1526"/>
      <c r="T889" s="1526"/>
      <c r="U889" s="1526"/>
      <c r="V889" s="1526"/>
      <c r="W889" s="1526"/>
      <c r="X889" s="1526"/>
      <c r="Y889" s="1526"/>
      <c r="Z889" s="974"/>
      <c r="AA889" s="974"/>
      <c r="AB889" s="974"/>
      <c r="AC889" s="974"/>
      <c r="AD889" s="974"/>
      <c r="AE889" s="974"/>
    </row>
    <row r="890">
      <c r="A890" s="1526"/>
      <c r="B890" s="1526"/>
      <c r="C890" s="1526"/>
      <c r="D890" s="1526"/>
      <c r="E890" s="1526"/>
      <c r="F890" s="1526"/>
      <c r="G890" s="1526"/>
      <c r="H890" s="1526"/>
      <c r="I890" s="1526"/>
      <c r="J890" s="1526"/>
      <c r="K890" s="1526"/>
      <c r="L890" s="1526"/>
      <c r="M890" s="1526"/>
      <c r="N890" s="1526"/>
      <c r="O890" s="1526"/>
      <c r="P890" s="1526"/>
      <c r="Q890" s="1526"/>
      <c r="R890" s="1526"/>
      <c r="S890" s="1526"/>
      <c r="T890" s="1526"/>
      <c r="U890" s="1526"/>
      <c r="V890" s="1526"/>
      <c r="W890" s="1526"/>
      <c r="X890" s="1526"/>
      <c r="Y890" s="1526"/>
      <c r="Z890" s="974"/>
      <c r="AA890" s="974"/>
      <c r="AB890" s="974"/>
      <c r="AC890" s="974"/>
      <c r="AD890" s="974"/>
      <c r="AE890" s="974"/>
    </row>
    <row r="891">
      <c r="A891" s="1526"/>
      <c r="B891" s="1526"/>
      <c r="C891" s="1526"/>
      <c r="D891" s="1526"/>
      <c r="E891" s="1526"/>
      <c r="F891" s="1526"/>
      <c r="G891" s="1526"/>
      <c r="H891" s="1526"/>
      <c r="I891" s="1526"/>
      <c r="J891" s="1526"/>
      <c r="K891" s="1526"/>
      <c r="L891" s="1526"/>
      <c r="M891" s="1526"/>
      <c r="N891" s="1526"/>
      <c r="O891" s="1526"/>
      <c r="P891" s="1526"/>
      <c r="Q891" s="1526"/>
      <c r="R891" s="1526"/>
      <c r="S891" s="1526"/>
      <c r="T891" s="1526"/>
      <c r="U891" s="1526"/>
      <c r="V891" s="1526"/>
      <c r="W891" s="1526"/>
      <c r="X891" s="1526"/>
      <c r="Y891" s="1526"/>
      <c r="Z891" s="974"/>
      <c r="AA891" s="974"/>
      <c r="AB891" s="974"/>
      <c r="AC891" s="974"/>
      <c r="AD891" s="974"/>
      <c r="AE891" s="974"/>
    </row>
    <row r="892">
      <c r="A892" s="1526"/>
      <c r="B892" s="1526"/>
      <c r="C892" s="1526"/>
      <c r="D892" s="1526"/>
      <c r="E892" s="1526"/>
      <c r="F892" s="1526"/>
      <c r="G892" s="1526"/>
      <c r="H892" s="1526"/>
      <c r="I892" s="1526"/>
      <c r="J892" s="1526"/>
      <c r="K892" s="1526"/>
      <c r="L892" s="1526"/>
      <c r="M892" s="1526"/>
      <c r="N892" s="1526"/>
      <c r="O892" s="1526"/>
      <c r="P892" s="1526"/>
      <c r="Q892" s="1526"/>
      <c r="R892" s="1526"/>
      <c r="S892" s="1526"/>
      <c r="T892" s="1526"/>
      <c r="U892" s="1526"/>
      <c r="V892" s="1526"/>
      <c r="W892" s="1526"/>
      <c r="X892" s="1526"/>
      <c r="Y892" s="1526"/>
      <c r="Z892" s="974"/>
      <c r="AA892" s="974"/>
      <c r="AB892" s="974"/>
      <c r="AC892" s="974"/>
      <c r="AD892" s="974"/>
      <c r="AE892" s="974"/>
    </row>
    <row r="893">
      <c r="A893" s="1526"/>
      <c r="B893" s="1526"/>
      <c r="C893" s="1526"/>
      <c r="D893" s="1526"/>
      <c r="E893" s="1526"/>
      <c r="F893" s="1526"/>
      <c r="G893" s="1526"/>
      <c r="H893" s="1526"/>
      <c r="I893" s="1526"/>
      <c r="J893" s="1526"/>
      <c r="K893" s="1526"/>
      <c r="L893" s="1526"/>
      <c r="M893" s="1526"/>
      <c r="N893" s="1526"/>
      <c r="O893" s="1526"/>
      <c r="P893" s="1526"/>
      <c r="Q893" s="1526"/>
      <c r="R893" s="1526"/>
      <c r="S893" s="1526"/>
      <c r="T893" s="1526"/>
      <c r="U893" s="1526"/>
      <c r="V893" s="1526"/>
      <c r="W893" s="1526"/>
      <c r="X893" s="1526"/>
      <c r="Y893" s="1526"/>
      <c r="Z893" s="974"/>
      <c r="AA893" s="974"/>
      <c r="AB893" s="974"/>
      <c r="AC893" s="974"/>
      <c r="AD893" s="974"/>
      <c r="AE893" s="974"/>
    </row>
    <row r="894">
      <c r="A894" s="1526"/>
      <c r="B894" s="1526"/>
      <c r="C894" s="1526"/>
      <c r="D894" s="1526"/>
      <c r="E894" s="1526"/>
      <c r="F894" s="1526"/>
      <c r="G894" s="1526"/>
      <c r="H894" s="1526"/>
      <c r="I894" s="1526"/>
      <c r="J894" s="1526"/>
      <c r="K894" s="1526"/>
      <c r="L894" s="1526"/>
      <c r="M894" s="1526"/>
      <c r="N894" s="1526"/>
      <c r="O894" s="1526"/>
      <c r="P894" s="1526"/>
      <c r="Q894" s="1526"/>
      <c r="R894" s="1526"/>
      <c r="S894" s="1526"/>
      <c r="T894" s="1526"/>
      <c r="U894" s="1526"/>
      <c r="V894" s="1526"/>
      <c r="W894" s="1526"/>
      <c r="X894" s="1526"/>
      <c r="Y894" s="1526"/>
      <c r="Z894" s="974"/>
      <c r="AA894" s="974"/>
      <c r="AB894" s="974"/>
      <c r="AC894" s="974"/>
      <c r="AD894" s="974"/>
      <c r="AE894" s="974"/>
    </row>
    <row r="895">
      <c r="A895" s="1526"/>
      <c r="B895" s="1526"/>
      <c r="C895" s="1526"/>
      <c r="D895" s="1526"/>
      <c r="E895" s="1526"/>
      <c r="F895" s="1526"/>
      <c r="G895" s="1526"/>
      <c r="H895" s="1526"/>
      <c r="I895" s="1526"/>
      <c r="J895" s="1526"/>
      <c r="K895" s="1526"/>
      <c r="L895" s="1526"/>
      <c r="M895" s="1526"/>
      <c r="N895" s="1526"/>
      <c r="O895" s="1526"/>
      <c r="P895" s="1526"/>
      <c r="Q895" s="1526"/>
      <c r="R895" s="1526"/>
      <c r="S895" s="1526"/>
      <c r="T895" s="1526"/>
      <c r="U895" s="1526"/>
      <c r="V895" s="1526"/>
      <c r="W895" s="1526"/>
      <c r="X895" s="1526"/>
      <c r="Y895" s="1526"/>
      <c r="Z895" s="974"/>
      <c r="AA895" s="974"/>
      <c r="AB895" s="974"/>
      <c r="AC895" s="974"/>
      <c r="AD895" s="974"/>
      <c r="AE895" s="974"/>
    </row>
    <row r="896">
      <c r="A896" s="1526"/>
      <c r="B896" s="1526"/>
      <c r="C896" s="1526"/>
      <c r="D896" s="1526"/>
      <c r="E896" s="1526"/>
      <c r="F896" s="1526"/>
      <c r="G896" s="1526"/>
      <c r="H896" s="1526"/>
      <c r="I896" s="1526"/>
      <c r="J896" s="1526"/>
      <c r="K896" s="1526"/>
      <c r="L896" s="1526"/>
      <c r="M896" s="1526"/>
      <c r="N896" s="1526"/>
      <c r="O896" s="1526"/>
      <c r="P896" s="1526"/>
      <c r="Q896" s="1526"/>
      <c r="R896" s="1526"/>
      <c r="S896" s="1526"/>
      <c r="T896" s="1526"/>
      <c r="U896" s="1526"/>
      <c r="V896" s="1526"/>
      <c r="W896" s="1526"/>
      <c r="X896" s="1526"/>
      <c r="Y896" s="1526"/>
      <c r="Z896" s="974"/>
      <c r="AA896" s="974"/>
      <c r="AB896" s="974"/>
      <c r="AC896" s="974"/>
      <c r="AD896" s="974"/>
      <c r="AE896" s="974"/>
    </row>
    <row r="897">
      <c r="A897" s="1526"/>
      <c r="B897" s="1526"/>
      <c r="C897" s="1526"/>
      <c r="D897" s="1526"/>
      <c r="E897" s="1526"/>
      <c r="F897" s="1526"/>
      <c r="G897" s="1526"/>
      <c r="H897" s="1526"/>
      <c r="I897" s="1526"/>
      <c r="J897" s="1526"/>
      <c r="K897" s="1526"/>
      <c r="L897" s="1526"/>
      <c r="M897" s="1526"/>
      <c r="N897" s="1526"/>
      <c r="O897" s="1526"/>
      <c r="P897" s="1526"/>
      <c r="Q897" s="1526"/>
      <c r="R897" s="1526"/>
      <c r="S897" s="1526"/>
      <c r="T897" s="1526"/>
      <c r="U897" s="1526"/>
      <c r="V897" s="1526"/>
      <c r="W897" s="1526"/>
      <c r="X897" s="1526"/>
      <c r="Y897" s="1526"/>
      <c r="Z897" s="974"/>
      <c r="AA897" s="974"/>
      <c r="AB897" s="974"/>
      <c r="AC897" s="974"/>
      <c r="AD897" s="974"/>
      <c r="AE897" s="974"/>
    </row>
    <row r="898">
      <c r="A898" s="1526"/>
      <c r="B898" s="1526"/>
      <c r="C898" s="1526"/>
      <c r="D898" s="1526"/>
      <c r="E898" s="1526"/>
      <c r="F898" s="1526"/>
      <c r="G898" s="1526"/>
      <c r="H898" s="1526"/>
      <c r="I898" s="1526"/>
      <c r="J898" s="1526"/>
      <c r="K898" s="1526"/>
      <c r="L898" s="1526"/>
      <c r="M898" s="1526"/>
      <c r="N898" s="1526"/>
      <c r="O898" s="1526"/>
      <c r="P898" s="1526"/>
      <c r="Q898" s="1526"/>
      <c r="R898" s="1526"/>
      <c r="S898" s="1526"/>
      <c r="T898" s="1526"/>
      <c r="U898" s="1526"/>
      <c r="V898" s="1526"/>
      <c r="W898" s="1526"/>
      <c r="X898" s="1526"/>
      <c r="Y898" s="1526"/>
      <c r="Z898" s="974"/>
      <c r="AA898" s="974"/>
      <c r="AB898" s="974"/>
      <c r="AC898" s="974"/>
      <c r="AD898" s="974"/>
      <c r="AE898" s="974"/>
    </row>
    <row r="899">
      <c r="A899" s="1526"/>
      <c r="B899" s="1526"/>
      <c r="C899" s="1526"/>
      <c r="D899" s="1526"/>
      <c r="E899" s="1526"/>
      <c r="F899" s="1526"/>
      <c r="G899" s="1526"/>
      <c r="H899" s="1526"/>
      <c r="I899" s="1526"/>
      <c r="J899" s="1526"/>
      <c r="K899" s="1526"/>
      <c r="L899" s="1526"/>
      <c r="M899" s="1526"/>
      <c r="N899" s="1526"/>
      <c r="O899" s="1526"/>
      <c r="P899" s="1526"/>
      <c r="Q899" s="1526"/>
      <c r="R899" s="1526"/>
      <c r="S899" s="1526"/>
      <c r="T899" s="1526"/>
      <c r="U899" s="1526"/>
      <c r="V899" s="1526"/>
      <c r="W899" s="1526"/>
      <c r="X899" s="1526"/>
      <c r="Y899" s="1526"/>
      <c r="Z899" s="974"/>
      <c r="AA899" s="974"/>
      <c r="AB899" s="974"/>
      <c r="AC899" s="974"/>
      <c r="AD899" s="974"/>
      <c r="AE899" s="974"/>
    </row>
    <row r="900">
      <c r="A900" s="1526"/>
      <c r="B900" s="1526"/>
      <c r="C900" s="1526"/>
      <c r="D900" s="1526"/>
      <c r="E900" s="1526"/>
      <c r="F900" s="1526"/>
      <c r="G900" s="1526"/>
      <c r="H900" s="1526"/>
      <c r="I900" s="1526"/>
      <c r="J900" s="1526"/>
      <c r="K900" s="1526"/>
      <c r="L900" s="1526"/>
      <c r="M900" s="1526"/>
      <c r="N900" s="1526"/>
      <c r="O900" s="1526"/>
      <c r="P900" s="1526"/>
      <c r="Q900" s="1526"/>
      <c r="R900" s="1526"/>
      <c r="S900" s="1526"/>
      <c r="T900" s="1526"/>
      <c r="U900" s="1526"/>
      <c r="V900" s="1526"/>
      <c r="W900" s="1526"/>
      <c r="X900" s="1526"/>
      <c r="Y900" s="1526"/>
      <c r="Z900" s="974"/>
      <c r="AA900" s="974"/>
      <c r="AB900" s="974"/>
      <c r="AC900" s="974"/>
      <c r="AD900" s="974"/>
      <c r="AE900" s="974"/>
    </row>
    <row r="901">
      <c r="A901" s="1526"/>
      <c r="B901" s="1526"/>
      <c r="C901" s="1526"/>
      <c r="D901" s="1526"/>
      <c r="E901" s="1526"/>
      <c r="F901" s="1526"/>
      <c r="G901" s="1526"/>
      <c r="H901" s="1526"/>
      <c r="I901" s="1526"/>
      <c r="J901" s="1526"/>
      <c r="K901" s="1526"/>
      <c r="L901" s="1526"/>
      <c r="M901" s="1526"/>
      <c r="N901" s="1526"/>
      <c r="O901" s="1526"/>
      <c r="P901" s="1526"/>
      <c r="Q901" s="1526"/>
      <c r="R901" s="1526"/>
      <c r="S901" s="1526"/>
      <c r="T901" s="1526"/>
      <c r="U901" s="1526"/>
      <c r="V901" s="1526"/>
      <c r="W901" s="1526"/>
      <c r="X901" s="1526"/>
      <c r="Y901" s="1526"/>
      <c r="Z901" s="974"/>
      <c r="AA901" s="974"/>
      <c r="AB901" s="974"/>
      <c r="AC901" s="974"/>
      <c r="AD901" s="974"/>
      <c r="AE901" s="974"/>
    </row>
    <row r="902">
      <c r="A902" s="1526"/>
      <c r="B902" s="1526"/>
      <c r="C902" s="1526"/>
      <c r="D902" s="1526"/>
      <c r="E902" s="1526"/>
      <c r="F902" s="1526"/>
      <c r="G902" s="1526"/>
      <c r="H902" s="1526"/>
      <c r="I902" s="1526"/>
      <c r="J902" s="1526"/>
      <c r="K902" s="1526"/>
      <c r="L902" s="1526"/>
      <c r="M902" s="1526"/>
      <c r="N902" s="1526"/>
      <c r="O902" s="1526"/>
      <c r="P902" s="1526"/>
      <c r="Q902" s="1526"/>
      <c r="R902" s="1526"/>
      <c r="S902" s="1526"/>
      <c r="T902" s="1526"/>
      <c r="U902" s="1526"/>
      <c r="V902" s="1526"/>
      <c r="W902" s="1526"/>
      <c r="X902" s="1526"/>
      <c r="Y902" s="1526"/>
      <c r="Z902" s="974"/>
      <c r="AA902" s="974"/>
      <c r="AB902" s="974"/>
      <c r="AC902" s="974"/>
      <c r="AD902" s="974"/>
      <c r="AE902" s="974"/>
    </row>
    <row r="903">
      <c r="A903" s="1526"/>
      <c r="B903" s="1526"/>
      <c r="C903" s="1526"/>
      <c r="D903" s="1526"/>
      <c r="E903" s="1526"/>
      <c r="F903" s="1526"/>
      <c r="G903" s="1526"/>
      <c r="H903" s="1526"/>
      <c r="I903" s="1526"/>
      <c r="J903" s="1526"/>
      <c r="K903" s="1526"/>
      <c r="L903" s="1526"/>
      <c r="M903" s="1526"/>
      <c r="N903" s="1526"/>
      <c r="O903" s="1526"/>
      <c r="P903" s="1526"/>
      <c r="Q903" s="1526"/>
      <c r="R903" s="1526"/>
      <c r="S903" s="1526"/>
      <c r="T903" s="1526"/>
      <c r="U903" s="1526"/>
      <c r="V903" s="1526"/>
      <c r="W903" s="1526"/>
      <c r="X903" s="1526"/>
      <c r="Y903" s="1526"/>
      <c r="Z903" s="974"/>
      <c r="AA903" s="974"/>
      <c r="AB903" s="974"/>
      <c r="AC903" s="974"/>
      <c r="AD903" s="974"/>
      <c r="AE903" s="974"/>
    </row>
    <row r="904">
      <c r="A904" s="1526"/>
      <c r="B904" s="1526"/>
      <c r="C904" s="1526"/>
      <c r="D904" s="1526"/>
      <c r="E904" s="1526"/>
      <c r="F904" s="1526"/>
      <c r="G904" s="1526"/>
      <c r="H904" s="1526"/>
      <c r="I904" s="1526"/>
      <c r="J904" s="1526"/>
      <c r="K904" s="1526"/>
      <c r="L904" s="1526"/>
      <c r="M904" s="1526"/>
      <c r="N904" s="1526"/>
      <c r="O904" s="1526"/>
      <c r="P904" s="1526"/>
      <c r="Q904" s="1526"/>
      <c r="R904" s="1526"/>
      <c r="S904" s="1526"/>
      <c r="T904" s="1526"/>
      <c r="U904" s="1526"/>
      <c r="V904" s="1526"/>
      <c r="W904" s="1526"/>
      <c r="X904" s="1526"/>
      <c r="Y904" s="1526"/>
      <c r="Z904" s="974"/>
      <c r="AA904" s="974"/>
      <c r="AB904" s="974"/>
      <c r="AC904" s="974"/>
      <c r="AD904" s="974"/>
      <c r="AE904" s="974"/>
    </row>
    <row r="905">
      <c r="A905" s="1526"/>
      <c r="B905" s="1526"/>
      <c r="C905" s="1526"/>
      <c r="D905" s="1526"/>
      <c r="E905" s="1526"/>
      <c r="F905" s="1526"/>
      <c r="G905" s="1526"/>
      <c r="H905" s="1526"/>
      <c r="I905" s="1526"/>
      <c r="J905" s="1526"/>
      <c r="K905" s="1526"/>
      <c r="L905" s="1526"/>
      <c r="M905" s="1526"/>
      <c r="N905" s="1526"/>
      <c r="O905" s="1526"/>
      <c r="P905" s="1526"/>
      <c r="Q905" s="1526"/>
      <c r="R905" s="1526"/>
      <c r="S905" s="1526"/>
      <c r="T905" s="1526"/>
      <c r="U905" s="1526"/>
      <c r="V905" s="1526"/>
      <c r="W905" s="1526"/>
      <c r="X905" s="1526"/>
      <c r="Y905" s="1526"/>
      <c r="Z905" s="974"/>
      <c r="AA905" s="974"/>
      <c r="AB905" s="974"/>
      <c r="AC905" s="974"/>
      <c r="AD905" s="974"/>
      <c r="AE905" s="974"/>
    </row>
    <row r="906">
      <c r="A906" s="1526"/>
      <c r="B906" s="1526"/>
      <c r="C906" s="1526"/>
      <c r="D906" s="1526"/>
      <c r="E906" s="1526"/>
      <c r="F906" s="1526"/>
      <c r="G906" s="1526"/>
      <c r="H906" s="1526"/>
      <c r="I906" s="1526"/>
      <c r="J906" s="1526"/>
      <c r="K906" s="1526"/>
      <c r="L906" s="1526"/>
      <c r="M906" s="1526"/>
      <c r="N906" s="1526"/>
      <c r="O906" s="1526"/>
      <c r="P906" s="1526"/>
      <c r="Q906" s="1526"/>
      <c r="R906" s="1526"/>
      <c r="S906" s="1526"/>
      <c r="T906" s="1526"/>
      <c r="U906" s="1526"/>
      <c r="V906" s="1526"/>
      <c r="W906" s="1526"/>
      <c r="X906" s="1526"/>
      <c r="Y906" s="1526"/>
      <c r="Z906" s="974"/>
      <c r="AA906" s="974"/>
      <c r="AB906" s="974"/>
      <c r="AC906" s="974"/>
      <c r="AD906" s="974"/>
      <c r="AE906" s="974"/>
    </row>
    <row r="907">
      <c r="A907" s="1526"/>
      <c r="B907" s="1526"/>
      <c r="C907" s="1526"/>
      <c r="D907" s="1526"/>
      <c r="E907" s="1526"/>
      <c r="F907" s="1526"/>
      <c r="G907" s="1526"/>
      <c r="H907" s="1526"/>
      <c r="I907" s="1526"/>
      <c r="J907" s="1526"/>
      <c r="K907" s="1526"/>
      <c r="L907" s="1526"/>
      <c r="M907" s="1526"/>
      <c r="N907" s="1526"/>
      <c r="O907" s="1526"/>
      <c r="P907" s="1526"/>
      <c r="Q907" s="1526"/>
      <c r="R907" s="1526"/>
      <c r="S907" s="1526"/>
      <c r="T907" s="1526"/>
      <c r="U907" s="1526"/>
      <c r="V907" s="1526"/>
      <c r="W907" s="1526"/>
      <c r="X907" s="1526"/>
      <c r="Y907" s="1526"/>
      <c r="Z907" s="974"/>
      <c r="AA907" s="974"/>
      <c r="AB907" s="974"/>
      <c r="AC907" s="974"/>
      <c r="AD907" s="974"/>
      <c r="AE907" s="974"/>
    </row>
    <row r="908">
      <c r="A908" s="1526"/>
      <c r="B908" s="1526"/>
      <c r="C908" s="1526"/>
      <c r="D908" s="1526"/>
      <c r="E908" s="1526"/>
      <c r="F908" s="1526"/>
      <c r="G908" s="1526"/>
      <c r="H908" s="1526"/>
      <c r="I908" s="1526"/>
      <c r="J908" s="1526"/>
      <c r="K908" s="1526"/>
      <c r="L908" s="1526"/>
      <c r="M908" s="1526"/>
      <c r="N908" s="1526"/>
      <c r="O908" s="1526"/>
      <c r="P908" s="1526"/>
      <c r="Q908" s="1526"/>
      <c r="R908" s="1526"/>
      <c r="S908" s="1526"/>
      <c r="T908" s="1526"/>
      <c r="U908" s="1526"/>
      <c r="V908" s="1526"/>
      <c r="W908" s="1526"/>
      <c r="X908" s="1526"/>
      <c r="Y908" s="1526"/>
      <c r="Z908" s="974"/>
      <c r="AA908" s="974"/>
      <c r="AB908" s="974"/>
      <c r="AC908" s="974"/>
      <c r="AD908" s="974"/>
      <c r="AE908" s="974"/>
    </row>
    <row r="909">
      <c r="A909" s="1526"/>
      <c r="B909" s="1526"/>
      <c r="C909" s="1526"/>
      <c r="D909" s="1526"/>
      <c r="E909" s="1526"/>
      <c r="F909" s="1526"/>
      <c r="G909" s="1526"/>
      <c r="H909" s="1526"/>
      <c r="I909" s="1526"/>
      <c r="J909" s="1526"/>
      <c r="K909" s="1526"/>
      <c r="L909" s="1526"/>
      <c r="M909" s="1526"/>
      <c r="N909" s="1526"/>
      <c r="O909" s="1526"/>
      <c r="P909" s="1526"/>
      <c r="Q909" s="1526"/>
      <c r="R909" s="1526"/>
      <c r="S909" s="1526"/>
      <c r="T909" s="1526"/>
      <c r="U909" s="1526"/>
      <c r="V909" s="1526"/>
      <c r="W909" s="1526"/>
      <c r="X909" s="1526"/>
      <c r="Y909" s="1526"/>
      <c r="Z909" s="974"/>
      <c r="AA909" s="974"/>
      <c r="AB909" s="974"/>
      <c r="AC909" s="974"/>
      <c r="AD909" s="974"/>
      <c r="AE909" s="974"/>
    </row>
    <row r="910">
      <c r="A910" s="1526"/>
      <c r="B910" s="1526"/>
      <c r="C910" s="1526"/>
      <c r="D910" s="1526"/>
      <c r="E910" s="1526"/>
      <c r="F910" s="1526"/>
      <c r="G910" s="1526"/>
      <c r="H910" s="1526"/>
      <c r="I910" s="1526"/>
      <c r="J910" s="1526"/>
      <c r="K910" s="1526"/>
      <c r="L910" s="1526"/>
      <c r="M910" s="1526"/>
      <c r="N910" s="1526"/>
      <c r="O910" s="1526"/>
      <c r="P910" s="1526"/>
      <c r="Q910" s="1526"/>
      <c r="R910" s="1526"/>
      <c r="S910" s="1526"/>
      <c r="T910" s="1526"/>
      <c r="U910" s="1526"/>
      <c r="V910" s="1526"/>
      <c r="W910" s="1526"/>
      <c r="X910" s="1526"/>
      <c r="Y910" s="1526"/>
      <c r="Z910" s="974"/>
      <c r="AA910" s="974"/>
      <c r="AB910" s="974"/>
      <c r="AC910" s="974"/>
      <c r="AD910" s="974"/>
      <c r="AE910" s="974"/>
    </row>
    <row r="911">
      <c r="A911" s="1526"/>
      <c r="B911" s="1526"/>
      <c r="C911" s="1526"/>
      <c r="D911" s="1526"/>
      <c r="E911" s="1526"/>
      <c r="F911" s="1526"/>
      <c r="G911" s="1526"/>
      <c r="H911" s="1526"/>
      <c r="I911" s="1526"/>
      <c r="J911" s="1526"/>
      <c r="K911" s="1526"/>
      <c r="L911" s="1526"/>
      <c r="M911" s="1526"/>
      <c r="N911" s="1526"/>
      <c r="O911" s="1526"/>
      <c r="P911" s="1526"/>
      <c r="Q911" s="1526"/>
      <c r="R911" s="1526"/>
      <c r="S911" s="1526"/>
      <c r="T911" s="1526"/>
      <c r="U911" s="1526"/>
      <c r="V911" s="1526"/>
      <c r="W911" s="1526"/>
      <c r="X911" s="1526"/>
      <c r="Y911" s="1526"/>
      <c r="Z911" s="974"/>
      <c r="AA911" s="974"/>
      <c r="AB911" s="974"/>
      <c r="AC911" s="974"/>
      <c r="AD911" s="974"/>
      <c r="AE911" s="974"/>
    </row>
    <row r="912">
      <c r="A912" s="1526"/>
      <c r="B912" s="1526"/>
      <c r="C912" s="1526"/>
      <c r="D912" s="1526"/>
      <c r="E912" s="1526"/>
      <c r="F912" s="1526"/>
      <c r="G912" s="1526"/>
      <c r="H912" s="1526"/>
      <c r="I912" s="1526"/>
      <c r="J912" s="1526"/>
      <c r="K912" s="1526"/>
      <c r="L912" s="1526"/>
      <c r="M912" s="1526"/>
      <c r="N912" s="1526"/>
      <c r="O912" s="1526"/>
      <c r="P912" s="1526"/>
      <c r="Q912" s="1526"/>
      <c r="R912" s="1526"/>
      <c r="S912" s="1526"/>
      <c r="T912" s="1526"/>
      <c r="U912" s="1526"/>
      <c r="V912" s="1526"/>
      <c r="W912" s="1526"/>
      <c r="X912" s="1526"/>
      <c r="Y912" s="1526"/>
      <c r="Z912" s="974"/>
      <c r="AA912" s="974"/>
      <c r="AB912" s="974"/>
      <c r="AC912" s="974"/>
      <c r="AD912" s="974"/>
      <c r="AE912" s="974"/>
    </row>
    <row r="913">
      <c r="A913" s="1526"/>
      <c r="B913" s="1526"/>
      <c r="C913" s="1526"/>
      <c r="D913" s="1526"/>
      <c r="E913" s="1526"/>
      <c r="F913" s="1526"/>
      <c r="G913" s="1526"/>
      <c r="H913" s="1526"/>
      <c r="I913" s="1526"/>
      <c r="J913" s="1526"/>
      <c r="K913" s="1526"/>
      <c r="L913" s="1526"/>
      <c r="M913" s="1526"/>
      <c r="N913" s="1526"/>
      <c r="O913" s="1526"/>
      <c r="P913" s="1526"/>
      <c r="Q913" s="1526"/>
      <c r="R913" s="1526"/>
      <c r="S913" s="1526"/>
      <c r="T913" s="1526"/>
      <c r="U913" s="1526"/>
      <c r="V913" s="1526"/>
      <c r="W913" s="1526"/>
      <c r="X913" s="1526"/>
      <c r="Y913" s="1526"/>
      <c r="Z913" s="974"/>
      <c r="AA913" s="974"/>
      <c r="AB913" s="974"/>
      <c r="AC913" s="974"/>
      <c r="AD913" s="974"/>
      <c r="AE913" s="974"/>
    </row>
    <row r="914">
      <c r="A914" s="1526"/>
      <c r="B914" s="1526"/>
      <c r="C914" s="1526"/>
      <c r="D914" s="1526"/>
      <c r="E914" s="1526"/>
      <c r="F914" s="1526"/>
      <c r="G914" s="1526"/>
      <c r="H914" s="1526"/>
      <c r="I914" s="1526"/>
      <c r="J914" s="1526"/>
      <c r="K914" s="1526"/>
      <c r="L914" s="1526"/>
      <c r="M914" s="1526"/>
      <c r="N914" s="1526"/>
      <c r="O914" s="1526"/>
      <c r="P914" s="1526"/>
      <c r="Q914" s="1526"/>
      <c r="R914" s="1526"/>
      <c r="S914" s="1526"/>
      <c r="T914" s="1526"/>
      <c r="U914" s="1526"/>
      <c r="V914" s="1526"/>
      <c r="W914" s="1526"/>
      <c r="X914" s="1526"/>
      <c r="Y914" s="1526"/>
      <c r="Z914" s="974"/>
      <c r="AA914" s="974"/>
      <c r="AB914" s="974"/>
      <c r="AC914" s="974"/>
      <c r="AD914" s="974"/>
      <c r="AE914" s="974"/>
    </row>
    <row r="915">
      <c r="A915" s="1526"/>
      <c r="B915" s="1526"/>
      <c r="C915" s="1526"/>
      <c r="D915" s="1526"/>
      <c r="E915" s="1526"/>
      <c r="F915" s="1526"/>
      <c r="G915" s="1526"/>
      <c r="H915" s="1526"/>
      <c r="I915" s="1526"/>
      <c r="J915" s="1526"/>
      <c r="K915" s="1526"/>
      <c r="L915" s="1526"/>
      <c r="M915" s="1526"/>
      <c r="N915" s="1526"/>
      <c r="O915" s="1526"/>
      <c r="P915" s="1526"/>
      <c r="Q915" s="1526"/>
      <c r="R915" s="1526"/>
      <c r="S915" s="1526"/>
      <c r="T915" s="1526"/>
      <c r="U915" s="1526"/>
      <c r="V915" s="1526"/>
      <c r="W915" s="1526"/>
      <c r="X915" s="1526"/>
      <c r="Y915" s="1526"/>
      <c r="Z915" s="974"/>
      <c r="AA915" s="974"/>
      <c r="AB915" s="974"/>
      <c r="AC915" s="974"/>
      <c r="AD915" s="974"/>
      <c r="AE915" s="974"/>
    </row>
    <row r="916">
      <c r="A916" s="1526"/>
      <c r="B916" s="1526"/>
      <c r="C916" s="1526"/>
      <c r="D916" s="1526"/>
      <c r="E916" s="1526"/>
      <c r="F916" s="1526"/>
      <c r="G916" s="1526"/>
      <c r="H916" s="1526"/>
      <c r="I916" s="1526"/>
      <c r="J916" s="1526"/>
      <c r="K916" s="1526"/>
      <c r="L916" s="1526"/>
      <c r="M916" s="1526"/>
      <c r="N916" s="1526"/>
      <c r="O916" s="1526"/>
      <c r="P916" s="1526"/>
      <c r="Q916" s="1526"/>
      <c r="R916" s="1526"/>
      <c r="S916" s="1526"/>
      <c r="T916" s="1526"/>
      <c r="U916" s="1526"/>
      <c r="V916" s="1526"/>
      <c r="W916" s="1526"/>
      <c r="X916" s="1526"/>
      <c r="Y916" s="1526"/>
      <c r="Z916" s="974"/>
      <c r="AA916" s="974"/>
      <c r="AB916" s="974"/>
      <c r="AC916" s="974"/>
      <c r="AD916" s="974"/>
      <c r="AE916" s="974"/>
    </row>
    <row r="917">
      <c r="A917" s="1526"/>
      <c r="B917" s="1526"/>
      <c r="C917" s="1526"/>
      <c r="D917" s="1526"/>
      <c r="E917" s="1526"/>
      <c r="F917" s="1526"/>
      <c r="G917" s="1526"/>
      <c r="H917" s="1526"/>
      <c r="I917" s="1526"/>
      <c r="J917" s="1526"/>
      <c r="K917" s="1526"/>
      <c r="L917" s="1526"/>
      <c r="M917" s="1526"/>
      <c r="N917" s="1526"/>
      <c r="O917" s="1526"/>
      <c r="P917" s="1526"/>
      <c r="Q917" s="1526"/>
      <c r="R917" s="1526"/>
      <c r="S917" s="1526"/>
      <c r="T917" s="1526"/>
      <c r="U917" s="1526"/>
      <c r="V917" s="1526"/>
      <c r="W917" s="1526"/>
      <c r="X917" s="1526"/>
      <c r="Y917" s="1526"/>
      <c r="Z917" s="974"/>
      <c r="AA917" s="974"/>
      <c r="AB917" s="974"/>
      <c r="AC917" s="974"/>
      <c r="AD917" s="974"/>
      <c r="AE917" s="974"/>
    </row>
    <row r="918">
      <c r="A918" s="1526"/>
      <c r="B918" s="1526"/>
      <c r="C918" s="1526"/>
      <c r="D918" s="1526"/>
      <c r="E918" s="1526"/>
      <c r="F918" s="1526"/>
      <c r="G918" s="1526"/>
      <c r="H918" s="1526"/>
      <c r="I918" s="1526"/>
      <c r="J918" s="1526"/>
      <c r="K918" s="1526"/>
      <c r="L918" s="1526"/>
      <c r="M918" s="1526"/>
      <c r="N918" s="1526"/>
      <c r="O918" s="1526"/>
      <c r="P918" s="1526"/>
      <c r="Q918" s="1526"/>
      <c r="R918" s="1526"/>
      <c r="S918" s="1526"/>
      <c r="T918" s="1526"/>
      <c r="U918" s="1526"/>
      <c r="V918" s="1526"/>
      <c r="W918" s="1526"/>
      <c r="X918" s="1526"/>
      <c r="Y918" s="1526"/>
      <c r="Z918" s="974"/>
      <c r="AA918" s="974"/>
      <c r="AB918" s="974"/>
      <c r="AC918" s="974"/>
      <c r="AD918" s="974"/>
      <c r="AE918" s="974"/>
    </row>
    <row r="919">
      <c r="A919" s="1526"/>
      <c r="B919" s="1526"/>
      <c r="C919" s="1526"/>
      <c r="D919" s="1526"/>
      <c r="E919" s="1526"/>
      <c r="F919" s="1526"/>
      <c r="G919" s="1526"/>
      <c r="H919" s="1526"/>
      <c r="I919" s="1526"/>
      <c r="J919" s="1526"/>
      <c r="K919" s="1526"/>
      <c r="L919" s="1526"/>
      <c r="M919" s="1526"/>
      <c r="N919" s="1526"/>
      <c r="O919" s="1526"/>
      <c r="P919" s="1526"/>
      <c r="Q919" s="1526"/>
      <c r="R919" s="1526"/>
      <c r="S919" s="1526"/>
      <c r="T919" s="1526"/>
      <c r="U919" s="1526"/>
      <c r="V919" s="1526"/>
      <c r="W919" s="1526"/>
      <c r="X919" s="1526"/>
      <c r="Y919" s="1526"/>
      <c r="Z919" s="974"/>
      <c r="AA919" s="974"/>
      <c r="AB919" s="974"/>
      <c r="AC919" s="974"/>
      <c r="AD919" s="974"/>
      <c r="AE919" s="974"/>
    </row>
    <row r="920">
      <c r="A920" s="1526"/>
      <c r="B920" s="1526"/>
      <c r="C920" s="1526"/>
      <c r="D920" s="1526"/>
      <c r="E920" s="1526"/>
      <c r="F920" s="1526"/>
      <c r="G920" s="1526"/>
      <c r="H920" s="1526"/>
      <c r="I920" s="1526"/>
      <c r="J920" s="1526"/>
      <c r="K920" s="1526"/>
      <c r="L920" s="1526"/>
      <c r="M920" s="1526"/>
      <c r="N920" s="1526"/>
      <c r="O920" s="1526"/>
      <c r="P920" s="1526"/>
      <c r="Q920" s="1526"/>
      <c r="R920" s="1526"/>
      <c r="S920" s="1526"/>
      <c r="T920" s="1526"/>
      <c r="U920" s="1526"/>
      <c r="V920" s="1526"/>
      <c r="W920" s="1526"/>
      <c r="X920" s="1526"/>
      <c r="Y920" s="1526"/>
      <c r="Z920" s="974"/>
      <c r="AA920" s="974"/>
      <c r="AB920" s="974"/>
      <c r="AC920" s="974"/>
      <c r="AD920" s="974"/>
      <c r="AE920" s="974"/>
    </row>
    <row r="921">
      <c r="A921" s="1526"/>
      <c r="B921" s="1526"/>
      <c r="C921" s="1526"/>
      <c r="D921" s="1526"/>
      <c r="E921" s="1526"/>
      <c r="F921" s="1526"/>
      <c r="G921" s="1526"/>
      <c r="H921" s="1526"/>
      <c r="I921" s="1526"/>
      <c r="J921" s="1526"/>
      <c r="K921" s="1526"/>
      <c r="L921" s="1526"/>
      <c r="M921" s="1526"/>
      <c r="N921" s="1526"/>
      <c r="O921" s="1526"/>
      <c r="P921" s="1526"/>
      <c r="Q921" s="1526"/>
      <c r="R921" s="1526"/>
      <c r="S921" s="1526"/>
      <c r="T921" s="1526"/>
      <c r="U921" s="1526"/>
      <c r="V921" s="1526"/>
      <c r="W921" s="1526"/>
      <c r="X921" s="1526"/>
      <c r="Y921" s="1526"/>
      <c r="Z921" s="974"/>
      <c r="AA921" s="974"/>
      <c r="AB921" s="974"/>
      <c r="AC921" s="974"/>
      <c r="AD921" s="974"/>
      <c r="AE921" s="974"/>
    </row>
    <row r="922">
      <c r="A922" s="1526"/>
      <c r="B922" s="1526"/>
      <c r="C922" s="1526"/>
      <c r="D922" s="1526"/>
      <c r="E922" s="1526"/>
      <c r="F922" s="1526"/>
      <c r="G922" s="1526"/>
      <c r="H922" s="1526"/>
      <c r="I922" s="1526"/>
      <c r="J922" s="1526"/>
      <c r="K922" s="1526"/>
      <c r="L922" s="1526"/>
      <c r="M922" s="1526"/>
      <c r="N922" s="1526"/>
      <c r="O922" s="1526"/>
      <c r="P922" s="1526"/>
      <c r="Q922" s="1526"/>
      <c r="R922" s="1526"/>
      <c r="S922" s="1526"/>
      <c r="T922" s="1526"/>
      <c r="U922" s="1526"/>
      <c r="V922" s="1526"/>
      <c r="W922" s="1526"/>
      <c r="X922" s="1526"/>
      <c r="Y922" s="1526"/>
      <c r="Z922" s="974"/>
      <c r="AA922" s="974"/>
      <c r="AB922" s="974"/>
      <c r="AC922" s="974"/>
      <c r="AD922" s="974"/>
      <c r="AE922" s="974"/>
    </row>
    <row r="923">
      <c r="A923" s="1526"/>
      <c r="B923" s="1526"/>
      <c r="C923" s="1526"/>
      <c r="D923" s="1526"/>
      <c r="E923" s="1526"/>
      <c r="F923" s="1526"/>
      <c r="G923" s="1526"/>
      <c r="H923" s="1526"/>
      <c r="I923" s="1526"/>
      <c r="J923" s="1526"/>
      <c r="K923" s="1526"/>
      <c r="L923" s="1526"/>
      <c r="M923" s="1526"/>
      <c r="N923" s="1526"/>
      <c r="O923" s="1526"/>
      <c r="P923" s="1526"/>
      <c r="Q923" s="1526"/>
      <c r="R923" s="1526"/>
      <c r="S923" s="1526"/>
      <c r="T923" s="1526"/>
      <c r="U923" s="1526"/>
      <c r="V923" s="1526"/>
      <c r="W923" s="1526"/>
      <c r="X923" s="1526"/>
      <c r="Y923" s="1526"/>
      <c r="Z923" s="974"/>
      <c r="AA923" s="974"/>
      <c r="AB923" s="974"/>
      <c r="AC923" s="974"/>
      <c r="AD923" s="974"/>
      <c r="AE923" s="974"/>
    </row>
    <row r="924">
      <c r="A924" s="1526"/>
      <c r="B924" s="1526"/>
      <c r="C924" s="1526"/>
      <c r="D924" s="1526"/>
      <c r="E924" s="1526"/>
      <c r="F924" s="1526"/>
      <c r="G924" s="1526"/>
      <c r="H924" s="1526"/>
      <c r="I924" s="1526"/>
      <c r="J924" s="1526"/>
      <c r="K924" s="1526"/>
      <c r="L924" s="1526"/>
      <c r="M924" s="1526"/>
      <c r="N924" s="1526"/>
      <c r="O924" s="1526"/>
      <c r="P924" s="1526"/>
      <c r="Q924" s="1526"/>
      <c r="R924" s="1526"/>
      <c r="S924" s="1526"/>
      <c r="T924" s="1526"/>
      <c r="U924" s="1526"/>
      <c r="V924" s="1526"/>
      <c r="W924" s="1526"/>
      <c r="X924" s="1526"/>
      <c r="Y924" s="1526"/>
      <c r="Z924" s="974"/>
      <c r="AA924" s="974"/>
      <c r="AB924" s="974"/>
      <c r="AC924" s="974"/>
      <c r="AD924" s="974"/>
      <c r="AE924" s="974"/>
    </row>
    <row r="925">
      <c r="A925" s="1526"/>
      <c r="B925" s="1526"/>
      <c r="C925" s="1526"/>
      <c r="D925" s="1526"/>
      <c r="E925" s="1526"/>
      <c r="F925" s="1526"/>
      <c r="G925" s="1526"/>
      <c r="H925" s="1526"/>
      <c r="I925" s="1526"/>
      <c r="J925" s="1526"/>
      <c r="K925" s="1526"/>
      <c r="L925" s="1526"/>
      <c r="M925" s="1526"/>
      <c r="N925" s="1526"/>
      <c r="O925" s="1526"/>
      <c r="P925" s="1526"/>
      <c r="Q925" s="1526"/>
      <c r="R925" s="1526"/>
      <c r="S925" s="1526"/>
      <c r="T925" s="1526"/>
      <c r="U925" s="1526"/>
      <c r="V925" s="1526"/>
      <c r="W925" s="1526"/>
      <c r="X925" s="1526"/>
      <c r="Y925" s="1526"/>
      <c r="Z925" s="974"/>
      <c r="AA925" s="974"/>
      <c r="AB925" s="974"/>
      <c r="AC925" s="974"/>
      <c r="AD925" s="974"/>
      <c r="AE925" s="974"/>
    </row>
    <row r="926">
      <c r="A926" s="1526"/>
      <c r="B926" s="1526"/>
      <c r="C926" s="1526"/>
      <c r="D926" s="1526"/>
      <c r="E926" s="1526"/>
      <c r="F926" s="1526"/>
      <c r="G926" s="1526"/>
      <c r="H926" s="1526"/>
      <c r="I926" s="1526"/>
      <c r="J926" s="1526"/>
      <c r="K926" s="1526"/>
      <c r="L926" s="1526"/>
      <c r="M926" s="1526"/>
      <c r="N926" s="1526"/>
      <c r="O926" s="1526"/>
      <c r="P926" s="1526"/>
      <c r="Q926" s="1526"/>
      <c r="R926" s="1526"/>
      <c r="S926" s="1526"/>
      <c r="T926" s="1526"/>
      <c r="U926" s="1526"/>
      <c r="V926" s="1526"/>
      <c r="W926" s="1526"/>
      <c r="X926" s="1526"/>
      <c r="Y926" s="1526"/>
      <c r="Z926" s="974"/>
      <c r="AA926" s="974"/>
      <c r="AB926" s="974"/>
      <c r="AC926" s="974"/>
      <c r="AD926" s="974"/>
      <c r="AE926" s="974"/>
    </row>
    <row r="927">
      <c r="A927" s="1526"/>
      <c r="B927" s="1526"/>
      <c r="C927" s="1526"/>
      <c r="D927" s="1526"/>
      <c r="E927" s="1526"/>
      <c r="F927" s="1526"/>
      <c r="G927" s="1526"/>
      <c r="H927" s="1526"/>
      <c r="I927" s="1526"/>
      <c r="J927" s="1526"/>
      <c r="K927" s="1526"/>
      <c r="L927" s="1526"/>
      <c r="M927" s="1526"/>
      <c r="N927" s="1526"/>
      <c r="O927" s="1526"/>
      <c r="P927" s="1526"/>
      <c r="Q927" s="1526"/>
      <c r="R927" s="1526"/>
      <c r="S927" s="1526"/>
      <c r="T927" s="1526"/>
      <c r="U927" s="1526"/>
      <c r="V927" s="1526"/>
      <c r="W927" s="1526"/>
      <c r="X927" s="1526"/>
      <c r="Y927" s="1526"/>
      <c r="Z927" s="974"/>
      <c r="AA927" s="974"/>
      <c r="AB927" s="974"/>
      <c r="AC927" s="974"/>
      <c r="AD927" s="974"/>
      <c r="AE927" s="974"/>
    </row>
    <row r="928">
      <c r="A928" s="1526"/>
      <c r="B928" s="1526"/>
      <c r="C928" s="1526"/>
      <c r="D928" s="1526"/>
      <c r="E928" s="1526"/>
      <c r="F928" s="1526"/>
      <c r="G928" s="1526"/>
      <c r="H928" s="1526"/>
      <c r="I928" s="1526"/>
      <c r="J928" s="1526"/>
      <c r="K928" s="1526"/>
      <c r="L928" s="1526"/>
      <c r="M928" s="1526"/>
      <c r="N928" s="1526"/>
      <c r="O928" s="1526"/>
      <c r="P928" s="1526"/>
      <c r="Q928" s="1526"/>
      <c r="R928" s="1526"/>
      <c r="S928" s="1526"/>
      <c r="T928" s="1526"/>
      <c r="U928" s="1526"/>
      <c r="V928" s="1526"/>
      <c r="W928" s="1526"/>
      <c r="X928" s="1526"/>
      <c r="Y928" s="1526"/>
      <c r="Z928" s="974"/>
      <c r="AA928" s="974"/>
      <c r="AB928" s="974"/>
      <c r="AC928" s="974"/>
      <c r="AD928" s="974"/>
      <c r="AE928" s="974"/>
    </row>
    <row r="929">
      <c r="A929" s="1526"/>
      <c r="B929" s="1526"/>
      <c r="C929" s="1526"/>
      <c r="D929" s="1526"/>
      <c r="E929" s="1526"/>
      <c r="F929" s="1526"/>
      <c r="G929" s="1526"/>
      <c r="H929" s="1526"/>
      <c r="I929" s="1526"/>
      <c r="J929" s="1526"/>
      <c r="K929" s="1526"/>
      <c r="L929" s="1526"/>
      <c r="M929" s="1526"/>
      <c r="N929" s="1526"/>
      <c r="O929" s="1526"/>
      <c r="P929" s="1526"/>
      <c r="Q929" s="1526"/>
      <c r="R929" s="1526"/>
      <c r="S929" s="1526"/>
      <c r="T929" s="1526"/>
      <c r="U929" s="1526"/>
      <c r="V929" s="1526"/>
      <c r="W929" s="1526"/>
      <c r="X929" s="1526"/>
      <c r="Y929" s="1526"/>
      <c r="Z929" s="974"/>
      <c r="AA929" s="974"/>
      <c r="AB929" s="974"/>
      <c r="AC929" s="974"/>
      <c r="AD929" s="974"/>
      <c r="AE929" s="974"/>
    </row>
    <row r="930">
      <c r="A930" s="1526"/>
      <c r="B930" s="1526"/>
      <c r="C930" s="1526"/>
      <c r="D930" s="1526"/>
      <c r="E930" s="1526"/>
      <c r="F930" s="1526"/>
      <c r="G930" s="1526"/>
      <c r="H930" s="1526"/>
      <c r="I930" s="1526"/>
      <c r="J930" s="1526"/>
      <c r="K930" s="1526"/>
      <c r="L930" s="1526"/>
      <c r="M930" s="1526"/>
      <c r="N930" s="1526"/>
      <c r="O930" s="1526"/>
      <c r="P930" s="1526"/>
      <c r="Q930" s="1526"/>
      <c r="R930" s="1526"/>
      <c r="S930" s="1526"/>
      <c r="T930" s="1526"/>
      <c r="U930" s="1526"/>
      <c r="V930" s="1526"/>
      <c r="W930" s="1526"/>
      <c r="X930" s="1526"/>
      <c r="Y930" s="1526"/>
      <c r="Z930" s="974"/>
      <c r="AA930" s="974"/>
      <c r="AB930" s="974"/>
      <c r="AC930" s="974"/>
      <c r="AD930" s="974"/>
      <c r="AE930" s="974"/>
    </row>
    <row r="931">
      <c r="A931" s="1526"/>
      <c r="B931" s="1526"/>
      <c r="C931" s="1526"/>
      <c r="D931" s="1526"/>
      <c r="E931" s="1526"/>
      <c r="F931" s="1526"/>
      <c r="G931" s="1526"/>
      <c r="H931" s="1526"/>
      <c r="I931" s="1526"/>
      <c r="J931" s="1526"/>
      <c r="K931" s="1526"/>
      <c r="L931" s="1526"/>
      <c r="M931" s="1526"/>
      <c r="N931" s="1526"/>
      <c r="O931" s="1526"/>
      <c r="P931" s="1526"/>
      <c r="Q931" s="1526"/>
      <c r="R931" s="1526"/>
      <c r="S931" s="1526"/>
      <c r="T931" s="1526"/>
      <c r="U931" s="1526"/>
      <c r="V931" s="1526"/>
      <c r="W931" s="1526"/>
      <c r="X931" s="1526"/>
      <c r="Y931" s="1526"/>
      <c r="Z931" s="974"/>
      <c r="AA931" s="974"/>
      <c r="AB931" s="974"/>
      <c r="AC931" s="974"/>
      <c r="AD931" s="974"/>
      <c r="AE931" s="974"/>
    </row>
    <row r="932">
      <c r="A932" s="1526"/>
      <c r="B932" s="1526"/>
      <c r="C932" s="1526"/>
      <c r="D932" s="1526"/>
      <c r="E932" s="1526"/>
      <c r="F932" s="1526"/>
      <c r="G932" s="1526"/>
      <c r="H932" s="1526"/>
      <c r="I932" s="1526"/>
      <c r="J932" s="1526"/>
      <c r="K932" s="1526"/>
      <c r="L932" s="1526"/>
      <c r="M932" s="1526"/>
      <c r="N932" s="1526"/>
      <c r="O932" s="1526"/>
      <c r="P932" s="1526"/>
      <c r="Q932" s="1526"/>
      <c r="R932" s="1526"/>
      <c r="S932" s="1526"/>
      <c r="T932" s="1526"/>
      <c r="U932" s="1526"/>
      <c r="V932" s="1526"/>
      <c r="W932" s="1526"/>
      <c r="X932" s="1526"/>
      <c r="Y932" s="1526"/>
      <c r="Z932" s="974"/>
      <c r="AA932" s="974"/>
      <c r="AB932" s="974"/>
      <c r="AC932" s="974"/>
      <c r="AD932" s="974"/>
      <c r="AE932" s="974"/>
    </row>
    <row r="933">
      <c r="A933" s="1526"/>
      <c r="B933" s="1526"/>
      <c r="C933" s="1526"/>
      <c r="D933" s="1526"/>
      <c r="E933" s="1526"/>
      <c r="F933" s="1526"/>
      <c r="G933" s="1526"/>
      <c r="H933" s="1526"/>
      <c r="I933" s="1526"/>
      <c r="J933" s="1526"/>
      <c r="K933" s="1526"/>
      <c r="L933" s="1526"/>
      <c r="M933" s="1526"/>
      <c r="N933" s="1526"/>
      <c r="O933" s="1526"/>
      <c r="P933" s="1526"/>
      <c r="Q933" s="1526"/>
      <c r="R933" s="1526"/>
      <c r="S933" s="1526"/>
      <c r="T933" s="1526"/>
      <c r="U933" s="1526"/>
      <c r="V933" s="1526"/>
      <c r="W933" s="1526"/>
      <c r="X933" s="1526"/>
      <c r="Y933" s="1526"/>
      <c r="Z933" s="974"/>
      <c r="AA933" s="974"/>
      <c r="AB933" s="974"/>
      <c r="AC933" s="974"/>
      <c r="AD933" s="974"/>
      <c r="AE933" s="974"/>
    </row>
    <row r="934">
      <c r="A934" s="1526"/>
      <c r="B934" s="1526"/>
      <c r="C934" s="1526"/>
      <c r="D934" s="1526"/>
      <c r="E934" s="1526"/>
      <c r="F934" s="1526"/>
      <c r="G934" s="1526"/>
      <c r="H934" s="1526"/>
      <c r="I934" s="1526"/>
      <c r="J934" s="1526"/>
      <c r="K934" s="1526"/>
      <c r="L934" s="1526"/>
      <c r="M934" s="1526"/>
      <c r="N934" s="1526"/>
      <c r="O934" s="1526"/>
      <c r="P934" s="1526"/>
      <c r="Q934" s="1526"/>
      <c r="R934" s="1526"/>
      <c r="S934" s="1526"/>
      <c r="T934" s="1526"/>
      <c r="U934" s="1526"/>
      <c r="V934" s="1526"/>
      <c r="W934" s="1526"/>
      <c r="X934" s="1526"/>
      <c r="Y934" s="1526"/>
      <c r="Z934" s="974"/>
      <c r="AA934" s="974"/>
      <c r="AB934" s="974"/>
      <c r="AC934" s="974"/>
      <c r="AD934" s="974"/>
      <c r="AE934" s="974"/>
    </row>
    <row r="935">
      <c r="A935" s="1526"/>
      <c r="B935" s="1526"/>
      <c r="C935" s="1526"/>
      <c r="D935" s="1526"/>
      <c r="E935" s="1526"/>
      <c r="F935" s="1526"/>
      <c r="G935" s="1526"/>
      <c r="H935" s="1526"/>
      <c r="I935" s="1526"/>
      <c r="J935" s="1526"/>
      <c r="K935" s="1526"/>
      <c r="L935" s="1526"/>
      <c r="M935" s="1526"/>
      <c r="N935" s="1526"/>
      <c r="O935" s="1526"/>
      <c r="P935" s="1526"/>
      <c r="Q935" s="1526"/>
      <c r="R935" s="1526"/>
      <c r="S935" s="1526"/>
      <c r="T935" s="1526"/>
      <c r="U935" s="1526"/>
      <c r="V935" s="1526"/>
      <c r="W935" s="1526"/>
      <c r="X935" s="1526"/>
      <c r="Y935" s="1526"/>
      <c r="Z935" s="974"/>
      <c r="AA935" s="974"/>
      <c r="AB935" s="974"/>
      <c r="AC935" s="974"/>
      <c r="AD935" s="974"/>
      <c r="AE935" s="974"/>
    </row>
    <row r="936">
      <c r="A936" s="1526"/>
      <c r="B936" s="1526"/>
      <c r="C936" s="1526"/>
      <c r="D936" s="1526"/>
      <c r="E936" s="1526"/>
      <c r="F936" s="1526"/>
      <c r="G936" s="1526"/>
      <c r="H936" s="1526"/>
      <c r="I936" s="1526"/>
      <c r="J936" s="1526"/>
      <c r="K936" s="1526"/>
      <c r="L936" s="1526"/>
      <c r="M936" s="1526"/>
      <c r="N936" s="1526"/>
      <c r="O936" s="1526"/>
      <c r="P936" s="1526"/>
      <c r="Q936" s="1526"/>
      <c r="R936" s="1526"/>
      <c r="S936" s="1526"/>
      <c r="T936" s="1526"/>
      <c r="U936" s="1526"/>
      <c r="V936" s="1526"/>
      <c r="W936" s="1526"/>
      <c r="X936" s="1526"/>
      <c r="Y936" s="1526"/>
      <c r="Z936" s="974"/>
      <c r="AA936" s="974"/>
      <c r="AB936" s="974"/>
      <c r="AC936" s="974"/>
      <c r="AD936" s="974"/>
      <c r="AE936" s="974"/>
    </row>
    <row r="937">
      <c r="A937" s="1526"/>
      <c r="B937" s="1526"/>
      <c r="C937" s="1526"/>
      <c r="D937" s="1526"/>
      <c r="E937" s="1526"/>
      <c r="F937" s="1526"/>
      <c r="G937" s="1526"/>
      <c r="H937" s="1526"/>
      <c r="I937" s="1526"/>
      <c r="J937" s="1526"/>
      <c r="K937" s="1526"/>
      <c r="L937" s="1526"/>
      <c r="M937" s="1526"/>
      <c r="N937" s="1526"/>
      <c r="O937" s="1526"/>
      <c r="P937" s="1526"/>
      <c r="Q937" s="1526"/>
      <c r="R937" s="1526"/>
      <c r="S937" s="1526"/>
      <c r="T937" s="1526"/>
      <c r="U937" s="1526"/>
      <c r="V937" s="1526"/>
      <c r="W937" s="1526"/>
      <c r="X937" s="1526"/>
      <c r="Y937" s="1526"/>
      <c r="Z937" s="974"/>
      <c r="AA937" s="974"/>
      <c r="AB937" s="974"/>
      <c r="AC937" s="974"/>
      <c r="AD937" s="974"/>
      <c r="AE937" s="974"/>
    </row>
    <row r="938">
      <c r="A938" s="1526"/>
      <c r="B938" s="1526"/>
      <c r="C938" s="1526"/>
      <c r="D938" s="1526"/>
      <c r="E938" s="1526"/>
      <c r="F938" s="1526"/>
      <c r="G938" s="1526"/>
      <c r="H938" s="1526"/>
      <c r="I938" s="1526"/>
      <c r="J938" s="1526"/>
      <c r="K938" s="1526"/>
      <c r="L938" s="1526"/>
      <c r="M938" s="1526"/>
      <c r="N938" s="1526"/>
      <c r="O938" s="1526"/>
      <c r="P938" s="1526"/>
      <c r="Q938" s="1526"/>
      <c r="R938" s="1526"/>
      <c r="S938" s="1526"/>
      <c r="T938" s="1526"/>
      <c r="U938" s="1526"/>
      <c r="V938" s="1526"/>
      <c r="W938" s="1526"/>
      <c r="X938" s="1526"/>
      <c r="Y938" s="1526"/>
      <c r="Z938" s="974"/>
      <c r="AA938" s="974"/>
      <c r="AB938" s="974"/>
      <c r="AC938" s="974"/>
      <c r="AD938" s="974"/>
      <c r="AE938" s="974"/>
    </row>
    <row r="939">
      <c r="A939" s="1526"/>
      <c r="B939" s="1526"/>
      <c r="C939" s="1526"/>
      <c r="D939" s="1526"/>
      <c r="E939" s="1526"/>
      <c r="F939" s="1526"/>
      <c r="G939" s="1526"/>
      <c r="H939" s="1526"/>
      <c r="I939" s="1526"/>
      <c r="J939" s="1526"/>
      <c r="K939" s="1526"/>
      <c r="L939" s="1526"/>
      <c r="M939" s="1526"/>
      <c r="N939" s="1526"/>
      <c r="O939" s="1526"/>
      <c r="P939" s="1526"/>
      <c r="Q939" s="1526"/>
      <c r="R939" s="1526"/>
      <c r="S939" s="1526"/>
      <c r="T939" s="1526"/>
      <c r="U939" s="1526"/>
      <c r="V939" s="1526"/>
      <c r="W939" s="1526"/>
      <c r="X939" s="1526"/>
      <c r="Y939" s="1526"/>
      <c r="Z939" s="974"/>
      <c r="AA939" s="974"/>
      <c r="AB939" s="974"/>
      <c r="AC939" s="974"/>
      <c r="AD939" s="974"/>
      <c r="AE939" s="974"/>
    </row>
    <row r="940">
      <c r="A940" s="1526"/>
      <c r="B940" s="1526"/>
      <c r="C940" s="1526"/>
      <c r="D940" s="1526"/>
      <c r="E940" s="1526"/>
      <c r="F940" s="1526"/>
      <c r="G940" s="1526"/>
      <c r="H940" s="1526"/>
      <c r="I940" s="1526"/>
      <c r="J940" s="1526"/>
      <c r="K940" s="1526"/>
      <c r="L940" s="1526"/>
      <c r="M940" s="1526"/>
      <c r="N940" s="1526"/>
      <c r="O940" s="1526"/>
      <c r="P940" s="1526"/>
      <c r="Q940" s="1526"/>
      <c r="R940" s="1526"/>
      <c r="S940" s="1526"/>
      <c r="T940" s="1526"/>
      <c r="U940" s="1526"/>
      <c r="V940" s="1526"/>
      <c r="W940" s="1526"/>
      <c r="X940" s="1526"/>
      <c r="Y940" s="1526"/>
      <c r="Z940" s="974"/>
      <c r="AA940" s="974"/>
      <c r="AB940" s="974"/>
      <c r="AC940" s="974"/>
      <c r="AD940" s="974"/>
      <c r="AE940" s="974"/>
    </row>
    <row r="941">
      <c r="A941" s="1526"/>
      <c r="B941" s="1526"/>
      <c r="C941" s="1526"/>
      <c r="D941" s="1526"/>
      <c r="E941" s="1526"/>
      <c r="F941" s="1526"/>
      <c r="G941" s="1526"/>
      <c r="H941" s="1526"/>
      <c r="I941" s="1526"/>
      <c r="J941" s="1526"/>
      <c r="K941" s="1526"/>
      <c r="L941" s="1526"/>
      <c r="M941" s="1526"/>
      <c r="N941" s="1526"/>
      <c r="O941" s="1526"/>
      <c r="P941" s="1526"/>
      <c r="Q941" s="1526"/>
      <c r="R941" s="1526"/>
      <c r="S941" s="1526"/>
      <c r="T941" s="1526"/>
      <c r="U941" s="1526"/>
      <c r="V941" s="1526"/>
      <c r="W941" s="1526"/>
      <c r="X941" s="1526"/>
      <c r="Y941" s="1526"/>
      <c r="Z941" s="974"/>
      <c r="AA941" s="974"/>
      <c r="AB941" s="974"/>
      <c r="AC941" s="974"/>
      <c r="AD941" s="974"/>
      <c r="AE941" s="974"/>
    </row>
    <row r="942">
      <c r="A942" s="1526"/>
      <c r="B942" s="1526"/>
      <c r="C942" s="1526"/>
      <c r="D942" s="1526"/>
      <c r="E942" s="1526"/>
      <c r="F942" s="1526"/>
      <c r="G942" s="1526"/>
      <c r="H942" s="1526"/>
      <c r="I942" s="1526"/>
      <c r="J942" s="1526"/>
      <c r="K942" s="1526"/>
      <c r="L942" s="1526"/>
      <c r="M942" s="1526"/>
      <c r="N942" s="1526"/>
      <c r="O942" s="1526"/>
      <c r="P942" s="1526"/>
      <c r="Q942" s="1526"/>
      <c r="R942" s="1526"/>
      <c r="S942" s="1526"/>
      <c r="T942" s="1526"/>
      <c r="U942" s="1526"/>
      <c r="V942" s="1526"/>
      <c r="W942" s="1526"/>
      <c r="X942" s="1526"/>
      <c r="Y942" s="1526"/>
      <c r="Z942" s="974"/>
      <c r="AA942" s="974"/>
      <c r="AB942" s="974"/>
      <c r="AC942" s="974"/>
      <c r="AD942" s="974"/>
      <c r="AE942" s="974"/>
    </row>
    <row r="943">
      <c r="A943" s="1526"/>
      <c r="B943" s="1526"/>
      <c r="C943" s="1526"/>
      <c r="D943" s="1526"/>
      <c r="E943" s="1526"/>
      <c r="F943" s="1526"/>
      <c r="G943" s="1526"/>
      <c r="H943" s="1526"/>
      <c r="I943" s="1526"/>
      <c r="J943" s="1526"/>
      <c r="K943" s="1526"/>
      <c r="L943" s="1526"/>
      <c r="M943" s="1526"/>
      <c r="N943" s="1526"/>
      <c r="O943" s="1526"/>
      <c r="P943" s="1526"/>
      <c r="Q943" s="1526"/>
      <c r="R943" s="1526"/>
      <c r="S943" s="1526"/>
      <c r="T943" s="1526"/>
      <c r="U943" s="1526"/>
      <c r="V943" s="1526"/>
      <c r="W943" s="1526"/>
      <c r="X943" s="1526"/>
      <c r="Y943" s="1526"/>
      <c r="Z943" s="974"/>
      <c r="AA943" s="974"/>
      <c r="AB943" s="974"/>
      <c r="AC943" s="974"/>
      <c r="AD943" s="974"/>
      <c r="AE943" s="974"/>
    </row>
    <row r="944">
      <c r="A944" s="1526"/>
      <c r="B944" s="1526"/>
      <c r="C944" s="1526"/>
      <c r="D944" s="1526"/>
      <c r="E944" s="1526"/>
      <c r="F944" s="1526"/>
      <c r="G944" s="1526"/>
      <c r="H944" s="1526"/>
      <c r="I944" s="1526"/>
      <c r="J944" s="1526"/>
      <c r="K944" s="1526"/>
      <c r="L944" s="1526"/>
      <c r="M944" s="1526"/>
      <c r="N944" s="1526"/>
      <c r="O944" s="1526"/>
      <c r="P944" s="1526"/>
      <c r="Q944" s="1526"/>
      <c r="R944" s="1526"/>
      <c r="S944" s="1526"/>
      <c r="T944" s="1526"/>
      <c r="U944" s="1526"/>
      <c r="V944" s="1526"/>
      <c r="W944" s="1526"/>
      <c r="X944" s="1526"/>
      <c r="Y944" s="1526"/>
      <c r="Z944" s="974"/>
      <c r="AA944" s="974"/>
      <c r="AB944" s="974"/>
      <c r="AC944" s="974"/>
      <c r="AD944" s="974"/>
      <c r="AE944" s="974"/>
    </row>
    <row r="945">
      <c r="A945" s="1526"/>
      <c r="B945" s="1526"/>
      <c r="C945" s="1526"/>
      <c r="D945" s="1526"/>
      <c r="E945" s="1526"/>
      <c r="F945" s="1526"/>
      <c r="G945" s="1526"/>
      <c r="H945" s="1526"/>
      <c r="I945" s="1526"/>
      <c r="J945" s="1526"/>
      <c r="K945" s="1526"/>
      <c r="L945" s="1526"/>
      <c r="M945" s="1526"/>
      <c r="N945" s="1526"/>
      <c r="O945" s="1526"/>
      <c r="P945" s="1526"/>
      <c r="Q945" s="1526"/>
      <c r="R945" s="1526"/>
      <c r="S945" s="1526"/>
      <c r="T945" s="1526"/>
      <c r="U945" s="1526"/>
      <c r="V945" s="1526"/>
      <c r="W945" s="1526"/>
      <c r="X945" s="1526"/>
      <c r="Y945" s="1526"/>
      <c r="Z945" s="974"/>
      <c r="AA945" s="974"/>
      <c r="AB945" s="974"/>
      <c r="AC945" s="974"/>
      <c r="AD945" s="974"/>
      <c r="AE945" s="974"/>
    </row>
    <row r="946">
      <c r="A946" s="1526"/>
      <c r="B946" s="1526"/>
      <c r="C946" s="1526"/>
      <c r="D946" s="1526"/>
      <c r="E946" s="1526"/>
      <c r="F946" s="1526"/>
      <c r="G946" s="1526"/>
      <c r="H946" s="1526"/>
      <c r="I946" s="1526"/>
      <c r="J946" s="1526"/>
      <c r="K946" s="1526"/>
      <c r="L946" s="1526"/>
      <c r="M946" s="1526"/>
      <c r="N946" s="1526"/>
      <c r="O946" s="1526"/>
      <c r="P946" s="1526"/>
      <c r="Q946" s="1526"/>
      <c r="R946" s="1526"/>
      <c r="S946" s="1526"/>
      <c r="T946" s="1526"/>
      <c r="U946" s="1526"/>
      <c r="V946" s="1526"/>
      <c r="W946" s="1526"/>
      <c r="X946" s="1526"/>
      <c r="Y946" s="1526"/>
      <c r="Z946" s="974"/>
      <c r="AA946" s="974"/>
      <c r="AB946" s="974"/>
      <c r="AC946" s="974"/>
      <c r="AD946" s="974"/>
      <c r="AE946" s="974"/>
    </row>
    <row r="947">
      <c r="A947" s="1526"/>
      <c r="B947" s="1526"/>
      <c r="C947" s="1526"/>
      <c r="D947" s="1526"/>
      <c r="E947" s="1526"/>
      <c r="F947" s="1526"/>
      <c r="G947" s="1526"/>
      <c r="H947" s="1526"/>
      <c r="I947" s="1526"/>
      <c r="J947" s="1526"/>
      <c r="K947" s="1526"/>
      <c r="L947" s="1526"/>
      <c r="M947" s="1526"/>
      <c r="N947" s="1526"/>
      <c r="O947" s="1526"/>
      <c r="P947" s="1526"/>
      <c r="Q947" s="1526"/>
      <c r="R947" s="1526"/>
      <c r="S947" s="1526"/>
      <c r="T947" s="1526"/>
      <c r="U947" s="1526"/>
      <c r="V947" s="1526"/>
      <c r="W947" s="1526"/>
      <c r="X947" s="1526"/>
      <c r="Y947" s="1526"/>
      <c r="Z947" s="974"/>
      <c r="AA947" s="974"/>
      <c r="AB947" s="974"/>
      <c r="AC947" s="974"/>
      <c r="AD947" s="974"/>
      <c r="AE947" s="974"/>
    </row>
    <row r="948">
      <c r="A948" s="1526"/>
      <c r="B948" s="1526"/>
      <c r="C948" s="1526"/>
      <c r="D948" s="1526"/>
      <c r="E948" s="1526"/>
      <c r="F948" s="1526"/>
      <c r="G948" s="1526"/>
      <c r="H948" s="1526"/>
      <c r="I948" s="1526"/>
      <c r="J948" s="1526"/>
      <c r="K948" s="1526"/>
      <c r="L948" s="1526"/>
      <c r="M948" s="1526"/>
      <c r="N948" s="1526"/>
      <c r="O948" s="1526"/>
      <c r="P948" s="1526"/>
      <c r="Q948" s="1526"/>
      <c r="R948" s="1526"/>
      <c r="S948" s="1526"/>
      <c r="T948" s="1526"/>
      <c r="U948" s="1526"/>
      <c r="V948" s="1526"/>
      <c r="W948" s="1526"/>
      <c r="X948" s="1526"/>
      <c r="Y948" s="1526"/>
      <c r="Z948" s="974"/>
      <c r="AA948" s="974"/>
      <c r="AB948" s="974"/>
      <c r="AC948" s="974"/>
      <c r="AD948" s="974"/>
      <c r="AE948" s="974"/>
    </row>
    <row r="949">
      <c r="A949" s="1526"/>
      <c r="B949" s="1526"/>
      <c r="C949" s="1526"/>
      <c r="D949" s="1526"/>
      <c r="E949" s="1526"/>
      <c r="F949" s="1526"/>
      <c r="G949" s="1526"/>
      <c r="H949" s="1526"/>
      <c r="I949" s="1526"/>
      <c r="J949" s="1526"/>
      <c r="K949" s="1526"/>
      <c r="L949" s="1526"/>
      <c r="M949" s="1526"/>
      <c r="N949" s="1526"/>
      <c r="O949" s="1526"/>
      <c r="P949" s="1526"/>
      <c r="Q949" s="1526"/>
      <c r="R949" s="1526"/>
      <c r="S949" s="1526"/>
      <c r="T949" s="1526"/>
      <c r="U949" s="1526"/>
      <c r="V949" s="1526"/>
      <c r="W949" s="1526"/>
      <c r="X949" s="1526"/>
      <c r="Y949" s="1526"/>
      <c r="Z949" s="974"/>
      <c r="AA949" s="974"/>
      <c r="AB949" s="974"/>
      <c r="AC949" s="974"/>
      <c r="AD949" s="974"/>
      <c r="AE949" s="974"/>
    </row>
    <row r="950">
      <c r="A950" s="1526"/>
      <c r="B950" s="1526"/>
      <c r="C950" s="1526"/>
      <c r="D950" s="1526"/>
      <c r="E950" s="1526"/>
      <c r="F950" s="1526"/>
      <c r="G950" s="1526"/>
      <c r="H950" s="1526"/>
      <c r="I950" s="1526"/>
      <c r="J950" s="1526"/>
      <c r="K950" s="1526"/>
      <c r="L950" s="1526"/>
      <c r="M950" s="1526"/>
      <c r="N950" s="1526"/>
      <c r="O950" s="1526"/>
      <c r="P950" s="1526"/>
      <c r="Q950" s="1526"/>
      <c r="R950" s="1526"/>
      <c r="S950" s="1526"/>
      <c r="T950" s="1526"/>
      <c r="U950" s="1526"/>
      <c r="V950" s="1526"/>
      <c r="W950" s="1526"/>
      <c r="X950" s="1526"/>
      <c r="Y950" s="1526"/>
      <c r="Z950" s="974"/>
      <c r="AA950" s="974"/>
      <c r="AB950" s="974"/>
      <c r="AC950" s="974"/>
      <c r="AD950" s="974"/>
      <c r="AE950" s="974"/>
    </row>
    <row r="951">
      <c r="A951" s="1526"/>
      <c r="B951" s="1526"/>
      <c r="C951" s="1526"/>
      <c r="D951" s="1526"/>
      <c r="E951" s="1526"/>
      <c r="F951" s="1526"/>
      <c r="G951" s="1526"/>
      <c r="H951" s="1526"/>
      <c r="I951" s="1526"/>
      <c r="J951" s="1526"/>
      <c r="K951" s="1526"/>
      <c r="L951" s="1526"/>
      <c r="M951" s="1526"/>
      <c r="N951" s="1526"/>
      <c r="O951" s="1526"/>
      <c r="P951" s="1526"/>
      <c r="Q951" s="1526"/>
      <c r="R951" s="1526"/>
      <c r="S951" s="1526"/>
      <c r="T951" s="1526"/>
      <c r="U951" s="1526"/>
      <c r="V951" s="1526"/>
      <c r="W951" s="1526"/>
      <c r="X951" s="1526"/>
      <c r="Y951" s="1526"/>
      <c r="Z951" s="974"/>
      <c r="AA951" s="974"/>
      <c r="AB951" s="974"/>
      <c r="AC951" s="974"/>
      <c r="AD951" s="974"/>
      <c r="AE951" s="974"/>
    </row>
    <row r="952">
      <c r="A952" s="1526"/>
      <c r="B952" s="1526"/>
      <c r="C952" s="1526"/>
      <c r="D952" s="1526"/>
      <c r="E952" s="1526"/>
      <c r="F952" s="1526"/>
      <c r="G952" s="1526"/>
      <c r="H952" s="1526"/>
      <c r="I952" s="1526"/>
      <c r="J952" s="1526"/>
      <c r="K952" s="1526"/>
      <c r="L952" s="1526"/>
      <c r="M952" s="1526"/>
      <c r="N952" s="1526"/>
      <c r="O952" s="1526"/>
      <c r="P952" s="1526"/>
      <c r="Q952" s="1526"/>
      <c r="R952" s="1526"/>
      <c r="S952" s="1526"/>
      <c r="T952" s="1526"/>
      <c r="U952" s="1526"/>
      <c r="V952" s="1526"/>
      <c r="W952" s="1526"/>
      <c r="X952" s="1526"/>
      <c r="Y952" s="1526"/>
      <c r="Z952" s="974"/>
      <c r="AA952" s="974"/>
      <c r="AB952" s="974"/>
      <c r="AC952" s="974"/>
      <c r="AD952" s="974"/>
      <c r="AE952" s="974"/>
    </row>
    <row r="953">
      <c r="A953" s="1526"/>
      <c r="B953" s="1526"/>
      <c r="C953" s="1526"/>
      <c r="D953" s="1526"/>
      <c r="E953" s="1526"/>
      <c r="F953" s="1526"/>
      <c r="G953" s="1526"/>
      <c r="H953" s="1526"/>
      <c r="I953" s="1526"/>
      <c r="J953" s="1526"/>
      <c r="K953" s="1526"/>
      <c r="L953" s="1526"/>
      <c r="M953" s="1526"/>
      <c r="N953" s="1526"/>
      <c r="O953" s="1526"/>
      <c r="P953" s="1526"/>
      <c r="Q953" s="1526"/>
      <c r="R953" s="1526"/>
      <c r="S953" s="1526"/>
      <c r="T953" s="1526"/>
      <c r="U953" s="1526"/>
      <c r="V953" s="1526"/>
      <c r="W953" s="1526"/>
      <c r="X953" s="1526"/>
      <c r="Y953" s="1526"/>
      <c r="Z953" s="974"/>
      <c r="AA953" s="974"/>
      <c r="AB953" s="974"/>
      <c r="AC953" s="974"/>
      <c r="AD953" s="974"/>
      <c r="AE953" s="974"/>
    </row>
    <row r="954">
      <c r="A954" s="1526"/>
      <c r="B954" s="1526"/>
      <c r="C954" s="1526"/>
      <c r="D954" s="1526"/>
      <c r="E954" s="1526"/>
      <c r="F954" s="1526"/>
      <c r="G954" s="1526"/>
      <c r="H954" s="1526"/>
      <c r="I954" s="1526"/>
      <c r="J954" s="1526"/>
      <c r="K954" s="1526"/>
      <c r="L954" s="1526"/>
      <c r="M954" s="1526"/>
      <c r="N954" s="1526"/>
      <c r="O954" s="1526"/>
      <c r="P954" s="1526"/>
      <c r="Q954" s="1526"/>
      <c r="R954" s="1526"/>
      <c r="S954" s="1526"/>
      <c r="T954" s="1526"/>
      <c r="U954" s="1526"/>
      <c r="V954" s="1526"/>
      <c r="W954" s="1526"/>
      <c r="X954" s="1526"/>
      <c r="Y954" s="1526"/>
      <c r="Z954" s="974"/>
      <c r="AA954" s="974"/>
      <c r="AB954" s="974"/>
      <c r="AC954" s="974"/>
      <c r="AD954" s="974"/>
      <c r="AE954" s="974"/>
    </row>
    <row r="955">
      <c r="A955" s="1526"/>
      <c r="B955" s="1526"/>
      <c r="C955" s="1526"/>
      <c r="D955" s="1526"/>
      <c r="E955" s="1526"/>
      <c r="F955" s="1526"/>
      <c r="G955" s="1526"/>
      <c r="H955" s="1526"/>
      <c r="I955" s="1526"/>
      <c r="J955" s="1526"/>
      <c r="K955" s="1526"/>
      <c r="L955" s="1526"/>
      <c r="M955" s="1526"/>
      <c r="N955" s="1526"/>
      <c r="O955" s="1526"/>
      <c r="P955" s="1526"/>
      <c r="Q955" s="1526"/>
      <c r="R955" s="1526"/>
      <c r="S955" s="1526"/>
      <c r="T955" s="1526"/>
      <c r="U955" s="1526"/>
      <c r="V955" s="1526"/>
      <c r="W955" s="1526"/>
      <c r="X955" s="1526"/>
      <c r="Y955" s="1526"/>
      <c r="Z955" s="974"/>
      <c r="AA955" s="974"/>
      <c r="AB955" s="974"/>
      <c r="AC955" s="974"/>
      <c r="AD955" s="974"/>
      <c r="AE955" s="974"/>
    </row>
    <row r="956">
      <c r="A956" s="1526"/>
      <c r="B956" s="1526"/>
      <c r="C956" s="1526"/>
      <c r="D956" s="1526"/>
      <c r="E956" s="1526"/>
      <c r="F956" s="1526"/>
      <c r="G956" s="1526"/>
      <c r="H956" s="1526"/>
      <c r="I956" s="1526"/>
      <c r="J956" s="1526"/>
      <c r="K956" s="1526"/>
      <c r="L956" s="1526"/>
      <c r="M956" s="1526"/>
      <c r="N956" s="1526"/>
      <c r="O956" s="1526"/>
      <c r="P956" s="1526"/>
      <c r="Q956" s="1526"/>
      <c r="R956" s="1526"/>
      <c r="S956" s="1526"/>
      <c r="T956" s="1526"/>
      <c r="U956" s="1526"/>
      <c r="V956" s="1526"/>
      <c r="W956" s="1526"/>
      <c r="X956" s="1526"/>
      <c r="Y956" s="1526"/>
      <c r="Z956" s="974"/>
      <c r="AA956" s="974"/>
      <c r="AB956" s="974"/>
      <c r="AC956" s="974"/>
      <c r="AD956" s="974"/>
      <c r="AE956" s="974"/>
    </row>
    <row r="957">
      <c r="A957" s="1526"/>
      <c r="B957" s="1526"/>
      <c r="C957" s="1526"/>
      <c r="D957" s="1526"/>
      <c r="E957" s="1526"/>
      <c r="F957" s="1526"/>
      <c r="G957" s="1526"/>
      <c r="H957" s="1526"/>
      <c r="I957" s="1526"/>
      <c r="J957" s="1526"/>
      <c r="K957" s="1526"/>
      <c r="L957" s="1526"/>
      <c r="M957" s="1526"/>
      <c r="N957" s="1526"/>
      <c r="O957" s="1526"/>
      <c r="P957" s="1526"/>
      <c r="Q957" s="1526"/>
      <c r="R957" s="1526"/>
      <c r="S957" s="1526"/>
      <c r="T957" s="1526"/>
      <c r="U957" s="1526"/>
      <c r="V957" s="1526"/>
      <c r="W957" s="1526"/>
      <c r="X957" s="1526"/>
      <c r="Y957" s="1526"/>
      <c r="Z957" s="974"/>
      <c r="AA957" s="974"/>
      <c r="AB957" s="974"/>
      <c r="AC957" s="974"/>
      <c r="AD957" s="974"/>
      <c r="AE957" s="974"/>
    </row>
    <row r="958">
      <c r="A958" s="1526"/>
      <c r="B958" s="1526"/>
      <c r="C958" s="1526"/>
      <c r="D958" s="1526"/>
      <c r="E958" s="1526"/>
      <c r="F958" s="1526"/>
      <c r="G958" s="1526"/>
      <c r="H958" s="1526"/>
      <c r="I958" s="1526"/>
      <c r="J958" s="1526"/>
      <c r="K958" s="1526"/>
      <c r="L958" s="1526"/>
      <c r="M958" s="1526"/>
      <c r="N958" s="1526"/>
      <c r="O958" s="1526"/>
      <c r="P958" s="1526"/>
      <c r="Q958" s="1526"/>
      <c r="R958" s="1526"/>
      <c r="S958" s="1526"/>
      <c r="T958" s="1526"/>
      <c r="U958" s="1526"/>
      <c r="V958" s="1526"/>
      <c r="W958" s="1526"/>
      <c r="X958" s="1526"/>
      <c r="Y958" s="1526"/>
      <c r="Z958" s="974"/>
      <c r="AA958" s="974"/>
      <c r="AB958" s="974"/>
      <c r="AC958" s="974"/>
      <c r="AD958" s="974"/>
      <c r="AE958" s="974"/>
    </row>
    <row r="959">
      <c r="A959" s="1526"/>
      <c r="B959" s="1526"/>
      <c r="C959" s="1526"/>
      <c r="D959" s="1526"/>
      <c r="E959" s="1526"/>
      <c r="F959" s="1526"/>
      <c r="G959" s="1526"/>
      <c r="H959" s="1526"/>
      <c r="I959" s="1526"/>
      <c r="J959" s="1526"/>
      <c r="K959" s="1526"/>
      <c r="L959" s="1526"/>
      <c r="M959" s="1526"/>
      <c r="N959" s="1526"/>
      <c r="O959" s="1526"/>
      <c r="P959" s="1526"/>
      <c r="Q959" s="1526"/>
      <c r="R959" s="1526"/>
      <c r="S959" s="1526"/>
      <c r="T959" s="1526"/>
      <c r="U959" s="1526"/>
      <c r="V959" s="1526"/>
      <c r="W959" s="1526"/>
      <c r="X959" s="1526"/>
      <c r="Y959" s="1526"/>
      <c r="Z959" s="974"/>
      <c r="AA959" s="974"/>
      <c r="AB959" s="974"/>
      <c r="AC959" s="974"/>
      <c r="AD959" s="974"/>
      <c r="AE959" s="974"/>
    </row>
    <row r="960">
      <c r="A960" s="1526"/>
      <c r="B960" s="1526"/>
      <c r="C960" s="1526"/>
      <c r="D960" s="1526"/>
      <c r="E960" s="1526"/>
      <c r="F960" s="1526"/>
      <c r="G960" s="1526"/>
      <c r="H960" s="1526"/>
      <c r="I960" s="1526"/>
      <c r="J960" s="1526"/>
      <c r="K960" s="1526"/>
      <c r="L960" s="1526"/>
      <c r="M960" s="1526"/>
      <c r="N960" s="1526"/>
      <c r="O960" s="1526"/>
      <c r="P960" s="1526"/>
      <c r="Q960" s="1526"/>
      <c r="R960" s="1526"/>
      <c r="S960" s="1526"/>
      <c r="T960" s="1526"/>
      <c r="U960" s="1526"/>
      <c r="V960" s="1526"/>
      <c r="W960" s="1526"/>
      <c r="X960" s="1526"/>
      <c r="Y960" s="1526"/>
      <c r="Z960" s="974"/>
      <c r="AA960" s="974"/>
      <c r="AB960" s="974"/>
      <c r="AC960" s="974"/>
      <c r="AD960" s="974"/>
      <c r="AE960" s="974"/>
    </row>
    <row r="961">
      <c r="A961" s="1526"/>
      <c r="B961" s="1526"/>
      <c r="C961" s="1526"/>
      <c r="D961" s="1526"/>
      <c r="E961" s="1526"/>
      <c r="F961" s="1526"/>
      <c r="G961" s="1526"/>
      <c r="H961" s="1526"/>
      <c r="I961" s="1526"/>
      <c r="J961" s="1526"/>
      <c r="K961" s="1526"/>
      <c r="L961" s="1526"/>
      <c r="M961" s="1526"/>
      <c r="N961" s="1526"/>
      <c r="O961" s="1526"/>
      <c r="P961" s="1526"/>
      <c r="Q961" s="1526"/>
      <c r="R961" s="1526"/>
      <c r="S961" s="1526"/>
      <c r="T961" s="1526"/>
      <c r="U961" s="1526"/>
      <c r="V961" s="1526"/>
      <c r="W961" s="1526"/>
      <c r="X961" s="1526"/>
      <c r="Y961" s="1526"/>
      <c r="Z961" s="974"/>
      <c r="AA961" s="974"/>
      <c r="AB961" s="974"/>
      <c r="AC961" s="974"/>
      <c r="AD961" s="974"/>
      <c r="AE961" s="974"/>
    </row>
    <row r="962">
      <c r="A962" s="1526"/>
      <c r="B962" s="1526"/>
      <c r="C962" s="1526"/>
      <c r="D962" s="1526"/>
      <c r="E962" s="1526"/>
      <c r="F962" s="1526"/>
      <c r="G962" s="1526"/>
      <c r="H962" s="1526"/>
      <c r="I962" s="1526"/>
      <c r="J962" s="1526"/>
      <c r="K962" s="1526"/>
      <c r="L962" s="1526"/>
      <c r="M962" s="1526"/>
      <c r="N962" s="1526"/>
      <c r="O962" s="1526"/>
      <c r="P962" s="1526"/>
      <c r="Q962" s="1526"/>
      <c r="R962" s="1526"/>
      <c r="S962" s="1526"/>
      <c r="T962" s="1526"/>
      <c r="U962" s="1526"/>
      <c r="V962" s="1526"/>
      <c r="W962" s="1526"/>
      <c r="X962" s="1526"/>
      <c r="Y962" s="1526"/>
      <c r="Z962" s="974"/>
      <c r="AA962" s="974"/>
      <c r="AB962" s="974"/>
      <c r="AC962" s="974"/>
      <c r="AD962" s="974"/>
      <c r="AE962" s="974"/>
    </row>
    <row r="963">
      <c r="A963" s="1526"/>
      <c r="B963" s="1526"/>
      <c r="C963" s="1526"/>
      <c r="D963" s="1526"/>
      <c r="E963" s="1526"/>
      <c r="F963" s="1526"/>
      <c r="G963" s="1526"/>
      <c r="H963" s="1526"/>
      <c r="I963" s="1526"/>
      <c r="J963" s="1526"/>
      <c r="K963" s="1526"/>
      <c r="L963" s="1526"/>
      <c r="M963" s="1526"/>
      <c r="N963" s="1526"/>
      <c r="O963" s="1526"/>
      <c r="P963" s="1526"/>
      <c r="Q963" s="1526"/>
      <c r="R963" s="1526"/>
      <c r="S963" s="1526"/>
      <c r="T963" s="1526"/>
      <c r="U963" s="1526"/>
      <c r="V963" s="1526"/>
      <c r="W963" s="1526"/>
      <c r="X963" s="1526"/>
      <c r="Y963" s="1526"/>
      <c r="Z963" s="974"/>
      <c r="AA963" s="974"/>
      <c r="AB963" s="974"/>
      <c r="AC963" s="974"/>
      <c r="AD963" s="974"/>
      <c r="AE963" s="974"/>
    </row>
    <row r="964">
      <c r="A964" s="1526"/>
      <c r="B964" s="1526"/>
      <c r="C964" s="1526"/>
      <c r="D964" s="1526"/>
      <c r="E964" s="1526"/>
      <c r="F964" s="1526"/>
      <c r="G964" s="1526"/>
      <c r="H964" s="1526"/>
      <c r="I964" s="1526"/>
      <c r="J964" s="1526"/>
      <c r="K964" s="1526"/>
      <c r="L964" s="1526"/>
      <c r="M964" s="1526"/>
      <c r="N964" s="1526"/>
      <c r="O964" s="1526"/>
      <c r="P964" s="1526"/>
      <c r="Q964" s="1526"/>
      <c r="R964" s="1526"/>
      <c r="S964" s="1526"/>
      <c r="T964" s="1526"/>
      <c r="U964" s="1526"/>
      <c r="V964" s="1526"/>
      <c r="W964" s="1526"/>
      <c r="X964" s="1526"/>
      <c r="Y964" s="1526"/>
      <c r="Z964" s="974"/>
      <c r="AA964" s="974"/>
      <c r="AB964" s="974"/>
      <c r="AC964" s="974"/>
      <c r="AD964" s="974"/>
      <c r="AE964" s="974"/>
    </row>
    <row r="965">
      <c r="A965" s="1526"/>
      <c r="B965" s="1526"/>
      <c r="C965" s="1526"/>
      <c r="D965" s="1526"/>
      <c r="E965" s="1526"/>
      <c r="F965" s="1526"/>
      <c r="G965" s="1526"/>
      <c r="H965" s="1526"/>
      <c r="I965" s="1526"/>
      <c r="J965" s="1526"/>
      <c r="K965" s="1526"/>
      <c r="L965" s="1526"/>
      <c r="M965" s="1526"/>
      <c r="N965" s="1526"/>
      <c r="O965" s="1526"/>
      <c r="P965" s="1526"/>
      <c r="Q965" s="1526"/>
      <c r="R965" s="1526"/>
      <c r="S965" s="1526"/>
      <c r="T965" s="1526"/>
      <c r="U965" s="1526"/>
      <c r="V965" s="1526"/>
      <c r="W965" s="1526"/>
      <c r="X965" s="1526"/>
      <c r="Y965" s="1526"/>
      <c r="Z965" s="974"/>
      <c r="AA965" s="974"/>
      <c r="AB965" s="974"/>
      <c r="AC965" s="974"/>
      <c r="AD965" s="974"/>
      <c r="AE965" s="974"/>
    </row>
    <row r="966">
      <c r="A966" s="1526"/>
      <c r="B966" s="1526"/>
      <c r="C966" s="1526"/>
      <c r="D966" s="1526"/>
      <c r="E966" s="1526"/>
      <c r="F966" s="1526"/>
      <c r="G966" s="1526"/>
      <c r="H966" s="1526"/>
      <c r="I966" s="1526"/>
      <c r="J966" s="1526"/>
      <c r="K966" s="1526"/>
      <c r="L966" s="1526"/>
      <c r="M966" s="1526"/>
      <c r="N966" s="1526"/>
      <c r="O966" s="1526"/>
      <c r="P966" s="1526"/>
      <c r="Q966" s="1526"/>
      <c r="R966" s="1526"/>
      <c r="S966" s="1526"/>
      <c r="T966" s="1526"/>
      <c r="U966" s="1526"/>
      <c r="V966" s="1526"/>
      <c r="W966" s="1526"/>
      <c r="X966" s="1526"/>
      <c r="Y966" s="1526"/>
      <c r="Z966" s="974"/>
      <c r="AA966" s="974"/>
      <c r="AB966" s="974"/>
      <c r="AC966" s="974"/>
      <c r="AD966" s="974"/>
      <c r="AE966" s="974"/>
    </row>
    <row r="967">
      <c r="A967" s="1526"/>
      <c r="B967" s="1526"/>
      <c r="C967" s="1526"/>
      <c r="D967" s="1526"/>
      <c r="E967" s="1526"/>
      <c r="F967" s="1526"/>
      <c r="G967" s="1526"/>
      <c r="H967" s="1526"/>
      <c r="I967" s="1526"/>
      <c r="J967" s="1526"/>
      <c r="K967" s="1526"/>
      <c r="L967" s="1526"/>
      <c r="M967" s="1526"/>
      <c r="N967" s="1526"/>
      <c r="O967" s="1526"/>
      <c r="P967" s="1526"/>
      <c r="Q967" s="1526"/>
      <c r="R967" s="1526"/>
      <c r="S967" s="1526"/>
      <c r="T967" s="1526"/>
      <c r="U967" s="1526"/>
      <c r="V967" s="1526"/>
      <c r="W967" s="1526"/>
      <c r="X967" s="1526"/>
      <c r="Y967" s="1526"/>
      <c r="Z967" s="974"/>
      <c r="AA967" s="974"/>
      <c r="AB967" s="974"/>
      <c r="AC967" s="974"/>
      <c r="AD967" s="974"/>
      <c r="AE967" s="974"/>
    </row>
    <row r="968">
      <c r="A968" s="1526"/>
      <c r="B968" s="1526"/>
      <c r="C968" s="1526"/>
      <c r="D968" s="1526"/>
      <c r="E968" s="1526"/>
      <c r="F968" s="1526"/>
      <c r="G968" s="1526"/>
      <c r="H968" s="1526"/>
      <c r="I968" s="1526"/>
      <c r="J968" s="1526"/>
      <c r="K968" s="1526"/>
      <c r="L968" s="1526"/>
      <c r="M968" s="1526"/>
      <c r="N968" s="1526"/>
      <c r="O968" s="1526"/>
      <c r="P968" s="1526"/>
      <c r="Q968" s="1526"/>
      <c r="R968" s="1526"/>
      <c r="S968" s="1526"/>
      <c r="T968" s="1526"/>
      <c r="U968" s="1526"/>
      <c r="V968" s="1526"/>
      <c r="W968" s="1526"/>
      <c r="X968" s="1526"/>
      <c r="Y968" s="1526"/>
      <c r="Z968" s="974"/>
      <c r="AA968" s="974"/>
      <c r="AB968" s="974"/>
      <c r="AC968" s="974"/>
      <c r="AD968" s="974"/>
      <c r="AE968" s="974"/>
    </row>
    <row r="969">
      <c r="A969" s="1526"/>
      <c r="B969" s="1526"/>
      <c r="C969" s="1526"/>
      <c r="D969" s="1526"/>
      <c r="E969" s="1526"/>
      <c r="F969" s="1526"/>
      <c r="G969" s="1526"/>
      <c r="H969" s="1526"/>
      <c r="I969" s="1526"/>
      <c r="J969" s="1526"/>
      <c r="K969" s="1526"/>
      <c r="L969" s="1526"/>
      <c r="M969" s="1526"/>
      <c r="N969" s="1526"/>
      <c r="O969" s="1526"/>
      <c r="P969" s="1526"/>
      <c r="Q969" s="1526"/>
      <c r="R969" s="1526"/>
      <c r="S969" s="1526"/>
      <c r="T969" s="1526"/>
      <c r="U969" s="1526"/>
      <c r="V969" s="1526"/>
      <c r="W969" s="1526"/>
      <c r="X969" s="1526"/>
      <c r="Y969" s="1526"/>
      <c r="Z969" s="974"/>
      <c r="AA969" s="974"/>
      <c r="AB969" s="974"/>
      <c r="AC969" s="974"/>
      <c r="AD969" s="974"/>
      <c r="AE969" s="974"/>
    </row>
    <row r="970">
      <c r="A970" s="1526"/>
      <c r="B970" s="1526"/>
      <c r="C970" s="1526"/>
      <c r="D970" s="1526"/>
      <c r="E970" s="1526"/>
      <c r="F970" s="1526"/>
      <c r="G970" s="1526"/>
      <c r="H970" s="1526"/>
      <c r="I970" s="1526"/>
      <c r="J970" s="1526"/>
      <c r="K970" s="1526"/>
      <c r="L970" s="1526"/>
      <c r="M970" s="1526"/>
      <c r="N970" s="1526"/>
      <c r="O970" s="1526"/>
      <c r="P970" s="1526"/>
      <c r="Q970" s="1526"/>
      <c r="R970" s="1526"/>
      <c r="S970" s="1526"/>
      <c r="T970" s="1526"/>
      <c r="U970" s="1526"/>
      <c r="V970" s="1526"/>
      <c r="W970" s="1526"/>
      <c r="X970" s="1526"/>
      <c r="Y970" s="1526"/>
      <c r="Z970" s="974"/>
      <c r="AA970" s="974"/>
      <c r="AB970" s="974"/>
      <c r="AC970" s="974"/>
      <c r="AD970" s="974"/>
      <c r="AE970" s="974"/>
    </row>
    <row r="971">
      <c r="A971" s="1526"/>
      <c r="B971" s="1526"/>
      <c r="C971" s="1526"/>
      <c r="D971" s="1526"/>
      <c r="E971" s="1526"/>
      <c r="F971" s="1526"/>
      <c r="G971" s="1526"/>
      <c r="H971" s="1526"/>
      <c r="I971" s="1526"/>
      <c r="J971" s="1526"/>
      <c r="K971" s="1526"/>
      <c r="L971" s="1526"/>
      <c r="M971" s="1526"/>
      <c r="N971" s="1526"/>
      <c r="O971" s="1526"/>
      <c r="P971" s="1526"/>
      <c r="Q971" s="1526"/>
      <c r="R971" s="1526"/>
      <c r="S971" s="1526"/>
      <c r="T971" s="1526"/>
      <c r="U971" s="1526"/>
      <c r="V971" s="1526"/>
      <c r="W971" s="1526"/>
      <c r="X971" s="1526"/>
      <c r="Y971" s="1526"/>
      <c r="Z971" s="974"/>
      <c r="AA971" s="974"/>
      <c r="AB971" s="974"/>
      <c r="AC971" s="974"/>
      <c r="AD971" s="974"/>
      <c r="AE971" s="974"/>
    </row>
    <row r="972">
      <c r="A972" s="1526"/>
      <c r="B972" s="1526"/>
      <c r="C972" s="1526"/>
      <c r="D972" s="1526"/>
      <c r="E972" s="1526"/>
      <c r="F972" s="1526"/>
      <c r="G972" s="1526"/>
      <c r="H972" s="1526"/>
      <c r="I972" s="1526"/>
      <c r="J972" s="1526"/>
      <c r="K972" s="1526"/>
      <c r="L972" s="1526"/>
      <c r="M972" s="1526"/>
      <c r="N972" s="1526"/>
      <c r="O972" s="1526"/>
      <c r="P972" s="1526"/>
      <c r="Q972" s="1526"/>
      <c r="R972" s="1526"/>
      <c r="S972" s="1526"/>
      <c r="T972" s="1526"/>
      <c r="U972" s="1526"/>
      <c r="V972" s="1526"/>
      <c r="W972" s="1526"/>
      <c r="X972" s="1526"/>
      <c r="Y972" s="1526"/>
      <c r="Z972" s="974"/>
      <c r="AA972" s="974"/>
      <c r="AB972" s="974"/>
      <c r="AC972" s="974"/>
      <c r="AD972" s="974"/>
      <c r="AE972" s="974"/>
    </row>
    <row r="973">
      <c r="A973" s="1526"/>
      <c r="B973" s="1526"/>
      <c r="C973" s="1526"/>
      <c r="D973" s="1526"/>
      <c r="E973" s="1526"/>
      <c r="F973" s="1526"/>
      <c r="G973" s="1526"/>
      <c r="H973" s="1526"/>
      <c r="I973" s="1526"/>
      <c r="J973" s="1526"/>
      <c r="K973" s="1526"/>
      <c r="L973" s="1526"/>
      <c r="M973" s="1526"/>
      <c r="N973" s="1526"/>
      <c r="O973" s="1526"/>
      <c r="P973" s="1526"/>
      <c r="Q973" s="1526"/>
      <c r="R973" s="1526"/>
      <c r="S973" s="1526"/>
      <c r="T973" s="1526"/>
      <c r="U973" s="1526"/>
      <c r="V973" s="1526"/>
      <c r="W973" s="1526"/>
      <c r="X973" s="1526"/>
      <c r="Y973" s="1526"/>
      <c r="Z973" s="974"/>
      <c r="AA973" s="974"/>
      <c r="AB973" s="974"/>
      <c r="AC973" s="974"/>
      <c r="AD973" s="974"/>
      <c r="AE973" s="974"/>
    </row>
    <row r="974">
      <c r="A974" s="1526"/>
      <c r="B974" s="1526"/>
      <c r="C974" s="1526"/>
      <c r="D974" s="1526"/>
      <c r="E974" s="1526"/>
      <c r="F974" s="1526"/>
      <c r="G974" s="1526"/>
      <c r="H974" s="1526"/>
      <c r="I974" s="1526"/>
      <c r="J974" s="1526"/>
      <c r="K974" s="1526"/>
      <c r="L974" s="1526"/>
      <c r="M974" s="1526"/>
      <c r="N974" s="1526"/>
      <c r="O974" s="1526"/>
      <c r="P974" s="1526"/>
      <c r="Q974" s="1526"/>
      <c r="R974" s="1526"/>
      <c r="S974" s="1526"/>
      <c r="T974" s="1526"/>
      <c r="U974" s="1526"/>
      <c r="V974" s="1526"/>
      <c r="W974" s="1526"/>
      <c r="X974" s="1526"/>
      <c r="Y974" s="1526"/>
      <c r="Z974" s="974"/>
      <c r="AA974" s="974"/>
      <c r="AB974" s="974"/>
      <c r="AC974" s="974"/>
      <c r="AD974" s="974"/>
      <c r="AE974" s="974"/>
    </row>
    <row r="975">
      <c r="A975" s="1526"/>
      <c r="B975" s="1526"/>
      <c r="C975" s="1526"/>
      <c r="D975" s="1526"/>
      <c r="E975" s="1526"/>
      <c r="F975" s="1526"/>
      <c r="G975" s="1526"/>
      <c r="H975" s="1526"/>
      <c r="I975" s="1526"/>
      <c r="J975" s="1526"/>
      <c r="K975" s="1526"/>
      <c r="L975" s="1526"/>
      <c r="M975" s="1526"/>
      <c r="N975" s="1526"/>
      <c r="O975" s="1526"/>
      <c r="P975" s="1526"/>
      <c r="Q975" s="1526"/>
      <c r="R975" s="1526"/>
      <c r="S975" s="1526"/>
      <c r="T975" s="1526"/>
      <c r="U975" s="1526"/>
      <c r="V975" s="1526"/>
      <c r="W975" s="1526"/>
      <c r="X975" s="1526"/>
      <c r="Y975" s="1526"/>
      <c r="Z975" s="974"/>
      <c r="AA975" s="974"/>
      <c r="AB975" s="974"/>
      <c r="AC975" s="974"/>
      <c r="AD975" s="974"/>
      <c r="AE975" s="974"/>
    </row>
    <row r="976">
      <c r="A976" s="1526"/>
      <c r="B976" s="1526"/>
      <c r="C976" s="1526"/>
      <c r="D976" s="1526"/>
      <c r="E976" s="1526"/>
      <c r="F976" s="1526"/>
      <c r="G976" s="1526"/>
      <c r="H976" s="1526"/>
      <c r="I976" s="1526"/>
      <c r="J976" s="1526"/>
      <c r="K976" s="1526"/>
      <c r="L976" s="1526"/>
      <c r="M976" s="1526"/>
      <c r="N976" s="1526"/>
      <c r="O976" s="1526"/>
      <c r="P976" s="1526"/>
      <c r="Q976" s="1526"/>
      <c r="R976" s="1526"/>
      <c r="S976" s="1526"/>
      <c r="T976" s="1526"/>
      <c r="U976" s="1526"/>
      <c r="V976" s="1526"/>
      <c r="W976" s="1526"/>
      <c r="X976" s="1526"/>
      <c r="Y976" s="1526"/>
      <c r="Z976" s="974"/>
      <c r="AA976" s="974"/>
      <c r="AB976" s="974"/>
      <c r="AC976" s="974"/>
      <c r="AD976" s="974"/>
      <c r="AE976" s="974"/>
    </row>
    <row r="977">
      <c r="A977" s="1526"/>
      <c r="B977" s="1526"/>
      <c r="C977" s="1526"/>
      <c r="D977" s="1526"/>
      <c r="E977" s="1526"/>
      <c r="F977" s="1526"/>
      <c r="G977" s="1526"/>
      <c r="H977" s="1526"/>
      <c r="I977" s="1526"/>
      <c r="J977" s="1526"/>
      <c r="K977" s="1526"/>
      <c r="L977" s="1526"/>
      <c r="M977" s="1526"/>
      <c r="N977" s="1526"/>
      <c r="O977" s="1526"/>
      <c r="P977" s="1526"/>
      <c r="Q977" s="1526"/>
      <c r="R977" s="1526"/>
      <c r="S977" s="1526"/>
      <c r="T977" s="1526"/>
      <c r="U977" s="1526"/>
      <c r="V977" s="1526"/>
      <c r="W977" s="1526"/>
      <c r="X977" s="1526"/>
      <c r="Y977" s="1526"/>
      <c r="Z977" s="974"/>
      <c r="AA977" s="974"/>
      <c r="AB977" s="974"/>
      <c r="AC977" s="974"/>
      <c r="AD977" s="974"/>
      <c r="AE977" s="974"/>
    </row>
    <row r="978">
      <c r="A978" s="1526"/>
      <c r="B978" s="1526"/>
      <c r="C978" s="1526"/>
      <c r="D978" s="1526"/>
      <c r="E978" s="1526"/>
      <c r="F978" s="1526"/>
      <c r="G978" s="1526"/>
      <c r="H978" s="1526"/>
      <c r="I978" s="1526"/>
      <c r="J978" s="1526"/>
      <c r="K978" s="1526"/>
      <c r="L978" s="1526"/>
      <c r="M978" s="1526"/>
      <c r="N978" s="1526"/>
      <c r="O978" s="1526"/>
      <c r="P978" s="1526"/>
      <c r="Q978" s="1526"/>
      <c r="R978" s="1526"/>
      <c r="S978" s="1526"/>
      <c r="T978" s="1526"/>
      <c r="U978" s="1526"/>
      <c r="V978" s="1526"/>
      <c r="W978" s="1526"/>
      <c r="X978" s="1526"/>
      <c r="Y978" s="1526"/>
      <c r="Z978" s="974"/>
      <c r="AA978" s="974"/>
      <c r="AB978" s="974"/>
      <c r="AC978" s="974"/>
      <c r="AD978" s="974"/>
      <c r="AE978" s="974"/>
    </row>
    <row r="979">
      <c r="A979" s="1526"/>
      <c r="B979" s="1526"/>
      <c r="C979" s="1526"/>
      <c r="D979" s="1526"/>
      <c r="E979" s="1526"/>
      <c r="F979" s="1526"/>
      <c r="G979" s="1526"/>
      <c r="H979" s="1526"/>
      <c r="I979" s="1526"/>
      <c r="J979" s="1526"/>
      <c r="K979" s="1526"/>
      <c r="L979" s="1526"/>
      <c r="M979" s="1526"/>
      <c r="N979" s="1526"/>
      <c r="O979" s="1526"/>
      <c r="P979" s="1526"/>
      <c r="Q979" s="1526"/>
      <c r="R979" s="1526"/>
      <c r="S979" s="1526"/>
      <c r="T979" s="1526"/>
      <c r="U979" s="1526"/>
      <c r="V979" s="1526"/>
      <c r="W979" s="1526"/>
      <c r="X979" s="1526"/>
      <c r="Y979" s="1526"/>
      <c r="Z979" s="974"/>
      <c r="AA979" s="974"/>
      <c r="AB979" s="974"/>
      <c r="AC979" s="974"/>
      <c r="AD979" s="974"/>
      <c r="AE979" s="974"/>
    </row>
    <row r="980">
      <c r="A980" s="1526"/>
      <c r="B980" s="1526"/>
      <c r="C980" s="1526"/>
      <c r="D980" s="1526"/>
      <c r="E980" s="1526"/>
      <c r="F980" s="1526"/>
      <c r="G980" s="1526"/>
      <c r="H980" s="1526"/>
      <c r="I980" s="1526"/>
      <c r="J980" s="1526"/>
      <c r="K980" s="1526"/>
      <c r="L980" s="1526"/>
      <c r="M980" s="1526"/>
      <c r="N980" s="1526"/>
      <c r="O980" s="1526"/>
      <c r="P980" s="1526"/>
      <c r="Q980" s="1526"/>
      <c r="R980" s="1526"/>
      <c r="S980" s="1526"/>
      <c r="T980" s="1526"/>
      <c r="U980" s="1526"/>
      <c r="V980" s="1526"/>
      <c r="W980" s="1526"/>
      <c r="X980" s="1526"/>
      <c r="Y980" s="1526"/>
      <c r="Z980" s="974"/>
      <c r="AA980" s="974"/>
      <c r="AB980" s="974"/>
      <c r="AC980" s="974"/>
      <c r="AD980" s="974"/>
      <c r="AE980" s="974"/>
    </row>
    <row r="981">
      <c r="A981" s="1526"/>
      <c r="B981" s="1526"/>
      <c r="C981" s="1526"/>
      <c r="D981" s="1526"/>
      <c r="E981" s="1526"/>
      <c r="F981" s="1526"/>
      <c r="G981" s="1526"/>
      <c r="H981" s="1526"/>
      <c r="I981" s="1526"/>
      <c r="J981" s="1526"/>
      <c r="K981" s="1526"/>
      <c r="L981" s="1526"/>
      <c r="M981" s="1526"/>
      <c r="N981" s="1526"/>
      <c r="O981" s="1526"/>
      <c r="P981" s="1526"/>
      <c r="Q981" s="1526"/>
      <c r="R981" s="1526"/>
      <c r="S981" s="1526"/>
      <c r="T981" s="1526"/>
      <c r="U981" s="1526"/>
      <c r="V981" s="1526"/>
      <c r="W981" s="1526"/>
      <c r="X981" s="1526"/>
      <c r="Y981" s="1526"/>
      <c r="Z981" s="974"/>
      <c r="AA981" s="974"/>
      <c r="AB981" s="974"/>
      <c r="AC981" s="974"/>
      <c r="AD981" s="974"/>
      <c r="AE981" s="974"/>
    </row>
    <row r="982">
      <c r="A982" s="1526"/>
      <c r="B982" s="1526"/>
      <c r="C982" s="1526"/>
      <c r="D982" s="1526"/>
      <c r="E982" s="1526"/>
      <c r="F982" s="1526"/>
      <c r="G982" s="1526"/>
      <c r="H982" s="1526"/>
      <c r="I982" s="1526"/>
      <c r="J982" s="1526"/>
      <c r="K982" s="1526"/>
      <c r="L982" s="1526"/>
      <c r="M982" s="1526"/>
      <c r="N982" s="1526"/>
      <c r="O982" s="1526"/>
      <c r="P982" s="1526"/>
      <c r="Q982" s="1526"/>
      <c r="R982" s="1526"/>
      <c r="S982" s="1526"/>
      <c r="T982" s="1526"/>
      <c r="U982" s="1526"/>
      <c r="V982" s="1526"/>
      <c r="W982" s="1526"/>
      <c r="X982" s="1526"/>
      <c r="Y982" s="1526"/>
      <c r="Z982" s="974"/>
      <c r="AA982" s="974"/>
      <c r="AB982" s="974"/>
      <c r="AC982" s="974"/>
      <c r="AD982" s="974"/>
      <c r="AE982" s="974"/>
    </row>
    <row r="983">
      <c r="A983" s="1526"/>
      <c r="B983" s="1526"/>
      <c r="C983" s="1526"/>
      <c r="D983" s="1526"/>
      <c r="E983" s="1526"/>
      <c r="F983" s="1526"/>
      <c r="G983" s="1526"/>
      <c r="H983" s="1526"/>
      <c r="I983" s="1526"/>
      <c r="J983" s="1526"/>
      <c r="K983" s="1526"/>
      <c r="L983" s="1526"/>
      <c r="M983" s="1526"/>
      <c r="N983" s="1526"/>
      <c r="O983" s="1526"/>
      <c r="P983" s="1526"/>
      <c r="Q983" s="1526"/>
      <c r="R983" s="1526"/>
      <c r="S983" s="1526"/>
      <c r="T983" s="1526"/>
      <c r="U983" s="1526"/>
      <c r="V983" s="1526"/>
      <c r="W983" s="1526"/>
      <c r="X983" s="1526"/>
      <c r="Y983" s="1526"/>
      <c r="Z983" s="974"/>
      <c r="AA983" s="974"/>
      <c r="AB983" s="974"/>
      <c r="AC983" s="974"/>
      <c r="AD983" s="974"/>
      <c r="AE983" s="974"/>
    </row>
    <row r="984">
      <c r="A984" s="1526"/>
      <c r="B984" s="1526"/>
      <c r="C984" s="1526"/>
      <c r="D984" s="1526"/>
      <c r="E984" s="1526"/>
      <c r="F984" s="1526"/>
      <c r="G984" s="1526"/>
      <c r="H984" s="1526"/>
      <c r="I984" s="1526"/>
      <c r="J984" s="1526"/>
      <c r="K984" s="1526"/>
      <c r="L984" s="1526"/>
      <c r="M984" s="1526"/>
      <c r="N984" s="1526"/>
      <c r="O984" s="1526"/>
      <c r="P984" s="1526"/>
      <c r="Q984" s="1526"/>
      <c r="R984" s="1526"/>
      <c r="S984" s="1526"/>
      <c r="T984" s="1526"/>
      <c r="U984" s="1526"/>
      <c r="V984" s="1526"/>
      <c r="W984" s="1526"/>
      <c r="X984" s="1526"/>
      <c r="Y984" s="1526"/>
      <c r="Z984" s="974"/>
      <c r="AA984" s="974"/>
      <c r="AB984" s="974"/>
      <c r="AC984" s="974"/>
      <c r="AD984" s="974"/>
      <c r="AE984" s="974"/>
    </row>
    <row r="985">
      <c r="A985" s="1526"/>
      <c r="B985" s="1526"/>
      <c r="C985" s="1526"/>
      <c r="D985" s="1526"/>
      <c r="E985" s="1526"/>
      <c r="F985" s="1526"/>
      <c r="G985" s="1526"/>
      <c r="H985" s="1526"/>
      <c r="I985" s="1526"/>
      <c r="J985" s="1526"/>
      <c r="K985" s="1526"/>
      <c r="L985" s="1526"/>
      <c r="M985" s="1526"/>
      <c r="N985" s="1526"/>
      <c r="O985" s="1526"/>
      <c r="P985" s="1526"/>
      <c r="Q985" s="1526"/>
      <c r="R985" s="1526"/>
      <c r="S985" s="1526"/>
      <c r="T985" s="1526"/>
      <c r="U985" s="1526"/>
      <c r="V985" s="1526"/>
      <c r="W985" s="1526"/>
      <c r="X985" s="1526"/>
      <c r="Y985" s="1526"/>
      <c r="Z985" s="974"/>
      <c r="AA985" s="974"/>
      <c r="AB985" s="974"/>
      <c r="AC985" s="974"/>
      <c r="AD985" s="974"/>
      <c r="AE985" s="974"/>
    </row>
    <row r="986">
      <c r="A986" s="1526"/>
      <c r="B986" s="1526"/>
      <c r="C986" s="1526"/>
      <c r="D986" s="1526"/>
      <c r="E986" s="1526"/>
      <c r="F986" s="1526"/>
      <c r="G986" s="1526"/>
      <c r="H986" s="1526"/>
      <c r="I986" s="1526"/>
      <c r="J986" s="1526"/>
      <c r="K986" s="1526"/>
      <c r="L986" s="1526"/>
      <c r="M986" s="1526"/>
      <c r="N986" s="1526"/>
      <c r="O986" s="1526"/>
      <c r="P986" s="1526"/>
      <c r="Q986" s="1526"/>
      <c r="R986" s="1526"/>
      <c r="S986" s="1526"/>
      <c r="T986" s="1526"/>
      <c r="U986" s="1526"/>
      <c r="V986" s="1526"/>
      <c r="W986" s="1526"/>
      <c r="X986" s="1526"/>
      <c r="Y986" s="1526"/>
      <c r="Z986" s="974"/>
      <c r="AA986" s="974"/>
      <c r="AB986" s="974"/>
      <c r="AC986" s="974"/>
      <c r="AD986" s="974"/>
      <c r="AE986" s="974"/>
    </row>
    <row r="987">
      <c r="A987" s="1526"/>
      <c r="B987" s="1526"/>
      <c r="C987" s="1526"/>
      <c r="D987" s="1526"/>
      <c r="E987" s="1526"/>
      <c r="F987" s="1526"/>
      <c r="G987" s="1526"/>
      <c r="H987" s="1526"/>
      <c r="I987" s="1526"/>
      <c r="J987" s="1526"/>
      <c r="K987" s="1526"/>
      <c r="L987" s="1526"/>
      <c r="M987" s="1526"/>
      <c r="N987" s="1526"/>
      <c r="O987" s="1526"/>
      <c r="P987" s="1526"/>
      <c r="Q987" s="1526"/>
      <c r="R987" s="1526"/>
      <c r="S987" s="1526"/>
      <c r="T987" s="1526"/>
      <c r="U987" s="1526"/>
      <c r="V987" s="1526"/>
      <c r="W987" s="1526"/>
      <c r="X987" s="1526"/>
      <c r="Y987" s="1526"/>
      <c r="Z987" s="974"/>
      <c r="AA987" s="974"/>
      <c r="AB987" s="974"/>
      <c r="AC987" s="974"/>
      <c r="AD987" s="974"/>
      <c r="AE987" s="974"/>
    </row>
    <row r="988">
      <c r="A988" s="1526"/>
      <c r="B988" s="1526"/>
      <c r="C988" s="1526"/>
      <c r="D988" s="1526"/>
      <c r="E988" s="1526"/>
      <c r="F988" s="1526"/>
      <c r="G988" s="1526"/>
      <c r="H988" s="1526"/>
      <c r="I988" s="1526"/>
      <c r="J988" s="1526"/>
      <c r="K988" s="1526"/>
      <c r="L988" s="1526"/>
      <c r="M988" s="1526"/>
      <c r="N988" s="1526"/>
      <c r="O988" s="1526"/>
      <c r="P988" s="1526"/>
      <c r="Q988" s="1526"/>
      <c r="R988" s="1526"/>
      <c r="S988" s="1526"/>
      <c r="T988" s="1526"/>
      <c r="U988" s="1526"/>
      <c r="V988" s="1526"/>
      <c r="W988" s="1526"/>
      <c r="X988" s="1526"/>
      <c r="Y988" s="1526"/>
      <c r="Z988" s="974"/>
      <c r="AA988" s="974"/>
      <c r="AB988" s="974"/>
      <c r="AC988" s="974"/>
      <c r="AD988" s="974"/>
      <c r="AE988" s="974"/>
    </row>
    <row r="989">
      <c r="A989" s="1526"/>
      <c r="B989" s="1526"/>
      <c r="C989" s="1526"/>
      <c r="D989" s="1526"/>
      <c r="E989" s="1526"/>
      <c r="F989" s="1526"/>
      <c r="G989" s="1526"/>
      <c r="H989" s="1526"/>
      <c r="I989" s="1526"/>
      <c r="J989" s="1526"/>
      <c r="K989" s="1526"/>
      <c r="L989" s="1526"/>
      <c r="M989" s="1526"/>
      <c r="N989" s="1526"/>
      <c r="O989" s="1526"/>
      <c r="P989" s="1526"/>
      <c r="Q989" s="1526"/>
      <c r="R989" s="1526"/>
      <c r="S989" s="1526"/>
      <c r="T989" s="1526"/>
      <c r="U989" s="1526"/>
      <c r="V989" s="1526"/>
      <c r="W989" s="1526"/>
      <c r="X989" s="1526"/>
      <c r="Y989" s="1526"/>
      <c r="Z989" s="974"/>
      <c r="AA989" s="974"/>
      <c r="AB989" s="974"/>
      <c r="AC989" s="974"/>
      <c r="AD989" s="974"/>
      <c r="AE989" s="974"/>
    </row>
    <row r="990">
      <c r="A990" s="1526"/>
      <c r="B990" s="1526"/>
      <c r="C990" s="1526"/>
      <c r="D990" s="1526"/>
      <c r="E990" s="1526"/>
      <c r="F990" s="1526"/>
      <c r="G990" s="1526"/>
      <c r="H990" s="1526"/>
      <c r="I990" s="1526"/>
      <c r="J990" s="1526"/>
      <c r="K990" s="1526"/>
      <c r="L990" s="1526"/>
      <c r="M990" s="1526"/>
      <c r="N990" s="1526"/>
      <c r="O990" s="1526"/>
      <c r="P990" s="1526"/>
      <c r="Q990" s="1526"/>
      <c r="R990" s="1526"/>
      <c r="S990" s="1526"/>
      <c r="T990" s="1526"/>
      <c r="U990" s="1526"/>
      <c r="V990" s="1526"/>
      <c r="W990" s="1526"/>
      <c r="X990" s="1526"/>
      <c r="Y990" s="1526"/>
      <c r="Z990" s="974"/>
      <c r="AA990" s="974"/>
      <c r="AB990" s="974"/>
      <c r="AC990" s="974"/>
      <c r="AD990" s="974"/>
      <c r="AE990" s="974"/>
    </row>
    <row r="991">
      <c r="A991" s="1526"/>
      <c r="B991" s="1526"/>
      <c r="C991" s="1526"/>
      <c r="D991" s="1526"/>
      <c r="E991" s="1526"/>
      <c r="F991" s="1526"/>
      <c r="G991" s="1526"/>
      <c r="H991" s="1526"/>
      <c r="I991" s="1526"/>
      <c r="J991" s="1526"/>
      <c r="K991" s="1526"/>
      <c r="L991" s="1526"/>
      <c r="M991" s="1526"/>
      <c r="N991" s="1526"/>
      <c r="O991" s="1526"/>
      <c r="P991" s="1526"/>
      <c r="Q991" s="1526"/>
      <c r="R991" s="1526"/>
      <c r="S991" s="1526"/>
      <c r="T991" s="1526"/>
      <c r="U991" s="1526"/>
      <c r="V991" s="1526"/>
      <c r="W991" s="1526"/>
      <c r="X991" s="1526"/>
      <c r="Y991" s="1526"/>
      <c r="Z991" s="974"/>
      <c r="AA991" s="974"/>
      <c r="AB991" s="974"/>
      <c r="AC991" s="974"/>
      <c r="AD991" s="974"/>
      <c r="AE991" s="974"/>
    </row>
    <row r="992">
      <c r="A992" s="1526"/>
      <c r="B992" s="1526"/>
      <c r="C992" s="1526"/>
      <c r="D992" s="1526"/>
      <c r="E992" s="1526"/>
      <c r="F992" s="1526"/>
      <c r="G992" s="1526"/>
      <c r="H992" s="1526"/>
      <c r="I992" s="1526"/>
      <c r="J992" s="1526"/>
      <c r="K992" s="1526"/>
      <c r="L992" s="1526"/>
      <c r="M992" s="1526"/>
      <c r="N992" s="1526"/>
      <c r="O992" s="1526"/>
      <c r="P992" s="1526"/>
      <c r="Q992" s="1526"/>
      <c r="R992" s="1526"/>
      <c r="S992" s="1526"/>
      <c r="T992" s="1526"/>
      <c r="U992" s="1526"/>
      <c r="V992" s="1526"/>
      <c r="W992" s="1526"/>
      <c r="X992" s="1526"/>
      <c r="Y992" s="1526"/>
      <c r="Z992" s="974"/>
      <c r="AA992" s="974"/>
      <c r="AB992" s="974"/>
      <c r="AC992" s="974"/>
      <c r="AD992" s="974"/>
      <c r="AE992" s="974"/>
    </row>
    <row r="993">
      <c r="A993" s="1526"/>
      <c r="B993" s="1526"/>
      <c r="C993" s="1526"/>
      <c r="D993" s="1526"/>
      <c r="E993" s="1526"/>
      <c r="F993" s="1526"/>
      <c r="G993" s="1526"/>
      <c r="H993" s="1526"/>
      <c r="I993" s="1526"/>
      <c r="J993" s="1526"/>
      <c r="K993" s="1526"/>
      <c r="L993" s="1526"/>
      <c r="M993" s="1526"/>
      <c r="N993" s="1526"/>
      <c r="O993" s="1526"/>
      <c r="P993" s="1526"/>
      <c r="Q993" s="1526"/>
      <c r="R993" s="1526"/>
      <c r="S993" s="1526"/>
      <c r="T993" s="1526"/>
      <c r="U993" s="1526"/>
      <c r="V993" s="1526"/>
      <c r="W993" s="1526"/>
      <c r="X993" s="1526"/>
      <c r="Y993" s="1526"/>
      <c r="Z993" s="974"/>
      <c r="AA993" s="974"/>
      <c r="AB993" s="974"/>
      <c r="AC993" s="974"/>
      <c r="AD993" s="974"/>
      <c r="AE993" s="974"/>
    </row>
    <row r="994">
      <c r="A994" s="1526"/>
      <c r="B994" s="1526"/>
      <c r="C994" s="1526"/>
      <c r="D994" s="1526"/>
      <c r="E994" s="1526"/>
      <c r="F994" s="1526"/>
      <c r="G994" s="1526"/>
      <c r="H994" s="1526"/>
      <c r="I994" s="1526"/>
      <c r="J994" s="1526"/>
      <c r="K994" s="1526"/>
      <c r="L994" s="1526"/>
      <c r="M994" s="1526"/>
      <c r="N994" s="1526"/>
      <c r="O994" s="1526"/>
      <c r="P994" s="1526"/>
      <c r="Q994" s="1526"/>
      <c r="R994" s="1526"/>
      <c r="S994" s="1526"/>
      <c r="T994" s="1526"/>
      <c r="U994" s="1526"/>
      <c r="V994" s="1526"/>
      <c r="W994" s="1526"/>
      <c r="X994" s="1526"/>
      <c r="Y994" s="1526"/>
      <c r="Z994" s="974"/>
      <c r="AA994" s="974"/>
      <c r="AB994" s="974"/>
      <c r="AC994" s="974"/>
      <c r="AD994" s="974"/>
      <c r="AE994" s="974"/>
    </row>
    <row r="995">
      <c r="A995" s="1526"/>
      <c r="B995" s="1526"/>
      <c r="C995" s="1526"/>
      <c r="D995" s="1526"/>
      <c r="E995" s="1526"/>
      <c r="F995" s="1526"/>
      <c r="G995" s="1526"/>
      <c r="H995" s="1526"/>
      <c r="I995" s="1526"/>
      <c r="J995" s="1526"/>
      <c r="K995" s="1526"/>
      <c r="L995" s="1526"/>
      <c r="M995" s="1526"/>
      <c r="N995" s="1526"/>
      <c r="O995" s="1526"/>
      <c r="P995" s="1526"/>
      <c r="Q995" s="1526"/>
      <c r="R995" s="1526"/>
      <c r="S995" s="1526"/>
      <c r="T995" s="1526"/>
      <c r="U995" s="1526"/>
      <c r="V995" s="1526"/>
      <c r="W995" s="1526"/>
      <c r="X995" s="1526"/>
      <c r="Y995" s="1526"/>
      <c r="Z995" s="974"/>
      <c r="AA995" s="974"/>
      <c r="AB995" s="974"/>
      <c r="AC995" s="974"/>
      <c r="AD995" s="974"/>
      <c r="AE995" s="974"/>
    </row>
    <row r="996">
      <c r="A996" s="1526"/>
      <c r="B996" s="1526"/>
      <c r="C996" s="1526"/>
      <c r="D996" s="1526"/>
      <c r="E996" s="1526"/>
      <c r="F996" s="1526"/>
      <c r="G996" s="1526"/>
      <c r="H996" s="1526"/>
      <c r="I996" s="1526"/>
      <c r="J996" s="1526"/>
      <c r="K996" s="1526"/>
      <c r="L996" s="1526"/>
      <c r="M996" s="1526"/>
      <c r="N996" s="1526"/>
      <c r="O996" s="1526"/>
      <c r="P996" s="1526"/>
      <c r="Q996" s="1526"/>
      <c r="R996" s="1526"/>
      <c r="S996" s="1526"/>
      <c r="T996" s="1526"/>
      <c r="U996" s="1526"/>
      <c r="V996" s="1526"/>
      <c r="W996" s="1526"/>
      <c r="X996" s="1526"/>
      <c r="Y996" s="1526"/>
      <c r="Z996" s="974"/>
      <c r="AA996" s="974"/>
      <c r="AB996" s="974"/>
      <c r="AC996" s="974"/>
      <c r="AD996" s="974"/>
      <c r="AE996" s="974"/>
    </row>
    <row r="997">
      <c r="A997" s="1526"/>
      <c r="B997" s="1526"/>
      <c r="C997" s="1526"/>
      <c r="D997" s="1526"/>
      <c r="E997" s="1526"/>
      <c r="F997" s="1526"/>
      <c r="G997" s="1526"/>
      <c r="H997" s="1526"/>
      <c r="I997" s="1526"/>
      <c r="J997" s="1526"/>
      <c r="K997" s="1526"/>
      <c r="L997" s="1526"/>
      <c r="M997" s="1526"/>
      <c r="N997" s="1526"/>
      <c r="O997" s="1526"/>
      <c r="P997" s="1526"/>
      <c r="Q997" s="1526"/>
      <c r="R997" s="1526"/>
      <c r="S997" s="1526"/>
      <c r="T997" s="1526"/>
      <c r="U997" s="1526"/>
      <c r="V997" s="1526"/>
      <c r="W997" s="1526"/>
      <c r="X997" s="1526"/>
      <c r="Y997" s="1526"/>
      <c r="Z997" s="974"/>
      <c r="AA997" s="974"/>
      <c r="AB997" s="974"/>
      <c r="AC997" s="974"/>
      <c r="AD997" s="974"/>
      <c r="AE997" s="974"/>
    </row>
    <row r="998">
      <c r="A998" s="1526"/>
      <c r="B998" s="1526"/>
      <c r="C998" s="1526"/>
      <c r="D998" s="1526"/>
      <c r="E998" s="1526"/>
      <c r="F998" s="1526"/>
      <c r="G998" s="1526"/>
      <c r="H998" s="1526"/>
      <c r="I998" s="1526"/>
      <c r="J998" s="1526"/>
      <c r="K998" s="1526"/>
      <c r="L998" s="1526"/>
      <c r="M998" s="1526"/>
      <c r="N998" s="1526"/>
      <c r="O998" s="1526"/>
      <c r="P998" s="1526"/>
      <c r="Q998" s="1526"/>
      <c r="R998" s="1526"/>
      <c r="S998" s="1526"/>
      <c r="T998" s="1526"/>
      <c r="U998" s="1526"/>
      <c r="V998" s="1526"/>
      <c r="W998" s="1526"/>
      <c r="X998" s="1526"/>
      <c r="Y998" s="1526"/>
      <c r="Z998" s="974"/>
      <c r="AA998" s="974"/>
      <c r="AB998" s="974"/>
      <c r="AC998" s="974"/>
      <c r="AD998" s="974"/>
      <c r="AE998" s="974"/>
    </row>
    <row r="999">
      <c r="A999" s="1526"/>
      <c r="B999" s="1526"/>
      <c r="C999" s="1526"/>
      <c r="D999" s="1526"/>
      <c r="E999" s="1526"/>
      <c r="F999" s="1526"/>
      <c r="G999" s="1526"/>
      <c r="H999" s="1526"/>
      <c r="I999" s="1526"/>
      <c r="J999" s="1526"/>
      <c r="K999" s="1526"/>
      <c r="L999" s="1526"/>
      <c r="M999" s="1526"/>
      <c r="N999" s="1526"/>
      <c r="O999" s="1526"/>
      <c r="P999" s="1526"/>
      <c r="Q999" s="1526"/>
      <c r="R999" s="1526"/>
      <c r="S999" s="1526"/>
      <c r="T999" s="1526"/>
      <c r="U999" s="1526"/>
      <c r="V999" s="1526"/>
      <c r="W999" s="1526"/>
      <c r="X999" s="1526"/>
      <c r="Y999" s="1526"/>
      <c r="Z999" s="974"/>
      <c r="AA999" s="974"/>
      <c r="AB999" s="974"/>
      <c r="AC999" s="974"/>
      <c r="AD999" s="974"/>
      <c r="AE999" s="974"/>
    </row>
    <row r="1000">
      <c r="A1000" s="1526"/>
      <c r="B1000" s="1526"/>
      <c r="C1000" s="1526"/>
      <c r="D1000" s="1526"/>
      <c r="E1000" s="1526"/>
      <c r="F1000" s="1526"/>
      <c r="G1000" s="1526"/>
      <c r="H1000" s="1526"/>
      <c r="I1000" s="1526"/>
      <c r="J1000" s="1526"/>
      <c r="K1000" s="1526"/>
      <c r="L1000" s="1526"/>
      <c r="M1000" s="1526"/>
      <c r="N1000" s="1526"/>
      <c r="O1000" s="1526"/>
      <c r="P1000" s="1526"/>
      <c r="Q1000" s="1526"/>
      <c r="R1000" s="1526"/>
      <c r="S1000" s="1526"/>
      <c r="T1000" s="1526"/>
      <c r="U1000" s="1526"/>
      <c r="V1000" s="1526"/>
      <c r="W1000" s="1526"/>
      <c r="X1000" s="1526"/>
      <c r="Y1000" s="1526"/>
      <c r="Z1000" s="974"/>
      <c r="AA1000" s="974"/>
      <c r="AB1000" s="974"/>
      <c r="AC1000" s="974"/>
      <c r="AD1000" s="974"/>
      <c r="AE1000" s="974"/>
    </row>
    <row r="1001">
      <c r="A1001" s="1526"/>
      <c r="B1001" s="1526"/>
      <c r="C1001" s="1526"/>
      <c r="D1001" s="1526"/>
      <c r="E1001" s="1526"/>
      <c r="F1001" s="1526"/>
      <c r="G1001" s="1526"/>
      <c r="H1001" s="1526"/>
      <c r="I1001" s="1526"/>
      <c r="J1001" s="1526"/>
      <c r="K1001" s="1526"/>
      <c r="L1001" s="1526"/>
      <c r="M1001" s="1526"/>
      <c r="N1001" s="1526"/>
      <c r="O1001" s="1526"/>
      <c r="P1001" s="1526"/>
      <c r="Q1001" s="1526"/>
      <c r="R1001" s="1526"/>
      <c r="S1001" s="1526"/>
      <c r="T1001" s="1526"/>
      <c r="U1001" s="1526"/>
      <c r="V1001" s="1526"/>
      <c r="W1001" s="1526"/>
      <c r="X1001" s="1526"/>
      <c r="Y1001" s="1526"/>
      <c r="Z1001" s="974"/>
      <c r="AA1001" s="974"/>
      <c r="AB1001" s="974"/>
      <c r="AC1001" s="974"/>
      <c r="AD1001" s="974"/>
      <c r="AE1001" s="974"/>
    </row>
    <row r="1002">
      <c r="A1002" s="1526"/>
      <c r="B1002" s="1526"/>
      <c r="C1002" s="1526"/>
      <c r="D1002" s="1526"/>
      <c r="E1002" s="1526"/>
      <c r="F1002" s="1526"/>
      <c r="G1002" s="1526"/>
      <c r="H1002" s="1526"/>
      <c r="I1002" s="1526"/>
      <c r="J1002" s="1526"/>
      <c r="K1002" s="1526"/>
      <c r="L1002" s="1526"/>
      <c r="M1002" s="1526"/>
      <c r="N1002" s="1526"/>
      <c r="O1002" s="1526"/>
      <c r="P1002" s="1526"/>
      <c r="Q1002" s="1526"/>
      <c r="R1002" s="1526"/>
      <c r="S1002" s="1526"/>
      <c r="T1002" s="1526"/>
      <c r="U1002" s="1526"/>
      <c r="V1002" s="1526"/>
      <c r="W1002" s="1526"/>
      <c r="X1002" s="1526"/>
      <c r="Y1002" s="1526"/>
      <c r="Z1002" s="974"/>
      <c r="AA1002" s="974"/>
      <c r="AB1002" s="974"/>
      <c r="AC1002" s="974"/>
      <c r="AD1002" s="974"/>
      <c r="AE1002" s="974"/>
    </row>
    <row r="1003">
      <c r="A1003" s="1526"/>
      <c r="B1003" s="1526"/>
      <c r="C1003" s="1526"/>
      <c r="D1003" s="1526"/>
      <c r="E1003" s="1526"/>
      <c r="F1003" s="1526"/>
      <c r="G1003" s="1526"/>
      <c r="H1003" s="1526"/>
      <c r="I1003" s="1526"/>
      <c r="J1003" s="1526"/>
      <c r="K1003" s="1526"/>
      <c r="L1003" s="1526"/>
      <c r="M1003" s="1526"/>
      <c r="N1003" s="1526"/>
      <c r="O1003" s="1526"/>
      <c r="P1003" s="1526"/>
      <c r="Q1003" s="1526"/>
      <c r="R1003" s="1526"/>
      <c r="S1003" s="1526"/>
      <c r="T1003" s="1526"/>
      <c r="U1003" s="1526"/>
      <c r="V1003" s="1526"/>
      <c r="W1003" s="1526"/>
      <c r="X1003" s="1526"/>
      <c r="Y1003" s="1526"/>
      <c r="Z1003" s="974"/>
      <c r="AA1003" s="974"/>
      <c r="AB1003" s="974"/>
      <c r="AC1003" s="974"/>
      <c r="AD1003" s="974"/>
      <c r="AE1003" s="97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37" t="s">
        <v>5102</v>
      </c>
      <c r="F1" s="1538" t="s">
        <v>5103</v>
      </c>
      <c r="G1" s="1539">
        <v>89.0</v>
      </c>
      <c r="H1" s="1464"/>
      <c r="I1" s="1464"/>
      <c r="J1" s="1537" t="s">
        <v>5104</v>
      </c>
      <c r="P1" s="1464"/>
      <c r="Q1" s="1464"/>
      <c r="R1" s="1464"/>
      <c r="S1" s="1464"/>
      <c r="T1" s="1464"/>
      <c r="U1" s="1464"/>
      <c r="V1" s="1464"/>
      <c r="W1" s="1464"/>
      <c r="X1" s="1464"/>
      <c r="Y1" s="1464"/>
      <c r="Z1" s="1464"/>
      <c r="AA1" s="1464"/>
      <c r="AB1" s="1464"/>
    </row>
    <row r="2">
      <c r="A2" s="1540" t="s">
        <v>3626</v>
      </c>
      <c r="B2" s="1540" t="s">
        <v>602</v>
      </c>
      <c r="C2" s="1540" t="s">
        <v>3627</v>
      </c>
      <c r="D2" s="1540" t="s">
        <v>3633</v>
      </c>
      <c r="E2" s="1540" t="s">
        <v>5105</v>
      </c>
      <c r="F2" s="1538" t="s">
        <v>5106</v>
      </c>
      <c r="G2" s="1464"/>
      <c r="H2" s="1464"/>
      <c r="I2" s="1464"/>
      <c r="J2" s="1540" t="s">
        <v>3626</v>
      </c>
      <c r="K2" s="1540" t="s">
        <v>602</v>
      </c>
      <c r="L2" s="1540" t="s">
        <v>3627</v>
      </c>
      <c r="M2" s="1540" t="s">
        <v>3633</v>
      </c>
      <c r="N2" s="1540" t="s">
        <v>5107</v>
      </c>
      <c r="O2" s="1540" t="s">
        <v>3629</v>
      </c>
      <c r="P2" s="1464"/>
      <c r="Q2" s="1464"/>
      <c r="R2" s="1464"/>
      <c r="S2" s="1464"/>
      <c r="T2" s="1464"/>
      <c r="U2" s="1464"/>
      <c r="V2" s="1464"/>
      <c r="W2" s="1464"/>
      <c r="X2" s="1464"/>
      <c r="Y2" s="1464"/>
      <c r="Z2" s="1464"/>
      <c r="AA2" s="1464"/>
      <c r="AB2" s="1464"/>
    </row>
    <row r="3">
      <c r="A3" s="1541" t="s">
        <v>3106</v>
      </c>
      <c r="B3" s="1542">
        <v>82000.0</v>
      </c>
      <c r="C3" s="1543">
        <v>2013.0</v>
      </c>
      <c r="D3" s="1541" t="s">
        <v>3659</v>
      </c>
      <c r="E3" s="1541" t="s">
        <v>5108</v>
      </c>
      <c r="F3" s="1544">
        <v>45078.0</v>
      </c>
      <c r="G3" s="1464"/>
      <c r="H3" s="1464"/>
      <c r="I3" s="1464"/>
      <c r="J3" s="1545"/>
      <c r="K3" s="1546"/>
      <c r="L3" s="1545"/>
      <c r="M3" s="1545"/>
      <c r="N3" s="1547"/>
      <c r="O3" s="1545"/>
      <c r="P3" s="1464"/>
      <c r="Q3" s="1464"/>
      <c r="R3" s="1464"/>
      <c r="S3" s="1464"/>
      <c r="T3" s="1464"/>
      <c r="U3" s="1464"/>
      <c r="V3" s="1464"/>
      <c r="W3" s="1464"/>
      <c r="X3" s="1464"/>
      <c r="Y3" s="1464"/>
      <c r="Z3" s="1464"/>
      <c r="AA3" s="1464"/>
      <c r="AB3" s="1464"/>
    </row>
    <row r="4">
      <c r="A4" s="1541" t="s">
        <v>3450</v>
      </c>
      <c r="B4" s="1542">
        <v>84000.0</v>
      </c>
      <c r="C4" s="1543">
        <v>2015.0</v>
      </c>
      <c r="D4" s="1541" t="s">
        <v>5109</v>
      </c>
      <c r="E4" s="1541" t="s">
        <v>5110</v>
      </c>
      <c r="F4" s="1548">
        <v>2023.0</v>
      </c>
      <c r="G4" s="1464"/>
      <c r="H4" s="1464"/>
      <c r="I4" s="1464"/>
      <c r="J4" s="1545"/>
      <c r="K4" s="1546"/>
      <c r="L4" s="1545"/>
      <c r="M4" s="1545"/>
      <c r="N4" s="1547"/>
      <c r="O4" s="1545"/>
      <c r="P4" s="1464"/>
      <c r="Q4" s="1464"/>
      <c r="R4" s="1464"/>
      <c r="S4" s="1464"/>
      <c r="T4" s="1464"/>
      <c r="U4" s="1464"/>
      <c r="V4" s="1464"/>
      <c r="W4" s="1464"/>
      <c r="X4" s="1464"/>
      <c r="Y4" s="1464"/>
      <c r="Z4" s="1464"/>
      <c r="AA4" s="1464"/>
      <c r="AB4" s="1464"/>
    </row>
    <row r="5">
      <c r="A5" s="1541" t="s">
        <v>3362</v>
      </c>
      <c r="B5" s="1542">
        <v>84000.0</v>
      </c>
      <c r="C5" s="1543">
        <v>2015.0</v>
      </c>
      <c r="D5" s="1541" t="s">
        <v>5109</v>
      </c>
      <c r="E5" s="1541" t="s">
        <v>5110</v>
      </c>
      <c r="F5" s="1548">
        <v>2023.0</v>
      </c>
      <c r="G5" s="1464"/>
      <c r="H5" s="1464"/>
      <c r="I5" s="1464"/>
      <c r="J5" s="1545"/>
      <c r="K5" s="1546"/>
      <c r="L5" s="1545"/>
      <c r="M5" s="1545"/>
      <c r="N5" s="1547"/>
      <c r="O5" s="1545"/>
      <c r="P5" s="1464"/>
      <c r="Q5" s="1464"/>
      <c r="R5" s="1464"/>
      <c r="S5" s="1464"/>
      <c r="T5" s="1464"/>
      <c r="U5" s="1464"/>
      <c r="V5" s="1464"/>
      <c r="W5" s="1464"/>
      <c r="X5" s="1464"/>
      <c r="Y5" s="1464"/>
      <c r="Z5" s="1464"/>
      <c r="AA5" s="1464"/>
      <c r="AB5" s="1464"/>
    </row>
    <row r="6">
      <c r="A6" s="1541" t="s">
        <v>4882</v>
      </c>
      <c r="B6" s="1542">
        <v>84000.0</v>
      </c>
      <c r="C6" s="1543">
        <v>2016.0</v>
      </c>
      <c r="D6" s="1541" t="s">
        <v>5109</v>
      </c>
      <c r="E6" s="1541" t="s">
        <v>5110</v>
      </c>
      <c r="F6" s="1548">
        <v>2023.0</v>
      </c>
      <c r="G6" s="1464"/>
      <c r="H6" s="1464"/>
      <c r="I6" s="1464"/>
      <c r="J6" s="1545"/>
      <c r="K6" s="1546"/>
      <c r="L6" s="1545"/>
      <c r="M6" s="1545"/>
      <c r="N6" s="1547"/>
      <c r="O6" s="1545"/>
      <c r="P6" s="1464"/>
      <c r="Q6" s="1464"/>
      <c r="R6" s="1464"/>
      <c r="S6" s="1464"/>
      <c r="T6" s="1464"/>
      <c r="U6" s="1464"/>
      <c r="V6" s="1464"/>
      <c r="W6" s="1464"/>
      <c r="X6" s="1464"/>
      <c r="Y6" s="1464"/>
      <c r="Z6" s="1464"/>
      <c r="AA6" s="1464"/>
      <c r="AB6" s="1464"/>
    </row>
    <row r="7">
      <c r="A7" s="1541" t="s">
        <v>3398</v>
      </c>
      <c r="B7" s="1542">
        <v>84000.0</v>
      </c>
      <c r="C7" s="1543">
        <v>2015.0</v>
      </c>
      <c r="D7" s="1541" t="s">
        <v>5109</v>
      </c>
      <c r="E7" s="1541" t="s">
        <v>5110</v>
      </c>
      <c r="F7" s="1549" t="s">
        <v>5111</v>
      </c>
      <c r="G7" s="1464"/>
      <c r="H7" s="1464"/>
      <c r="I7" s="1464"/>
      <c r="J7" s="1550" t="s">
        <v>3408</v>
      </c>
      <c r="K7" s="1551">
        <v>84100.0</v>
      </c>
      <c r="L7" s="1552">
        <v>2015.0</v>
      </c>
      <c r="M7" s="1550" t="s">
        <v>2935</v>
      </c>
      <c r="N7" s="1553">
        <v>44105.0</v>
      </c>
      <c r="O7" s="1550" t="s">
        <v>5112</v>
      </c>
      <c r="P7" s="1483" t="s">
        <v>5113</v>
      </c>
      <c r="Q7" s="1538" t="s">
        <v>5114</v>
      </c>
      <c r="R7" s="1464"/>
      <c r="S7" s="1464"/>
      <c r="T7" s="1464"/>
      <c r="U7" s="1464"/>
      <c r="V7" s="1464"/>
      <c r="W7" s="1464"/>
      <c r="X7" s="1464"/>
      <c r="Y7" s="1464"/>
      <c r="Z7" s="1464"/>
      <c r="AA7" s="1464"/>
      <c r="AB7" s="1464"/>
    </row>
    <row r="8">
      <c r="A8" s="1554" t="s">
        <v>3801</v>
      </c>
      <c r="B8" s="1555">
        <v>84000.0</v>
      </c>
      <c r="C8" s="1556">
        <v>2017.0</v>
      </c>
      <c r="D8" s="1554" t="s">
        <v>3083</v>
      </c>
      <c r="E8" s="1554" t="s">
        <v>5115</v>
      </c>
      <c r="F8" s="1557">
        <v>44856.0</v>
      </c>
      <c r="G8" s="1464"/>
      <c r="H8" s="1464"/>
      <c r="I8" s="1464"/>
      <c r="J8" s="1550" t="s">
        <v>3434</v>
      </c>
      <c r="K8" s="1551">
        <v>84200.0</v>
      </c>
      <c r="L8" s="1552">
        <v>2015.0</v>
      </c>
      <c r="M8" s="1550" t="s">
        <v>2935</v>
      </c>
      <c r="N8" s="1553">
        <v>44136.0</v>
      </c>
      <c r="O8" s="1550" t="s">
        <v>5112</v>
      </c>
      <c r="P8" s="1483" t="s">
        <v>5113</v>
      </c>
      <c r="Q8" s="1538" t="s">
        <v>5116</v>
      </c>
      <c r="R8" s="1539">
        <v>36.0</v>
      </c>
      <c r="S8" s="1464"/>
      <c r="T8" s="1464"/>
      <c r="U8" s="1464"/>
      <c r="V8" s="1464"/>
      <c r="W8" s="1464"/>
      <c r="X8" s="1464"/>
      <c r="Y8" s="1464"/>
      <c r="Z8" s="1464"/>
      <c r="AA8" s="1464"/>
      <c r="AB8" s="1464"/>
    </row>
    <row r="9">
      <c r="A9" s="1483" t="s">
        <v>4084</v>
      </c>
      <c r="B9" s="1558">
        <v>78000.0</v>
      </c>
      <c r="C9" s="1558">
        <v>2012.0</v>
      </c>
      <c r="D9" s="1559" t="s">
        <v>3083</v>
      </c>
      <c r="E9" s="1554" t="s">
        <v>5115</v>
      </c>
      <c r="F9" s="1557">
        <v>44614.0</v>
      </c>
      <c r="G9" s="1464"/>
      <c r="H9" s="1464"/>
      <c r="I9" s="1464"/>
      <c r="J9" s="1550" t="s">
        <v>3438</v>
      </c>
      <c r="K9" s="1551">
        <v>84200.0</v>
      </c>
      <c r="L9" s="1552">
        <v>2015.0</v>
      </c>
      <c r="M9" s="1550" t="s">
        <v>2935</v>
      </c>
      <c r="N9" s="1553">
        <v>44166.0</v>
      </c>
      <c r="O9" s="1550" t="s">
        <v>5112</v>
      </c>
      <c r="P9" s="1483" t="s">
        <v>5113</v>
      </c>
      <c r="Q9" s="1538" t="s">
        <v>44</v>
      </c>
      <c r="R9" s="1539">
        <v>66.0</v>
      </c>
      <c r="S9" s="1464"/>
      <c r="T9" s="1464"/>
      <c r="U9" s="1464"/>
      <c r="V9" s="1464"/>
      <c r="W9" s="1464"/>
      <c r="X9" s="1464"/>
      <c r="Y9" s="1464"/>
      <c r="Z9" s="1464"/>
      <c r="AA9" s="1464"/>
      <c r="AB9" s="1464"/>
    </row>
    <row r="10">
      <c r="A10" s="1554" t="s">
        <v>4187</v>
      </c>
      <c r="B10" s="1555">
        <v>84000.0</v>
      </c>
      <c r="C10" s="1556">
        <v>2021.0</v>
      </c>
      <c r="D10" s="1554" t="s">
        <v>3652</v>
      </c>
      <c r="E10" s="1554" t="s">
        <v>5110</v>
      </c>
      <c r="F10" s="1557">
        <v>44490.0</v>
      </c>
      <c r="G10" s="1464"/>
      <c r="H10" s="1464"/>
      <c r="I10" s="1464"/>
      <c r="J10" s="1550" t="s">
        <v>3374</v>
      </c>
      <c r="K10" s="1551">
        <v>84200.0</v>
      </c>
      <c r="L10" s="1552">
        <v>2015.0</v>
      </c>
      <c r="M10" s="1550" t="s">
        <v>2935</v>
      </c>
      <c r="N10" s="1553">
        <v>44166.0</v>
      </c>
      <c r="O10" s="1550" t="s">
        <v>5112</v>
      </c>
      <c r="P10" s="1483" t="s">
        <v>5113</v>
      </c>
      <c r="Q10" s="1538" t="s">
        <v>1212</v>
      </c>
      <c r="R10" s="1539">
        <f>sum(R8:R9)</f>
        <v>102</v>
      </c>
      <c r="S10" s="1464"/>
      <c r="T10" s="1464"/>
      <c r="U10" s="1464"/>
      <c r="V10" s="1464"/>
      <c r="W10" s="1464"/>
      <c r="X10" s="1464"/>
      <c r="Y10" s="1464"/>
      <c r="Z10" s="1464"/>
      <c r="AA10" s="1464"/>
      <c r="AB10" s="1464"/>
    </row>
    <row r="11">
      <c r="A11" s="1554" t="s">
        <v>4485</v>
      </c>
      <c r="B11" s="1555">
        <v>84000.0</v>
      </c>
      <c r="C11" s="1556">
        <v>2021.0</v>
      </c>
      <c r="D11" s="1554" t="s">
        <v>3083</v>
      </c>
      <c r="E11" s="1554" t="s">
        <v>5110</v>
      </c>
      <c r="F11" s="1557">
        <v>44490.0</v>
      </c>
      <c r="G11" s="1464"/>
      <c r="H11" s="1464"/>
      <c r="I11" s="1464"/>
      <c r="J11" s="1550" t="s">
        <v>4873</v>
      </c>
      <c r="K11" s="1551">
        <v>84000.0</v>
      </c>
      <c r="L11" s="1552">
        <v>2016.0</v>
      </c>
      <c r="M11" s="1550" t="s">
        <v>2935</v>
      </c>
      <c r="N11" s="1553">
        <v>44287.0</v>
      </c>
      <c r="O11" s="1550" t="s">
        <v>5112</v>
      </c>
      <c r="P11" s="1483" t="s">
        <v>5113</v>
      </c>
      <c r="Q11" s="1538" t="s">
        <v>5117</v>
      </c>
      <c r="R11" s="1464"/>
      <c r="S11" s="1464"/>
      <c r="T11" s="1464"/>
      <c r="U11" s="1464"/>
      <c r="V11" s="1464"/>
      <c r="W11" s="1464"/>
      <c r="X11" s="1464"/>
      <c r="Y11" s="1464"/>
      <c r="Z11" s="1464"/>
      <c r="AA11" s="1464"/>
      <c r="AB11" s="1464"/>
    </row>
    <row r="12">
      <c r="A12" s="1554" t="s">
        <v>4131</v>
      </c>
      <c r="B12" s="1555">
        <v>84000.0</v>
      </c>
      <c r="C12" s="1556">
        <v>2021.0</v>
      </c>
      <c r="D12" s="1554" t="s">
        <v>3652</v>
      </c>
      <c r="E12" s="1554" t="s">
        <v>5110</v>
      </c>
      <c r="F12" s="1557">
        <v>44398.0</v>
      </c>
      <c r="G12" s="1464"/>
      <c r="H12" s="1464"/>
      <c r="I12" s="1464"/>
      <c r="J12" s="1550" t="s">
        <v>4874</v>
      </c>
      <c r="K12" s="1551">
        <v>83800.0</v>
      </c>
      <c r="L12" s="1552">
        <v>2016.0</v>
      </c>
      <c r="M12" s="1550" t="s">
        <v>2935</v>
      </c>
      <c r="N12" s="1560">
        <v>44317.0</v>
      </c>
      <c r="O12" s="1550" t="s">
        <v>5112</v>
      </c>
      <c r="P12" s="1483" t="s">
        <v>5113</v>
      </c>
      <c r="Q12" s="1464"/>
      <c r="R12" s="1464"/>
      <c r="S12" s="1464"/>
      <c r="T12" s="1464"/>
      <c r="U12" s="1464"/>
      <c r="V12" s="1464"/>
      <c r="W12" s="1464"/>
      <c r="X12" s="1464"/>
      <c r="Y12" s="1464"/>
      <c r="Z12" s="1464"/>
      <c r="AA12" s="1464"/>
      <c r="AB12" s="1464"/>
    </row>
    <row r="13">
      <c r="A13" s="1554" t="s">
        <v>4102</v>
      </c>
      <c r="B13" s="1555">
        <v>84000.0</v>
      </c>
      <c r="C13" s="1556">
        <v>2021.0</v>
      </c>
      <c r="D13" s="1554" t="s">
        <v>3652</v>
      </c>
      <c r="E13" s="1554" t="s">
        <v>5110</v>
      </c>
      <c r="F13" s="1557">
        <v>44368.0</v>
      </c>
      <c r="G13" s="1464"/>
      <c r="H13" s="1464"/>
      <c r="I13" s="1464"/>
      <c r="J13" s="1550" t="s">
        <v>4870</v>
      </c>
      <c r="K13" s="1551">
        <v>84100.0</v>
      </c>
      <c r="L13" s="1552">
        <v>2016.0</v>
      </c>
      <c r="M13" s="1550" t="s">
        <v>2935</v>
      </c>
      <c r="N13" s="1560">
        <v>44317.0</v>
      </c>
      <c r="O13" s="1550" t="s">
        <v>5112</v>
      </c>
      <c r="P13" s="1483" t="s">
        <v>5113</v>
      </c>
      <c r="Q13" s="1538" t="s">
        <v>5118</v>
      </c>
      <c r="R13" s="1561">
        <v>4.0</v>
      </c>
      <c r="S13" s="1464"/>
      <c r="T13" s="1464"/>
      <c r="U13" s="1464"/>
      <c r="V13" s="1464"/>
      <c r="W13" s="1464"/>
      <c r="X13" s="1464"/>
      <c r="Y13" s="1464"/>
      <c r="Z13" s="1464"/>
      <c r="AA13" s="1464"/>
      <c r="AB13" s="1464"/>
    </row>
    <row r="14">
      <c r="A14" s="1554" t="s">
        <v>4241</v>
      </c>
      <c r="B14" s="1555">
        <v>83000.0</v>
      </c>
      <c r="C14" s="1556">
        <v>2016.0</v>
      </c>
      <c r="D14" s="1554" t="s">
        <v>4174</v>
      </c>
      <c r="E14" s="1554" t="s">
        <v>5119</v>
      </c>
      <c r="F14" s="1557">
        <v>44702.0</v>
      </c>
      <c r="G14" s="1464"/>
      <c r="H14" s="1464"/>
      <c r="I14" s="1464"/>
      <c r="J14" s="1550" t="s">
        <v>4872</v>
      </c>
      <c r="K14" s="1551">
        <v>84100.0</v>
      </c>
      <c r="L14" s="1552">
        <v>2016.0</v>
      </c>
      <c r="M14" s="1550" t="s">
        <v>2935</v>
      </c>
      <c r="N14" s="1553">
        <v>44348.0</v>
      </c>
      <c r="O14" s="1550" t="s">
        <v>5112</v>
      </c>
      <c r="P14" s="1483" t="s">
        <v>5113</v>
      </c>
      <c r="Q14" s="1464"/>
      <c r="R14" s="1464"/>
      <c r="S14" s="1464"/>
      <c r="T14" s="1464"/>
      <c r="U14" s="1464"/>
      <c r="V14" s="1464"/>
      <c r="W14" s="1464"/>
      <c r="X14" s="1464"/>
      <c r="Y14" s="1464"/>
      <c r="Z14" s="1464"/>
      <c r="AA14" s="1464"/>
      <c r="AB14" s="1464"/>
    </row>
    <row r="15">
      <c r="A15" s="1554" t="s">
        <v>4834</v>
      </c>
      <c r="B15" s="1555">
        <v>82000.0</v>
      </c>
      <c r="C15" s="1556">
        <v>2018.0</v>
      </c>
      <c r="D15" s="1554" t="s">
        <v>3984</v>
      </c>
      <c r="E15" s="1554" t="s">
        <v>5120</v>
      </c>
      <c r="F15" s="1557">
        <v>44337.0</v>
      </c>
      <c r="G15" s="1464"/>
      <c r="H15" s="1464"/>
      <c r="I15" s="1464"/>
      <c r="J15" s="1550" t="s">
        <v>4867</v>
      </c>
      <c r="K15" s="1551">
        <v>84100.0</v>
      </c>
      <c r="L15" s="1552">
        <v>2016.0</v>
      </c>
      <c r="M15" s="1550" t="s">
        <v>2935</v>
      </c>
      <c r="N15" s="1560">
        <v>44378.0</v>
      </c>
      <c r="O15" s="1550" t="s">
        <v>5112</v>
      </c>
      <c r="P15" s="1483" t="s">
        <v>5113</v>
      </c>
      <c r="Q15" s="1464"/>
      <c r="R15" s="1464"/>
      <c r="S15" s="1464"/>
      <c r="T15" s="1464"/>
      <c r="U15" s="1464"/>
      <c r="V15" s="1464"/>
      <c r="W15" s="1464"/>
      <c r="X15" s="1464"/>
      <c r="Y15" s="1464"/>
      <c r="Z15" s="1464"/>
      <c r="AA15" s="1464"/>
      <c r="AB15" s="1464"/>
    </row>
    <row r="16">
      <c r="A16" s="1554" t="s">
        <v>3413</v>
      </c>
      <c r="B16" s="1555">
        <v>84000.0</v>
      </c>
      <c r="C16" s="1556">
        <v>2015.0</v>
      </c>
      <c r="D16" s="1554" t="s">
        <v>5109</v>
      </c>
      <c r="E16" s="1554" t="s">
        <v>5121</v>
      </c>
      <c r="F16" s="1557">
        <v>44337.0</v>
      </c>
      <c r="G16" s="1464"/>
      <c r="H16" s="1464"/>
      <c r="I16" s="1464"/>
      <c r="J16" s="1550" t="s">
        <v>4871</v>
      </c>
      <c r="K16" s="1551">
        <v>84100.0</v>
      </c>
      <c r="L16" s="1552">
        <v>2016.0</v>
      </c>
      <c r="M16" s="1550" t="s">
        <v>2935</v>
      </c>
      <c r="N16" s="1560">
        <v>44409.0</v>
      </c>
      <c r="O16" s="1550" t="s">
        <v>5112</v>
      </c>
      <c r="P16" s="1483" t="s">
        <v>5113</v>
      </c>
      <c r="Q16" s="1464"/>
      <c r="R16" s="1464"/>
      <c r="S16" s="1464"/>
      <c r="T16" s="1464"/>
      <c r="U16" s="1464"/>
      <c r="V16" s="1464"/>
      <c r="W16" s="1464"/>
      <c r="X16" s="1464"/>
      <c r="Y16" s="1464"/>
      <c r="Z16" s="1464"/>
      <c r="AA16" s="1464"/>
      <c r="AB16" s="1464"/>
    </row>
    <row r="17">
      <c r="A17" s="1554" t="s">
        <v>3412</v>
      </c>
      <c r="B17" s="1555">
        <v>84000.0</v>
      </c>
      <c r="C17" s="1556">
        <v>2015.0</v>
      </c>
      <c r="D17" s="1554" t="s">
        <v>5109</v>
      </c>
      <c r="E17" s="1554" t="s">
        <v>5119</v>
      </c>
      <c r="F17" s="1557">
        <v>44337.0</v>
      </c>
      <c r="G17" s="1464"/>
      <c r="H17" s="1464"/>
      <c r="I17" s="1464"/>
      <c r="J17" s="1550" t="s">
        <v>4869</v>
      </c>
      <c r="K17" s="1551">
        <v>84100.0</v>
      </c>
      <c r="L17" s="1552">
        <v>2016.0</v>
      </c>
      <c r="M17" s="1550" t="s">
        <v>2935</v>
      </c>
      <c r="N17" s="1560">
        <v>44490.0</v>
      </c>
      <c r="O17" s="1550" t="s">
        <v>5112</v>
      </c>
      <c r="P17" s="1483" t="s">
        <v>5113</v>
      </c>
      <c r="Q17" s="1464"/>
      <c r="R17" s="1464"/>
      <c r="S17" s="1464"/>
      <c r="T17" s="1464"/>
      <c r="U17" s="1464"/>
      <c r="V17" s="1464"/>
      <c r="W17" s="1464"/>
      <c r="X17" s="1464"/>
      <c r="Y17" s="1464"/>
      <c r="Z17" s="1464"/>
      <c r="AA17" s="1464"/>
      <c r="AB17" s="1464"/>
    </row>
    <row r="18">
      <c r="A18" s="1554" t="s">
        <v>5122</v>
      </c>
      <c r="B18" s="1555">
        <v>83000.0</v>
      </c>
      <c r="C18" s="1556">
        <v>2015.0</v>
      </c>
      <c r="D18" s="1554" t="s">
        <v>5123</v>
      </c>
      <c r="E18" s="1554" t="s">
        <v>5124</v>
      </c>
      <c r="F18" s="1557">
        <v>44337.0</v>
      </c>
      <c r="G18" s="1464"/>
      <c r="H18" s="1464"/>
      <c r="I18" s="1464"/>
      <c r="J18" s="1550" t="s">
        <v>4868</v>
      </c>
      <c r="K18" s="1551">
        <v>84100.0</v>
      </c>
      <c r="L18" s="1552">
        <v>2016.0</v>
      </c>
      <c r="M18" s="1550" t="s">
        <v>2935</v>
      </c>
      <c r="N18" s="1560" t="s">
        <v>5125</v>
      </c>
      <c r="O18" s="1550" t="s">
        <v>5112</v>
      </c>
      <c r="P18" s="1483" t="s">
        <v>5113</v>
      </c>
      <c r="Q18" s="1464"/>
      <c r="R18" s="1464"/>
      <c r="S18" s="1464"/>
      <c r="T18" s="1464"/>
      <c r="U18" s="1464"/>
      <c r="V18" s="1464"/>
      <c r="W18" s="1464"/>
      <c r="X18" s="1464"/>
      <c r="Y18" s="1464"/>
      <c r="Z18" s="1464"/>
      <c r="AA18" s="1464"/>
      <c r="AB18" s="1464"/>
    </row>
    <row r="19">
      <c r="A19" s="1554" t="s">
        <v>4836</v>
      </c>
      <c r="B19" s="1555">
        <v>82000.0</v>
      </c>
      <c r="C19" s="1556">
        <v>2018.0</v>
      </c>
      <c r="D19" s="1554" t="s">
        <v>3984</v>
      </c>
      <c r="E19" s="1554" t="s">
        <v>5120</v>
      </c>
      <c r="F19" s="1557">
        <v>44337.0</v>
      </c>
      <c r="G19" s="1464"/>
      <c r="H19" s="1464"/>
      <c r="I19" s="1464"/>
      <c r="J19" s="1550" t="s">
        <v>4866</v>
      </c>
      <c r="K19" s="1551">
        <v>84200.0</v>
      </c>
      <c r="L19" s="1552">
        <v>2016.0</v>
      </c>
      <c r="M19" s="1550" t="s">
        <v>2935</v>
      </c>
      <c r="N19" s="1560">
        <v>44562.0</v>
      </c>
      <c r="O19" s="1550" t="s">
        <v>5112</v>
      </c>
      <c r="P19" s="1483" t="s">
        <v>5113</v>
      </c>
      <c r="Q19" s="1464"/>
      <c r="R19" s="1464"/>
      <c r="S19" s="1464"/>
      <c r="T19" s="1464"/>
      <c r="U19" s="1464"/>
      <c r="V19" s="1464"/>
      <c r="W19" s="1464"/>
      <c r="X19" s="1464"/>
      <c r="Y19" s="1464"/>
      <c r="Z19" s="1464"/>
      <c r="AA19" s="1464"/>
      <c r="AB19" s="1464"/>
    </row>
    <row r="20">
      <c r="A20" s="1554" t="s">
        <v>4058</v>
      </c>
      <c r="B20" s="1555">
        <v>84000.0</v>
      </c>
      <c r="C20" s="1556">
        <v>2021.0</v>
      </c>
      <c r="D20" s="1554" t="s">
        <v>3083</v>
      </c>
      <c r="E20" s="1554" t="s">
        <v>5110</v>
      </c>
      <c r="F20" s="1557">
        <v>44307.0</v>
      </c>
      <c r="G20" s="1464"/>
      <c r="H20" s="1464"/>
      <c r="I20" s="1464"/>
      <c r="J20" s="1550" t="s">
        <v>4299</v>
      </c>
      <c r="K20" s="1551">
        <v>84100.0</v>
      </c>
      <c r="L20" s="1552">
        <v>2016.0</v>
      </c>
      <c r="M20" s="1550" t="s">
        <v>2935</v>
      </c>
      <c r="N20" s="1560">
        <v>44614.0</v>
      </c>
      <c r="O20" s="1550" t="s">
        <v>5112</v>
      </c>
      <c r="P20" s="1483" t="s">
        <v>5113</v>
      </c>
      <c r="Q20" s="1464"/>
      <c r="R20" s="1464"/>
      <c r="S20" s="1464"/>
      <c r="T20" s="1464"/>
      <c r="U20" s="1464"/>
      <c r="V20" s="1464"/>
      <c r="W20" s="1464"/>
      <c r="X20" s="1464"/>
      <c r="Y20" s="1464"/>
      <c r="Z20" s="1464"/>
      <c r="AA20" s="1464"/>
      <c r="AB20" s="1464"/>
    </row>
    <row r="21">
      <c r="A21" s="1554" t="s">
        <v>3994</v>
      </c>
      <c r="B21" s="1555">
        <v>84000.0</v>
      </c>
      <c r="C21" s="1556">
        <v>2021.0</v>
      </c>
      <c r="D21" s="1554" t="s">
        <v>3083</v>
      </c>
      <c r="E21" s="1483" t="s">
        <v>5110</v>
      </c>
      <c r="F21" s="1557">
        <v>44276.0</v>
      </c>
      <c r="G21" s="1464"/>
      <c r="H21" s="1464"/>
      <c r="I21" s="1464"/>
      <c r="J21" s="1550" t="s">
        <v>4036</v>
      </c>
      <c r="K21" s="1551">
        <v>84200.0</v>
      </c>
      <c r="L21" s="1552">
        <v>2017.0</v>
      </c>
      <c r="M21" s="1550" t="s">
        <v>2935</v>
      </c>
      <c r="N21" s="1560">
        <v>44614.0</v>
      </c>
      <c r="O21" s="1550" t="s">
        <v>5112</v>
      </c>
      <c r="P21" s="1483" t="s">
        <v>5113</v>
      </c>
      <c r="Q21" s="1464"/>
      <c r="R21" s="1464"/>
      <c r="S21" s="1464"/>
      <c r="T21" s="1464"/>
      <c r="U21" s="1464"/>
      <c r="V21" s="1464"/>
      <c r="W21" s="1464"/>
      <c r="X21" s="1464"/>
      <c r="Y21" s="1464"/>
      <c r="Z21" s="1464"/>
      <c r="AA21" s="1464"/>
      <c r="AB21" s="1464"/>
    </row>
    <row r="22">
      <c r="A22" s="1554" t="s">
        <v>4434</v>
      </c>
      <c r="B22" s="1555">
        <v>84000.0</v>
      </c>
      <c r="C22" s="1556">
        <v>2021.0</v>
      </c>
      <c r="D22" s="1554" t="s">
        <v>3083</v>
      </c>
      <c r="E22" s="1554" t="s">
        <v>5110</v>
      </c>
      <c r="F22" s="1557">
        <v>44248.0</v>
      </c>
      <c r="G22" s="1464"/>
      <c r="H22" s="1464"/>
      <c r="I22" s="1464"/>
      <c r="J22" s="1550" t="s">
        <v>3768</v>
      </c>
      <c r="K22" s="1551">
        <v>85000.0</v>
      </c>
      <c r="L22" s="1552">
        <v>2017.0</v>
      </c>
      <c r="M22" s="1550" t="s">
        <v>3647</v>
      </c>
      <c r="N22" s="1560">
        <v>45078.0</v>
      </c>
      <c r="O22" s="1550" t="s">
        <v>5126</v>
      </c>
      <c r="P22" s="1483" t="s">
        <v>5127</v>
      </c>
      <c r="Q22" s="1464"/>
      <c r="R22" s="1464"/>
      <c r="S22" s="1464"/>
      <c r="T22" s="1464"/>
      <c r="U22" s="1464"/>
      <c r="V22" s="1464"/>
      <c r="W22" s="1464"/>
      <c r="X22" s="1464"/>
      <c r="Y22" s="1464"/>
      <c r="Z22" s="1464"/>
      <c r="AA22" s="1464"/>
      <c r="AB22" s="1464"/>
    </row>
    <row r="23">
      <c r="A23" s="1554" t="s">
        <v>4247</v>
      </c>
      <c r="B23" s="1555">
        <v>84000.0</v>
      </c>
      <c r="C23" s="1556">
        <v>2021.0</v>
      </c>
      <c r="D23" s="1554" t="s">
        <v>3753</v>
      </c>
      <c r="E23" s="1483" t="s">
        <v>5110</v>
      </c>
      <c r="F23" s="1557">
        <v>44217.0</v>
      </c>
      <c r="G23" s="1464"/>
      <c r="H23" s="1464"/>
      <c r="I23" s="1464"/>
      <c r="J23" s="1550" t="s">
        <v>4302</v>
      </c>
      <c r="K23" s="1551">
        <v>85000.0</v>
      </c>
      <c r="L23" s="1552">
        <v>2018.0</v>
      </c>
      <c r="M23" s="1550" t="s">
        <v>3647</v>
      </c>
      <c r="N23" s="1560">
        <v>45139.0</v>
      </c>
      <c r="O23" s="1550" t="s">
        <v>5126</v>
      </c>
      <c r="P23" s="1483" t="s">
        <v>5127</v>
      </c>
      <c r="Q23" s="1464"/>
      <c r="R23" s="1464"/>
      <c r="S23" s="1464"/>
      <c r="T23" s="1464"/>
      <c r="U23" s="1464"/>
      <c r="V23" s="1464"/>
      <c r="W23" s="1464"/>
      <c r="X23" s="1464"/>
      <c r="Y23" s="1464"/>
      <c r="Z23" s="1464"/>
      <c r="AA23" s="1464"/>
      <c r="AB23" s="1464"/>
    </row>
    <row r="24">
      <c r="A24" s="1554" t="s">
        <v>5128</v>
      </c>
      <c r="B24" s="1555">
        <v>84000.0</v>
      </c>
      <c r="C24" s="1556">
        <v>2021.0</v>
      </c>
      <c r="D24" s="1554" t="s">
        <v>3083</v>
      </c>
      <c r="E24" s="1483" t="s">
        <v>5110</v>
      </c>
      <c r="F24" s="1557">
        <v>44217.0</v>
      </c>
      <c r="G24" s="1464"/>
      <c r="H24" s="1464"/>
      <c r="I24" s="1464"/>
      <c r="J24" s="1550" t="s">
        <v>3929</v>
      </c>
      <c r="K24" s="1551">
        <v>84500.0</v>
      </c>
      <c r="L24" s="1552">
        <v>2018.0</v>
      </c>
      <c r="M24" s="1550" t="s">
        <v>3647</v>
      </c>
      <c r="N24" s="1560">
        <v>45352.0</v>
      </c>
      <c r="O24" s="1550" t="s">
        <v>5126</v>
      </c>
      <c r="P24" s="1483" t="s">
        <v>5127</v>
      </c>
      <c r="Q24" s="1464"/>
      <c r="R24" s="1464"/>
      <c r="S24" s="1464"/>
      <c r="T24" s="1464"/>
      <c r="U24" s="1464"/>
      <c r="V24" s="1464"/>
      <c r="W24" s="1464"/>
      <c r="X24" s="1464"/>
      <c r="Y24" s="1464"/>
      <c r="Z24" s="1464"/>
      <c r="AA24" s="1464"/>
      <c r="AB24" s="1464"/>
    </row>
    <row r="25">
      <c r="A25" s="1554" t="s">
        <v>5129</v>
      </c>
      <c r="B25" s="1555">
        <v>84000.0</v>
      </c>
      <c r="C25" s="1556">
        <v>2020.0</v>
      </c>
      <c r="D25" s="1554" t="s">
        <v>5130</v>
      </c>
      <c r="E25" s="1554" t="s">
        <v>5110</v>
      </c>
      <c r="F25" s="1562">
        <v>44185.0</v>
      </c>
      <c r="G25" s="1464"/>
      <c r="H25" s="1464"/>
      <c r="I25" s="1464"/>
      <c r="J25" s="1550" t="s">
        <v>4925</v>
      </c>
      <c r="K25" s="1551">
        <v>84500.0</v>
      </c>
      <c r="L25" s="1552">
        <v>2018.0</v>
      </c>
      <c r="M25" s="1550" t="s">
        <v>3647</v>
      </c>
      <c r="N25" s="1560">
        <v>45383.0</v>
      </c>
      <c r="O25" s="1550" t="s">
        <v>5126</v>
      </c>
      <c r="P25" s="1483" t="s">
        <v>5127</v>
      </c>
      <c r="Q25" s="1464"/>
      <c r="R25" s="1464"/>
      <c r="S25" s="1464"/>
      <c r="T25" s="1464"/>
      <c r="U25" s="1464"/>
      <c r="V25" s="1464"/>
      <c r="W25" s="1464"/>
      <c r="X25" s="1464"/>
      <c r="Y25" s="1464"/>
      <c r="Z25" s="1464"/>
      <c r="AA25" s="1464"/>
      <c r="AB25" s="1464"/>
    </row>
    <row r="26">
      <c r="A26" s="1554" t="s">
        <v>4074</v>
      </c>
      <c r="B26" s="1555">
        <v>83300.0</v>
      </c>
      <c r="C26" s="1556">
        <v>2013.0</v>
      </c>
      <c r="D26" s="1554" t="s">
        <v>5131</v>
      </c>
      <c r="E26" s="1554" t="s">
        <v>5132</v>
      </c>
      <c r="F26" s="1557">
        <v>44915.0</v>
      </c>
      <c r="G26" s="1464"/>
      <c r="H26" s="1464"/>
      <c r="I26" s="1464"/>
      <c r="J26" s="1464"/>
      <c r="K26" s="1464"/>
      <c r="L26" s="1464"/>
      <c r="M26" s="1464"/>
      <c r="N26" s="1464"/>
      <c r="O26" s="1464"/>
      <c r="P26" s="1464"/>
      <c r="Q26" s="1464"/>
      <c r="R26" s="1464"/>
      <c r="S26" s="1464"/>
      <c r="T26" s="1464"/>
      <c r="U26" s="1464"/>
      <c r="V26" s="1464"/>
      <c r="W26" s="1464"/>
      <c r="X26" s="1464"/>
      <c r="Y26" s="1464"/>
      <c r="Z26" s="1464"/>
      <c r="AA26" s="1464"/>
      <c r="AB26" s="1464"/>
    </row>
    <row r="27">
      <c r="A27" s="1554" t="s">
        <v>4189</v>
      </c>
      <c r="B27" s="1555">
        <v>78900.0</v>
      </c>
      <c r="C27" s="1556">
        <v>2008.0</v>
      </c>
      <c r="D27" s="1554" t="s">
        <v>5131</v>
      </c>
      <c r="E27" s="1554" t="s">
        <v>5132</v>
      </c>
      <c r="F27" s="1562">
        <v>44489.0</v>
      </c>
      <c r="G27" s="1464"/>
      <c r="H27" s="1464"/>
      <c r="I27" s="1464"/>
      <c r="J27" s="1554" t="s">
        <v>3674</v>
      </c>
      <c r="K27" s="1555">
        <v>86000.0</v>
      </c>
      <c r="L27" s="1556">
        <v>2021.0</v>
      </c>
      <c r="M27" s="1554" t="s">
        <v>3647</v>
      </c>
      <c r="N27" s="1563">
        <v>44256.0</v>
      </c>
      <c r="O27" s="1479"/>
      <c r="P27" s="1464"/>
      <c r="Q27" s="1464"/>
      <c r="R27" s="1464"/>
      <c r="S27" s="1464"/>
      <c r="T27" s="1464"/>
      <c r="U27" s="1464"/>
      <c r="V27" s="1464"/>
      <c r="W27" s="1464"/>
      <c r="X27" s="1464"/>
      <c r="Y27" s="1464"/>
      <c r="Z27" s="1464"/>
      <c r="AA27" s="1464"/>
      <c r="AB27" s="1464"/>
    </row>
    <row r="28">
      <c r="A28" s="1554" t="s">
        <v>3376</v>
      </c>
      <c r="B28" s="1555">
        <v>84000.0</v>
      </c>
      <c r="C28" s="1556">
        <v>2020.0</v>
      </c>
      <c r="D28" s="1554" t="s">
        <v>5133</v>
      </c>
      <c r="E28" s="1554" t="s">
        <v>5110</v>
      </c>
      <c r="F28" s="1562">
        <v>44124.0</v>
      </c>
      <c r="G28" s="1464"/>
      <c r="H28" s="1464"/>
      <c r="I28" s="1464"/>
      <c r="J28" s="1554" t="s">
        <v>4618</v>
      </c>
      <c r="K28" s="1555">
        <v>86000.0</v>
      </c>
      <c r="L28" s="1556">
        <v>2021.0</v>
      </c>
      <c r="M28" s="1554" t="s">
        <v>3647</v>
      </c>
      <c r="N28" s="1563">
        <v>44317.0</v>
      </c>
      <c r="O28" s="1479"/>
      <c r="P28" s="1464"/>
      <c r="Q28" s="1464"/>
      <c r="R28" s="1464"/>
      <c r="S28" s="1464"/>
      <c r="T28" s="1464"/>
      <c r="U28" s="1464"/>
      <c r="V28" s="1464"/>
      <c r="W28" s="1464"/>
      <c r="X28" s="1464"/>
      <c r="Y28" s="1464"/>
      <c r="Z28" s="1464"/>
      <c r="AA28" s="1464"/>
      <c r="AB28" s="1464"/>
    </row>
    <row r="29">
      <c r="A29" s="1554" t="s">
        <v>3406</v>
      </c>
      <c r="B29" s="1555">
        <v>84200.0</v>
      </c>
      <c r="C29" s="1556">
        <v>2016.0</v>
      </c>
      <c r="D29" s="1554" t="s">
        <v>2935</v>
      </c>
      <c r="E29" s="1554" t="s">
        <v>5132</v>
      </c>
      <c r="F29" s="1562">
        <v>44124.0</v>
      </c>
      <c r="G29" s="1464"/>
      <c r="H29" s="1464"/>
      <c r="I29" s="1464"/>
      <c r="J29" s="1554" t="s">
        <v>4803</v>
      </c>
      <c r="K29" s="1555">
        <v>86000.0</v>
      </c>
      <c r="L29" s="1564">
        <v>2021.0</v>
      </c>
      <c r="M29" s="1554" t="s">
        <v>4802</v>
      </c>
      <c r="N29" s="1565">
        <v>44348.0</v>
      </c>
      <c r="O29" s="1554" t="s">
        <v>5112</v>
      </c>
      <c r="P29" s="1464"/>
      <c r="Q29" s="1464"/>
      <c r="R29" s="1464"/>
      <c r="S29" s="1464"/>
      <c r="T29" s="1464"/>
      <c r="U29" s="1464"/>
      <c r="V29" s="1464"/>
      <c r="W29" s="1464"/>
      <c r="X29" s="1464"/>
      <c r="Y29" s="1464"/>
      <c r="Z29" s="1464"/>
      <c r="AA29" s="1464"/>
      <c r="AB29" s="1464"/>
    </row>
    <row r="30">
      <c r="A30" s="1554" t="s">
        <v>3375</v>
      </c>
      <c r="B30" s="1555">
        <v>84600.0</v>
      </c>
      <c r="C30" s="1556">
        <v>2020.0</v>
      </c>
      <c r="D30" s="1554" t="s">
        <v>4363</v>
      </c>
      <c r="E30" s="1554" t="s">
        <v>5110</v>
      </c>
      <c r="F30" s="1562">
        <v>44094.0</v>
      </c>
      <c r="G30" s="1464"/>
      <c r="H30" s="1464"/>
      <c r="I30" s="1464"/>
      <c r="J30" s="1554" t="s">
        <v>4930</v>
      </c>
      <c r="K30" s="1555">
        <v>90000.0</v>
      </c>
      <c r="L30" s="1564">
        <v>2021.0</v>
      </c>
      <c r="M30" s="1554" t="s">
        <v>3658</v>
      </c>
      <c r="N30" s="1565">
        <v>44378.0</v>
      </c>
      <c r="O30" s="1479"/>
      <c r="P30" s="1464"/>
      <c r="Q30" s="1464"/>
      <c r="R30" s="1464"/>
      <c r="S30" s="1464"/>
      <c r="T30" s="1464"/>
      <c r="U30" s="1464"/>
      <c r="V30" s="1464"/>
      <c r="W30" s="1464"/>
      <c r="X30" s="1464"/>
      <c r="Y30" s="1464"/>
      <c r="Z30" s="1464"/>
      <c r="AA30" s="1464"/>
      <c r="AB30" s="1464"/>
    </row>
    <row r="31">
      <c r="A31" s="1554" t="s">
        <v>5134</v>
      </c>
      <c r="B31" s="1555">
        <v>84000.0</v>
      </c>
      <c r="C31" s="1556">
        <v>2020.0</v>
      </c>
      <c r="D31" s="1554" t="s">
        <v>5130</v>
      </c>
      <c r="E31" s="1554" t="s">
        <v>5110</v>
      </c>
      <c r="F31" s="1562">
        <v>44124.0</v>
      </c>
      <c r="G31" s="1464"/>
      <c r="H31" s="1464"/>
      <c r="I31" s="1464"/>
      <c r="J31" s="1554" t="s">
        <v>4621</v>
      </c>
      <c r="K31" s="1555">
        <v>86000.0</v>
      </c>
      <c r="L31" s="1564">
        <v>2021.0</v>
      </c>
      <c r="M31" s="1554" t="s">
        <v>3647</v>
      </c>
      <c r="N31" s="1563">
        <v>44429.0</v>
      </c>
      <c r="O31" s="1479"/>
      <c r="P31" s="1464"/>
      <c r="Q31" s="1464"/>
      <c r="R31" s="1464"/>
      <c r="S31" s="1464"/>
      <c r="T31" s="1464"/>
      <c r="U31" s="1464"/>
      <c r="V31" s="1464"/>
      <c r="W31" s="1464"/>
      <c r="X31" s="1464"/>
      <c r="Y31" s="1464"/>
      <c r="Z31" s="1464"/>
      <c r="AA31" s="1464"/>
      <c r="AB31" s="1464"/>
    </row>
    <row r="32">
      <c r="A32" s="1554" t="s">
        <v>5135</v>
      </c>
      <c r="B32" s="1555">
        <v>83000.0</v>
      </c>
      <c r="C32" s="1556">
        <v>2015.0</v>
      </c>
      <c r="D32" s="1554" t="s">
        <v>5123</v>
      </c>
      <c r="E32" s="1554" t="s">
        <v>5136</v>
      </c>
      <c r="F32" s="1557">
        <v>44063.0</v>
      </c>
      <c r="G32" s="1464"/>
      <c r="H32" s="1464"/>
      <c r="I32" s="1464"/>
      <c r="J32" s="1554" t="s">
        <v>4119</v>
      </c>
      <c r="K32" s="1555">
        <v>84000.0</v>
      </c>
      <c r="L32" s="1564">
        <v>2021.0</v>
      </c>
      <c r="M32" s="1554" t="s">
        <v>4001</v>
      </c>
      <c r="N32" s="1563">
        <v>44409.0</v>
      </c>
      <c r="O32" s="1554" t="s">
        <v>5112</v>
      </c>
      <c r="P32" s="1464"/>
      <c r="Q32" s="1464"/>
      <c r="R32" s="1464"/>
      <c r="S32" s="1464"/>
      <c r="T32" s="1464"/>
      <c r="U32" s="1464"/>
      <c r="V32" s="1479"/>
      <c r="W32" s="1464"/>
      <c r="X32" s="1464"/>
      <c r="Y32" s="1464"/>
      <c r="Z32" s="1464"/>
      <c r="AA32" s="1464"/>
      <c r="AB32" s="1464"/>
    </row>
    <row r="33">
      <c r="A33" s="1554" t="s">
        <v>5137</v>
      </c>
      <c r="B33" s="1555">
        <v>82000.0</v>
      </c>
      <c r="C33" s="1556">
        <v>2013.0</v>
      </c>
      <c r="D33" s="1554" t="s">
        <v>3984</v>
      </c>
      <c r="E33" s="1554" t="s">
        <v>5136</v>
      </c>
      <c r="F33" s="1557">
        <v>44063.0</v>
      </c>
      <c r="G33" s="1464"/>
      <c r="H33" s="1464"/>
      <c r="I33" s="1464"/>
      <c r="J33" s="1554" t="s">
        <v>4806</v>
      </c>
      <c r="K33" s="1555">
        <v>86000.0</v>
      </c>
      <c r="L33" s="1564">
        <v>2021.0</v>
      </c>
      <c r="M33" s="1554" t="s">
        <v>4802</v>
      </c>
      <c r="N33" s="1563">
        <v>44440.0</v>
      </c>
      <c r="O33" s="1554" t="s">
        <v>5112</v>
      </c>
      <c r="P33" s="1464"/>
      <c r="Q33" s="1464"/>
      <c r="R33" s="1464"/>
      <c r="S33" s="1464"/>
      <c r="T33" s="1464"/>
      <c r="U33" s="1464"/>
      <c r="V33" s="1464"/>
      <c r="W33" s="1464"/>
      <c r="X33" s="1464"/>
      <c r="Y33" s="1464"/>
      <c r="Z33" s="1464"/>
      <c r="AA33" s="1464"/>
      <c r="AB33" s="1464"/>
    </row>
    <row r="34">
      <c r="A34" s="1554" t="s">
        <v>4839</v>
      </c>
      <c r="B34" s="1555">
        <v>82000.0</v>
      </c>
      <c r="C34" s="1556">
        <v>2013.0</v>
      </c>
      <c r="D34" s="1554" t="s">
        <v>3984</v>
      </c>
      <c r="E34" s="1554" t="s">
        <v>5120</v>
      </c>
      <c r="F34" s="1557">
        <v>44063.0</v>
      </c>
      <c r="G34" s="1464"/>
      <c r="H34" s="1464"/>
      <c r="I34" s="1464"/>
      <c r="J34" s="1554" t="s">
        <v>5138</v>
      </c>
      <c r="K34" s="1555">
        <v>90000.0</v>
      </c>
      <c r="L34" s="1564">
        <v>2021.0</v>
      </c>
      <c r="M34" s="1554" t="s">
        <v>3658</v>
      </c>
      <c r="N34" s="1563">
        <v>44470.0</v>
      </c>
      <c r="O34" s="1464"/>
      <c r="P34" s="1464"/>
      <c r="Q34" s="1464"/>
      <c r="R34" s="1464"/>
      <c r="S34" s="1464"/>
      <c r="T34" s="1464"/>
      <c r="U34" s="1464"/>
      <c r="V34" s="1464"/>
      <c r="W34" s="1464"/>
      <c r="X34" s="1464"/>
      <c r="Y34" s="1464"/>
      <c r="Z34" s="1464"/>
      <c r="AA34" s="1464"/>
      <c r="AB34" s="1464"/>
    </row>
    <row r="35">
      <c r="A35" s="1554" t="s">
        <v>3372</v>
      </c>
      <c r="B35" s="1555">
        <v>83000.0</v>
      </c>
      <c r="C35" s="1556">
        <v>2020.0</v>
      </c>
      <c r="D35" s="1554" t="s">
        <v>5139</v>
      </c>
      <c r="E35" s="1554" t="s">
        <v>5110</v>
      </c>
      <c r="F35" s="1566">
        <v>44032.0</v>
      </c>
      <c r="G35" s="1464"/>
      <c r="H35" s="1464"/>
      <c r="I35" s="1464"/>
      <c r="J35" s="1554" t="s">
        <v>4624</v>
      </c>
      <c r="K35" s="1555">
        <v>86000.0</v>
      </c>
      <c r="L35" s="1564">
        <v>2021.0</v>
      </c>
      <c r="M35" s="1554" t="s">
        <v>3647</v>
      </c>
      <c r="N35" s="1563">
        <v>44501.0</v>
      </c>
      <c r="O35" s="1479"/>
      <c r="P35" s="1464"/>
      <c r="Q35" s="1464"/>
      <c r="R35" s="1464"/>
      <c r="S35" s="1464"/>
      <c r="T35" s="1464"/>
      <c r="U35" s="1464"/>
      <c r="V35" s="1464"/>
      <c r="W35" s="1464"/>
      <c r="X35" s="1464"/>
      <c r="Y35" s="1464"/>
      <c r="Z35" s="1464"/>
      <c r="AA35" s="1464"/>
      <c r="AB35" s="1464"/>
    </row>
    <row r="36">
      <c r="A36" s="1554" t="s">
        <v>5140</v>
      </c>
      <c r="B36" s="1555">
        <v>84000.0</v>
      </c>
      <c r="C36" s="1556">
        <v>2020.0</v>
      </c>
      <c r="D36" s="1554" t="s">
        <v>5141</v>
      </c>
      <c r="E36" s="1554" t="s">
        <v>5110</v>
      </c>
      <c r="F36" s="1566">
        <v>44032.0</v>
      </c>
      <c r="G36" s="1464"/>
      <c r="H36" s="1464"/>
      <c r="I36" s="1464"/>
      <c r="J36" s="1554" t="s">
        <v>4627</v>
      </c>
      <c r="K36" s="1555">
        <v>86000.0</v>
      </c>
      <c r="L36" s="1564">
        <v>2021.0</v>
      </c>
      <c r="M36" s="1554" t="s">
        <v>3647</v>
      </c>
      <c r="N36" s="1563">
        <v>44562.0</v>
      </c>
      <c r="O36" s="1479"/>
      <c r="P36" s="1464"/>
      <c r="Q36" s="1464"/>
      <c r="R36" s="1464"/>
      <c r="S36" s="1464"/>
      <c r="T36" s="1464"/>
      <c r="U36" s="1464"/>
      <c r="V36" s="1464"/>
      <c r="W36" s="1464"/>
      <c r="X36" s="1464"/>
      <c r="Y36" s="1464"/>
      <c r="Z36" s="1464"/>
      <c r="AA36" s="1464"/>
      <c r="AB36" s="1464"/>
    </row>
    <row r="37">
      <c r="A37" s="1554" t="s">
        <v>3409</v>
      </c>
      <c r="B37" s="1555">
        <v>84000.0</v>
      </c>
      <c r="C37" s="1556">
        <v>2015.0</v>
      </c>
      <c r="D37" s="1554" t="s">
        <v>5109</v>
      </c>
      <c r="E37" s="1554" t="s">
        <v>5142</v>
      </c>
      <c r="F37" s="1566">
        <v>44032.0</v>
      </c>
      <c r="G37" s="1464"/>
      <c r="H37" s="1464"/>
      <c r="I37" s="1464"/>
      <c r="J37" s="1554" t="s">
        <v>5143</v>
      </c>
      <c r="K37" s="1555">
        <v>91000.0</v>
      </c>
      <c r="L37" s="1556">
        <v>2021.0</v>
      </c>
      <c r="M37" s="1554" t="s">
        <v>5025</v>
      </c>
      <c r="N37" s="1563">
        <v>44562.0</v>
      </c>
      <c r="O37" s="1479"/>
      <c r="P37" s="1464"/>
      <c r="Q37" s="1464"/>
      <c r="R37" s="1464"/>
      <c r="S37" s="1464"/>
      <c r="T37" s="1464"/>
      <c r="U37" s="1464"/>
      <c r="V37" s="1464"/>
      <c r="W37" s="1464"/>
      <c r="X37" s="1464"/>
      <c r="Y37" s="1464"/>
      <c r="Z37" s="1464"/>
      <c r="AA37" s="1464"/>
      <c r="AB37" s="1464"/>
    </row>
    <row r="38">
      <c r="A38" s="1554" t="s">
        <v>3435</v>
      </c>
      <c r="B38" s="1555">
        <v>84600.0</v>
      </c>
      <c r="C38" s="1556">
        <v>2021.0</v>
      </c>
      <c r="D38" s="1554" t="s">
        <v>3652</v>
      </c>
      <c r="E38" s="1554" t="s">
        <v>5110</v>
      </c>
      <c r="F38" s="1566">
        <v>44002.0</v>
      </c>
      <c r="G38" s="1464"/>
      <c r="H38" s="1464"/>
      <c r="I38" s="1464"/>
      <c r="J38" s="1554" t="s">
        <v>4887</v>
      </c>
      <c r="K38" s="1555">
        <v>90000.0</v>
      </c>
      <c r="L38" s="1556">
        <v>2022.0</v>
      </c>
      <c r="M38" s="1554" t="s">
        <v>3944</v>
      </c>
      <c r="N38" s="1563">
        <v>44562.0</v>
      </c>
      <c r="O38" s="1479"/>
      <c r="P38" s="1464"/>
      <c r="Q38" s="1464"/>
      <c r="R38" s="1464"/>
      <c r="S38" s="1464"/>
      <c r="T38" s="1464"/>
      <c r="U38" s="1464"/>
      <c r="V38" s="1464"/>
      <c r="W38" s="1464"/>
      <c r="X38" s="1464"/>
      <c r="Y38" s="1464"/>
      <c r="Z38" s="1464"/>
      <c r="AA38" s="1464"/>
      <c r="AB38" s="1464"/>
    </row>
    <row r="39">
      <c r="A39" s="1554" t="s">
        <v>3420</v>
      </c>
      <c r="B39" s="1555">
        <v>84000.0</v>
      </c>
      <c r="C39" s="1556">
        <v>2015.0</v>
      </c>
      <c r="D39" s="1554" t="s">
        <v>5109</v>
      </c>
      <c r="E39" s="1554" t="s">
        <v>5144</v>
      </c>
      <c r="F39" s="1566">
        <v>43971.0</v>
      </c>
      <c r="G39" s="1464"/>
      <c r="H39" s="1464"/>
      <c r="I39" s="1464"/>
      <c r="J39" s="1554" t="s">
        <v>5145</v>
      </c>
      <c r="K39" s="1555">
        <v>91000.0</v>
      </c>
      <c r="L39" s="1556">
        <v>2022.0</v>
      </c>
      <c r="M39" s="1554" t="s">
        <v>5025</v>
      </c>
      <c r="N39" s="1565">
        <v>44621.0</v>
      </c>
      <c r="O39" s="1479"/>
      <c r="P39" s="1464"/>
      <c r="Q39" s="1464"/>
      <c r="R39" s="1464"/>
      <c r="S39" s="1464"/>
      <c r="T39" s="1464"/>
      <c r="U39" s="1464"/>
      <c r="V39" s="1464"/>
      <c r="W39" s="1464"/>
      <c r="X39" s="1464"/>
      <c r="Y39" s="1464"/>
      <c r="Z39" s="1464"/>
      <c r="AA39" s="1464"/>
      <c r="AB39" s="1464"/>
    </row>
    <row r="40">
      <c r="A40" s="1554" t="s">
        <v>4072</v>
      </c>
      <c r="B40" s="1555">
        <v>84000.0</v>
      </c>
      <c r="C40" s="1556">
        <v>2017.0</v>
      </c>
      <c r="D40" s="1554" t="s">
        <v>3083</v>
      </c>
      <c r="E40" s="1554" t="s">
        <v>5115</v>
      </c>
      <c r="F40" s="1567">
        <v>43941.0</v>
      </c>
      <c r="G40" s="1464"/>
      <c r="H40" s="1464"/>
      <c r="I40" s="1464"/>
      <c r="J40" s="1554" t="s">
        <v>4804</v>
      </c>
      <c r="K40" s="1555">
        <v>84000.0</v>
      </c>
      <c r="L40" s="1556">
        <v>2022.0</v>
      </c>
      <c r="M40" s="1554" t="s">
        <v>4001</v>
      </c>
      <c r="N40" s="1563">
        <v>44562.0</v>
      </c>
      <c r="O40" s="1554" t="s">
        <v>5112</v>
      </c>
      <c r="P40" s="1464"/>
      <c r="Q40" s="1464"/>
      <c r="R40" s="1464"/>
      <c r="S40" s="1464"/>
      <c r="T40" s="1464"/>
      <c r="U40" s="1464"/>
      <c r="V40" s="1464"/>
      <c r="W40" s="1464"/>
      <c r="X40" s="1464"/>
      <c r="Y40" s="1464"/>
      <c r="Z40" s="1464"/>
      <c r="AA40" s="1464"/>
      <c r="AB40" s="1464"/>
    </row>
    <row r="41">
      <c r="A41" s="1568" t="s">
        <v>3386</v>
      </c>
      <c r="B41" s="1555">
        <v>83300.0</v>
      </c>
      <c r="C41" s="1556">
        <v>2009.0</v>
      </c>
      <c r="D41" s="1568" t="s">
        <v>5146</v>
      </c>
      <c r="E41" s="1554" t="s">
        <v>5147</v>
      </c>
      <c r="F41" s="1567">
        <v>43910.0</v>
      </c>
      <c r="G41" s="1464"/>
      <c r="H41" s="1464"/>
      <c r="I41" s="1464"/>
      <c r="J41" s="1554" t="s">
        <v>4008</v>
      </c>
      <c r="K41" s="1569">
        <v>84000.0</v>
      </c>
      <c r="L41" s="1564">
        <v>2021.0</v>
      </c>
      <c r="M41" s="1554" t="s">
        <v>4963</v>
      </c>
      <c r="N41" s="1563">
        <v>44593.0</v>
      </c>
      <c r="O41" s="1479"/>
      <c r="P41" s="1464"/>
      <c r="Q41" s="1464"/>
      <c r="R41" s="1464"/>
      <c r="S41" s="1464"/>
      <c r="T41" s="1464"/>
      <c r="U41" s="1464"/>
      <c r="V41" s="1464"/>
      <c r="W41" s="1464"/>
      <c r="X41" s="1464"/>
      <c r="Y41" s="1464"/>
      <c r="Z41" s="1464"/>
      <c r="AA41" s="1464"/>
      <c r="AB41" s="1464"/>
    </row>
    <row r="42">
      <c r="A42" s="1554" t="s">
        <v>5148</v>
      </c>
      <c r="B42" s="1555">
        <v>84000.0</v>
      </c>
      <c r="C42" s="1556">
        <v>2020.0</v>
      </c>
      <c r="D42" s="1554" t="s">
        <v>5141</v>
      </c>
      <c r="E42" s="1554" t="s">
        <v>5110</v>
      </c>
      <c r="F42" s="1562">
        <v>43971.0</v>
      </c>
      <c r="G42" s="1464"/>
      <c r="H42" s="1464"/>
      <c r="I42" s="1464"/>
      <c r="J42" s="1554" t="s">
        <v>4886</v>
      </c>
      <c r="K42" s="1555">
        <v>90000.0</v>
      </c>
      <c r="L42" s="1556">
        <v>2022.0</v>
      </c>
      <c r="M42" s="1554" t="s">
        <v>3944</v>
      </c>
      <c r="N42" s="1563">
        <v>44652.0</v>
      </c>
      <c r="O42" s="1479"/>
      <c r="P42" s="1464"/>
      <c r="Q42" s="1464"/>
      <c r="R42" s="1464"/>
      <c r="S42" s="1464"/>
      <c r="T42" s="1464"/>
      <c r="U42" s="1464"/>
      <c r="V42" s="1464"/>
      <c r="W42" s="1464"/>
      <c r="X42" s="1464"/>
      <c r="Y42" s="1464"/>
      <c r="Z42" s="1464"/>
      <c r="AA42" s="1464"/>
      <c r="AB42" s="1464"/>
    </row>
    <row r="43">
      <c r="A43" s="1554" t="s">
        <v>3425</v>
      </c>
      <c r="B43" s="1555">
        <v>80000.0</v>
      </c>
      <c r="C43" s="1556">
        <v>2020.0</v>
      </c>
      <c r="D43" s="1554" t="s">
        <v>3641</v>
      </c>
      <c r="E43" s="1554" t="s">
        <v>5110</v>
      </c>
      <c r="F43" s="1562">
        <v>43971.0</v>
      </c>
      <c r="G43" s="1464"/>
      <c r="H43" s="1464"/>
      <c r="I43" s="1464"/>
      <c r="J43" s="1554" t="s">
        <v>4320</v>
      </c>
      <c r="K43" s="1569">
        <v>84000.0</v>
      </c>
      <c r="L43" s="1564">
        <v>2022.0</v>
      </c>
      <c r="M43" s="1554" t="s">
        <v>3088</v>
      </c>
      <c r="N43" s="1563">
        <v>44734.0</v>
      </c>
      <c r="O43" s="1479"/>
      <c r="P43" s="1464"/>
      <c r="Q43" s="1464"/>
      <c r="R43" s="1464"/>
      <c r="S43" s="1464"/>
      <c r="T43" s="1464"/>
      <c r="U43" s="1464"/>
      <c r="V43" s="1464"/>
      <c r="W43" s="1464"/>
      <c r="X43" s="1464"/>
      <c r="Y43" s="1464"/>
      <c r="Z43" s="1464"/>
      <c r="AA43" s="1464"/>
      <c r="AB43" s="1464"/>
    </row>
    <row r="44">
      <c r="A44" s="1554" t="s">
        <v>5149</v>
      </c>
      <c r="B44" s="1555">
        <v>83000.0</v>
      </c>
      <c r="C44" s="1556">
        <v>2015.0</v>
      </c>
      <c r="D44" s="1554" t="s">
        <v>5123</v>
      </c>
      <c r="E44" s="1554" t="s">
        <v>5150</v>
      </c>
      <c r="F44" s="1562">
        <v>43910.0</v>
      </c>
      <c r="G44" s="1464"/>
      <c r="H44" s="1464"/>
      <c r="I44" s="1464"/>
      <c r="J44" s="1554" t="s">
        <v>4356</v>
      </c>
      <c r="K44" s="1569">
        <v>91000.0</v>
      </c>
      <c r="L44" s="1564">
        <v>2022.0</v>
      </c>
      <c r="M44" s="1554" t="s">
        <v>3083</v>
      </c>
      <c r="N44" s="1563">
        <v>44774.0</v>
      </c>
      <c r="O44" s="1479"/>
      <c r="P44" s="1464"/>
      <c r="Q44" s="1464"/>
      <c r="R44" s="1464"/>
      <c r="S44" s="1464"/>
      <c r="T44" s="1464"/>
      <c r="U44" s="1464"/>
      <c r="V44" s="1464"/>
      <c r="W44" s="1464"/>
      <c r="X44" s="1464"/>
      <c r="Y44" s="1464"/>
      <c r="Z44" s="1464"/>
      <c r="AA44" s="1464"/>
      <c r="AB44" s="1464"/>
    </row>
    <row r="45">
      <c r="A45" s="1554" t="s">
        <v>3370</v>
      </c>
      <c r="B45" s="1555">
        <v>80000.0</v>
      </c>
      <c r="C45" s="1556">
        <v>2020.0</v>
      </c>
      <c r="D45" s="1554" t="s">
        <v>3641</v>
      </c>
      <c r="E45" s="1554" t="s">
        <v>5110</v>
      </c>
      <c r="F45" s="1567">
        <v>43910.0</v>
      </c>
      <c r="G45" s="1464"/>
      <c r="H45" s="1464"/>
      <c r="I45" s="1464"/>
      <c r="J45" s="1554" t="s">
        <v>3773</v>
      </c>
      <c r="K45" s="1569">
        <v>86500.0</v>
      </c>
      <c r="L45" s="1564">
        <v>2022.0</v>
      </c>
      <c r="M45" s="1554" t="s">
        <v>3207</v>
      </c>
      <c r="N45" s="1563">
        <v>44826.0</v>
      </c>
      <c r="O45" s="1479"/>
      <c r="P45" s="1464"/>
      <c r="Q45" s="1464"/>
      <c r="R45" s="1464"/>
      <c r="S45" s="1464"/>
      <c r="T45" s="1464"/>
      <c r="U45" s="1464"/>
      <c r="V45" s="1464"/>
      <c r="W45" s="1464"/>
      <c r="X45" s="1464"/>
      <c r="Y45" s="1464"/>
      <c r="Z45" s="1464"/>
      <c r="AA45" s="1464"/>
      <c r="AB45" s="1464"/>
    </row>
    <row r="46">
      <c r="A46" s="1554" t="s">
        <v>3369</v>
      </c>
      <c r="B46" s="1555">
        <v>83000.0</v>
      </c>
      <c r="C46" s="1556">
        <v>2020.0</v>
      </c>
      <c r="D46" s="1554" t="s">
        <v>5139</v>
      </c>
      <c r="E46" s="1554" t="s">
        <v>5110</v>
      </c>
      <c r="F46" s="1567">
        <v>43910.0</v>
      </c>
      <c r="G46" s="1464"/>
      <c r="H46" s="1464"/>
      <c r="I46" s="1464"/>
      <c r="J46" s="1554" t="s">
        <v>4939</v>
      </c>
      <c r="K46" s="1569">
        <v>86000.0</v>
      </c>
      <c r="L46" s="1564">
        <v>2022.0</v>
      </c>
      <c r="M46" s="1554" t="s">
        <v>5151</v>
      </c>
      <c r="N46" s="1563">
        <v>44856.0</v>
      </c>
      <c r="O46" s="1479"/>
      <c r="P46" s="1464"/>
      <c r="Q46" s="1464"/>
      <c r="R46" s="1464"/>
      <c r="S46" s="1464"/>
      <c r="T46" s="1464"/>
      <c r="U46" s="1464"/>
      <c r="V46" s="1464"/>
      <c r="W46" s="1464"/>
      <c r="X46" s="1464"/>
      <c r="Y46" s="1464"/>
      <c r="Z46" s="1464"/>
      <c r="AA46" s="1464"/>
      <c r="AB46" s="1464"/>
    </row>
    <row r="47">
      <c r="A47" s="1554" t="s">
        <v>3405</v>
      </c>
      <c r="B47" s="1555">
        <v>84000.0</v>
      </c>
      <c r="C47" s="1556">
        <v>2020.0</v>
      </c>
      <c r="D47" s="1554" t="s">
        <v>3659</v>
      </c>
      <c r="E47" s="1554" t="s">
        <v>5110</v>
      </c>
      <c r="F47" s="1567">
        <v>43910.0</v>
      </c>
      <c r="G47" s="1464"/>
      <c r="H47" s="1464"/>
      <c r="I47" s="1464"/>
      <c r="J47" s="1554" t="s">
        <v>3882</v>
      </c>
      <c r="K47" s="1569">
        <v>91000.0</v>
      </c>
      <c r="L47" s="1564">
        <v>2022.0</v>
      </c>
      <c r="M47" s="1554" t="s">
        <v>5152</v>
      </c>
      <c r="N47" s="1563">
        <v>44887.0</v>
      </c>
      <c r="O47" s="1464"/>
      <c r="P47" s="1464"/>
      <c r="Q47" s="1464"/>
      <c r="R47" s="1464"/>
      <c r="S47" s="1464"/>
      <c r="T47" s="1464"/>
      <c r="U47" s="1464"/>
      <c r="V47" s="1464"/>
      <c r="W47" s="1464"/>
      <c r="X47" s="1464"/>
      <c r="Y47" s="1464"/>
      <c r="Z47" s="1464"/>
      <c r="AA47" s="1464"/>
      <c r="AB47" s="1464"/>
    </row>
    <row r="48">
      <c r="A48" s="1554" t="s">
        <v>3388</v>
      </c>
      <c r="B48" s="1555">
        <v>83000.0</v>
      </c>
      <c r="C48" s="1556">
        <v>2020.0</v>
      </c>
      <c r="D48" s="1554" t="s">
        <v>3652</v>
      </c>
      <c r="E48" s="1554" t="s">
        <v>5110</v>
      </c>
      <c r="F48" s="1562">
        <v>43881.0</v>
      </c>
      <c r="G48" s="1464"/>
      <c r="H48" s="1464"/>
      <c r="I48" s="1464"/>
      <c r="J48" s="1554" t="s">
        <v>3804</v>
      </c>
      <c r="K48" s="1569">
        <v>91000.0</v>
      </c>
      <c r="L48" s="1564">
        <v>2022.0</v>
      </c>
      <c r="M48" s="1554" t="s">
        <v>5152</v>
      </c>
      <c r="N48" s="1563">
        <v>44856.0</v>
      </c>
      <c r="O48" s="1479"/>
      <c r="P48" s="1464"/>
      <c r="Q48" s="1464"/>
      <c r="R48" s="1464"/>
      <c r="S48" s="1464"/>
      <c r="T48" s="1464"/>
      <c r="U48" s="1464"/>
      <c r="V48" s="1464"/>
      <c r="W48" s="1464"/>
      <c r="X48" s="1464"/>
      <c r="Y48" s="1464"/>
      <c r="Z48" s="1464"/>
      <c r="AA48" s="1464"/>
      <c r="AB48" s="1464"/>
    </row>
    <row r="49">
      <c r="A49" s="1554" t="s">
        <v>3419</v>
      </c>
      <c r="B49" s="1555">
        <v>82200.0</v>
      </c>
      <c r="C49" s="1556">
        <v>2020.0</v>
      </c>
      <c r="D49" s="1554" t="s">
        <v>4001</v>
      </c>
      <c r="E49" s="1554" t="s">
        <v>5110</v>
      </c>
      <c r="F49" s="1562">
        <v>43881.0</v>
      </c>
      <c r="G49" s="1464"/>
      <c r="H49" s="1464"/>
      <c r="I49" s="1464"/>
      <c r="J49" s="1554" t="s">
        <v>411</v>
      </c>
      <c r="K49" s="1569">
        <v>86500.0</v>
      </c>
      <c r="L49" s="1564">
        <v>2022.0</v>
      </c>
      <c r="M49" s="1554" t="s">
        <v>3207</v>
      </c>
      <c r="N49" s="1563">
        <v>44896.0</v>
      </c>
      <c r="O49" s="1479"/>
      <c r="P49" s="1464"/>
      <c r="Q49" s="1464"/>
      <c r="R49" s="1464"/>
      <c r="S49" s="1464"/>
      <c r="T49" s="1464"/>
      <c r="U49" s="1464"/>
      <c r="V49" s="1464"/>
      <c r="W49" s="1464"/>
      <c r="X49" s="1464"/>
      <c r="Y49" s="1464"/>
      <c r="Z49" s="1464"/>
      <c r="AA49" s="1464"/>
      <c r="AB49" s="1464"/>
    </row>
    <row r="50">
      <c r="A50" s="1554" t="s">
        <v>3367</v>
      </c>
      <c r="B50" s="1555">
        <v>80000.0</v>
      </c>
      <c r="C50" s="1556">
        <v>2020.0</v>
      </c>
      <c r="D50" s="1554" t="s">
        <v>5139</v>
      </c>
      <c r="E50" s="1554" t="s">
        <v>5110</v>
      </c>
      <c r="F50" s="1562">
        <v>43850.0</v>
      </c>
      <c r="G50" s="1464"/>
      <c r="H50" s="1464"/>
      <c r="I50" s="1464"/>
      <c r="J50" s="1570" t="s">
        <v>4938</v>
      </c>
      <c r="K50" s="1571">
        <v>86000.0</v>
      </c>
      <c r="L50" s="1572">
        <v>2022.0</v>
      </c>
      <c r="M50" s="1570" t="s">
        <v>5151</v>
      </c>
      <c r="N50" s="1573">
        <v>44795.0</v>
      </c>
      <c r="O50" s="1489"/>
      <c r="P50" s="1464"/>
      <c r="Q50" s="1464"/>
      <c r="R50" s="1464"/>
      <c r="S50" s="1464"/>
      <c r="T50" s="1464"/>
      <c r="U50" s="1464"/>
      <c r="V50" s="1464"/>
      <c r="W50" s="1464"/>
      <c r="X50" s="1464"/>
      <c r="Y50" s="1464"/>
      <c r="Z50" s="1464"/>
      <c r="AA50" s="1464"/>
      <c r="AB50" s="1464"/>
    </row>
    <row r="51">
      <c r="A51" s="1554" t="s">
        <v>3384</v>
      </c>
      <c r="B51" s="1555">
        <v>84000.0</v>
      </c>
      <c r="C51" s="1556">
        <v>2020.0</v>
      </c>
      <c r="D51" s="1554" t="s">
        <v>3659</v>
      </c>
      <c r="E51" s="1554" t="s">
        <v>5110</v>
      </c>
      <c r="F51" s="1562">
        <v>43850.0</v>
      </c>
      <c r="G51" s="1464"/>
      <c r="H51" s="1464"/>
      <c r="I51" s="1464"/>
      <c r="J51" s="1570" t="s">
        <v>4375</v>
      </c>
      <c r="K51" s="1571">
        <v>91000.0</v>
      </c>
      <c r="L51" s="1572">
        <v>2022.0</v>
      </c>
      <c r="M51" s="1570" t="s">
        <v>3214</v>
      </c>
      <c r="N51" s="1573">
        <v>44795.0</v>
      </c>
      <c r="O51" s="1489"/>
      <c r="P51" s="1464"/>
      <c r="Q51" s="1464"/>
      <c r="R51" s="1464"/>
      <c r="S51" s="1464"/>
      <c r="T51" s="1464"/>
      <c r="U51" s="1464"/>
      <c r="V51" s="1464"/>
      <c r="W51" s="1464"/>
      <c r="X51" s="1464"/>
      <c r="Y51" s="1464"/>
      <c r="Z51" s="1464"/>
      <c r="AA51" s="1464"/>
      <c r="AB51" s="1464"/>
    </row>
    <row r="52">
      <c r="A52" s="1554" t="s">
        <v>3364</v>
      </c>
      <c r="B52" s="1555">
        <v>82200.0</v>
      </c>
      <c r="C52" s="1556">
        <v>2020.0</v>
      </c>
      <c r="D52" s="1554" t="s">
        <v>5146</v>
      </c>
      <c r="E52" s="1554" t="s">
        <v>5110</v>
      </c>
      <c r="F52" s="1562">
        <v>43850.0</v>
      </c>
      <c r="G52" s="1464"/>
      <c r="H52" s="1464"/>
      <c r="I52" s="1464"/>
      <c r="J52" s="1570" t="s">
        <v>4394</v>
      </c>
      <c r="K52" s="1571">
        <v>91000.0</v>
      </c>
      <c r="L52" s="1572">
        <v>2022.0</v>
      </c>
      <c r="M52" s="1570" t="s">
        <v>3214</v>
      </c>
      <c r="N52" s="1573">
        <v>44856.0</v>
      </c>
      <c r="O52" s="1489"/>
      <c r="P52" s="1464"/>
      <c r="Q52" s="1464"/>
      <c r="R52" s="1464"/>
      <c r="S52" s="1464"/>
      <c r="T52" s="1464"/>
      <c r="U52" s="1464"/>
      <c r="V52" s="1464"/>
      <c r="W52" s="1464"/>
      <c r="X52" s="1464"/>
      <c r="Y52" s="1464"/>
      <c r="Z52" s="1464"/>
      <c r="AA52" s="1464"/>
      <c r="AB52" s="1464"/>
    </row>
    <row r="53">
      <c r="A53" s="1554" t="s">
        <v>3418</v>
      </c>
      <c r="B53" s="1555">
        <v>84000.0</v>
      </c>
      <c r="C53" s="1556">
        <v>2020.0</v>
      </c>
      <c r="D53" s="1554" t="s">
        <v>3659</v>
      </c>
      <c r="E53" s="1554" t="s">
        <v>5110</v>
      </c>
      <c r="F53" s="1562">
        <v>43850.0</v>
      </c>
      <c r="G53" s="1464"/>
      <c r="H53" s="1464"/>
      <c r="I53" s="1464"/>
      <c r="J53" s="1570" t="s">
        <v>4937</v>
      </c>
      <c r="K53" s="1571">
        <v>86000.0</v>
      </c>
      <c r="L53" s="1572">
        <v>2022.0</v>
      </c>
      <c r="M53" s="1570" t="s">
        <v>5151</v>
      </c>
      <c r="N53" s="1573">
        <v>44856.0</v>
      </c>
      <c r="O53" s="1489"/>
      <c r="P53" s="1464"/>
      <c r="Q53" s="1464"/>
      <c r="R53" s="1464"/>
      <c r="S53" s="1464"/>
      <c r="T53" s="1464"/>
      <c r="U53" s="1464"/>
      <c r="V53" s="1464"/>
      <c r="W53" s="1464"/>
      <c r="X53" s="1464"/>
      <c r="Y53" s="1464"/>
      <c r="Z53" s="1464"/>
      <c r="AA53" s="1464"/>
      <c r="AB53" s="1464"/>
    </row>
    <row r="54">
      <c r="A54" s="1554" t="s">
        <v>3366</v>
      </c>
      <c r="B54" s="1555">
        <v>84000.0</v>
      </c>
      <c r="C54" s="1556">
        <v>2020.0</v>
      </c>
      <c r="D54" s="1554" t="s">
        <v>3659</v>
      </c>
      <c r="E54" s="1554" t="s">
        <v>5110</v>
      </c>
      <c r="F54" s="1562">
        <v>43850.0</v>
      </c>
      <c r="G54" s="1464"/>
      <c r="H54" s="1464"/>
      <c r="I54" s="1464"/>
      <c r="J54" s="1570" t="s">
        <v>4936</v>
      </c>
      <c r="K54" s="1571">
        <v>86000.0</v>
      </c>
      <c r="L54" s="1572">
        <v>2022.0</v>
      </c>
      <c r="M54" s="1570" t="s">
        <v>5151</v>
      </c>
      <c r="N54" s="1573">
        <v>44887.0</v>
      </c>
      <c r="O54" s="1489"/>
      <c r="P54" s="1464"/>
      <c r="Q54" s="1464"/>
      <c r="R54" s="1464"/>
      <c r="S54" s="1464"/>
      <c r="T54" s="1464"/>
      <c r="U54" s="1464"/>
      <c r="V54" s="1464"/>
      <c r="W54" s="1464"/>
      <c r="X54" s="1464"/>
      <c r="Y54" s="1464"/>
      <c r="Z54" s="1464"/>
      <c r="AA54" s="1464"/>
      <c r="AB54" s="1464"/>
    </row>
    <row r="55">
      <c r="A55" s="1554" t="s">
        <v>5153</v>
      </c>
      <c r="B55" s="1555">
        <v>83000.0</v>
      </c>
      <c r="C55" s="1556">
        <v>2015.0</v>
      </c>
      <c r="D55" s="1554" t="s">
        <v>5123</v>
      </c>
      <c r="E55" s="1554" t="s">
        <v>5150</v>
      </c>
      <c r="F55" s="1562">
        <v>43850.0</v>
      </c>
      <c r="G55" s="1464"/>
      <c r="H55" s="1464"/>
      <c r="I55" s="1464"/>
      <c r="J55" s="1570" t="s">
        <v>5154</v>
      </c>
      <c r="K55" s="1571">
        <v>86000.0</v>
      </c>
      <c r="L55" s="1572">
        <v>2022.0</v>
      </c>
      <c r="M55" s="1570" t="s">
        <v>761</v>
      </c>
      <c r="N55" s="1573">
        <v>44917.0</v>
      </c>
      <c r="O55" s="1489"/>
      <c r="P55" s="1464"/>
      <c r="Q55" s="1464"/>
      <c r="R55" s="1464"/>
      <c r="S55" s="1464"/>
      <c r="T55" s="1464"/>
      <c r="U55" s="1464"/>
      <c r="V55" s="1464"/>
      <c r="W55" s="1464"/>
      <c r="X55" s="1464"/>
      <c r="Y55" s="1464"/>
      <c r="Z55" s="1464"/>
      <c r="AA55" s="1464"/>
      <c r="AB55" s="1464"/>
    </row>
    <row r="56">
      <c r="A56" s="1554" t="s">
        <v>5155</v>
      </c>
      <c r="B56" s="1555">
        <v>83000.0</v>
      </c>
      <c r="C56" s="1556">
        <v>2015.0</v>
      </c>
      <c r="D56" s="1554" t="s">
        <v>5123</v>
      </c>
      <c r="E56" s="1554" t="s">
        <v>5150</v>
      </c>
      <c r="F56" s="1562">
        <v>43850.0</v>
      </c>
      <c r="G56" s="1464"/>
      <c r="H56" s="1464"/>
      <c r="I56" s="1464"/>
      <c r="J56" s="1570" t="s">
        <v>4933</v>
      </c>
      <c r="K56" s="1571">
        <v>86000.0</v>
      </c>
      <c r="L56" s="1572">
        <v>2022.0</v>
      </c>
      <c r="M56" s="1570" t="s">
        <v>5151</v>
      </c>
      <c r="N56" s="1573">
        <v>44552.0</v>
      </c>
      <c r="O56" s="1489"/>
      <c r="P56" s="1464"/>
      <c r="Q56" s="1464"/>
      <c r="R56" s="1464"/>
      <c r="S56" s="1464"/>
      <c r="T56" s="1464"/>
      <c r="U56" s="1464"/>
      <c r="V56" s="1464"/>
      <c r="W56" s="1464"/>
      <c r="X56" s="1464"/>
      <c r="Y56" s="1464"/>
      <c r="Z56" s="1464"/>
      <c r="AA56" s="1464"/>
      <c r="AB56" s="1464"/>
    </row>
    <row r="57">
      <c r="A57" s="1554" t="s">
        <v>5156</v>
      </c>
      <c r="B57" s="1555">
        <v>83000.0</v>
      </c>
      <c r="C57" s="1556">
        <v>2015.0</v>
      </c>
      <c r="D57" s="1554" t="s">
        <v>5123</v>
      </c>
      <c r="E57" s="1554" t="s">
        <v>5150</v>
      </c>
      <c r="F57" s="1562">
        <v>43850.0</v>
      </c>
      <c r="G57" s="1464"/>
      <c r="H57" s="1464"/>
      <c r="I57" s="1464"/>
      <c r="J57" s="1570" t="s">
        <v>5157</v>
      </c>
      <c r="K57" s="1571">
        <v>91000.0</v>
      </c>
      <c r="L57" s="1572">
        <v>2023.0</v>
      </c>
      <c r="M57" s="1570" t="s">
        <v>1612</v>
      </c>
      <c r="N57" s="1573">
        <v>44584.0</v>
      </c>
      <c r="O57" s="1489"/>
      <c r="P57" s="1464"/>
      <c r="Q57" s="1464"/>
      <c r="R57" s="1464"/>
      <c r="S57" s="1464"/>
      <c r="T57" s="1464"/>
      <c r="U57" s="1464"/>
      <c r="V57" s="1464"/>
      <c r="W57" s="1464"/>
      <c r="X57" s="1464"/>
      <c r="Y57" s="1464"/>
      <c r="Z57" s="1464"/>
      <c r="AA57" s="1464"/>
      <c r="AB57" s="1464"/>
    </row>
    <row r="58">
      <c r="A58" s="1554" t="s">
        <v>3430</v>
      </c>
      <c r="B58" s="1555">
        <v>83300.0</v>
      </c>
      <c r="C58" s="1556">
        <v>2009.0</v>
      </c>
      <c r="D58" s="1554" t="s">
        <v>5158</v>
      </c>
      <c r="E58" s="1554" t="s">
        <v>5147</v>
      </c>
      <c r="F58" s="1562">
        <v>43850.0</v>
      </c>
      <c r="G58" s="1464"/>
      <c r="H58" s="1464"/>
      <c r="I58" s="1464"/>
      <c r="J58" s="1570" t="s">
        <v>4438</v>
      </c>
      <c r="K58" s="1571">
        <v>86000.0</v>
      </c>
      <c r="L58" s="1572">
        <v>2023.0</v>
      </c>
      <c r="M58" s="1570" t="s">
        <v>3083</v>
      </c>
      <c r="N58" s="1573">
        <v>44219.0</v>
      </c>
      <c r="O58" s="1489"/>
      <c r="P58" s="1479"/>
      <c r="Q58" s="1464"/>
      <c r="R58" s="1464"/>
      <c r="S58" s="1464"/>
      <c r="T58" s="1464"/>
      <c r="U58" s="1464"/>
      <c r="V58" s="1464"/>
      <c r="W58" s="1464"/>
      <c r="X58" s="1464"/>
      <c r="Y58" s="1464"/>
      <c r="Z58" s="1464"/>
      <c r="AA58" s="1464"/>
      <c r="AB58" s="1464"/>
    </row>
    <row r="59">
      <c r="A59" s="1554" t="s">
        <v>4222</v>
      </c>
      <c r="B59" s="1555">
        <v>82300.0</v>
      </c>
      <c r="C59" s="1556">
        <v>2009.0</v>
      </c>
      <c r="D59" s="1554" t="s">
        <v>4224</v>
      </c>
      <c r="E59" s="1554" t="s">
        <v>5147</v>
      </c>
      <c r="F59" s="1562">
        <v>43850.0</v>
      </c>
      <c r="G59" s="1464"/>
      <c r="H59" s="1464"/>
      <c r="I59" s="1464"/>
      <c r="J59" s="1570" t="s">
        <v>5159</v>
      </c>
      <c r="K59" s="1571">
        <v>91000.0</v>
      </c>
      <c r="L59" s="1572">
        <v>2023.0</v>
      </c>
      <c r="M59" s="1570" t="s">
        <v>1612</v>
      </c>
      <c r="N59" s="1573">
        <v>44250.0</v>
      </c>
      <c r="O59" s="1489"/>
      <c r="P59" s="1464"/>
      <c r="Q59" s="1464"/>
      <c r="R59" s="1464"/>
      <c r="S59" s="1464"/>
      <c r="T59" s="1464"/>
      <c r="U59" s="1464"/>
      <c r="V59" s="1464"/>
      <c r="W59" s="1464"/>
      <c r="X59" s="1464"/>
      <c r="Y59" s="1464"/>
      <c r="Z59" s="1464"/>
      <c r="AA59" s="1464"/>
      <c r="AB59" s="1464"/>
    </row>
    <row r="60">
      <c r="A60" s="1554" t="s">
        <v>3432</v>
      </c>
      <c r="B60" s="1555">
        <v>84000.0</v>
      </c>
      <c r="C60" s="1556">
        <v>2015.0</v>
      </c>
      <c r="D60" s="1554" t="s">
        <v>5109</v>
      </c>
      <c r="E60" s="1554" t="s">
        <v>5147</v>
      </c>
      <c r="F60" s="1562">
        <v>43850.0</v>
      </c>
      <c r="G60" s="1464"/>
      <c r="H60" s="1464"/>
      <c r="I60" s="1464"/>
      <c r="J60" s="1570" t="s">
        <v>5160</v>
      </c>
      <c r="K60" s="1571">
        <v>84000.0</v>
      </c>
      <c r="L60" s="1572">
        <v>2023.0</v>
      </c>
      <c r="M60" s="1570" t="s">
        <v>3299</v>
      </c>
      <c r="N60" s="1573">
        <v>44278.0</v>
      </c>
      <c r="O60" s="1489"/>
      <c r="P60" s="1464"/>
      <c r="Q60" s="1464"/>
      <c r="R60" s="1464"/>
      <c r="S60" s="1464"/>
      <c r="T60" s="1464"/>
      <c r="U60" s="1464"/>
      <c r="V60" s="1464"/>
      <c r="W60" s="1464"/>
      <c r="X60" s="1464"/>
      <c r="Y60" s="1464"/>
      <c r="Z60" s="1464"/>
      <c r="AA60" s="1464"/>
      <c r="AB60" s="1464"/>
    </row>
    <row r="61">
      <c r="A61" s="1554" t="s">
        <v>3385</v>
      </c>
      <c r="B61" s="1555">
        <v>84200.0</v>
      </c>
      <c r="C61" s="1556">
        <v>2014.0</v>
      </c>
      <c r="D61" s="1554" t="s">
        <v>2935</v>
      </c>
      <c r="E61" s="1554" t="s">
        <v>5132</v>
      </c>
      <c r="F61" s="1562">
        <v>43850.0</v>
      </c>
      <c r="G61" s="1464"/>
      <c r="H61" s="1464"/>
      <c r="I61" s="1464"/>
      <c r="J61" s="1570" t="s">
        <v>5161</v>
      </c>
      <c r="K61" s="1571">
        <v>91000.0</v>
      </c>
      <c r="L61" s="1572">
        <v>2023.0</v>
      </c>
      <c r="M61" s="1570" t="s">
        <v>3334</v>
      </c>
      <c r="N61" s="1573">
        <v>43913.0</v>
      </c>
      <c r="O61" s="1489"/>
      <c r="P61" s="1464"/>
      <c r="Q61" s="1464"/>
      <c r="R61" s="1464"/>
      <c r="S61" s="1464"/>
      <c r="T61" s="1464"/>
      <c r="U61" s="1464"/>
      <c r="V61" s="1464"/>
      <c r="W61" s="1464"/>
      <c r="X61" s="1464"/>
      <c r="Y61" s="1464"/>
      <c r="Z61" s="1464"/>
      <c r="AA61" s="1464"/>
      <c r="AB61" s="1464"/>
    </row>
    <row r="62">
      <c r="A62" s="1554" t="s">
        <v>3371</v>
      </c>
      <c r="B62" s="1555">
        <v>84000.0</v>
      </c>
      <c r="C62" s="1556">
        <v>2015.0</v>
      </c>
      <c r="D62" s="1554" t="s">
        <v>5109</v>
      </c>
      <c r="E62" s="1554" t="s">
        <v>5162</v>
      </c>
      <c r="F62" s="1562">
        <v>44184.0</v>
      </c>
      <c r="G62" s="1464"/>
      <c r="H62" s="1464"/>
      <c r="I62" s="1464"/>
      <c r="J62" s="1570" t="s">
        <v>4002</v>
      </c>
      <c r="K62" s="1571">
        <v>91000.0</v>
      </c>
      <c r="L62" s="1572">
        <v>2023.0</v>
      </c>
      <c r="M62" s="1570" t="s">
        <v>5152</v>
      </c>
      <c r="N62" s="1573" t="s">
        <v>5163</v>
      </c>
      <c r="O62" s="1489"/>
      <c r="P62" s="1464"/>
      <c r="Q62" s="1464"/>
      <c r="R62" s="1464"/>
      <c r="S62" s="1464"/>
      <c r="T62" s="1464"/>
      <c r="U62" s="1464"/>
      <c r="V62" s="1464"/>
      <c r="W62" s="1464"/>
      <c r="X62" s="1464"/>
      <c r="Y62" s="1464"/>
      <c r="Z62" s="1464"/>
      <c r="AA62" s="1464"/>
      <c r="AB62" s="1464"/>
    </row>
    <row r="63">
      <c r="A63" s="1554" t="s">
        <v>5164</v>
      </c>
      <c r="B63" s="1555">
        <v>83000.0</v>
      </c>
      <c r="C63" s="1556">
        <v>2011.0</v>
      </c>
      <c r="D63" s="1554" t="s">
        <v>5165</v>
      </c>
      <c r="E63" s="1554" t="s">
        <v>5132</v>
      </c>
      <c r="F63" s="1562">
        <v>44184.0</v>
      </c>
      <c r="G63" s="1464"/>
      <c r="H63" s="1464"/>
      <c r="I63" s="1464"/>
      <c r="J63" s="1570" t="s">
        <v>4913</v>
      </c>
      <c r="K63" s="1571">
        <v>93000.0</v>
      </c>
      <c r="L63" s="1572">
        <v>2023.0</v>
      </c>
      <c r="M63" s="1570" t="s">
        <v>1080</v>
      </c>
      <c r="N63" s="1573">
        <v>44674.0</v>
      </c>
      <c r="O63" s="1489"/>
      <c r="P63" s="1464"/>
      <c r="Q63" s="1464"/>
      <c r="R63" s="1464"/>
      <c r="S63" s="1464"/>
      <c r="T63" s="1464"/>
      <c r="U63" s="1464"/>
      <c r="V63" s="1464"/>
      <c r="W63" s="1464"/>
      <c r="X63" s="1464"/>
      <c r="Y63" s="1464"/>
      <c r="Z63" s="1464"/>
      <c r="AA63" s="1464"/>
      <c r="AB63" s="1464"/>
    </row>
    <row r="64">
      <c r="A64" s="1554" t="s">
        <v>3423</v>
      </c>
      <c r="B64" s="1555">
        <v>84000.0</v>
      </c>
      <c r="C64" s="1556">
        <v>2015.0</v>
      </c>
      <c r="D64" s="1554" t="s">
        <v>5109</v>
      </c>
      <c r="E64" s="1554" t="s">
        <v>5147</v>
      </c>
      <c r="F64" s="1562">
        <v>44184.0</v>
      </c>
      <c r="G64" s="1464"/>
      <c r="H64" s="1464"/>
      <c r="I64" s="1464"/>
      <c r="J64" s="1570" t="s">
        <v>5166</v>
      </c>
      <c r="K64" s="1571">
        <v>86000.0</v>
      </c>
      <c r="L64" s="1572">
        <v>2023.0</v>
      </c>
      <c r="M64" s="1570" t="s">
        <v>5167</v>
      </c>
      <c r="N64" s="1573">
        <v>44370.0</v>
      </c>
      <c r="O64" s="1489"/>
      <c r="P64" s="1464"/>
      <c r="Q64" s="1464"/>
      <c r="R64" s="1464"/>
      <c r="S64" s="1464"/>
      <c r="T64" s="1464"/>
      <c r="U64" s="1464"/>
      <c r="V64" s="1464"/>
      <c r="W64" s="1464"/>
      <c r="X64" s="1464"/>
      <c r="Y64" s="1464"/>
      <c r="Z64" s="1464"/>
      <c r="AA64" s="1464"/>
      <c r="AB64" s="1464"/>
    </row>
    <row r="65">
      <c r="A65" s="1554" t="s">
        <v>5168</v>
      </c>
      <c r="B65" s="1555">
        <v>82200.0</v>
      </c>
      <c r="C65" s="1556">
        <v>2008.0</v>
      </c>
      <c r="D65" s="1554" t="s">
        <v>4775</v>
      </c>
      <c r="E65" s="1554" t="s">
        <v>5115</v>
      </c>
      <c r="F65" s="1562">
        <v>44184.0</v>
      </c>
      <c r="G65" s="1464"/>
      <c r="H65" s="1464"/>
      <c r="I65" s="1464"/>
      <c r="J65" s="1570" t="s">
        <v>5169</v>
      </c>
      <c r="K65" s="1571">
        <v>91000.0</v>
      </c>
      <c r="L65" s="1572">
        <v>2023.0</v>
      </c>
      <c r="M65" s="1570" t="s">
        <v>3317</v>
      </c>
      <c r="N65" s="1573">
        <v>44735.0</v>
      </c>
      <c r="O65" s="1489"/>
      <c r="P65" s="1464"/>
      <c r="Q65" s="1464"/>
      <c r="R65" s="1464"/>
      <c r="S65" s="1464"/>
      <c r="T65" s="1464"/>
      <c r="U65" s="1464"/>
      <c r="V65" s="1464"/>
      <c r="W65" s="1464"/>
      <c r="X65" s="1464"/>
      <c r="Y65" s="1464"/>
      <c r="Z65" s="1464"/>
      <c r="AA65" s="1464"/>
      <c r="AB65" s="1464"/>
    </row>
    <row r="66">
      <c r="A66" s="1554" t="s">
        <v>5170</v>
      </c>
      <c r="B66" s="1555">
        <v>75000.0</v>
      </c>
      <c r="C66" s="1556">
        <v>2008.0</v>
      </c>
      <c r="D66" s="1554" t="s">
        <v>3759</v>
      </c>
      <c r="E66" s="1554" t="s">
        <v>5115</v>
      </c>
      <c r="F66" s="1562">
        <v>44184.0</v>
      </c>
      <c r="G66" s="1464"/>
      <c r="H66" s="1464"/>
      <c r="I66" s="1464"/>
      <c r="J66" s="1570" t="s">
        <v>5154</v>
      </c>
      <c r="K66" s="1571">
        <v>86000.0</v>
      </c>
      <c r="L66" s="1572">
        <v>2023.0</v>
      </c>
      <c r="M66" s="1570" t="s">
        <v>761</v>
      </c>
      <c r="N66" s="1573">
        <v>44370.0</v>
      </c>
      <c r="O66" s="1489"/>
      <c r="P66" s="1464"/>
      <c r="Q66" s="1464"/>
      <c r="R66" s="1464"/>
      <c r="S66" s="1464"/>
      <c r="T66" s="1464"/>
      <c r="U66" s="1464"/>
      <c r="V66" s="1464"/>
      <c r="W66" s="1464"/>
      <c r="X66" s="1464"/>
      <c r="Y66" s="1464"/>
      <c r="Z66" s="1464"/>
      <c r="AA66" s="1464"/>
      <c r="AB66" s="1464"/>
    </row>
    <row r="67">
      <c r="A67" s="1554" t="s">
        <v>3361</v>
      </c>
      <c r="B67" s="1555">
        <v>84000.0</v>
      </c>
      <c r="C67" s="1556">
        <v>2014.0</v>
      </c>
      <c r="D67" s="1554" t="s">
        <v>3083</v>
      </c>
      <c r="E67" s="1554" t="s">
        <v>5150</v>
      </c>
      <c r="F67" s="1562">
        <v>44154.0</v>
      </c>
      <c r="G67" s="1464"/>
      <c r="H67" s="1464"/>
      <c r="I67" s="1464"/>
      <c r="J67" s="1570" t="s">
        <v>3700</v>
      </c>
      <c r="K67" s="1571">
        <v>91000.0</v>
      </c>
      <c r="L67" s="1572">
        <v>2023.0</v>
      </c>
      <c r="M67" s="1570" t="s">
        <v>5171</v>
      </c>
      <c r="N67" s="1573">
        <v>44584.0</v>
      </c>
      <c r="O67" s="1489"/>
      <c r="P67" s="1464"/>
      <c r="Q67" s="1464"/>
      <c r="R67" s="1464"/>
      <c r="S67" s="1464"/>
      <c r="T67" s="1464"/>
      <c r="U67" s="1464"/>
      <c r="V67" s="1464"/>
      <c r="W67" s="1464"/>
      <c r="X67" s="1464"/>
      <c r="Y67" s="1464"/>
      <c r="Z67" s="1464"/>
      <c r="AA67" s="1464"/>
      <c r="AB67" s="1464"/>
    </row>
    <row r="68">
      <c r="A68" s="1554" t="s">
        <v>4270</v>
      </c>
      <c r="B68" s="1555">
        <v>83300.0</v>
      </c>
      <c r="C68" s="1556">
        <v>2016.0</v>
      </c>
      <c r="D68" s="1554" t="s">
        <v>5139</v>
      </c>
      <c r="E68" s="1554" t="s">
        <v>5132</v>
      </c>
      <c r="F68" s="1562">
        <v>44154.0</v>
      </c>
      <c r="G68" s="1464"/>
      <c r="H68" s="1464"/>
      <c r="I68" s="1464"/>
      <c r="J68" s="1570" t="s">
        <v>3897</v>
      </c>
      <c r="K68" s="1571">
        <v>91000.0</v>
      </c>
      <c r="L68" s="1572">
        <v>2023.0</v>
      </c>
      <c r="M68" s="1570" t="s">
        <v>5171</v>
      </c>
      <c r="N68" s="1573">
        <v>44674.0</v>
      </c>
      <c r="O68" s="1489"/>
      <c r="P68" s="1464"/>
      <c r="Q68" s="1464"/>
      <c r="R68" s="1464"/>
      <c r="S68" s="1464"/>
      <c r="T68" s="1464"/>
      <c r="U68" s="1464"/>
      <c r="V68" s="1464"/>
      <c r="W68" s="1464"/>
      <c r="X68" s="1464"/>
      <c r="Y68" s="1464"/>
      <c r="Z68" s="1464"/>
      <c r="AA68" s="1464"/>
      <c r="AB68" s="1464"/>
    </row>
    <row r="69">
      <c r="A69" s="1554" t="s">
        <v>3411</v>
      </c>
      <c r="B69" s="1555">
        <v>84000.0</v>
      </c>
      <c r="C69" s="1556">
        <v>2015.0</v>
      </c>
      <c r="D69" s="1554" t="s">
        <v>5109</v>
      </c>
      <c r="E69" s="1554" t="s">
        <v>5147</v>
      </c>
      <c r="F69" s="1562">
        <v>44154.0</v>
      </c>
      <c r="G69" s="1464"/>
      <c r="H69" s="1464"/>
      <c r="I69" s="1464"/>
      <c r="J69" s="1570" t="s">
        <v>4446</v>
      </c>
      <c r="K69" s="1571">
        <v>86000.0</v>
      </c>
      <c r="L69" s="1572">
        <v>2023.0</v>
      </c>
      <c r="M69" s="1570" t="s">
        <v>3083</v>
      </c>
      <c r="N69" s="1573">
        <v>44370.0</v>
      </c>
      <c r="O69" s="1489"/>
      <c r="P69" s="1464"/>
      <c r="Q69" s="1464"/>
      <c r="R69" s="1464"/>
      <c r="S69" s="1464"/>
      <c r="T69" s="1464"/>
      <c r="U69" s="1464"/>
      <c r="V69" s="1464"/>
      <c r="W69" s="1464"/>
      <c r="X69" s="1464"/>
      <c r="Y69" s="1464"/>
      <c r="Z69" s="1464"/>
      <c r="AA69" s="1464"/>
      <c r="AB69" s="1464"/>
    </row>
    <row r="70">
      <c r="A70" s="1554" t="s">
        <v>4379</v>
      </c>
      <c r="B70" s="1555">
        <v>78700.0</v>
      </c>
      <c r="C70" s="1556">
        <v>2017.0</v>
      </c>
      <c r="D70" s="1554" t="s">
        <v>3759</v>
      </c>
      <c r="E70" s="1554" t="s">
        <v>5115</v>
      </c>
      <c r="F70" s="1562">
        <v>44154.0</v>
      </c>
      <c r="G70" s="1464"/>
      <c r="H70" s="1464"/>
      <c r="I70" s="1464"/>
      <c r="J70" s="1570" t="s">
        <v>5172</v>
      </c>
      <c r="K70" s="1571">
        <v>91000.0</v>
      </c>
      <c r="L70" s="1572">
        <v>2023.0</v>
      </c>
      <c r="M70" s="1570" t="s">
        <v>3226</v>
      </c>
      <c r="N70" s="1573">
        <v>44735.0</v>
      </c>
      <c r="O70" s="1489"/>
      <c r="P70" s="1464"/>
      <c r="Q70" s="1464"/>
      <c r="R70" s="1464"/>
      <c r="S70" s="1464"/>
      <c r="T70" s="1464"/>
      <c r="U70" s="1464"/>
      <c r="V70" s="1464"/>
      <c r="W70" s="1464"/>
      <c r="X70" s="1464"/>
      <c r="Y70" s="1464"/>
      <c r="Z70" s="1464"/>
      <c r="AA70" s="1464"/>
      <c r="AB70" s="1464"/>
    </row>
    <row r="71">
      <c r="A71" s="1568" t="s">
        <v>3431</v>
      </c>
      <c r="B71" s="1555">
        <v>83000.0</v>
      </c>
      <c r="C71" s="1556">
        <v>2019.0</v>
      </c>
      <c r="D71" s="1554" t="s">
        <v>3652</v>
      </c>
      <c r="E71" s="1554" t="s">
        <v>5110</v>
      </c>
      <c r="F71" s="1562">
        <v>44154.0</v>
      </c>
      <c r="G71" s="1464"/>
      <c r="H71" s="1464"/>
      <c r="I71" s="1464"/>
      <c r="J71" s="1570" t="s">
        <v>5173</v>
      </c>
      <c r="K71" s="1571">
        <v>86000.0</v>
      </c>
      <c r="L71" s="1572">
        <v>2023.0</v>
      </c>
      <c r="M71" s="1570" t="s">
        <v>3317</v>
      </c>
      <c r="N71" s="1573">
        <v>44370.0</v>
      </c>
      <c r="O71" s="1489"/>
      <c r="P71" s="1464"/>
      <c r="Q71" s="1464"/>
      <c r="R71" s="1464"/>
      <c r="S71" s="1464"/>
      <c r="T71" s="1464"/>
      <c r="U71" s="1464"/>
      <c r="V71" s="1464"/>
      <c r="W71" s="1464"/>
      <c r="X71" s="1464"/>
      <c r="Y71" s="1464"/>
      <c r="Z71" s="1464"/>
      <c r="AA71" s="1464"/>
      <c r="AB71" s="1464"/>
    </row>
    <row r="72">
      <c r="A72" s="1554" t="s">
        <v>3383</v>
      </c>
      <c r="B72" s="1555">
        <v>80000.0</v>
      </c>
      <c r="C72" s="1556">
        <v>2019.0</v>
      </c>
      <c r="D72" s="1554" t="s">
        <v>3759</v>
      </c>
      <c r="E72" s="1554" t="s">
        <v>5110</v>
      </c>
      <c r="F72" s="1562">
        <v>44154.0</v>
      </c>
      <c r="G72" s="1464"/>
      <c r="H72" s="1464"/>
      <c r="I72" s="1464"/>
      <c r="J72" s="1570" t="s">
        <v>5174</v>
      </c>
      <c r="K72" s="1571">
        <v>86000.0</v>
      </c>
      <c r="L72" s="1572">
        <v>2023.0</v>
      </c>
      <c r="M72" s="1570" t="s">
        <v>3177</v>
      </c>
      <c r="N72" s="1573">
        <v>44370.0</v>
      </c>
      <c r="O72" s="1489"/>
      <c r="P72" s="1464"/>
      <c r="Q72" s="1464"/>
      <c r="R72" s="1464"/>
      <c r="S72" s="1464"/>
      <c r="T72" s="1464"/>
      <c r="U72" s="1464"/>
      <c r="V72" s="1464"/>
      <c r="W72" s="1464"/>
      <c r="X72" s="1464"/>
      <c r="Y72" s="1464"/>
      <c r="Z72" s="1464"/>
      <c r="AA72" s="1464"/>
      <c r="AB72" s="1464"/>
    </row>
    <row r="73">
      <c r="A73" s="1554" t="s">
        <v>3402</v>
      </c>
      <c r="B73" s="1555">
        <v>83000.0</v>
      </c>
      <c r="C73" s="1556">
        <v>2019.0</v>
      </c>
      <c r="D73" s="1554" t="s">
        <v>3207</v>
      </c>
      <c r="E73" s="1554" t="s">
        <v>5110</v>
      </c>
      <c r="F73" s="1562">
        <v>44123.0</v>
      </c>
      <c r="G73" s="1464"/>
      <c r="H73" s="1464"/>
      <c r="I73" s="1464"/>
      <c r="J73" s="1570" t="s">
        <v>5175</v>
      </c>
      <c r="K73" s="1571">
        <v>86000.0</v>
      </c>
      <c r="L73" s="1572">
        <v>2023.0</v>
      </c>
      <c r="M73" s="1570" t="s">
        <v>3045</v>
      </c>
      <c r="N73" s="1573">
        <v>44735.0</v>
      </c>
      <c r="O73" s="1489"/>
      <c r="P73" s="1464"/>
      <c r="Q73" s="1464"/>
      <c r="R73" s="1464"/>
      <c r="S73" s="1464"/>
      <c r="T73" s="1464"/>
      <c r="U73" s="1464"/>
      <c r="V73" s="1464"/>
      <c r="W73" s="1464"/>
      <c r="X73" s="1464"/>
      <c r="Y73" s="1464"/>
      <c r="Z73" s="1464"/>
      <c r="AA73" s="1464"/>
      <c r="AB73" s="1464"/>
    </row>
    <row r="74">
      <c r="A74" s="1554" t="s">
        <v>3395</v>
      </c>
      <c r="B74" s="1555">
        <v>84000.0</v>
      </c>
      <c r="C74" s="1556">
        <v>2015.0</v>
      </c>
      <c r="D74" s="1554" t="s">
        <v>5109</v>
      </c>
      <c r="E74" s="1554" t="s">
        <v>5142</v>
      </c>
      <c r="F74" s="1562">
        <v>44123.0</v>
      </c>
      <c r="G74" s="1464"/>
      <c r="H74" s="1464"/>
      <c r="I74" s="1464"/>
      <c r="J74" s="1570" t="s">
        <v>5176</v>
      </c>
      <c r="K74" s="1571">
        <v>93000.0</v>
      </c>
      <c r="L74" s="1572">
        <v>2023.0</v>
      </c>
      <c r="M74" s="1570" t="s">
        <v>5177</v>
      </c>
      <c r="N74" s="1573">
        <v>44370.0</v>
      </c>
      <c r="O74" s="1489"/>
      <c r="P74" s="1464"/>
      <c r="Q74" s="1464"/>
      <c r="R74" s="1464"/>
      <c r="S74" s="1464"/>
      <c r="T74" s="1464"/>
      <c r="U74" s="1464"/>
      <c r="V74" s="1464"/>
      <c r="W74" s="1464"/>
      <c r="X74" s="1464"/>
      <c r="Y74" s="1464"/>
      <c r="Z74" s="1464"/>
      <c r="AA74" s="1464"/>
      <c r="AB74" s="1464"/>
    </row>
    <row r="75">
      <c r="A75" s="1554" t="s">
        <v>3416</v>
      </c>
      <c r="B75" s="1555">
        <v>84000.0</v>
      </c>
      <c r="C75" s="1556">
        <v>2014.0</v>
      </c>
      <c r="D75" s="1554" t="s">
        <v>5109</v>
      </c>
      <c r="E75" s="1554" t="s">
        <v>5147</v>
      </c>
      <c r="F75" s="1562">
        <v>44093.0</v>
      </c>
      <c r="G75" s="1464"/>
      <c r="H75" s="1464"/>
      <c r="I75" s="1464"/>
      <c r="J75" s="1570" t="s">
        <v>5178</v>
      </c>
      <c r="K75" s="1571">
        <v>91000.0</v>
      </c>
      <c r="L75" s="1572">
        <v>2023.0</v>
      </c>
      <c r="M75" s="1570" t="s">
        <v>1612</v>
      </c>
      <c r="N75" s="1573">
        <v>44370.0</v>
      </c>
      <c r="O75" s="1489"/>
      <c r="P75" s="1464"/>
      <c r="Q75" s="1464"/>
      <c r="R75" s="1464"/>
      <c r="S75" s="1464"/>
      <c r="T75" s="1464"/>
      <c r="U75" s="1464"/>
      <c r="V75" s="1464"/>
      <c r="W75" s="1464"/>
      <c r="X75" s="1464"/>
      <c r="Y75" s="1464"/>
      <c r="Z75" s="1464"/>
      <c r="AA75" s="1464"/>
      <c r="AB75" s="1464"/>
    </row>
    <row r="76">
      <c r="A76" s="1554" t="s">
        <v>4341</v>
      </c>
      <c r="B76" s="1555">
        <v>78700.0</v>
      </c>
      <c r="C76" s="1556">
        <v>2017.0</v>
      </c>
      <c r="D76" s="1554" t="s">
        <v>3759</v>
      </c>
      <c r="E76" s="1554" t="s">
        <v>5115</v>
      </c>
      <c r="F76" s="1562">
        <v>44093.0</v>
      </c>
      <c r="G76" s="1464"/>
      <c r="H76" s="1464"/>
      <c r="I76" s="1464"/>
      <c r="J76" s="1570" t="s">
        <v>5175</v>
      </c>
      <c r="K76" s="1571">
        <v>86000.0</v>
      </c>
      <c r="L76" s="1572">
        <v>2023.0</v>
      </c>
      <c r="M76" s="1570" t="s">
        <v>3045</v>
      </c>
      <c r="N76" s="1573">
        <v>44370.0</v>
      </c>
      <c r="O76" s="1489"/>
      <c r="P76" s="1464"/>
      <c r="Q76" s="1464"/>
      <c r="R76" s="1464"/>
      <c r="S76" s="1464"/>
      <c r="T76" s="1464"/>
      <c r="U76" s="1464"/>
      <c r="V76" s="1464"/>
      <c r="W76" s="1464"/>
      <c r="X76" s="1464"/>
      <c r="Y76" s="1464"/>
      <c r="Z76" s="1464"/>
      <c r="AA76" s="1464"/>
      <c r="AB76" s="1464"/>
    </row>
    <row r="77">
      <c r="A77" s="1554" t="s">
        <v>3379</v>
      </c>
      <c r="B77" s="1555">
        <v>80000.0</v>
      </c>
      <c r="C77" s="1556">
        <v>2019.0</v>
      </c>
      <c r="D77" s="1554" t="s">
        <v>3658</v>
      </c>
      <c r="E77" s="1554" t="s">
        <v>5110</v>
      </c>
      <c r="F77" s="1562">
        <v>44093.0</v>
      </c>
      <c r="G77" s="1464"/>
      <c r="H77" s="1464"/>
      <c r="I77" s="1464"/>
      <c r="J77" s="1570" t="s">
        <v>5179</v>
      </c>
      <c r="K77" s="1571">
        <v>91000.0</v>
      </c>
      <c r="L77" s="1572">
        <v>2023.0</v>
      </c>
      <c r="M77" s="1570" t="s">
        <v>5152</v>
      </c>
      <c r="N77" s="1573" t="s">
        <v>5180</v>
      </c>
      <c r="O77" s="1489"/>
      <c r="P77" s="1464"/>
      <c r="Q77" s="1464"/>
      <c r="R77" s="1464"/>
      <c r="S77" s="1464"/>
      <c r="T77" s="1464"/>
      <c r="U77" s="1464"/>
      <c r="V77" s="1464"/>
      <c r="W77" s="1464"/>
      <c r="X77" s="1464"/>
      <c r="Y77" s="1464"/>
      <c r="Z77" s="1464"/>
      <c r="AA77" s="1464"/>
      <c r="AB77" s="1464"/>
    </row>
    <row r="78">
      <c r="A78" s="1554" t="s">
        <v>3359</v>
      </c>
      <c r="B78" s="1555">
        <v>80000.0</v>
      </c>
      <c r="C78" s="1556">
        <v>2019.0</v>
      </c>
      <c r="D78" s="1554" t="s">
        <v>3658</v>
      </c>
      <c r="E78" s="1554" t="s">
        <v>5110</v>
      </c>
      <c r="F78" s="1562">
        <v>44062.0</v>
      </c>
      <c r="G78" s="1464"/>
      <c r="H78" s="1464"/>
      <c r="I78" s="1464"/>
      <c r="J78" s="1570" t="s">
        <v>5176</v>
      </c>
      <c r="K78" s="1571">
        <v>93000.0</v>
      </c>
      <c r="L78" s="1572">
        <v>2023.0</v>
      </c>
      <c r="M78" s="1570" t="s">
        <v>1313</v>
      </c>
      <c r="N78" s="1573" t="s">
        <v>5181</v>
      </c>
      <c r="O78" s="1489"/>
      <c r="P78" s="1464"/>
      <c r="Q78" s="1464"/>
      <c r="R78" s="1464"/>
      <c r="S78" s="1464"/>
      <c r="T78" s="1464"/>
      <c r="U78" s="1464"/>
      <c r="V78" s="1464"/>
      <c r="W78" s="1464"/>
      <c r="X78" s="1464"/>
      <c r="Y78" s="1464"/>
      <c r="Z78" s="1464"/>
      <c r="AA78" s="1464"/>
      <c r="AB78" s="1464"/>
    </row>
    <row r="79">
      <c r="A79" s="1554" t="s">
        <v>3363</v>
      </c>
      <c r="B79" s="1555">
        <v>84000.0</v>
      </c>
      <c r="C79" s="1556">
        <v>2014.0</v>
      </c>
      <c r="D79" s="1554" t="s">
        <v>5109</v>
      </c>
      <c r="E79" s="1554" t="s">
        <v>5147</v>
      </c>
      <c r="F79" s="1562">
        <v>44031.0</v>
      </c>
      <c r="G79" s="1464"/>
      <c r="H79" s="1464"/>
      <c r="I79" s="1464"/>
      <c r="J79" s="1570" t="s">
        <v>4911</v>
      </c>
      <c r="K79" s="1571">
        <v>93000.0</v>
      </c>
      <c r="L79" s="1572">
        <v>2023.0</v>
      </c>
      <c r="M79" s="1570" t="s">
        <v>1080</v>
      </c>
      <c r="N79" s="1573">
        <v>44765.0</v>
      </c>
      <c r="O79" s="1489"/>
      <c r="P79" s="1464"/>
      <c r="Q79" s="1464"/>
      <c r="R79" s="1464"/>
      <c r="S79" s="1464"/>
      <c r="T79" s="1464"/>
      <c r="U79" s="1464"/>
      <c r="V79" s="1464"/>
      <c r="W79" s="1464"/>
      <c r="X79" s="1464"/>
      <c r="Y79" s="1464"/>
      <c r="Z79" s="1464"/>
      <c r="AA79" s="1464"/>
      <c r="AB79" s="1464"/>
    </row>
    <row r="80">
      <c r="A80" s="1554" t="s">
        <v>3429</v>
      </c>
      <c r="B80" s="1555">
        <v>80000.0</v>
      </c>
      <c r="C80" s="1556">
        <v>2019.0</v>
      </c>
      <c r="D80" s="1554" t="s">
        <v>3651</v>
      </c>
      <c r="E80" s="1554" t="s">
        <v>5110</v>
      </c>
      <c r="F80" s="1562">
        <v>44031.0</v>
      </c>
      <c r="G80" s="1464"/>
      <c r="H80" s="1464"/>
      <c r="I80" s="1464"/>
      <c r="J80" s="1570" t="s">
        <v>5182</v>
      </c>
      <c r="K80" s="1571">
        <v>87000.0</v>
      </c>
      <c r="L80" s="1572">
        <v>2023.0</v>
      </c>
      <c r="M80" s="1570" t="s">
        <v>3044</v>
      </c>
      <c r="N80" s="1573">
        <v>44765.0</v>
      </c>
      <c r="O80" s="1489"/>
      <c r="P80" s="1464"/>
      <c r="Q80" s="1464"/>
      <c r="R80" s="1464"/>
      <c r="S80" s="1464"/>
      <c r="T80" s="1464"/>
      <c r="U80" s="1464"/>
      <c r="V80" s="1464"/>
      <c r="W80" s="1464"/>
      <c r="X80" s="1464"/>
      <c r="Y80" s="1464"/>
      <c r="Z80" s="1464"/>
      <c r="AA80" s="1464"/>
      <c r="AB80" s="1464"/>
    </row>
    <row r="81">
      <c r="A81" s="1554" t="s">
        <v>4679</v>
      </c>
      <c r="B81" s="1555">
        <v>82500.0</v>
      </c>
      <c r="C81" s="1556">
        <v>2009.0</v>
      </c>
      <c r="D81" s="1554" t="s">
        <v>4128</v>
      </c>
      <c r="E81" s="1554" t="s">
        <v>5183</v>
      </c>
      <c r="F81" s="1562">
        <v>44001.0</v>
      </c>
      <c r="G81" s="1464"/>
      <c r="H81" s="1464"/>
      <c r="I81" s="1464"/>
      <c r="J81" s="1570" t="s">
        <v>4912</v>
      </c>
      <c r="K81" s="1571">
        <v>93000.0</v>
      </c>
      <c r="L81" s="1572">
        <v>2023.0</v>
      </c>
      <c r="M81" s="1570" t="s">
        <v>1080</v>
      </c>
      <c r="N81" s="1573">
        <v>44796.0</v>
      </c>
      <c r="O81" s="1489"/>
      <c r="P81" s="1464"/>
      <c r="Q81" s="1464"/>
      <c r="R81" s="1464"/>
      <c r="S81" s="1464"/>
      <c r="T81" s="1464"/>
      <c r="U81" s="1464"/>
      <c r="V81" s="1464"/>
      <c r="W81" s="1464"/>
      <c r="X81" s="1464"/>
      <c r="Y81" s="1464"/>
      <c r="Z81" s="1464"/>
      <c r="AA81" s="1464"/>
      <c r="AB81" s="1464"/>
    </row>
    <row r="82">
      <c r="A82" s="1554" t="s">
        <v>3400</v>
      </c>
      <c r="B82" s="1555">
        <v>80000.0</v>
      </c>
      <c r="C82" s="1556">
        <v>2019.0</v>
      </c>
      <c r="D82" s="1554" t="s">
        <v>3658</v>
      </c>
      <c r="E82" s="1554" t="s">
        <v>5110</v>
      </c>
      <c r="F82" s="1562">
        <v>44001.0</v>
      </c>
      <c r="G82" s="1464"/>
      <c r="H82" s="1464"/>
      <c r="I82" s="1464"/>
      <c r="J82" s="1570" t="s">
        <v>5176</v>
      </c>
      <c r="K82" s="1571">
        <v>93000.0</v>
      </c>
      <c r="L82" s="1572">
        <v>2023.0</v>
      </c>
      <c r="M82" s="1570" t="s">
        <v>1313</v>
      </c>
      <c r="N82" s="1573">
        <v>44796.0</v>
      </c>
      <c r="O82" s="1489"/>
      <c r="P82" s="1464"/>
      <c r="Q82" s="1464"/>
      <c r="R82" s="1464"/>
      <c r="S82" s="1464"/>
      <c r="T82" s="1464"/>
      <c r="U82" s="1464"/>
      <c r="V82" s="1464"/>
      <c r="W82" s="1464"/>
      <c r="X82" s="1464"/>
      <c r="Y82" s="1464"/>
      <c r="Z82" s="1464"/>
      <c r="AA82" s="1464"/>
      <c r="AB82" s="1464"/>
    </row>
    <row r="83">
      <c r="A83" s="1554" t="s">
        <v>3380</v>
      </c>
      <c r="B83" s="1555">
        <v>84000.0</v>
      </c>
      <c r="C83" s="1556">
        <v>2019.0</v>
      </c>
      <c r="D83" s="1554" t="s">
        <v>3839</v>
      </c>
      <c r="E83" s="1554" t="s">
        <v>5110</v>
      </c>
      <c r="F83" s="1562">
        <v>44001.0</v>
      </c>
      <c r="G83" s="1464"/>
      <c r="H83" s="1464"/>
      <c r="I83" s="1464"/>
      <c r="J83" s="1570" t="s">
        <v>4910</v>
      </c>
      <c r="K83" s="1571">
        <v>93000.0</v>
      </c>
      <c r="L83" s="1572">
        <v>2023.0</v>
      </c>
      <c r="M83" s="1570" t="s">
        <v>1080</v>
      </c>
      <c r="N83" s="1573">
        <v>44827.0</v>
      </c>
      <c r="O83" s="1489"/>
      <c r="P83" s="1464"/>
      <c r="Q83" s="1464"/>
      <c r="R83" s="1464"/>
      <c r="S83" s="1464"/>
      <c r="T83" s="1464"/>
      <c r="U83" s="1464"/>
      <c r="V83" s="1464"/>
      <c r="W83" s="1464"/>
      <c r="X83" s="1464"/>
      <c r="Y83" s="1464"/>
      <c r="Z83" s="1464"/>
      <c r="AA83" s="1464"/>
      <c r="AB83" s="1464"/>
    </row>
    <row r="84">
      <c r="A84" s="1554" t="s">
        <v>3360</v>
      </c>
      <c r="B84" s="1555">
        <v>80000.0</v>
      </c>
      <c r="C84" s="1556">
        <v>2019.0</v>
      </c>
      <c r="D84" s="1554" t="s">
        <v>3651</v>
      </c>
      <c r="E84" s="1554" t="s">
        <v>5110</v>
      </c>
      <c r="F84" s="1562">
        <v>44001.0</v>
      </c>
      <c r="G84" s="1464"/>
      <c r="H84" s="1464"/>
      <c r="I84" s="1464"/>
      <c r="J84" s="1570" t="s">
        <v>5184</v>
      </c>
      <c r="K84" s="1571">
        <v>91000.0</v>
      </c>
      <c r="L84" s="1572">
        <v>2023.0</v>
      </c>
      <c r="M84" s="1570" t="s">
        <v>3226</v>
      </c>
      <c r="N84" s="1573">
        <v>44827.0</v>
      </c>
      <c r="O84" s="1489"/>
      <c r="P84" s="1464"/>
      <c r="Q84" s="1464"/>
      <c r="R84" s="1464"/>
      <c r="S84" s="1464"/>
      <c r="T84" s="1464"/>
      <c r="U84" s="1464"/>
      <c r="V84" s="1464"/>
      <c r="W84" s="1464"/>
      <c r="X84" s="1464"/>
      <c r="Y84" s="1464"/>
      <c r="Z84" s="1464"/>
      <c r="AA84" s="1464"/>
      <c r="AB84" s="1464"/>
    </row>
    <row r="85">
      <c r="A85" s="1554" t="s">
        <v>3985</v>
      </c>
      <c r="B85" s="1555">
        <v>80000.0</v>
      </c>
      <c r="C85" s="1556">
        <v>2019.0</v>
      </c>
      <c r="D85" s="1554" t="s">
        <v>3658</v>
      </c>
      <c r="E85" s="1554" t="s">
        <v>5110</v>
      </c>
      <c r="F85" s="1566">
        <v>43970.0</v>
      </c>
      <c r="G85" s="1464"/>
      <c r="H85" s="1464"/>
      <c r="I85" s="1464"/>
      <c r="J85" s="1570" t="s">
        <v>5185</v>
      </c>
      <c r="K85" s="1571">
        <v>86000.0</v>
      </c>
      <c r="L85" s="1572">
        <v>2023.0</v>
      </c>
      <c r="M85" s="1570" t="s">
        <v>3177</v>
      </c>
      <c r="N85" s="1573">
        <v>44462.0</v>
      </c>
      <c r="O85" s="1489"/>
      <c r="P85" s="1464"/>
      <c r="Q85" s="1464"/>
      <c r="R85" s="1464"/>
      <c r="S85" s="1464"/>
      <c r="T85" s="1464"/>
      <c r="U85" s="1464"/>
      <c r="V85" s="1464"/>
      <c r="W85" s="1464"/>
      <c r="X85" s="1464"/>
      <c r="Y85" s="1464"/>
      <c r="Z85" s="1464"/>
      <c r="AA85" s="1464"/>
      <c r="AB85" s="1464"/>
    </row>
    <row r="86">
      <c r="A86" s="1554" t="s">
        <v>4996</v>
      </c>
      <c r="B86" s="1555">
        <v>84600.0</v>
      </c>
      <c r="C86" s="1556">
        <v>2009.0</v>
      </c>
      <c r="D86" s="1554" t="s">
        <v>2935</v>
      </c>
      <c r="E86" s="1554" t="s">
        <v>5183</v>
      </c>
      <c r="F86" s="1562">
        <v>43940.0</v>
      </c>
      <c r="G86" s="1464"/>
      <c r="H86" s="1464"/>
      <c r="I86" s="1464"/>
      <c r="J86" s="1570" t="s">
        <v>5186</v>
      </c>
      <c r="K86" s="1571">
        <v>91000.0</v>
      </c>
      <c r="L86" s="1572">
        <v>2023.0</v>
      </c>
      <c r="M86" s="1570" t="s">
        <v>5152</v>
      </c>
      <c r="N86" s="1573" t="s">
        <v>5187</v>
      </c>
      <c r="O86" s="1489"/>
      <c r="P86" s="1464"/>
      <c r="Q86" s="1464"/>
      <c r="R86" s="1464"/>
      <c r="S86" s="1464"/>
      <c r="T86" s="1464"/>
      <c r="U86" s="1464"/>
      <c r="V86" s="1464"/>
      <c r="W86" s="1464"/>
      <c r="X86" s="1464"/>
      <c r="Y86" s="1464"/>
      <c r="Z86" s="1464"/>
      <c r="AA86" s="1464"/>
      <c r="AB86" s="1464"/>
    </row>
    <row r="87">
      <c r="A87" s="1554" t="s">
        <v>4071</v>
      </c>
      <c r="B87" s="1555">
        <v>82200.0</v>
      </c>
      <c r="C87" s="1556">
        <v>2019.0</v>
      </c>
      <c r="D87" s="1554" t="s">
        <v>4001</v>
      </c>
      <c r="E87" s="1554" t="s">
        <v>5110</v>
      </c>
      <c r="F87" s="1562">
        <v>43940.0</v>
      </c>
      <c r="G87" s="1464"/>
      <c r="H87" s="1464"/>
      <c r="I87" s="1464"/>
      <c r="J87" s="1570" t="s">
        <v>5188</v>
      </c>
      <c r="K87" s="1571">
        <v>86700.0</v>
      </c>
      <c r="L87" s="1572">
        <v>2023.0</v>
      </c>
      <c r="M87" s="1570" t="s">
        <v>3214</v>
      </c>
      <c r="N87" s="1573" t="s">
        <v>5187</v>
      </c>
      <c r="O87" s="1489"/>
      <c r="P87" s="1464"/>
      <c r="Q87" s="1464"/>
      <c r="R87" s="1464"/>
      <c r="S87" s="1464"/>
      <c r="T87" s="1464"/>
      <c r="U87" s="1464"/>
      <c r="V87" s="1464"/>
      <c r="W87" s="1464"/>
      <c r="X87" s="1464"/>
      <c r="Y87" s="1464"/>
      <c r="Z87" s="1464"/>
      <c r="AA87" s="1464"/>
      <c r="AB87" s="1464"/>
    </row>
    <row r="88">
      <c r="A88" s="1554" t="s">
        <v>4932</v>
      </c>
      <c r="B88" s="1555">
        <v>84200.0</v>
      </c>
      <c r="C88" s="1556">
        <v>2019.0</v>
      </c>
      <c r="D88" s="1554" t="s">
        <v>3651</v>
      </c>
      <c r="E88" s="1554" t="s">
        <v>5110</v>
      </c>
      <c r="F88" s="1562">
        <v>43940.0</v>
      </c>
      <c r="G88" s="1464"/>
      <c r="H88" s="1464"/>
      <c r="I88" s="1464"/>
      <c r="J88" s="1570" t="s">
        <v>5189</v>
      </c>
      <c r="K88" s="1571">
        <v>91000.0</v>
      </c>
      <c r="L88" s="1572">
        <v>2023.0</v>
      </c>
      <c r="M88" s="1570" t="s">
        <v>3226</v>
      </c>
      <c r="N88" s="1573">
        <v>44857.0</v>
      </c>
      <c r="O88" s="1489"/>
      <c r="P88" s="1464"/>
      <c r="Q88" s="1464"/>
      <c r="R88" s="1464"/>
      <c r="S88" s="1464"/>
      <c r="T88" s="1464"/>
      <c r="U88" s="1464"/>
      <c r="V88" s="1464"/>
      <c r="W88" s="1464"/>
      <c r="X88" s="1464"/>
      <c r="Y88" s="1464"/>
      <c r="Z88" s="1464"/>
      <c r="AA88" s="1464"/>
      <c r="AB88" s="1464"/>
    </row>
    <row r="89">
      <c r="A89" s="1554" t="s">
        <v>4572</v>
      </c>
      <c r="B89" s="1555">
        <v>83000.0</v>
      </c>
      <c r="C89" s="1556">
        <v>2019.0</v>
      </c>
      <c r="D89" s="1554" t="s">
        <v>5139</v>
      </c>
      <c r="E89" s="1554" t="s">
        <v>5110</v>
      </c>
      <c r="F89" s="1562">
        <v>43909.0</v>
      </c>
      <c r="G89" s="1464"/>
      <c r="H89" s="1464"/>
      <c r="I89" s="1464"/>
      <c r="J89" s="1570" t="s">
        <v>5190</v>
      </c>
      <c r="K89" s="1571">
        <v>86000.0</v>
      </c>
      <c r="L89" s="1572">
        <v>2023.0</v>
      </c>
      <c r="M89" s="1570" t="s">
        <v>3317</v>
      </c>
      <c r="N89" s="1573">
        <v>44492.0</v>
      </c>
      <c r="O89" s="1489"/>
      <c r="P89" s="1464"/>
      <c r="Q89" s="1464"/>
      <c r="R89" s="1464"/>
      <c r="S89" s="1464"/>
      <c r="T89" s="1464"/>
      <c r="U89" s="1464"/>
      <c r="V89" s="1464"/>
      <c r="W89" s="1464"/>
      <c r="X89" s="1464"/>
      <c r="Y89" s="1464"/>
      <c r="Z89" s="1464"/>
      <c r="AA89" s="1464"/>
      <c r="AB89" s="1464"/>
    </row>
    <row r="90">
      <c r="A90" s="1554" t="s">
        <v>4931</v>
      </c>
      <c r="B90" s="1555">
        <v>84200.0</v>
      </c>
      <c r="C90" s="1556">
        <v>2019.0</v>
      </c>
      <c r="D90" s="1554" t="s">
        <v>3651</v>
      </c>
      <c r="E90" s="1554" t="s">
        <v>5110</v>
      </c>
      <c r="F90" s="1562">
        <v>43909.0</v>
      </c>
      <c r="G90" s="1464"/>
      <c r="H90" s="1464"/>
      <c r="I90" s="1464"/>
      <c r="J90" s="1570" t="s">
        <v>5191</v>
      </c>
      <c r="K90" s="1571">
        <v>91000.0</v>
      </c>
      <c r="L90" s="1572">
        <v>2023.0</v>
      </c>
      <c r="M90" s="1570" t="s">
        <v>3317</v>
      </c>
      <c r="N90" s="1573">
        <v>44523.0</v>
      </c>
      <c r="O90" s="1489"/>
      <c r="P90" s="1464"/>
      <c r="Q90" s="1464"/>
      <c r="R90" s="1464"/>
      <c r="S90" s="1464"/>
      <c r="T90" s="1464"/>
      <c r="U90" s="1464"/>
      <c r="V90" s="1464"/>
      <c r="W90" s="1464"/>
      <c r="X90" s="1464"/>
      <c r="Y90" s="1464"/>
      <c r="Z90" s="1464"/>
      <c r="AA90" s="1464"/>
      <c r="AB90" s="1464"/>
    </row>
    <row r="91">
      <c r="A91" s="1554" t="s">
        <v>4065</v>
      </c>
      <c r="B91" s="1555">
        <v>82200.0</v>
      </c>
      <c r="C91" s="1556">
        <v>2013.0</v>
      </c>
      <c r="D91" s="1554" t="s">
        <v>4001</v>
      </c>
      <c r="E91" s="1554" t="s">
        <v>5150</v>
      </c>
      <c r="F91" s="1562">
        <v>43849.0</v>
      </c>
      <c r="G91" s="1464"/>
      <c r="H91" s="1464"/>
      <c r="I91" s="1464"/>
      <c r="J91" s="1570" t="s">
        <v>3656</v>
      </c>
      <c r="K91" s="1571">
        <v>93000.0</v>
      </c>
      <c r="L91" s="1572">
        <v>2023.0</v>
      </c>
      <c r="M91" s="1570" t="s">
        <v>1080</v>
      </c>
      <c r="N91" s="1573">
        <v>44888.0</v>
      </c>
      <c r="O91" s="1489"/>
      <c r="P91" s="1464"/>
      <c r="Q91" s="1464"/>
      <c r="R91" s="1464"/>
      <c r="S91" s="1464"/>
      <c r="T91" s="1464"/>
      <c r="U91" s="1464"/>
      <c r="V91" s="1464"/>
      <c r="W91" s="1464"/>
      <c r="X91" s="1464"/>
      <c r="Y91" s="1464"/>
      <c r="Z91" s="1464"/>
      <c r="AA91" s="1464"/>
      <c r="AB91" s="1464"/>
    </row>
    <row r="92">
      <c r="A92" s="1554" t="s">
        <v>3942</v>
      </c>
      <c r="B92" s="1555">
        <v>84000.0</v>
      </c>
      <c r="C92" s="1556">
        <v>2013.0</v>
      </c>
      <c r="D92" s="1554" t="s">
        <v>3759</v>
      </c>
      <c r="E92" s="1554" t="s">
        <v>5115</v>
      </c>
      <c r="F92" s="1562">
        <v>44183.0</v>
      </c>
      <c r="G92" s="1464"/>
      <c r="H92" s="1464"/>
      <c r="I92" s="1464"/>
      <c r="J92" s="1570" t="s">
        <v>5192</v>
      </c>
      <c r="K92" s="1571">
        <v>91000.0</v>
      </c>
      <c r="L92" s="1572">
        <v>2023.0</v>
      </c>
      <c r="M92" s="1570" t="s">
        <v>1612</v>
      </c>
      <c r="N92" s="1573">
        <v>44553.0</v>
      </c>
      <c r="O92" s="1489"/>
      <c r="P92" s="1464"/>
      <c r="Q92" s="1464"/>
      <c r="R92" s="1464"/>
      <c r="S92" s="1464"/>
      <c r="T92" s="1464"/>
      <c r="U92" s="1464"/>
      <c r="V92" s="1464"/>
      <c r="W92" s="1464"/>
      <c r="X92" s="1464"/>
      <c r="Y92" s="1464"/>
      <c r="Z92" s="1464"/>
      <c r="AA92" s="1464"/>
      <c r="AB92" s="1464"/>
    </row>
    <row r="93">
      <c r="A93" s="1554" t="s">
        <v>3757</v>
      </c>
      <c r="B93" s="1555">
        <v>84000.0</v>
      </c>
      <c r="C93" s="1556">
        <v>2013.0</v>
      </c>
      <c r="D93" s="1554" t="s">
        <v>3759</v>
      </c>
      <c r="E93" s="1554" t="s">
        <v>5193</v>
      </c>
      <c r="F93" s="1562">
        <v>44000.0</v>
      </c>
      <c r="G93" s="1464"/>
      <c r="H93" s="1464"/>
      <c r="I93" s="1464"/>
      <c r="J93" s="1570" t="s">
        <v>4909</v>
      </c>
      <c r="K93" s="1571">
        <v>93000.0</v>
      </c>
      <c r="L93" s="1572">
        <v>2023.0</v>
      </c>
      <c r="M93" s="1570" t="s">
        <v>1080</v>
      </c>
      <c r="N93" s="1573">
        <v>44918.0</v>
      </c>
      <c r="O93" s="1489"/>
      <c r="P93" s="1464"/>
      <c r="Q93" s="1464"/>
      <c r="R93" s="1464"/>
      <c r="S93" s="1464"/>
      <c r="T93" s="1464"/>
      <c r="U93" s="1464"/>
      <c r="V93" s="1464"/>
      <c r="W93" s="1464"/>
      <c r="X93" s="1464"/>
      <c r="Y93" s="1464"/>
      <c r="Z93" s="1464"/>
      <c r="AA93" s="1464"/>
      <c r="AB93" s="1464"/>
    </row>
    <row r="94">
      <c r="A94" s="1554" t="s">
        <v>3392</v>
      </c>
      <c r="B94" s="1555">
        <v>84000.0</v>
      </c>
      <c r="C94" s="1556">
        <v>2015.0</v>
      </c>
      <c r="D94" s="1554" t="s">
        <v>5109</v>
      </c>
      <c r="E94" s="1554" t="s">
        <v>5110</v>
      </c>
      <c r="F94" s="1562">
        <v>43997.0</v>
      </c>
      <c r="G94" s="1464"/>
      <c r="H94" s="1464"/>
      <c r="I94" s="1464"/>
      <c r="J94" s="1570" t="s">
        <v>5194</v>
      </c>
      <c r="K94" s="1571">
        <v>86000.0</v>
      </c>
      <c r="L94" s="1572">
        <v>2023.0</v>
      </c>
      <c r="M94" s="1570" t="s">
        <v>5167</v>
      </c>
      <c r="N94" s="1573">
        <v>44553.0</v>
      </c>
      <c r="O94" s="1489"/>
      <c r="P94" s="1464"/>
      <c r="Q94" s="1464"/>
      <c r="R94" s="1464"/>
      <c r="S94" s="1464"/>
      <c r="T94" s="1464"/>
      <c r="U94" s="1464"/>
      <c r="V94" s="1464"/>
      <c r="W94" s="1464"/>
      <c r="X94" s="1464"/>
      <c r="Y94" s="1464"/>
      <c r="Z94" s="1464"/>
      <c r="AA94" s="1464"/>
      <c r="AB94" s="1464"/>
    </row>
    <row r="95">
      <c r="A95" s="1554" t="s">
        <v>3387</v>
      </c>
      <c r="B95" s="1555">
        <v>84000.0</v>
      </c>
      <c r="C95" s="1556">
        <v>2015.0</v>
      </c>
      <c r="D95" s="1554" t="s">
        <v>5109</v>
      </c>
      <c r="E95" s="1554" t="s">
        <v>5110</v>
      </c>
      <c r="F95" s="1562">
        <v>43845.0</v>
      </c>
      <c r="G95" s="1464"/>
      <c r="H95" s="1464"/>
      <c r="I95" s="1464"/>
      <c r="J95" s="1570" t="s">
        <v>5176</v>
      </c>
      <c r="K95" s="1571">
        <v>93000.0</v>
      </c>
      <c r="L95" s="1572">
        <v>2023.0</v>
      </c>
      <c r="M95" s="1570" t="s">
        <v>5177</v>
      </c>
      <c r="N95" s="1573">
        <v>44553.0</v>
      </c>
      <c r="O95" s="1489"/>
      <c r="P95" s="1464"/>
      <c r="Q95" s="1464"/>
      <c r="R95" s="1464"/>
      <c r="S95" s="1464"/>
      <c r="T95" s="1464"/>
      <c r="U95" s="1464"/>
      <c r="V95" s="1464"/>
      <c r="W95" s="1464"/>
      <c r="X95" s="1464"/>
      <c r="Y95" s="1464"/>
      <c r="Z95" s="1464"/>
      <c r="AA95" s="1464"/>
      <c r="AB95" s="1464"/>
    </row>
    <row r="96">
      <c r="A96" s="1464"/>
      <c r="B96" s="1464"/>
      <c r="C96" s="1464"/>
      <c r="D96" s="1464"/>
      <c r="E96" s="1464"/>
      <c r="F96" s="1464"/>
      <c r="G96" s="1464"/>
      <c r="H96" s="1464"/>
      <c r="I96" s="1464"/>
      <c r="J96" s="1570" t="s">
        <v>5195</v>
      </c>
      <c r="K96" s="1571">
        <v>86000.0</v>
      </c>
      <c r="L96" s="1572">
        <v>2023.0</v>
      </c>
      <c r="M96" s="1570" t="s">
        <v>3317</v>
      </c>
      <c r="N96" s="1573">
        <v>44553.0</v>
      </c>
      <c r="O96" s="1489"/>
      <c r="P96" s="1464"/>
      <c r="Q96" s="1464"/>
      <c r="R96" s="1464"/>
      <c r="S96" s="1464"/>
      <c r="T96" s="1464"/>
      <c r="U96" s="1464"/>
      <c r="V96" s="1464"/>
      <c r="W96" s="1464"/>
      <c r="X96" s="1464"/>
      <c r="Y96" s="1464"/>
      <c r="Z96" s="1464"/>
      <c r="AA96" s="1464"/>
      <c r="AB96" s="1464"/>
    </row>
    <row r="97">
      <c r="A97" s="1464"/>
      <c r="B97" s="1464"/>
      <c r="C97" s="1464"/>
      <c r="D97" s="1464"/>
      <c r="E97" s="1464"/>
      <c r="F97" s="1464"/>
      <c r="G97" s="1464"/>
      <c r="H97" s="1464"/>
      <c r="I97" s="1464"/>
      <c r="J97" s="1570" t="s">
        <v>5188</v>
      </c>
      <c r="K97" s="1571">
        <v>86700.0</v>
      </c>
      <c r="L97" s="1572">
        <v>2023.0</v>
      </c>
      <c r="M97" s="1570" t="s">
        <v>2901</v>
      </c>
      <c r="N97" s="1573" t="s">
        <v>5196</v>
      </c>
      <c r="O97" s="1489"/>
      <c r="P97" s="1464"/>
      <c r="Q97" s="1464"/>
      <c r="R97" s="1464"/>
      <c r="S97" s="1464"/>
      <c r="T97" s="1464"/>
      <c r="U97" s="1464"/>
      <c r="V97" s="1464"/>
      <c r="W97" s="1464"/>
      <c r="X97" s="1464"/>
      <c r="Y97" s="1464"/>
      <c r="Z97" s="1464"/>
      <c r="AA97" s="1464"/>
      <c r="AB97" s="1464"/>
    </row>
    <row r="98">
      <c r="A98" s="1574" t="s">
        <v>5197</v>
      </c>
      <c r="F98" s="1464"/>
      <c r="G98" s="1464"/>
      <c r="H98" s="1464"/>
      <c r="I98" s="1464"/>
      <c r="J98" s="1570" t="s">
        <v>5188</v>
      </c>
      <c r="K98" s="1571">
        <v>86700.0</v>
      </c>
      <c r="L98" s="1572">
        <v>2023.0</v>
      </c>
      <c r="M98" s="1570" t="s">
        <v>3214</v>
      </c>
      <c r="N98" s="1573" t="s">
        <v>5196</v>
      </c>
      <c r="O98" s="1489"/>
      <c r="P98" s="1464"/>
      <c r="Q98" s="1464"/>
      <c r="R98" s="1464"/>
      <c r="S98" s="1464"/>
      <c r="T98" s="1464"/>
      <c r="U98" s="1464"/>
      <c r="V98" s="1464"/>
      <c r="W98" s="1464"/>
      <c r="X98" s="1464"/>
      <c r="Y98" s="1464"/>
      <c r="Z98" s="1464"/>
      <c r="AA98" s="1464"/>
      <c r="AB98" s="1464"/>
    </row>
    <row r="99">
      <c r="A99" s="1538" t="s">
        <v>3626</v>
      </c>
      <c r="B99" s="1538" t="s">
        <v>602</v>
      </c>
      <c r="C99" s="1538" t="s">
        <v>3627</v>
      </c>
      <c r="D99" s="1538" t="s">
        <v>3633</v>
      </c>
      <c r="E99" s="1538" t="s">
        <v>5105</v>
      </c>
      <c r="F99" s="1464"/>
      <c r="G99" s="1464"/>
      <c r="H99" s="1464"/>
      <c r="I99" s="1464"/>
      <c r="J99" s="1570" t="s">
        <v>5198</v>
      </c>
      <c r="K99" s="1571">
        <v>91000.0</v>
      </c>
      <c r="L99" s="1572">
        <v>2023.0</v>
      </c>
      <c r="M99" s="1570" t="s">
        <v>5171</v>
      </c>
      <c r="N99" s="1573">
        <v>44765.0</v>
      </c>
      <c r="O99" s="1489"/>
      <c r="P99" s="1464"/>
      <c r="Q99" s="1464"/>
      <c r="R99" s="1464"/>
      <c r="S99" s="1464"/>
      <c r="T99" s="1464"/>
      <c r="U99" s="1464"/>
      <c r="V99" s="1464"/>
      <c r="W99" s="1464"/>
      <c r="X99" s="1464"/>
      <c r="Y99" s="1464"/>
      <c r="Z99" s="1464"/>
      <c r="AA99" s="1464"/>
      <c r="AB99" s="1464"/>
    </row>
    <row r="100">
      <c r="A100" s="1483" t="s">
        <v>5199</v>
      </c>
      <c r="B100" s="1575">
        <v>60000.0</v>
      </c>
      <c r="C100" s="1558">
        <v>2015.0</v>
      </c>
      <c r="D100" s="1483" t="s">
        <v>3759</v>
      </c>
      <c r="E100" s="1483" t="s">
        <v>5107</v>
      </c>
      <c r="F100" s="1464"/>
      <c r="G100" s="1464"/>
      <c r="H100" s="1464"/>
      <c r="I100" s="1464"/>
      <c r="J100" s="1570" t="s">
        <v>5200</v>
      </c>
      <c r="K100" s="1571">
        <v>86000.0</v>
      </c>
      <c r="L100" s="1572">
        <v>2023.0</v>
      </c>
      <c r="M100" s="1570" t="s">
        <v>5171</v>
      </c>
      <c r="N100" s="1573">
        <v>44857.0</v>
      </c>
      <c r="O100" s="1489"/>
      <c r="P100" s="1464"/>
      <c r="Q100" s="1464"/>
      <c r="R100" s="1464"/>
      <c r="S100" s="1464"/>
      <c r="T100" s="1464"/>
      <c r="U100" s="1464"/>
      <c r="V100" s="1464"/>
      <c r="W100" s="1464"/>
      <c r="X100" s="1464"/>
      <c r="Y100" s="1464"/>
      <c r="Z100" s="1464"/>
      <c r="AA100" s="1464"/>
      <c r="AB100" s="1464"/>
    </row>
    <row r="101">
      <c r="A101" s="1483" t="s">
        <v>5201</v>
      </c>
      <c r="B101" s="1575">
        <v>60000.0</v>
      </c>
      <c r="C101" s="1558">
        <v>2015.0</v>
      </c>
      <c r="D101" s="1483" t="s">
        <v>3759</v>
      </c>
      <c r="E101" s="1483" t="s">
        <v>5107</v>
      </c>
      <c r="F101" s="1464"/>
      <c r="G101" s="1464"/>
      <c r="H101" s="1464"/>
      <c r="I101" s="1464"/>
      <c r="J101" s="1570" t="s">
        <v>5176</v>
      </c>
      <c r="K101" s="1571">
        <v>93000.0</v>
      </c>
      <c r="L101" s="1570" t="s">
        <v>5202</v>
      </c>
      <c r="M101" s="1570" t="s">
        <v>5203</v>
      </c>
      <c r="N101" s="1573" t="s">
        <v>5204</v>
      </c>
      <c r="O101" s="1489"/>
      <c r="P101" s="1464"/>
      <c r="Q101" s="1464"/>
      <c r="R101" s="1464"/>
      <c r="S101" s="1464"/>
      <c r="T101" s="1464"/>
      <c r="U101" s="1464"/>
      <c r="V101" s="1464"/>
      <c r="W101" s="1464"/>
      <c r="X101" s="1464"/>
      <c r="Y101" s="1464"/>
      <c r="Z101" s="1464"/>
      <c r="AA101" s="1464"/>
      <c r="AB101" s="1464"/>
    </row>
    <row r="102">
      <c r="A102" s="1483" t="s">
        <v>5205</v>
      </c>
      <c r="B102" s="1575">
        <v>60000.0</v>
      </c>
      <c r="C102" s="1558">
        <v>2015.0</v>
      </c>
      <c r="D102" s="1483" t="s">
        <v>3759</v>
      </c>
      <c r="E102" s="1483" t="s">
        <v>5107</v>
      </c>
      <c r="F102" s="1464"/>
      <c r="G102" s="1464"/>
      <c r="H102" s="1464"/>
      <c r="I102" s="1464"/>
      <c r="J102" s="1570" t="s">
        <v>5182</v>
      </c>
      <c r="K102" s="1571">
        <v>87000.0</v>
      </c>
      <c r="L102" s="1572">
        <v>2024.0</v>
      </c>
      <c r="M102" s="1570" t="s">
        <v>3044</v>
      </c>
      <c r="N102" s="1573">
        <v>44675.0</v>
      </c>
      <c r="O102" s="1489"/>
      <c r="P102" s="1464"/>
      <c r="Q102" s="1464"/>
      <c r="R102" s="1464"/>
      <c r="S102" s="1464"/>
      <c r="T102" s="1464"/>
      <c r="U102" s="1464"/>
      <c r="V102" s="1464"/>
      <c r="W102" s="1464"/>
      <c r="X102" s="1464"/>
      <c r="Y102" s="1464"/>
      <c r="Z102" s="1464"/>
      <c r="AA102" s="1464"/>
      <c r="AB102" s="1464"/>
    </row>
    <row r="103">
      <c r="A103" s="1464"/>
      <c r="B103" s="1464"/>
      <c r="C103" s="1464"/>
      <c r="D103" s="1464"/>
      <c r="E103" s="1464"/>
      <c r="F103" s="1464"/>
      <c r="G103" s="1464"/>
      <c r="H103" s="1464"/>
      <c r="I103" s="1464"/>
      <c r="J103" s="1570" t="s">
        <v>5154</v>
      </c>
      <c r="K103" s="1571">
        <v>91000.0</v>
      </c>
      <c r="L103" s="1572">
        <v>2024.0</v>
      </c>
      <c r="M103" s="1570" t="s">
        <v>3177</v>
      </c>
      <c r="N103" s="1573">
        <v>44705.0</v>
      </c>
      <c r="O103" s="1489"/>
      <c r="P103" s="1464"/>
      <c r="Q103" s="1464"/>
      <c r="R103" s="1464"/>
      <c r="S103" s="1464"/>
      <c r="T103" s="1464"/>
      <c r="U103" s="1464"/>
      <c r="V103" s="1464"/>
      <c r="W103" s="1464"/>
      <c r="X103" s="1464"/>
      <c r="Y103" s="1464"/>
      <c r="Z103" s="1464"/>
      <c r="AA103" s="1464"/>
      <c r="AB103" s="1464"/>
    </row>
    <row r="104">
      <c r="A104" s="1464"/>
      <c r="B104" s="1464"/>
      <c r="C104" s="1464"/>
      <c r="D104" s="1464"/>
      <c r="E104" s="1464"/>
      <c r="F104" s="1464"/>
      <c r="G104" s="1464"/>
      <c r="H104" s="1464"/>
      <c r="I104" s="1464"/>
      <c r="J104" s="1570" t="s">
        <v>5154</v>
      </c>
      <c r="K104" s="1571">
        <v>91000.0</v>
      </c>
      <c r="L104" s="1572">
        <v>2024.0</v>
      </c>
      <c r="M104" s="1570" t="s">
        <v>3177</v>
      </c>
      <c r="N104" s="1573">
        <v>44736.0</v>
      </c>
      <c r="O104" s="1489"/>
      <c r="P104" s="1464"/>
      <c r="Q104" s="1464"/>
      <c r="R104" s="1464"/>
      <c r="S104" s="1464"/>
      <c r="T104" s="1464"/>
      <c r="U104" s="1464"/>
      <c r="V104" s="1464"/>
      <c r="W104" s="1464"/>
      <c r="X104" s="1464"/>
      <c r="Y104" s="1464"/>
      <c r="Z104" s="1464"/>
      <c r="AA104" s="1464"/>
      <c r="AB104" s="1464"/>
    </row>
    <row r="105">
      <c r="A105" s="1464"/>
      <c r="B105" s="1464"/>
      <c r="C105" s="1464"/>
      <c r="D105" s="1464"/>
      <c r="E105" s="1464"/>
      <c r="F105" s="1464"/>
      <c r="G105" s="1464"/>
      <c r="H105" s="1464"/>
      <c r="I105" s="1464"/>
      <c r="J105" s="1570" t="s">
        <v>5175</v>
      </c>
      <c r="K105" s="1571">
        <v>86000.0</v>
      </c>
      <c r="L105" s="1572">
        <v>2024.0</v>
      </c>
      <c r="M105" s="1570" t="s">
        <v>5206</v>
      </c>
      <c r="N105" s="1573" t="s">
        <v>5207</v>
      </c>
      <c r="O105" s="1489"/>
      <c r="P105" s="1464"/>
      <c r="Q105" s="1464"/>
      <c r="R105" s="1464"/>
      <c r="S105" s="1464"/>
      <c r="T105" s="1464"/>
      <c r="U105" s="1464"/>
      <c r="V105" s="1464"/>
      <c r="W105" s="1464"/>
      <c r="X105" s="1464"/>
      <c r="Y105" s="1464"/>
      <c r="Z105" s="1464"/>
      <c r="AA105" s="1464"/>
      <c r="AB105" s="1464"/>
    </row>
    <row r="106">
      <c r="A106" s="1464"/>
      <c r="B106" s="1464"/>
      <c r="C106" s="1464"/>
      <c r="D106" s="1464"/>
      <c r="E106" s="1464"/>
      <c r="F106" s="1464"/>
      <c r="G106" s="1464"/>
      <c r="H106" s="1464"/>
      <c r="I106" s="1464"/>
      <c r="J106" s="1570" t="s">
        <v>5175</v>
      </c>
      <c r="K106" s="1571">
        <v>86000.0</v>
      </c>
      <c r="L106" s="1572">
        <v>2024.0</v>
      </c>
      <c r="M106" s="1570" t="s">
        <v>5206</v>
      </c>
      <c r="N106" s="1573" t="s">
        <v>5207</v>
      </c>
      <c r="O106" s="1489"/>
      <c r="P106" s="1464"/>
      <c r="Q106" s="1464"/>
      <c r="R106" s="1464"/>
      <c r="S106" s="1464"/>
      <c r="T106" s="1464"/>
      <c r="U106" s="1464"/>
      <c r="V106" s="1464"/>
      <c r="W106" s="1464"/>
      <c r="X106" s="1464"/>
      <c r="Y106" s="1464"/>
      <c r="Z106" s="1464"/>
      <c r="AA106" s="1464"/>
      <c r="AB106" s="1464"/>
    </row>
    <row r="107">
      <c r="A107" s="1464"/>
      <c r="B107" s="1464"/>
      <c r="C107" s="1464"/>
      <c r="D107" s="1464"/>
      <c r="E107" s="1464"/>
      <c r="F107" s="1464"/>
      <c r="G107" s="1464"/>
      <c r="H107" s="1464"/>
      <c r="I107" s="1464"/>
      <c r="J107" s="1570" t="s">
        <v>5188</v>
      </c>
      <c r="K107" s="1571">
        <v>86700.0</v>
      </c>
      <c r="L107" s="1572">
        <v>2024.0</v>
      </c>
      <c r="M107" s="1570" t="s">
        <v>3207</v>
      </c>
      <c r="N107" s="1573" t="s">
        <v>5208</v>
      </c>
      <c r="O107" s="1489"/>
      <c r="P107" s="1464"/>
      <c r="Q107" s="1464"/>
      <c r="R107" s="1464"/>
      <c r="S107" s="1464"/>
      <c r="T107" s="1464"/>
      <c r="U107" s="1464"/>
      <c r="V107" s="1464"/>
      <c r="W107" s="1464"/>
      <c r="X107" s="1464"/>
      <c r="Y107" s="1464"/>
      <c r="Z107" s="1464"/>
      <c r="AA107" s="1464"/>
      <c r="AB107" s="1464"/>
    </row>
    <row r="108">
      <c r="A108" s="1464"/>
      <c r="B108" s="1464"/>
      <c r="C108" s="1464"/>
      <c r="D108" s="1464"/>
      <c r="E108" s="1464"/>
      <c r="F108" s="1464"/>
      <c r="G108" s="1464"/>
      <c r="H108" s="1464"/>
      <c r="I108" s="1464"/>
      <c r="J108" s="1570" t="s">
        <v>5188</v>
      </c>
      <c r="K108" s="1571">
        <v>86700.0</v>
      </c>
      <c r="L108" s="1572">
        <v>2024.0</v>
      </c>
      <c r="M108" s="1570" t="s">
        <v>3207</v>
      </c>
      <c r="N108" s="1573" t="s">
        <v>5209</v>
      </c>
      <c r="O108" s="1489"/>
      <c r="P108" s="1464"/>
      <c r="Q108" s="1464"/>
      <c r="R108" s="1464"/>
      <c r="S108" s="1464"/>
      <c r="T108" s="1464"/>
      <c r="U108" s="1464"/>
      <c r="V108" s="1464"/>
      <c r="W108" s="1464"/>
      <c r="X108" s="1464"/>
      <c r="Y108" s="1464"/>
      <c r="Z108" s="1464"/>
      <c r="AA108" s="1464"/>
      <c r="AB108" s="1464"/>
    </row>
    <row r="109">
      <c r="A109" s="1464"/>
      <c r="B109" s="1464"/>
      <c r="C109" s="1464"/>
      <c r="D109" s="1464"/>
      <c r="E109" s="1464"/>
      <c r="F109" s="1464"/>
      <c r="G109" s="1464"/>
      <c r="H109" s="1464"/>
      <c r="I109" s="1464"/>
      <c r="J109" s="1570" t="s">
        <v>5188</v>
      </c>
      <c r="K109" s="1571">
        <v>86700.0</v>
      </c>
      <c r="L109" s="1572">
        <v>2024.0</v>
      </c>
      <c r="M109" s="1570" t="s">
        <v>3207</v>
      </c>
      <c r="N109" s="1573" t="s">
        <v>5210</v>
      </c>
      <c r="O109" s="1489"/>
      <c r="P109" s="1464"/>
      <c r="Q109" s="1464"/>
      <c r="R109" s="1464"/>
      <c r="S109" s="1464"/>
      <c r="T109" s="1464"/>
      <c r="U109" s="1464"/>
      <c r="V109" s="1464"/>
      <c r="W109" s="1464"/>
      <c r="X109" s="1464"/>
      <c r="Y109" s="1464"/>
      <c r="Z109" s="1464"/>
      <c r="AA109" s="1464"/>
      <c r="AB109" s="1464"/>
    </row>
    <row r="110">
      <c r="A110" s="1464"/>
      <c r="B110" s="1464"/>
      <c r="C110" s="1464"/>
      <c r="D110" s="1464"/>
      <c r="E110" s="1464"/>
      <c r="F110" s="1464"/>
      <c r="G110" s="1464"/>
      <c r="H110" s="1464"/>
      <c r="I110" s="1464"/>
      <c r="J110" s="1570" t="s">
        <v>5188</v>
      </c>
      <c r="K110" s="1571">
        <v>86700.0</v>
      </c>
      <c r="L110" s="1572">
        <v>2024.0</v>
      </c>
      <c r="M110" s="1570" t="s">
        <v>3088</v>
      </c>
      <c r="N110" s="1573" t="s">
        <v>5211</v>
      </c>
      <c r="O110" s="1489"/>
      <c r="P110" s="1464"/>
      <c r="Q110" s="1464"/>
      <c r="R110" s="1464"/>
      <c r="S110" s="1464"/>
      <c r="T110" s="1464"/>
      <c r="U110" s="1464"/>
      <c r="V110" s="1464"/>
      <c r="W110" s="1464"/>
      <c r="X110" s="1464"/>
      <c r="Y110" s="1464"/>
      <c r="Z110" s="1464"/>
      <c r="AA110" s="1464"/>
      <c r="AB110" s="1464"/>
    </row>
    <row r="111">
      <c r="A111" s="1464"/>
      <c r="B111" s="1464"/>
      <c r="C111" s="1464"/>
      <c r="D111" s="1464"/>
      <c r="E111" s="1464"/>
      <c r="F111" s="1464"/>
      <c r="G111" s="1464"/>
      <c r="H111" s="1464"/>
      <c r="I111" s="1464"/>
      <c r="J111" s="1570" t="s">
        <v>5188</v>
      </c>
      <c r="K111" s="1571">
        <v>86700.0</v>
      </c>
      <c r="L111" s="1572">
        <v>2024.0</v>
      </c>
      <c r="M111" s="1570" t="s">
        <v>3088</v>
      </c>
      <c r="N111" s="1573" t="s">
        <v>5211</v>
      </c>
      <c r="O111" s="1489"/>
      <c r="P111" s="1464"/>
      <c r="Q111" s="1464"/>
      <c r="R111" s="1464"/>
      <c r="S111" s="1464"/>
      <c r="T111" s="1464"/>
      <c r="U111" s="1464"/>
      <c r="V111" s="1464"/>
      <c r="W111" s="1464"/>
      <c r="X111" s="1464"/>
      <c r="Y111" s="1464"/>
      <c r="Z111" s="1464"/>
      <c r="AA111" s="1464"/>
      <c r="AB111" s="1464"/>
    </row>
    <row r="112">
      <c r="A112" s="1464"/>
      <c r="B112" s="1464"/>
      <c r="C112" s="1464"/>
      <c r="D112" s="1464"/>
      <c r="E112" s="1464"/>
      <c r="F112" s="1464"/>
      <c r="G112" s="1464"/>
      <c r="H112" s="1464"/>
      <c r="I112" s="1464"/>
      <c r="J112" s="1570" t="s">
        <v>5212</v>
      </c>
      <c r="K112" s="1571">
        <v>88000.0</v>
      </c>
      <c r="L112" s="1572">
        <v>2025.0</v>
      </c>
      <c r="M112" s="1570" t="s">
        <v>5167</v>
      </c>
      <c r="N112" s="1570" t="s">
        <v>3357</v>
      </c>
      <c r="O112" s="1489"/>
      <c r="P112" s="1464"/>
      <c r="Q112" s="1464"/>
      <c r="R112" s="1464"/>
      <c r="S112" s="1464"/>
      <c r="T112" s="1464"/>
      <c r="U112" s="1464"/>
      <c r="V112" s="1464"/>
      <c r="W112" s="1464"/>
      <c r="X112" s="1464"/>
      <c r="Y112" s="1464"/>
      <c r="Z112" s="1464"/>
      <c r="AA112" s="1464"/>
      <c r="AB112" s="1464"/>
    </row>
    <row r="113">
      <c r="A113" s="1464"/>
      <c r="B113" s="1464"/>
      <c r="C113" s="1464"/>
      <c r="D113" s="1464"/>
      <c r="E113" s="1464"/>
      <c r="F113" s="1464"/>
      <c r="G113" s="1464"/>
      <c r="H113" s="1464"/>
      <c r="I113" s="1464"/>
      <c r="J113" s="1570" t="s">
        <v>5212</v>
      </c>
      <c r="K113" s="1571">
        <v>88000.0</v>
      </c>
      <c r="L113" s="1572">
        <v>2025.0</v>
      </c>
      <c r="M113" s="1570" t="s">
        <v>5167</v>
      </c>
      <c r="N113" s="1570" t="s">
        <v>3358</v>
      </c>
      <c r="O113" s="1489"/>
      <c r="P113" s="1464"/>
      <c r="Q113" s="1464"/>
      <c r="R113" s="1464"/>
      <c r="S113" s="1464"/>
      <c r="T113" s="1464"/>
      <c r="U113" s="1464"/>
      <c r="V113" s="1464"/>
      <c r="W113" s="1464"/>
      <c r="X113" s="1464"/>
      <c r="Y113" s="1464"/>
      <c r="Z113" s="1464"/>
      <c r="AA113" s="1464"/>
      <c r="AB113" s="1464"/>
    </row>
    <row r="114">
      <c r="A114" s="1464"/>
      <c r="B114" s="1464"/>
      <c r="C114" s="1464"/>
      <c r="D114" s="1464"/>
      <c r="E114" s="1464"/>
      <c r="F114" s="1464"/>
      <c r="G114" s="1464"/>
      <c r="H114" s="1464"/>
      <c r="I114" s="1464"/>
      <c r="J114" s="1570" t="s">
        <v>4508</v>
      </c>
      <c r="K114" s="1571">
        <v>86000.0</v>
      </c>
      <c r="L114" s="1572">
        <v>2023.0</v>
      </c>
      <c r="M114" s="1570" t="s">
        <v>3177</v>
      </c>
      <c r="N114" s="1576">
        <v>45047.0</v>
      </c>
      <c r="O114" s="1489"/>
      <c r="P114" s="1464"/>
      <c r="Q114" s="1464"/>
      <c r="R114" s="1464"/>
      <c r="S114" s="1464"/>
      <c r="T114" s="1464"/>
      <c r="U114" s="1464"/>
      <c r="V114" s="1464"/>
      <c r="W114" s="1464"/>
      <c r="X114" s="1464"/>
      <c r="Y114" s="1464"/>
      <c r="Z114" s="1464"/>
      <c r="AA114" s="1464"/>
      <c r="AB114" s="1464"/>
    </row>
    <row r="115">
      <c r="A115" s="1464"/>
      <c r="B115" s="1464"/>
      <c r="C115" s="1464"/>
      <c r="D115" s="1464"/>
      <c r="E115" s="1464"/>
      <c r="F115" s="1464"/>
      <c r="G115" s="1464"/>
      <c r="H115" s="1464"/>
      <c r="I115" s="1464"/>
      <c r="J115" s="1464"/>
      <c r="K115" s="1473"/>
      <c r="L115" s="1464"/>
      <c r="M115" s="1473"/>
      <c r="N115" s="1464"/>
      <c r="O115" s="1464"/>
      <c r="P115" s="1464"/>
      <c r="Q115" s="1464"/>
      <c r="R115" s="1464"/>
      <c r="S115" s="1464"/>
      <c r="T115" s="1464"/>
      <c r="U115" s="1464"/>
      <c r="V115" s="1464"/>
      <c r="W115" s="1464"/>
      <c r="X115" s="1464"/>
      <c r="Y115" s="1464"/>
      <c r="Z115" s="1464"/>
      <c r="AA115" s="1464"/>
      <c r="AB115" s="1464"/>
    </row>
    <row r="116">
      <c r="A116" s="1464"/>
      <c r="B116" s="1464"/>
      <c r="C116" s="1464"/>
      <c r="D116" s="1464"/>
      <c r="E116" s="1464"/>
      <c r="F116" s="1464"/>
      <c r="G116" s="1464"/>
      <c r="H116" s="1464"/>
      <c r="I116" s="1464"/>
      <c r="J116" s="1464"/>
      <c r="K116" s="1473"/>
      <c r="L116" s="1464"/>
      <c r="M116" s="1473"/>
      <c r="N116" s="1464"/>
      <c r="O116" s="1464"/>
      <c r="P116" s="1464"/>
      <c r="Q116" s="1464"/>
      <c r="R116" s="1464"/>
      <c r="S116" s="1464"/>
      <c r="T116" s="1464"/>
      <c r="U116" s="1464"/>
      <c r="V116" s="1464"/>
      <c r="W116" s="1464"/>
      <c r="X116" s="1464"/>
      <c r="Y116" s="1464"/>
      <c r="Z116" s="1464"/>
      <c r="AA116" s="1464"/>
      <c r="AB116" s="1464"/>
    </row>
    <row r="117">
      <c r="A117" s="1464"/>
      <c r="B117" s="1464"/>
      <c r="C117" s="1464"/>
      <c r="D117" s="1464"/>
      <c r="E117" s="1464"/>
      <c r="F117" s="1464"/>
      <c r="G117" s="1464"/>
      <c r="H117" s="1464"/>
      <c r="I117" s="1464"/>
      <c r="J117" s="1464"/>
      <c r="K117" s="1473"/>
      <c r="L117" s="1464"/>
      <c r="M117" s="1473"/>
      <c r="N117" s="1464"/>
      <c r="O117" s="1464"/>
      <c r="P117" s="1464"/>
      <c r="Q117" s="1464"/>
      <c r="R117" s="1464"/>
      <c r="S117" s="1464"/>
      <c r="T117" s="1464"/>
      <c r="U117" s="1464"/>
      <c r="V117" s="1464"/>
      <c r="W117" s="1464"/>
      <c r="X117" s="1464"/>
      <c r="Y117" s="1464"/>
      <c r="Z117" s="1464"/>
      <c r="AA117" s="1464"/>
      <c r="AB117" s="1464"/>
    </row>
    <row r="118">
      <c r="A118" s="1464"/>
      <c r="B118" s="1464"/>
      <c r="C118" s="1464"/>
      <c r="D118" s="1464"/>
      <c r="E118" s="1464"/>
      <c r="F118" s="1464"/>
      <c r="G118" s="1464"/>
      <c r="H118" s="1464"/>
      <c r="I118" s="1464"/>
      <c r="J118" s="1464"/>
      <c r="K118" s="1464"/>
      <c r="L118" s="1464"/>
      <c r="M118" s="1464"/>
      <c r="N118" s="1464"/>
      <c r="O118" s="1464"/>
      <c r="P118" s="1464"/>
      <c r="Q118" s="1464"/>
      <c r="R118" s="1464"/>
      <c r="S118" s="1464"/>
      <c r="T118" s="1464"/>
      <c r="U118" s="1464"/>
      <c r="V118" s="1464"/>
      <c r="W118" s="1464"/>
      <c r="X118" s="1464"/>
      <c r="Y118" s="1464"/>
      <c r="Z118" s="1464"/>
      <c r="AA118" s="1464"/>
      <c r="AB118" s="1464"/>
    </row>
    <row r="119">
      <c r="A119" s="1464"/>
      <c r="B119" s="1464"/>
      <c r="C119" s="1464"/>
      <c r="D119" s="1464"/>
      <c r="E119" s="1464"/>
      <c r="F119" s="1464"/>
      <c r="G119" s="1464"/>
      <c r="H119" s="1464"/>
      <c r="I119" s="1464"/>
      <c r="J119" s="1464"/>
      <c r="K119" s="1464"/>
      <c r="L119" s="1464"/>
      <c r="M119" s="1464"/>
      <c r="N119" s="1464"/>
      <c r="O119" s="1464"/>
      <c r="P119" s="1464"/>
      <c r="Q119" s="1464"/>
      <c r="R119" s="1464"/>
      <c r="S119" s="1464"/>
      <c r="T119" s="1464"/>
      <c r="U119" s="1464"/>
      <c r="V119" s="1464"/>
      <c r="W119" s="1464"/>
      <c r="X119" s="1464"/>
      <c r="Y119" s="1464"/>
      <c r="Z119" s="1464"/>
      <c r="AA119" s="1464"/>
      <c r="AB119" s="1464"/>
    </row>
    <row r="120">
      <c r="A120" s="1464"/>
      <c r="B120" s="1464"/>
      <c r="C120" s="1464"/>
      <c r="D120" s="1464"/>
      <c r="E120" s="1464"/>
      <c r="F120" s="1464"/>
      <c r="G120" s="1464"/>
      <c r="H120" s="1464"/>
      <c r="I120" s="1464"/>
      <c r="J120" s="1464"/>
      <c r="K120" s="1473"/>
      <c r="L120" s="1464"/>
      <c r="M120" s="1473"/>
      <c r="N120" s="1464"/>
      <c r="O120" s="1464"/>
      <c r="P120" s="1464"/>
      <c r="Q120" s="1464"/>
      <c r="R120" s="1464"/>
      <c r="S120" s="1464"/>
      <c r="T120" s="1464"/>
      <c r="U120" s="1464"/>
      <c r="V120" s="1464"/>
      <c r="W120" s="1464"/>
      <c r="X120" s="1464"/>
      <c r="Y120" s="1464"/>
      <c r="Z120" s="1464"/>
      <c r="AA120" s="1464"/>
      <c r="AB120" s="1464"/>
    </row>
    <row r="121">
      <c r="A121" s="1464"/>
      <c r="B121" s="1464"/>
      <c r="C121" s="1464"/>
      <c r="D121" s="1464"/>
      <c r="E121" s="1464"/>
      <c r="F121" s="1464"/>
      <c r="G121" s="1464"/>
      <c r="H121" s="1464"/>
      <c r="I121" s="1464"/>
      <c r="J121" s="1464"/>
      <c r="K121" s="1464"/>
      <c r="L121" s="1464"/>
      <c r="M121" s="1464"/>
      <c r="N121" s="1464"/>
      <c r="O121" s="1464"/>
      <c r="P121" s="1464"/>
      <c r="Q121" s="1464"/>
      <c r="R121" s="1464"/>
      <c r="S121" s="1464"/>
      <c r="T121" s="1464"/>
      <c r="U121" s="1464"/>
      <c r="V121" s="1464"/>
      <c r="W121" s="1464"/>
      <c r="X121" s="1464"/>
      <c r="Y121" s="1464"/>
      <c r="Z121" s="1464"/>
      <c r="AA121" s="1464"/>
      <c r="AB121" s="1464"/>
    </row>
    <row r="122">
      <c r="A122" s="1464"/>
      <c r="B122" s="1464"/>
      <c r="C122" s="1464"/>
      <c r="D122" s="1464"/>
      <c r="E122" s="1464"/>
      <c r="F122" s="1464"/>
      <c r="G122" s="1464"/>
      <c r="H122" s="1464"/>
      <c r="I122" s="1464"/>
      <c r="J122" s="1464"/>
      <c r="K122" s="1464"/>
      <c r="L122" s="1464"/>
      <c r="M122" s="1464"/>
      <c r="N122" s="1464"/>
      <c r="O122" s="1464"/>
      <c r="P122" s="1464"/>
      <c r="Q122" s="1464"/>
      <c r="R122" s="1464"/>
      <c r="S122" s="1464"/>
      <c r="T122" s="1464"/>
      <c r="U122" s="1464"/>
      <c r="V122" s="1464"/>
      <c r="W122" s="1464"/>
      <c r="X122" s="1464"/>
      <c r="Y122" s="1464"/>
      <c r="Z122" s="1464"/>
      <c r="AA122" s="1464"/>
      <c r="AB122" s="1464"/>
    </row>
    <row r="123">
      <c r="A123" s="1464"/>
      <c r="B123" s="1464"/>
      <c r="C123" s="1464"/>
      <c r="D123" s="1464"/>
      <c r="E123" s="1464"/>
      <c r="F123" s="1464"/>
      <c r="G123" s="1464"/>
      <c r="H123" s="1464"/>
      <c r="I123" s="1464"/>
      <c r="J123" s="1464"/>
      <c r="K123" s="1464"/>
      <c r="L123" s="1464"/>
      <c r="M123" s="1464"/>
      <c r="N123" s="1464"/>
      <c r="O123" s="1464"/>
      <c r="P123" s="1464"/>
      <c r="Q123" s="1464"/>
      <c r="R123" s="1464"/>
      <c r="S123" s="1464"/>
      <c r="T123" s="1464"/>
      <c r="U123" s="1464"/>
      <c r="V123" s="1464"/>
      <c r="W123" s="1464"/>
      <c r="X123" s="1464"/>
      <c r="Y123" s="1464"/>
      <c r="Z123" s="1464"/>
      <c r="AA123" s="1464"/>
      <c r="AB123" s="1464"/>
    </row>
    <row r="124">
      <c r="A124" s="1464"/>
      <c r="B124" s="1464"/>
      <c r="C124" s="1464"/>
      <c r="D124" s="1464"/>
      <c r="E124" s="1464"/>
      <c r="F124" s="1464"/>
      <c r="G124" s="1464"/>
      <c r="H124" s="1464"/>
      <c r="I124" s="1464"/>
      <c r="J124" s="1464"/>
      <c r="K124" s="1464"/>
      <c r="L124" s="1464"/>
      <c r="M124" s="1464"/>
      <c r="N124" s="1464"/>
      <c r="O124" s="1464"/>
      <c r="P124" s="1464"/>
      <c r="Q124" s="1464"/>
      <c r="R124" s="1464"/>
      <c r="S124" s="1464"/>
      <c r="T124" s="1464"/>
      <c r="U124" s="1464"/>
      <c r="V124" s="1464"/>
      <c r="W124" s="1464"/>
      <c r="X124" s="1464"/>
      <c r="Y124" s="1464"/>
      <c r="Z124" s="1464"/>
      <c r="AA124" s="1464"/>
      <c r="AB124" s="1464"/>
    </row>
    <row r="125">
      <c r="A125" s="1464"/>
      <c r="B125" s="1464"/>
      <c r="C125" s="1464"/>
      <c r="D125" s="1464"/>
      <c r="E125" s="1464"/>
      <c r="F125" s="1464"/>
      <c r="G125" s="1464"/>
      <c r="H125" s="1464"/>
      <c r="I125" s="1464"/>
      <c r="J125" s="1464"/>
      <c r="K125" s="1464"/>
      <c r="L125" s="1464"/>
      <c r="M125" s="1464"/>
      <c r="N125" s="1464"/>
      <c r="O125" s="1464"/>
      <c r="P125" s="1464"/>
      <c r="Q125" s="1464"/>
      <c r="R125" s="1464"/>
      <c r="S125" s="1464"/>
      <c r="T125" s="1464"/>
      <c r="U125" s="1464"/>
      <c r="V125" s="1464"/>
      <c r="W125" s="1464"/>
      <c r="X125" s="1464"/>
      <c r="Y125" s="1464"/>
      <c r="Z125" s="1464"/>
      <c r="AA125" s="1464"/>
      <c r="AB125" s="1464"/>
    </row>
    <row r="126">
      <c r="A126" s="1464"/>
      <c r="B126" s="1464"/>
      <c r="C126" s="1464"/>
      <c r="D126" s="1464"/>
      <c r="E126" s="1464"/>
      <c r="F126" s="1464"/>
      <c r="G126" s="1464"/>
      <c r="H126" s="1464"/>
      <c r="I126" s="1464"/>
      <c r="J126" s="1464"/>
      <c r="K126" s="1464"/>
      <c r="L126" s="1464"/>
      <c r="M126" s="1464"/>
      <c r="N126" s="1464"/>
      <c r="O126" s="1464"/>
      <c r="P126" s="1464"/>
      <c r="Q126" s="1464"/>
      <c r="R126" s="1464"/>
      <c r="S126" s="1464"/>
      <c r="T126" s="1464"/>
      <c r="U126" s="1464"/>
      <c r="V126" s="1464"/>
      <c r="W126" s="1464"/>
      <c r="X126" s="1464"/>
      <c r="Y126" s="1464"/>
      <c r="Z126" s="1464"/>
      <c r="AA126" s="1464"/>
      <c r="AB126" s="1464"/>
    </row>
    <row r="127">
      <c r="A127" s="1464"/>
      <c r="B127" s="1464"/>
      <c r="C127" s="1464"/>
      <c r="D127" s="1464"/>
      <c r="E127" s="1464"/>
      <c r="F127" s="1464"/>
      <c r="G127" s="1464"/>
      <c r="H127" s="1464"/>
      <c r="I127" s="1464"/>
      <c r="J127" s="1464"/>
      <c r="K127" s="1464"/>
      <c r="L127" s="1464"/>
      <c r="M127" s="1464"/>
      <c r="N127" s="1464"/>
      <c r="O127" s="1464"/>
      <c r="P127" s="1464"/>
      <c r="Q127" s="1464"/>
      <c r="R127" s="1464"/>
      <c r="S127" s="1464"/>
      <c r="T127" s="1464"/>
      <c r="U127" s="1464"/>
      <c r="V127" s="1464"/>
      <c r="W127" s="1464"/>
      <c r="X127" s="1464"/>
      <c r="Y127" s="1464"/>
      <c r="Z127" s="1464"/>
      <c r="AA127" s="1464"/>
      <c r="AB127" s="1464"/>
    </row>
    <row r="128">
      <c r="A128" s="1464"/>
      <c r="B128" s="1464"/>
      <c r="C128" s="1464"/>
      <c r="D128" s="1464"/>
      <c r="E128" s="1464"/>
      <c r="F128" s="1464"/>
      <c r="G128" s="1464"/>
      <c r="H128" s="1464"/>
      <c r="I128" s="1464"/>
      <c r="J128" s="1464"/>
      <c r="K128" s="1464"/>
      <c r="L128" s="1464"/>
      <c r="M128" s="1464"/>
      <c r="N128" s="1464"/>
      <c r="O128" s="1464"/>
      <c r="P128" s="1464"/>
      <c r="Q128" s="1464"/>
      <c r="R128" s="1464"/>
      <c r="S128" s="1464"/>
      <c r="T128" s="1464"/>
      <c r="U128" s="1464"/>
      <c r="V128" s="1464"/>
      <c r="W128" s="1464"/>
      <c r="X128" s="1464"/>
      <c r="Y128" s="1464"/>
      <c r="Z128" s="1464"/>
      <c r="AA128" s="1464"/>
      <c r="AB128" s="1464"/>
    </row>
    <row r="129">
      <c r="A129" s="1464"/>
      <c r="B129" s="1464"/>
      <c r="C129" s="1464"/>
      <c r="D129" s="1464"/>
      <c r="E129" s="1464"/>
      <c r="F129" s="1464"/>
      <c r="G129" s="1464"/>
      <c r="H129" s="1464"/>
      <c r="I129" s="1464"/>
      <c r="J129" s="1464"/>
      <c r="K129" s="1464"/>
      <c r="L129" s="1464"/>
      <c r="M129" s="1464"/>
      <c r="N129" s="1464"/>
      <c r="O129" s="1464"/>
      <c r="P129" s="1464"/>
      <c r="Q129" s="1464"/>
      <c r="R129" s="1464"/>
      <c r="S129" s="1464"/>
      <c r="T129" s="1464"/>
      <c r="U129" s="1464"/>
      <c r="V129" s="1464"/>
      <c r="W129" s="1464"/>
      <c r="X129" s="1464"/>
      <c r="Y129" s="1464"/>
      <c r="Z129" s="1464"/>
      <c r="AA129" s="1464"/>
      <c r="AB129" s="1464"/>
    </row>
    <row r="130">
      <c r="A130" s="1464"/>
      <c r="B130" s="1464"/>
      <c r="C130" s="1464"/>
      <c r="D130" s="1464"/>
      <c r="E130" s="1464"/>
      <c r="F130" s="1464"/>
      <c r="G130" s="1464"/>
      <c r="H130" s="1464"/>
      <c r="I130" s="1464"/>
      <c r="J130" s="1464"/>
      <c r="K130" s="1464"/>
      <c r="L130" s="1464"/>
      <c r="M130" s="1464"/>
      <c r="N130" s="1464"/>
      <c r="O130" s="1464"/>
      <c r="P130" s="1464"/>
      <c r="Q130" s="1464"/>
      <c r="R130" s="1464"/>
      <c r="S130" s="1464"/>
      <c r="T130" s="1464"/>
      <c r="U130" s="1464"/>
      <c r="V130" s="1464"/>
      <c r="W130" s="1464"/>
      <c r="X130" s="1464"/>
      <c r="Y130" s="1464"/>
      <c r="Z130" s="1464"/>
      <c r="AA130" s="1464"/>
      <c r="AB130" s="1464"/>
    </row>
    <row r="131">
      <c r="A131" s="1464"/>
      <c r="B131" s="1464"/>
      <c r="C131" s="1464"/>
      <c r="D131" s="1464"/>
      <c r="E131" s="1464"/>
      <c r="F131" s="1464"/>
      <c r="G131" s="1464"/>
      <c r="H131" s="1464"/>
      <c r="I131" s="1464"/>
      <c r="J131" s="1464"/>
      <c r="K131" s="1464"/>
      <c r="L131" s="1464"/>
      <c r="M131" s="1464"/>
      <c r="N131" s="1464"/>
      <c r="O131" s="1464"/>
      <c r="P131" s="1464"/>
      <c r="Q131" s="1464"/>
      <c r="R131" s="1464"/>
      <c r="S131" s="1464"/>
      <c r="T131" s="1464"/>
      <c r="U131" s="1464"/>
      <c r="V131" s="1464"/>
      <c r="W131" s="1464"/>
      <c r="X131" s="1464"/>
      <c r="Y131" s="1464"/>
      <c r="Z131" s="1464"/>
      <c r="AA131" s="1464"/>
      <c r="AB131" s="1464"/>
    </row>
    <row r="132">
      <c r="A132" s="1464"/>
      <c r="B132" s="1464"/>
      <c r="C132" s="1464"/>
      <c r="D132" s="1464"/>
      <c r="E132" s="1464"/>
      <c r="F132" s="1464"/>
      <c r="G132" s="1464"/>
      <c r="H132" s="1464"/>
      <c r="I132" s="1464"/>
      <c r="J132" s="1464"/>
      <c r="K132" s="1464"/>
      <c r="L132" s="1464"/>
      <c r="M132" s="1464"/>
      <c r="N132" s="1464"/>
      <c r="O132" s="1464"/>
      <c r="P132" s="1464"/>
      <c r="Q132" s="1464"/>
      <c r="R132" s="1464"/>
      <c r="S132" s="1464"/>
      <c r="T132" s="1464"/>
      <c r="U132" s="1464"/>
      <c r="V132" s="1464"/>
      <c r="W132" s="1464"/>
      <c r="X132" s="1464"/>
      <c r="Y132" s="1464"/>
      <c r="Z132" s="1464"/>
      <c r="AA132" s="1464"/>
      <c r="AB132" s="1464"/>
    </row>
    <row r="133">
      <c r="A133" s="1464"/>
      <c r="B133" s="1464"/>
      <c r="C133" s="1464"/>
      <c r="D133" s="1464"/>
      <c r="E133" s="1464"/>
      <c r="F133" s="1464"/>
      <c r="G133" s="1464"/>
      <c r="H133" s="1464"/>
      <c r="I133" s="1464"/>
      <c r="J133" s="1464"/>
      <c r="K133" s="1464"/>
      <c r="L133" s="1464"/>
      <c r="M133" s="1464"/>
      <c r="N133" s="1464"/>
      <c r="O133" s="1464"/>
      <c r="P133" s="1464"/>
      <c r="Q133" s="1464"/>
      <c r="R133" s="1464"/>
      <c r="S133" s="1464"/>
      <c r="T133" s="1464"/>
      <c r="U133" s="1464"/>
      <c r="V133" s="1464"/>
      <c r="W133" s="1464"/>
      <c r="X133" s="1464"/>
      <c r="Y133" s="1464"/>
      <c r="Z133" s="1464"/>
      <c r="AA133" s="1464"/>
      <c r="AB133" s="1464"/>
    </row>
    <row r="134">
      <c r="A134" s="1464"/>
      <c r="B134" s="1464"/>
      <c r="C134" s="1464"/>
      <c r="D134" s="1464"/>
      <c r="E134" s="1464"/>
      <c r="F134" s="1464"/>
      <c r="G134" s="1464"/>
      <c r="H134" s="1464"/>
      <c r="I134" s="1464"/>
      <c r="J134" s="1464"/>
      <c r="K134" s="1464"/>
      <c r="L134" s="1464"/>
      <c r="M134" s="1464"/>
      <c r="N134" s="1464"/>
      <c r="O134" s="1464"/>
      <c r="P134" s="1464"/>
      <c r="Q134" s="1464"/>
      <c r="R134" s="1464"/>
      <c r="S134" s="1464"/>
      <c r="T134" s="1464"/>
      <c r="U134" s="1464"/>
      <c r="V134" s="1464"/>
      <c r="W134" s="1464"/>
      <c r="X134" s="1464"/>
      <c r="Y134" s="1464"/>
      <c r="Z134" s="1464"/>
      <c r="AA134" s="1464"/>
      <c r="AB134" s="1464"/>
    </row>
    <row r="135">
      <c r="A135" s="1464"/>
      <c r="B135" s="1464"/>
      <c r="C135" s="1464"/>
      <c r="D135" s="1464"/>
      <c r="E135" s="1464"/>
      <c r="F135" s="1464"/>
      <c r="G135" s="1464"/>
      <c r="H135" s="1464"/>
      <c r="I135" s="1464"/>
      <c r="J135" s="1464"/>
      <c r="K135" s="1464"/>
      <c r="L135" s="1464"/>
      <c r="M135" s="1464"/>
      <c r="N135" s="1464"/>
      <c r="O135" s="1464"/>
      <c r="P135" s="1464"/>
      <c r="Q135" s="1464"/>
      <c r="R135" s="1464"/>
      <c r="S135" s="1464"/>
      <c r="T135" s="1464"/>
      <c r="U135" s="1464"/>
      <c r="V135" s="1464"/>
      <c r="W135" s="1464"/>
      <c r="X135" s="1464"/>
      <c r="Y135" s="1464"/>
      <c r="Z135" s="1464"/>
      <c r="AA135" s="1464"/>
      <c r="AB135" s="1464"/>
    </row>
    <row r="136">
      <c r="A136" s="1464"/>
      <c r="B136" s="1464"/>
      <c r="C136" s="1464"/>
      <c r="D136" s="1464"/>
      <c r="E136" s="1464"/>
      <c r="F136" s="1464"/>
      <c r="G136" s="1464"/>
      <c r="H136" s="1464"/>
      <c r="I136" s="1464"/>
      <c r="J136" s="1464"/>
      <c r="K136" s="1464"/>
      <c r="L136" s="1464"/>
      <c r="M136" s="1464"/>
      <c r="N136" s="1464"/>
      <c r="O136" s="1464"/>
      <c r="P136" s="1464"/>
      <c r="Q136" s="1464"/>
      <c r="R136" s="1464"/>
      <c r="S136" s="1464"/>
      <c r="T136" s="1464"/>
      <c r="U136" s="1464"/>
      <c r="V136" s="1464"/>
      <c r="W136" s="1464"/>
      <c r="X136" s="1464"/>
      <c r="Y136" s="1464"/>
      <c r="Z136" s="1464"/>
      <c r="AA136" s="1464"/>
      <c r="AB136" s="1464"/>
    </row>
    <row r="137">
      <c r="A137" s="1464"/>
      <c r="B137" s="1464"/>
      <c r="C137" s="1464"/>
      <c r="D137" s="1464"/>
      <c r="E137" s="1464"/>
      <c r="F137" s="1464"/>
      <c r="G137" s="1464"/>
      <c r="H137" s="1464"/>
      <c r="I137" s="1464"/>
      <c r="J137" s="1464"/>
      <c r="K137" s="1464"/>
      <c r="L137" s="1464"/>
      <c r="M137" s="1464"/>
      <c r="N137" s="1464"/>
      <c r="O137" s="1464"/>
      <c r="P137" s="1464"/>
      <c r="Q137" s="1464"/>
      <c r="R137" s="1464"/>
      <c r="S137" s="1464"/>
      <c r="T137" s="1464"/>
      <c r="U137" s="1464"/>
      <c r="V137" s="1464"/>
      <c r="W137" s="1464"/>
      <c r="X137" s="1464"/>
      <c r="Y137" s="1464"/>
      <c r="Z137" s="1464"/>
      <c r="AA137" s="1464"/>
      <c r="AB137" s="1464"/>
    </row>
    <row r="138">
      <c r="A138" s="1464"/>
      <c r="B138" s="1464"/>
      <c r="C138" s="1464"/>
      <c r="D138" s="1464"/>
      <c r="E138" s="1464"/>
      <c r="F138" s="1464"/>
      <c r="G138" s="1464"/>
      <c r="H138" s="1464"/>
      <c r="I138" s="1464"/>
      <c r="J138" s="1464"/>
      <c r="K138" s="1464"/>
      <c r="L138" s="1464"/>
      <c r="M138" s="1464"/>
      <c r="N138" s="1464"/>
      <c r="O138" s="1464"/>
      <c r="P138" s="1464"/>
      <c r="Q138" s="1464"/>
      <c r="R138" s="1464"/>
      <c r="S138" s="1464"/>
      <c r="T138" s="1464"/>
      <c r="U138" s="1464"/>
      <c r="V138" s="1464"/>
      <c r="W138" s="1464"/>
      <c r="X138" s="1464"/>
      <c r="Y138" s="1464"/>
      <c r="Z138" s="1464"/>
      <c r="AA138" s="1464"/>
      <c r="AB138" s="1464"/>
    </row>
    <row r="139">
      <c r="A139" s="1464"/>
      <c r="B139" s="1464"/>
      <c r="C139" s="1464"/>
      <c r="D139" s="1464"/>
      <c r="E139" s="1464"/>
      <c r="F139" s="1464"/>
      <c r="G139" s="1464"/>
      <c r="H139" s="1464"/>
      <c r="I139" s="1464"/>
      <c r="J139" s="1464"/>
      <c r="K139" s="1464"/>
      <c r="L139" s="1464"/>
      <c r="M139" s="1464"/>
      <c r="N139" s="1464"/>
      <c r="O139" s="1464"/>
      <c r="P139" s="1464"/>
      <c r="Q139" s="1464"/>
      <c r="R139" s="1464"/>
      <c r="S139" s="1464"/>
      <c r="T139" s="1464"/>
      <c r="U139" s="1464"/>
      <c r="V139" s="1464"/>
      <c r="W139" s="1464"/>
      <c r="X139" s="1464"/>
      <c r="Y139" s="1464"/>
      <c r="Z139" s="1464"/>
      <c r="AA139" s="1464"/>
      <c r="AB139" s="1464"/>
    </row>
    <row r="140">
      <c r="A140" s="1464"/>
      <c r="B140" s="1464"/>
      <c r="C140" s="1464"/>
      <c r="D140" s="1464"/>
      <c r="E140" s="1464"/>
      <c r="F140" s="1464"/>
      <c r="G140" s="1464"/>
      <c r="H140" s="1464"/>
      <c r="I140" s="1464"/>
      <c r="J140" s="1464"/>
      <c r="K140" s="1464"/>
      <c r="L140" s="1464"/>
      <c r="M140" s="1464"/>
      <c r="N140" s="1464"/>
      <c r="O140" s="1464"/>
      <c r="P140" s="1464"/>
      <c r="Q140" s="1464"/>
      <c r="R140" s="1464"/>
      <c r="S140" s="1464"/>
      <c r="T140" s="1464"/>
      <c r="U140" s="1464"/>
      <c r="V140" s="1464"/>
      <c r="W140" s="1464"/>
      <c r="X140" s="1464"/>
      <c r="Y140" s="1464"/>
      <c r="Z140" s="1464"/>
      <c r="AA140" s="1464"/>
      <c r="AB140" s="1464"/>
    </row>
    <row r="141">
      <c r="A141" s="1464"/>
      <c r="B141" s="1464"/>
      <c r="C141" s="1464"/>
      <c r="D141" s="1464"/>
      <c r="E141" s="1464"/>
      <c r="F141" s="1464"/>
      <c r="G141" s="1464"/>
      <c r="H141" s="1464"/>
      <c r="I141" s="1464"/>
      <c r="J141" s="1464"/>
      <c r="K141" s="1464"/>
      <c r="L141" s="1464"/>
      <c r="M141" s="1464"/>
      <c r="N141" s="1464"/>
      <c r="O141" s="1464"/>
      <c r="P141" s="1464"/>
      <c r="Q141" s="1464"/>
      <c r="R141" s="1464"/>
      <c r="S141" s="1464"/>
      <c r="T141" s="1464"/>
      <c r="U141" s="1464"/>
      <c r="V141" s="1464"/>
      <c r="W141" s="1464"/>
      <c r="X141" s="1464"/>
      <c r="Y141" s="1464"/>
      <c r="Z141" s="1464"/>
      <c r="AA141" s="1464"/>
      <c r="AB141" s="1464"/>
    </row>
    <row r="142">
      <c r="A142" s="1464"/>
      <c r="B142" s="1464"/>
      <c r="C142" s="1464"/>
      <c r="D142" s="1464"/>
      <c r="E142" s="1464"/>
      <c r="F142" s="1464"/>
      <c r="G142" s="1464"/>
      <c r="H142" s="1464"/>
      <c r="I142" s="1464"/>
      <c r="J142" s="1464"/>
      <c r="K142" s="1464"/>
      <c r="L142" s="1464"/>
      <c r="M142" s="1464"/>
      <c r="N142" s="1464"/>
      <c r="O142" s="1464"/>
      <c r="P142" s="1464"/>
      <c r="Q142" s="1464"/>
      <c r="R142" s="1464"/>
      <c r="S142" s="1464"/>
      <c r="T142" s="1464"/>
      <c r="U142" s="1464"/>
      <c r="V142" s="1464"/>
      <c r="W142" s="1464"/>
      <c r="X142" s="1464"/>
      <c r="Y142" s="1464"/>
      <c r="Z142" s="1464"/>
      <c r="AA142" s="1464"/>
      <c r="AB142" s="1464"/>
    </row>
    <row r="143">
      <c r="A143" s="1464"/>
      <c r="B143" s="1464"/>
      <c r="C143" s="1464"/>
      <c r="D143" s="1464"/>
      <c r="E143" s="1464"/>
      <c r="F143" s="1464"/>
      <c r="G143" s="1464"/>
      <c r="H143" s="1464"/>
      <c r="I143" s="1464"/>
      <c r="J143" s="1464"/>
      <c r="K143" s="1464"/>
      <c r="L143" s="1464"/>
      <c r="M143" s="1464"/>
      <c r="N143" s="1464"/>
      <c r="O143" s="1464"/>
      <c r="P143" s="1464"/>
      <c r="Q143" s="1464"/>
      <c r="R143" s="1464"/>
      <c r="S143" s="1464"/>
      <c r="T143" s="1464"/>
      <c r="U143" s="1464"/>
      <c r="V143" s="1464"/>
      <c r="W143" s="1464"/>
      <c r="X143" s="1464"/>
      <c r="Y143" s="1464"/>
      <c r="Z143" s="1464"/>
      <c r="AA143" s="1464"/>
      <c r="AB143" s="1464"/>
    </row>
    <row r="144">
      <c r="A144" s="1464"/>
      <c r="B144" s="1464"/>
      <c r="C144" s="1464"/>
      <c r="D144" s="1464"/>
      <c r="E144" s="1464"/>
      <c r="F144" s="1464"/>
      <c r="G144" s="1464"/>
      <c r="H144" s="1464"/>
      <c r="I144" s="1464"/>
      <c r="J144" s="1464"/>
      <c r="K144" s="1464"/>
      <c r="L144" s="1464"/>
      <c r="M144" s="1464"/>
      <c r="N144" s="1464"/>
      <c r="O144" s="1464"/>
      <c r="P144" s="1464"/>
      <c r="Q144" s="1464"/>
      <c r="R144" s="1464"/>
      <c r="S144" s="1464"/>
      <c r="T144" s="1464"/>
      <c r="U144" s="1464"/>
      <c r="V144" s="1464"/>
      <c r="W144" s="1464"/>
      <c r="X144" s="1464"/>
      <c r="Y144" s="1464"/>
      <c r="Z144" s="1464"/>
      <c r="AA144" s="1464"/>
      <c r="AB144" s="1464"/>
    </row>
    <row r="145">
      <c r="A145" s="1464"/>
      <c r="B145" s="1464"/>
      <c r="C145" s="1464"/>
      <c r="D145" s="1464"/>
      <c r="E145" s="1464"/>
      <c r="F145" s="1464"/>
      <c r="G145" s="1464"/>
      <c r="H145" s="1464"/>
      <c r="I145" s="1464"/>
      <c r="J145" s="1464"/>
      <c r="K145" s="1464"/>
      <c r="L145" s="1464"/>
      <c r="M145" s="1464"/>
      <c r="N145" s="1464"/>
      <c r="O145" s="1464"/>
      <c r="P145" s="1464"/>
      <c r="Q145" s="1464"/>
      <c r="R145" s="1464"/>
      <c r="S145" s="1464"/>
      <c r="T145" s="1464"/>
      <c r="U145" s="1464"/>
      <c r="V145" s="1464"/>
      <c r="W145" s="1464"/>
      <c r="X145" s="1464"/>
      <c r="Y145" s="1464"/>
      <c r="Z145" s="1464"/>
      <c r="AA145" s="1464"/>
      <c r="AB145" s="1464"/>
    </row>
    <row r="146">
      <c r="A146" s="1464"/>
      <c r="B146" s="1464"/>
      <c r="C146" s="1464"/>
      <c r="D146" s="1464"/>
      <c r="E146" s="1464"/>
      <c r="F146" s="1464"/>
      <c r="G146" s="1464"/>
      <c r="H146" s="1464"/>
      <c r="I146" s="1464"/>
      <c r="J146" s="1464"/>
      <c r="K146" s="1464"/>
      <c r="L146" s="1464"/>
      <c r="M146" s="1464"/>
      <c r="N146" s="1464"/>
      <c r="O146" s="1464"/>
      <c r="P146" s="1464"/>
      <c r="Q146" s="1464"/>
      <c r="R146" s="1464"/>
      <c r="S146" s="1464"/>
      <c r="T146" s="1464"/>
      <c r="U146" s="1464"/>
      <c r="V146" s="1464"/>
      <c r="W146" s="1464"/>
      <c r="X146" s="1464"/>
      <c r="Y146" s="1464"/>
      <c r="Z146" s="1464"/>
      <c r="AA146" s="1464"/>
      <c r="AB146" s="1464"/>
    </row>
    <row r="147">
      <c r="A147" s="1464"/>
      <c r="B147" s="1464"/>
      <c r="C147" s="1464"/>
      <c r="D147" s="1464"/>
      <c r="E147" s="1464"/>
      <c r="F147" s="1464"/>
      <c r="G147" s="1464"/>
      <c r="H147" s="1464"/>
      <c r="I147" s="1464"/>
      <c r="J147" s="1464"/>
      <c r="K147" s="1464"/>
      <c r="L147" s="1464"/>
      <c r="M147" s="1464"/>
      <c r="N147" s="1464"/>
      <c r="O147" s="1464"/>
      <c r="P147" s="1464"/>
      <c r="Q147" s="1464"/>
      <c r="R147" s="1464"/>
      <c r="S147" s="1464"/>
      <c r="T147" s="1464"/>
      <c r="U147" s="1464"/>
      <c r="V147" s="1464"/>
      <c r="W147" s="1464"/>
      <c r="X147" s="1464"/>
      <c r="Y147" s="1464"/>
      <c r="Z147" s="1464"/>
      <c r="AA147" s="1464"/>
      <c r="AB147" s="1464"/>
    </row>
    <row r="148">
      <c r="A148" s="1464"/>
      <c r="B148" s="1464"/>
      <c r="C148" s="1464"/>
      <c r="D148" s="1464"/>
      <c r="E148" s="1464"/>
      <c r="F148" s="1464"/>
      <c r="G148" s="1464"/>
      <c r="H148" s="1464"/>
      <c r="I148" s="1464"/>
      <c r="J148" s="1464"/>
      <c r="K148" s="1464"/>
      <c r="L148" s="1464"/>
      <c r="M148" s="1464"/>
      <c r="N148" s="1464"/>
      <c r="O148" s="1464"/>
      <c r="P148" s="1464"/>
      <c r="Q148" s="1464"/>
      <c r="R148" s="1464"/>
      <c r="S148" s="1464"/>
      <c r="T148" s="1464"/>
      <c r="U148" s="1464"/>
      <c r="V148" s="1464"/>
      <c r="W148" s="1464"/>
      <c r="X148" s="1464"/>
      <c r="Y148" s="1464"/>
      <c r="Z148" s="1464"/>
      <c r="AA148" s="1464"/>
      <c r="AB148" s="1464"/>
    </row>
    <row r="149">
      <c r="A149" s="1464"/>
      <c r="B149" s="1464"/>
      <c r="C149" s="1464"/>
      <c r="D149" s="1464"/>
      <c r="E149" s="1464"/>
      <c r="F149" s="1464"/>
      <c r="G149" s="1464"/>
      <c r="H149" s="1464"/>
      <c r="I149" s="1464"/>
      <c r="J149" s="1464"/>
      <c r="K149" s="1464"/>
      <c r="L149" s="1464"/>
      <c r="M149" s="1464"/>
      <c r="N149" s="1464"/>
      <c r="O149" s="1464"/>
      <c r="P149" s="1464"/>
      <c r="Q149" s="1464"/>
      <c r="R149" s="1464"/>
      <c r="S149" s="1464"/>
      <c r="T149" s="1464"/>
      <c r="U149" s="1464"/>
      <c r="V149" s="1464"/>
      <c r="W149" s="1464"/>
      <c r="X149" s="1464"/>
      <c r="Y149" s="1464"/>
      <c r="Z149" s="1464"/>
      <c r="AA149" s="1464"/>
      <c r="AB149" s="1464"/>
    </row>
    <row r="150">
      <c r="A150" s="1464"/>
      <c r="B150" s="1464"/>
      <c r="C150" s="1464"/>
      <c r="D150" s="1464"/>
      <c r="E150" s="1464"/>
      <c r="F150" s="1464"/>
      <c r="G150" s="1464"/>
      <c r="H150" s="1464"/>
      <c r="I150" s="1464"/>
      <c r="J150" s="1464"/>
      <c r="K150" s="1464"/>
      <c r="L150" s="1464"/>
      <c r="M150" s="1464"/>
      <c r="N150" s="1464"/>
      <c r="O150" s="1464"/>
      <c r="P150" s="1464"/>
      <c r="Q150" s="1464"/>
      <c r="R150" s="1464"/>
      <c r="S150" s="1464"/>
      <c r="T150" s="1464"/>
      <c r="U150" s="1464"/>
      <c r="V150" s="1464"/>
      <c r="W150" s="1464"/>
      <c r="X150" s="1464"/>
      <c r="Y150" s="1464"/>
      <c r="Z150" s="1464"/>
      <c r="AA150" s="1464"/>
      <c r="AB150" s="1464"/>
    </row>
    <row r="151">
      <c r="A151" s="1464"/>
      <c r="B151" s="1464"/>
      <c r="C151" s="1464"/>
      <c r="D151" s="1464"/>
      <c r="E151" s="1464"/>
      <c r="F151" s="1464"/>
      <c r="G151" s="1464"/>
      <c r="H151" s="1464"/>
      <c r="I151" s="1464"/>
      <c r="J151" s="1464"/>
      <c r="K151" s="1464"/>
      <c r="L151" s="1464"/>
      <c r="M151" s="1464"/>
      <c r="N151" s="1464"/>
      <c r="O151" s="1464"/>
      <c r="P151" s="1464"/>
      <c r="Q151" s="1464"/>
      <c r="R151" s="1464"/>
      <c r="S151" s="1464"/>
      <c r="T151" s="1464"/>
      <c r="U151" s="1464"/>
      <c r="V151" s="1464"/>
      <c r="W151" s="1464"/>
      <c r="X151" s="1464"/>
      <c r="Y151" s="1464"/>
      <c r="Z151" s="1464"/>
      <c r="AA151" s="1464"/>
      <c r="AB151" s="1464"/>
    </row>
    <row r="152">
      <c r="A152" s="1464"/>
      <c r="B152" s="1464"/>
      <c r="C152" s="1464"/>
      <c r="D152" s="1464"/>
      <c r="E152" s="1464"/>
      <c r="F152" s="1464"/>
      <c r="G152" s="1464"/>
      <c r="H152" s="1464"/>
      <c r="I152" s="1464"/>
      <c r="J152" s="1464"/>
      <c r="K152" s="1464"/>
      <c r="L152" s="1464"/>
      <c r="M152" s="1464"/>
      <c r="N152" s="1464"/>
      <c r="O152" s="1464"/>
      <c r="P152" s="1464"/>
      <c r="Q152" s="1464"/>
      <c r="R152" s="1464"/>
      <c r="S152" s="1464"/>
      <c r="T152" s="1464"/>
      <c r="U152" s="1464"/>
      <c r="V152" s="1464"/>
      <c r="W152" s="1464"/>
      <c r="X152" s="1464"/>
      <c r="Y152" s="1464"/>
      <c r="Z152" s="1464"/>
      <c r="AA152" s="1464"/>
      <c r="AB152" s="1464"/>
    </row>
    <row r="153">
      <c r="A153" s="1464"/>
      <c r="B153" s="1464"/>
      <c r="C153" s="1464"/>
      <c r="D153" s="1464"/>
      <c r="E153" s="1464"/>
      <c r="F153" s="1464"/>
      <c r="G153" s="1464"/>
      <c r="H153" s="1464"/>
      <c r="I153" s="1464"/>
      <c r="J153" s="1464"/>
      <c r="K153" s="1464"/>
      <c r="L153" s="1464"/>
      <c r="M153" s="1464"/>
      <c r="N153" s="1464"/>
      <c r="O153" s="1464"/>
      <c r="P153" s="1464"/>
      <c r="Q153" s="1464"/>
      <c r="R153" s="1464"/>
      <c r="S153" s="1464"/>
      <c r="T153" s="1464"/>
      <c r="U153" s="1464"/>
      <c r="V153" s="1464"/>
      <c r="W153" s="1464"/>
      <c r="X153" s="1464"/>
      <c r="Y153" s="1464"/>
      <c r="Z153" s="1464"/>
      <c r="AA153" s="1464"/>
      <c r="AB153" s="1464"/>
    </row>
    <row r="154">
      <c r="A154" s="1464"/>
      <c r="B154" s="1464"/>
      <c r="C154" s="1464"/>
      <c r="D154" s="1464"/>
      <c r="E154" s="1464"/>
      <c r="F154" s="1464"/>
      <c r="G154" s="1464"/>
      <c r="H154" s="1464"/>
      <c r="I154" s="1464"/>
      <c r="J154" s="1464"/>
      <c r="K154" s="1464"/>
      <c r="L154" s="1464"/>
      <c r="M154" s="1464"/>
      <c r="N154" s="1464"/>
      <c r="O154" s="1464"/>
      <c r="P154" s="1464"/>
      <c r="Q154" s="1464"/>
      <c r="R154" s="1464"/>
      <c r="S154" s="1464"/>
      <c r="T154" s="1464"/>
      <c r="U154" s="1464"/>
      <c r="V154" s="1464"/>
      <c r="W154" s="1464"/>
      <c r="X154" s="1464"/>
      <c r="Y154" s="1464"/>
      <c r="Z154" s="1464"/>
      <c r="AA154" s="1464"/>
      <c r="AB154" s="1464"/>
    </row>
    <row r="155">
      <c r="A155" s="1464"/>
      <c r="B155" s="1464"/>
      <c r="C155" s="1464"/>
      <c r="D155" s="1464"/>
      <c r="E155" s="1464"/>
      <c r="F155" s="1464"/>
      <c r="G155" s="1464"/>
      <c r="H155" s="1464"/>
      <c r="I155" s="1464"/>
      <c r="J155" s="1464"/>
      <c r="K155" s="1464"/>
      <c r="L155" s="1464"/>
      <c r="M155" s="1464"/>
      <c r="N155" s="1464"/>
      <c r="O155" s="1464"/>
      <c r="P155" s="1464"/>
      <c r="Q155" s="1464"/>
      <c r="R155" s="1464"/>
      <c r="S155" s="1464"/>
      <c r="T155" s="1464"/>
      <c r="U155" s="1464"/>
      <c r="V155" s="1464"/>
      <c r="W155" s="1464"/>
      <c r="X155" s="1464"/>
      <c r="Y155" s="1464"/>
      <c r="Z155" s="1464"/>
      <c r="AA155" s="1464"/>
      <c r="AB155" s="1464"/>
    </row>
    <row r="156">
      <c r="A156" s="1464"/>
      <c r="B156" s="1464"/>
      <c r="C156" s="1464"/>
      <c r="D156" s="1464"/>
      <c r="E156" s="1464"/>
      <c r="F156" s="1464"/>
      <c r="G156" s="1464"/>
      <c r="H156" s="1464"/>
      <c r="I156" s="1464"/>
      <c r="J156" s="1464"/>
      <c r="K156" s="1464"/>
      <c r="L156" s="1464"/>
      <c r="M156" s="1464"/>
      <c r="N156" s="1464"/>
      <c r="O156" s="1464"/>
      <c r="P156" s="1464"/>
      <c r="Q156" s="1464"/>
      <c r="R156" s="1464"/>
      <c r="S156" s="1464"/>
      <c r="T156" s="1464"/>
      <c r="U156" s="1464"/>
      <c r="V156" s="1464"/>
      <c r="W156" s="1464"/>
      <c r="X156" s="1464"/>
      <c r="Y156" s="1464"/>
      <c r="Z156" s="1464"/>
      <c r="AA156" s="1464"/>
      <c r="AB156" s="1464"/>
    </row>
    <row r="157">
      <c r="A157" s="1464"/>
      <c r="B157" s="1464"/>
      <c r="C157" s="1464"/>
      <c r="D157" s="1464"/>
      <c r="E157" s="1464"/>
      <c r="F157" s="1464"/>
      <c r="G157" s="1464"/>
      <c r="H157" s="1464"/>
      <c r="I157" s="1464"/>
      <c r="J157" s="1464"/>
      <c r="K157" s="1464"/>
      <c r="L157" s="1464"/>
      <c r="M157" s="1464"/>
      <c r="N157" s="1464"/>
      <c r="O157" s="1464"/>
      <c r="P157" s="1464"/>
      <c r="Q157" s="1464"/>
      <c r="R157" s="1464"/>
      <c r="S157" s="1464"/>
      <c r="T157" s="1464"/>
      <c r="U157" s="1464"/>
      <c r="V157" s="1464"/>
      <c r="W157" s="1464"/>
      <c r="X157" s="1464"/>
      <c r="Y157" s="1464"/>
      <c r="Z157" s="1464"/>
      <c r="AA157" s="1464"/>
      <c r="AB157" s="1464"/>
    </row>
    <row r="158">
      <c r="A158" s="1464"/>
      <c r="B158" s="1464"/>
      <c r="C158" s="1464"/>
      <c r="D158" s="1464"/>
      <c r="E158" s="1464"/>
      <c r="F158" s="1464"/>
      <c r="G158" s="1464"/>
      <c r="H158" s="1464"/>
      <c r="I158" s="1464"/>
      <c r="J158" s="1464"/>
      <c r="K158" s="1464"/>
      <c r="L158" s="1464"/>
      <c r="M158" s="1464"/>
      <c r="N158" s="1464"/>
      <c r="O158" s="1464"/>
      <c r="P158" s="1464"/>
      <c r="Q158" s="1464"/>
      <c r="R158" s="1464"/>
      <c r="S158" s="1464"/>
      <c r="T158" s="1464"/>
      <c r="U158" s="1464"/>
      <c r="V158" s="1464"/>
      <c r="W158" s="1464"/>
      <c r="X158" s="1464"/>
      <c r="Y158" s="1464"/>
      <c r="Z158" s="1464"/>
      <c r="AA158" s="1464"/>
      <c r="AB158" s="1464"/>
    </row>
    <row r="159">
      <c r="A159" s="1464"/>
      <c r="B159" s="1464"/>
      <c r="C159" s="1464"/>
      <c r="D159" s="1464"/>
      <c r="E159" s="1464"/>
      <c r="F159" s="1464"/>
      <c r="G159" s="1464"/>
      <c r="H159" s="1464"/>
      <c r="I159" s="1464"/>
      <c r="J159" s="1464"/>
      <c r="K159" s="1464"/>
      <c r="L159" s="1464"/>
      <c r="M159" s="1464"/>
      <c r="N159" s="1464"/>
      <c r="O159" s="1464"/>
      <c r="P159" s="1464"/>
      <c r="Q159" s="1464"/>
      <c r="R159" s="1464"/>
      <c r="S159" s="1464"/>
      <c r="T159" s="1464"/>
      <c r="U159" s="1464"/>
      <c r="V159" s="1464"/>
      <c r="W159" s="1464"/>
      <c r="X159" s="1464"/>
      <c r="Y159" s="1464"/>
      <c r="Z159" s="1464"/>
      <c r="AA159" s="1464"/>
      <c r="AB159" s="1464"/>
    </row>
    <row r="160">
      <c r="A160" s="1464"/>
      <c r="B160" s="1464"/>
      <c r="C160" s="1464"/>
      <c r="D160" s="1464"/>
      <c r="E160" s="1464"/>
      <c r="F160" s="1464"/>
      <c r="G160" s="1464"/>
      <c r="H160" s="1464"/>
      <c r="I160" s="1464"/>
      <c r="J160" s="1464"/>
      <c r="K160" s="1464"/>
      <c r="L160" s="1464"/>
      <c r="M160" s="1464"/>
      <c r="N160" s="1464"/>
      <c r="O160" s="1464"/>
      <c r="P160" s="1464"/>
      <c r="Q160" s="1464"/>
      <c r="R160" s="1464"/>
      <c r="S160" s="1464"/>
      <c r="T160" s="1464"/>
      <c r="U160" s="1464"/>
      <c r="V160" s="1464"/>
      <c r="W160" s="1464"/>
      <c r="X160" s="1464"/>
      <c r="Y160" s="1464"/>
      <c r="Z160" s="1464"/>
      <c r="AA160" s="1464"/>
      <c r="AB160" s="1464"/>
    </row>
    <row r="161">
      <c r="A161" s="1464"/>
      <c r="B161" s="1464"/>
      <c r="C161" s="1464"/>
      <c r="D161" s="1464"/>
      <c r="E161" s="1464"/>
      <c r="F161" s="1464"/>
      <c r="G161" s="1464"/>
      <c r="H161" s="1464"/>
      <c r="I161" s="1464"/>
      <c r="J161" s="1464"/>
      <c r="K161" s="1464"/>
      <c r="L161" s="1464"/>
      <c r="M161" s="1464"/>
      <c r="N161" s="1464"/>
      <c r="O161" s="1464"/>
      <c r="P161" s="1464"/>
      <c r="Q161" s="1464"/>
      <c r="R161" s="1464"/>
      <c r="S161" s="1464"/>
      <c r="T161" s="1464"/>
      <c r="U161" s="1464"/>
      <c r="V161" s="1464"/>
      <c r="W161" s="1464"/>
      <c r="X161" s="1464"/>
      <c r="Y161" s="1464"/>
      <c r="Z161" s="1464"/>
      <c r="AA161" s="1464"/>
      <c r="AB161" s="1464"/>
    </row>
    <row r="162">
      <c r="A162" s="1464"/>
      <c r="B162" s="1464"/>
      <c r="C162" s="1464"/>
      <c r="D162" s="1464"/>
      <c r="E162" s="1464"/>
      <c r="F162" s="1464"/>
      <c r="G162" s="1464"/>
      <c r="H162" s="1464"/>
      <c r="I162" s="1464"/>
      <c r="J162" s="1464"/>
      <c r="K162" s="1464"/>
      <c r="L162" s="1464"/>
      <c r="M162" s="1464"/>
      <c r="N162" s="1464"/>
      <c r="O162" s="1464"/>
      <c r="P162" s="1464"/>
      <c r="Q162" s="1464"/>
      <c r="R162" s="1464"/>
      <c r="S162" s="1464"/>
      <c r="T162" s="1464"/>
      <c r="U162" s="1464"/>
      <c r="V162" s="1464"/>
      <c r="W162" s="1464"/>
      <c r="X162" s="1464"/>
      <c r="Y162" s="1464"/>
      <c r="Z162" s="1464"/>
      <c r="AA162" s="1464"/>
      <c r="AB162" s="1464"/>
    </row>
    <row r="163">
      <c r="A163" s="1464"/>
      <c r="B163" s="1464"/>
      <c r="C163" s="1464"/>
      <c r="D163" s="1464"/>
      <c r="E163" s="1464"/>
      <c r="F163" s="1464"/>
      <c r="G163" s="1464"/>
      <c r="H163" s="1464"/>
      <c r="I163" s="1464"/>
      <c r="J163" s="1464"/>
      <c r="K163" s="1464"/>
      <c r="L163" s="1464"/>
      <c r="M163" s="1464"/>
      <c r="N163" s="1464"/>
      <c r="O163" s="1464"/>
      <c r="P163" s="1464"/>
      <c r="Q163" s="1464"/>
      <c r="R163" s="1464"/>
      <c r="S163" s="1464"/>
      <c r="T163" s="1464"/>
      <c r="U163" s="1464"/>
      <c r="V163" s="1464"/>
      <c r="W163" s="1464"/>
      <c r="X163" s="1464"/>
      <c r="Y163" s="1464"/>
      <c r="Z163" s="1464"/>
      <c r="AA163" s="1464"/>
      <c r="AB163" s="1464"/>
    </row>
    <row r="164">
      <c r="A164" s="1464"/>
      <c r="B164" s="1464"/>
      <c r="C164" s="1464"/>
      <c r="D164" s="1464"/>
      <c r="E164" s="1464"/>
      <c r="F164" s="1464"/>
      <c r="G164" s="1464"/>
      <c r="H164" s="1464"/>
      <c r="I164" s="1464"/>
      <c r="J164" s="1464"/>
      <c r="K164" s="1464"/>
      <c r="L164" s="1464"/>
      <c r="M164" s="1464"/>
      <c r="N164" s="1464"/>
      <c r="O164" s="1464"/>
      <c r="P164" s="1464"/>
      <c r="Q164" s="1464"/>
      <c r="R164" s="1464"/>
      <c r="S164" s="1464"/>
      <c r="T164" s="1464"/>
      <c r="U164" s="1464"/>
      <c r="V164" s="1464"/>
      <c r="W164" s="1464"/>
      <c r="X164" s="1464"/>
      <c r="Y164" s="1464"/>
      <c r="Z164" s="1464"/>
      <c r="AA164" s="1464"/>
      <c r="AB164" s="1464"/>
    </row>
    <row r="165">
      <c r="A165" s="1464"/>
      <c r="B165" s="1464"/>
      <c r="C165" s="1464"/>
      <c r="D165" s="1464"/>
      <c r="E165" s="1464"/>
      <c r="F165" s="1464"/>
      <c r="G165" s="1464"/>
      <c r="H165" s="1464"/>
      <c r="I165" s="1464"/>
      <c r="J165" s="1464"/>
      <c r="K165" s="1464"/>
      <c r="L165" s="1464"/>
      <c r="M165" s="1464"/>
      <c r="N165" s="1464"/>
      <c r="O165" s="1464"/>
      <c r="P165" s="1464"/>
      <c r="Q165" s="1464"/>
      <c r="R165" s="1464"/>
      <c r="S165" s="1464"/>
      <c r="T165" s="1464"/>
      <c r="U165" s="1464"/>
      <c r="V165" s="1464"/>
      <c r="W165" s="1464"/>
      <c r="X165" s="1464"/>
      <c r="Y165" s="1464"/>
      <c r="Z165" s="1464"/>
      <c r="AA165" s="1464"/>
      <c r="AB165" s="1464"/>
    </row>
    <row r="166">
      <c r="A166" s="1464"/>
      <c r="B166" s="1464"/>
      <c r="C166" s="1464"/>
      <c r="D166" s="1464"/>
      <c r="E166" s="1464"/>
      <c r="F166" s="1464"/>
      <c r="G166" s="1464"/>
      <c r="H166" s="1464"/>
      <c r="I166" s="1464"/>
      <c r="J166" s="1464"/>
      <c r="K166" s="1464"/>
      <c r="L166" s="1464"/>
      <c r="M166" s="1464"/>
      <c r="N166" s="1464"/>
      <c r="O166" s="1464"/>
      <c r="P166" s="1464"/>
      <c r="Q166" s="1464"/>
      <c r="R166" s="1464"/>
      <c r="S166" s="1464"/>
      <c r="T166" s="1464"/>
      <c r="U166" s="1464"/>
      <c r="V166" s="1464"/>
      <c r="W166" s="1464"/>
      <c r="X166" s="1464"/>
      <c r="Y166" s="1464"/>
      <c r="Z166" s="1464"/>
      <c r="AA166" s="1464"/>
      <c r="AB166" s="1464"/>
    </row>
    <row r="167">
      <c r="A167" s="1464"/>
      <c r="B167" s="1464"/>
      <c r="C167" s="1464"/>
      <c r="D167" s="1464"/>
      <c r="E167" s="1464"/>
      <c r="F167" s="1464"/>
      <c r="G167" s="1464"/>
      <c r="H167" s="1464"/>
      <c r="I167" s="1464"/>
      <c r="J167" s="1464"/>
      <c r="K167" s="1464"/>
      <c r="L167" s="1464"/>
      <c r="M167" s="1464"/>
      <c r="N167" s="1464"/>
      <c r="O167" s="1464"/>
      <c r="P167" s="1464"/>
      <c r="Q167" s="1464"/>
      <c r="R167" s="1464"/>
      <c r="S167" s="1464"/>
      <c r="T167" s="1464"/>
      <c r="U167" s="1464"/>
      <c r="V167" s="1464"/>
      <c r="W167" s="1464"/>
      <c r="X167" s="1464"/>
      <c r="Y167" s="1464"/>
      <c r="Z167" s="1464"/>
      <c r="AA167" s="1464"/>
      <c r="AB167" s="1464"/>
    </row>
    <row r="168">
      <c r="A168" s="1464"/>
      <c r="B168" s="1464"/>
      <c r="C168" s="1464"/>
      <c r="D168" s="1464"/>
      <c r="E168" s="1464"/>
      <c r="F168" s="1464"/>
      <c r="G168" s="1464"/>
      <c r="H168" s="1464"/>
      <c r="I168" s="1464"/>
      <c r="J168" s="1464"/>
      <c r="K168" s="1464"/>
      <c r="L168" s="1464"/>
      <c r="M168" s="1464"/>
      <c r="N168" s="1464"/>
      <c r="O168" s="1464"/>
      <c r="P168" s="1464"/>
      <c r="Q168" s="1464"/>
      <c r="R168" s="1464"/>
      <c r="S168" s="1464"/>
      <c r="T168" s="1464"/>
      <c r="U168" s="1464"/>
      <c r="V168" s="1464"/>
      <c r="W168" s="1464"/>
      <c r="X168" s="1464"/>
      <c r="Y168" s="1464"/>
      <c r="Z168" s="1464"/>
      <c r="AA168" s="1464"/>
      <c r="AB168" s="1464"/>
    </row>
    <row r="169">
      <c r="A169" s="1464"/>
      <c r="B169" s="1464"/>
      <c r="C169" s="1464"/>
      <c r="D169" s="1464"/>
      <c r="E169" s="1464"/>
      <c r="F169" s="1464"/>
      <c r="G169" s="1464"/>
      <c r="H169" s="1464"/>
      <c r="I169" s="1464"/>
      <c r="J169" s="1464"/>
      <c r="K169" s="1464"/>
      <c r="L169" s="1464"/>
      <c r="M169" s="1464"/>
      <c r="N169" s="1464"/>
      <c r="O169" s="1464"/>
      <c r="P169" s="1464"/>
      <c r="Q169" s="1464"/>
      <c r="R169" s="1464"/>
      <c r="S169" s="1464"/>
      <c r="T169" s="1464"/>
      <c r="U169" s="1464"/>
      <c r="V169" s="1464"/>
      <c r="W169" s="1464"/>
      <c r="X169" s="1464"/>
      <c r="Y169" s="1464"/>
      <c r="Z169" s="1464"/>
      <c r="AA169" s="1464"/>
      <c r="AB169" s="1464"/>
    </row>
    <row r="170">
      <c r="A170" s="1464"/>
      <c r="B170" s="1464"/>
      <c r="C170" s="1464"/>
      <c r="D170" s="1464"/>
      <c r="E170" s="1464"/>
      <c r="F170" s="1464"/>
      <c r="G170" s="1464"/>
      <c r="H170" s="1464"/>
      <c r="I170" s="1464"/>
      <c r="J170" s="1464"/>
      <c r="K170" s="1464"/>
      <c r="L170" s="1464"/>
      <c r="M170" s="1464"/>
      <c r="N170" s="1464"/>
      <c r="O170" s="1464"/>
      <c r="P170" s="1464"/>
      <c r="Q170" s="1464"/>
      <c r="R170" s="1464"/>
      <c r="S170" s="1464"/>
      <c r="T170" s="1464"/>
      <c r="U170" s="1464"/>
      <c r="V170" s="1464"/>
      <c r="W170" s="1464"/>
      <c r="X170" s="1464"/>
      <c r="Y170" s="1464"/>
      <c r="Z170" s="1464"/>
      <c r="AA170" s="1464"/>
      <c r="AB170" s="1464"/>
    </row>
    <row r="171">
      <c r="A171" s="1464"/>
      <c r="B171" s="1464"/>
      <c r="C171" s="1464"/>
      <c r="D171" s="1464"/>
      <c r="E171" s="1464"/>
      <c r="F171" s="1464"/>
      <c r="G171" s="1464"/>
      <c r="H171" s="1464"/>
      <c r="I171" s="1464"/>
      <c r="J171" s="1464"/>
      <c r="K171" s="1464"/>
      <c r="L171" s="1464"/>
      <c r="M171" s="1464"/>
      <c r="N171" s="1464"/>
      <c r="O171" s="1464"/>
      <c r="P171" s="1464"/>
      <c r="Q171" s="1464"/>
      <c r="R171" s="1464"/>
      <c r="S171" s="1464"/>
      <c r="T171" s="1464"/>
      <c r="U171" s="1464"/>
      <c r="V171" s="1464"/>
      <c r="W171" s="1464"/>
      <c r="X171" s="1464"/>
      <c r="Y171" s="1464"/>
      <c r="Z171" s="1464"/>
      <c r="AA171" s="1464"/>
      <c r="AB171" s="1464"/>
    </row>
    <row r="172">
      <c r="A172" s="1464"/>
      <c r="B172" s="1464"/>
      <c r="C172" s="1464"/>
      <c r="D172" s="1464"/>
      <c r="E172" s="1464"/>
      <c r="F172" s="1464"/>
      <c r="G172" s="1464"/>
      <c r="H172" s="1464"/>
      <c r="I172" s="1464"/>
      <c r="J172" s="1464"/>
      <c r="K172" s="1464"/>
      <c r="L172" s="1464"/>
      <c r="M172" s="1464"/>
      <c r="N172" s="1464"/>
      <c r="O172" s="1464"/>
      <c r="P172" s="1464"/>
      <c r="Q172" s="1464"/>
      <c r="R172" s="1464"/>
      <c r="S172" s="1464"/>
      <c r="T172" s="1464"/>
      <c r="U172" s="1464"/>
      <c r="V172" s="1464"/>
      <c r="W172" s="1464"/>
      <c r="X172" s="1464"/>
      <c r="Y172" s="1464"/>
      <c r="Z172" s="1464"/>
      <c r="AA172" s="1464"/>
      <c r="AB172" s="1464"/>
    </row>
    <row r="173">
      <c r="A173" s="1464"/>
      <c r="B173" s="1464"/>
      <c r="C173" s="1464"/>
      <c r="D173" s="1464"/>
      <c r="E173" s="1464"/>
      <c r="F173" s="1464"/>
      <c r="G173" s="1464"/>
      <c r="H173" s="1464"/>
      <c r="I173" s="1464"/>
      <c r="J173" s="1464"/>
      <c r="K173" s="1464"/>
      <c r="L173" s="1464"/>
      <c r="M173" s="1464"/>
      <c r="N173" s="1464"/>
      <c r="O173" s="1464"/>
      <c r="P173" s="1464"/>
      <c r="Q173" s="1464"/>
      <c r="R173" s="1464"/>
      <c r="S173" s="1464"/>
      <c r="T173" s="1464"/>
      <c r="U173" s="1464"/>
      <c r="V173" s="1464"/>
      <c r="W173" s="1464"/>
      <c r="X173" s="1464"/>
      <c r="Y173" s="1464"/>
      <c r="Z173" s="1464"/>
      <c r="AA173" s="1464"/>
      <c r="AB173" s="1464"/>
    </row>
    <row r="174">
      <c r="A174" s="1464"/>
      <c r="B174" s="1464"/>
      <c r="C174" s="1464"/>
      <c r="D174" s="1464"/>
      <c r="E174" s="1464"/>
      <c r="F174" s="1464"/>
      <c r="G174" s="1464"/>
      <c r="H174" s="1464"/>
      <c r="I174" s="1464"/>
      <c r="J174" s="1464"/>
      <c r="K174" s="1464"/>
      <c r="L174" s="1464"/>
      <c r="M174" s="1464"/>
      <c r="N174" s="1464"/>
      <c r="O174" s="1464"/>
      <c r="P174" s="1464"/>
      <c r="Q174" s="1464"/>
      <c r="R174" s="1464"/>
      <c r="S174" s="1464"/>
      <c r="T174" s="1464"/>
      <c r="U174" s="1464"/>
      <c r="V174" s="1464"/>
      <c r="W174" s="1464"/>
      <c r="X174" s="1464"/>
      <c r="Y174" s="1464"/>
      <c r="Z174" s="1464"/>
      <c r="AA174" s="1464"/>
      <c r="AB174" s="1464"/>
    </row>
    <row r="175">
      <c r="A175" s="1464"/>
      <c r="B175" s="1464"/>
      <c r="C175" s="1464"/>
      <c r="D175" s="1464"/>
      <c r="E175" s="1464"/>
      <c r="F175" s="1464"/>
      <c r="G175" s="1464"/>
      <c r="H175" s="1464"/>
      <c r="I175" s="1464"/>
      <c r="J175" s="1464"/>
      <c r="K175" s="1464"/>
      <c r="L175" s="1464"/>
      <c r="M175" s="1464"/>
      <c r="N175" s="1464"/>
      <c r="O175" s="1464"/>
      <c r="P175" s="1464"/>
      <c r="Q175" s="1464"/>
      <c r="R175" s="1464"/>
      <c r="S175" s="1464"/>
      <c r="T175" s="1464"/>
      <c r="U175" s="1464"/>
      <c r="V175" s="1464"/>
      <c r="W175" s="1464"/>
      <c r="X175" s="1464"/>
      <c r="Y175" s="1464"/>
      <c r="Z175" s="1464"/>
      <c r="AA175" s="1464"/>
      <c r="AB175" s="1464"/>
    </row>
    <row r="176">
      <c r="A176" s="1464"/>
      <c r="B176" s="1464"/>
      <c r="C176" s="1464"/>
      <c r="D176" s="1464"/>
      <c r="E176" s="1464"/>
      <c r="F176" s="1464"/>
      <c r="G176" s="1464"/>
      <c r="H176" s="1464"/>
      <c r="I176" s="1464"/>
      <c r="J176" s="1464"/>
      <c r="K176" s="1464"/>
      <c r="L176" s="1464"/>
      <c r="M176" s="1464"/>
      <c r="N176" s="1464"/>
      <c r="O176" s="1464"/>
      <c r="P176" s="1464"/>
      <c r="Q176" s="1464"/>
      <c r="R176" s="1464"/>
      <c r="S176" s="1464"/>
      <c r="T176" s="1464"/>
      <c r="U176" s="1464"/>
      <c r="V176" s="1464"/>
      <c r="W176" s="1464"/>
      <c r="X176" s="1464"/>
      <c r="Y176" s="1464"/>
      <c r="Z176" s="1464"/>
      <c r="AA176" s="1464"/>
      <c r="AB176" s="1464"/>
    </row>
    <row r="177">
      <c r="A177" s="1464"/>
      <c r="B177" s="1464"/>
      <c r="C177" s="1464"/>
      <c r="D177" s="1464"/>
      <c r="E177" s="1464"/>
      <c r="F177" s="1464"/>
      <c r="G177" s="1464"/>
      <c r="H177" s="1464"/>
      <c r="I177" s="1464"/>
      <c r="J177" s="1464"/>
      <c r="K177" s="1464"/>
      <c r="L177" s="1464"/>
      <c r="M177" s="1464"/>
      <c r="N177" s="1464"/>
      <c r="O177" s="1464"/>
      <c r="P177" s="1464"/>
      <c r="Q177" s="1464"/>
      <c r="R177" s="1464"/>
      <c r="S177" s="1464"/>
      <c r="T177" s="1464"/>
      <c r="U177" s="1464"/>
      <c r="V177" s="1464"/>
      <c r="W177" s="1464"/>
      <c r="X177" s="1464"/>
      <c r="Y177" s="1464"/>
      <c r="Z177" s="1464"/>
      <c r="AA177" s="1464"/>
      <c r="AB177" s="1464"/>
    </row>
    <row r="178">
      <c r="A178" s="1464"/>
      <c r="B178" s="1464"/>
      <c r="C178" s="1464"/>
      <c r="D178" s="1464"/>
      <c r="E178" s="1464"/>
      <c r="F178" s="1464"/>
      <c r="G178" s="1464"/>
      <c r="H178" s="1464"/>
      <c r="I178" s="1464"/>
      <c r="J178" s="1464"/>
      <c r="K178" s="1464"/>
      <c r="L178" s="1464"/>
      <c r="M178" s="1464"/>
      <c r="N178" s="1464"/>
      <c r="O178" s="1464"/>
      <c r="P178" s="1464"/>
      <c r="Q178" s="1464"/>
      <c r="R178" s="1464"/>
      <c r="S178" s="1464"/>
      <c r="T178" s="1464"/>
      <c r="U178" s="1464"/>
      <c r="V178" s="1464"/>
      <c r="W178" s="1464"/>
      <c r="X178" s="1464"/>
      <c r="Y178" s="1464"/>
      <c r="Z178" s="1464"/>
      <c r="AA178" s="1464"/>
      <c r="AB178" s="1464"/>
    </row>
    <row r="179">
      <c r="A179" s="1464"/>
      <c r="B179" s="1464"/>
      <c r="C179" s="1464"/>
      <c r="D179" s="1464"/>
      <c r="E179" s="1464"/>
      <c r="F179" s="1464"/>
      <c r="G179" s="1464"/>
      <c r="H179" s="1464"/>
      <c r="I179" s="1464"/>
      <c r="J179" s="1464"/>
      <c r="K179" s="1464"/>
      <c r="L179" s="1464"/>
      <c r="M179" s="1464"/>
      <c r="N179" s="1464"/>
      <c r="O179" s="1464"/>
      <c r="P179" s="1464"/>
      <c r="Q179" s="1464"/>
      <c r="R179" s="1464"/>
      <c r="S179" s="1464"/>
      <c r="T179" s="1464"/>
      <c r="U179" s="1464"/>
      <c r="V179" s="1464"/>
      <c r="W179" s="1464"/>
      <c r="X179" s="1464"/>
      <c r="Y179" s="1464"/>
      <c r="Z179" s="1464"/>
      <c r="AA179" s="1464"/>
      <c r="AB179" s="1464"/>
    </row>
    <row r="180">
      <c r="A180" s="1464"/>
      <c r="B180" s="1464"/>
      <c r="C180" s="1464"/>
      <c r="D180" s="1464"/>
      <c r="E180" s="1464"/>
      <c r="F180" s="1464"/>
      <c r="G180" s="1464"/>
      <c r="H180" s="1464"/>
      <c r="I180" s="1464"/>
      <c r="J180" s="1464"/>
      <c r="K180" s="1464"/>
      <c r="L180" s="1464"/>
      <c r="M180" s="1464"/>
      <c r="N180" s="1464"/>
      <c r="O180" s="1464"/>
      <c r="P180" s="1464"/>
      <c r="Q180" s="1464"/>
      <c r="R180" s="1464"/>
      <c r="S180" s="1464"/>
      <c r="T180" s="1464"/>
      <c r="U180" s="1464"/>
      <c r="V180" s="1464"/>
      <c r="W180" s="1464"/>
      <c r="X180" s="1464"/>
      <c r="Y180" s="1464"/>
      <c r="Z180" s="1464"/>
      <c r="AA180" s="1464"/>
      <c r="AB180" s="1464"/>
    </row>
    <row r="181">
      <c r="A181" s="1464"/>
      <c r="B181" s="1464"/>
      <c r="C181" s="1464"/>
      <c r="D181" s="1464"/>
      <c r="E181" s="1464"/>
      <c r="F181" s="1464"/>
      <c r="G181" s="1464"/>
      <c r="H181" s="1464"/>
      <c r="I181" s="1464"/>
      <c r="J181" s="1464"/>
      <c r="K181" s="1464"/>
      <c r="L181" s="1464"/>
      <c r="M181" s="1464"/>
      <c r="N181" s="1464"/>
      <c r="O181" s="1464"/>
      <c r="P181" s="1464"/>
      <c r="Q181" s="1464"/>
      <c r="R181" s="1464"/>
      <c r="S181" s="1464"/>
      <c r="T181" s="1464"/>
      <c r="U181" s="1464"/>
      <c r="V181" s="1464"/>
      <c r="W181" s="1464"/>
      <c r="X181" s="1464"/>
      <c r="Y181" s="1464"/>
      <c r="Z181" s="1464"/>
      <c r="AA181" s="1464"/>
      <c r="AB181" s="1464"/>
    </row>
    <row r="182">
      <c r="A182" s="1464"/>
      <c r="B182" s="1464"/>
      <c r="C182" s="1464"/>
      <c r="D182" s="1464"/>
      <c r="E182" s="1464"/>
      <c r="F182" s="1464"/>
      <c r="G182" s="1464"/>
      <c r="H182" s="1464"/>
      <c r="I182" s="1464"/>
      <c r="J182" s="1464"/>
      <c r="K182" s="1464"/>
      <c r="L182" s="1464"/>
      <c r="M182" s="1464"/>
      <c r="N182" s="1464"/>
      <c r="O182" s="1464"/>
      <c r="P182" s="1464"/>
      <c r="Q182" s="1464"/>
      <c r="R182" s="1464"/>
      <c r="S182" s="1464"/>
      <c r="T182" s="1464"/>
      <c r="U182" s="1464"/>
      <c r="V182" s="1464"/>
      <c r="W182" s="1464"/>
      <c r="X182" s="1464"/>
      <c r="Y182" s="1464"/>
      <c r="Z182" s="1464"/>
      <c r="AA182" s="1464"/>
      <c r="AB182" s="1464"/>
    </row>
    <row r="183">
      <c r="A183" s="1464"/>
      <c r="B183" s="1464"/>
      <c r="C183" s="1464"/>
      <c r="D183" s="1464"/>
      <c r="E183" s="1464"/>
      <c r="F183" s="1464"/>
      <c r="G183" s="1464"/>
      <c r="H183" s="1464"/>
      <c r="I183" s="1464"/>
      <c r="J183" s="1464"/>
      <c r="K183" s="1464"/>
      <c r="L183" s="1464"/>
      <c r="M183" s="1464"/>
      <c r="N183" s="1464"/>
      <c r="O183" s="1464"/>
      <c r="P183" s="1464"/>
      <c r="Q183" s="1464"/>
      <c r="R183" s="1464"/>
      <c r="S183" s="1464"/>
      <c r="T183" s="1464"/>
      <c r="U183" s="1464"/>
      <c r="V183" s="1464"/>
      <c r="W183" s="1464"/>
      <c r="X183" s="1464"/>
      <c r="Y183" s="1464"/>
      <c r="Z183" s="1464"/>
      <c r="AA183" s="1464"/>
      <c r="AB183" s="1464"/>
    </row>
    <row r="184">
      <c r="A184" s="1464"/>
      <c r="B184" s="1464"/>
      <c r="C184" s="1464"/>
      <c r="D184" s="1464"/>
      <c r="E184" s="1464"/>
      <c r="F184" s="1464"/>
      <c r="G184" s="1464"/>
      <c r="H184" s="1464"/>
      <c r="I184" s="1464"/>
      <c r="J184" s="1464"/>
      <c r="K184" s="1464"/>
      <c r="L184" s="1464"/>
      <c r="M184" s="1464"/>
      <c r="N184" s="1464"/>
      <c r="O184" s="1464"/>
      <c r="P184" s="1464"/>
      <c r="Q184" s="1464"/>
      <c r="R184" s="1464"/>
      <c r="S184" s="1464"/>
      <c r="T184" s="1464"/>
      <c r="U184" s="1464"/>
      <c r="V184" s="1464"/>
      <c r="W184" s="1464"/>
      <c r="X184" s="1464"/>
      <c r="Y184" s="1464"/>
      <c r="Z184" s="1464"/>
      <c r="AA184" s="1464"/>
      <c r="AB184" s="1464"/>
    </row>
    <row r="185">
      <c r="A185" s="1464"/>
      <c r="B185" s="1464"/>
      <c r="C185" s="1464"/>
      <c r="D185" s="1464"/>
      <c r="E185" s="1464"/>
      <c r="F185" s="1464"/>
      <c r="G185" s="1464"/>
      <c r="H185" s="1464"/>
      <c r="I185" s="1464"/>
      <c r="J185" s="1464"/>
      <c r="K185" s="1464"/>
      <c r="L185" s="1464"/>
      <c r="M185" s="1464"/>
      <c r="N185" s="1464"/>
      <c r="O185" s="1464"/>
      <c r="P185" s="1464"/>
      <c r="Q185" s="1464"/>
      <c r="R185" s="1464"/>
      <c r="S185" s="1464"/>
      <c r="T185" s="1464"/>
      <c r="U185" s="1464"/>
      <c r="V185" s="1464"/>
      <c r="W185" s="1464"/>
      <c r="X185" s="1464"/>
      <c r="Y185" s="1464"/>
      <c r="Z185" s="1464"/>
      <c r="AA185" s="1464"/>
      <c r="AB185" s="1464"/>
    </row>
    <row r="186">
      <c r="A186" s="1464"/>
      <c r="B186" s="1464"/>
      <c r="C186" s="1464"/>
      <c r="D186" s="1464"/>
      <c r="E186" s="1464"/>
      <c r="F186" s="1464"/>
      <c r="G186" s="1464"/>
      <c r="H186" s="1464"/>
      <c r="I186" s="1464"/>
      <c r="J186" s="1464"/>
      <c r="K186" s="1464"/>
      <c r="L186" s="1464"/>
      <c r="M186" s="1464"/>
      <c r="N186" s="1464"/>
      <c r="O186" s="1464"/>
      <c r="P186" s="1464"/>
      <c r="Q186" s="1464"/>
      <c r="R186" s="1464"/>
      <c r="S186" s="1464"/>
      <c r="T186" s="1464"/>
      <c r="U186" s="1464"/>
      <c r="V186" s="1464"/>
      <c r="W186" s="1464"/>
      <c r="X186" s="1464"/>
      <c r="Y186" s="1464"/>
      <c r="Z186" s="1464"/>
      <c r="AA186" s="1464"/>
      <c r="AB186" s="1464"/>
    </row>
    <row r="187">
      <c r="A187" s="1464"/>
      <c r="B187" s="1464"/>
      <c r="C187" s="1464"/>
      <c r="D187" s="1464"/>
      <c r="E187" s="1464"/>
      <c r="F187" s="1464"/>
      <c r="G187" s="1464"/>
      <c r="H187" s="1464"/>
      <c r="I187" s="1464"/>
      <c r="J187" s="1464"/>
      <c r="K187" s="1464"/>
      <c r="L187" s="1464"/>
      <c r="M187" s="1464"/>
      <c r="N187" s="1464"/>
      <c r="O187" s="1464"/>
      <c r="P187" s="1464"/>
      <c r="Q187" s="1464"/>
      <c r="R187" s="1464"/>
      <c r="S187" s="1464"/>
      <c r="T187" s="1464"/>
      <c r="U187" s="1464"/>
      <c r="V187" s="1464"/>
      <c r="W187" s="1464"/>
      <c r="X187" s="1464"/>
      <c r="Y187" s="1464"/>
      <c r="Z187" s="1464"/>
      <c r="AA187" s="1464"/>
      <c r="AB187" s="1464"/>
    </row>
    <row r="188">
      <c r="A188" s="1464"/>
      <c r="B188" s="1464"/>
      <c r="C188" s="1464"/>
      <c r="D188" s="1464"/>
      <c r="E188" s="1464"/>
      <c r="F188" s="1464"/>
      <c r="G188" s="1464"/>
      <c r="H188" s="1464"/>
      <c r="I188" s="1464"/>
      <c r="J188" s="1464"/>
      <c r="K188" s="1464"/>
      <c r="L188" s="1464"/>
      <c r="M188" s="1464"/>
      <c r="N188" s="1464"/>
      <c r="O188" s="1464"/>
      <c r="P188" s="1464"/>
      <c r="Q188" s="1464"/>
      <c r="R188" s="1464"/>
      <c r="S188" s="1464"/>
      <c r="T188" s="1464"/>
      <c r="U188" s="1464"/>
      <c r="V188" s="1464"/>
      <c r="W188" s="1464"/>
      <c r="X188" s="1464"/>
      <c r="Y188" s="1464"/>
      <c r="Z188" s="1464"/>
      <c r="AA188" s="1464"/>
      <c r="AB188" s="1464"/>
    </row>
    <row r="189">
      <c r="A189" s="1464"/>
      <c r="B189" s="1464"/>
      <c r="C189" s="1464"/>
      <c r="D189" s="1464"/>
      <c r="E189" s="1464"/>
      <c r="F189" s="1464"/>
      <c r="G189" s="1464"/>
      <c r="H189" s="1464"/>
      <c r="I189" s="1464"/>
      <c r="J189" s="1464"/>
      <c r="K189" s="1464"/>
      <c r="L189" s="1464"/>
      <c r="M189" s="1464"/>
      <c r="N189" s="1464"/>
      <c r="O189" s="1464"/>
      <c r="P189" s="1464"/>
      <c r="Q189" s="1464"/>
      <c r="R189" s="1464"/>
      <c r="S189" s="1464"/>
      <c r="T189" s="1464"/>
      <c r="U189" s="1464"/>
      <c r="V189" s="1464"/>
      <c r="W189" s="1464"/>
      <c r="X189" s="1464"/>
      <c r="Y189" s="1464"/>
      <c r="Z189" s="1464"/>
      <c r="AA189" s="1464"/>
      <c r="AB189" s="1464"/>
    </row>
    <row r="190">
      <c r="A190" s="1464"/>
      <c r="B190" s="1464"/>
      <c r="C190" s="1464"/>
      <c r="D190" s="1464"/>
      <c r="E190" s="1464"/>
      <c r="F190" s="1464"/>
      <c r="G190" s="1464"/>
      <c r="H190" s="1464"/>
      <c r="I190" s="1464"/>
      <c r="J190" s="1464"/>
      <c r="K190" s="1464"/>
      <c r="L190" s="1464"/>
      <c r="M190" s="1464"/>
      <c r="N190" s="1464"/>
      <c r="O190" s="1464"/>
      <c r="P190" s="1464"/>
      <c r="Q190" s="1464"/>
      <c r="R190" s="1464"/>
      <c r="S190" s="1464"/>
      <c r="T190" s="1464"/>
      <c r="U190" s="1464"/>
      <c r="V190" s="1464"/>
      <c r="W190" s="1464"/>
      <c r="X190" s="1464"/>
      <c r="Y190" s="1464"/>
      <c r="Z190" s="1464"/>
      <c r="AA190" s="1464"/>
      <c r="AB190" s="1464"/>
    </row>
    <row r="191">
      <c r="A191" s="1464"/>
      <c r="B191" s="1464"/>
      <c r="C191" s="1464"/>
      <c r="D191" s="1464"/>
      <c r="E191" s="1464"/>
      <c r="F191" s="1464"/>
      <c r="G191" s="1464"/>
      <c r="H191" s="1464"/>
      <c r="I191" s="1464"/>
      <c r="J191" s="1464"/>
      <c r="K191" s="1464"/>
      <c r="L191" s="1464"/>
      <c r="M191" s="1464"/>
      <c r="N191" s="1464"/>
      <c r="O191" s="1464"/>
      <c r="P191" s="1464"/>
      <c r="Q191" s="1464"/>
      <c r="R191" s="1464"/>
      <c r="S191" s="1464"/>
      <c r="T191" s="1464"/>
      <c r="U191" s="1464"/>
      <c r="V191" s="1464"/>
      <c r="W191" s="1464"/>
      <c r="X191" s="1464"/>
      <c r="Y191" s="1464"/>
      <c r="Z191" s="1464"/>
      <c r="AA191" s="1464"/>
      <c r="AB191" s="1464"/>
    </row>
    <row r="192">
      <c r="A192" s="1464"/>
      <c r="B192" s="1464"/>
      <c r="C192" s="1464"/>
      <c r="D192" s="1464"/>
      <c r="E192" s="1464"/>
      <c r="F192" s="1464"/>
      <c r="G192" s="1464"/>
      <c r="H192" s="1464"/>
      <c r="I192" s="1464"/>
      <c r="J192" s="1464"/>
      <c r="K192" s="1464"/>
      <c r="L192" s="1464"/>
      <c r="M192" s="1464"/>
      <c r="N192" s="1464"/>
      <c r="O192" s="1464"/>
      <c r="P192" s="1464"/>
      <c r="Q192" s="1464"/>
      <c r="R192" s="1464"/>
      <c r="S192" s="1464"/>
      <c r="T192" s="1464"/>
      <c r="U192" s="1464"/>
      <c r="V192" s="1464"/>
      <c r="W192" s="1464"/>
      <c r="X192" s="1464"/>
      <c r="Y192" s="1464"/>
      <c r="Z192" s="1464"/>
      <c r="AA192" s="1464"/>
      <c r="AB192" s="1464"/>
    </row>
    <row r="193">
      <c r="A193" s="1464"/>
      <c r="B193" s="1464"/>
      <c r="C193" s="1464"/>
      <c r="D193" s="1464"/>
      <c r="E193" s="1464"/>
      <c r="F193" s="1464"/>
      <c r="G193" s="1464"/>
      <c r="H193" s="1464"/>
      <c r="I193" s="1464"/>
      <c r="J193" s="1464"/>
      <c r="K193" s="1464"/>
      <c r="L193" s="1464"/>
      <c r="M193" s="1464"/>
      <c r="N193" s="1464"/>
      <c r="O193" s="1464"/>
      <c r="P193" s="1464"/>
      <c r="Q193" s="1464"/>
      <c r="R193" s="1464"/>
      <c r="S193" s="1464"/>
      <c r="T193" s="1464"/>
      <c r="U193" s="1464"/>
      <c r="V193" s="1464"/>
      <c r="W193" s="1464"/>
      <c r="X193" s="1464"/>
      <c r="Y193" s="1464"/>
      <c r="Z193" s="1464"/>
      <c r="AA193" s="1464"/>
      <c r="AB193" s="1464"/>
    </row>
    <row r="194">
      <c r="A194" s="1464"/>
      <c r="B194" s="1464"/>
      <c r="C194" s="1464"/>
      <c r="D194" s="1464"/>
      <c r="E194" s="1464"/>
      <c r="F194" s="1464"/>
      <c r="G194" s="1464"/>
      <c r="H194" s="1464"/>
      <c r="I194" s="1464"/>
      <c r="J194" s="1464"/>
      <c r="K194" s="1464"/>
      <c r="L194" s="1464"/>
      <c r="M194" s="1464"/>
      <c r="N194" s="1464"/>
      <c r="O194" s="1464"/>
      <c r="P194" s="1464"/>
      <c r="Q194" s="1464"/>
      <c r="R194" s="1464"/>
      <c r="S194" s="1464"/>
      <c r="T194" s="1464"/>
      <c r="U194" s="1464"/>
      <c r="V194" s="1464"/>
      <c r="W194" s="1464"/>
      <c r="X194" s="1464"/>
      <c r="Y194" s="1464"/>
      <c r="Z194" s="1464"/>
      <c r="AA194" s="1464"/>
      <c r="AB194" s="1464"/>
    </row>
    <row r="195">
      <c r="A195" s="1464"/>
      <c r="B195" s="1464"/>
      <c r="C195" s="1464"/>
      <c r="D195" s="1464"/>
      <c r="E195" s="1464"/>
      <c r="F195" s="1464"/>
      <c r="G195" s="1464"/>
      <c r="H195" s="1464"/>
      <c r="I195" s="1464"/>
      <c r="J195" s="1464"/>
      <c r="K195" s="1464"/>
      <c r="L195" s="1464"/>
      <c r="M195" s="1464"/>
      <c r="N195" s="1464"/>
      <c r="O195" s="1464"/>
      <c r="P195" s="1464"/>
      <c r="Q195" s="1464"/>
      <c r="R195" s="1464"/>
      <c r="S195" s="1464"/>
      <c r="T195" s="1464"/>
      <c r="U195" s="1464"/>
      <c r="V195" s="1464"/>
      <c r="W195" s="1464"/>
      <c r="X195" s="1464"/>
      <c r="Y195" s="1464"/>
      <c r="Z195" s="1464"/>
      <c r="AA195" s="1464"/>
      <c r="AB195" s="1464"/>
    </row>
    <row r="196">
      <c r="A196" s="1464"/>
      <c r="B196" s="1464"/>
      <c r="C196" s="1464"/>
      <c r="D196" s="1464"/>
      <c r="E196" s="1464"/>
      <c r="F196" s="1464"/>
      <c r="G196" s="1464"/>
      <c r="H196" s="1464"/>
      <c r="I196" s="1464"/>
      <c r="J196" s="1464"/>
      <c r="K196" s="1464"/>
      <c r="L196" s="1464"/>
      <c r="M196" s="1464"/>
      <c r="N196" s="1464"/>
      <c r="O196" s="1464"/>
      <c r="P196" s="1464"/>
      <c r="Q196" s="1464"/>
      <c r="R196" s="1464"/>
      <c r="S196" s="1464"/>
      <c r="T196" s="1464"/>
      <c r="U196" s="1464"/>
      <c r="V196" s="1464"/>
      <c r="W196" s="1464"/>
      <c r="X196" s="1464"/>
      <c r="Y196" s="1464"/>
      <c r="Z196" s="1464"/>
      <c r="AA196" s="1464"/>
      <c r="AB196" s="1464"/>
    </row>
    <row r="197">
      <c r="A197" s="1464"/>
      <c r="B197" s="1464"/>
      <c r="C197" s="1464"/>
      <c r="D197" s="1464"/>
      <c r="E197" s="1464"/>
      <c r="F197" s="1464"/>
      <c r="G197" s="1464"/>
      <c r="H197" s="1464"/>
      <c r="I197" s="1464"/>
      <c r="J197" s="1464"/>
      <c r="K197" s="1464"/>
      <c r="L197" s="1464"/>
      <c r="M197" s="1464"/>
      <c r="N197" s="1464"/>
      <c r="O197" s="1464"/>
      <c r="P197" s="1464"/>
      <c r="Q197" s="1464"/>
      <c r="R197" s="1464"/>
      <c r="S197" s="1464"/>
      <c r="T197" s="1464"/>
      <c r="U197" s="1464"/>
      <c r="V197" s="1464"/>
      <c r="W197" s="1464"/>
      <c r="X197" s="1464"/>
      <c r="Y197" s="1464"/>
      <c r="Z197" s="1464"/>
      <c r="AA197" s="1464"/>
      <c r="AB197" s="1464"/>
    </row>
    <row r="198">
      <c r="A198" s="1464"/>
      <c r="B198" s="1464"/>
      <c r="C198" s="1464"/>
      <c r="D198" s="1464"/>
      <c r="E198" s="1464"/>
      <c r="F198" s="1464"/>
      <c r="G198" s="1464"/>
      <c r="H198" s="1464"/>
      <c r="I198" s="1464"/>
      <c r="J198" s="1464"/>
      <c r="K198" s="1464"/>
      <c r="L198" s="1464"/>
      <c r="M198" s="1464"/>
      <c r="N198" s="1464"/>
      <c r="O198" s="1464"/>
      <c r="P198" s="1464"/>
      <c r="Q198" s="1464"/>
      <c r="R198" s="1464"/>
      <c r="S198" s="1464"/>
      <c r="T198" s="1464"/>
      <c r="U198" s="1464"/>
      <c r="V198" s="1464"/>
      <c r="W198" s="1464"/>
      <c r="X198" s="1464"/>
      <c r="Y198" s="1464"/>
      <c r="Z198" s="1464"/>
      <c r="AA198" s="1464"/>
      <c r="AB198" s="1464"/>
    </row>
    <row r="199">
      <c r="A199" s="1464"/>
      <c r="B199" s="1464"/>
      <c r="C199" s="1464"/>
      <c r="D199" s="1464"/>
      <c r="E199" s="1464"/>
      <c r="F199" s="1464"/>
      <c r="G199" s="1464"/>
      <c r="H199" s="1464"/>
      <c r="I199" s="1464"/>
      <c r="J199" s="1464"/>
      <c r="K199" s="1464"/>
      <c r="L199" s="1464"/>
      <c r="M199" s="1464"/>
      <c r="N199" s="1464"/>
      <c r="O199" s="1464"/>
      <c r="P199" s="1464"/>
      <c r="Q199" s="1464"/>
      <c r="R199" s="1464"/>
      <c r="S199" s="1464"/>
      <c r="T199" s="1464"/>
      <c r="U199" s="1464"/>
      <c r="V199" s="1464"/>
      <c r="W199" s="1464"/>
      <c r="X199" s="1464"/>
      <c r="Y199" s="1464"/>
      <c r="Z199" s="1464"/>
      <c r="AA199" s="1464"/>
      <c r="AB199" s="1464"/>
    </row>
    <row r="200">
      <c r="A200" s="1464"/>
      <c r="B200" s="1464"/>
      <c r="C200" s="1464"/>
      <c r="D200" s="1464"/>
      <c r="E200" s="1464"/>
      <c r="F200" s="1464"/>
      <c r="G200" s="1464"/>
      <c r="H200" s="1464"/>
      <c r="I200" s="1464"/>
      <c r="J200" s="1464"/>
      <c r="K200" s="1464"/>
      <c r="L200" s="1464"/>
      <c r="M200" s="1464"/>
      <c r="N200" s="1464"/>
      <c r="O200" s="1464"/>
      <c r="P200" s="1464"/>
      <c r="Q200" s="1464"/>
      <c r="R200" s="1464"/>
      <c r="S200" s="1464"/>
      <c r="T200" s="1464"/>
      <c r="U200" s="1464"/>
      <c r="V200" s="1464"/>
      <c r="W200" s="1464"/>
      <c r="X200" s="1464"/>
      <c r="Y200" s="1464"/>
      <c r="Z200" s="1464"/>
      <c r="AA200" s="1464"/>
      <c r="AB200" s="1464"/>
    </row>
    <row r="201">
      <c r="A201" s="1464"/>
      <c r="B201" s="1464"/>
      <c r="C201" s="1464"/>
      <c r="D201" s="1464"/>
      <c r="E201" s="1464"/>
      <c r="F201" s="1464"/>
      <c r="G201" s="1464"/>
      <c r="H201" s="1464"/>
      <c r="I201" s="1464"/>
      <c r="J201" s="1464"/>
      <c r="K201" s="1464"/>
      <c r="L201" s="1464"/>
      <c r="M201" s="1464"/>
      <c r="N201" s="1464"/>
      <c r="O201" s="1464"/>
      <c r="P201" s="1464"/>
      <c r="Q201" s="1464"/>
      <c r="R201" s="1464"/>
      <c r="S201" s="1464"/>
      <c r="T201" s="1464"/>
      <c r="U201" s="1464"/>
      <c r="V201" s="1464"/>
      <c r="W201" s="1464"/>
      <c r="X201" s="1464"/>
      <c r="Y201" s="1464"/>
      <c r="Z201" s="1464"/>
      <c r="AA201" s="1464"/>
      <c r="AB201" s="1464"/>
    </row>
    <row r="202">
      <c r="A202" s="1464"/>
      <c r="B202" s="1464"/>
      <c r="C202" s="1464"/>
      <c r="D202" s="1464"/>
      <c r="E202" s="1464"/>
      <c r="F202" s="1464"/>
      <c r="G202" s="1464"/>
      <c r="H202" s="1464"/>
      <c r="I202" s="1464"/>
      <c r="J202" s="1464"/>
      <c r="K202" s="1464"/>
      <c r="L202" s="1464"/>
      <c r="M202" s="1464"/>
      <c r="N202" s="1464"/>
      <c r="O202" s="1464"/>
      <c r="P202" s="1464"/>
      <c r="Q202" s="1464"/>
      <c r="R202" s="1464"/>
      <c r="S202" s="1464"/>
      <c r="T202" s="1464"/>
      <c r="U202" s="1464"/>
      <c r="V202" s="1464"/>
      <c r="W202" s="1464"/>
      <c r="X202" s="1464"/>
      <c r="Y202" s="1464"/>
      <c r="Z202" s="1464"/>
      <c r="AA202" s="1464"/>
      <c r="AB202" s="1464"/>
    </row>
    <row r="203">
      <c r="A203" s="1464"/>
      <c r="B203" s="1464"/>
      <c r="C203" s="1464"/>
      <c r="D203" s="1464"/>
      <c r="E203" s="1464"/>
      <c r="F203" s="1464"/>
      <c r="G203" s="1464"/>
      <c r="H203" s="1464"/>
      <c r="I203" s="1464"/>
      <c r="J203" s="1464"/>
      <c r="K203" s="1464"/>
      <c r="L203" s="1464"/>
      <c r="M203" s="1464"/>
      <c r="N203" s="1464"/>
      <c r="O203" s="1464"/>
      <c r="P203" s="1464"/>
      <c r="Q203" s="1464"/>
      <c r="R203" s="1464"/>
      <c r="S203" s="1464"/>
      <c r="T203" s="1464"/>
      <c r="U203" s="1464"/>
      <c r="V203" s="1464"/>
      <c r="W203" s="1464"/>
      <c r="X203" s="1464"/>
      <c r="Y203" s="1464"/>
      <c r="Z203" s="1464"/>
      <c r="AA203" s="1464"/>
      <c r="AB203" s="1464"/>
    </row>
    <row r="204">
      <c r="A204" s="1464"/>
      <c r="B204" s="1464"/>
      <c r="C204" s="1464"/>
      <c r="D204" s="1464"/>
      <c r="E204" s="1464"/>
      <c r="F204" s="1464"/>
      <c r="G204" s="1464"/>
      <c r="H204" s="1464"/>
      <c r="I204" s="1464"/>
      <c r="J204" s="1464"/>
      <c r="K204" s="1464"/>
      <c r="L204" s="1464"/>
      <c r="M204" s="1464"/>
      <c r="N204" s="1464"/>
      <c r="O204" s="1464"/>
      <c r="P204" s="1464"/>
      <c r="Q204" s="1464"/>
      <c r="R204" s="1464"/>
      <c r="S204" s="1464"/>
      <c r="T204" s="1464"/>
      <c r="U204" s="1464"/>
      <c r="V204" s="1464"/>
      <c r="W204" s="1464"/>
      <c r="X204" s="1464"/>
      <c r="Y204" s="1464"/>
      <c r="Z204" s="1464"/>
      <c r="AA204" s="1464"/>
      <c r="AB204" s="1464"/>
    </row>
    <row r="205">
      <c r="A205" s="1464"/>
      <c r="B205" s="1464"/>
      <c r="C205" s="1464"/>
      <c r="D205" s="1464"/>
      <c r="E205" s="1464"/>
      <c r="F205" s="1464"/>
      <c r="G205" s="1464"/>
      <c r="H205" s="1464"/>
      <c r="I205" s="1464"/>
      <c r="J205" s="1464"/>
      <c r="K205" s="1464"/>
      <c r="L205" s="1464"/>
      <c r="M205" s="1464"/>
      <c r="N205" s="1464"/>
      <c r="O205" s="1464"/>
      <c r="P205" s="1464"/>
      <c r="Q205" s="1464"/>
      <c r="R205" s="1464"/>
      <c r="S205" s="1464"/>
      <c r="T205" s="1464"/>
      <c r="U205" s="1464"/>
      <c r="V205" s="1464"/>
      <c r="W205" s="1464"/>
      <c r="X205" s="1464"/>
      <c r="Y205" s="1464"/>
      <c r="Z205" s="1464"/>
      <c r="AA205" s="1464"/>
      <c r="AB205" s="1464"/>
    </row>
    <row r="206">
      <c r="A206" s="1464"/>
      <c r="B206" s="1464"/>
      <c r="C206" s="1464"/>
      <c r="D206" s="1464"/>
      <c r="E206" s="1464"/>
      <c r="F206" s="1464"/>
      <c r="G206" s="1464"/>
      <c r="H206" s="1464"/>
      <c r="I206" s="1464"/>
      <c r="J206" s="1464"/>
      <c r="K206" s="1464"/>
      <c r="L206" s="1464"/>
      <c r="M206" s="1464"/>
      <c r="N206" s="1464"/>
      <c r="O206" s="1464"/>
      <c r="P206" s="1464"/>
      <c r="Q206" s="1464"/>
      <c r="R206" s="1464"/>
      <c r="S206" s="1464"/>
      <c r="T206" s="1464"/>
      <c r="U206" s="1464"/>
      <c r="V206" s="1464"/>
      <c r="W206" s="1464"/>
      <c r="X206" s="1464"/>
      <c r="Y206" s="1464"/>
      <c r="Z206" s="1464"/>
      <c r="AA206" s="1464"/>
      <c r="AB206" s="1464"/>
    </row>
    <row r="207">
      <c r="A207" s="1464"/>
      <c r="B207" s="1464"/>
      <c r="C207" s="1464"/>
      <c r="D207" s="1464"/>
      <c r="E207" s="1464"/>
      <c r="F207" s="1464"/>
      <c r="G207" s="1464"/>
      <c r="H207" s="1464"/>
      <c r="I207" s="1464"/>
      <c r="J207" s="1464"/>
      <c r="K207" s="1464"/>
      <c r="L207" s="1464"/>
      <c r="M207" s="1464"/>
      <c r="N207" s="1464"/>
      <c r="O207" s="1464"/>
      <c r="P207" s="1464"/>
      <c r="Q207" s="1464"/>
      <c r="R207" s="1464"/>
      <c r="S207" s="1464"/>
      <c r="T207" s="1464"/>
      <c r="U207" s="1464"/>
      <c r="V207" s="1464"/>
      <c r="W207" s="1464"/>
      <c r="X207" s="1464"/>
      <c r="Y207" s="1464"/>
      <c r="Z207" s="1464"/>
      <c r="AA207" s="1464"/>
      <c r="AB207" s="1464"/>
    </row>
    <row r="208">
      <c r="A208" s="1464"/>
      <c r="B208" s="1464"/>
      <c r="C208" s="1464"/>
      <c r="D208" s="1464"/>
      <c r="E208" s="1464"/>
      <c r="F208" s="1464"/>
      <c r="G208" s="1464"/>
      <c r="H208" s="1464"/>
      <c r="I208" s="1464"/>
      <c r="J208" s="1464"/>
      <c r="K208" s="1464"/>
      <c r="L208" s="1464"/>
      <c r="M208" s="1464"/>
      <c r="N208" s="1464"/>
      <c r="O208" s="1464"/>
      <c r="P208" s="1464"/>
      <c r="Q208" s="1464"/>
      <c r="R208" s="1464"/>
      <c r="S208" s="1464"/>
      <c r="T208" s="1464"/>
      <c r="U208" s="1464"/>
      <c r="V208" s="1464"/>
      <c r="W208" s="1464"/>
      <c r="X208" s="1464"/>
      <c r="Y208" s="1464"/>
      <c r="Z208" s="1464"/>
      <c r="AA208" s="1464"/>
      <c r="AB208" s="1464"/>
    </row>
    <row r="209">
      <c r="A209" s="1464"/>
      <c r="B209" s="1464"/>
      <c r="C209" s="1464"/>
      <c r="D209" s="1464"/>
      <c r="E209" s="1464"/>
      <c r="F209" s="1464"/>
      <c r="G209" s="1464"/>
      <c r="H209" s="1464"/>
      <c r="I209" s="1464"/>
      <c r="J209" s="1464"/>
      <c r="K209" s="1464"/>
      <c r="L209" s="1464"/>
      <c r="M209" s="1464"/>
      <c r="N209" s="1464"/>
      <c r="O209" s="1464"/>
      <c r="P209" s="1464"/>
      <c r="Q209" s="1464"/>
      <c r="R209" s="1464"/>
      <c r="S209" s="1464"/>
      <c r="T209" s="1464"/>
      <c r="U209" s="1464"/>
      <c r="V209" s="1464"/>
      <c r="W209" s="1464"/>
      <c r="X209" s="1464"/>
      <c r="Y209" s="1464"/>
      <c r="Z209" s="1464"/>
      <c r="AA209" s="1464"/>
      <c r="AB209" s="1464"/>
    </row>
    <row r="210">
      <c r="A210" s="1464"/>
      <c r="B210" s="1464"/>
      <c r="C210" s="1464"/>
      <c r="D210" s="1464"/>
      <c r="E210" s="1464"/>
      <c r="F210" s="1464"/>
      <c r="G210" s="1464"/>
      <c r="H210" s="1464"/>
      <c r="I210" s="1464"/>
      <c r="J210" s="1464"/>
      <c r="K210" s="1464"/>
      <c r="L210" s="1464"/>
      <c r="M210" s="1464"/>
      <c r="N210" s="1464"/>
      <c r="O210" s="1464"/>
      <c r="P210" s="1464"/>
      <c r="Q210" s="1464"/>
      <c r="R210" s="1464"/>
      <c r="S210" s="1464"/>
      <c r="T210" s="1464"/>
      <c r="U210" s="1464"/>
      <c r="V210" s="1464"/>
      <c r="W210" s="1464"/>
      <c r="X210" s="1464"/>
      <c r="Y210" s="1464"/>
      <c r="Z210" s="1464"/>
      <c r="AA210" s="1464"/>
      <c r="AB210" s="1464"/>
    </row>
    <row r="211">
      <c r="A211" s="1464"/>
      <c r="B211" s="1464"/>
      <c r="C211" s="1464"/>
      <c r="D211" s="1464"/>
      <c r="E211" s="1464"/>
      <c r="F211" s="1464"/>
      <c r="G211" s="1464"/>
      <c r="H211" s="1464"/>
      <c r="I211" s="1464"/>
      <c r="J211" s="1464"/>
      <c r="K211" s="1464"/>
      <c r="L211" s="1464"/>
      <c r="M211" s="1464"/>
      <c r="N211" s="1464"/>
      <c r="O211" s="1464"/>
      <c r="P211" s="1464"/>
      <c r="Q211" s="1464"/>
      <c r="R211" s="1464"/>
      <c r="S211" s="1464"/>
      <c r="T211" s="1464"/>
      <c r="U211" s="1464"/>
      <c r="V211" s="1464"/>
      <c r="W211" s="1464"/>
      <c r="X211" s="1464"/>
      <c r="Y211" s="1464"/>
      <c r="Z211" s="1464"/>
      <c r="AA211" s="1464"/>
      <c r="AB211" s="1464"/>
    </row>
    <row r="212">
      <c r="A212" s="1464"/>
      <c r="B212" s="1464"/>
      <c r="C212" s="1464"/>
      <c r="D212" s="1464"/>
      <c r="E212" s="1464"/>
      <c r="F212" s="1464"/>
      <c r="G212" s="1464"/>
      <c r="H212" s="1464"/>
      <c r="I212" s="1464"/>
      <c r="J212" s="1464"/>
      <c r="K212" s="1464"/>
      <c r="L212" s="1464"/>
      <c r="M212" s="1464"/>
      <c r="N212" s="1464"/>
      <c r="O212" s="1464"/>
      <c r="P212" s="1464"/>
      <c r="Q212" s="1464"/>
      <c r="R212" s="1464"/>
      <c r="S212" s="1464"/>
      <c r="T212" s="1464"/>
      <c r="U212" s="1464"/>
      <c r="V212" s="1464"/>
      <c r="W212" s="1464"/>
      <c r="X212" s="1464"/>
      <c r="Y212" s="1464"/>
      <c r="Z212" s="1464"/>
      <c r="AA212" s="1464"/>
      <c r="AB212" s="1464"/>
    </row>
    <row r="213">
      <c r="A213" s="1464"/>
      <c r="B213" s="1464"/>
      <c r="C213" s="1464"/>
      <c r="D213" s="1464"/>
      <c r="E213" s="1464"/>
      <c r="F213" s="1464"/>
      <c r="G213" s="1464"/>
      <c r="H213" s="1464"/>
      <c r="I213" s="1464"/>
      <c r="J213" s="1464"/>
      <c r="K213" s="1464"/>
      <c r="L213" s="1464"/>
      <c r="M213" s="1464"/>
      <c r="N213" s="1464"/>
      <c r="O213" s="1464"/>
      <c r="P213" s="1464"/>
      <c r="Q213" s="1464"/>
      <c r="R213" s="1464"/>
      <c r="S213" s="1464"/>
      <c r="T213" s="1464"/>
      <c r="U213" s="1464"/>
      <c r="V213" s="1464"/>
      <c r="W213" s="1464"/>
      <c r="X213" s="1464"/>
      <c r="Y213" s="1464"/>
      <c r="Z213" s="1464"/>
      <c r="AA213" s="1464"/>
      <c r="AB213" s="1464"/>
    </row>
    <row r="214">
      <c r="A214" s="1464"/>
      <c r="B214" s="1464"/>
      <c r="C214" s="1464"/>
      <c r="D214" s="1464"/>
      <c r="E214" s="1464"/>
      <c r="F214" s="1464"/>
      <c r="G214" s="1464"/>
      <c r="H214" s="1464"/>
      <c r="I214" s="1464"/>
      <c r="J214" s="1464"/>
      <c r="K214" s="1464"/>
      <c r="L214" s="1464"/>
      <c r="M214" s="1464"/>
      <c r="N214" s="1464"/>
      <c r="O214" s="1464"/>
      <c r="P214" s="1464"/>
      <c r="Q214" s="1464"/>
      <c r="R214" s="1464"/>
      <c r="S214" s="1464"/>
      <c r="T214" s="1464"/>
      <c r="U214" s="1464"/>
      <c r="V214" s="1464"/>
      <c r="W214" s="1464"/>
      <c r="X214" s="1464"/>
      <c r="Y214" s="1464"/>
      <c r="Z214" s="1464"/>
      <c r="AA214" s="1464"/>
      <c r="AB214" s="1464"/>
    </row>
    <row r="215">
      <c r="A215" s="1464"/>
      <c r="B215" s="1464"/>
      <c r="C215" s="1464"/>
      <c r="D215" s="1464"/>
      <c r="E215" s="1464"/>
      <c r="F215" s="1464"/>
      <c r="G215" s="1464"/>
      <c r="H215" s="1464"/>
      <c r="I215" s="1464"/>
      <c r="J215" s="1464"/>
      <c r="K215" s="1464"/>
      <c r="L215" s="1464"/>
      <c r="M215" s="1464"/>
      <c r="N215" s="1464"/>
      <c r="O215" s="1464"/>
      <c r="P215" s="1464"/>
      <c r="Q215" s="1464"/>
      <c r="R215" s="1464"/>
      <c r="S215" s="1464"/>
      <c r="T215" s="1464"/>
      <c r="U215" s="1464"/>
      <c r="V215" s="1464"/>
      <c r="W215" s="1464"/>
      <c r="X215" s="1464"/>
      <c r="Y215" s="1464"/>
      <c r="Z215" s="1464"/>
      <c r="AA215" s="1464"/>
      <c r="AB215" s="1464"/>
    </row>
    <row r="216">
      <c r="A216" s="1464"/>
      <c r="B216" s="1464"/>
      <c r="C216" s="1464"/>
      <c r="D216" s="1464"/>
      <c r="E216" s="1464"/>
      <c r="F216" s="1464"/>
      <c r="G216" s="1464"/>
      <c r="H216" s="1464"/>
      <c r="I216" s="1464"/>
      <c r="J216" s="1464"/>
      <c r="K216" s="1464"/>
      <c r="L216" s="1464"/>
      <c r="M216" s="1464"/>
      <c r="N216" s="1464"/>
      <c r="O216" s="1464"/>
      <c r="P216" s="1464"/>
      <c r="Q216" s="1464"/>
      <c r="R216" s="1464"/>
      <c r="S216" s="1464"/>
      <c r="T216" s="1464"/>
      <c r="U216" s="1464"/>
      <c r="V216" s="1464"/>
      <c r="W216" s="1464"/>
      <c r="X216" s="1464"/>
      <c r="Y216" s="1464"/>
      <c r="Z216" s="1464"/>
      <c r="AA216" s="1464"/>
      <c r="AB216" s="1464"/>
    </row>
    <row r="217">
      <c r="A217" s="1464"/>
      <c r="B217" s="1464"/>
      <c r="C217" s="1464"/>
      <c r="D217" s="1464"/>
      <c r="E217" s="1464"/>
      <c r="F217" s="1464"/>
      <c r="G217" s="1464"/>
      <c r="H217" s="1464"/>
      <c r="I217" s="1464"/>
      <c r="J217" s="1464"/>
      <c r="K217" s="1464"/>
      <c r="L217" s="1464"/>
      <c r="M217" s="1464"/>
      <c r="N217" s="1464"/>
      <c r="O217" s="1464"/>
      <c r="P217" s="1464"/>
      <c r="Q217" s="1464"/>
      <c r="R217" s="1464"/>
      <c r="S217" s="1464"/>
      <c r="T217" s="1464"/>
      <c r="U217" s="1464"/>
      <c r="V217" s="1464"/>
      <c r="W217" s="1464"/>
      <c r="X217" s="1464"/>
      <c r="Y217" s="1464"/>
      <c r="Z217" s="1464"/>
      <c r="AA217" s="1464"/>
      <c r="AB217" s="1464"/>
    </row>
    <row r="218">
      <c r="A218" s="1464"/>
      <c r="B218" s="1464"/>
      <c r="C218" s="1464"/>
      <c r="D218" s="1464"/>
      <c r="E218" s="1464"/>
      <c r="F218" s="1464"/>
      <c r="G218" s="1464"/>
      <c r="H218" s="1464"/>
      <c r="I218" s="1464"/>
      <c r="J218" s="1464"/>
      <c r="K218" s="1464"/>
      <c r="L218" s="1464"/>
      <c r="M218" s="1464"/>
      <c r="N218" s="1464"/>
      <c r="O218" s="1464"/>
      <c r="P218" s="1464"/>
      <c r="Q218" s="1464"/>
      <c r="R218" s="1464"/>
      <c r="S218" s="1464"/>
      <c r="T218" s="1464"/>
      <c r="U218" s="1464"/>
      <c r="V218" s="1464"/>
      <c r="W218" s="1464"/>
      <c r="X218" s="1464"/>
      <c r="Y218" s="1464"/>
      <c r="Z218" s="1464"/>
      <c r="AA218" s="1464"/>
      <c r="AB218" s="1464"/>
    </row>
    <row r="219">
      <c r="A219" s="1464"/>
      <c r="B219" s="1464"/>
      <c r="C219" s="1464"/>
      <c r="D219" s="1464"/>
      <c r="E219" s="1464"/>
      <c r="F219" s="1464"/>
      <c r="G219" s="1464"/>
      <c r="H219" s="1464"/>
      <c r="I219" s="1464"/>
      <c r="J219" s="1464"/>
      <c r="K219" s="1464"/>
      <c r="L219" s="1464"/>
      <c r="M219" s="1464"/>
      <c r="N219" s="1464"/>
      <c r="O219" s="1464"/>
      <c r="P219" s="1464"/>
      <c r="Q219" s="1464"/>
      <c r="R219" s="1464"/>
      <c r="S219" s="1464"/>
      <c r="T219" s="1464"/>
      <c r="U219" s="1464"/>
      <c r="V219" s="1464"/>
      <c r="W219" s="1464"/>
      <c r="X219" s="1464"/>
      <c r="Y219" s="1464"/>
      <c r="Z219" s="1464"/>
      <c r="AA219" s="1464"/>
      <c r="AB219" s="1464"/>
    </row>
    <row r="220">
      <c r="A220" s="1464"/>
      <c r="B220" s="1464"/>
      <c r="C220" s="1464"/>
      <c r="D220" s="1464"/>
      <c r="E220" s="1464"/>
      <c r="F220" s="1464"/>
      <c r="G220" s="1464"/>
      <c r="H220" s="1464"/>
      <c r="I220" s="1464"/>
      <c r="J220" s="1464"/>
      <c r="K220" s="1464"/>
      <c r="L220" s="1464"/>
      <c r="M220" s="1464"/>
      <c r="N220" s="1464"/>
      <c r="O220" s="1464"/>
      <c r="P220" s="1464"/>
      <c r="Q220" s="1464"/>
      <c r="R220" s="1464"/>
      <c r="S220" s="1464"/>
      <c r="T220" s="1464"/>
      <c r="U220" s="1464"/>
      <c r="V220" s="1464"/>
      <c r="W220" s="1464"/>
      <c r="X220" s="1464"/>
      <c r="Y220" s="1464"/>
      <c r="Z220" s="1464"/>
      <c r="AA220" s="1464"/>
      <c r="AB220" s="1464"/>
    </row>
    <row r="221">
      <c r="A221" s="1464"/>
      <c r="B221" s="1464"/>
      <c r="C221" s="1464"/>
      <c r="D221" s="1464"/>
      <c r="E221" s="1464"/>
      <c r="F221" s="1464"/>
      <c r="G221" s="1464"/>
      <c r="H221" s="1464"/>
      <c r="I221" s="1464"/>
      <c r="J221" s="1464"/>
      <c r="K221" s="1464"/>
      <c r="L221" s="1464"/>
      <c r="M221" s="1464"/>
      <c r="N221" s="1464"/>
      <c r="O221" s="1464"/>
      <c r="P221" s="1464"/>
      <c r="Q221" s="1464"/>
      <c r="R221" s="1464"/>
      <c r="S221" s="1464"/>
      <c r="T221" s="1464"/>
      <c r="U221" s="1464"/>
      <c r="V221" s="1464"/>
      <c r="W221" s="1464"/>
      <c r="X221" s="1464"/>
      <c r="Y221" s="1464"/>
      <c r="Z221" s="1464"/>
      <c r="AA221" s="1464"/>
      <c r="AB221" s="1464"/>
    </row>
    <row r="222">
      <c r="A222" s="1464"/>
      <c r="B222" s="1464"/>
      <c r="C222" s="1464"/>
      <c r="D222" s="1464"/>
      <c r="E222" s="1464"/>
      <c r="F222" s="1464"/>
      <c r="G222" s="1464"/>
      <c r="H222" s="1464"/>
      <c r="I222" s="1464"/>
      <c r="J222" s="1464"/>
      <c r="K222" s="1464"/>
      <c r="L222" s="1464"/>
      <c r="M222" s="1464"/>
      <c r="N222" s="1464"/>
      <c r="O222" s="1464"/>
      <c r="P222" s="1464"/>
      <c r="Q222" s="1464"/>
      <c r="R222" s="1464"/>
      <c r="S222" s="1464"/>
      <c r="T222" s="1464"/>
      <c r="U222" s="1464"/>
      <c r="V222" s="1464"/>
      <c r="W222" s="1464"/>
      <c r="X222" s="1464"/>
      <c r="Y222" s="1464"/>
      <c r="Z222" s="1464"/>
      <c r="AA222" s="1464"/>
      <c r="AB222" s="1464"/>
    </row>
    <row r="223">
      <c r="A223" s="1464"/>
      <c r="B223" s="1464"/>
      <c r="C223" s="1464"/>
      <c r="D223" s="1464"/>
      <c r="E223" s="1464"/>
      <c r="F223" s="1464"/>
      <c r="G223" s="1464"/>
      <c r="H223" s="1464"/>
      <c r="I223" s="1464"/>
      <c r="J223" s="1464"/>
      <c r="K223" s="1464"/>
      <c r="L223" s="1464"/>
      <c r="M223" s="1464"/>
      <c r="N223" s="1464"/>
      <c r="O223" s="1464"/>
      <c r="P223" s="1464"/>
      <c r="Q223" s="1464"/>
      <c r="R223" s="1464"/>
      <c r="S223" s="1464"/>
      <c r="T223" s="1464"/>
      <c r="U223" s="1464"/>
      <c r="V223" s="1464"/>
      <c r="W223" s="1464"/>
      <c r="X223" s="1464"/>
      <c r="Y223" s="1464"/>
      <c r="Z223" s="1464"/>
      <c r="AA223" s="1464"/>
      <c r="AB223" s="1464"/>
    </row>
    <row r="224">
      <c r="A224" s="1464"/>
      <c r="B224" s="1464"/>
      <c r="C224" s="1464"/>
      <c r="D224" s="1464"/>
      <c r="E224" s="1464"/>
      <c r="F224" s="1464"/>
      <c r="G224" s="1464"/>
      <c r="H224" s="1464"/>
      <c r="I224" s="1464"/>
      <c r="J224" s="1464"/>
      <c r="K224" s="1464"/>
      <c r="L224" s="1464"/>
      <c r="M224" s="1464"/>
      <c r="N224" s="1464"/>
      <c r="O224" s="1464"/>
      <c r="P224" s="1464"/>
      <c r="Q224" s="1464"/>
      <c r="R224" s="1464"/>
      <c r="S224" s="1464"/>
      <c r="T224" s="1464"/>
      <c r="U224" s="1464"/>
      <c r="V224" s="1464"/>
      <c r="W224" s="1464"/>
      <c r="X224" s="1464"/>
      <c r="Y224" s="1464"/>
      <c r="Z224" s="1464"/>
      <c r="AA224" s="1464"/>
      <c r="AB224" s="1464"/>
    </row>
    <row r="225">
      <c r="A225" s="1464"/>
      <c r="B225" s="1464"/>
      <c r="C225" s="1464"/>
      <c r="D225" s="1464"/>
      <c r="E225" s="1464"/>
      <c r="F225" s="1464"/>
      <c r="G225" s="1464"/>
      <c r="H225" s="1464"/>
      <c r="I225" s="1464"/>
      <c r="J225" s="1464"/>
      <c r="K225" s="1464"/>
      <c r="L225" s="1464"/>
      <c r="M225" s="1464"/>
      <c r="N225" s="1464"/>
      <c r="O225" s="1464"/>
      <c r="P225" s="1464"/>
      <c r="Q225" s="1464"/>
      <c r="R225" s="1464"/>
      <c r="S225" s="1464"/>
      <c r="T225" s="1464"/>
      <c r="U225" s="1464"/>
      <c r="V225" s="1464"/>
      <c r="W225" s="1464"/>
      <c r="X225" s="1464"/>
      <c r="Y225" s="1464"/>
      <c r="Z225" s="1464"/>
      <c r="AA225" s="1464"/>
      <c r="AB225" s="1464"/>
    </row>
    <row r="226">
      <c r="A226" s="1464"/>
      <c r="B226" s="1464"/>
      <c r="C226" s="1464"/>
      <c r="D226" s="1464"/>
      <c r="E226" s="1464"/>
      <c r="F226" s="1464"/>
      <c r="G226" s="1464"/>
      <c r="H226" s="1464"/>
      <c r="I226" s="1464"/>
      <c r="J226" s="1464"/>
      <c r="K226" s="1464"/>
      <c r="L226" s="1464"/>
      <c r="M226" s="1464"/>
      <c r="N226" s="1464"/>
      <c r="O226" s="1464"/>
      <c r="P226" s="1464"/>
      <c r="Q226" s="1464"/>
      <c r="R226" s="1464"/>
      <c r="S226" s="1464"/>
      <c r="T226" s="1464"/>
      <c r="U226" s="1464"/>
      <c r="V226" s="1464"/>
      <c r="W226" s="1464"/>
      <c r="X226" s="1464"/>
      <c r="Y226" s="1464"/>
      <c r="Z226" s="1464"/>
      <c r="AA226" s="1464"/>
      <c r="AB226" s="1464"/>
    </row>
    <row r="227">
      <c r="A227" s="1464"/>
      <c r="B227" s="1464"/>
      <c r="C227" s="1464"/>
      <c r="D227" s="1464"/>
      <c r="E227" s="1464"/>
      <c r="F227" s="1464"/>
      <c r="G227" s="1464"/>
      <c r="H227" s="1464"/>
      <c r="I227" s="1464"/>
      <c r="J227" s="1464"/>
      <c r="K227" s="1464"/>
      <c r="L227" s="1464"/>
      <c r="M227" s="1464"/>
      <c r="N227" s="1464"/>
      <c r="O227" s="1464"/>
      <c r="P227" s="1464"/>
      <c r="Q227" s="1464"/>
      <c r="R227" s="1464"/>
      <c r="S227" s="1464"/>
      <c r="T227" s="1464"/>
      <c r="U227" s="1464"/>
      <c r="V227" s="1464"/>
      <c r="W227" s="1464"/>
      <c r="X227" s="1464"/>
      <c r="Y227" s="1464"/>
      <c r="Z227" s="1464"/>
      <c r="AA227" s="1464"/>
      <c r="AB227" s="1464"/>
    </row>
    <row r="228">
      <c r="A228" s="1464"/>
      <c r="B228" s="1464"/>
      <c r="C228" s="1464"/>
      <c r="D228" s="1464"/>
      <c r="E228" s="1464"/>
      <c r="F228" s="1464"/>
      <c r="G228" s="1464"/>
      <c r="H228" s="1464"/>
      <c r="I228" s="1464"/>
      <c r="J228" s="1464"/>
      <c r="K228" s="1464"/>
      <c r="L228" s="1464"/>
      <c r="M228" s="1464"/>
      <c r="N228" s="1464"/>
      <c r="O228" s="1464"/>
      <c r="P228" s="1464"/>
      <c r="Q228" s="1464"/>
      <c r="R228" s="1464"/>
      <c r="S228" s="1464"/>
      <c r="T228" s="1464"/>
      <c r="U228" s="1464"/>
      <c r="V228" s="1464"/>
      <c r="W228" s="1464"/>
      <c r="X228" s="1464"/>
      <c r="Y228" s="1464"/>
      <c r="Z228" s="1464"/>
      <c r="AA228" s="1464"/>
      <c r="AB228" s="1464"/>
    </row>
    <row r="229">
      <c r="A229" s="1464"/>
      <c r="B229" s="1464"/>
      <c r="C229" s="1464"/>
      <c r="D229" s="1464"/>
      <c r="E229" s="1464"/>
      <c r="F229" s="1464"/>
      <c r="G229" s="1464"/>
      <c r="H229" s="1464"/>
      <c r="I229" s="1464"/>
      <c r="J229" s="1464"/>
      <c r="K229" s="1464"/>
      <c r="L229" s="1464"/>
      <c r="M229" s="1464"/>
      <c r="N229" s="1464"/>
      <c r="O229" s="1464"/>
      <c r="P229" s="1464"/>
      <c r="Q229" s="1464"/>
      <c r="R229" s="1464"/>
      <c r="S229" s="1464"/>
      <c r="T229" s="1464"/>
      <c r="U229" s="1464"/>
      <c r="V229" s="1464"/>
      <c r="W229" s="1464"/>
      <c r="X229" s="1464"/>
      <c r="Y229" s="1464"/>
      <c r="Z229" s="1464"/>
      <c r="AA229" s="1464"/>
      <c r="AB229" s="1464"/>
    </row>
    <row r="230">
      <c r="A230" s="1464"/>
      <c r="B230" s="1464"/>
      <c r="C230" s="1464"/>
      <c r="D230" s="1464"/>
      <c r="E230" s="1464"/>
      <c r="F230" s="1464"/>
      <c r="G230" s="1464"/>
      <c r="H230" s="1464"/>
      <c r="I230" s="1464"/>
      <c r="J230" s="1464"/>
      <c r="K230" s="1464"/>
      <c r="L230" s="1464"/>
      <c r="M230" s="1464"/>
      <c r="N230" s="1464"/>
      <c r="O230" s="1464"/>
      <c r="P230" s="1464"/>
      <c r="Q230" s="1464"/>
      <c r="R230" s="1464"/>
      <c r="S230" s="1464"/>
      <c r="T230" s="1464"/>
      <c r="U230" s="1464"/>
      <c r="V230" s="1464"/>
      <c r="W230" s="1464"/>
      <c r="X230" s="1464"/>
      <c r="Y230" s="1464"/>
      <c r="Z230" s="1464"/>
      <c r="AA230" s="1464"/>
      <c r="AB230" s="1464"/>
    </row>
    <row r="231">
      <c r="A231" s="1464"/>
      <c r="B231" s="1464"/>
      <c r="C231" s="1464"/>
      <c r="D231" s="1464"/>
      <c r="E231" s="1464"/>
      <c r="F231" s="1464"/>
      <c r="G231" s="1464"/>
      <c r="H231" s="1464"/>
      <c r="I231" s="1464"/>
      <c r="J231" s="1464"/>
      <c r="K231" s="1464"/>
      <c r="L231" s="1464"/>
      <c r="M231" s="1464"/>
      <c r="N231" s="1464"/>
      <c r="O231" s="1464"/>
      <c r="P231" s="1464"/>
      <c r="Q231" s="1464"/>
      <c r="R231" s="1464"/>
      <c r="S231" s="1464"/>
      <c r="T231" s="1464"/>
      <c r="U231" s="1464"/>
      <c r="V231" s="1464"/>
      <c r="W231" s="1464"/>
      <c r="X231" s="1464"/>
      <c r="Y231" s="1464"/>
      <c r="Z231" s="1464"/>
      <c r="AA231" s="1464"/>
      <c r="AB231" s="1464"/>
    </row>
    <row r="232">
      <c r="A232" s="1464"/>
      <c r="B232" s="1464"/>
      <c r="C232" s="1464"/>
      <c r="D232" s="1464"/>
      <c r="E232" s="1464"/>
      <c r="F232" s="1464"/>
      <c r="G232" s="1464"/>
      <c r="H232" s="1464"/>
      <c r="I232" s="1464"/>
      <c r="J232" s="1464"/>
      <c r="K232" s="1464"/>
      <c r="L232" s="1464"/>
      <c r="M232" s="1464"/>
      <c r="N232" s="1464"/>
      <c r="O232" s="1464"/>
      <c r="P232" s="1464"/>
      <c r="Q232" s="1464"/>
      <c r="R232" s="1464"/>
      <c r="S232" s="1464"/>
      <c r="T232" s="1464"/>
      <c r="U232" s="1464"/>
      <c r="V232" s="1464"/>
      <c r="W232" s="1464"/>
      <c r="X232" s="1464"/>
      <c r="Y232" s="1464"/>
      <c r="Z232" s="1464"/>
      <c r="AA232" s="1464"/>
      <c r="AB232" s="1464"/>
    </row>
    <row r="233">
      <c r="A233" s="1464"/>
      <c r="B233" s="1464"/>
      <c r="C233" s="1464"/>
      <c r="D233" s="1464"/>
      <c r="E233" s="1464"/>
      <c r="F233" s="1464"/>
      <c r="G233" s="1464"/>
      <c r="H233" s="1464"/>
      <c r="I233" s="1464"/>
      <c r="J233" s="1464"/>
      <c r="K233" s="1464"/>
      <c r="L233" s="1464"/>
      <c r="M233" s="1464"/>
      <c r="N233" s="1464"/>
      <c r="O233" s="1464"/>
      <c r="P233" s="1464"/>
      <c r="Q233" s="1464"/>
      <c r="R233" s="1464"/>
      <c r="S233" s="1464"/>
      <c r="T233" s="1464"/>
      <c r="U233" s="1464"/>
      <c r="V233" s="1464"/>
      <c r="W233" s="1464"/>
      <c r="X233" s="1464"/>
      <c r="Y233" s="1464"/>
      <c r="Z233" s="1464"/>
      <c r="AA233" s="1464"/>
      <c r="AB233" s="1464"/>
    </row>
    <row r="234">
      <c r="A234" s="1464"/>
      <c r="B234" s="1464"/>
      <c r="C234" s="1464"/>
      <c r="D234" s="1464"/>
      <c r="E234" s="1464"/>
      <c r="F234" s="1464"/>
      <c r="G234" s="1464"/>
      <c r="H234" s="1464"/>
      <c r="I234" s="1464"/>
      <c r="J234" s="1464"/>
      <c r="K234" s="1464"/>
      <c r="L234" s="1464"/>
      <c r="M234" s="1464"/>
      <c r="N234" s="1464"/>
      <c r="O234" s="1464"/>
      <c r="P234" s="1464"/>
      <c r="Q234" s="1464"/>
      <c r="R234" s="1464"/>
      <c r="S234" s="1464"/>
      <c r="T234" s="1464"/>
      <c r="U234" s="1464"/>
      <c r="V234" s="1464"/>
      <c r="W234" s="1464"/>
      <c r="X234" s="1464"/>
      <c r="Y234" s="1464"/>
      <c r="Z234" s="1464"/>
      <c r="AA234" s="1464"/>
      <c r="AB234" s="1464"/>
    </row>
    <row r="235">
      <c r="A235" s="1464"/>
      <c r="B235" s="1464"/>
      <c r="C235" s="1464"/>
      <c r="D235" s="1464"/>
      <c r="E235" s="1464"/>
      <c r="F235" s="1464"/>
      <c r="G235" s="1464"/>
      <c r="H235" s="1464"/>
      <c r="I235" s="1464"/>
      <c r="J235" s="1464"/>
      <c r="K235" s="1464"/>
      <c r="L235" s="1464"/>
      <c r="M235" s="1464"/>
      <c r="N235" s="1464"/>
      <c r="O235" s="1464"/>
      <c r="P235" s="1464"/>
      <c r="Q235" s="1464"/>
      <c r="R235" s="1464"/>
      <c r="S235" s="1464"/>
      <c r="T235" s="1464"/>
      <c r="U235" s="1464"/>
      <c r="V235" s="1464"/>
      <c r="W235" s="1464"/>
      <c r="X235" s="1464"/>
      <c r="Y235" s="1464"/>
      <c r="Z235" s="1464"/>
      <c r="AA235" s="1464"/>
      <c r="AB235" s="1464"/>
    </row>
    <row r="236">
      <c r="A236" s="1464"/>
      <c r="B236" s="1464"/>
      <c r="C236" s="1464"/>
      <c r="D236" s="1464"/>
      <c r="E236" s="1464"/>
      <c r="F236" s="1464"/>
      <c r="G236" s="1464"/>
      <c r="H236" s="1464"/>
      <c r="I236" s="1464"/>
      <c r="J236" s="1464"/>
      <c r="K236" s="1464"/>
      <c r="L236" s="1464"/>
      <c r="M236" s="1464"/>
      <c r="N236" s="1464"/>
      <c r="O236" s="1464"/>
      <c r="P236" s="1464"/>
      <c r="Q236" s="1464"/>
      <c r="R236" s="1464"/>
      <c r="S236" s="1464"/>
      <c r="T236" s="1464"/>
      <c r="U236" s="1464"/>
      <c r="V236" s="1464"/>
      <c r="W236" s="1464"/>
      <c r="X236" s="1464"/>
      <c r="Y236" s="1464"/>
      <c r="Z236" s="1464"/>
      <c r="AA236" s="1464"/>
      <c r="AB236" s="1464"/>
    </row>
    <row r="237">
      <c r="A237" s="1464"/>
      <c r="B237" s="1464"/>
      <c r="C237" s="1464"/>
      <c r="D237" s="1464"/>
      <c r="E237" s="1464"/>
      <c r="F237" s="1464"/>
      <c r="G237" s="1464"/>
      <c r="H237" s="1464"/>
      <c r="I237" s="1464"/>
      <c r="J237" s="1464"/>
      <c r="K237" s="1464"/>
      <c r="L237" s="1464"/>
      <c r="M237" s="1464"/>
      <c r="N237" s="1464"/>
      <c r="O237" s="1464"/>
      <c r="P237" s="1464"/>
      <c r="Q237" s="1464"/>
      <c r="R237" s="1464"/>
      <c r="S237" s="1464"/>
      <c r="T237" s="1464"/>
      <c r="U237" s="1464"/>
      <c r="V237" s="1464"/>
      <c r="W237" s="1464"/>
      <c r="X237" s="1464"/>
      <c r="Y237" s="1464"/>
      <c r="Z237" s="1464"/>
      <c r="AA237" s="1464"/>
      <c r="AB237" s="1464"/>
    </row>
    <row r="238">
      <c r="A238" s="1464"/>
      <c r="B238" s="1464"/>
      <c r="C238" s="1464"/>
      <c r="D238" s="1464"/>
      <c r="E238" s="1464"/>
      <c r="F238" s="1464"/>
      <c r="G238" s="1464"/>
      <c r="H238" s="1464"/>
      <c r="I238" s="1464"/>
      <c r="J238" s="1464"/>
      <c r="K238" s="1464"/>
      <c r="L238" s="1464"/>
      <c r="M238" s="1464"/>
      <c r="N238" s="1464"/>
      <c r="O238" s="1464"/>
      <c r="P238" s="1464"/>
      <c r="Q238" s="1464"/>
      <c r="R238" s="1464"/>
      <c r="S238" s="1464"/>
      <c r="T238" s="1464"/>
      <c r="U238" s="1464"/>
      <c r="V238" s="1464"/>
      <c r="W238" s="1464"/>
      <c r="X238" s="1464"/>
      <c r="Y238" s="1464"/>
      <c r="Z238" s="1464"/>
      <c r="AA238" s="1464"/>
      <c r="AB238" s="1464"/>
    </row>
    <row r="239">
      <c r="A239" s="1464"/>
      <c r="B239" s="1464"/>
      <c r="C239" s="1464"/>
      <c r="D239" s="1464"/>
      <c r="E239" s="1464"/>
      <c r="F239" s="1464"/>
      <c r="G239" s="1464"/>
      <c r="H239" s="1464"/>
      <c r="I239" s="1464"/>
      <c r="J239" s="1464"/>
      <c r="K239" s="1464"/>
      <c r="L239" s="1464"/>
      <c r="M239" s="1464"/>
      <c r="N239" s="1464"/>
      <c r="O239" s="1464"/>
      <c r="P239" s="1464"/>
      <c r="Q239" s="1464"/>
      <c r="R239" s="1464"/>
      <c r="S239" s="1464"/>
      <c r="T239" s="1464"/>
      <c r="U239" s="1464"/>
      <c r="V239" s="1464"/>
      <c r="W239" s="1464"/>
      <c r="X239" s="1464"/>
      <c r="Y239" s="1464"/>
      <c r="Z239" s="1464"/>
      <c r="AA239" s="1464"/>
      <c r="AB239" s="1464"/>
    </row>
    <row r="240">
      <c r="A240" s="1464"/>
      <c r="B240" s="1464"/>
      <c r="C240" s="1464"/>
      <c r="D240" s="1464"/>
      <c r="E240" s="1464"/>
      <c r="F240" s="1464"/>
      <c r="G240" s="1464"/>
      <c r="H240" s="1464"/>
      <c r="I240" s="1464"/>
      <c r="J240" s="1464"/>
      <c r="K240" s="1464"/>
      <c r="L240" s="1464"/>
      <c r="M240" s="1464"/>
      <c r="N240" s="1464"/>
      <c r="O240" s="1464"/>
      <c r="P240" s="1464"/>
      <c r="Q240" s="1464"/>
      <c r="R240" s="1464"/>
      <c r="S240" s="1464"/>
      <c r="T240" s="1464"/>
      <c r="U240" s="1464"/>
      <c r="V240" s="1464"/>
      <c r="W240" s="1464"/>
      <c r="X240" s="1464"/>
      <c r="Y240" s="1464"/>
      <c r="Z240" s="1464"/>
      <c r="AA240" s="1464"/>
      <c r="AB240" s="1464"/>
    </row>
    <row r="241">
      <c r="A241" s="1464"/>
      <c r="B241" s="1464"/>
      <c r="C241" s="1464"/>
      <c r="D241" s="1464"/>
      <c r="E241" s="1464"/>
      <c r="F241" s="1464"/>
      <c r="G241" s="1464"/>
      <c r="H241" s="1464"/>
      <c r="I241" s="1464"/>
      <c r="J241" s="1464"/>
      <c r="K241" s="1464"/>
      <c r="L241" s="1464"/>
      <c r="M241" s="1464"/>
      <c r="N241" s="1464"/>
      <c r="O241" s="1464"/>
      <c r="P241" s="1464"/>
      <c r="Q241" s="1464"/>
      <c r="R241" s="1464"/>
      <c r="S241" s="1464"/>
      <c r="T241" s="1464"/>
      <c r="U241" s="1464"/>
      <c r="V241" s="1464"/>
      <c r="W241" s="1464"/>
      <c r="X241" s="1464"/>
      <c r="Y241" s="1464"/>
      <c r="Z241" s="1464"/>
      <c r="AA241" s="1464"/>
      <c r="AB241" s="1464"/>
    </row>
    <row r="242">
      <c r="A242" s="1464"/>
      <c r="B242" s="1464"/>
      <c r="C242" s="1464"/>
      <c r="D242" s="1464"/>
      <c r="E242" s="1464"/>
      <c r="F242" s="1464"/>
      <c r="G242" s="1464"/>
      <c r="H242" s="1464"/>
      <c r="I242" s="1464"/>
      <c r="J242" s="1464"/>
      <c r="K242" s="1464"/>
      <c r="L242" s="1464"/>
      <c r="M242" s="1464"/>
      <c r="N242" s="1464"/>
      <c r="O242" s="1464"/>
      <c r="P242" s="1464"/>
      <c r="Q242" s="1464"/>
      <c r="R242" s="1464"/>
      <c r="S242" s="1464"/>
      <c r="T242" s="1464"/>
      <c r="U242" s="1464"/>
      <c r="V242" s="1464"/>
      <c r="W242" s="1464"/>
      <c r="X242" s="1464"/>
      <c r="Y242" s="1464"/>
      <c r="Z242" s="1464"/>
      <c r="AA242" s="1464"/>
      <c r="AB242" s="1464"/>
    </row>
    <row r="243">
      <c r="A243" s="1464"/>
      <c r="B243" s="1464"/>
      <c r="C243" s="1464"/>
      <c r="D243" s="1464"/>
      <c r="E243" s="1464"/>
      <c r="F243" s="1464"/>
      <c r="G243" s="1464"/>
      <c r="H243" s="1464"/>
      <c r="I243" s="1464"/>
      <c r="J243" s="1464"/>
      <c r="K243" s="1464"/>
      <c r="L243" s="1464"/>
      <c r="M243" s="1464"/>
      <c r="N243" s="1464"/>
      <c r="O243" s="1464"/>
      <c r="P243" s="1464"/>
      <c r="Q243" s="1464"/>
      <c r="R243" s="1464"/>
      <c r="S243" s="1464"/>
      <c r="T243" s="1464"/>
      <c r="U243" s="1464"/>
      <c r="V243" s="1464"/>
      <c r="W243" s="1464"/>
      <c r="X243" s="1464"/>
      <c r="Y243" s="1464"/>
      <c r="Z243" s="1464"/>
      <c r="AA243" s="1464"/>
      <c r="AB243" s="1464"/>
    </row>
    <row r="244">
      <c r="A244" s="1464"/>
      <c r="B244" s="1464"/>
      <c r="C244" s="1464"/>
      <c r="D244" s="1464"/>
      <c r="E244" s="1464"/>
      <c r="F244" s="1464"/>
      <c r="G244" s="1464"/>
      <c r="H244" s="1464"/>
      <c r="I244" s="1464"/>
      <c r="J244" s="1464"/>
      <c r="K244" s="1464"/>
      <c r="L244" s="1464"/>
      <c r="M244" s="1464"/>
      <c r="N244" s="1464"/>
      <c r="O244" s="1464"/>
      <c r="P244" s="1464"/>
      <c r="Q244" s="1464"/>
      <c r="R244" s="1464"/>
      <c r="S244" s="1464"/>
      <c r="T244" s="1464"/>
      <c r="U244" s="1464"/>
      <c r="V244" s="1464"/>
      <c r="W244" s="1464"/>
      <c r="X244" s="1464"/>
      <c r="Y244" s="1464"/>
      <c r="Z244" s="1464"/>
      <c r="AA244" s="1464"/>
      <c r="AB244" s="1464"/>
    </row>
    <row r="245">
      <c r="A245" s="1464"/>
      <c r="B245" s="1464"/>
      <c r="C245" s="1464"/>
      <c r="D245" s="1464"/>
      <c r="E245" s="1464"/>
      <c r="F245" s="1464"/>
      <c r="G245" s="1464"/>
      <c r="H245" s="1464"/>
      <c r="I245" s="1464"/>
      <c r="J245" s="1464"/>
      <c r="K245" s="1464"/>
      <c r="L245" s="1464"/>
      <c r="M245" s="1464"/>
      <c r="N245" s="1464"/>
      <c r="O245" s="1464"/>
      <c r="P245" s="1464"/>
      <c r="Q245" s="1464"/>
      <c r="R245" s="1464"/>
      <c r="S245" s="1464"/>
      <c r="T245" s="1464"/>
      <c r="U245" s="1464"/>
      <c r="V245" s="1464"/>
      <c r="W245" s="1464"/>
      <c r="X245" s="1464"/>
      <c r="Y245" s="1464"/>
      <c r="Z245" s="1464"/>
      <c r="AA245" s="1464"/>
      <c r="AB245" s="1464"/>
    </row>
    <row r="246">
      <c r="A246" s="1464"/>
      <c r="B246" s="1464"/>
      <c r="C246" s="1464"/>
      <c r="D246" s="1464"/>
      <c r="E246" s="1464"/>
      <c r="F246" s="1464"/>
      <c r="G246" s="1464"/>
      <c r="H246" s="1464"/>
      <c r="I246" s="1464"/>
      <c r="J246" s="1464"/>
      <c r="K246" s="1464"/>
      <c r="L246" s="1464"/>
      <c r="M246" s="1464"/>
      <c r="N246" s="1464"/>
      <c r="O246" s="1464"/>
      <c r="P246" s="1464"/>
      <c r="Q246" s="1464"/>
      <c r="R246" s="1464"/>
      <c r="S246" s="1464"/>
      <c r="T246" s="1464"/>
      <c r="U246" s="1464"/>
      <c r="V246" s="1464"/>
      <c r="W246" s="1464"/>
      <c r="X246" s="1464"/>
      <c r="Y246" s="1464"/>
      <c r="Z246" s="1464"/>
      <c r="AA246" s="1464"/>
      <c r="AB246" s="1464"/>
    </row>
    <row r="247">
      <c r="A247" s="1464"/>
      <c r="B247" s="1464"/>
      <c r="C247" s="1464"/>
      <c r="D247" s="1464"/>
      <c r="E247" s="1464"/>
      <c r="F247" s="1464"/>
      <c r="G247" s="1464"/>
      <c r="H247" s="1464"/>
      <c r="I247" s="1464"/>
      <c r="J247" s="1464"/>
      <c r="K247" s="1464"/>
      <c r="L247" s="1464"/>
      <c r="M247" s="1464"/>
      <c r="N247" s="1464"/>
      <c r="O247" s="1464"/>
      <c r="P247" s="1464"/>
      <c r="Q247" s="1464"/>
      <c r="R247" s="1464"/>
      <c r="S247" s="1464"/>
      <c r="T247" s="1464"/>
      <c r="U247" s="1464"/>
      <c r="V247" s="1464"/>
      <c r="W247" s="1464"/>
      <c r="X247" s="1464"/>
      <c r="Y247" s="1464"/>
      <c r="Z247" s="1464"/>
      <c r="AA247" s="1464"/>
      <c r="AB247" s="1464"/>
    </row>
    <row r="248">
      <c r="A248" s="1464"/>
      <c r="B248" s="1464"/>
      <c r="C248" s="1464"/>
      <c r="D248" s="1464"/>
      <c r="E248" s="1464"/>
      <c r="F248" s="1464"/>
      <c r="G248" s="1464"/>
      <c r="H248" s="1464"/>
      <c r="I248" s="1464"/>
      <c r="J248" s="1464"/>
      <c r="K248" s="1464"/>
      <c r="L248" s="1464"/>
      <c r="M248" s="1464"/>
      <c r="N248" s="1464"/>
      <c r="O248" s="1464"/>
      <c r="P248" s="1464"/>
      <c r="Q248" s="1464"/>
      <c r="R248" s="1464"/>
      <c r="S248" s="1464"/>
      <c r="T248" s="1464"/>
      <c r="U248" s="1464"/>
      <c r="V248" s="1464"/>
      <c r="W248" s="1464"/>
      <c r="X248" s="1464"/>
      <c r="Y248" s="1464"/>
      <c r="Z248" s="1464"/>
      <c r="AA248" s="1464"/>
      <c r="AB248" s="1464"/>
    </row>
    <row r="249">
      <c r="A249" s="1464"/>
      <c r="B249" s="1464"/>
      <c r="C249" s="1464"/>
      <c r="D249" s="1464"/>
      <c r="E249" s="1464"/>
      <c r="F249" s="1464"/>
      <c r="G249" s="1464"/>
      <c r="H249" s="1464"/>
      <c r="I249" s="1464"/>
      <c r="J249" s="1464"/>
      <c r="K249" s="1464"/>
      <c r="L249" s="1464"/>
      <c r="M249" s="1464"/>
      <c r="N249" s="1464"/>
      <c r="O249" s="1464"/>
      <c r="P249" s="1464"/>
      <c r="Q249" s="1464"/>
      <c r="R249" s="1464"/>
      <c r="S249" s="1464"/>
      <c r="T249" s="1464"/>
      <c r="U249" s="1464"/>
      <c r="V249" s="1464"/>
      <c r="W249" s="1464"/>
      <c r="X249" s="1464"/>
      <c r="Y249" s="1464"/>
      <c r="Z249" s="1464"/>
      <c r="AA249" s="1464"/>
      <c r="AB249" s="1464"/>
    </row>
    <row r="250">
      <c r="A250" s="1464"/>
      <c r="B250" s="1464"/>
      <c r="C250" s="1464"/>
      <c r="D250" s="1464"/>
      <c r="E250" s="1464"/>
      <c r="F250" s="1464"/>
      <c r="G250" s="1464"/>
      <c r="H250" s="1464"/>
      <c r="I250" s="1464"/>
      <c r="J250" s="1464"/>
      <c r="K250" s="1464"/>
      <c r="L250" s="1464"/>
      <c r="M250" s="1464"/>
      <c r="N250" s="1464"/>
      <c r="O250" s="1464"/>
      <c r="P250" s="1464"/>
      <c r="Q250" s="1464"/>
      <c r="R250" s="1464"/>
      <c r="S250" s="1464"/>
      <c r="T250" s="1464"/>
      <c r="U250" s="1464"/>
      <c r="V250" s="1464"/>
      <c r="W250" s="1464"/>
      <c r="X250" s="1464"/>
      <c r="Y250" s="1464"/>
      <c r="Z250" s="1464"/>
      <c r="AA250" s="1464"/>
      <c r="AB250" s="1464"/>
    </row>
    <row r="251">
      <c r="A251" s="1464"/>
      <c r="B251" s="1464"/>
      <c r="C251" s="1464"/>
      <c r="D251" s="1464"/>
      <c r="E251" s="1464"/>
      <c r="F251" s="1464"/>
      <c r="G251" s="1464"/>
      <c r="H251" s="1464"/>
      <c r="I251" s="1464"/>
      <c r="J251" s="1464"/>
      <c r="K251" s="1464"/>
      <c r="L251" s="1464"/>
      <c r="M251" s="1464"/>
      <c r="N251" s="1464"/>
      <c r="O251" s="1464"/>
      <c r="P251" s="1464"/>
      <c r="Q251" s="1464"/>
      <c r="R251" s="1464"/>
      <c r="S251" s="1464"/>
      <c r="T251" s="1464"/>
      <c r="U251" s="1464"/>
      <c r="V251" s="1464"/>
      <c r="W251" s="1464"/>
      <c r="X251" s="1464"/>
      <c r="Y251" s="1464"/>
      <c r="Z251" s="1464"/>
      <c r="AA251" s="1464"/>
      <c r="AB251" s="1464"/>
    </row>
    <row r="252">
      <c r="A252" s="1464"/>
      <c r="B252" s="1464"/>
      <c r="C252" s="1464"/>
      <c r="D252" s="1464"/>
      <c r="E252" s="1464"/>
      <c r="F252" s="1464"/>
      <c r="G252" s="1464"/>
      <c r="H252" s="1464"/>
      <c r="I252" s="1464"/>
      <c r="J252" s="1464"/>
      <c r="K252" s="1464"/>
      <c r="L252" s="1464"/>
      <c r="M252" s="1464"/>
      <c r="N252" s="1464"/>
      <c r="O252" s="1464"/>
      <c r="P252" s="1464"/>
      <c r="Q252" s="1464"/>
      <c r="R252" s="1464"/>
      <c r="S252" s="1464"/>
      <c r="T252" s="1464"/>
      <c r="U252" s="1464"/>
      <c r="V252" s="1464"/>
      <c r="W252" s="1464"/>
      <c r="X252" s="1464"/>
      <c r="Y252" s="1464"/>
      <c r="Z252" s="1464"/>
      <c r="AA252" s="1464"/>
      <c r="AB252" s="1464"/>
    </row>
    <row r="253">
      <c r="A253" s="1464"/>
      <c r="B253" s="1464"/>
      <c r="C253" s="1464"/>
      <c r="D253" s="1464"/>
      <c r="E253" s="1464"/>
      <c r="F253" s="1464"/>
      <c r="G253" s="1464"/>
      <c r="H253" s="1464"/>
      <c r="I253" s="1464"/>
      <c r="J253" s="1464"/>
      <c r="K253" s="1464"/>
      <c r="L253" s="1464"/>
      <c r="M253" s="1464"/>
      <c r="N253" s="1464"/>
      <c r="O253" s="1464"/>
      <c r="P253" s="1464"/>
      <c r="Q253" s="1464"/>
      <c r="R253" s="1464"/>
      <c r="S253" s="1464"/>
      <c r="T253" s="1464"/>
      <c r="U253" s="1464"/>
      <c r="V253" s="1464"/>
      <c r="W253" s="1464"/>
      <c r="X253" s="1464"/>
      <c r="Y253" s="1464"/>
      <c r="Z253" s="1464"/>
      <c r="AA253" s="1464"/>
      <c r="AB253" s="1464"/>
    </row>
    <row r="254">
      <c r="A254" s="1464"/>
      <c r="B254" s="1464"/>
      <c r="C254" s="1464"/>
      <c r="D254" s="1464"/>
      <c r="E254" s="1464"/>
      <c r="F254" s="1464"/>
      <c r="G254" s="1464"/>
      <c r="H254" s="1464"/>
      <c r="I254" s="1464"/>
      <c r="J254" s="1464"/>
      <c r="K254" s="1464"/>
      <c r="L254" s="1464"/>
      <c r="M254" s="1464"/>
      <c r="N254" s="1464"/>
      <c r="O254" s="1464"/>
      <c r="P254" s="1464"/>
      <c r="Q254" s="1464"/>
      <c r="R254" s="1464"/>
      <c r="S254" s="1464"/>
      <c r="T254" s="1464"/>
      <c r="U254" s="1464"/>
      <c r="V254" s="1464"/>
      <c r="W254" s="1464"/>
      <c r="X254" s="1464"/>
      <c r="Y254" s="1464"/>
      <c r="Z254" s="1464"/>
      <c r="AA254" s="1464"/>
      <c r="AB254" s="1464"/>
    </row>
    <row r="255">
      <c r="A255" s="1464"/>
      <c r="B255" s="1464"/>
      <c r="C255" s="1464"/>
      <c r="D255" s="1464"/>
      <c r="E255" s="1464"/>
      <c r="F255" s="1464"/>
      <c r="G255" s="1464"/>
      <c r="H255" s="1464"/>
      <c r="I255" s="1464"/>
      <c r="J255" s="1464"/>
      <c r="K255" s="1464"/>
      <c r="L255" s="1464"/>
      <c r="M255" s="1464"/>
      <c r="N255" s="1464"/>
      <c r="O255" s="1464"/>
      <c r="P255" s="1464"/>
      <c r="Q255" s="1464"/>
      <c r="R255" s="1464"/>
      <c r="S255" s="1464"/>
      <c r="T255" s="1464"/>
      <c r="U255" s="1464"/>
      <c r="V255" s="1464"/>
      <c r="W255" s="1464"/>
      <c r="X255" s="1464"/>
      <c r="Y255" s="1464"/>
      <c r="Z255" s="1464"/>
      <c r="AA255" s="1464"/>
      <c r="AB255" s="1464"/>
    </row>
    <row r="256">
      <c r="A256" s="1464"/>
      <c r="B256" s="1464"/>
      <c r="C256" s="1464"/>
      <c r="D256" s="1464"/>
      <c r="E256" s="1464"/>
      <c r="F256" s="1464"/>
      <c r="G256" s="1464"/>
      <c r="H256" s="1464"/>
      <c r="I256" s="1464"/>
      <c r="J256" s="1464"/>
      <c r="K256" s="1464"/>
      <c r="L256" s="1464"/>
      <c r="M256" s="1464"/>
      <c r="N256" s="1464"/>
      <c r="O256" s="1464"/>
      <c r="P256" s="1464"/>
      <c r="Q256" s="1464"/>
      <c r="R256" s="1464"/>
      <c r="S256" s="1464"/>
      <c r="T256" s="1464"/>
      <c r="U256" s="1464"/>
      <c r="V256" s="1464"/>
      <c r="W256" s="1464"/>
      <c r="X256" s="1464"/>
      <c r="Y256" s="1464"/>
      <c r="Z256" s="1464"/>
      <c r="AA256" s="1464"/>
      <c r="AB256" s="1464"/>
    </row>
    <row r="257">
      <c r="A257" s="1464"/>
      <c r="B257" s="1464"/>
      <c r="C257" s="1464"/>
      <c r="D257" s="1464"/>
      <c r="E257" s="1464"/>
      <c r="F257" s="1464"/>
      <c r="G257" s="1464"/>
      <c r="H257" s="1464"/>
      <c r="I257" s="1464"/>
      <c r="J257" s="1464"/>
      <c r="K257" s="1464"/>
      <c r="L257" s="1464"/>
      <c r="M257" s="1464"/>
      <c r="N257" s="1464"/>
      <c r="O257" s="1464"/>
      <c r="P257" s="1464"/>
      <c r="Q257" s="1464"/>
      <c r="R257" s="1464"/>
      <c r="S257" s="1464"/>
      <c r="T257" s="1464"/>
      <c r="U257" s="1464"/>
      <c r="V257" s="1464"/>
      <c r="W257" s="1464"/>
      <c r="X257" s="1464"/>
      <c r="Y257" s="1464"/>
      <c r="Z257" s="1464"/>
      <c r="AA257" s="1464"/>
      <c r="AB257" s="1464"/>
    </row>
    <row r="258">
      <c r="A258" s="1464"/>
      <c r="B258" s="1464"/>
      <c r="C258" s="1464"/>
      <c r="D258" s="1464"/>
      <c r="E258" s="1464"/>
      <c r="F258" s="1464"/>
      <c r="G258" s="1464"/>
      <c r="H258" s="1464"/>
      <c r="I258" s="1464"/>
      <c r="J258" s="1464"/>
      <c r="K258" s="1464"/>
      <c r="L258" s="1464"/>
      <c r="M258" s="1464"/>
      <c r="N258" s="1464"/>
      <c r="O258" s="1464"/>
      <c r="P258" s="1464"/>
      <c r="Q258" s="1464"/>
      <c r="R258" s="1464"/>
      <c r="S258" s="1464"/>
      <c r="T258" s="1464"/>
      <c r="U258" s="1464"/>
      <c r="V258" s="1464"/>
      <c r="W258" s="1464"/>
      <c r="X258" s="1464"/>
      <c r="Y258" s="1464"/>
      <c r="Z258" s="1464"/>
      <c r="AA258" s="1464"/>
      <c r="AB258" s="1464"/>
    </row>
    <row r="259">
      <c r="A259" s="1464"/>
      <c r="B259" s="1464"/>
      <c r="C259" s="1464"/>
      <c r="D259" s="1464"/>
      <c r="E259" s="1464"/>
      <c r="F259" s="1464"/>
      <c r="G259" s="1464"/>
      <c r="H259" s="1464"/>
      <c r="I259" s="1464"/>
      <c r="J259" s="1464"/>
      <c r="K259" s="1464"/>
      <c r="L259" s="1464"/>
      <c r="M259" s="1464"/>
      <c r="N259" s="1464"/>
      <c r="O259" s="1464"/>
      <c r="P259" s="1464"/>
      <c r="Q259" s="1464"/>
      <c r="R259" s="1464"/>
      <c r="S259" s="1464"/>
      <c r="T259" s="1464"/>
      <c r="U259" s="1464"/>
      <c r="V259" s="1464"/>
      <c r="W259" s="1464"/>
      <c r="X259" s="1464"/>
      <c r="Y259" s="1464"/>
      <c r="Z259" s="1464"/>
      <c r="AA259" s="1464"/>
      <c r="AB259" s="1464"/>
    </row>
    <row r="260">
      <c r="A260" s="1464"/>
      <c r="B260" s="1464"/>
      <c r="C260" s="1464"/>
      <c r="D260" s="1464"/>
      <c r="E260" s="1464"/>
      <c r="F260" s="1464"/>
      <c r="G260" s="1464"/>
      <c r="H260" s="1464"/>
      <c r="I260" s="1464"/>
      <c r="J260" s="1464"/>
      <c r="K260" s="1464"/>
      <c r="L260" s="1464"/>
      <c r="M260" s="1464"/>
      <c r="N260" s="1464"/>
      <c r="O260" s="1464"/>
      <c r="P260" s="1464"/>
      <c r="Q260" s="1464"/>
      <c r="R260" s="1464"/>
      <c r="S260" s="1464"/>
      <c r="T260" s="1464"/>
      <c r="U260" s="1464"/>
      <c r="V260" s="1464"/>
      <c r="W260" s="1464"/>
      <c r="X260" s="1464"/>
      <c r="Y260" s="1464"/>
      <c r="Z260" s="1464"/>
      <c r="AA260" s="1464"/>
      <c r="AB260" s="1464"/>
    </row>
    <row r="261">
      <c r="A261" s="1464"/>
      <c r="B261" s="1464"/>
      <c r="C261" s="1464"/>
      <c r="D261" s="1464"/>
      <c r="E261" s="1464"/>
      <c r="F261" s="1464"/>
      <c r="G261" s="1464"/>
      <c r="H261" s="1464"/>
      <c r="I261" s="1464"/>
      <c r="J261" s="1464"/>
      <c r="K261" s="1464"/>
      <c r="L261" s="1464"/>
      <c r="M261" s="1464"/>
      <c r="N261" s="1464"/>
      <c r="O261" s="1464"/>
      <c r="P261" s="1464"/>
      <c r="Q261" s="1464"/>
      <c r="R261" s="1464"/>
      <c r="S261" s="1464"/>
      <c r="T261" s="1464"/>
      <c r="U261" s="1464"/>
      <c r="V261" s="1464"/>
      <c r="W261" s="1464"/>
      <c r="X261" s="1464"/>
      <c r="Y261" s="1464"/>
      <c r="Z261" s="1464"/>
      <c r="AA261" s="1464"/>
      <c r="AB261" s="1464"/>
    </row>
    <row r="262">
      <c r="A262" s="1464"/>
      <c r="B262" s="1464"/>
      <c r="C262" s="1464"/>
      <c r="D262" s="1464"/>
      <c r="E262" s="1464"/>
      <c r="F262" s="1464"/>
      <c r="G262" s="1464"/>
      <c r="H262" s="1464"/>
      <c r="I262" s="1464"/>
      <c r="J262" s="1464"/>
      <c r="K262" s="1464"/>
      <c r="L262" s="1464"/>
      <c r="M262" s="1464"/>
      <c r="N262" s="1464"/>
      <c r="O262" s="1464"/>
      <c r="P262" s="1464"/>
      <c r="Q262" s="1464"/>
      <c r="R262" s="1464"/>
      <c r="S262" s="1464"/>
      <c r="T262" s="1464"/>
      <c r="U262" s="1464"/>
      <c r="V262" s="1464"/>
      <c r="W262" s="1464"/>
      <c r="X262" s="1464"/>
      <c r="Y262" s="1464"/>
      <c r="Z262" s="1464"/>
      <c r="AA262" s="1464"/>
      <c r="AB262" s="1464"/>
    </row>
    <row r="263">
      <c r="A263" s="1464"/>
      <c r="B263" s="1464"/>
      <c r="C263" s="1464"/>
      <c r="D263" s="1464"/>
      <c r="E263" s="1464"/>
      <c r="F263" s="1464"/>
      <c r="G263" s="1464"/>
      <c r="H263" s="1464"/>
      <c r="I263" s="1464"/>
      <c r="J263" s="1464"/>
      <c r="K263" s="1464"/>
      <c r="L263" s="1464"/>
      <c r="M263" s="1464"/>
      <c r="N263" s="1464"/>
      <c r="O263" s="1464"/>
      <c r="P263" s="1464"/>
      <c r="Q263" s="1464"/>
      <c r="R263" s="1464"/>
      <c r="S263" s="1464"/>
      <c r="T263" s="1464"/>
      <c r="U263" s="1464"/>
      <c r="V263" s="1464"/>
      <c r="W263" s="1464"/>
      <c r="X263" s="1464"/>
      <c r="Y263" s="1464"/>
      <c r="Z263" s="1464"/>
      <c r="AA263" s="1464"/>
      <c r="AB263" s="1464"/>
    </row>
    <row r="264">
      <c r="A264" s="1464"/>
      <c r="B264" s="1464"/>
      <c r="C264" s="1464"/>
      <c r="D264" s="1464"/>
      <c r="E264" s="1464"/>
      <c r="F264" s="1464"/>
      <c r="G264" s="1464"/>
      <c r="H264" s="1464"/>
      <c r="I264" s="1464"/>
      <c r="J264" s="1464"/>
      <c r="K264" s="1464"/>
      <c r="L264" s="1464"/>
      <c r="M264" s="1464"/>
      <c r="N264" s="1464"/>
      <c r="O264" s="1464"/>
      <c r="P264" s="1464"/>
      <c r="Q264" s="1464"/>
      <c r="R264" s="1464"/>
      <c r="S264" s="1464"/>
      <c r="T264" s="1464"/>
      <c r="U264" s="1464"/>
      <c r="V264" s="1464"/>
      <c r="W264" s="1464"/>
      <c r="X264" s="1464"/>
      <c r="Y264" s="1464"/>
      <c r="Z264" s="1464"/>
      <c r="AA264" s="1464"/>
      <c r="AB264" s="1464"/>
    </row>
    <row r="265">
      <c r="A265" s="1464"/>
      <c r="B265" s="1464"/>
      <c r="C265" s="1464"/>
      <c r="D265" s="1464"/>
      <c r="E265" s="1464"/>
      <c r="F265" s="1464"/>
      <c r="G265" s="1464"/>
      <c r="H265" s="1464"/>
      <c r="I265" s="1464"/>
      <c r="J265" s="1464"/>
      <c r="K265" s="1464"/>
      <c r="L265" s="1464"/>
      <c r="M265" s="1464"/>
      <c r="N265" s="1464"/>
      <c r="O265" s="1464"/>
      <c r="P265" s="1464"/>
      <c r="Q265" s="1464"/>
      <c r="R265" s="1464"/>
      <c r="S265" s="1464"/>
      <c r="T265" s="1464"/>
      <c r="U265" s="1464"/>
      <c r="V265" s="1464"/>
      <c r="W265" s="1464"/>
      <c r="X265" s="1464"/>
      <c r="Y265" s="1464"/>
      <c r="Z265" s="1464"/>
      <c r="AA265" s="1464"/>
      <c r="AB265" s="1464"/>
    </row>
    <row r="266">
      <c r="A266" s="1464"/>
      <c r="B266" s="1464"/>
      <c r="C266" s="1464"/>
      <c r="D266" s="1464"/>
      <c r="E266" s="1464"/>
      <c r="F266" s="1464"/>
      <c r="G266" s="1464"/>
      <c r="H266" s="1464"/>
      <c r="I266" s="1464"/>
      <c r="J266" s="1464"/>
      <c r="K266" s="1464"/>
      <c r="L266" s="1464"/>
      <c r="M266" s="1464"/>
      <c r="N266" s="1464"/>
      <c r="O266" s="1464"/>
      <c r="P266" s="1464"/>
      <c r="Q266" s="1464"/>
      <c r="R266" s="1464"/>
      <c r="S266" s="1464"/>
      <c r="T266" s="1464"/>
      <c r="U266" s="1464"/>
      <c r="V266" s="1464"/>
      <c r="W266" s="1464"/>
      <c r="X266" s="1464"/>
      <c r="Y266" s="1464"/>
      <c r="Z266" s="1464"/>
      <c r="AA266" s="1464"/>
      <c r="AB266" s="1464"/>
    </row>
    <row r="267">
      <c r="A267" s="1464"/>
      <c r="B267" s="1464"/>
      <c r="C267" s="1464"/>
      <c r="D267" s="1464"/>
      <c r="E267" s="1464"/>
      <c r="F267" s="1464"/>
      <c r="G267" s="1464"/>
      <c r="H267" s="1464"/>
      <c r="I267" s="1464"/>
      <c r="J267" s="1464"/>
      <c r="K267" s="1464"/>
      <c r="L267" s="1464"/>
      <c r="M267" s="1464"/>
      <c r="N267" s="1464"/>
      <c r="O267" s="1464"/>
      <c r="P267" s="1464"/>
      <c r="Q267" s="1464"/>
      <c r="R267" s="1464"/>
      <c r="S267" s="1464"/>
      <c r="T267" s="1464"/>
      <c r="U267" s="1464"/>
      <c r="V267" s="1464"/>
      <c r="W267" s="1464"/>
      <c r="X267" s="1464"/>
      <c r="Y267" s="1464"/>
      <c r="Z267" s="1464"/>
      <c r="AA267" s="1464"/>
      <c r="AB267" s="1464"/>
    </row>
    <row r="268">
      <c r="A268" s="1464"/>
      <c r="B268" s="1464"/>
      <c r="C268" s="1464"/>
      <c r="D268" s="1464"/>
      <c r="E268" s="1464"/>
      <c r="F268" s="1464"/>
      <c r="G268" s="1464"/>
      <c r="H268" s="1464"/>
      <c r="I268" s="1464"/>
      <c r="J268" s="1464"/>
      <c r="K268" s="1464"/>
      <c r="L268" s="1464"/>
      <c r="M268" s="1464"/>
      <c r="N268" s="1464"/>
      <c r="O268" s="1464"/>
      <c r="P268" s="1464"/>
      <c r="Q268" s="1464"/>
      <c r="R268" s="1464"/>
      <c r="S268" s="1464"/>
      <c r="T268" s="1464"/>
      <c r="U268" s="1464"/>
      <c r="V268" s="1464"/>
      <c r="W268" s="1464"/>
      <c r="X268" s="1464"/>
      <c r="Y268" s="1464"/>
      <c r="Z268" s="1464"/>
      <c r="AA268" s="1464"/>
      <c r="AB268" s="1464"/>
    </row>
    <row r="269">
      <c r="A269" s="1464"/>
      <c r="B269" s="1464"/>
      <c r="C269" s="1464"/>
      <c r="D269" s="1464"/>
      <c r="E269" s="1464"/>
      <c r="F269" s="1464"/>
      <c r="G269" s="1464"/>
      <c r="H269" s="1464"/>
      <c r="I269" s="1464"/>
      <c r="J269" s="1464"/>
      <c r="K269" s="1464"/>
      <c r="L269" s="1464"/>
      <c r="M269" s="1464"/>
      <c r="N269" s="1464"/>
      <c r="O269" s="1464"/>
      <c r="P269" s="1464"/>
      <c r="Q269" s="1464"/>
      <c r="R269" s="1464"/>
      <c r="S269" s="1464"/>
      <c r="T269" s="1464"/>
      <c r="U269" s="1464"/>
      <c r="V269" s="1464"/>
      <c r="W269" s="1464"/>
      <c r="X269" s="1464"/>
      <c r="Y269" s="1464"/>
      <c r="Z269" s="1464"/>
      <c r="AA269" s="1464"/>
      <c r="AB269" s="1464"/>
    </row>
    <row r="270">
      <c r="A270" s="1464"/>
      <c r="B270" s="1464"/>
      <c r="C270" s="1464"/>
      <c r="D270" s="1464"/>
      <c r="E270" s="1464"/>
      <c r="F270" s="1464"/>
      <c r="G270" s="1464"/>
      <c r="H270" s="1464"/>
      <c r="I270" s="1464"/>
      <c r="J270" s="1464"/>
      <c r="K270" s="1464"/>
      <c r="L270" s="1464"/>
      <c r="M270" s="1464"/>
      <c r="N270" s="1464"/>
      <c r="O270" s="1464"/>
      <c r="P270" s="1464"/>
      <c r="Q270" s="1464"/>
      <c r="R270" s="1464"/>
      <c r="S270" s="1464"/>
      <c r="T270" s="1464"/>
      <c r="U270" s="1464"/>
      <c r="V270" s="1464"/>
      <c r="W270" s="1464"/>
      <c r="X270" s="1464"/>
      <c r="Y270" s="1464"/>
      <c r="Z270" s="1464"/>
      <c r="AA270" s="1464"/>
      <c r="AB270" s="1464"/>
    </row>
    <row r="271">
      <c r="A271" s="1464"/>
      <c r="B271" s="1464"/>
      <c r="C271" s="1464"/>
      <c r="D271" s="1464"/>
      <c r="E271" s="1464"/>
      <c r="F271" s="1464"/>
      <c r="G271" s="1464"/>
      <c r="H271" s="1464"/>
      <c r="I271" s="1464"/>
      <c r="J271" s="1464"/>
      <c r="K271" s="1464"/>
      <c r="L271" s="1464"/>
      <c r="M271" s="1464"/>
      <c r="N271" s="1464"/>
      <c r="O271" s="1464"/>
      <c r="P271" s="1464"/>
      <c r="Q271" s="1464"/>
      <c r="R271" s="1464"/>
      <c r="S271" s="1464"/>
      <c r="T271" s="1464"/>
      <c r="U271" s="1464"/>
      <c r="V271" s="1464"/>
      <c r="W271" s="1464"/>
      <c r="X271" s="1464"/>
      <c r="Y271" s="1464"/>
      <c r="Z271" s="1464"/>
      <c r="AA271" s="1464"/>
      <c r="AB271" s="1464"/>
    </row>
    <row r="272">
      <c r="A272" s="1464"/>
      <c r="B272" s="1464"/>
      <c r="C272" s="1464"/>
      <c r="D272" s="1464"/>
      <c r="E272" s="1464"/>
      <c r="F272" s="1464"/>
      <c r="G272" s="1464"/>
      <c r="H272" s="1464"/>
      <c r="I272" s="1464"/>
      <c r="J272" s="1464"/>
      <c r="K272" s="1464"/>
      <c r="L272" s="1464"/>
      <c r="M272" s="1464"/>
      <c r="N272" s="1464"/>
      <c r="O272" s="1464"/>
      <c r="P272" s="1464"/>
      <c r="Q272" s="1464"/>
      <c r="R272" s="1464"/>
      <c r="S272" s="1464"/>
      <c r="T272" s="1464"/>
      <c r="U272" s="1464"/>
      <c r="V272" s="1464"/>
      <c r="W272" s="1464"/>
      <c r="X272" s="1464"/>
      <c r="Y272" s="1464"/>
      <c r="Z272" s="1464"/>
      <c r="AA272" s="1464"/>
      <c r="AB272" s="1464"/>
    </row>
    <row r="273">
      <c r="A273" s="1464"/>
      <c r="B273" s="1464"/>
      <c r="C273" s="1464"/>
      <c r="D273" s="1464"/>
      <c r="E273" s="1464"/>
      <c r="F273" s="1464"/>
      <c r="G273" s="1464"/>
      <c r="H273" s="1464"/>
      <c r="I273" s="1464"/>
      <c r="J273" s="1464"/>
      <c r="K273" s="1464"/>
      <c r="L273" s="1464"/>
      <c r="M273" s="1464"/>
      <c r="N273" s="1464"/>
      <c r="O273" s="1464"/>
      <c r="P273" s="1464"/>
      <c r="Q273" s="1464"/>
      <c r="R273" s="1464"/>
      <c r="S273" s="1464"/>
      <c r="T273" s="1464"/>
      <c r="U273" s="1464"/>
      <c r="V273" s="1464"/>
      <c r="W273" s="1464"/>
      <c r="X273" s="1464"/>
      <c r="Y273" s="1464"/>
      <c r="Z273" s="1464"/>
      <c r="AA273" s="1464"/>
      <c r="AB273" s="1464"/>
    </row>
    <row r="274">
      <c r="A274" s="1464"/>
      <c r="B274" s="1464"/>
      <c r="C274" s="1464"/>
      <c r="D274" s="1464"/>
      <c r="E274" s="1464"/>
      <c r="F274" s="1464"/>
      <c r="G274" s="1464"/>
      <c r="H274" s="1464"/>
      <c r="I274" s="1464"/>
      <c r="J274" s="1464"/>
      <c r="K274" s="1464"/>
      <c r="L274" s="1464"/>
      <c r="M274" s="1464"/>
      <c r="N274" s="1464"/>
      <c r="O274" s="1464"/>
      <c r="P274" s="1464"/>
      <c r="Q274" s="1464"/>
      <c r="R274" s="1464"/>
      <c r="S274" s="1464"/>
      <c r="T274" s="1464"/>
      <c r="U274" s="1464"/>
      <c r="V274" s="1464"/>
      <c r="W274" s="1464"/>
      <c r="X274" s="1464"/>
      <c r="Y274" s="1464"/>
      <c r="Z274" s="1464"/>
      <c r="AA274" s="1464"/>
      <c r="AB274" s="1464"/>
    </row>
    <row r="275">
      <c r="A275" s="1464"/>
      <c r="B275" s="1464"/>
      <c r="C275" s="1464"/>
      <c r="D275" s="1464"/>
      <c r="E275" s="1464"/>
      <c r="F275" s="1464"/>
      <c r="G275" s="1464"/>
      <c r="H275" s="1464"/>
      <c r="I275" s="1464"/>
      <c r="J275" s="1464"/>
      <c r="K275" s="1464"/>
      <c r="L275" s="1464"/>
      <c r="M275" s="1464"/>
      <c r="N275" s="1464"/>
      <c r="O275" s="1464"/>
      <c r="P275" s="1464"/>
      <c r="Q275" s="1464"/>
      <c r="R275" s="1464"/>
      <c r="S275" s="1464"/>
      <c r="T275" s="1464"/>
      <c r="U275" s="1464"/>
      <c r="V275" s="1464"/>
      <c r="W275" s="1464"/>
      <c r="X275" s="1464"/>
      <c r="Y275" s="1464"/>
      <c r="Z275" s="1464"/>
      <c r="AA275" s="1464"/>
      <c r="AB275" s="1464"/>
    </row>
    <row r="276">
      <c r="A276" s="1464"/>
      <c r="B276" s="1464"/>
      <c r="C276" s="1464"/>
      <c r="D276" s="1464"/>
      <c r="E276" s="1464"/>
      <c r="F276" s="1464"/>
      <c r="G276" s="1464"/>
      <c r="H276" s="1464"/>
      <c r="I276" s="1464"/>
      <c r="J276" s="1464"/>
      <c r="K276" s="1464"/>
      <c r="L276" s="1464"/>
      <c r="M276" s="1464"/>
      <c r="N276" s="1464"/>
      <c r="O276" s="1464"/>
      <c r="P276" s="1464"/>
      <c r="Q276" s="1464"/>
      <c r="R276" s="1464"/>
      <c r="S276" s="1464"/>
      <c r="T276" s="1464"/>
      <c r="U276" s="1464"/>
      <c r="V276" s="1464"/>
      <c r="W276" s="1464"/>
      <c r="X276" s="1464"/>
      <c r="Y276" s="1464"/>
      <c r="Z276" s="1464"/>
      <c r="AA276" s="1464"/>
      <c r="AB276" s="1464"/>
    </row>
    <row r="277">
      <c r="A277" s="1464"/>
      <c r="B277" s="1464"/>
      <c r="C277" s="1464"/>
      <c r="D277" s="1464"/>
      <c r="E277" s="1464"/>
      <c r="F277" s="1464"/>
      <c r="G277" s="1464"/>
      <c r="H277" s="1464"/>
      <c r="I277" s="1464"/>
      <c r="J277" s="1464"/>
      <c r="K277" s="1464"/>
      <c r="L277" s="1464"/>
      <c r="M277" s="1464"/>
      <c r="N277" s="1464"/>
      <c r="O277" s="1464"/>
      <c r="P277" s="1464"/>
      <c r="Q277" s="1464"/>
      <c r="R277" s="1464"/>
      <c r="S277" s="1464"/>
      <c r="T277" s="1464"/>
      <c r="U277" s="1464"/>
      <c r="V277" s="1464"/>
      <c r="W277" s="1464"/>
      <c r="X277" s="1464"/>
      <c r="Y277" s="1464"/>
      <c r="Z277" s="1464"/>
      <c r="AA277" s="1464"/>
      <c r="AB277" s="1464"/>
    </row>
    <row r="278">
      <c r="A278" s="1464"/>
      <c r="B278" s="1464"/>
      <c r="C278" s="1464"/>
      <c r="D278" s="1464"/>
      <c r="E278" s="1464"/>
      <c r="F278" s="1464"/>
      <c r="G278" s="1464"/>
      <c r="H278" s="1464"/>
      <c r="I278" s="1464"/>
      <c r="J278" s="1464"/>
      <c r="K278" s="1464"/>
      <c r="L278" s="1464"/>
      <c r="M278" s="1464"/>
      <c r="N278" s="1464"/>
      <c r="O278" s="1464"/>
      <c r="P278" s="1464"/>
      <c r="Q278" s="1464"/>
      <c r="R278" s="1464"/>
      <c r="S278" s="1464"/>
      <c r="T278" s="1464"/>
      <c r="U278" s="1464"/>
      <c r="V278" s="1464"/>
      <c r="W278" s="1464"/>
      <c r="X278" s="1464"/>
      <c r="Y278" s="1464"/>
      <c r="Z278" s="1464"/>
      <c r="AA278" s="1464"/>
      <c r="AB278" s="1464"/>
    </row>
    <row r="279">
      <c r="A279" s="1464"/>
      <c r="B279" s="1464"/>
      <c r="C279" s="1464"/>
      <c r="D279" s="1464"/>
      <c r="E279" s="1464"/>
      <c r="F279" s="1464"/>
      <c r="G279" s="1464"/>
      <c r="H279" s="1464"/>
      <c r="I279" s="1464"/>
      <c r="J279" s="1464"/>
      <c r="K279" s="1464"/>
      <c r="L279" s="1464"/>
      <c r="M279" s="1464"/>
      <c r="N279" s="1464"/>
      <c r="O279" s="1464"/>
      <c r="P279" s="1464"/>
      <c r="Q279" s="1464"/>
      <c r="R279" s="1464"/>
      <c r="S279" s="1464"/>
      <c r="T279" s="1464"/>
      <c r="U279" s="1464"/>
      <c r="V279" s="1464"/>
      <c r="W279" s="1464"/>
      <c r="X279" s="1464"/>
      <c r="Y279" s="1464"/>
      <c r="Z279" s="1464"/>
      <c r="AA279" s="1464"/>
      <c r="AB279" s="1464"/>
    </row>
    <row r="280">
      <c r="A280" s="1464"/>
      <c r="B280" s="1464"/>
      <c r="C280" s="1464"/>
      <c r="D280" s="1464"/>
      <c r="E280" s="1464"/>
      <c r="F280" s="1464"/>
      <c r="G280" s="1464"/>
      <c r="H280" s="1464"/>
      <c r="I280" s="1464"/>
      <c r="J280" s="1464"/>
      <c r="K280" s="1464"/>
      <c r="L280" s="1464"/>
      <c r="M280" s="1464"/>
      <c r="N280" s="1464"/>
      <c r="O280" s="1464"/>
      <c r="P280" s="1464"/>
      <c r="Q280" s="1464"/>
      <c r="R280" s="1464"/>
      <c r="S280" s="1464"/>
      <c r="T280" s="1464"/>
      <c r="U280" s="1464"/>
      <c r="V280" s="1464"/>
      <c r="W280" s="1464"/>
      <c r="X280" s="1464"/>
      <c r="Y280" s="1464"/>
      <c r="Z280" s="1464"/>
      <c r="AA280" s="1464"/>
      <c r="AB280" s="1464"/>
    </row>
    <row r="281">
      <c r="A281" s="1464"/>
      <c r="B281" s="1464"/>
      <c r="C281" s="1464"/>
      <c r="D281" s="1464"/>
      <c r="E281" s="1464"/>
      <c r="F281" s="1464"/>
      <c r="G281" s="1464"/>
      <c r="H281" s="1464"/>
      <c r="I281" s="1464"/>
      <c r="J281" s="1464"/>
      <c r="K281" s="1464"/>
      <c r="L281" s="1464"/>
      <c r="M281" s="1464"/>
      <c r="N281" s="1464"/>
      <c r="O281" s="1464"/>
      <c r="P281" s="1464"/>
      <c r="Q281" s="1464"/>
      <c r="R281" s="1464"/>
      <c r="S281" s="1464"/>
      <c r="T281" s="1464"/>
      <c r="U281" s="1464"/>
      <c r="V281" s="1464"/>
      <c r="W281" s="1464"/>
      <c r="X281" s="1464"/>
      <c r="Y281" s="1464"/>
      <c r="Z281" s="1464"/>
      <c r="AA281" s="1464"/>
      <c r="AB281" s="1464"/>
    </row>
    <row r="282">
      <c r="A282" s="1464"/>
      <c r="B282" s="1464"/>
      <c r="C282" s="1464"/>
      <c r="D282" s="1464"/>
      <c r="E282" s="1464"/>
      <c r="F282" s="1464"/>
      <c r="G282" s="1464"/>
      <c r="H282" s="1464"/>
      <c r="I282" s="1464"/>
      <c r="J282" s="1464"/>
      <c r="K282" s="1464"/>
      <c r="L282" s="1464"/>
      <c r="M282" s="1464"/>
      <c r="N282" s="1464"/>
      <c r="O282" s="1464"/>
      <c r="P282" s="1464"/>
      <c r="Q282" s="1464"/>
      <c r="R282" s="1464"/>
      <c r="S282" s="1464"/>
      <c r="T282" s="1464"/>
      <c r="U282" s="1464"/>
      <c r="V282" s="1464"/>
      <c r="W282" s="1464"/>
      <c r="X282" s="1464"/>
      <c r="Y282" s="1464"/>
      <c r="Z282" s="1464"/>
      <c r="AA282" s="1464"/>
      <c r="AB282" s="1464"/>
    </row>
    <row r="283">
      <c r="A283" s="1464"/>
      <c r="B283" s="1464"/>
      <c r="C283" s="1464"/>
      <c r="D283" s="1464"/>
      <c r="E283" s="1464"/>
      <c r="F283" s="1464"/>
      <c r="G283" s="1464"/>
      <c r="H283" s="1464"/>
      <c r="I283" s="1464"/>
      <c r="J283" s="1464"/>
      <c r="K283" s="1464"/>
      <c r="L283" s="1464"/>
      <c r="M283" s="1464"/>
      <c r="N283" s="1464"/>
      <c r="O283" s="1464"/>
      <c r="P283" s="1464"/>
      <c r="Q283" s="1464"/>
      <c r="R283" s="1464"/>
      <c r="S283" s="1464"/>
      <c r="T283" s="1464"/>
      <c r="U283" s="1464"/>
      <c r="V283" s="1464"/>
      <c r="W283" s="1464"/>
      <c r="X283" s="1464"/>
      <c r="Y283" s="1464"/>
      <c r="Z283" s="1464"/>
      <c r="AA283" s="1464"/>
      <c r="AB283" s="1464"/>
    </row>
    <row r="284">
      <c r="A284" s="1464"/>
      <c r="B284" s="1464"/>
      <c r="C284" s="1464"/>
      <c r="D284" s="1464"/>
      <c r="E284" s="1464"/>
      <c r="F284" s="1464"/>
      <c r="G284" s="1464"/>
      <c r="H284" s="1464"/>
      <c r="I284" s="1464"/>
      <c r="J284" s="1464"/>
      <c r="K284" s="1464"/>
      <c r="L284" s="1464"/>
      <c r="M284" s="1464"/>
      <c r="N284" s="1464"/>
      <c r="O284" s="1464"/>
      <c r="P284" s="1464"/>
      <c r="Q284" s="1464"/>
      <c r="R284" s="1464"/>
      <c r="S284" s="1464"/>
      <c r="T284" s="1464"/>
      <c r="U284" s="1464"/>
      <c r="V284" s="1464"/>
      <c r="W284" s="1464"/>
      <c r="X284" s="1464"/>
      <c r="Y284" s="1464"/>
      <c r="Z284" s="1464"/>
      <c r="AA284" s="1464"/>
      <c r="AB284" s="1464"/>
    </row>
    <row r="285">
      <c r="A285" s="1464"/>
      <c r="B285" s="1464"/>
      <c r="C285" s="1464"/>
      <c r="D285" s="1464"/>
      <c r="E285" s="1464"/>
      <c r="F285" s="1464"/>
      <c r="G285" s="1464"/>
      <c r="H285" s="1464"/>
      <c r="I285" s="1464"/>
      <c r="J285" s="1464"/>
      <c r="K285" s="1464"/>
      <c r="L285" s="1464"/>
      <c r="M285" s="1464"/>
      <c r="N285" s="1464"/>
      <c r="O285" s="1464"/>
      <c r="P285" s="1464"/>
      <c r="Q285" s="1464"/>
      <c r="R285" s="1464"/>
      <c r="S285" s="1464"/>
      <c r="T285" s="1464"/>
      <c r="U285" s="1464"/>
      <c r="V285" s="1464"/>
      <c r="W285" s="1464"/>
      <c r="X285" s="1464"/>
      <c r="Y285" s="1464"/>
      <c r="Z285" s="1464"/>
      <c r="AA285" s="1464"/>
      <c r="AB285" s="1464"/>
    </row>
    <row r="286">
      <c r="A286" s="1464"/>
      <c r="B286" s="1464"/>
      <c r="C286" s="1464"/>
      <c r="D286" s="1464"/>
      <c r="E286" s="1464"/>
      <c r="F286" s="1464"/>
      <c r="G286" s="1464"/>
      <c r="H286" s="1464"/>
      <c r="I286" s="1464"/>
      <c r="J286" s="1464"/>
      <c r="K286" s="1464"/>
      <c r="L286" s="1464"/>
      <c r="M286" s="1464"/>
      <c r="N286" s="1464"/>
      <c r="O286" s="1464"/>
      <c r="P286" s="1464"/>
      <c r="Q286" s="1464"/>
      <c r="R286" s="1464"/>
      <c r="S286" s="1464"/>
      <c r="T286" s="1464"/>
      <c r="U286" s="1464"/>
      <c r="V286" s="1464"/>
      <c r="W286" s="1464"/>
      <c r="X286" s="1464"/>
      <c r="Y286" s="1464"/>
      <c r="Z286" s="1464"/>
      <c r="AA286" s="1464"/>
      <c r="AB286" s="1464"/>
    </row>
    <row r="287">
      <c r="A287" s="1464"/>
      <c r="B287" s="1464"/>
      <c r="C287" s="1464"/>
      <c r="D287" s="1464"/>
      <c r="E287" s="1464"/>
      <c r="F287" s="1464"/>
      <c r="G287" s="1464"/>
      <c r="H287" s="1464"/>
      <c r="I287" s="1464"/>
      <c r="J287" s="1464"/>
      <c r="K287" s="1464"/>
      <c r="L287" s="1464"/>
      <c r="M287" s="1464"/>
      <c r="N287" s="1464"/>
      <c r="O287" s="1464"/>
      <c r="P287" s="1464"/>
      <c r="Q287" s="1464"/>
      <c r="R287" s="1464"/>
      <c r="S287" s="1464"/>
      <c r="T287" s="1464"/>
      <c r="U287" s="1464"/>
      <c r="V287" s="1464"/>
      <c r="W287" s="1464"/>
      <c r="X287" s="1464"/>
      <c r="Y287" s="1464"/>
      <c r="Z287" s="1464"/>
      <c r="AA287" s="1464"/>
      <c r="AB287" s="1464"/>
    </row>
    <row r="288">
      <c r="A288" s="1464"/>
      <c r="B288" s="1464"/>
      <c r="C288" s="1464"/>
      <c r="D288" s="1464"/>
      <c r="E288" s="1464"/>
      <c r="F288" s="1464"/>
      <c r="G288" s="1464"/>
      <c r="H288" s="1464"/>
      <c r="I288" s="1464"/>
      <c r="J288" s="1464"/>
      <c r="K288" s="1464"/>
      <c r="L288" s="1464"/>
      <c r="M288" s="1464"/>
      <c r="N288" s="1464"/>
      <c r="O288" s="1464"/>
      <c r="P288" s="1464"/>
      <c r="Q288" s="1464"/>
      <c r="R288" s="1464"/>
      <c r="S288" s="1464"/>
      <c r="T288" s="1464"/>
      <c r="U288" s="1464"/>
      <c r="V288" s="1464"/>
      <c r="W288" s="1464"/>
      <c r="X288" s="1464"/>
      <c r="Y288" s="1464"/>
      <c r="Z288" s="1464"/>
      <c r="AA288" s="1464"/>
      <c r="AB288" s="1464"/>
    </row>
    <row r="289">
      <c r="A289" s="1464"/>
      <c r="B289" s="1464"/>
      <c r="C289" s="1464"/>
      <c r="D289" s="1464"/>
      <c r="E289" s="1464"/>
      <c r="F289" s="1464"/>
      <c r="G289" s="1464"/>
      <c r="H289" s="1464"/>
      <c r="I289" s="1464"/>
      <c r="J289" s="1464"/>
      <c r="K289" s="1464"/>
      <c r="L289" s="1464"/>
      <c r="M289" s="1464"/>
      <c r="N289" s="1464"/>
      <c r="O289" s="1464"/>
      <c r="P289" s="1464"/>
      <c r="Q289" s="1464"/>
      <c r="R289" s="1464"/>
      <c r="S289" s="1464"/>
      <c r="T289" s="1464"/>
      <c r="U289" s="1464"/>
      <c r="V289" s="1464"/>
      <c r="W289" s="1464"/>
      <c r="X289" s="1464"/>
      <c r="Y289" s="1464"/>
      <c r="Z289" s="1464"/>
      <c r="AA289" s="1464"/>
      <c r="AB289" s="1464"/>
    </row>
    <row r="290">
      <c r="A290" s="1464"/>
      <c r="B290" s="1464"/>
      <c r="C290" s="1464"/>
      <c r="D290" s="1464"/>
      <c r="E290" s="1464"/>
      <c r="F290" s="1464"/>
      <c r="G290" s="1464"/>
      <c r="H290" s="1464"/>
      <c r="I290" s="1464"/>
      <c r="J290" s="1464"/>
      <c r="K290" s="1464"/>
      <c r="L290" s="1464"/>
      <c r="M290" s="1464"/>
      <c r="N290" s="1464"/>
      <c r="O290" s="1464"/>
      <c r="P290" s="1464"/>
      <c r="Q290" s="1464"/>
      <c r="R290" s="1464"/>
      <c r="S290" s="1464"/>
      <c r="T290" s="1464"/>
      <c r="U290" s="1464"/>
      <c r="V290" s="1464"/>
      <c r="W290" s="1464"/>
      <c r="X290" s="1464"/>
      <c r="Y290" s="1464"/>
      <c r="Z290" s="1464"/>
      <c r="AA290" s="1464"/>
      <c r="AB290" s="1464"/>
    </row>
    <row r="291">
      <c r="A291" s="1464"/>
      <c r="B291" s="1464"/>
      <c r="C291" s="1464"/>
      <c r="D291" s="1464"/>
      <c r="E291" s="1464"/>
      <c r="F291" s="1464"/>
      <c r="G291" s="1464"/>
      <c r="H291" s="1464"/>
      <c r="I291" s="1464"/>
      <c r="J291" s="1464"/>
      <c r="K291" s="1464"/>
      <c r="L291" s="1464"/>
      <c r="M291" s="1464"/>
      <c r="N291" s="1464"/>
      <c r="O291" s="1464"/>
      <c r="P291" s="1464"/>
      <c r="Q291" s="1464"/>
      <c r="R291" s="1464"/>
      <c r="S291" s="1464"/>
      <c r="T291" s="1464"/>
      <c r="U291" s="1464"/>
      <c r="V291" s="1464"/>
      <c r="W291" s="1464"/>
      <c r="X291" s="1464"/>
      <c r="Y291" s="1464"/>
      <c r="Z291" s="1464"/>
      <c r="AA291" s="1464"/>
      <c r="AB291" s="1464"/>
    </row>
    <row r="292">
      <c r="A292" s="1464"/>
      <c r="B292" s="1464"/>
      <c r="C292" s="1464"/>
      <c r="D292" s="1464"/>
      <c r="E292" s="1464"/>
      <c r="F292" s="1464"/>
      <c r="G292" s="1464"/>
      <c r="H292" s="1464"/>
      <c r="I292" s="1464"/>
      <c r="J292" s="1464"/>
      <c r="K292" s="1464"/>
      <c r="L292" s="1464"/>
      <c r="M292" s="1464"/>
      <c r="N292" s="1464"/>
      <c r="O292" s="1464"/>
      <c r="P292" s="1464"/>
      <c r="Q292" s="1464"/>
      <c r="R292" s="1464"/>
      <c r="S292" s="1464"/>
      <c r="T292" s="1464"/>
      <c r="U292" s="1464"/>
      <c r="V292" s="1464"/>
      <c r="W292" s="1464"/>
      <c r="X292" s="1464"/>
      <c r="Y292" s="1464"/>
      <c r="Z292" s="1464"/>
      <c r="AA292" s="1464"/>
      <c r="AB292" s="1464"/>
    </row>
    <row r="293">
      <c r="A293" s="1464"/>
      <c r="B293" s="1464"/>
      <c r="C293" s="1464"/>
      <c r="D293" s="1464"/>
      <c r="E293" s="1464"/>
      <c r="F293" s="1464"/>
      <c r="G293" s="1464"/>
      <c r="H293" s="1464"/>
      <c r="I293" s="1464"/>
      <c r="J293" s="1464"/>
      <c r="K293" s="1464"/>
      <c r="L293" s="1464"/>
      <c r="M293" s="1464"/>
      <c r="N293" s="1464"/>
      <c r="O293" s="1464"/>
      <c r="P293" s="1464"/>
      <c r="Q293" s="1464"/>
      <c r="R293" s="1464"/>
      <c r="S293" s="1464"/>
      <c r="T293" s="1464"/>
      <c r="U293" s="1464"/>
      <c r="V293" s="1464"/>
      <c r="W293" s="1464"/>
      <c r="X293" s="1464"/>
      <c r="Y293" s="1464"/>
      <c r="Z293" s="1464"/>
      <c r="AA293" s="1464"/>
      <c r="AB293" s="1464"/>
    </row>
    <row r="294">
      <c r="A294" s="1464"/>
      <c r="B294" s="1464"/>
      <c r="C294" s="1464"/>
      <c r="D294" s="1464"/>
      <c r="E294" s="1464"/>
      <c r="F294" s="1464"/>
      <c r="G294" s="1464"/>
      <c r="H294" s="1464"/>
      <c r="I294" s="1464"/>
      <c r="J294" s="1464"/>
      <c r="K294" s="1464"/>
      <c r="L294" s="1464"/>
      <c r="M294" s="1464"/>
      <c r="N294" s="1464"/>
      <c r="O294" s="1464"/>
      <c r="P294" s="1464"/>
      <c r="Q294" s="1464"/>
      <c r="R294" s="1464"/>
      <c r="S294" s="1464"/>
      <c r="T294" s="1464"/>
      <c r="U294" s="1464"/>
      <c r="V294" s="1464"/>
      <c r="W294" s="1464"/>
      <c r="X294" s="1464"/>
      <c r="Y294" s="1464"/>
      <c r="Z294" s="1464"/>
      <c r="AA294" s="1464"/>
      <c r="AB294" s="1464"/>
    </row>
    <row r="295">
      <c r="A295" s="1464"/>
      <c r="B295" s="1464"/>
      <c r="C295" s="1464"/>
      <c r="D295" s="1464"/>
      <c r="E295" s="1464"/>
      <c r="F295" s="1464"/>
      <c r="G295" s="1464"/>
      <c r="H295" s="1464"/>
      <c r="I295" s="1464"/>
      <c r="J295" s="1464"/>
      <c r="K295" s="1464"/>
      <c r="L295" s="1464"/>
      <c r="M295" s="1464"/>
      <c r="N295" s="1464"/>
      <c r="O295" s="1464"/>
      <c r="P295" s="1464"/>
      <c r="Q295" s="1464"/>
      <c r="R295" s="1464"/>
      <c r="S295" s="1464"/>
      <c r="T295" s="1464"/>
      <c r="U295" s="1464"/>
      <c r="V295" s="1464"/>
      <c r="W295" s="1464"/>
      <c r="X295" s="1464"/>
      <c r="Y295" s="1464"/>
      <c r="Z295" s="1464"/>
      <c r="AA295" s="1464"/>
      <c r="AB295" s="1464"/>
    </row>
    <row r="296">
      <c r="A296" s="1464"/>
      <c r="B296" s="1464"/>
      <c r="C296" s="1464"/>
      <c r="D296" s="1464"/>
      <c r="E296" s="1464"/>
      <c r="F296" s="1464"/>
      <c r="G296" s="1464"/>
      <c r="H296" s="1464"/>
      <c r="I296" s="1464"/>
      <c r="J296" s="1464"/>
      <c r="K296" s="1464"/>
      <c r="L296" s="1464"/>
      <c r="M296" s="1464"/>
      <c r="N296" s="1464"/>
      <c r="O296" s="1464"/>
      <c r="P296" s="1464"/>
      <c r="Q296" s="1464"/>
      <c r="R296" s="1464"/>
      <c r="S296" s="1464"/>
      <c r="T296" s="1464"/>
      <c r="U296" s="1464"/>
      <c r="V296" s="1464"/>
      <c r="W296" s="1464"/>
      <c r="X296" s="1464"/>
      <c r="Y296" s="1464"/>
      <c r="Z296" s="1464"/>
      <c r="AA296" s="1464"/>
      <c r="AB296" s="1464"/>
    </row>
    <row r="297">
      <c r="A297" s="1464"/>
      <c r="B297" s="1464"/>
      <c r="C297" s="1464"/>
      <c r="D297" s="1464"/>
      <c r="E297" s="1464"/>
      <c r="F297" s="1464"/>
      <c r="G297" s="1464"/>
      <c r="H297" s="1464"/>
      <c r="I297" s="1464"/>
      <c r="J297" s="1464"/>
      <c r="K297" s="1464"/>
      <c r="L297" s="1464"/>
      <c r="M297" s="1464"/>
      <c r="N297" s="1464"/>
      <c r="O297" s="1464"/>
      <c r="P297" s="1464"/>
      <c r="Q297" s="1464"/>
      <c r="R297" s="1464"/>
      <c r="S297" s="1464"/>
      <c r="T297" s="1464"/>
      <c r="U297" s="1464"/>
      <c r="V297" s="1464"/>
      <c r="W297" s="1464"/>
      <c r="X297" s="1464"/>
      <c r="Y297" s="1464"/>
      <c r="Z297" s="1464"/>
      <c r="AA297" s="1464"/>
      <c r="AB297" s="1464"/>
    </row>
    <row r="298">
      <c r="A298" s="1464"/>
      <c r="B298" s="1464"/>
      <c r="C298" s="1464"/>
      <c r="D298" s="1464"/>
      <c r="E298" s="1464"/>
      <c r="F298" s="1464"/>
      <c r="G298" s="1464"/>
      <c r="H298" s="1464"/>
      <c r="I298" s="1464"/>
      <c r="J298" s="1464"/>
      <c r="K298" s="1464"/>
      <c r="L298" s="1464"/>
      <c r="M298" s="1464"/>
      <c r="N298" s="1464"/>
      <c r="O298" s="1464"/>
      <c r="P298" s="1464"/>
      <c r="Q298" s="1464"/>
      <c r="R298" s="1464"/>
      <c r="S298" s="1464"/>
      <c r="T298" s="1464"/>
      <c r="U298" s="1464"/>
      <c r="V298" s="1464"/>
      <c r="W298" s="1464"/>
      <c r="X298" s="1464"/>
      <c r="Y298" s="1464"/>
      <c r="Z298" s="1464"/>
      <c r="AA298" s="1464"/>
      <c r="AB298" s="1464"/>
    </row>
    <row r="299">
      <c r="A299" s="1464"/>
      <c r="B299" s="1464"/>
      <c r="C299" s="1464"/>
      <c r="D299" s="1464"/>
      <c r="E299" s="1464"/>
      <c r="F299" s="1464"/>
      <c r="G299" s="1464"/>
      <c r="H299" s="1464"/>
      <c r="I299" s="1464"/>
      <c r="J299" s="1464"/>
      <c r="K299" s="1464"/>
      <c r="L299" s="1464"/>
      <c r="M299" s="1464"/>
      <c r="N299" s="1464"/>
      <c r="O299" s="1464"/>
      <c r="P299" s="1464"/>
      <c r="Q299" s="1464"/>
      <c r="R299" s="1464"/>
      <c r="S299" s="1464"/>
      <c r="T299" s="1464"/>
      <c r="U299" s="1464"/>
      <c r="V299" s="1464"/>
      <c r="W299" s="1464"/>
      <c r="X299" s="1464"/>
      <c r="Y299" s="1464"/>
      <c r="Z299" s="1464"/>
      <c r="AA299" s="1464"/>
      <c r="AB299" s="1464"/>
    </row>
    <row r="300">
      <c r="A300" s="1464"/>
      <c r="B300" s="1464"/>
      <c r="C300" s="1464"/>
      <c r="D300" s="1464"/>
      <c r="E300" s="1464"/>
      <c r="F300" s="1464"/>
      <c r="G300" s="1464"/>
      <c r="H300" s="1464"/>
      <c r="I300" s="1464"/>
      <c r="J300" s="1464"/>
      <c r="K300" s="1464"/>
      <c r="L300" s="1464"/>
      <c r="M300" s="1464"/>
      <c r="N300" s="1464"/>
      <c r="O300" s="1464"/>
      <c r="P300" s="1464"/>
      <c r="Q300" s="1464"/>
      <c r="R300" s="1464"/>
      <c r="S300" s="1464"/>
      <c r="T300" s="1464"/>
      <c r="U300" s="1464"/>
      <c r="V300" s="1464"/>
      <c r="W300" s="1464"/>
      <c r="X300" s="1464"/>
      <c r="Y300" s="1464"/>
      <c r="Z300" s="1464"/>
      <c r="AA300" s="1464"/>
      <c r="AB300" s="1464"/>
    </row>
    <row r="301">
      <c r="A301" s="1464"/>
      <c r="B301" s="1464"/>
      <c r="C301" s="1464"/>
      <c r="D301" s="1464"/>
      <c r="E301" s="1464"/>
      <c r="F301" s="1464"/>
      <c r="G301" s="1464"/>
      <c r="H301" s="1464"/>
      <c r="I301" s="1464"/>
      <c r="J301" s="1464"/>
      <c r="K301" s="1464"/>
      <c r="L301" s="1464"/>
      <c r="M301" s="1464"/>
      <c r="N301" s="1464"/>
      <c r="O301" s="1464"/>
      <c r="P301" s="1464"/>
      <c r="Q301" s="1464"/>
      <c r="R301" s="1464"/>
      <c r="S301" s="1464"/>
      <c r="T301" s="1464"/>
      <c r="U301" s="1464"/>
      <c r="V301" s="1464"/>
      <c r="W301" s="1464"/>
      <c r="X301" s="1464"/>
      <c r="Y301" s="1464"/>
      <c r="Z301" s="1464"/>
      <c r="AA301" s="1464"/>
      <c r="AB301" s="1464"/>
    </row>
    <row r="302">
      <c r="A302" s="1464"/>
      <c r="B302" s="1464"/>
      <c r="C302" s="1464"/>
      <c r="D302" s="1464"/>
      <c r="E302" s="1464"/>
      <c r="F302" s="1464"/>
      <c r="G302" s="1464"/>
      <c r="H302" s="1464"/>
      <c r="I302" s="1464"/>
      <c r="J302" s="1464"/>
      <c r="K302" s="1464"/>
      <c r="L302" s="1464"/>
      <c r="M302" s="1464"/>
      <c r="N302" s="1464"/>
      <c r="O302" s="1464"/>
      <c r="P302" s="1464"/>
      <c r="Q302" s="1464"/>
      <c r="R302" s="1464"/>
      <c r="S302" s="1464"/>
      <c r="T302" s="1464"/>
      <c r="U302" s="1464"/>
      <c r="V302" s="1464"/>
      <c r="W302" s="1464"/>
      <c r="X302" s="1464"/>
      <c r="Y302" s="1464"/>
      <c r="Z302" s="1464"/>
      <c r="AA302" s="1464"/>
      <c r="AB302" s="1464"/>
    </row>
    <row r="303">
      <c r="A303" s="1464"/>
      <c r="B303" s="1464"/>
      <c r="C303" s="1464"/>
      <c r="D303" s="1464"/>
      <c r="E303" s="1464"/>
      <c r="F303" s="1464"/>
      <c r="G303" s="1464"/>
      <c r="H303" s="1464"/>
      <c r="I303" s="1464"/>
      <c r="J303" s="1464"/>
      <c r="K303" s="1464"/>
      <c r="L303" s="1464"/>
      <c r="M303" s="1464"/>
      <c r="N303" s="1464"/>
      <c r="O303" s="1464"/>
      <c r="P303" s="1464"/>
      <c r="Q303" s="1464"/>
      <c r="R303" s="1464"/>
      <c r="S303" s="1464"/>
      <c r="T303" s="1464"/>
      <c r="U303" s="1464"/>
      <c r="V303" s="1464"/>
      <c r="W303" s="1464"/>
      <c r="X303" s="1464"/>
      <c r="Y303" s="1464"/>
      <c r="Z303" s="1464"/>
      <c r="AA303" s="1464"/>
      <c r="AB303" s="1464"/>
    </row>
    <row r="304">
      <c r="A304" s="1464"/>
      <c r="B304" s="1464"/>
      <c r="C304" s="1464"/>
      <c r="D304" s="1464"/>
      <c r="E304" s="1464"/>
      <c r="F304" s="1464"/>
      <c r="G304" s="1464"/>
      <c r="H304" s="1464"/>
      <c r="I304" s="1464"/>
      <c r="J304" s="1464"/>
      <c r="K304" s="1464"/>
      <c r="L304" s="1464"/>
      <c r="M304" s="1464"/>
      <c r="N304" s="1464"/>
      <c r="O304" s="1464"/>
      <c r="P304" s="1464"/>
      <c r="Q304" s="1464"/>
      <c r="R304" s="1464"/>
      <c r="S304" s="1464"/>
      <c r="T304" s="1464"/>
      <c r="U304" s="1464"/>
      <c r="V304" s="1464"/>
      <c r="W304" s="1464"/>
      <c r="X304" s="1464"/>
      <c r="Y304" s="1464"/>
      <c r="Z304" s="1464"/>
      <c r="AA304" s="1464"/>
      <c r="AB304" s="1464"/>
    </row>
    <row r="305">
      <c r="A305" s="1464"/>
      <c r="B305" s="1464"/>
      <c r="C305" s="1464"/>
      <c r="D305" s="1464"/>
      <c r="E305" s="1464"/>
      <c r="F305" s="1464"/>
      <c r="G305" s="1464"/>
      <c r="H305" s="1464"/>
      <c r="I305" s="1464"/>
      <c r="J305" s="1464"/>
      <c r="K305" s="1464"/>
      <c r="L305" s="1464"/>
      <c r="M305" s="1464"/>
      <c r="N305" s="1464"/>
      <c r="O305" s="1464"/>
      <c r="P305" s="1464"/>
      <c r="Q305" s="1464"/>
      <c r="R305" s="1464"/>
      <c r="S305" s="1464"/>
      <c r="T305" s="1464"/>
      <c r="U305" s="1464"/>
      <c r="V305" s="1464"/>
      <c r="W305" s="1464"/>
      <c r="X305" s="1464"/>
      <c r="Y305" s="1464"/>
      <c r="Z305" s="1464"/>
      <c r="AA305" s="1464"/>
      <c r="AB305" s="1464"/>
    </row>
    <row r="306">
      <c r="A306" s="1464"/>
      <c r="B306" s="1464"/>
      <c r="C306" s="1464"/>
      <c r="D306" s="1464"/>
      <c r="E306" s="1464"/>
      <c r="F306" s="1464"/>
      <c r="G306" s="1464"/>
      <c r="H306" s="1464"/>
      <c r="I306" s="1464"/>
      <c r="J306" s="1464"/>
      <c r="K306" s="1464"/>
      <c r="L306" s="1464"/>
      <c r="M306" s="1464"/>
      <c r="N306" s="1464"/>
      <c r="O306" s="1464"/>
      <c r="P306" s="1464"/>
      <c r="Q306" s="1464"/>
      <c r="R306" s="1464"/>
      <c r="S306" s="1464"/>
      <c r="T306" s="1464"/>
      <c r="U306" s="1464"/>
      <c r="V306" s="1464"/>
      <c r="W306" s="1464"/>
      <c r="X306" s="1464"/>
      <c r="Y306" s="1464"/>
      <c r="Z306" s="1464"/>
      <c r="AA306" s="1464"/>
      <c r="AB306" s="1464"/>
    </row>
    <row r="307">
      <c r="A307" s="1464"/>
      <c r="B307" s="1464"/>
      <c r="C307" s="1464"/>
      <c r="D307" s="1464"/>
      <c r="E307" s="1464"/>
      <c r="F307" s="1464"/>
      <c r="G307" s="1464"/>
      <c r="H307" s="1464"/>
      <c r="I307" s="1464"/>
      <c r="J307" s="1464"/>
      <c r="K307" s="1464"/>
      <c r="L307" s="1464"/>
      <c r="M307" s="1464"/>
      <c r="N307" s="1464"/>
      <c r="O307" s="1464"/>
      <c r="P307" s="1464"/>
      <c r="Q307" s="1464"/>
      <c r="R307" s="1464"/>
      <c r="S307" s="1464"/>
      <c r="T307" s="1464"/>
      <c r="U307" s="1464"/>
      <c r="V307" s="1464"/>
      <c r="W307" s="1464"/>
      <c r="X307" s="1464"/>
      <c r="Y307" s="1464"/>
      <c r="Z307" s="1464"/>
      <c r="AA307" s="1464"/>
      <c r="AB307" s="1464"/>
    </row>
    <row r="308">
      <c r="A308" s="1464"/>
      <c r="B308" s="1464"/>
      <c r="C308" s="1464"/>
      <c r="D308" s="1464"/>
      <c r="E308" s="1464"/>
      <c r="F308" s="1464"/>
      <c r="G308" s="1464"/>
      <c r="H308" s="1464"/>
      <c r="I308" s="1464"/>
      <c r="J308" s="1464"/>
      <c r="K308" s="1464"/>
      <c r="L308" s="1464"/>
      <c r="M308" s="1464"/>
      <c r="N308" s="1464"/>
      <c r="O308" s="1464"/>
      <c r="P308" s="1464"/>
      <c r="Q308" s="1464"/>
      <c r="R308" s="1464"/>
      <c r="S308" s="1464"/>
      <c r="T308" s="1464"/>
      <c r="U308" s="1464"/>
      <c r="V308" s="1464"/>
      <c r="W308" s="1464"/>
      <c r="X308" s="1464"/>
      <c r="Y308" s="1464"/>
      <c r="Z308" s="1464"/>
      <c r="AA308" s="1464"/>
      <c r="AB308" s="1464"/>
    </row>
    <row r="309">
      <c r="A309" s="1464"/>
      <c r="B309" s="1464"/>
      <c r="C309" s="1464"/>
      <c r="D309" s="1464"/>
      <c r="E309" s="1464"/>
      <c r="F309" s="1464"/>
      <c r="G309" s="1464"/>
      <c r="H309" s="1464"/>
      <c r="I309" s="1464"/>
      <c r="J309" s="1464"/>
      <c r="K309" s="1464"/>
      <c r="L309" s="1464"/>
      <c r="M309" s="1464"/>
      <c r="N309" s="1464"/>
      <c r="O309" s="1464"/>
      <c r="P309" s="1464"/>
      <c r="Q309" s="1464"/>
      <c r="R309" s="1464"/>
      <c r="S309" s="1464"/>
      <c r="T309" s="1464"/>
      <c r="U309" s="1464"/>
      <c r="V309" s="1464"/>
      <c r="W309" s="1464"/>
      <c r="X309" s="1464"/>
      <c r="Y309" s="1464"/>
      <c r="Z309" s="1464"/>
      <c r="AA309" s="1464"/>
      <c r="AB309" s="1464"/>
    </row>
    <row r="310">
      <c r="A310" s="1464"/>
      <c r="B310" s="1464"/>
      <c r="C310" s="1464"/>
      <c r="D310" s="1464"/>
      <c r="E310" s="1464"/>
      <c r="F310" s="1464"/>
      <c r="G310" s="1464"/>
      <c r="H310" s="1464"/>
      <c r="I310" s="1464"/>
      <c r="J310" s="1464"/>
      <c r="K310" s="1464"/>
      <c r="L310" s="1464"/>
      <c r="M310" s="1464"/>
      <c r="N310" s="1464"/>
      <c r="O310" s="1464"/>
      <c r="P310" s="1464"/>
      <c r="Q310" s="1464"/>
      <c r="R310" s="1464"/>
      <c r="S310" s="1464"/>
      <c r="T310" s="1464"/>
      <c r="U310" s="1464"/>
      <c r="V310" s="1464"/>
      <c r="W310" s="1464"/>
      <c r="X310" s="1464"/>
      <c r="Y310" s="1464"/>
      <c r="Z310" s="1464"/>
      <c r="AA310" s="1464"/>
      <c r="AB310" s="1464"/>
    </row>
    <row r="311">
      <c r="A311" s="1464"/>
      <c r="B311" s="1464"/>
      <c r="C311" s="1464"/>
      <c r="D311" s="1464"/>
      <c r="E311" s="1464"/>
      <c r="F311" s="1464"/>
      <c r="G311" s="1464"/>
      <c r="H311" s="1464"/>
      <c r="I311" s="1464"/>
      <c r="J311" s="1464"/>
      <c r="K311" s="1464"/>
      <c r="L311" s="1464"/>
      <c r="M311" s="1464"/>
      <c r="N311" s="1464"/>
      <c r="O311" s="1464"/>
      <c r="P311" s="1464"/>
      <c r="Q311" s="1464"/>
      <c r="R311" s="1464"/>
      <c r="S311" s="1464"/>
      <c r="T311" s="1464"/>
      <c r="U311" s="1464"/>
      <c r="V311" s="1464"/>
      <c r="W311" s="1464"/>
      <c r="X311" s="1464"/>
      <c r="Y311" s="1464"/>
      <c r="Z311" s="1464"/>
      <c r="AA311" s="1464"/>
      <c r="AB311" s="1464"/>
    </row>
    <row r="312">
      <c r="A312" s="1464"/>
      <c r="B312" s="1464"/>
      <c r="C312" s="1464"/>
      <c r="D312" s="1464"/>
      <c r="E312" s="1464"/>
      <c r="F312" s="1464"/>
      <c r="G312" s="1464"/>
      <c r="H312" s="1464"/>
      <c r="I312" s="1464"/>
      <c r="J312" s="1464"/>
      <c r="K312" s="1464"/>
      <c r="L312" s="1464"/>
      <c r="M312" s="1464"/>
      <c r="N312" s="1464"/>
      <c r="O312" s="1464"/>
      <c r="P312" s="1464"/>
      <c r="Q312" s="1464"/>
      <c r="R312" s="1464"/>
      <c r="S312" s="1464"/>
      <c r="T312" s="1464"/>
      <c r="U312" s="1464"/>
      <c r="V312" s="1464"/>
      <c r="W312" s="1464"/>
      <c r="X312" s="1464"/>
      <c r="Y312" s="1464"/>
      <c r="Z312" s="1464"/>
      <c r="AA312" s="1464"/>
      <c r="AB312" s="1464"/>
    </row>
    <row r="313">
      <c r="A313" s="1464"/>
      <c r="B313" s="1464"/>
      <c r="C313" s="1464"/>
      <c r="D313" s="1464"/>
      <c r="E313" s="1464"/>
      <c r="F313" s="1464"/>
      <c r="G313" s="1464"/>
      <c r="H313" s="1464"/>
      <c r="I313" s="1464"/>
      <c r="J313" s="1464"/>
      <c r="K313" s="1464"/>
      <c r="L313" s="1464"/>
      <c r="M313" s="1464"/>
      <c r="N313" s="1464"/>
      <c r="O313" s="1464"/>
      <c r="P313" s="1464"/>
      <c r="Q313" s="1464"/>
      <c r="R313" s="1464"/>
      <c r="S313" s="1464"/>
      <c r="T313" s="1464"/>
      <c r="U313" s="1464"/>
      <c r="V313" s="1464"/>
      <c r="W313" s="1464"/>
      <c r="X313" s="1464"/>
      <c r="Y313" s="1464"/>
      <c r="Z313" s="1464"/>
      <c r="AA313" s="1464"/>
      <c r="AB313" s="1464"/>
    </row>
    <row r="314">
      <c r="A314" s="1464"/>
      <c r="B314" s="1464"/>
      <c r="C314" s="1464"/>
      <c r="D314" s="1464"/>
      <c r="E314" s="1464"/>
      <c r="F314" s="1464"/>
      <c r="G314" s="1464"/>
      <c r="H314" s="1464"/>
      <c r="I314" s="1464"/>
      <c r="J314" s="1464"/>
      <c r="K314" s="1464"/>
      <c r="L314" s="1464"/>
      <c r="M314" s="1464"/>
      <c r="N314" s="1464"/>
      <c r="O314" s="1464"/>
      <c r="P314" s="1464"/>
      <c r="Q314" s="1464"/>
      <c r="R314" s="1464"/>
      <c r="S314" s="1464"/>
      <c r="T314" s="1464"/>
      <c r="U314" s="1464"/>
      <c r="V314" s="1464"/>
      <c r="W314" s="1464"/>
      <c r="X314" s="1464"/>
      <c r="Y314" s="1464"/>
      <c r="Z314" s="1464"/>
      <c r="AA314" s="1464"/>
      <c r="AB314" s="1464"/>
    </row>
    <row r="315">
      <c r="A315" s="1464"/>
      <c r="B315" s="1464"/>
      <c r="C315" s="1464"/>
      <c r="D315" s="1464"/>
      <c r="E315" s="1464"/>
      <c r="F315" s="1464"/>
      <c r="G315" s="1464"/>
      <c r="H315" s="1464"/>
      <c r="I315" s="1464"/>
      <c r="J315" s="1464"/>
      <c r="K315" s="1464"/>
      <c r="L315" s="1464"/>
      <c r="M315" s="1464"/>
      <c r="N315" s="1464"/>
      <c r="O315" s="1464"/>
      <c r="P315" s="1464"/>
      <c r="Q315" s="1464"/>
      <c r="R315" s="1464"/>
      <c r="S315" s="1464"/>
      <c r="T315" s="1464"/>
      <c r="U315" s="1464"/>
      <c r="V315" s="1464"/>
      <c r="W315" s="1464"/>
      <c r="X315" s="1464"/>
      <c r="Y315" s="1464"/>
      <c r="Z315" s="1464"/>
      <c r="AA315" s="1464"/>
      <c r="AB315" s="1464"/>
    </row>
    <row r="316">
      <c r="A316" s="1464"/>
      <c r="B316" s="1464"/>
      <c r="C316" s="1464"/>
      <c r="D316" s="1464"/>
      <c r="E316" s="1464"/>
      <c r="F316" s="1464"/>
      <c r="G316" s="1464"/>
      <c r="H316" s="1464"/>
      <c r="I316" s="1464"/>
      <c r="J316" s="1464"/>
      <c r="K316" s="1464"/>
      <c r="L316" s="1464"/>
      <c r="M316" s="1464"/>
      <c r="N316" s="1464"/>
      <c r="O316" s="1464"/>
      <c r="P316" s="1464"/>
      <c r="Q316" s="1464"/>
      <c r="R316" s="1464"/>
      <c r="S316" s="1464"/>
      <c r="T316" s="1464"/>
      <c r="U316" s="1464"/>
      <c r="V316" s="1464"/>
      <c r="W316" s="1464"/>
      <c r="X316" s="1464"/>
      <c r="Y316" s="1464"/>
      <c r="Z316" s="1464"/>
      <c r="AA316" s="1464"/>
      <c r="AB316" s="1464"/>
    </row>
    <row r="317">
      <c r="A317" s="1464"/>
      <c r="B317" s="1464"/>
      <c r="C317" s="1464"/>
      <c r="D317" s="1464"/>
      <c r="E317" s="1464"/>
      <c r="F317" s="1464"/>
      <c r="G317" s="1464"/>
      <c r="H317" s="1464"/>
      <c r="I317" s="1464"/>
      <c r="J317" s="1464"/>
      <c r="K317" s="1464"/>
      <c r="L317" s="1464"/>
      <c r="M317" s="1464"/>
      <c r="N317" s="1464"/>
      <c r="O317" s="1464"/>
      <c r="P317" s="1464"/>
      <c r="Q317" s="1464"/>
      <c r="R317" s="1464"/>
      <c r="S317" s="1464"/>
      <c r="T317" s="1464"/>
      <c r="U317" s="1464"/>
      <c r="V317" s="1464"/>
      <c r="W317" s="1464"/>
      <c r="X317" s="1464"/>
      <c r="Y317" s="1464"/>
      <c r="Z317" s="1464"/>
      <c r="AA317" s="1464"/>
      <c r="AB317" s="1464"/>
    </row>
    <row r="318">
      <c r="A318" s="1464"/>
      <c r="B318" s="1464"/>
      <c r="C318" s="1464"/>
      <c r="D318" s="1464"/>
      <c r="E318" s="1464"/>
      <c r="F318" s="1464"/>
      <c r="G318" s="1464"/>
      <c r="H318" s="1464"/>
      <c r="I318" s="1464"/>
      <c r="J318" s="1464"/>
      <c r="K318" s="1464"/>
      <c r="L318" s="1464"/>
      <c r="M318" s="1464"/>
      <c r="N318" s="1464"/>
      <c r="O318" s="1464"/>
      <c r="P318" s="1464"/>
      <c r="Q318" s="1464"/>
      <c r="R318" s="1464"/>
      <c r="S318" s="1464"/>
      <c r="T318" s="1464"/>
      <c r="U318" s="1464"/>
      <c r="V318" s="1464"/>
      <c r="W318" s="1464"/>
      <c r="X318" s="1464"/>
      <c r="Y318" s="1464"/>
      <c r="Z318" s="1464"/>
      <c r="AA318" s="1464"/>
      <c r="AB318" s="1464"/>
    </row>
    <row r="319">
      <c r="A319" s="1464"/>
      <c r="B319" s="1464"/>
      <c r="C319" s="1464"/>
      <c r="D319" s="1464"/>
      <c r="E319" s="1464"/>
      <c r="F319" s="1464"/>
      <c r="G319" s="1464"/>
      <c r="H319" s="1464"/>
      <c r="I319" s="1464"/>
      <c r="J319" s="1464"/>
      <c r="K319" s="1464"/>
      <c r="L319" s="1464"/>
      <c r="M319" s="1464"/>
      <c r="N319" s="1464"/>
      <c r="O319" s="1464"/>
      <c r="P319" s="1464"/>
      <c r="Q319" s="1464"/>
      <c r="R319" s="1464"/>
      <c r="S319" s="1464"/>
      <c r="T319" s="1464"/>
      <c r="U319" s="1464"/>
      <c r="V319" s="1464"/>
      <c r="W319" s="1464"/>
      <c r="X319" s="1464"/>
      <c r="Y319" s="1464"/>
      <c r="Z319" s="1464"/>
      <c r="AA319" s="1464"/>
      <c r="AB319" s="1464"/>
    </row>
    <row r="320">
      <c r="A320" s="1464"/>
      <c r="B320" s="1464"/>
      <c r="C320" s="1464"/>
      <c r="D320" s="1464"/>
      <c r="E320" s="1464"/>
      <c r="F320" s="1464"/>
      <c r="G320" s="1464"/>
      <c r="H320" s="1464"/>
      <c r="I320" s="1464"/>
      <c r="J320" s="1464"/>
      <c r="K320" s="1464"/>
      <c r="L320" s="1464"/>
      <c r="M320" s="1464"/>
      <c r="N320" s="1464"/>
      <c r="O320" s="1464"/>
      <c r="P320" s="1464"/>
      <c r="Q320" s="1464"/>
      <c r="R320" s="1464"/>
      <c r="S320" s="1464"/>
      <c r="T320" s="1464"/>
      <c r="U320" s="1464"/>
      <c r="V320" s="1464"/>
      <c r="W320" s="1464"/>
      <c r="X320" s="1464"/>
      <c r="Y320" s="1464"/>
      <c r="Z320" s="1464"/>
      <c r="AA320" s="1464"/>
      <c r="AB320" s="1464"/>
    </row>
    <row r="321">
      <c r="A321" s="1464"/>
      <c r="B321" s="1464"/>
      <c r="C321" s="1464"/>
      <c r="D321" s="1464"/>
      <c r="E321" s="1464"/>
      <c r="F321" s="1464"/>
      <c r="G321" s="1464"/>
      <c r="H321" s="1464"/>
      <c r="I321" s="1464"/>
      <c r="J321" s="1464"/>
      <c r="K321" s="1464"/>
      <c r="L321" s="1464"/>
      <c r="M321" s="1464"/>
      <c r="N321" s="1464"/>
      <c r="O321" s="1464"/>
      <c r="P321" s="1464"/>
      <c r="Q321" s="1464"/>
      <c r="R321" s="1464"/>
      <c r="S321" s="1464"/>
      <c r="T321" s="1464"/>
      <c r="U321" s="1464"/>
      <c r="V321" s="1464"/>
      <c r="W321" s="1464"/>
      <c r="X321" s="1464"/>
      <c r="Y321" s="1464"/>
      <c r="Z321" s="1464"/>
      <c r="AA321" s="1464"/>
      <c r="AB321" s="1464"/>
    </row>
    <row r="322">
      <c r="A322" s="1464"/>
      <c r="B322" s="1464"/>
      <c r="C322" s="1464"/>
      <c r="D322" s="1464"/>
      <c r="E322" s="1464"/>
      <c r="F322" s="1464"/>
      <c r="G322" s="1464"/>
      <c r="H322" s="1464"/>
      <c r="I322" s="1464"/>
      <c r="J322" s="1464"/>
      <c r="K322" s="1464"/>
      <c r="L322" s="1464"/>
      <c r="M322" s="1464"/>
      <c r="N322" s="1464"/>
      <c r="O322" s="1464"/>
      <c r="P322" s="1464"/>
      <c r="Q322" s="1464"/>
      <c r="R322" s="1464"/>
      <c r="S322" s="1464"/>
      <c r="T322" s="1464"/>
      <c r="U322" s="1464"/>
      <c r="V322" s="1464"/>
      <c r="W322" s="1464"/>
      <c r="X322" s="1464"/>
      <c r="Y322" s="1464"/>
      <c r="Z322" s="1464"/>
      <c r="AA322" s="1464"/>
      <c r="AB322" s="1464"/>
    </row>
    <row r="323">
      <c r="A323" s="1464"/>
      <c r="B323" s="1464"/>
      <c r="C323" s="1464"/>
      <c r="D323" s="1464"/>
      <c r="E323" s="1464"/>
      <c r="F323" s="1464"/>
      <c r="G323" s="1464"/>
      <c r="H323" s="1464"/>
      <c r="I323" s="1464"/>
      <c r="J323" s="1464"/>
      <c r="K323" s="1464"/>
      <c r="L323" s="1464"/>
      <c r="M323" s="1464"/>
      <c r="N323" s="1464"/>
      <c r="O323" s="1464"/>
      <c r="P323" s="1464"/>
      <c r="Q323" s="1464"/>
      <c r="R323" s="1464"/>
      <c r="S323" s="1464"/>
      <c r="T323" s="1464"/>
      <c r="U323" s="1464"/>
      <c r="V323" s="1464"/>
      <c r="W323" s="1464"/>
      <c r="X323" s="1464"/>
      <c r="Y323" s="1464"/>
      <c r="Z323" s="1464"/>
      <c r="AA323" s="1464"/>
      <c r="AB323" s="1464"/>
    </row>
    <row r="324">
      <c r="A324" s="1464"/>
      <c r="B324" s="1464"/>
      <c r="C324" s="1464"/>
      <c r="D324" s="1464"/>
      <c r="E324" s="1464"/>
      <c r="F324" s="1464"/>
      <c r="G324" s="1464"/>
      <c r="H324" s="1464"/>
      <c r="I324" s="1464"/>
      <c r="J324" s="1464"/>
      <c r="K324" s="1464"/>
      <c r="L324" s="1464"/>
      <c r="M324" s="1464"/>
      <c r="N324" s="1464"/>
      <c r="O324" s="1464"/>
      <c r="P324" s="1464"/>
      <c r="Q324" s="1464"/>
      <c r="R324" s="1464"/>
      <c r="S324" s="1464"/>
      <c r="T324" s="1464"/>
      <c r="U324" s="1464"/>
      <c r="V324" s="1464"/>
      <c r="W324" s="1464"/>
      <c r="X324" s="1464"/>
      <c r="Y324" s="1464"/>
      <c r="Z324" s="1464"/>
      <c r="AA324" s="1464"/>
      <c r="AB324" s="1464"/>
    </row>
    <row r="325">
      <c r="A325" s="1464"/>
      <c r="B325" s="1464"/>
      <c r="C325" s="1464"/>
      <c r="D325" s="1464"/>
      <c r="E325" s="1464"/>
      <c r="F325" s="1464"/>
      <c r="G325" s="1464"/>
      <c r="H325" s="1464"/>
      <c r="I325" s="1464"/>
      <c r="J325" s="1464"/>
      <c r="K325" s="1464"/>
      <c r="L325" s="1464"/>
      <c r="M325" s="1464"/>
      <c r="N325" s="1464"/>
      <c r="O325" s="1464"/>
      <c r="P325" s="1464"/>
      <c r="Q325" s="1464"/>
      <c r="R325" s="1464"/>
      <c r="S325" s="1464"/>
      <c r="T325" s="1464"/>
      <c r="U325" s="1464"/>
      <c r="V325" s="1464"/>
      <c r="W325" s="1464"/>
      <c r="X325" s="1464"/>
      <c r="Y325" s="1464"/>
      <c r="Z325" s="1464"/>
      <c r="AA325" s="1464"/>
      <c r="AB325" s="1464"/>
    </row>
    <row r="326">
      <c r="A326" s="1464"/>
      <c r="B326" s="1464"/>
      <c r="C326" s="1464"/>
      <c r="D326" s="1464"/>
      <c r="E326" s="1464"/>
      <c r="F326" s="1464"/>
      <c r="G326" s="1464"/>
      <c r="H326" s="1464"/>
      <c r="I326" s="1464"/>
      <c r="J326" s="1464"/>
      <c r="K326" s="1464"/>
      <c r="L326" s="1464"/>
      <c r="M326" s="1464"/>
      <c r="N326" s="1464"/>
      <c r="O326" s="1464"/>
      <c r="P326" s="1464"/>
      <c r="Q326" s="1464"/>
      <c r="R326" s="1464"/>
      <c r="S326" s="1464"/>
      <c r="T326" s="1464"/>
      <c r="U326" s="1464"/>
      <c r="V326" s="1464"/>
      <c r="W326" s="1464"/>
      <c r="X326" s="1464"/>
      <c r="Y326" s="1464"/>
      <c r="Z326" s="1464"/>
      <c r="AA326" s="1464"/>
      <c r="AB326" s="1464"/>
    </row>
    <row r="327">
      <c r="A327" s="1464"/>
      <c r="B327" s="1464"/>
      <c r="C327" s="1464"/>
      <c r="D327" s="1464"/>
      <c r="E327" s="1464"/>
      <c r="F327" s="1464"/>
      <c r="G327" s="1464"/>
      <c r="H327" s="1464"/>
      <c r="I327" s="1464"/>
      <c r="J327" s="1464"/>
      <c r="K327" s="1464"/>
      <c r="L327" s="1464"/>
      <c r="M327" s="1464"/>
      <c r="N327" s="1464"/>
      <c r="O327" s="1464"/>
      <c r="P327" s="1464"/>
      <c r="Q327" s="1464"/>
      <c r="R327" s="1464"/>
      <c r="S327" s="1464"/>
      <c r="T327" s="1464"/>
      <c r="U327" s="1464"/>
      <c r="V327" s="1464"/>
      <c r="W327" s="1464"/>
      <c r="X327" s="1464"/>
      <c r="Y327" s="1464"/>
      <c r="Z327" s="1464"/>
      <c r="AA327" s="1464"/>
      <c r="AB327" s="1464"/>
    </row>
    <row r="328">
      <c r="A328" s="1464"/>
      <c r="B328" s="1464"/>
      <c r="C328" s="1464"/>
      <c r="D328" s="1464"/>
      <c r="E328" s="1464"/>
      <c r="F328" s="1464"/>
      <c r="G328" s="1464"/>
      <c r="H328" s="1464"/>
      <c r="I328" s="1464"/>
      <c r="J328" s="1464"/>
      <c r="K328" s="1464"/>
      <c r="L328" s="1464"/>
      <c r="M328" s="1464"/>
      <c r="N328" s="1464"/>
      <c r="O328" s="1464"/>
      <c r="P328" s="1464"/>
      <c r="Q328" s="1464"/>
      <c r="R328" s="1464"/>
      <c r="S328" s="1464"/>
      <c r="T328" s="1464"/>
      <c r="U328" s="1464"/>
      <c r="V328" s="1464"/>
      <c r="W328" s="1464"/>
      <c r="X328" s="1464"/>
      <c r="Y328" s="1464"/>
      <c r="Z328" s="1464"/>
      <c r="AA328" s="1464"/>
      <c r="AB328" s="1464"/>
    </row>
    <row r="329">
      <c r="A329" s="1464"/>
      <c r="B329" s="1464"/>
      <c r="C329" s="1464"/>
      <c r="D329" s="1464"/>
      <c r="E329" s="1464"/>
      <c r="F329" s="1464"/>
      <c r="G329" s="1464"/>
      <c r="H329" s="1464"/>
      <c r="I329" s="1464"/>
      <c r="J329" s="1464"/>
      <c r="K329" s="1464"/>
      <c r="L329" s="1464"/>
      <c r="M329" s="1464"/>
      <c r="N329" s="1464"/>
      <c r="O329" s="1464"/>
      <c r="P329" s="1464"/>
      <c r="Q329" s="1464"/>
      <c r="R329" s="1464"/>
      <c r="S329" s="1464"/>
      <c r="T329" s="1464"/>
      <c r="U329" s="1464"/>
      <c r="V329" s="1464"/>
      <c r="W329" s="1464"/>
      <c r="X329" s="1464"/>
      <c r="Y329" s="1464"/>
      <c r="Z329" s="1464"/>
      <c r="AA329" s="1464"/>
      <c r="AB329" s="1464"/>
    </row>
    <row r="330">
      <c r="A330" s="1464"/>
      <c r="B330" s="1464"/>
      <c r="C330" s="1464"/>
      <c r="D330" s="1464"/>
      <c r="E330" s="1464"/>
      <c r="F330" s="1464"/>
      <c r="G330" s="1464"/>
      <c r="H330" s="1464"/>
      <c r="I330" s="1464"/>
      <c r="J330" s="1464"/>
      <c r="K330" s="1464"/>
      <c r="L330" s="1464"/>
      <c r="M330" s="1464"/>
      <c r="N330" s="1464"/>
      <c r="O330" s="1464"/>
      <c r="P330" s="1464"/>
      <c r="Q330" s="1464"/>
      <c r="R330" s="1464"/>
      <c r="S330" s="1464"/>
      <c r="T330" s="1464"/>
      <c r="U330" s="1464"/>
      <c r="V330" s="1464"/>
      <c r="W330" s="1464"/>
      <c r="X330" s="1464"/>
      <c r="Y330" s="1464"/>
      <c r="Z330" s="1464"/>
      <c r="AA330" s="1464"/>
      <c r="AB330" s="1464"/>
    </row>
    <row r="331">
      <c r="A331" s="1464"/>
      <c r="B331" s="1464"/>
      <c r="C331" s="1464"/>
      <c r="D331" s="1464"/>
      <c r="E331" s="1464"/>
      <c r="F331" s="1464"/>
      <c r="G331" s="1464"/>
      <c r="H331" s="1464"/>
      <c r="I331" s="1464"/>
      <c r="J331" s="1464"/>
      <c r="K331" s="1464"/>
      <c r="L331" s="1464"/>
      <c r="M331" s="1464"/>
      <c r="N331" s="1464"/>
      <c r="O331" s="1464"/>
      <c r="P331" s="1464"/>
      <c r="Q331" s="1464"/>
      <c r="R331" s="1464"/>
      <c r="S331" s="1464"/>
      <c r="T331" s="1464"/>
      <c r="U331" s="1464"/>
      <c r="V331" s="1464"/>
      <c r="W331" s="1464"/>
      <c r="X331" s="1464"/>
      <c r="Y331" s="1464"/>
      <c r="Z331" s="1464"/>
      <c r="AA331" s="1464"/>
      <c r="AB331" s="1464"/>
    </row>
    <row r="332">
      <c r="A332" s="1464"/>
      <c r="B332" s="1464"/>
      <c r="C332" s="1464"/>
      <c r="D332" s="1464"/>
      <c r="E332" s="1464"/>
      <c r="F332" s="1464"/>
      <c r="G332" s="1464"/>
      <c r="H332" s="1464"/>
      <c r="I332" s="1464"/>
      <c r="J332" s="1464"/>
      <c r="K332" s="1464"/>
      <c r="L332" s="1464"/>
      <c r="M332" s="1464"/>
      <c r="N332" s="1464"/>
      <c r="O332" s="1464"/>
      <c r="P332" s="1464"/>
      <c r="Q332" s="1464"/>
      <c r="R332" s="1464"/>
      <c r="S332" s="1464"/>
      <c r="T332" s="1464"/>
      <c r="U332" s="1464"/>
      <c r="V332" s="1464"/>
      <c r="W332" s="1464"/>
      <c r="X332" s="1464"/>
      <c r="Y332" s="1464"/>
      <c r="Z332" s="1464"/>
      <c r="AA332" s="1464"/>
      <c r="AB332" s="1464"/>
    </row>
    <row r="333">
      <c r="A333" s="1464"/>
      <c r="B333" s="1464"/>
      <c r="C333" s="1464"/>
      <c r="D333" s="1464"/>
      <c r="E333" s="1464"/>
      <c r="F333" s="1464"/>
      <c r="G333" s="1464"/>
      <c r="H333" s="1464"/>
      <c r="I333" s="1464"/>
      <c r="J333" s="1464"/>
      <c r="K333" s="1464"/>
      <c r="L333" s="1464"/>
      <c r="M333" s="1464"/>
      <c r="N333" s="1464"/>
      <c r="O333" s="1464"/>
      <c r="P333" s="1464"/>
      <c r="Q333" s="1464"/>
      <c r="R333" s="1464"/>
      <c r="S333" s="1464"/>
      <c r="T333" s="1464"/>
      <c r="U333" s="1464"/>
      <c r="V333" s="1464"/>
      <c r="W333" s="1464"/>
      <c r="X333" s="1464"/>
      <c r="Y333" s="1464"/>
      <c r="Z333" s="1464"/>
      <c r="AA333" s="1464"/>
      <c r="AB333" s="1464"/>
    </row>
    <row r="334">
      <c r="A334" s="1464"/>
      <c r="B334" s="1464"/>
      <c r="C334" s="1464"/>
      <c r="D334" s="1464"/>
      <c r="E334" s="1464"/>
      <c r="F334" s="1464"/>
      <c r="G334" s="1464"/>
      <c r="H334" s="1464"/>
      <c r="I334" s="1464"/>
      <c r="J334" s="1464"/>
      <c r="K334" s="1464"/>
      <c r="L334" s="1464"/>
      <c r="M334" s="1464"/>
      <c r="N334" s="1464"/>
      <c r="O334" s="1464"/>
      <c r="P334" s="1464"/>
      <c r="Q334" s="1464"/>
      <c r="R334" s="1464"/>
      <c r="S334" s="1464"/>
      <c r="T334" s="1464"/>
      <c r="U334" s="1464"/>
      <c r="V334" s="1464"/>
      <c r="W334" s="1464"/>
      <c r="X334" s="1464"/>
      <c r="Y334" s="1464"/>
      <c r="Z334" s="1464"/>
      <c r="AA334" s="1464"/>
      <c r="AB334" s="1464"/>
    </row>
    <row r="335">
      <c r="A335" s="1464"/>
      <c r="B335" s="1464"/>
      <c r="C335" s="1464"/>
      <c r="D335" s="1464"/>
      <c r="E335" s="1464"/>
      <c r="F335" s="1464"/>
      <c r="G335" s="1464"/>
      <c r="H335" s="1464"/>
      <c r="I335" s="1464"/>
      <c r="J335" s="1464"/>
      <c r="K335" s="1464"/>
      <c r="L335" s="1464"/>
      <c r="M335" s="1464"/>
      <c r="N335" s="1464"/>
      <c r="O335" s="1464"/>
      <c r="P335" s="1464"/>
      <c r="Q335" s="1464"/>
      <c r="R335" s="1464"/>
      <c r="S335" s="1464"/>
      <c r="T335" s="1464"/>
      <c r="U335" s="1464"/>
      <c r="V335" s="1464"/>
      <c r="W335" s="1464"/>
      <c r="X335" s="1464"/>
      <c r="Y335" s="1464"/>
      <c r="Z335" s="1464"/>
      <c r="AA335" s="1464"/>
      <c r="AB335" s="1464"/>
    </row>
    <row r="336">
      <c r="A336" s="1464"/>
      <c r="B336" s="1464"/>
      <c r="C336" s="1464"/>
      <c r="D336" s="1464"/>
      <c r="E336" s="1464"/>
      <c r="F336" s="1464"/>
      <c r="G336" s="1464"/>
      <c r="H336" s="1464"/>
      <c r="I336" s="1464"/>
      <c r="J336" s="1464"/>
      <c r="K336" s="1464"/>
      <c r="L336" s="1464"/>
      <c r="M336" s="1464"/>
      <c r="N336" s="1464"/>
      <c r="O336" s="1464"/>
      <c r="P336" s="1464"/>
      <c r="Q336" s="1464"/>
      <c r="R336" s="1464"/>
      <c r="S336" s="1464"/>
      <c r="T336" s="1464"/>
      <c r="U336" s="1464"/>
      <c r="V336" s="1464"/>
      <c r="W336" s="1464"/>
      <c r="X336" s="1464"/>
      <c r="Y336" s="1464"/>
      <c r="Z336" s="1464"/>
      <c r="AA336" s="1464"/>
      <c r="AB336" s="1464"/>
    </row>
    <row r="337">
      <c r="A337" s="1464"/>
      <c r="B337" s="1464"/>
      <c r="C337" s="1464"/>
      <c r="D337" s="1464"/>
      <c r="E337" s="1464"/>
      <c r="F337" s="1464"/>
      <c r="G337" s="1464"/>
      <c r="H337" s="1464"/>
      <c r="I337" s="1464"/>
      <c r="J337" s="1464"/>
      <c r="K337" s="1464"/>
      <c r="L337" s="1464"/>
      <c r="M337" s="1464"/>
      <c r="N337" s="1464"/>
      <c r="O337" s="1464"/>
      <c r="P337" s="1464"/>
      <c r="Q337" s="1464"/>
      <c r="R337" s="1464"/>
      <c r="S337" s="1464"/>
      <c r="T337" s="1464"/>
      <c r="U337" s="1464"/>
      <c r="V337" s="1464"/>
      <c r="W337" s="1464"/>
      <c r="X337" s="1464"/>
      <c r="Y337" s="1464"/>
      <c r="Z337" s="1464"/>
      <c r="AA337" s="1464"/>
      <c r="AB337" s="1464"/>
    </row>
    <row r="338">
      <c r="A338" s="1464"/>
      <c r="B338" s="1464"/>
      <c r="C338" s="1464"/>
      <c r="D338" s="1464"/>
      <c r="E338" s="1464"/>
      <c r="F338" s="1464"/>
      <c r="G338" s="1464"/>
      <c r="H338" s="1464"/>
      <c r="I338" s="1464"/>
      <c r="J338" s="1464"/>
      <c r="K338" s="1464"/>
      <c r="L338" s="1464"/>
      <c r="M338" s="1464"/>
      <c r="N338" s="1464"/>
      <c r="O338" s="1464"/>
      <c r="P338" s="1464"/>
      <c r="Q338" s="1464"/>
      <c r="R338" s="1464"/>
      <c r="S338" s="1464"/>
      <c r="T338" s="1464"/>
      <c r="U338" s="1464"/>
      <c r="V338" s="1464"/>
      <c r="W338" s="1464"/>
      <c r="X338" s="1464"/>
      <c r="Y338" s="1464"/>
      <c r="Z338" s="1464"/>
      <c r="AA338" s="1464"/>
      <c r="AB338" s="1464"/>
    </row>
    <row r="339">
      <c r="A339" s="1464"/>
      <c r="B339" s="1464"/>
      <c r="C339" s="1464"/>
      <c r="D339" s="1464"/>
      <c r="E339" s="1464"/>
      <c r="F339" s="1464"/>
      <c r="G339" s="1464"/>
      <c r="H339" s="1464"/>
      <c r="I339" s="1464"/>
      <c r="J339" s="1464"/>
      <c r="K339" s="1464"/>
      <c r="L339" s="1464"/>
      <c r="M339" s="1464"/>
      <c r="N339" s="1464"/>
      <c r="O339" s="1464"/>
      <c r="P339" s="1464"/>
      <c r="Q339" s="1464"/>
      <c r="R339" s="1464"/>
      <c r="S339" s="1464"/>
      <c r="T339" s="1464"/>
      <c r="U339" s="1464"/>
      <c r="V339" s="1464"/>
      <c r="W339" s="1464"/>
      <c r="X339" s="1464"/>
      <c r="Y339" s="1464"/>
      <c r="Z339" s="1464"/>
      <c r="AA339" s="1464"/>
      <c r="AB339" s="1464"/>
    </row>
    <row r="340">
      <c r="A340" s="1464"/>
      <c r="B340" s="1464"/>
      <c r="C340" s="1464"/>
      <c r="D340" s="1464"/>
      <c r="E340" s="1464"/>
      <c r="F340" s="1464"/>
      <c r="G340" s="1464"/>
      <c r="H340" s="1464"/>
      <c r="I340" s="1464"/>
      <c r="J340" s="1464"/>
      <c r="K340" s="1464"/>
      <c r="L340" s="1464"/>
      <c r="M340" s="1464"/>
      <c r="N340" s="1464"/>
      <c r="O340" s="1464"/>
      <c r="P340" s="1464"/>
      <c r="Q340" s="1464"/>
      <c r="R340" s="1464"/>
      <c r="S340" s="1464"/>
      <c r="T340" s="1464"/>
      <c r="U340" s="1464"/>
      <c r="V340" s="1464"/>
      <c r="W340" s="1464"/>
      <c r="X340" s="1464"/>
      <c r="Y340" s="1464"/>
      <c r="Z340" s="1464"/>
      <c r="AA340" s="1464"/>
      <c r="AB340" s="1464"/>
    </row>
    <row r="341">
      <c r="A341" s="1464"/>
      <c r="B341" s="1464"/>
      <c r="C341" s="1464"/>
      <c r="D341" s="1464"/>
      <c r="E341" s="1464"/>
      <c r="F341" s="1464"/>
      <c r="G341" s="1464"/>
      <c r="H341" s="1464"/>
      <c r="I341" s="1464"/>
      <c r="J341" s="1464"/>
      <c r="K341" s="1464"/>
      <c r="L341" s="1464"/>
      <c r="M341" s="1464"/>
      <c r="N341" s="1464"/>
      <c r="O341" s="1464"/>
      <c r="P341" s="1464"/>
      <c r="Q341" s="1464"/>
      <c r="R341" s="1464"/>
      <c r="S341" s="1464"/>
      <c r="T341" s="1464"/>
      <c r="U341" s="1464"/>
      <c r="V341" s="1464"/>
      <c r="W341" s="1464"/>
      <c r="X341" s="1464"/>
      <c r="Y341" s="1464"/>
      <c r="Z341" s="1464"/>
      <c r="AA341" s="1464"/>
      <c r="AB341" s="1464"/>
    </row>
    <row r="342">
      <c r="A342" s="1464"/>
      <c r="B342" s="1464"/>
      <c r="C342" s="1464"/>
      <c r="D342" s="1464"/>
      <c r="E342" s="1464"/>
      <c r="F342" s="1464"/>
      <c r="G342" s="1464"/>
      <c r="H342" s="1464"/>
      <c r="I342" s="1464"/>
      <c r="J342" s="1464"/>
      <c r="K342" s="1464"/>
      <c r="L342" s="1464"/>
      <c r="M342" s="1464"/>
      <c r="N342" s="1464"/>
      <c r="O342" s="1464"/>
      <c r="P342" s="1464"/>
      <c r="Q342" s="1464"/>
      <c r="R342" s="1464"/>
      <c r="S342" s="1464"/>
      <c r="T342" s="1464"/>
      <c r="U342" s="1464"/>
      <c r="V342" s="1464"/>
      <c r="W342" s="1464"/>
      <c r="X342" s="1464"/>
      <c r="Y342" s="1464"/>
      <c r="Z342" s="1464"/>
      <c r="AA342" s="1464"/>
      <c r="AB342" s="1464"/>
    </row>
    <row r="343">
      <c r="A343" s="1464"/>
      <c r="B343" s="1464"/>
      <c r="C343" s="1464"/>
      <c r="D343" s="1464"/>
      <c r="E343" s="1464"/>
      <c r="F343" s="1464"/>
      <c r="G343" s="1464"/>
      <c r="H343" s="1464"/>
      <c r="I343" s="1464"/>
      <c r="J343" s="1464"/>
      <c r="K343" s="1464"/>
      <c r="L343" s="1464"/>
      <c r="M343" s="1464"/>
      <c r="N343" s="1464"/>
      <c r="O343" s="1464"/>
      <c r="P343" s="1464"/>
      <c r="Q343" s="1464"/>
      <c r="R343" s="1464"/>
      <c r="S343" s="1464"/>
      <c r="T343" s="1464"/>
      <c r="U343" s="1464"/>
      <c r="V343" s="1464"/>
      <c r="W343" s="1464"/>
      <c r="X343" s="1464"/>
      <c r="Y343" s="1464"/>
      <c r="Z343" s="1464"/>
      <c r="AA343" s="1464"/>
      <c r="AB343" s="1464"/>
    </row>
    <row r="344">
      <c r="A344" s="1464"/>
      <c r="B344" s="1464"/>
      <c r="C344" s="1464"/>
      <c r="D344" s="1464"/>
      <c r="E344" s="1464"/>
      <c r="F344" s="1464"/>
      <c r="G344" s="1464"/>
      <c r="H344" s="1464"/>
      <c r="I344" s="1464"/>
      <c r="J344" s="1464"/>
      <c r="K344" s="1464"/>
      <c r="L344" s="1464"/>
      <c r="M344" s="1464"/>
      <c r="N344" s="1464"/>
      <c r="O344" s="1464"/>
      <c r="P344" s="1464"/>
      <c r="Q344" s="1464"/>
      <c r="R344" s="1464"/>
      <c r="S344" s="1464"/>
      <c r="T344" s="1464"/>
      <c r="U344" s="1464"/>
      <c r="V344" s="1464"/>
      <c r="W344" s="1464"/>
      <c r="X344" s="1464"/>
      <c r="Y344" s="1464"/>
      <c r="Z344" s="1464"/>
      <c r="AA344" s="1464"/>
      <c r="AB344" s="1464"/>
    </row>
    <row r="345">
      <c r="A345" s="1464"/>
      <c r="B345" s="1464"/>
      <c r="C345" s="1464"/>
      <c r="D345" s="1464"/>
      <c r="E345" s="1464"/>
      <c r="F345" s="1464"/>
      <c r="G345" s="1464"/>
      <c r="H345" s="1464"/>
      <c r="I345" s="1464"/>
      <c r="J345" s="1464"/>
      <c r="K345" s="1464"/>
      <c r="L345" s="1464"/>
      <c r="M345" s="1464"/>
      <c r="N345" s="1464"/>
      <c r="O345" s="1464"/>
      <c r="P345" s="1464"/>
      <c r="Q345" s="1464"/>
      <c r="R345" s="1464"/>
      <c r="S345" s="1464"/>
      <c r="T345" s="1464"/>
      <c r="U345" s="1464"/>
      <c r="V345" s="1464"/>
      <c r="W345" s="1464"/>
      <c r="X345" s="1464"/>
      <c r="Y345" s="1464"/>
      <c r="Z345" s="1464"/>
      <c r="AA345" s="1464"/>
      <c r="AB345" s="1464"/>
    </row>
    <row r="346">
      <c r="A346" s="1464"/>
      <c r="B346" s="1464"/>
      <c r="C346" s="1464"/>
      <c r="D346" s="1464"/>
      <c r="E346" s="1464"/>
      <c r="F346" s="1464"/>
      <c r="G346" s="1464"/>
      <c r="H346" s="1464"/>
      <c r="I346" s="1464"/>
      <c r="J346" s="1464"/>
      <c r="K346" s="1464"/>
      <c r="L346" s="1464"/>
      <c r="M346" s="1464"/>
      <c r="N346" s="1464"/>
      <c r="O346" s="1464"/>
      <c r="P346" s="1464"/>
      <c r="Q346" s="1464"/>
      <c r="R346" s="1464"/>
      <c r="S346" s="1464"/>
      <c r="T346" s="1464"/>
      <c r="U346" s="1464"/>
      <c r="V346" s="1464"/>
      <c r="W346" s="1464"/>
      <c r="X346" s="1464"/>
      <c r="Y346" s="1464"/>
      <c r="Z346" s="1464"/>
      <c r="AA346" s="1464"/>
      <c r="AB346" s="1464"/>
    </row>
    <row r="347">
      <c r="A347" s="1464"/>
      <c r="B347" s="1464"/>
      <c r="C347" s="1464"/>
      <c r="D347" s="1464"/>
      <c r="E347" s="1464"/>
      <c r="F347" s="1464"/>
      <c r="G347" s="1464"/>
      <c r="H347" s="1464"/>
      <c r="I347" s="1464"/>
      <c r="J347" s="1464"/>
      <c r="K347" s="1464"/>
      <c r="L347" s="1464"/>
      <c r="M347" s="1464"/>
      <c r="N347" s="1464"/>
      <c r="O347" s="1464"/>
      <c r="P347" s="1464"/>
      <c r="Q347" s="1464"/>
      <c r="R347" s="1464"/>
      <c r="S347" s="1464"/>
      <c r="T347" s="1464"/>
      <c r="U347" s="1464"/>
      <c r="V347" s="1464"/>
      <c r="W347" s="1464"/>
      <c r="X347" s="1464"/>
      <c r="Y347" s="1464"/>
      <c r="Z347" s="1464"/>
      <c r="AA347" s="1464"/>
      <c r="AB347" s="1464"/>
    </row>
    <row r="348">
      <c r="A348" s="1464"/>
      <c r="B348" s="1464"/>
      <c r="C348" s="1464"/>
      <c r="D348" s="1464"/>
      <c r="E348" s="1464"/>
      <c r="F348" s="1464"/>
      <c r="G348" s="1464"/>
      <c r="H348" s="1464"/>
      <c r="I348" s="1464"/>
      <c r="J348" s="1464"/>
      <c r="K348" s="1464"/>
      <c r="L348" s="1464"/>
      <c r="M348" s="1464"/>
      <c r="N348" s="1464"/>
      <c r="O348" s="1464"/>
      <c r="P348" s="1464"/>
      <c r="Q348" s="1464"/>
      <c r="R348" s="1464"/>
      <c r="S348" s="1464"/>
      <c r="T348" s="1464"/>
      <c r="U348" s="1464"/>
      <c r="V348" s="1464"/>
      <c r="W348" s="1464"/>
      <c r="X348" s="1464"/>
      <c r="Y348" s="1464"/>
      <c r="Z348" s="1464"/>
      <c r="AA348" s="1464"/>
      <c r="AB348" s="1464"/>
    </row>
    <row r="349">
      <c r="A349" s="1464"/>
      <c r="B349" s="1464"/>
      <c r="C349" s="1464"/>
      <c r="D349" s="1464"/>
      <c r="E349" s="1464"/>
      <c r="F349" s="1464"/>
      <c r="G349" s="1464"/>
      <c r="H349" s="1464"/>
      <c r="I349" s="1464"/>
      <c r="J349" s="1464"/>
      <c r="K349" s="1464"/>
      <c r="L349" s="1464"/>
      <c r="M349" s="1464"/>
      <c r="N349" s="1464"/>
      <c r="O349" s="1464"/>
      <c r="P349" s="1464"/>
      <c r="Q349" s="1464"/>
      <c r="R349" s="1464"/>
      <c r="S349" s="1464"/>
      <c r="T349" s="1464"/>
      <c r="U349" s="1464"/>
      <c r="V349" s="1464"/>
      <c r="W349" s="1464"/>
      <c r="X349" s="1464"/>
      <c r="Y349" s="1464"/>
      <c r="Z349" s="1464"/>
      <c r="AA349" s="1464"/>
      <c r="AB349" s="1464"/>
    </row>
    <row r="350">
      <c r="A350" s="1464"/>
      <c r="B350" s="1464"/>
      <c r="C350" s="1464"/>
      <c r="D350" s="1464"/>
      <c r="E350" s="1464"/>
      <c r="F350" s="1464"/>
      <c r="G350" s="1464"/>
      <c r="H350" s="1464"/>
      <c r="I350" s="1464"/>
      <c r="J350" s="1464"/>
      <c r="K350" s="1464"/>
      <c r="L350" s="1464"/>
      <c r="M350" s="1464"/>
      <c r="N350" s="1464"/>
      <c r="O350" s="1464"/>
      <c r="P350" s="1464"/>
      <c r="Q350" s="1464"/>
      <c r="R350" s="1464"/>
      <c r="S350" s="1464"/>
      <c r="T350" s="1464"/>
      <c r="U350" s="1464"/>
      <c r="V350" s="1464"/>
      <c r="W350" s="1464"/>
      <c r="X350" s="1464"/>
      <c r="Y350" s="1464"/>
      <c r="Z350" s="1464"/>
      <c r="AA350" s="1464"/>
      <c r="AB350" s="1464"/>
    </row>
    <row r="351">
      <c r="A351" s="1464"/>
      <c r="B351" s="1464"/>
      <c r="C351" s="1464"/>
      <c r="D351" s="1464"/>
      <c r="E351" s="1464"/>
      <c r="F351" s="1464"/>
      <c r="G351" s="1464"/>
      <c r="H351" s="1464"/>
      <c r="I351" s="1464"/>
      <c r="J351" s="1464"/>
      <c r="K351" s="1464"/>
      <c r="L351" s="1464"/>
      <c r="M351" s="1464"/>
      <c r="N351" s="1464"/>
      <c r="O351" s="1464"/>
      <c r="P351" s="1464"/>
      <c r="Q351" s="1464"/>
      <c r="R351" s="1464"/>
      <c r="S351" s="1464"/>
      <c r="T351" s="1464"/>
      <c r="U351" s="1464"/>
      <c r="V351" s="1464"/>
      <c r="W351" s="1464"/>
      <c r="X351" s="1464"/>
      <c r="Y351" s="1464"/>
      <c r="Z351" s="1464"/>
      <c r="AA351" s="1464"/>
      <c r="AB351" s="1464"/>
    </row>
    <row r="352">
      <c r="A352" s="1464"/>
      <c r="B352" s="1464"/>
      <c r="C352" s="1464"/>
      <c r="D352" s="1464"/>
      <c r="E352" s="1464"/>
      <c r="F352" s="1464"/>
      <c r="G352" s="1464"/>
      <c r="H352" s="1464"/>
      <c r="I352" s="1464"/>
      <c r="J352" s="1464"/>
      <c r="K352" s="1464"/>
      <c r="L352" s="1464"/>
      <c r="M352" s="1464"/>
      <c r="N352" s="1464"/>
      <c r="O352" s="1464"/>
      <c r="P352" s="1464"/>
      <c r="Q352" s="1464"/>
      <c r="R352" s="1464"/>
      <c r="S352" s="1464"/>
      <c r="T352" s="1464"/>
      <c r="U352" s="1464"/>
      <c r="V352" s="1464"/>
      <c r="W352" s="1464"/>
      <c r="X352" s="1464"/>
      <c r="Y352" s="1464"/>
      <c r="Z352" s="1464"/>
      <c r="AA352" s="1464"/>
      <c r="AB352" s="1464"/>
    </row>
    <row r="353">
      <c r="A353" s="1464"/>
      <c r="B353" s="1464"/>
      <c r="C353" s="1464"/>
      <c r="D353" s="1464"/>
      <c r="E353" s="1464"/>
      <c r="F353" s="1464"/>
      <c r="G353" s="1464"/>
      <c r="H353" s="1464"/>
      <c r="I353" s="1464"/>
      <c r="J353" s="1464"/>
      <c r="K353" s="1464"/>
      <c r="L353" s="1464"/>
      <c r="M353" s="1464"/>
      <c r="N353" s="1464"/>
      <c r="O353" s="1464"/>
      <c r="P353" s="1464"/>
      <c r="Q353" s="1464"/>
      <c r="R353" s="1464"/>
      <c r="S353" s="1464"/>
      <c r="T353" s="1464"/>
      <c r="U353" s="1464"/>
      <c r="V353" s="1464"/>
      <c r="W353" s="1464"/>
      <c r="X353" s="1464"/>
      <c r="Y353" s="1464"/>
      <c r="Z353" s="1464"/>
      <c r="AA353" s="1464"/>
      <c r="AB353" s="1464"/>
    </row>
    <row r="354">
      <c r="A354" s="1464"/>
      <c r="B354" s="1464"/>
      <c r="C354" s="1464"/>
      <c r="D354" s="1464"/>
      <c r="E354" s="1464"/>
      <c r="F354" s="1464"/>
      <c r="G354" s="1464"/>
      <c r="H354" s="1464"/>
      <c r="I354" s="1464"/>
      <c r="J354" s="1464"/>
      <c r="K354" s="1464"/>
      <c r="L354" s="1464"/>
      <c r="M354" s="1464"/>
      <c r="N354" s="1464"/>
      <c r="O354" s="1464"/>
      <c r="P354" s="1464"/>
      <c r="Q354" s="1464"/>
      <c r="R354" s="1464"/>
      <c r="S354" s="1464"/>
      <c r="T354" s="1464"/>
      <c r="U354" s="1464"/>
      <c r="V354" s="1464"/>
      <c r="W354" s="1464"/>
      <c r="X354" s="1464"/>
      <c r="Y354" s="1464"/>
      <c r="Z354" s="1464"/>
      <c r="AA354" s="1464"/>
      <c r="AB354" s="1464"/>
    </row>
    <row r="355">
      <c r="A355" s="1464"/>
      <c r="B355" s="1464"/>
      <c r="C355" s="1464"/>
      <c r="D355" s="1464"/>
      <c r="E355" s="1464"/>
      <c r="F355" s="1464"/>
      <c r="G355" s="1464"/>
      <c r="H355" s="1464"/>
      <c r="I355" s="1464"/>
      <c r="J355" s="1464"/>
      <c r="K355" s="1464"/>
      <c r="L355" s="1464"/>
      <c r="M355" s="1464"/>
      <c r="N355" s="1464"/>
      <c r="O355" s="1464"/>
      <c r="P355" s="1464"/>
      <c r="Q355" s="1464"/>
      <c r="R355" s="1464"/>
      <c r="S355" s="1464"/>
      <c r="T355" s="1464"/>
      <c r="U355" s="1464"/>
      <c r="V355" s="1464"/>
      <c r="W355" s="1464"/>
      <c r="X355" s="1464"/>
      <c r="Y355" s="1464"/>
      <c r="Z355" s="1464"/>
      <c r="AA355" s="1464"/>
      <c r="AB355" s="1464"/>
    </row>
    <row r="356">
      <c r="A356" s="1464"/>
      <c r="B356" s="1464"/>
      <c r="C356" s="1464"/>
      <c r="D356" s="1464"/>
      <c r="E356" s="1464"/>
      <c r="F356" s="1464"/>
      <c r="G356" s="1464"/>
      <c r="H356" s="1464"/>
      <c r="I356" s="1464"/>
      <c r="J356" s="1464"/>
      <c r="K356" s="1464"/>
      <c r="L356" s="1464"/>
      <c r="M356" s="1464"/>
      <c r="N356" s="1464"/>
      <c r="O356" s="1464"/>
      <c r="P356" s="1464"/>
      <c r="Q356" s="1464"/>
      <c r="R356" s="1464"/>
      <c r="S356" s="1464"/>
      <c r="T356" s="1464"/>
      <c r="U356" s="1464"/>
      <c r="V356" s="1464"/>
      <c r="W356" s="1464"/>
      <c r="X356" s="1464"/>
      <c r="Y356" s="1464"/>
      <c r="Z356" s="1464"/>
      <c r="AA356" s="1464"/>
      <c r="AB356" s="1464"/>
    </row>
    <row r="357">
      <c r="A357" s="1464"/>
      <c r="B357" s="1464"/>
      <c r="C357" s="1464"/>
      <c r="D357" s="1464"/>
      <c r="E357" s="1464"/>
      <c r="F357" s="1464"/>
      <c r="G357" s="1464"/>
      <c r="H357" s="1464"/>
      <c r="I357" s="1464"/>
      <c r="J357" s="1464"/>
      <c r="K357" s="1464"/>
      <c r="L357" s="1464"/>
      <c r="M357" s="1464"/>
      <c r="N357" s="1464"/>
      <c r="O357" s="1464"/>
      <c r="P357" s="1464"/>
      <c r="Q357" s="1464"/>
      <c r="R357" s="1464"/>
      <c r="S357" s="1464"/>
      <c r="T357" s="1464"/>
      <c r="U357" s="1464"/>
      <c r="V357" s="1464"/>
      <c r="W357" s="1464"/>
      <c r="X357" s="1464"/>
      <c r="Y357" s="1464"/>
      <c r="Z357" s="1464"/>
      <c r="AA357" s="1464"/>
      <c r="AB357" s="1464"/>
    </row>
    <row r="358">
      <c r="A358" s="1464"/>
      <c r="B358" s="1464"/>
      <c r="C358" s="1464"/>
      <c r="D358" s="1464"/>
      <c r="E358" s="1464"/>
      <c r="F358" s="1464"/>
      <c r="G358" s="1464"/>
      <c r="H358" s="1464"/>
      <c r="I358" s="1464"/>
      <c r="J358" s="1464"/>
      <c r="K358" s="1464"/>
      <c r="L358" s="1464"/>
      <c r="M358" s="1464"/>
      <c r="N358" s="1464"/>
      <c r="O358" s="1464"/>
      <c r="P358" s="1464"/>
      <c r="Q358" s="1464"/>
      <c r="R358" s="1464"/>
      <c r="S358" s="1464"/>
      <c r="T358" s="1464"/>
      <c r="U358" s="1464"/>
      <c r="V358" s="1464"/>
      <c r="W358" s="1464"/>
      <c r="X358" s="1464"/>
      <c r="Y358" s="1464"/>
      <c r="Z358" s="1464"/>
      <c r="AA358" s="1464"/>
      <c r="AB358" s="1464"/>
    </row>
    <row r="359">
      <c r="A359" s="1464"/>
      <c r="B359" s="1464"/>
      <c r="C359" s="1464"/>
      <c r="D359" s="1464"/>
      <c r="E359" s="1464"/>
      <c r="F359" s="1464"/>
      <c r="G359" s="1464"/>
      <c r="H359" s="1464"/>
      <c r="I359" s="1464"/>
      <c r="J359" s="1464"/>
      <c r="K359" s="1464"/>
      <c r="L359" s="1464"/>
      <c r="M359" s="1464"/>
      <c r="N359" s="1464"/>
      <c r="O359" s="1464"/>
      <c r="P359" s="1464"/>
      <c r="Q359" s="1464"/>
      <c r="R359" s="1464"/>
      <c r="S359" s="1464"/>
      <c r="T359" s="1464"/>
      <c r="U359" s="1464"/>
      <c r="V359" s="1464"/>
      <c r="W359" s="1464"/>
      <c r="X359" s="1464"/>
      <c r="Y359" s="1464"/>
      <c r="Z359" s="1464"/>
      <c r="AA359" s="1464"/>
      <c r="AB359" s="1464"/>
    </row>
    <row r="360">
      <c r="A360" s="1464"/>
      <c r="B360" s="1464"/>
      <c r="C360" s="1464"/>
      <c r="D360" s="1464"/>
      <c r="E360" s="1464"/>
      <c r="F360" s="1464"/>
      <c r="G360" s="1464"/>
      <c r="H360" s="1464"/>
      <c r="I360" s="1464"/>
      <c r="J360" s="1464"/>
      <c r="K360" s="1464"/>
      <c r="L360" s="1464"/>
      <c r="M360" s="1464"/>
      <c r="N360" s="1464"/>
      <c r="O360" s="1464"/>
      <c r="P360" s="1464"/>
      <c r="Q360" s="1464"/>
      <c r="R360" s="1464"/>
      <c r="S360" s="1464"/>
      <c r="T360" s="1464"/>
      <c r="U360" s="1464"/>
      <c r="V360" s="1464"/>
      <c r="W360" s="1464"/>
      <c r="X360" s="1464"/>
      <c r="Y360" s="1464"/>
      <c r="Z360" s="1464"/>
      <c r="AA360" s="1464"/>
      <c r="AB360" s="1464"/>
    </row>
    <row r="361">
      <c r="A361" s="1464"/>
      <c r="B361" s="1464"/>
      <c r="C361" s="1464"/>
      <c r="D361" s="1464"/>
      <c r="E361" s="1464"/>
      <c r="F361" s="1464"/>
      <c r="G361" s="1464"/>
      <c r="H361" s="1464"/>
      <c r="I361" s="1464"/>
      <c r="J361" s="1464"/>
      <c r="K361" s="1464"/>
      <c r="L361" s="1464"/>
      <c r="M361" s="1464"/>
      <c r="N361" s="1464"/>
      <c r="O361" s="1464"/>
      <c r="P361" s="1464"/>
      <c r="Q361" s="1464"/>
      <c r="R361" s="1464"/>
      <c r="S361" s="1464"/>
      <c r="T361" s="1464"/>
      <c r="U361" s="1464"/>
      <c r="V361" s="1464"/>
      <c r="W361" s="1464"/>
      <c r="X361" s="1464"/>
      <c r="Y361" s="1464"/>
      <c r="Z361" s="1464"/>
      <c r="AA361" s="1464"/>
      <c r="AB361" s="1464"/>
    </row>
    <row r="362">
      <c r="A362" s="1464"/>
      <c r="B362" s="1464"/>
      <c r="C362" s="1464"/>
      <c r="D362" s="1464"/>
      <c r="E362" s="1464"/>
      <c r="F362" s="1464"/>
      <c r="G362" s="1464"/>
      <c r="H362" s="1464"/>
      <c r="I362" s="1464"/>
      <c r="J362" s="1464"/>
      <c r="K362" s="1464"/>
      <c r="L362" s="1464"/>
      <c r="M362" s="1464"/>
      <c r="N362" s="1464"/>
      <c r="O362" s="1464"/>
      <c r="P362" s="1464"/>
      <c r="Q362" s="1464"/>
      <c r="R362" s="1464"/>
      <c r="S362" s="1464"/>
      <c r="T362" s="1464"/>
      <c r="U362" s="1464"/>
      <c r="V362" s="1464"/>
      <c r="W362" s="1464"/>
      <c r="X362" s="1464"/>
      <c r="Y362" s="1464"/>
      <c r="Z362" s="1464"/>
      <c r="AA362" s="1464"/>
      <c r="AB362" s="1464"/>
    </row>
    <row r="363">
      <c r="A363" s="1464"/>
      <c r="B363" s="1464"/>
      <c r="C363" s="1464"/>
      <c r="D363" s="1464"/>
      <c r="E363" s="1464"/>
      <c r="F363" s="1464"/>
      <c r="G363" s="1464"/>
      <c r="H363" s="1464"/>
      <c r="I363" s="1464"/>
      <c r="J363" s="1464"/>
      <c r="K363" s="1464"/>
      <c r="L363" s="1464"/>
      <c r="M363" s="1464"/>
      <c r="N363" s="1464"/>
      <c r="O363" s="1464"/>
      <c r="P363" s="1464"/>
      <c r="Q363" s="1464"/>
      <c r="R363" s="1464"/>
      <c r="S363" s="1464"/>
      <c r="T363" s="1464"/>
      <c r="U363" s="1464"/>
      <c r="V363" s="1464"/>
      <c r="W363" s="1464"/>
      <c r="X363" s="1464"/>
      <c r="Y363" s="1464"/>
      <c r="Z363" s="1464"/>
      <c r="AA363" s="1464"/>
      <c r="AB363" s="1464"/>
    </row>
    <row r="364">
      <c r="A364" s="1464"/>
      <c r="B364" s="1464"/>
      <c r="C364" s="1464"/>
      <c r="D364" s="1464"/>
      <c r="E364" s="1464"/>
      <c r="F364" s="1464"/>
      <c r="G364" s="1464"/>
      <c r="H364" s="1464"/>
      <c r="I364" s="1464"/>
      <c r="J364" s="1464"/>
      <c r="K364" s="1464"/>
      <c r="L364" s="1464"/>
      <c r="M364" s="1464"/>
      <c r="N364" s="1464"/>
      <c r="O364" s="1464"/>
      <c r="P364" s="1464"/>
      <c r="Q364" s="1464"/>
      <c r="R364" s="1464"/>
      <c r="S364" s="1464"/>
      <c r="T364" s="1464"/>
      <c r="U364" s="1464"/>
      <c r="V364" s="1464"/>
      <c r="W364" s="1464"/>
      <c r="X364" s="1464"/>
      <c r="Y364" s="1464"/>
      <c r="Z364" s="1464"/>
      <c r="AA364" s="1464"/>
      <c r="AB364" s="1464"/>
    </row>
    <row r="365">
      <c r="A365" s="1464"/>
      <c r="B365" s="1464"/>
      <c r="C365" s="1464"/>
      <c r="D365" s="1464"/>
      <c r="E365" s="1464"/>
      <c r="F365" s="1464"/>
      <c r="G365" s="1464"/>
      <c r="H365" s="1464"/>
      <c r="I365" s="1464"/>
      <c r="J365" s="1464"/>
      <c r="K365" s="1464"/>
      <c r="L365" s="1464"/>
      <c r="M365" s="1464"/>
      <c r="N365" s="1464"/>
      <c r="O365" s="1464"/>
      <c r="P365" s="1464"/>
      <c r="Q365" s="1464"/>
      <c r="R365" s="1464"/>
      <c r="S365" s="1464"/>
      <c r="T365" s="1464"/>
      <c r="U365" s="1464"/>
      <c r="V365" s="1464"/>
      <c r="W365" s="1464"/>
      <c r="X365" s="1464"/>
      <c r="Y365" s="1464"/>
      <c r="Z365" s="1464"/>
      <c r="AA365" s="1464"/>
      <c r="AB365" s="1464"/>
    </row>
    <row r="366">
      <c r="A366" s="1464"/>
      <c r="B366" s="1464"/>
      <c r="C366" s="1464"/>
      <c r="D366" s="1464"/>
      <c r="E366" s="1464"/>
      <c r="F366" s="1464"/>
      <c r="G366" s="1464"/>
      <c r="H366" s="1464"/>
      <c r="I366" s="1464"/>
      <c r="J366" s="1464"/>
      <c r="K366" s="1464"/>
      <c r="L366" s="1464"/>
      <c r="M366" s="1464"/>
      <c r="N366" s="1464"/>
      <c r="O366" s="1464"/>
      <c r="P366" s="1464"/>
      <c r="Q366" s="1464"/>
      <c r="R366" s="1464"/>
      <c r="S366" s="1464"/>
      <c r="T366" s="1464"/>
      <c r="U366" s="1464"/>
      <c r="V366" s="1464"/>
      <c r="W366" s="1464"/>
      <c r="X366" s="1464"/>
      <c r="Y366" s="1464"/>
      <c r="Z366" s="1464"/>
      <c r="AA366" s="1464"/>
      <c r="AB366" s="1464"/>
    </row>
    <row r="367">
      <c r="A367" s="1464"/>
      <c r="B367" s="1464"/>
      <c r="C367" s="1464"/>
      <c r="D367" s="1464"/>
      <c r="E367" s="1464"/>
      <c r="F367" s="1464"/>
      <c r="G367" s="1464"/>
      <c r="H367" s="1464"/>
      <c r="I367" s="1464"/>
      <c r="J367" s="1464"/>
      <c r="K367" s="1464"/>
      <c r="L367" s="1464"/>
      <c r="M367" s="1464"/>
      <c r="N367" s="1464"/>
      <c r="O367" s="1464"/>
      <c r="P367" s="1464"/>
      <c r="Q367" s="1464"/>
      <c r="R367" s="1464"/>
      <c r="S367" s="1464"/>
      <c r="T367" s="1464"/>
      <c r="U367" s="1464"/>
      <c r="V367" s="1464"/>
      <c r="W367" s="1464"/>
      <c r="X367" s="1464"/>
      <c r="Y367" s="1464"/>
      <c r="Z367" s="1464"/>
      <c r="AA367" s="1464"/>
      <c r="AB367" s="1464"/>
    </row>
    <row r="368">
      <c r="A368" s="1464"/>
      <c r="B368" s="1464"/>
      <c r="C368" s="1464"/>
      <c r="D368" s="1464"/>
      <c r="E368" s="1464"/>
      <c r="F368" s="1464"/>
      <c r="G368" s="1464"/>
      <c r="H368" s="1464"/>
      <c r="I368" s="1464"/>
      <c r="J368" s="1464"/>
      <c r="K368" s="1464"/>
      <c r="L368" s="1464"/>
      <c r="M368" s="1464"/>
      <c r="N368" s="1464"/>
      <c r="O368" s="1464"/>
      <c r="P368" s="1464"/>
      <c r="Q368" s="1464"/>
      <c r="R368" s="1464"/>
      <c r="S368" s="1464"/>
      <c r="T368" s="1464"/>
      <c r="U368" s="1464"/>
      <c r="V368" s="1464"/>
      <c r="W368" s="1464"/>
      <c r="X368" s="1464"/>
      <c r="Y368" s="1464"/>
      <c r="Z368" s="1464"/>
      <c r="AA368" s="1464"/>
      <c r="AB368" s="1464"/>
    </row>
    <row r="369">
      <c r="A369" s="1464"/>
      <c r="B369" s="1464"/>
      <c r="C369" s="1464"/>
      <c r="D369" s="1464"/>
      <c r="E369" s="1464"/>
      <c r="F369" s="1464"/>
      <c r="G369" s="1464"/>
      <c r="H369" s="1464"/>
      <c r="I369" s="1464"/>
      <c r="J369" s="1464"/>
      <c r="K369" s="1464"/>
      <c r="L369" s="1464"/>
      <c r="M369" s="1464"/>
      <c r="N369" s="1464"/>
      <c r="O369" s="1464"/>
      <c r="P369" s="1464"/>
      <c r="Q369" s="1464"/>
      <c r="R369" s="1464"/>
      <c r="S369" s="1464"/>
      <c r="T369" s="1464"/>
      <c r="U369" s="1464"/>
      <c r="V369" s="1464"/>
      <c r="W369" s="1464"/>
      <c r="X369" s="1464"/>
      <c r="Y369" s="1464"/>
      <c r="Z369" s="1464"/>
      <c r="AA369" s="1464"/>
      <c r="AB369" s="1464"/>
    </row>
    <row r="370">
      <c r="A370" s="1464"/>
      <c r="B370" s="1464"/>
      <c r="C370" s="1464"/>
      <c r="D370" s="1464"/>
      <c r="E370" s="1464"/>
      <c r="F370" s="1464"/>
      <c r="G370" s="1464"/>
      <c r="H370" s="1464"/>
      <c r="I370" s="1464"/>
      <c r="J370" s="1464"/>
      <c r="K370" s="1464"/>
      <c r="L370" s="1464"/>
      <c r="M370" s="1464"/>
      <c r="N370" s="1464"/>
      <c r="O370" s="1464"/>
      <c r="P370" s="1464"/>
      <c r="Q370" s="1464"/>
      <c r="R370" s="1464"/>
      <c r="S370" s="1464"/>
      <c r="T370" s="1464"/>
      <c r="U370" s="1464"/>
      <c r="V370" s="1464"/>
      <c r="W370" s="1464"/>
      <c r="X370" s="1464"/>
      <c r="Y370" s="1464"/>
      <c r="Z370" s="1464"/>
      <c r="AA370" s="1464"/>
      <c r="AB370" s="1464"/>
    </row>
    <row r="371">
      <c r="A371" s="1464"/>
      <c r="B371" s="1464"/>
      <c r="C371" s="1464"/>
      <c r="D371" s="1464"/>
      <c r="E371" s="1464"/>
      <c r="F371" s="1464"/>
      <c r="G371" s="1464"/>
      <c r="H371" s="1464"/>
      <c r="I371" s="1464"/>
      <c r="J371" s="1464"/>
      <c r="K371" s="1464"/>
      <c r="L371" s="1464"/>
      <c r="M371" s="1464"/>
      <c r="N371" s="1464"/>
      <c r="O371" s="1464"/>
      <c r="P371" s="1464"/>
      <c r="Q371" s="1464"/>
      <c r="R371" s="1464"/>
      <c r="S371" s="1464"/>
      <c r="T371" s="1464"/>
      <c r="U371" s="1464"/>
      <c r="V371" s="1464"/>
      <c r="W371" s="1464"/>
      <c r="X371" s="1464"/>
      <c r="Y371" s="1464"/>
      <c r="Z371" s="1464"/>
      <c r="AA371" s="1464"/>
      <c r="AB371" s="1464"/>
    </row>
    <row r="372">
      <c r="A372" s="1464"/>
      <c r="B372" s="1464"/>
      <c r="C372" s="1464"/>
      <c r="D372" s="1464"/>
      <c r="E372" s="1464"/>
      <c r="F372" s="1464"/>
      <c r="G372" s="1464"/>
      <c r="H372" s="1464"/>
      <c r="I372" s="1464"/>
      <c r="J372" s="1464"/>
      <c r="K372" s="1464"/>
      <c r="L372" s="1464"/>
      <c r="M372" s="1464"/>
      <c r="N372" s="1464"/>
      <c r="O372" s="1464"/>
      <c r="P372" s="1464"/>
      <c r="Q372" s="1464"/>
      <c r="R372" s="1464"/>
      <c r="S372" s="1464"/>
      <c r="T372" s="1464"/>
      <c r="U372" s="1464"/>
      <c r="V372" s="1464"/>
      <c r="W372" s="1464"/>
      <c r="X372" s="1464"/>
      <c r="Y372" s="1464"/>
      <c r="Z372" s="1464"/>
      <c r="AA372" s="1464"/>
      <c r="AB372" s="1464"/>
    </row>
    <row r="373">
      <c r="A373" s="1464"/>
      <c r="B373" s="1464"/>
      <c r="C373" s="1464"/>
      <c r="D373" s="1464"/>
      <c r="E373" s="1464"/>
      <c r="F373" s="1464"/>
      <c r="G373" s="1464"/>
      <c r="H373" s="1464"/>
      <c r="I373" s="1464"/>
      <c r="J373" s="1464"/>
      <c r="K373" s="1464"/>
      <c r="L373" s="1464"/>
      <c r="M373" s="1464"/>
      <c r="N373" s="1464"/>
      <c r="O373" s="1464"/>
      <c r="P373" s="1464"/>
      <c r="Q373" s="1464"/>
      <c r="R373" s="1464"/>
      <c r="S373" s="1464"/>
      <c r="T373" s="1464"/>
      <c r="U373" s="1464"/>
      <c r="V373" s="1464"/>
      <c r="W373" s="1464"/>
      <c r="X373" s="1464"/>
      <c r="Y373" s="1464"/>
      <c r="Z373" s="1464"/>
      <c r="AA373" s="1464"/>
      <c r="AB373" s="1464"/>
    </row>
    <row r="374">
      <c r="A374" s="1464"/>
      <c r="B374" s="1464"/>
      <c r="C374" s="1464"/>
      <c r="D374" s="1464"/>
      <c r="E374" s="1464"/>
      <c r="F374" s="1464"/>
      <c r="G374" s="1464"/>
      <c r="H374" s="1464"/>
      <c r="I374" s="1464"/>
      <c r="J374" s="1464"/>
      <c r="K374" s="1464"/>
      <c r="L374" s="1464"/>
      <c r="M374" s="1464"/>
      <c r="N374" s="1464"/>
      <c r="O374" s="1464"/>
      <c r="P374" s="1464"/>
      <c r="Q374" s="1464"/>
      <c r="R374" s="1464"/>
      <c r="S374" s="1464"/>
      <c r="T374" s="1464"/>
      <c r="U374" s="1464"/>
      <c r="V374" s="1464"/>
      <c r="W374" s="1464"/>
      <c r="X374" s="1464"/>
      <c r="Y374" s="1464"/>
      <c r="Z374" s="1464"/>
      <c r="AA374" s="1464"/>
      <c r="AB374" s="1464"/>
    </row>
    <row r="375">
      <c r="A375" s="1464"/>
      <c r="B375" s="1464"/>
      <c r="C375" s="1464"/>
      <c r="D375" s="1464"/>
      <c r="E375" s="1464"/>
      <c r="F375" s="1464"/>
      <c r="G375" s="1464"/>
      <c r="H375" s="1464"/>
      <c r="I375" s="1464"/>
      <c r="J375" s="1464"/>
      <c r="K375" s="1464"/>
      <c r="L375" s="1464"/>
      <c r="M375" s="1464"/>
      <c r="N375" s="1464"/>
      <c r="O375" s="1464"/>
      <c r="P375" s="1464"/>
      <c r="Q375" s="1464"/>
      <c r="R375" s="1464"/>
      <c r="S375" s="1464"/>
      <c r="T375" s="1464"/>
      <c r="U375" s="1464"/>
      <c r="V375" s="1464"/>
      <c r="W375" s="1464"/>
      <c r="X375" s="1464"/>
      <c r="Y375" s="1464"/>
      <c r="Z375" s="1464"/>
      <c r="AA375" s="1464"/>
      <c r="AB375" s="1464"/>
    </row>
    <row r="376">
      <c r="A376" s="1464"/>
      <c r="B376" s="1464"/>
      <c r="C376" s="1464"/>
      <c r="D376" s="1464"/>
      <c r="E376" s="1464"/>
      <c r="F376" s="1464"/>
      <c r="G376" s="1464"/>
      <c r="H376" s="1464"/>
      <c r="I376" s="1464"/>
      <c r="J376" s="1464"/>
      <c r="K376" s="1464"/>
      <c r="L376" s="1464"/>
      <c r="M376" s="1464"/>
      <c r="N376" s="1464"/>
      <c r="O376" s="1464"/>
      <c r="P376" s="1464"/>
      <c r="Q376" s="1464"/>
      <c r="R376" s="1464"/>
      <c r="S376" s="1464"/>
      <c r="T376" s="1464"/>
      <c r="U376" s="1464"/>
      <c r="V376" s="1464"/>
      <c r="W376" s="1464"/>
      <c r="X376" s="1464"/>
      <c r="Y376" s="1464"/>
      <c r="Z376" s="1464"/>
      <c r="AA376" s="1464"/>
      <c r="AB376" s="1464"/>
    </row>
    <row r="377">
      <c r="A377" s="1464"/>
      <c r="B377" s="1464"/>
      <c r="C377" s="1464"/>
      <c r="D377" s="1464"/>
      <c r="E377" s="1464"/>
      <c r="F377" s="1464"/>
      <c r="G377" s="1464"/>
      <c r="H377" s="1464"/>
      <c r="I377" s="1464"/>
      <c r="J377" s="1464"/>
      <c r="K377" s="1464"/>
      <c r="L377" s="1464"/>
      <c r="M377" s="1464"/>
      <c r="N377" s="1464"/>
      <c r="O377" s="1464"/>
      <c r="P377" s="1464"/>
      <c r="Q377" s="1464"/>
      <c r="R377" s="1464"/>
      <c r="S377" s="1464"/>
      <c r="T377" s="1464"/>
      <c r="U377" s="1464"/>
      <c r="V377" s="1464"/>
      <c r="W377" s="1464"/>
      <c r="X377" s="1464"/>
      <c r="Y377" s="1464"/>
      <c r="Z377" s="1464"/>
      <c r="AA377" s="1464"/>
      <c r="AB377" s="1464"/>
    </row>
    <row r="378">
      <c r="A378" s="1464"/>
      <c r="B378" s="1464"/>
      <c r="C378" s="1464"/>
      <c r="D378" s="1464"/>
      <c r="E378" s="1464"/>
      <c r="F378" s="1464"/>
      <c r="G378" s="1464"/>
      <c r="H378" s="1464"/>
      <c r="I378" s="1464"/>
      <c r="J378" s="1464"/>
      <c r="K378" s="1464"/>
      <c r="L378" s="1464"/>
      <c r="M378" s="1464"/>
      <c r="N378" s="1464"/>
      <c r="O378" s="1464"/>
      <c r="P378" s="1464"/>
      <c r="Q378" s="1464"/>
      <c r="R378" s="1464"/>
      <c r="S378" s="1464"/>
      <c r="T378" s="1464"/>
      <c r="U378" s="1464"/>
      <c r="V378" s="1464"/>
      <c r="W378" s="1464"/>
      <c r="X378" s="1464"/>
      <c r="Y378" s="1464"/>
      <c r="Z378" s="1464"/>
      <c r="AA378" s="1464"/>
      <c r="AB378" s="1464"/>
    </row>
    <row r="379">
      <c r="A379" s="1464"/>
      <c r="B379" s="1464"/>
      <c r="C379" s="1464"/>
      <c r="D379" s="1464"/>
      <c r="E379" s="1464"/>
      <c r="F379" s="1464"/>
      <c r="G379" s="1464"/>
      <c r="H379" s="1464"/>
      <c r="I379" s="1464"/>
      <c r="J379" s="1464"/>
      <c r="K379" s="1464"/>
      <c r="L379" s="1464"/>
      <c r="M379" s="1464"/>
      <c r="N379" s="1464"/>
      <c r="O379" s="1464"/>
      <c r="P379" s="1464"/>
      <c r="Q379" s="1464"/>
      <c r="R379" s="1464"/>
      <c r="S379" s="1464"/>
      <c r="T379" s="1464"/>
      <c r="U379" s="1464"/>
      <c r="V379" s="1464"/>
      <c r="W379" s="1464"/>
      <c r="X379" s="1464"/>
      <c r="Y379" s="1464"/>
      <c r="Z379" s="1464"/>
      <c r="AA379" s="1464"/>
      <c r="AB379" s="1464"/>
    </row>
    <row r="380">
      <c r="A380" s="1464"/>
      <c r="B380" s="1464"/>
      <c r="C380" s="1464"/>
      <c r="D380" s="1464"/>
      <c r="E380" s="1464"/>
      <c r="F380" s="1464"/>
      <c r="G380" s="1464"/>
      <c r="H380" s="1464"/>
      <c r="I380" s="1464"/>
      <c r="J380" s="1464"/>
      <c r="K380" s="1464"/>
      <c r="L380" s="1464"/>
      <c r="M380" s="1464"/>
      <c r="N380" s="1464"/>
      <c r="O380" s="1464"/>
      <c r="P380" s="1464"/>
      <c r="Q380" s="1464"/>
      <c r="R380" s="1464"/>
      <c r="S380" s="1464"/>
      <c r="T380" s="1464"/>
      <c r="U380" s="1464"/>
      <c r="V380" s="1464"/>
      <c r="W380" s="1464"/>
      <c r="X380" s="1464"/>
      <c r="Y380" s="1464"/>
      <c r="Z380" s="1464"/>
      <c r="AA380" s="1464"/>
      <c r="AB380" s="1464"/>
    </row>
    <row r="381">
      <c r="A381" s="1464"/>
      <c r="B381" s="1464"/>
      <c r="C381" s="1464"/>
      <c r="D381" s="1464"/>
      <c r="E381" s="1464"/>
      <c r="F381" s="1464"/>
      <c r="G381" s="1464"/>
      <c r="H381" s="1464"/>
      <c r="I381" s="1464"/>
      <c r="J381" s="1464"/>
      <c r="K381" s="1464"/>
      <c r="L381" s="1464"/>
      <c r="M381" s="1464"/>
      <c r="N381" s="1464"/>
      <c r="O381" s="1464"/>
      <c r="P381" s="1464"/>
      <c r="Q381" s="1464"/>
      <c r="R381" s="1464"/>
      <c r="S381" s="1464"/>
      <c r="T381" s="1464"/>
      <c r="U381" s="1464"/>
      <c r="V381" s="1464"/>
      <c r="W381" s="1464"/>
      <c r="X381" s="1464"/>
      <c r="Y381" s="1464"/>
      <c r="Z381" s="1464"/>
      <c r="AA381" s="1464"/>
      <c r="AB381" s="1464"/>
    </row>
    <row r="382">
      <c r="A382" s="1464"/>
      <c r="B382" s="1464"/>
      <c r="C382" s="1464"/>
      <c r="D382" s="1464"/>
      <c r="E382" s="1464"/>
      <c r="F382" s="1464"/>
      <c r="G382" s="1464"/>
      <c r="H382" s="1464"/>
      <c r="I382" s="1464"/>
      <c r="J382" s="1464"/>
      <c r="K382" s="1464"/>
      <c r="L382" s="1464"/>
      <c r="M382" s="1464"/>
      <c r="N382" s="1464"/>
      <c r="O382" s="1464"/>
      <c r="P382" s="1464"/>
      <c r="Q382" s="1464"/>
      <c r="R382" s="1464"/>
      <c r="S382" s="1464"/>
      <c r="T382" s="1464"/>
      <c r="U382" s="1464"/>
      <c r="V382" s="1464"/>
      <c r="W382" s="1464"/>
      <c r="X382" s="1464"/>
      <c r="Y382" s="1464"/>
      <c r="Z382" s="1464"/>
      <c r="AA382" s="1464"/>
      <c r="AB382" s="1464"/>
    </row>
    <row r="383">
      <c r="A383" s="1464"/>
      <c r="B383" s="1464"/>
      <c r="C383" s="1464"/>
      <c r="D383" s="1464"/>
      <c r="E383" s="1464"/>
      <c r="F383" s="1464"/>
      <c r="G383" s="1464"/>
      <c r="H383" s="1464"/>
      <c r="I383" s="1464"/>
      <c r="J383" s="1464"/>
      <c r="K383" s="1464"/>
      <c r="L383" s="1464"/>
      <c r="M383" s="1464"/>
      <c r="N383" s="1464"/>
      <c r="O383" s="1464"/>
      <c r="P383" s="1464"/>
      <c r="Q383" s="1464"/>
      <c r="R383" s="1464"/>
      <c r="S383" s="1464"/>
      <c r="T383" s="1464"/>
      <c r="U383" s="1464"/>
      <c r="V383" s="1464"/>
      <c r="W383" s="1464"/>
      <c r="X383" s="1464"/>
      <c r="Y383" s="1464"/>
      <c r="Z383" s="1464"/>
      <c r="AA383" s="1464"/>
      <c r="AB383" s="1464"/>
    </row>
    <row r="384">
      <c r="A384" s="1464"/>
      <c r="B384" s="1464"/>
      <c r="C384" s="1464"/>
      <c r="D384" s="1464"/>
      <c r="E384" s="1464"/>
      <c r="F384" s="1464"/>
      <c r="G384" s="1464"/>
      <c r="H384" s="1464"/>
      <c r="I384" s="1464"/>
      <c r="J384" s="1464"/>
      <c r="K384" s="1464"/>
      <c r="L384" s="1464"/>
      <c r="M384" s="1464"/>
      <c r="N384" s="1464"/>
      <c r="O384" s="1464"/>
      <c r="P384" s="1464"/>
      <c r="Q384" s="1464"/>
      <c r="R384" s="1464"/>
      <c r="S384" s="1464"/>
      <c r="T384" s="1464"/>
      <c r="U384" s="1464"/>
      <c r="V384" s="1464"/>
      <c r="W384" s="1464"/>
      <c r="X384" s="1464"/>
      <c r="Y384" s="1464"/>
      <c r="Z384" s="1464"/>
      <c r="AA384" s="1464"/>
      <c r="AB384" s="1464"/>
    </row>
    <row r="385">
      <c r="A385" s="1464"/>
      <c r="B385" s="1464"/>
      <c r="C385" s="1464"/>
      <c r="D385" s="1464"/>
      <c r="E385" s="1464"/>
      <c r="F385" s="1464"/>
      <c r="G385" s="1464"/>
      <c r="H385" s="1464"/>
      <c r="I385" s="1464"/>
      <c r="J385" s="1464"/>
      <c r="K385" s="1464"/>
      <c r="L385" s="1464"/>
      <c r="M385" s="1464"/>
      <c r="N385" s="1464"/>
      <c r="O385" s="1464"/>
      <c r="P385" s="1464"/>
      <c r="Q385" s="1464"/>
      <c r="R385" s="1464"/>
      <c r="S385" s="1464"/>
      <c r="T385" s="1464"/>
      <c r="U385" s="1464"/>
      <c r="V385" s="1464"/>
      <c r="W385" s="1464"/>
      <c r="X385" s="1464"/>
      <c r="Y385" s="1464"/>
      <c r="Z385" s="1464"/>
      <c r="AA385" s="1464"/>
      <c r="AB385" s="1464"/>
    </row>
    <row r="386">
      <c r="A386" s="1464"/>
      <c r="B386" s="1464"/>
      <c r="C386" s="1464"/>
      <c r="D386" s="1464"/>
      <c r="E386" s="1464"/>
      <c r="F386" s="1464"/>
      <c r="G386" s="1464"/>
      <c r="H386" s="1464"/>
      <c r="I386" s="1464"/>
      <c r="J386" s="1464"/>
      <c r="K386" s="1464"/>
      <c r="L386" s="1464"/>
      <c r="M386" s="1464"/>
      <c r="N386" s="1464"/>
      <c r="O386" s="1464"/>
      <c r="P386" s="1464"/>
      <c r="Q386" s="1464"/>
      <c r="R386" s="1464"/>
      <c r="S386" s="1464"/>
      <c r="T386" s="1464"/>
      <c r="U386" s="1464"/>
      <c r="V386" s="1464"/>
      <c r="W386" s="1464"/>
      <c r="X386" s="1464"/>
      <c r="Y386" s="1464"/>
      <c r="Z386" s="1464"/>
      <c r="AA386" s="1464"/>
      <c r="AB386" s="1464"/>
    </row>
    <row r="387">
      <c r="A387" s="1464"/>
      <c r="B387" s="1464"/>
      <c r="C387" s="1464"/>
      <c r="D387" s="1464"/>
      <c r="E387" s="1464"/>
      <c r="F387" s="1464"/>
      <c r="G387" s="1464"/>
      <c r="H387" s="1464"/>
      <c r="I387" s="1464"/>
      <c r="J387" s="1464"/>
      <c r="K387" s="1464"/>
      <c r="L387" s="1464"/>
      <c r="M387" s="1464"/>
      <c r="N387" s="1464"/>
      <c r="O387" s="1464"/>
      <c r="P387" s="1464"/>
      <c r="Q387" s="1464"/>
      <c r="R387" s="1464"/>
      <c r="S387" s="1464"/>
      <c r="T387" s="1464"/>
      <c r="U387" s="1464"/>
      <c r="V387" s="1464"/>
      <c r="W387" s="1464"/>
      <c r="X387" s="1464"/>
      <c r="Y387" s="1464"/>
      <c r="Z387" s="1464"/>
      <c r="AA387" s="1464"/>
      <c r="AB387" s="1464"/>
    </row>
    <row r="388">
      <c r="A388" s="1464"/>
      <c r="B388" s="1464"/>
      <c r="C388" s="1464"/>
      <c r="D388" s="1464"/>
      <c r="E388" s="1464"/>
      <c r="F388" s="1464"/>
      <c r="G388" s="1464"/>
      <c r="H388" s="1464"/>
      <c r="I388" s="1464"/>
      <c r="J388" s="1464"/>
      <c r="K388" s="1464"/>
      <c r="L388" s="1464"/>
      <c r="M388" s="1464"/>
      <c r="N388" s="1464"/>
      <c r="O388" s="1464"/>
      <c r="P388" s="1464"/>
      <c r="Q388" s="1464"/>
      <c r="R388" s="1464"/>
      <c r="S388" s="1464"/>
      <c r="T388" s="1464"/>
      <c r="U388" s="1464"/>
      <c r="V388" s="1464"/>
      <c r="W388" s="1464"/>
      <c r="X388" s="1464"/>
      <c r="Y388" s="1464"/>
      <c r="Z388" s="1464"/>
      <c r="AA388" s="1464"/>
      <c r="AB388" s="1464"/>
    </row>
    <row r="389">
      <c r="A389" s="1464"/>
      <c r="B389" s="1464"/>
      <c r="C389" s="1464"/>
      <c r="D389" s="1464"/>
      <c r="E389" s="1464"/>
      <c r="F389" s="1464"/>
      <c r="G389" s="1464"/>
      <c r="H389" s="1464"/>
      <c r="I389" s="1464"/>
      <c r="J389" s="1464"/>
      <c r="K389" s="1464"/>
      <c r="L389" s="1464"/>
      <c r="M389" s="1464"/>
      <c r="N389" s="1464"/>
      <c r="O389" s="1464"/>
      <c r="P389" s="1464"/>
      <c r="Q389" s="1464"/>
      <c r="R389" s="1464"/>
      <c r="S389" s="1464"/>
      <c r="T389" s="1464"/>
      <c r="U389" s="1464"/>
      <c r="V389" s="1464"/>
      <c r="W389" s="1464"/>
      <c r="X389" s="1464"/>
      <c r="Y389" s="1464"/>
      <c r="Z389" s="1464"/>
      <c r="AA389" s="1464"/>
      <c r="AB389" s="1464"/>
    </row>
    <row r="390">
      <c r="A390" s="1464"/>
      <c r="B390" s="1464"/>
      <c r="C390" s="1464"/>
      <c r="D390" s="1464"/>
      <c r="E390" s="1464"/>
      <c r="F390" s="1464"/>
      <c r="G390" s="1464"/>
      <c r="H390" s="1464"/>
      <c r="I390" s="1464"/>
      <c r="J390" s="1464"/>
      <c r="K390" s="1464"/>
      <c r="L390" s="1464"/>
      <c r="M390" s="1464"/>
      <c r="N390" s="1464"/>
      <c r="O390" s="1464"/>
      <c r="P390" s="1464"/>
      <c r="Q390" s="1464"/>
      <c r="R390" s="1464"/>
      <c r="S390" s="1464"/>
      <c r="T390" s="1464"/>
      <c r="U390" s="1464"/>
      <c r="V390" s="1464"/>
      <c r="W390" s="1464"/>
      <c r="X390" s="1464"/>
      <c r="Y390" s="1464"/>
      <c r="Z390" s="1464"/>
      <c r="AA390" s="1464"/>
      <c r="AB390" s="1464"/>
    </row>
    <row r="391">
      <c r="A391" s="1464"/>
      <c r="B391" s="1464"/>
      <c r="C391" s="1464"/>
      <c r="D391" s="1464"/>
      <c r="E391" s="1464"/>
      <c r="F391" s="1464"/>
      <c r="G391" s="1464"/>
      <c r="H391" s="1464"/>
      <c r="I391" s="1464"/>
      <c r="J391" s="1464"/>
      <c r="K391" s="1464"/>
      <c r="L391" s="1464"/>
      <c r="M391" s="1464"/>
      <c r="N391" s="1464"/>
      <c r="O391" s="1464"/>
      <c r="P391" s="1464"/>
      <c r="Q391" s="1464"/>
      <c r="R391" s="1464"/>
      <c r="S391" s="1464"/>
      <c r="T391" s="1464"/>
      <c r="U391" s="1464"/>
      <c r="V391" s="1464"/>
      <c r="W391" s="1464"/>
      <c r="X391" s="1464"/>
      <c r="Y391" s="1464"/>
      <c r="Z391" s="1464"/>
      <c r="AA391" s="1464"/>
      <c r="AB391" s="1464"/>
    </row>
    <row r="392">
      <c r="A392" s="1464"/>
      <c r="B392" s="1464"/>
      <c r="C392" s="1464"/>
      <c r="D392" s="1464"/>
      <c r="E392" s="1464"/>
      <c r="F392" s="1464"/>
      <c r="G392" s="1464"/>
      <c r="H392" s="1464"/>
      <c r="I392" s="1464"/>
      <c r="J392" s="1464"/>
      <c r="K392" s="1464"/>
      <c r="L392" s="1464"/>
      <c r="M392" s="1464"/>
      <c r="N392" s="1464"/>
      <c r="O392" s="1464"/>
      <c r="P392" s="1464"/>
      <c r="Q392" s="1464"/>
      <c r="R392" s="1464"/>
      <c r="S392" s="1464"/>
      <c r="T392" s="1464"/>
      <c r="U392" s="1464"/>
      <c r="V392" s="1464"/>
      <c r="W392" s="1464"/>
      <c r="X392" s="1464"/>
      <c r="Y392" s="1464"/>
      <c r="Z392" s="1464"/>
      <c r="AA392" s="1464"/>
      <c r="AB392" s="1464"/>
    </row>
    <row r="393">
      <c r="A393" s="1464"/>
      <c r="B393" s="1464"/>
      <c r="C393" s="1464"/>
      <c r="D393" s="1464"/>
      <c r="E393" s="1464"/>
      <c r="F393" s="1464"/>
      <c r="G393" s="1464"/>
      <c r="H393" s="1464"/>
      <c r="I393" s="1464"/>
      <c r="J393" s="1464"/>
      <c r="K393" s="1464"/>
      <c r="L393" s="1464"/>
      <c r="M393" s="1464"/>
      <c r="N393" s="1464"/>
      <c r="O393" s="1464"/>
      <c r="P393" s="1464"/>
      <c r="Q393" s="1464"/>
      <c r="R393" s="1464"/>
      <c r="S393" s="1464"/>
      <c r="T393" s="1464"/>
      <c r="U393" s="1464"/>
      <c r="V393" s="1464"/>
      <c r="W393" s="1464"/>
      <c r="X393" s="1464"/>
      <c r="Y393" s="1464"/>
      <c r="Z393" s="1464"/>
      <c r="AA393" s="1464"/>
      <c r="AB393" s="1464"/>
    </row>
    <row r="394">
      <c r="A394" s="1464"/>
      <c r="B394" s="1464"/>
      <c r="C394" s="1464"/>
      <c r="D394" s="1464"/>
      <c r="E394" s="1464"/>
      <c r="F394" s="1464"/>
      <c r="G394" s="1464"/>
      <c r="H394" s="1464"/>
      <c r="I394" s="1464"/>
      <c r="J394" s="1464"/>
      <c r="K394" s="1464"/>
      <c r="L394" s="1464"/>
      <c r="M394" s="1464"/>
      <c r="N394" s="1464"/>
      <c r="O394" s="1464"/>
      <c r="P394" s="1464"/>
      <c r="Q394" s="1464"/>
      <c r="R394" s="1464"/>
      <c r="S394" s="1464"/>
      <c r="T394" s="1464"/>
      <c r="U394" s="1464"/>
      <c r="V394" s="1464"/>
      <c r="W394" s="1464"/>
      <c r="X394" s="1464"/>
      <c r="Y394" s="1464"/>
      <c r="Z394" s="1464"/>
      <c r="AA394" s="1464"/>
      <c r="AB394" s="1464"/>
    </row>
    <row r="395">
      <c r="A395" s="1464"/>
      <c r="B395" s="1464"/>
      <c r="C395" s="1464"/>
      <c r="D395" s="1464"/>
      <c r="E395" s="1464"/>
      <c r="F395" s="1464"/>
      <c r="G395" s="1464"/>
      <c r="H395" s="1464"/>
      <c r="I395" s="1464"/>
      <c r="J395" s="1464"/>
      <c r="K395" s="1464"/>
      <c r="L395" s="1464"/>
      <c r="M395" s="1464"/>
      <c r="N395" s="1464"/>
      <c r="O395" s="1464"/>
      <c r="P395" s="1464"/>
      <c r="Q395" s="1464"/>
      <c r="R395" s="1464"/>
      <c r="S395" s="1464"/>
      <c r="T395" s="1464"/>
      <c r="U395" s="1464"/>
      <c r="V395" s="1464"/>
      <c r="W395" s="1464"/>
      <c r="X395" s="1464"/>
      <c r="Y395" s="1464"/>
      <c r="Z395" s="1464"/>
      <c r="AA395" s="1464"/>
      <c r="AB395" s="1464"/>
    </row>
    <row r="396">
      <c r="A396" s="1464"/>
      <c r="B396" s="1464"/>
      <c r="C396" s="1464"/>
      <c r="D396" s="1464"/>
      <c r="E396" s="1464"/>
      <c r="F396" s="1464"/>
      <c r="G396" s="1464"/>
      <c r="H396" s="1464"/>
      <c r="I396" s="1464"/>
      <c r="J396" s="1464"/>
      <c r="K396" s="1464"/>
      <c r="L396" s="1464"/>
      <c r="M396" s="1464"/>
      <c r="N396" s="1464"/>
      <c r="O396" s="1464"/>
      <c r="P396" s="1464"/>
      <c r="Q396" s="1464"/>
      <c r="R396" s="1464"/>
      <c r="S396" s="1464"/>
      <c r="T396" s="1464"/>
      <c r="U396" s="1464"/>
      <c r="V396" s="1464"/>
      <c r="W396" s="1464"/>
      <c r="X396" s="1464"/>
      <c r="Y396" s="1464"/>
      <c r="Z396" s="1464"/>
      <c r="AA396" s="1464"/>
      <c r="AB396" s="1464"/>
    </row>
    <row r="397">
      <c r="A397" s="1464"/>
      <c r="B397" s="1464"/>
      <c r="C397" s="1464"/>
      <c r="D397" s="1464"/>
      <c r="E397" s="1464"/>
      <c r="F397" s="1464"/>
      <c r="G397" s="1464"/>
      <c r="H397" s="1464"/>
      <c r="I397" s="1464"/>
      <c r="J397" s="1464"/>
      <c r="K397" s="1464"/>
      <c r="L397" s="1464"/>
      <c r="M397" s="1464"/>
      <c r="N397" s="1464"/>
      <c r="O397" s="1464"/>
      <c r="P397" s="1464"/>
      <c r="Q397" s="1464"/>
      <c r="R397" s="1464"/>
      <c r="S397" s="1464"/>
      <c r="T397" s="1464"/>
      <c r="U397" s="1464"/>
      <c r="V397" s="1464"/>
      <c r="W397" s="1464"/>
      <c r="X397" s="1464"/>
      <c r="Y397" s="1464"/>
      <c r="Z397" s="1464"/>
      <c r="AA397" s="1464"/>
      <c r="AB397" s="1464"/>
    </row>
    <row r="398">
      <c r="A398" s="1464"/>
      <c r="B398" s="1464"/>
      <c r="C398" s="1464"/>
      <c r="D398" s="1464"/>
      <c r="E398" s="1464"/>
      <c r="F398" s="1464"/>
      <c r="G398" s="1464"/>
      <c r="H398" s="1464"/>
      <c r="I398" s="1464"/>
      <c r="J398" s="1464"/>
      <c r="K398" s="1464"/>
      <c r="L398" s="1464"/>
      <c r="M398" s="1464"/>
      <c r="N398" s="1464"/>
      <c r="O398" s="1464"/>
      <c r="P398" s="1464"/>
      <c r="Q398" s="1464"/>
      <c r="R398" s="1464"/>
      <c r="S398" s="1464"/>
      <c r="T398" s="1464"/>
      <c r="U398" s="1464"/>
      <c r="V398" s="1464"/>
      <c r="W398" s="1464"/>
      <c r="X398" s="1464"/>
      <c r="Y398" s="1464"/>
      <c r="Z398" s="1464"/>
      <c r="AA398" s="1464"/>
      <c r="AB398" s="1464"/>
    </row>
    <row r="399">
      <c r="A399" s="1464"/>
      <c r="B399" s="1464"/>
      <c r="C399" s="1464"/>
      <c r="D399" s="1464"/>
      <c r="E399" s="1464"/>
      <c r="F399" s="1464"/>
      <c r="G399" s="1464"/>
      <c r="H399" s="1464"/>
      <c r="I399" s="1464"/>
      <c r="J399" s="1464"/>
      <c r="K399" s="1464"/>
      <c r="L399" s="1464"/>
      <c r="M399" s="1464"/>
      <c r="N399" s="1464"/>
      <c r="O399" s="1464"/>
      <c r="P399" s="1464"/>
      <c r="Q399" s="1464"/>
      <c r="R399" s="1464"/>
      <c r="S399" s="1464"/>
      <c r="T399" s="1464"/>
      <c r="U399" s="1464"/>
      <c r="V399" s="1464"/>
      <c r="W399" s="1464"/>
      <c r="X399" s="1464"/>
      <c r="Y399" s="1464"/>
      <c r="Z399" s="1464"/>
      <c r="AA399" s="1464"/>
      <c r="AB399" s="1464"/>
    </row>
    <row r="400">
      <c r="A400" s="1464"/>
      <c r="B400" s="1464"/>
      <c r="C400" s="1464"/>
      <c r="D400" s="1464"/>
      <c r="E400" s="1464"/>
      <c r="F400" s="1464"/>
      <c r="G400" s="1464"/>
      <c r="H400" s="1464"/>
      <c r="I400" s="1464"/>
      <c r="J400" s="1464"/>
      <c r="K400" s="1464"/>
      <c r="L400" s="1464"/>
      <c r="M400" s="1464"/>
      <c r="N400" s="1464"/>
      <c r="O400" s="1464"/>
      <c r="P400" s="1464"/>
      <c r="Q400" s="1464"/>
      <c r="R400" s="1464"/>
      <c r="S400" s="1464"/>
      <c r="T400" s="1464"/>
      <c r="U400" s="1464"/>
      <c r="V400" s="1464"/>
      <c r="W400" s="1464"/>
      <c r="X400" s="1464"/>
      <c r="Y400" s="1464"/>
      <c r="Z400" s="1464"/>
      <c r="AA400" s="1464"/>
      <c r="AB400" s="1464"/>
    </row>
    <row r="401">
      <c r="A401" s="1464"/>
      <c r="B401" s="1464"/>
      <c r="C401" s="1464"/>
      <c r="D401" s="1464"/>
      <c r="E401" s="1464"/>
      <c r="F401" s="1464"/>
      <c r="G401" s="1464"/>
      <c r="H401" s="1464"/>
      <c r="I401" s="1464"/>
      <c r="J401" s="1464"/>
      <c r="K401" s="1464"/>
      <c r="L401" s="1464"/>
      <c r="M401" s="1464"/>
      <c r="N401" s="1464"/>
      <c r="O401" s="1464"/>
      <c r="P401" s="1464"/>
      <c r="Q401" s="1464"/>
      <c r="R401" s="1464"/>
      <c r="S401" s="1464"/>
      <c r="T401" s="1464"/>
      <c r="U401" s="1464"/>
      <c r="V401" s="1464"/>
      <c r="W401" s="1464"/>
      <c r="X401" s="1464"/>
      <c r="Y401" s="1464"/>
      <c r="Z401" s="1464"/>
      <c r="AA401" s="1464"/>
      <c r="AB401" s="1464"/>
    </row>
    <row r="402">
      <c r="A402" s="1464"/>
      <c r="B402" s="1464"/>
      <c r="C402" s="1464"/>
      <c r="D402" s="1464"/>
      <c r="E402" s="1464"/>
      <c r="F402" s="1464"/>
      <c r="G402" s="1464"/>
      <c r="H402" s="1464"/>
      <c r="I402" s="1464"/>
      <c r="J402" s="1464"/>
      <c r="K402" s="1464"/>
      <c r="L402" s="1464"/>
      <c r="M402" s="1464"/>
      <c r="N402" s="1464"/>
      <c r="O402" s="1464"/>
      <c r="P402" s="1464"/>
      <c r="Q402" s="1464"/>
      <c r="R402" s="1464"/>
      <c r="S402" s="1464"/>
      <c r="T402" s="1464"/>
      <c r="U402" s="1464"/>
      <c r="V402" s="1464"/>
      <c r="W402" s="1464"/>
      <c r="X402" s="1464"/>
      <c r="Y402" s="1464"/>
      <c r="Z402" s="1464"/>
      <c r="AA402" s="1464"/>
      <c r="AB402" s="1464"/>
    </row>
    <row r="403">
      <c r="A403" s="1464"/>
      <c r="B403" s="1464"/>
      <c r="C403" s="1464"/>
      <c r="D403" s="1464"/>
      <c r="E403" s="1464"/>
      <c r="F403" s="1464"/>
      <c r="G403" s="1464"/>
      <c r="H403" s="1464"/>
      <c r="I403" s="1464"/>
      <c r="J403" s="1464"/>
      <c r="K403" s="1464"/>
      <c r="L403" s="1464"/>
      <c r="M403" s="1464"/>
      <c r="N403" s="1464"/>
      <c r="O403" s="1464"/>
      <c r="P403" s="1464"/>
      <c r="Q403" s="1464"/>
      <c r="R403" s="1464"/>
      <c r="S403" s="1464"/>
      <c r="T403" s="1464"/>
      <c r="U403" s="1464"/>
      <c r="V403" s="1464"/>
      <c r="W403" s="1464"/>
      <c r="X403" s="1464"/>
      <c r="Y403" s="1464"/>
      <c r="Z403" s="1464"/>
      <c r="AA403" s="1464"/>
      <c r="AB403" s="1464"/>
    </row>
    <row r="404">
      <c r="A404" s="1464"/>
      <c r="B404" s="1464"/>
      <c r="C404" s="1464"/>
      <c r="D404" s="1464"/>
      <c r="E404" s="1464"/>
      <c r="F404" s="1464"/>
      <c r="G404" s="1464"/>
      <c r="H404" s="1464"/>
      <c r="I404" s="1464"/>
      <c r="J404" s="1464"/>
      <c r="K404" s="1464"/>
      <c r="L404" s="1464"/>
      <c r="M404" s="1464"/>
      <c r="N404" s="1464"/>
      <c r="O404" s="1464"/>
      <c r="P404" s="1464"/>
      <c r="Q404" s="1464"/>
      <c r="R404" s="1464"/>
      <c r="S404" s="1464"/>
      <c r="T404" s="1464"/>
      <c r="U404" s="1464"/>
      <c r="V404" s="1464"/>
      <c r="W404" s="1464"/>
      <c r="X404" s="1464"/>
      <c r="Y404" s="1464"/>
      <c r="Z404" s="1464"/>
      <c r="AA404" s="1464"/>
      <c r="AB404" s="1464"/>
    </row>
    <row r="405">
      <c r="A405" s="1464"/>
      <c r="B405" s="1464"/>
      <c r="C405" s="1464"/>
      <c r="D405" s="1464"/>
      <c r="E405" s="1464"/>
      <c r="F405" s="1464"/>
      <c r="G405" s="1464"/>
      <c r="H405" s="1464"/>
      <c r="I405" s="1464"/>
      <c r="J405" s="1464"/>
      <c r="K405" s="1464"/>
      <c r="L405" s="1464"/>
      <c r="M405" s="1464"/>
      <c r="N405" s="1464"/>
      <c r="O405" s="1464"/>
      <c r="P405" s="1464"/>
      <c r="Q405" s="1464"/>
      <c r="R405" s="1464"/>
      <c r="S405" s="1464"/>
      <c r="T405" s="1464"/>
      <c r="U405" s="1464"/>
      <c r="V405" s="1464"/>
      <c r="W405" s="1464"/>
      <c r="X405" s="1464"/>
      <c r="Y405" s="1464"/>
      <c r="Z405" s="1464"/>
      <c r="AA405" s="1464"/>
      <c r="AB405" s="1464"/>
    </row>
    <row r="406">
      <c r="A406" s="1464"/>
      <c r="B406" s="1464"/>
      <c r="C406" s="1464"/>
      <c r="D406" s="1464"/>
      <c r="E406" s="1464"/>
      <c r="F406" s="1464"/>
      <c r="G406" s="1464"/>
      <c r="H406" s="1464"/>
      <c r="I406" s="1464"/>
      <c r="J406" s="1464"/>
      <c r="K406" s="1464"/>
      <c r="L406" s="1464"/>
      <c r="M406" s="1464"/>
      <c r="N406" s="1464"/>
      <c r="O406" s="1464"/>
      <c r="P406" s="1464"/>
      <c r="Q406" s="1464"/>
      <c r="R406" s="1464"/>
      <c r="S406" s="1464"/>
      <c r="T406" s="1464"/>
      <c r="U406" s="1464"/>
      <c r="V406" s="1464"/>
      <c r="W406" s="1464"/>
      <c r="X406" s="1464"/>
      <c r="Y406" s="1464"/>
      <c r="Z406" s="1464"/>
      <c r="AA406" s="1464"/>
      <c r="AB406" s="1464"/>
    </row>
    <row r="407">
      <c r="A407" s="1464"/>
      <c r="B407" s="1464"/>
      <c r="C407" s="1464"/>
      <c r="D407" s="1464"/>
      <c r="E407" s="1464"/>
      <c r="F407" s="1464"/>
      <c r="G407" s="1464"/>
      <c r="H407" s="1464"/>
      <c r="I407" s="1464"/>
      <c r="J407" s="1464"/>
      <c r="K407" s="1464"/>
      <c r="L407" s="1464"/>
      <c r="M407" s="1464"/>
      <c r="N407" s="1464"/>
      <c r="O407" s="1464"/>
      <c r="P407" s="1464"/>
      <c r="Q407" s="1464"/>
      <c r="R407" s="1464"/>
      <c r="S407" s="1464"/>
      <c r="T407" s="1464"/>
      <c r="U407" s="1464"/>
      <c r="V407" s="1464"/>
      <c r="W407" s="1464"/>
      <c r="X407" s="1464"/>
      <c r="Y407" s="1464"/>
      <c r="Z407" s="1464"/>
      <c r="AA407" s="1464"/>
      <c r="AB407" s="1464"/>
    </row>
    <row r="408">
      <c r="A408" s="1464"/>
      <c r="B408" s="1464"/>
      <c r="C408" s="1464"/>
      <c r="D408" s="1464"/>
      <c r="E408" s="1464"/>
      <c r="F408" s="1464"/>
      <c r="G408" s="1464"/>
      <c r="H408" s="1464"/>
      <c r="I408" s="1464"/>
      <c r="J408" s="1464"/>
      <c r="K408" s="1464"/>
      <c r="L408" s="1464"/>
      <c r="M408" s="1464"/>
      <c r="N408" s="1464"/>
      <c r="O408" s="1464"/>
      <c r="P408" s="1464"/>
      <c r="Q408" s="1464"/>
      <c r="R408" s="1464"/>
      <c r="S408" s="1464"/>
      <c r="T408" s="1464"/>
      <c r="U408" s="1464"/>
      <c r="V408" s="1464"/>
      <c r="W408" s="1464"/>
      <c r="X408" s="1464"/>
      <c r="Y408" s="1464"/>
      <c r="Z408" s="1464"/>
      <c r="AA408" s="1464"/>
      <c r="AB408" s="1464"/>
    </row>
    <row r="409">
      <c r="A409" s="1464"/>
      <c r="B409" s="1464"/>
      <c r="C409" s="1464"/>
      <c r="D409" s="1464"/>
      <c r="E409" s="1464"/>
      <c r="F409" s="1464"/>
      <c r="G409" s="1464"/>
      <c r="H409" s="1464"/>
      <c r="I409" s="1464"/>
      <c r="J409" s="1464"/>
      <c r="K409" s="1464"/>
      <c r="L409" s="1464"/>
      <c r="M409" s="1464"/>
      <c r="N409" s="1464"/>
      <c r="O409" s="1464"/>
      <c r="P409" s="1464"/>
      <c r="Q409" s="1464"/>
      <c r="R409" s="1464"/>
      <c r="S409" s="1464"/>
      <c r="T409" s="1464"/>
      <c r="U409" s="1464"/>
      <c r="V409" s="1464"/>
      <c r="W409" s="1464"/>
      <c r="X409" s="1464"/>
      <c r="Y409" s="1464"/>
      <c r="Z409" s="1464"/>
      <c r="AA409" s="1464"/>
      <c r="AB409" s="1464"/>
    </row>
    <row r="410">
      <c r="A410" s="1464"/>
      <c r="B410" s="1464"/>
      <c r="C410" s="1464"/>
      <c r="D410" s="1464"/>
      <c r="E410" s="1464"/>
      <c r="F410" s="1464"/>
      <c r="G410" s="1464"/>
      <c r="H410" s="1464"/>
      <c r="I410" s="1464"/>
      <c r="J410" s="1464"/>
      <c r="K410" s="1464"/>
      <c r="L410" s="1464"/>
      <c r="M410" s="1464"/>
      <c r="N410" s="1464"/>
      <c r="O410" s="1464"/>
      <c r="P410" s="1464"/>
      <c r="Q410" s="1464"/>
      <c r="R410" s="1464"/>
      <c r="S410" s="1464"/>
      <c r="T410" s="1464"/>
      <c r="U410" s="1464"/>
      <c r="V410" s="1464"/>
      <c r="W410" s="1464"/>
      <c r="X410" s="1464"/>
      <c r="Y410" s="1464"/>
      <c r="Z410" s="1464"/>
      <c r="AA410" s="1464"/>
      <c r="AB410" s="1464"/>
    </row>
    <row r="411">
      <c r="A411" s="1464"/>
      <c r="B411" s="1464"/>
      <c r="C411" s="1464"/>
      <c r="D411" s="1464"/>
      <c r="E411" s="1464"/>
      <c r="F411" s="1464"/>
      <c r="G411" s="1464"/>
      <c r="H411" s="1464"/>
      <c r="I411" s="1464"/>
      <c r="J411" s="1464"/>
      <c r="K411" s="1464"/>
      <c r="L411" s="1464"/>
      <c r="M411" s="1464"/>
      <c r="N411" s="1464"/>
      <c r="O411" s="1464"/>
      <c r="P411" s="1464"/>
      <c r="Q411" s="1464"/>
      <c r="R411" s="1464"/>
      <c r="S411" s="1464"/>
      <c r="T411" s="1464"/>
      <c r="U411" s="1464"/>
      <c r="V411" s="1464"/>
      <c r="W411" s="1464"/>
      <c r="X411" s="1464"/>
      <c r="Y411" s="1464"/>
      <c r="Z411" s="1464"/>
      <c r="AA411" s="1464"/>
      <c r="AB411" s="1464"/>
    </row>
    <row r="412">
      <c r="A412" s="1464"/>
      <c r="B412" s="1464"/>
      <c r="C412" s="1464"/>
      <c r="D412" s="1464"/>
      <c r="E412" s="1464"/>
      <c r="F412" s="1464"/>
      <c r="G412" s="1464"/>
      <c r="H412" s="1464"/>
      <c r="I412" s="1464"/>
      <c r="J412" s="1464"/>
      <c r="K412" s="1464"/>
      <c r="L412" s="1464"/>
      <c r="M412" s="1464"/>
      <c r="N412" s="1464"/>
      <c r="O412" s="1464"/>
      <c r="P412" s="1464"/>
      <c r="Q412" s="1464"/>
      <c r="R412" s="1464"/>
      <c r="S412" s="1464"/>
      <c r="T412" s="1464"/>
      <c r="U412" s="1464"/>
      <c r="V412" s="1464"/>
      <c r="W412" s="1464"/>
      <c r="X412" s="1464"/>
      <c r="Y412" s="1464"/>
      <c r="Z412" s="1464"/>
      <c r="AA412" s="1464"/>
      <c r="AB412" s="1464"/>
    </row>
    <row r="413">
      <c r="A413" s="1464"/>
      <c r="B413" s="1464"/>
      <c r="C413" s="1464"/>
      <c r="D413" s="1464"/>
      <c r="E413" s="1464"/>
      <c r="F413" s="1464"/>
      <c r="G413" s="1464"/>
      <c r="H413" s="1464"/>
      <c r="I413" s="1464"/>
      <c r="J413" s="1464"/>
      <c r="K413" s="1464"/>
      <c r="L413" s="1464"/>
      <c r="M413" s="1464"/>
      <c r="N413" s="1464"/>
      <c r="O413" s="1464"/>
      <c r="P413" s="1464"/>
      <c r="Q413" s="1464"/>
      <c r="R413" s="1464"/>
      <c r="S413" s="1464"/>
      <c r="T413" s="1464"/>
      <c r="U413" s="1464"/>
      <c r="V413" s="1464"/>
      <c r="W413" s="1464"/>
      <c r="X413" s="1464"/>
      <c r="Y413" s="1464"/>
      <c r="Z413" s="1464"/>
      <c r="AA413" s="1464"/>
      <c r="AB413" s="1464"/>
    </row>
    <row r="414">
      <c r="A414" s="1464"/>
      <c r="B414" s="1464"/>
      <c r="C414" s="1464"/>
      <c r="D414" s="1464"/>
      <c r="E414" s="1464"/>
      <c r="F414" s="1464"/>
      <c r="G414" s="1464"/>
      <c r="H414" s="1464"/>
      <c r="I414" s="1464"/>
      <c r="J414" s="1464"/>
      <c r="K414" s="1464"/>
      <c r="L414" s="1464"/>
      <c r="M414" s="1464"/>
      <c r="N414" s="1464"/>
      <c r="O414" s="1464"/>
      <c r="P414" s="1464"/>
      <c r="Q414" s="1464"/>
      <c r="R414" s="1464"/>
      <c r="S414" s="1464"/>
      <c r="T414" s="1464"/>
      <c r="U414" s="1464"/>
      <c r="V414" s="1464"/>
      <c r="W414" s="1464"/>
      <c r="X414" s="1464"/>
      <c r="Y414" s="1464"/>
      <c r="Z414" s="1464"/>
      <c r="AA414" s="1464"/>
      <c r="AB414" s="1464"/>
    </row>
    <row r="415">
      <c r="A415" s="1464"/>
      <c r="B415" s="1464"/>
      <c r="C415" s="1464"/>
      <c r="D415" s="1464"/>
      <c r="E415" s="1464"/>
      <c r="F415" s="1464"/>
      <c r="G415" s="1464"/>
      <c r="H415" s="1464"/>
      <c r="I415" s="1464"/>
      <c r="J415" s="1464"/>
      <c r="K415" s="1464"/>
      <c r="L415" s="1464"/>
      <c r="M415" s="1464"/>
      <c r="N415" s="1464"/>
      <c r="O415" s="1464"/>
      <c r="P415" s="1464"/>
      <c r="Q415" s="1464"/>
      <c r="R415" s="1464"/>
      <c r="S415" s="1464"/>
      <c r="T415" s="1464"/>
      <c r="U415" s="1464"/>
      <c r="V415" s="1464"/>
      <c r="W415" s="1464"/>
      <c r="X415" s="1464"/>
      <c r="Y415" s="1464"/>
      <c r="Z415" s="1464"/>
      <c r="AA415" s="1464"/>
      <c r="AB415" s="1464"/>
    </row>
    <row r="416">
      <c r="A416" s="1464"/>
      <c r="B416" s="1464"/>
      <c r="C416" s="1464"/>
      <c r="D416" s="1464"/>
      <c r="E416" s="1464"/>
      <c r="F416" s="1464"/>
      <c r="G416" s="1464"/>
      <c r="H416" s="1464"/>
      <c r="I416" s="1464"/>
      <c r="J416" s="1464"/>
      <c r="K416" s="1464"/>
      <c r="L416" s="1464"/>
      <c r="M416" s="1464"/>
      <c r="N416" s="1464"/>
      <c r="O416" s="1464"/>
      <c r="P416" s="1464"/>
      <c r="Q416" s="1464"/>
      <c r="R416" s="1464"/>
      <c r="S416" s="1464"/>
      <c r="T416" s="1464"/>
      <c r="U416" s="1464"/>
      <c r="V416" s="1464"/>
      <c r="W416" s="1464"/>
      <c r="X416" s="1464"/>
      <c r="Y416" s="1464"/>
      <c r="Z416" s="1464"/>
      <c r="AA416" s="1464"/>
      <c r="AB416" s="1464"/>
    </row>
    <row r="417">
      <c r="A417" s="1464"/>
      <c r="B417" s="1464"/>
      <c r="C417" s="1464"/>
      <c r="D417" s="1464"/>
      <c r="E417" s="1464"/>
      <c r="F417" s="1464"/>
      <c r="G417" s="1464"/>
      <c r="H417" s="1464"/>
      <c r="I417" s="1464"/>
      <c r="J417" s="1464"/>
      <c r="K417" s="1464"/>
      <c r="L417" s="1464"/>
      <c r="M417" s="1464"/>
      <c r="N417" s="1464"/>
      <c r="O417" s="1464"/>
      <c r="P417" s="1464"/>
      <c r="Q417" s="1464"/>
      <c r="R417" s="1464"/>
      <c r="S417" s="1464"/>
      <c r="T417" s="1464"/>
      <c r="U417" s="1464"/>
      <c r="V417" s="1464"/>
      <c r="W417" s="1464"/>
      <c r="X417" s="1464"/>
      <c r="Y417" s="1464"/>
      <c r="Z417" s="1464"/>
      <c r="AA417" s="1464"/>
      <c r="AB417" s="1464"/>
    </row>
    <row r="418">
      <c r="A418" s="1464"/>
      <c r="B418" s="1464"/>
      <c r="C418" s="1464"/>
      <c r="D418" s="1464"/>
      <c r="E418" s="1464"/>
      <c r="F418" s="1464"/>
      <c r="G418" s="1464"/>
      <c r="H418" s="1464"/>
      <c r="I418" s="1464"/>
      <c r="J418" s="1464"/>
      <c r="K418" s="1464"/>
      <c r="L418" s="1464"/>
      <c r="M418" s="1464"/>
      <c r="N418" s="1464"/>
      <c r="O418" s="1464"/>
      <c r="P418" s="1464"/>
      <c r="Q418" s="1464"/>
      <c r="R418" s="1464"/>
      <c r="S418" s="1464"/>
      <c r="T418" s="1464"/>
      <c r="U418" s="1464"/>
      <c r="V418" s="1464"/>
      <c r="W418" s="1464"/>
      <c r="X418" s="1464"/>
      <c r="Y418" s="1464"/>
      <c r="Z418" s="1464"/>
      <c r="AA418" s="1464"/>
      <c r="AB418" s="1464"/>
    </row>
    <row r="419">
      <c r="A419" s="1464"/>
      <c r="B419" s="1464"/>
      <c r="C419" s="1464"/>
      <c r="D419" s="1464"/>
      <c r="E419" s="1464"/>
      <c r="F419" s="1464"/>
      <c r="G419" s="1464"/>
      <c r="H419" s="1464"/>
      <c r="I419" s="1464"/>
      <c r="J419" s="1464"/>
      <c r="K419" s="1464"/>
      <c r="L419" s="1464"/>
      <c r="M419" s="1464"/>
      <c r="N419" s="1464"/>
      <c r="O419" s="1464"/>
      <c r="P419" s="1464"/>
      <c r="Q419" s="1464"/>
      <c r="R419" s="1464"/>
      <c r="S419" s="1464"/>
      <c r="T419" s="1464"/>
      <c r="U419" s="1464"/>
      <c r="V419" s="1464"/>
      <c r="W419" s="1464"/>
      <c r="X419" s="1464"/>
      <c r="Y419" s="1464"/>
      <c r="Z419" s="1464"/>
      <c r="AA419" s="1464"/>
      <c r="AB419" s="1464"/>
    </row>
    <row r="420">
      <c r="A420" s="1464"/>
      <c r="B420" s="1464"/>
      <c r="C420" s="1464"/>
      <c r="D420" s="1464"/>
      <c r="E420" s="1464"/>
      <c r="F420" s="1464"/>
      <c r="G420" s="1464"/>
      <c r="H420" s="1464"/>
      <c r="I420" s="1464"/>
      <c r="J420" s="1464"/>
      <c r="K420" s="1464"/>
      <c r="L420" s="1464"/>
      <c r="M420" s="1464"/>
      <c r="N420" s="1464"/>
      <c r="O420" s="1464"/>
      <c r="P420" s="1464"/>
      <c r="Q420" s="1464"/>
      <c r="R420" s="1464"/>
      <c r="S420" s="1464"/>
      <c r="T420" s="1464"/>
      <c r="U420" s="1464"/>
      <c r="V420" s="1464"/>
      <c r="W420" s="1464"/>
      <c r="X420" s="1464"/>
      <c r="Y420" s="1464"/>
      <c r="Z420" s="1464"/>
      <c r="AA420" s="1464"/>
      <c r="AB420" s="1464"/>
    </row>
    <row r="421">
      <c r="A421" s="1464"/>
      <c r="B421" s="1464"/>
      <c r="C421" s="1464"/>
      <c r="D421" s="1464"/>
      <c r="E421" s="1464"/>
      <c r="F421" s="1464"/>
      <c r="G421" s="1464"/>
      <c r="H421" s="1464"/>
      <c r="I421" s="1464"/>
      <c r="J421" s="1464"/>
      <c r="K421" s="1464"/>
      <c r="L421" s="1464"/>
      <c r="M421" s="1464"/>
      <c r="N421" s="1464"/>
      <c r="O421" s="1464"/>
      <c r="P421" s="1464"/>
      <c r="Q421" s="1464"/>
      <c r="R421" s="1464"/>
      <c r="S421" s="1464"/>
      <c r="T421" s="1464"/>
      <c r="U421" s="1464"/>
      <c r="V421" s="1464"/>
      <c r="W421" s="1464"/>
      <c r="X421" s="1464"/>
      <c r="Y421" s="1464"/>
      <c r="Z421" s="1464"/>
      <c r="AA421" s="1464"/>
      <c r="AB421" s="1464"/>
    </row>
    <row r="422">
      <c r="A422" s="1464"/>
      <c r="B422" s="1464"/>
      <c r="C422" s="1464"/>
      <c r="D422" s="1464"/>
      <c r="E422" s="1464"/>
      <c r="F422" s="1464"/>
      <c r="G422" s="1464"/>
      <c r="H422" s="1464"/>
      <c r="I422" s="1464"/>
      <c r="J422" s="1464"/>
      <c r="K422" s="1464"/>
      <c r="L422" s="1464"/>
      <c r="M422" s="1464"/>
      <c r="N422" s="1464"/>
      <c r="O422" s="1464"/>
      <c r="P422" s="1464"/>
      <c r="Q422" s="1464"/>
      <c r="R422" s="1464"/>
      <c r="S422" s="1464"/>
      <c r="T422" s="1464"/>
      <c r="U422" s="1464"/>
      <c r="V422" s="1464"/>
      <c r="W422" s="1464"/>
      <c r="X422" s="1464"/>
      <c r="Y422" s="1464"/>
      <c r="Z422" s="1464"/>
      <c r="AA422" s="1464"/>
      <c r="AB422" s="1464"/>
    </row>
    <row r="423">
      <c r="A423" s="1464"/>
      <c r="B423" s="1464"/>
      <c r="C423" s="1464"/>
      <c r="D423" s="1464"/>
      <c r="E423" s="1464"/>
      <c r="F423" s="1464"/>
      <c r="G423" s="1464"/>
      <c r="H423" s="1464"/>
      <c r="I423" s="1464"/>
      <c r="J423" s="1464"/>
      <c r="K423" s="1464"/>
      <c r="L423" s="1464"/>
      <c r="M423" s="1464"/>
      <c r="N423" s="1464"/>
      <c r="O423" s="1464"/>
      <c r="P423" s="1464"/>
      <c r="Q423" s="1464"/>
      <c r="R423" s="1464"/>
      <c r="S423" s="1464"/>
      <c r="T423" s="1464"/>
      <c r="U423" s="1464"/>
      <c r="V423" s="1464"/>
      <c r="W423" s="1464"/>
      <c r="X423" s="1464"/>
      <c r="Y423" s="1464"/>
      <c r="Z423" s="1464"/>
      <c r="AA423" s="1464"/>
      <c r="AB423" s="1464"/>
    </row>
    <row r="424">
      <c r="A424" s="1464"/>
      <c r="B424" s="1464"/>
      <c r="C424" s="1464"/>
      <c r="D424" s="1464"/>
      <c r="E424" s="1464"/>
      <c r="F424" s="1464"/>
      <c r="G424" s="1464"/>
      <c r="H424" s="1464"/>
      <c r="I424" s="1464"/>
      <c r="J424" s="1464"/>
      <c r="K424" s="1464"/>
      <c r="L424" s="1464"/>
      <c r="M424" s="1464"/>
      <c r="N424" s="1464"/>
      <c r="O424" s="1464"/>
      <c r="P424" s="1464"/>
      <c r="Q424" s="1464"/>
      <c r="R424" s="1464"/>
      <c r="S424" s="1464"/>
      <c r="T424" s="1464"/>
      <c r="U424" s="1464"/>
      <c r="V424" s="1464"/>
      <c r="W424" s="1464"/>
      <c r="X424" s="1464"/>
      <c r="Y424" s="1464"/>
      <c r="Z424" s="1464"/>
      <c r="AA424" s="1464"/>
      <c r="AB424" s="1464"/>
    </row>
    <row r="425">
      <c r="A425" s="1464"/>
      <c r="B425" s="1464"/>
      <c r="C425" s="1464"/>
      <c r="D425" s="1464"/>
      <c r="E425" s="1464"/>
      <c r="F425" s="1464"/>
      <c r="G425" s="1464"/>
      <c r="H425" s="1464"/>
      <c r="I425" s="1464"/>
      <c r="J425" s="1464"/>
      <c r="K425" s="1464"/>
      <c r="L425" s="1464"/>
      <c r="M425" s="1464"/>
      <c r="N425" s="1464"/>
      <c r="O425" s="1464"/>
      <c r="P425" s="1464"/>
      <c r="Q425" s="1464"/>
      <c r="R425" s="1464"/>
      <c r="S425" s="1464"/>
      <c r="T425" s="1464"/>
      <c r="U425" s="1464"/>
      <c r="V425" s="1464"/>
      <c r="W425" s="1464"/>
      <c r="X425" s="1464"/>
      <c r="Y425" s="1464"/>
      <c r="Z425" s="1464"/>
      <c r="AA425" s="1464"/>
      <c r="AB425" s="1464"/>
    </row>
    <row r="426">
      <c r="A426" s="1464"/>
      <c r="B426" s="1464"/>
      <c r="C426" s="1464"/>
      <c r="D426" s="1464"/>
      <c r="E426" s="1464"/>
      <c r="F426" s="1464"/>
      <c r="G426" s="1464"/>
      <c r="H426" s="1464"/>
      <c r="I426" s="1464"/>
      <c r="J426" s="1464"/>
      <c r="K426" s="1464"/>
      <c r="L426" s="1464"/>
      <c r="M426" s="1464"/>
      <c r="N426" s="1464"/>
      <c r="O426" s="1464"/>
      <c r="P426" s="1464"/>
      <c r="Q426" s="1464"/>
      <c r="R426" s="1464"/>
      <c r="S426" s="1464"/>
      <c r="T426" s="1464"/>
      <c r="U426" s="1464"/>
      <c r="V426" s="1464"/>
      <c r="W426" s="1464"/>
      <c r="X426" s="1464"/>
      <c r="Y426" s="1464"/>
      <c r="Z426" s="1464"/>
      <c r="AA426" s="1464"/>
      <c r="AB426" s="1464"/>
    </row>
    <row r="427">
      <c r="A427" s="1464"/>
      <c r="B427" s="1464"/>
      <c r="C427" s="1464"/>
      <c r="D427" s="1464"/>
      <c r="E427" s="1464"/>
      <c r="F427" s="1464"/>
      <c r="G427" s="1464"/>
      <c r="H427" s="1464"/>
      <c r="I427" s="1464"/>
      <c r="J427" s="1464"/>
      <c r="K427" s="1464"/>
      <c r="L427" s="1464"/>
      <c r="M427" s="1464"/>
      <c r="N427" s="1464"/>
      <c r="O427" s="1464"/>
      <c r="P427" s="1464"/>
      <c r="Q427" s="1464"/>
      <c r="R427" s="1464"/>
      <c r="S427" s="1464"/>
      <c r="T427" s="1464"/>
      <c r="U427" s="1464"/>
      <c r="V427" s="1464"/>
      <c r="W427" s="1464"/>
      <c r="X427" s="1464"/>
      <c r="Y427" s="1464"/>
      <c r="Z427" s="1464"/>
      <c r="AA427" s="1464"/>
      <c r="AB427" s="1464"/>
    </row>
    <row r="428">
      <c r="A428" s="1464"/>
      <c r="B428" s="1464"/>
      <c r="C428" s="1464"/>
      <c r="D428" s="1464"/>
      <c r="E428" s="1464"/>
      <c r="F428" s="1464"/>
      <c r="G428" s="1464"/>
      <c r="H428" s="1464"/>
      <c r="I428" s="1464"/>
      <c r="J428" s="1464"/>
      <c r="K428" s="1464"/>
      <c r="L428" s="1464"/>
      <c r="M428" s="1464"/>
      <c r="N428" s="1464"/>
      <c r="O428" s="1464"/>
      <c r="P428" s="1464"/>
      <c r="Q428" s="1464"/>
      <c r="R428" s="1464"/>
      <c r="S428" s="1464"/>
      <c r="T428" s="1464"/>
      <c r="U428" s="1464"/>
      <c r="V428" s="1464"/>
      <c r="W428" s="1464"/>
      <c r="X428" s="1464"/>
      <c r="Y428" s="1464"/>
      <c r="Z428" s="1464"/>
      <c r="AA428" s="1464"/>
      <c r="AB428" s="1464"/>
    </row>
    <row r="429">
      <c r="A429" s="1464"/>
      <c r="B429" s="1464"/>
      <c r="C429" s="1464"/>
      <c r="D429" s="1464"/>
      <c r="E429" s="1464"/>
      <c r="F429" s="1464"/>
      <c r="G429" s="1464"/>
      <c r="H429" s="1464"/>
      <c r="I429" s="1464"/>
      <c r="J429" s="1464"/>
      <c r="K429" s="1464"/>
      <c r="L429" s="1464"/>
      <c r="M429" s="1464"/>
      <c r="N429" s="1464"/>
      <c r="O429" s="1464"/>
      <c r="P429" s="1464"/>
      <c r="Q429" s="1464"/>
      <c r="R429" s="1464"/>
      <c r="S429" s="1464"/>
      <c r="T429" s="1464"/>
      <c r="U429" s="1464"/>
      <c r="V429" s="1464"/>
      <c r="W429" s="1464"/>
      <c r="X429" s="1464"/>
      <c r="Y429" s="1464"/>
      <c r="Z429" s="1464"/>
      <c r="AA429" s="1464"/>
      <c r="AB429" s="1464"/>
    </row>
    <row r="430">
      <c r="A430" s="1464"/>
      <c r="B430" s="1464"/>
      <c r="C430" s="1464"/>
      <c r="D430" s="1464"/>
      <c r="E430" s="1464"/>
      <c r="F430" s="1464"/>
      <c r="G430" s="1464"/>
      <c r="H430" s="1464"/>
      <c r="I430" s="1464"/>
      <c r="J430" s="1464"/>
      <c r="K430" s="1464"/>
      <c r="L430" s="1464"/>
      <c r="M430" s="1464"/>
      <c r="N430" s="1464"/>
      <c r="O430" s="1464"/>
      <c r="P430" s="1464"/>
      <c r="Q430" s="1464"/>
      <c r="R430" s="1464"/>
      <c r="S430" s="1464"/>
      <c r="T430" s="1464"/>
      <c r="U430" s="1464"/>
      <c r="V430" s="1464"/>
      <c r="W430" s="1464"/>
      <c r="X430" s="1464"/>
      <c r="Y430" s="1464"/>
      <c r="Z430" s="1464"/>
      <c r="AA430" s="1464"/>
      <c r="AB430" s="1464"/>
    </row>
    <row r="431">
      <c r="A431" s="1464"/>
      <c r="B431" s="1464"/>
      <c r="C431" s="1464"/>
      <c r="D431" s="1464"/>
      <c r="E431" s="1464"/>
      <c r="F431" s="1464"/>
      <c r="G431" s="1464"/>
      <c r="H431" s="1464"/>
      <c r="I431" s="1464"/>
      <c r="J431" s="1464"/>
      <c r="K431" s="1464"/>
      <c r="L431" s="1464"/>
      <c r="M431" s="1464"/>
      <c r="N431" s="1464"/>
      <c r="O431" s="1464"/>
      <c r="P431" s="1464"/>
      <c r="Q431" s="1464"/>
      <c r="R431" s="1464"/>
      <c r="S431" s="1464"/>
      <c r="T431" s="1464"/>
      <c r="U431" s="1464"/>
      <c r="V431" s="1464"/>
      <c r="W431" s="1464"/>
      <c r="X431" s="1464"/>
      <c r="Y431" s="1464"/>
      <c r="Z431" s="1464"/>
      <c r="AA431" s="1464"/>
      <c r="AB431" s="1464"/>
    </row>
    <row r="432">
      <c r="A432" s="1464"/>
      <c r="B432" s="1464"/>
      <c r="C432" s="1464"/>
      <c r="D432" s="1464"/>
      <c r="E432" s="1464"/>
      <c r="F432" s="1464"/>
      <c r="G432" s="1464"/>
      <c r="H432" s="1464"/>
      <c r="I432" s="1464"/>
      <c r="J432" s="1464"/>
      <c r="K432" s="1464"/>
      <c r="L432" s="1464"/>
      <c r="M432" s="1464"/>
      <c r="N432" s="1464"/>
      <c r="O432" s="1464"/>
      <c r="P432" s="1464"/>
      <c r="Q432" s="1464"/>
      <c r="R432" s="1464"/>
      <c r="S432" s="1464"/>
      <c r="T432" s="1464"/>
      <c r="U432" s="1464"/>
      <c r="V432" s="1464"/>
      <c r="W432" s="1464"/>
      <c r="X432" s="1464"/>
      <c r="Y432" s="1464"/>
      <c r="Z432" s="1464"/>
      <c r="AA432" s="1464"/>
      <c r="AB432" s="1464"/>
    </row>
    <row r="433">
      <c r="A433" s="1464"/>
      <c r="B433" s="1464"/>
      <c r="C433" s="1464"/>
      <c r="D433" s="1464"/>
      <c r="E433" s="1464"/>
      <c r="F433" s="1464"/>
      <c r="G433" s="1464"/>
      <c r="H433" s="1464"/>
      <c r="I433" s="1464"/>
      <c r="J433" s="1464"/>
      <c r="K433" s="1464"/>
      <c r="L433" s="1464"/>
      <c r="M433" s="1464"/>
      <c r="N433" s="1464"/>
      <c r="O433" s="1464"/>
      <c r="P433" s="1464"/>
      <c r="Q433" s="1464"/>
      <c r="R433" s="1464"/>
      <c r="S433" s="1464"/>
      <c r="T433" s="1464"/>
      <c r="U433" s="1464"/>
      <c r="V433" s="1464"/>
      <c r="W433" s="1464"/>
      <c r="X433" s="1464"/>
      <c r="Y433" s="1464"/>
      <c r="Z433" s="1464"/>
      <c r="AA433" s="1464"/>
      <c r="AB433" s="1464"/>
    </row>
    <row r="434">
      <c r="A434" s="1464"/>
      <c r="B434" s="1464"/>
      <c r="C434" s="1464"/>
      <c r="D434" s="1464"/>
      <c r="E434" s="1464"/>
      <c r="F434" s="1464"/>
      <c r="G434" s="1464"/>
      <c r="H434" s="1464"/>
      <c r="I434" s="1464"/>
      <c r="J434" s="1464"/>
      <c r="K434" s="1464"/>
      <c r="L434" s="1464"/>
      <c r="M434" s="1464"/>
      <c r="N434" s="1464"/>
      <c r="O434" s="1464"/>
      <c r="P434" s="1464"/>
      <c r="Q434" s="1464"/>
      <c r="R434" s="1464"/>
      <c r="S434" s="1464"/>
      <c r="T434" s="1464"/>
      <c r="U434" s="1464"/>
      <c r="V434" s="1464"/>
      <c r="W434" s="1464"/>
      <c r="X434" s="1464"/>
      <c r="Y434" s="1464"/>
      <c r="Z434" s="1464"/>
      <c r="AA434" s="1464"/>
      <c r="AB434" s="1464"/>
    </row>
    <row r="435">
      <c r="A435" s="1464"/>
      <c r="B435" s="1464"/>
      <c r="C435" s="1464"/>
      <c r="D435" s="1464"/>
      <c r="E435" s="1464"/>
      <c r="F435" s="1464"/>
      <c r="G435" s="1464"/>
      <c r="H435" s="1464"/>
      <c r="I435" s="1464"/>
      <c r="J435" s="1464"/>
      <c r="K435" s="1464"/>
      <c r="L435" s="1464"/>
      <c r="M435" s="1464"/>
      <c r="N435" s="1464"/>
      <c r="O435" s="1464"/>
      <c r="P435" s="1464"/>
      <c r="Q435" s="1464"/>
      <c r="R435" s="1464"/>
      <c r="S435" s="1464"/>
      <c r="T435" s="1464"/>
      <c r="U435" s="1464"/>
      <c r="V435" s="1464"/>
      <c r="W435" s="1464"/>
      <c r="X435" s="1464"/>
      <c r="Y435" s="1464"/>
      <c r="Z435" s="1464"/>
      <c r="AA435" s="1464"/>
      <c r="AB435" s="1464"/>
    </row>
    <row r="436">
      <c r="A436" s="1464"/>
      <c r="B436" s="1464"/>
      <c r="C436" s="1464"/>
      <c r="D436" s="1464"/>
      <c r="E436" s="1464"/>
      <c r="F436" s="1464"/>
      <c r="G436" s="1464"/>
      <c r="H436" s="1464"/>
      <c r="I436" s="1464"/>
      <c r="J436" s="1464"/>
      <c r="K436" s="1464"/>
      <c r="L436" s="1464"/>
      <c r="M436" s="1464"/>
      <c r="N436" s="1464"/>
      <c r="O436" s="1464"/>
      <c r="P436" s="1464"/>
      <c r="Q436" s="1464"/>
      <c r="R436" s="1464"/>
      <c r="S436" s="1464"/>
      <c r="T436" s="1464"/>
      <c r="U436" s="1464"/>
      <c r="V436" s="1464"/>
      <c r="W436" s="1464"/>
      <c r="X436" s="1464"/>
      <c r="Y436" s="1464"/>
      <c r="Z436" s="1464"/>
      <c r="AA436" s="1464"/>
      <c r="AB436" s="1464"/>
    </row>
    <row r="437">
      <c r="A437" s="1464"/>
      <c r="B437" s="1464"/>
      <c r="C437" s="1464"/>
      <c r="D437" s="1464"/>
      <c r="E437" s="1464"/>
      <c r="F437" s="1464"/>
      <c r="G437" s="1464"/>
      <c r="H437" s="1464"/>
      <c r="I437" s="1464"/>
      <c r="J437" s="1464"/>
      <c r="K437" s="1464"/>
      <c r="L437" s="1464"/>
      <c r="M437" s="1464"/>
      <c r="N437" s="1464"/>
      <c r="O437" s="1464"/>
      <c r="P437" s="1464"/>
      <c r="Q437" s="1464"/>
      <c r="R437" s="1464"/>
      <c r="S437" s="1464"/>
      <c r="T437" s="1464"/>
      <c r="U437" s="1464"/>
      <c r="V437" s="1464"/>
      <c r="W437" s="1464"/>
      <c r="X437" s="1464"/>
      <c r="Y437" s="1464"/>
      <c r="Z437" s="1464"/>
      <c r="AA437" s="1464"/>
      <c r="AB437" s="1464"/>
    </row>
    <row r="438">
      <c r="A438" s="1464"/>
      <c r="B438" s="1464"/>
      <c r="C438" s="1464"/>
      <c r="D438" s="1464"/>
      <c r="E438" s="1464"/>
      <c r="F438" s="1464"/>
      <c r="G438" s="1464"/>
      <c r="H438" s="1464"/>
      <c r="I438" s="1464"/>
      <c r="J438" s="1464"/>
      <c r="K438" s="1464"/>
      <c r="L438" s="1464"/>
      <c r="M438" s="1464"/>
      <c r="N438" s="1464"/>
      <c r="O438" s="1464"/>
      <c r="P438" s="1464"/>
      <c r="Q438" s="1464"/>
      <c r="R438" s="1464"/>
      <c r="S438" s="1464"/>
      <c r="T438" s="1464"/>
      <c r="U438" s="1464"/>
      <c r="V438" s="1464"/>
      <c r="W438" s="1464"/>
      <c r="X438" s="1464"/>
      <c r="Y438" s="1464"/>
      <c r="Z438" s="1464"/>
      <c r="AA438" s="1464"/>
      <c r="AB438" s="1464"/>
    </row>
    <row r="439">
      <c r="A439" s="1464"/>
      <c r="B439" s="1464"/>
      <c r="C439" s="1464"/>
      <c r="D439" s="1464"/>
      <c r="E439" s="1464"/>
      <c r="F439" s="1464"/>
      <c r="G439" s="1464"/>
      <c r="H439" s="1464"/>
      <c r="I439" s="1464"/>
      <c r="J439" s="1464"/>
      <c r="K439" s="1464"/>
      <c r="L439" s="1464"/>
      <c r="M439" s="1464"/>
      <c r="N439" s="1464"/>
      <c r="O439" s="1464"/>
      <c r="P439" s="1464"/>
      <c r="Q439" s="1464"/>
      <c r="R439" s="1464"/>
      <c r="S439" s="1464"/>
      <c r="T439" s="1464"/>
      <c r="U439" s="1464"/>
      <c r="V439" s="1464"/>
      <c r="W439" s="1464"/>
      <c r="X439" s="1464"/>
      <c r="Y439" s="1464"/>
      <c r="Z439" s="1464"/>
      <c r="AA439" s="1464"/>
      <c r="AB439" s="1464"/>
    </row>
    <row r="440">
      <c r="A440" s="1464"/>
      <c r="B440" s="1464"/>
      <c r="C440" s="1464"/>
      <c r="D440" s="1464"/>
      <c r="E440" s="1464"/>
      <c r="F440" s="1464"/>
      <c r="G440" s="1464"/>
      <c r="H440" s="1464"/>
      <c r="I440" s="1464"/>
      <c r="J440" s="1464"/>
      <c r="K440" s="1464"/>
      <c r="L440" s="1464"/>
      <c r="M440" s="1464"/>
      <c r="N440" s="1464"/>
      <c r="O440" s="1464"/>
      <c r="P440" s="1464"/>
      <c r="Q440" s="1464"/>
      <c r="R440" s="1464"/>
      <c r="S440" s="1464"/>
      <c r="T440" s="1464"/>
      <c r="U440" s="1464"/>
      <c r="V440" s="1464"/>
      <c r="W440" s="1464"/>
      <c r="X440" s="1464"/>
      <c r="Y440" s="1464"/>
      <c r="Z440" s="1464"/>
      <c r="AA440" s="1464"/>
      <c r="AB440" s="1464"/>
    </row>
    <row r="441">
      <c r="A441" s="1464"/>
      <c r="B441" s="1464"/>
      <c r="C441" s="1464"/>
      <c r="D441" s="1464"/>
      <c r="E441" s="1464"/>
      <c r="F441" s="1464"/>
      <c r="G441" s="1464"/>
      <c r="H441" s="1464"/>
      <c r="I441" s="1464"/>
      <c r="J441" s="1464"/>
      <c r="K441" s="1464"/>
      <c r="L441" s="1464"/>
      <c r="M441" s="1464"/>
      <c r="N441" s="1464"/>
      <c r="O441" s="1464"/>
      <c r="P441" s="1464"/>
      <c r="Q441" s="1464"/>
      <c r="R441" s="1464"/>
      <c r="S441" s="1464"/>
      <c r="T441" s="1464"/>
      <c r="U441" s="1464"/>
      <c r="V441" s="1464"/>
      <c r="W441" s="1464"/>
      <c r="X441" s="1464"/>
      <c r="Y441" s="1464"/>
      <c r="Z441" s="1464"/>
      <c r="AA441" s="1464"/>
      <c r="AB441" s="1464"/>
    </row>
    <row r="442">
      <c r="A442" s="1464"/>
      <c r="B442" s="1464"/>
      <c r="C442" s="1464"/>
      <c r="D442" s="1464"/>
      <c r="E442" s="1464"/>
      <c r="F442" s="1464"/>
      <c r="G442" s="1464"/>
      <c r="H442" s="1464"/>
      <c r="I442" s="1464"/>
      <c r="J442" s="1464"/>
      <c r="K442" s="1464"/>
      <c r="L442" s="1464"/>
      <c r="M442" s="1464"/>
      <c r="N442" s="1464"/>
      <c r="O442" s="1464"/>
      <c r="P442" s="1464"/>
      <c r="Q442" s="1464"/>
      <c r="R442" s="1464"/>
      <c r="S442" s="1464"/>
      <c r="T442" s="1464"/>
      <c r="U442" s="1464"/>
      <c r="V442" s="1464"/>
      <c r="W442" s="1464"/>
      <c r="X442" s="1464"/>
      <c r="Y442" s="1464"/>
      <c r="Z442" s="1464"/>
      <c r="AA442" s="1464"/>
      <c r="AB442" s="1464"/>
    </row>
    <row r="443">
      <c r="A443" s="1464"/>
      <c r="B443" s="1464"/>
      <c r="C443" s="1464"/>
      <c r="D443" s="1464"/>
      <c r="E443" s="1464"/>
      <c r="F443" s="1464"/>
      <c r="G443" s="1464"/>
      <c r="H443" s="1464"/>
      <c r="I443" s="1464"/>
      <c r="J443" s="1464"/>
      <c r="K443" s="1464"/>
      <c r="L443" s="1464"/>
      <c r="M443" s="1464"/>
      <c r="N443" s="1464"/>
      <c r="O443" s="1464"/>
      <c r="P443" s="1464"/>
      <c r="Q443" s="1464"/>
      <c r="R443" s="1464"/>
      <c r="S443" s="1464"/>
      <c r="T443" s="1464"/>
      <c r="U443" s="1464"/>
      <c r="V443" s="1464"/>
      <c r="W443" s="1464"/>
      <c r="X443" s="1464"/>
      <c r="Y443" s="1464"/>
      <c r="Z443" s="1464"/>
      <c r="AA443" s="1464"/>
      <c r="AB443" s="1464"/>
    </row>
    <row r="444">
      <c r="A444" s="1464"/>
      <c r="B444" s="1464"/>
      <c r="C444" s="1464"/>
      <c r="D444" s="1464"/>
      <c r="E444" s="1464"/>
      <c r="F444" s="1464"/>
      <c r="G444" s="1464"/>
      <c r="H444" s="1464"/>
      <c r="I444" s="1464"/>
      <c r="J444" s="1464"/>
      <c r="K444" s="1464"/>
      <c r="L444" s="1464"/>
      <c r="M444" s="1464"/>
      <c r="N444" s="1464"/>
      <c r="O444" s="1464"/>
      <c r="P444" s="1464"/>
      <c r="Q444" s="1464"/>
      <c r="R444" s="1464"/>
      <c r="S444" s="1464"/>
      <c r="T444" s="1464"/>
      <c r="U444" s="1464"/>
      <c r="V444" s="1464"/>
      <c r="W444" s="1464"/>
      <c r="X444" s="1464"/>
      <c r="Y444" s="1464"/>
      <c r="Z444" s="1464"/>
      <c r="AA444" s="1464"/>
      <c r="AB444" s="1464"/>
    </row>
    <row r="445">
      <c r="A445" s="1464"/>
      <c r="B445" s="1464"/>
      <c r="C445" s="1464"/>
      <c r="D445" s="1464"/>
      <c r="E445" s="1464"/>
      <c r="F445" s="1464"/>
      <c r="G445" s="1464"/>
      <c r="H445" s="1464"/>
      <c r="I445" s="1464"/>
      <c r="J445" s="1464"/>
      <c r="K445" s="1464"/>
      <c r="L445" s="1464"/>
      <c r="M445" s="1464"/>
      <c r="N445" s="1464"/>
      <c r="O445" s="1464"/>
      <c r="P445" s="1464"/>
      <c r="Q445" s="1464"/>
      <c r="R445" s="1464"/>
      <c r="S445" s="1464"/>
      <c r="T445" s="1464"/>
      <c r="U445" s="1464"/>
      <c r="V445" s="1464"/>
      <c r="W445" s="1464"/>
      <c r="X445" s="1464"/>
      <c r="Y445" s="1464"/>
      <c r="Z445" s="1464"/>
      <c r="AA445" s="1464"/>
      <c r="AB445" s="1464"/>
    </row>
    <row r="446">
      <c r="A446" s="1464"/>
      <c r="B446" s="1464"/>
      <c r="C446" s="1464"/>
      <c r="D446" s="1464"/>
      <c r="E446" s="1464"/>
      <c r="F446" s="1464"/>
      <c r="G446" s="1464"/>
      <c r="H446" s="1464"/>
      <c r="I446" s="1464"/>
      <c r="J446" s="1464"/>
      <c r="K446" s="1464"/>
      <c r="L446" s="1464"/>
      <c r="M446" s="1464"/>
      <c r="N446" s="1464"/>
      <c r="O446" s="1464"/>
      <c r="P446" s="1464"/>
      <c r="Q446" s="1464"/>
      <c r="R446" s="1464"/>
      <c r="S446" s="1464"/>
      <c r="T446" s="1464"/>
      <c r="U446" s="1464"/>
      <c r="V446" s="1464"/>
      <c r="W446" s="1464"/>
      <c r="X446" s="1464"/>
      <c r="Y446" s="1464"/>
      <c r="Z446" s="1464"/>
      <c r="AA446" s="1464"/>
      <c r="AB446" s="1464"/>
    </row>
    <row r="447">
      <c r="A447" s="1464"/>
      <c r="B447" s="1464"/>
      <c r="C447" s="1464"/>
      <c r="D447" s="1464"/>
      <c r="E447" s="1464"/>
      <c r="F447" s="1464"/>
      <c r="G447" s="1464"/>
      <c r="H447" s="1464"/>
      <c r="I447" s="1464"/>
      <c r="J447" s="1464"/>
      <c r="K447" s="1464"/>
      <c r="L447" s="1464"/>
      <c r="M447" s="1464"/>
      <c r="N447" s="1464"/>
      <c r="O447" s="1464"/>
      <c r="P447" s="1464"/>
      <c r="Q447" s="1464"/>
      <c r="R447" s="1464"/>
      <c r="S447" s="1464"/>
      <c r="T447" s="1464"/>
      <c r="U447" s="1464"/>
      <c r="V447" s="1464"/>
      <c r="W447" s="1464"/>
      <c r="X447" s="1464"/>
      <c r="Y447" s="1464"/>
      <c r="Z447" s="1464"/>
      <c r="AA447" s="1464"/>
      <c r="AB447" s="1464"/>
    </row>
    <row r="448">
      <c r="A448" s="1464"/>
      <c r="B448" s="1464"/>
      <c r="C448" s="1464"/>
      <c r="D448" s="1464"/>
      <c r="E448" s="1464"/>
      <c r="F448" s="1464"/>
      <c r="G448" s="1464"/>
      <c r="H448" s="1464"/>
      <c r="I448" s="1464"/>
      <c r="J448" s="1464"/>
      <c r="K448" s="1464"/>
      <c r="L448" s="1464"/>
      <c r="M448" s="1464"/>
      <c r="N448" s="1464"/>
      <c r="O448" s="1464"/>
      <c r="P448" s="1464"/>
      <c r="Q448" s="1464"/>
      <c r="R448" s="1464"/>
      <c r="S448" s="1464"/>
      <c r="T448" s="1464"/>
      <c r="U448" s="1464"/>
      <c r="V448" s="1464"/>
      <c r="W448" s="1464"/>
      <c r="X448" s="1464"/>
      <c r="Y448" s="1464"/>
      <c r="Z448" s="1464"/>
      <c r="AA448" s="1464"/>
      <c r="AB448" s="1464"/>
    </row>
    <row r="449">
      <c r="A449" s="1464"/>
      <c r="B449" s="1464"/>
      <c r="C449" s="1464"/>
      <c r="D449" s="1464"/>
      <c r="E449" s="1464"/>
      <c r="F449" s="1464"/>
      <c r="G449" s="1464"/>
      <c r="H449" s="1464"/>
      <c r="I449" s="1464"/>
      <c r="J449" s="1464"/>
      <c r="K449" s="1464"/>
      <c r="L449" s="1464"/>
      <c r="M449" s="1464"/>
      <c r="N449" s="1464"/>
      <c r="O449" s="1464"/>
      <c r="P449" s="1464"/>
      <c r="Q449" s="1464"/>
      <c r="R449" s="1464"/>
      <c r="S449" s="1464"/>
      <c r="T449" s="1464"/>
      <c r="U449" s="1464"/>
      <c r="V449" s="1464"/>
      <c r="W449" s="1464"/>
      <c r="X449" s="1464"/>
      <c r="Y449" s="1464"/>
      <c r="Z449" s="1464"/>
      <c r="AA449" s="1464"/>
      <c r="AB449" s="1464"/>
    </row>
    <row r="450">
      <c r="A450" s="1464"/>
      <c r="B450" s="1464"/>
      <c r="C450" s="1464"/>
      <c r="D450" s="1464"/>
      <c r="E450" s="1464"/>
      <c r="F450" s="1464"/>
      <c r="G450" s="1464"/>
      <c r="H450" s="1464"/>
      <c r="I450" s="1464"/>
      <c r="J450" s="1464"/>
      <c r="K450" s="1464"/>
      <c r="L450" s="1464"/>
      <c r="M450" s="1464"/>
      <c r="N450" s="1464"/>
      <c r="O450" s="1464"/>
      <c r="P450" s="1464"/>
      <c r="Q450" s="1464"/>
      <c r="R450" s="1464"/>
      <c r="S450" s="1464"/>
      <c r="T450" s="1464"/>
      <c r="U450" s="1464"/>
      <c r="V450" s="1464"/>
      <c r="W450" s="1464"/>
      <c r="X450" s="1464"/>
      <c r="Y450" s="1464"/>
      <c r="Z450" s="1464"/>
      <c r="AA450" s="1464"/>
      <c r="AB450" s="1464"/>
    </row>
    <row r="451">
      <c r="A451" s="1464"/>
      <c r="B451" s="1464"/>
      <c r="C451" s="1464"/>
      <c r="D451" s="1464"/>
      <c r="E451" s="1464"/>
      <c r="F451" s="1464"/>
      <c r="G451" s="1464"/>
      <c r="H451" s="1464"/>
      <c r="I451" s="1464"/>
      <c r="J451" s="1464"/>
      <c r="K451" s="1464"/>
      <c r="L451" s="1464"/>
      <c r="M451" s="1464"/>
      <c r="N451" s="1464"/>
      <c r="O451" s="1464"/>
      <c r="P451" s="1464"/>
      <c r="Q451" s="1464"/>
      <c r="R451" s="1464"/>
      <c r="S451" s="1464"/>
      <c r="T451" s="1464"/>
      <c r="U451" s="1464"/>
      <c r="V451" s="1464"/>
      <c r="W451" s="1464"/>
      <c r="X451" s="1464"/>
      <c r="Y451" s="1464"/>
      <c r="Z451" s="1464"/>
      <c r="AA451" s="1464"/>
      <c r="AB451" s="1464"/>
    </row>
    <row r="452">
      <c r="A452" s="1464"/>
      <c r="B452" s="1464"/>
      <c r="C452" s="1464"/>
      <c r="D452" s="1464"/>
      <c r="E452" s="1464"/>
      <c r="F452" s="1464"/>
      <c r="G452" s="1464"/>
      <c r="H452" s="1464"/>
      <c r="I452" s="1464"/>
      <c r="J452" s="1464"/>
      <c r="K452" s="1464"/>
      <c r="L452" s="1464"/>
      <c r="M452" s="1464"/>
      <c r="N452" s="1464"/>
      <c r="O452" s="1464"/>
      <c r="P452" s="1464"/>
      <c r="Q452" s="1464"/>
      <c r="R452" s="1464"/>
      <c r="S452" s="1464"/>
      <c r="T452" s="1464"/>
      <c r="U452" s="1464"/>
      <c r="V452" s="1464"/>
      <c r="W452" s="1464"/>
      <c r="X452" s="1464"/>
      <c r="Y452" s="1464"/>
      <c r="Z452" s="1464"/>
      <c r="AA452" s="1464"/>
      <c r="AB452" s="1464"/>
    </row>
    <row r="453">
      <c r="A453" s="1464"/>
      <c r="B453" s="1464"/>
      <c r="C453" s="1464"/>
      <c r="D453" s="1464"/>
      <c r="E453" s="1464"/>
      <c r="F453" s="1464"/>
      <c r="G453" s="1464"/>
      <c r="H453" s="1464"/>
      <c r="I453" s="1464"/>
      <c r="J453" s="1464"/>
      <c r="K453" s="1464"/>
      <c r="L453" s="1464"/>
      <c r="M453" s="1464"/>
      <c r="N453" s="1464"/>
      <c r="O453" s="1464"/>
      <c r="P453" s="1464"/>
      <c r="Q453" s="1464"/>
      <c r="R453" s="1464"/>
      <c r="S453" s="1464"/>
      <c r="T453" s="1464"/>
      <c r="U453" s="1464"/>
      <c r="V453" s="1464"/>
      <c r="W453" s="1464"/>
      <c r="X453" s="1464"/>
      <c r="Y453" s="1464"/>
      <c r="Z453" s="1464"/>
      <c r="AA453" s="1464"/>
      <c r="AB453" s="1464"/>
    </row>
    <row r="454">
      <c r="A454" s="1464"/>
      <c r="B454" s="1464"/>
      <c r="C454" s="1464"/>
      <c r="D454" s="1464"/>
      <c r="E454" s="1464"/>
      <c r="F454" s="1464"/>
      <c r="G454" s="1464"/>
      <c r="H454" s="1464"/>
      <c r="I454" s="1464"/>
      <c r="J454" s="1464"/>
      <c r="K454" s="1464"/>
      <c r="L454" s="1464"/>
      <c r="M454" s="1464"/>
      <c r="N454" s="1464"/>
      <c r="O454" s="1464"/>
      <c r="P454" s="1464"/>
      <c r="Q454" s="1464"/>
      <c r="R454" s="1464"/>
      <c r="S454" s="1464"/>
      <c r="T454" s="1464"/>
      <c r="U454" s="1464"/>
      <c r="V454" s="1464"/>
      <c r="W454" s="1464"/>
      <c r="X454" s="1464"/>
      <c r="Y454" s="1464"/>
      <c r="Z454" s="1464"/>
      <c r="AA454" s="1464"/>
      <c r="AB454" s="1464"/>
    </row>
    <row r="455">
      <c r="A455" s="1464"/>
      <c r="B455" s="1464"/>
      <c r="C455" s="1464"/>
      <c r="D455" s="1464"/>
      <c r="E455" s="1464"/>
      <c r="F455" s="1464"/>
      <c r="G455" s="1464"/>
      <c r="H455" s="1464"/>
      <c r="I455" s="1464"/>
      <c r="J455" s="1464"/>
      <c r="K455" s="1464"/>
      <c r="L455" s="1464"/>
      <c r="M455" s="1464"/>
      <c r="N455" s="1464"/>
      <c r="O455" s="1464"/>
      <c r="P455" s="1464"/>
      <c r="Q455" s="1464"/>
      <c r="R455" s="1464"/>
      <c r="S455" s="1464"/>
      <c r="T455" s="1464"/>
      <c r="U455" s="1464"/>
      <c r="V455" s="1464"/>
      <c r="W455" s="1464"/>
      <c r="X455" s="1464"/>
      <c r="Y455" s="1464"/>
      <c r="Z455" s="1464"/>
      <c r="AA455" s="1464"/>
      <c r="AB455" s="1464"/>
    </row>
    <row r="456">
      <c r="A456" s="1464"/>
      <c r="B456" s="1464"/>
      <c r="C456" s="1464"/>
      <c r="D456" s="1464"/>
      <c r="E456" s="1464"/>
      <c r="F456" s="1464"/>
      <c r="G456" s="1464"/>
      <c r="H456" s="1464"/>
      <c r="I456" s="1464"/>
      <c r="J456" s="1464"/>
      <c r="K456" s="1464"/>
      <c r="L456" s="1464"/>
      <c r="M456" s="1464"/>
      <c r="N456" s="1464"/>
      <c r="O456" s="1464"/>
      <c r="P456" s="1464"/>
      <c r="Q456" s="1464"/>
      <c r="R456" s="1464"/>
      <c r="S456" s="1464"/>
      <c r="T456" s="1464"/>
      <c r="U456" s="1464"/>
      <c r="V456" s="1464"/>
      <c r="W456" s="1464"/>
      <c r="X456" s="1464"/>
      <c r="Y456" s="1464"/>
      <c r="Z456" s="1464"/>
      <c r="AA456" s="1464"/>
      <c r="AB456" s="1464"/>
    </row>
    <row r="457">
      <c r="A457" s="1464"/>
      <c r="B457" s="1464"/>
      <c r="C457" s="1464"/>
      <c r="D457" s="1464"/>
      <c r="E457" s="1464"/>
      <c r="F457" s="1464"/>
      <c r="G457" s="1464"/>
      <c r="H457" s="1464"/>
      <c r="I457" s="1464"/>
      <c r="J457" s="1464"/>
      <c r="K457" s="1464"/>
      <c r="L457" s="1464"/>
      <c r="M457" s="1464"/>
      <c r="N457" s="1464"/>
      <c r="O457" s="1464"/>
      <c r="P457" s="1464"/>
      <c r="Q457" s="1464"/>
      <c r="R457" s="1464"/>
      <c r="S457" s="1464"/>
      <c r="T457" s="1464"/>
      <c r="U457" s="1464"/>
      <c r="V457" s="1464"/>
      <c r="W457" s="1464"/>
      <c r="X457" s="1464"/>
      <c r="Y457" s="1464"/>
      <c r="Z457" s="1464"/>
      <c r="AA457" s="1464"/>
      <c r="AB457" s="1464"/>
    </row>
    <row r="458">
      <c r="A458" s="1464"/>
      <c r="B458" s="1464"/>
      <c r="C458" s="1464"/>
      <c r="D458" s="1464"/>
      <c r="E458" s="1464"/>
      <c r="F458" s="1464"/>
      <c r="G458" s="1464"/>
      <c r="H458" s="1464"/>
      <c r="I458" s="1464"/>
      <c r="J458" s="1464"/>
      <c r="K458" s="1464"/>
      <c r="L458" s="1464"/>
      <c r="M458" s="1464"/>
      <c r="N458" s="1464"/>
      <c r="O458" s="1464"/>
      <c r="P458" s="1464"/>
      <c r="Q458" s="1464"/>
      <c r="R458" s="1464"/>
      <c r="S458" s="1464"/>
      <c r="T458" s="1464"/>
      <c r="U458" s="1464"/>
      <c r="V458" s="1464"/>
      <c r="W458" s="1464"/>
      <c r="X458" s="1464"/>
      <c r="Y458" s="1464"/>
      <c r="Z458" s="1464"/>
      <c r="AA458" s="1464"/>
      <c r="AB458" s="1464"/>
    </row>
    <row r="459">
      <c r="A459" s="1464"/>
      <c r="B459" s="1464"/>
      <c r="C459" s="1464"/>
      <c r="D459" s="1464"/>
      <c r="E459" s="1464"/>
      <c r="F459" s="1464"/>
      <c r="G459" s="1464"/>
      <c r="H459" s="1464"/>
      <c r="I459" s="1464"/>
      <c r="J459" s="1464"/>
      <c r="K459" s="1464"/>
      <c r="L459" s="1464"/>
      <c r="M459" s="1464"/>
      <c r="N459" s="1464"/>
      <c r="O459" s="1464"/>
      <c r="P459" s="1464"/>
      <c r="Q459" s="1464"/>
      <c r="R459" s="1464"/>
      <c r="S459" s="1464"/>
      <c r="T459" s="1464"/>
      <c r="U459" s="1464"/>
      <c r="V459" s="1464"/>
      <c r="W459" s="1464"/>
      <c r="X459" s="1464"/>
      <c r="Y459" s="1464"/>
      <c r="Z459" s="1464"/>
      <c r="AA459" s="1464"/>
      <c r="AB459" s="1464"/>
    </row>
    <row r="460">
      <c r="A460" s="1464"/>
      <c r="B460" s="1464"/>
      <c r="C460" s="1464"/>
      <c r="D460" s="1464"/>
      <c r="E460" s="1464"/>
      <c r="F460" s="1464"/>
      <c r="G460" s="1464"/>
      <c r="H460" s="1464"/>
      <c r="I460" s="1464"/>
      <c r="J460" s="1464"/>
      <c r="K460" s="1464"/>
      <c r="L460" s="1464"/>
      <c r="M460" s="1464"/>
      <c r="N460" s="1464"/>
      <c r="O460" s="1464"/>
      <c r="P460" s="1464"/>
      <c r="Q460" s="1464"/>
      <c r="R460" s="1464"/>
      <c r="S460" s="1464"/>
      <c r="T460" s="1464"/>
      <c r="U460" s="1464"/>
      <c r="V460" s="1464"/>
      <c r="W460" s="1464"/>
      <c r="X460" s="1464"/>
      <c r="Y460" s="1464"/>
      <c r="Z460" s="1464"/>
      <c r="AA460" s="1464"/>
      <c r="AB460" s="1464"/>
    </row>
    <row r="461">
      <c r="A461" s="1464"/>
      <c r="B461" s="1464"/>
      <c r="C461" s="1464"/>
      <c r="D461" s="1464"/>
      <c r="E461" s="1464"/>
      <c r="F461" s="1464"/>
      <c r="G461" s="1464"/>
      <c r="H461" s="1464"/>
      <c r="I461" s="1464"/>
      <c r="J461" s="1464"/>
      <c r="K461" s="1464"/>
      <c r="L461" s="1464"/>
      <c r="M461" s="1464"/>
      <c r="N461" s="1464"/>
      <c r="O461" s="1464"/>
      <c r="P461" s="1464"/>
      <c r="Q461" s="1464"/>
      <c r="R461" s="1464"/>
      <c r="S461" s="1464"/>
      <c r="T461" s="1464"/>
      <c r="U461" s="1464"/>
      <c r="V461" s="1464"/>
      <c r="W461" s="1464"/>
      <c r="X461" s="1464"/>
      <c r="Y461" s="1464"/>
      <c r="Z461" s="1464"/>
      <c r="AA461" s="1464"/>
      <c r="AB461" s="1464"/>
    </row>
    <row r="462">
      <c r="A462" s="1464"/>
      <c r="B462" s="1464"/>
      <c r="C462" s="1464"/>
      <c r="D462" s="1464"/>
      <c r="E462" s="1464"/>
      <c r="F462" s="1464"/>
      <c r="G462" s="1464"/>
      <c r="H462" s="1464"/>
      <c r="I462" s="1464"/>
      <c r="J462" s="1464"/>
      <c r="K462" s="1464"/>
      <c r="L462" s="1464"/>
      <c r="M462" s="1464"/>
      <c r="N462" s="1464"/>
      <c r="O462" s="1464"/>
      <c r="P462" s="1464"/>
      <c r="Q462" s="1464"/>
      <c r="R462" s="1464"/>
      <c r="S462" s="1464"/>
      <c r="T462" s="1464"/>
      <c r="U462" s="1464"/>
      <c r="V462" s="1464"/>
      <c r="W462" s="1464"/>
      <c r="X462" s="1464"/>
      <c r="Y462" s="1464"/>
      <c r="Z462" s="1464"/>
      <c r="AA462" s="1464"/>
      <c r="AB462" s="1464"/>
    </row>
    <row r="463">
      <c r="A463" s="1464"/>
      <c r="B463" s="1464"/>
      <c r="C463" s="1464"/>
      <c r="D463" s="1464"/>
      <c r="E463" s="1464"/>
      <c r="F463" s="1464"/>
      <c r="G463" s="1464"/>
      <c r="H463" s="1464"/>
      <c r="I463" s="1464"/>
      <c r="J463" s="1464"/>
      <c r="K463" s="1464"/>
      <c r="L463" s="1464"/>
      <c r="M463" s="1464"/>
      <c r="N463" s="1464"/>
      <c r="O463" s="1464"/>
      <c r="P463" s="1464"/>
      <c r="Q463" s="1464"/>
      <c r="R463" s="1464"/>
      <c r="S463" s="1464"/>
      <c r="T463" s="1464"/>
      <c r="U463" s="1464"/>
      <c r="V463" s="1464"/>
      <c r="W463" s="1464"/>
      <c r="X463" s="1464"/>
      <c r="Y463" s="1464"/>
      <c r="Z463" s="1464"/>
      <c r="AA463" s="1464"/>
      <c r="AB463" s="1464"/>
    </row>
    <row r="464">
      <c r="A464" s="1464"/>
      <c r="B464" s="1464"/>
      <c r="C464" s="1464"/>
      <c r="D464" s="1464"/>
      <c r="E464" s="1464"/>
      <c r="F464" s="1464"/>
      <c r="G464" s="1464"/>
      <c r="H464" s="1464"/>
      <c r="I464" s="1464"/>
      <c r="J464" s="1464"/>
      <c r="K464" s="1464"/>
      <c r="L464" s="1464"/>
      <c r="M464" s="1464"/>
      <c r="N464" s="1464"/>
      <c r="O464" s="1464"/>
      <c r="P464" s="1464"/>
      <c r="Q464" s="1464"/>
      <c r="R464" s="1464"/>
      <c r="S464" s="1464"/>
      <c r="T464" s="1464"/>
      <c r="U464" s="1464"/>
      <c r="V464" s="1464"/>
      <c r="W464" s="1464"/>
      <c r="X464" s="1464"/>
      <c r="Y464" s="1464"/>
      <c r="Z464" s="1464"/>
      <c r="AA464" s="1464"/>
      <c r="AB464" s="1464"/>
    </row>
    <row r="465">
      <c r="A465" s="1464"/>
      <c r="B465" s="1464"/>
      <c r="C465" s="1464"/>
      <c r="D465" s="1464"/>
      <c r="E465" s="1464"/>
      <c r="F465" s="1464"/>
      <c r="G465" s="1464"/>
      <c r="H465" s="1464"/>
      <c r="I465" s="1464"/>
      <c r="J465" s="1464"/>
      <c r="K465" s="1464"/>
      <c r="L465" s="1464"/>
      <c r="M465" s="1464"/>
      <c r="N465" s="1464"/>
      <c r="O465" s="1464"/>
      <c r="P465" s="1464"/>
      <c r="Q465" s="1464"/>
      <c r="R465" s="1464"/>
      <c r="S465" s="1464"/>
      <c r="T465" s="1464"/>
      <c r="U465" s="1464"/>
      <c r="V465" s="1464"/>
      <c r="W465" s="1464"/>
      <c r="X465" s="1464"/>
      <c r="Y465" s="1464"/>
      <c r="Z465" s="1464"/>
      <c r="AA465" s="1464"/>
      <c r="AB465" s="1464"/>
    </row>
    <row r="466">
      <c r="A466" s="1464"/>
      <c r="B466" s="1464"/>
      <c r="C466" s="1464"/>
      <c r="D466" s="1464"/>
      <c r="E466" s="1464"/>
      <c r="F466" s="1464"/>
      <c r="G466" s="1464"/>
      <c r="H466" s="1464"/>
      <c r="I466" s="1464"/>
      <c r="J466" s="1464"/>
      <c r="K466" s="1464"/>
      <c r="L466" s="1464"/>
      <c r="M466" s="1464"/>
      <c r="N466" s="1464"/>
      <c r="O466" s="1464"/>
      <c r="P466" s="1464"/>
      <c r="Q466" s="1464"/>
      <c r="R466" s="1464"/>
      <c r="S466" s="1464"/>
      <c r="T466" s="1464"/>
      <c r="U466" s="1464"/>
      <c r="V466" s="1464"/>
      <c r="W466" s="1464"/>
      <c r="X466" s="1464"/>
      <c r="Y466" s="1464"/>
      <c r="Z466" s="1464"/>
      <c r="AA466" s="1464"/>
      <c r="AB466" s="1464"/>
    </row>
    <row r="467">
      <c r="A467" s="1464"/>
      <c r="B467" s="1464"/>
      <c r="C467" s="1464"/>
      <c r="D467" s="1464"/>
      <c r="E467" s="1464"/>
      <c r="F467" s="1464"/>
      <c r="G467" s="1464"/>
      <c r="H467" s="1464"/>
      <c r="I467" s="1464"/>
      <c r="J467" s="1464"/>
      <c r="K467" s="1464"/>
      <c r="L467" s="1464"/>
      <c r="M467" s="1464"/>
      <c r="N467" s="1464"/>
      <c r="O467" s="1464"/>
      <c r="P467" s="1464"/>
      <c r="Q467" s="1464"/>
      <c r="R467" s="1464"/>
      <c r="S467" s="1464"/>
      <c r="T467" s="1464"/>
      <c r="U467" s="1464"/>
      <c r="V467" s="1464"/>
      <c r="W467" s="1464"/>
      <c r="X467" s="1464"/>
      <c r="Y467" s="1464"/>
      <c r="Z467" s="1464"/>
      <c r="AA467" s="1464"/>
      <c r="AB467" s="1464"/>
    </row>
    <row r="468">
      <c r="A468" s="1464"/>
      <c r="B468" s="1464"/>
      <c r="C468" s="1464"/>
      <c r="D468" s="1464"/>
      <c r="E468" s="1464"/>
      <c r="F468" s="1464"/>
      <c r="G468" s="1464"/>
      <c r="H468" s="1464"/>
      <c r="I468" s="1464"/>
      <c r="J468" s="1464"/>
      <c r="K468" s="1464"/>
      <c r="L468" s="1464"/>
      <c r="M468" s="1464"/>
      <c r="N468" s="1464"/>
      <c r="O468" s="1464"/>
      <c r="P468" s="1464"/>
      <c r="Q468" s="1464"/>
      <c r="R468" s="1464"/>
      <c r="S468" s="1464"/>
      <c r="T468" s="1464"/>
      <c r="U468" s="1464"/>
      <c r="V468" s="1464"/>
      <c r="W468" s="1464"/>
      <c r="X468" s="1464"/>
      <c r="Y468" s="1464"/>
      <c r="Z468" s="1464"/>
      <c r="AA468" s="1464"/>
      <c r="AB468" s="1464"/>
    </row>
    <row r="469">
      <c r="A469" s="1464"/>
      <c r="B469" s="1464"/>
      <c r="C469" s="1464"/>
      <c r="D469" s="1464"/>
      <c r="E469" s="1464"/>
      <c r="F469" s="1464"/>
      <c r="G469" s="1464"/>
      <c r="H469" s="1464"/>
      <c r="I469" s="1464"/>
      <c r="J469" s="1464"/>
      <c r="K469" s="1464"/>
      <c r="L469" s="1464"/>
      <c r="M469" s="1464"/>
      <c r="N469" s="1464"/>
      <c r="O469" s="1464"/>
      <c r="P469" s="1464"/>
      <c r="Q469" s="1464"/>
      <c r="R469" s="1464"/>
      <c r="S469" s="1464"/>
      <c r="T469" s="1464"/>
      <c r="U469" s="1464"/>
      <c r="V469" s="1464"/>
      <c r="W469" s="1464"/>
      <c r="X469" s="1464"/>
      <c r="Y469" s="1464"/>
      <c r="Z469" s="1464"/>
      <c r="AA469" s="1464"/>
      <c r="AB469" s="1464"/>
    </row>
    <row r="470">
      <c r="A470" s="1464"/>
      <c r="B470" s="1464"/>
      <c r="C470" s="1464"/>
      <c r="D470" s="1464"/>
      <c r="E470" s="1464"/>
      <c r="F470" s="1464"/>
      <c r="G470" s="1464"/>
      <c r="H470" s="1464"/>
      <c r="I470" s="1464"/>
      <c r="J470" s="1464"/>
      <c r="K470" s="1464"/>
      <c r="L470" s="1464"/>
      <c r="M470" s="1464"/>
      <c r="N470" s="1464"/>
      <c r="O470" s="1464"/>
      <c r="P470" s="1464"/>
      <c r="Q470" s="1464"/>
      <c r="R470" s="1464"/>
      <c r="S470" s="1464"/>
      <c r="T470" s="1464"/>
      <c r="U470" s="1464"/>
      <c r="V470" s="1464"/>
      <c r="W470" s="1464"/>
      <c r="X470" s="1464"/>
      <c r="Y470" s="1464"/>
      <c r="Z470" s="1464"/>
      <c r="AA470" s="1464"/>
      <c r="AB470" s="1464"/>
    </row>
    <row r="471">
      <c r="A471" s="1464"/>
      <c r="B471" s="1464"/>
      <c r="C471" s="1464"/>
      <c r="D471" s="1464"/>
      <c r="E471" s="1464"/>
      <c r="F471" s="1464"/>
      <c r="G471" s="1464"/>
      <c r="H471" s="1464"/>
      <c r="I471" s="1464"/>
      <c r="J471" s="1464"/>
      <c r="K471" s="1464"/>
      <c r="L471" s="1464"/>
      <c r="M471" s="1464"/>
      <c r="N471" s="1464"/>
      <c r="O471" s="1464"/>
      <c r="P471" s="1464"/>
      <c r="Q471" s="1464"/>
      <c r="R471" s="1464"/>
      <c r="S471" s="1464"/>
      <c r="T471" s="1464"/>
      <c r="U471" s="1464"/>
      <c r="V471" s="1464"/>
      <c r="W471" s="1464"/>
      <c r="X471" s="1464"/>
      <c r="Y471" s="1464"/>
      <c r="Z471" s="1464"/>
      <c r="AA471" s="1464"/>
      <c r="AB471" s="1464"/>
    </row>
    <row r="472">
      <c r="A472" s="1464"/>
      <c r="B472" s="1464"/>
      <c r="C472" s="1464"/>
      <c r="D472" s="1464"/>
      <c r="E472" s="1464"/>
      <c r="F472" s="1464"/>
      <c r="G472" s="1464"/>
      <c r="H472" s="1464"/>
      <c r="I472" s="1464"/>
      <c r="J472" s="1464"/>
      <c r="K472" s="1464"/>
      <c r="L472" s="1464"/>
      <c r="M472" s="1464"/>
      <c r="N472" s="1464"/>
      <c r="O472" s="1464"/>
      <c r="P472" s="1464"/>
      <c r="Q472" s="1464"/>
      <c r="R472" s="1464"/>
      <c r="S472" s="1464"/>
      <c r="T472" s="1464"/>
      <c r="U472" s="1464"/>
      <c r="V472" s="1464"/>
      <c r="W472" s="1464"/>
      <c r="X472" s="1464"/>
      <c r="Y472" s="1464"/>
      <c r="Z472" s="1464"/>
      <c r="AA472" s="1464"/>
      <c r="AB472" s="1464"/>
    </row>
    <row r="473">
      <c r="A473" s="1464"/>
      <c r="B473" s="1464"/>
      <c r="C473" s="1464"/>
      <c r="D473" s="1464"/>
      <c r="E473" s="1464"/>
      <c r="F473" s="1464"/>
      <c r="G473" s="1464"/>
      <c r="H473" s="1464"/>
      <c r="I473" s="1464"/>
      <c r="J473" s="1464"/>
      <c r="K473" s="1464"/>
      <c r="L473" s="1464"/>
      <c r="M473" s="1464"/>
      <c r="N473" s="1464"/>
      <c r="O473" s="1464"/>
      <c r="P473" s="1464"/>
      <c r="Q473" s="1464"/>
      <c r="R473" s="1464"/>
      <c r="S473" s="1464"/>
      <c r="T473" s="1464"/>
      <c r="U473" s="1464"/>
      <c r="V473" s="1464"/>
      <c r="W473" s="1464"/>
      <c r="X473" s="1464"/>
      <c r="Y473" s="1464"/>
      <c r="Z473" s="1464"/>
      <c r="AA473" s="1464"/>
      <c r="AB473" s="1464"/>
    </row>
    <row r="474">
      <c r="A474" s="1464"/>
      <c r="B474" s="1464"/>
      <c r="C474" s="1464"/>
      <c r="D474" s="1464"/>
      <c r="E474" s="1464"/>
      <c r="F474" s="1464"/>
      <c r="G474" s="1464"/>
      <c r="H474" s="1464"/>
      <c r="I474" s="1464"/>
      <c r="J474" s="1464"/>
      <c r="K474" s="1464"/>
      <c r="L474" s="1464"/>
      <c r="M474" s="1464"/>
      <c r="N474" s="1464"/>
      <c r="O474" s="1464"/>
      <c r="P474" s="1464"/>
      <c r="Q474" s="1464"/>
      <c r="R474" s="1464"/>
      <c r="S474" s="1464"/>
      <c r="T474" s="1464"/>
      <c r="U474" s="1464"/>
      <c r="V474" s="1464"/>
      <c r="W474" s="1464"/>
      <c r="X474" s="1464"/>
      <c r="Y474" s="1464"/>
      <c r="Z474" s="1464"/>
      <c r="AA474" s="1464"/>
      <c r="AB474" s="1464"/>
    </row>
    <row r="475">
      <c r="A475" s="1464"/>
      <c r="B475" s="1464"/>
      <c r="C475" s="1464"/>
      <c r="D475" s="1464"/>
      <c r="E475" s="1464"/>
      <c r="F475" s="1464"/>
      <c r="G475" s="1464"/>
      <c r="H475" s="1464"/>
      <c r="I475" s="1464"/>
      <c r="J475" s="1464"/>
      <c r="K475" s="1464"/>
      <c r="L475" s="1464"/>
      <c r="M475" s="1464"/>
      <c r="N475" s="1464"/>
      <c r="O475" s="1464"/>
      <c r="P475" s="1464"/>
      <c r="Q475" s="1464"/>
      <c r="R475" s="1464"/>
      <c r="S475" s="1464"/>
      <c r="T475" s="1464"/>
      <c r="U475" s="1464"/>
      <c r="V475" s="1464"/>
      <c r="W475" s="1464"/>
      <c r="X475" s="1464"/>
      <c r="Y475" s="1464"/>
      <c r="Z475" s="1464"/>
      <c r="AA475" s="1464"/>
      <c r="AB475" s="1464"/>
    </row>
    <row r="476">
      <c r="A476" s="1464"/>
      <c r="B476" s="1464"/>
      <c r="C476" s="1464"/>
      <c r="D476" s="1464"/>
      <c r="E476" s="1464"/>
      <c r="F476" s="1464"/>
      <c r="G476" s="1464"/>
      <c r="H476" s="1464"/>
      <c r="I476" s="1464"/>
      <c r="J476" s="1464"/>
      <c r="K476" s="1464"/>
      <c r="L476" s="1464"/>
      <c r="M476" s="1464"/>
      <c r="N476" s="1464"/>
      <c r="O476" s="1464"/>
      <c r="P476" s="1464"/>
      <c r="Q476" s="1464"/>
      <c r="R476" s="1464"/>
      <c r="S476" s="1464"/>
      <c r="T476" s="1464"/>
      <c r="U476" s="1464"/>
      <c r="V476" s="1464"/>
      <c r="W476" s="1464"/>
      <c r="X476" s="1464"/>
      <c r="Y476" s="1464"/>
      <c r="Z476" s="1464"/>
      <c r="AA476" s="1464"/>
      <c r="AB476" s="1464"/>
    </row>
    <row r="477">
      <c r="A477" s="1464"/>
      <c r="B477" s="1464"/>
      <c r="C477" s="1464"/>
      <c r="D477" s="1464"/>
      <c r="E477" s="1464"/>
      <c r="F477" s="1464"/>
      <c r="G477" s="1464"/>
      <c r="H477" s="1464"/>
      <c r="I477" s="1464"/>
      <c r="J477" s="1464"/>
      <c r="K477" s="1464"/>
      <c r="L477" s="1464"/>
      <c r="M477" s="1464"/>
      <c r="N477" s="1464"/>
      <c r="O477" s="1464"/>
      <c r="P477" s="1464"/>
      <c r="Q477" s="1464"/>
      <c r="R477" s="1464"/>
      <c r="S477" s="1464"/>
      <c r="T477" s="1464"/>
      <c r="U477" s="1464"/>
      <c r="V477" s="1464"/>
      <c r="W477" s="1464"/>
      <c r="X477" s="1464"/>
      <c r="Y477" s="1464"/>
      <c r="Z477" s="1464"/>
      <c r="AA477" s="1464"/>
      <c r="AB477" s="1464"/>
    </row>
    <row r="478">
      <c r="A478" s="1464"/>
      <c r="B478" s="1464"/>
      <c r="C478" s="1464"/>
      <c r="D478" s="1464"/>
      <c r="E478" s="1464"/>
      <c r="F478" s="1464"/>
      <c r="G478" s="1464"/>
      <c r="H478" s="1464"/>
      <c r="I478" s="1464"/>
      <c r="J478" s="1464"/>
      <c r="K478" s="1464"/>
      <c r="L478" s="1464"/>
      <c r="M478" s="1464"/>
      <c r="N478" s="1464"/>
      <c r="O478" s="1464"/>
      <c r="P478" s="1464"/>
      <c r="Q478" s="1464"/>
      <c r="R478" s="1464"/>
      <c r="S478" s="1464"/>
      <c r="T478" s="1464"/>
      <c r="U478" s="1464"/>
      <c r="V478" s="1464"/>
      <c r="W478" s="1464"/>
      <c r="X478" s="1464"/>
      <c r="Y478" s="1464"/>
      <c r="Z478" s="1464"/>
      <c r="AA478" s="1464"/>
      <c r="AB478" s="1464"/>
    </row>
    <row r="479">
      <c r="A479" s="1464"/>
      <c r="B479" s="1464"/>
      <c r="C479" s="1464"/>
      <c r="D479" s="1464"/>
      <c r="E479" s="1464"/>
      <c r="F479" s="1464"/>
      <c r="G479" s="1464"/>
      <c r="H479" s="1464"/>
      <c r="I479" s="1464"/>
      <c r="J479" s="1464"/>
      <c r="K479" s="1464"/>
      <c r="L479" s="1464"/>
      <c r="M479" s="1464"/>
      <c r="N479" s="1464"/>
      <c r="O479" s="1464"/>
      <c r="P479" s="1464"/>
      <c r="Q479" s="1464"/>
      <c r="R479" s="1464"/>
      <c r="S479" s="1464"/>
      <c r="T479" s="1464"/>
      <c r="U479" s="1464"/>
      <c r="V479" s="1464"/>
      <c r="W479" s="1464"/>
      <c r="X479" s="1464"/>
      <c r="Y479" s="1464"/>
      <c r="Z479" s="1464"/>
      <c r="AA479" s="1464"/>
      <c r="AB479" s="1464"/>
    </row>
    <row r="480">
      <c r="A480" s="1464"/>
      <c r="B480" s="1464"/>
      <c r="C480" s="1464"/>
      <c r="D480" s="1464"/>
      <c r="E480" s="1464"/>
      <c r="F480" s="1464"/>
      <c r="G480" s="1464"/>
      <c r="H480" s="1464"/>
      <c r="I480" s="1464"/>
      <c r="J480" s="1464"/>
      <c r="K480" s="1464"/>
      <c r="L480" s="1464"/>
      <c r="M480" s="1464"/>
      <c r="N480" s="1464"/>
      <c r="O480" s="1464"/>
      <c r="P480" s="1464"/>
      <c r="Q480" s="1464"/>
      <c r="R480" s="1464"/>
      <c r="S480" s="1464"/>
      <c r="T480" s="1464"/>
      <c r="U480" s="1464"/>
      <c r="V480" s="1464"/>
      <c r="W480" s="1464"/>
      <c r="X480" s="1464"/>
      <c r="Y480" s="1464"/>
      <c r="Z480" s="1464"/>
      <c r="AA480" s="1464"/>
      <c r="AB480" s="1464"/>
    </row>
    <row r="481">
      <c r="A481" s="1464"/>
      <c r="B481" s="1464"/>
      <c r="C481" s="1464"/>
      <c r="D481" s="1464"/>
      <c r="E481" s="1464"/>
      <c r="F481" s="1464"/>
      <c r="G481" s="1464"/>
      <c r="H481" s="1464"/>
      <c r="I481" s="1464"/>
      <c r="J481" s="1464"/>
      <c r="K481" s="1464"/>
      <c r="L481" s="1464"/>
      <c r="M481" s="1464"/>
      <c r="N481" s="1464"/>
      <c r="O481" s="1464"/>
      <c r="P481" s="1464"/>
      <c r="Q481" s="1464"/>
      <c r="R481" s="1464"/>
      <c r="S481" s="1464"/>
      <c r="T481" s="1464"/>
      <c r="U481" s="1464"/>
      <c r="V481" s="1464"/>
      <c r="W481" s="1464"/>
      <c r="X481" s="1464"/>
      <c r="Y481" s="1464"/>
      <c r="Z481" s="1464"/>
      <c r="AA481" s="1464"/>
      <c r="AB481" s="1464"/>
    </row>
    <row r="482">
      <c r="A482" s="1464"/>
      <c r="B482" s="1464"/>
      <c r="C482" s="1464"/>
      <c r="D482" s="1464"/>
      <c r="E482" s="1464"/>
      <c r="F482" s="1464"/>
      <c r="G482" s="1464"/>
      <c r="H482" s="1464"/>
      <c r="I482" s="1464"/>
      <c r="J482" s="1464"/>
      <c r="K482" s="1464"/>
      <c r="L482" s="1464"/>
      <c r="M482" s="1464"/>
      <c r="N482" s="1464"/>
      <c r="O482" s="1464"/>
      <c r="P482" s="1464"/>
      <c r="Q482" s="1464"/>
      <c r="R482" s="1464"/>
      <c r="S482" s="1464"/>
      <c r="T482" s="1464"/>
      <c r="U482" s="1464"/>
      <c r="V482" s="1464"/>
      <c r="W482" s="1464"/>
      <c r="X482" s="1464"/>
      <c r="Y482" s="1464"/>
      <c r="Z482" s="1464"/>
      <c r="AA482" s="1464"/>
      <c r="AB482" s="1464"/>
    </row>
    <row r="483">
      <c r="A483" s="1464"/>
      <c r="B483" s="1464"/>
      <c r="C483" s="1464"/>
      <c r="D483" s="1464"/>
      <c r="E483" s="1464"/>
      <c r="F483" s="1464"/>
      <c r="G483" s="1464"/>
      <c r="H483" s="1464"/>
      <c r="I483" s="1464"/>
      <c r="J483" s="1464"/>
      <c r="K483" s="1464"/>
      <c r="L483" s="1464"/>
      <c r="M483" s="1464"/>
      <c r="N483" s="1464"/>
      <c r="O483" s="1464"/>
      <c r="P483" s="1464"/>
      <c r="Q483" s="1464"/>
      <c r="R483" s="1464"/>
      <c r="S483" s="1464"/>
      <c r="T483" s="1464"/>
      <c r="U483" s="1464"/>
      <c r="V483" s="1464"/>
      <c r="W483" s="1464"/>
      <c r="X483" s="1464"/>
      <c r="Y483" s="1464"/>
      <c r="Z483" s="1464"/>
      <c r="AA483" s="1464"/>
      <c r="AB483" s="1464"/>
    </row>
    <row r="484">
      <c r="A484" s="1464"/>
      <c r="B484" s="1464"/>
      <c r="C484" s="1464"/>
      <c r="D484" s="1464"/>
      <c r="E484" s="1464"/>
      <c r="F484" s="1464"/>
      <c r="G484" s="1464"/>
      <c r="H484" s="1464"/>
      <c r="I484" s="1464"/>
      <c r="J484" s="1464"/>
      <c r="K484" s="1464"/>
      <c r="L484" s="1464"/>
      <c r="M484" s="1464"/>
      <c r="N484" s="1464"/>
      <c r="O484" s="1464"/>
      <c r="P484" s="1464"/>
      <c r="Q484" s="1464"/>
      <c r="R484" s="1464"/>
      <c r="S484" s="1464"/>
      <c r="T484" s="1464"/>
      <c r="U484" s="1464"/>
      <c r="V484" s="1464"/>
      <c r="W484" s="1464"/>
      <c r="X484" s="1464"/>
      <c r="Y484" s="1464"/>
      <c r="Z484" s="1464"/>
      <c r="AA484" s="1464"/>
      <c r="AB484" s="1464"/>
    </row>
    <row r="485">
      <c r="A485" s="1464"/>
      <c r="B485" s="1464"/>
      <c r="C485" s="1464"/>
      <c r="D485" s="1464"/>
      <c r="E485" s="1464"/>
      <c r="F485" s="1464"/>
      <c r="G485" s="1464"/>
      <c r="H485" s="1464"/>
      <c r="I485" s="1464"/>
      <c r="J485" s="1464"/>
      <c r="K485" s="1464"/>
      <c r="L485" s="1464"/>
      <c r="M485" s="1464"/>
      <c r="N485" s="1464"/>
      <c r="O485" s="1464"/>
      <c r="P485" s="1464"/>
      <c r="Q485" s="1464"/>
      <c r="R485" s="1464"/>
      <c r="S485" s="1464"/>
      <c r="T485" s="1464"/>
      <c r="U485" s="1464"/>
      <c r="V485" s="1464"/>
      <c r="W485" s="1464"/>
      <c r="X485" s="1464"/>
      <c r="Y485" s="1464"/>
      <c r="Z485" s="1464"/>
      <c r="AA485" s="1464"/>
      <c r="AB485" s="1464"/>
    </row>
    <row r="486">
      <c r="A486" s="1464"/>
      <c r="B486" s="1464"/>
      <c r="C486" s="1464"/>
      <c r="D486" s="1464"/>
      <c r="E486" s="1464"/>
      <c r="F486" s="1464"/>
      <c r="G486" s="1464"/>
      <c r="H486" s="1464"/>
      <c r="I486" s="1464"/>
      <c r="J486" s="1464"/>
      <c r="K486" s="1464"/>
      <c r="L486" s="1464"/>
      <c r="M486" s="1464"/>
      <c r="N486" s="1464"/>
      <c r="O486" s="1464"/>
      <c r="P486" s="1464"/>
      <c r="Q486" s="1464"/>
      <c r="R486" s="1464"/>
      <c r="S486" s="1464"/>
      <c r="T486" s="1464"/>
      <c r="U486" s="1464"/>
      <c r="V486" s="1464"/>
      <c r="W486" s="1464"/>
      <c r="X486" s="1464"/>
      <c r="Y486" s="1464"/>
      <c r="Z486" s="1464"/>
      <c r="AA486" s="1464"/>
      <c r="AB486" s="1464"/>
    </row>
    <row r="487">
      <c r="A487" s="1464"/>
      <c r="B487" s="1464"/>
      <c r="C487" s="1464"/>
      <c r="D487" s="1464"/>
      <c r="E487" s="1464"/>
      <c r="F487" s="1464"/>
      <c r="G487" s="1464"/>
      <c r="H487" s="1464"/>
      <c r="I487" s="1464"/>
      <c r="J487" s="1464"/>
      <c r="K487" s="1464"/>
      <c r="L487" s="1464"/>
      <c r="M487" s="1464"/>
      <c r="N487" s="1464"/>
      <c r="O487" s="1464"/>
      <c r="P487" s="1464"/>
      <c r="Q487" s="1464"/>
      <c r="R487" s="1464"/>
      <c r="S487" s="1464"/>
      <c r="T487" s="1464"/>
      <c r="U487" s="1464"/>
      <c r="V487" s="1464"/>
      <c r="W487" s="1464"/>
      <c r="X487" s="1464"/>
      <c r="Y487" s="1464"/>
      <c r="Z487" s="1464"/>
      <c r="AA487" s="1464"/>
      <c r="AB487" s="1464"/>
    </row>
    <row r="488">
      <c r="A488" s="1464"/>
      <c r="B488" s="1464"/>
      <c r="C488" s="1464"/>
      <c r="D488" s="1464"/>
      <c r="E488" s="1464"/>
      <c r="F488" s="1464"/>
      <c r="G488" s="1464"/>
      <c r="H488" s="1464"/>
      <c r="I488" s="1464"/>
      <c r="J488" s="1464"/>
      <c r="K488" s="1464"/>
      <c r="L488" s="1464"/>
      <c r="M488" s="1464"/>
      <c r="N488" s="1464"/>
      <c r="O488" s="1464"/>
      <c r="P488" s="1464"/>
      <c r="Q488" s="1464"/>
      <c r="R488" s="1464"/>
      <c r="S488" s="1464"/>
      <c r="T488" s="1464"/>
      <c r="U488" s="1464"/>
      <c r="V488" s="1464"/>
      <c r="W488" s="1464"/>
      <c r="X488" s="1464"/>
      <c r="Y488" s="1464"/>
      <c r="Z488" s="1464"/>
      <c r="AA488" s="1464"/>
      <c r="AB488" s="1464"/>
    </row>
    <row r="489">
      <c r="A489" s="1464"/>
      <c r="B489" s="1464"/>
      <c r="C489" s="1464"/>
      <c r="D489" s="1464"/>
      <c r="E489" s="1464"/>
      <c r="F489" s="1464"/>
      <c r="G489" s="1464"/>
      <c r="H489" s="1464"/>
      <c r="I489" s="1464"/>
      <c r="J489" s="1464"/>
      <c r="K489" s="1464"/>
      <c r="L489" s="1464"/>
      <c r="M489" s="1464"/>
      <c r="N489" s="1464"/>
      <c r="O489" s="1464"/>
      <c r="P489" s="1464"/>
      <c r="Q489" s="1464"/>
      <c r="R489" s="1464"/>
      <c r="S489" s="1464"/>
      <c r="T489" s="1464"/>
      <c r="U489" s="1464"/>
      <c r="V489" s="1464"/>
      <c r="W489" s="1464"/>
      <c r="X489" s="1464"/>
      <c r="Y489" s="1464"/>
      <c r="Z489" s="1464"/>
      <c r="AA489" s="1464"/>
      <c r="AB489" s="1464"/>
    </row>
    <row r="490">
      <c r="A490" s="1464"/>
      <c r="B490" s="1464"/>
      <c r="C490" s="1464"/>
      <c r="D490" s="1464"/>
      <c r="E490" s="1464"/>
      <c r="F490" s="1464"/>
      <c r="G490" s="1464"/>
      <c r="H490" s="1464"/>
      <c r="I490" s="1464"/>
      <c r="J490" s="1464"/>
      <c r="K490" s="1464"/>
      <c r="L490" s="1464"/>
      <c r="M490" s="1464"/>
      <c r="N490" s="1464"/>
      <c r="O490" s="1464"/>
      <c r="P490" s="1464"/>
      <c r="Q490" s="1464"/>
      <c r="R490" s="1464"/>
      <c r="S490" s="1464"/>
      <c r="T490" s="1464"/>
      <c r="U490" s="1464"/>
      <c r="V490" s="1464"/>
      <c r="W490" s="1464"/>
      <c r="X490" s="1464"/>
      <c r="Y490" s="1464"/>
      <c r="Z490" s="1464"/>
      <c r="AA490" s="1464"/>
      <c r="AB490" s="1464"/>
    </row>
    <row r="491">
      <c r="A491" s="1464"/>
      <c r="B491" s="1464"/>
      <c r="C491" s="1464"/>
      <c r="D491" s="1464"/>
      <c r="E491" s="1464"/>
      <c r="F491" s="1464"/>
      <c r="G491" s="1464"/>
      <c r="H491" s="1464"/>
      <c r="I491" s="1464"/>
      <c r="J491" s="1464"/>
      <c r="K491" s="1464"/>
      <c r="L491" s="1464"/>
      <c r="M491" s="1464"/>
      <c r="N491" s="1464"/>
      <c r="O491" s="1464"/>
      <c r="P491" s="1464"/>
      <c r="Q491" s="1464"/>
      <c r="R491" s="1464"/>
      <c r="S491" s="1464"/>
      <c r="T491" s="1464"/>
      <c r="U491" s="1464"/>
      <c r="V491" s="1464"/>
      <c r="W491" s="1464"/>
      <c r="X491" s="1464"/>
      <c r="Y491" s="1464"/>
      <c r="Z491" s="1464"/>
      <c r="AA491" s="1464"/>
      <c r="AB491" s="1464"/>
    </row>
    <row r="492">
      <c r="A492" s="1464"/>
      <c r="B492" s="1464"/>
      <c r="C492" s="1464"/>
      <c r="D492" s="1464"/>
      <c r="E492" s="1464"/>
      <c r="F492" s="1464"/>
      <c r="G492" s="1464"/>
      <c r="H492" s="1464"/>
      <c r="I492" s="1464"/>
      <c r="J492" s="1464"/>
      <c r="K492" s="1464"/>
      <c r="L492" s="1464"/>
      <c r="M492" s="1464"/>
      <c r="N492" s="1464"/>
      <c r="O492" s="1464"/>
      <c r="P492" s="1464"/>
      <c r="Q492" s="1464"/>
      <c r="R492" s="1464"/>
      <c r="S492" s="1464"/>
      <c r="T492" s="1464"/>
      <c r="U492" s="1464"/>
      <c r="V492" s="1464"/>
      <c r="W492" s="1464"/>
      <c r="X492" s="1464"/>
      <c r="Y492" s="1464"/>
      <c r="Z492" s="1464"/>
      <c r="AA492" s="1464"/>
      <c r="AB492" s="1464"/>
    </row>
    <row r="493">
      <c r="A493" s="1464"/>
      <c r="B493" s="1464"/>
      <c r="C493" s="1464"/>
      <c r="D493" s="1464"/>
      <c r="E493" s="1464"/>
      <c r="F493" s="1464"/>
      <c r="G493" s="1464"/>
      <c r="H493" s="1464"/>
      <c r="I493" s="1464"/>
      <c r="J493" s="1464"/>
      <c r="K493" s="1464"/>
      <c r="L493" s="1464"/>
      <c r="M493" s="1464"/>
      <c r="N493" s="1464"/>
      <c r="O493" s="1464"/>
      <c r="P493" s="1464"/>
      <c r="Q493" s="1464"/>
      <c r="R493" s="1464"/>
      <c r="S493" s="1464"/>
      <c r="T493" s="1464"/>
      <c r="U493" s="1464"/>
      <c r="V493" s="1464"/>
      <c r="W493" s="1464"/>
      <c r="X493" s="1464"/>
      <c r="Y493" s="1464"/>
      <c r="Z493" s="1464"/>
      <c r="AA493" s="1464"/>
      <c r="AB493" s="1464"/>
    </row>
    <row r="494">
      <c r="A494" s="1464"/>
      <c r="B494" s="1464"/>
      <c r="C494" s="1464"/>
      <c r="D494" s="1464"/>
      <c r="E494" s="1464"/>
      <c r="F494" s="1464"/>
      <c r="G494" s="1464"/>
      <c r="H494" s="1464"/>
      <c r="I494" s="1464"/>
      <c r="J494" s="1464"/>
      <c r="K494" s="1464"/>
      <c r="L494" s="1464"/>
      <c r="M494" s="1464"/>
      <c r="N494" s="1464"/>
      <c r="O494" s="1464"/>
      <c r="P494" s="1464"/>
      <c r="Q494" s="1464"/>
      <c r="R494" s="1464"/>
      <c r="S494" s="1464"/>
      <c r="T494" s="1464"/>
      <c r="U494" s="1464"/>
      <c r="V494" s="1464"/>
      <c r="W494" s="1464"/>
      <c r="X494" s="1464"/>
      <c r="Y494" s="1464"/>
      <c r="Z494" s="1464"/>
      <c r="AA494" s="1464"/>
      <c r="AB494" s="1464"/>
    </row>
    <row r="495">
      <c r="A495" s="1464"/>
      <c r="B495" s="1464"/>
      <c r="C495" s="1464"/>
      <c r="D495" s="1464"/>
      <c r="E495" s="1464"/>
      <c r="F495" s="1464"/>
      <c r="G495" s="1464"/>
      <c r="H495" s="1464"/>
      <c r="I495" s="1464"/>
      <c r="J495" s="1464"/>
      <c r="K495" s="1464"/>
      <c r="L495" s="1464"/>
      <c r="M495" s="1464"/>
      <c r="N495" s="1464"/>
      <c r="O495" s="1464"/>
      <c r="P495" s="1464"/>
      <c r="Q495" s="1464"/>
      <c r="R495" s="1464"/>
      <c r="S495" s="1464"/>
      <c r="T495" s="1464"/>
      <c r="U495" s="1464"/>
      <c r="V495" s="1464"/>
      <c r="W495" s="1464"/>
      <c r="X495" s="1464"/>
      <c r="Y495" s="1464"/>
      <c r="Z495" s="1464"/>
      <c r="AA495" s="1464"/>
      <c r="AB495" s="1464"/>
    </row>
    <row r="496">
      <c r="A496" s="1464"/>
      <c r="B496" s="1464"/>
      <c r="C496" s="1464"/>
      <c r="D496" s="1464"/>
      <c r="E496" s="1464"/>
      <c r="F496" s="1464"/>
      <c r="G496" s="1464"/>
      <c r="H496" s="1464"/>
      <c r="I496" s="1464"/>
      <c r="J496" s="1464"/>
      <c r="K496" s="1464"/>
      <c r="L496" s="1464"/>
      <c r="M496" s="1464"/>
      <c r="N496" s="1464"/>
      <c r="O496" s="1464"/>
      <c r="P496" s="1464"/>
      <c r="Q496" s="1464"/>
      <c r="R496" s="1464"/>
      <c r="S496" s="1464"/>
      <c r="T496" s="1464"/>
      <c r="U496" s="1464"/>
      <c r="V496" s="1464"/>
      <c r="W496" s="1464"/>
      <c r="X496" s="1464"/>
      <c r="Y496" s="1464"/>
      <c r="Z496" s="1464"/>
      <c r="AA496" s="1464"/>
      <c r="AB496" s="1464"/>
    </row>
    <row r="497">
      <c r="A497" s="1464"/>
      <c r="B497" s="1464"/>
      <c r="C497" s="1464"/>
      <c r="D497" s="1464"/>
      <c r="E497" s="1464"/>
      <c r="F497" s="1464"/>
      <c r="G497" s="1464"/>
      <c r="H497" s="1464"/>
      <c r="I497" s="1464"/>
      <c r="J497" s="1464"/>
      <c r="K497" s="1464"/>
      <c r="L497" s="1464"/>
      <c r="M497" s="1464"/>
      <c r="N497" s="1464"/>
      <c r="O497" s="1464"/>
      <c r="P497" s="1464"/>
      <c r="Q497" s="1464"/>
      <c r="R497" s="1464"/>
      <c r="S497" s="1464"/>
      <c r="T497" s="1464"/>
      <c r="U497" s="1464"/>
      <c r="V497" s="1464"/>
      <c r="W497" s="1464"/>
      <c r="X497" s="1464"/>
      <c r="Y497" s="1464"/>
      <c r="Z497" s="1464"/>
      <c r="AA497" s="1464"/>
      <c r="AB497" s="1464"/>
    </row>
    <row r="498">
      <c r="A498" s="1464"/>
      <c r="B498" s="1464"/>
      <c r="C498" s="1464"/>
      <c r="D498" s="1464"/>
      <c r="E498" s="1464"/>
      <c r="F498" s="1464"/>
      <c r="G498" s="1464"/>
      <c r="H498" s="1464"/>
      <c r="I498" s="1464"/>
      <c r="J498" s="1464"/>
      <c r="K498" s="1464"/>
      <c r="L498" s="1464"/>
      <c r="M498" s="1464"/>
      <c r="N498" s="1464"/>
      <c r="O498" s="1464"/>
      <c r="P498" s="1464"/>
      <c r="Q498" s="1464"/>
      <c r="R498" s="1464"/>
      <c r="S498" s="1464"/>
      <c r="T498" s="1464"/>
      <c r="U498" s="1464"/>
      <c r="V498" s="1464"/>
      <c r="W498" s="1464"/>
      <c r="X498" s="1464"/>
      <c r="Y498" s="1464"/>
      <c r="Z498" s="1464"/>
      <c r="AA498" s="1464"/>
      <c r="AB498" s="1464"/>
    </row>
    <row r="499">
      <c r="A499" s="1464"/>
      <c r="B499" s="1464"/>
      <c r="C499" s="1464"/>
      <c r="D499" s="1464"/>
      <c r="E499" s="1464"/>
      <c r="F499" s="1464"/>
      <c r="G499" s="1464"/>
      <c r="H499" s="1464"/>
      <c r="I499" s="1464"/>
      <c r="J499" s="1464"/>
      <c r="K499" s="1464"/>
      <c r="L499" s="1464"/>
      <c r="M499" s="1464"/>
      <c r="N499" s="1464"/>
      <c r="O499" s="1464"/>
      <c r="P499" s="1464"/>
      <c r="Q499" s="1464"/>
      <c r="R499" s="1464"/>
      <c r="S499" s="1464"/>
      <c r="T499" s="1464"/>
      <c r="U499" s="1464"/>
      <c r="V499" s="1464"/>
      <c r="W499" s="1464"/>
      <c r="X499" s="1464"/>
      <c r="Y499" s="1464"/>
      <c r="Z499" s="1464"/>
      <c r="AA499" s="1464"/>
      <c r="AB499" s="1464"/>
    </row>
    <row r="500">
      <c r="A500" s="1464"/>
      <c r="B500" s="1464"/>
      <c r="C500" s="1464"/>
      <c r="D500" s="1464"/>
      <c r="E500" s="1464"/>
      <c r="F500" s="1464"/>
      <c r="G500" s="1464"/>
      <c r="H500" s="1464"/>
      <c r="I500" s="1464"/>
      <c r="J500" s="1464"/>
      <c r="K500" s="1464"/>
      <c r="L500" s="1464"/>
      <c r="M500" s="1464"/>
      <c r="N500" s="1464"/>
      <c r="O500" s="1464"/>
      <c r="P500" s="1464"/>
      <c r="Q500" s="1464"/>
      <c r="R500" s="1464"/>
      <c r="S500" s="1464"/>
      <c r="T500" s="1464"/>
      <c r="U500" s="1464"/>
      <c r="V500" s="1464"/>
      <c r="W500" s="1464"/>
      <c r="X500" s="1464"/>
      <c r="Y500" s="1464"/>
      <c r="Z500" s="1464"/>
      <c r="AA500" s="1464"/>
      <c r="AB500" s="1464"/>
    </row>
    <row r="501">
      <c r="A501" s="1464"/>
      <c r="B501" s="1464"/>
      <c r="C501" s="1464"/>
      <c r="D501" s="1464"/>
      <c r="E501" s="1464"/>
      <c r="F501" s="1464"/>
      <c r="G501" s="1464"/>
      <c r="H501" s="1464"/>
      <c r="I501" s="1464"/>
      <c r="J501" s="1464"/>
      <c r="K501" s="1464"/>
      <c r="L501" s="1464"/>
      <c r="M501" s="1464"/>
      <c r="N501" s="1464"/>
      <c r="O501" s="1464"/>
      <c r="P501" s="1464"/>
      <c r="Q501" s="1464"/>
      <c r="R501" s="1464"/>
      <c r="S501" s="1464"/>
      <c r="T501" s="1464"/>
      <c r="U501" s="1464"/>
      <c r="V501" s="1464"/>
      <c r="W501" s="1464"/>
      <c r="X501" s="1464"/>
      <c r="Y501" s="1464"/>
      <c r="Z501" s="1464"/>
      <c r="AA501" s="1464"/>
      <c r="AB501" s="1464"/>
    </row>
    <row r="502">
      <c r="A502" s="1464"/>
      <c r="B502" s="1464"/>
      <c r="C502" s="1464"/>
      <c r="D502" s="1464"/>
      <c r="E502" s="1464"/>
      <c r="F502" s="1464"/>
      <c r="G502" s="1464"/>
      <c r="H502" s="1464"/>
      <c r="I502" s="1464"/>
      <c r="J502" s="1464"/>
      <c r="K502" s="1464"/>
      <c r="L502" s="1464"/>
      <c r="M502" s="1464"/>
      <c r="N502" s="1464"/>
      <c r="O502" s="1464"/>
      <c r="P502" s="1464"/>
      <c r="Q502" s="1464"/>
      <c r="R502" s="1464"/>
      <c r="S502" s="1464"/>
      <c r="T502" s="1464"/>
      <c r="U502" s="1464"/>
      <c r="V502" s="1464"/>
      <c r="W502" s="1464"/>
      <c r="X502" s="1464"/>
      <c r="Y502" s="1464"/>
      <c r="Z502" s="1464"/>
      <c r="AA502" s="1464"/>
      <c r="AB502" s="1464"/>
    </row>
    <row r="503">
      <c r="A503" s="1464"/>
      <c r="B503" s="1464"/>
      <c r="C503" s="1464"/>
      <c r="D503" s="1464"/>
      <c r="E503" s="1464"/>
      <c r="F503" s="1464"/>
      <c r="G503" s="1464"/>
      <c r="H503" s="1464"/>
      <c r="I503" s="1464"/>
      <c r="J503" s="1464"/>
      <c r="K503" s="1464"/>
      <c r="L503" s="1464"/>
      <c r="M503" s="1464"/>
      <c r="N503" s="1464"/>
      <c r="O503" s="1464"/>
      <c r="P503" s="1464"/>
      <c r="Q503" s="1464"/>
      <c r="R503" s="1464"/>
      <c r="S503" s="1464"/>
      <c r="T503" s="1464"/>
      <c r="U503" s="1464"/>
      <c r="V503" s="1464"/>
      <c r="W503" s="1464"/>
      <c r="X503" s="1464"/>
      <c r="Y503" s="1464"/>
      <c r="Z503" s="1464"/>
      <c r="AA503" s="1464"/>
      <c r="AB503" s="1464"/>
    </row>
    <row r="504">
      <c r="A504" s="1464"/>
      <c r="B504" s="1464"/>
      <c r="C504" s="1464"/>
      <c r="D504" s="1464"/>
      <c r="E504" s="1464"/>
      <c r="F504" s="1464"/>
      <c r="G504" s="1464"/>
      <c r="H504" s="1464"/>
      <c r="I504" s="1464"/>
      <c r="J504" s="1464"/>
      <c r="K504" s="1464"/>
      <c r="L504" s="1464"/>
      <c r="M504" s="1464"/>
      <c r="N504" s="1464"/>
      <c r="O504" s="1464"/>
      <c r="P504" s="1464"/>
      <c r="Q504" s="1464"/>
      <c r="R504" s="1464"/>
      <c r="S504" s="1464"/>
      <c r="T504" s="1464"/>
      <c r="U504" s="1464"/>
      <c r="V504" s="1464"/>
      <c r="W504" s="1464"/>
      <c r="X504" s="1464"/>
      <c r="Y504" s="1464"/>
      <c r="Z504" s="1464"/>
      <c r="AA504" s="1464"/>
      <c r="AB504" s="1464"/>
    </row>
    <row r="505">
      <c r="A505" s="1464"/>
      <c r="B505" s="1464"/>
      <c r="C505" s="1464"/>
      <c r="D505" s="1464"/>
      <c r="E505" s="1464"/>
      <c r="F505" s="1464"/>
      <c r="G505" s="1464"/>
      <c r="H505" s="1464"/>
      <c r="I505" s="1464"/>
      <c r="J505" s="1464"/>
      <c r="K505" s="1464"/>
      <c r="L505" s="1464"/>
      <c r="M505" s="1464"/>
      <c r="N505" s="1464"/>
      <c r="O505" s="1464"/>
      <c r="P505" s="1464"/>
      <c r="Q505" s="1464"/>
      <c r="R505" s="1464"/>
      <c r="S505" s="1464"/>
      <c r="T505" s="1464"/>
      <c r="U505" s="1464"/>
      <c r="V505" s="1464"/>
      <c r="W505" s="1464"/>
      <c r="X505" s="1464"/>
      <c r="Y505" s="1464"/>
      <c r="Z505" s="1464"/>
      <c r="AA505" s="1464"/>
      <c r="AB505" s="1464"/>
    </row>
    <row r="506">
      <c r="A506" s="1464"/>
      <c r="B506" s="1464"/>
      <c r="C506" s="1464"/>
      <c r="D506" s="1464"/>
      <c r="E506" s="1464"/>
      <c r="F506" s="1464"/>
      <c r="G506" s="1464"/>
      <c r="H506" s="1464"/>
      <c r="I506" s="1464"/>
      <c r="J506" s="1464"/>
      <c r="K506" s="1464"/>
      <c r="L506" s="1464"/>
      <c r="M506" s="1464"/>
      <c r="N506" s="1464"/>
      <c r="O506" s="1464"/>
      <c r="P506" s="1464"/>
      <c r="Q506" s="1464"/>
      <c r="R506" s="1464"/>
      <c r="S506" s="1464"/>
      <c r="T506" s="1464"/>
      <c r="U506" s="1464"/>
      <c r="V506" s="1464"/>
      <c r="W506" s="1464"/>
      <c r="X506" s="1464"/>
      <c r="Y506" s="1464"/>
      <c r="Z506" s="1464"/>
      <c r="AA506" s="1464"/>
      <c r="AB506" s="1464"/>
    </row>
    <row r="507">
      <c r="A507" s="1464"/>
      <c r="B507" s="1464"/>
      <c r="C507" s="1464"/>
      <c r="D507" s="1464"/>
      <c r="E507" s="1464"/>
      <c r="F507" s="1464"/>
      <c r="G507" s="1464"/>
      <c r="H507" s="1464"/>
      <c r="I507" s="1464"/>
      <c r="J507" s="1464"/>
      <c r="K507" s="1464"/>
      <c r="L507" s="1464"/>
      <c r="M507" s="1464"/>
      <c r="N507" s="1464"/>
      <c r="O507" s="1464"/>
      <c r="P507" s="1464"/>
      <c r="Q507" s="1464"/>
      <c r="R507" s="1464"/>
      <c r="S507" s="1464"/>
      <c r="T507" s="1464"/>
      <c r="U507" s="1464"/>
      <c r="V507" s="1464"/>
      <c r="W507" s="1464"/>
      <c r="X507" s="1464"/>
      <c r="Y507" s="1464"/>
      <c r="Z507" s="1464"/>
      <c r="AA507" s="1464"/>
      <c r="AB507" s="1464"/>
    </row>
    <row r="508">
      <c r="A508" s="1464"/>
      <c r="B508" s="1464"/>
      <c r="C508" s="1464"/>
      <c r="D508" s="1464"/>
      <c r="E508" s="1464"/>
      <c r="F508" s="1464"/>
      <c r="G508" s="1464"/>
      <c r="H508" s="1464"/>
      <c r="I508" s="1464"/>
      <c r="J508" s="1464"/>
      <c r="K508" s="1464"/>
      <c r="L508" s="1464"/>
      <c r="M508" s="1464"/>
      <c r="N508" s="1464"/>
      <c r="O508" s="1464"/>
      <c r="P508" s="1464"/>
      <c r="Q508" s="1464"/>
      <c r="R508" s="1464"/>
      <c r="S508" s="1464"/>
      <c r="T508" s="1464"/>
      <c r="U508" s="1464"/>
      <c r="V508" s="1464"/>
      <c r="W508" s="1464"/>
      <c r="X508" s="1464"/>
      <c r="Y508" s="1464"/>
      <c r="Z508" s="1464"/>
      <c r="AA508" s="1464"/>
      <c r="AB508" s="1464"/>
    </row>
    <row r="509">
      <c r="A509" s="1464"/>
      <c r="B509" s="1464"/>
      <c r="C509" s="1464"/>
      <c r="D509" s="1464"/>
      <c r="E509" s="1464"/>
      <c r="F509" s="1464"/>
      <c r="G509" s="1464"/>
      <c r="H509" s="1464"/>
      <c r="I509" s="1464"/>
      <c r="J509" s="1464"/>
      <c r="K509" s="1464"/>
      <c r="L509" s="1464"/>
      <c r="M509" s="1464"/>
      <c r="N509" s="1464"/>
      <c r="O509" s="1464"/>
      <c r="P509" s="1464"/>
      <c r="Q509" s="1464"/>
      <c r="R509" s="1464"/>
      <c r="S509" s="1464"/>
      <c r="T509" s="1464"/>
      <c r="U509" s="1464"/>
      <c r="V509" s="1464"/>
      <c r="W509" s="1464"/>
      <c r="X509" s="1464"/>
      <c r="Y509" s="1464"/>
      <c r="Z509" s="1464"/>
      <c r="AA509" s="1464"/>
      <c r="AB509" s="1464"/>
    </row>
    <row r="510">
      <c r="A510" s="1464"/>
      <c r="B510" s="1464"/>
      <c r="C510" s="1464"/>
      <c r="D510" s="1464"/>
      <c r="E510" s="1464"/>
      <c r="F510" s="1464"/>
      <c r="G510" s="1464"/>
      <c r="H510" s="1464"/>
      <c r="I510" s="1464"/>
      <c r="J510" s="1464"/>
      <c r="K510" s="1464"/>
      <c r="L510" s="1464"/>
      <c r="M510" s="1464"/>
      <c r="N510" s="1464"/>
      <c r="O510" s="1464"/>
      <c r="P510" s="1464"/>
      <c r="Q510" s="1464"/>
      <c r="R510" s="1464"/>
      <c r="S510" s="1464"/>
      <c r="T510" s="1464"/>
      <c r="U510" s="1464"/>
      <c r="V510" s="1464"/>
      <c r="W510" s="1464"/>
      <c r="X510" s="1464"/>
      <c r="Y510" s="1464"/>
      <c r="Z510" s="1464"/>
      <c r="AA510" s="1464"/>
      <c r="AB510" s="1464"/>
    </row>
    <row r="511">
      <c r="A511" s="1464"/>
      <c r="B511" s="1464"/>
      <c r="C511" s="1464"/>
      <c r="D511" s="1464"/>
      <c r="E511" s="1464"/>
      <c r="F511" s="1464"/>
      <c r="G511" s="1464"/>
      <c r="H511" s="1464"/>
      <c r="I511" s="1464"/>
      <c r="J511" s="1464"/>
      <c r="K511" s="1464"/>
      <c r="L511" s="1464"/>
      <c r="M511" s="1464"/>
      <c r="N511" s="1464"/>
      <c r="O511" s="1464"/>
      <c r="P511" s="1464"/>
      <c r="Q511" s="1464"/>
      <c r="R511" s="1464"/>
      <c r="S511" s="1464"/>
      <c r="T511" s="1464"/>
      <c r="U511" s="1464"/>
      <c r="V511" s="1464"/>
      <c r="W511" s="1464"/>
      <c r="X511" s="1464"/>
      <c r="Y511" s="1464"/>
      <c r="Z511" s="1464"/>
      <c r="AA511" s="1464"/>
      <c r="AB511" s="1464"/>
    </row>
    <row r="512">
      <c r="A512" s="1464"/>
      <c r="B512" s="1464"/>
      <c r="C512" s="1464"/>
      <c r="D512" s="1464"/>
      <c r="E512" s="1464"/>
      <c r="F512" s="1464"/>
      <c r="G512" s="1464"/>
      <c r="H512" s="1464"/>
      <c r="I512" s="1464"/>
      <c r="J512" s="1464"/>
      <c r="K512" s="1464"/>
      <c r="L512" s="1464"/>
      <c r="M512" s="1464"/>
      <c r="N512" s="1464"/>
      <c r="O512" s="1464"/>
      <c r="P512" s="1464"/>
      <c r="Q512" s="1464"/>
      <c r="R512" s="1464"/>
      <c r="S512" s="1464"/>
      <c r="T512" s="1464"/>
      <c r="U512" s="1464"/>
      <c r="V512" s="1464"/>
      <c r="W512" s="1464"/>
      <c r="X512" s="1464"/>
      <c r="Y512" s="1464"/>
      <c r="Z512" s="1464"/>
      <c r="AA512" s="1464"/>
      <c r="AB512" s="1464"/>
    </row>
    <row r="513">
      <c r="A513" s="1464"/>
      <c r="B513" s="1464"/>
      <c r="C513" s="1464"/>
      <c r="D513" s="1464"/>
      <c r="E513" s="1464"/>
      <c r="F513" s="1464"/>
      <c r="G513" s="1464"/>
      <c r="H513" s="1464"/>
      <c r="I513" s="1464"/>
      <c r="J513" s="1464"/>
      <c r="K513" s="1464"/>
      <c r="L513" s="1464"/>
      <c r="M513" s="1464"/>
      <c r="N513" s="1464"/>
      <c r="O513" s="1464"/>
      <c r="P513" s="1464"/>
      <c r="Q513" s="1464"/>
      <c r="R513" s="1464"/>
      <c r="S513" s="1464"/>
      <c r="T513" s="1464"/>
      <c r="U513" s="1464"/>
      <c r="V513" s="1464"/>
      <c r="W513" s="1464"/>
      <c r="X513" s="1464"/>
      <c r="Y513" s="1464"/>
      <c r="Z513" s="1464"/>
      <c r="AA513" s="1464"/>
      <c r="AB513" s="1464"/>
    </row>
    <row r="514">
      <c r="A514" s="1464"/>
      <c r="B514" s="1464"/>
      <c r="C514" s="1464"/>
      <c r="D514" s="1464"/>
      <c r="E514" s="1464"/>
      <c r="F514" s="1464"/>
      <c r="G514" s="1464"/>
      <c r="H514" s="1464"/>
      <c r="I514" s="1464"/>
      <c r="J514" s="1464"/>
      <c r="K514" s="1464"/>
      <c r="L514" s="1464"/>
      <c r="M514" s="1464"/>
      <c r="N514" s="1464"/>
      <c r="O514" s="1464"/>
      <c r="P514" s="1464"/>
      <c r="Q514" s="1464"/>
      <c r="R514" s="1464"/>
      <c r="S514" s="1464"/>
      <c r="T514" s="1464"/>
      <c r="U514" s="1464"/>
      <c r="V514" s="1464"/>
      <c r="W514" s="1464"/>
      <c r="X514" s="1464"/>
      <c r="Y514" s="1464"/>
      <c r="Z514" s="1464"/>
      <c r="AA514" s="1464"/>
      <c r="AB514" s="1464"/>
    </row>
    <row r="515">
      <c r="A515" s="1464"/>
      <c r="B515" s="1464"/>
      <c r="C515" s="1464"/>
      <c r="D515" s="1464"/>
      <c r="E515" s="1464"/>
      <c r="F515" s="1464"/>
      <c r="G515" s="1464"/>
      <c r="H515" s="1464"/>
      <c r="I515" s="1464"/>
      <c r="J515" s="1464"/>
      <c r="K515" s="1464"/>
      <c r="L515" s="1464"/>
      <c r="M515" s="1464"/>
      <c r="N515" s="1464"/>
      <c r="O515" s="1464"/>
      <c r="P515" s="1464"/>
      <c r="Q515" s="1464"/>
      <c r="R515" s="1464"/>
      <c r="S515" s="1464"/>
      <c r="T515" s="1464"/>
      <c r="U515" s="1464"/>
      <c r="V515" s="1464"/>
      <c r="W515" s="1464"/>
      <c r="X515" s="1464"/>
      <c r="Y515" s="1464"/>
      <c r="Z515" s="1464"/>
      <c r="AA515" s="1464"/>
      <c r="AB515" s="1464"/>
    </row>
    <row r="516">
      <c r="A516" s="1464"/>
      <c r="B516" s="1464"/>
      <c r="C516" s="1464"/>
      <c r="D516" s="1464"/>
      <c r="E516" s="1464"/>
      <c r="F516" s="1464"/>
      <c r="G516" s="1464"/>
      <c r="H516" s="1464"/>
      <c r="I516" s="1464"/>
      <c r="J516" s="1464"/>
      <c r="K516" s="1464"/>
      <c r="L516" s="1464"/>
      <c r="M516" s="1464"/>
      <c r="N516" s="1464"/>
      <c r="O516" s="1464"/>
      <c r="P516" s="1464"/>
      <c r="Q516" s="1464"/>
      <c r="R516" s="1464"/>
      <c r="S516" s="1464"/>
      <c r="T516" s="1464"/>
      <c r="U516" s="1464"/>
      <c r="V516" s="1464"/>
      <c r="W516" s="1464"/>
      <c r="X516" s="1464"/>
      <c r="Y516" s="1464"/>
      <c r="Z516" s="1464"/>
      <c r="AA516" s="1464"/>
      <c r="AB516" s="1464"/>
    </row>
    <row r="517">
      <c r="A517" s="1464"/>
      <c r="B517" s="1464"/>
      <c r="C517" s="1464"/>
      <c r="D517" s="1464"/>
      <c r="E517" s="1464"/>
      <c r="F517" s="1464"/>
      <c r="G517" s="1464"/>
      <c r="H517" s="1464"/>
      <c r="I517" s="1464"/>
      <c r="J517" s="1464"/>
      <c r="K517" s="1464"/>
      <c r="L517" s="1464"/>
      <c r="M517" s="1464"/>
      <c r="N517" s="1464"/>
      <c r="O517" s="1464"/>
      <c r="P517" s="1464"/>
      <c r="Q517" s="1464"/>
      <c r="R517" s="1464"/>
      <c r="S517" s="1464"/>
      <c r="T517" s="1464"/>
      <c r="U517" s="1464"/>
      <c r="V517" s="1464"/>
      <c r="W517" s="1464"/>
      <c r="X517" s="1464"/>
      <c r="Y517" s="1464"/>
      <c r="Z517" s="1464"/>
      <c r="AA517" s="1464"/>
      <c r="AB517" s="1464"/>
    </row>
    <row r="518">
      <c r="A518" s="1464"/>
      <c r="B518" s="1464"/>
      <c r="C518" s="1464"/>
      <c r="D518" s="1464"/>
      <c r="E518" s="1464"/>
      <c r="F518" s="1464"/>
      <c r="G518" s="1464"/>
      <c r="H518" s="1464"/>
      <c r="I518" s="1464"/>
      <c r="J518" s="1464"/>
      <c r="K518" s="1464"/>
      <c r="L518" s="1464"/>
      <c r="M518" s="1464"/>
      <c r="N518" s="1464"/>
      <c r="O518" s="1464"/>
      <c r="P518" s="1464"/>
      <c r="Q518" s="1464"/>
      <c r="R518" s="1464"/>
      <c r="S518" s="1464"/>
      <c r="T518" s="1464"/>
      <c r="U518" s="1464"/>
      <c r="V518" s="1464"/>
      <c r="W518" s="1464"/>
      <c r="X518" s="1464"/>
      <c r="Y518" s="1464"/>
      <c r="Z518" s="1464"/>
      <c r="AA518" s="1464"/>
      <c r="AB518" s="1464"/>
    </row>
    <row r="519">
      <c r="A519" s="1464"/>
      <c r="B519" s="1464"/>
      <c r="C519" s="1464"/>
      <c r="D519" s="1464"/>
      <c r="E519" s="1464"/>
      <c r="F519" s="1464"/>
      <c r="G519" s="1464"/>
      <c r="H519" s="1464"/>
      <c r="I519" s="1464"/>
      <c r="J519" s="1464"/>
      <c r="K519" s="1464"/>
      <c r="L519" s="1464"/>
      <c r="M519" s="1464"/>
      <c r="N519" s="1464"/>
      <c r="O519" s="1464"/>
      <c r="P519" s="1464"/>
      <c r="Q519" s="1464"/>
      <c r="R519" s="1464"/>
      <c r="S519" s="1464"/>
      <c r="T519" s="1464"/>
      <c r="U519" s="1464"/>
      <c r="V519" s="1464"/>
      <c r="W519" s="1464"/>
      <c r="X519" s="1464"/>
      <c r="Y519" s="1464"/>
      <c r="Z519" s="1464"/>
      <c r="AA519" s="1464"/>
      <c r="AB519" s="1464"/>
    </row>
    <row r="520">
      <c r="A520" s="1464"/>
      <c r="B520" s="1464"/>
      <c r="C520" s="1464"/>
      <c r="D520" s="1464"/>
      <c r="E520" s="1464"/>
      <c r="F520" s="1464"/>
      <c r="G520" s="1464"/>
      <c r="H520" s="1464"/>
      <c r="I520" s="1464"/>
      <c r="J520" s="1464"/>
      <c r="K520" s="1464"/>
      <c r="L520" s="1464"/>
      <c r="M520" s="1464"/>
      <c r="N520" s="1464"/>
      <c r="O520" s="1464"/>
      <c r="P520" s="1464"/>
      <c r="Q520" s="1464"/>
      <c r="R520" s="1464"/>
      <c r="S520" s="1464"/>
      <c r="T520" s="1464"/>
      <c r="U520" s="1464"/>
      <c r="V520" s="1464"/>
      <c r="W520" s="1464"/>
      <c r="X520" s="1464"/>
      <c r="Y520" s="1464"/>
      <c r="Z520" s="1464"/>
      <c r="AA520" s="1464"/>
      <c r="AB520" s="1464"/>
    </row>
    <row r="521">
      <c r="A521" s="1464"/>
      <c r="B521" s="1464"/>
      <c r="C521" s="1464"/>
      <c r="D521" s="1464"/>
      <c r="E521" s="1464"/>
      <c r="F521" s="1464"/>
      <c r="G521" s="1464"/>
      <c r="H521" s="1464"/>
      <c r="I521" s="1464"/>
      <c r="J521" s="1464"/>
      <c r="K521" s="1464"/>
      <c r="L521" s="1464"/>
      <c r="M521" s="1464"/>
      <c r="N521" s="1464"/>
      <c r="O521" s="1464"/>
      <c r="P521" s="1464"/>
      <c r="Q521" s="1464"/>
      <c r="R521" s="1464"/>
      <c r="S521" s="1464"/>
      <c r="T521" s="1464"/>
      <c r="U521" s="1464"/>
      <c r="V521" s="1464"/>
      <c r="W521" s="1464"/>
      <c r="X521" s="1464"/>
      <c r="Y521" s="1464"/>
      <c r="Z521" s="1464"/>
      <c r="AA521" s="1464"/>
      <c r="AB521" s="1464"/>
    </row>
    <row r="522">
      <c r="A522" s="1464"/>
      <c r="B522" s="1464"/>
      <c r="C522" s="1464"/>
      <c r="D522" s="1464"/>
      <c r="E522" s="1464"/>
      <c r="F522" s="1464"/>
      <c r="G522" s="1464"/>
      <c r="H522" s="1464"/>
      <c r="I522" s="1464"/>
      <c r="J522" s="1464"/>
      <c r="K522" s="1464"/>
      <c r="L522" s="1464"/>
      <c r="M522" s="1464"/>
      <c r="N522" s="1464"/>
      <c r="O522" s="1464"/>
      <c r="P522" s="1464"/>
      <c r="Q522" s="1464"/>
      <c r="R522" s="1464"/>
      <c r="S522" s="1464"/>
      <c r="T522" s="1464"/>
      <c r="U522" s="1464"/>
      <c r="V522" s="1464"/>
      <c r="W522" s="1464"/>
      <c r="X522" s="1464"/>
      <c r="Y522" s="1464"/>
      <c r="Z522" s="1464"/>
      <c r="AA522" s="1464"/>
      <c r="AB522" s="1464"/>
    </row>
    <row r="523">
      <c r="A523" s="1464"/>
      <c r="B523" s="1464"/>
      <c r="C523" s="1464"/>
      <c r="D523" s="1464"/>
      <c r="E523" s="1464"/>
      <c r="F523" s="1464"/>
      <c r="G523" s="1464"/>
      <c r="H523" s="1464"/>
      <c r="I523" s="1464"/>
      <c r="J523" s="1464"/>
      <c r="K523" s="1464"/>
      <c r="L523" s="1464"/>
      <c r="M523" s="1464"/>
      <c r="N523" s="1464"/>
      <c r="O523" s="1464"/>
      <c r="P523" s="1464"/>
      <c r="Q523" s="1464"/>
      <c r="R523" s="1464"/>
      <c r="S523" s="1464"/>
      <c r="T523" s="1464"/>
      <c r="U523" s="1464"/>
      <c r="V523" s="1464"/>
      <c r="W523" s="1464"/>
      <c r="X523" s="1464"/>
      <c r="Y523" s="1464"/>
      <c r="Z523" s="1464"/>
      <c r="AA523" s="1464"/>
      <c r="AB523" s="1464"/>
    </row>
    <row r="524">
      <c r="A524" s="1464"/>
      <c r="B524" s="1464"/>
      <c r="C524" s="1464"/>
      <c r="D524" s="1464"/>
      <c r="E524" s="1464"/>
      <c r="F524" s="1464"/>
      <c r="G524" s="1464"/>
      <c r="H524" s="1464"/>
      <c r="I524" s="1464"/>
      <c r="J524" s="1464"/>
      <c r="K524" s="1464"/>
      <c r="L524" s="1464"/>
      <c r="M524" s="1464"/>
      <c r="N524" s="1464"/>
      <c r="O524" s="1464"/>
      <c r="P524" s="1464"/>
      <c r="Q524" s="1464"/>
      <c r="R524" s="1464"/>
      <c r="S524" s="1464"/>
      <c r="T524" s="1464"/>
      <c r="U524" s="1464"/>
      <c r="V524" s="1464"/>
      <c r="W524" s="1464"/>
      <c r="X524" s="1464"/>
      <c r="Y524" s="1464"/>
      <c r="Z524" s="1464"/>
      <c r="AA524" s="1464"/>
      <c r="AB524" s="1464"/>
    </row>
    <row r="525">
      <c r="A525" s="1464"/>
      <c r="B525" s="1464"/>
      <c r="C525" s="1464"/>
      <c r="D525" s="1464"/>
      <c r="E525" s="1464"/>
      <c r="F525" s="1464"/>
      <c r="G525" s="1464"/>
      <c r="H525" s="1464"/>
      <c r="I525" s="1464"/>
      <c r="J525" s="1464"/>
      <c r="K525" s="1464"/>
      <c r="L525" s="1464"/>
      <c r="M525" s="1464"/>
      <c r="N525" s="1464"/>
      <c r="O525" s="1464"/>
      <c r="P525" s="1464"/>
      <c r="Q525" s="1464"/>
      <c r="R525" s="1464"/>
      <c r="S525" s="1464"/>
      <c r="T525" s="1464"/>
      <c r="U525" s="1464"/>
      <c r="V525" s="1464"/>
      <c r="W525" s="1464"/>
      <c r="X525" s="1464"/>
      <c r="Y525" s="1464"/>
      <c r="Z525" s="1464"/>
      <c r="AA525" s="1464"/>
      <c r="AB525" s="1464"/>
    </row>
    <row r="526">
      <c r="A526" s="1464"/>
      <c r="B526" s="1464"/>
      <c r="C526" s="1464"/>
      <c r="D526" s="1464"/>
      <c r="E526" s="1464"/>
      <c r="F526" s="1464"/>
      <c r="G526" s="1464"/>
      <c r="H526" s="1464"/>
      <c r="I526" s="1464"/>
      <c r="J526" s="1464"/>
      <c r="K526" s="1464"/>
      <c r="L526" s="1464"/>
      <c r="M526" s="1464"/>
      <c r="N526" s="1464"/>
      <c r="O526" s="1464"/>
      <c r="P526" s="1464"/>
      <c r="Q526" s="1464"/>
      <c r="R526" s="1464"/>
      <c r="S526" s="1464"/>
      <c r="T526" s="1464"/>
      <c r="U526" s="1464"/>
      <c r="V526" s="1464"/>
      <c r="W526" s="1464"/>
      <c r="X526" s="1464"/>
      <c r="Y526" s="1464"/>
      <c r="Z526" s="1464"/>
      <c r="AA526" s="1464"/>
      <c r="AB526" s="1464"/>
    </row>
    <row r="527">
      <c r="A527" s="1464"/>
      <c r="B527" s="1464"/>
      <c r="C527" s="1464"/>
      <c r="D527" s="1464"/>
      <c r="E527" s="1464"/>
      <c r="F527" s="1464"/>
      <c r="G527" s="1464"/>
      <c r="H527" s="1464"/>
      <c r="I527" s="1464"/>
      <c r="J527" s="1464"/>
      <c r="K527" s="1464"/>
      <c r="L527" s="1464"/>
      <c r="M527" s="1464"/>
      <c r="N527" s="1464"/>
      <c r="O527" s="1464"/>
      <c r="P527" s="1464"/>
      <c r="Q527" s="1464"/>
      <c r="R527" s="1464"/>
      <c r="S527" s="1464"/>
      <c r="T527" s="1464"/>
      <c r="U527" s="1464"/>
      <c r="V527" s="1464"/>
      <c r="W527" s="1464"/>
      <c r="X527" s="1464"/>
      <c r="Y527" s="1464"/>
      <c r="Z527" s="1464"/>
      <c r="AA527" s="1464"/>
      <c r="AB527" s="1464"/>
    </row>
    <row r="528">
      <c r="A528" s="1464"/>
      <c r="B528" s="1464"/>
      <c r="C528" s="1464"/>
      <c r="D528" s="1464"/>
      <c r="E528" s="1464"/>
      <c r="F528" s="1464"/>
      <c r="G528" s="1464"/>
      <c r="H528" s="1464"/>
      <c r="I528" s="1464"/>
      <c r="J528" s="1464"/>
      <c r="K528" s="1464"/>
      <c r="L528" s="1464"/>
      <c r="M528" s="1464"/>
      <c r="N528" s="1464"/>
      <c r="O528" s="1464"/>
      <c r="P528" s="1464"/>
      <c r="Q528" s="1464"/>
      <c r="R528" s="1464"/>
      <c r="S528" s="1464"/>
      <c r="T528" s="1464"/>
      <c r="U528" s="1464"/>
      <c r="V528" s="1464"/>
      <c r="W528" s="1464"/>
      <c r="X528" s="1464"/>
      <c r="Y528" s="1464"/>
      <c r="Z528" s="1464"/>
      <c r="AA528" s="1464"/>
      <c r="AB528" s="1464"/>
    </row>
    <row r="529">
      <c r="A529" s="1464"/>
      <c r="B529" s="1464"/>
      <c r="C529" s="1464"/>
      <c r="D529" s="1464"/>
      <c r="E529" s="1464"/>
      <c r="F529" s="1464"/>
      <c r="G529" s="1464"/>
      <c r="H529" s="1464"/>
      <c r="I529" s="1464"/>
      <c r="J529" s="1464"/>
      <c r="K529" s="1464"/>
      <c r="L529" s="1464"/>
      <c r="M529" s="1464"/>
      <c r="N529" s="1464"/>
      <c r="O529" s="1464"/>
      <c r="P529" s="1464"/>
      <c r="Q529" s="1464"/>
      <c r="R529" s="1464"/>
      <c r="S529" s="1464"/>
      <c r="T529" s="1464"/>
      <c r="U529" s="1464"/>
      <c r="V529" s="1464"/>
      <c r="W529" s="1464"/>
      <c r="X529" s="1464"/>
      <c r="Y529" s="1464"/>
      <c r="Z529" s="1464"/>
      <c r="AA529" s="1464"/>
      <c r="AB529" s="1464"/>
    </row>
    <row r="530">
      <c r="A530" s="1464"/>
      <c r="B530" s="1464"/>
      <c r="C530" s="1464"/>
      <c r="D530" s="1464"/>
      <c r="E530" s="1464"/>
      <c r="F530" s="1464"/>
      <c r="G530" s="1464"/>
      <c r="H530" s="1464"/>
      <c r="I530" s="1464"/>
      <c r="J530" s="1464"/>
      <c r="K530" s="1464"/>
      <c r="L530" s="1464"/>
      <c r="M530" s="1464"/>
      <c r="N530" s="1464"/>
      <c r="O530" s="1464"/>
      <c r="P530" s="1464"/>
      <c r="Q530" s="1464"/>
      <c r="R530" s="1464"/>
      <c r="S530" s="1464"/>
      <c r="T530" s="1464"/>
      <c r="U530" s="1464"/>
      <c r="V530" s="1464"/>
      <c r="W530" s="1464"/>
      <c r="X530" s="1464"/>
      <c r="Y530" s="1464"/>
      <c r="Z530" s="1464"/>
      <c r="AA530" s="1464"/>
      <c r="AB530" s="1464"/>
    </row>
    <row r="531">
      <c r="A531" s="1464"/>
      <c r="B531" s="1464"/>
      <c r="C531" s="1464"/>
      <c r="D531" s="1464"/>
      <c r="E531" s="1464"/>
      <c r="F531" s="1464"/>
      <c r="G531" s="1464"/>
      <c r="H531" s="1464"/>
      <c r="I531" s="1464"/>
      <c r="J531" s="1464"/>
      <c r="K531" s="1464"/>
      <c r="L531" s="1464"/>
      <c r="M531" s="1464"/>
      <c r="N531" s="1464"/>
      <c r="O531" s="1464"/>
      <c r="P531" s="1464"/>
      <c r="Q531" s="1464"/>
      <c r="R531" s="1464"/>
      <c r="S531" s="1464"/>
      <c r="T531" s="1464"/>
      <c r="U531" s="1464"/>
      <c r="V531" s="1464"/>
      <c r="W531" s="1464"/>
      <c r="X531" s="1464"/>
      <c r="Y531" s="1464"/>
      <c r="Z531" s="1464"/>
      <c r="AA531" s="1464"/>
      <c r="AB531" s="1464"/>
    </row>
    <row r="532">
      <c r="A532" s="1464"/>
      <c r="B532" s="1464"/>
      <c r="C532" s="1464"/>
      <c r="D532" s="1464"/>
      <c r="E532" s="1464"/>
      <c r="F532" s="1464"/>
      <c r="G532" s="1464"/>
      <c r="H532" s="1464"/>
      <c r="I532" s="1464"/>
      <c r="J532" s="1464"/>
      <c r="K532" s="1464"/>
      <c r="L532" s="1464"/>
      <c r="M532" s="1464"/>
      <c r="N532" s="1464"/>
      <c r="O532" s="1464"/>
      <c r="P532" s="1464"/>
      <c r="Q532" s="1464"/>
      <c r="R532" s="1464"/>
      <c r="S532" s="1464"/>
      <c r="T532" s="1464"/>
      <c r="U532" s="1464"/>
      <c r="V532" s="1464"/>
      <c r="W532" s="1464"/>
      <c r="X532" s="1464"/>
      <c r="Y532" s="1464"/>
      <c r="Z532" s="1464"/>
      <c r="AA532" s="1464"/>
      <c r="AB532" s="1464"/>
    </row>
    <row r="533">
      <c r="A533" s="1464"/>
      <c r="B533" s="1464"/>
      <c r="C533" s="1464"/>
      <c r="D533" s="1464"/>
      <c r="E533" s="1464"/>
      <c r="F533" s="1464"/>
      <c r="G533" s="1464"/>
      <c r="H533" s="1464"/>
      <c r="I533" s="1464"/>
      <c r="J533" s="1464"/>
      <c r="K533" s="1464"/>
      <c r="L533" s="1464"/>
      <c r="M533" s="1464"/>
      <c r="N533" s="1464"/>
      <c r="O533" s="1464"/>
      <c r="P533" s="1464"/>
      <c r="Q533" s="1464"/>
      <c r="R533" s="1464"/>
      <c r="S533" s="1464"/>
      <c r="T533" s="1464"/>
      <c r="U533" s="1464"/>
      <c r="V533" s="1464"/>
      <c r="W533" s="1464"/>
      <c r="X533" s="1464"/>
      <c r="Y533" s="1464"/>
      <c r="Z533" s="1464"/>
      <c r="AA533" s="1464"/>
      <c r="AB533" s="1464"/>
    </row>
    <row r="534">
      <c r="A534" s="1464"/>
      <c r="B534" s="1464"/>
      <c r="C534" s="1464"/>
      <c r="D534" s="1464"/>
      <c r="E534" s="1464"/>
      <c r="F534" s="1464"/>
      <c r="G534" s="1464"/>
      <c r="H534" s="1464"/>
      <c r="I534" s="1464"/>
      <c r="J534" s="1464"/>
      <c r="K534" s="1464"/>
      <c r="L534" s="1464"/>
      <c r="M534" s="1464"/>
      <c r="N534" s="1464"/>
      <c r="O534" s="1464"/>
      <c r="P534" s="1464"/>
      <c r="Q534" s="1464"/>
      <c r="R534" s="1464"/>
      <c r="S534" s="1464"/>
      <c r="T534" s="1464"/>
      <c r="U534" s="1464"/>
      <c r="V534" s="1464"/>
      <c r="W534" s="1464"/>
      <c r="X534" s="1464"/>
      <c r="Y534" s="1464"/>
      <c r="Z534" s="1464"/>
      <c r="AA534" s="1464"/>
      <c r="AB534" s="1464"/>
    </row>
    <row r="535">
      <c r="A535" s="1464"/>
      <c r="B535" s="1464"/>
      <c r="C535" s="1464"/>
      <c r="D535" s="1464"/>
      <c r="E535" s="1464"/>
      <c r="F535" s="1464"/>
      <c r="G535" s="1464"/>
      <c r="H535" s="1464"/>
      <c r="I535" s="1464"/>
      <c r="J535" s="1464"/>
      <c r="K535" s="1464"/>
      <c r="L535" s="1464"/>
      <c r="M535" s="1464"/>
      <c r="N535" s="1464"/>
      <c r="O535" s="1464"/>
      <c r="P535" s="1464"/>
      <c r="Q535" s="1464"/>
      <c r="R535" s="1464"/>
      <c r="S535" s="1464"/>
      <c r="T535" s="1464"/>
      <c r="U535" s="1464"/>
      <c r="V535" s="1464"/>
      <c r="W535" s="1464"/>
      <c r="X535" s="1464"/>
      <c r="Y535" s="1464"/>
      <c r="Z535" s="1464"/>
      <c r="AA535" s="1464"/>
      <c r="AB535" s="1464"/>
    </row>
    <row r="536">
      <c r="A536" s="1464"/>
      <c r="B536" s="1464"/>
      <c r="C536" s="1464"/>
      <c r="D536" s="1464"/>
      <c r="E536" s="1464"/>
      <c r="F536" s="1464"/>
      <c r="G536" s="1464"/>
      <c r="H536" s="1464"/>
      <c r="I536" s="1464"/>
      <c r="J536" s="1464"/>
      <c r="K536" s="1464"/>
      <c r="L536" s="1464"/>
      <c r="M536" s="1464"/>
      <c r="N536" s="1464"/>
      <c r="O536" s="1464"/>
      <c r="P536" s="1464"/>
      <c r="Q536" s="1464"/>
      <c r="R536" s="1464"/>
      <c r="S536" s="1464"/>
      <c r="T536" s="1464"/>
      <c r="U536" s="1464"/>
      <c r="V536" s="1464"/>
      <c r="W536" s="1464"/>
      <c r="X536" s="1464"/>
      <c r="Y536" s="1464"/>
      <c r="Z536" s="1464"/>
      <c r="AA536" s="1464"/>
      <c r="AB536" s="1464"/>
    </row>
    <row r="537">
      <c r="A537" s="1464"/>
      <c r="B537" s="1464"/>
      <c r="C537" s="1464"/>
      <c r="D537" s="1464"/>
      <c r="E537" s="1464"/>
      <c r="F537" s="1464"/>
      <c r="G537" s="1464"/>
      <c r="H537" s="1464"/>
      <c r="I537" s="1464"/>
      <c r="J537" s="1464"/>
      <c r="K537" s="1464"/>
      <c r="L537" s="1464"/>
      <c r="M537" s="1464"/>
      <c r="N537" s="1464"/>
      <c r="O537" s="1464"/>
      <c r="P537" s="1464"/>
      <c r="Q537" s="1464"/>
      <c r="R537" s="1464"/>
      <c r="S537" s="1464"/>
      <c r="T537" s="1464"/>
      <c r="U537" s="1464"/>
      <c r="V537" s="1464"/>
      <c r="W537" s="1464"/>
      <c r="X537" s="1464"/>
      <c r="Y537" s="1464"/>
      <c r="Z537" s="1464"/>
      <c r="AA537" s="1464"/>
      <c r="AB537" s="1464"/>
    </row>
    <row r="538">
      <c r="A538" s="1464"/>
      <c r="B538" s="1464"/>
      <c r="C538" s="1464"/>
      <c r="D538" s="1464"/>
      <c r="E538" s="1464"/>
      <c r="F538" s="1464"/>
      <c r="G538" s="1464"/>
      <c r="H538" s="1464"/>
      <c r="I538" s="1464"/>
      <c r="J538" s="1464"/>
      <c r="K538" s="1464"/>
      <c r="L538" s="1464"/>
      <c r="M538" s="1464"/>
      <c r="N538" s="1464"/>
      <c r="O538" s="1464"/>
      <c r="P538" s="1464"/>
      <c r="Q538" s="1464"/>
      <c r="R538" s="1464"/>
      <c r="S538" s="1464"/>
      <c r="T538" s="1464"/>
      <c r="U538" s="1464"/>
      <c r="V538" s="1464"/>
      <c r="W538" s="1464"/>
      <c r="X538" s="1464"/>
      <c r="Y538" s="1464"/>
      <c r="Z538" s="1464"/>
      <c r="AA538" s="1464"/>
      <c r="AB538" s="1464"/>
    </row>
    <row r="539">
      <c r="A539" s="1464"/>
      <c r="B539" s="1464"/>
      <c r="C539" s="1464"/>
      <c r="D539" s="1464"/>
      <c r="E539" s="1464"/>
      <c r="F539" s="1464"/>
      <c r="G539" s="1464"/>
      <c r="H539" s="1464"/>
      <c r="I539" s="1464"/>
      <c r="J539" s="1464"/>
      <c r="K539" s="1464"/>
      <c r="L539" s="1464"/>
      <c r="M539" s="1464"/>
      <c r="N539" s="1464"/>
      <c r="O539" s="1464"/>
      <c r="P539" s="1464"/>
      <c r="Q539" s="1464"/>
      <c r="R539" s="1464"/>
      <c r="S539" s="1464"/>
      <c r="T539" s="1464"/>
      <c r="U539" s="1464"/>
      <c r="V539" s="1464"/>
      <c r="W539" s="1464"/>
      <c r="X539" s="1464"/>
      <c r="Y539" s="1464"/>
      <c r="Z539" s="1464"/>
      <c r="AA539" s="1464"/>
      <c r="AB539" s="1464"/>
    </row>
    <row r="540">
      <c r="A540" s="1464"/>
      <c r="B540" s="1464"/>
      <c r="C540" s="1464"/>
      <c r="D540" s="1464"/>
      <c r="E540" s="1464"/>
      <c r="F540" s="1464"/>
      <c r="G540" s="1464"/>
      <c r="H540" s="1464"/>
      <c r="I540" s="1464"/>
      <c r="J540" s="1464"/>
      <c r="K540" s="1464"/>
      <c r="L540" s="1464"/>
      <c r="M540" s="1464"/>
      <c r="N540" s="1464"/>
      <c r="O540" s="1464"/>
      <c r="P540" s="1464"/>
      <c r="Q540" s="1464"/>
      <c r="R540" s="1464"/>
      <c r="S540" s="1464"/>
      <c r="T540" s="1464"/>
      <c r="U540" s="1464"/>
      <c r="V540" s="1464"/>
      <c r="W540" s="1464"/>
      <c r="X540" s="1464"/>
      <c r="Y540" s="1464"/>
      <c r="Z540" s="1464"/>
      <c r="AA540" s="1464"/>
      <c r="AB540" s="1464"/>
    </row>
    <row r="541">
      <c r="A541" s="1464"/>
      <c r="B541" s="1464"/>
      <c r="C541" s="1464"/>
      <c r="D541" s="1464"/>
      <c r="E541" s="1464"/>
      <c r="F541" s="1464"/>
      <c r="G541" s="1464"/>
      <c r="H541" s="1464"/>
      <c r="I541" s="1464"/>
      <c r="J541" s="1464"/>
      <c r="K541" s="1464"/>
      <c r="L541" s="1464"/>
      <c r="M541" s="1464"/>
      <c r="N541" s="1464"/>
      <c r="O541" s="1464"/>
      <c r="P541" s="1464"/>
      <c r="Q541" s="1464"/>
      <c r="R541" s="1464"/>
      <c r="S541" s="1464"/>
      <c r="T541" s="1464"/>
      <c r="U541" s="1464"/>
      <c r="V541" s="1464"/>
      <c r="W541" s="1464"/>
      <c r="X541" s="1464"/>
      <c r="Y541" s="1464"/>
      <c r="Z541" s="1464"/>
      <c r="AA541" s="1464"/>
      <c r="AB541" s="1464"/>
    </row>
    <row r="542">
      <c r="A542" s="1464"/>
      <c r="B542" s="1464"/>
      <c r="C542" s="1464"/>
      <c r="D542" s="1464"/>
      <c r="E542" s="1464"/>
      <c r="F542" s="1464"/>
      <c r="G542" s="1464"/>
      <c r="H542" s="1464"/>
      <c r="I542" s="1464"/>
      <c r="J542" s="1464"/>
      <c r="K542" s="1464"/>
      <c r="L542" s="1464"/>
      <c r="M542" s="1464"/>
      <c r="N542" s="1464"/>
      <c r="O542" s="1464"/>
      <c r="P542" s="1464"/>
      <c r="Q542" s="1464"/>
      <c r="R542" s="1464"/>
      <c r="S542" s="1464"/>
      <c r="T542" s="1464"/>
      <c r="U542" s="1464"/>
      <c r="V542" s="1464"/>
      <c r="W542" s="1464"/>
      <c r="X542" s="1464"/>
      <c r="Y542" s="1464"/>
      <c r="Z542" s="1464"/>
      <c r="AA542" s="1464"/>
      <c r="AB542" s="1464"/>
    </row>
    <row r="543">
      <c r="A543" s="1464"/>
      <c r="B543" s="1464"/>
      <c r="C543" s="1464"/>
      <c r="D543" s="1464"/>
      <c r="E543" s="1464"/>
      <c r="F543" s="1464"/>
      <c r="G543" s="1464"/>
      <c r="H543" s="1464"/>
      <c r="I543" s="1464"/>
      <c r="J543" s="1464"/>
      <c r="K543" s="1464"/>
      <c r="L543" s="1464"/>
      <c r="M543" s="1464"/>
      <c r="N543" s="1464"/>
      <c r="O543" s="1464"/>
      <c r="P543" s="1464"/>
      <c r="Q543" s="1464"/>
      <c r="R543" s="1464"/>
      <c r="S543" s="1464"/>
      <c r="T543" s="1464"/>
      <c r="U543" s="1464"/>
      <c r="V543" s="1464"/>
      <c r="W543" s="1464"/>
      <c r="X543" s="1464"/>
      <c r="Y543" s="1464"/>
      <c r="Z543" s="1464"/>
      <c r="AA543" s="1464"/>
      <c r="AB543" s="1464"/>
    </row>
    <row r="544">
      <c r="A544" s="1464"/>
      <c r="B544" s="1464"/>
      <c r="C544" s="1464"/>
      <c r="D544" s="1464"/>
      <c r="E544" s="1464"/>
      <c r="F544" s="1464"/>
      <c r="G544" s="1464"/>
      <c r="H544" s="1464"/>
      <c r="I544" s="1464"/>
      <c r="J544" s="1464"/>
      <c r="K544" s="1464"/>
      <c r="L544" s="1464"/>
      <c r="M544" s="1464"/>
      <c r="N544" s="1464"/>
      <c r="O544" s="1464"/>
      <c r="P544" s="1464"/>
      <c r="Q544" s="1464"/>
      <c r="R544" s="1464"/>
      <c r="S544" s="1464"/>
      <c r="T544" s="1464"/>
      <c r="U544" s="1464"/>
      <c r="V544" s="1464"/>
      <c r="W544" s="1464"/>
      <c r="X544" s="1464"/>
      <c r="Y544" s="1464"/>
      <c r="Z544" s="1464"/>
      <c r="AA544" s="1464"/>
      <c r="AB544" s="1464"/>
    </row>
    <row r="545">
      <c r="A545" s="1464"/>
      <c r="B545" s="1464"/>
      <c r="C545" s="1464"/>
      <c r="D545" s="1464"/>
      <c r="E545" s="1464"/>
      <c r="F545" s="1464"/>
      <c r="G545" s="1464"/>
      <c r="H545" s="1464"/>
      <c r="I545" s="1464"/>
      <c r="J545" s="1464"/>
      <c r="K545" s="1464"/>
      <c r="L545" s="1464"/>
      <c r="M545" s="1464"/>
      <c r="N545" s="1464"/>
      <c r="O545" s="1464"/>
      <c r="P545" s="1464"/>
      <c r="Q545" s="1464"/>
      <c r="R545" s="1464"/>
      <c r="S545" s="1464"/>
      <c r="T545" s="1464"/>
      <c r="U545" s="1464"/>
      <c r="V545" s="1464"/>
      <c r="W545" s="1464"/>
      <c r="X545" s="1464"/>
      <c r="Y545" s="1464"/>
      <c r="Z545" s="1464"/>
      <c r="AA545" s="1464"/>
      <c r="AB545" s="1464"/>
    </row>
    <row r="546">
      <c r="A546" s="1464"/>
      <c r="B546" s="1464"/>
      <c r="C546" s="1464"/>
      <c r="D546" s="1464"/>
      <c r="E546" s="1464"/>
      <c r="F546" s="1464"/>
      <c r="G546" s="1464"/>
      <c r="H546" s="1464"/>
      <c r="I546" s="1464"/>
      <c r="J546" s="1464"/>
      <c r="K546" s="1464"/>
      <c r="L546" s="1464"/>
      <c r="M546" s="1464"/>
      <c r="N546" s="1464"/>
      <c r="O546" s="1464"/>
      <c r="P546" s="1464"/>
      <c r="Q546" s="1464"/>
      <c r="R546" s="1464"/>
      <c r="S546" s="1464"/>
      <c r="T546" s="1464"/>
      <c r="U546" s="1464"/>
      <c r="V546" s="1464"/>
      <c r="W546" s="1464"/>
      <c r="X546" s="1464"/>
      <c r="Y546" s="1464"/>
      <c r="Z546" s="1464"/>
      <c r="AA546" s="1464"/>
      <c r="AB546" s="1464"/>
    </row>
    <row r="547">
      <c r="A547" s="1464"/>
      <c r="B547" s="1464"/>
      <c r="C547" s="1464"/>
      <c r="D547" s="1464"/>
      <c r="E547" s="1464"/>
      <c r="F547" s="1464"/>
      <c r="G547" s="1464"/>
      <c r="H547" s="1464"/>
      <c r="I547" s="1464"/>
      <c r="J547" s="1464"/>
      <c r="K547" s="1464"/>
      <c r="L547" s="1464"/>
      <c r="M547" s="1464"/>
      <c r="N547" s="1464"/>
      <c r="O547" s="1464"/>
      <c r="P547" s="1464"/>
      <c r="Q547" s="1464"/>
      <c r="R547" s="1464"/>
      <c r="S547" s="1464"/>
      <c r="T547" s="1464"/>
      <c r="U547" s="1464"/>
      <c r="V547" s="1464"/>
      <c r="W547" s="1464"/>
      <c r="X547" s="1464"/>
      <c r="Y547" s="1464"/>
      <c r="Z547" s="1464"/>
      <c r="AA547" s="1464"/>
      <c r="AB547" s="1464"/>
    </row>
    <row r="548">
      <c r="A548" s="1464"/>
      <c r="B548" s="1464"/>
      <c r="C548" s="1464"/>
      <c r="D548" s="1464"/>
      <c r="E548" s="1464"/>
      <c r="F548" s="1464"/>
      <c r="G548" s="1464"/>
      <c r="H548" s="1464"/>
      <c r="I548" s="1464"/>
      <c r="J548" s="1464"/>
      <c r="K548" s="1464"/>
      <c r="L548" s="1464"/>
      <c r="M548" s="1464"/>
      <c r="N548" s="1464"/>
      <c r="O548" s="1464"/>
      <c r="P548" s="1464"/>
      <c r="Q548" s="1464"/>
      <c r="R548" s="1464"/>
      <c r="S548" s="1464"/>
      <c r="T548" s="1464"/>
      <c r="U548" s="1464"/>
      <c r="V548" s="1464"/>
      <c r="W548" s="1464"/>
      <c r="X548" s="1464"/>
      <c r="Y548" s="1464"/>
      <c r="Z548" s="1464"/>
      <c r="AA548" s="1464"/>
      <c r="AB548" s="1464"/>
    </row>
    <row r="549">
      <c r="A549" s="1464"/>
      <c r="B549" s="1464"/>
      <c r="C549" s="1464"/>
      <c r="D549" s="1464"/>
      <c r="E549" s="1464"/>
      <c r="F549" s="1464"/>
      <c r="G549" s="1464"/>
      <c r="H549" s="1464"/>
      <c r="I549" s="1464"/>
      <c r="J549" s="1464"/>
      <c r="K549" s="1464"/>
      <c r="L549" s="1464"/>
      <c r="M549" s="1464"/>
      <c r="N549" s="1464"/>
      <c r="O549" s="1464"/>
      <c r="P549" s="1464"/>
      <c r="Q549" s="1464"/>
      <c r="R549" s="1464"/>
      <c r="S549" s="1464"/>
      <c r="T549" s="1464"/>
      <c r="U549" s="1464"/>
      <c r="V549" s="1464"/>
      <c r="W549" s="1464"/>
      <c r="X549" s="1464"/>
      <c r="Y549" s="1464"/>
      <c r="Z549" s="1464"/>
      <c r="AA549" s="1464"/>
      <c r="AB549" s="1464"/>
    </row>
    <row r="550">
      <c r="A550" s="1464"/>
      <c r="B550" s="1464"/>
      <c r="C550" s="1464"/>
      <c r="D550" s="1464"/>
      <c r="E550" s="1464"/>
      <c r="F550" s="1464"/>
      <c r="G550" s="1464"/>
      <c r="H550" s="1464"/>
      <c r="I550" s="1464"/>
      <c r="J550" s="1464"/>
      <c r="K550" s="1464"/>
      <c r="L550" s="1464"/>
      <c r="M550" s="1464"/>
      <c r="N550" s="1464"/>
      <c r="O550" s="1464"/>
      <c r="P550" s="1464"/>
      <c r="Q550" s="1464"/>
      <c r="R550" s="1464"/>
      <c r="S550" s="1464"/>
      <c r="T550" s="1464"/>
      <c r="U550" s="1464"/>
      <c r="V550" s="1464"/>
      <c r="W550" s="1464"/>
      <c r="X550" s="1464"/>
      <c r="Y550" s="1464"/>
      <c r="Z550" s="1464"/>
      <c r="AA550" s="1464"/>
      <c r="AB550" s="1464"/>
    </row>
    <row r="551">
      <c r="A551" s="1464"/>
      <c r="B551" s="1464"/>
      <c r="C551" s="1464"/>
      <c r="D551" s="1464"/>
      <c r="E551" s="1464"/>
      <c r="F551" s="1464"/>
      <c r="G551" s="1464"/>
      <c r="H551" s="1464"/>
      <c r="I551" s="1464"/>
      <c r="J551" s="1464"/>
      <c r="K551" s="1464"/>
      <c r="L551" s="1464"/>
      <c r="M551" s="1464"/>
      <c r="N551" s="1464"/>
      <c r="O551" s="1464"/>
      <c r="P551" s="1464"/>
      <c r="Q551" s="1464"/>
      <c r="R551" s="1464"/>
      <c r="S551" s="1464"/>
      <c r="T551" s="1464"/>
      <c r="U551" s="1464"/>
      <c r="V551" s="1464"/>
      <c r="W551" s="1464"/>
      <c r="X551" s="1464"/>
      <c r="Y551" s="1464"/>
      <c r="Z551" s="1464"/>
      <c r="AA551" s="1464"/>
      <c r="AB551" s="1464"/>
    </row>
    <row r="552">
      <c r="A552" s="1464"/>
      <c r="B552" s="1464"/>
      <c r="C552" s="1464"/>
      <c r="D552" s="1464"/>
      <c r="E552" s="1464"/>
      <c r="F552" s="1464"/>
      <c r="G552" s="1464"/>
      <c r="H552" s="1464"/>
      <c r="I552" s="1464"/>
      <c r="J552" s="1464"/>
      <c r="K552" s="1464"/>
      <c r="L552" s="1464"/>
      <c r="M552" s="1464"/>
      <c r="N552" s="1464"/>
      <c r="O552" s="1464"/>
      <c r="P552" s="1464"/>
      <c r="Q552" s="1464"/>
      <c r="R552" s="1464"/>
      <c r="S552" s="1464"/>
      <c r="T552" s="1464"/>
      <c r="U552" s="1464"/>
      <c r="V552" s="1464"/>
      <c r="W552" s="1464"/>
      <c r="X552" s="1464"/>
      <c r="Y552" s="1464"/>
      <c r="Z552" s="1464"/>
      <c r="AA552" s="1464"/>
      <c r="AB552" s="1464"/>
    </row>
    <row r="553">
      <c r="A553" s="1464"/>
      <c r="B553" s="1464"/>
      <c r="C553" s="1464"/>
      <c r="D553" s="1464"/>
      <c r="E553" s="1464"/>
      <c r="F553" s="1464"/>
      <c r="G553" s="1464"/>
      <c r="H553" s="1464"/>
      <c r="I553" s="1464"/>
      <c r="J553" s="1464"/>
      <c r="K553" s="1464"/>
      <c r="L553" s="1464"/>
      <c r="M553" s="1464"/>
      <c r="N553" s="1464"/>
      <c r="O553" s="1464"/>
      <c r="P553" s="1464"/>
      <c r="Q553" s="1464"/>
      <c r="R553" s="1464"/>
      <c r="S553" s="1464"/>
      <c r="T553" s="1464"/>
      <c r="U553" s="1464"/>
      <c r="V553" s="1464"/>
      <c r="W553" s="1464"/>
      <c r="X553" s="1464"/>
      <c r="Y553" s="1464"/>
      <c r="Z553" s="1464"/>
      <c r="AA553" s="1464"/>
      <c r="AB553" s="1464"/>
    </row>
    <row r="554">
      <c r="A554" s="1464"/>
      <c r="B554" s="1464"/>
      <c r="C554" s="1464"/>
      <c r="D554" s="1464"/>
      <c r="E554" s="1464"/>
      <c r="F554" s="1464"/>
      <c r="G554" s="1464"/>
      <c r="H554" s="1464"/>
      <c r="I554" s="1464"/>
      <c r="J554" s="1464"/>
      <c r="K554" s="1464"/>
      <c r="L554" s="1464"/>
      <c r="M554" s="1464"/>
      <c r="N554" s="1464"/>
      <c r="O554" s="1464"/>
      <c r="P554" s="1464"/>
      <c r="Q554" s="1464"/>
      <c r="R554" s="1464"/>
      <c r="S554" s="1464"/>
      <c r="T554" s="1464"/>
      <c r="U554" s="1464"/>
      <c r="V554" s="1464"/>
      <c r="W554" s="1464"/>
      <c r="X554" s="1464"/>
      <c r="Y554" s="1464"/>
      <c r="Z554" s="1464"/>
      <c r="AA554" s="1464"/>
      <c r="AB554" s="1464"/>
    </row>
    <row r="555">
      <c r="A555" s="1464"/>
      <c r="B555" s="1464"/>
      <c r="C555" s="1464"/>
      <c r="D555" s="1464"/>
      <c r="E555" s="1464"/>
      <c r="F555" s="1464"/>
      <c r="G555" s="1464"/>
      <c r="H555" s="1464"/>
      <c r="I555" s="1464"/>
      <c r="J555" s="1464"/>
      <c r="K555" s="1464"/>
      <c r="L555" s="1464"/>
      <c r="M555" s="1464"/>
      <c r="N555" s="1464"/>
      <c r="O555" s="1464"/>
      <c r="P555" s="1464"/>
      <c r="Q555" s="1464"/>
      <c r="R555" s="1464"/>
      <c r="S555" s="1464"/>
      <c r="T555" s="1464"/>
      <c r="U555" s="1464"/>
      <c r="V555" s="1464"/>
      <c r="W555" s="1464"/>
      <c r="X555" s="1464"/>
      <c r="Y555" s="1464"/>
      <c r="Z555" s="1464"/>
      <c r="AA555" s="1464"/>
      <c r="AB555" s="1464"/>
    </row>
    <row r="556">
      <c r="A556" s="1464"/>
      <c r="B556" s="1464"/>
      <c r="C556" s="1464"/>
      <c r="D556" s="1464"/>
      <c r="E556" s="1464"/>
      <c r="F556" s="1464"/>
      <c r="G556" s="1464"/>
      <c r="H556" s="1464"/>
      <c r="I556" s="1464"/>
      <c r="J556" s="1464"/>
      <c r="K556" s="1464"/>
      <c r="L556" s="1464"/>
      <c r="M556" s="1464"/>
      <c r="N556" s="1464"/>
      <c r="O556" s="1464"/>
      <c r="P556" s="1464"/>
      <c r="Q556" s="1464"/>
      <c r="R556" s="1464"/>
      <c r="S556" s="1464"/>
      <c r="T556" s="1464"/>
      <c r="U556" s="1464"/>
      <c r="V556" s="1464"/>
      <c r="W556" s="1464"/>
      <c r="X556" s="1464"/>
      <c r="Y556" s="1464"/>
      <c r="Z556" s="1464"/>
      <c r="AA556" s="1464"/>
      <c r="AB556" s="1464"/>
    </row>
    <row r="557">
      <c r="A557" s="1464"/>
      <c r="B557" s="1464"/>
      <c r="C557" s="1464"/>
      <c r="D557" s="1464"/>
      <c r="E557" s="1464"/>
      <c r="F557" s="1464"/>
      <c r="G557" s="1464"/>
      <c r="H557" s="1464"/>
      <c r="I557" s="1464"/>
      <c r="J557" s="1464"/>
      <c r="K557" s="1464"/>
      <c r="L557" s="1464"/>
      <c r="M557" s="1464"/>
      <c r="N557" s="1464"/>
      <c r="O557" s="1464"/>
      <c r="P557" s="1464"/>
      <c r="Q557" s="1464"/>
      <c r="R557" s="1464"/>
      <c r="S557" s="1464"/>
      <c r="T557" s="1464"/>
      <c r="U557" s="1464"/>
      <c r="V557" s="1464"/>
      <c r="W557" s="1464"/>
      <c r="X557" s="1464"/>
      <c r="Y557" s="1464"/>
      <c r="Z557" s="1464"/>
      <c r="AA557" s="1464"/>
      <c r="AB557" s="1464"/>
    </row>
    <row r="558">
      <c r="A558" s="1464"/>
      <c r="B558" s="1464"/>
      <c r="C558" s="1464"/>
      <c r="D558" s="1464"/>
      <c r="E558" s="1464"/>
      <c r="F558" s="1464"/>
      <c r="G558" s="1464"/>
      <c r="H558" s="1464"/>
      <c r="I558" s="1464"/>
      <c r="J558" s="1464"/>
      <c r="K558" s="1464"/>
      <c r="L558" s="1464"/>
      <c r="M558" s="1464"/>
      <c r="N558" s="1464"/>
      <c r="O558" s="1464"/>
      <c r="P558" s="1464"/>
      <c r="Q558" s="1464"/>
      <c r="R558" s="1464"/>
      <c r="S558" s="1464"/>
      <c r="T558" s="1464"/>
      <c r="U558" s="1464"/>
      <c r="V558" s="1464"/>
      <c r="W558" s="1464"/>
      <c r="X558" s="1464"/>
      <c r="Y558" s="1464"/>
      <c r="Z558" s="1464"/>
      <c r="AA558" s="1464"/>
      <c r="AB558" s="1464"/>
    </row>
    <row r="559">
      <c r="A559" s="1464"/>
      <c r="B559" s="1464"/>
      <c r="C559" s="1464"/>
      <c r="D559" s="1464"/>
      <c r="E559" s="1464"/>
      <c r="F559" s="1464"/>
      <c r="G559" s="1464"/>
      <c r="H559" s="1464"/>
      <c r="I559" s="1464"/>
      <c r="J559" s="1464"/>
      <c r="K559" s="1464"/>
      <c r="L559" s="1464"/>
      <c r="M559" s="1464"/>
      <c r="N559" s="1464"/>
      <c r="O559" s="1464"/>
      <c r="P559" s="1464"/>
      <c r="Q559" s="1464"/>
      <c r="R559" s="1464"/>
      <c r="S559" s="1464"/>
      <c r="T559" s="1464"/>
      <c r="U559" s="1464"/>
      <c r="V559" s="1464"/>
      <c r="W559" s="1464"/>
      <c r="X559" s="1464"/>
      <c r="Y559" s="1464"/>
      <c r="Z559" s="1464"/>
      <c r="AA559" s="1464"/>
      <c r="AB559" s="1464"/>
    </row>
    <row r="560">
      <c r="A560" s="1464"/>
      <c r="B560" s="1464"/>
      <c r="C560" s="1464"/>
      <c r="D560" s="1464"/>
      <c r="E560" s="1464"/>
      <c r="F560" s="1464"/>
      <c r="G560" s="1464"/>
      <c r="H560" s="1464"/>
      <c r="I560" s="1464"/>
      <c r="J560" s="1464"/>
      <c r="K560" s="1464"/>
      <c r="L560" s="1464"/>
      <c r="M560" s="1464"/>
      <c r="N560" s="1464"/>
      <c r="O560" s="1464"/>
      <c r="P560" s="1464"/>
      <c r="Q560" s="1464"/>
      <c r="R560" s="1464"/>
      <c r="S560" s="1464"/>
      <c r="T560" s="1464"/>
      <c r="U560" s="1464"/>
      <c r="V560" s="1464"/>
      <c r="W560" s="1464"/>
      <c r="X560" s="1464"/>
      <c r="Y560" s="1464"/>
      <c r="Z560" s="1464"/>
      <c r="AA560" s="1464"/>
      <c r="AB560" s="1464"/>
    </row>
    <row r="561">
      <c r="A561" s="1464"/>
      <c r="B561" s="1464"/>
      <c r="C561" s="1464"/>
      <c r="D561" s="1464"/>
      <c r="E561" s="1464"/>
      <c r="F561" s="1464"/>
      <c r="G561" s="1464"/>
      <c r="H561" s="1464"/>
      <c r="I561" s="1464"/>
      <c r="J561" s="1464"/>
      <c r="K561" s="1464"/>
      <c r="L561" s="1464"/>
      <c r="M561" s="1464"/>
      <c r="N561" s="1464"/>
      <c r="O561" s="1464"/>
      <c r="P561" s="1464"/>
      <c r="Q561" s="1464"/>
      <c r="R561" s="1464"/>
      <c r="S561" s="1464"/>
      <c r="T561" s="1464"/>
      <c r="U561" s="1464"/>
      <c r="V561" s="1464"/>
      <c r="W561" s="1464"/>
      <c r="X561" s="1464"/>
      <c r="Y561" s="1464"/>
      <c r="Z561" s="1464"/>
      <c r="AA561" s="1464"/>
      <c r="AB561" s="1464"/>
    </row>
    <row r="562">
      <c r="A562" s="1464"/>
      <c r="B562" s="1464"/>
      <c r="C562" s="1464"/>
      <c r="D562" s="1464"/>
      <c r="E562" s="1464"/>
      <c r="F562" s="1464"/>
      <c r="G562" s="1464"/>
      <c r="H562" s="1464"/>
      <c r="I562" s="1464"/>
      <c r="J562" s="1464"/>
      <c r="K562" s="1464"/>
      <c r="L562" s="1464"/>
      <c r="M562" s="1464"/>
      <c r="N562" s="1464"/>
      <c r="O562" s="1464"/>
      <c r="P562" s="1464"/>
      <c r="Q562" s="1464"/>
      <c r="R562" s="1464"/>
      <c r="S562" s="1464"/>
      <c r="T562" s="1464"/>
      <c r="U562" s="1464"/>
      <c r="V562" s="1464"/>
      <c r="W562" s="1464"/>
      <c r="X562" s="1464"/>
      <c r="Y562" s="1464"/>
      <c r="Z562" s="1464"/>
      <c r="AA562" s="1464"/>
      <c r="AB562" s="1464"/>
    </row>
    <row r="563">
      <c r="A563" s="1464"/>
      <c r="B563" s="1464"/>
      <c r="C563" s="1464"/>
      <c r="D563" s="1464"/>
      <c r="E563" s="1464"/>
      <c r="F563" s="1464"/>
      <c r="G563" s="1464"/>
      <c r="H563" s="1464"/>
      <c r="I563" s="1464"/>
      <c r="J563" s="1464"/>
      <c r="K563" s="1464"/>
      <c r="L563" s="1464"/>
      <c r="M563" s="1464"/>
      <c r="N563" s="1464"/>
      <c r="O563" s="1464"/>
      <c r="P563" s="1464"/>
      <c r="Q563" s="1464"/>
      <c r="R563" s="1464"/>
      <c r="S563" s="1464"/>
      <c r="T563" s="1464"/>
      <c r="U563" s="1464"/>
      <c r="V563" s="1464"/>
      <c r="W563" s="1464"/>
      <c r="X563" s="1464"/>
      <c r="Y563" s="1464"/>
      <c r="Z563" s="1464"/>
      <c r="AA563" s="1464"/>
      <c r="AB563" s="1464"/>
    </row>
    <row r="564">
      <c r="A564" s="1464"/>
      <c r="B564" s="1464"/>
      <c r="C564" s="1464"/>
      <c r="D564" s="1464"/>
      <c r="E564" s="1464"/>
      <c r="F564" s="1464"/>
      <c r="G564" s="1464"/>
      <c r="H564" s="1464"/>
      <c r="I564" s="1464"/>
      <c r="J564" s="1464"/>
      <c r="K564" s="1464"/>
      <c r="L564" s="1464"/>
      <c r="M564" s="1464"/>
      <c r="N564" s="1464"/>
      <c r="O564" s="1464"/>
      <c r="P564" s="1464"/>
      <c r="Q564" s="1464"/>
      <c r="R564" s="1464"/>
      <c r="S564" s="1464"/>
      <c r="T564" s="1464"/>
      <c r="U564" s="1464"/>
      <c r="V564" s="1464"/>
      <c r="W564" s="1464"/>
      <c r="X564" s="1464"/>
      <c r="Y564" s="1464"/>
      <c r="Z564" s="1464"/>
      <c r="AA564" s="1464"/>
      <c r="AB564" s="1464"/>
    </row>
    <row r="565">
      <c r="A565" s="1464"/>
      <c r="B565" s="1464"/>
      <c r="C565" s="1464"/>
      <c r="D565" s="1464"/>
      <c r="E565" s="1464"/>
      <c r="F565" s="1464"/>
      <c r="G565" s="1464"/>
      <c r="H565" s="1464"/>
      <c r="I565" s="1464"/>
      <c r="J565" s="1464"/>
      <c r="K565" s="1464"/>
      <c r="L565" s="1464"/>
      <c r="M565" s="1464"/>
      <c r="N565" s="1464"/>
      <c r="O565" s="1464"/>
      <c r="P565" s="1464"/>
      <c r="Q565" s="1464"/>
      <c r="R565" s="1464"/>
      <c r="S565" s="1464"/>
      <c r="T565" s="1464"/>
      <c r="U565" s="1464"/>
      <c r="V565" s="1464"/>
      <c r="W565" s="1464"/>
      <c r="X565" s="1464"/>
      <c r="Y565" s="1464"/>
      <c r="Z565" s="1464"/>
      <c r="AA565" s="1464"/>
      <c r="AB565" s="1464"/>
    </row>
    <row r="566">
      <c r="A566" s="1464"/>
      <c r="B566" s="1464"/>
      <c r="C566" s="1464"/>
      <c r="D566" s="1464"/>
      <c r="E566" s="1464"/>
      <c r="F566" s="1464"/>
      <c r="G566" s="1464"/>
      <c r="H566" s="1464"/>
      <c r="I566" s="1464"/>
      <c r="J566" s="1464"/>
      <c r="K566" s="1464"/>
      <c r="L566" s="1464"/>
      <c r="M566" s="1464"/>
      <c r="N566" s="1464"/>
      <c r="O566" s="1464"/>
      <c r="P566" s="1464"/>
      <c r="Q566" s="1464"/>
      <c r="R566" s="1464"/>
      <c r="S566" s="1464"/>
      <c r="T566" s="1464"/>
      <c r="U566" s="1464"/>
      <c r="V566" s="1464"/>
      <c r="W566" s="1464"/>
      <c r="X566" s="1464"/>
      <c r="Y566" s="1464"/>
      <c r="Z566" s="1464"/>
      <c r="AA566" s="1464"/>
      <c r="AB566" s="1464"/>
    </row>
    <row r="567">
      <c r="A567" s="1464"/>
      <c r="B567" s="1464"/>
      <c r="C567" s="1464"/>
      <c r="D567" s="1464"/>
      <c r="E567" s="1464"/>
      <c r="F567" s="1464"/>
      <c r="G567" s="1464"/>
      <c r="H567" s="1464"/>
      <c r="I567" s="1464"/>
      <c r="J567" s="1464"/>
      <c r="K567" s="1464"/>
      <c r="L567" s="1464"/>
      <c r="M567" s="1464"/>
      <c r="N567" s="1464"/>
      <c r="O567" s="1464"/>
      <c r="P567" s="1464"/>
      <c r="Q567" s="1464"/>
      <c r="R567" s="1464"/>
      <c r="S567" s="1464"/>
      <c r="T567" s="1464"/>
      <c r="U567" s="1464"/>
      <c r="V567" s="1464"/>
      <c r="W567" s="1464"/>
      <c r="X567" s="1464"/>
      <c r="Y567" s="1464"/>
      <c r="Z567" s="1464"/>
      <c r="AA567" s="1464"/>
      <c r="AB567" s="1464"/>
    </row>
    <row r="568">
      <c r="A568" s="1464"/>
      <c r="B568" s="1464"/>
      <c r="C568" s="1464"/>
      <c r="D568" s="1464"/>
      <c r="E568" s="1464"/>
      <c r="F568" s="1464"/>
      <c r="G568" s="1464"/>
      <c r="H568" s="1464"/>
      <c r="I568" s="1464"/>
      <c r="J568" s="1464"/>
      <c r="K568" s="1464"/>
      <c r="L568" s="1464"/>
      <c r="M568" s="1464"/>
      <c r="N568" s="1464"/>
      <c r="O568" s="1464"/>
      <c r="P568" s="1464"/>
      <c r="Q568" s="1464"/>
      <c r="R568" s="1464"/>
      <c r="S568" s="1464"/>
      <c r="T568" s="1464"/>
      <c r="U568" s="1464"/>
      <c r="V568" s="1464"/>
      <c r="W568" s="1464"/>
      <c r="X568" s="1464"/>
      <c r="Y568" s="1464"/>
      <c r="Z568" s="1464"/>
      <c r="AA568" s="1464"/>
      <c r="AB568" s="1464"/>
    </row>
    <row r="569">
      <c r="A569" s="1464"/>
      <c r="B569" s="1464"/>
      <c r="C569" s="1464"/>
      <c r="D569" s="1464"/>
      <c r="E569" s="1464"/>
      <c r="F569" s="1464"/>
      <c r="G569" s="1464"/>
      <c r="H569" s="1464"/>
      <c r="I569" s="1464"/>
      <c r="J569" s="1464"/>
      <c r="K569" s="1464"/>
      <c r="L569" s="1464"/>
      <c r="M569" s="1464"/>
      <c r="N569" s="1464"/>
      <c r="O569" s="1464"/>
      <c r="P569" s="1464"/>
      <c r="Q569" s="1464"/>
      <c r="R569" s="1464"/>
      <c r="S569" s="1464"/>
      <c r="T569" s="1464"/>
      <c r="U569" s="1464"/>
      <c r="V569" s="1464"/>
      <c r="W569" s="1464"/>
      <c r="X569" s="1464"/>
      <c r="Y569" s="1464"/>
      <c r="Z569" s="1464"/>
      <c r="AA569" s="1464"/>
      <c r="AB569" s="1464"/>
    </row>
    <row r="570">
      <c r="A570" s="1464"/>
      <c r="B570" s="1464"/>
      <c r="C570" s="1464"/>
      <c r="D570" s="1464"/>
      <c r="E570" s="1464"/>
      <c r="F570" s="1464"/>
      <c r="G570" s="1464"/>
      <c r="H570" s="1464"/>
      <c r="I570" s="1464"/>
      <c r="J570" s="1464"/>
      <c r="K570" s="1464"/>
      <c r="L570" s="1464"/>
      <c r="M570" s="1464"/>
      <c r="N570" s="1464"/>
      <c r="O570" s="1464"/>
      <c r="P570" s="1464"/>
      <c r="Q570" s="1464"/>
      <c r="R570" s="1464"/>
      <c r="S570" s="1464"/>
      <c r="T570" s="1464"/>
      <c r="U570" s="1464"/>
      <c r="V570" s="1464"/>
      <c r="W570" s="1464"/>
      <c r="X570" s="1464"/>
      <c r="Y570" s="1464"/>
      <c r="Z570" s="1464"/>
      <c r="AA570" s="1464"/>
      <c r="AB570" s="1464"/>
    </row>
    <row r="571">
      <c r="A571" s="1464"/>
      <c r="B571" s="1464"/>
      <c r="C571" s="1464"/>
      <c r="D571" s="1464"/>
      <c r="E571" s="1464"/>
      <c r="F571" s="1464"/>
      <c r="G571" s="1464"/>
      <c r="H571" s="1464"/>
      <c r="I571" s="1464"/>
      <c r="J571" s="1464"/>
      <c r="K571" s="1464"/>
      <c r="L571" s="1464"/>
      <c r="M571" s="1464"/>
      <c r="N571" s="1464"/>
      <c r="O571" s="1464"/>
      <c r="P571" s="1464"/>
      <c r="Q571" s="1464"/>
      <c r="R571" s="1464"/>
      <c r="S571" s="1464"/>
      <c r="T571" s="1464"/>
      <c r="U571" s="1464"/>
      <c r="V571" s="1464"/>
      <c r="W571" s="1464"/>
      <c r="X571" s="1464"/>
      <c r="Y571" s="1464"/>
      <c r="Z571" s="1464"/>
      <c r="AA571" s="1464"/>
      <c r="AB571" s="1464"/>
    </row>
    <row r="572">
      <c r="A572" s="1464"/>
      <c r="B572" s="1464"/>
      <c r="C572" s="1464"/>
      <c r="D572" s="1464"/>
      <c r="E572" s="1464"/>
      <c r="F572" s="1464"/>
      <c r="G572" s="1464"/>
      <c r="H572" s="1464"/>
      <c r="I572" s="1464"/>
      <c r="J572" s="1464"/>
      <c r="K572" s="1464"/>
      <c r="L572" s="1464"/>
      <c r="M572" s="1464"/>
      <c r="N572" s="1464"/>
      <c r="O572" s="1464"/>
      <c r="P572" s="1464"/>
      <c r="Q572" s="1464"/>
      <c r="R572" s="1464"/>
      <c r="S572" s="1464"/>
      <c r="T572" s="1464"/>
      <c r="U572" s="1464"/>
      <c r="V572" s="1464"/>
      <c r="W572" s="1464"/>
      <c r="X572" s="1464"/>
      <c r="Y572" s="1464"/>
      <c r="Z572" s="1464"/>
      <c r="AA572" s="1464"/>
      <c r="AB572" s="1464"/>
    </row>
    <row r="573">
      <c r="A573" s="1464"/>
      <c r="B573" s="1464"/>
      <c r="C573" s="1464"/>
      <c r="D573" s="1464"/>
      <c r="E573" s="1464"/>
      <c r="F573" s="1464"/>
      <c r="G573" s="1464"/>
      <c r="H573" s="1464"/>
      <c r="I573" s="1464"/>
      <c r="J573" s="1464"/>
      <c r="K573" s="1464"/>
      <c r="L573" s="1464"/>
      <c r="M573" s="1464"/>
      <c r="N573" s="1464"/>
      <c r="O573" s="1464"/>
      <c r="P573" s="1464"/>
      <c r="Q573" s="1464"/>
      <c r="R573" s="1464"/>
      <c r="S573" s="1464"/>
      <c r="T573" s="1464"/>
      <c r="U573" s="1464"/>
      <c r="V573" s="1464"/>
      <c r="W573" s="1464"/>
      <c r="X573" s="1464"/>
      <c r="Y573" s="1464"/>
      <c r="Z573" s="1464"/>
      <c r="AA573" s="1464"/>
      <c r="AB573" s="1464"/>
    </row>
    <row r="574">
      <c r="A574" s="1464"/>
      <c r="B574" s="1464"/>
      <c r="C574" s="1464"/>
      <c r="D574" s="1464"/>
      <c r="E574" s="1464"/>
      <c r="F574" s="1464"/>
      <c r="G574" s="1464"/>
      <c r="H574" s="1464"/>
      <c r="I574" s="1464"/>
      <c r="J574" s="1464"/>
      <c r="K574" s="1464"/>
      <c r="L574" s="1464"/>
      <c r="M574" s="1464"/>
      <c r="N574" s="1464"/>
      <c r="O574" s="1464"/>
      <c r="P574" s="1464"/>
      <c r="Q574" s="1464"/>
      <c r="R574" s="1464"/>
      <c r="S574" s="1464"/>
      <c r="T574" s="1464"/>
      <c r="U574" s="1464"/>
      <c r="V574" s="1464"/>
      <c r="W574" s="1464"/>
      <c r="X574" s="1464"/>
      <c r="Y574" s="1464"/>
      <c r="Z574" s="1464"/>
      <c r="AA574" s="1464"/>
      <c r="AB574" s="1464"/>
    </row>
    <row r="575">
      <c r="A575" s="1464"/>
      <c r="B575" s="1464"/>
      <c r="C575" s="1464"/>
      <c r="D575" s="1464"/>
      <c r="E575" s="1464"/>
      <c r="F575" s="1464"/>
      <c r="G575" s="1464"/>
      <c r="H575" s="1464"/>
      <c r="I575" s="1464"/>
      <c r="J575" s="1464"/>
      <c r="K575" s="1464"/>
      <c r="L575" s="1464"/>
      <c r="M575" s="1464"/>
      <c r="N575" s="1464"/>
      <c r="O575" s="1464"/>
      <c r="P575" s="1464"/>
      <c r="Q575" s="1464"/>
      <c r="R575" s="1464"/>
      <c r="S575" s="1464"/>
      <c r="T575" s="1464"/>
      <c r="U575" s="1464"/>
      <c r="V575" s="1464"/>
      <c r="W575" s="1464"/>
      <c r="X575" s="1464"/>
      <c r="Y575" s="1464"/>
      <c r="Z575" s="1464"/>
      <c r="AA575" s="1464"/>
      <c r="AB575" s="1464"/>
    </row>
    <row r="576">
      <c r="A576" s="1464"/>
      <c r="B576" s="1464"/>
      <c r="C576" s="1464"/>
      <c r="D576" s="1464"/>
      <c r="E576" s="1464"/>
      <c r="F576" s="1464"/>
      <c r="G576" s="1464"/>
      <c r="H576" s="1464"/>
      <c r="I576" s="1464"/>
      <c r="J576" s="1464"/>
      <c r="K576" s="1464"/>
      <c r="L576" s="1464"/>
      <c r="M576" s="1464"/>
      <c r="N576" s="1464"/>
      <c r="O576" s="1464"/>
      <c r="P576" s="1464"/>
      <c r="Q576" s="1464"/>
      <c r="R576" s="1464"/>
      <c r="S576" s="1464"/>
      <c r="T576" s="1464"/>
      <c r="U576" s="1464"/>
      <c r="V576" s="1464"/>
      <c r="W576" s="1464"/>
      <c r="X576" s="1464"/>
      <c r="Y576" s="1464"/>
      <c r="Z576" s="1464"/>
      <c r="AA576" s="1464"/>
      <c r="AB576" s="1464"/>
    </row>
    <row r="577">
      <c r="A577" s="1464"/>
      <c r="B577" s="1464"/>
      <c r="C577" s="1464"/>
      <c r="D577" s="1464"/>
      <c r="E577" s="1464"/>
      <c r="F577" s="1464"/>
      <c r="G577" s="1464"/>
      <c r="H577" s="1464"/>
      <c r="I577" s="1464"/>
      <c r="J577" s="1464"/>
      <c r="K577" s="1464"/>
      <c r="L577" s="1464"/>
      <c r="M577" s="1464"/>
      <c r="N577" s="1464"/>
      <c r="O577" s="1464"/>
      <c r="P577" s="1464"/>
      <c r="Q577" s="1464"/>
      <c r="R577" s="1464"/>
      <c r="S577" s="1464"/>
      <c r="T577" s="1464"/>
      <c r="U577" s="1464"/>
      <c r="V577" s="1464"/>
      <c r="W577" s="1464"/>
      <c r="X577" s="1464"/>
      <c r="Y577" s="1464"/>
      <c r="Z577" s="1464"/>
      <c r="AA577" s="1464"/>
      <c r="AB577" s="1464"/>
    </row>
    <row r="578">
      <c r="A578" s="1464"/>
      <c r="B578" s="1464"/>
      <c r="C578" s="1464"/>
      <c r="D578" s="1464"/>
      <c r="E578" s="1464"/>
      <c r="F578" s="1464"/>
      <c r="G578" s="1464"/>
      <c r="H578" s="1464"/>
      <c r="I578" s="1464"/>
      <c r="J578" s="1464"/>
      <c r="K578" s="1464"/>
      <c r="L578" s="1464"/>
      <c r="M578" s="1464"/>
      <c r="N578" s="1464"/>
      <c r="O578" s="1464"/>
      <c r="P578" s="1464"/>
      <c r="Q578" s="1464"/>
      <c r="R578" s="1464"/>
      <c r="S578" s="1464"/>
      <c r="T578" s="1464"/>
      <c r="U578" s="1464"/>
      <c r="V578" s="1464"/>
      <c r="W578" s="1464"/>
      <c r="X578" s="1464"/>
      <c r="Y578" s="1464"/>
      <c r="Z578" s="1464"/>
      <c r="AA578" s="1464"/>
      <c r="AB578" s="1464"/>
    </row>
    <row r="579">
      <c r="A579" s="1464"/>
      <c r="B579" s="1464"/>
      <c r="C579" s="1464"/>
      <c r="D579" s="1464"/>
      <c r="E579" s="1464"/>
      <c r="F579" s="1464"/>
      <c r="G579" s="1464"/>
      <c r="H579" s="1464"/>
      <c r="I579" s="1464"/>
      <c r="J579" s="1464"/>
      <c r="K579" s="1464"/>
      <c r="L579" s="1464"/>
      <c r="M579" s="1464"/>
      <c r="N579" s="1464"/>
      <c r="O579" s="1464"/>
      <c r="P579" s="1464"/>
      <c r="Q579" s="1464"/>
      <c r="R579" s="1464"/>
      <c r="S579" s="1464"/>
      <c r="T579" s="1464"/>
      <c r="U579" s="1464"/>
      <c r="V579" s="1464"/>
      <c r="W579" s="1464"/>
      <c r="X579" s="1464"/>
      <c r="Y579" s="1464"/>
      <c r="Z579" s="1464"/>
      <c r="AA579" s="1464"/>
      <c r="AB579" s="1464"/>
    </row>
    <row r="580">
      <c r="A580" s="1464"/>
      <c r="B580" s="1464"/>
      <c r="C580" s="1464"/>
      <c r="D580" s="1464"/>
      <c r="E580" s="1464"/>
      <c r="F580" s="1464"/>
      <c r="G580" s="1464"/>
      <c r="H580" s="1464"/>
      <c r="I580" s="1464"/>
      <c r="J580" s="1464"/>
      <c r="K580" s="1464"/>
      <c r="L580" s="1464"/>
      <c r="M580" s="1464"/>
      <c r="N580" s="1464"/>
      <c r="O580" s="1464"/>
      <c r="P580" s="1464"/>
      <c r="Q580" s="1464"/>
      <c r="R580" s="1464"/>
      <c r="S580" s="1464"/>
      <c r="T580" s="1464"/>
      <c r="U580" s="1464"/>
      <c r="V580" s="1464"/>
      <c r="W580" s="1464"/>
      <c r="X580" s="1464"/>
      <c r="Y580" s="1464"/>
      <c r="Z580" s="1464"/>
      <c r="AA580" s="1464"/>
      <c r="AB580" s="1464"/>
    </row>
    <row r="581">
      <c r="A581" s="1464"/>
      <c r="B581" s="1464"/>
      <c r="C581" s="1464"/>
      <c r="D581" s="1464"/>
      <c r="E581" s="1464"/>
      <c r="F581" s="1464"/>
      <c r="G581" s="1464"/>
      <c r="H581" s="1464"/>
      <c r="I581" s="1464"/>
      <c r="J581" s="1464"/>
      <c r="K581" s="1464"/>
      <c r="L581" s="1464"/>
      <c r="M581" s="1464"/>
      <c r="N581" s="1464"/>
      <c r="O581" s="1464"/>
      <c r="P581" s="1464"/>
      <c r="Q581" s="1464"/>
      <c r="R581" s="1464"/>
      <c r="S581" s="1464"/>
      <c r="T581" s="1464"/>
      <c r="U581" s="1464"/>
      <c r="V581" s="1464"/>
      <c r="W581" s="1464"/>
      <c r="X581" s="1464"/>
      <c r="Y581" s="1464"/>
      <c r="Z581" s="1464"/>
      <c r="AA581" s="1464"/>
      <c r="AB581" s="1464"/>
    </row>
    <row r="582">
      <c r="A582" s="1464"/>
      <c r="B582" s="1464"/>
      <c r="C582" s="1464"/>
      <c r="D582" s="1464"/>
      <c r="E582" s="1464"/>
      <c r="F582" s="1464"/>
      <c r="G582" s="1464"/>
      <c r="H582" s="1464"/>
      <c r="I582" s="1464"/>
      <c r="J582" s="1464"/>
      <c r="K582" s="1464"/>
      <c r="L582" s="1464"/>
      <c r="M582" s="1464"/>
      <c r="N582" s="1464"/>
      <c r="O582" s="1464"/>
      <c r="P582" s="1464"/>
      <c r="Q582" s="1464"/>
      <c r="R582" s="1464"/>
      <c r="S582" s="1464"/>
      <c r="T582" s="1464"/>
      <c r="U582" s="1464"/>
      <c r="V582" s="1464"/>
      <c r="W582" s="1464"/>
      <c r="X582" s="1464"/>
      <c r="Y582" s="1464"/>
      <c r="Z582" s="1464"/>
      <c r="AA582" s="1464"/>
      <c r="AB582" s="1464"/>
    </row>
    <row r="583">
      <c r="A583" s="1464"/>
      <c r="B583" s="1464"/>
      <c r="C583" s="1464"/>
      <c r="D583" s="1464"/>
      <c r="E583" s="1464"/>
      <c r="F583" s="1464"/>
      <c r="G583" s="1464"/>
      <c r="H583" s="1464"/>
      <c r="I583" s="1464"/>
      <c r="J583" s="1464"/>
      <c r="K583" s="1464"/>
      <c r="L583" s="1464"/>
      <c r="M583" s="1464"/>
      <c r="N583" s="1464"/>
      <c r="O583" s="1464"/>
      <c r="P583" s="1464"/>
      <c r="Q583" s="1464"/>
      <c r="R583" s="1464"/>
      <c r="S583" s="1464"/>
      <c r="T583" s="1464"/>
      <c r="U583" s="1464"/>
      <c r="V583" s="1464"/>
      <c r="W583" s="1464"/>
      <c r="X583" s="1464"/>
      <c r="Y583" s="1464"/>
      <c r="Z583" s="1464"/>
      <c r="AA583" s="1464"/>
      <c r="AB583" s="1464"/>
    </row>
    <row r="584">
      <c r="A584" s="1464"/>
      <c r="B584" s="1464"/>
      <c r="C584" s="1464"/>
      <c r="D584" s="1464"/>
      <c r="E584" s="1464"/>
      <c r="F584" s="1464"/>
      <c r="G584" s="1464"/>
      <c r="H584" s="1464"/>
      <c r="I584" s="1464"/>
      <c r="J584" s="1464"/>
      <c r="K584" s="1464"/>
      <c r="L584" s="1464"/>
      <c r="M584" s="1464"/>
      <c r="N584" s="1464"/>
      <c r="O584" s="1464"/>
      <c r="P584" s="1464"/>
      <c r="Q584" s="1464"/>
      <c r="R584" s="1464"/>
      <c r="S584" s="1464"/>
      <c r="T584" s="1464"/>
      <c r="U584" s="1464"/>
      <c r="V584" s="1464"/>
      <c r="W584" s="1464"/>
      <c r="X584" s="1464"/>
      <c r="Y584" s="1464"/>
      <c r="Z584" s="1464"/>
      <c r="AA584" s="1464"/>
      <c r="AB584" s="1464"/>
    </row>
    <row r="585">
      <c r="A585" s="1464"/>
      <c r="B585" s="1464"/>
      <c r="C585" s="1464"/>
      <c r="D585" s="1464"/>
      <c r="E585" s="1464"/>
      <c r="F585" s="1464"/>
      <c r="G585" s="1464"/>
      <c r="H585" s="1464"/>
      <c r="I585" s="1464"/>
      <c r="J585" s="1464"/>
      <c r="K585" s="1464"/>
      <c r="L585" s="1464"/>
      <c r="M585" s="1464"/>
      <c r="N585" s="1464"/>
      <c r="O585" s="1464"/>
      <c r="P585" s="1464"/>
      <c r="Q585" s="1464"/>
      <c r="R585" s="1464"/>
      <c r="S585" s="1464"/>
      <c r="T585" s="1464"/>
      <c r="U585" s="1464"/>
      <c r="V585" s="1464"/>
      <c r="W585" s="1464"/>
      <c r="X585" s="1464"/>
      <c r="Y585" s="1464"/>
      <c r="Z585" s="1464"/>
      <c r="AA585" s="1464"/>
      <c r="AB585" s="1464"/>
    </row>
    <row r="586">
      <c r="A586" s="1464"/>
      <c r="B586" s="1464"/>
      <c r="C586" s="1464"/>
      <c r="D586" s="1464"/>
      <c r="E586" s="1464"/>
      <c r="F586" s="1464"/>
      <c r="G586" s="1464"/>
      <c r="H586" s="1464"/>
      <c r="I586" s="1464"/>
      <c r="J586" s="1464"/>
      <c r="K586" s="1464"/>
      <c r="L586" s="1464"/>
      <c r="M586" s="1464"/>
      <c r="N586" s="1464"/>
      <c r="O586" s="1464"/>
      <c r="P586" s="1464"/>
      <c r="Q586" s="1464"/>
      <c r="R586" s="1464"/>
      <c r="S586" s="1464"/>
      <c r="T586" s="1464"/>
      <c r="U586" s="1464"/>
      <c r="V586" s="1464"/>
      <c r="W586" s="1464"/>
      <c r="X586" s="1464"/>
      <c r="Y586" s="1464"/>
      <c r="Z586" s="1464"/>
      <c r="AA586" s="1464"/>
      <c r="AB586" s="1464"/>
    </row>
    <row r="587">
      <c r="A587" s="1464"/>
      <c r="B587" s="1464"/>
      <c r="C587" s="1464"/>
      <c r="D587" s="1464"/>
      <c r="E587" s="1464"/>
      <c r="F587" s="1464"/>
      <c r="G587" s="1464"/>
      <c r="H587" s="1464"/>
      <c r="I587" s="1464"/>
      <c r="J587" s="1464"/>
      <c r="K587" s="1464"/>
      <c r="L587" s="1464"/>
      <c r="M587" s="1464"/>
      <c r="N587" s="1464"/>
      <c r="O587" s="1464"/>
      <c r="P587" s="1464"/>
      <c r="Q587" s="1464"/>
      <c r="R587" s="1464"/>
      <c r="S587" s="1464"/>
      <c r="T587" s="1464"/>
      <c r="U587" s="1464"/>
      <c r="V587" s="1464"/>
      <c r="W587" s="1464"/>
      <c r="X587" s="1464"/>
      <c r="Y587" s="1464"/>
      <c r="Z587" s="1464"/>
      <c r="AA587" s="1464"/>
      <c r="AB587" s="1464"/>
    </row>
    <row r="588">
      <c r="A588" s="1464"/>
      <c r="B588" s="1464"/>
      <c r="C588" s="1464"/>
      <c r="D588" s="1464"/>
      <c r="E588" s="1464"/>
      <c r="F588" s="1464"/>
      <c r="G588" s="1464"/>
      <c r="H588" s="1464"/>
      <c r="I588" s="1464"/>
      <c r="J588" s="1464"/>
      <c r="K588" s="1464"/>
      <c r="L588" s="1464"/>
      <c r="M588" s="1464"/>
      <c r="N588" s="1464"/>
      <c r="O588" s="1464"/>
      <c r="P588" s="1464"/>
      <c r="Q588" s="1464"/>
      <c r="R588" s="1464"/>
      <c r="S588" s="1464"/>
      <c r="T588" s="1464"/>
      <c r="U588" s="1464"/>
      <c r="V588" s="1464"/>
      <c r="W588" s="1464"/>
      <c r="X588" s="1464"/>
      <c r="Y588" s="1464"/>
      <c r="Z588" s="1464"/>
      <c r="AA588" s="1464"/>
      <c r="AB588" s="1464"/>
    </row>
    <row r="589">
      <c r="A589" s="1464"/>
      <c r="B589" s="1464"/>
      <c r="C589" s="1464"/>
      <c r="D589" s="1464"/>
      <c r="E589" s="1464"/>
      <c r="F589" s="1464"/>
      <c r="G589" s="1464"/>
      <c r="H589" s="1464"/>
      <c r="I589" s="1464"/>
      <c r="J589" s="1464"/>
      <c r="K589" s="1464"/>
      <c r="L589" s="1464"/>
      <c r="M589" s="1464"/>
      <c r="N589" s="1464"/>
      <c r="O589" s="1464"/>
      <c r="P589" s="1464"/>
      <c r="Q589" s="1464"/>
      <c r="R589" s="1464"/>
      <c r="S589" s="1464"/>
      <c r="T589" s="1464"/>
      <c r="U589" s="1464"/>
      <c r="V589" s="1464"/>
      <c r="W589" s="1464"/>
      <c r="X589" s="1464"/>
      <c r="Y589" s="1464"/>
      <c r="Z589" s="1464"/>
      <c r="AA589" s="1464"/>
      <c r="AB589" s="1464"/>
    </row>
    <row r="590">
      <c r="A590" s="1464"/>
      <c r="B590" s="1464"/>
      <c r="C590" s="1464"/>
      <c r="D590" s="1464"/>
      <c r="E590" s="1464"/>
      <c r="F590" s="1464"/>
      <c r="G590" s="1464"/>
      <c r="H590" s="1464"/>
      <c r="I590" s="1464"/>
      <c r="J590" s="1464"/>
      <c r="K590" s="1464"/>
      <c r="L590" s="1464"/>
      <c r="M590" s="1464"/>
      <c r="N590" s="1464"/>
      <c r="O590" s="1464"/>
      <c r="P590" s="1464"/>
      <c r="Q590" s="1464"/>
      <c r="R590" s="1464"/>
      <c r="S590" s="1464"/>
      <c r="T590" s="1464"/>
      <c r="U590" s="1464"/>
      <c r="V590" s="1464"/>
      <c r="W590" s="1464"/>
      <c r="X590" s="1464"/>
      <c r="Y590" s="1464"/>
      <c r="Z590" s="1464"/>
      <c r="AA590" s="1464"/>
      <c r="AB590" s="1464"/>
    </row>
    <row r="591">
      <c r="A591" s="1464"/>
      <c r="B591" s="1464"/>
      <c r="C591" s="1464"/>
      <c r="D591" s="1464"/>
      <c r="E591" s="1464"/>
      <c r="F591" s="1464"/>
      <c r="G591" s="1464"/>
      <c r="H591" s="1464"/>
      <c r="I591" s="1464"/>
      <c r="J591" s="1464"/>
      <c r="K591" s="1464"/>
      <c r="L591" s="1464"/>
      <c r="M591" s="1464"/>
      <c r="N591" s="1464"/>
      <c r="O591" s="1464"/>
      <c r="P591" s="1464"/>
      <c r="Q591" s="1464"/>
      <c r="R591" s="1464"/>
      <c r="S591" s="1464"/>
      <c r="T591" s="1464"/>
      <c r="U591" s="1464"/>
      <c r="V591" s="1464"/>
      <c r="W591" s="1464"/>
      <c r="X591" s="1464"/>
      <c r="Y591" s="1464"/>
      <c r="Z591" s="1464"/>
      <c r="AA591" s="1464"/>
      <c r="AB591" s="1464"/>
    </row>
    <row r="592">
      <c r="A592" s="1464"/>
      <c r="B592" s="1464"/>
      <c r="C592" s="1464"/>
      <c r="D592" s="1464"/>
      <c r="E592" s="1464"/>
      <c r="F592" s="1464"/>
      <c r="G592" s="1464"/>
      <c r="H592" s="1464"/>
      <c r="I592" s="1464"/>
      <c r="J592" s="1464"/>
      <c r="K592" s="1464"/>
      <c r="L592" s="1464"/>
      <c r="M592" s="1464"/>
      <c r="N592" s="1464"/>
      <c r="O592" s="1464"/>
      <c r="P592" s="1464"/>
      <c r="Q592" s="1464"/>
      <c r="R592" s="1464"/>
      <c r="S592" s="1464"/>
      <c r="T592" s="1464"/>
      <c r="U592" s="1464"/>
      <c r="V592" s="1464"/>
      <c r="W592" s="1464"/>
      <c r="X592" s="1464"/>
      <c r="Y592" s="1464"/>
      <c r="Z592" s="1464"/>
      <c r="AA592" s="1464"/>
      <c r="AB592" s="1464"/>
    </row>
    <row r="593">
      <c r="A593" s="1464"/>
      <c r="B593" s="1464"/>
      <c r="C593" s="1464"/>
      <c r="D593" s="1464"/>
      <c r="E593" s="1464"/>
      <c r="F593" s="1464"/>
      <c r="G593" s="1464"/>
      <c r="H593" s="1464"/>
      <c r="I593" s="1464"/>
      <c r="J593" s="1464"/>
      <c r="K593" s="1464"/>
      <c r="L593" s="1464"/>
      <c r="M593" s="1464"/>
      <c r="N593" s="1464"/>
      <c r="O593" s="1464"/>
      <c r="P593" s="1464"/>
      <c r="Q593" s="1464"/>
      <c r="R593" s="1464"/>
      <c r="S593" s="1464"/>
      <c r="T593" s="1464"/>
      <c r="U593" s="1464"/>
      <c r="V593" s="1464"/>
      <c r="W593" s="1464"/>
      <c r="X593" s="1464"/>
      <c r="Y593" s="1464"/>
      <c r="Z593" s="1464"/>
      <c r="AA593" s="1464"/>
      <c r="AB593" s="1464"/>
    </row>
    <row r="594">
      <c r="A594" s="1464"/>
      <c r="B594" s="1464"/>
      <c r="C594" s="1464"/>
      <c r="D594" s="1464"/>
      <c r="E594" s="1464"/>
      <c r="F594" s="1464"/>
      <c r="G594" s="1464"/>
      <c r="H594" s="1464"/>
      <c r="I594" s="1464"/>
      <c r="J594" s="1464"/>
      <c r="K594" s="1464"/>
      <c r="L594" s="1464"/>
      <c r="M594" s="1464"/>
      <c r="N594" s="1464"/>
      <c r="O594" s="1464"/>
      <c r="P594" s="1464"/>
      <c r="Q594" s="1464"/>
      <c r="R594" s="1464"/>
      <c r="S594" s="1464"/>
      <c r="T594" s="1464"/>
      <c r="U594" s="1464"/>
      <c r="V594" s="1464"/>
      <c r="W594" s="1464"/>
      <c r="X594" s="1464"/>
      <c r="Y594" s="1464"/>
      <c r="Z594" s="1464"/>
      <c r="AA594" s="1464"/>
      <c r="AB594" s="1464"/>
    </row>
    <row r="595">
      <c r="A595" s="1464"/>
      <c r="B595" s="1464"/>
      <c r="C595" s="1464"/>
      <c r="D595" s="1464"/>
      <c r="E595" s="1464"/>
      <c r="F595" s="1464"/>
      <c r="G595" s="1464"/>
      <c r="H595" s="1464"/>
      <c r="I595" s="1464"/>
      <c r="J595" s="1464"/>
      <c r="K595" s="1464"/>
      <c r="L595" s="1464"/>
      <c r="M595" s="1464"/>
      <c r="N595" s="1464"/>
      <c r="O595" s="1464"/>
      <c r="P595" s="1464"/>
      <c r="Q595" s="1464"/>
      <c r="R595" s="1464"/>
      <c r="S595" s="1464"/>
      <c r="T595" s="1464"/>
      <c r="U595" s="1464"/>
      <c r="V595" s="1464"/>
      <c r="W595" s="1464"/>
      <c r="X595" s="1464"/>
      <c r="Y595" s="1464"/>
      <c r="Z595" s="1464"/>
      <c r="AA595" s="1464"/>
      <c r="AB595" s="1464"/>
    </row>
    <row r="596">
      <c r="A596" s="1464"/>
      <c r="B596" s="1464"/>
      <c r="C596" s="1464"/>
      <c r="D596" s="1464"/>
      <c r="E596" s="1464"/>
      <c r="F596" s="1464"/>
      <c r="G596" s="1464"/>
      <c r="H596" s="1464"/>
      <c r="I596" s="1464"/>
      <c r="J596" s="1464"/>
      <c r="K596" s="1464"/>
      <c r="L596" s="1464"/>
      <c r="M596" s="1464"/>
      <c r="N596" s="1464"/>
      <c r="O596" s="1464"/>
      <c r="P596" s="1464"/>
      <c r="Q596" s="1464"/>
      <c r="R596" s="1464"/>
      <c r="S596" s="1464"/>
      <c r="T596" s="1464"/>
      <c r="U596" s="1464"/>
      <c r="V596" s="1464"/>
      <c r="W596" s="1464"/>
      <c r="X596" s="1464"/>
      <c r="Y596" s="1464"/>
      <c r="Z596" s="1464"/>
      <c r="AA596" s="1464"/>
      <c r="AB596" s="1464"/>
    </row>
    <row r="597">
      <c r="A597" s="1464"/>
      <c r="B597" s="1464"/>
      <c r="C597" s="1464"/>
      <c r="D597" s="1464"/>
      <c r="E597" s="1464"/>
      <c r="F597" s="1464"/>
      <c r="G597" s="1464"/>
      <c r="H597" s="1464"/>
      <c r="I597" s="1464"/>
      <c r="J597" s="1464"/>
      <c r="K597" s="1464"/>
      <c r="L597" s="1464"/>
      <c r="M597" s="1464"/>
      <c r="N597" s="1464"/>
      <c r="O597" s="1464"/>
      <c r="P597" s="1464"/>
      <c r="Q597" s="1464"/>
      <c r="R597" s="1464"/>
      <c r="S597" s="1464"/>
      <c r="T597" s="1464"/>
      <c r="U597" s="1464"/>
      <c r="V597" s="1464"/>
      <c r="W597" s="1464"/>
      <c r="X597" s="1464"/>
      <c r="Y597" s="1464"/>
      <c r="Z597" s="1464"/>
      <c r="AA597" s="1464"/>
      <c r="AB597" s="1464"/>
    </row>
    <row r="598">
      <c r="A598" s="1464"/>
      <c r="B598" s="1464"/>
      <c r="C598" s="1464"/>
      <c r="D598" s="1464"/>
      <c r="E598" s="1464"/>
      <c r="F598" s="1464"/>
      <c r="G598" s="1464"/>
      <c r="H598" s="1464"/>
      <c r="I598" s="1464"/>
      <c r="J598" s="1464"/>
      <c r="K598" s="1464"/>
      <c r="L598" s="1464"/>
      <c r="M598" s="1464"/>
      <c r="N598" s="1464"/>
      <c r="O598" s="1464"/>
      <c r="P598" s="1464"/>
      <c r="Q598" s="1464"/>
      <c r="R598" s="1464"/>
      <c r="S598" s="1464"/>
      <c r="T598" s="1464"/>
      <c r="U598" s="1464"/>
      <c r="V598" s="1464"/>
      <c r="W598" s="1464"/>
      <c r="X598" s="1464"/>
      <c r="Y598" s="1464"/>
      <c r="Z598" s="1464"/>
      <c r="AA598" s="1464"/>
      <c r="AB598" s="1464"/>
    </row>
    <row r="599">
      <c r="A599" s="1464"/>
      <c r="B599" s="1464"/>
      <c r="C599" s="1464"/>
      <c r="D599" s="1464"/>
      <c r="E599" s="1464"/>
      <c r="F599" s="1464"/>
      <c r="G599" s="1464"/>
      <c r="H599" s="1464"/>
      <c r="I599" s="1464"/>
      <c r="J599" s="1464"/>
      <c r="K599" s="1464"/>
      <c r="L599" s="1464"/>
      <c r="M599" s="1464"/>
      <c r="N599" s="1464"/>
      <c r="O599" s="1464"/>
      <c r="P599" s="1464"/>
      <c r="Q599" s="1464"/>
      <c r="R599" s="1464"/>
      <c r="S599" s="1464"/>
      <c r="T599" s="1464"/>
      <c r="U599" s="1464"/>
      <c r="V599" s="1464"/>
      <c r="W599" s="1464"/>
      <c r="X599" s="1464"/>
      <c r="Y599" s="1464"/>
      <c r="Z599" s="1464"/>
      <c r="AA599" s="1464"/>
      <c r="AB599" s="1464"/>
    </row>
    <row r="600">
      <c r="A600" s="1464"/>
      <c r="B600" s="1464"/>
      <c r="C600" s="1464"/>
      <c r="D600" s="1464"/>
      <c r="E600" s="1464"/>
      <c r="F600" s="1464"/>
      <c r="G600" s="1464"/>
      <c r="H600" s="1464"/>
      <c r="I600" s="1464"/>
      <c r="J600" s="1464"/>
      <c r="K600" s="1464"/>
      <c r="L600" s="1464"/>
      <c r="M600" s="1464"/>
      <c r="N600" s="1464"/>
      <c r="O600" s="1464"/>
      <c r="P600" s="1464"/>
      <c r="Q600" s="1464"/>
      <c r="R600" s="1464"/>
      <c r="S600" s="1464"/>
      <c r="T600" s="1464"/>
      <c r="U600" s="1464"/>
      <c r="V600" s="1464"/>
      <c r="W600" s="1464"/>
      <c r="X600" s="1464"/>
      <c r="Y600" s="1464"/>
      <c r="Z600" s="1464"/>
      <c r="AA600" s="1464"/>
      <c r="AB600" s="1464"/>
    </row>
    <row r="601">
      <c r="A601" s="1464"/>
      <c r="B601" s="1464"/>
      <c r="C601" s="1464"/>
      <c r="D601" s="1464"/>
      <c r="E601" s="1464"/>
      <c r="F601" s="1464"/>
      <c r="G601" s="1464"/>
      <c r="H601" s="1464"/>
      <c r="I601" s="1464"/>
      <c r="J601" s="1464"/>
      <c r="K601" s="1464"/>
      <c r="L601" s="1464"/>
      <c r="M601" s="1464"/>
      <c r="N601" s="1464"/>
      <c r="O601" s="1464"/>
      <c r="P601" s="1464"/>
      <c r="Q601" s="1464"/>
      <c r="R601" s="1464"/>
      <c r="S601" s="1464"/>
      <c r="T601" s="1464"/>
      <c r="U601" s="1464"/>
      <c r="V601" s="1464"/>
      <c r="W601" s="1464"/>
      <c r="X601" s="1464"/>
      <c r="Y601" s="1464"/>
      <c r="Z601" s="1464"/>
      <c r="AA601" s="1464"/>
      <c r="AB601" s="1464"/>
    </row>
    <row r="602">
      <c r="A602" s="1464"/>
      <c r="B602" s="1464"/>
      <c r="C602" s="1464"/>
      <c r="D602" s="1464"/>
      <c r="E602" s="1464"/>
      <c r="F602" s="1464"/>
      <c r="G602" s="1464"/>
      <c r="H602" s="1464"/>
      <c r="I602" s="1464"/>
      <c r="J602" s="1464"/>
      <c r="K602" s="1464"/>
      <c r="L602" s="1464"/>
      <c r="M602" s="1464"/>
      <c r="N602" s="1464"/>
      <c r="O602" s="1464"/>
      <c r="P602" s="1464"/>
      <c r="Q602" s="1464"/>
      <c r="R602" s="1464"/>
      <c r="S602" s="1464"/>
      <c r="T602" s="1464"/>
      <c r="U602" s="1464"/>
      <c r="V602" s="1464"/>
      <c r="W602" s="1464"/>
      <c r="X602" s="1464"/>
      <c r="Y602" s="1464"/>
      <c r="Z602" s="1464"/>
      <c r="AA602" s="1464"/>
      <c r="AB602" s="1464"/>
    </row>
    <row r="603">
      <c r="A603" s="1464"/>
      <c r="B603" s="1464"/>
      <c r="C603" s="1464"/>
      <c r="D603" s="1464"/>
      <c r="E603" s="1464"/>
      <c r="F603" s="1464"/>
      <c r="G603" s="1464"/>
      <c r="H603" s="1464"/>
      <c r="I603" s="1464"/>
      <c r="J603" s="1464"/>
      <c r="K603" s="1464"/>
      <c r="L603" s="1464"/>
      <c r="M603" s="1464"/>
      <c r="N603" s="1464"/>
      <c r="O603" s="1464"/>
      <c r="P603" s="1464"/>
      <c r="Q603" s="1464"/>
      <c r="R603" s="1464"/>
      <c r="S603" s="1464"/>
      <c r="T603" s="1464"/>
      <c r="U603" s="1464"/>
      <c r="V603" s="1464"/>
      <c r="W603" s="1464"/>
      <c r="X603" s="1464"/>
      <c r="Y603" s="1464"/>
      <c r="Z603" s="1464"/>
      <c r="AA603" s="1464"/>
      <c r="AB603" s="1464"/>
    </row>
    <row r="604">
      <c r="A604" s="1464"/>
      <c r="B604" s="1464"/>
      <c r="C604" s="1464"/>
      <c r="D604" s="1464"/>
      <c r="E604" s="1464"/>
      <c r="F604" s="1464"/>
      <c r="G604" s="1464"/>
      <c r="H604" s="1464"/>
      <c r="I604" s="1464"/>
      <c r="J604" s="1464"/>
      <c r="K604" s="1464"/>
      <c r="L604" s="1464"/>
      <c r="M604" s="1464"/>
      <c r="N604" s="1464"/>
      <c r="O604" s="1464"/>
      <c r="P604" s="1464"/>
      <c r="Q604" s="1464"/>
      <c r="R604" s="1464"/>
      <c r="S604" s="1464"/>
      <c r="T604" s="1464"/>
      <c r="U604" s="1464"/>
      <c r="V604" s="1464"/>
      <c r="W604" s="1464"/>
      <c r="X604" s="1464"/>
      <c r="Y604" s="1464"/>
      <c r="Z604" s="1464"/>
      <c r="AA604" s="1464"/>
      <c r="AB604" s="1464"/>
    </row>
    <row r="605">
      <c r="A605" s="1464"/>
      <c r="B605" s="1464"/>
      <c r="C605" s="1464"/>
      <c r="D605" s="1464"/>
      <c r="E605" s="1464"/>
      <c r="F605" s="1464"/>
      <c r="G605" s="1464"/>
      <c r="H605" s="1464"/>
      <c r="I605" s="1464"/>
      <c r="J605" s="1464"/>
      <c r="K605" s="1464"/>
      <c r="L605" s="1464"/>
      <c r="M605" s="1464"/>
      <c r="N605" s="1464"/>
      <c r="O605" s="1464"/>
      <c r="P605" s="1464"/>
      <c r="Q605" s="1464"/>
      <c r="R605" s="1464"/>
      <c r="S605" s="1464"/>
      <c r="T605" s="1464"/>
      <c r="U605" s="1464"/>
      <c r="V605" s="1464"/>
      <c r="W605" s="1464"/>
      <c r="X605" s="1464"/>
      <c r="Y605" s="1464"/>
      <c r="Z605" s="1464"/>
      <c r="AA605" s="1464"/>
      <c r="AB605" s="1464"/>
    </row>
    <row r="606">
      <c r="A606" s="1464"/>
      <c r="B606" s="1464"/>
      <c r="C606" s="1464"/>
      <c r="D606" s="1464"/>
      <c r="E606" s="1464"/>
      <c r="F606" s="1464"/>
      <c r="G606" s="1464"/>
      <c r="H606" s="1464"/>
      <c r="I606" s="1464"/>
      <c r="J606" s="1464"/>
      <c r="K606" s="1464"/>
      <c r="L606" s="1464"/>
      <c r="M606" s="1464"/>
      <c r="N606" s="1464"/>
      <c r="O606" s="1464"/>
      <c r="P606" s="1464"/>
      <c r="Q606" s="1464"/>
      <c r="R606" s="1464"/>
      <c r="S606" s="1464"/>
      <c r="T606" s="1464"/>
      <c r="U606" s="1464"/>
      <c r="V606" s="1464"/>
      <c r="W606" s="1464"/>
      <c r="X606" s="1464"/>
      <c r="Y606" s="1464"/>
      <c r="Z606" s="1464"/>
      <c r="AA606" s="1464"/>
      <c r="AB606" s="1464"/>
    </row>
    <row r="607">
      <c r="A607" s="1464"/>
      <c r="B607" s="1464"/>
      <c r="C607" s="1464"/>
      <c r="D607" s="1464"/>
      <c r="E607" s="1464"/>
      <c r="F607" s="1464"/>
      <c r="G607" s="1464"/>
      <c r="H607" s="1464"/>
      <c r="I607" s="1464"/>
      <c r="J607" s="1464"/>
      <c r="K607" s="1464"/>
      <c r="L607" s="1464"/>
      <c r="M607" s="1464"/>
      <c r="N607" s="1464"/>
      <c r="O607" s="1464"/>
      <c r="P607" s="1464"/>
      <c r="Q607" s="1464"/>
      <c r="R607" s="1464"/>
      <c r="S607" s="1464"/>
      <c r="T607" s="1464"/>
      <c r="U607" s="1464"/>
      <c r="V607" s="1464"/>
      <c r="W607" s="1464"/>
      <c r="X607" s="1464"/>
      <c r="Y607" s="1464"/>
      <c r="Z607" s="1464"/>
      <c r="AA607" s="1464"/>
      <c r="AB607" s="1464"/>
    </row>
    <row r="608">
      <c r="A608" s="1464"/>
      <c r="B608" s="1464"/>
      <c r="C608" s="1464"/>
      <c r="D608" s="1464"/>
      <c r="E608" s="1464"/>
      <c r="F608" s="1464"/>
      <c r="G608" s="1464"/>
      <c r="H608" s="1464"/>
      <c r="I608" s="1464"/>
      <c r="J608" s="1464"/>
      <c r="K608" s="1464"/>
      <c r="L608" s="1464"/>
      <c r="M608" s="1464"/>
      <c r="N608" s="1464"/>
      <c r="O608" s="1464"/>
      <c r="P608" s="1464"/>
      <c r="Q608" s="1464"/>
      <c r="R608" s="1464"/>
      <c r="S608" s="1464"/>
      <c r="T608" s="1464"/>
      <c r="U608" s="1464"/>
      <c r="V608" s="1464"/>
      <c r="W608" s="1464"/>
      <c r="X608" s="1464"/>
      <c r="Y608" s="1464"/>
      <c r="Z608" s="1464"/>
      <c r="AA608" s="1464"/>
      <c r="AB608" s="1464"/>
    </row>
    <row r="609">
      <c r="A609" s="1464"/>
      <c r="B609" s="1464"/>
      <c r="C609" s="1464"/>
      <c r="D609" s="1464"/>
      <c r="E609" s="1464"/>
      <c r="F609" s="1464"/>
      <c r="G609" s="1464"/>
      <c r="H609" s="1464"/>
      <c r="I609" s="1464"/>
      <c r="J609" s="1464"/>
      <c r="K609" s="1464"/>
      <c r="L609" s="1464"/>
      <c r="M609" s="1464"/>
      <c r="N609" s="1464"/>
      <c r="O609" s="1464"/>
      <c r="P609" s="1464"/>
      <c r="Q609" s="1464"/>
      <c r="R609" s="1464"/>
      <c r="S609" s="1464"/>
      <c r="T609" s="1464"/>
      <c r="U609" s="1464"/>
      <c r="V609" s="1464"/>
      <c r="W609" s="1464"/>
      <c r="X609" s="1464"/>
      <c r="Y609" s="1464"/>
      <c r="Z609" s="1464"/>
      <c r="AA609" s="1464"/>
      <c r="AB609" s="1464"/>
    </row>
    <row r="610">
      <c r="A610" s="1464"/>
      <c r="B610" s="1464"/>
      <c r="C610" s="1464"/>
      <c r="D610" s="1464"/>
      <c r="E610" s="1464"/>
      <c r="F610" s="1464"/>
      <c r="G610" s="1464"/>
      <c r="H610" s="1464"/>
      <c r="I610" s="1464"/>
      <c r="J610" s="1464"/>
      <c r="K610" s="1464"/>
      <c r="L610" s="1464"/>
      <c r="M610" s="1464"/>
      <c r="N610" s="1464"/>
      <c r="O610" s="1464"/>
      <c r="P610" s="1464"/>
      <c r="Q610" s="1464"/>
      <c r="R610" s="1464"/>
      <c r="S610" s="1464"/>
      <c r="T610" s="1464"/>
      <c r="U610" s="1464"/>
      <c r="V610" s="1464"/>
      <c r="W610" s="1464"/>
      <c r="X610" s="1464"/>
      <c r="Y610" s="1464"/>
      <c r="Z610" s="1464"/>
      <c r="AA610" s="1464"/>
      <c r="AB610" s="1464"/>
    </row>
    <row r="611">
      <c r="A611" s="1464"/>
      <c r="B611" s="1464"/>
      <c r="C611" s="1464"/>
      <c r="D611" s="1464"/>
      <c r="E611" s="1464"/>
      <c r="F611" s="1464"/>
      <c r="G611" s="1464"/>
      <c r="H611" s="1464"/>
      <c r="I611" s="1464"/>
      <c r="J611" s="1464"/>
      <c r="K611" s="1464"/>
      <c r="L611" s="1464"/>
      <c r="M611" s="1464"/>
      <c r="N611" s="1464"/>
      <c r="O611" s="1464"/>
      <c r="P611" s="1464"/>
      <c r="Q611" s="1464"/>
      <c r="R611" s="1464"/>
      <c r="S611" s="1464"/>
      <c r="T611" s="1464"/>
      <c r="U611" s="1464"/>
      <c r="V611" s="1464"/>
      <c r="W611" s="1464"/>
      <c r="X611" s="1464"/>
      <c r="Y611" s="1464"/>
      <c r="Z611" s="1464"/>
      <c r="AA611" s="1464"/>
      <c r="AB611" s="1464"/>
    </row>
    <row r="612">
      <c r="A612" s="1464"/>
      <c r="B612" s="1464"/>
      <c r="C612" s="1464"/>
      <c r="D612" s="1464"/>
      <c r="E612" s="1464"/>
      <c r="F612" s="1464"/>
      <c r="G612" s="1464"/>
      <c r="H612" s="1464"/>
      <c r="I612" s="1464"/>
      <c r="J612" s="1464"/>
      <c r="K612" s="1464"/>
      <c r="L612" s="1464"/>
      <c r="M612" s="1464"/>
      <c r="N612" s="1464"/>
      <c r="O612" s="1464"/>
      <c r="P612" s="1464"/>
      <c r="Q612" s="1464"/>
      <c r="R612" s="1464"/>
      <c r="S612" s="1464"/>
      <c r="T612" s="1464"/>
      <c r="U612" s="1464"/>
      <c r="V612" s="1464"/>
      <c r="W612" s="1464"/>
      <c r="X612" s="1464"/>
      <c r="Y612" s="1464"/>
      <c r="Z612" s="1464"/>
      <c r="AA612" s="1464"/>
      <c r="AB612" s="1464"/>
    </row>
    <row r="613">
      <c r="A613" s="1464"/>
      <c r="B613" s="1464"/>
      <c r="C613" s="1464"/>
      <c r="D613" s="1464"/>
      <c r="E613" s="1464"/>
      <c r="F613" s="1464"/>
      <c r="G613" s="1464"/>
      <c r="H613" s="1464"/>
      <c r="I613" s="1464"/>
      <c r="J613" s="1464"/>
      <c r="K613" s="1464"/>
      <c r="L613" s="1464"/>
      <c r="M613" s="1464"/>
      <c r="N613" s="1464"/>
      <c r="O613" s="1464"/>
      <c r="P613" s="1464"/>
      <c r="Q613" s="1464"/>
      <c r="R613" s="1464"/>
      <c r="S613" s="1464"/>
      <c r="T613" s="1464"/>
      <c r="U613" s="1464"/>
      <c r="V613" s="1464"/>
      <c r="W613" s="1464"/>
      <c r="X613" s="1464"/>
      <c r="Y613" s="1464"/>
      <c r="Z613" s="1464"/>
      <c r="AA613" s="1464"/>
      <c r="AB613" s="1464"/>
    </row>
    <row r="614">
      <c r="A614" s="1464"/>
      <c r="B614" s="1464"/>
      <c r="C614" s="1464"/>
      <c r="D614" s="1464"/>
      <c r="E614" s="1464"/>
      <c r="F614" s="1464"/>
      <c r="G614" s="1464"/>
      <c r="H614" s="1464"/>
      <c r="I614" s="1464"/>
      <c r="J614" s="1464"/>
      <c r="K614" s="1464"/>
      <c r="L614" s="1464"/>
      <c r="M614" s="1464"/>
      <c r="N614" s="1464"/>
      <c r="O614" s="1464"/>
      <c r="P614" s="1464"/>
      <c r="Q614" s="1464"/>
      <c r="R614" s="1464"/>
      <c r="S614" s="1464"/>
      <c r="T614" s="1464"/>
      <c r="U614" s="1464"/>
      <c r="V614" s="1464"/>
      <c r="W614" s="1464"/>
      <c r="X614" s="1464"/>
      <c r="Y614" s="1464"/>
      <c r="Z614" s="1464"/>
      <c r="AA614" s="1464"/>
      <c r="AB614" s="1464"/>
    </row>
    <row r="615">
      <c r="A615" s="1464"/>
      <c r="B615" s="1464"/>
      <c r="C615" s="1464"/>
      <c r="D615" s="1464"/>
      <c r="E615" s="1464"/>
      <c r="F615" s="1464"/>
      <c r="G615" s="1464"/>
      <c r="H615" s="1464"/>
      <c r="I615" s="1464"/>
      <c r="J615" s="1464"/>
      <c r="K615" s="1464"/>
      <c r="L615" s="1464"/>
      <c r="M615" s="1464"/>
      <c r="N615" s="1464"/>
      <c r="O615" s="1464"/>
      <c r="P615" s="1464"/>
      <c r="Q615" s="1464"/>
      <c r="R615" s="1464"/>
      <c r="S615" s="1464"/>
      <c r="T615" s="1464"/>
      <c r="U615" s="1464"/>
      <c r="V615" s="1464"/>
      <c r="W615" s="1464"/>
      <c r="X615" s="1464"/>
      <c r="Y615" s="1464"/>
      <c r="Z615" s="1464"/>
      <c r="AA615" s="1464"/>
      <c r="AB615" s="1464"/>
    </row>
    <row r="616">
      <c r="A616" s="1464"/>
      <c r="B616" s="1464"/>
      <c r="C616" s="1464"/>
      <c r="D616" s="1464"/>
      <c r="E616" s="1464"/>
      <c r="F616" s="1464"/>
      <c r="G616" s="1464"/>
      <c r="H616" s="1464"/>
      <c r="I616" s="1464"/>
      <c r="J616" s="1464"/>
      <c r="K616" s="1464"/>
      <c r="L616" s="1464"/>
      <c r="M616" s="1464"/>
      <c r="N616" s="1464"/>
      <c r="O616" s="1464"/>
      <c r="P616" s="1464"/>
      <c r="Q616" s="1464"/>
      <c r="R616" s="1464"/>
      <c r="S616" s="1464"/>
      <c r="T616" s="1464"/>
      <c r="U616" s="1464"/>
      <c r="V616" s="1464"/>
      <c r="W616" s="1464"/>
      <c r="X616" s="1464"/>
      <c r="Y616" s="1464"/>
      <c r="Z616" s="1464"/>
      <c r="AA616" s="1464"/>
      <c r="AB616" s="1464"/>
    </row>
    <row r="617">
      <c r="A617" s="1464"/>
      <c r="B617" s="1464"/>
      <c r="C617" s="1464"/>
      <c r="D617" s="1464"/>
      <c r="E617" s="1464"/>
      <c r="F617" s="1464"/>
      <c r="G617" s="1464"/>
      <c r="H617" s="1464"/>
      <c r="I617" s="1464"/>
      <c r="J617" s="1464"/>
      <c r="K617" s="1464"/>
      <c r="L617" s="1464"/>
      <c r="M617" s="1464"/>
      <c r="N617" s="1464"/>
      <c r="O617" s="1464"/>
      <c r="P617" s="1464"/>
      <c r="Q617" s="1464"/>
      <c r="R617" s="1464"/>
      <c r="S617" s="1464"/>
      <c r="T617" s="1464"/>
      <c r="U617" s="1464"/>
      <c r="V617" s="1464"/>
      <c r="W617" s="1464"/>
      <c r="X617" s="1464"/>
      <c r="Y617" s="1464"/>
      <c r="Z617" s="1464"/>
      <c r="AA617" s="1464"/>
      <c r="AB617" s="1464"/>
    </row>
    <row r="618">
      <c r="A618" s="1464"/>
      <c r="B618" s="1464"/>
      <c r="C618" s="1464"/>
      <c r="D618" s="1464"/>
      <c r="E618" s="1464"/>
      <c r="F618" s="1464"/>
      <c r="G618" s="1464"/>
      <c r="H618" s="1464"/>
      <c r="I618" s="1464"/>
      <c r="J618" s="1464"/>
      <c r="K618" s="1464"/>
      <c r="L618" s="1464"/>
      <c r="M618" s="1464"/>
      <c r="N618" s="1464"/>
      <c r="O618" s="1464"/>
      <c r="P618" s="1464"/>
      <c r="Q618" s="1464"/>
      <c r="R618" s="1464"/>
      <c r="S618" s="1464"/>
      <c r="T618" s="1464"/>
      <c r="U618" s="1464"/>
      <c r="V618" s="1464"/>
      <c r="W618" s="1464"/>
      <c r="X618" s="1464"/>
      <c r="Y618" s="1464"/>
      <c r="Z618" s="1464"/>
      <c r="AA618" s="1464"/>
      <c r="AB618" s="1464"/>
    </row>
    <row r="619">
      <c r="A619" s="1464"/>
      <c r="B619" s="1464"/>
      <c r="C619" s="1464"/>
      <c r="D619" s="1464"/>
      <c r="E619" s="1464"/>
      <c r="F619" s="1464"/>
      <c r="G619" s="1464"/>
      <c r="H619" s="1464"/>
      <c r="I619" s="1464"/>
      <c r="J619" s="1464"/>
      <c r="K619" s="1464"/>
      <c r="L619" s="1464"/>
      <c r="M619" s="1464"/>
      <c r="N619" s="1464"/>
      <c r="O619" s="1464"/>
      <c r="P619" s="1464"/>
      <c r="Q619" s="1464"/>
      <c r="R619" s="1464"/>
      <c r="S619" s="1464"/>
      <c r="T619" s="1464"/>
      <c r="U619" s="1464"/>
      <c r="V619" s="1464"/>
      <c r="W619" s="1464"/>
      <c r="X619" s="1464"/>
      <c r="Y619" s="1464"/>
      <c r="Z619" s="1464"/>
      <c r="AA619" s="1464"/>
      <c r="AB619" s="1464"/>
    </row>
    <row r="620">
      <c r="A620" s="1464"/>
      <c r="B620" s="1464"/>
      <c r="C620" s="1464"/>
      <c r="D620" s="1464"/>
      <c r="E620" s="1464"/>
      <c r="F620" s="1464"/>
      <c r="G620" s="1464"/>
      <c r="H620" s="1464"/>
      <c r="I620" s="1464"/>
      <c r="J620" s="1464"/>
      <c r="K620" s="1464"/>
      <c r="L620" s="1464"/>
      <c r="M620" s="1464"/>
      <c r="N620" s="1464"/>
      <c r="O620" s="1464"/>
      <c r="P620" s="1464"/>
      <c r="Q620" s="1464"/>
      <c r="R620" s="1464"/>
      <c r="S620" s="1464"/>
      <c r="T620" s="1464"/>
      <c r="U620" s="1464"/>
      <c r="V620" s="1464"/>
      <c r="W620" s="1464"/>
      <c r="X620" s="1464"/>
      <c r="Y620" s="1464"/>
      <c r="Z620" s="1464"/>
      <c r="AA620" s="1464"/>
      <c r="AB620" s="1464"/>
    </row>
    <row r="621">
      <c r="A621" s="1464"/>
      <c r="B621" s="1464"/>
      <c r="C621" s="1464"/>
      <c r="D621" s="1464"/>
      <c r="E621" s="1464"/>
      <c r="F621" s="1464"/>
      <c r="G621" s="1464"/>
      <c r="H621" s="1464"/>
      <c r="I621" s="1464"/>
      <c r="J621" s="1464"/>
      <c r="K621" s="1464"/>
      <c r="L621" s="1464"/>
      <c r="M621" s="1464"/>
      <c r="N621" s="1464"/>
      <c r="O621" s="1464"/>
      <c r="P621" s="1464"/>
      <c r="Q621" s="1464"/>
      <c r="R621" s="1464"/>
      <c r="S621" s="1464"/>
      <c r="T621" s="1464"/>
      <c r="U621" s="1464"/>
      <c r="V621" s="1464"/>
      <c r="W621" s="1464"/>
      <c r="X621" s="1464"/>
      <c r="Y621" s="1464"/>
      <c r="Z621" s="1464"/>
      <c r="AA621" s="1464"/>
      <c r="AB621" s="1464"/>
    </row>
    <row r="622">
      <c r="A622" s="1464"/>
      <c r="B622" s="1464"/>
      <c r="C622" s="1464"/>
      <c r="D622" s="1464"/>
      <c r="E622" s="1464"/>
      <c r="F622" s="1464"/>
      <c r="G622" s="1464"/>
      <c r="H622" s="1464"/>
      <c r="I622" s="1464"/>
      <c r="J622" s="1464"/>
      <c r="K622" s="1464"/>
      <c r="L622" s="1464"/>
      <c r="M622" s="1464"/>
      <c r="N622" s="1464"/>
      <c r="O622" s="1464"/>
      <c r="P622" s="1464"/>
      <c r="Q622" s="1464"/>
      <c r="R622" s="1464"/>
      <c r="S622" s="1464"/>
      <c r="T622" s="1464"/>
      <c r="U622" s="1464"/>
      <c r="V622" s="1464"/>
      <c r="W622" s="1464"/>
      <c r="X622" s="1464"/>
      <c r="Y622" s="1464"/>
      <c r="Z622" s="1464"/>
      <c r="AA622" s="1464"/>
      <c r="AB622" s="1464"/>
    </row>
    <row r="623">
      <c r="A623" s="1464"/>
      <c r="B623" s="1464"/>
      <c r="C623" s="1464"/>
      <c r="D623" s="1464"/>
      <c r="E623" s="1464"/>
      <c r="F623" s="1464"/>
      <c r="G623" s="1464"/>
      <c r="H623" s="1464"/>
      <c r="I623" s="1464"/>
      <c r="J623" s="1464"/>
      <c r="K623" s="1464"/>
      <c r="L623" s="1464"/>
      <c r="M623" s="1464"/>
      <c r="N623" s="1464"/>
      <c r="O623" s="1464"/>
      <c r="P623" s="1464"/>
      <c r="Q623" s="1464"/>
      <c r="R623" s="1464"/>
      <c r="S623" s="1464"/>
      <c r="T623" s="1464"/>
      <c r="U623" s="1464"/>
      <c r="V623" s="1464"/>
      <c r="W623" s="1464"/>
      <c r="X623" s="1464"/>
      <c r="Y623" s="1464"/>
      <c r="Z623" s="1464"/>
      <c r="AA623" s="1464"/>
      <c r="AB623" s="1464"/>
    </row>
    <row r="624">
      <c r="A624" s="1464"/>
      <c r="B624" s="1464"/>
      <c r="C624" s="1464"/>
      <c r="D624" s="1464"/>
      <c r="E624" s="1464"/>
      <c r="F624" s="1464"/>
      <c r="G624" s="1464"/>
      <c r="H624" s="1464"/>
      <c r="I624" s="1464"/>
      <c r="J624" s="1464"/>
      <c r="K624" s="1464"/>
      <c r="L624" s="1464"/>
      <c r="M624" s="1464"/>
      <c r="N624" s="1464"/>
      <c r="O624" s="1464"/>
      <c r="P624" s="1464"/>
      <c r="Q624" s="1464"/>
      <c r="R624" s="1464"/>
      <c r="S624" s="1464"/>
      <c r="T624" s="1464"/>
      <c r="U624" s="1464"/>
      <c r="V624" s="1464"/>
      <c r="W624" s="1464"/>
      <c r="X624" s="1464"/>
      <c r="Y624" s="1464"/>
      <c r="Z624" s="1464"/>
      <c r="AA624" s="1464"/>
      <c r="AB624" s="1464"/>
    </row>
    <row r="625">
      <c r="A625" s="1464"/>
      <c r="B625" s="1464"/>
      <c r="C625" s="1464"/>
      <c r="D625" s="1464"/>
      <c r="E625" s="1464"/>
      <c r="F625" s="1464"/>
      <c r="G625" s="1464"/>
      <c r="H625" s="1464"/>
      <c r="I625" s="1464"/>
      <c r="J625" s="1464"/>
      <c r="K625" s="1464"/>
      <c r="L625" s="1464"/>
      <c r="M625" s="1464"/>
      <c r="N625" s="1464"/>
      <c r="O625" s="1464"/>
      <c r="P625" s="1464"/>
      <c r="Q625" s="1464"/>
      <c r="R625" s="1464"/>
      <c r="S625" s="1464"/>
      <c r="T625" s="1464"/>
      <c r="U625" s="1464"/>
      <c r="V625" s="1464"/>
      <c r="W625" s="1464"/>
      <c r="X625" s="1464"/>
      <c r="Y625" s="1464"/>
      <c r="Z625" s="1464"/>
      <c r="AA625" s="1464"/>
      <c r="AB625" s="1464"/>
    </row>
    <row r="626">
      <c r="A626" s="1464"/>
      <c r="B626" s="1464"/>
      <c r="C626" s="1464"/>
      <c r="D626" s="1464"/>
      <c r="E626" s="1464"/>
      <c r="F626" s="1464"/>
      <c r="G626" s="1464"/>
      <c r="H626" s="1464"/>
      <c r="I626" s="1464"/>
      <c r="J626" s="1464"/>
      <c r="K626" s="1464"/>
      <c r="L626" s="1464"/>
      <c r="M626" s="1464"/>
      <c r="N626" s="1464"/>
      <c r="O626" s="1464"/>
      <c r="P626" s="1464"/>
      <c r="Q626" s="1464"/>
      <c r="R626" s="1464"/>
      <c r="S626" s="1464"/>
      <c r="T626" s="1464"/>
      <c r="U626" s="1464"/>
      <c r="V626" s="1464"/>
      <c r="W626" s="1464"/>
      <c r="X626" s="1464"/>
      <c r="Y626" s="1464"/>
      <c r="Z626" s="1464"/>
      <c r="AA626" s="1464"/>
      <c r="AB626" s="1464"/>
    </row>
    <row r="627">
      <c r="A627" s="1464"/>
      <c r="B627" s="1464"/>
      <c r="C627" s="1464"/>
      <c r="D627" s="1464"/>
      <c r="E627" s="1464"/>
      <c r="F627" s="1464"/>
      <c r="G627" s="1464"/>
      <c r="H627" s="1464"/>
      <c r="I627" s="1464"/>
      <c r="J627" s="1464"/>
      <c r="K627" s="1464"/>
      <c r="L627" s="1464"/>
      <c r="M627" s="1464"/>
      <c r="N627" s="1464"/>
      <c r="O627" s="1464"/>
      <c r="P627" s="1464"/>
      <c r="Q627" s="1464"/>
      <c r="R627" s="1464"/>
      <c r="S627" s="1464"/>
      <c r="T627" s="1464"/>
      <c r="U627" s="1464"/>
      <c r="V627" s="1464"/>
      <c r="W627" s="1464"/>
      <c r="X627" s="1464"/>
      <c r="Y627" s="1464"/>
      <c r="Z627" s="1464"/>
      <c r="AA627" s="1464"/>
      <c r="AB627" s="1464"/>
    </row>
    <row r="628">
      <c r="A628" s="1464"/>
      <c r="B628" s="1464"/>
      <c r="C628" s="1464"/>
      <c r="D628" s="1464"/>
      <c r="E628" s="1464"/>
      <c r="F628" s="1464"/>
      <c r="G628" s="1464"/>
      <c r="H628" s="1464"/>
      <c r="I628" s="1464"/>
      <c r="J628" s="1464"/>
      <c r="K628" s="1464"/>
      <c r="L628" s="1464"/>
      <c r="M628" s="1464"/>
      <c r="N628" s="1464"/>
      <c r="O628" s="1464"/>
      <c r="P628" s="1464"/>
      <c r="Q628" s="1464"/>
      <c r="R628" s="1464"/>
      <c r="S628" s="1464"/>
      <c r="T628" s="1464"/>
      <c r="U628" s="1464"/>
      <c r="V628" s="1464"/>
      <c r="W628" s="1464"/>
      <c r="X628" s="1464"/>
      <c r="Y628" s="1464"/>
      <c r="Z628" s="1464"/>
      <c r="AA628" s="1464"/>
      <c r="AB628" s="1464"/>
    </row>
    <row r="629">
      <c r="A629" s="1464"/>
      <c r="B629" s="1464"/>
      <c r="C629" s="1464"/>
      <c r="D629" s="1464"/>
      <c r="E629" s="1464"/>
      <c r="F629" s="1464"/>
      <c r="G629" s="1464"/>
      <c r="H629" s="1464"/>
      <c r="I629" s="1464"/>
      <c r="J629" s="1464"/>
      <c r="K629" s="1464"/>
      <c r="L629" s="1464"/>
      <c r="M629" s="1464"/>
      <c r="N629" s="1464"/>
      <c r="O629" s="1464"/>
      <c r="P629" s="1464"/>
      <c r="Q629" s="1464"/>
      <c r="R629" s="1464"/>
      <c r="S629" s="1464"/>
      <c r="T629" s="1464"/>
      <c r="U629" s="1464"/>
      <c r="V629" s="1464"/>
      <c r="W629" s="1464"/>
      <c r="X629" s="1464"/>
      <c r="Y629" s="1464"/>
      <c r="Z629" s="1464"/>
      <c r="AA629" s="1464"/>
      <c r="AB629" s="1464"/>
    </row>
    <row r="630">
      <c r="A630" s="1464"/>
      <c r="B630" s="1464"/>
      <c r="C630" s="1464"/>
      <c r="D630" s="1464"/>
      <c r="E630" s="1464"/>
      <c r="F630" s="1464"/>
      <c r="G630" s="1464"/>
      <c r="H630" s="1464"/>
      <c r="I630" s="1464"/>
      <c r="J630" s="1464"/>
      <c r="K630" s="1464"/>
      <c r="L630" s="1464"/>
      <c r="M630" s="1464"/>
      <c r="N630" s="1464"/>
      <c r="O630" s="1464"/>
      <c r="P630" s="1464"/>
      <c r="Q630" s="1464"/>
      <c r="R630" s="1464"/>
      <c r="S630" s="1464"/>
      <c r="T630" s="1464"/>
      <c r="U630" s="1464"/>
      <c r="V630" s="1464"/>
      <c r="W630" s="1464"/>
      <c r="X630" s="1464"/>
      <c r="Y630" s="1464"/>
      <c r="Z630" s="1464"/>
      <c r="AA630" s="1464"/>
      <c r="AB630" s="1464"/>
    </row>
    <row r="631">
      <c r="A631" s="1464"/>
      <c r="B631" s="1464"/>
      <c r="C631" s="1464"/>
      <c r="D631" s="1464"/>
      <c r="E631" s="1464"/>
      <c r="F631" s="1464"/>
      <c r="G631" s="1464"/>
      <c r="H631" s="1464"/>
      <c r="I631" s="1464"/>
      <c r="J631" s="1464"/>
      <c r="K631" s="1464"/>
      <c r="L631" s="1464"/>
      <c r="M631" s="1464"/>
      <c r="N631" s="1464"/>
      <c r="O631" s="1464"/>
      <c r="P631" s="1464"/>
      <c r="Q631" s="1464"/>
      <c r="R631" s="1464"/>
      <c r="S631" s="1464"/>
      <c r="T631" s="1464"/>
      <c r="U631" s="1464"/>
      <c r="V631" s="1464"/>
      <c r="W631" s="1464"/>
      <c r="X631" s="1464"/>
      <c r="Y631" s="1464"/>
      <c r="Z631" s="1464"/>
      <c r="AA631" s="1464"/>
      <c r="AB631" s="1464"/>
    </row>
    <row r="632">
      <c r="A632" s="1464"/>
      <c r="B632" s="1464"/>
      <c r="C632" s="1464"/>
      <c r="D632" s="1464"/>
      <c r="E632" s="1464"/>
      <c r="F632" s="1464"/>
      <c r="G632" s="1464"/>
      <c r="H632" s="1464"/>
      <c r="I632" s="1464"/>
      <c r="J632" s="1464"/>
      <c r="K632" s="1464"/>
      <c r="L632" s="1464"/>
      <c r="M632" s="1464"/>
      <c r="N632" s="1464"/>
      <c r="O632" s="1464"/>
      <c r="P632" s="1464"/>
      <c r="Q632" s="1464"/>
      <c r="R632" s="1464"/>
      <c r="S632" s="1464"/>
      <c r="T632" s="1464"/>
      <c r="U632" s="1464"/>
      <c r="V632" s="1464"/>
      <c r="W632" s="1464"/>
      <c r="X632" s="1464"/>
      <c r="Y632" s="1464"/>
      <c r="Z632" s="1464"/>
      <c r="AA632" s="1464"/>
      <c r="AB632" s="1464"/>
    </row>
    <row r="633">
      <c r="A633" s="1464"/>
      <c r="B633" s="1464"/>
      <c r="C633" s="1464"/>
      <c r="D633" s="1464"/>
      <c r="E633" s="1464"/>
      <c r="F633" s="1464"/>
      <c r="G633" s="1464"/>
      <c r="H633" s="1464"/>
      <c r="I633" s="1464"/>
      <c r="J633" s="1464"/>
      <c r="K633" s="1464"/>
      <c r="L633" s="1464"/>
      <c r="M633" s="1464"/>
      <c r="N633" s="1464"/>
      <c r="O633" s="1464"/>
      <c r="P633" s="1464"/>
      <c r="Q633" s="1464"/>
      <c r="R633" s="1464"/>
      <c r="S633" s="1464"/>
      <c r="T633" s="1464"/>
      <c r="U633" s="1464"/>
      <c r="V633" s="1464"/>
      <c r="W633" s="1464"/>
      <c r="X633" s="1464"/>
      <c r="Y633" s="1464"/>
      <c r="Z633" s="1464"/>
      <c r="AA633" s="1464"/>
      <c r="AB633" s="1464"/>
    </row>
    <row r="634">
      <c r="A634" s="1464"/>
      <c r="B634" s="1464"/>
      <c r="C634" s="1464"/>
      <c r="D634" s="1464"/>
      <c r="E634" s="1464"/>
      <c r="F634" s="1464"/>
      <c r="G634" s="1464"/>
      <c r="H634" s="1464"/>
      <c r="I634" s="1464"/>
      <c r="J634" s="1464"/>
      <c r="K634" s="1464"/>
      <c r="L634" s="1464"/>
      <c r="M634" s="1464"/>
      <c r="N634" s="1464"/>
      <c r="O634" s="1464"/>
      <c r="P634" s="1464"/>
      <c r="Q634" s="1464"/>
      <c r="R634" s="1464"/>
      <c r="S634" s="1464"/>
      <c r="T634" s="1464"/>
      <c r="U634" s="1464"/>
      <c r="V634" s="1464"/>
      <c r="W634" s="1464"/>
      <c r="X634" s="1464"/>
      <c r="Y634" s="1464"/>
      <c r="Z634" s="1464"/>
      <c r="AA634" s="1464"/>
      <c r="AB634" s="1464"/>
    </row>
    <row r="635">
      <c r="A635" s="1464"/>
      <c r="B635" s="1464"/>
      <c r="C635" s="1464"/>
      <c r="D635" s="1464"/>
      <c r="E635" s="1464"/>
      <c r="F635" s="1464"/>
      <c r="G635" s="1464"/>
      <c r="H635" s="1464"/>
      <c r="I635" s="1464"/>
      <c r="J635" s="1464"/>
      <c r="K635" s="1464"/>
      <c r="L635" s="1464"/>
      <c r="M635" s="1464"/>
      <c r="N635" s="1464"/>
      <c r="O635" s="1464"/>
      <c r="P635" s="1464"/>
      <c r="Q635" s="1464"/>
      <c r="R635" s="1464"/>
      <c r="S635" s="1464"/>
      <c r="T635" s="1464"/>
      <c r="U635" s="1464"/>
      <c r="V635" s="1464"/>
      <c r="W635" s="1464"/>
      <c r="X635" s="1464"/>
      <c r="Y635" s="1464"/>
      <c r="Z635" s="1464"/>
      <c r="AA635" s="1464"/>
      <c r="AB635" s="1464"/>
    </row>
    <row r="636">
      <c r="A636" s="1464"/>
      <c r="B636" s="1464"/>
      <c r="C636" s="1464"/>
      <c r="D636" s="1464"/>
      <c r="E636" s="1464"/>
      <c r="F636" s="1464"/>
      <c r="G636" s="1464"/>
      <c r="H636" s="1464"/>
      <c r="I636" s="1464"/>
      <c r="J636" s="1464"/>
      <c r="K636" s="1464"/>
      <c r="L636" s="1464"/>
      <c r="M636" s="1464"/>
      <c r="N636" s="1464"/>
      <c r="O636" s="1464"/>
      <c r="P636" s="1464"/>
      <c r="Q636" s="1464"/>
      <c r="R636" s="1464"/>
      <c r="S636" s="1464"/>
      <c r="T636" s="1464"/>
      <c r="U636" s="1464"/>
      <c r="V636" s="1464"/>
      <c r="W636" s="1464"/>
      <c r="X636" s="1464"/>
      <c r="Y636" s="1464"/>
      <c r="Z636" s="1464"/>
      <c r="AA636" s="1464"/>
      <c r="AB636" s="1464"/>
    </row>
    <row r="637">
      <c r="A637" s="1464"/>
      <c r="B637" s="1464"/>
      <c r="C637" s="1464"/>
      <c r="D637" s="1464"/>
      <c r="E637" s="1464"/>
      <c r="F637" s="1464"/>
      <c r="G637" s="1464"/>
      <c r="H637" s="1464"/>
      <c r="I637" s="1464"/>
      <c r="J637" s="1464"/>
      <c r="K637" s="1464"/>
      <c r="L637" s="1464"/>
      <c r="M637" s="1464"/>
      <c r="N637" s="1464"/>
      <c r="O637" s="1464"/>
      <c r="P637" s="1464"/>
      <c r="Q637" s="1464"/>
      <c r="R637" s="1464"/>
      <c r="S637" s="1464"/>
      <c r="T637" s="1464"/>
      <c r="U637" s="1464"/>
      <c r="V637" s="1464"/>
      <c r="W637" s="1464"/>
      <c r="X637" s="1464"/>
      <c r="Y637" s="1464"/>
      <c r="Z637" s="1464"/>
      <c r="AA637" s="1464"/>
      <c r="AB637" s="1464"/>
    </row>
    <row r="638">
      <c r="A638" s="1464"/>
      <c r="B638" s="1464"/>
      <c r="C638" s="1464"/>
      <c r="D638" s="1464"/>
      <c r="E638" s="1464"/>
      <c r="F638" s="1464"/>
      <c r="G638" s="1464"/>
      <c r="H638" s="1464"/>
      <c r="I638" s="1464"/>
      <c r="J638" s="1464"/>
      <c r="K638" s="1464"/>
      <c r="L638" s="1464"/>
      <c r="M638" s="1464"/>
      <c r="N638" s="1464"/>
      <c r="O638" s="1464"/>
      <c r="P638" s="1464"/>
      <c r="Q638" s="1464"/>
      <c r="R638" s="1464"/>
      <c r="S638" s="1464"/>
      <c r="T638" s="1464"/>
      <c r="U638" s="1464"/>
      <c r="V638" s="1464"/>
      <c r="W638" s="1464"/>
      <c r="X638" s="1464"/>
      <c r="Y638" s="1464"/>
      <c r="Z638" s="1464"/>
      <c r="AA638" s="1464"/>
      <c r="AB638" s="1464"/>
    </row>
    <row r="639">
      <c r="A639" s="1464"/>
      <c r="B639" s="1464"/>
      <c r="C639" s="1464"/>
      <c r="D639" s="1464"/>
      <c r="E639" s="1464"/>
      <c r="F639" s="1464"/>
      <c r="G639" s="1464"/>
      <c r="H639" s="1464"/>
      <c r="I639" s="1464"/>
      <c r="J639" s="1464"/>
      <c r="K639" s="1464"/>
      <c r="L639" s="1464"/>
      <c r="M639" s="1464"/>
      <c r="N639" s="1464"/>
      <c r="O639" s="1464"/>
      <c r="P639" s="1464"/>
      <c r="Q639" s="1464"/>
      <c r="R639" s="1464"/>
      <c r="S639" s="1464"/>
      <c r="T639" s="1464"/>
      <c r="U639" s="1464"/>
      <c r="V639" s="1464"/>
      <c r="W639" s="1464"/>
      <c r="X639" s="1464"/>
      <c r="Y639" s="1464"/>
      <c r="Z639" s="1464"/>
      <c r="AA639" s="1464"/>
      <c r="AB639" s="1464"/>
    </row>
    <row r="640">
      <c r="A640" s="1464"/>
      <c r="B640" s="1464"/>
      <c r="C640" s="1464"/>
      <c r="D640" s="1464"/>
      <c r="E640" s="1464"/>
      <c r="F640" s="1464"/>
      <c r="G640" s="1464"/>
      <c r="H640" s="1464"/>
      <c r="I640" s="1464"/>
      <c r="J640" s="1464"/>
      <c r="K640" s="1464"/>
      <c r="L640" s="1464"/>
      <c r="M640" s="1464"/>
      <c r="N640" s="1464"/>
      <c r="O640" s="1464"/>
      <c r="P640" s="1464"/>
      <c r="Q640" s="1464"/>
      <c r="R640" s="1464"/>
      <c r="S640" s="1464"/>
      <c r="T640" s="1464"/>
      <c r="U640" s="1464"/>
      <c r="V640" s="1464"/>
      <c r="W640" s="1464"/>
      <c r="X640" s="1464"/>
      <c r="Y640" s="1464"/>
      <c r="Z640" s="1464"/>
      <c r="AA640" s="1464"/>
      <c r="AB640" s="1464"/>
    </row>
    <row r="641">
      <c r="A641" s="1464"/>
      <c r="B641" s="1464"/>
      <c r="C641" s="1464"/>
      <c r="D641" s="1464"/>
      <c r="E641" s="1464"/>
      <c r="F641" s="1464"/>
      <c r="G641" s="1464"/>
      <c r="H641" s="1464"/>
      <c r="I641" s="1464"/>
      <c r="J641" s="1464"/>
      <c r="K641" s="1464"/>
      <c r="L641" s="1464"/>
      <c r="M641" s="1464"/>
      <c r="N641" s="1464"/>
      <c r="O641" s="1464"/>
      <c r="P641" s="1464"/>
      <c r="Q641" s="1464"/>
      <c r="R641" s="1464"/>
      <c r="S641" s="1464"/>
      <c r="T641" s="1464"/>
      <c r="U641" s="1464"/>
      <c r="V641" s="1464"/>
      <c r="W641" s="1464"/>
      <c r="X641" s="1464"/>
      <c r="Y641" s="1464"/>
      <c r="Z641" s="1464"/>
      <c r="AA641" s="1464"/>
      <c r="AB641" s="1464"/>
    </row>
    <row r="642">
      <c r="A642" s="1464"/>
      <c r="B642" s="1464"/>
      <c r="C642" s="1464"/>
      <c r="D642" s="1464"/>
      <c r="E642" s="1464"/>
      <c r="F642" s="1464"/>
      <c r="G642" s="1464"/>
      <c r="H642" s="1464"/>
      <c r="I642" s="1464"/>
      <c r="J642" s="1464"/>
      <c r="K642" s="1464"/>
      <c r="L642" s="1464"/>
      <c r="M642" s="1464"/>
      <c r="N642" s="1464"/>
      <c r="O642" s="1464"/>
      <c r="P642" s="1464"/>
      <c r="Q642" s="1464"/>
      <c r="R642" s="1464"/>
      <c r="S642" s="1464"/>
      <c r="T642" s="1464"/>
      <c r="U642" s="1464"/>
      <c r="V642" s="1464"/>
      <c r="W642" s="1464"/>
      <c r="X642" s="1464"/>
      <c r="Y642" s="1464"/>
      <c r="Z642" s="1464"/>
      <c r="AA642" s="1464"/>
      <c r="AB642" s="1464"/>
    </row>
    <row r="643">
      <c r="A643" s="1464"/>
      <c r="B643" s="1464"/>
      <c r="C643" s="1464"/>
      <c r="D643" s="1464"/>
      <c r="E643" s="1464"/>
      <c r="F643" s="1464"/>
      <c r="G643" s="1464"/>
      <c r="H643" s="1464"/>
      <c r="I643" s="1464"/>
      <c r="J643" s="1464"/>
      <c r="K643" s="1464"/>
      <c r="L643" s="1464"/>
      <c r="M643" s="1464"/>
      <c r="N643" s="1464"/>
      <c r="O643" s="1464"/>
      <c r="P643" s="1464"/>
      <c r="Q643" s="1464"/>
      <c r="R643" s="1464"/>
      <c r="S643" s="1464"/>
      <c r="T643" s="1464"/>
      <c r="U643" s="1464"/>
      <c r="V643" s="1464"/>
      <c r="W643" s="1464"/>
      <c r="X643" s="1464"/>
      <c r="Y643" s="1464"/>
      <c r="Z643" s="1464"/>
      <c r="AA643" s="1464"/>
      <c r="AB643" s="1464"/>
    </row>
    <row r="644">
      <c r="A644" s="1464"/>
      <c r="B644" s="1464"/>
      <c r="C644" s="1464"/>
      <c r="D644" s="1464"/>
      <c r="E644" s="1464"/>
      <c r="F644" s="1464"/>
      <c r="G644" s="1464"/>
      <c r="H644" s="1464"/>
      <c r="I644" s="1464"/>
      <c r="J644" s="1464"/>
      <c r="K644" s="1464"/>
      <c r="L644" s="1464"/>
      <c r="M644" s="1464"/>
      <c r="N644" s="1464"/>
      <c r="O644" s="1464"/>
      <c r="P644" s="1464"/>
      <c r="Q644" s="1464"/>
      <c r="R644" s="1464"/>
      <c r="S644" s="1464"/>
      <c r="T644" s="1464"/>
      <c r="U644" s="1464"/>
      <c r="V644" s="1464"/>
      <c r="W644" s="1464"/>
      <c r="X644" s="1464"/>
      <c r="Y644" s="1464"/>
      <c r="Z644" s="1464"/>
      <c r="AA644" s="1464"/>
      <c r="AB644" s="1464"/>
    </row>
    <row r="645">
      <c r="A645" s="1464"/>
      <c r="B645" s="1464"/>
      <c r="C645" s="1464"/>
      <c r="D645" s="1464"/>
      <c r="E645" s="1464"/>
      <c r="F645" s="1464"/>
      <c r="G645" s="1464"/>
      <c r="H645" s="1464"/>
      <c r="I645" s="1464"/>
      <c r="J645" s="1464"/>
      <c r="K645" s="1464"/>
      <c r="L645" s="1464"/>
      <c r="M645" s="1464"/>
      <c r="N645" s="1464"/>
      <c r="O645" s="1464"/>
      <c r="P645" s="1464"/>
      <c r="Q645" s="1464"/>
      <c r="R645" s="1464"/>
      <c r="S645" s="1464"/>
      <c r="T645" s="1464"/>
      <c r="U645" s="1464"/>
      <c r="V645" s="1464"/>
      <c r="W645" s="1464"/>
      <c r="X645" s="1464"/>
      <c r="Y645" s="1464"/>
      <c r="Z645" s="1464"/>
      <c r="AA645" s="1464"/>
      <c r="AB645" s="1464"/>
    </row>
    <row r="646">
      <c r="A646" s="1464"/>
      <c r="B646" s="1464"/>
      <c r="C646" s="1464"/>
      <c r="D646" s="1464"/>
      <c r="E646" s="1464"/>
      <c r="F646" s="1464"/>
      <c r="G646" s="1464"/>
      <c r="H646" s="1464"/>
      <c r="I646" s="1464"/>
      <c r="J646" s="1464"/>
      <c r="K646" s="1464"/>
      <c r="L646" s="1464"/>
      <c r="M646" s="1464"/>
      <c r="N646" s="1464"/>
      <c r="O646" s="1464"/>
      <c r="P646" s="1464"/>
      <c r="Q646" s="1464"/>
      <c r="R646" s="1464"/>
      <c r="S646" s="1464"/>
      <c r="T646" s="1464"/>
      <c r="U646" s="1464"/>
      <c r="V646" s="1464"/>
      <c r="W646" s="1464"/>
      <c r="X646" s="1464"/>
      <c r="Y646" s="1464"/>
      <c r="Z646" s="1464"/>
      <c r="AA646" s="1464"/>
      <c r="AB646" s="1464"/>
    </row>
    <row r="647">
      <c r="A647" s="1464"/>
      <c r="B647" s="1464"/>
      <c r="C647" s="1464"/>
      <c r="D647" s="1464"/>
      <c r="E647" s="1464"/>
      <c r="F647" s="1464"/>
      <c r="G647" s="1464"/>
      <c r="H647" s="1464"/>
      <c r="I647" s="1464"/>
      <c r="J647" s="1464"/>
      <c r="K647" s="1464"/>
      <c r="L647" s="1464"/>
      <c r="M647" s="1464"/>
      <c r="N647" s="1464"/>
      <c r="O647" s="1464"/>
      <c r="P647" s="1464"/>
      <c r="Q647" s="1464"/>
      <c r="R647" s="1464"/>
      <c r="S647" s="1464"/>
      <c r="T647" s="1464"/>
      <c r="U647" s="1464"/>
      <c r="V647" s="1464"/>
      <c r="W647" s="1464"/>
      <c r="X647" s="1464"/>
      <c r="Y647" s="1464"/>
      <c r="Z647" s="1464"/>
      <c r="AA647" s="1464"/>
      <c r="AB647" s="1464"/>
    </row>
    <row r="648">
      <c r="A648" s="1464"/>
      <c r="B648" s="1464"/>
      <c r="C648" s="1464"/>
      <c r="D648" s="1464"/>
      <c r="E648" s="1464"/>
      <c r="F648" s="1464"/>
      <c r="G648" s="1464"/>
      <c r="H648" s="1464"/>
      <c r="I648" s="1464"/>
      <c r="J648" s="1464"/>
      <c r="K648" s="1464"/>
      <c r="L648" s="1464"/>
      <c r="M648" s="1464"/>
      <c r="N648" s="1464"/>
      <c r="O648" s="1464"/>
      <c r="P648" s="1464"/>
      <c r="Q648" s="1464"/>
      <c r="R648" s="1464"/>
      <c r="S648" s="1464"/>
      <c r="T648" s="1464"/>
      <c r="U648" s="1464"/>
      <c r="V648" s="1464"/>
      <c r="W648" s="1464"/>
      <c r="X648" s="1464"/>
      <c r="Y648" s="1464"/>
      <c r="Z648" s="1464"/>
      <c r="AA648" s="1464"/>
      <c r="AB648" s="1464"/>
    </row>
    <row r="649">
      <c r="A649" s="1464"/>
      <c r="B649" s="1464"/>
      <c r="C649" s="1464"/>
      <c r="D649" s="1464"/>
      <c r="E649" s="1464"/>
      <c r="F649" s="1464"/>
      <c r="G649" s="1464"/>
      <c r="H649" s="1464"/>
      <c r="I649" s="1464"/>
      <c r="J649" s="1464"/>
      <c r="K649" s="1464"/>
      <c r="L649" s="1464"/>
      <c r="M649" s="1464"/>
      <c r="N649" s="1464"/>
      <c r="O649" s="1464"/>
      <c r="P649" s="1464"/>
      <c r="Q649" s="1464"/>
      <c r="R649" s="1464"/>
      <c r="S649" s="1464"/>
      <c r="T649" s="1464"/>
      <c r="U649" s="1464"/>
      <c r="V649" s="1464"/>
      <c r="W649" s="1464"/>
      <c r="X649" s="1464"/>
      <c r="Y649" s="1464"/>
      <c r="Z649" s="1464"/>
      <c r="AA649" s="1464"/>
      <c r="AB649" s="1464"/>
    </row>
    <row r="650">
      <c r="A650" s="1464"/>
      <c r="B650" s="1464"/>
      <c r="C650" s="1464"/>
      <c r="D650" s="1464"/>
      <c r="E650" s="1464"/>
      <c r="F650" s="1464"/>
      <c r="G650" s="1464"/>
      <c r="H650" s="1464"/>
      <c r="I650" s="1464"/>
      <c r="J650" s="1464"/>
      <c r="K650" s="1464"/>
      <c r="L650" s="1464"/>
      <c r="M650" s="1464"/>
      <c r="N650" s="1464"/>
      <c r="O650" s="1464"/>
      <c r="P650" s="1464"/>
      <c r="Q650" s="1464"/>
      <c r="R650" s="1464"/>
      <c r="S650" s="1464"/>
      <c r="T650" s="1464"/>
      <c r="U650" s="1464"/>
      <c r="V650" s="1464"/>
      <c r="W650" s="1464"/>
      <c r="X650" s="1464"/>
      <c r="Y650" s="1464"/>
      <c r="Z650" s="1464"/>
      <c r="AA650" s="1464"/>
      <c r="AB650" s="1464"/>
    </row>
    <row r="651">
      <c r="A651" s="1464"/>
      <c r="B651" s="1464"/>
      <c r="C651" s="1464"/>
      <c r="D651" s="1464"/>
      <c r="E651" s="1464"/>
      <c r="F651" s="1464"/>
      <c r="G651" s="1464"/>
      <c r="H651" s="1464"/>
      <c r="I651" s="1464"/>
      <c r="J651" s="1464"/>
      <c r="K651" s="1464"/>
      <c r="L651" s="1464"/>
      <c r="M651" s="1464"/>
      <c r="N651" s="1464"/>
      <c r="O651" s="1464"/>
      <c r="P651" s="1464"/>
      <c r="Q651" s="1464"/>
      <c r="R651" s="1464"/>
      <c r="S651" s="1464"/>
      <c r="T651" s="1464"/>
      <c r="U651" s="1464"/>
      <c r="V651" s="1464"/>
      <c r="W651" s="1464"/>
      <c r="X651" s="1464"/>
      <c r="Y651" s="1464"/>
      <c r="Z651" s="1464"/>
      <c r="AA651" s="1464"/>
      <c r="AB651" s="1464"/>
    </row>
    <row r="652">
      <c r="A652" s="1464"/>
      <c r="B652" s="1464"/>
      <c r="C652" s="1464"/>
      <c r="D652" s="1464"/>
      <c r="E652" s="1464"/>
      <c r="F652" s="1464"/>
      <c r="G652" s="1464"/>
      <c r="H652" s="1464"/>
      <c r="I652" s="1464"/>
      <c r="J652" s="1464"/>
      <c r="K652" s="1464"/>
      <c r="L652" s="1464"/>
      <c r="M652" s="1464"/>
      <c r="N652" s="1464"/>
      <c r="O652" s="1464"/>
      <c r="P652" s="1464"/>
      <c r="Q652" s="1464"/>
      <c r="R652" s="1464"/>
      <c r="S652" s="1464"/>
      <c r="T652" s="1464"/>
      <c r="U652" s="1464"/>
      <c r="V652" s="1464"/>
      <c r="W652" s="1464"/>
      <c r="X652" s="1464"/>
      <c r="Y652" s="1464"/>
      <c r="Z652" s="1464"/>
      <c r="AA652" s="1464"/>
      <c r="AB652" s="1464"/>
    </row>
    <row r="653">
      <c r="A653" s="1464"/>
      <c r="B653" s="1464"/>
      <c r="C653" s="1464"/>
      <c r="D653" s="1464"/>
      <c r="E653" s="1464"/>
      <c r="F653" s="1464"/>
      <c r="G653" s="1464"/>
      <c r="H653" s="1464"/>
      <c r="I653" s="1464"/>
      <c r="J653" s="1464"/>
      <c r="K653" s="1464"/>
      <c r="L653" s="1464"/>
      <c r="M653" s="1464"/>
      <c r="N653" s="1464"/>
      <c r="O653" s="1464"/>
      <c r="P653" s="1464"/>
      <c r="Q653" s="1464"/>
      <c r="R653" s="1464"/>
      <c r="S653" s="1464"/>
      <c r="T653" s="1464"/>
      <c r="U653" s="1464"/>
      <c r="V653" s="1464"/>
      <c r="W653" s="1464"/>
      <c r="X653" s="1464"/>
      <c r="Y653" s="1464"/>
      <c r="Z653" s="1464"/>
      <c r="AA653" s="1464"/>
      <c r="AB653" s="1464"/>
    </row>
    <row r="654">
      <c r="A654" s="1464"/>
      <c r="B654" s="1464"/>
      <c r="C654" s="1464"/>
      <c r="D654" s="1464"/>
      <c r="E654" s="1464"/>
      <c r="F654" s="1464"/>
      <c r="G654" s="1464"/>
      <c r="H654" s="1464"/>
      <c r="I654" s="1464"/>
      <c r="J654" s="1464"/>
      <c r="K654" s="1464"/>
      <c r="L654" s="1464"/>
      <c r="M654" s="1464"/>
      <c r="N654" s="1464"/>
      <c r="O654" s="1464"/>
      <c r="P654" s="1464"/>
      <c r="Q654" s="1464"/>
      <c r="R654" s="1464"/>
      <c r="S654" s="1464"/>
      <c r="T654" s="1464"/>
      <c r="U654" s="1464"/>
      <c r="V654" s="1464"/>
      <c r="W654" s="1464"/>
      <c r="X654" s="1464"/>
      <c r="Y654" s="1464"/>
      <c r="Z654" s="1464"/>
      <c r="AA654" s="1464"/>
      <c r="AB654" s="1464"/>
    </row>
    <row r="655">
      <c r="A655" s="1464"/>
      <c r="B655" s="1464"/>
      <c r="C655" s="1464"/>
      <c r="D655" s="1464"/>
      <c r="E655" s="1464"/>
      <c r="F655" s="1464"/>
      <c r="G655" s="1464"/>
      <c r="H655" s="1464"/>
      <c r="I655" s="1464"/>
      <c r="J655" s="1464"/>
      <c r="K655" s="1464"/>
      <c r="L655" s="1464"/>
      <c r="M655" s="1464"/>
      <c r="N655" s="1464"/>
      <c r="O655" s="1464"/>
      <c r="P655" s="1464"/>
      <c r="Q655" s="1464"/>
      <c r="R655" s="1464"/>
      <c r="S655" s="1464"/>
      <c r="T655" s="1464"/>
      <c r="U655" s="1464"/>
      <c r="V655" s="1464"/>
      <c r="W655" s="1464"/>
      <c r="X655" s="1464"/>
      <c r="Y655" s="1464"/>
      <c r="Z655" s="1464"/>
      <c r="AA655" s="1464"/>
      <c r="AB655" s="1464"/>
    </row>
    <row r="656">
      <c r="A656" s="1464"/>
      <c r="B656" s="1464"/>
      <c r="C656" s="1464"/>
      <c r="D656" s="1464"/>
      <c r="E656" s="1464"/>
      <c r="F656" s="1464"/>
      <c r="G656" s="1464"/>
      <c r="H656" s="1464"/>
      <c r="I656" s="1464"/>
      <c r="J656" s="1464"/>
      <c r="K656" s="1464"/>
      <c r="L656" s="1464"/>
      <c r="M656" s="1464"/>
      <c r="N656" s="1464"/>
      <c r="O656" s="1464"/>
      <c r="P656" s="1464"/>
      <c r="Q656" s="1464"/>
      <c r="R656" s="1464"/>
      <c r="S656" s="1464"/>
      <c r="T656" s="1464"/>
      <c r="U656" s="1464"/>
      <c r="V656" s="1464"/>
      <c r="W656" s="1464"/>
      <c r="X656" s="1464"/>
      <c r="Y656" s="1464"/>
      <c r="Z656" s="1464"/>
      <c r="AA656" s="1464"/>
      <c r="AB656" s="1464"/>
    </row>
    <row r="657">
      <c r="A657" s="1464"/>
      <c r="B657" s="1464"/>
      <c r="C657" s="1464"/>
      <c r="D657" s="1464"/>
      <c r="E657" s="1464"/>
      <c r="F657" s="1464"/>
      <c r="G657" s="1464"/>
      <c r="H657" s="1464"/>
      <c r="I657" s="1464"/>
      <c r="J657" s="1464"/>
      <c r="K657" s="1464"/>
      <c r="L657" s="1464"/>
      <c r="M657" s="1464"/>
      <c r="N657" s="1464"/>
      <c r="O657" s="1464"/>
      <c r="P657" s="1464"/>
      <c r="Q657" s="1464"/>
      <c r="R657" s="1464"/>
      <c r="S657" s="1464"/>
      <c r="T657" s="1464"/>
      <c r="U657" s="1464"/>
      <c r="V657" s="1464"/>
      <c r="W657" s="1464"/>
      <c r="X657" s="1464"/>
      <c r="Y657" s="1464"/>
      <c r="Z657" s="1464"/>
      <c r="AA657" s="1464"/>
      <c r="AB657" s="1464"/>
    </row>
    <row r="658">
      <c r="A658" s="1464"/>
      <c r="B658" s="1464"/>
      <c r="C658" s="1464"/>
      <c r="D658" s="1464"/>
      <c r="E658" s="1464"/>
      <c r="F658" s="1464"/>
      <c r="G658" s="1464"/>
      <c r="H658" s="1464"/>
      <c r="I658" s="1464"/>
      <c r="J658" s="1464"/>
      <c r="K658" s="1464"/>
      <c r="L658" s="1464"/>
      <c r="M658" s="1464"/>
      <c r="N658" s="1464"/>
      <c r="O658" s="1464"/>
      <c r="P658" s="1464"/>
      <c r="Q658" s="1464"/>
      <c r="R658" s="1464"/>
      <c r="S658" s="1464"/>
      <c r="T658" s="1464"/>
      <c r="U658" s="1464"/>
      <c r="V658" s="1464"/>
      <c r="W658" s="1464"/>
      <c r="X658" s="1464"/>
      <c r="Y658" s="1464"/>
      <c r="Z658" s="1464"/>
      <c r="AA658" s="1464"/>
      <c r="AB658" s="1464"/>
    </row>
    <row r="659">
      <c r="A659" s="1464"/>
      <c r="B659" s="1464"/>
      <c r="C659" s="1464"/>
      <c r="D659" s="1464"/>
      <c r="E659" s="1464"/>
      <c r="F659" s="1464"/>
      <c r="G659" s="1464"/>
      <c r="H659" s="1464"/>
      <c r="I659" s="1464"/>
      <c r="J659" s="1464"/>
      <c r="K659" s="1464"/>
      <c r="L659" s="1464"/>
      <c r="M659" s="1464"/>
      <c r="N659" s="1464"/>
      <c r="O659" s="1464"/>
      <c r="P659" s="1464"/>
      <c r="Q659" s="1464"/>
      <c r="R659" s="1464"/>
      <c r="S659" s="1464"/>
      <c r="T659" s="1464"/>
      <c r="U659" s="1464"/>
      <c r="V659" s="1464"/>
      <c r="W659" s="1464"/>
      <c r="X659" s="1464"/>
      <c r="Y659" s="1464"/>
      <c r="Z659" s="1464"/>
      <c r="AA659" s="1464"/>
      <c r="AB659" s="1464"/>
    </row>
    <row r="660">
      <c r="A660" s="1464"/>
      <c r="B660" s="1464"/>
      <c r="C660" s="1464"/>
      <c r="D660" s="1464"/>
      <c r="E660" s="1464"/>
      <c r="F660" s="1464"/>
      <c r="G660" s="1464"/>
      <c r="H660" s="1464"/>
      <c r="I660" s="1464"/>
      <c r="J660" s="1464"/>
      <c r="K660" s="1464"/>
      <c r="L660" s="1464"/>
      <c r="M660" s="1464"/>
      <c r="N660" s="1464"/>
      <c r="O660" s="1464"/>
      <c r="P660" s="1464"/>
      <c r="Q660" s="1464"/>
      <c r="R660" s="1464"/>
      <c r="S660" s="1464"/>
      <c r="T660" s="1464"/>
      <c r="U660" s="1464"/>
      <c r="V660" s="1464"/>
      <c r="W660" s="1464"/>
      <c r="X660" s="1464"/>
      <c r="Y660" s="1464"/>
      <c r="Z660" s="1464"/>
      <c r="AA660" s="1464"/>
      <c r="AB660" s="1464"/>
    </row>
    <row r="661">
      <c r="A661" s="1464"/>
      <c r="B661" s="1464"/>
      <c r="C661" s="1464"/>
      <c r="D661" s="1464"/>
      <c r="E661" s="1464"/>
      <c r="F661" s="1464"/>
      <c r="G661" s="1464"/>
      <c r="H661" s="1464"/>
      <c r="I661" s="1464"/>
      <c r="J661" s="1464"/>
      <c r="K661" s="1464"/>
      <c r="L661" s="1464"/>
      <c r="M661" s="1464"/>
      <c r="N661" s="1464"/>
      <c r="O661" s="1464"/>
      <c r="P661" s="1464"/>
      <c r="Q661" s="1464"/>
      <c r="R661" s="1464"/>
      <c r="S661" s="1464"/>
      <c r="T661" s="1464"/>
      <c r="U661" s="1464"/>
      <c r="V661" s="1464"/>
      <c r="W661" s="1464"/>
      <c r="X661" s="1464"/>
      <c r="Y661" s="1464"/>
      <c r="Z661" s="1464"/>
      <c r="AA661" s="1464"/>
      <c r="AB661" s="1464"/>
    </row>
    <row r="662">
      <c r="A662" s="1464"/>
      <c r="B662" s="1464"/>
      <c r="C662" s="1464"/>
      <c r="D662" s="1464"/>
      <c r="E662" s="1464"/>
      <c r="F662" s="1464"/>
      <c r="G662" s="1464"/>
      <c r="H662" s="1464"/>
      <c r="I662" s="1464"/>
      <c r="J662" s="1464"/>
      <c r="K662" s="1464"/>
      <c r="L662" s="1464"/>
      <c r="M662" s="1464"/>
      <c r="N662" s="1464"/>
      <c r="O662" s="1464"/>
      <c r="P662" s="1464"/>
      <c r="Q662" s="1464"/>
      <c r="R662" s="1464"/>
      <c r="S662" s="1464"/>
      <c r="T662" s="1464"/>
      <c r="U662" s="1464"/>
      <c r="V662" s="1464"/>
      <c r="W662" s="1464"/>
      <c r="X662" s="1464"/>
      <c r="Y662" s="1464"/>
      <c r="Z662" s="1464"/>
      <c r="AA662" s="1464"/>
      <c r="AB662" s="1464"/>
    </row>
    <row r="663">
      <c r="A663" s="1464"/>
      <c r="B663" s="1464"/>
      <c r="C663" s="1464"/>
      <c r="D663" s="1464"/>
      <c r="E663" s="1464"/>
      <c r="F663" s="1464"/>
      <c r="G663" s="1464"/>
      <c r="H663" s="1464"/>
      <c r="I663" s="1464"/>
      <c r="J663" s="1464"/>
      <c r="K663" s="1464"/>
      <c r="L663" s="1464"/>
      <c r="M663" s="1464"/>
      <c r="N663" s="1464"/>
      <c r="O663" s="1464"/>
      <c r="P663" s="1464"/>
      <c r="Q663" s="1464"/>
      <c r="R663" s="1464"/>
      <c r="S663" s="1464"/>
      <c r="T663" s="1464"/>
      <c r="U663" s="1464"/>
      <c r="V663" s="1464"/>
      <c r="W663" s="1464"/>
      <c r="X663" s="1464"/>
      <c r="Y663" s="1464"/>
      <c r="Z663" s="1464"/>
      <c r="AA663" s="1464"/>
      <c r="AB663" s="1464"/>
    </row>
    <row r="664">
      <c r="A664" s="1464"/>
      <c r="B664" s="1464"/>
      <c r="C664" s="1464"/>
      <c r="D664" s="1464"/>
      <c r="E664" s="1464"/>
      <c r="F664" s="1464"/>
      <c r="G664" s="1464"/>
      <c r="H664" s="1464"/>
      <c r="I664" s="1464"/>
      <c r="J664" s="1464"/>
      <c r="K664" s="1464"/>
      <c r="L664" s="1464"/>
      <c r="M664" s="1464"/>
      <c r="N664" s="1464"/>
      <c r="O664" s="1464"/>
      <c r="P664" s="1464"/>
      <c r="Q664" s="1464"/>
      <c r="R664" s="1464"/>
      <c r="S664" s="1464"/>
      <c r="T664" s="1464"/>
      <c r="U664" s="1464"/>
      <c r="V664" s="1464"/>
      <c r="W664" s="1464"/>
      <c r="X664" s="1464"/>
      <c r="Y664" s="1464"/>
      <c r="Z664" s="1464"/>
      <c r="AA664" s="1464"/>
      <c r="AB664" s="1464"/>
    </row>
    <row r="665">
      <c r="A665" s="1464"/>
      <c r="B665" s="1464"/>
      <c r="C665" s="1464"/>
      <c r="D665" s="1464"/>
      <c r="E665" s="1464"/>
      <c r="F665" s="1464"/>
      <c r="G665" s="1464"/>
      <c r="H665" s="1464"/>
      <c r="I665" s="1464"/>
      <c r="J665" s="1464"/>
      <c r="K665" s="1464"/>
      <c r="L665" s="1464"/>
      <c r="M665" s="1464"/>
      <c r="N665" s="1464"/>
      <c r="O665" s="1464"/>
      <c r="P665" s="1464"/>
      <c r="Q665" s="1464"/>
      <c r="R665" s="1464"/>
      <c r="S665" s="1464"/>
      <c r="T665" s="1464"/>
      <c r="U665" s="1464"/>
      <c r="V665" s="1464"/>
      <c r="W665" s="1464"/>
      <c r="X665" s="1464"/>
      <c r="Y665" s="1464"/>
      <c r="Z665" s="1464"/>
      <c r="AA665" s="1464"/>
      <c r="AB665" s="1464"/>
    </row>
    <row r="666">
      <c r="A666" s="1464"/>
      <c r="B666" s="1464"/>
      <c r="C666" s="1464"/>
      <c r="D666" s="1464"/>
      <c r="E666" s="1464"/>
      <c r="F666" s="1464"/>
      <c r="G666" s="1464"/>
      <c r="H666" s="1464"/>
      <c r="I666" s="1464"/>
      <c r="J666" s="1464"/>
      <c r="K666" s="1464"/>
      <c r="L666" s="1464"/>
      <c r="M666" s="1464"/>
      <c r="N666" s="1464"/>
      <c r="O666" s="1464"/>
      <c r="P666" s="1464"/>
      <c r="Q666" s="1464"/>
      <c r="R666" s="1464"/>
      <c r="S666" s="1464"/>
      <c r="T666" s="1464"/>
      <c r="U666" s="1464"/>
      <c r="V666" s="1464"/>
      <c r="W666" s="1464"/>
      <c r="X666" s="1464"/>
      <c r="Y666" s="1464"/>
      <c r="Z666" s="1464"/>
      <c r="AA666" s="1464"/>
      <c r="AB666" s="1464"/>
    </row>
    <row r="667">
      <c r="A667" s="1464"/>
      <c r="B667" s="1464"/>
      <c r="C667" s="1464"/>
      <c r="D667" s="1464"/>
      <c r="E667" s="1464"/>
      <c r="F667" s="1464"/>
      <c r="G667" s="1464"/>
      <c r="H667" s="1464"/>
      <c r="I667" s="1464"/>
      <c r="J667" s="1464"/>
      <c r="K667" s="1464"/>
      <c r="L667" s="1464"/>
      <c r="M667" s="1464"/>
      <c r="N667" s="1464"/>
      <c r="O667" s="1464"/>
      <c r="P667" s="1464"/>
      <c r="Q667" s="1464"/>
      <c r="R667" s="1464"/>
      <c r="S667" s="1464"/>
      <c r="T667" s="1464"/>
      <c r="U667" s="1464"/>
      <c r="V667" s="1464"/>
      <c r="W667" s="1464"/>
      <c r="X667" s="1464"/>
      <c r="Y667" s="1464"/>
      <c r="Z667" s="1464"/>
      <c r="AA667" s="1464"/>
      <c r="AB667" s="1464"/>
    </row>
    <row r="668">
      <c r="A668" s="1464"/>
      <c r="B668" s="1464"/>
      <c r="C668" s="1464"/>
      <c r="D668" s="1464"/>
      <c r="E668" s="1464"/>
      <c r="F668" s="1464"/>
      <c r="G668" s="1464"/>
      <c r="H668" s="1464"/>
      <c r="I668" s="1464"/>
      <c r="J668" s="1464"/>
      <c r="K668" s="1464"/>
      <c r="L668" s="1464"/>
      <c r="M668" s="1464"/>
      <c r="N668" s="1464"/>
      <c r="O668" s="1464"/>
      <c r="P668" s="1464"/>
      <c r="Q668" s="1464"/>
      <c r="R668" s="1464"/>
      <c r="S668" s="1464"/>
      <c r="T668" s="1464"/>
      <c r="U668" s="1464"/>
      <c r="V668" s="1464"/>
      <c r="W668" s="1464"/>
      <c r="X668" s="1464"/>
      <c r="Y668" s="1464"/>
      <c r="Z668" s="1464"/>
      <c r="AA668" s="1464"/>
      <c r="AB668" s="1464"/>
    </row>
    <row r="669">
      <c r="A669" s="1464"/>
      <c r="B669" s="1464"/>
      <c r="C669" s="1464"/>
      <c r="D669" s="1464"/>
      <c r="E669" s="1464"/>
      <c r="F669" s="1464"/>
      <c r="G669" s="1464"/>
      <c r="H669" s="1464"/>
      <c r="I669" s="1464"/>
      <c r="J669" s="1464"/>
      <c r="K669" s="1464"/>
      <c r="L669" s="1464"/>
      <c r="M669" s="1464"/>
      <c r="N669" s="1464"/>
      <c r="O669" s="1464"/>
      <c r="P669" s="1464"/>
      <c r="Q669" s="1464"/>
      <c r="R669" s="1464"/>
      <c r="S669" s="1464"/>
      <c r="T669" s="1464"/>
      <c r="U669" s="1464"/>
      <c r="V669" s="1464"/>
      <c r="W669" s="1464"/>
      <c r="X669" s="1464"/>
      <c r="Y669" s="1464"/>
      <c r="Z669" s="1464"/>
      <c r="AA669" s="1464"/>
      <c r="AB669" s="1464"/>
    </row>
    <row r="670">
      <c r="A670" s="1464"/>
      <c r="B670" s="1464"/>
      <c r="C670" s="1464"/>
      <c r="D670" s="1464"/>
      <c r="E670" s="1464"/>
      <c r="F670" s="1464"/>
      <c r="G670" s="1464"/>
      <c r="H670" s="1464"/>
      <c r="I670" s="1464"/>
      <c r="J670" s="1464"/>
      <c r="K670" s="1464"/>
      <c r="L670" s="1464"/>
      <c r="M670" s="1464"/>
      <c r="N670" s="1464"/>
      <c r="O670" s="1464"/>
      <c r="P670" s="1464"/>
      <c r="Q670" s="1464"/>
      <c r="R670" s="1464"/>
      <c r="S670" s="1464"/>
      <c r="T670" s="1464"/>
      <c r="U670" s="1464"/>
      <c r="V670" s="1464"/>
      <c r="W670" s="1464"/>
      <c r="X670" s="1464"/>
      <c r="Y670" s="1464"/>
      <c r="Z670" s="1464"/>
      <c r="AA670" s="1464"/>
      <c r="AB670" s="1464"/>
    </row>
    <row r="671">
      <c r="A671" s="1464"/>
      <c r="B671" s="1464"/>
      <c r="C671" s="1464"/>
      <c r="D671" s="1464"/>
      <c r="E671" s="1464"/>
      <c r="F671" s="1464"/>
      <c r="G671" s="1464"/>
      <c r="H671" s="1464"/>
      <c r="I671" s="1464"/>
      <c r="J671" s="1464"/>
      <c r="K671" s="1464"/>
      <c r="L671" s="1464"/>
      <c r="M671" s="1464"/>
      <c r="N671" s="1464"/>
      <c r="O671" s="1464"/>
      <c r="P671" s="1464"/>
      <c r="Q671" s="1464"/>
      <c r="R671" s="1464"/>
      <c r="S671" s="1464"/>
      <c r="T671" s="1464"/>
      <c r="U671" s="1464"/>
      <c r="V671" s="1464"/>
      <c r="W671" s="1464"/>
      <c r="X671" s="1464"/>
      <c r="Y671" s="1464"/>
      <c r="Z671" s="1464"/>
      <c r="AA671" s="1464"/>
      <c r="AB671" s="1464"/>
    </row>
    <row r="672">
      <c r="A672" s="1464"/>
      <c r="B672" s="1464"/>
      <c r="C672" s="1464"/>
      <c r="D672" s="1464"/>
      <c r="E672" s="1464"/>
      <c r="F672" s="1464"/>
      <c r="G672" s="1464"/>
      <c r="H672" s="1464"/>
      <c r="I672" s="1464"/>
      <c r="J672" s="1464"/>
      <c r="K672" s="1464"/>
      <c r="L672" s="1464"/>
      <c r="M672" s="1464"/>
      <c r="N672" s="1464"/>
      <c r="O672" s="1464"/>
      <c r="P672" s="1464"/>
      <c r="Q672" s="1464"/>
      <c r="R672" s="1464"/>
      <c r="S672" s="1464"/>
      <c r="T672" s="1464"/>
      <c r="U672" s="1464"/>
      <c r="V672" s="1464"/>
      <c r="W672" s="1464"/>
      <c r="X672" s="1464"/>
      <c r="Y672" s="1464"/>
      <c r="Z672" s="1464"/>
      <c r="AA672" s="1464"/>
      <c r="AB672" s="1464"/>
    </row>
    <row r="673">
      <c r="A673" s="1464"/>
      <c r="B673" s="1464"/>
      <c r="C673" s="1464"/>
      <c r="D673" s="1464"/>
      <c r="E673" s="1464"/>
      <c r="F673" s="1464"/>
      <c r="G673" s="1464"/>
      <c r="H673" s="1464"/>
      <c r="I673" s="1464"/>
      <c r="J673" s="1464"/>
      <c r="K673" s="1464"/>
      <c r="L673" s="1464"/>
      <c r="M673" s="1464"/>
      <c r="N673" s="1464"/>
      <c r="O673" s="1464"/>
      <c r="P673" s="1464"/>
      <c r="Q673" s="1464"/>
      <c r="R673" s="1464"/>
      <c r="S673" s="1464"/>
      <c r="T673" s="1464"/>
      <c r="U673" s="1464"/>
      <c r="V673" s="1464"/>
      <c r="W673" s="1464"/>
      <c r="X673" s="1464"/>
      <c r="Y673" s="1464"/>
      <c r="Z673" s="1464"/>
      <c r="AA673" s="1464"/>
      <c r="AB673" s="1464"/>
    </row>
    <row r="674">
      <c r="A674" s="1464"/>
      <c r="B674" s="1464"/>
      <c r="C674" s="1464"/>
      <c r="D674" s="1464"/>
      <c r="E674" s="1464"/>
      <c r="F674" s="1464"/>
      <c r="G674" s="1464"/>
      <c r="H674" s="1464"/>
      <c r="I674" s="1464"/>
      <c r="J674" s="1464"/>
      <c r="K674" s="1464"/>
      <c r="L674" s="1464"/>
      <c r="M674" s="1464"/>
      <c r="N674" s="1464"/>
      <c r="O674" s="1464"/>
      <c r="P674" s="1464"/>
      <c r="Q674" s="1464"/>
      <c r="R674" s="1464"/>
      <c r="S674" s="1464"/>
      <c r="T674" s="1464"/>
      <c r="U674" s="1464"/>
      <c r="V674" s="1464"/>
      <c r="W674" s="1464"/>
      <c r="X674" s="1464"/>
      <c r="Y674" s="1464"/>
      <c r="Z674" s="1464"/>
      <c r="AA674" s="1464"/>
      <c r="AB674" s="1464"/>
    </row>
    <row r="675">
      <c r="A675" s="1464"/>
      <c r="B675" s="1464"/>
      <c r="C675" s="1464"/>
      <c r="D675" s="1464"/>
      <c r="E675" s="1464"/>
      <c r="F675" s="1464"/>
      <c r="G675" s="1464"/>
      <c r="H675" s="1464"/>
      <c r="I675" s="1464"/>
      <c r="J675" s="1464"/>
      <c r="K675" s="1464"/>
      <c r="L675" s="1464"/>
      <c r="M675" s="1464"/>
      <c r="N675" s="1464"/>
      <c r="O675" s="1464"/>
      <c r="P675" s="1464"/>
      <c r="Q675" s="1464"/>
      <c r="R675" s="1464"/>
      <c r="S675" s="1464"/>
      <c r="T675" s="1464"/>
      <c r="U675" s="1464"/>
      <c r="V675" s="1464"/>
      <c r="W675" s="1464"/>
      <c r="X675" s="1464"/>
      <c r="Y675" s="1464"/>
      <c r="Z675" s="1464"/>
      <c r="AA675" s="1464"/>
      <c r="AB675" s="1464"/>
    </row>
    <row r="676">
      <c r="A676" s="1464"/>
      <c r="B676" s="1464"/>
      <c r="C676" s="1464"/>
      <c r="D676" s="1464"/>
      <c r="E676" s="1464"/>
      <c r="F676" s="1464"/>
      <c r="G676" s="1464"/>
      <c r="H676" s="1464"/>
      <c r="I676" s="1464"/>
      <c r="J676" s="1464"/>
      <c r="K676" s="1464"/>
      <c r="L676" s="1464"/>
      <c r="M676" s="1464"/>
      <c r="N676" s="1464"/>
      <c r="O676" s="1464"/>
      <c r="P676" s="1464"/>
      <c r="Q676" s="1464"/>
      <c r="R676" s="1464"/>
      <c r="S676" s="1464"/>
      <c r="T676" s="1464"/>
      <c r="U676" s="1464"/>
      <c r="V676" s="1464"/>
      <c r="W676" s="1464"/>
      <c r="X676" s="1464"/>
      <c r="Y676" s="1464"/>
      <c r="Z676" s="1464"/>
      <c r="AA676" s="1464"/>
      <c r="AB676" s="1464"/>
    </row>
    <row r="677">
      <c r="A677" s="1464"/>
      <c r="B677" s="1464"/>
      <c r="C677" s="1464"/>
      <c r="D677" s="1464"/>
      <c r="E677" s="1464"/>
      <c r="F677" s="1464"/>
      <c r="G677" s="1464"/>
      <c r="H677" s="1464"/>
      <c r="I677" s="1464"/>
      <c r="J677" s="1464"/>
      <c r="K677" s="1464"/>
      <c r="L677" s="1464"/>
      <c r="M677" s="1464"/>
      <c r="N677" s="1464"/>
      <c r="O677" s="1464"/>
      <c r="P677" s="1464"/>
      <c r="Q677" s="1464"/>
      <c r="R677" s="1464"/>
      <c r="S677" s="1464"/>
      <c r="T677" s="1464"/>
      <c r="U677" s="1464"/>
      <c r="V677" s="1464"/>
      <c r="W677" s="1464"/>
      <c r="X677" s="1464"/>
      <c r="Y677" s="1464"/>
      <c r="Z677" s="1464"/>
      <c r="AA677" s="1464"/>
      <c r="AB677" s="1464"/>
    </row>
    <row r="678">
      <c r="A678" s="1464"/>
      <c r="B678" s="1464"/>
      <c r="C678" s="1464"/>
      <c r="D678" s="1464"/>
      <c r="E678" s="1464"/>
      <c r="F678" s="1464"/>
      <c r="G678" s="1464"/>
      <c r="H678" s="1464"/>
      <c r="I678" s="1464"/>
      <c r="J678" s="1464"/>
      <c r="K678" s="1464"/>
      <c r="L678" s="1464"/>
      <c r="M678" s="1464"/>
      <c r="N678" s="1464"/>
      <c r="O678" s="1464"/>
      <c r="P678" s="1464"/>
      <c r="Q678" s="1464"/>
      <c r="R678" s="1464"/>
      <c r="S678" s="1464"/>
      <c r="T678" s="1464"/>
      <c r="U678" s="1464"/>
      <c r="V678" s="1464"/>
      <c r="W678" s="1464"/>
      <c r="X678" s="1464"/>
      <c r="Y678" s="1464"/>
      <c r="Z678" s="1464"/>
      <c r="AA678" s="1464"/>
      <c r="AB678" s="1464"/>
    </row>
    <row r="679">
      <c r="A679" s="1464"/>
      <c r="B679" s="1464"/>
      <c r="C679" s="1464"/>
      <c r="D679" s="1464"/>
      <c r="E679" s="1464"/>
      <c r="F679" s="1464"/>
      <c r="G679" s="1464"/>
      <c r="H679" s="1464"/>
      <c r="I679" s="1464"/>
      <c r="J679" s="1464"/>
      <c r="K679" s="1464"/>
      <c r="L679" s="1464"/>
      <c r="M679" s="1464"/>
      <c r="N679" s="1464"/>
      <c r="O679" s="1464"/>
      <c r="P679" s="1464"/>
      <c r="Q679" s="1464"/>
      <c r="R679" s="1464"/>
      <c r="S679" s="1464"/>
      <c r="T679" s="1464"/>
      <c r="U679" s="1464"/>
      <c r="V679" s="1464"/>
      <c r="W679" s="1464"/>
      <c r="X679" s="1464"/>
      <c r="Y679" s="1464"/>
      <c r="Z679" s="1464"/>
      <c r="AA679" s="1464"/>
      <c r="AB679" s="1464"/>
    </row>
    <row r="680">
      <c r="A680" s="1464"/>
      <c r="B680" s="1464"/>
      <c r="C680" s="1464"/>
      <c r="D680" s="1464"/>
      <c r="E680" s="1464"/>
      <c r="F680" s="1464"/>
      <c r="G680" s="1464"/>
      <c r="H680" s="1464"/>
      <c r="I680" s="1464"/>
      <c r="J680" s="1464"/>
      <c r="K680" s="1464"/>
      <c r="L680" s="1464"/>
      <c r="M680" s="1464"/>
      <c r="N680" s="1464"/>
      <c r="O680" s="1464"/>
      <c r="P680" s="1464"/>
      <c r="Q680" s="1464"/>
      <c r="R680" s="1464"/>
      <c r="S680" s="1464"/>
      <c r="T680" s="1464"/>
      <c r="U680" s="1464"/>
      <c r="V680" s="1464"/>
      <c r="W680" s="1464"/>
      <c r="X680" s="1464"/>
      <c r="Y680" s="1464"/>
      <c r="Z680" s="1464"/>
      <c r="AA680" s="1464"/>
      <c r="AB680" s="1464"/>
    </row>
    <row r="681">
      <c r="A681" s="1464"/>
      <c r="B681" s="1464"/>
      <c r="C681" s="1464"/>
      <c r="D681" s="1464"/>
      <c r="E681" s="1464"/>
      <c r="F681" s="1464"/>
      <c r="G681" s="1464"/>
      <c r="H681" s="1464"/>
      <c r="I681" s="1464"/>
      <c r="J681" s="1464"/>
      <c r="K681" s="1464"/>
      <c r="L681" s="1464"/>
      <c r="M681" s="1464"/>
      <c r="N681" s="1464"/>
      <c r="O681" s="1464"/>
      <c r="P681" s="1464"/>
      <c r="Q681" s="1464"/>
      <c r="R681" s="1464"/>
      <c r="S681" s="1464"/>
      <c r="T681" s="1464"/>
      <c r="U681" s="1464"/>
      <c r="V681" s="1464"/>
      <c r="W681" s="1464"/>
      <c r="X681" s="1464"/>
      <c r="Y681" s="1464"/>
      <c r="Z681" s="1464"/>
      <c r="AA681" s="1464"/>
      <c r="AB681" s="1464"/>
    </row>
    <row r="682">
      <c r="A682" s="1464"/>
      <c r="B682" s="1464"/>
      <c r="C682" s="1464"/>
      <c r="D682" s="1464"/>
      <c r="E682" s="1464"/>
      <c r="F682" s="1464"/>
      <c r="G682" s="1464"/>
      <c r="H682" s="1464"/>
      <c r="I682" s="1464"/>
      <c r="J682" s="1464"/>
      <c r="K682" s="1464"/>
      <c r="L682" s="1464"/>
      <c r="M682" s="1464"/>
      <c r="N682" s="1464"/>
      <c r="O682" s="1464"/>
      <c r="P682" s="1464"/>
      <c r="Q682" s="1464"/>
      <c r="R682" s="1464"/>
      <c r="S682" s="1464"/>
      <c r="T682" s="1464"/>
      <c r="U682" s="1464"/>
      <c r="V682" s="1464"/>
      <c r="W682" s="1464"/>
      <c r="X682" s="1464"/>
      <c r="Y682" s="1464"/>
      <c r="Z682" s="1464"/>
      <c r="AA682" s="1464"/>
      <c r="AB682" s="1464"/>
    </row>
    <row r="683">
      <c r="A683" s="1464"/>
      <c r="B683" s="1464"/>
      <c r="C683" s="1464"/>
      <c r="D683" s="1464"/>
      <c r="E683" s="1464"/>
      <c r="F683" s="1464"/>
      <c r="G683" s="1464"/>
      <c r="H683" s="1464"/>
      <c r="I683" s="1464"/>
      <c r="J683" s="1464"/>
      <c r="K683" s="1464"/>
      <c r="L683" s="1464"/>
      <c r="M683" s="1464"/>
      <c r="N683" s="1464"/>
      <c r="O683" s="1464"/>
      <c r="P683" s="1464"/>
      <c r="Q683" s="1464"/>
      <c r="R683" s="1464"/>
      <c r="S683" s="1464"/>
      <c r="T683" s="1464"/>
      <c r="U683" s="1464"/>
      <c r="V683" s="1464"/>
      <c r="W683" s="1464"/>
      <c r="X683" s="1464"/>
      <c r="Y683" s="1464"/>
      <c r="Z683" s="1464"/>
      <c r="AA683" s="1464"/>
      <c r="AB683" s="1464"/>
    </row>
    <row r="684">
      <c r="A684" s="1464"/>
      <c r="B684" s="1464"/>
      <c r="C684" s="1464"/>
      <c r="D684" s="1464"/>
      <c r="E684" s="1464"/>
      <c r="F684" s="1464"/>
      <c r="G684" s="1464"/>
      <c r="H684" s="1464"/>
      <c r="I684" s="1464"/>
      <c r="J684" s="1464"/>
      <c r="K684" s="1464"/>
      <c r="L684" s="1464"/>
      <c r="M684" s="1464"/>
      <c r="N684" s="1464"/>
      <c r="O684" s="1464"/>
      <c r="P684" s="1464"/>
      <c r="Q684" s="1464"/>
      <c r="R684" s="1464"/>
      <c r="S684" s="1464"/>
      <c r="T684" s="1464"/>
      <c r="U684" s="1464"/>
      <c r="V684" s="1464"/>
      <c r="W684" s="1464"/>
      <c r="X684" s="1464"/>
      <c r="Y684" s="1464"/>
      <c r="Z684" s="1464"/>
      <c r="AA684" s="1464"/>
      <c r="AB684" s="1464"/>
    </row>
    <row r="685">
      <c r="A685" s="1464"/>
      <c r="B685" s="1464"/>
      <c r="C685" s="1464"/>
      <c r="D685" s="1464"/>
      <c r="E685" s="1464"/>
      <c r="F685" s="1464"/>
      <c r="G685" s="1464"/>
      <c r="H685" s="1464"/>
      <c r="I685" s="1464"/>
      <c r="J685" s="1464"/>
      <c r="K685" s="1464"/>
      <c r="L685" s="1464"/>
      <c r="M685" s="1464"/>
      <c r="N685" s="1464"/>
      <c r="O685" s="1464"/>
      <c r="P685" s="1464"/>
      <c r="Q685" s="1464"/>
      <c r="R685" s="1464"/>
      <c r="S685" s="1464"/>
      <c r="T685" s="1464"/>
      <c r="U685" s="1464"/>
      <c r="V685" s="1464"/>
      <c r="W685" s="1464"/>
      <c r="X685" s="1464"/>
      <c r="Y685" s="1464"/>
      <c r="Z685" s="1464"/>
      <c r="AA685" s="1464"/>
      <c r="AB685" s="1464"/>
    </row>
    <row r="686">
      <c r="A686" s="1464"/>
      <c r="B686" s="1464"/>
      <c r="C686" s="1464"/>
      <c r="D686" s="1464"/>
      <c r="E686" s="1464"/>
      <c r="F686" s="1464"/>
      <c r="G686" s="1464"/>
      <c r="H686" s="1464"/>
      <c r="I686" s="1464"/>
      <c r="J686" s="1464"/>
      <c r="K686" s="1464"/>
      <c r="L686" s="1464"/>
      <c r="M686" s="1464"/>
      <c r="N686" s="1464"/>
      <c r="O686" s="1464"/>
      <c r="P686" s="1464"/>
      <c r="Q686" s="1464"/>
      <c r="R686" s="1464"/>
      <c r="S686" s="1464"/>
      <c r="T686" s="1464"/>
      <c r="U686" s="1464"/>
      <c r="V686" s="1464"/>
      <c r="W686" s="1464"/>
      <c r="X686" s="1464"/>
      <c r="Y686" s="1464"/>
      <c r="Z686" s="1464"/>
      <c r="AA686" s="1464"/>
      <c r="AB686" s="1464"/>
    </row>
    <row r="687">
      <c r="A687" s="1464"/>
      <c r="B687" s="1464"/>
      <c r="C687" s="1464"/>
      <c r="D687" s="1464"/>
      <c r="E687" s="1464"/>
      <c r="F687" s="1464"/>
      <c r="G687" s="1464"/>
      <c r="H687" s="1464"/>
      <c r="I687" s="1464"/>
      <c r="J687" s="1464"/>
      <c r="K687" s="1464"/>
      <c r="L687" s="1464"/>
      <c r="M687" s="1464"/>
      <c r="N687" s="1464"/>
      <c r="O687" s="1464"/>
      <c r="P687" s="1464"/>
      <c r="Q687" s="1464"/>
      <c r="R687" s="1464"/>
      <c r="S687" s="1464"/>
      <c r="T687" s="1464"/>
      <c r="U687" s="1464"/>
      <c r="V687" s="1464"/>
      <c r="W687" s="1464"/>
      <c r="X687" s="1464"/>
      <c r="Y687" s="1464"/>
      <c r="Z687" s="1464"/>
      <c r="AA687" s="1464"/>
      <c r="AB687" s="1464"/>
    </row>
    <row r="688">
      <c r="A688" s="1464"/>
      <c r="B688" s="1464"/>
      <c r="C688" s="1464"/>
      <c r="D688" s="1464"/>
      <c r="E688" s="1464"/>
      <c r="F688" s="1464"/>
      <c r="G688" s="1464"/>
      <c r="H688" s="1464"/>
      <c r="I688" s="1464"/>
      <c r="J688" s="1464"/>
      <c r="K688" s="1464"/>
      <c r="L688" s="1464"/>
      <c r="M688" s="1464"/>
      <c r="N688" s="1464"/>
      <c r="O688" s="1464"/>
      <c r="P688" s="1464"/>
      <c r="Q688" s="1464"/>
      <c r="R688" s="1464"/>
      <c r="S688" s="1464"/>
      <c r="T688" s="1464"/>
      <c r="U688" s="1464"/>
      <c r="V688" s="1464"/>
      <c r="W688" s="1464"/>
      <c r="X688" s="1464"/>
      <c r="Y688" s="1464"/>
      <c r="Z688" s="1464"/>
      <c r="AA688" s="1464"/>
      <c r="AB688" s="1464"/>
    </row>
    <row r="689">
      <c r="A689" s="1464"/>
      <c r="B689" s="1464"/>
      <c r="C689" s="1464"/>
      <c r="D689" s="1464"/>
      <c r="E689" s="1464"/>
      <c r="F689" s="1464"/>
      <c r="G689" s="1464"/>
      <c r="H689" s="1464"/>
      <c r="I689" s="1464"/>
      <c r="J689" s="1464"/>
      <c r="K689" s="1464"/>
      <c r="L689" s="1464"/>
      <c r="M689" s="1464"/>
      <c r="N689" s="1464"/>
      <c r="O689" s="1464"/>
      <c r="P689" s="1464"/>
      <c r="Q689" s="1464"/>
      <c r="R689" s="1464"/>
      <c r="S689" s="1464"/>
      <c r="T689" s="1464"/>
      <c r="U689" s="1464"/>
      <c r="V689" s="1464"/>
      <c r="W689" s="1464"/>
      <c r="X689" s="1464"/>
      <c r="Y689" s="1464"/>
      <c r="Z689" s="1464"/>
      <c r="AA689" s="1464"/>
      <c r="AB689" s="1464"/>
    </row>
    <row r="690">
      <c r="A690" s="1464"/>
      <c r="B690" s="1464"/>
      <c r="C690" s="1464"/>
      <c r="D690" s="1464"/>
      <c r="E690" s="1464"/>
      <c r="F690" s="1464"/>
      <c r="G690" s="1464"/>
      <c r="H690" s="1464"/>
      <c r="I690" s="1464"/>
      <c r="J690" s="1464"/>
      <c r="K690" s="1464"/>
      <c r="L690" s="1464"/>
      <c r="M690" s="1464"/>
      <c r="N690" s="1464"/>
      <c r="O690" s="1464"/>
      <c r="P690" s="1464"/>
      <c r="Q690" s="1464"/>
      <c r="R690" s="1464"/>
      <c r="S690" s="1464"/>
      <c r="T690" s="1464"/>
      <c r="U690" s="1464"/>
      <c r="V690" s="1464"/>
      <c r="W690" s="1464"/>
      <c r="X690" s="1464"/>
      <c r="Y690" s="1464"/>
      <c r="Z690" s="1464"/>
      <c r="AA690" s="1464"/>
      <c r="AB690" s="1464"/>
    </row>
    <row r="691">
      <c r="A691" s="1464"/>
      <c r="B691" s="1464"/>
      <c r="C691" s="1464"/>
      <c r="D691" s="1464"/>
      <c r="E691" s="1464"/>
      <c r="F691" s="1464"/>
      <c r="G691" s="1464"/>
      <c r="H691" s="1464"/>
      <c r="I691" s="1464"/>
      <c r="J691" s="1464"/>
      <c r="K691" s="1464"/>
      <c r="L691" s="1464"/>
      <c r="M691" s="1464"/>
      <c r="N691" s="1464"/>
      <c r="O691" s="1464"/>
      <c r="P691" s="1464"/>
      <c r="Q691" s="1464"/>
      <c r="R691" s="1464"/>
      <c r="S691" s="1464"/>
      <c r="T691" s="1464"/>
      <c r="U691" s="1464"/>
      <c r="V691" s="1464"/>
      <c r="W691" s="1464"/>
      <c r="X691" s="1464"/>
      <c r="Y691" s="1464"/>
      <c r="Z691" s="1464"/>
      <c r="AA691" s="1464"/>
      <c r="AB691" s="1464"/>
    </row>
    <row r="692">
      <c r="A692" s="1464"/>
      <c r="B692" s="1464"/>
      <c r="C692" s="1464"/>
      <c r="D692" s="1464"/>
      <c r="E692" s="1464"/>
      <c r="F692" s="1464"/>
      <c r="G692" s="1464"/>
      <c r="H692" s="1464"/>
      <c r="I692" s="1464"/>
      <c r="J692" s="1464"/>
      <c r="K692" s="1464"/>
      <c r="L692" s="1464"/>
      <c r="M692" s="1464"/>
      <c r="N692" s="1464"/>
      <c r="O692" s="1464"/>
      <c r="P692" s="1464"/>
      <c r="Q692" s="1464"/>
      <c r="R692" s="1464"/>
      <c r="S692" s="1464"/>
      <c r="T692" s="1464"/>
      <c r="U692" s="1464"/>
      <c r="V692" s="1464"/>
      <c r="W692" s="1464"/>
      <c r="X692" s="1464"/>
      <c r="Y692" s="1464"/>
      <c r="Z692" s="1464"/>
      <c r="AA692" s="1464"/>
      <c r="AB692" s="1464"/>
    </row>
    <row r="693">
      <c r="A693" s="1464"/>
      <c r="B693" s="1464"/>
      <c r="C693" s="1464"/>
      <c r="D693" s="1464"/>
      <c r="E693" s="1464"/>
      <c r="F693" s="1464"/>
      <c r="G693" s="1464"/>
      <c r="H693" s="1464"/>
      <c r="I693" s="1464"/>
      <c r="J693" s="1464"/>
      <c r="K693" s="1464"/>
      <c r="L693" s="1464"/>
      <c r="M693" s="1464"/>
      <c r="N693" s="1464"/>
      <c r="O693" s="1464"/>
      <c r="P693" s="1464"/>
      <c r="Q693" s="1464"/>
      <c r="R693" s="1464"/>
      <c r="S693" s="1464"/>
      <c r="T693" s="1464"/>
      <c r="U693" s="1464"/>
      <c r="V693" s="1464"/>
      <c r="W693" s="1464"/>
      <c r="X693" s="1464"/>
      <c r="Y693" s="1464"/>
      <c r="Z693" s="1464"/>
      <c r="AA693" s="1464"/>
      <c r="AB693" s="1464"/>
    </row>
    <row r="694">
      <c r="A694" s="1464"/>
      <c r="B694" s="1464"/>
      <c r="C694" s="1464"/>
      <c r="D694" s="1464"/>
      <c r="E694" s="1464"/>
      <c r="F694" s="1464"/>
      <c r="G694" s="1464"/>
      <c r="H694" s="1464"/>
      <c r="I694" s="1464"/>
      <c r="J694" s="1464"/>
      <c r="K694" s="1464"/>
      <c r="L694" s="1464"/>
      <c r="M694" s="1464"/>
      <c r="N694" s="1464"/>
      <c r="O694" s="1464"/>
      <c r="P694" s="1464"/>
      <c r="Q694" s="1464"/>
      <c r="R694" s="1464"/>
      <c r="S694" s="1464"/>
      <c r="T694" s="1464"/>
      <c r="U694" s="1464"/>
      <c r="V694" s="1464"/>
      <c r="W694" s="1464"/>
      <c r="X694" s="1464"/>
      <c r="Y694" s="1464"/>
      <c r="Z694" s="1464"/>
      <c r="AA694" s="1464"/>
      <c r="AB694" s="1464"/>
    </row>
    <row r="695">
      <c r="A695" s="1464"/>
      <c r="B695" s="1464"/>
      <c r="C695" s="1464"/>
      <c r="D695" s="1464"/>
      <c r="E695" s="1464"/>
      <c r="F695" s="1464"/>
      <c r="G695" s="1464"/>
      <c r="H695" s="1464"/>
      <c r="I695" s="1464"/>
      <c r="J695" s="1464"/>
      <c r="K695" s="1464"/>
      <c r="L695" s="1464"/>
      <c r="M695" s="1464"/>
      <c r="N695" s="1464"/>
      <c r="O695" s="1464"/>
      <c r="P695" s="1464"/>
      <c r="Q695" s="1464"/>
      <c r="R695" s="1464"/>
      <c r="S695" s="1464"/>
      <c r="T695" s="1464"/>
      <c r="U695" s="1464"/>
      <c r="V695" s="1464"/>
      <c r="W695" s="1464"/>
      <c r="X695" s="1464"/>
      <c r="Y695" s="1464"/>
      <c r="Z695" s="1464"/>
      <c r="AA695" s="1464"/>
      <c r="AB695" s="1464"/>
    </row>
    <row r="696">
      <c r="A696" s="1464"/>
      <c r="B696" s="1464"/>
      <c r="C696" s="1464"/>
      <c r="D696" s="1464"/>
      <c r="E696" s="1464"/>
      <c r="F696" s="1464"/>
      <c r="G696" s="1464"/>
      <c r="H696" s="1464"/>
      <c r="I696" s="1464"/>
      <c r="J696" s="1464"/>
      <c r="K696" s="1464"/>
      <c r="L696" s="1464"/>
      <c r="M696" s="1464"/>
      <c r="N696" s="1464"/>
      <c r="O696" s="1464"/>
      <c r="P696" s="1464"/>
      <c r="Q696" s="1464"/>
      <c r="R696" s="1464"/>
      <c r="S696" s="1464"/>
      <c r="T696" s="1464"/>
      <c r="U696" s="1464"/>
      <c r="V696" s="1464"/>
      <c r="W696" s="1464"/>
      <c r="X696" s="1464"/>
      <c r="Y696" s="1464"/>
      <c r="Z696" s="1464"/>
      <c r="AA696" s="1464"/>
      <c r="AB696" s="1464"/>
    </row>
    <row r="697">
      <c r="A697" s="1464"/>
      <c r="B697" s="1464"/>
      <c r="C697" s="1464"/>
      <c r="D697" s="1464"/>
      <c r="E697" s="1464"/>
      <c r="F697" s="1464"/>
      <c r="G697" s="1464"/>
      <c r="H697" s="1464"/>
      <c r="I697" s="1464"/>
      <c r="J697" s="1464"/>
      <c r="K697" s="1464"/>
      <c r="L697" s="1464"/>
      <c r="M697" s="1464"/>
      <c r="N697" s="1464"/>
      <c r="O697" s="1464"/>
      <c r="P697" s="1464"/>
      <c r="Q697" s="1464"/>
      <c r="R697" s="1464"/>
      <c r="S697" s="1464"/>
      <c r="T697" s="1464"/>
      <c r="U697" s="1464"/>
      <c r="V697" s="1464"/>
      <c r="W697" s="1464"/>
      <c r="X697" s="1464"/>
      <c r="Y697" s="1464"/>
      <c r="Z697" s="1464"/>
      <c r="AA697" s="1464"/>
      <c r="AB697" s="1464"/>
    </row>
    <row r="698">
      <c r="A698" s="1464"/>
      <c r="B698" s="1464"/>
      <c r="C698" s="1464"/>
      <c r="D698" s="1464"/>
      <c r="E698" s="1464"/>
      <c r="F698" s="1464"/>
      <c r="G698" s="1464"/>
      <c r="H698" s="1464"/>
      <c r="I698" s="1464"/>
      <c r="J698" s="1464"/>
      <c r="K698" s="1464"/>
      <c r="L698" s="1464"/>
      <c r="M698" s="1464"/>
      <c r="N698" s="1464"/>
      <c r="O698" s="1464"/>
      <c r="P698" s="1464"/>
      <c r="Q698" s="1464"/>
      <c r="R698" s="1464"/>
      <c r="S698" s="1464"/>
      <c r="T698" s="1464"/>
      <c r="U698" s="1464"/>
      <c r="V698" s="1464"/>
      <c r="W698" s="1464"/>
      <c r="X698" s="1464"/>
      <c r="Y698" s="1464"/>
      <c r="Z698" s="1464"/>
      <c r="AA698" s="1464"/>
      <c r="AB698" s="1464"/>
    </row>
    <row r="699">
      <c r="A699" s="1464"/>
      <c r="B699" s="1464"/>
      <c r="C699" s="1464"/>
      <c r="D699" s="1464"/>
      <c r="E699" s="1464"/>
      <c r="F699" s="1464"/>
      <c r="G699" s="1464"/>
      <c r="H699" s="1464"/>
      <c r="I699" s="1464"/>
      <c r="J699" s="1464"/>
      <c r="K699" s="1464"/>
      <c r="L699" s="1464"/>
      <c r="M699" s="1464"/>
      <c r="N699" s="1464"/>
      <c r="O699" s="1464"/>
      <c r="P699" s="1464"/>
      <c r="Q699" s="1464"/>
      <c r="R699" s="1464"/>
      <c r="S699" s="1464"/>
      <c r="T699" s="1464"/>
      <c r="U699" s="1464"/>
      <c r="V699" s="1464"/>
      <c r="W699" s="1464"/>
      <c r="X699" s="1464"/>
      <c r="Y699" s="1464"/>
      <c r="Z699" s="1464"/>
      <c r="AA699" s="1464"/>
      <c r="AB699" s="1464"/>
    </row>
    <row r="700">
      <c r="A700" s="1464"/>
      <c r="B700" s="1464"/>
      <c r="C700" s="1464"/>
      <c r="D700" s="1464"/>
      <c r="E700" s="1464"/>
      <c r="F700" s="1464"/>
      <c r="G700" s="1464"/>
      <c r="H700" s="1464"/>
      <c r="I700" s="1464"/>
      <c r="J700" s="1464"/>
      <c r="K700" s="1464"/>
      <c r="L700" s="1464"/>
      <c r="M700" s="1464"/>
      <c r="N700" s="1464"/>
      <c r="O700" s="1464"/>
      <c r="P700" s="1464"/>
      <c r="Q700" s="1464"/>
      <c r="R700" s="1464"/>
      <c r="S700" s="1464"/>
      <c r="T700" s="1464"/>
      <c r="U700" s="1464"/>
      <c r="V700" s="1464"/>
      <c r="W700" s="1464"/>
      <c r="X700" s="1464"/>
      <c r="Y700" s="1464"/>
      <c r="Z700" s="1464"/>
      <c r="AA700" s="1464"/>
      <c r="AB700" s="1464"/>
    </row>
    <row r="701">
      <c r="A701" s="1464"/>
      <c r="B701" s="1464"/>
      <c r="C701" s="1464"/>
      <c r="D701" s="1464"/>
      <c r="E701" s="1464"/>
      <c r="F701" s="1464"/>
      <c r="G701" s="1464"/>
      <c r="H701" s="1464"/>
      <c r="I701" s="1464"/>
      <c r="J701" s="1464"/>
      <c r="K701" s="1464"/>
      <c r="L701" s="1464"/>
      <c r="M701" s="1464"/>
      <c r="N701" s="1464"/>
      <c r="O701" s="1464"/>
      <c r="P701" s="1464"/>
      <c r="Q701" s="1464"/>
      <c r="R701" s="1464"/>
      <c r="S701" s="1464"/>
      <c r="T701" s="1464"/>
      <c r="U701" s="1464"/>
      <c r="V701" s="1464"/>
      <c r="W701" s="1464"/>
      <c r="X701" s="1464"/>
      <c r="Y701" s="1464"/>
      <c r="Z701" s="1464"/>
      <c r="AA701" s="1464"/>
      <c r="AB701" s="1464"/>
    </row>
    <row r="702">
      <c r="A702" s="1464"/>
      <c r="B702" s="1464"/>
      <c r="C702" s="1464"/>
      <c r="D702" s="1464"/>
      <c r="E702" s="1464"/>
      <c r="F702" s="1464"/>
      <c r="G702" s="1464"/>
      <c r="H702" s="1464"/>
      <c r="I702" s="1464"/>
      <c r="J702" s="1464"/>
      <c r="K702" s="1464"/>
      <c r="L702" s="1464"/>
      <c r="M702" s="1464"/>
      <c r="N702" s="1464"/>
      <c r="O702" s="1464"/>
      <c r="P702" s="1464"/>
      <c r="Q702" s="1464"/>
      <c r="R702" s="1464"/>
      <c r="S702" s="1464"/>
      <c r="T702" s="1464"/>
      <c r="U702" s="1464"/>
      <c r="V702" s="1464"/>
      <c r="W702" s="1464"/>
      <c r="X702" s="1464"/>
      <c r="Y702" s="1464"/>
      <c r="Z702" s="1464"/>
      <c r="AA702" s="1464"/>
      <c r="AB702" s="1464"/>
    </row>
    <row r="703">
      <c r="A703" s="1464"/>
      <c r="B703" s="1464"/>
      <c r="C703" s="1464"/>
      <c r="D703" s="1464"/>
      <c r="E703" s="1464"/>
      <c r="F703" s="1464"/>
      <c r="G703" s="1464"/>
      <c r="H703" s="1464"/>
      <c r="I703" s="1464"/>
      <c r="J703" s="1464"/>
      <c r="K703" s="1464"/>
      <c r="L703" s="1464"/>
      <c r="M703" s="1464"/>
      <c r="N703" s="1464"/>
      <c r="O703" s="1464"/>
      <c r="P703" s="1464"/>
      <c r="Q703" s="1464"/>
      <c r="R703" s="1464"/>
      <c r="S703" s="1464"/>
      <c r="T703" s="1464"/>
      <c r="U703" s="1464"/>
      <c r="V703" s="1464"/>
      <c r="W703" s="1464"/>
      <c r="X703" s="1464"/>
      <c r="Y703" s="1464"/>
      <c r="Z703" s="1464"/>
      <c r="AA703" s="1464"/>
      <c r="AB703" s="1464"/>
    </row>
    <row r="704">
      <c r="A704" s="1464"/>
      <c r="B704" s="1464"/>
      <c r="C704" s="1464"/>
      <c r="D704" s="1464"/>
      <c r="E704" s="1464"/>
      <c r="F704" s="1464"/>
      <c r="G704" s="1464"/>
      <c r="H704" s="1464"/>
      <c r="I704" s="1464"/>
      <c r="J704" s="1464"/>
      <c r="K704" s="1464"/>
      <c r="L704" s="1464"/>
      <c r="M704" s="1464"/>
      <c r="N704" s="1464"/>
      <c r="O704" s="1464"/>
      <c r="P704" s="1464"/>
      <c r="Q704" s="1464"/>
      <c r="R704" s="1464"/>
      <c r="S704" s="1464"/>
      <c r="T704" s="1464"/>
      <c r="U704" s="1464"/>
      <c r="V704" s="1464"/>
      <c r="W704" s="1464"/>
      <c r="X704" s="1464"/>
      <c r="Y704" s="1464"/>
      <c r="Z704" s="1464"/>
      <c r="AA704" s="1464"/>
      <c r="AB704" s="1464"/>
    </row>
    <row r="705">
      <c r="A705" s="1464"/>
      <c r="B705" s="1464"/>
      <c r="C705" s="1464"/>
      <c r="D705" s="1464"/>
      <c r="E705" s="1464"/>
      <c r="F705" s="1464"/>
      <c r="G705" s="1464"/>
      <c r="H705" s="1464"/>
      <c r="I705" s="1464"/>
      <c r="J705" s="1464"/>
      <c r="K705" s="1464"/>
      <c r="L705" s="1464"/>
      <c r="M705" s="1464"/>
      <c r="N705" s="1464"/>
      <c r="O705" s="1464"/>
      <c r="P705" s="1464"/>
      <c r="Q705" s="1464"/>
      <c r="R705" s="1464"/>
      <c r="S705" s="1464"/>
      <c r="T705" s="1464"/>
      <c r="U705" s="1464"/>
      <c r="V705" s="1464"/>
      <c r="W705" s="1464"/>
      <c r="X705" s="1464"/>
      <c r="Y705" s="1464"/>
      <c r="Z705" s="1464"/>
      <c r="AA705" s="1464"/>
      <c r="AB705" s="1464"/>
    </row>
    <row r="706">
      <c r="A706" s="1464"/>
      <c r="B706" s="1464"/>
      <c r="C706" s="1464"/>
      <c r="D706" s="1464"/>
      <c r="E706" s="1464"/>
      <c r="F706" s="1464"/>
      <c r="G706" s="1464"/>
      <c r="H706" s="1464"/>
      <c r="I706" s="1464"/>
      <c r="J706" s="1464"/>
      <c r="K706" s="1464"/>
      <c r="L706" s="1464"/>
      <c r="M706" s="1464"/>
      <c r="N706" s="1464"/>
      <c r="O706" s="1464"/>
      <c r="P706" s="1464"/>
      <c r="Q706" s="1464"/>
      <c r="R706" s="1464"/>
      <c r="S706" s="1464"/>
      <c r="T706" s="1464"/>
      <c r="U706" s="1464"/>
      <c r="V706" s="1464"/>
      <c r="W706" s="1464"/>
      <c r="X706" s="1464"/>
      <c r="Y706" s="1464"/>
      <c r="Z706" s="1464"/>
      <c r="AA706" s="1464"/>
      <c r="AB706" s="1464"/>
    </row>
    <row r="707">
      <c r="A707" s="1464"/>
      <c r="B707" s="1464"/>
      <c r="C707" s="1464"/>
      <c r="D707" s="1464"/>
      <c r="E707" s="1464"/>
      <c r="F707" s="1464"/>
      <c r="G707" s="1464"/>
      <c r="H707" s="1464"/>
      <c r="I707" s="1464"/>
      <c r="J707" s="1464"/>
      <c r="K707" s="1464"/>
      <c r="L707" s="1464"/>
      <c r="M707" s="1464"/>
      <c r="N707" s="1464"/>
      <c r="O707" s="1464"/>
      <c r="P707" s="1464"/>
      <c r="Q707" s="1464"/>
      <c r="R707" s="1464"/>
      <c r="S707" s="1464"/>
      <c r="T707" s="1464"/>
      <c r="U707" s="1464"/>
      <c r="V707" s="1464"/>
      <c r="W707" s="1464"/>
      <c r="X707" s="1464"/>
      <c r="Y707" s="1464"/>
      <c r="Z707" s="1464"/>
      <c r="AA707" s="1464"/>
      <c r="AB707" s="1464"/>
    </row>
    <row r="708">
      <c r="A708" s="1464"/>
      <c r="B708" s="1464"/>
      <c r="C708" s="1464"/>
      <c r="D708" s="1464"/>
      <c r="E708" s="1464"/>
      <c r="F708" s="1464"/>
      <c r="G708" s="1464"/>
      <c r="H708" s="1464"/>
      <c r="I708" s="1464"/>
      <c r="J708" s="1464"/>
      <c r="K708" s="1464"/>
      <c r="L708" s="1464"/>
      <c r="M708" s="1464"/>
      <c r="N708" s="1464"/>
      <c r="O708" s="1464"/>
      <c r="P708" s="1464"/>
      <c r="Q708" s="1464"/>
      <c r="R708" s="1464"/>
      <c r="S708" s="1464"/>
      <c r="T708" s="1464"/>
      <c r="U708" s="1464"/>
      <c r="V708" s="1464"/>
      <c r="W708" s="1464"/>
      <c r="X708" s="1464"/>
      <c r="Y708" s="1464"/>
      <c r="Z708" s="1464"/>
      <c r="AA708" s="1464"/>
      <c r="AB708" s="1464"/>
    </row>
    <row r="709">
      <c r="A709" s="1464"/>
      <c r="B709" s="1464"/>
      <c r="C709" s="1464"/>
      <c r="D709" s="1464"/>
      <c r="E709" s="1464"/>
      <c r="F709" s="1464"/>
      <c r="G709" s="1464"/>
      <c r="H709" s="1464"/>
      <c r="I709" s="1464"/>
      <c r="J709" s="1464"/>
      <c r="K709" s="1464"/>
      <c r="L709" s="1464"/>
      <c r="M709" s="1464"/>
      <c r="N709" s="1464"/>
      <c r="O709" s="1464"/>
      <c r="P709" s="1464"/>
      <c r="Q709" s="1464"/>
      <c r="R709" s="1464"/>
      <c r="S709" s="1464"/>
      <c r="T709" s="1464"/>
      <c r="U709" s="1464"/>
      <c r="V709" s="1464"/>
      <c r="W709" s="1464"/>
      <c r="X709" s="1464"/>
      <c r="Y709" s="1464"/>
      <c r="Z709" s="1464"/>
      <c r="AA709" s="1464"/>
      <c r="AB709" s="1464"/>
    </row>
    <row r="710">
      <c r="A710" s="1464"/>
      <c r="B710" s="1464"/>
      <c r="C710" s="1464"/>
      <c r="D710" s="1464"/>
      <c r="E710" s="1464"/>
      <c r="F710" s="1464"/>
      <c r="G710" s="1464"/>
      <c r="H710" s="1464"/>
      <c r="I710" s="1464"/>
      <c r="J710" s="1464"/>
      <c r="K710" s="1464"/>
      <c r="L710" s="1464"/>
      <c r="M710" s="1464"/>
      <c r="N710" s="1464"/>
      <c r="O710" s="1464"/>
      <c r="P710" s="1464"/>
      <c r="Q710" s="1464"/>
      <c r="R710" s="1464"/>
      <c r="S710" s="1464"/>
      <c r="T710" s="1464"/>
      <c r="U710" s="1464"/>
      <c r="V710" s="1464"/>
      <c r="W710" s="1464"/>
      <c r="X710" s="1464"/>
      <c r="Y710" s="1464"/>
      <c r="Z710" s="1464"/>
      <c r="AA710" s="1464"/>
      <c r="AB710" s="1464"/>
    </row>
    <row r="711">
      <c r="A711" s="1464"/>
      <c r="B711" s="1464"/>
      <c r="C711" s="1464"/>
      <c r="D711" s="1464"/>
      <c r="E711" s="1464"/>
      <c r="F711" s="1464"/>
      <c r="G711" s="1464"/>
      <c r="H711" s="1464"/>
      <c r="I711" s="1464"/>
      <c r="J711" s="1464"/>
      <c r="K711" s="1464"/>
      <c r="L711" s="1464"/>
      <c r="M711" s="1464"/>
      <c r="N711" s="1464"/>
      <c r="O711" s="1464"/>
      <c r="P711" s="1464"/>
      <c r="Q711" s="1464"/>
      <c r="R711" s="1464"/>
      <c r="S711" s="1464"/>
      <c r="T711" s="1464"/>
      <c r="U711" s="1464"/>
      <c r="V711" s="1464"/>
      <c r="W711" s="1464"/>
      <c r="X711" s="1464"/>
      <c r="Y711" s="1464"/>
      <c r="Z711" s="1464"/>
      <c r="AA711" s="1464"/>
      <c r="AB711" s="1464"/>
    </row>
    <row r="712">
      <c r="A712" s="1464"/>
      <c r="B712" s="1464"/>
      <c r="C712" s="1464"/>
      <c r="D712" s="1464"/>
      <c r="E712" s="1464"/>
      <c r="F712" s="1464"/>
      <c r="G712" s="1464"/>
      <c r="H712" s="1464"/>
      <c r="I712" s="1464"/>
      <c r="J712" s="1464"/>
      <c r="K712" s="1464"/>
      <c r="L712" s="1464"/>
      <c r="M712" s="1464"/>
      <c r="N712" s="1464"/>
      <c r="O712" s="1464"/>
      <c r="P712" s="1464"/>
      <c r="Q712" s="1464"/>
      <c r="R712" s="1464"/>
      <c r="S712" s="1464"/>
      <c r="T712" s="1464"/>
      <c r="U712" s="1464"/>
      <c r="V712" s="1464"/>
      <c r="W712" s="1464"/>
      <c r="X712" s="1464"/>
      <c r="Y712" s="1464"/>
      <c r="Z712" s="1464"/>
      <c r="AA712" s="1464"/>
      <c r="AB712" s="1464"/>
    </row>
    <row r="713">
      <c r="A713" s="1464"/>
      <c r="B713" s="1464"/>
      <c r="C713" s="1464"/>
      <c r="D713" s="1464"/>
      <c r="E713" s="1464"/>
      <c r="F713" s="1464"/>
      <c r="G713" s="1464"/>
      <c r="H713" s="1464"/>
      <c r="I713" s="1464"/>
      <c r="J713" s="1464"/>
      <c r="K713" s="1464"/>
      <c r="L713" s="1464"/>
      <c r="M713" s="1464"/>
      <c r="N713" s="1464"/>
      <c r="O713" s="1464"/>
      <c r="P713" s="1464"/>
      <c r="Q713" s="1464"/>
      <c r="R713" s="1464"/>
      <c r="S713" s="1464"/>
      <c r="T713" s="1464"/>
      <c r="U713" s="1464"/>
      <c r="V713" s="1464"/>
      <c r="W713" s="1464"/>
      <c r="X713" s="1464"/>
      <c r="Y713" s="1464"/>
      <c r="Z713" s="1464"/>
      <c r="AA713" s="1464"/>
      <c r="AB713" s="1464"/>
    </row>
    <row r="714">
      <c r="A714" s="1464"/>
      <c r="B714" s="1464"/>
      <c r="C714" s="1464"/>
      <c r="D714" s="1464"/>
      <c r="E714" s="1464"/>
      <c r="F714" s="1464"/>
      <c r="G714" s="1464"/>
      <c r="H714" s="1464"/>
      <c r="I714" s="1464"/>
      <c r="J714" s="1464"/>
      <c r="K714" s="1464"/>
      <c r="L714" s="1464"/>
      <c r="M714" s="1464"/>
      <c r="N714" s="1464"/>
      <c r="O714" s="1464"/>
      <c r="P714" s="1464"/>
      <c r="Q714" s="1464"/>
      <c r="R714" s="1464"/>
      <c r="S714" s="1464"/>
      <c r="T714" s="1464"/>
      <c r="U714" s="1464"/>
      <c r="V714" s="1464"/>
      <c r="W714" s="1464"/>
      <c r="X714" s="1464"/>
      <c r="Y714" s="1464"/>
      <c r="Z714" s="1464"/>
      <c r="AA714" s="1464"/>
      <c r="AB714" s="1464"/>
    </row>
    <row r="715">
      <c r="A715" s="1464"/>
      <c r="B715" s="1464"/>
      <c r="C715" s="1464"/>
      <c r="D715" s="1464"/>
      <c r="E715" s="1464"/>
      <c r="F715" s="1464"/>
      <c r="G715" s="1464"/>
      <c r="H715" s="1464"/>
      <c r="I715" s="1464"/>
      <c r="J715" s="1464"/>
      <c r="K715" s="1464"/>
      <c r="L715" s="1464"/>
      <c r="M715" s="1464"/>
      <c r="N715" s="1464"/>
      <c r="O715" s="1464"/>
      <c r="P715" s="1464"/>
      <c r="Q715" s="1464"/>
      <c r="R715" s="1464"/>
      <c r="S715" s="1464"/>
      <c r="T715" s="1464"/>
      <c r="U715" s="1464"/>
      <c r="V715" s="1464"/>
      <c r="W715" s="1464"/>
      <c r="X715" s="1464"/>
      <c r="Y715" s="1464"/>
      <c r="Z715" s="1464"/>
      <c r="AA715" s="1464"/>
      <c r="AB715" s="1464"/>
    </row>
    <row r="716">
      <c r="A716" s="1464"/>
      <c r="B716" s="1464"/>
      <c r="C716" s="1464"/>
      <c r="D716" s="1464"/>
      <c r="E716" s="1464"/>
      <c r="F716" s="1464"/>
      <c r="G716" s="1464"/>
      <c r="H716" s="1464"/>
      <c r="I716" s="1464"/>
      <c r="J716" s="1464"/>
      <c r="K716" s="1464"/>
      <c r="L716" s="1464"/>
      <c r="M716" s="1464"/>
      <c r="N716" s="1464"/>
      <c r="O716" s="1464"/>
      <c r="P716" s="1464"/>
      <c r="Q716" s="1464"/>
      <c r="R716" s="1464"/>
      <c r="S716" s="1464"/>
      <c r="T716" s="1464"/>
      <c r="U716" s="1464"/>
      <c r="V716" s="1464"/>
      <c r="W716" s="1464"/>
      <c r="X716" s="1464"/>
      <c r="Y716" s="1464"/>
      <c r="Z716" s="1464"/>
      <c r="AA716" s="1464"/>
      <c r="AB716" s="1464"/>
    </row>
    <row r="717">
      <c r="A717" s="1464"/>
      <c r="B717" s="1464"/>
      <c r="C717" s="1464"/>
      <c r="D717" s="1464"/>
      <c r="E717" s="1464"/>
      <c r="F717" s="1464"/>
      <c r="G717" s="1464"/>
      <c r="H717" s="1464"/>
      <c r="I717" s="1464"/>
      <c r="J717" s="1464"/>
      <c r="K717" s="1464"/>
      <c r="L717" s="1464"/>
      <c r="M717" s="1464"/>
      <c r="N717" s="1464"/>
      <c r="O717" s="1464"/>
      <c r="P717" s="1464"/>
      <c r="Q717" s="1464"/>
      <c r="R717" s="1464"/>
      <c r="S717" s="1464"/>
      <c r="T717" s="1464"/>
      <c r="U717" s="1464"/>
      <c r="V717" s="1464"/>
      <c r="W717" s="1464"/>
      <c r="X717" s="1464"/>
      <c r="Y717" s="1464"/>
      <c r="Z717" s="1464"/>
      <c r="AA717" s="1464"/>
      <c r="AB717" s="1464"/>
    </row>
    <row r="718">
      <c r="A718" s="1464"/>
      <c r="B718" s="1464"/>
      <c r="C718" s="1464"/>
      <c r="D718" s="1464"/>
      <c r="E718" s="1464"/>
      <c r="F718" s="1464"/>
      <c r="G718" s="1464"/>
      <c r="H718" s="1464"/>
      <c r="I718" s="1464"/>
      <c r="J718" s="1464"/>
      <c r="K718" s="1464"/>
      <c r="L718" s="1464"/>
      <c r="M718" s="1464"/>
      <c r="N718" s="1464"/>
      <c r="O718" s="1464"/>
      <c r="P718" s="1464"/>
      <c r="Q718" s="1464"/>
      <c r="R718" s="1464"/>
      <c r="S718" s="1464"/>
      <c r="T718" s="1464"/>
      <c r="U718" s="1464"/>
      <c r="V718" s="1464"/>
      <c r="W718" s="1464"/>
      <c r="X718" s="1464"/>
      <c r="Y718" s="1464"/>
      <c r="Z718" s="1464"/>
      <c r="AA718" s="1464"/>
      <c r="AB718" s="1464"/>
    </row>
    <row r="719">
      <c r="A719" s="1464"/>
      <c r="B719" s="1464"/>
      <c r="C719" s="1464"/>
      <c r="D719" s="1464"/>
      <c r="E719" s="1464"/>
      <c r="F719" s="1464"/>
      <c r="G719" s="1464"/>
      <c r="H719" s="1464"/>
      <c r="I719" s="1464"/>
      <c r="J719" s="1464"/>
      <c r="K719" s="1464"/>
      <c r="L719" s="1464"/>
      <c r="M719" s="1464"/>
      <c r="N719" s="1464"/>
      <c r="O719" s="1464"/>
      <c r="P719" s="1464"/>
      <c r="Q719" s="1464"/>
      <c r="R719" s="1464"/>
      <c r="S719" s="1464"/>
      <c r="T719" s="1464"/>
      <c r="U719" s="1464"/>
      <c r="V719" s="1464"/>
      <c r="W719" s="1464"/>
      <c r="X719" s="1464"/>
      <c r="Y719" s="1464"/>
      <c r="Z719" s="1464"/>
      <c r="AA719" s="1464"/>
      <c r="AB719" s="1464"/>
    </row>
    <row r="720">
      <c r="A720" s="1464"/>
      <c r="B720" s="1464"/>
      <c r="C720" s="1464"/>
      <c r="D720" s="1464"/>
      <c r="E720" s="1464"/>
      <c r="F720" s="1464"/>
      <c r="G720" s="1464"/>
      <c r="H720" s="1464"/>
      <c r="I720" s="1464"/>
      <c r="J720" s="1464"/>
      <c r="K720" s="1464"/>
      <c r="L720" s="1464"/>
      <c r="M720" s="1464"/>
      <c r="N720" s="1464"/>
      <c r="O720" s="1464"/>
      <c r="P720" s="1464"/>
      <c r="Q720" s="1464"/>
      <c r="R720" s="1464"/>
      <c r="S720" s="1464"/>
      <c r="T720" s="1464"/>
      <c r="U720" s="1464"/>
      <c r="V720" s="1464"/>
      <c r="W720" s="1464"/>
      <c r="X720" s="1464"/>
      <c r="Y720" s="1464"/>
      <c r="Z720" s="1464"/>
      <c r="AA720" s="1464"/>
      <c r="AB720" s="1464"/>
    </row>
    <row r="721">
      <c r="A721" s="1464"/>
      <c r="B721" s="1464"/>
      <c r="C721" s="1464"/>
      <c r="D721" s="1464"/>
      <c r="E721" s="1464"/>
      <c r="F721" s="1464"/>
      <c r="G721" s="1464"/>
      <c r="H721" s="1464"/>
      <c r="I721" s="1464"/>
      <c r="J721" s="1464"/>
      <c r="K721" s="1464"/>
      <c r="L721" s="1464"/>
      <c r="M721" s="1464"/>
      <c r="N721" s="1464"/>
      <c r="O721" s="1464"/>
      <c r="P721" s="1464"/>
      <c r="Q721" s="1464"/>
      <c r="R721" s="1464"/>
      <c r="S721" s="1464"/>
      <c r="T721" s="1464"/>
      <c r="U721" s="1464"/>
      <c r="V721" s="1464"/>
      <c r="W721" s="1464"/>
      <c r="X721" s="1464"/>
      <c r="Y721" s="1464"/>
      <c r="Z721" s="1464"/>
      <c r="AA721" s="1464"/>
      <c r="AB721" s="1464"/>
    </row>
    <row r="722">
      <c r="A722" s="1464"/>
      <c r="B722" s="1464"/>
      <c r="C722" s="1464"/>
      <c r="D722" s="1464"/>
      <c r="E722" s="1464"/>
      <c r="F722" s="1464"/>
      <c r="G722" s="1464"/>
      <c r="H722" s="1464"/>
      <c r="I722" s="1464"/>
      <c r="J722" s="1464"/>
      <c r="K722" s="1464"/>
      <c r="L722" s="1464"/>
      <c r="M722" s="1464"/>
      <c r="N722" s="1464"/>
      <c r="O722" s="1464"/>
      <c r="P722" s="1464"/>
      <c r="Q722" s="1464"/>
      <c r="R722" s="1464"/>
      <c r="S722" s="1464"/>
      <c r="T722" s="1464"/>
      <c r="U722" s="1464"/>
      <c r="V722" s="1464"/>
      <c r="W722" s="1464"/>
      <c r="X722" s="1464"/>
      <c r="Y722" s="1464"/>
      <c r="Z722" s="1464"/>
      <c r="AA722" s="1464"/>
      <c r="AB722" s="1464"/>
    </row>
    <row r="723">
      <c r="A723" s="1464"/>
      <c r="B723" s="1464"/>
      <c r="C723" s="1464"/>
      <c r="D723" s="1464"/>
      <c r="E723" s="1464"/>
      <c r="F723" s="1464"/>
      <c r="G723" s="1464"/>
      <c r="H723" s="1464"/>
      <c r="I723" s="1464"/>
      <c r="J723" s="1464"/>
      <c r="K723" s="1464"/>
      <c r="L723" s="1464"/>
      <c r="M723" s="1464"/>
      <c r="N723" s="1464"/>
      <c r="O723" s="1464"/>
      <c r="P723" s="1464"/>
      <c r="Q723" s="1464"/>
      <c r="R723" s="1464"/>
      <c r="S723" s="1464"/>
      <c r="T723" s="1464"/>
      <c r="U723" s="1464"/>
      <c r="V723" s="1464"/>
      <c r="W723" s="1464"/>
      <c r="X723" s="1464"/>
      <c r="Y723" s="1464"/>
      <c r="Z723" s="1464"/>
      <c r="AA723" s="1464"/>
      <c r="AB723" s="1464"/>
    </row>
    <row r="724">
      <c r="A724" s="1464"/>
      <c r="B724" s="1464"/>
      <c r="C724" s="1464"/>
      <c r="D724" s="1464"/>
      <c r="E724" s="1464"/>
      <c r="F724" s="1464"/>
      <c r="G724" s="1464"/>
      <c r="H724" s="1464"/>
      <c r="I724" s="1464"/>
      <c r="J724" s="1464"/>
      <c r="K724" s="1464"/>
      <c r="L724" s="1464"/>
      <c r="M724" s="1464"/>
      <c r="N724" s="1464"/>
      <c r="O724" s="1464"/>
      <c r="P724" s="1464"/>
      <c r="Q724" s="1464"/>
      <c r="R724" s="1464"/>
      <c r="S724" s="1464"/>
      <c r="T724" s="1464"/>
      <c r="U724" s="1464"/>
      <c r="V724" s="1464"/>
      <c r="W724" s="1464"/>
      <c r="X724" s="1464"/>
      <c r="Y724" s="1464"/>
      <c r="Z724" s="1464"/>
      <c r="AA724" s="1464"/>
      <c r="AB724" s="1464"/>
    </row>
    <row r="725">
      <c r="A725" s="1464"/>
      <c r="B725" s="1464"/>
      <c r="C725" s="1464"/>
      <c r="D725" s="1464"/>
      <c r="E725" s="1464"/>
      <c r="F725" s="1464"/>
      <c r="G725" s="1464"/>
      <c r="H725" s="1464"/>
      <c r="I725" s="1464"/>
      <c r="J725" s="1464"/>
      <c r="K725" s="1464"/>
      <c r="L725" s="1464"/>
      <c r="M725" s="1464"/>
      <c r="N725" s="1464"/>
      <c r="O725" s="1464"/>
      <c r="P725" s="1464"/>
      <c r="Q725" s="1464"/>
      <c r="R725" s="1464"/>
      <c r="S725" s="1464"/>
      <c r="T725" s="1464"/>
      <c r="U725" s="1464"/>
      <c r="V725" s="1464"/>
      <c r="W725" s="1464"/>
      <c r="X725" s="1464"/>
      <c r="Y725" s="1464"/>
      <c r="Z725" s="1464"/>
      <c r="AA725" s="1464"/>
      <c r="AB725" s="1464"/>
    </row>
    <row r="726">
      <c r="A726" s="1464"/>
      <c r="B726" s="1464"/>
      <c r="C726" s="1464"/>
      <c r="D726" s="1464"/>
      <c r="E726" s="1464"/>
      <c r="F726" s="1464"/>
      <c r="G726" s="1464"/>
      <c r="H726" s="1464"/>
      <c r="I726" s="1464"/>
      <c r="J726" s="1464"/>
      <c r="K726" s="1464"/>
      <c r="L726" s="1464"/>
      <c r="M726" s="1464"/>
      <c r="N726" s="1464"/>
      <c r="O726" s="1464"/>
      <c r="P726" s="1464"/>
      <c r="Q726" s="1464"/>
      <c r="R726" s="1464"/>
      <c r="S726" s="1464"/>
      <c r="T726" s="1464"/>
      <c r="U726" s="1464"/>
      <c r="V726" s="1464"/>
      <c r="W726" s="1464"/>
      <c r="X726" s="1464"/>
      <c r="Y726" s="1464"/>
      <c r="Z726" s="1464"/>
      <c r="AA726" s="1464"/>
      <c r="AB726" s="1464"/>
    </row>
    <row r="727">
      <c r="A727" s="1464"/>
      <c r="B727" s="1464"/>
      <c r="C727" s="1464"/>
      <c r="D727" s="1464"/>
      <c r="E727" s="1464"/>
      <c r="F727" s="1464"/>
      <c r="G727" s="1464"/>
      <c r="H727" s="1464"/>
      <c r="I727" s="1464"/>
      <c r="J727" s="1464"/>
      <c r="K727" s="1464"/>
      <c r="L727" s="1464"/>
      <c r="M727" s="1464"/>
      <c r="N727" s="1464"/>
      <c r="O727" s="1464"/>
      <c r="P727" s="1464"/>
      <c r="Q727" s="1464"/>
      <c r="R727" s="1464"/>
      <c r="S727" s="1464"/>
      <c r="T727" s="1464"/>
      <c r="U727" s="1464"/>
      <c r="V727" s="1464"/>
      <c r="W727" s="1464"/>
      <c r="X727" s="1464"/>
      <c r="Y727" s="1464"/>
      <c r="Z727" s="1464"/>
      <c r="AA727" s="1464"/>
      <c r="AB727" s="1464"/>
    </row>
    <row r="728">
      <c r="A728" s="1464"/>
      <c r="B728" s="1464"/>
      <c r="C728" s="1464"/>
      <c r="D728" s="1464"/>
      <c r="E728" s="1464"/>
      <c r="F728" s="1464"/>
      <c r="G728" s="1464"/>
      <c r="H728" s="1464"/>
      <c r="I728" s="1464"/>
      <c r="J728" s="1464"/>
      <c r="K728" s="1464"/>
      <c r="L728" s="1464"/>
      <c r="M728" s="1464"/>
      <c r="N728" s="1464"/>
      <c r="O728" s="1464"/>
      <c r="P728" s="1464"/>
      <c r="Q728" s="1464"/>
      <c r="R728" s="1464"/>
      <c r="S728" s="1464"/>
      <c r="T728" s="1464"/>
      <c r="U728" s="1464"/>
      <c r="V728" s="1464"/>
      <c r="W728" s="1464"/>
      <c r="X728" s="1464"/>
      <c r="Y728" s="1464"/>
      <c r="Z728" s="1464"/>
      <c r="AA728" s="1464"/>
      <c r="AB728" s="1464"/>
    </row>
    <row r="729">
      <c r="A729" s="1464"/>
      <c r="B729" s="1464"/>
      <c r="C729" s="1464"/>
      <c r="D729" s="1464"/>
      <c r="E729" s="1464"/>
      <c r="F729" s="1464"/>
      <c r="G729" s="1464"/>
      <c r="H729" s="1464"/>
      <c r="I729" s="1464"/>
      <c r="J729" s="1464"/>
      <c r="K729" s="1464"/>
      <c r="L729" s="1464"/>
      <c r="M729" s="1464"/>
      <c r="N729" s="1464"/>
      <c r="O729" s="1464"/>
      <c r="P729" s="1464"/>
      <c r="Q729" s="1464"/>
      <c r="R729" s="1464"/>
      <c r="S729" s="1464"/>
      <c r="T729" s="1464"/>
      <c r="U729" s="1464"/>
      <c r="V729" s="1464"/>
      <c r="W729" s="1464"/>
      <c r="X729" s="1464"/>
      <c r="Y729" s="1464"/>
      <c r="Z729" s="1464"/>
      <c r="AA729" s="1464"/>
      <c r="AB729" s="1464"/>
    </row>
    <row r="730">
      <c r="A730" s="1464"/>
      <c r="B730" s="1464"/>
      <c r="C730" s="1464"/>
      <c r="D730" s="1464"/>
      <c r="E730" s="1464"/>
      <c r="F730" s="1464"/>
      <c r="G730" s="1464"/>
      <c r="H730" s="1464"/>
      <c r="I730" s="1464"/>
      <c r="J730" s="1464"/>
      <c r="K730" s="1464"/>
      <c r="L730" s="1464"/>
      <c r="M730" s="1464"/>
      <c r="N730" s="1464"/>
      <c r="O730" s="1464"/>
      <c r="P730" s="1464"/>
      <c r="Q730" s="1464"/>
      <c r="R730" s="1464"/>
      <c r="S730" s="1464"/>
      <c r="T730" s="1464"/>
      <c r="U730" s="1464"/>
      <c r="V730" s="1464"/>
      <c r="W730" s="1464"/>
      <c r="X730" s="1464"/>
      <c r="Y730" s="1464"/>
      <c r="Z730" s="1464"/>
      <c r="AA730" s="1464"/>
      <c r="AB730" s="1464"/>
    </row>
    <row r="731">
      <c r="A731" s="1464"/>
      <c r="B731" s="1464"/>
      <c r="C731" s="1464"/>
      <c r="D731" s="1464"/>
      <c r="E731" s="1464"/>
      <c r="F731" s="1464"/>
      <c r="G731" s="1464"/>
      <c r="H731" s="1464"/>
      <c r="I731" s="1464"/>
      <c r="J731" s="1464"/>
      <c r="K731" s="1464"/>
      <c r="L731" s="1464"/>
      <c r="M731" s="1464"/>
      <c r="N731" s="1464"/>
      <c r="O731" s="1464"/>
      <c r="P731" s="1464"/>
      <c r="Q731" s="1464"/>
      <c r="R731" s="1464"/>
      <c r="S731" s="1464"/>
      <c r="T731" s="1464"/>
      <c r="U731" s="1464"/>
      <c r="V731" s="1464"/>
      <c r="W731" s="1464"/>
      <c r="X731" s="1464"/>
      <c r="Y731" s="1464"/>
      <c r="Z731" s="1464"/>
      <c r="AA731" s="1464"/>
      <c r="AB731" s="1464"/>
    </row>
    <row r="732">
      <c r="A732" s="1464"/>
      <c r="B732" s="1464"/>
      <c r="C732" s="1464"/>
      <c r="D732" s="1464"/>
      <c r="E732" s="1464"/>
      <c r="F732" s="1464"/>
      <c r="G732" s="1464"/>
      <c r="H732" s="1464"/>
      <c r="I732" s="1464"/>
      <c r="J732" s="1464"/>
      <c r="K732" s="1464"/>
      <c r="L732" s="1464"/>
      <c r="M732" s="1464"/>
      <c r="N732" s="1464"/>
      <c r="O732" s="1464"/>
      <c r="P732" s="1464"/>
      <c r="Q732" s="1464"/>
      <c r="R732" s="1464"/>
      <c r="S732" s="1464"/>
      <c r="T732" s="1464"/>
      <c r="U732" s="1464"/>
      <c r="V732" s="1464"/>
      <c r="W732" s="1464"/>
      <c r="X732" s="1464"/>
      <c r="Y732" s="1464"/>
      <c r="Z732" s="1464"/>
      <c r="AA732" s="1464"/>
      <c r="AB732" s="1464"/>
    </row>
    <row r="733">
      <c r="A733" s="1464"/>
      <c r="B733" s="1464"/>
      <c r="C733" s="1464"/>
      <c r="D733" s="1464"/>
      <c r="E733" s="1464"/>
      <c r="F733" s="1464"/>
      <c r="G733" s="1464"/>
      <c r="H733" s="1464"/>
      <c r="I733" s="1464"/>
      <c r="J733" s="1464"/>
      <c r="K733" s="1464"/>
      <c r="L733" s="1464"/>
      <c r="M733" s="1464"/>
      <c r="N733" s="1464"/>
      <c r="O733" s="1464"/>
      <c r="P733" s="1464"/>
      <c r="Q733" s="1464"/>
      <c r="R733" s="1464"/>
      <c r="S733" s="1464"/>
      <c r="T733" s="1464"/>
      <c r="U733" s="1464"/>
      <c r="V733" s="1464"/>
      <c r="W733" s="1464"/>
      <c r="X733" s="1464"/>
      <c r="Y733" s="1464"/>
      <c r="Z733" s="1464"/>
      <c r="AA733" s="1464"/>
      <c r="AB733" s="1464"/>
    </row>
    <row r="734">
      <c r="A734" s="1464"/>
      <c r="B734" s="1464"/>
      <c r="C734" s="1464"/>
      <c r="D734" s="1464"/>
      <c r="E734" s="1464"/>
      <c r="F734" s="1464"/>
      <c r="G734" s="1464"/>
      <c r="H734" s="1464"/>
      <c r="I734" s="1464"/>
      <c r="J734" s="1464"/>
      <c r="K734" s="1464"/>
      <c r="L734" s="1464"/>
      <c r="M734" s="1464"/>
      <c r="N734" s="1464"/>
      <c r="O734" s="1464"/>
      <c r="P734" s="1464"/>
      <c r="Q734" s="1464"/>
      <c r="R734" s="1464"/>
      <c r="S734" s="1464"/>
      <c r="T734" s="1464"/>
      <c r="U734" s="1464"/>
      <c r="V734" s="1464"/>
      <c r="W734" s="1464"/>
      <c r="X734" s="1464"/>
      <c r="Y734" s="1464"/>
      <c r="Z734" s="1464"/>
      <c r="AA734" s="1464"/>
      <c r="AB734" s="1464"/>
    </row>
    <row r="735">
      <c r="A735" s="1464"/>
      <c r="B735" s="1464"/>
      <c r="C735" s="1464"/>
      <c r="D735" s="1464"/>
      <c r="E735" s="1464"/>
      <c r="F735" s="1464"/>
      <c r="G735" s="1464"/>
      <c r="H735" s="1464"/>
      <c r="I735" s="1464"/>
      <c r="J735" s="1464"/>
      <c r="K735" s="1464"/>
      <c r="L735" s="1464"/>
      <c r="M735" s="1464"/>
      <c r="N735" s="1464"/>
      <c r="O735" s="1464"/>
      <c r="P735" s="1464"/>
      <c r="Q735" s="1464"/>
      <c r="R735" s="1464"/>
      <c r="S735" s="1464"/>
      <c r="T735" s="1464"/>
      <c r="U735" s="1464"/>
      <c r="V735" s="1464"/>
      <c r="W735" s="1464"/>
      <c r="X735" s="1464"/>
      <c r="Y735" s="1464"/>
      <c r="Z735" s="1464"/>
      <c r="AA735" s="1464"/>
      <c r="AB735" s="1464"/>
    </row>
    <row r="736">
      <c r="A736" s="1464"/>
      <c r="B736" s="1464"/>
      <c r="C736" s="1464"/>
      <c r="D736" s="1464"/>
      <c r="E736" s="1464"/>
      <c r="F736" s="1464"/>
      <c r="G736" s="1464"/>
      <c r="H736" s="1464"/>
      <c r="I736" s="1464"/>
      <c r="J736" s="1464"/>
      <c r="K736" s="1464"/>
      <c r="L736" s="1464"/>
      <c r="M736" s="1464"/>
      <c r="N736" s="1464"/>
      <c r="O736" s="1464"/>
      <c r="P736" s="1464"/>
      <c r="Q736" s="1464"/>
      <c r="R736" s="1464"/>
      <c r="S736" s="1464"/>
      <c r="T736" s="1464"/>
      <c r="U736" s="1464"/>
      <c r="V736" s="1464"/>
      <c r="W736" s="1464"/>
      <c r="X736" s="1464"/>
      <c r="Y736" s="1464"/>
      <c r="Z736" s="1464"/>
      <c r="AA736" s="1464"/>
      <c r="AB736" s="1464"/>
    </row>
    <row r="737">
      <c r="A737" s="1464"/>
      <c r="B737" s="1464"/>
      <c r="C737" s="1464"/>
      <c r="D737" s="1464"/>
      <c r="E737" s="1464"/>
      <c r="F737" s="1464"/>
      <c r="G737" s="1464"/>
      <c r="H737" s="1464"/>
      <c r="I737" s="1464"/>
      <c r="J737" s="1464"/>
      <c r="K737" s="1464"/>
      <c r="L737" s="1464"/>
      <c r="M737" s="1464"/>
      <c r="N737" s="1464"/>
      <c r="O737" s="1464"/>
      <c r="P737" s="1464"/>
      <c r="Q737" s="1464"/>
      <c r="R737" s="1464"/>
      <c r="S737" s="1464"/>
      <c r="T737" s="1464"/>
      <c r="U737" s="1464"/>
      <c r="V737" s="1464"/>
      <c r="W737" s="1464"/>
      <c r="X737" s="1464"/>
      <c r="Y737" s="1464"/>
      <c r="Z737" s="1464"/>
      <c r="AA737" s="1464"/>
      <c r="AB737" s="1464"/>
    </row>
    <row r="738">
      <c r="A738" s="1464"/>
      <c r="B738" s="1464"/>
      <c r="C738" s="1464"/>
      <c r="D738" s="1464"/>
      <c r="E738" s="1464"/>
      <c r="F738" s="1464"/>
      <c r="G738" s="1464"/>
      <c r="H738" s="1464"/>
      <c r="I738" s="1464"/>
      <c r="J738" s="1464"/>
      <c r="K738" s="1464"/>
      <c r="L738" s="1464"/>
      <c r="M738" s="1464"/>
      <c r="N738" s="1464"/>
      <c r="O738" s="1464"/>
      <c r="P738" s="1464"/>
      <c r="Q738" s="1464"/>
      <c r="R738" s="1464"/>
      <c r="S738" s="1464"/>
      <c r="T738" s="1464"/>
      <c r="U738" s="1464"/>
      <c r="V738" s="1464"/>
      <c r="W738" s="1464"/>
      <c r="X738" s="1464"/>
      <c r="Y738" s="1464"/>
      <c r="Z738" s="1464"/>
      <c r="AA738" s="1464"/>
      <c r="AB738" s="1464"/>
    </row>
    <row r="739">
      <c r="A739" s="1464"/>
      <c r="B739" s="1464"/>
      <c r="C739" s="1464"/>
      <c r="D739" s="1464"/>
      <c r="E739" s="1464"/>
      <c r="F739" s="1464"/>
      <c r="G739" s="1464"/>
      <c r="H739" s="1464"/>
      <c r="I739" s="1464"/>
      <c r="J739" s="1464"/>
      <c r="K739" s="1464"/>
      <c r="L739" s="1464"/>
      <c r="M739" s="1464"/>
      <c r="N739" s="1464"/>
      <c r="O739" s="1464"/>
      <c r="P739" s="1464"/>
      <c r="Q739" s="1464"/>
      <c r="R739" s="1464"/>
      <c r="S739" s="1464"/>
      <c r="T739" s="1464"/>
      <c r="U739" s="1464"/>
      <c r="V739" s="1464"/>
      <c r="W739" s="1464"/>
      <c r="X739" s="1464"/>
      <c r="Y739" s="1464"/>
      <c r="Z739" s="1464"/>
      <c r="AA739" s="1464"/>
      <c r="AB739" s="1464"/>
    </row>
    <row r="740">
      <c r="A740" s="1464"/>
      <c r="B740" s="1464"/>
      <c r="C740" s="1464"/>
      <c r="D740" s="1464"/>
      <c r="E740" s="1464"/>
      <c r="F740" s="1464"/>
      <c r="G740" s="1464"/>
      <c r="H740" s="1464"/>
      <c r="I740" s="1464"/>
      <c r="J740" s="1464"/>
      <c r="K740" s="1464"/>
      <c r="L740" s="1464"/>
      <c r="M740" s="1464"/>
      <c r="N740" s="1464"/>
      <c r="O740" s="1464"/>
      <c r="P740" s="1464"/>
      <c r="Q740" s="1464"/>
      <c r="R740" s="1464"/>
      <c r="S740" s="1464"/>
      <c r="T740" s="1464"/>
      <c r="U740" s="1464"/>
      <c r="V740" s="1464"/>
      <c r="W740" s="1464"/>
      <c r="X740" s="1464"/>
      <c r="Y740" s="1464"/>
      <c r="Z740" s="1464"/>
      <c r="AA740" s="1464"/>
      <c r="AB740" s="1464"/>
    </row>
    <row r="741">
      <c r="A741" s="1464"/>
      <c r="B741" s="1464"/>
      <c r="C741" s="1464"/>
      <c r="D741" s="1464"/>
      <c r="E741" s="1464"/>
      <c r="F741" s="1464"/>
      <c r="G741" s="1464"/>
      <c r="H741" s="1464"/>
      <c r="I741" s="1464"/>
      <c r="J741" s="1464"/>
      <c r="K741" s="1464"/>
      <c r="L741" s="1464"/>
      <c r="M741" s="1464"/>
      <c r="N741" s="1464"/>
      <c r="O741" s="1464"/>
      <c r="P741" s="1464"/>
      <c r="Q741" s="1464"/>
      <c r="R741" s="1464"/>
      <c r="S741" s="1464"/>
      <c r="T741" s="1464"/>
      <c r="U741" s="1464"/>
      <c r="V741" s="1464"/>
      <c r="W741" s="1464"/>
      <c r="X741" s="1464"/>
      <c r="Y741" s="1464"/>
      <c r="Z741" s="1464"/>
      <c r="AA741" s="1464"/>
      <c r="AB741" s="1464"/>
    </row>
    <row r="742">
      <c r="A742" s="1464"/>
      <c r="B742" s="1464"/>
      <c r="C742" s="1464"/>
      <c r="D742" s="1464"/>
      <c r="E742" s="1464"/>
      <c r="F742" s="1464"/>
      <c r="G742" s="1464"/>
      <c r="H742" s="1464"/>
      <c r="I742" s="1464"/>
      <c r="J742" s="1464"/>
      <c r="K742" s="1464"/>
      <c r="L742" s="1464"/>
      <c r="M742" s="1464"/>
      <c r="N742" s="1464"/>
      <c r="O742" s="1464"/>
      <c r="P742" s="1464"/>
      <c r="Q742" s="1464"/>
      <c r="R742" s="1464"/>
      <c r="S742" s="1464"/>
      <c r="T742" s="1464"/>
      <c r="U742" s="1464"/>
      <c r="V742" s="1464"/>
      <c r="W742" s="1464"/>
      <c r="X742" s="1464"/>
      <c r="Y742" s="1464"/>
      <c r="Z742" s="1464"/>
      <c r="AA742" s="1464"/>
      <c r="AB742" s="1464"/>
    </row>
    <row r="743">
      <c r="A743" s="1464"/>
      <c r="B743" s="1464"/>
      <c r="C743" s="1464"/>
      <c r="D743" s="1464"/>
      <c r="E743" s="1464"/>
      <c r="F743" s="1464"/>
      <c r="G743" s="1464"/>
      <c r="H743" s="1464"/>
      <c r="I743" s="1464"/>
      <c r="J743" s="1464"/>
      <c r="K743" s="1464"/>
      <c r="L743" s="1464"/>
      <c r="M743" s="1464"/>
      <c r="N743" s="1464"/>
      <c r="O743" s="1464"/>
      <c r="P743" s="1464"/>
      <c r="Q743" s="1464"/>
      <c r="R743" s="1464"/>
      <c r="S743" s="1464"/>
      <c r="T743" s="1464"/>
      <c r="U743" s="1464"/>
      <c r="V743" s="1464"/>
      <c r="W743" s="1464"/>
      <c r="X743" s="1464"/>
      <c r="Y743" s="1464"/>
      <c r="Z743" s="1464"/>
      <c r="AA743" s="1464"/>
      <c r="AB743" s="1464"/>
    </row>
    <row r="744">
      <c r="A744" s="1464"/>
      <c r="B744" s="1464"/>
      <c r="C744" s="1464"/>
      <c r="D744" s="1464"/>
      <c r="E744" s="1464"/>
      <c r="F744" s="1464"/>
      <c r="G744" s="1464"/>
      <c r="H744" s="1464"/>
      <c r="I744" s="1464"/>
      <c r="J744" s="1464"/>
      <c r="K744" s="1464"/>
      <c r="L744" s="1464"/>
      <c r="M744" s="1464"/>
      <c r="N744" s="1464"/>
      <c r="O744" s="1464"/>
      <c r="P744" s="1464"/>
      <c r="Q744" s="1464"/>
      <c r="R744" s="1464"/>
      <c r="S744" s="1464"/>
      <c r="T744" s="1464"/>
      <c r="U744" s="1464"/>
      <c r="V744" s="1464"/>
      <c r="W744" s="1464"/>
      <c r="X744" s="1464"/>
      <c r="Y744" s="1464"/>
      <c r="Z744" s="1464"/>
      <c r="AA744" s="1464"/>
      <c r="AB744" s="1464"/>
    </row>
    <row r="745">
      <c r="A745" s="1464"/>
      <c r="B745" s="1464"/>
      <c r="C745" s="1464"/>
      <c r="D745" s="1464"/>
      <c r="E745" s="1464"/>
      <c r="F745" s="1464"/>
      <c r="G745" s="1464"/>
      <c r="H745" s="1464"/>
      <c r="I745" s="1464"/>
      <c r="J745" s="1464"/>
      <c r="K745" s="1464"/>
      <c r="L745" s="1464"/>
      <c r="M745" s="1464"/>
      <c r="N745" s="1464"/>
      <c r="O745" s="1464"/>
      <c r="P745" s="1464"/>
      <c r="Q745" s="1464"/>
      <c r="R745" s="1464"/>
      <c r="S745" s="1464"/>
      <c r="T745" s="1464"/>
      <c r="U745" s="1464"/>
      <c r="V745" s="1464"/>
      <c r="W745" s="1464"/>
      <c r="X745" s="1464"/>
      <c r="Y745" s="1464"/>
      <c r="Z745" s="1464"/>
      <c r="AA745" s="1464"/>
      <c r="AB745" s="1464"/>
    </row>
    <row r="746">
      <c r="A746" s="1464"/>
      <c r="B746" s="1464"/>
      <c r="C746" s="1464"/>
      <c r="D746" s="1464"/>
      <c r="E746" s="1464"/>
      <c r="F746" s="1464"/>
      <c r="G746" s="1464"/>
      <c r="H746" s="1464"/>
      <c r="I746" s="1464"/>
      <c r="J746" s="1464"/>
      <c r="K746" s="1464"/>
      <c r="L746" s="1464"/>
      <c r="M746" s="1464"/>
      <c r="N746" s="1464"/>
      <c r="O746" s="1464"/>
      <c r="P746" s="1464"/>
      <c r="Q746" s="1464"/>
      <c r="R746" s="1464"/>
      <c r="S746" s="1464"/>
      <c r="T746" s="1464"/>
      <c r="U746" s="1464"/>
      <c r="V746" s="1464"/>
      <c r="W746" s="1464"/>
      <c r="X746" s="1464"/>
      <c r="Y746" s="1464"/>
      <c r="Z746" s="1464"/>
      <c r="AA746" s="1464"/>
      <c r="AB746" s="1464"/>
    </row>
    <row r="747">
      <c r="A747" s="1464"/>
      <c r="B747" s="1464"/>
      <c r="C747" s="1464"/>
      <c r="D747" s="1464"/>
      <c r="E747" s="1464"/>
      <c r="F747" s="1464"/>
      <c r="G747" s="1464"/>
      <c r="H747" s="1464"/>
      <c r="I747" s="1464"/>
      <c r="J747" s="1464"/>
      <c r="K747" s="1464"/>
      <c r="L747" s="1464"/>
      <c r="M747" s="1464"/>
      <c r="N747" s="1464"/>
      <c r="O747" s="1464"/>
      <c r="P747" s="1464"/>
      <c r="Q747" s="1464"/>
      <c r="R747" s="1464"/>
      <c r="S747" s="1464"/>
      <c r="T747" s="1464"/>
      <c r="U747" s="1464"/>
      <c r="V747" s="1464"/>
      <c r="W747" s="1464"/>
      <c r="X747" s="1464"/>
      <c r="Y747" s="1464"/>
      <c r="Z747" s="1464"/>
      <c r="AA747" s="1464"/>
      <c r="AB747" s="1464"/>
    </row>
    <row r="748">
      <c r="A748" s="1464"/>
      <c r="B748" s="1464"/>
      <c r="C748" s="1464"/>
      <c r="D748" s="1464"/>
      <c r="E748" s="1464"/>
      <c r="F748" s="1464"/>
      <c r="G748" s="1464"/>
      <c r="H748" s="1464"/>
      <c r="I748" s="1464"/>
      <c r="J748" s="1464"/>
      <c r="K748" s="1464"/>
      <c r="L748" s="1464"/>
      <c r="M748" s="1464"/>
      <c r="N748" s="1464"/>
      <c r="O748" s="1464"/>
      <c r="P748" s="1464"/>
      <c r="Q748" s="1464"/>
      <c r="R748" s="1464"/>
      <c r="S748" s="1464"/>
      <c r="T748" s="1464"/>
      <c r="U748" s="1464"/>
      <c r="V748" s="1464"/>
      <c r="W748" s="1464"/>
      <c r="X748" s="1464"/>
      <c r="Y748" s="1464"/>
      <c r="Z748" s="1464"/>
      <c r="AA748" s="1464"/>
      <c r="AB748" s="1464"/>
    </row>
    <row r="749">
      <c r="A749" s="1464"/>
      <c r="B749" s="1464"/>
      <c r="C749" s="1464"/>
      <c r="D749" s="1464"/>
      <c r="E749" s="1464"/>
      <c r="F749" s="1464"/>
      <c r="G749" s="1464"/>
      <c r="H749" s="1464"/>
      <c r="I749" s="1464"/>
      <c r="J749" s="1464"/>
      <c r="K749" s="1464"/>
      <c r="L749" s="1464"/>
      <c r="M749" s="1464"/>
      <c r="N749" s="1464"/>
      <c r="O749" s="1464"/>
      <c r="P749" s="1464"/>
      <c r="Q749" s="1464"/>
      <c r="R749" s="1464"/>
      <c r="S749" s="1464"/>
      <c r="T749" s="1464"/>
      <c r="U749" s="1464"/>
      <c r="V749" s="1464"/>
      <c r="W749" s="1464"/>
      <c r="X749" s="1464"/>
      <c r="Y749" s="1464"/>
      <c r="Z749" s="1464"/>
      <c r="AA749" s="1464"/>
      <c r="AB749" s="1464"/>
    </row>
    <row r="750">
      <c r="A750" s="1464"/>
      <c r="B750" s="1464"/>
      <c r="C750" s="1464"/>
      <c r="D750" s="1464"/>
      <c r="E750" s="1464"/>
      <c r="F750" s="1464"/>
      <c r="G750" s="1464"/>
      <c r="H750" s="1464"/>
      <c r="I750" s="1464"/>
      <c r="J750" s="1464"/>
      <c r="K750" s="1464"/>
      <c r="L750" s="1464"/>
      <c r="M750" s="1464"/>
      <c r="N750" s="1464"/>
      <c r="O750" s="1464"/>
      <c r="P750" s="1464"/>
      <c r="Q750" s="1464"/>
      <c r="R750" s="1464"/>
      <c r="S750" s="1464"/>
      <c r="T750" s="1464"/>
      <c r="U750" s="1464"/>
      <c r="V750" s="1464"/>
      <c r="W750" s="1464"/>
      <c r="X750" s="1464"/>
      <c r="Y750" s="1464"/>
      <c r="Z750" s="1464"/>
      <c r="AA750" s="1464"/>
      <c r="AB750" s="1464"/>
    </row>
    <row r="751">
      <c r="A751" s="1464"/>
      <c r="B751" s="1464"/>
      <c r="C751" s="1464"/>
      <c r="D751" s="1464"/>
      <c r="E751" s="1464"/>
      <c r="F751" s="1464"/>
      <c r="G751" s="1464"/>
      <c r="H751" s="1464"/>
      <c r="I751" s="1464"/>
      <c r="J751" s="1464"/>
      <c r="K751" s="1464"/>
      <c r="L751" s="1464"/>
      <c r="M751" s="1464"/>
      <c r="N751" s="1464"/>
      <c r="O751" s="1464"/>
      <c r="P751" s="1464"/>
      <c r="Q751" s="1464"/>
      <c r="R751" s="1464"/>
      <c r="S751" s="1464"/>
      <c r="T751" s="1464"/>
      <c r="U751" s="1464"/>
      <c r="V751" s="1464"/>
      <c r="W751" s="1464"/>
      <c r="X751" s="1464"/>
      <c r="Y751" s="1464"/>
      <c r="Z751" s="1464"/>
      <c r="AA751" s="1464"/>
      <c r="AB751" s="1464"/>
    </row>
    <row r="752">
      <c r="A752" s="1464"/>
      <c r="B752" s="1464"/>
      <c r="C752" s="1464"/>
      <c r="D752" s="1464"/>
      <c r="E752" s="1464"/>
      <c r="F752" s="1464"/>
      <c r="G752" s="1464"/>
      <c r="H752" s="1464"/>
      <c r="I752" s="1464"/>
      <c r="J752" s="1464"/>
      <c r="K752" s="1464"/>
      <c r="L752" s="1464"/>
      <c r="M752" s="1464"/>
      <c r="N752" s="1464"/>
      <c r="O752" s="1464"/>
      <c r="P752" s="1464"/>
      <c r="Q752" s="1464"/>
      <c r="R752" s="1464"/>
      <c r="S752" s="1464"/>
      <c r="T752" s="1464"/>
      <c r="U752" s="1464"/>
      <c r="V752" s="1464"/>
      <c r="W752" s="1464"/>
      <c r="X752" s="1464"/>
      <c r="Y752" s="1464"/>
      <c r="Z752" s="1464"/>
      <c r="AA752" s="1464"/>
      <c r="AB752" s="1464"/>
    </row>
    <row r="753">
      <c r="A753" s="1464"/>
      <c r="B753" s="1464"/>
      <c r="C753" s="1464"/>
      <c r="D753" s="1464"/>
      <c r="E753" s="1464"/>
      <c r="F753" s="1464"/>
      <c r="G753" s="1464"/>
      <c r="H753" s="1464"/>
      <c r="I753" s="1464"/>
      <c r="J753" s="1464"/>
      <c r="K753" s="1464"/>
      <c r="L753" s="1464"/>
      <c r="M753" s="1464"/>
      <c r="N753" s="1464"/>
      <c r="O753" s="1464"/>
      <c r="P753" s="1464"/>
      <c r="Q753" s="1464"/>
      <c r="R753" s="1464"/>
      <c r="S753" s="1464"/>
      <c r="T753" s="1464"/>
      <c r="U753" s="1464"/>
      <c r="V753" s="1464"/>
      <c r="W753" s="1464"/>
      <c r="X753" s="1464"/>
      <c r="Y753" s="1464"/>
      <c r="Z753" s="1464"/>
      <c r="AA753" s="1464"/>
      <c r="AB753" s="1464"/>
    </row>
    <row r="754">
      <c r="A754" s="1464"/>
      <c r="B754" s="1464"/>
      <c r="C754" s="1464"/>
      <c r="D754" s="1464"/>
      <c r="E754" s="1464"/>
      <c r="F754" s="1464"/>
      <c r="G754" s="1464"/>
      <c r="H754" s="1464"/>
      <c r="I754" s="1464"/>
      <c r="J754" s="1464"/>
      <c r="K754" s="1464"/>
      <c r="L754" s="1464"/>
      <c r="M754" s="1464"/>
      <c r="N754" s="1464"/>
      <c r="O754" s="1464"/>
      <c r="P754" s="1464"/>
      <c r="Q754" s="1464"/>
      <c r="R754" s="1464"/>
      <c r="S754" s="1464"/>
      <c r="T754" s="1464"/>
      <c r="U754" s="1464"/>
      <c r="V754" s="1464"/>
      <c r="W754" s="1464"/>
      <c r="X754" s="1464"/>
      <c r="Y754" s="1464"/>
      <c r="Z754" s="1464"/>
      <c r="AA754" s="1464"/>
      <c r="AB754" s="1464"/>
    </row>
    <row r="755">
      <c r="A755" s="1464"/>
      <c r="B755" s="1464"/>
      <c r="C755" s="1464"/>
      <c r="D755" s="1464"/>
      <c r="E755" s="1464"/>
      <c r="F755" s="1464"/>
      <c r="G755" s="1464"/>
      <c r="H755" s="1464"/>
      <c r="I755" s="1464"/>
      <c r="J755" s="1464"/>
      <c r="K755" s="1464"/>
      <c r="L755" s="1464"/>
      <c r="M755" s="1464"/>
      <c r="N755" s="1464"/>
      <c r="O755" s="1464"/>
      <c r="P755" s="1464"/>
      <c r="Q755" s="1464"/>
      <c r="R755" s="1464"/>
      <c r="S755" s="1464"/>
      <c r="T755" s="1464"/>
      <c r="U755" s="1464"/>
      <c r="V755" s="1464"/>
      <c r="W755" s="1464"/>
      <c r="X755" s="1464"/>
      <c r="Y755" s="1464"/>
      <c r="Z755" s="1464"/>
      <c r="AA755" s="1464"/>
      <c r="AB755" s="1464"/>
    </row>
    <row r="756">
      <c r="A756" s="1464"/>
      <c r="B756" s="1464"/>
      <c r="C756" s="1464"/>
      <c r="D756" s="1464"/>
      <c r="E756" s="1464"/>
      <c r="F756" s="1464"/>
      <c r="G756" s="1464"/>
      <c r="H756" s="1464"/>
      <c r="I756" s="1464"/>
      <c r="J756" s="1464"/>
      <c r="K756" s="1464"/>
      <c r="L756" s="1464"/>
      <c r="M756" s="1464"/>
      <c r="N756" s="1464"/>
      <c r="O756" s="1464"/>
      <c r="P756" s="1464"/>
      <c r="Q756" s="1464"/>
      <c r="R756" s="1464"/>
      <c r="S756" s="1464"/>
      <c r="T756" s="1464"/>
      <c r="U756" s="1464"/>
      <c r="V756" s="1464"/>
      <c r="W756" s="1464"/>
      <c r="X756" s="1464"/>
      <c r="Y756" s="1464"/>
      <c r="Z756" s="1464"/>
      <c r="AA756" s="1464"/>
      <c r="AB756" s="1464"/>
    </row>
    <row r="757">
      <c r="A757" s="1464"/>
      <c r="B757" s="1464"/>
      <c r="C757" s="1464"/>
      <c r="D757" s="1464"/>
      <c r="E757" s="1464"/>
      <c r="F757" s="1464"/>
      <c r="G757" s="1464"/>
      <c r="H757" s="1464"/>
      <c r="I757" s="1464"/>
      <c r="J757" s="1464"/>
      <c r="K757" s="1464"/>
      <c r="L757" s="1464"/>
      <c r="M757" s="1464"/>
      <c r="N757" s="1464"/>
      <c r="O757" s="1464"/>
      <c r="P757" s="1464"/>
      <c r="Q757" s="1464"/>
      <c r="R757" s="1464"/>
      <c r="S757" s="1464"/>
      <c r="T757" s="1464"/>
      <c r="U757" s="1464"/>
      <c r="V757" s="1464"/>
      <c r="W757" s="1464"/>
      <c r="X757" s="1464"/>
      <c r="Y757" s="1464"/>
      <c r="Z757" s="1464"/>
      <c r="AA757" s="1464"/>
      <c r="AB757" s="1464"/>
    </row>
    <row r="758">
      <c r="A758" s="1464"/>
      <c r="B758" s="1464"/>
      <c r="C758" s="1464"/>
      <c r="D758" s="1464"/>
      <c r="E758" s="1464"/>
      <c r="F758" s="1464"/>
      <c r="G758" s="1464"/>
      <c r="H758" s="1464"/>
      <c r="I758" s="1464"/>
      <c r="J758" s="1464"/>
      <c r="K758" s="1464"/>
      <c r="L758" s="1464"/>
      <c r="M758" s="1464"/>
      <c r="N758" s="1464"/>
      <c r="O758" s="1464"/>
      <c r="P758" s="1464"/>
      <c r="Q758" s="1464"/>
      <c r="R758" s="1464"/>
      <c r="S758" s="1464"/>
      <c r="T758" s="1464"/>
      <c r="U758" s="1464"/>
      <c r="V758" s="1464"/>
      <c r="W758" s="1464"/>
      <c r="X758" s="1464"/>
      <c r="Y758" s="1464"/>
      <c r="Z758" s="1464"/>
      <c r="AA758" s="1464"/>
      <c r="AB758" s="1464"/>
    </row>
    <row r="759">
      <c r="A759" s="1464"/>
      <c r="B759" s="1464"/>
      <c r="C759" s="1464"/>
      <c r="D759" s="1464"/>
      <c r="E759" s="1464"/>
      <c r="F759" s="1464"/>
      <c r="G759" s="1464"/>
      <c r="H759" s="1464"/>
      <c r="I759" s="1464"/>
      <c r="J759" s="1464"/>
      <c r="K759" s="1464"/>
      <c r="L759" s="1464"/>
      <c r="M759" s="1464"/>
      <c r="N759" s="1464"/>
      <c r="O759" s="1464"/>
      <c r="P759" s="1464"/>
      <c r="Q759" s="1464"/>
      <c r="R759" s="1464"/>
      <c r="S759" s="1464"/>
      <c r="T759" s="1464"/>
      <c r="U759" s="1464"/>
      <c r="V759" s="1464"/>
      <c r="W759" s="1464"/>
      <c r="X759" s="1464"/>
      <c r="Y759" s="1464"/>
      <c r="Z759" s="1464"/>
      <c r="AA759" s="1464"/>
      <c r="AB759" s="1464"/>
    </row>
    <row r="760">
      <c r="A760" s="1464"/>
      <c r="B760" s="1464"/>
      <c r="C760" s="1464"/>
      <c r="D760" s="1464"/>
      <c r="E760" s="1464"/>
      <c r="F760" s="1464"/>
      <c r="G760" s="1464"/>
      <c r="H760" s="1464"/>
      <c r="I760" s="1464"/>
      <c r="J760" s="1464"/>
      <c r="K760" s="1464"/>
      <c r="L760" s="1464"/>
      <c r="M760" s="1464"/>
      <c r="N760" s="1464"/>
      <c r="O760" s="1464"/>
      <c r="P760" s="1464"/>
      <c r="Q760" s="1464"/>
      <c r="R760" s="1464"/>
      <c r="S760" s="1464"/>
      <c r="T760" s="1464"/>
      <c r="U760" s="1464"/>
      <c r="V760" s="1464"/>
      <c r="W760" s="1464"/>
      <c r="X760" s="1464"/>
      <c r="Y760" s="1464"/>
      <c r="Z760" s="1464"/>
      <c r="AA760" s="1464"/>
      <c r="AB760" s="1464"/>
    </row>
    <row r="761">
      <c r="A761" s="1464"/>
      <c r="B761" s="1464"/>
      <c r="C761" s="1464"/>
      <c r="D761" s="1464"/>
      <c r="E761" s="1464"/>
      <c r="F761" s="1464"/>
      <c r="G761" s="1464"/>
      <c r="H761" s="1464"/>
      <c r="I761" s="1464"/>
      <c r="J761" s="1464"/>
      <c r="K761" s="1464"/>
      <c r="L761" s="1464"/>
      <c r="M761" s="1464"/>
      <c r="N761" s="1464"/>
      <c r="O761" s="1464"/>
      <c r="P761" s="1464"/>
      <c r="Q761" s="1464"/>
      <c r="R761" s="1464"/>
      <c r="S761" s="1464"/>
      <c r="T761" s="1464"/>
      <c r="U761" s="1464"/>
      <c r="V761" s="1464"/>
      <c r="W761" s="1464"/>
      <c r="X761" s="1464"/>
      <c r="Y761" s="1464"/>
      <c r="Z761" s="1464"/>
      <c r="AA761" s="1464"/>
      <c r="AB761" s="1464"/>
    </row>
    <row r="762">
      <c r="A762" s="1464"/>
      <c r="B762" s="1464"/>
      <c r="C762" s="1464"/>
      <c r="D762" s="1464"/>
      <c r="E762" s="1464"/>
      <c r="F762" s="1464"/>
      <c r="G762" s="1464"/>
      <c r="H762" s="1464"/>
      <c r="I762" s="1464"/>
      <c r="J762" s="1464"/>
      <c r="K762" s="1464"/>
      <c r="L762" s="1464"/>
      <c r="M762" s="1464"/>
      <c r="N762" s="1464"/>
      <c r="O762" s="1464"/>
      <c r="P762" s="1464"/>
      <c r="Q762" s="1464"/>
      <c r="R762" s="1464"/>
      <c r="S762" s="1464"/>
      <c r="T762" s="1464"/>
      <c r="U762" s="1464"/>
      <c r="V762" s="1464"/>
      <c r="W762" s="1464"/>
      <c r="X762" s="1464"/>
      <c r="Y762" s="1464"/>
      <c r="Z762" s="1464"/>
      <c r="AA762" s="1464"/>
      <c r="AB762" s="1464"/>
    </row>
    <row r="763">
      <c r="A763" s="1464"/>
      <c r="B763" s="1464"/>
      <c r="C763" s="1464"/>
      <c r="D763" s="1464"/>
      <c r="E763" s="1464"/>
      <c r="F763" s="1464"/>
      <c r="G763" s="1464"/>
      <c r="H763" s="1464"/>
      <c r="I763" s="1464"/>
      <c r="J763" s="1464"/>
      <c r="K763" s="1464"/>
      <c r="L763" s="1464"/>
      <c r="M763" s="1464"/>
      <c r="N763" s="1464"/>
      <c r="O763" s="1464"/>
      <c r="P763" s="1464"/>
      <c r="Q763" s="1464"/>
      <c r="R763" s="1464"/>
      <c r="S763" s="1464"/>
      <c r="T763" s="1464"/>
      <c r="U763" s="1464"/>
      <c r="V763" s="1464"/>
      <c r="W763" s="1464"/>
      <c r="X763" s="1464"/>
      <c r="Y763" s="1464"/>
      <c r="Z763" s="1464"/>
      <c r="AA763" s="1464"/>
      <c r="AB763" s="1464"/>
    </row>
    <row r="764">
      <c r="A764" s="1464"/>
      <c r="B764" s="1464"/>
      <c r="C764" s="1464"/>
      <c r="D764" s="1464"/>
      <c r="E764" s="1464"/>
      <c r="F764" s="1464"/>
      <c r="G764" s="1464"/>
      <c r="H764" s="1464"/>
      <c r="I764" s="1464"/>
      <c r="J764" s="1464"/>
      <c r="K764" s="1464"/>
      <c r="L764" s="1464"/>
      <c r="M764" s="1464"/>
      <c r="N764" s="1464"/>
      <c r="O764" s="1464"/>
      <c r="P764" s="1464"/>
      <c r="Q764" s="1464"/>
      <c r="R764" s="1464"/>
      <c r="S764" s="1464"/>
      <c r="T764" s="1464"/>
      <c r="U764" s="1464"/>
      <c r="V764" s="1464"/>
      <c r="W764" s="1464"/>
      <c r="X764" s="1464"/>
      <c r="Y764" s="1464"/>
      <c r="Z764" s="1464"/>
      <c r="AA764" s="1464"/>
      <c r="AB764" s="1464"/>
    </row>
    <row r="765">
      <c r="A765" s="1464"/>
      <c r="B765" s="1464"/>
      <c r="C765" s="1464"/>
      <c r="D765" s="1464"/>
      <c r="E765" s="1464"/>
      <c r="F765" s="1464"/>
      <c r="G765" s="1464"/>
      <c r="H765" s="1464"/>
      <c r="I765" s="1464"/>
      <c r="J765" s="1464"/>
      <c r="K765" s="1464"/>
      <c r="L765" s="1464"/>
      <c r="M765" s="1464"/>
      <c r="N765" s="1464"/>
      <c r="O765" s="1464"/>
      <c r="P765" s="1464"/>
      <c r="Q765" s="1464"/>
      <c r="R765" s="1464"/>
      <c r="S765" s="1464"/>
      <c r="T765" s="1464"/>
      <c r="U765" s="1464"/>
      <c r="V765" s="1464"/>
      <c r="W765" s="1464"/>
      <c r="X765" s="1464"/>
      <c r="Y765" s="1464"/>
      <c r="Z765" s="1464"/>
      <c r="AA765" s="1464"/>
      <c r="AB765" s="1464"/>
    </row>
    <row r="766">
      <c r="A766" s="1464"/>
      <c r="B766" s="1464"/>
      <c r="C766" s="1464"/>
      <c r="D766" s="1464"/>
      <c r="E766" s="1464"/>
      <c r="F766" s="1464"/>
      <c r="G766" s="1464"/>
      <c r="H766" s="1464"/>
      <c r="I766" s="1464"/>
      <c r="J766" s="1464"/>
      <c r="K766" s="1464"/>
      <c r="L766" s="1464"/>
      <c r="M766" s="1464"/>
      <c r="N766" s="1464"/>
      <c r="O766" s="1464"/>
      <c r="P766" s="1464"/>
      <c r="Q766" s="1464"/>
      <c r="R766" s="1464"/>
      <c r="S766" s="1464"/>
      <c r="T766" s="1464"/>
      <c r="U766" s="1464"/>
      <c r="V766" s="1464"/>
      <c r="W766" s="1464"/>
      <c r="X766" s="1464"/>
      <c r="Y766" s="1464"/>
      <c r="Z766" s="1464"/>
      <c r="AA766" s="1464"/>
      <c r="AB766" s="1464"/>
    </row>
    <row r="767">
      <c r="A767" s="1464"/>
      <c r="B767" s="1464"/>
      <c r="C767" s="1464"/>
      <c r="D767" s="1464"/>
      <c r="E767" s="1464"/>
      <c r="F767" s="1464"/>
      <c r="G767" s="1464"/>
      <c r="H767" s="1464"/>
      <c r="I767" s="1464"/>
      <c r="J767" s="1464"/>
      <c r="K767" s="1464"/>
      <c r="L767" s="1464"/>
      <c r="M767" s="1464"/>
      <c r="N767" s="1464"/>
      <c r="O767" s="1464"/>
      <c r="P767" s="1464"/>
      <c r="Q767" s="1464"/>
      <c r="R767" s="1464"/>
      <c r="S767" s="1464"/>
      <c r="T767" s="1464"/>
      <c r="U767" s="1464"/>
      <c r="V767" s="1464"/>
      <c r="W767" s="1464"/>
      <c r="X767" s="1464"/>
      <c r="Y767" s="1464"/>
      <c r="Z767" s="1464"/>
      <c r="AA767" s="1464"/>
      <c r="AB767" s="1464"/>
    </row>
    <row r="768">
      <c r="A768" s="1464"/>
      <c r="B768" s="1464"/>
      <c r="C768" s="1464"/>
      <c r="D768" s="1464"/>
      <c r="E768" s="1464"/>
      <c r="F768" s="1464"/>
      <c r="G768" s="1464"/>
      <c r="H768" s="1464"/>
      <c r="I768" s="1464"/>
      <c r="J768" s="1464"/>
      <c r="K768" s="1464"/>
      <c r="L768" s="1464"/>
      <c r="M768" s="1464"/>
      <c r="N768" s="1464"/>
      <c r="O768" s="1464"/>
      <c r="P768" s="1464"/>
      <c r="Q768" s="1464"/>
      <c r="R768" s="1464"/>
      <c r="S768" s="1464"/>
      <c r="T768" s="1464"/>
      <c r="U768" s="1464"/>
      <c r="V768" s="1464"/>
      <c r="W768" s="1464"/>
      <c r="X768" s="1464"/>
      <c r="Y768" s="1464"/>
      <c r="Z768" s="1464"/>
      <c r="AA768" s="1464"/>
      <c r="AB768" s="1464"/>
    </row>
    <row r="769">
      <c r="A769" s="1464"/>
      <c r="B769" s="1464"/>
      <c r="C769" s="1464"/>
      <c r="D769" s="1464"/>
      <c r="E769" s="1464"/>
      <c r="F769" s="1464"/>
      <c r="G769" s="1464"/>
      <c r="H769" s="1464"/>
      <c r="I769" s="1464"/>
      <c r="J769" s="1464"/>
      <c r="K769" s="1464"/>
      <c r="L769" s="1464"/>
      <c r="M769" s="1464"/>
      <c r="N769" s="1464"/>
      <c r="O769" s="1464"/>
      <c r="P769" s="1464"/>
      <c r="Q769" s="1464"/>
      <c r="R769" s="1464"/>
      <c r="S769" s="1464"/>
      <c r="T769" s="1464"/>
      <c r="U769" s="1464"/>
      <c r="V769" s="1464"/>
      <c r="W769" s="1464"/>
      <c r="X769" s="1464"/>
      <c r="Y769" s="1464"/>
      <c r="Z769" s="1464"/>
      <c r="AA769" s="1464"/>
      <c r="AB769" s="1464"/>
    </row>
    <row r="770">
      <c r="A770" s="1464"/>
      <c r="B770" s="1464"/>
      <c r="C770" s="1464"/>
      <c r="D770" s="1464"/>
      <c r="E770" s="1464"/>
      <c r="F770" s="1464"/>
      <c r="G770" s="1464"/>
      <c r="H770" s="1464"/>
      <c r="I770" s="1464"/>
      <c r="J770" s="1464"/>
      <c r="K770" s="1464"/>
      <c r="L770" s="1464"/>
      <c r="M770" s="1464"/>
      <c r="N770" s="1464"/>
      <c r="O770" s="1464"/>
      <c r="P770" s="1464"/>
      <c r="Q770" s="1464"/>
      <c r="R770" s="1464"/>
      <c r="S770" s="1464"/>
      <c r="T770" s="1464"/>
      <c r="U770" s="1464"/>
      <c r="V770" s="1464"/>
      <c r="W770" s="1464"/>
      <c r="X770" s="1464"/>
      <c r="Y770" s="1464"/>
      <c r="Z770" s="1464"/>
      <c r="AA770" s="1464"/>
      <c r="AB770" s="1464"/>
    </row>
    <row r="771">
      <c r="A771" s="1464"/>
      <c r="B771" s="1464"/>
      <c r="C771" s="1464"/>
      <c r="D771" s="1464"/>
      <c r="E771" s="1464"/>
      <c r="F771" s="1464"/>
      <c r="G771" s="1464"/>
      <c r="H771" s="1464"/>
      <c r="I771" s="1464"/>
      <c r="J771" s="1464"/>
      <c r="K771" s="1464"/>
      <c r="L771" s="1464"/>
      <c r="M771" s="1464"/>
      <c r="N771" s="1464"/>
      <c r="O771" s="1464"/>
      <c r="P771" s="1464"/>
      <c r="Q771" s="1464"/>
      <c r="R771" s="1464"/>
      <c r="S771" s="1464"/>
      <c r="T771" s="1464"/>
      <c r="U771" s="1464"/>
      <c r="V771" s="1464"/>
      <c r="W771" s="1464"/>
      <c r="X771" s="1464"/>
      <c r="Y771" s="1464"/>
      <c r="Z771" s="1464"/>
      <c r="AA771" s="1464"/>
      <c r="AB771" s="1464"/>
    </row>
    <row r="772">
      <c r="A772" s="1464"/>
      <c r="B772" s="1464"/>
      <c r="C772" s="1464"/>
      <c r="D772" s="1464"/>
      <c r="E772" s="1464"/>
      <c r="F772" s="1464"/>
      <c r="G772" s="1464"/>
      <c r="H772" s="1464"/>
      <c r="I772" s="1464"/>
      <c r="J772" s="1464"/>
      <c r="K772" s="1464"/>
      <c r="L772" s="1464"/>
      <c r="M772" s="1464"/>
      <c r="N772" s="1464"/>
      <c r="O772" s="1464"/>
      <c r="P772" s="1464"/>
      <c r="Q772" s="1464"/>
      <c r="R772" s="1464"/>
      <c r="S772" s="1464"/>
      <c r="T772" s="1464"/>
      <c r="U772" s="1464"/>
      <c r="V772" s="1464"/>
      <c r="W772" s="1464"/>
      <c r="X772" s="1464"/>
      <c r="Y772" s="1464"/>
      <c r="Z772" s="1464"/>
      <c r="AA772" s="1464"/>
      <c r="AB772" s="1464"/>
    </row>
    <row r="773">
      <c r="A773" s="1464"/>
      <c r="B773" s="1464"/>
      <c r="C773" s="1464"/>
      <c r="D773" s="1464"/>
      <c r="E773" s="1464"/>
      <c r="F773" s="1464"/>
      <c r="G773" s="1464"/>
      <c r="H773" s="1464"/>
      <c r="I773" s="1464"/>
      <c r="J773" s="1464"/>
      <c r="K773" s="1464"/>
      <c r="L773" s="1464"/>
      <c r="M773" s="1464"/>
      <c r="N773" s="1464"/>
      <c r="O773" s="1464"/>
      <c r="P773" s="1464"/>
      <c r="Q773" s="1464"/>
      <c r="R773" s="1464"/>
      <c r="S773" s="1464"/>
      <c r="T773" s="1464"/>
      <c r="U773" s="1464"/>
      <c r="V773" s="1464"/>
      <c r="W773" s="1464"/>
      <c r="X773" s="1464"/>
      <c r="Y773" s="1464"/>
      <c r="Z773" s="1464"/>
      <c r="AA773" s="1464"/>
      <c r="AB773" s="1464"/>
    </row>
    <row r="774">
      <c r="A774" s="1464"/>
      <c r="B774" s="1464"/>
      <c r="C774" s="1464"/>
      <c r="D774" s="1464"/>
      <c r="E774" s="1464"/>
      <c r="F774" s="1464"/>
      <c r="G774" s="1464"/>
      <c r="H774" s="1464"/>
      <c r="I774" s="1464"/>
      <c r="J774" s="1464"/>
      <c r="K774" s="1464"/>
      <c r="L774" s="1464"/>
      <c r="M774" s="1464"/>
      <c r="N774" s="1464"/>
      <c r="O774" s="1464"/>
      <c r="P774" s="1464"/>
      <c r="Q774" s="1464"/>
      <c r="R774" s="1464"/>
      <c r="S774" s="1464"/>
      <c r="T774" s="1464"/>
      <c r="U774" s="1464"/>
      <c r="V774" s="1464"/>
      <c r="W774" s="1464"/>
      <c r="X774" s="1464"/>
      <c r="Y774" s="1464"/>
      <c r="Z774" s="1464"/>
      <c r="AA774" s="1464"/>
      <c r="AB774" s="1464"/>
    </row>
    <row r="775">
      <c r="A775" s="1464"/>
      <c r="B775" s="1464"/>
      <c r="C775" s="1464"/>
      <c r="D775" s="1464"/>
      <c r="E775" s="1464"/>
      <c r="F775" s="1464"/>
      <c r="G775" s="1464"/>
      <c r="H775" s="1464"/>
      <c r="I775" s="1464"/>
      <c r="J775" s="1464"/>
      <c r="K775" s="1464"/>
      <c r="L775" s="1464"/>
      <c r="M775" s="1464"/>
      <c r="N775" s="1464"/>
      <c r="O775" s="1464"/>
      <c r="P775" s="1464"/>
      <c r="Q775" s="1464"/>
      <c r="R775" s="1464"/>
      <c r="S775" s="1464"/>
      <c r="T775" s="1464"/>
      <c r="U775" s="1464"/>
      <c r="V775" s="1464"/>
      <c r="W775" s="1464"/>
      <c r="X775" s="1464"/>
      <c r="Y775" s="1464"/>
      <c r="Z775" s="1464"/>
      <c r="AA775" s="1464"/>
      <c r="AB775" s="1464"/>
    </row>
    <row r="776">
      <c r="A776" s="1464"/>
      <c r="B776" s="1464"/>
      <c r="C776" s="1464"/>
      <c r="D776" s="1464"/>
      <c r="E776" s="1464"/>
      <c r="F776" s="1464"/>
      <c r="G776" s="1464"/>
      <c r="H776" s="1464"/>
      <c r="I776" s="1464"/>
      <c r="J776" s="1464"/>
      <c r="K776" s="1464"/>
      <c r="L776" s="1464"/>
      <c r="M776" s="1464"/>
      <c r="N776" s="1464"/>
      <c r="O776" s="1464"/>
      <c r="P776" s="1464"/>
      <c r="Q776" s="1464"/>
      <c r="R776" s="1464"/>
      <c r="S776" s="1464"/>
      <c r="T776" s="1464"/>
      <c r="U776" s="1464"/>
      <c r="V776" s="1464"/>
      <c r="W776" s="1464"/>
      <c r="X776" s="1464"/>
      <c r="Y776" s="1464"/>
      <c r="Z776" s="1464"/>
      <c r="AA776" s="1464"/>
      <c r="AB776" s="1464"/>
    </row>
    <row r="777">
      <c r="A777" s="1464"/>
      <c r="B777" s="1464"/>
      <c r="C777" s="1464"/>
      <c r="D777" s="1464"/>
      <c r="E777" s="1464"/>
      <c r="F777" s="1464"/>
      <c r="G777" s="1464"/>
      <c r="H777" s="1464"/>
      <c r="I777" s="1464"/>
      <c r="J777" s="1464"/>
      <c r="K777" s="1464"/>
      <c r="L777" s="1464"/>
      <c r="M777" s="1464"/>
      <c r="N777" s="1464"/>
      <c r="O777" s="1464"/>
      <c r="P777" s="1464"/>
      <c r="Q777" s="1464"/>
      <c r="R777" s="1464"/>
      <c r="S777" s="1464"/>
      <c r="T777" s="1464"/>
      <c r="U777" s="1464"/>
      <c r="V777" s="1464"/>
      <c r="W777" s="1464"/>
      <c r="X777" s="1464"/>
      <c r="Y777" s="1464"/>
      <c r="Z777" s="1464"/>
      <c r="AA777" s="1464"/>
      <c r="AB777" s="1464"/>
    </row>
    <row r="778">
      <c r="A778" s="1464"/>
      <c r="B778" s="1464"/>
      <c r="C778" s="1464"/>
      <c r="D778" s="1464"/>
      <c r="E778" s="1464"/>
      <c r="F778" s="1464"/>
      <c r="G778" s="1464"/>
      <c r="H778" s="1464"/>
      <c r="I778" s="1464"/>
      <c r="J778" s="1464"/>
      <c r="K778" s="1464"/>
      <c r="L778" s="1464"/>
      <c r="M778" s="1464"/>
      <c r="N778" s="1464"/>
      <c r="O778" s="1464"/>
      <c r="P778" s="1464"/>
      <c r="Q778" s="1464"/>
      <c r="R778" s="1464"/>
      <c r="S778" s="1464"/>
      <c r="T778" s="1464"/>
      <c r="U778" s="1464"/>
      <c r="V778" s="1464"/>
      <c r="W778" s="1464"/>
      <c r="X778" s="1464"/>
      <c r="Y778" s="1464"/>
      <c r="Z778" s="1464"/>
      <c r="AA778" s="1464"/>
      <c r="AB778" s="1464"/>
    </row>
    <row r="779">
      <c r="A779" s="1464"/>
      <c r="B779" s="1464"/>
      <c r="C779" s="1464"/>
      <c r="D779" s="1464"/>
      <c r="E779" s="1464"/>
      <c r="F779" s="1464"/>
      <c r="G779" s="1464"/>
      <c r="H779" s="1464"/>
      <c r="I779" s="1464"/>
      <c r="J779" s="1464"/>
      <c r="K779" s="1464"/>
      <c r="L779" s="1464"/>
      <c r="M779" s="1464"/>
      <c r="N779" s="1464"/>
      <c r="O779" s="1464"/>
      <c r="P779" s="1464"/>
      <c r="Q779" s="1464"/>
      <c r="R779" s="1464"/>
      <c r="S779" s="1464"/>
      <c r="T779" s="1464"/>
      <c r="U779" s="1464"/>
      <c r="V779" s="1464"/>
      <c r="W779" s="1464"/>
      <c r="X779" s="1464"/>
      <c r="Y779" s="1464"/>
      <c r="Z779" s="1464"/>
      <c r="AA779" s="1464"/>
      <c r="AB779" s="1464"/>
    </row>
    <row r="780">
      <c r="A780" s="1464"/>
      <c r="B780" s="1464"/>
      <c r="C780" s="1464"/>
      <c r="D780" s="1464"/>
      <c r="E780" s="1464"/>
      <c r="F780" s="1464"/>
      <c r="G780" s="1464"/>
      <c r="H780" s="1464"/>
      <c r="I780" s="1464"/>
      <c r="J780" s="1464"/>
      <c r="K780" s="1464"/>
      <c r="L780" s="1464"/>
      <c r="M780" s="1464"/>
      <c r="N780" s="1464"/>
      <c r="O780" s="1464"/>
      <c r="P780" s="1464"/>
      <c r="Q780" s="1464"/>
      <c r="R780" s="1464"/>
      <c r="S780" s="1464"/>
      <c r="T780" s="1464"/>
      <c r="U780" s="1464"/>
      <c r="V780" s="1464"/>
      <c r="W780" s="1464"/>
      <c r="X780" s="1464"/>
      <c r="Y780" s="1464"/>
      <c r="Z780" s="1464"/>
      <c r="AA780" s="1464"/>
      <c r="AB780" s="1464"/>
    </row>
    <row r="781">
      <c r="A781" s="1464"/>
      <c r="B781" s="1464"/>
      <c r="C781" s="1464"/>
      <c r="D781" s="1464"/>
      <c r="E781" s="1464"/>
      <c r="F781" s="1464"/>
      <c r="G781" s="1464"/>
      <c r="H781" s="1464"/>
      <c r="I781" s="1464"/>
      <c r="J781" s="1464"/>
      <c r="K781" s="1464"/>
      <c r="L781" s="1464"/>
      <c r="M781" s="1464"/>
      <c r="N781" s="1464"/>
      <c r="O781" s="1464"/>
      <c r="P781" s="1464"/>
      <c r="Q781" s="1464"/>
      <c r="R781" s="1464"/>
      <c r="S781" s="1464"/>
      <c r="T781" s="1464"/>
      <c r="U781" s="1464"/>
      <c r="V781" s="1464"/>
      <c r="W781" s="1464"/>
      <c r="X781" s="1464"/>
      <c r="Y781" s="1464"/>
      <c r="Z781" s="1464"/>
      <c r="AA781" s="1464"/>
      <c r="AB781" s="1464"/>
    </row>
    <row r="782">
      <c r="A782" s="1464"/>
      <c r="B782" s="1464"/>
      <c r="C782" s="1464"/>
      <c r="D782" s="1464"/>
      <c r="E782" s="1464"/>
      <c r="F782" s="1464"/>
      <c r="G782" s="1464"/>
      <c r="H782" s="1464"/>
      <c r="I782" s="1464"/>
      <c r="J782" s="1464"/>
      <c r="K782" s="1464"/>
      <c r="L782" s="1464"/>
      <c r="M782" s="1464"/>
      <c r="N782" s="1464"/>
      <c r="O782" s="1464"/>
      <c r="P782" s="1464"/>
      <c r="Q782" s="1464"/>
      <c r="R782" s="1464"/>
      <c r="S782" s="1464"/>
      <c r="T782" s="1464"/>
      <c r="U782" s="1464"/>
      <c r="V782" s="1464"/>
      <c r="W782" s="1464"/>
      <c r="X782" s="1464"/>
      <c r="Y782" s="1464"/>
      <c r="Z782" s="1464"/>
      <c r="AA782" s="1464"/>
      <c r="AB782" s="1464"/>
    </row>
    <row r="783">
      <c r="A783" s="1464"/>
      <c r="B783" s="1464"/>
      <c r="C783" s="1464"/>
      <c r="D783" s="1464"/>
      <c r="E783" s="1464"/>
      <c r="F783" s="1464"/>
      <c r="G783" s="1464"/>
      <c r="H783" s="1464"/>
      <c r="I783" s="1464"/>
      <c r="J783" s="1464"/>
      <c r="K783" s="1464"/>
      <c r="L783" s="1464"/>
      <c r="M783" s="1464"/>
      <c r="N783" s="1464"/>
      <c r="O783" s="1464"/>
      <c r="P783" s="1464"/>
      <c r="Q783" s="1464"/>
      <c r="R783" s="1464"/>
      <c r="S783" s="1464"/>
      <c r="T783" s="1464"/>
      <c r="U783" s="1464"/>
      <c r="V783" s="1464"/>
      <c r="W783" s="1464"/>
      <c r="X783" s="1464"/>
      <c r="Y783" s="1464"/>
      <c r="Z783" s="1464"/>
      <c r="AA783" s="1464"/>
      <c r="AB783" s="1464"/>
    </row>
    <row r="784">
      <c r="A784" s="1464"/>
      <c r="B784" s="1464"/>
      <c r="C784" s="1464"/>
      <c r="D784" s="1464"/>
      <c r="E784" s="1464"/>
      <c r="F784" s="1464"/>
      <c r="G784" s="1464"/>
      <c r="H784" s="1464"/>
      <c r="I784" s="1464"/>
      <c r="J784" s="1464"/>
      <c r="K784" s="1464"/>
      <c r="L784" s="1464"/>
      <c r="M784" s="1464"/>
      <c r="N784" s="1464"/>
      <c r="O784" s="1464"/>
      <c r="P784" s="1464"/>
      <c r="Q784" s="1464"/>
      <c r="R784" s="1464"/>
      <c r="S784" s="1464"/>
      <c r="T784" s="1464"/>
      <c r="U784" s="1464"/>
      <c r="V784" s="1464"/>
      <c r="W784" s="1464"/>
      <c r="X784" s="1464"/>
      <c r="Y784" s="1464"/>
      <c r="Z784" s="1464"/>
      <c r="AA784" s="1464"/>
      <c r="AB784" s="1464"/>
    </row>
    <row r="785">
      <c r="A785" s="1464"/>
      <c r="B785" s="1464"/>
      <c r="C785" s="1464"/>
      <c r="D785" s="1464"/>
      <c r="E785" s="1464"/>
      <c r="F785" s="1464"/>
      <c r="G785" s="1464"/>
      <c r="H785" s="1464"/>
      <c r="I785" s="1464"/>
      <c r="J785" s="1464"/>
      <c r="K785" s="1464"/>
      <c r="L785" s="1464"/>
      <c r="M785" s="1464"/>
      <c r="N785" s="1464"/>
      <c r="O785" s="1464"/>
      <c r="P785" s="1464"/>
      <c r="Q785" s="1464"/>
      <c r="R785" s="1464"/>
      <c r="S785" s="1464"/>
      <c r="T785" s="1464"/>
      <c r="U785" s="1464"/>
      <c r="V785" s="1464"/>
      <c r="W785" s="1464"/>
      <c r="X785" s="1464"/>
      <c r="Y785" s="1464"/>
      <c r="Z785" s="1464"/>
      <c r="AA785" s="1464"/>
      <c r="AB785" s="1464"/>
    </row>
    <row r="786">
      <c r="A786" s="1464"/>
      <c r="B786" s="1464"/>
      <c r="C786" s="1464"/>
      <c r="D786" s="1464"/>
      <c r="E786" s="1464"/>
      <c r="F786" s="1464"/>
      <c r="G786" s="1464"/>
      <c r="H786" s="1464"/>
      <c r="I786" s="1464"/>
      <c r="J786" s="1464"/>
      <c r="K786" s="1464"/>
      <c r="L786" s="1464"/>
      <c r="M786" s="1464"/>
      <c r="N786" s="1464"/>
      <c r="O786" s="1464"/>
      <c r="P786" s="1464"/>
      <c r="Q786" s="1464"/>
      <c r="R786" s="1464"/>
      <c r="S786" s="1464"/>
      <c r="T786" s="1464"/>
      <c r="U786" s="1464"/>
      <c r="V786" s="1464"/>
      <c r="W786" s="1464"/>
      <c r="X786" s="1464"/>
      <c r="Y786" s="1464"/>
      <c r="Z786" s="1464"/>
      <c r="AA786" s="1464"/>
      <c r="AB786" s="1464"/>
    </row>
    <row r="787">
      <c r="A787" s="1464"/>
      <c r="B787" s="1464"/>
      <c r="C787" s="1464"/>
      <c r="D787" s="1464"/>
      <c r="E787" s="1464"/>
      <c r="F787" s="1464"/>
      <c r="G787" s="1464"/>
      <c r="H787" s="1464"/>
      <c r="I787" s="1464"/>
      <c r="J787" s="1464"/>
      <c r="K787" s="1464"/>
      <c r="L787" s="1464"/>
      <c r="M787" s="1464"/>
      <c r="N787" s="1464"/>
      <c r="O787" s="1464"/>
      <c r="P787" s="1464"/>
      <c r="Q787" s="1464"/>
      <c r="R787" s="1464"/>
      <c r="S787" s="1464"/>
      <c r="T787" s="1464"/>
      <c r="U787" s="1464"/>
      <c r="V787" s="1464"/>
      <c r="W787" s="1464"/>
      <c r="X787" s="1464"/>
      <c r="Y787" s="1464"/>
      <c r="Z787" s="1464"/>
      <c r="AA787" s="1464"/>
      <c r="AB787" s="1464"/>
    </row>
    <row r="788">
      <c r="A788" s="1464"/>
      <c r="B788" s="1464"/>
      <c r="C788" s="1464"/>
      <c r="D788" s="1464"/>
      <c r="E788" s="1464"/>
      <c r="F788" s="1464"/>
      <c r="G788" s="1464"/>
      <c r="H788" s="1464"/>
      <c r="I788" s="1464"/>
      <c r="J788" s="1464"/>
      <c r="K788" s="1464"/>
      <c r="L788" s="1464"/>
      <c r="M788" s="1464"/>
      <c r="N788" s="1464"/>
      <c r="O788" s="1464"/>
      <c r="P788" s="1464"/>
      <c r="Q788" s="1464"/>
      <c r="R788" s="1464"/>
      <c r="S788" s="1464"/>
      <c r="T788" s="1464"/>
      <c r="U788" s="1464"/>
      <c r="V788" s="1464"/>
      <c r="W788" s="1464"/>
      <c r="X788" s="1464"/>
      <c r="Y788" s="1464"/>
      <c r="Z788" s="1464"/>
      <c r="AA788" s="1464"/>
      <c r="AB788" s="1464"/>
    </row>
    <row r="789">
      <c r="A789" s="1464"/>
      <c r="B789" s="1464"/>
      <c r="C789" s="1464"/>
      <c r="D789" s="1464"/>
      <c r="E789" s="1464"/>
      <c r="F789" s="1464"/>
      <c r="G789" s="1464"/>
      <c r="H789" s="1464"/>
      <c r="I789" s="1464"/>
      <c r="J789" s="1464"/>
      <c r="K789" s="1464"/>
      <c r="L789" s="1464"/>
      <c r="M789" s="1464"/>
      <c r="N789" s="1464"/>
      <c r="O789" s="1464"/>
      <c r="P789" s="1464"/>
      <c r="Q789" s="1464"/>
      <c r="R789" s="1464"/>
      <c r="S789" s="1464"/>
      <c r="T789" s="1464"/>
      <c r="U789" s="1464"/>
      <c r="V789" s="1464"/>
      <c r="W789" s="1464"/>
      <c r="X789" s="1464"/>
      <c r="Y789" s="1464"/>
      <c r="Z789" s="1464"/>
      <c r="AA789" s="1464"/>
      <c r="AB789" s="1464"/>
    </row>
    <row r="790">
      <c r="A790" s="1464"/>
      <c r="B790" s="1464"/>
      <c r="C790" s="1464"/>
      <c r="D790" s="1464"/>
      <c r="E790" s="1464"/>
      <c r="F790" s="1464"/>
      <c r="G790" s="1464"/>
      <c r="H790" s="1464"/>
      <c r="I790" s="1464"/>
      <c r="J790" s="1464"/>
      <c r="K790" s="1464"/>
      <c r="L790" s="1464"/>
      <c r="M790" s="1464"/>
      <c r="N790" s="1464"/>
      <c r="O790" s="1464"/>
      <c r="P790" s="1464"/>
      <c r="Q790" s="1464"/>
      <c r="R790" s="1464"/>
      <c r="S790" s="1464"/>
      <c r="T790" s="1464"/>
      <c r="U790" s="1464"/>
      <c r="V790" s="1464"/>
      <c r="W790" s="1464"/>
      <c r="X790" s="1464"/>
      <c r="Y790" s="1464"/>
      <c r="Z790" s="1464"/>
      <c r="AA790" s="1464"/>
      <c r="AB790" s="1464"/>
    </row>
    <row r="791">
      <c r="A791" s="1464"/>
      <c r="B791" s="1464"/>
      <c r="C791" s="1464"/>
      <c r="D791" s="1464"/>
      <c r="E791" s="1464"/>
      <c r="F791" s="1464"/>
      <c r="G791" s="1464"/>
      <c r="H791" s="1464"/>
      <c r="I791" s="1464"/>
      <c r="J791" s="1464"/>
      <c r="K791" s="1464"/>
      <c r="L791" s="1464"/>
      <c r="M791" s="1464"/>
      <c r="N791" s="1464"/>
      <c r="O791" s="1464"/>
      <c r="P791" s="1464"/>
      <c r="Q791" s="1464"/>
      <c r="R791" s="1464"/>
      <c r="S791" s="1464"/>
      <c r="T791" s="1464"/>
      <c r="U791" s="1464"/>
      <c r="V791" s="1464"/>
      <c r="W791" s="1464"/>
      <c r="X791" s="1464"/>
      <c r="Y791" s="1464"/>
      <c r="Z791" s="1464"/>
      <c r="AA791" s="1464"/>
      <c r="AB791" s="1464"/>
    </row>
    <row r="792">
      <c r="A792" s="1464"/>
      <c r="B792" s="1464"/>
      <c r="C792" s="1464"/>
      <c r="D792" s="1464"/>
      <c r="E792" s="1464"/>
      <c r="F792" s="1464"/>
      <c r="G792" s="1464"/>
      <c r="H792" s="1464"/>
      <c r="I792" s="1464"/>
      <c r="J792" s="1464"/>
      <c r="K792" s="1464"/>
      <c r="L792" s="1464"/>
      <c r="M792" s="1464"/>
      <c r="N792" s="1464"/>
      <c r="O792" s="1464"/>
      <c r="P792" s="1464"/>
      <c r="Q792" s="1464"/>
      <c r="R792" s="1464"/>
      <c r="S792" s="1464"/>
      <c r="T792" s="1464"/>
      <c r="U792" s="1464"/>
      <c r="V792" s="1464"/>
      <c r="W792" s="1464"/>
      <c r="X792" s="1464"/>
      <c r="Y792" s="1464"/>
      <c r="Z792" s="1464"/>
      <c r="AA792" s="1464"/>
      <c r="AB792" s="1464"/>
    </row>
    <row r="793">
      <c r="A793" s="1464"/>
      <c r="B793" s="1464"/>
      <c r="C793" s="1464"/>
      <c r="D793" s="1464"/>
      <c r="E793" s="1464"/>
      <c r="F793" s="1464"/>
      <c r="G793" s="1464"/>
      <c r="H793" s="1464"/>
      <c r="I793" s="1464"/>
      <c r="J793" s="1464"/>
      <c r="K793" s="1464"/>
      <c r="L793" s="1464"/>
      <c r="M793" s="1464"/>
      <c r="N793" s="1464"/>
      <c r="O793" s="1464"/>
      <c r="P793" s="1464"/>
      <c r="Q793" s="1464"/>
      <c r="R793" s="1464"/>
      <c r="S793" s="1464"/>
      <c r="T793" s="1464"/>
      <c r="U793" s="1464"/>
      <c r="V793" s="1464"/>
      <c r="W793" s="1464"/>
      <c r="X793" s="1464"/>
      <c r="Y793" s="1464"/>
      <c r="Z793" s="1464"/>
      <c r="AA793" s="1464"/>
      <c r="AB793" s="1464"/>
    </row>
    <row r="794">
      <c r="A794" s="1464"/>
      <c r="B794" s="1464"/>
      <c r="C794" s="1464"/>
      <c r="D794" s="1464"/>
      <c r="E794" s="1464"/>
      <c r="F794" s="1464"/>
      <c r="G794" s="1464"/>
      <c r="H794" s="1464"/>
      <c r="I794" s="1464"/>
      <c r="J794" s="1464"/>
      <c r="K794" s="1464"/>
      <c r="L794" s="1464"/>
      <c r="M794" s="1464"/>
      <c r="N794" s="1464"/>
      <c r="O794" s="1464"/>
      <c r="P794" s="1464"/>
      <c r="Q794" s="1464"/>
      <c r="R794" s="1464"/>
      <c r="S794" s="1464"/>
      <c r="T794" s="1464"/>
      <c r="U794" s="1464"/>
      <c r="V794" s="1464"/>
      <c r="W794" s="1464"/>
      <c r="X794" s="1464"/>
      <c r="Y794" s="1464"/>
      <c r="Z794" s="1464"/>
      <c r="AA794" s="1464"/>
      <c r="AB794" s="1464"/>
    </row>
    <row r="795">
      <c r="A795" s="1464"/>
      <c r="B795" s="1464"/>
      <c r="C795" s="1464"/>
      <c r="D795" s="1464"/>
      <c r="E795" s="1464"/>
      <c r="F795" s="1464"/>
      <c r="G795" s="1464"/>
      <c r="H795" s="1464"/>
      <c r="I795" s="1464"/>
      <c r="J795" s="1464"/>
      <c r="K795" s="1464"/>
      <c r="L795" s="1464"/>
      <c r="M795" s="1464"/>
      <c r="N795" s="1464"/>
      <c r="O795" s="1464"/>
      <c r="P795" s="1464"/>
      <c r="Q795" s="1464"/>
      <c r="R795" s="1464"/>
      <c r="S795" s="1464"/>
      <c r="T795" s="1464"/>
      <c r="U795" s="1464"/>
      <c r="V795" s="1464"/>
      <c r="W795" s="1464"/>
      <c r="X795" s="1464"/>
      <c r="Y795" s="1464"/>
      <c r="Z795" s="1464"/>
      <c r="AA795" s="1464"/>
      <c r="AB795" s="1464"/>
    </row>
    <row r="796">
      <c r="A796" s="1464"/>
      <c r="B796" s="1464"/>
      <c r="C796" s="1464"/>
      <c r="D796" s="1464"/>
      <c r="E796" s="1464"/>
      <c r="F796" s="1464"/>
      <c r="G796" s="1464"/>
      <c r="H796" s="1464"/>
      <c r="I796" s="1464"/>
      <c r="J796" s="1464"/>
      <c r="K796" s="1464"/>
      <c r="L796" s="1464"/>
      <c r="M796" s="1464"/>
      <c r="N796" s="1464"/>
      <c r="O796" s="1464"/>
      <c r="P796" s="1464"/>
      <c r="Q796" s="1464"/>
      <c r="R796" s="1464"/>
      <c r="S796" s="1464"/>
      <c r="T796" s="1464"/>
      <c r="U796" s="1464"/>
      <c r="V796" s="1464"/>
      <c r="W796" s="1464"/>
      <c r="X796" s="1464"/>
      <c r="Y796" s="1464"/>
      <c r="Z796" s="1464"/>
      <c r="AA796" s="1464"/>
      <c r="AB796" s="1464"/>
    </row>
    <row r="797">
      <c r="A797" s="1464"/>
      <c r="B797" s="1464"/>
      <c r="C797" s="1464"/>
      <c r="D797" s="1464"/>
      <c r="E797" s="1464"/>
      <c r="F797" s="1464"/>
      <c r="G797" s="1464"/>
      <c r="H797" s="1464"/>
      <c r="I797" s="1464"/>
      <c r="J797" s="1464"/>
      <c r="K797" s="1464"/>
      <c r="L797" s="1464"/>
      <c r="M797" s="1464"/>
      <c r="N797" s="1464"/>
      <c r="O797" s="1464"/>
      <c r="P797" s="1464"/>
      <c r="Q797" s="1464"/>
      <c r="R797" s="1464"/>
      <c r="S797" s="1464"/>
      <c r="T797" s="1464"/>
      <c r="U797" s="1464"/>
      <c r="V797" s="1464"/>
      <c r="W797" s="1464"/>
      <c r="X797" s="1464"/>
      <c r="Y797" s="1464"/>
      <c r="Z797" s="1464"/>
      <c r="AA797" s="1464"/>
      <c r="AB797" s="1464"/>
    </row>
    <row r="798">
      <c r="A798" s="1464"/>
      <c r="B798" s="1464"/>
      <c r="C798" s="1464"/>
      <c r="D798" s="1464"/>
      <c r="E798" s="1464"/>
      <c r="F798" s="1464"/>
      <c r="G798" s="1464"/>
      <c r="H798" s="1464"/>
      <c r="I798" s="1464"/>
      <c r="J798" s="1464"/>
      <c r="K798" s="1464"/>
      <c r="L798" s="1464"/>
      <c r="M798" s="1464"/>
      <c r="N798" s="1464"/>
      <c r="O798" s="1464"/>
      <c r="P798" s="1464"/>
      <c r="Q798" s="1464"/>
      <c r="R798" s="1464"/>
      <c r="S798" s="1464"/>
      <c r="T798" s="1464"/>
      <c r="U798" s="1464"/>
      <c r="V798" s="1464"/>
      <c r="W798" s="1464"/>
      <c r="X798" s="1464"/>
      <c r="Y798" s="1464"/>
      <c r="Z798" s="1464"/>
      <c r="AA798" s="1464"/>
      <c r="AB798" s="1464"/>
    </row>
    <row r="799">
      <c r="A799" s="1464"/>
      <c r="B799" s="1464"/>
      <c r="C799" s="1464"/>
      <c r="D799" s="1464"/>
      <c r="E799" s="1464"/>
      <c r="F799" s="1464"/>
      <c r="G799" s="1464"/>
      <c r="H799" s="1464"/>
      <c r="I799" s="1464"/>
      <c r="J799" s="1464"/>
      <c r="K799" s="1464"/>
      <c r="L799" s="1464"/>
      <c r="M799" s="1464"/>
      <c r="N799" s="1464"/>
      <c r="O799" s="1464"/>
      <c r="P799" s="1464"/>
      <c r="Q799" s="1464"/>
      <c r="R799" s="1464"/>
      <c r="S799" s="1464"/>
      <c r="T799" s="1464"/>
      <c r="U799" s="1464"/>
      <c r="V799" s="1464"/>
      <c r="W799" s="1464"/>
      <c r="X799" s="1464"/>
      <c r="Y799" s="1464"/>
      <c r="Z799" s="1464"/>
      <c r="AA799" s="1464"/>
      <c r="AB799" s="1464"/>
    </row>
    <row r="800">
      <c r="A800" s="1464"/>
      <c r="B800" s="1464"/>
      <c r="C800" s="1464"/>
      <c r="D800" s="1464"/>
      <c r="E800" s="1464"/>
      <c r="F800" s="1464"/>
      <c r="G800" s="1464"/>
      <c r="H800" s="1464"/>
      <c r="I800" s="1464"/>
      <c r="J800" s="1464"/>
      <c r="K800" s="1464"/>
      <c r="L800" s="1464"/>
      <c r="M800" s="1464"/>
      <c r="N800" s="1464"/>
      <c r="O800" s="1464"/>
      <c r="P800" s="1464"/>
      <c r="Q800" s="1464"/>
      <c r="R800" s="1464"/>
      <c r="S800" s="1464"/>
      <c r="T800" s="1464"/>
      <c r="U800" s="1464"/>
      <c r="V800" s="1464"/>
      <c r="W800" s="1464"/>
      <c r="X800" s="1464"/>
      <c r="Y800" s="1464"/>
      <c r="Z800" s="1464"/>
      <c r="AA800" s="1464"/>
      <c r="AB800" s="1464"/>
    </row>
    <row r="801">
      <c r="A801" s="1464"/>
      <c r="B801" s="1464"/>
      <c r="C801" s="1464"/>
      <c r="D801" s="1464"/>
      <c r="E801" s="1464"/>
      <c r="F801" s="1464"/>
      <c r="G801" s="1464"/>
      <c r="H801" s="1464"/>
      <c r="I801" s="1464"/>
      <c r="J801" s="1464"/>
      <c r="K801" s="1464"/>
      <c r="L801" s="1464"/>
      <c r="M801" s="1464"/>
      <c r="N801" s="1464"/>
      <c r="O801" s="1464"/>
      <c r="P801" s="1464"/>
      <c r="Q801" s="1464"/>
      <c r="R801" s="1464"/>
      <c r="S801" s="1464"/>
      <c r="T801" s="1464"/>
      <c r="U801" s="1464"/>
      <c r="V801" s="1464"/>
      <c r="W801" s="1464"/>
      <c r="X801" s="1464"/>
      <c r="Y801" s="1464"/>
      <c r="Z801" s="1464"/>
      <c r="AA801" s="1464"/>
      <c r="AB801" s="1464"/>
    </row>
    <row r="802">
      <c r="A802" s="1464"/>
      <c r="B802" s="1464"/>
      <c r="C802" s="1464"/>
      <c r="D802" s="1464"/>
      <c r="E802" s="1464"/>
      <c r="F802" s="1464"/>
      <c r="G802" s="1464"/>
      <c r="H802" s="1464"/>
      <c r="I802" s="1464"/>
      <c r="J802" s="1464"/>
      <c r="K802" s="1464"/>
      <c r="L802" s="1464"/>
      <c r="M802" s="1464"/>
      <c r="N802" s="1464"/>
      <c r="O802" s="1464"/>
      <c r="P802" s="1464"/>
      <c r="Q802" s="1464"/>
      <c r="R802" s="1464"/>
      <c r="S802" s="1464"/>
      <c r="T802" s="1464"/>
      <c r="U802" s="1464"/>
      <c r="V802" s="1464"/>
      <c r="W802" s="1464"/>
      <c r="X802" s="1464"/>
      <c r="Y802" s="1464"/>
      <c r="Z802" s="1464"/>
      <c r="AA802" s="1464"/>
      <c r="AB802" s="1464"/>
    </row>
    <row r="803">
      <c r="A803" s="1464"/>
      <c r="B803" s="1464"/>
      <c r="C803" s="1464"/>
      <c r="D803" s="1464"/>
      <c r="E803" s="1464"/>
      <c r="F803" s="1464"/>
      <c r="G803" s="1464"/>
      <c r="H803" s="1464"/>
      <c r="I803" s="1464"/>
      <c r="J803" s="1464"/>
      <c r="K803" s="1464"/>
      <c r="L803" s="1464"/>
      <c r="M803" s="1464"/>
      <c r="N803" s="1464"/>
      <c r="O803" s="1464"/>
      <c r="P803" s="1464"/>
      <c r="Q803" s="1464"/>
      <c r="R803" s="1464"/>
      <c r="S803" s="1464"/>
      <c r="T803" s="1464"/>
      <c r="U803" s="1464"/>
      <c r="V803" s="1464"/>
      <c r="W803" s="1464"/>
      <c r="X803" s="1464"/>
      <c r="Y803" s="1464"/>
      <c r="Z803" s="1464"/>
      <c r="AA803" s="1464"/>
      <c r="AB803" s="1464"/>
    </row>
    <row r="804">
      <c r="A804" s="1464"/>
      <c r="B804" s="1464"/>
      <c r="C804" s="1464"/>
      <c r="D804" s="1464"/>
      <c r="E804" s="1464"/>
      <c r="F804" s="1464"/>
      <c r="G804" s="1464"/>
      <c r="H804" s="1464"/>
      <c r="I804" s="1464"/>
      <c r="J804" s="1464"/>
      <c r="K804" s="1464"/>
      <c r="L804" s="1464"/>
      <c r="M804" s="1464"/>
      <c r="N804" s="1464"/>
      <c r="O804" s="1464"/>
      <c r="P804" s="1464"/>
      <c r="Q804" s="1464"/>
      <c r="R804" s="1464"/>
      <c r="S804" s="1464"/>
      <c r="T804" s="1464"/>
      <c r="U804" s="1464"/>
      <c r="V804" s="1464"/>
      <c r="W804" s="1464"/>
      <c r="X804" s="1464"/>
      <c r="Y804" s="1464"/>
      <c r="Z804" s="1464"/>
      <c r="AA804" s="1464"/>
      <c r="AB804" s="1464"/>
    </row>
    <row r="805">
      <c r="A805" s="1464"/>
      <c r="B805" s="1464"/>
      <c r="C805" s="1464"/>
      <c r="D805" s="1464"/>
      <c r="E805" s="1464"/>
      <c r="F805" s="1464"/>
      <c r="G805" s="1464"/>
      <c r="H805" s="1464"/>
      <c r="I805" s="1464"/>
      <c r="J805" s="1464"/>
      <c r="K805" s="1464"/>
      <c r="L805" s="1464"/>
      <c r="M805" s="1464"/>
      <c r="N805" s="1464"/>
      <c r="O805" s="1464"/>
      <c r="P805" s="1464"/>
      <c r="Q805" s="1464"/>
      <c r="R805" s="1464"/>
      <c r="S805" s="1464"/>
      <c r="T805" s="1464"/>
      <c r="U805" s="1464"/>
      <c r="V805" s="1464"/>
      <c r="W805" s="1464"/>
      <c r="X805" s="1464"/>
      <c r="Y805" s="1464"/>
      <c r="Z805" s="1464"/>
      <c r="AA805" s="1464"/>
      <c r="AB805" s="1464"/>
    </row>
    <row r="806">
      <c r="A806" s="1464"/>
      <c r="B806" s="1464"/>
      <c r="C806" s="1464"/>
      <c r="D806" s="1464"/>
      <c r="E806" s="1464"/>
      <c r="F806" s="1464"/>
      <c r="G806" s="1464"/>
      <c r="H806" s="1464"/>
      <c r="I806" s="1464"/>
      <c r="J806" s="1464"/>
      <c r="K806" s="1464"/>
      <c r="L806" s="1464"/>
      <c r="M806" s="1464"/>
      <c r="N806" s="1464"/>
      <c r="O806" s="1464"/>
      <c r="P806" s="1464"/>
      <c r="Q806" s="1464"/>
      <c r="R806" s="1464"/>
      <c r="S806" s="1464"/>
      <c r="T806" s="1464"/>
      <c r="U806" s="1464"/>
      <c r="V806" s="1464"/>
      <c r="W806" s="1464"/>
      <c r="X806" s="1464"/>
      <c r="Y806" s="1464"/>
      <c r="Z806" s="1464"/>
      <c r="AA806" s="1464"/>
      <c r="AB806" s="1464"/>
    </row>
    <row r="807">
      <c r="A807" s="1464"/>
      <c r="B807" s="1464"/>
      <c r="C807" s="1464"/>
      <c r="D807" s="1464"/>
      <c r="E807" s="1464"/>
      <c r="F807" s="1464"/>
      <c r="G807" s="1464"/>
      <c r="H807" s="1464"/>
      <c r="I807" s="1464"/>
      <c r="J807" s="1464"/>
      <c r="K807" s="1464"/>
      <c r="L807" s="1464"/>
      <c r="M807" s="1464"/>
      <c r="N807" s="1464"/>
      <c r="O807" s="1464"/>
      <c r="P807" s="1464"/>
      <c r="Q807" s="1464"/>
      <c r="R807" s="1464"/>
      <c r="S807" s="1464"/>
      <c r="T807" s="1464"/>
      <c r="U807" s="1464"/>
      <c r="V807" s="1464"/>
      <c r="W807" s="1464"/>
      <c r="X807" s="1464"/>
      <c r="Y807" s="1464"/>
      <c r="Z807" s="1464"/>
      <c r="AA807" s="1464"/>
      <c r="AB807" s="1464"/>
    </row>
    <row r="808">
      <c r="A808" s="1464"/>
      <c r="B808" s="1464"/>
      <c r="C808" s="1464"/>
      <c r="D808" s="1464"/>
      <c r="E808" s="1464"/>
      <c r="F808" s="1464"/>
      <c r="G808" s="1464"/>
      <c r="H808" s="1464"/>
      <c r="I808" s="1464"/>
      <c r="J808" s="1464"/>
      <c r="K808" s="1464"/>
      <c r="L808" s="1464"/>
      <c r="M808" s="1464"/>
      <c r="N808" s="1464"/>
      <c r="O808" s="1464"/>
      <c r="P808" s="1464"/>
      <c r="Q808" s="1464"/>
      <c r="R808" s="1464"/>
      <c r="S808" s="1464"/>
      <c r="T808" s="1464"/>
      <c r="U808" s="1464"/>
      <c r="V808" s="1464"/>
      <c r="W808" s="1464"/>
      <c r="X808" s="1464"/>
      <c r="Y808" s="1464"/>
      <c r="Z808" s="1464"/>
      <c r="AA808" s="1464"/>
      <c r="AB808" s="1464"/>
    </row>
    <row r="809">
      <c r="A809" s="1464"/>
      <c r="B809" s="1464"/>
      <c r="C809" s="1464"/>
      <c r="D809" s="1464"/>
      <c r="E809" s="1464"/>
      <c r="F809" s="1464"/>
      <c r="G809" s="1464"/>
      <c r="H809" s="1464"/>
      <c r="I809" s="1464"/>
      <c r="J809" s="1464"/>
      <c r="K809" s="1464"/>
      <c r="L809" s="1464"/>
      <c r="M809" s="1464"/>
      <c r="N809" s="1464"/>
      <c r="O809" s="1464"/>
      <c r="P809" s="1464"/>
      <c r="Q809" s="1464"/>
      <c r="R809" s="1464"/>
      <c r="S809" s="1464"/>
      <c r="T809" s="1464"/>
      <c r="U809" s="1464"/>
      <c r="V809" s="1464"/>
      <c r="W809" s="1464"/>
      <c r="X809" s="1464"/>
      <c r="Y809" s="1464"/>
      <c r="Z809" s="1464"/>
      <c r="AA809" s="1464"/>
      <c r="AB809" s="1464"/>
    </row>
    <row r="810">
      <c r="A810" s="1464"/>
      <c r="B810" s="1464"/>
      <c r="C810" s="1464"/>
      <c r="D810" s="1464"/>
      <c r="E810" s="1464"/>
      <c r="F810" s="1464"/>
      <c r="G810" s="1464"/>
      <c r="H810" s="1464"/>
      <c r="I810" s="1464"/>
      <c r="J810" s="1464"/>
      <c r="K810" s="1464"/>
      <c r="L810" s="1464"/>
      <c r="M810" s="1464"/>
      <c r="N810" s="1464"/>
      <c r="O810" s="1464"/>
      <c r="P810" s="1464"/>
      <c r="Q810" s="1464"/>
      <c r="R810" s="1464"/>
      <c r="S810" s="1464"/>
      <c r="T810" s="1464"/>
      <c r="U810" s="1464"/>
      <c r="V810" s="1464"/>
      <c r="W810" s="1464"/>
      <c r="X810" s="1464"/>
      <c r="Y810" s="1464"/>
      <c r="Z810" s="1464"/>
      <c r="AA810" s="1464"/>
      <c r="AB810" s="1464"/>
    </row>
    <row r="811">
      <c r="A811" s="1464"/>
      <c r="B811" s="1464"/>
      <c r="C811" s="1464"/>
      <c r="D811" s="1464"/>
      <c r="E811" s="1464"/>
      <c r="F811" s="1464"/>
      <c r="G811" s="1464"/>
      <c r="H811" s="1464"/>
      <c r="I811" s="1464"/>
      <c r="J811" s="1464"/>
      <c r="K811" s="1464"/>
      <c r="L811" s="1464"/>
      <c r="M811" s="1464"/>
      <c r="N811" s="1464"/>
      <c r="O811" s="1464"/>
      <c r="P811" s="1464"/>
      <c r="Q811" s="1464"/>
      <c r="R811" s="1464"/>
      <c r="S811" s="1464"/>
      <c r="T811" s="1464"/>
      <c r="U811" s="1464"/>
      <c r="V811" s="1464"/>
      <c r="W811" s="1464"/>
      <c r="X811" s="1464"/>
      <c r="Y811" s="1464"/>
      <c r="Z811" s="1464"/>
      <c r="AA811" s="1464"/>
      <c r="AB811" s="1464"/>
    </row>
    <row r="812">
      <c r="A812" s="1464"/>
      <c r="B812" s="1464"/>
      <c r="C812" s="1464"/>
      <c r="D812" s="1464"/>
      <c r="E812" s="1464"/>
      <c r="F812" s="1464"/>
      <c r="G812" s="1464"/>
      <c r="H812" s="1464"/>
      <c r="I812" s="1464"/>
      <c r="J812" s="1464"/>
      <c r="K812" s="1464"/>
      <c r="L812" s="1464"/>
      <c r="M812" s="1464"/>
      <c r="N812" s="1464"/>
      <c r="O812" s="1464"/>
      <c r="P812" s="1464"/>
      <c r="Q812" s="1464"/>
      <c r="R812" s="1464"/>
      <c r="S812" s="1464"/>
      <c r="T812" s="1464"/>
      <c r="U812" s="1464"/>
      <c r="V812" s="1464"/>
      <c r="W812" s="1464"/>
      <c r="X812" s="1464"/>
      <c r="Y812" s="1464"/>
      <c r="Z812" s="1464"/>
      <c r="AA812" s="1464"/>
      <c r="AB812" s="1464"/>
    </row>
    <row r="813">
      <c r="A813" s="1464"/>
      <c r="B813" s="1464"/>
      <c r="C813" s="1464"/>
      <c r="D813" s="1464"/>
      <c r="E813" s="1464"/>
      <c r="F813" s="1464"/>
      <c r="G813" s="1464"/>
      <c r="H813" s="1464"/>
      <c r="I813" s="1464"/>
      <c r="J813" s="1464"/>
      <c r="K813" s="1464"/>
      <c r="L813" s="1464"/>
      <c r="M813" s="1464"/>
      <c r="N813" s="1464"/>
      <c r="O813" s="1464"/>
      <c r="P813" s="1464"/>
      <c r="Q813" s="1464"/>
      <c r="R813" s="1464"/>
      <c r="S813" s="1464"/>
      <c r="T813" s="1464"/>
      <c r="U813" s="1464"/>
      <c r="V813" s="1464"/>
      <c r="W813" s="1464"/>
      <c r="X813" s="1464"/>
      <c r="Y813" s="1464"/>
      <c r="Z813" s="1464"/>
      <c r="AA813" s="1464"/>
      <c r="AB813" s="1464"/>
    </row>
    <row r="814">
      <c r="A814" s="1464"/>
      <c r="B814" s="1464"/>
      <c r="C814" s="1464"/>
      <c r="D814" s="1464"/>
      <c r="E814" s="1464"/>
      <c r="F814" s="1464"/>
      <c r="G814" s="1464"/>
      <c r="H814" s="1464"/>
      <c r="I814" s="1464"/>
      <c r="J814" s="1464"/>
      <c r="K814" s="1464"/>
      <c r="L814" s="1464"/>
      <c r="M814" s="1464"/>
      <c r="N814" s="1464"/>
      <c r="O814" s="1464"/>
      <c r="P814" s="1464"/>
      <c r="Q814" s="1464"/>
      <c r="R814" s="1464"/>
      <c r="S814" s="1464"/>
      <c r="T814" s="1464"/>
      <c r="U814" s="1464"/>
      <c r="V814" s="1464"/>
      <c r="W814" s="1464"/>
      <c r="X814" s="1464"/>
      <c r="Y814" s="1464"/>
      <c r="Z814" s="1464"/>
      <c r="AA814" s="1464"/>
      <c r="AB814" s="1464"/>
    </row>
    <row r="815">
      <c r="A815" s="1464"/>
      <c r="B815" s="1464"/>
      <c r="C815" s="1464"/>
      <c r="D815" s="1464"/>
      <c r="E815" s="1464"/>
      <c r="F815" s="1464"/>
      <c r="G815" s="1464"/>
      <c r="H815" s="1464"/>
      <c r="I815" s="1464"/>
      <c r="J815" s="1464"/>
      <c r="K815" s="1464"/>
      <c r="L815" s="1464"/>
      <c r="M815" s="1464"/>
      <c r="N815" s="1464"/>
      <c r="O815" s="1464"/>
      <c r="P815" s="1464"/>
      <c r="Q815" s="1464"/>
      <c r="R815" s="1464"/>
      <c r="S815" s="1464"/>
      <c r="T815" s="1464"/>
      <c r="U815" s="1464"/>
      <c r="V815" s="1464"/>
      <c r="W815" s="1464"/>
      <c r="X815" s="1464"/>
      <c r="Y815" s="1464"/>
      <c r="Z815" s="1464"/>
      <c r="AA815" s="1464"/>
      <c r="AB815" s="1464"/>
    </row>
    <row r="816">
      <c r="A816" s="1464"/>
      <c r="B816" s="1464"/>
      <c r="C816" s="1464"/>
      <c r="D816" s="1464"/>
      <c r="E816" s="1464"/>
      <c r="F816" s="1464"/>
      <c r="G816" s="1464"/>
      <c r="H816" s="1464"/>
      <c r="I816" s="1464"/>
      <c r="J816" s="1464"/>
      <c r="K816" s="1464"/>
      <c r="L816" s="1464"/>
      <c r="M816" s="1464"/>
      <c r="N816" s="1464"/>
      <c r="O816" s="1464"/>
      <c r="P816" s="1464"/>
      <c r="Q816" s="1464"/>
      <c r="R816" s="1464"/>
      <c r="S816" s="1464"/>
      <c r="T816" s="1464"/>
      <c r="U816" s="1464"/>
      <c r="V816" s="1464"/>
      <c r="W816" s="1464"/>
      <c r="X816" s="1464"/>
      <c r="Y816" s="1464"/>
      <c r="Z816" s="1464"/>
      <c r="AA816" s="1464"/>
      <c r="AB816" s="1464"/>
    </row>
    <row r="817">
      <c r="A817" s="1464"/>
      <c r="B817" s="1464"/>
      <c r="C817" s="1464"/>
      <c r="D817" s="1464"/>
      <c r="E817" s="1464"/>
      <c r="F817" s="1464"/>
      <c r="G817" s="1464"/>
      <c r="H817" s="1464"/>
      <c r="I817" s="1464"/>
      <c r="J817" s="1464"/>
      <c r="K817" s="1464"/>
      <c r="L817" s="1464"/>
      <c r="M817" s="1464"/>
      <c r="N817" s="1464"/>
      <c r="O817" s="1464"/>
      <c r="P817" s="1464"/>
      <c r="Q817" s="1464"/>
      <c r="R817" s="1464"/>
      <c r="S817" s="1464"/>
      <c r="T817" s="1464"/>
      <c r="U817" s="1464"/>
      <c r="V817" s="1464"/>
      <c r="W817" s="1464"/>
      <c r="X817" s="1464"/>
      <c r="Y817" s="1464"/>
      <c r="Z817" s="1464"/>
      <c r="AA817" s="1464"/>
      <c r="AB817" s="1464"/>
    </row>
    <row r="818">
      <c r="A818" s="1464"/>
      <c r="B818" s="1464"/>
      <c r="C818" s="1464"/>
      <c r="D818" s="1464"/>
      <c r="E818" s="1464"/>
      <c r="F818" s="1464"/>
      <c r="G818" s="1464"/>
      <c r="H818" s="1464"/>
      <c r="I818" s="1464"/>
      <c r="J818" s="1464"/>
      <c r="K818" s="1464"/>
      <c r="L818" s="1464"/>
      <c r="M818" s="1464"/>
      <c r="N818" s="1464"/>
      <c r="O818" s="1464"/>
      <c r="P818" s="1464"/>
      <c r="Q818" s="1464"/>
      <c r="R818" s="1464"/>
      <c r="S818" s="1464"/>
      <c r="T818" s="1464"/>
      <c r="U818" s="1464"/>
      <c r="V818" s="1464"/>
      <c r="W818" s="1464"/>
      <c r="X818" s="1464"/>
      <c r="Y818" s="1464"/>
      <c r="Z818" s="1464"/>
      <c r="AA818" s="1464"/>
      <c r="AB818" s="1464"/>
    </row>
    <row r="819">
      <c r="A819" s="1464"/>
      <c r="B819" s="1464"/>
      <c r="C819" s="1464"/>
      <c r="D819" s="1464"/>
      <c r="E819" s="1464"/>
      <c r="F819" s="1464"/>
      <c r="G819" s="1464"/>
      <c r="H819" s="1464"/>
      <c r="I819" s="1464"/>
      <c r="J819" s="1464"/>
      <c r="K819" s="1464"/>
      <c r="L819" s="1464"/>
      <c r="M819" s="1464"/>
      <c r="N819" s="1464"/>
      <c r="O819" s="1464"/>
      <c r="P819" s="1464"/>
      <c r="Q819" s="1464"/>
      <c r="R819" s="1464"/>
      <c r="S819" s="1464"/>
      <c r="T819" s="1464"/>
      <c r="U819" s="1464"/>
      <c r="V819" s="1464"/>
      <c r="W819" s="1464"/>
      <c r="X819" s="1464"/>
      <c r="Y819" s="1464"/>
      <c r="Z819" s="1464"/>
      <c r="AA819" s="1464"/>
      <c r="AB819" s="1464"/>
    </row>
    <row r="820">
      <c r="A820" s="1464"/>
      <c r="B820" s="1464"/>
      <c r="C820" s="1464"/>
      <c r="D820" s="1464"/>
      <c r="E820" s="1464"/>
      <c r="F820" s="1464"/>
      <c r="G820" s="1464"/>
      <c r="H820" s="1464"/>
      <c r="I820" s="1464"/>
      <c r="J820" s="1464"/>
      <c r="K820" s="1464"/>
      <c r="L820" s="1464"/>
      <c r="M820" s="1464"/>
      <c r="N820" s="1464"/>
      <c r="O820" s="1464"/>
      <c r="P820" s="1464"/>
      <c r="Q820" s="1464"/>
      <c r="R820" s="1464"/>
      <c r="S820" s="1464"/>
      <c r="T820" s="1464"/>
      <c r="U820" s="1464"/>
      <c r="V820" s="1464"/>
      <c r="W820" s="1464"/>
      <c r="X820" s="1464"/>
      <c r="Y820" s="1464"/>
      <c r="Z820" s="1464"/>
      <c r="AA820" s="1464"/>
      <c r="AB820" s="1464"/>
    </row>
    <row r="821">
      <c r="A821" s="1464"/>
      <c r="B821" s="1464"/>
      <c r="C821" s="1464"/>
      <c r="D821" s="1464"/>
      <c r="E821" s="1464"/>
      <c r="F821" s="1464"/>
      <c r="G821" s="1464"/>
      <c r="H821" s="1464"/>
      <c r="I821" s="1464"/>
      <c r="J821" s="1464"/>
      <c r="K821" s="1464"/>
      <c r="L821" s="1464"/>
      <c r="M821" s="1464"/>
      <c r="N821" s="1464"/>
      <c r="O821" s="1464"/>
      <c r="P821" s="1464"/>
      <c r="Q821" s="1464"/>
      <c r="R821" s="1464"/>
      <c r="S821" s="1464"/>
      <c r="T821" s="1464"/>
      <c r="U821" s="1464"/>
      <c r="V821" s="1464"/>
      <c r="W821" s="1464"/>
      <c r="X821" s="1464"/>
      <c r="Y821" s="1464"/>
      <c r="Z821" s="1464"/>
      <c r="AA821" s="1464"/>
      <c r="AB821" s="1464"/>
    </row>
    <row r="822">
      <c r="A822" s="1464"/>
      <c r="B822" s="1464"/>
      <c r="C822" s="1464"/>
      <c r="D822" s="1464"/>
      <c r="E822" s="1464"/>
      <c r="F822" s="1464"/>
      <c r="G822" s="1464"/>
      <c r="H822" s="1464"/>
      <c r="I822" s="1464"/>
      <c r="J822" s="1464"/>
      <c r="K822" s="1464"/>
      <c r="L822" s="1464"/>
      <c r="M822" s="1464"/>
      <c r="N822" s="1464"/>
      <c r="O822" s="1464"/>
      <c r="P822" s="1464"/>
      <c r="Q822" s="1464"/>
      <c r="R822" s="1464"/>
      <c r="S822" s="1464"/>
      <c r="T822" s="1464"/>
      <c r="U822" s="1464"/>
      <c r="V822" s="1464"/>
      <c r="W822" s="1464"/>
      <c r="X822" s="1464"/>
      <c r="Y822" s="1464"/>
      <c r="Z822" s="1464"/>
      <c r="AA822" s="1464"/>
      <c r="AB822" s="1464"/>
    </row>
    <row r="823">
      <c r="A823" s="1464"/>
      <c r="B823" s="1464"/>
      <c r="C823" s="1464"/>
      <c r="D823" s="1464"/>
      <c r="E823" s="1464"/>
      <c r="F823" s="1464"/>
      <c r="G823" s="1464"/>
      <c r="H823" s="1464"/>
      <c r="I823" s="1464"/>
      <c r="J823" s="1464"/>
      <c r="K823" s="1464"/>
      <c r="L823" s="1464"/>
      <c r="M823" s="1464"/>
      <c r="N823" s="1464"/>
      <c r="O823" s="1464"/>
      <c r="P823" s="1464"/>
      <c r="Q823" s="1464"/>
      <c r="R823" s="1464"/>
      <c r="S823" s="1464"/>
      <c r="T823" s="1464"/>
      <c r="U823" s="1464"/>
      <c r="V823" s="1464"/>
      <c r="W823" s="1464"/>
      <c r="X823" s="1464"/>
      <c r="Y823" s="1464"/>
      <c r="Z823" s="1464"/>
      <c r="AA823" s="1464"/>
      <c r="AB823" s="1464"/>
    </row>
    <row r="824">
      <c r="A824" s="1464"/>
      <c r="B824" s="1464"/>
      <c r="C824" s="1464"/>
      <c r="D824" s="1464"/>
      <c r="E824" s="1464"/>
      <c r="F824" s="1464"/>
      <c r="G824" s="1464"/>
      <c r="H824" s="1464"/>
      <c r="I824" s="1464"/>
      <c r="J824" s="1464"/>
      <c r="K824" s="1464"/>
      <c r="L824" s="1464"/>
      <c r="M824" s="1464"/>
      <c r="N824" s="1464"/>
      <c r="O824" s="1464"/>
      <c r="P824" s="1464"/>
      <c r="Q824" s="1464"/>
      <c r="R824" s="1464"/>
      <c r="S824" s="1464"/>
      <c r="T824" s="1464"/>
      <c r="U824" s="1464"/>
      <c r="V824" s="1464"/>
      <c r="W824" s="1464"/>
      <c r="X824" s="1464"/>
      <c r="Y824" s="1464"/>
      <c r="Z824" s="1464"/>
      <c r="AA824" s="1464"/>
      <c r="AB824" s="1464"/>
    </row>
    <row r="825">
      <c r="A825" s="1464"/>
      <c r="B825" s="1464"/>
      <c r="C825" s="1464"/>
      <c r="D825" s="1464"/>
      <c r="E825" s="1464"/>
      <c r="F825" s="1464"/>
      <c r="G825" s="1464"/>
      <c r="H825" s="1464"/>
      <c r="I825" s="1464"/>
      <c r="J825" s="1464"/>
      <c r="K825" s="1464"/>
      <c r="L825" s="1464"/>
      <c r="M825" s="1464"/>
      <c r="N825" s="1464"/>
      <c r="O825" s="1464"/>
      <c r="P825" s="1464"/>
      <c r="Q825" s="1464"/>
      <c r="R825" s="1464"/>
      <c r="S825" s="1464"/>
      <c r="T825" s="1464"/>
      <c r="U825" s="1464"/>
      <c r="V825" s="1464"/>
      <c r="W825" s="1464"/>
      <c r="X825" s="1464"/>
      <c r="Y825" s="1464"/>
      <c r="Z825" s="1464"/>
      <c r="AA825" s="1464"/>
      <c r="AB825" s="1464"/>
    </row>
    <row r="826">
      <c r="A826" s="1464"/>
      <c r="B826" s="1464"/>
      <c r="C826" s="1464"/>
      <c r="D826" s="1464"/>
      <c r="E826" s="1464"/>
      <c r="F826" s="1464"/>
      <c r="G826" s="1464"/>
      <c r="H826" s="1464"/>
      <c r="I826" s="1464"/>
      <c r="J826" s="1464"/>
      <c r="K826" s="1464"/>
      <c r="L826" s="1464"/>
      <c r="M826" s="1464"/>
      <c r="N826" s="1464"/>
      <c r="O826" s="1464"/>
      <c r="P826" s="1464"/>
      <c r="Q826" s="1464"/>
      <c r="R826" s="1464"/>
      <c r="S826" s="1464"/>
      <c r="T826" s="1464"/>
      <c r="U826" s="1464"/>
      <c r="V826" s="1464"/>
      <c r="W826" s="1464"/>
      <c r="X826" s="1464"/>
      <c r="Y826" s="1464"/>
      <c r="Z826" s="1464"/>
      <c r="AA826" s="1464"/>
      <c r="AB826" s="1464"/>
    </row>
    <row r="827">
      <c r="A827" s="1464"/>
      <c r="B827" s="1464"/>
      <c r="C827" s="1464"/>
      <c r="D827" s="1464"/>
      <c r="E827" s="1464"/>
      <c r="F827" s="1464"/>
      <c r="G827" s="1464"/>
      <c r="H827" s="1464"/>
      <c r="I827" s="1464"/>
      <c r="J827" s="1464"/>
      <c r="K827" s="1464"/>
      <c r="L827" s="1464"/>
      <c r="M827" s="1464"/>
      <c r="N827" s="1464"/>
      <c r="O827" s="1464"/>
      <c r="P827" s="1464"/>
      <c r="Q827" s="1464"/>
      <c r="R827" s="1464"/>
      <c r="S827" s="1464"/>
      <c r="T827" s="1464"/>
      <c r="U827" s="1464"/>
      <c r="V827" s="1464"/>
      <c r="W827" s="1464"/>
      <c r="X827" s="1464"/>
      <c r="Y827" s="1464"/>
      <c r="Z827" s="1464"/>
      <c r="AA827" s="1464"/>
      <c r="AB827" s="1464"/>
    </row>
    <row r="828">
      <c r="A828" s="1464"/>
      <c r="B828" s="1464"/>
      <c r="C828" s="1464"/>
      <c r="D828" s="1464"/>
      <c r="E828" s="1464"/>
      <c r="F828" s="1464"/>
      <c r="G828" s="1464"/>
      <c r="H828" s="1464"/>
      <c r="I828" s="1464"/>
      <c r="J828" s="1464"/>
      <c r="K828" s="1464"/>
      <c r="L828" s="1464"/>
      <c r="M828" s="1464"/>
      <c r="N828" s="1464"/>
      <c r="O828" s="1464"/>
      <c r="P828" s="1464"/>
      <c r="Q828" s="1464"/>
      <c r="R828" s="1464"/>
      <c r="S828" s="1464"/>
      <c r="T828" s="1464"/>
      <c r="U828" s="1464"/>
      <c r="V828" s="1464"/>
      <c r="W828" s="1464"/>
      <c r="X828" s="1464"/>
      <c r="Y828" s="1464"/>
      <c r="Z828" s="1464"/>
      <c r="AA828" s="1464"/>
      <c r="AB828" s="1464"/>
    </row>
    <row r="829">
      <c r="A829" s="1464"/>
      <c r="B829" s="1464"/>
      <c r="C829" s="1464"/>
      <c r="D829" s="1464"/>
      <c r="E829" s="1464"/>
      <c r="F829" s="1464"/>
      <c r="G829" s="1464"/>
      <c r="H829" s="1464"/>
      <c r="I829" s="1464"/>
      <c r="J829" s="1464"/>
      <c r="K829" s="1464"/>
      <c r="L829" s="1464"/>
      <c r="M829" s="1464"/>
      <c r="N829" s="1464"/>
      <c r="O829" s="1464"/>
      <c r="P829" s="1464"/>
      <c r="Q829" s="1464"/>
      <c r="R829" s="1464"/>
      <c r="S829" s="1464"/>
      <c r="T829" s="1464"/>
      <c r="U829" s="1464"/>
      <c r="V829" s="1464"/>
      <c r="W829" s="1464"/>
      <c r="X829" s="1464"/>
      <c r="Y829" s="1464"/>
      <c r="Z829" s="1464"/>
      <c r="AA829" s="1464"/>
      <c r="AB829" s="1464"/>
    </row>
    <row r="830">
      <c r="A830" s="1464"/>
      <c r="B830" s="1464"/>
      <c r="C830" s="1464"/>
      <c r="D830" s="1464"/>
      <c r="E830" s="1464"/>
      <c r="F830" s="1464"/>
      <c r="G830" s="1464"/>
      <c r="H830" s="1464"/>
      <c r="I830" s="1464"/>
      <c r="J830" s="1464"/>
      <c r="K830" s="1464"/>
      <c r="L830" s="1464"/>
      <c r="M830" s="1464"/>
      <c r="N830" s="1464"/>
      <c r="O830" s="1464"/>
      <c r="P830" s="1464"/>
      <c r="Q830" s="1464"/>
      <c r="R830" s="1464"/>
      <c r="S830" s="1464"/>
      <c r="T830" s="1464"/>
      <c r="U830" s="1464"/>
      <c r="V830" s="1464"/>
      <c r="W830" s="1464"/>
      <c r="X830" s="1464"/>
      <c r="Y830" s="1464"/>
      <c r="Z830" s="1464"/>
      <c r="AA830" s="1464"/>
      <c r="AB830" s="1464"/>
    </row>
    <row r="831">
      <c r="A831" s="1464"/>
      <c r="B831" s="1464"/>
      <c r="C831" s="1464"/>
      <c r="D831" s="1464"/>
      <c r="E831" s="1464"/>
      <c r="F831" s="1464"/>
      <c r="G831" s="1464"/>
      <c r="H831" s="1464"/>
      <c r="I831" s="1464"/>
      <c r="J831" s="1464"/>
      <c r="K831" s="1464"/>
      <c r="L831" s="1464"/>
      <c r="M831" s="1464"/>
      <c r="N831" s="1464"/>
      <c r="O831" s="1464"/>
      <c r="P831" s="1464"/>
      <c r="Q831" s="1464"/>
      <c r="R831" s="1464"/>
      <c r="S831" s="1464"/>
      <c r="T831" s="1464"/>
      <c r="U831" s="1464"/>
      <c r="V831" s="1464"/>
      <c r="W831" s="1464"/>
      <c r="X831" s="1464"/>
      <c r="Y831" s="1464"/>
      <c r="Z831" s="1464"/>
      <c r="AA831" s="1464"/>
      <c r="AB831" s="1464"/>
    </row>
    <row r="832">
      <c r="A832" s="1464"/>
      <c r="B832" s="1464"/>
      <c r="C832" s="1464"/>
      <c r="D832" s="1464"/>
      <c r="E832" s="1464"/>
      <c r="F832" s="1464"/>
      <c r="G832" s="1464"/>
      <c r="H832" s="1464"/>
      <c r="I832" s="1464"/>
      <c r="J832" s="1464"/>
      <c r="K832" s="1464"/>
      <c r="L832" s="1464"/>
      <c r="M832" s="1464"/>
      <c r="N832" s="1464"/>
      <c r="O832" s="1464"/>
      <c r="P832" s="1464"/>
      <c r="Q832" s="1464"/>
      <c r="R832" s="1464"/>
      <c r="S832" s="1464"/>
      <c r="T832" s="1464"/>
      <c r="U832" s="1464"/>
      <c r="V832" s="1464"/>
      <c r="W832" s="1464"/>
      <c r="X832" s="1464"/>
      <c r="Y832" s="1464"/>
      <c r="Z832" s="1464"/>
      <c r="AA832" s="1464"/>
      <c r="AB832" s="1464"/>
    </row>
    <row r="833">
      <c r="A833" s="1464"/>
      <c r="B833" s="1464"/>
      <c r="C833" s="1464"/>
      <c r="D833" s="1464"/>
      <c r="E833" s="1464"/>
      <c r="F833" s="1464"/>
      <c r="G833" s="1464"/>
      <c r="H833" s="1464"/>
      <c r="I833" s="1464"/>
      <c r="J833" s="1464"/>
      <c r="K833" s="1464"/>
      <c r="L833" s="1464"/>
      <c r="M833" s="1464"/>
      <c r="N833" s="1464"/>
      <c r="O833" s="1464"/>
      <c r="P833" s="1464"/>
      <c r="Q833" s="1464"/>
      <c r="R833" s="1464"/>
      <c r="S833" s="1464"/>
      <c r="T833" s="1464"/>
      <c r="U833" s="1464"/>
      <c r="V833" s="1464"/>
      <c r="W833" s="1464"/>
      <c r="X833" s="1464"/>
      <c r="Y833" s="1464"/>
      <c r="Z833" s="1464"/>
      <c r="AA833" s="1464"/>
      <c r="AB833" s="1464"/>
    </row>
    <row r="834">
      <c r="A834" s="1464"/>
      <c r="B834" s="1464"/>
      <c r="C834" s="1464"/>
      <c r="D834" s="1464"/>
      <c r="E834" s="1464"/>
      <c r="F834" s="1464"/>
      <c r="G834" s="1464"/>
      <c r="H834" s="1464"/>
      <c r="I834" s="1464"/>
      <c r="J834" s="1464"/>
      <c r="K834" s="1464"/>
      <c r="L834" s="1464"/>
      <c r="M834" s="1464"/>
      <c r="N834" s="1464"/>
      <c r="O834" s="1464"/>
      <c r="P834" s="1464"/>
      <c r="Q834" s="1464"/>
      <c r="R834" s="1464"/>
      <c r="S834" s="1464"/>
      <c r="T834" s="1464"/>
      <c r="U834" s="1464"/>
      <c r="V834" s="1464"/>
      <c r="W834" s="1464"/>
      <c r="X834" s="1464"/>
      <c r="Y834" s="1464"/>
      <c r="Z834" s="1464"/>
      <c r="AA834" s="1464"/>
      <c r="AB834" s="1464"/>
    </row>
    <row r="835">
      <c r="A835" s="1464"/>
      <c r="B835" s="1464"/>
      <c r="C835" s="1464"/>
      <c r="D835" s="1464"/>
      <c r="E835" s="1464"/>
      <c r="F835" s="1464"/>
      <c r="G835" s="1464"/>
      <c r="H835" s="1464"/>
      <c r="I835" s="1464"/>
      <c r="J835" s="1464"/>
      <c r="K835" s="1464"/>
      <c r="L835" s="1464"/>
      <c r="M835" s="1464"/>
      <c r="N835" s="1464"/>
      <c r="O835" s="1464"/>
      <c r="P835" s="1464"/>
      <c r="Q835" s="1464"/>
      <c r="R835" s="1464"/>
      <c r="S835" s="1464"/>
      <c r="T835" s="1464"/>
      <c r="U835" s="1464"/>
      <c r="V835" s="1464"/>
      <c r="W835" s="1464"/>
      <c r="X835" s="1464"/>
      <c r="Y835" s="1464"/>
      <c r="Z835" s="1464"/>
      <c r="AA835" s="1464"/>
      <c r="AB835" s="1464"/>
    </row>
    <row r="836">
      <c r="A836" s="1464"/>
      <c r="B836" s="1464"/>
      <c r="C836" s="1464"/>
      <c r="D836" s="1464"/>
      <c r="E836" s="1464"/>
      <c r="F836" s="1464"/>
      <c r="G836" s="1464"/>
      <c r="H836" s="1464"/>
      <c r="I836" s="1464"/>
      <c r="J836" s="1464"/>
      <c r="K836" s="1464"/>
      <c r="L836" s="1464"/>
      <c r="M836" s="1464"/>
      <c r="N836" s="1464"/>
      <c r="O836" s="1464"/>
      <c r="P836" s="1464"/>
      <c r="Q836" s="1464"/>
      <c r="R836" s="1464"/>
      <c r="S836" s="1464"/>
      <c r="T836" s="1464"/>
      <c r="U836" s="1464"/>
      <c r="V836" s="1464"/>
      <c r="W836" s="1464"/>
      <c r="X836" s="1464"/>
      <c r="Y836" s="1464"/>
      <c r="Z836" s="1464"/>
      <c r="AA836" s="1464"/>
      <c r="AB836" s="1464"/>
    </row>
    <row r="837">
      <c r="A837" s="1464"/>
      <c r="B837" s="1464"/>
      <c r="C837" s="1464"/>
      <c r="D837" s="1464"/>
      <c r="E837" s="1464"/>
      <c r="F837" s="1464"/>
      <c r="G837" s="1464"/>
      <c r="H837" s="1464"/>
      <c r="I837" s="1464"/>
      <c r="J837" s="1464"/>
      <c r="K837" s="1464"/>
      <c r="L837" s="1464"/>
      <c r="M837" s="1464"/>
      <c r="N837" s="1464"/>
      <c r="O837" s="1464"/>
      <c r="P837" s="1464"/>
      <c r="Q837" s="1464"/>
      <c r="R837" s="1464"/>
      <c r="S837" s="1464"/>
      <c r="T837" s="1464"/>
      <c r="U837" s="1464"/>
      <c r="V837" s="1464"/>
      <c r="W837" s="1464"/>
      <c r="X837" s="1464"/>
      <c r="Y837" s="1464"/>
      <c r="Z837" s="1464"/>
      <c r="AA837" s="1464"/>
      <c r="AB837" s="1464"/>
    </row>
    <row r="838">
      <c r="A838" s="1464"/>
      <c r="B838" s="1464"/>
      <c r="C838" s="1464"/>
      <c r="D838" s="1464"/>
      <c r="E838" s="1464"/>
      <c r="F838" s="1464"/>
      <c r="G838" s="1464"/>
      <c r="H838" s="1464"/>
      <c r="I838" s="1464"/>
      <c r="J838" s="1464"/>
      <c r="K838" s="1464"/>
      <c r="L838" s="1464"/>
      <c r="M838" s="1464"/>
      <c r="N838" s="1464"/>
      <c r="O838" s="1464"/>
      <c r="P838" s="1464"/>
      <c r="Q838" s="1464"/>
      <c r="R838" s="1464"/>
      <c r="S838" s="1464"/>
      <c r="T838" s="1464"/>
      <c r="U838" s="1464"/>
      <c r="V838" s="1464"/>
      <c r="W838" s="1464"/>
      <c r="X838" s="1464"/>
      <c r="Y838" s="1464"/>
      <c r="Z838" s="1464"/>
      <c r="AA838" s="1464"/>
      <c r="AB838" s="1464"/>
    </row>
    <row r="839">
      <c r="A839" s="1464"/>
      <c r="B839" s="1464"/>
      <c r="C839" s="1464"/>
      <c r="D839" s="1464"/>
      <c r="E839" s="1464"/>
      <c r="F839" s="1464"/>
      <c r="G839" s="1464"/>
      <c r="H839" s="1464"/>
      <c r="I839" s="1464"/>
      <c r="J839" s="1464"/>
      <c r="K839" s="1464"/>
      <c r="L839" s="1464"/>
      <c r="M839" s="1464"/>
      <c r="N839" s="1464"/>
      <c r="O839" s="1464"/>
      <c r="P839" s="1464"/>
      <c r="Q839" s="1464"/>
      <c r="R839" s="1464"/>
      <c r="S839" s="1464"/>
      <c r="T839" s="1464"/>
      <c r="U839" s="1464"/>
      <c r="V839" s="1464"/>
      <c r="W839" s="1464"/>
      <c r="X839" s="1464"/>
      <c r="Y839" s="1464"/>
      <c r="Z839" s="1464"/>
      <c r="AA839" s="1464"/>
      <c r="AB839" s="1464"/>
    </row>
    <row r="840">
      <c r="A840" s="1464"/>
      <c r="B840" s="1464"/>
      <c r="C840" s="1464"/>
      <c r="D840" s="1464"/>
      <c r="E840" s="1464"/>
      <c r="F840" s="1464"/>
      <c r="G840" s="1464"/>
      <c r="H840" s="1464"/>
      <c r="I840" s="1464"/>
      <c r="J840" s="1464"/>
      <c r="K840" s="1464"/>
      <c r="L840" s="1464"/>
      <c r="M840" s="1464"/>
      <c r="N840" s="1464"/>
      <c r="O840" s="1464"/>
      <c r="P840" s="1464"/>
      <c r="Q840" s="1464"/>
      <c r="R840" s="1464"/>
      <c r="S840" s="1464"/>
      <c r="T840" s="1464"/>
      <c r="U840" s="1464"/>
      <c r="V840" s="1464"/>
      <c r="W840" s="1464"/>
      <c r="X840" s="1464"/>
      <c r="Y840" s="1464"/>
      <c r="Z840" s="1464"/>
      <c r="AA840" s="1464"/>
      <c r="AB840" s="1464"/>
    </row>
    <row r="841">
      <c r="A841" s="1464"/>
      <c r="B841" s="1464"/>
      <c r="C841" s="1464"/>
      <c r="D841" s="1464"/>
      <c r="E841" s="1464"/>
      <c r="F841" s="1464"/>
      <c r="G841" s="1464"/>
      <c r="H841" s="1464"/>
      <c r="I841" s="1464"/>
      <c r="J841" s="1464"/>
      <c r="K841" s="1464"/>
      <c r="L841" s="1464"/>
      <c r="M841" s="1464"/>
      <c r="N841" s="1464"/>
      <c r="O841" s="1464"/>
      <c r="P841" s="1464"/>
      <c r="Q841" s="1464"/>
      <c r="R841" s="1464"/>
      <c r="S841" s="1464"/>
      <c r="T841" s="1464"/>
      <c r="U841" s="1464"/>
      <c r="V841" s="1464"/>
      <c r="W841" s="1464"/>
      <c r="X841" s="1464"/>
      <c r="Y841" s="1464"/>
      <c r="Z841" s="1464"/>
      <c r="AA841" s="1464"/>
      <c r="AB841" s="1464"/>
    </row>
    <row r="842">
      <c r="A842" s="1464"/>
      <c r="B842" s="1464"/>
      <c r="C842" s="1464"/>
      <c r="D842" s="1464"/>
      <c r="E842" s="1464"/>
      <c r="F842" s="1464"/>
      <c r="G842" s="1464"/>
      <c r="H842" s="1464"/>
      <c r="I842" s="1464"/>
      <c r="J842" s="1464"/>
      <c r="K842" s="1464"/>
      <c r="L842" s="1464"/>
      <c r="M842" s="1464"/>
      <c r="N842" s="1464"/>
      <c r="O842" s="1464"/>
      <c r="P842" s="1464"/>
      <c r="Q842" s="1464"/>
      <c r="R842" s="1464"/>
      <c r="S842" s="1464"/>
      <c r="T842" s="1464"/>
      <c r="U842" s="1464"/>
      <c r="V842" s="1464"/>
      <c r="W842" s="1464"/>
      <c r="X842" s="1464"/>
      <c r="Y842" s="1464"/>
      <c r="Z842" s="1464"/>
      <c r="AA842" s="1464"/>
      <c r="AB842" s="1464"/>
    </row>
    <row r="843">
      <c r="A843" s="1464"/>
      <c r="B843" s="1464"/>
      <c r="C843" s="1464"/>
      <c r="D843" s="1464"/>
      <c r="E843" s="1464"/>
      <c r="F843" s="1464"/>
      <c r="G843" s="1464"/>
      <c r="H843" s="1464"/>
      <c r="I843" s="1464"/>
      <c r="J843" s="1464"/>
      <c r="K843" s="1464"/>
      <c r="L843" s="1464"/>
      <c r="M843" s="1464"/>
      <c r="N843" s="1464"/>
      <c r="O843" s="1464"/>
      <c r="P843" s="1464"/>
      <c r="Q843" s="1464"/>
      <c r="R843" s="1464"/>
      <c r="S843" s="1464"/>
      <c r="T843" s="1464"/>
      <c r="U843" s="1464"/>
      <c r="V843" s="1464"/>
      <c r="W843" s="1464"/>
      <c r="X843" s="1464"/>
      <c r="Y843" s="1464"/>
      <c r="Z843" s="1464"/>
      <c r="AA843" s="1464"/>
      <c r="AB843" s="1464"/>
    </row>
    <row r="844">
      <c r="A844" s="1464"/>
      <c r="B844" s="1464"/>
      <c r="C844" s="1464"/>
      <c r="D844" s="1464"/>
      <c r="E844" s="1464"/>
      <c r="F844" s="1464"/>
      <c r="G844" s="1464"/>
      <c r="H844" s="1464"/>
      <c r="I844" s="1464"/>
      <c r="J844" s="1464"/>
      <c r="K844" s="1464"/>
      <c r="L844" s="1464"/>
      <c r="M844" s="1464"/>
      <c r="N844" s="1464"/>
      <c r="O844" s="1464"/>
      <c r="P844" s="1464"/>
      <c r="Q844" s="1464"/>
      <c r="R844" s="1464"/>
      <c r="S844" s="1464"/>
      <c r="T844" s="1464"/>
      <c r="U844" s="1464"/>
      <c r="V844" s="1464"/>
      <c r="W844" s="1464"/>
      <c r="X844" s="1464"/>
      <c r="Y844" s="1464"/>
      <c r="Z844" s="1464"/>
      <c r="AA844" s="1464"/>
      <c r="AB844" s="1464"/>
    </row>
    <row r="845">
      <c r="A845" s="1464"/>
      <c r="B845" s="1464"/>
      <c r="C845" s="1464"/>
      <c r="D845" s="1464"/>
      <c r="E845" s="1464"/>
      <c r="F845" s="1464"/>
      <c r="G845" s="1464"/>
      <c r="H845" s="1464"/>
      <c r="I845" s="1464"/>
      <c r="J845" s="1464"/>
      <c r="K845" s="1464"/>
      <c r="L845" s="1464"/>
      <c r="M845" s="1464"/>
      <c r="N845" s="1464"/>
      <c r="O845" s="1464"/>
      <c r="P845" s="1464"/>
      <c r="Q845" s="1464"/>
      <c r="R845" s="1464"/>
      <c r="S845" s="1464"/>
      <c r="T845" s="1464"/>
      <c r="U845" s="1464"/>
      <c r="V845" s="1464"/>
      <c r="W845" s="1464"/>
      <c r="X845" s="1464"/>
      <c r="Y845" s="1464"/>
      <c r="Z845" s="1464"/>
      <c r="AA845" s="1464"/>
      <c r="AB845" s="1464"/>
    </row>
    <row r="846">
      <c r="A846" s="1464"/>
      <c r="B846" s="1464"/>
      <c r="C846" s="1464"/>
      <c r="D846" s="1464"/>
      <c r="E846" s="1464"/>
      <c r="F846" s="1464"/>
      <c r="G846" s="1464"/>
      <c r="H846" s="1464"/>
      <c r="I846" s="1464"/>
      <c r="J846" s="1464"/>
      <c r="K846" s="1464"/>
      <c r="L846" s="1464"/>
      <c r="M846" s="1464"/>
      <c r="N846" s="1464"/>
      <c r="O846" s="1464"/>
      <c r="P846" s="1464"/>
      <c r="Q846" s="1464"/>
      <c r="R846" s="1464"/>
      <c r="S846" s="1464"/>
      <c r="T846" s="1464"/>
      <c r="U846" s="1464"/>
      <c r="V846" s="1464"/>
      <c r="W846" s="1464"/>
      <c r="X846" s="1464"/>
      <c r="Y846" s="1464"/>
      <c r="Z846" s="1464"/>
      <c r="AA846" s="1464"/>
      <c r="AB846" s="1464"/>
    </row>
    <row r="847">
      <c r="A847" s="1464"/>
      <c r="B847" s="1464"/>
      <c r="C847" s="1464"/>
      <c r="D847" s="1464"/>
      <c r="E847" s="1464"/>
      <c r="F847" s="1464"/>
      <c r="G847" s="1464"/>
      <c r="H847" s="1464"/>
      <c r="I847" s="1464"/>
      <c r="J847" s="1464"/>
      <c r="K847" s="1464"/>
      <c r="L847" s="1464"/>
      <c r="M847" s="1464"/>
      <c r="N847" s="1464"/>
      <c r="O847" s="1464"/>
      <c r="P847" s="1464"/>
      <c r="Q847" s="1464"/>
      <c r="R847" s="1464"/>
      <c r="S847" s="1464"/>
      <c r="T847" s="1464"/>
      <c r="U847" s="1464"/>
      <c r="V847" s="1464"/>
      <c r="W847" s="1464"/>
      <c r="X847" s="1464"/>
      <c r="Y847" s="1464"/>
      <c r="Z847" s="1464"/>
      <c r="AA847" s="1464"/>
      <c r="AB847" s="1464"/>
    </row>
    <row r="848">
      <c r="A848" s="1464"/>
      <c r="B848" s="1464"/>
      <c r="C848" s="1464"/>
      <c r="D848" s="1464"/>
      <c r="E848" s="1464"/>
      <c r="F848" s="1464"/>
      <c r="G848" s="1464"/>
      <c r="H848" s="1464"/>
      <c r="I848" s="1464"/>
      <c r="J848" s="1464"/>
      <c r="K848" s="1464"/>
      <c r="L848" s="1464"/>
      <c r="M848" s="1464"/>
      <c r="N848" s="1464"/>
      <c r="O848" s="1464"/>
      <c r="P848" s="1464"/>
      <c r="Q848" s="1464"/>
      <c r="R848" s="1464"/>
      <c r="S848" s="1464"/>
      <c r="T848" s="1464"/>
      <c r="U848" s="1464"/>
      <c r="V848" s="1464"/>
      <c r="W848" s="1464"/>
      <c r="X848" s="1464"/>
      <c r="Y848" s="1464"/>
      <c r="Z848" s="1464"/>
      <c r="AA848" s="1464"/>
      <c r="AB848" s="1464"/>
    </row>
    <row r="849">
      <c r="A849" s="1464"/>
      <c r="B849" s="1464"/>
      <c r="C849" s="1464"/>
      <c r="D849" s="1464"/>
      <c r="E849" s="1464"/>
      <c r="F849" s="1464"/>
      <c r="G849" s="1464"/>
      <c r="H849" s="1464"/>
      <c r="I849" s="1464"/>
      <c r="J849" s="1464"/>
      <c r="K849" s="1464"/>
      <c r="L849" s="1464"/>
      <c r="M849" s="1464"/>
      <c r="N849" s="1464"/>
      <c r="O849" s="1464"/>
      <c r="P849" s="1464"/>
      <c r="Q849" s="1464"/>
      <c r="R849" s="1464"/>
      <c r="S849" s="1464"/>
      <c r="T849" s="1464"/>
      <c r="U849" s="1464"/>
      <c r="V849" s="1464"/>
      <c r="W849" s="1464"/>
      <c r="X849" s="1464"/>
      <c r="Y849" s="1464"/>
      <c r="Z849" s="1464"/>
      <c r="AA849" s="1464"/>
      <c r="AB849" s="1464"/>
    </row>
    <row r="850">
      <c r="A850" s="1464"/>
      <c r="B850" s="1464"/>
      <c r="C850" s="1464"/>
      <c r="D850" s="1464"/>
      <c r="E850" s="1464"/>
      <c r="F850" s="1464"/>
      <c r="G850" s="1464"/>
      <c r="H850" s="1464"/>
      <c r="I850" s="1464"/>
      <c r="J850" s="1464"/>
      <c r="K850" s="1464"/>
      <c r="L850" s="1464"/>
      <c r="M850" s="1464"/>
      <c r="N850" s="1464"/>
      <c r="O850" s="1464"/>
      <c r="P850" s="1464"/>
      <c r="Q850" s="1464"/>
      <c r="R850" s="1464"/>
      <c r="S850" s="1464"/>
      <c r="T850" s="1464"/>
      <c r="U850" s="1464"/>
      <c r="V850" s="1464"/>
      <c r="W850" s="1464"/>
      <c r="X850" s="1464"/>
      <c r="Y850" s="1464"/>
      <c r="Z850" s="1464"/>
      <c r="AA850" s="1464"/>
      <c r="AB850" s="1464"/>
    </row>
    <row r="851">
      <c r="A851" s="1464"/>
      <c r="B851" s="1464"/>
      <c r="C851" s="1464"/>
      <c r="D851" s="1464"/>
      <c r="E851" s="1464"/>
      <c r="F851" s="1464"/>
      <c r="G851" s="1464"/>
      <c r="H851" s="1464"/>
      <c r="I851" s="1464"/>
      <c r="J851" s="1464"/>
      <c r="K851" s="1464"/>
      <c r="L851" s="1464"/>
      <c r="M851" s="1464"/>
      <c r="N851" s="1464"/>
      <c r="O851" s="1464"/>
      <c r="P851" s="1464"/>
      <c r="Q851" s="1464"/>
      <c r="R851" s="1464"/>
      <c r="S851" s="1464"/>
      <c r="T851" s="1464"/>
      <c r="U851" s="1464"/>
      <c r="V851" s="1464"/>
      <c r="W851" s="1464"/>
      <c r="X851" s="1464"/>
      <c r="Y851" s="1464"/>
      <c r="Z851" s="1464"/>
      <c r="AA851" s="1464"/>
      <c r="AB851" s="1464"/>
    </row>
    <row r="852">
      <c r="A852" s="1464"/>
      <c r="B852" s="1464"/>
      <c r="C852" s="1464"/>
      <c r="D852" s="1464"/>
      <c r="E852" s="1464"/>
      <c r="F852" s="1464"/>
      <c r="G852" s="1464"/>
      <c r="H852" s="1464"/>
      <c r="I852" s="1464"/>
      <c r="J852" s="1464"/>
      <c r="K852" s="1464"/>
      <c r="L852" s="1464"/>
      <c r="M852" s="1464"/>
      <c r="N852" s="1464"/>
      <c r="O852" s="1464"/>
      <c r="P852" s="1464"/>
      <c r="Q852" s="1464"/>
      <c r="R852" s="1464"/>
      <c r="S852" s="1464"/>
      <c r="T852" s="1464"/>
      <c r="U852" s="1464"/>
      <c r="V852" s="1464"/>
      <c r="W852" s="1464"/>
      <c r="X852" s="1464"/>
      <c r="Y852" s="1464"/>
      <c r="Z852" s="1464"/>
      <c r="AA852" s="1464"/>
      <c r="AB852" s="1464"/>
    </row>
    <row r="853">
      <c r="A853" s="1464"/>
      <c r="B853" s="1464"/>
      <c r="C853" s="1464"/>
      <c r="D853" s="1464"/>
      <c r="E853" s="1464"/>
      <c r="F853" s="1464"/>
      <c r="G853" s="1464"/>
      <c r="H853" s="1464"/>
      <c r="I853" s="1464"/>
      <c r="J853" s="1464"/>
      <c r="K853" s="1464"/>
      <c r="L853" s="1464"/>
      <c r="M853" s="1464"/>
      <c r="N853" s="1464"/>
      <c r="O853" s="1464"/>
      <c r="P853" s="1464"/>
      <c r="Q853" s="1464"/>
      <c r="R853" s="1464"/>
      <c r="S853" s="1464"/>
      <c r="T853" s="1464"/>
      <c r="U853" s="1464"/>
      <c r="V853" s="1464"/>
      <c r="W853" s="1464"/>
      <c r="X853" s="1464"/>
      <c r="Y853" s="1464"/>
      <c r="Z853" s="1464"/>
      <c r="AA853" s="1464"/>
      <c r="AB853" s="1464"/>
    </row>
    <row r="854">
      <c r="A854" s="1464"/>
      <c r="B854" s="1464"/>
      <c r="C854" s="1464"/>
      <c r="D854" s="1464"/>
      <c r="E854" s="1464"/>
      <c r="F854" s="1464"/>
      <c r="G854" s="1464"/>
      <c r="H854" s="1464"/>
      <c r="I854" s="1464"/>
      <c r="J854" s="1464"/>
      <c r="K854" s="1464"/>
      <c r="L854" s="1464"/>
      <c r="M854" s="1464"/>
      <c r="N854" s="1464"/>
      <c r="O854" s="1464"/>
      <c r="P854" s="1464"/>
      <c r="Q854" s="1464"/>
      <c r="R854" s="1464"/>
      <c r="S854" s="1464"/>
      <c r="T854" s="1464"/>
      <c r="U854" s="1464"/>
      <c r="V854" s="1464"/>
      <c r="W854" s="1464"/>
      <c r="X854" s="1464"/>
      <c r="Y854" s="1464"/>
      <c r="Z854" s="1464"/>
      <c r="AA854" s="1464"/>
      <c r="AB854" s="1464"/>
    </row>
    <row r="855">
      <c r="A855" s="1464"/>
      <c r="B855" s="1464"/>
      <c r="C855" s="1464"/>
      <c r="D855" s="1464"/>
      <c r="E855" s="1464"/>
      <c r="F855" s="1464"/>
      <c r="G855" s="1464"/>
      <c r="H855" s="1464"/>
      <c r="I855" s="1464"/>
      <c r="J855" s="1464"/>
      <c r="K855" s="1464"/>
      <c r="L855" s="1464"/>
      <c r="M855" s="1464"/>
      <c r="N855" s="1464"/>
      <c r="O855" s="1464"/>
      <c r="P855" s="1464"/>
      <c r="Q855" s="1464"/>
      <c r="R855" s="1464"/>
      <c r="S855" s="1464"/>
      <c r="T855" s="1464"/>
      <c r="U855" s="1464"/>
      <c r="V855" s="1464"/>
      <c r="W855" s="1464"/>
      <c r="X855" s="1464"/>
      <c r="Y855" s="1464"/>
      <c r="Z855" s="1464"/>
      <c r="AA855" s="1464"/>
      <c r="AB855" s="1464"/>
    </row>
    <row r="856">
      <c r="A856" s="1464"/>
      <c r="B856" s="1464"/>
      <c r="C856" s="1464"/>
      <c r="D856" s="1464"/>
      <c r="E856" s="1464"/>
      <c r="F856" s="1464"/>
      <c r="G856" s="1464"/>
      <c r="H856" s="1464"/>
      <c r="I856" s="1464"/>
      <c r="J856" s="1464"/>
      <c r="K856" s="1464"/>
      <c r="L856" s="1464"/>
      <c r="M856" s="1464"/>
      <c r="N856" s="1464"/>
      <c r="O856" s="1464"/>
      <c r="P856" s="1464"/>
      <c r="Q856" s="1464"/>
      <c r="R856" s="1464"/>
      <c r="S856" s="1464"/>
      <c r="T856" s="1464"/>
      <c r="U856" s="1464"/>
      <c r="V856" s="1464"/>
      <c r="W856" s="1464"/>
      <c r="X856" s="1464"/>
      <c r="Y856" s="1464"/>
      <c r="Z856" s="1464"/>
      <c r="AA856" s="1464"/>
      <c r="AB856" s="1464"/>
    </row>
    <row r="857">
      <c r="A857" s="1464"/>
      <c r="B857" s="1464"/>
      <c r="C857" s="1464"/>
      <c r="D857" s="1464"/>
      <c r="E857" s="1464"/>
      <c r="F857" s="1464"/>
      <c r="G857" s="1464"/>
      <c r="H857" s="1464"/>
      <c r="I857" s="1464"/>
      <c r="J857" s="1464"/>
      <c r="K857" s="1464"/>
      <c r="L857" s="1464"/>
      <c r="M857" s="1464"/>
      <c r="N857" s="1464"/>
      <c r="O857" s="1464"/>
      <c r="P857" s="1464"/>
      <c r="Q857" s="1464"/>
      <c r="R857" s="1464"/>
      <c r="S857" s="1464"/>
      <c r="T857" s="1464"/>
      <c r="U857" s="1464"/>
      <c r="V857" s="1464"/>
      <c r="W857" s="1464"/>
      <c r="X857" s="1464"/>
      <c r="Y857" s="1464"/>
      <c r="Z857" s="1464"/>
      <c r="AA857" s="1464"/>
      <c r="AB857" s="1464"/>
    </row>
    <row r="858">
      <c r="A858" s="1464"/>
      <c r="B858" s="1464"/>
      <c r="C858" s="1464"/>
      <c r="D858" s="1464"/>
      <c r="E858" s="1464"/>
      <c r="F858" s="1464"/>
      <c r="G858" s="1464"/>
      <c r="H858" s="1464"/>
      <c r="I858" s="1464"/>
      <c r="J858" s="1464"/>
      <c r="K858" s="1464"/>
      <c r="L858" s="1464"/>
      <c r="M858" s="1464"/>
      <c r="N858" s="1464"/>
      <c r="O858" s="1464"/>
      <c r="P858" s="1464"/>
      <c r="Q858" s="1464"/>
      <c r="R858" s="1464"/>
      <c r="S858" s="1464"/>
      <c r="T858" s="1464"/>
      <c r="U858" s="1464"/>
      <c r="V858" s="1464"/>
      <c r="W858" s="1464"/>
      <c r="X858" s="1464"/>
      <c r="Y858" s="1464"/>
      <c r="Z858" s="1464"/>
      <c r="AA858" s="1464"/>
      <c r="AB858" s="1464"/>
    </row>
    <row r="859">
      <c r="A859" s="1464"/>
      <c r="B859" s="1464"/>
      <c r="C859" s="1464"/>
      <c r="D859" s="1464"/>
      <c r="E859" s="1464"/>
      <c r="F859" s="1464"/>
      <c r="G859" s="1464"/>
      <c r="H859" s="1464"/>
      <c r="I859" s="1464"/>
      <c r="J859" s="1464"/>
      <c r="K859" s="1464"/>
      <c r="L859" s="1464"/>
      <c r="M859" s="1464"/>
      <c r="N859" s="1464"/>
      <c r="O859" s="1464"/>
      <c r="P859" s="1464"/>
      <c r="Q859" s="1464"/>
      <c r="R859" s="1464"/>
      <c r="S859" s="1464"/>
      <c r="T859" s="1464"/>
      <c r="U859" s="1464"/>
      <c r="V859" s="1464"/>
      <c r="W859" s="1464"/>
      <c r="X859" s="1464"/>
      <c r="Y859" s="1464"/>
      <c r="Z859" s="1464"/>
      <c r="AA859" s="1464"/>
      <c r="AB859" s="1464"/>
    </row>
    <row r="860">
      <c r="A860" s="1464"/>
      <c r="B860" s="1464"/>
      <c r="C860" s="1464"/>
      <c r="D860" s="1464"/>
      <c r="E860" s="1464"/>
      <c r="F860" s="1464"/>
      <c r="G860" s="1464"/>
      <c r="H860" s="1464"/>
      <c r="I860" s="1464"/>
      <c r="J860" s="1464"/>
      <c r="K860" s="1464"/>
      <c r="L860" s="1464"/>
      <c r="M860" s="1464"/>
      <c r="N860" s="1464"/>
      <c r="O860" s="1464"/>
      <c r="P860" s="1464"/>
      <c r="Q860" s="1464"/>
      <c r="R860" s="1464"/>
      <c r="S860" s="1464"/>
      <c r="T860" s="1464"/>
      <c r="U860" s="1464"/>
      <c r="V860" s="1464"/>
      <c r="W860" s="1464"/>
      <c r="X860" s="1464"/>
      <c r="Y860" s="1464"/>
      <c r="Z860" s="1464"/>
      <c r="AA860" s="1464"/>
      <c r="AB860" s="1464"/>
    </row>
    <row r="861">
      <c r="A861" s="1464"/>
      <c r="B861" s="1464"/>
      <c r="C861" s="1464"/>
      <c r="D861" s="1464"/>
      <c r="E861" s="1464"/>
      <c r="F861" s="1464"/>
      <c r="G861" s="1464"/>
      <c r="H861" s="1464"/>
      <c r="I861" s="1464"/>
      <c r="J861" s="1464"/>
      <c r="K861" s="1464"/>
      <c r="L861" s="1464"/>
      <c r="M861" s="1464"/>
      <c r="N861" s="1464"/>
      <c r="O861" s="1464"/>
      <c r="P861" s="1464"/>
      <c r="Q861" s="1464"/>
      <c r="R861" s="1464"/>
      <c r="S861" s="1464"/>
      <c r="T861" s="1464"/>
      <c r="U861" s="1464"/>
      <c r="V861" s="1464"/>
      <c r="W861" s="1464"/>
      <c r="X861" s="1464"/>
      <c r="Y861" s="1464"/>
      <c r="Z861" s="1464"/>
      <c r="AA861" s="1464"/>
      <c r="AB861" s="1464"/>
    </row>
    <row r="862">
      <c r="A862" s="1464"/>
      <c r="B862" s="1464"/>
      <c r="C862" s="1464"/>
      <c r="D862" s="1464"/>
      <c r="E862" s="1464"/>
      <c r="F862" s="1464"/>
      <c r="G862" s="1464"/>
      <c r="H862" s="1464"/>
      <c r="I862" s="1464"/>
      <c r="J862" s="1464"/>
      <c r="K862" s="1464"/>
      <c r="L862" s="1464"/>
      <c r="M862" s="1464"/>
      <c r="N862" s="1464"/>
      <c r="O862" s="1464"/>
      <c r="P862" s="1464"/>
      <c r="Q862" s="1464"/>
      <c r="R862" s="1464"/>
      <c r="S862" s="1464"/>
      <c r="T862" s="1464"/>
      <c r="U862" s="1464"/>
      <c r="V862" s="1464"/>
      <c r="W862" s="1464"/>
      <c r="X862" s="1464"/>
      <c r="Y862" s="1464"/>
      <c r="Z862" s="1464"/>
      <c r="AA862" s="1464"/>
      <c r="AB862" s="1464"/>
    </row>
    <row r="863">
      <c r="A863" s="1464"/>
      <c r="B863" s="1464"/>
      <c r="C863" s="1464"/>
      <c r="D863" s="1464"/>
      <c r="E863" s="1464"/>
      <c r="F863" s="1464"/>
      <c r="G863" s="1464"/>
      <c r="H863" s="1464"/>
      <c r="I863" s="1464"/>
      <c r="J863" s="1464"/>
      <c r="K863" s="1464"/>
      <c r="L863" s="1464"/>
      <c r="M863" s="1464"/>
      <c r="N863" s="1464"/>
      <c r="O863" s="1464"/>
      <c r="P863" s="1464"/>
      <c r="Q863" s="1464"/>
      <c r="R863" s="1464"/>
      <c r="S863" s="1464"/>
      <c r="T863" s="1464"/>
      <c r="U863" s="1464"/>
      <c r="V863" s="1464"/>
      <c r="W863" s="1464"/>
      <c r="X863" s="1464"/>
      <c r="Y863" s="1464"/>
      <c r="Z863" s="1464"/>
      <c r="AA863" s="1464"/>
      <c r="AB863" s="1464"/>
    </row>
    <row r="864">
      <c r="A864" s="1464"/>
      <c r="B864" s="1464"/>
      <c r="C864" s="1464"/>
      <c r="D864" s="1464"/>
      <c r="E864" s="1464"/>
      <c r="F864" s="1464"/>
      <c r="G864" s="1464"/>
      <c r="H864" s="1464"/>
      <c r="I864" s="1464"/>
      <c r="J864" s="1464"/>
      <c r="K864" s="1464"/>
      <c r="L864" s="1464"/>
      <c r="M864" s="1464"/>
      <c r="N864" s="1464"/>
      <c r="O864" s="1464"/>
      <c r="P864" s="1464"/>
      <c r="Q864" s="1464"/>
      <c r="R864" s="1464"/>
      <c r="S864" s="1464"/>
      <c r="T864" s="1464"/>
      <c r="U864" s="1464"/>
      <c r="V864" s="1464"/>
      <c r="W864" s="1464"/>
      <c r="X864" s="1464"/>
      <c r="Y864" s="1464"/>
      <c r="Z864" s="1464"/>
      <c r="AA864" s="1464"/>
      <c r="AB864" s="1464"/>
    </row>
    <row r="865">
      <c r="A865" s="1464"/>
      <c r="B865" s="1464"/>
      <c r="C865" s="1464"/>
      <c r="D865" s="1464"/>
      <c r="E865" s="1464"/>
      <c r="F865" s="1464"/>
      <c r="G865" s="1464"/>
      <c r="H865" s="1464"/>
      <c r="I865" s="1464"/>
      <c r="J865" s="1464"/>
      <c r="K865" s="1464"/>
      <c r="L865" s="1464"/>
      <c r="M865" s="1464"/>
      <c r="N865" s="1464"/>
      <c r="O865" s="1464"/>
      <c r="P865" s="1464"/>
      <c r="Q865" s="1464"/>
      <c r="R865" s="1464"/>
      <c r="S865" s="1464"/>
      <c r="T865" s="1464"/>
      <c r="U865" s="1464"/>
      <c r="V865" s="1464"/>
      <c r="W865" s="1464"/>
      <c r="X865" s="1464"/>
      <c r="Y865" s="1464"/>
      <c r="Z865" s="1464"/>
      <c r="AA865" s="1464"/>
      <c r="AB865" s="1464"/>
    </row>
    <row r="866">
      <c r="A866" s="1464"/>
      <c r="B866" s="1464"/>
      <c r="C866" s="1464"/>
      <c r="D866" s="1464"/>
      <c r="E866" s="1464"/>
      <c r="F866" s="1464"/>
      <c r="G866" s="1464"/>
      <c r="H866" s="1464"/>
      <c r="I866" s="1464"/>
      <c r="J866" s="1464"/>
      <c r="K866" s="1464"/>
      <c r="L866" s="1464"/>
      <c r="M866" s="1464"/>
      <c r="N866" s="1464"/>
      <c r="O866" s="1464"/>
      <c r="P866" s="1464"/>
      <c r="Q866" s="1464"/>
      <c r="R866" s="1464"/>
      <c r="S866" s="1464"/>
      <c r="T866" s="1464"/>
      <c r="U866" s="1464"/>
      <c r="V866" s="1464"/>
      <c r="W866" s="1464"/>
      <c r="X866" s="1464"/>
      <c r="Y866" s="1464"/>
      <c r="Z866" s="1464"/>
      <c r="AA866" s="1464"/>
      <c r="AB866" s="1464"/>
    </row>
    <row r="867">
      <c r="A867" s="1464"/>
      <c r="B867" s="1464"/>
      <c r="C867" s="1464"/>
      <c r="D867" s="1464"/>
      <c r="E867" s="1464"/>
      <c r="F867" s="1464"/>
      <c r="G867" s="1464"/>
      <c r="H867" s="1464"/>
      <c r="I867" s="1464"/>
      <c r="J867" s="1464"/>
      <c r="K867" s="1464"/>
      <c r="L867" s="1464"/>
      <c r="M867" s="1464"/>
      <c r="N867" s="1464"/>
      <c r="O867" s="1464"/>
      <c r="P867" s="1464"/>
      <c r="Q867" s="1464"/>
      <c r="R867" s="1464"/>
      <c r="S867" s="1464"/>
      <c r="T867" s="1464"/>
      <c r="U867" s="1464"/>
      <c r="V867" s="1464"/>
      <c r="W867" s="1464"/>
      <c r="X867" s="1464"/>
      <c r="Y867" s="1464"/>
      <c r="Z867" s="1464"/>
      <c r="AA867" s="1464"/>
      <c r="AB867" s="1464"/>
    </row>
    <row r="868">
      <c r="A868" s="1464"/>
      <c r="B868" s="1464"/>
      <c r="C868" s="1464"/>
      <c r="D868" s="1464"/>
      <c r="E868" s="1464"/>
      <c r="F868" s="1464"/>
      <c r="G868" s="1464"/>
      <c r="H868" s="1464"/>
      <c r="I868" s="1464"/>
      <c r="J868" s="1464"/>
      <c r="K868" s="1464"/>
      <c r="L868" s="1464"/>
      <c r="M868" s="1464"/>
      <c r="N868" s="1464"/>
      <c r="O868" s="1464"/>
      <c r="P868" s="1464"/>
      <c r="Q868" s="1464"/>
      <c r="R868" s="1464"/>
      <c r="S868" s="1464"/>
      <c r="T868" s="1464"/>
      <c r="U868" s="1464"/>
      <c r="V868" s="1464"/>
      <c r="W868" s="1464"/>
      <c r="X868" s="1464"/>
      <c r="Y868" s="1464"/>
      <c r="Z868" s="1464"/>
      <c r="AA868" s="1464"/>
      <c r="AB868" s="1464"/>
    </row>
    <row r="869">
      <c r="A869" s="1464"/>
      <c r="B869" s="1464"/>
      <c r="C869" s="1464"/>
      <c r="D869" s="1464"/>
      <c r="E869" s="1464"/>
      <c r="F869" s="1464"/>
      <c r="G869" s="1464"/>
      <c r="H869" s="1464"/>
      <c r="I869" s="1464"/>
      <c r="J869" s="1464"/>
      <c r="K869" s="1464"/>
      <c r="L869" s="1464"/>
      <c r="M869" s="1464"/>
      <c r="N869" s="1464"/>
      <c r="O869" s="1464"/>
      <c r="P869" s="1464"/>
      <c r="Q869" s="1464"/>
      <c r="R869" s="1464"/>
      <c r="S869" s="1464"/>
      <c r="T869" s="1464"/>
      <c r="U869" s="1464"/>
      <c r="V869" s="1464"/>
      <c r="W869" s="1464"/>
      <c r="X869" s="1464"/>
      <c r="Y869" s="1464"/>
      <c r="Z869" s="1464"/>
      <c r="AA869" s="1464"/>
      <c r="AB869" s="1464"/>
    </row>
    <row r="870">
      <c r="A870" s="1464"/>
      <c r="B870" s="1464"/>
      <c r="C870" s="1464"/>
      <c r="D870" s="1464"/>
      <c r="E870" s="1464"/>
      <c r="F870" s="1464"/>
      <c r="G870" s="1464"/>
      <c r="H870" s="1464"/>
      <c r="I870" s="1464"/>
      <c r="J870" s="1464"/>
      <c r="K870" s="1464"/>
      <c r="L870" s="1464"/>
      <c r="M870" s="1464"/>
      <c r="N870" s="1464"/>
      <c r="O870" s="1464"/>
      <c r="P870" s="1464"/>
      <c r="Q870" s="1464"/>
      <c r="R870" s="1464"/>
      <c r="S870" s="1464"/>
      <c r="T870" s="1464"/>
      <c r="U870" s="1464"/>
      <c r="V870" s="1464"/>
      <c r="W870" s="1464"/>
      <c r="X870" s="1464"/>
      <c r="Y870" s="1464"/>
      <c r="Z870" s="1464"/>
      <c r="AA870" s="1464"/>
      <c r="AB870" s="1464"/>
    </row>
    <row r="871">
      <c r="A871" s="1464"/>
      <c r="B871" s="1464"/>
      <c r="C871" s="1464"/>
      <c r="D871" s="1464"/>
      <c r="E871" s="1464"/>
      <c r="F871" s="1464"/>
      <c r="G871" s="1464"/>
      <c r="H871" s="1464"/>
      <c r="I871" s="1464"/>
      <c r="J871" s="1464"/>
      <c r="K871" s="1464"/>
      <c r="L871" s="1464"/>
      <c r="M871" s="1464"/>
      <c r="N871" s="1464"/>
      <c r="O871" s="1464"/>
      <c r="P871" s="1464"/>
      <c r="Q871" s="1464"/>
      <c r="R871" s="1464"/>
      <c r="S871" s="1464"/>
      <c r="T871" s="1464"/>
      <c r="U871" s="1464"/>
      <c r="V871" s="1464"/>
      <c r="W871" s="1464"/>
      <c r="X871" s="1464"/>
      <c r="Y871" s="1464"/>
      <c r="Z871" s="1464"/>
      <c r="AA871" s="1464"/>
      <c r="AB871" s="1464"/>
    </row>
    <row r="872">
      <c r="A872" s="1464"/>
      <c r="B872" s="1464"/>
      <c r="C872" s="1464"/>
      <c r="D872" s="1464"/>
      <c r="E872" s="1464"/>
      <c r="F872" s="1464"/>
      <c r="G872" s="1464"/>
      <c r="H872" s="1464"/>
      <c r="I872" s="1464"/>
      <c r="J872" s="1464"/>
      <c r="K872" s="1464"/>
      <c r="L872" s="1464"/>
      <c r="M872" s="1464"/>
      <c r="N872" s="1464"/>
      <c r="O872" s="1464"/>
      <c r="P872" s="1464"/>
      <c r="Q872" s="1464"/>
      <c r="R872" s="1464"/>
      <c r="S872" s="1464"/>
      <c r="T872" s="1464"/>
      <c r="U872" s="1464"/>
      <c r="V872" s="1464"/>
      <c r="W872" s="1464"/>
      <c r="X872" s="1464"/>
      <c r="Y872" s="1464"/>
      <c r="Z872" s="1464"/>
      <c r="AA872" s="1464"/>
      <c r="AB872" s="1464"/>
    </row>
    <row r="873">
      <c r="A873" s="1464"/>
      <c r="B873" s="1464"/>
      <c r="C873" s="1464"/>
      <c r="D873" s="1464"/>
      <c r="E873" s="1464"/>
      <c r="F873" s="1464"/>
      <c r="G873" s="1464"/>
      <c r="H873" s="1464"/>
      <c r="I873" s="1464"/>
      <c r="J873" s="1464"/>
      <c r="K873" s="1464"/>
      <c r="L873" s="1464"/>
      <c r="M873" s="1464"/>
      <c r="N873" s="1464"/>
      <c r="O873" s="1464"/>
      <c r="P873" s="1464"/>
      <c r="Q873" s="1464"/>
      <c r="R873" s="1464"/>
      <c r="S873" s="1464"/>
      <c r="T873" s="1464"/>
      <c r="U873" s="1464"/>
      <c r="V873" s="1464"/>
      <c r="W873" s="1464"/>
      <c r="X873" s="1464"/>
      <c r="Y873" s="1464"/>
      <c r="Z873" s="1464"/>
      <c r="AA873" s="1464"/>
      <c r="AB873" s="1464"/>
    </row>
    <row r="874">
      <c r="A874" s="1464"/>
      <c r="B874" s="1464"/>
      <c r="C874" s="1464"/>
      <c r="D874" s="1464"/>
      <c r="E874" s="1464"/>
      <c r="F874" s="1464"/>
      <c r="G874" s="1464"/>
      <c r="H874" s="1464"/>
      <c r="I874" s="1464"/>
      <c r="J874" s="1464"/>
      <c r="K874" s="1464"/>
      <c r="L874" s="1464"/>
      <c r="M874" s="1464"/>
      <c r="N874" s="1464"/>
      <c r="O874" s="1464"/>
      <c r="P874" s="1464"/>
      <c r="Q874" s="1464"/>
      <c r="R874" s="1464"/>
      <c r="S874" s="1464"/>
      <c r="T874" s="1464"/>
      <c r="U874" s="1464"/>
      <c r="V874" s="1464"/>
      <c r="W874" s="1464"/>
      <c r="X874" s="1464"/>
      <c r="Y874" s="1464"/>
      <c r="Z874" s="1464"/>
      <c r="AA874" s="1464"/>
      <c r="AB874" s="1464"/>
    </row>
    <row r="875">
      <c r="A875" s="1464"/>
      <c r="B875" s="1464"/>
      <c r="C875" s="1464"/>
      <c r="D875" s="1464"/>
      <c r="E875" s="1464"/>
      <c r="F875" s="1464"/>
      <c r="G875" s="1464"/>
      <c r="H875" s="1464"/>
      <c r="I875" s="1464"/>
      <c r="J875" s="1464"/>
      <c r="K875" s="1464"/>
      <c r="L875" s="1464"/>
      <c r="M875" s="1464"/>
      <c r="N875" s="1464"/>
      <c r="O875" s="1464"/>
      <c r="P875" s="1464"/>
      <c r="Q875" s="1464"/>
      <c r="R875" s="1464"/>
      <c r="S875" s="1464"/>
      <c r="T875" s="1464"/>
      <c r="U875" s="1464"/>
      <c r="V875" s="1464"/>
      <c r="W875" s="1464"/>
      <c r="X875" s="1464"/>
      <c r="Y875" s="1464"/>
      <c r="Z875" s="1464"/>
      <c r="AA875" s="1464"/>
      <c r="AB875" s="1464"/>
    </row>
    <row r="876">
      <c r="A876" s="1464"/>
      <c r="B876" s="1464"/>
      <c r="C876" s="1464"/>
      <c r="D876" s="1464"/>
      <c r="E876" s="1464"/>
      <c r="F876" s="1464"/>
      <c r="G876" s="1464"/>
      <c r="H876" s="1464"/>
      <c r="I876" s="1464"/>
      <c r="J876" s="1464"/>
      <c r="K876" s="1464"/>
      <c r="L876" s="1464"/>
      <c r="M876" s="1464"/>
      <c r="N876" s="1464"/>
      <c r="O876" s="1464"/>
      <c r="P876" s="1464"/>
      <c r="Q876" s="1464"/>
      <c r="R876" s="1464"/>
      <c r="S876" s="1464"/>
      <c r="T876" s="1464"/>
      <c r="U876" s="1464"/>
      <c r="V876" s="1464"/>
      <c r="W876" s="1464"/>
      <c r="X876" s="1464"/>
      <c r="Y876" s="1464"/>
      <c r="Z876" s="1464"/>
      <c r="AA876" s="1464"/>
      <c r="AB876" s="1464"/>
    </row>
    <row r="877">
      <c r="A877" s="1464"/>
      <c r="B877" s="1464"/>
      <c r="C877" s="1464"/>
      <c r="D877" s="1464"/>
      <c r="E877" s="1464"/>
      <c r="F877" s="1464"/>
      <c r="G877" s="1464"/>
      <c r="H877" s="1464"/>
      <c r="I877" s="1464"/>
      <c r="J877" s="1464"/>
      <c r="K877" s="1464"/>
      <c r="L877" s="1464"/>
      <c r="M877" s="1464"/>
      <c r="N877" s="1464"/>
      <c r="O877" s="1464"/>
      <c r="P877" s="1464"/>
      <c r="Q877" s="1464"/>
      <c r="R877" s="1464"/>
      <c r="S877" s="1464"/>
      <c r="T877" s="1464"/>
      <c r="U877" s="1464"/>
      <c r="V877" s="1464"/>
      <c r="W877" s="1464"/>
      <c r="X877" s="1464"/>
      <c r="Y877" s="1464"/>
      <c r="Z877" s="1464"/>
      <c r="AA877" s="1464"/>
      <c r="AB877" s="1464"/>
    </row>
    <row r="878">
      <c r="A878" s="1464"/>
      <c r="B878" s="1464"/>
      <c r="C878" s="1464"/>
      <c r="D878" s="1464"/>
      <c r="E878" s="1464"/>
      <c r="F878" s="1464"/>
      <c r="G878" s="1464"/>
      <c r="H878" s="1464"/>
      <c r="I878" s="1464"/>
      <c r="J878" s="1464"/>
      <c r="K878" s="1464"/>
      <c r="L878" s="1464"/>
      <c r="M878" s="1464"/>
      <c r="N878" s="1464"/>
      <c r="O878" s="1464"/>
      <c r="P878" s="1464"/>
      <c r="Q878" s="1464"/>
      <c r="R878" s="1464"/>
      <c r="S878" s="1464"/>
      <c r="T878" s="1464"/>
      <c r="U878" s="1464"/>
      <c r="V878" s="1464"/>
      <c r="W878" s="1464"/>
      <c r="X878" s="1464"/>
      <c r="Y878" s="1464"/>
      <c r="Z878" s="1464"/>
      <c r="AA878" s="1464"/>
      <c r="AB878" s="1464"/>
    </row>
    <row r="879">
      <c r="A879" s="1464"/>
      <c r="B879" s="1464"/>
      <c r="C879" s="1464"/>
      <c r="D879" s="1464"/>
      <c r="E879" s="1464"/>
      <c r="F879" s="1464"/>
      <c r="G879" s="1464"/>
      <c r="H879" s="1464"/>
      <c r="I879" s="1464"/>
      <c r="J879" s="1464"/>
      <c r="K879" s="1464"/>
      <c r="L879" s="1464"/>
      <c r="M879" s="1464"/>
      <c r="N879" s="1464"/>
      <c r="O879" s="1464"/>
      <c r="P879" s="1464"/>
      <c r="Q879" s="1464"/>
      <c r="R879" s="1464"/>
      <c r="S879" s="1464"/>
      <c r="T879" s="1464"/>
      <c r="U879" s="1464"/>
      <c r="V879" s="1464"/>
      <c r="W879" s="1464"/>
      <c r="X879" s="1464"/>
      <c r="Y879" s="1464"/>
      <c r="Z879" s="1464"/>
      <c r="AA879" s="1464"/>
      <c r="AB879" s="1464"/>
    </row>
    <row r="880">
      <c r="A880" s="1464"/>
      <c r="B880" s="1464"/>
      <c r="C880" s="1464"/>
      <c r="D880" s="1464"/>
      <c r="E880" s="1464"/>
      <c r="F880" s="1464"/>
      <c r="G880" s="1464"/>
      <c r="H880" s="1464"/>
      <c r="I880" s="1464"/>
      <c r="J880" s="1464"/>
      <c r="K880" s="1464"/>
      <c r="L880" s="1464"/>
      <c r="M880" s="1464"/>
      <c r="N880" s="1464"/>
      <c r="O880" s="1464"/>
      <c r="P880" s="1464"/>
      <c r="Q880" s="1464"/>
      <c r="R880" s="1464"/>
      <c r="S880" s="1464"/>
      <c r="T880" s="1464"/>
      <c r="U880" s="1464"/>
      <c r="V880" s="1464"/>
      <c r="W880" s="1464"/>
      <c r="X880" s="1464"/>
      <c r="Y880" s="1464"/>
      <c r="Z880" s="1464"/>
      <c r="AA880" s="1464"/>
      <c r="AB880" s="1464"/>
    </row>
    <row r="881">
      <c r="A881" s="1464"/>
      <c r="B881" s="1464"/>
      <c r="C881" s="1464"/>
      <c r="D881" s="1464"/>
      <c r="E881" s="1464"/>
      <c r="F881" s="1464"/>
      <c r="G881" s="1464"/>
      <c r="H881" s="1464"/>
      <c r="I881" s="1464"/>
      <c r="J881" s="1464"/>
      <c r="K881" s="1464"/>
      <c r="L881" s="1464"/>
      <c r="M881" s="1464"/>
      <c r="N881" s="1464"/>
      <c r="O881" s="1464"/>
      <c r="P881" s="1464"/>
      <c r="Q881" s="1464"/>
      <c r="R881" s="1464"/>
      <c r="S881" s="1464"/>
      <c r="T881" s="1464"/>
      <c r="U881" s="1464"/>
      <c r="V881" s="1464"/>
      <c r="W881" s="1464"/>
      <c r="X881" s="1464"/>
      <c r="Y881" s="1464"/>
      <c r="Z881" s="1464"/>
      <c r="AA881" s="1464"/>
      <c r="AB881" s="1464"/>
    </row>
    <row r="882">
      <c r="A882" s="1464"/>
      <c r="B882" s="1464"/>
      <c r="C882" s="1464"/>
      <c r="D882" s="1464"/>
      <c r="E882" s="1464"/>
      <c r="F882" s="1464"/>
      <c r="G882" s="1464"/>
      <c r="H882" s="1464"/>
      <c r="I882" s="1464"/>
      <c r="J882" s="1464"/>
      <c r="K882" s="1464"/>
      <c r="L882" s="1464"/>
      <c r="M882" s="1464"/>
      <c r="N882" s="1464"/>
      <c r="O882" s="1464"/>
      <c r="P882" s="1464"/>
      <c r="Q882" s="1464"/>
      <c r="R882" s="1464"/>
      <c r="S882" s="1464"/>
      <c r="T882" s="1464"/>
      <c r="U882" s="1464"/>
      <c r="V882" s="1464"/>
      <c r="W882" s="1464"/>
      <c r="X882" s="1464"/>
      <c r="Y882" s="1464"/>
      <c r="Z882" s="1464"/>
      <c r="AA882" s="1464"/>
      <c r="AB882" s="1464"/>
    </row>
    <row r="883">
      <c r="A883" s="1464"/>
      <c r="B883" s="1464"/>
      <c r="C883" s="1464"/>
      <c r="D883" s="1464"/>
      <c r="E883" s="1464"/>
      <c r="F883" s="1464"/>
      <c r="G883" s="1464"/>
      <c r="H883" s="1464"/>
      <c r="I883" s="1464"/>
      <c r="J883" s="1464"/>
      <c r="K883" s="1464"/>
      <c r="L883" s="1464"/>
      <c r="M883" s="1464"/>
      <c r="N883" s="1464"/>
      <c r="O883" s="1464"/>
      <c r="P883" s="1464"/>
      <c r="Q883" s="1464"/>
      <c r="R883" s="1464"/>
      <c r="S883" s="1464"/>
      <c r="T883" s="1464"/>
      <c r="U883" s="1464"/>
      <c r="V883" s="1464"/>
      <c r="W883" s="1464"/>
      <c r="X883" s="1464"/>
      <c r="Y883" s="1464"/>
      <c r="Z883" s="1464"/>
      <c r="AA883" s="1464"/>
      <c r="AB883" s="1464"/>
    </row>
    <row r="884">
      <c r="A884" s="1464"/>
      <c r="B884" s="1464"/>
      <c r="C884" s="1464"/>
      <c r="D884" s="1464"/>
      <c r="E884" s="1464"/>
      <c r="F884" s="1464"/>
      <c r="G884" s="1464"/>
      <c r="H884" s="1464"/>
      <c r="I884" s="1464"/>
      <c r="J884" s="1464"/>
      <c r="K884" s="1464"/>
      <c r="L884" s="1464"/>
      <c r="M884" s="1464"/>
      <c r="N884" s="1464"/>
      <c r="O884" s="1464"/>
      <c r="P884" s="1464"/>
      <c r="Q884" s="1464"/>
      <c r="R884" s="1464"/>
      <c r="S884" s="1464"/>
      <c r="T884" s="1464"/>
      <c r="U884" s="1464"/>
      <c r="V884" s="1464"/>
      <c r="W884" s="1464"/>
      <c r="X884" s="1464"/>
      <c r="Y884" s="1464"/>
      <c r="Z884" s="1464"/>
      <c r="AA884" s="1464"/>
      <c r="AB884" s="1464"/>
    </row>
    <row r="885">
      <c r="A885" s="1464"/>
      <c r="B885" s="1464"/>
      <c r="C885" s="1464"/>
      <c r="D885" s="1464"/>
      <c r="E885" s="1464"/>
      <c r="F885" s="1464"/>
      <c r="G885" s="1464"/>
      <c r="H885" s="1464"/>
      <c r="I885" s="1464"/>
      <c r="J885" s="1464"/>
      <c r="K885" s="1464"/>
      <c r="L885" s="1464"/>
      <c r="M885" s="1464"/>
      <c r="N885" s="1464"/>
      <c r="O885" s="1464"/>
      <c r="P885" s="1464"/>
      <c r="Q885" s="1464"/>
      <c r="R885" s="1464"/>
      <c r="S885" s="1464"/>
      <c r="T885" s="1464"/>
      <c r="U885" s="1464"/>
      <c r="V885" s="1464"/>
      <c r="W885" s="1464"/>
      <c r="X885" s="1464"/>
      <c r="Y885" s="1464"/>
      <c r="Z885" s="1464"/>
      <c r="AA885" s="1464"/>
      <c r="AB885" s="1464"/>
    </row>
    <row r="886">
      <c r="A886" s="1464"/>
      <c r="B886" s="1464"/>
      <c r="C886" s="1464"/>
      <c r="D886" s="1464"/>
      <c r="E886" s="1464"/>
      <c r="F886" s="1464"/>
      <c r="G886" s="1464"/>
      <c r="H886" s="1464"/>
      <c r="I886" s="1464"/>
      <c r="J886" s="1464"/>
      <c r="K886" s="1464"/>
      <c r="L886" s="1464"/>
      <c r="M886" s="1464"/>
      <c r="N886" s="1464"/>
      <c r="O886" s="1464"/>
      <c r="P886" s="1464"/>
      <c r="Q886" s="1464"/>
      <c r="R886" s="1464"/>
      <c r="S886" s="1464"/>
      <c r="T886" s="1464"/>
      <c r="U886" s="1464"/>
      <c r="V886" s="1464"/>
      <c r="W886" s="1464"/>
      <c r="X886" s="1464"/>
      <c r="Y886" s="1464"/>
      <c r="Z886" s="1464"/>
      <c r="AA886" s="1464"/>
      <c r="AB886" s="1464"/>
    </row>
    <row r="887">
      <c r="A887" s="1464"/>
      <c r="B887" s="1464"/>
      <c r="C887" s="1464"/>
      <c r="D887" s="1464"/>
      <c r="E887" s="1464"/>
      <c r="F887" s="1464"/>
      <c r="G887" s="1464"/>
      <c r="H887" s="1464"/>
      <c r="I887" s="1464"/>
      <c r="J887" s="1464"/>
      <c r="K887" s="1464"/>
      <c r="L887" s="1464"/>
      <c r="M887" s="1464"/>
      <c r="N887" s="1464"/>
      <c r="O887" s="1464"/>
      <c r="P887" s="1464"/>
      <c r="Q887" s="1464"/>
      <c r="R887" s="1464"/>
      <c r="S887" s="1464"/>
      <c r="T887" s="1464"/>
      <c r="U887" s="1464"/>
      <c r="V887" s="1464"/>
      <c r="W887" s="1464"/>
      <c r="X887" s="1464"/>
      <c r="Y887" s="1464"/>
      <c r="Z887" s="1464"/>
      <c r="AA887" s="1464"/>
      <c r="AB887" s="1464"/>
    </row>
    <row r="888">
      <c r="A888" s="1464"/>
      <c r="B888" s="1464"/>
      <c r="C888" s="1464"/>
      <c r="D888" s="1464"/>
      <c r="E888" s="1464"/>
      <c r="F888" s="1464"/>
      <c r="G888" s="1464"/>
      <c r="H888" s="1464"/>
      <c r="I888" s="1464"/>
      <c r="J888" s="1464"/>
      <c r="K888" s="1464"/>
      <c r="L888" s="1464"/>
      <c r="M888" s="1464"/>
      <c r="N888" s="1464"/>
      <c r="O888" s="1464"/>
      <c r="P888" s="1464"/>
      <c r="Q888" s="1464"/>
      <c r="R888" s="1464"/>
      <c r="S888" s="1464"/>
      <c r="T888" s="1464"/>
      <c r="U888" s="1464"/>
      <c r="V888" s="1464"/>
      <c r="W888" s="1464"/>
      <c r="X888" s="1464"/>
      <c r="Y888" s="1464"/>
      <c r="Z888" s="1464"/>
      <c r="AA888" s="1464"/>
      <c r="AB888" s="1464"/>
    </row>
    <row r="889">
      <c r="A889" s="1464"/>
      <c r="B889" s="1464"/>
      <c r="C889" s="1464"/>
      <c r="D889" s="1464"/>
      <c r="E889" s="1464"/>
      <c r="F889" s="1464"/>
      <c r="G889" s="1464"/>
      <c r="H889" s="1464"/>
      <c r="I889" s="1464"/>
      <c r="J889" s="1464"/>
      <c r="K889" s="1464"/>
      <c r="L889" s="1464"/>
      <c r="M889" s="1464"/>
      <c r="N889" s="1464"/>
      <c r="O889" s="1464"/>
      <c r="P889" s="1464"/>
      <c r="Q889" s="1464"/>
      <c r="R889" s="1464"/>
      <c r="S889" s="1464"/>
      <c r="T889" s="1464"/>
      <c r="U889" s="1464"/>
      <c r="V889" s="1464"/>
      <c r="W889" s="1464"/>
      <c r="X889" s="1464"/>
      <c r="Y889" s="1464"/>
      <c r="Z889" s="1464"/>
      <c r="AA889" s="1464"/>
      <c r="AB889" s="1464"/>
    </row>
    <row r="890">
      <c r="A890" s="1464"/>
      <c r="B890" s="1464"/>
      <c r="C890" s="1464"/>
      <c r="D890" s="1464"/>
      <c r="E890" s="1464"/>
      <c r="F890" s="1464"/>
      <c r="G890" s="1464"/>
      <c r="H890" s="1464"/>
      <c r="I890" s="1464"/>
      <c r="J890" s="1464"/>
      <c r="K890" s="1464"/>
      <c r="L890" s="1464"/>
      <c r="M890" s="1464"/>
      <c r="N890" s="1464"/>
      <c r="O890" s="1464"/>
      <c r="P890" s="1464"/>
      <c r="Q890" s="1464"/>
      <c r="R890" s="1464"/>
      <c r="S890" s="1464"/>
      <c r="T890" s="1464"/>
      <c r="U890" s="1464"/>
      <c r="V890" s="1464"/>
      <c r="W890" s="1464"/>
      <c r="X890" s="1464"/>
      <c r="Y890" s="1464"/>
      <c r="Z890" s="1464"/>
      <c r="AA890" s="1464"/>
      <c r="AB890" s="1464"/>
    </row>
    <row r="891">
      <c r="A891" s="1464"/>
      <c r="B891" s="1464"/>
      <c r="C891" s="1464"/>
      <c r="D891" s="1464"/>
      <c r="E891" s="1464"/>
      <c r="F891" s="1464"/>
      <c r="G891" s="1464"/>
      <c r="H891" s="1464"/>
      <c r="I891" s="1464"/>
      <c r="J891" s="1464"/>
      <c r="K891" s="1464"/>
      <c r="L891" s="1464"/>
      <c r="M891" s="1464"/>
      <c r="N891" s="1464"/>
      <c r="O891" s="1464"/>
      <c r="P891" s="1464"/>
      <c r="Q891" s="1464"/>
      <c r="R891" s="1464"/>
      <c r="S891" s="1464"/>
      <c r="T891" s="1464"/>
      <c r="U891" s="1464"/>
      <c r="V891" s="1464"/>
      <c r="W891" s="1464"/>
      <c r="X891" s="1464"/>
      <c r="Y891" s="1464"/>
      <c r="Z891" s="1464"/>
      <c r="AA891" s="1464"/>
      <c r="AB891" s="1464"/>
    </row>
    <row r="892">
      <c r="A892" s="1464"/>
      <c r="B892" s="1464"/>
      <c r="C892" s="1464"/>
      <c r="D892" s="1464"/>
      <c r="E892" s="1464"/>
      <c r="F892" s="1464"/>
      <c r="G892" s="1464"/>
      <c r="H892" s="1464"/>
      <c r="I892" s="1464"/>
      <c r="J892" s="1464"/>
      <c r="K892" s="1464"/>
      <c r="L892" s="1464"/>
      <c r="M892" s="1464"/>
      <c r="N892" s="1464"/>
      <c r="O892" s="1464"/>
      <c r="P892" s="1464"/>
      <c r="Q892" s="1464"/>
      <c r="R892" s="1464"/>
      <c r="S892" s="1464"/>
      <c r="T892" s="1464"/>
      <c r="U892" s="1464"/>
      <c r="V892" s="1464"/>
      <c r="W892" s="1464"/>
      <c r="X892" s="1464"/>
      <c r="Y892" s="1464"/>
      <c r="Z892" s="1464"/>
      <c r="AA892" s="1464"/>
      <c r="AB892" s="1464"/>
    </row>
    <row r="893">
      <c r="A893" s="1464"/>
      <c r="B893" s="1464"/>
      <c r="C893" s="1464"/>
      <c r="D893" s="1464"/>
      <c r="E893" s="1464"/>
      <c r="F893" s="1464"/>
      <c r="G893" s="1464"/>
      <c r="H893" s="1464"/>
      <c r="I893" s="1464"/>
      <c r="J893" s="1464"/>
      <c r="K893" s="1464"/>
      <c r="L893" s="1464"/>
      <c r="M893" s="1464"/>
      <c r="N893" s="1464"/>
      <c r="O893" s="1464"/>
      <c r="P893" s="1464"/>
      <c r="Q893" s="1464"/>
      <c r="R893" s="1464"/>
      <c r="S893" s="1464"/>
      <c r="T893" s="1464"/>
      <c r="U893" s="1464"/>
      <c r="V893" s="1464"/>
      <c r="W893" s="1464"/>
      <c r="X893" s="1464"/>
      <c r="Y893" s="1464"/>
      <c r="Z893" s="1464"/>
      <c r="AA893" s="1464"/>
      <c r="AB893" s="1464"/>
    </row>
    <row r="894">
      <c r="A894" s="1464"/>
      <c r="B894" s="1464"/>
      <c r="C894" s="1464"/>
      <c r="D894" s="1464"/>
      <c r="E894" s="1464"/>
      <c r="F894" s="1464"/>
      <c r="G894" s="1464"/>
      <c r="H894" s="1464"/>
      <c r="I894" s="1464"/>
      <c r="J894" s="1464"/>
      <c r="K894" s="1464"/>
      <c r="L894" s="1464"/>
      <c r="M894" s="1464"/>
      <c r="N894" s="1464"/>
      <c r="O894" s="1464"/>
      <c r="P894" s="1464"/>
      <c r="Q894" s="1464"/>
      <c r="R894" s="1464"/>
      <c r="S894" s="1464"/>
      <c r="T894" s="1464"/>
      <c r="U894" s="1464"/>
      <c r="V894" s="1464"/>
      <c r="W894" s="1464"/>
      <c r="X894" s="1464"/>
      <c r="Y894" s="1464"/>
      <c r="Z894" s="1464"/>
      <c r="AA894" s="1464"/>
      <c r="AB894" s="1464"/>
    </row>
    <row r="895">
      <c r="A895" s="1464"/>
      <c r="B895" s="1464"/>
      <c r="C895" s="1464"/>
      <c r="D895" s="1464"/>
      <c r="E895" s="1464"/>
      <c r="F895" s="1464"/>
      <c r="G895" s="1464"/>
      <c r="H895" s="1464"/>
      <c r="I895" s="1464"/>
      <c r="J895" s="1464"/>
      <c r="K895" s="1464"/>
      <c r="L895" s="1464"/>
      <c r="M895" s="1464"/>
      <c r="N895" s="1464"/>
      <c r="O895" s="1464"/>
      <c r="P895" s="1464"/>
      <c r="Q895" s="1464"/>
      <c r="R895" s="1464"/>
      <c r="S895" s="1464"/>
      <c r="T895" s="1464"/>
      <c r="U895" s="1464"/>
      <c r="V895" s="1464"/>
      <c r="W895" s="1464"/>
      <c r="X895" s="1464"/>
      <c r="Y895" s="1464"/>
      <c r="Z895" s="1464"/>
      <c r="AA895" s="1464"/>
      <c r="AB895" s="1464"/>
    </row>
    <row r="896">
      <c r="A896" s="1464"/>
      <c r="B896" s="1464"/>
      <c r="C896" s="1464"/>
      <c r="D896" s="1464"/>
      <c r="E896" s="1464"/>
      <c r="F896" s="1464"/>
      <c r="G896" s="1464"/>
      <c r="H896" s="1464"/>
      <c r="I896" s="1464"/>
      <c r="J896" s="1464"/>
      <c r="K896" s="1464"/>
      <c r="L896" s="1464"/>
      <c r="M896" s="1464"/>
      <c r="N896" s="1464"/>
      <c r="O896" s="1464"/>
      <c r="P896" s="1464"/>
      <c r="Q896" s="1464"/>
      <c r="R896" s="1464"/>
      <c r="S896" s="1464"/>
      <c r="T896" s="1464"/>
      <c r="U896" s="1464"/>
      <c r="V896" s="1464"/>
      <c r="W896" s="1464"/>
      <c r="X896" s="1464"/>
      <c r="Y896" s="1464"/>
      <c r="Z896" s="1464"/>
      <c r="AA896" s="1464"/>
      <c r="AB896" s="1464"/>
    </row>
    <row r="897">
      <c r="A897" s="1464"/>
      <c r="B897" s="1464"/>
      <c r="C897" s="1464"/>
      <c r="D897" s="1464"/>
      <c r="E897" s="1464"/>
      <c r="F897" s="1464"/>
      <c r="G897" s="1464"/>
      <c r="H897" s="1464"/>
      <c r="I897" s="1464"/>
      <c r="J897" s="1464"/>
      <c r="K897" s="1464"/>
      <c r="L897" s="1464"/>
      <c r="M897" s="1464"/>
      <c r="N897" s="1464"/>
      <c r="O897" s="1464"/>
      <c r="P897" s="1464"/>
      <c r="Q897" s="1464"/>
      <c r="R897" s="1464"/>
      <c r="S897" s="1464"/>
      <c r="T897" s="1464"/>
      <c r="U897" s="1464"/>
      <c r="V897" s="1464"/>
      <c r="W897" s="1464"/>
      <c r="X897" s="1464"/>
      <c r="Y897" s="1464"/>
      <c r="Z897" s="1464"/>
      <c r="AA897" s="1464"/>
      <c r="AB897" s="1464"/>
    </row>
    <row r="898">
      <c r="A898" s="1464"/>
      <c r="B898" s="1464"/>
      <c r="C898" s="1464"/>
      <c r="D898" s="1464"/>
      <c r="E898" s="1464"/>
      <c r="F898" s="1464"/>
      <c r="G898" s="1464"/>
      <c r="H898" s="1464"/>
      <c r="I898" s="1464"/>
      <c r="J898" s="1464"/>
      <c r="K898" s="1464"/>
      <c r="L898" s="1464"/>
      <c r="M898" s="1464"/>
      <c r="N898" s="1464"/>
      <c r="O898" s="1464"/>
      <c r="P898" s="1464"/>
      <c r="Q898" s="1464"/>
      <c r="R898" s="1464"/>
      <c r="S898" s="1464"/>
      <c r="T898" s="1464"/>
      <c r="U898" s="1464"/>
      <c r="V898" s="1464"/>
      <c r="W898" s="1464"/>
      <c r="X898" s="1464"/>
      <c r="Y898" s="1464"/>
      <c r="Z898" s="1464"/>
      <c r="AA898" s="1464"/>
      <c r="AB898" s="1464"/>
    </row>
    <row r="899">
      <c r="A899" s="1464"/>
      <c r="B899" s="1464"/>
      <c r="C899" s="1464"/>
      <c r="D899" s="1464"/>
      <c r="E899" s="1464"/>
      <c r="F899" s="1464"/>
      <c r="G899" s="1464"/>
      <c r="H899" s="1464"/>
      <c r="I899" s="1464"/>
      <c r="J899" s="1464"/>
      <c r="K899" s="1464"/>
      <c r="L899" s="1464"/>
      <c r="M899" s="1464"/>
      <c r="N899" s="1464"/>
      <c r="O899" s="1464"/>
      <c r="P899" s="1464"/>
      <c r="Q899" s="1464"/>
      <c r="R899" s="1464"/>
      <c r="S899" s="1464"/>
      <c r="T899" s="1464"/>
      <c r="U899" s="1464"/>
      <c r="V899" s="1464"/>
      <c r="W899" s="1464"/>
      <c r="X899" s="1464"/>
      <c r="Y899" s="1464"/>
      <c r="Z899" s="1464"/>
      <c r="AA899" s="1464"/>
      <c r="AB899" s="1464"/>
    </row>
    <row r="900">
      <c r="A900" s="1464"/>
      <c r="B900" s="1464"/>
      <c r="C900" s="1464"/>
      <c r="D900" s="1464"/>
      <c r="E900" s="1464"/>
      <c r="F900" s="1464"/>
      <c r="G900" s="1464"/>
      <c r="H900" s="1464"/>
      <c r="I900" s="1464"/>
      <c r="J900" s="1464"/>
      <c r="K900" s="1464"/>
      <c r="L900" s="1464"/>
      <c r="M900" s="1464"/>
      <c r="N900" s="1464"/>
      <c r="O900" s="1464"/>
      <c r="P900" s="1464"/>
      <c r="Q900" s="1464"/>
      <c r="R900" s="1464"/>
      <c r="S900" s="1464"/>
      <c r="T900" s="1464"/>
      <c r="U900" s="1464"/>
      <c r="V900" s="1464"/>
      <c r="W900" s="1464"/>
      <c r="X900" s="1464"/>
      <c r="Y900" s="1464"/>
      <c r="Z900" s="1464"/>
      <c r="AA900" s="1464"/>
      <c r="AB900" s="1464"/>
    </row>
    <row r="901">
      <c r="A901" s="1464"/>
      <c r="B901" s="1464"/>
      <c r="C901" s="1464"/>
      <c r="D901" s="1464"/>
      <c r="E901" s="1464"/>
      <c r="F901" s="1464"/>
      <c r="G901" s="1464"/>
      <c r="H901" s="1464"/>
      <c r="I901" s="1464"/>
      <c r="J901" s="1464"/>
      <c r="K901" s="1464"/>
      <c r="L901" s="1464"/>
      <c r="M901" s="1464"/>
      <c r="N901" s="1464"/>
      <c r="O901" s="1464"/>
      <c r="P901" s="1464"/>
      <c r="Q901" s="1464"/>
      <c r="R901" s="1464"/>
      <c r="S901" s="1464"/>
      <c r="T901" s="1464"/>
      <c r="U901" s="1464"/>
      <c r="V901" s="1464"/>
      <c r="W901" s="1464"/>
      <c r="X901" s="1464"/>
      <c r="Y901" s="1464"/>
      <c r="Z901" s="1464"/>
      <c r="AA901" s="1464"/>
      <c r="AB901" s="1464"/>
    </row>
    <row r="902">
      <c r="A902" s="1464"/>
      <c r="B902" s="1464"/>
      <c r="C902" s="1464"/>
      <c r="D902" s="1464"/>
      <c r="E902" s="1464"/>
      <c r="F902" s="1464"/>
      <c r="G902" s="1464"/>
      <c r="H902" s="1464"/>
      <c r="I902" s="1464"/>
      <c r="J902" s="1464"/>
      <c r="K902" s="1464"/>
      <c r="L902" s="1464"/>
      <c r="M902" s="1464"/>
      <c r="N902" s="1464"/>
      <c r="O902" s="1464"/>
      <c r="P902" s="1464"/>
      <c r="Q902" s="1464"/>
      <c r="R902" s="1464"/>
      <c r="S902" s="1464"/>
      <c r="T902" s="1464"/>
      <c r="U902" s="1464"/>
      <c r="V902" s="1464"/>
      <c r="W902" s="1464"/>
      <c r="X902" s="1464"/>
      <c r="Y902" s="1464"/>
      <c r="Z902" s="1464"/>
      <c r="AA902" s="1464"/>
      <c r="AB902" s="1464"/>
    </row>
    <row r="903">
      <c r="A903" s="1464"/>
      <c r="B903" s="1464"/>
      <c r="C903" s="1464"/>
      <c r="D903" s="1464"/>
      <c r="E903" s="1464"/>
      <c r="F903" s="1464"/>
      <c r="G903" s="1464"/>
      <c r="H903" s="1464"/>
      <c r="I903" s="1464"/>
      <c r="J903" s="1464"/>
      <c r="K903" s="1464"/>
      <c r="L903" s="1464"/>
      <c r="M903" s="1464"/>
      <c r="N903" s="1464"/>
      <c r="O903" s="1464"/>
      <c r="P903" s="1464"/>
      <c r="Q903" s="1464"/>
      <c r="R903" s="1464"/>
      <c r="S903" s="1464"/>
      <c r="T903" s="1464"/>
      <c r="U903" s="1464"/>
      <c r="V903" s="1464"/>
      <c r="W903" s="1464"/>
      <c r="X903" s="1464"/>
      <c r="Y903" s="1464"/>
      <c r="Z903" s="1464"/>
      <c r="AA903" s="1464"/>
      <c r="AB903" s="1464"/>
    </row>
    <row r="904">
      <c r="A904" s="1464"/>
      <c r="B904" s="1464"/>
      <c r="C904" s="1464"/>
      <c r="D904" s="1464"/>
      <c r="E904" s="1464"/>
      <c r="F904" s="1464"/>
      <c r="G904" s="1464"/>
      <c r="H904" s="1464"/>
      <c r="I904" s="1464"/>
      <c r="J904" s="1464"/>
      <c r="K904" s="1464"/>
      <c r="L904" s="1464"/>
      <c r="M904" s="1464"/>
      <c r="N904" s="1464"/>
      <c r="O904" s="1464"/>
      <c r="P904" s="1464"/>
      <c r="Q904" s="1464"/>
      <c r="R904" s="1464"/>
      <c r="S904" s="1464"/>
      <c r="T904" s="1464"/>
      <c r="U904" s="1464"/>
      <c r="V904" s="1464"/>
      <c r="W904" s="1464"/>
      <c r="X904" s="1464"/>
      <c r="Y904" s="1464"/>
      <c r="Z904" s="1464"/>
      <c r="AA904" s="1464"/>
      <c r="AB904" s="1464"/>
    </row>
    <row r="905">
      <c r="A905" s="1464"/>
      <c r="B905" s="1464"/>
      <c r="C905" s="1464"/>
      <c r="D905" s="1464"/>
      <c r="E905" s="1464"/>
      <c r="F905" s="1464"/>
      <c r="G905" s="1464"/>
      <c r="H905" s="1464"/>
      <c r="I905" s="1464"/>
      <c r="J905" s="1464"/>
      <c r="K905" s="1464"/>
      <c r="L905" s="1464"/>
      <c r="M905" s="1464"/>
      <c r="N905" s="1464"/>
      <c r="O905" s="1464"/>
      <c r="P905" s="1464"/>
      <c r="Q905" s="1464"/>
      <c r="R905" s="1464"/>
      <c r="S905" s="1464"/>
      <c r="T905" s="1464"/>
      <c r="U905" s="1464"/>
      <c r="V905" s="1464"/>
      <c r="W905" s="1464"/>
      <c r="X905" s="1464"/>
      <c r="Y905" s="1464"/>
      <c r="Z905" s="1464"/>
      <c r="AA905" s="1464"/>
      <c r="AB905" s="1464"/>
    </row>
    <row r="906">
      <c r="A906" s="1464"/>
      <c r="B906" s="1464"/>
      <c r="C906" s="1464"/>
      <c r="D906" s="1464"/>
      <c r="E906" s="1464"/>
      <c r="F906" s="1464"/>
      <c r="G906" s="1464"/>
      <c r="H906" s="1464"/>
      <c r="I906" s="1464"/>
      <c r="J906" s="1464"/>
      <c r="K906" s="1464"/>
      <c r="L906" s="1464"/>
      <c r="M906" s="1464"/>
      <c r="N906" s="1464"/>
      <c r="O906" s="1464"/>
      <c r="P906" s="1464"/>
      <c r="Q906" s="1464"/>
      <c r="R906" s="1464"/>
      <c r="S906" s="1464"/>
      <c r="T906" s="1464"/>
      <c r="U906" s="1464"/>
      <c r="V906" s="1464"/>
      <c r="W906" s="1464"/>
      <c r="X906" s="1464"/>
      <c r="Y906" s="1464"/>
      <c r="Z906" s="1464"/>
      <c r="AA906" s="1464"/>
      <c r="AB906" s="1464"/>
    </row>
    <row r="907">
      <c r="A907" s="1464"/>
      <c r="B907" s="1464"/>
      <c r="C907" s="1464"/>
      <c r="D907" s="1464"/>
      <c r="E907" s="1464"/>
      <c r="F907" s="1464"/>
      <c r="G907" s="1464"/>
      <c r="H907" s="1464"/>
      <c r="I907" s="1464"/>
      <c r="J907" s="1464"/>
      <c r="K907" s="1464"/>
      <c r="L907" s="1464"/>
      <c r="M907" s="1464"/>
      <c r="N907" s="1464"/>
      <c r="O907" s="1464"/>
      <c r="P907" s="1464"/>
      <c r="Q907" s="1464"/>
      <c r="R907" s="1464"/>
      <c r="S907" s="1464"/>
      <c r="T907" s="1464"/>
      <c r="U907" s="1464"/>
      <c r="V907" s="1464"/>
      <c r="W907" s="1464"/>
      <c r="X907" s="1464"/>
      <c r="Y907" s="1464"/>
      <c r="Z907" s="1464"/>
      <c r="AA907" s="1464"/>
      <c r="AB907" s="1464"/>
    </row>
    <row r="908">
      <c r="A908" s="1464"/>
      <c r="B908" s="1464"/>
      <c r="C908" s="1464"/>
      <c r="D908" s="1464"/>
      <c r="E908" s="1464"/>
      <c r="F908" s="1464"/>
      <c r="G908" s="1464"/>
      <c r="H908" s="1464"/>
      <c r="I908" s="1464"/>
      <c r="J908" s="1464"/>
      <c r="K908" s="1464"/>
      <c r="L908" s="1464"/>
      <c r="M908" s="1464"/>
      <c r="N908" s="1464"/>
      <c r="O908" s="1464"/>
      <c r="P908" s="1464"/>
      <c r="Q908" s="1464"/>
      <c r="R908" s="1464"/>
      <c r="S908" s="1464"/>
      <c r="T908" s="1464"/>
      <c r="U908" s="1464"/>
      <c r="V908" s="1464"/>
      <c r="W908" s="1464"/>
      <c r="X908" s="1464"/>
      <c r="Y908" s="1464"/>
      <c r="Z908" s="1464"/>
      <c r="AA908" s="1464"/>
      <c r="AB908" s="1464"/>
    </row>
    <row r="909">
      <c r="A909" s="1464"/>
      <c r="B909" s="1464"/>
      <c r="C909" s="1464"/>
      <c r="D909" s="1464"/>
      <c r="E909" s="1464"/>
      <c r="F909" s="1464"/>
      <c r="G909" s="1464"/>
      <c r="H909" s="1464"/>
      <c r="I909" s="1464"/>
      <c r="J909" s="1464"/>
      <c r="K909" s="1464"/>
      <c r="L909" s="1464"/>
      <c r="M909" s="1464"/>
      <c r="N909" s="1464"/>
      <c r="O909" s="1464"/>
      <c r="P909" s="1464"/>
      <c r="Q909" s="1464"/>
      <c r="R909" s="1464"/>
      <c r="S909" s="1464"/>
      <c r="T909" s="1464"/>
      <c r="U909" s="1464"/>
      <c r="V909" s="1464"/>
      <c r="W909" s="1464"/>
      <c r="X909" s="1464"/>
      <c r="Y909" s="1464"/>
      <c r="Z909" s="1464"/>
      <c r="AA909" s="1464"/>
      <c r="AB909" s="1464"/>
    </row>
    <row r="910">
      <c r="A910" s="1464"/>
      <c r="B910" s="1464"/>
      <c r="C910" s="1464"/>
      <c r="D910" s="1464"/>
      <c r="E910" s="1464"/>
      <c r="F910" s="1464"/>
      <c r="G910" s="1464"/>
      <c r="H910" s="1464"/>
      <c r="I910" s="1464"/>
      <c r="J910" s="1464"/>
      <c r="K910" s="1464"/>
      <c r="L910" s="1464"/>
      <c r="M910" s="1464"/>
      <c r="N910" s="1464"/>
      <c r="O910" s="1464"/>
      <c r="P910" s="1464"/>
      <c r="Q910" s="1464"/>
      <c r="R910" s="1464"/>
      <c r="S910" s="1464"/>
      <c r="T910" s="1464"/>
      <c r="U910" s="1464"/>
      <c r="V910" s="1464"/>
      <c r="W910" s="1464"/>
      <c r="X910" s="1464"/>
      <c r="Y910" s="1464"/>
      <c r="Z910" s="1464"/>
      <c r="AA910" s="1464"/>
      <c r="AB910" s="1464"/>
    </row>
    <row r="911">
      <c r="A911" s="1464"/>
      <c r="B911" s="1464"/>
      <c r="C911" s="1464"/>
      <c r="D911" s="1464"/>
      <c r="E911" s="1464"/>
      <c r="F911" s="1464"/>
      <c r="G911" s="1464"/>
      <c r="H911" s="1464"/>
      <c r="I911" s="1464"/>
      <c r="J911" s="1464"/>
      <c r="K911" s="1464"/>
      <c r="L911" s="1464"/>
      <c r="M911" s="1464"/>
      <c r="N911" s="1464"/>
      <c r="O911" s="1464"/>
      <c r="P911" s="1464"/>
      <c r="Q911" s="1464"/>
      <c r="R911" s="1464"/>
      <c r="S911" s="1464"/>
      <c r="T911" s="1464"/>
      <c r="U911" s="1464"/>
      <c r="V911" s="1464"/>
      <c r="W911" s="1464"/>
      <c r="X911" s="1464"/>
      <c r="Y911" s="1464"/>
      <c r="Z911" s="1464"/>
      <c r="AA911" s="1464"/>
      <c r="AB911" s="1464"/>
    </row>
    <row r="912">
      <c r="A912" s="1464"/>
      <c r="B912" s="1464"/>
      <c r="C912" s="1464"/>
      <c r="D912" s="1464"/>
      <c r="E912" s="1464"/>
      <c r="F912" s="1464"/>
      <c r="G912" s="1464"/>
      <c r="H912" s="1464"/>
      <c r="I912" s="1464"/>
      <c r="J912" s="1464"/>
      <c r="K912" s="1464"/>
      <c r="L912" s="1464"/>
      <c r="M912" s="1464"/>
      <c r="N912" s="1464"/>
      <c r="O912" s="1464"/>
      <c r="P912" s="1464"/>
      <c r="Q912" s="1464"/>
      <c r="R912" s="1464"/>
      <c r="S912" s="1464"/>
      <c r="T912" s="1464"/>
      <c r="U912" s="1464"/>
      <c r="V912" s="1464"/>
      <c r="W912" s="1464"/>
      <c r="X912" s="1464"/>
      <c r="Y912" s="1464"/>
      <c r="Z912" s="1464"/>
      <c r="AA912" s="1464"/>
      <c r="AB912" s="1464"/>
    </row>
    <row r="913">
      <c r="A913" s="1464"/>
      <c r="B913" s="1464"/>
      <c r="C913" s="1464"/>
      <c r="D913" s="1464"/>
      <c r="E913" s="1464"/>
      <c r="F913" s="1464"/>
      <c r="G913" s="1464"/>
      <c r="H913" s="1464"/>
      <c r="I913" s="1464"/>
      <c r="J913" s="1464"/>
      <c r="K913" s="1464"/>
      <c r="L913" s="1464"/>
      <c r="M913" s="1464"/>
      <c r="N913" s="1464"/>
      <c r="O913" s="1464"/>
      <c r="P913" s="1464"/>
      <c r="Q913" s="1464"/>
      <c r="R913" s="1464"/>
      <c r="S913" s="1464"/>
      <c r="T913" s="1464"/>
      <c r="U913" s="1464"/>
      <c r="V913" s="1464"/>
      <c r="W913" s="1464"/>
      <c r="X913" s="1464"/>
      <c r="Y913" s="1464"/>
      <c r="Z913" s="1464"/>
      <c r="AA913" s="1464"/>
      <c r="AB913" s="1464"/>
    </row>
    <row r="914">
      <c r="A914" s="1464"/>
      <c r="B914" s="1464"/>
      <c r="C914" s="1464"/>
      <c r="D914" s="1464"/>
      <c r="E914" s="1464"/>
      <c r="F914" s="1464"/>
      <c r="G914" s="1464"/>
      <c r="H914" s="1464"/>
      <c r="I914" s="1464"/>
      <c r="J914" s="1464"/>
      <c r="K914" s="1464"/>
      <c r="L914" s="1464"/>
      <c r="M914" s="1464"/>
      <c r="N914" s="1464"/>
      <c r="O914" s="1464"/>
      <c r="P914" s="1464"/>
      <c r="Q914" s="1464"/>
      <c r="R914" s="1464"/>
      <c r="S914" s="1464"/>
      <c r="T914" s="1464"/>
      <c r="U914" s="1464"/>
      <c r="V914" s="1464"/>
      <c r="W914" s="1464"/>
      <c r="X914" s="1464"/>
      <c r="Y914" s="1464"/>
      <c r="Z914" s="1464"/>
      <c r="AA914" s="1464"/>
      <c r="AB914" s="1464"/>
    </row>
    <row r="915">
      <c r="A915" s="1464"/>
      <c r="B915" s="1464"/>
      <c r="C915" s="1464"/>
      <c r="D915" s="1464"/>
      <c r="E915" s="1464"/>
      <c r="F915" s="1464"/>
      <c r="G915" s="1464"/>
      <c r="H915" s="1464"/>
      <c r="I915" s="1464"/>
      <c r="J915" s="1464"/>
      <c r="K915" s="1464"/>
      <c r="L915" s="1464"/>
      <c r="M915" s="1464"/>
      <c r="N915" s="1464"/>
      <c r="O915" s="1464"/>
      <c r="P915" s="1464"/>
      <c r="Q915" s="1464"/>
      <c r="R915" s="1464"/>
      <c r="S915" s="1464"/>
      <c r="T915" s="1464"/>
      <c r="U915" s="1464"/>
      <c r="V915" s="1464"/>
      <c r="W915" s="1464"/>
      <c r="X915" s="1464"/>
      <c r="Y915" s="1464"/>
      <c r="Z915" s="1464"/>
      <c r="AA915" s="1464"/>
      <c r="AB915" s="1464"/>
    </row>
    <row r="916">
      <c r="A916" s="1464"/>
      <c r="B916" s="1464"/>
      <c r="C916" s="1464"/>
      <c r="D916" s="1464"/>
      <c r="E916" s="1464"/>
      <c r="F916" s="1464"/>
      <c r="G916" s="1464"/>
      <c r="H916" s="1464"/>
      <c r="I916" s="1464"/>
      <c r="J916" s="1464"/>
      <c r="K916" s="1464"/>
      <c r="L916" s="1464"/>
      <c r="M916" s="1464"/>
      <c r="N916" s="1464"/>
      <c r="O916" s="1464"/>
      <c r="P916" s="1464"/>
      <c r="Q916" s="1464"/>
      <c r="R916" s="1464"/>
      <c r="S916" s="1464"/>
      <c r="T916" s="1464"/>
      <c r="U916" s="1464"/>
      <c r="V916" s="1464"/>
      <c r="W916" s="1464"/>
      <c r="X916" s="1464"/>
      <c r="Y916" s="1464"/>
      <c r="Z916" s="1464"/>
      <c r="AA916" s="1464"/>
      <c r="AB916" s="1464"/>
    </row>
    <row r="917">
      <c r="A917" s="1464"/>
      <c r="B917" s="1464"/>
      <c r="C917" s="1464"/>
      <c r="D917" s="1464"/>
      <c r="E917" s="1464"/>
      <c r="F917" s="1464"/>
      <c r="G917" s="1464"/>
      <c r="H917" s="1464"/>
      <c r="I917" s="1464"/>
      <c r="J917" s="1464"/>
      <c r="K917" s="1464"/>
      <c r="L917" s="1464"/>
      <c r="M917" s="1464"/>
      <c r="N917" s="1464"/>
      <c r="O917" s="1464"/>
      <c r="P917" s="1464"/>
      <c r="Q917" s="1464"/>
      <c r="R917" s="1464"/>
      <c r="S917" s="1464"/>
      <c r="T917" s="1464"/>
      <c r="U917" s="1464"/>
      <c r="V917" s="1464"/>
      <c r="W917" s="1464"/>
      <c r="X917" s="1464"/>
      <c r="Y917" s="1464"/>
      <c r="Z917" s="1464"/>
      <c r="AA917" s="1464"/>
      <c r="AB917" s="1464"/>
    </row>
    <row r="918">
      <c r="A918" s="1464"/>
      <c r="B918" s="1464"/>
      <c r="C918" s="1464"/>
      <c r="D918" s="1464"/>
      <c r="E918" s="1464"/>
      <c r="F918" s="1464"/>
      <c r="G918" s="1464"/>
      <c r="H918" s="1464"/>
      <c r="I918" s="1464"/>
      <c r="J918" s="1464"/>
      <c r="K918" s="1464"/>
      <c r="L918" s="1464"/>
      <c r="M918" s="1464"/>
      <c r="N918" s="1464"/>
      <c r="O918" s="1464"/>
      <c r="P918" s="1464"/>
      <c r="Q918" s="1464"/>
      <c r="R918" s="1464"/>
      <c r="S918" s="1464"/>
      <c r="T918" s="1464"/>
      <c r="U918" s="1464"/>
      <c r="V918" s="1464"/>
      <c r="W918" s="1464"/>
      <c r="X918" s="1464"/>
      <c r="Y918" s="1464"/>
      <c r="Z918" s="1464"/>
      <c r="AA918" s="1464"/>
      <c r="AB918" s="1464"/>
    </row>
    <row r="919">
      <c r="A919" s="1464"/>
      <c r="B919" s="1464"/>
      <c r="C919" s="1464"/>
      <c r="D919" s="1464"/>
      <c r="E919" s="1464"/>
      <c r="F919" s="1464"/>
      <c r="G919" s="1464"/>
      <c r="H919" s="1464"/>
      <c r="I919" s="1464"/>
      <c r="J919" s="1464"/>
      <c r="K919" s="1464"/>
      <c r="L919" s="1464"/>
      <c r="M919" s="1464"/>
      <c r="N919" s="1464"/>
      <c r="O919" s="1464"/>
      <c r="P919" s="1464"/>
      <c r="Q919" s="1464"/>
      <c r="R919" s="1464"/>
      <c r="S919" s="1464"/>
      <c r="T919" s="1464"/>
      <c r="U919" s="1464"/>
      <c r="V919" s="1464"/>
      <c r="W919" s="1464"/>
      <c r="X919" s="1464"/>
      <c r="Y919" s="1464"/>
      <c r="Z919" s="1464"/>
      <c r="AA919" s="1464"/>
      <c r="AB919" s="1464"/>
    </row>
    <row r="920">
      <c r="A920" s="1464"/>
      <c r="B920" s="1464"/>
      <c r="C920" s="1464"/>
      <c r="D920" s="1464"/>
      <c r="E920" s="1464"/>
      <c r="F920" s="1464"/>
      <c r="G920" s="1464"/>
      <c r="H920" s="1464"/>
      <c r="I920" s="1464"/>
      <c r="J920" s="1464"/>
      <c r="K920" s="1464"/>
      <c r="L920" s="1464"/>
      <c r="M920" s="1464"/>
      <c r="N920" s="1464"/>
      <c r="O920" s="1464"/>
      <c r="P920" s="1464"/>
      <c r="Q920" s="1464"/>
      <c r="R920" s="1464"/>
      <c r="S920" s="1464"/>
      <c r="T920" s="1464"/>
      <c r="U920" s="1464"/>
      <c r="V920" s="1464"/>
      <c r="W920" s="1464"/>
      <c r="X920" s="1464"/>
      <c r="Y920" s="1464"/>
      <c r="Z920" s="1464"/>
      <c r="AA920" s="1464"/>
      <c r="AB920" s="1464"/>
    </row>
    <row r="921">
      <c r="A921" s="1464"/>
      <c r="B921" s="1464"/>
      <c r="C921" s="1464"/>
      <c r="D921" s="1464"/>
      <c r="E921" s="1464"/>
      <c r="F921" s="1464"/>
      <c r="G921" s="1464"/>
      <c r="H921" s="1464"/>
      <c r="I921" s="1464"/>
      <c r="J921" s="1464"/>
      <c r="K921" s="1464"/>
      <c r="L921" s="1464"/>
      <c r="M921" s="1464"/>
      <c r="N921" s="1464"/>
      <c r="O921" s="1464"/>
      <c r="P921" s="1464"/>
      <c r="Q921" s="1464"/>
      <c r="R921" s="1464"/>
      <c r="S921" s="1464"/>
      <c r="T921" s="1464"/>
      <c r="U921" s="1464"/>
      <c r="V921" s="1464"/>
      <c r="W921" s="1464"/>
      <c r="X921" s="1464"/>
      <c r="Y921" s="1464"/>
      <c r="Z921" s="1464"/>
      <c r="AA921" s="1464"/>
      <c r="AB921" s="1464"/>
    </row>
    <row r="922">
      <c r="A922" s="1464"/>
      <c r="B922" s="1464"/>
      <c r="C922" s="1464"/>
      <c r="D922" s="1464"/>
      <c r="E922" s="1464"/>
      <c r="F922" s="1464"/>
      <c r="G922" s="1464"/>
      <c r="H922" s="1464"/>
      <c r="I922" s="1464"/>
      <c r="J922" s="1464"/>
      <c r="K922" s="1464"/>
      <c r="L922" s="1464"/>
      <c r="M922" s="1464"/>
      <c r="N922" s="1464"/>
      <c r="O922" s="1464"/>
      <c r="P922" s="1464"/>
      <c r="Q922" s="1464"/>
      <c r="R922" s="1464"/>
      <c r="S922" s="1464"/>
      <c r="T922" s="1464"/>
      <c r="U922" s="1464"/>
      <c r="V922" s="1464"/>
      <c r="W922" s="1464"/>
      <c r="X922" s="1464"/>
      <c r="Y922" s="1464"/>
      <c r="Z922" s="1464"/>
      <c r="AA922" s="1464"/>
      <c r="AB922" s="1464"/>
    </row>
    <row r="923">
      <c r="A923" s="1464"/>
      <c r="B923" s="1464"/>
      <c r="C923" s="1464"/>
      <c r="D923" s="1464"/>
      <c r="E923" s="1464"/>
      <c r="F923" s="1464"/>
      <c r="G923" s="1464"/>
      <c r="H923" s="1464"/>
      <c r="I923" s="1464"/>
      <c r="J923" s="1464"/>
      <c r="K923" s="1464"/>
      <c r="L923" s="1464"/>
      <c r="M923" s="1464"/>
      <c r="N923" s="1464"/>
      <c r="O923" s="1464"/>
      <c r="P923" s="1464"/>
      <c r="Q923" s="1464"/>
      <c r="R923" s="1464"/>
      <c r="S923" s="1464"/>
      <c r="T923" s="1464"/>
      <c r="U923" s="1464"/>
      <c r="V923" s="1464"/>
      <c r="W923" s="1464"/>
      <c r="X923" s="1464"/>
      <c r="Y923" s="1464"/>
      <c r="Z923" s="1464"/>
      <c r="AA923" s="1464"/>
      <c r="AB923" s="1464"/>
    </row>
    <row r="924">
      <c r="A924" s="1464"/>
      <c r="B924" s="1464"/>
      <c r="C924" s="1464"/>
      <c r="D924" s="1464"/>
      <c r="E924" s="1464"/>
      <c r="F924" s="1464"/>
      <c r="G924" s="1464"/>
      <c r="H924" s="1464"/>
      <c r="I924" s="1464"/>
      <c r="J924" s="1464"/>
      <c r="K924" s="1464"/>
      <c r="L924" s="1464"/>
      <c r="M924" s="1464"/>
      <c r="N924" s="1464"/>
      <c r="O924" s="1464"/>
      <c r="P924" s="1464"/>
      <c r="Q924" s="1464"/>
      <c r="R924" s="1464"/>
      <c r="S924" s="1464"/>
      <c r="T924" s="1464"/>
      <c r="U924" s="1464"/>
      <c r="V924" s="1464"/>
      <c r="W924" s="1464"/>
      <c r="X924" s="1464"/>
      <c r="Y924" s="1464"/>
      <c r="Z924" s="1464"/>
      <c r="AA924" s="1464"/>
      <c r="AB924" s="1464"/>
    </row>
    <row r="925">
      <c r="A925" s="1464"/>
      <c r="B925" s="1464"/>
      <c r="C925" s="1464"/>
      <c r="D925" s="1464"/>
      <c r="E925" s="1464"/>
      <c r="F925" s="1464"/>
      <c r="G925" s="1464"/>
      <c r="H925" s="1464"/>
      <c r="I925" s="1464"/>
      <c r="J925" s="1464"/>
      <c r="K925" s="1464"/>
      <c r="L925" s="1464"/>
      <c r="M925" s="1464"/>
      <c r="N925" s="1464"/>
      <c r="O925" s="1464"/>
      <c r="P925" s="1464"/>
      <c r="Q925" s="1464"/>
      <c r="R925" s="1464"/>
      <c r="S925" s="1464"/>
      <c r="T925" s="1464"/>
      <c r="U925" s="1464"/>
      <c r="V925" s="1464"/>
      <c r="W925" s="1464"/>
      <c r="X925" s="1464"/>
      <c r="Y925" s="1464"/>
      <c r="Z925" s="1464"/>
      <c r="AA925" s="1464"/>
      <c r="AB925" s="1464"/>
    </row>
    <row r="926">
      <c r="A926" s="1464"/>
      <c r="B926" s="1464"/>
      <c r="C926" s="1464"/>
      <c r="D926" s="1464"/>
      <c r="E926" s="1464"/>
      <c r="F926" s="1464"/>
      <c r="G926" s="1464"/>
      <c r="H926" s="1464"/>
      <c r="I926" s="1464"/>
      <c r="J926" s="1464"/>
      <c r="K926" s="1464"/>
      <c r="L926" s="1464"/>
      <c r="M926" s="1464"/>
      <c r="N926" s="1464"/>
      <c r="O926" s="1464"/>
      <c r="P926" s="1464"/>
      <c r="Q926" s="1464"/>
      <c r="R926" s="1464"/>
      <c r="S926" s="1464"/>
      <c r="T926" s="1464"/>
      <c r="U926" s="1464"/>
      <c r="V926" s="1464"/>
      <c r="W926" s="1464"/>
      <c r="X926" s="1464"/>
      <c r="Y926" s="1464"/>
      <c r="Z926" s="1464"/>
      <c r="AA926" s="1464"/>
      <c r="AB926" s="1464"/>
    </row>
    <row r="927">
      <c r="A927" s="1464"/>
      <c r="B927" s="1464"/>
      <c r="C927" s="1464"/>
      <c r="D927" s="1464"/>
      <c r="E927" s="1464"/>
      <c r="F927" s="1464"/>
      <c r="G927" s="1464"/>
      <c r="H927" s="1464"/>
      <c r="I927" s="1464"/>
      <c r="J927" s="1464"/>
      <c r="K927" s="1464"/>
      <c r="L927" s="1464"/>
      <c r="M927" s="1464"/>
      <c r="N927" s="1464"/>
      <c r="O927" s="1464"/>
      <c r="P927" s="1464"/>
      <c r="Q927" s="1464"/>
      <c r="R927" s="1464"/>
      <c r="S927" s="1464"/>
      <c r="T927" s="1464"/>
      <c r="U927" s="1464"/>
      <c r="V927" s="1464"/>
      <c r="W927" s="1464"/>
      <c r="X927" s="1464"/>
      <c r="Y927" s="1464"/>
      <c r="Z927" s="1464"/>
      <c r="AA927" s="1464"/>
      <c r="AB927" s="1464"/>
    </row>
    <row r="928">
      <c r="A928" s="1464"/>
      <c r="B928" s="1464"/>
      <c r="C928" s="1464"/>
      <c r="D928" s="1464"/>
      <c r="E928" s="1464"/>
      <c r="F928" s="1464"/>
      <c r="G928" s="1464"/>
      <c r="H928" s="1464"/>
      <c r="I928" s="1464"/>
      <c r="J928" s="1464"/>
      <c r="K928" s="1464"/>
      <c r="L928" s="1464"/>
      <c r="M928" s="1464"/>
      <c r="N928" s="1464"/>
      <c r="O928" s="1464"/>
      <c r="P928" s="1464"/>
      <c r="Q928" s="1464"/>
      <c r="R928" s="1464"/>
      <c r="S928" s="1464"/>
      <c r="T928" s="1464"/>
      <c r="U928" s="1464"/>
      <c r="V928" s="1464"/>
      <c r="W928" s="1464"/>
      <c r="X928" s="1464"/>
      <c r="Y928" s="1464"/>
      <c r="Z928" s="1464"/>
      <c r="AA928" s="1464"/>
      <c r="AB928" s="1464"/>
    </row>
    <row r="929">
      <c r="A929" s="1464"/>
      <c r="B929" s="1464"/>
      <c r="C929" s="1464"/>
      <c r="D929" s="1464"/>
      <c r="E929" s="1464"/>
      <c r="F929" s="1464"/>
      <c r="G929" s="1464"/>
      <c r="H929" s="1464"/>
      <c r="I929" s="1464"/>
      <c r="J929" s="1464"/>
      <c r="K929" s="1464"/>
      <c r="L929" s="1464"/>
      <c r="M929" s="1464"/>
      <c r="N929" s="1464"/>
      <c r="O929" s="1464"/>
      <c r="P929" s="1464"/>
      <c r="Q929" s="1464"/>
      <c r="R929" s="1464"/>
      <c r="S929" s="1464"/>
      <c r="T929" s="1464"/>
      <c r="U929" s="1464"/>
      <c r="V929" s="1464"/>
      <c r="W929" s="1464"/>
      <c r="X929" s="1464"/>
      <c r="Y929" s="1464"/>
      <c r="Z929" s="1464"/>
      <c r="AA929" s="1464"/>
      <c r="AB929" s="1464"/>
    </row>
    <row r="930">
      <c r="A930" s="1464"/>
      <c r="B930" s="1464"/>
      <c r="C930" s="1464"/>
      <c r="D930" s="1464"/>
      <c r="E930" s="1464"/>
      <c r="F930" s="1464"/>
      <c r="G930" s="1464"/>
      <c r="H930" s="1464"/>
      <c r="I930" s="1464"/>
      <c r="J930" s="1464"/>
      <c r="K930" s="1464"/>
      <c r="L930" s="1464"/>
      <c r="M930" s="1464"/>
      <c r="N930" s="1464"/>
      <c r="O930" s="1464"/>
      <c r="P930" s="1464"/>
      <c r="Q930" s="1464"/>
      <c r="R930" s="1464"/>
      <c r="S930" s="1464"/>
      <c r="T930" s="1464"/>
      <c r="U930" s="1464"/>
      <c r="V930" s="1464"/>
      <c r="W930" s="1464"/>
      <c r="X930" s="1464"/>
      <c r="Y930" s="1464"/>
      <c r="Z930" s="1464"/>
      <c r="AA930" s="1464"/>
      <c r="AB930" s="1464"/>
    </row>
    <row r="931">
      <c r="A931" s="1464"/>
      <c r="B931" s="1464"/>
      <c r="C931" s="1464"/>
      <c r="D931" s="1464"/>
      <c r="E931" s="1464"/>
      <c r="F931" s="1464"/>
      <c r="G931" s="1464"/>
      <c r="H931" s="1464"/>
      <c r="I931" s="1464"/>
      <c r="J931" s="1464"/>
      <c r="K931" s="1464"/>
      <c r="L931" s="1464"/>
      <c r="M931" s="1464"/>
      <c r="N931" s="1464"/>
      <c r="O931" s="1464"/>
      <c r="P931" s="1464"/>
      <c r="Q931" s="1464"/>
      <c r="R931" s="1464"/>
      <c r="S931" s="1464"/>
      <c r="T931" s="1464"/>
      <c r="U931" s="1464"/>
      <c r="V931" s="1464"/>
      <c r="W931" s="1464"/>
      <c r="X931" s="1464"/>
      <c r="Y931" s="1464"/>
      <c r="Z931" s="1464"/>
      <c r="AA931" s="1464"/>
      <c r="AB931" s="1464"/>
    </row>
    <row r="932">
      <c r="A932" s="1464"/>
      <c r="B932" s="1464"/>
      <c r="C932" s="1464"/>
      <c r="D932" s="1464"/>
      <c r="E932" s="1464"/>
      <c r="F932" s="1464"/>
      <c r="G932" s="1464"/>
      <c r="H932" s="1464"/>
      <c r="I932" s="1464"/>
      <c r="J932" s="1464"/>
      <c r="K932" s="1464"/>
      <c r="L932" s="1464"/>
      <c r="M932" s="1464"/>
      <c r="N932" s="1464"/>
      <c r="O932" s="1464"/>
      <c r="P932" s="1464"/>
      <c r="Q932" s="1464"/>
      <c r="R932" s="1464"/>
      <c r="S932" s="1464"/>
      <c r="T932" s="1464"/>
      <c r="U932" s="1464"/>
      <c r="V932" s="1464"/>
      <c r="W932" s="1464"/>
      <c r="X932" s="1464"/>
      <c r="Y932" s="1464"/>
      <c r="Z932" s="1464"/>
      <c r="AA932" s="1464"/>
      <c r="AB932" s="1464"/>
    </row>
    <row r="933">
      <c r="A933" s="1464"/>
      <c r="B933" s="1464"/>
      <c r="C933" s="1464"/>
      <c r="D933" s="1464"/>
      <c r="E933" s="1464"/>
      <c r="F933" s="1464"/>
      <c r="G933" s="1464"/>
      <c r="H933" s="1464"/>
      <c r="I933" s="1464"/>
      <c r="J933" s="1464"/>
      <c r="K933" s="1464"/>
      <c r="L933" s="1464"/>
      <c r="M933" s="1464"/>
      <c r="N933" s="1464"/>
      <c r="O933" s="1464"/>
      <c r="P933" s="1464"/>
      <c r="Q933" s="1464"/>
      <c r="R933" s="1464"/>
      <c r="S933" s="1464"/>
      <c r="T933" s="1464"/>
      <c r="U933" s="1464"/>
      <c r="V933" s="1464"/>
      <c r="W933" s="1464"/>
      <c r="X933" s="1464"/>
      <c r="Y933" s="1464"/>
      <c r="Z933" s="1464"/>
      <c r="AA933" s="1464"/>
      <c r="AB933" s="1464"/>
    </row>
    <row r="934">
      <c r="A934" s="1464"/>
      <c r="B934" s="1464"/>
      <c r="C934" s="1464"/>
      <c r="D934" s="1464"/>
      <c r="E934" s="1464"/>
      <c r="F934" s="1464"/>
      <c r="G934" s="1464"/>
      <c r="H934" s="1464"/>
      <c r="I934" s="1464"/>
      <c r="J934" s="1464"/>
      <c r="K934" s="1464"/>
      <c r="L934" s="1464"/>
      <c r="M934" s="1464"/>
      <c r="N934" s="1464"/>
      <c r="O934" s="1464"/>
      <c r="P934" s="1464"/>
      <c r="Q934" s="1464"/>
      <c r="R934" s="1464"/>
      <c r="S934" s="1464"/>
      <c r="T934" s="1464"/>
      <c r="U934" s="1464"/>
      <c r="V934" s="1464"/>
      <c r="W934" s="1464"/>
      <c r="X934" s="1464"/>
      <c r="Y934" s="1464"/>
      <c r="Z934" s="1464"/>
      <c r="AA934" s="1464"/>
      <c r="AB934" s="1464"/>
    </row>
    <row r="935">
      <c r="A935" s="1464"/>
      <c r="B935" s="1464"/>
      <c r="C935" s="1464"/>
      <c r="D935" s="1464"/>
      <c r="E935" s="1464"/>
      <c r="F935" s="1464"/>
      <c r="G935" s="1464"/>
      <c r="H935" s="1464"/>
      <c r="I935" s="1464"/>
      <c r="J935" s="1464"/>
      <c r="K935" s="1464"/>
      <c r="L935" s="1464"/>
      <c r="M935" s="1464"/>
      <c r="N935" s="1464"/>
      <c r="O935" s="1464"/>
      <c r="P935" s="1464"/>
      <c r="Q935" s="1464"/>
      <c r="R935" s="1464"/>
      <c r="S935" s="1464"/>
      <c r="T935" s="1464"/>
      <c r="U935" s="1464"/>
      <c r="V935" s="1464"/>
      <c r="W935" s="1464"/>
      <c r="X935" s="1464"/>
      <c r="Y935" s="1464"/>
      <c r="Z935" s="1464"/>
      <c r="AA935" s="1464"/>
      <c r="AB935" s="1464"/>
    </row>
    <row r="936">
      <c r="A936" s="1464"/>
      <c r="B936" s="1464"/>
      <c r="C936" s="1464"/>
      <c r="D936" s="1464"/>
      <c r="E936" s="1464"/>
      <c r="F936" s="1464"/>
      <c r="G936" s="1464"/>
      <c r="H936" s="1464"/>
      <c r="I936" s="1464"/>
      <c r="J936" s="1464"/>
      <c r="K936" s="1464"/>
      <c r="L936" s="1464"/>
      <c r="M936" s="1464"/>
      <c r="N936" s="1464"/>
      <c r="O936" s="1464"/>
      <c r="P936" s="1464"/>
      <c r="Q936" s="1464"/>
      <c r="R936" s="1464"/>
      <c r="S936" s="1464"/>
      <c r="T936" s="1464"/>
      <c r="U936" s="1464"/>
      <c r="V936" s="1464"/>
      <c r="W936" s="1464"/>
      <c r="X936" s="1464"/>
      <c r="Y936" s="1464"/>
      <c r="Z936" s="1464"/>
      <c r="AA936" s="1464"/>
      <c r="AB936" s="1464"/>
    </row>
    <row r="937">
      <c r="A937" s="1464"/>
      <c r="B937" s="1464"/>
      <c r="C937" s="1464"/>
      <c r="D937" s="1464"/>
      <c r="E937" s="1464"/>
      <c r="F937" s="1464"/>
      <c r="G937" s="1464"/>
      <c r="H937" s="1464"/>
      <c r="I937" s="1464"/>
      <c r="J937" s="1464"/>
      <c r="K937" s="1464"/>
      <c r="L937" s="1464"/>
      <c r="M937" s="1464"/>
      <c r="N937" s="1464"/>
      <c r="O937" s="1464"/>
      <c r="P937" s="1464"/>
      <c r="Q937" s="1464"/>
      <c r="R937" s="1464"/>
      <c r="S937" s="1464"/>
      <c r="T937" s="1464"/>
      <c r="U937" s="1464"/>
      <c r="V937" s="1464"/>
      <c r="W937" s="1464"/>
      <c r="X937" s="1464"/>
      <c r="Y937" s="1464"/>
      <c r="Z937" s="1464"/>
      <c r="AA937" s="1464"/>
      <c r="AB937" s="1464"/>
    </row>
    <row r="938">
      <c r="A938" s="1464"/>
      <c r="B938" s="1464"/>
      <c r="C938" s="1464"/>
      <c r="D938" s="1464"/>
      <c r="E938" s="1464"/>
      <c r="F938" s="1464"/>
      <c r="G938" s="1464"/>
      <c r="H938" s="1464"/>
      <c r="I938" s="1464"/>
      <c r="J938" s="1464"/>
      <c r="K938" s="1464"/>
      <c r="L938" s="1464"/>
      <c r="M938" s="1464"/>
      <c r="N938" s="1464"/>
      <c r="O938" s="1464"/>
      <c r="P938" s="1464"/>
      <c r="Q938" s="1464"/>
      <c r="R938" s="1464"/>
      <c r="S938" s="1464"/>
      <c r="T938" s="1464"/>
      <c r="U938" s="1464"/>
      <c r="V938" s="1464"/>
      <c r="W938" s="1464"/>
      <c r="X938" s="1464"/>
      <c r="Y938" s="1464"/>
      <c r="Z938" s="1464"/>
      <c r="AA938" s="1464"/>
      <c r="AB938" s="1464"/>
    </row>
    <row r="939">
      <c r="A939" s="1464"/>
      <c r="B939" s="1464"/>
      <c r="C939" s="1464"/>
      <c r="D939" s="1464"/>
      <c r="E939" s="1464"/>
      <c r="F939" s="1464"/>
      <c r="G939" s="1464"/>
      <c r="H939" s="1464"/>
      <c r="I939" s="1464"/>
      <c r="J939" s="1464"/>
      <c r="K939" s="1464"/>
      <c r="L939" s="1464"/>
      <c r="M939" s="1464"/>
      <c r="N939" s="1464"/>
      <c r="O939" s="1464"/>
      <c r="P939" s="1464"/>
      <c r="Q939" s="1464"/>
      <c r="R939" s="1464"/>
      <c r="S939" s="1464"/>
      <c r="T939" s="1464"/>
      <c r="U939" s="1464"/>
      <c r="V939" s="1464"/>
      <c r="W939" s="1464"/>
      <c r="X939" s="1464"/>
      <c r="Y939" s="1464"/>
      <c r="Z939" s="1464"/>
      <c r="AA939" s="1464"/>
      <c r="AB939" s="1464"/>
    </row>
    <row r="940">
      <c r="A940" s="1464"/>
      <c r="B940" s="1464"/>
      <c r="C940" s="1464"/>
      <c r="D940" s="1464"/>
      <c r="E940" s="1464"/>
      <c r="F940" s="1464"/>
      <c r="G940" s="1464"/>
      <c r="H940" s="1464"/>
      <c r="I940" s="1464"/>
      <c r="J940" s="1464"/>
      <c r="K940" s="1464"/>
      <c r="L940" s="1464"/>
      <c r="M940" s="1464"/>
      <c r="N940" s="1464"/>
      <c r="O940" s="1464"/>
      <c r="P940" s="1464"/>
      <c r="Q940" s="1464"/>
      <c r="R940" s="1464"/>
      <c r="S940" s="1464"/>
      <c r="T940" s="1464"/>
      <c r="U940" s="1464"/>
      <c r="V940" s="1464"/>
      <c r="W940" s="1464"/>
      <c r="X940" s="1464"/>
      <c r="Y940" s="1464"/>
      <c r="Z940" s="1464"/>
      <c r="AA940" s="1464"/>
      <c r="AB940" s="1464"/>
    </row>
    <row r="941">
      <c r="A941" s="1464"/>
      <c r="B941" s="1464"/>
      <c r="C941" s="1464"/>
      <c r="D941" s="1464"/>
      <c r="E941" s="1464"/>
      <c r="F941" s="1464"/>
      <c r="G941" s="1464"/>
      <c r="H941" s="1464"/>
      <c r="I941" s="1464"/>
      <c r="J941" s="1464"/>
      <c r="K941" s="1464"/>
      <c r="L941" s="1464"/>
      <c r="M941" s="1464"/>
      <c r="N941" s="1464"/>
      <c r="O941" s="1464"/>
      <c r="P941" s="1464"/>
      <c r="Q941" s="1464"/>
      <c r="R941" s="1464"/>
      <c r="S941" s="1464"/>
      <c r="T941" s="1464"/>
      <c r="U941" s="1464"/>
      <c r="V941" s="1464"/>
      <c r="W941" s="1464"/>
      <c r="X941" s="1464"/>
      <c r="Y941" s="1464"/>
      <c r="Z941" s="1464"/>
      <c r="AA941" s="1464"/>
      <c r="AB941" s="1464"/>
    </row>
    <row r="942">
      <c r="A942" s="1464"/>
      <c r="B942" s="1464"/>
      <c r="C942" s="1464"/>
      <c r="D942" s="1464"/>
      <c r="E942" s="1464"/>
      <c r="F942" s="1464"/>
      <c r="G942" s="1464"/>
      <c r="H942" s="1464"/>
      <c r="I942" s="1464"/>
      <c r="J942" s="1464"/>
      <c r="K942" s="1464"/>
      <c r="L942" s="1464"/>
      <c r="M942" s="1464"/>
      <c r="N942" s="1464"/>
      <c r="O942" s="1464"/>
      <c r="P942" s="1464"/>
      <c r="Q942" s="1464"/>
      <c r="R942" s="1464"/>
      <c r="S942" s="1464"/>
      <c r="T942" s="1464"/>
      <c r="U942" s="1464"/>
      <c r="V942" s="1464"/>
      <c r="W942" s="1464"/>
      <c r="X942" s="1464"/>
      <c r="Y942" s="1464"/>
      <c r="Z942" s="1464"/>
      <c r="AA942" s="1464"/>
      <c r="AB942" s="1464"/>
    </row>
    <row r="943">
      <c r="A943" s="1464"/>
      <c r="B943" s="1464"/>
      <c r="C943" s="1464"/>
      <c r="D943" s="1464"/>
      <c r="E943" s="1464"/>
      <c r="F943" s="1464"/>
      <c r="G943" s="1464"/>
      <c r="H943" s="1464"/>
      <c r="I943" s="1464"/>
      <c r="J943" s="1464"/>
      <c r="K943" s="1464"/>
      <c r="L943" s="1464"/>
      <c r="M943" s="1464"/>
      <c r="N943" s="1464"/>
      <c r="O943" s="1464"/>
      <c r="P943" s="1464"/>
      <c r="Q943" s="1464"/>
      <c r="R943" s="1464"/>
      <c r="S943" s="1464"/>
      <c r="T943" s="1464"/>
      <c r="U943" s="1464"/>
      <c r="V943" s="1464"/>
      <c r="W943" s="1464"/>
      <c r="X943" s="1464"/>
      <c r="Y943" s="1464"/>
      <c r="Z943" s="1464"/>
      <c r="AA943" s="1464"/>
      <c r="AB943" s="1464"/>
    </row>
    <row r="944">
      <c r="A944" s="1464"/>
      <c r="B944" s="1464"/>
      <c r="C944" s="1464"/>
      <c r="D944" s="1464"/>
      <c r="E944" s="1464"/>
      <c r="F944" s="1464"/>
      <c r="G944" s="1464"/>
      <c r="H944" s="1464"/>
      <c r="I944" s="1464"/>
      <c r="J944" s="1464"/>
      <c r="K944" s="1464"/>
      <c r="L944" s="1464"/>
      <c r="M944" s="1464"/>
      <c r="N944" s="1464"/>
      <c r="O944" s="1464"/>
      <c r="P944" s="1464"/>
      <c r="Q944" s="1464"/>
      <c r="R944" s="1464"/>
      <c r="S944" s="1464"/>
      <c r="T944" s="1464"/>
      <c r="U944" s="1464"/>
      <c r="V944" s="1464"/>
      <c r="W944" s="1464"/>
      <c r="X944" s="1464"/>
      <c r="Y944" s="1464"/>
      <c r="Z944" s="1464"/>
      <c r="AA944" s="1464"/>
      <c r="AB944" s="1464"/>
    </row>
    <row r="945">
      <c r="A945" s="1464"/>
      <c r="B945" s="1464"/>
      <c r="C945" s="1464"/>
      <c r="D945" s="1464"/>
      <c r="E945" s="1464"/>
      <c r="F945" s="1464"/>
      <c r="G945" s="1464"/>
      <c r="H945" s="1464"/>
      <c r="I945" s="1464"/>
      <c r="J945" s="1464"/>
      <c r="K945" s="1464"/>
      <c r="L945" s="1464"/>
      <c r="M945" s="1464"/>
      <c r="N945" s="1464"/>
      <c r="O945" s="1464"/>
      <c r="P945" s="1464"/>
      <c r="Q945" s="1464"/>
      <c r="R945" s="1464"/>
      <c r="S945" s="1464"/>
      <c r="T945" s="1464"/>
      <c r="U945" s="1464"/>
      <c r="V945" s="1464"/>
      <c r="W945" s="1464"/>
      <c r="X945" s="1464"/>
      <c r="Y945" s="1464"/>
      <c r="Z945" s="1464"/>
      <c r="AA945" s="1464"/>
      <c r="AB945" s="1464"/>
    </row>
    <row r="946">
      <c r="A946" s="1464"/>
      <c r="B946" s="1464"/>
      <c r="C946" s="1464"/>
      <c r="D946" s="1464"/>
      <c r="E946" s="1464"/>
      <c r="F946" s="1464"/>
      <c r="G946" s="1464"/>
      <c r="H946" s="1464"/>
      <c r="I946" s="1464"/>
      <c r="J946" s="1464"/>
      <c r="K946" s="1464"/>
      <c r="L946" s="1464"/>
      <c r="M946" s="1464"/>
      <c r="N946" s="1464"/>
      <c r="O946" s="1464"/>
      <c r="P946" s="1464"/>
      <c r="Q946" s="1464"/>
      <c r="R946" s="1464"/>
      <c r="S946" s="1464"/>
      <c r="T946" s="1464"/>
      <c r="U946" s="1464"/>
      <c r="V946" s="1464"/>
      <c r="W946" s="1464"/>
      <c r="X946" s="1464"/>
      <c r="Y946" s="1464"/>
      <c r="Z946" s="1464"/>
      <c r="AA946" s="1464"/>
      <c r="AB946" s="1464"/>
    </row>
    <row r="947">
      <c r="A947" s="1464"/>
      <c r="B947" s="1464"/>
      <c r="C947" s="1464"/>
      <c r="D947" s="1464"/>
      <c r="E947" s="1464"/>
      <c r="F947" s="1464"/>
      <c r="G947" s="1464"/>
      <c r="H947" s="1464"/>
      <c r="I947" s="1464"/>
      <c r="J947" s="1464"/>
      <c r="K947" s="1464"/>
      <c r="L947" s="1464"/>
      <c r="M947" s="1464"/>
      <c r="N947" s="1464"/>
      <c r="O947" s="1464"/>
      <c r="P947" s="1464"/>
      <c r="Q947" s="1464"/>
      <c r="R947" s="1464"/>
      <c r="S947" s="1464"/>
      <c r="T947" s="1464"/>
      <c r="U947" s="1464"/>
      <c r="V947" s="1464"/>
      <c r="W947" s="1464"/>
      <c r="X947" s="1464"/>
      <c r="Y947" s="1464"/>
      <c r="Z947" s="1464"/>
      <c r="AA947" s="1464"/>
      <c r="AB947" s="1464"/>
    </row>
    <row r="948">
      <c r="A948" s="1464"/>
      <c r="B948" s="1464"/>
      <c r="C948" s="1464"/>
      <c r="D948" s="1464"/>
      <c r="E948" s="1464"/>
      <c r="F948" s="1464"/>
      <c r="G948" s="1464"/>
      <c r="H948" s="1464"/>
      <c r="I948" s="1464"/>
      <c r="J948" s="1464"/>
      <c r="K948" s="1464"/>
      <c r="L948" s="1464"/>
      <c r="M948" s="1464"/>
      <c r="N948" s="1464"/>
      <c r="O948" s="1464"/>
      <c r="P948" s="1464"/>
      <c r="Q948" s="1464"/>
      <c r="R948" s="1464"/>
      <c r="S948" s="1464"/>
      <c r="T948" s="1464"/>
      <c r="U948" s="1464"/>
      <c r="V948" s="1464"/>
      <c r="W948" s="1464"/>
      <c r="X948" s="1464"/>
      <c r="Y948" s="1464"/>
      <c r="Z948" s="1464"/>
      <c r="AA948" s="1464"/>
      <c r="AB948" s="1464"/>
    </row>
    <row r="949">
      <c r="A949" s="1464"/>
      <c r="B949" s="1464"/>
      <c r="C949" s="1464"/>
      <c r="D949" s="1464"/>
      <c r="E949" s="1464"/>
      <c r="F949" s="1464"/>
      <c r="G949" s="1464"/>
      <c r="H949" s="1464"/>
      <c r="I949" s="1464"/>
      <c r="J949" s="1464"/>
      <c r="K949" s="1464"/>
      <c r="L949" s="1464"/>
      <c r="M949" s="1464"/>
      <c r="N949" s="1464"/>
      <c r="O949" s="1464"/>
      <c r="P949" s="1464"/>
      <c r="Q949" s="1464"/>
      <c r="R949" s="1464"/>
      <c r="S949" s="1464"/>
      <c r="T949" s="1464"/>
      <c r="U949" s="1464"/>
      <c r="V949" s="1464"/>
      <c r="W949" s="1464"/>
      <c r="X949" s="1464"/>
      <c r="Y949" s="1464"/>
      <c r="Z949" s="1464"/>
      <c r="AA949" s="1464"/>
      <c r="AB949" s="1464"/>
    </row>
    <row r="950">
      <c r="A950" s="1464"/>
      <c r="B950" s="1464"/>
      <c r="C950" s="1464"/>
      <c r="D950" s="1464"/>
      <c r="E950" s="1464"/>
      <c r="F950" s="1464"/>
      <c r="G950" s="1464"/>
      <c r="H950" s="1464"/>
      <c r="I950" s="1464"/>
      <c r="J950" s="1464"/>
      <c r="K950" s="1464"/>
      <c r="L950" s="1464"/>
      <c r="M950" s="1464"/>
      <c r="N950" s="1464"/>
      <c r="O950" s="1464"/>
      <c r="P950" s="1464"/>
      <c r="Q950" s="1464"/>
      <c r="R950" s="1464"/>
      <c r="S950" s="1464"/>
      <c r="T950" s="1464"/>
      <c r="U950" s="1464"/>
      <c r="V950" s="1464"/>
      <c r="W950" s="1464"/>
      <c r="X950" s="1464"/>
      <c r="Y950" s="1464"/>
      <c r="Z950" s="1464"/>
      <c r="AA950" s="1464"/>
      <c r="AB950" s="1464"/>
    </row>
    <row r="951">
      <c r="A951" s="1464"/>
      <c r="B951" s="1464"/>
      <c r="C951" s="1464"/>
      <c r="D951" s="1464"/>
      <c r="E951" s="1464"/>
      <c r="F951" s="1464"/>
      <c r="G951" s="1464"/>
      <c r="H951" s="1464"/>
      <c r="I951" s="1464"/>
      <c r="J951" s="1464"/>
      <c r="K951" s="1464"/>
      <c r="L951" s="1464"/>
      <c r="M951" s="1464"/>
      <c r="N951" s="1464"/>
      <c r="O951" s="1464"/>
      <c r="P951" s="1464"/>
      <c r="Q951" s="1464"/>
      <c r="R951" s="1464"/>
      <c r="S951" s="1464"/>
      <c r="T951" s="1464"/>
      <c r="U951" s="1464"/>
      <c r="V951" s="1464"/>
      <c r="W951" s="1464"/>
      <c r="X951" s="1464"/>
      <c r="Y951" s="1464"/>
      <c r="Z951" s="1464"/>
      <c r="AA951" s="1464"/>
      <c r="AB951" s="1464"/>
    </row>
    <row r="952">
      <c r="A952" s="1464"/>
      <c r="B952" s="1464"/>
      <c r="C952" s="1464"/>
      <c r="D952" s="1464"/>
      <c r="E952" s="1464"/>
      <c r="F952" s="1464"/>
      <c r="G952" s="1464"/>
      <c r="H952" s="1464"/>
      <c r="I952" s="1464"/>
      <c r="J952" s="1464"/>
      <c r="K952" s="1464"/>
      <c r="L952" s="1464"/>
      <c r="M952" s="1464"/>
      <c r="N952" s="1464"/>
      <c r="O952" s="1464"/>
      <c r="P952" s="1464"/>
      <c r="Q952" s="1464"/>
      <c r="R952" s="1464"/>
      <c r="S952" s="1464"/>
      <c r="T952" s="1464"/>
      <c r="U952" s="1464"/>
      <c r="V952" s="1464"/>
      <c r="W952" s="1464"/>
      <c r="X952" s="1464"/>
      <c r="Y952" s="1464"/>
      <c r="Z952" s="1464"/>
      <c r="AA952" s="1464"/>
      <c r="AB952" s="1464"/>
    </row>
    <row r="953">
      <c r="A953" s="1464"/>
      <c r="B953" s="1464"/>
      <c r="C953" s="1464"/>
      <c r="D953" s="1464"/>
      <c r="E953" s="1464"/>
      <c r="F953" s="1464"/>
      <c r="G953" s="1464"/>
      <c r="H953" s="1464"/>
      <c r="I953" s="1464"/>
      <c r="J953" s="1464"/>
      <c r="K953" s="1464"/>
      <c r="L953" s="1464"/>
      <c r="M953" s="1464"/>
      <c r="N953" s="1464"/>
      <c r="O953" s="1464"/>
      <c r="P953" s="1464"/>
      <c r="Q953" s="1464"/>
      <c r="R953" s="1464"/>
      <c r="S953" s="1464"/>
      <c r="T953" s="1464"/>
      <c r="U953" s="1464"/>
      <c r="V953" s="1464"/>
      <c r="W953" s="1464"/>
      <c r="X953" s="1464"/>
      <c r="Y953" s="1464"/>
      <c r="Z953" s="1464"/>
      <c r="AA953" s="1464"/>
      <c r="AB953" s="1464"/>
    </row>
    <row r="954">
      <c r="A954" s="1464"/>
      <c r="B954" s="1464"/>
      <c r="C954" s="1464"/>
      <c r="D954" s="1464"/>
      <c r="E954" s="1464"/>
      <c r="F954" s="1464"/>
      <c r="G954" s="1464"/>
      <c r="H954" s="1464"/>
      <c r="I954" s="1464"/>
      <c r="J954" s="1464"/>
      <c r="K954" s="1464"/>
      <c r="L954" s="1464"/>
      <c r="M954" s="1464"/>
      <c r="N954" s="1464"/>
      <c r="O954" s="1464"/>
      <c r="P954" s="1464"/>
      <c r="Q954" s="1464"/>
      <c r="R954" s="1464"/>
      <c r="S954" s="1464"/>
      <c r="T954" s="1464"/>
      <c r="U954" s="1464"/>
      <c r="V954" s="1464"/>
      <c r="W954" s="1464"/>
      <c r="X954" s="1464"/>
      <c r="Y954" s="1464"/>
      <c r="Z954" s="1464"/>
      <c r="AA954" s="1464"/>
      <c r="AB954" s="1464"/>
    </row>
    <row r="955">
      <c r="A955" s="1464"/>
      <c r="B955" s="1464"/>
      <c r="C955" s="1464"/>
      <c r="D955" s="1464"/>
      <c r="E955" s="1464"/>
      <c r="F955" s="1464"/>
      <c r="G955" s="1464"/>
      <c r="H955" s="1464"/>
      <c r="I955" s="1464"/>
      <c r="J955" s="1464"/>
      <c r="K955" s="1464"/>
      <c r="L955" s="1464"/>
      <c r="M955" s="1464"/>
      <c r="N955" s="1464"/>
      <c r="O955" s="1464"/>
      <c r="P955" s="1464"/>
      <c r="Q955" s="1464"/>
      <c r="R955" s="1464"/>
      <c r="S955" s="1464"/>
      <c r="T955" s="1464"/>
      <c r="U955" s="1464"/>
      <c r="V955" s="1464"/>
      <c r="W955" s="1464"/>
      <c r="X955" s="1464"/>
      <c r="Y955" s="1464"/>
      <c r="Z955" s="1464"/>
      <c r="AA955" s="1464"/>
      <c r="AB955" s="1464"/>
    </row>
    <row r="956">
      <c r="A956" s="1464"/>
      <c r="B956" s="1464"/>
      <c r="C956" s="1464"/>
      <c r="D956" s="1464"/>
      <c r="E956" s="1464"/>
      <c r="F956" s="1464"/>
      <c r="G956" s="1464"/>
      <c r="H956" s="1464"/>
      <c r="I956" s="1464"/>
      <c r="J956" s="1464"/>
      <c r="K956" s="1464"/>
      <c r="L956" s="1464"/>
      <c r="M956" s="1464"/>
      <c r="N956" s="1464"/>
      <c r="O956" s="1464"/>
      <c r="P956" s="1464"/>
      <c r="Q956" s="1464"/>
      <c r="R956" s="1464"/>
      <c r="S956" s="1464"/>
      <c r="T956" s="1464"/>
      <c r="U956" s="1464"/>
      <c r="V956" s="1464"/>
      <c r="W956" s="1464"/>
      <c r="X956" s="1464"/>
      <c r="Y956" s="1464"/>
      <c r="Z956" s="1464"/>
      <c r="AA956" s="1464"/>
      <c r="AB956" s="1464"/>
    </row>
    <row r="957">
      <c r="A957" s="1464"/>
      <c r="B957" s="1464"/>
      <c r="C957" s="1464"/>
      <c r="D957" s="1464"/>
      <c r="E957" s="1464"/>
      <c r="F957" s="1464"/>
      <c r="G957" s="1464"/>
      <c r="H957" s="1464"/>
      <c r="I957" s="1464"/>
      <c r="J957" s="1464"/>
      <c r="K957" s="1464"/>
      <c r="L957" s="1464"/>
      <c r="M957" s="1464"/>
      <c r="N957" s="1464"/>
      <c r="O957" s="1464"/>
      <c r="P957" s="1464"/>
      <c r="Q957" s="1464"/>
      <c r="R957" s="1464"/>
      <c r="S957" s="1464"/>
      <c r="T957" s="1464"/>
      <c r="U957" s="1464"/>
      <c r="V957" s="1464"/>
      <c r="W957" s="1464"/>
      <c r="X957" s="1464"/>
      <c r="Y957" s="1464"/>
      <c r="Z957" s="1464"/>
      <c r="AA957" s="1464"/>
      <c r="AB957" s="1464"/>
    </row>
    <row r="958">
      <c r="A958" s="1464"/>
      <c r="B958" s="1464"/>
      <c r="C958" s="1464"/>
      <c r="D958" s="1464"/>
      <c r="E958" s="1464"/>
      <c r="F958" s="1464"/>
      <c r="G958" s="1464"/>
      <c r="H958" s="1464"/>
      <c r="I958" s="1464"/>
      <c r="J958" s="1464"/>
      <c r="K958" s="1464"/>
      <c r="L958" s="1464"/>
      <c r="M958" s="1464"/>
      <c r="N958" s="1464"/>
      <c r="O958" s="1464"/>
      <c r="P958" s="1464"/>
      <c r="Q958" s="1464"/>
      <c r="R958" s="1464"/>
      <c r="S958" s="1464"/>
      <c r="T958" s="1464"/>
      <c r="U958" s="1464"/>
      <c r="V958" s="1464"/>
      <c r="W958" s="1464"/>
      <c r="X958" s="1464"/>
      <c r="Y958" s="1464"/>
      <c r="Z958" s="1464"/>
      <c r="AA958" s="1464"/>
      <c r="AB958" s="1464"/>
    </row>
    <row r="959">
      <c r="A959" s="1464"/>
      <c r="B959" s="1464"/>
      <c r="C959" s="1464"/>
      <c r="D959" s="1464"/>
      <c r="E959" s="1464"/>
      <c r="F959" s="1464"/>
      <c r="G959" s="1464"/>
      <c r="H959" s="1464"/>
      <c r="I959" s="1464"/>
      <c r="J959" s="1464"/>
      <c r="K959" s="1464"/>
      <c r="L959" s="1464"/>
      <c r="M959" s="1464"/>
      <c r="N959" s="1464"/>
      <c r="O959" s="1464"/>
      <c r="P959" s="1464"/>
      <c r="Q959" s="1464"/>
      <c r="R959" s="1464"/>
      <c r="S959" s="1464"/>
      <c r="T959" s="1464"/>
      <c r="U959" s="1464"/>
      <c r="V959" s="1464"/>
      <c r="W959" s="1464"/>
      <c r="X959" s="1464"/>
      <c r="Y959" s="1464"/>
      <c r="Z959" s="1464"/>
      <c r="AA959" s="1464"/>
      <c r="AB959" s="1464"/>
    </row>
    <row r="960">
      <c r="A960" s="1464"/>
      <c r="B960" s="1464"/>
      <c r="C960" s="1464"/>
      <c r="D960" s="1464"/>
      <c r="E960" s="1464"/>
      <c r="F960" s="1464"/>
      <c r="G960" s="1464"/>
      <c r="H960" s="1464"/>
      <c r="I960" s="1464"/>
      <c r="J960" s="1464"/>
      <c r="K960" s="1464"/>
      <c r="L960" s="1464"/>
      <c r="M960" s="1464"/>
      <c r="N960" s="1464"/>
      <c r="O960" s="1464"/>
      <c r="P960" s="1464"/>
      <c r="Q960" s="1464"/>
      <c r="R960" s="1464"/>
      <c r="S960" s="1464"/>
      <c r="T960" s="1464"/>
      <c r="U960" s="1464"/>
      <c r="V960" s="1464"/>
      <c r="W960" s="1464"/>
      <c r="X960" s="1464"/>
      <c r="Y960" s="1464"/>
      <c r="Z960" s="1464"/>
      <c r="AA960" s="1464"/>
      <c r="AB960" s="1464"/>
    </row>
    <row r="961">
      <c r="A961" s="1464"/>
      <c r="B961" s="1464"/>
      <c r="C961" s="1464"/>
      <c r="D961" s="1464"/>
      <c r="E961" s="1464"/>
      <c r="F961" s="1464"/>
      <c r="G961" s="1464"/>
      <c r="H961" s="1464"/>
      <c r="I961" s="1464"/>
      <c r="J961" s="1464"/>
      <c r="K961" s="1464"/>
      <c r="L961" s="1464"/>
      <c r="M961" s="1464"/>
      <c r="N961" s="1464"/>
      <c r="O961" s="1464"/>
      <c r="P961" s="1464"/>
      <c r="Q961" s="1464"/>
      <c r="R961" s="1464"/>
      <c r="S961" s="1464"/>
      <c r="T961" s="1464"/>
      <c r="U961" s="1464"/>
      <c r="V961" s="1464"/>
      <c r="W961" s="1464"/>
      <c r="X961" s="1464"/>
      <c r="Y961" s="1464"/>
      <c r="Z961" s="1464"/>
      <c r="AA961" s="1464"/>
      <c r="AB961" s="1464"/>
    </row>
    <row r="962">
      <c r="A962" s="1464"/>
      <c r="B962" s="1464"/>
      <c r="C962" s="1464"/>
      <c r="D962" s="1464"/>
      <c r="E962" s="1464"/>
      <c r="F962" s="1464"/>
      <c r="G962" s="1464"/>
      <c r="H962" s="1464"/>
      <c r="I962" s="1464"/>
      <c r="J962" s="1464"/>
      <c r="K962" s="1464"/>
      <c r="L962" s="1464"/>
      <c r="M962" s="1464"/>
      <c r="N962" s="1464"/>
      <c r="O962" s="1464"/>
      <c r="P962" s="1464"/>
      <c r="Q962" s="1464"/>
      <c r="R962" s="1464"/>
      <c r="S962" s="1464"/>
      <c r="T962" s="1464"/>
      <c r="U962" s="1464"/>
      <c r="V962" s="1464"/>
      <c r="W962" s="1464"/>
      <c r="X962" s="1464"/>
      <c r="Y962" s="1464"/>
      <c r="Z962" s="1464"/>
      <c r="AA962" s="1464"/>
      <c r="AB962" s="1464"/>
    </row>
    <row r="963">
      <c r="A963" s="1464"/>
      <c r="B963" s="1464"/>
      <c r="C963" s="1464"/>
      <c r="D963" s="1464"/>
      <c r="E963" s="1464"/>
      <c r="F963" s="1464"/>
      <c r="G963" s="1464"/>
      <c r="H963" s="1464"/>
      <c r="I963" s="1464"/>
      <c r="J963" s="1464"/>
      <c r="K963" s="1464"/>
      <c r="L963" s="1464"/>
      <c r="M963" s="1464"/>
      <c r="N963" s="1464"/>
      <c r="O963" s="1464"/>
      <c r="P963" s="1464"/>
      <c r="Q963" s="1464"/>
      <c r="R963" s="1464"/>
      <c r="S963" s="1464"/>
      <c r="T963" s="1464"/>
      <c r="U963" s="1464"/>
      <c r="V963" s="1464"/>
      <c r="W963" s="1464"/>
      <c r="X963" s="1464"/>
      <c r="Y963" s="1464"/>
      <c r="Z963" s="1464"/>
      <c r="AA963" s="1464"/>
      <c r="AB963" s="1464"/>
    </row>
    <row r="964">
      <c r="A964" s="1464"/>
      <c r="B964" s="1464"/>
      <c r="C964" s="1464"/>
      <c r="D964" s="1464"/>
      <c r="E964" s="1464"/>
      <c r="F964" s="1464"/>
      <c r="G964" s="1464"/>
      <c r="H964" s="1464"/>
      <c r="I964" s="1464"/>
      <c r="J964" s="1464"/>
      <c r="K964" s="1464"/>
      <c r="L964" s="1464"/>
      <c r="M964" s="1464"/>
      <c r="N964" s="1464"/>
      <c r="O964" s="1464"/>
      <c r="P964" s="1464"/>
      <c r="Q964" s="1464"/>
      <c r="R964" s="1464"/>
      <c r="S964" s="1464"/>
      <c r="T964" s="1464"/>
      <c r="U964" s="1464"/>
      <c r="V964" s="1464"/>
      <c r="W964" s="1464"/>
      <c r="X964" s="1464"/>
      <c r="Y964" s="1464"/>
      <c r="Z964" s="1464"/>
      <c r="AA964" s="1464"/>
      <c r="AB964" s="1464"/>
    </row>
    <row r="965">
      <c r="A965" s="1464"/>
      <c r="B965" s="1464"/>
      <c r="C965" s="1464"/>
      <c r="D965" s="1464"/>
      <c r="E965" s="1464"/>
      <c r="F965" s="1464"/>
      <c r="G965" s="1464"/>
      <c r="H965" s="1464"/>
      <c r="I965" s="1464"/>
      <c r="J965" s="1464"/>
      <c r="K965" s="1464"/>
      <c r="L965" s="1464"/>
      <c r="M965" s="1464"/>
      <c r="N965" s="1464"/>
      <c r="O965" s="1464"/>
      <c r="P965" s="1464"/>
      <c r="Q965" s="1464"/>
      <c r="R965" s="1464"/>
      <c r="S965" s="1464"/>
      <c r="T965" s="1464"/>
      <c r="U965" s="1464"/>
      <c r="V965" s="1464"/>
      <c r="W965" s="1464"/>
      <c r="X965" s="1464"/>
      <c r="Y965" s="1464"/>
      <c r="Z965" s="1464"/>
      <c r="AA965" s="1464"/>
      <c r="AB965" s="1464"/>
    </row>
    <row r="966">
      <c r="A966" s="1464"/>
      <c r="B966" s="1464"/>
      <c r="C966" s="1464"/>
      <c r="D966" s="1464"/>
      <c r="E966" s="1464"/>
      <c r="F966" s="1464"/>
      <c r="G966" s="1464"/>
      <c r="H966" s="1464"/>
      <c r="I966" s="1464"/>
      <c r="J966" s="1464"/>
      <c r="K966" s="1464"/>
      <c r="L966" s="1464"/>
      <c r="M966" s="1464"/>
      <c r="N966" s="1464"/>
      <c r="O966" s="1464"/>
      <c r="P966" s="1464"/>
      <c r="Q966" s="1464"/>
      <c r="R966" s="1464"/>
      <c r="S966" s="1464"/>
      <c r="T966" s="1464"/>
      <c r="U966" s="1464"/>
      <c r="V966" s="1464"/>
      <c r="W966" s="1464"/>
      <c r="X966" s="1464"/>
      <c r="Y966" s="1464"/>
      <c r="Z966" s="1464"/>
      <c r="AA966" s="1464"/>
      <c r="AB966" s="1464"/>
    </row>
    <row r="967">
      <c r="A967" s="1464"/>
      <c r="B967" s="1464"/>
      <c r="C967" s="1464"/>
      <c r="D967" s="1464"/>
      <c r="E967" s="1464"/>
      <c r="F967" s="1464"/>
      <c r="G967" s="1464"/>
      <c r="H967" s="1464"/>
      <c r="I967" s="1464"/>
      <c r="J967" s="1464"/>
      <c r="K967" s="1464"/>
      <c r="L967" s="1464"/>
      <c r="M967" s="1464"/>
      <c r="N967" s="1464"/>
      <c r="O967" s="1464"/>
      <c r="P967" s="1464"/>
      <c r="Q967" s="1464"/>
      <c r="R967" s="1464"/>
      <c r="S967" s="1464"/>
      <c r="T967" s="1464"/>
      <c r="U967" s="1464"/>
      <c r="V967" s="1464"/>
      <c r="W967" s="1464"/>
      <c r="X967" s="1464"/>
      <c r="Y967" s="1464"/>
      <c r="Z967" s="1464"/>
      <c r="AA967" s="1464"/>
      <c r="AB967" s="1464"/>
    </row>
    <row r="968">
      <c r="A968" s="1464"/>
      <c r="B968" s="1464"/>
      <c r="C968" s="1464"/>
      <c r="D968" s="1464"/>
      <c r="E968" s="1464"/>
      <c r="F968" s="1464"/>
      <c r="G968" s="1464"/>
      <c r="H968" s="1464"/>
      <c r="I968" s="1464"/>
      <c r="J968" s="1464"/>
      <c r="K968" s="1464"/>
      <c r="L968" s="1464"/>
      <c r="M968" s="1464"/>
      <c r="N968" s="1464"/>
      <c r="O968" s="1464"/>
      <c r="P968" s="1464"/>
      <c r="Q968" s="1464"/>
      <c r="R968" s="1464"/>
      <c r="S968" s="1464"/>
      <c r="T968" s="1464"/>
      <c r="U968" s="1464"/>
      <c r="V968" s="1464"/>
      <c r="W968" s="1464"/>
      <c r="X968" s="1464"/>
      <c r="Y968" s="1464"/>
      <c r="Z968" s="1464"/>
      <c r="AA968" s="1464"/>
      <c r="AB968" s="1464"/>
    </row>
    <row r="969">
      <c r="A969" s="1464"/>
      <c r="B969" s="1464"/>
      <c r="C969" s="1464"/>
      <c r="D969" s="1464"/>
      <c r="E969" s="1464"/>
      <c r="F969" s="1464"/>
      <c r="G969" s="1464"/>
      <c r="H969" s="1464"/>
      <c r="I969" s="1464"/>
      <c r="J969" s="1464"/>
      <c r="K969" s="1464"/>
      <c r="L969" s="1464"/>
      <c r="M969" s="1464"/>
      <c r="N969" s="1464"/>
      <c r="O969" s="1464"/>
      <c r="P969" s="1464"/>
      <c r="Q969" s="1464"/>
      <c r="R969" s="1464"/>
      <c r="S969" s="1464"/>
      <c r="T969" s="1464"/>
      <c r="U969" s="1464"/>
      <c r="V969" s="1464"/>
      <c r="W969" s="1464"/>
      <c r="X969" s="1464"/>
      <c r="Y969" s="1464"/>
      <c r="Z969" s="1464"/>
      <c r="AA969" s="1464"/>
      <c r="AB969" s="1464"/>
    </row>
    <row r="970">
      <c r="A970" s="1464"/>
      <c r="B970" s="1464"/>
      <c r="C970" s="1464"/>
      <c r="D970" s="1464"/>
      <c r="E970" s="1464"/>
      <c r="F970" s="1464"/>
      <c r="G970" s="1464"/>
      <c r="H970" s="1464"/>
      <c r="I970" s="1464"/>
      <c r="J970" s="1464"/>
      <c r="K970" s="1464"/>
      <c r="L970" s="1464"/>
      <c r="M970" s="1464"/>
      <c r="N970" s="1464"/>
      <c r="O970" s="1464"/>
      <c r="P970" s="1464"/>
      <c r="Q970" s="1464"/>
      <c r="R970" s="1464"/>
      <c r="S970" s="1464"/>
      <c r="T970" s="1464"/>
      <c r="U970" s="1464"/>
      <c r="V970" s="1464"/>
      <c r="W970" s="1464"/>
      <c r="X970" s="1464"/>
      <c r="Y970" s="1464"/>
      <c r="Z970" s="1464"/>
      <c r="AA970" s="1464"/>
      <c r="AB970" s="1464"/>
    </row>
    <row r="971">
      <c r="A971" s="1464"/>
      <c r="B971" s="1464"/>
      <c r="C971" s="1464"/>
      <c r="D971" s="1464"/>
      <c r="E971" s="1464"/>
      <c r="F971" s="1464"/>
      <c r="G971" s="1464"/>
      <c r="H971" s="1464"/>
      <c r="I971" s="1464"/>
      <c r="J971" s="1464"/>
      <c r="K971" s="1464"/>
      <c r="L971" s="1464"/>
      <c r="M971" s="1464"/>
      <c r="N971" s="1464"/>
      <c r="O971" s="1464"/>
      <c r="P971" s="1464"/>
      <c r="Q971" s="1464"/>
      <c r="R971" s="1464"/>
      <c r="S971" s="1464"/>
      <c r="T971" s="1464"/>
      <c r="U971" s="1464"/>
      <c r="V971" s="1464"/>
      <c r="W971" s="1464"/>
      <c r="X971" s="1464"/>
      <c r="Y971" s="1464"/>
      <c r="Z971" s="1464"/>
      <c r="AA971" s="1464"/>
      <c r="AB971" s="1464"/>
    </row>
    <row r="972">
      <c r="A972" s="1464"/>
      <c r="B972" s="1464"/>
      <c r="C972" s="1464"/>
      <c r="D972" s="1464"/>
      <c r="E972" s="1464"/>
      <c r="F972" s="1464"/>
      <c r="G972" s="1464"/>
      <c r="H972" s="1464"/>
      <c r="I972" s="1464"/>
      <c r="J972" s="1464"/>
      <c r="K972" s="1464"/>
      <c r="L972" s="1464"/>
      <c r="M972" s="1464"/>
      <c r="N972" s="1464"/>
      <c r="O972" s="1464"/>
      <c r="P972" s="1464"/>
      <c r="Q972" s="1464"/>
      <c r="R972" s="1464"/>
      <c r="S972" s="1464"/>
      <c r="T972" s="1464"/>
      <c r="U972" s="1464"/>
      <c r="V972" s="1464"/>
      <c r="W972" s="1464"/>
      <c r="X972" s="1464"/>
      <c r="Y972" s="1464"/>
      <c r="Z972" s="1464"/>
      <c r="AA972" s="1464"/>
      <c r="AB972" s="1464"/>
    </row>
    <row r="973">
      <c r="A973" s="1464"/>
      <c r="B973" s="1464"/>
      <c r="C973" s="1464"/>
      <c r="D973" s="1464"/>
      <c r="E973" s="1464"/>
      <c r="F973" s="1464"/>
      <c r="G973" s="1464"/>
      <c r="H973" s="1464"/>
      <c r="I973" s="1464"/>
      <c r="J973" s="1464"/>
      <c r="K973" s="1464"/>
      <c r="L973" s="1464"/>
      <c r="M973" s="1464"/>
      <c r="N973" s="1464"/>
      <c r="O973" s="1464"/>
      <c r="P973" s="1464"/>
      <c r="Q973" s="1464"/>
      <c r="R973" s="1464"/>
      <c r="S973" s="1464"/>
      <c r="T973" s="1464"/>
      <c r="U973" s="1464"/>
      <c r="V973" s="1464"/>
      <c r="W973" s="1464"/>
      <c r="X973" s="1464"/>
      <c r="Y973" s="1464"/>
      <c r="Z973" s="1464"/>
      <c r="AA973" s="1464"/>
      <c r="AB973" s="1464"/>
    </row>
    <row r="974">
      <c r="A974" s="1464"/>
      <c r="B974" s="1464"/>
      <c r="C974" s="1464"/>
      <c r="D974" s="1464"/>
      <c r="E974" s="1464"/>
      <c r="F974" s="1464"/>
      <c r="G974" s="1464"/>
      <c r="H974" s="1464"/>
      <c r="I974" s="1464"/>
      <c r="J974" s="1464"/>
      <c r="K974" s="1464"/>
      <c r="L974" s="1464"/>
      <c r="M974" s="1464"/>
      <c r="N974" s="1464"/>
      <c r="O974" s="1464"/>
      <c r="P974" s="1464"/>
      <c r="Q974" s="1464"/>
      <c r="R974" s="1464"/>
      <c r="S974" s="1464"/>
      <c r="T974" s="1464"/>
      <c r="U974" s="1464"/>
      <c r="V974" s="1464"/>
      <c r="W974" s="1464"/>
      <c r="X974" s="1464"/>
      <c r="Y974" s="1464"/>
      <c r="Z974" s="1464"/>
      <c r="AA974" s="1464"/>
      <c r="AB974" s="1464"/>
    </row>
    <row r="975">
      <c r="A975" s="1464"/>
      <c r="B975" s="1464"/>
      <c r="C975" s="1464"/>
      <c r="D975" s="1464"/>
      <c r="E975" s="1464"/>
      <c r="F975" s="1464"/>
      <c r="G975" s="1464"/>
      <c r="H975" s="1464"/>
      <c r="I975" s="1464"/>
      <c r="J975" s="1464"/>
      <c r="K975" s="1464"/>
      <c r="L975" s="1464"/>
      <c r="M975" s="1464"/>
      <c r="N975" s="1464"/>
      <c r="O975" s="1464"/>
      <c r="P975" s="1464"/>
      <c r="Q975" s="1464"/>
      <c r="R975" s="1464"/>
      <c r="S975" s="1464"/>
      <c r="T975" s="1464"/>
      <c r="U975" s="1464"/>
      <c r="V975" s="1464"/>
      <c r="W975" s="1464"/>
      <c r="X975" s="1464"/>
      <c r="Y975" s="1464"/>
      <c r="Z975" s="1464"/>
      <c r="AA975" s="1464"/>
      <c r="AB975" s="1464"/>
    </row>
    <row r="976">
      <c r="A976" s="1464"/>
      <c r="B976" s="1464"/>
      <c r="C976" s="1464"/>
      <c r="D976" s="1464"/>
      <c r="E976" s="1464"/>
      <c r="F976" s="1464"/>
      <c r="G976" s="1464"/>
      <c r="H976" s="1464"/>
      <c r="I976" s="1464"/>
      <c r="J976" s="1464"/>
      <c r="K976" s="1464"/>
      <c r="L976" s="1464"/>
      <c r="M976" s="1464"/>
      <c r="N976" s="1464"/>
      <c r="O976" s="1464"/>
      <c r="P976" s="1464"/>
      <c r="Q976" s="1464"/>
      <c r="R976" s="1464"/>
      <c r="S976" s="1464"/>
      <c r="T976" s="1464"/>
      <c r="U976" s="1464"/>
      <c r="V976" s="1464"/>
      <c r="W976" s="1464"/>
      <c r="X976" s="1464"/>
      <c r="Y976" s="1464"/>
      <c r="Z976" s="1464"/>
      <c r="AA976" s="1464"/>
      <c r="AB976" s="1464"/>
    </row>
    <row r="977">
      <c r="A977" s="1464"/>
      <c r="B977" s="1464"/>
      <c r="C977" s="1464"/>
      <c r="D977" s="1464"/>
      <c r="E977" s="1464"/>
      <c r="F977" s="1464"/>
      <c r="G977" s="1464"/>
      <c r="H977" s="1464"/>
      <c r="I977" s="1464"/>
      <c r="J977" s="1464"/>
      <c r="K977" s="1464"/>
      <c r="L977" s="1464"/>
      <c r="M977" s="1464"/>
      <c r="N977" s="1464"/>
      <c r="O977" s="1464"/>
      <c r="P977" s="1464"/>
      <c r="Q977" s="1464"/>
      <c r="R977" s="1464"/>
      <c r="S977" s="1464"/>
      <c r="T977" s="1464"/>
      <c r="U977" s="1464"/>
      <c r="V977" s="1464"/>
      <c r="W977" s="1464"/>
      <c r="X977" s="1464"/>
      <c r="Y977" s="1464"/>
      <c r="Z977" s="1464"/>
      <c r="AA977" s="1464"/>
      <c r="AB977" s="1464"/>
    </row>
    <row r="978">
      <c r="A978" s="1464"/>
      <c r="B978" s="1464"/>
      <c r="C978" s="1464"/>
      <c r="D978" s="1464"/>
      <c r="E978" s="1464"/>
      <c r="F978" s="1464"/>
      <c r="G978" s="1464"/>
      <c r="H978" s="1464"/>
      <c r="I978" s="1464"/>
      <c r="J978" s="1464"/>
      <c r="K978" s="1464"/>
      <c r="L978" s="1464"/>
      <c r="M978" s="1464"/>
      <c r="N978" s="1464"/>
      <c r="O978" s="1464"/>
      <c r="P978" s="1464"/>
      <c r="Q978" s="1464"/>
      <c r="R978" s="1464"/>
      <c r="S978" s="1464"/>
      <c r="T978" s="1464"/>
      <c r="U978" s="1464"/>
      <c r="V978" s="1464"/>
      <c r="W978" s="1464"/>
      <c r="X978" s="1464"/>
      <c r="Y978" s="1464"/>
      <c r="Z978" s="1464"/>
      <c r="AA978" s="1464"/>
      <c r="AB978" s="1464"/>
    </row>
    <row r="979">
      <c r="A979" s="1464"/>
      <c r="B979" s="1464"/>
      <c r="C979" s="1464"/>
      <c r="D979" s="1464"/>
      <c r="E979" s="1464"/>
      <c r="F979" s="1464"/>
      <c r="G979" s="1464"/>
      <c r="H979" s="1464"/>
      <c r="I979" s="1464"/>
      <c r="J979" s="1464"/>
      <c r="K979" s="1464"/>
      <c r="L979" s="1464"/>
      <c r="M979" s="1464"/>
      <c r="N979" s="1464"/>
      <c r="O979" s="1464"/>
      <c r="P979" s="1464"/>
      <c r="Q979" s="1464"/>
      <c r="R979" s="1464"/>
      <c r="S979" s="1464"/>
      <c r="T979" s="1464"/>
      <c r="U979" s="1464"/>
      <c r="V979" s="1464"/>
      <c r="W979" s="1464"/>
      <c r="X979" s="1464"/>
      <c r="Y979" s="1464"/>
      <c r="Z979" s="1464"/>
      <c r="AA979" s="1464"/>
      <c r="AB979" s="1464"/>
    </row>
    <row r="980">
      <c r="A980" s="1464"/>
      <c r="B980" s="1464"/>
      <c r="C980" s="1464"/>
      <c r="D980" s="1464"/>
      <c r="E980" s="1464"/>
      <c r="F980" s="1464"/>
      <c r="G980" s="1464"/>
      <c r="H980" s="1464"/>
      <c r="I980" s="1464"/>
      <c r="J980" s="1464"/>
      <c r="K980" s="1464"/>
      <c r="L980" s="1464"/>
      <c r="M980" s="1464"/>
      <c r="N980" s="1464"/>
      <c r="O980" s="1464"/>
      <c r="P980" s="1464"/>
      <c r="Q980" s="1464"/>
      <c r="R980" s="1464"/>
      <c r="S980" s="1464"/>
      <c r="T980" s="1464"/>
      <c r="U980" s="1464"/>
      <c r="V980" s="1464"/>
      <c r="W980" s="1464"/>
      <c r="X980" s="1464"/>
      <c r="Y980" s="1464"/>
      <c r="Z980" s="1464"/>
      <c r="AA980" s="1464"/>
      <c r="AB980" s="1464"/>
    </row>
    <row r="981">
      <c r="A981" s="1464"/>
      <c r="B981" s="1464"/>
      <c r="C981" s="1464"/>
      <c r="D981" s="1464"/>
      <c r="E981" s="1464"/>
      <c r="F981" s="1464"/>
      <c r="G981" s="1464"/>
      <c r="H981" s="1464"/>
      <c r="I981" s="1464"/>
      <c r="J981" s="1464"/>
      <c r="K981" s="1464"/>
      <c r="L981" s="1464"/>
      <c r="M981" s="1464"/>
      <c r="N981" s="1464"/>
      <c r="O981" s="1464"/>
      <c r="P981" s="1464"/>
      <c r="Q981" s="1464"/>
      <c r="R981" s="1464"/>
      <c r="S981" s="1464"/>
      <c r="T981" s="1464"/>
      <c r="U981" s="1464"/>
      <c r="V981" s="1464"/>
      <c r="W981" s="1464"/>
      <c r="X981" s="1464"/>
      <c r="Y981" s="1464"/>
      <c r="Z981" s="1464"/>
      <c r="AA981" s="1464"/>
      <c r="AB981" s="1464"/>
    </row>
    <row r="982">
      <c r="A982" s="1464"/>
      <c r="B982" s="1464"/>
      <c r="C982" s="1464"/>
      <c r="D982" s="1464"/>
      <c r="E982" s="1464"/>
      <c r="F982" s="1464"/>
      <c r="G982" s="1464"/>
      <c r="H982" s="1464"/>
      <c r="I982" s="1464"/>
      <c r="J982" s="1464"/>
      <c r="K982" s="1464"/>
      <c r="L982" s="1464"/>
      <c r="M982" s="1464"/>
      <c r="N982" s="1464"/>
      <c r="O982" s="1464"/>
      <c r="P982" s="1464"/>
      <c r="Q982" s="1464"/>
      <c r="R982" s="1464"/>
      <c r="S982" s="1464"/>
      <c r="T982" s="1464"/>
      <c r="U982" s="1464"/>
      <c r="V982" s="1464"/>
      <c r="W982" s="1464"/>
      <c r="X982" s="1464"/>
      <c r="Y982" s="1464"/>
      <c r="Z982" s="1464"/>
      <c r="AA982" s="1464"/>
      <c r="AB982" s="1464"/>
    </row>
    <row r="983">
      <c r="A983" s="1464"/>
      <c r="B983" s="1464"/>
      <c r="C983" s="1464"/>
      <c r="D983" s="1464"/>
      <c r="E983" s="1464"/>
      <c r="F983" s="1464"/>
      <c r="G983" s="1464"/>
      <c r="H983" s="1464"/>
      <c r="I983" s="1464"/>
      <c r="J983" s="1464"/>
      <c r="K983" s="1464"/>
      <c r="L983" s="1464"/>
      <c r="M983" s="1464"/>
      <c r="N983" s="1464"/>
      <c r="O983" s="1464"/>
      <c r="P983" s="1464"/>
      <c r="Q983" s="1464"/>
      <c r="R983" s="1464"/>
      <c r="S983" s="1464"/>
      <c r="T983" s="1464"/>
      <c r="U983" s="1464"/>
      <c r="V983" s="1464"/>
      <c r="W983" s="1464"/>
      <c r="X983" s="1464"/>
      <c r="Y983" s="1464"/>
      <c r="Z983" s="1464"/>
      <c r="AA983" s="1464"/>
      <c r="AB983" s="1464"/>
    </row>
    <row r="984">
      <c r="A984" s="1464"/>
      <c r="B984" s="1464"/>
      <c r="C984" s="1464"/>
      <c r="D984" s="1464"/>
      <c r="E984" s="1464"/>
      <c r="F984" s="1464"/>
      <c r="G984" s="1464"/>
      <c r="H984" s="1464"/>
      <c r="I984" s="1464"/>
      <c r="J984" s="1464"/>
      <c r="K984" s="1464"/>
      <c r="L984" s="1464"/>
      <c r="M984" s="1464"/>
      <c r="N984" s="1464"/>
      <c r="O984" s="1464"/>
      <c r="P984" s="1464"/>
      <c r="Q984" s="1464"/>
      <c r="R984" s="1464"/>
      <c r="S984" s="1464"/>
      <c r="T984" s="1464"/>
      <c r="U984" s="1464"/>
      <c r="V984" s="1464"/>
      <c r="W984" s="1464"/>
      <c r="X984" s="1464"/>
      <c r="Y984" s="1464"/>
      <c r="Z984" s="1464"/>
      <c r="AA984" s="1464"/>
      <c r="AB984" s="1464"/>
    </row>
    <row r="985">
      <c r="A985" s="1464"/>
      <c r="B985" s="1464"/>
      <c r="C985" s="1464"/>
      <c r="D985" s="1464"/>
      <c r="E985" s="1464"/>
      <c r="F985" s="1464"/>
      <c r="G985" s="1464"/>
      <c r="H985" s="1464"/>
      <c r="I985" s="1464"/>
      <c r="J985" s="1464"/>
      <c r="K985" s="1464"/>
      <c r="L985" s="1464"/>
      <c r="M985" s="1464"/>
      <c r="N985" s="1464"/>
      <c r="O985" s="1464"/>
      <c r="P985" s="1464"/>
      <c r="Q985" s="1464"/>
      <c r="R985" s="1464"/>
      <c r="S985" s="1464"/>
      <c r="T985" s="1464"/>
      <c r="U985" s="1464"/>
      <c r="V985" s="1464"/>
      <c r="W985" s="1464"/>
      <c r="X985" s="1464"/>
      <c r="Y985" s="1464"/>
      <c r="Z985" s="1464"/>
      <c r="AA985" s="1464"/>
      <c r="AB985" s="1464"/>
    </row>
    <row r="986">
      <c r="A986" s="1464"/>
      <c r="B986" s="1464"/>
      <c r="C986" s="1464"/>
      <c r="D986" s="1464"/>
      <c r="E986" s="1464"/>
      <c r="F986" s="1464"/>
      <c r="G986" s="1464"/>
      <c r="H986" s="1464"/>
      <c r="I986" s="1464"/>
      <c r="J986" s="1464"/>
      <c r="K986" s="1464"/>
      <c r="L986" s="1464"/>
      <c r="M986" s="1464"/>
      <c r="N986" s="1464"/>
      <c r="O986" s="1464"/>
      <c r="P986" s="1464"/>
      <c r="Q986" s="1464"/>
      <c r="R986" s="1464"/>
      <c r="S986" s="1464"/>
      <c r="T986" s="1464"/>
      <c r="U986" s="1464"/>
      <c r="V986" s="1464"/>
      <c r="W986" s="1464"/>
      <c r="X986" s="1464"/>
      <c r="Y986" s="1464"/>
      <c r="Z986" s="1464"/>
      <c r="AA986" s="1464"/>
      <c r="AB986" s="1464"/>
    </row>
    <row r="987">
      <c r="A987" s="1464"/>
      <c r="B987" s="1464"/>
      <c r="C987" s="1464"/>
      <c r="D987" s="1464"/>
      <c r="E987" s="1464"/>
      <c r="F987" s="1464"/>
      <c r="G987" s="1464"/>
      <c r="H987" s="1464"/>
      <c r="I987" s="1464"/>
      <c r="J987" s="1464"/>
      <c r="K987" s="1464"/>
      <c r="L987" s="1464"/>
      <c r="M987" s="1464"/>
      <c r="N987" s="1464"/>
      <c r="O987" s="1464"/>
      <c r="P987" s="1464"/>
      <c r="Q987" s="1464"/>
      <c r="R987" s="1464"/>
      <c r="S987" s="1464"/>
      <c r="T987" s="1464"/>
      <c r="U987" s="1464"/>
      <c r="V987" s="1464"/>
      <c r="W987" s="1464"/>
      <c r="X987" s="1464"/>
      <c r="Y987" s="1464"/>
      <c r="Z987" s="1464"/>
      <c r="AA987" s="1464"/>
      <c r="AB987" s="1464"/>
    </row>
    <row r="988">
      <c r="A988" s="1464"/>
      <c r="B988" s="1464"/>
      <c r="C988" s="1464"/>
      <c r="D988" s="1464"/>
      <c r="E988" s="1464"/>
      <c r="F988" s="1464"/>
      <c r="G988" s="1464"/>
      <c r="H988" s="1464"/>
      <c r="I988" s="1464"/>
      <c r="J988" s="1464"/>
      <c r="K988" s="1464"/>
      <c r="L988" s="1464"/>
      <c r="M988" s="1464"/>
      <c r="N988" s="1464"/>
      <c r="O988" s="1464"/>
      <c r="P988" s="1464"/>
      <c r="Q988" s="1464"/>
      <c r="R988" s="1464"/>
      <c r="S988" s="1464"/>
      <c r="T988" s="1464"/>
      <c r="U988" s="1464"/>
      <c r="V988" s="1464"/>
      <c r="W988" s="1464"/>
      <c r="X988" s="1464"/>
      <c r="Y988" s="1464"/>
      <c r="Z988" s="1464"/>
      <c r="AA988" s="1464"/>
      <c r="AB988" s="1464"/>
    </row>
    <row r="989">
      <c r="A989" s="1464"/>
      <c r="B989" s="1464"/>
      <c r="C989" s="1464"/>
      <c r="D989" s="1464"/>
      <c r="E989" s="1464"/>
      <c r="F989" s="1464"/>
      <c r="G989" s="1464"/>
      <c r="H989" s="1464"/>
      <c r="I989" s="1464"/>
      <c r="J989" s="1464"/>
      <c r="K989" s="1464"/>
      <c r="L989" s="1464"/>
      <c r="M989" s="1464"/>
      <c r="N989" s="1464"/>
      <c r="O989" s="1464"/>
      <c r="P989" s="1464"/>
      <c r="Q989" s="1464"/>
      <c r="R989" s="1464"/>
      <c r="S989" s="1464"/>
      <c r="T989" s="1464"/>
      <c r="U989" s="1464"/>
      <c r="V989" s="1464"/>
      <c r="W989" s="1464"/>
      <c r="X989" s="1464"/>
      <c r="Y989" s="1464"/>
      <c r="Z989" s="1464"/>
      <c r="AA989" s="1464"/>
      <c r="AB989" s="1464"/>
    </row>
    <row r="990">
      <c r="A990" s="1464"/>
      <c r="B990" s="1464"/>
      <c r="C990" s="1464"/>
      <c r="D990" s="1464"/>
      <c r="E990" s="1464"/>
      <c r="F990" s="1464"/>
      <c r="G990" s="1464"/>
      <c r="H990" s="1464"/>
      <c r="I990" s="1464"/>
      <c r="J990" s="1464"/>
      <c r="K990" s="1464"/>
      <c r="L990" s="1464"/>
      <c r="M990" s="1464"/>
      <c r="N990" s="1464"/>
      <c r="O990" s="1464"/>
      <c r="P990" s="1464"/>
      <c r="Q990" s="1464"/>
      <c r="R990" s="1464"/>
      <c r="S990" s="1464"/>
      <c r="T990" s="1464"/>
      <c r="U990" s="1464"/>
      <c r="V990" s="1464"/>
      <c r="W990" s="1464"/>
      <c r="X990" s="1464"/>
      <c r="Y990" s="1464"/>
      <c r="Z990" s="1464"/>
      <c r="AA990" s="1464"/>
      <c r="AB990" s="1464"/>
    </row>
    <row r="991">
      <c r="A991" s="1464"/>
      <c r="B991" s="1464"/>
      <c r="C991" s="1464"/>
      <c r="D991" s="1464"/>
      <c r="E991" s="1464"/>
      <c r="F991" s="1464"/>
      <c r="G991" s="1464"/>
      <c r="H991" s="1464"/>
      <c r="I991" s="1464"/>
      <c r="J991" s="1464"/>
      <c r="K991" s="1464"/>
      <c r="L991" s="1464"/>
      <c r="M991" s="1464"/>
      <c r="N991" s="1464"/>
      <c r="O991" s="1464"/>
      <c r="P991" s="1464"/>
      <c r="Q991" s="1464"/>
      <c r="R991" s="1464"/>
      <c r="S991" s="1464"/>
      <c r="T991" s="1464"/>
      <c r="U991" s="1464"/>
      <c r="V991" s="1464"/>
      <c r="W991" s="1464"/>
      <c r="X991" s="1464"/>
      <c r="Y991" s="1464"/>
      <c r="Z991" s="1464"/>
      <c r="AA991" s="1464"/>
      <c r="AB991" s="1464"/>
    </row>
    <row r="992">
      <c r="A992" s="1464"/>
      <c r="B992" s="1464"/>
      <c r="C992" s="1464"/>
      <c r="D992" s="1464"/>
      <c r="E992" s="1464"/>
      <c r="F992" s="1464"/>
      <c r="G992" s="1464"/>
      <c r="H992" s="1464"/>
      <c r="I992" s="1464"/>
      <c r="J992" s="1464"/>
      <c r="K992" s="1464"/>
      <c r="L992" s="1464"/>
      <c r="M992" s="1464"/>
      <c r="N992" s="1464"/>
      <c r="O992" s="1464"/>
      <c r="P992" s="1464"/>
      <c r="Q992" s="1464"/>
      <c r="R992" s="1464"/>
      <c r="S992" s="1464"/>
      <c r="T992" s="1464"/>
      <c r="U992" s="1464"/>
      <c r="V992" s="1464"/>
      <c r="W992" s="1464"/>
      <c r="X992" s="1464"/>
      <c r="Y992" s="1464"/>
      <c r="Z992" s="1464"/>
      <c r="AA992" s="1464"/>
      <c r="AB992" s="1464"/>
    </row>
    <row r="993">
      <c r="A993" s="1464"/>
      <c r="B993" s="1464"/>
      <c r="C993" s="1464"/>
      <c r="D993" s="1464"/>
      <c r="E993" s="1464"/>
      <c r="F993" s="1464"/>
      <c r="G993" s="1464"/>
      <c r="H993" s="1464"/>
      <c r="I993" s="1464"/>
      <c r="J993" s="1464"/>
      <c r="K993" s="1464"/>
      <c r="L993" s="1464"/>
      <c r="M993" s="1464"/>
      <c r="N993" s="1464"/>
      <c r="O993" s="1464"/>
      <c r="P993" s="1464"/>
      <c r="Q993" s="1464"/>
      <c r="R993" s="1464"/>
      <c r="S993" s="1464"/>
      <c r="T993" s="1464"/>
      <c r="U993" s="1464"/>
      <c r="V993" s="1464"/>
      <c r="W993" s="1464"/>
      <c r="X993" s="1464"/>
      <c r="Y993" s="1464"/>
      <c r="Z993" s="1464"/>
      <c r="AA993" s="1464"/>
      <c r="AB993" s="1464"/>
    </row>
    <row r="994">
      <c r="A994" s="1464"/>
      <c r="B994" s="1464"/>
      <c r="C994" s="1464"/>
      <c r="D994" s="1464"/>
      <c r="E994" s="1464"/>
      <c r="F994" s="1464"/>
      <c r="G994" s="1464"/>
      <c r="H994" s="1464"/>
      <c r="I994" s="1464"/>
      <c r="J994" s="1464"/>
      <c r="K994" s="1464"/>
      <c r="L994" s="1464"/>
      <c r="M994" s="1464"/>
      <c r="N994" s="1464"/>
      <c r="O994" s="1464"/>
      <c r="P994" s="1464"/>
      <c r="Q994" s="1464"/>
      <c r="R994" s="1464"/>
      <c r="S994" s="1464"/>
      <c r="T994" s="1464"/>
      <c r="U994" s="1464"/>
      <c r="V994" s="1464"/>
      <c r="W994" s="1464"/>
      <c r="X994" s="1464"/>
      <c r="Y994" s="1464"/>
      <c r="Z994" s="1464"/>
      <c r="AA994" s="1464"/>
      <c r="AB994" s="1464"/>
    </row>
    <row r="995">
      <c r="A995" s="1464"/>
      <c r="B995" s="1464"/>
      <c r="C995" s="1464"/>
      <c r="D995" s="1464"/>
      <c r="E995" s="1464"/>
      <c r="F995" s="1464"/>
      <c r="G995" s="1464"/>
      <c r="H995" s="1464"/>
      <c r="I995" s="1464"/>
      <c r="J995" s="1464"/>
      <c r="K995" s="1464"/>
      <c r="L995" s="1464"/>
      <c r="M995" s="1464"/>
      <c r="N995" s="1464"/>
      <c r="O995" s="1464"/>
      <c r="P995" s="1464"/>
      <c r="Q995" s="1464"/>
      <c r="R995" s="1464"/>
      <c r="S995" s="1464"/>
      <c r="T995" s="1464"/>
      <c r="U995" s="1464"/>
      <c r="V995" s="1464"/>
      <c r="W995" s="1464"/>
      <c r="X995" s="1464"/>
      <c r="Y995" s="1464"/>
      <c r="Z995" s="1464"/>
      <c r="AA995" s="1464"/>
      <c r="AB995" s="1464"/>
    </row>
    <row r="996">
      <c r="A996" s="1464"/>
      <c r="B996" s="1464"/>
      <c r="C996" s="1464"/>
      <c r="D996" s="1464"/>
      <c r="E996" s="1464"/>
      <c r="F996" s="1464"/>
      <c r="G996" s="1464"/>
      <c r="H996" s="1464"/>
      <c r="I996" s="1464"/>
      <c r="J996" s="1464"/>
      <c r="K996" s="1464"/>
      <c r="L996" s="1464"/>
      <c r="M996" s="1464"/>
      <c r="N996" s="1464"/>
      <c r="O996" s="1464"/>
      <c r="P996" s="1464"/>
      <c r="Q996" s="1464"/>
      <c r="R996" s="1464"/>
      <c r="S996" s="1464"/>
      <c r="T996" s="1464"/>
      <c r="U996" s="1464"/>
      <c r="V996" s="1464"/>
      <c r="W996" s="1464"/>
      <c r="X996" s="1464"/>
      <c r="Y996" s="1464"/>
      <c r="Z996" s="1464"/>
      <c r="AA996" s="1464"/>
      <c r="AB996" s="1464"/>
    </row>
    <row r="997">
      <c r="A997" s="1464"/>
      <c r="B997" s="1464"/>
      <c r="C997" s="1464"/>
      <c r="D997" s="1464"/>
      <c r="E997" s="1464"/>
      <c r="F997" s="1464"/>
      <c r="G997" s="1464"/>
      <c r="H997" s="1464"/>
      <c r="I997" s="1464"/>
      <c r="J997" s="1464"/>
      <c r="K997" s="1464"/>
      <c r="L997" s="1464"/>
      <c r="M997" s="1464"/>
      <c r="N997" s="1464"/>
      <c r="O997" s="1464"/>
      <c r="P997" s="1464"/>
      <c r="Q997" s="1464"/>
      <c r="R997" s="1464"/>
      <c r="S997" s="1464"/>
      <c r="T997" s="1464"/>
      <c r="U997" s="1464"/>
      <c r="V997" s="1464"/>
      <c r="W997" s="1464"/>
      <c r="X997" s="1464"/>
      <c r="Y997" s="1464"/>
      <c r="Z997" s="1464"/>
      <c r="AA997" s="1464"/>
      <c r="AB997" s="1464"/>
    </row>
    <row r="998">
      <c r="A998" s="1464"/>
      <c r="B998" s="1464"/>
      <c r="C998" s="1464"/>
      <c r="D998" s="1464"/>
      <c r="E998" s="1464"/>
      <c r="F998" s="1464"/>
      <c r="G998" s="1464"/>
      <c r="H998" s="1464"/>
      <c r="I998" s="1464"/>
      <c r="J998" s="1464"/>
      <c r="K998" s="1464"/>
      <c r="L998" s="1464"/>
      <c r="M998" s="1464"/>
      <c r="N998" s="1464"/>
      <c r="O998" s="1464"/>
      <c r="P998" s="1464"/>
      <c r="Q998" s="1464"/>
      <c r="R998" s="1464"/>
      <c r="S998" s="1464"/>
      <c r="T998" s="1464"/>
      <c r="U998" s="1464"/>
      <c r="V998" s="1464"/>
      <c r="W998" s="1464"/>
      <c r="X998" s="1464"/>
      <c r="Y998" s="1464"/>
      <c r="Z998" s="1464"/>
      <c r="AA998" s="1464"/>
      <c r="AB998" s="1464"/>
    </row>
    <row r="999">
      <c r="A999" s="1464"/>
      <c r="B999" s="1464"/>
      <c r="C999" s="1464"/>
      <c r="D999" s="1464"/>
      <c r="E999" s="1464"/>
      <c r="F999" s="1464"/>
      <c r="G999" s="1464"/>
      <c r="H999" s="1464"/>
      <c r="I999" s="1464"/>
      <c r="J999" s="1464"/>
      <c r="K999" s="1464"/>
      <c r="L999" s="1464"/>
      <c r="M999" s="1464"/>
      <c r="N999" s="1464"/>
      <c r="O999" s="1464"/>
      <c r="P999" s="1464"/>
      <c r="Q999" s="1464"/>
      <c r="R999" s="1464"/>
      <c r="S999" s="1464"/>
      <c r="T999" s="1464"/>
      <c r="U999" s="1464"/>
      <c r="V999" s="1464"/>
      <c r="W999" s="1464"/>
      <c r="X999" s="1464"/>
      <c r="Y999" s="1464"/>
      <c r="Z999" s="1464"/>
      <c r="AA999" s="1464"/>
      <c r="AB999" s="1464"/>
    </row>
    <row r="1000">
      <c r="A1000" s="1464"/>
      <c r="B1000" s="1464"/>
      <c r="C1000" s="1464"/>
      <c r="D1000" s="1464"/>
      <c r="E1000" s="1464"/>
      <c r="F1000" s="1464"/>
      <c r="G1000" s="1464"/>
      <c r="H1000" s="1464"/>
      <c r="I1000" s="1464"/>
      <c r="J1000" s="1464"/>
      <c r="K1000" s="1464"/>
      <c r="L1000" s="1464"/>
      <c r="M1000" s="1464"/>
      <c r="N1000" s="1464"/>
      <c r="O1000" s="1464"/>
      <c r="P1000" s="1464"/>
      <c r="Q1000" s="1464"/>
      <c r="R1000" s="1464"/>
      <c r="S1000" s="1464"/>
      <c r="T1000" s="1464"/>
      <c r="U1000" s="1464"/>
      <c r="V1000" s="1464"/>
      <c r="W1000" s="1464"/>
      <c r="X1000" s="1464"/>
      <c r="Y1000" s="1464"/>
      <c r="Z1000" s="1464"/>
      <c r="AA1000" s="1464"/>
      <c r="AB1000" s="1464"/>
    </row>
    <row r="1001">
      <c r="A1001" s="1464"/>
      <c r="B1001" s="1464"/>
      <c r="C1001" s="1464"/>
      <c r="D1001" s="1464"/>
      <c r="E1001" s="1464"/>
      <c r="F1001" s="1464"/>
      <c r="G1001" s="1464"/>
      <c r="H1001" s="1464"/>
      <c r="I1001" s="1464"/>
      <c r="J1001" s="1464"/>
      <c r="K1001" s="1464"/>
      <c r="L1001" s="1464"/>
      <c r="M1001" s="1464"/>
      <c r="N1001" s="1464"/>
      <c r="O1001" s="1464"/>
      <c r="P1001" s="1464"/>
      <c r="Q1001" s="1464"/>
      <c r="R1001" s="1464"/>
      <c r="S1001" s="1464"/>
      <c r="T1001" s="1464"/>
      <c r="U1001" s="1464"/>
      <c r="V1001" s="1464"/>
      <c r="W1001" s="1464"/>
      <c r="X1001" s="1464"/>
      <c r="Y1001" s="1464"/>
      <c r="Z1001" s="1464"/>
      <c r="AA1001" s="1464"/>
      <c r="AB1001" s="1464"/>
    </row>
    <row r="1002">
      <c r="A1002" s="1464"/>
      <c r="B1002" s="1464"/>
      <c r="C1002" s="1464"/>
      <c r="D1002" s="1464"/>
      <c r="E1002" s="1464"/>
      <c r="F1002" s="1464"/>
      <c r="G1002" s="1464"/>
      <c r="H1002" s="1464"/>
      <c r="I1002" s="1464"/>
      <c r="J1002" s="1464"/>
      <c r="K1002" s="1464"/>
      <c r="L1002" s="1464"/>
      <c r="M1002" s="1464"/>
      <c r="N1002" s="1464"/>
      <c r="O1002" s="1464"/>
      <c r="P1002" s="1464"/>
      <c r="Q1002" s="1464"/>
      <c r="R1002" s="1464"/>
      <c r="S1002" s="1464"/>
      <c r="T1002" s="1464"/>
      <c r="U1002" s="1464"/>
      <c r="V1002" s="1464"/>
      <c r="W1002" s="1464"/>
      <c r="X1002" s="1464"/>
      <c r="Y1002" s="1464"/>
      <c r="Z1002" s="1464"/>
      <c r="AA1002" s="1464"/>
      <c r="AB1002" s="1464"/>
    </row>
    <row r="1003">
      <c r="A1003" s="1464"/>
      <c r="B1003" s="1464"/>
      <c r="C1003" s="1464"/>
      <c r="D1003" s="1464"/>
      <c r="E1003" s="1464"/>
      <c r="F1003" s="1464"/>
      <c r="G1003" s="1464"/>
      <c r="H1003" s="1464"/>
      <c r="I1003" s="1464"/>
      <c r="J1003" s="1464"/>
      <c r="K1003" s="1464"/>
      <c r="L1003" s="1464"/>
      <c r="M1003" s="1464"/>
      <c r="N1003" s="1464"/>
      <c r="O1003" s="1464"/>
      <c r="P1003" s="1464"/>
      <c r="Q1003" s="1464"/>
      <c r="R1003" s="1464"/>
      <c r="S1003" s="1464"/>
      <c r="T1003" s="1464"/>
      <c r="U1003" s="1464"/>
      <c r="V1003" s="1464"/>
      <c r="W1003" s="1464"/>
      <c r="X1003" s="1464"/>
      <c r="Y1003" s="1464"/>
      <c r="Z1003" s="1464"/>
      <c r="AA1003" s="1464"/>
      <c r="AB1003" s="1464"/>
    </row>
    <row r="1004">
      <c r="A1004" s="1464"/>
      <c r="B1004" s="1464"/>
      <c r="C1004" s="1464"/>
      <c r="D1004" s="1464"/>
      <c r="E1004" s="1464"/>
      <c r="F1004" s="1464"/>
      <c r="G1004" s="1464"/>
      <c r="H1004" s="1464"/>
      <c r="I1004" s="1464"/>
      <c r="J1004" s="1464"/>
      <c r="K1004" s="1464"/>
      <c r="L1004" s="1464"/>
      <c r="M1004" s="1464"/>
      <c r="N1004" s="1464"/>
      <c r="O1004" s="1464"/>
      <c r="P1004" s="1464"/>
      <c r="Q1004" s="1464"/>
      <c r="R1004" s="1464"/>
      <c r="S1004" s="1464"/>
      <c r="T1004" s="1464"/>
      <c r="U1004" s="1464"/>
      <c r="V1004" s="1464"/>
      <c r="W1004" s="1464"/>
      <c r="X1004" s="1464"/>
      <c r="Y1004" s="1464"/>
      <c r="Z1004" s="1464"/>
      <c r="AA1004" s="1464"/>
      <c r="AB1004" s="1464"/>
    </row>
    <row r="1005">
      <c r="A1005" s="1464"/>
      <c r="B1005" s="1464"/>
      <c r="C1005" s="1464"/>
      <c r="D1005" s="1464"/>
      <c r="E1005" s="1464"/>
      <c r="F1005" s="1464"/>
      <c r="G1005" s="1464"/>
      <c r="H1005" s="1464"/>
      <c r="I1005" s="1464"/>
      <c r="J1005" s="1464"/>
      <c r="K1005" s="1464"/>
      <c r="L1005" s="1464"/>
      <c r="M1005" s="1464"/>
      <c r="N1005" s="1464"/>
      <c r="O1005" s="1464"/>
      <c r="P1005" s="1464"/>
      <c r="Q1005" s="1464"/>
      <c r="R1005" s="1464"/>
      <c r="S1005" s="1464"/>
      <c r="T1005" s="1464"/>
      <c r="U1005" s="1464"/>
      <c r="V1005" s="1464"/>
      <c r="W1005" s="1464"/>
      <c r="X1005" s="1464"/>
      <c r="Y1005" s="1464"/>
      <c r="Z1005" s="1464"/>
      <c r="AA1005" s="1464"/>
      <c r="AB1005" s="1464"/>
    </row>
    <row r="1006">
      <c r="A1006" s="1464"/>
      <c r="B1006" s="1464"/>
      <c r="C1006" s="1464"/>
      <c r="D1006" s="1464"/>
      <c r="E1006" s="1464"/>
      <c r="F1006" s="1464"/>
      <c r="G1006" s="1464"/>
      <c r="H1006" s="1464"/>
      <c r="I1006" s="1464"/>
      <c r="J1006" s="1464"/>
      <c r="K1006" s="1464"/>
      <c r="L1006" s="1464"/>
      <c r="M1006" s="1464"/>
      <c r="N1006" s="1464"/>
      <c r="O1006" s="1464"/>
      <c r="P1006" s="1464"/>
      <c r="Q1006" s="1464"/>
      <c r="R1006" s="1464"/>
      <c r="S1006" s="1464"/>
      <c r="T1006" s="1464"/>
      <c r="U1006" s="1464"/>
      <c r="V1006" s="1464"/>
      <c r="W1006" s="1464"/>
      <c r="X1006" s="1464"/>
      <c r="Y1006" s="1464"/>
      <c r="Z1006" s="1464"/>
      <c r="AA1006" s="1464"/>
      <c r="AB1006" s="1464"/>
    </row>
    <row r="1007">
      <c r="A1007" s="1464"/>
      <c r="B1007" s="1464"/>
      <c r="C1007" s="1464"/>
      <c r="D1007" s="1464"/>
      <c r="E1007" s="1464"/>
      <c r="F1007" s="1464"/>
      <c r="G1007" s="1464"/>
      <c r="H1007" s="1464"/>
      <c r="I1007" s="1464"/>
      <c r="J1007" s="1464"/>
      <c r="K1007" s="1464"/>
      <c r="L1007" s="1464"/>
      <c r="M1007" s="1464"/>
      <c r="N1007" s="1464"/>
      <c r="O1007" s="1464"/>
      <c r="P1007" s="1464"/>
      <c r="Q1007" s="1464"/>
      <c r="R1007" s="1464"/>
      <c r="S1007" s="1464"/>
      <c r="T1007" s="1464"/>
      <c r="U1007" s="1464"/>
      <c r="V1007" s="1464"/>
      <c r="W1007" s="1464"/>
      <c r="X1007" s="1464"/>
      <c r="Y1007" s="1464"/>
      <c r="Z1007" s="1464"/>
      <c r="AA1007" s="1464"/>
      <c r="AB1007" s="1464"/>
    </row>
    <row r="1008">
      <c r="A1008" s="1464"/>
      <c r="B1008" s="1464"/>
      <c r="C1008" s="1464"/>
      <c r="D1008" s="1464"/>
      <c r="E1008" s="1464"/>
      <c r="F1008" s="1464"/>
      <c r="G1008" s="1464"/>
      <c r="H1008" s="1464"/>
      <c r="I1008" s="1464"/>
      <c r="J1008" s="1464"/>
      <c r="K1008" s="1464"/>
      <c r="L1008" s="1464"/>
      <c r="M1008" s="1464"/>
      <c r="N1008" s="1464"/>
      <c r="O1008" s="1464"/>
      <c r="P1008" s="1464"/>
      <c r="Q1008" s="1464"/>
      <c r="R1008" s="1464"/>
      <c r="S1008" s="1464"/>
      <c r="T1008" s="1464"/>
      <c r="U1008" s="1464"/>
      <c r="V1008" s="1464"/>
      <c r="W1008" s="1464"/>
      <c r="X1008" s="1464"/>
      <c r="Y1008" s="1464"/>
      <c r="Z1008" s="1464"/>
      <c r="AA1008" s="1464"/>
      <c r="AB1008" s="1464"/>
    </row>
    <row r="1009">
      <c r="A1009" s="1464"/>
      <c r="B1009" s="1464"/>
      <c r="C1009" s="1464"/>
      <c r="D1009" s="1464"/>
      <c r="E1009" s="1464"/>
      <c r="F1009" s="1464"/>
      <c r="G1009" s="1464"/>
      <c r="H1009" s="1464"/>
      <c r="I1009" s="1464"/>
      <c r="J1009" s="1464"/>
      <c r="K1009" s="1464"/>
      <c r="L1009" s="1464"/>
      <c r="M1009" s="1464"/>
      <c r="N1009" s="1464"/>
      <c r="O1009" s="1464"/>
      <c r="P1009" s="1464"/>
      <c r="Q1009" s="1464"/>
      <c r="R1009" s="1464"/>
      <c r="S1009" s="1464"/>
      <c r="T1009" s="1464"/>
      <c r="U1009" s="1464"/>
      <c r="V1009" s="1464"/>
      <c r="W1009" s="1464"/>
      <c r="X1009" s="1464"/>
      <c r="Y1009" s="1464"/>
      <c r="Z1009" s="1464"/>
      <c r="AA1009" s="1464"/>
      <c r="AB1009" s="1464"/>
    </row>
    <row r="1010">
      <c r="A1010" s="1464"/>
      <c r="B1010" s="1464"/>
      <c r="C1010" s="1464"/>
      <c r="D1010" s="1464"/>
      <c r="E1010" s="1464"/>
      <c r="F1010" s="1464"/>
      <c r="G1010" s="1464"/>
      <c r="H1010" s="1464"/>
      <c r="I1010" s="1464"/>
      <c r="J1010" s="1464"/>
      <c r="K1010" s="1464"/>
      <c r="L1010" s="1464"/>
      <c r="M1010" s="1464"/>
      <c r="N1010" s="1464"/>
      <c r="O1010" s="1464"/>
      <c r="P1010" s="1464"/>
      <c r="Q1010" s="1464"/>
      <c r="R1010" s="1464"/>
      <c r="S1010" s="1464"/>
      <c r="T1010" s="1464"/>
      <c r="U1010" s="1464"/>
      <c r="V1010" s="1464"/>
      <c r="W1010" s="1464"/>
      <c r="X1010" s="1464"/>
      <c r="Y1010" s="1464"/>
      <c r="Z1010" s="1464"/>
      <c r="AA1010" s="1464"/>
      <c r="AB1010" s="1464"/>
    </row>
    <row r="1011">
      <c r="A1011" s="1464"/>
      <c r="B1011" s="1464"/>
      <c r="C1011" s="1464"/>
      <c r="D1011" s="1464"/>
      <c r="E1011" s="1464"/>
      <c r="F1011" s="1464"/>
      <c r="G1011" s="1464"/>
      <c r="H1011" s="1464"/>
      <c r="I1011" s="1464"/>
      <c r="J1011" s="1464"/>
      <c r="K1011" s="1464"/>
      <c r="L1011" s="1464"/>
      <c r="M1011" s="1464"/>
      <c r="N1011" s="1464"/>
      <c r="O1011" s="1464"/>
      <c r="P1011" s="1464"/>
      <c r="Q1011" s="1464"/>
      <c r="R1011" s="1464"/>
      <c r="S1011" s="1464"/>
      <c r="T1011" s="1464"/>
      <c r="U1011" s="1464"/>
      <c r="V1011" s="1464"/>
      <c r="W1011" s="1464"/>
      <c r="X1011" s="1464"/>
      <c r="Y1011" s="1464"/>
      <c r="Z1011" s="1464"/>
      <c r="AA1011" s="1464"/>
      <c r="AB1011" s="1464"/>
    </row>
    <row r="1012">
      <c r="A1012" s="1464"/>
      <c r="B1012" s="1464"/>
      <c r="C1012" s="1464"/>
      <c r="D1012" s="1464"/>
      <c r="E1012" s="1464"/>
      <c r="F1012" s="1464"/>
      <c r="G1012" s="1464"/>
      <c r="H1012" s="1464"/>
      <c r="I1012" s="1464"/>
      <c r="J1012" s="1464"/>
      <c r="K1012" s="1464"/>
      <c r="L1012" s="1464"/>
      <c r="M1012" s="1464"/>
      <c r="N1012" s="1464"/>
      <c r="O1012" s="1464"/>
      <c r="P1012" s="1464"/>
      <c r="Q1012" s="1464"/>
      <c r="R1012" s="1464"/>
      <c r="S1012" s="1464"/>
      <c r="T1012" s="1464"/>
      <c r="U1012" s="1464"/>
      <c r="V1012" s="1464"/>
      <c r="W1012" s="1464"/>
      <c r="X1012" s="1464"/>
      <c r="Y1012" s="1464"/>
      <c r="Z1012" s="1464"/>
      <c r="AA1012" s="1464"/>
      <c r="AB1012" s="1464"/>
    </row>
    <row r="1013">
      <c r="A1013" s="1464"/>
      <c r="B1013" s="1464"/>
      <c r="C1013" s="1464"/>
      <c r="D1013" s="1464"/>
      <c r="E1013" s="1464"/>
      <c r="F1013" s="1464"/>
      <c r="G1013" s="1464"/>
      <c r="H1013" s="1464"/>
      <c r="I1013" s="1464"/>
      <c r="J1013" s="1464"/>
      <c r="K1013" s="1464"/>
      <c r="L1013" s="1464"/>
      <c r="M1013" s="1464"/>
      <c r="N1013" s="1464"/>
      <c r="O1013" s="1464"/>
      <c r="P1013" s="1464"/>
      <c r="Q1013" s="1464"/>
      <c r="R1013" s="1464"/>
      <c r="S1013" s="1464"/>
      <c r="T1013" s="1464"/>
      <c r="U1013" s="1464"/>
      <c r="V1013" s="1464"/>
      <c r="W1013" s="1464"/>
      <c r="X1013" s="1464"/>
      <c r="Y1013" s="1464"/>
      <c r="Z1013" s="1464"/>
      <c r="AA1013" s="1464"/>
      <c r="AB1013" s="1464"/>
    </row>
    <row r="1014">
      <c r="A1014" s="1464"/>
      <c r="B1014" s="1464"/>
      <c r="C1014" s="1464"/>
      <c r="D1014" s="1464"/>
      <c r="E1014" s="1464"/>
      <c r="F1014" s="1464"/>
      <c r="G1014" s="1464"/>
      <c r="H1014" s="1464"/>
      <c r="I1014" s="1464"/>
      <c r="J1014" s="1464"/>
      <c r="K1014" s="1464"/>
      <c r="L1014" s="1464"/>
      <c r="M1014" s="1464"/>
      <c r="N1014" s="1464"/>
      <c r="O1014" s="1464"/>
      <c r="P1014" s="1464"/>
      <c r="Q1014" s="1464"/>
      <c r="R1014" s="1464"/>
      <c r="S1014" s="1464"/>
      <c r="T1014" s="1464"/>
      <c r="U1014" s="1464"/>
      <c r="V1014" s="1464"/>
      <c r="W1014" s="1464"/>
      <c r="X1014" s="1464"/>
      <c r="Y1014" s="1464"/>
      <c r="Z1014" s="1464"/>
      <c r="AA1014" s="1464"/>
      <c r="AB1014" s="1464"/>
    </row>
    <row r="1015">
      <c r="A1015" s="1464"/>
      <c r="B1015" s="1464"/>
      <c r="C1015" s="1464"/>
      <c r="D1015" s="1464"/>
      <c r="E1015" s="1464"/>
      <c r="F1015" s="1464"/>
      <c r="G1015" s="1464"/>
      <c r="H1015" s="1464"/>
      <c r="I1015" s="1464"/>
      <c r="J1015" s="1464"/>
      <c r="K1015" s="1464"/>
      <c r="L1015" s="1464"/>
      <c r="M1015" s="1464"/>
      <c r="N1015" s="1464"/>
      <c r="O1015" s="1464"/>
      <c r="P1015" s="1464"/>
      <c r="Q1015" s="1464"/>
      <c r="R1015" s="1464"/>
      <c r="S1015" s="1464"/>
      <c r="T1015" s="1464"/>
      <c r="U1015" s="1464"/>
      <c r="V1015" s="1464"/>
      <c r="W1015" s="1464"/>
      <c r="X1015" s="1464"/>
      <c r="Y1015" s="1464"/>
      <c r="Z1015" s="1464"/>
      <c r="AA1015" s="1464"/>
      <c r="AB1015" s="1464"/>
    </row>
    <row r="1016">
      <c r="A1016" s="1464"/>
      <c r="B1016" s="1464"/>
      <c r="C1016" s="1464"/>
      <c r="D1016" s="1464"/>
      <c r="E1016" s="1464"/>
      <c r="F1016" s="1464"/>
      <c r="G1016" s="1464"/>
      <c r="H1016" s="1464"/>
      <c r="I1016" s="1464"/>
      <c r="J1016" s="1464"/>
      <c r="K1016" s="1464"/>
      <c r="L1016" s="1464"/>
      <c r="M1016" s="1464"/>
      <c r="N1016" s="1464"/>
      <c r="O1016" s="1464"/>
      <c r="P1016" s="1464"/>
      <c r="Q1016" s="1464"/>
      <c r="R1016" s="1464"/>
      <c r="S1016" s="1464"/>
      <c r="T1016" s="1464"/>
      <c r="U1016" s="1464"/>
      <c r="V1016" s="1464"/>
      <c r="W1016" s="1464"/>
      <c r="X1016" s="1464"/>
      <c r="Y1016" s="1464"/>
      <c r="Z1016" s="1464"/>
      <c r="AA1016" s="1464"/>
      <c r="AB1016" s="1464"/>
    </row>
    <row r="1017">
      <c r="A1017" s="1464"/>
      <c r="B1017" s="1464"/>
      <c r="C1017" s="1464"/>
      <c r="D1017" s="1464"/>
      <c r="E1017" s="1464"/>
      <c r="F1017" s="1464"/>
      <c r="G1017" s="1464"/>
      <c r="H1017" s="1464"/>
      <c r="I1017" s="1464"/>
      <c r="J1017" s="1464"/>
      <c r="K1017" s="1464"/>
      <c r="L1017" s="1464"/>
      <c r="M1017" s="1464"/>
      <c r="N1017" s="1464"/>
      <c r="O1017" s="1464"/>
      <c r="P1017" s="1464"/>
      <c r="Q1017" s="1464"/>
      <c r="R1017" s="1464"/>
      <c r="S1017" s="1464"/>
      <c r="T1017" s="1464"/>
      <c r="U1017" s="1464"/>
      <c r="V1017" s="1464"/>
      <c r="W1017" s="1464"/>
      <c r="X1017" s="1464"/>
      <c r="Y1017" s="1464"/>
      <c r="Z1017" s="1464"/>
      <c r="AA1017" s="1464"/>
      <c r="AB1017" s="1464"/>
    </row>
  </sheetData>
  <mergeCells count="3">
    <mergeCell ref="A1:E1"/>
    <mergeCell ref="J1:O1"/>
    <mergeCell ref="A98:E9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2">
      <c r="A2" s="1577" t="s">
        <v>5213</v>
      </c>
      <c r="B2" s="1577" t="s">
        <v>5214</v>
      </c>
      <c r="C2" s="1577" t="s">
        <v>5215</v>
      </c>
    </row>
    <row r="3">
      <c r="A3" s="1248" t="s">
        <v>96</v>
      </c>
      <c r="B3" s="1248" t="s">
        <v>5216</v>
      </c>
      <c r="C3" s="1578"/>
    </row>
    <row r="4">
      <c r="A4" s="1248" t="s">
        <v>2996</v>
      </c>
      <c r="B4" s="1248" t="s">
        <v>2997</v>
      </c>
      <c r="C4" s="1578"/>
    </row>
    <row r="5">
      <c r="A5" s="606"/>
      <c r="B5" s="606"/>
      <c r="C5" s="1578"/>
    </row>
    <row r="6">
      <c r="A6" s="606"/>
      <c r="B6" s="606"/>
      <c r="C6" s="1578"/>
    </row>
    <row r="7">
      <c r="A7" s="606"/>
      <c r="B7" s="606"/>
      <c r="C7" s="1578"/>
    </row>
    <row r="8">
      <c r="A8" s="606"/>
      <c r="B8" s="606"/>
      <c r="C8" s="1578"/>
    </row>
    <row r="9">
      <c r="A9" s="606" t="s">
        <v>218</v>
      </c>
      <c r="B9" s="606" t="s">
        <v>5217</v>
      </c>
      <c r="C9" s="1578">
        <v>44409.0</v>
      </c>
    </row>
    <row r="10">
      <c r="A10" s="606" t="s">
        <v>466</v>
      </c>
      <c r="B10" s="606" t="s">
        <v>5218</v>
      </c>
      <c r="C10" s="1578">
        <v>44378.0</v>
      </c>
    </row>
    <row r="12">
      <c r="A12" s="606" t="s">
        <v>3541</v>
      </c>
      <c r="B12" s="606" t="s">
        <v>5219</v>
      </c>
    </row>
    <row r="13">
      <c r="A13" s="1362" t="s">
        <v>550</v>
      </c>
      <c r="B13" s="606" t="s">
        <v>5220</v>
      </c>
    </row>
    <row r="14">
      <c r="A14" s="23" t="s">
        <v>5221</v>
      </c>
      <c r="B14" s="606" t="s">
        <v>5222</v>
      </c>
    </row>
    <row r="15">
      <c r="A15" s="606" t="s">
        <v>5223</v>
      </c>
      <c r="B15" s="606" t="s">
        <v>5224</v>
      </c>
    </row>
    <row r="16" ht="15.0" customHeight="1">
      <c r="A16" s="7" t="s">
        <v>528</v>
      </c>
      <c r="B16" s="606" t="s">
        <v>5225</v>
      </c>
      <c r="D16" s="1578">
        <v>44652.0</v>
      </c>
    </row>
    <row r="17">
      <c r="A17" s="606" t="s">
        <v>5226</v>
      </c>
      <c r="B17" s="606" t="s">
        <v>5227</v>
      </c>
      <c r="C17" s="1578">
        <v>44409.0</v>
      </c>
      <c r="D17" s="1578">
        <v>44593.0</v>
      </c>
    </row>
    <row r="18">
      <c r="A18" s="606" t="s">
        <v>5228</v>
      </c>
      <c r="B18" s="606" t="s">
        <v>87</v>
      </c>
      <c r="C18" s="1578">
        <v>44409.0</v>
      </c>
    </row>
    <row r="19">
      <c r="A19" s="606" t="s">
        <v>4776</v>
      </c>
      <c r="B19" s="606" t="s">
        <v>5229</v>
      </c>
      <c r="C19" s="1578">
        <v>44409.0</v>
      </c>
    </row>
    <row r="20">
      <c r="A20" s="606" t="s">
        <v>5230</v>
      </c>
      <c r="B20" s="606" t="s">
        <v>5231</v>
      </c>
      <c r="C20" s="1579">
        <v>44440.0</v>
      </c>
    </row>
    <row r="21">
      <c r="A21" s="606" t="s">
        <v>503</v>
      </c>
      <c r="B21" s="606" t="s">
        <v>5232</v>
      </c>
      <c r="C21" s="1578">
        <v>44409.0</v>
      </c>
    </row>
    <row r="22">
      <c r="A22" s="606" t="s">
        <v>3598</v>
      </c>
      <c r="B22" s="606" t="s">
        <v>5233</v>
      </c>
      <c r="C22" s="1578">
        <v>44409.0</v>
      </c>
    </row>
    <row r="23">
      <c r="A23" s="606" t="s">
        <v>217</v>
      </c>
      <c r="B23" s="23" t="s">
        <v>5234</v>
      </c>
      <c r="C23" s="1578">
        <v>44409.0</v>
      </c>
      <c r="G23" s="606" t="s">
        <v>5235</v>
      </c>
    </row>
    <row r="24">
      <c r="A24" s="606" t="s">
        <v>3614</v>
      </c>
      <c r="B24" s="606" t="s">
        <v>5236</v>
      </c>
      <c r="C24" s="1578">
        <v>44409.0</v>
      </c>
    </row>
    <row r="25">
      <c r="A25" s="606" t="s">
        <v>5237</v>
      </c>
      <c r="B25" s="606" t="s">
        <v>5238</v>
      </c>
      <c r="C25" s="1578">
        <v>44409.0</v>
      </c>
    </row>
    <row r="26">
      <c r="A26" s="606" t="s">
        <v>5239</v>
      </c>
      <c r="B26" s="606" t="s">
        <v>5240</v>
      </c>
      <c r="C26" s="1578">
        <v>44409.0</v>
      </c>
    </row>
    <row r="27">
      <c r="A27" s="606" t="s">
        <v>5241</v>
      </c>
      <c r="B27" s="606" t="s">
        <v>5242</v>
      </c>
      <c r="C27" s="1578">
        <v>44409.0</v>
      </c>
    </row>
    <row r="28">
      <c r="A28" s="606" t="s">
        <v>499</v>
      </c>
      <c r="B28" s="606" t="s">
        <v>5243</v>
      </c>
      <c r="C28" s="1578">
        <v>44440.0</v>
      </c>
    </row>
    <row r="29">
      <c r="A29" s="606" t="s">
        <v>5244</v>
      </c>
      <c r="B29" s="606" t="s">
        <v>281</v>
      </c>
      <c r="C29" s="1578">
        <v>44501.0</v>
      </c>
    </row>
    <row r="30">
      <c r="A30" s="606" t="s">
        <v>5245</v>
      </c>
      <c r="B30" s="606" t="s">
        <v>3559</v>
      </c>
      <c r="C30" s="1580">
        <v>44501.0</v>
      </c>
    </row>
    <row r="31">
      <c r="A31" s="606" t="s">
        <v>5246</v>
      </c>
      <c r="B31" s="606" t="s">
        <v>5247</v>
      </c>
      <c r="C31" s="1578">
        <v>44531.0</v>
      </c>
    </row>
    <row r="32">
      <c r="A32" s="606" t="s">
        <v>3562</v>
      </c>
      <c r="B32" s="606" t="s">
        <v>5221</v>
      </c>
      <c r="C32" s="1578">
        <v>44531.0</v>
      </c>
    </row>
    <row r="33">
      <c r="A33" s="606" t="s">
        <v>3578</v>
      </c>
      <c r="B33" s="606" t="s">
        <v>5248</v>
      </c>
      <c r="C33" s="1578">
        <v>44531.0</v>
      </c>
    </row>
    <row r="34">
      <c r="A34" s="606" t="s">
        <v>268</v>
      </c>
      <c r="B34" s="606" t="s">
        <v>5249</v>
      </c>
      <c r="C34" s="1578">
        <v>44621.0</v>
      </c>
    </row>
    <row r="35">
      <c r="A35" s="606" t="s">
        <v>348</v>
      </c>
      <c r="B35" s="606" t="s">
        <v>5250</v>
      </c>
      <c r="C35" s="1580">
        <v>44652.0</v>
      </c>
    </row>
    <row r="36">
      <c r="A36" s="606" t="s">
        <v>5251</v>
      </c>
      <c r="B36" s="606" t="s">
        <v>5252</v>
      </c>
      <c r="C36" s="1581">
        <v>44682.0</v>
      </c>
    </row>
    <row r="37">
      <c r="A37" s="606" t="s">
        <v>5253</v>
      </c>
      <c r="B37" s="606" t="s">
        <v>5254</v>
      </c>
      <c r="C37" s="1578">
        <v>44682.0</v>
      </c>
    </row>
    <row r="38">
      <c r="A38" s="606" t="s">
        <v>287</v>
      </c>
      <c r="B38" s="606" t="s">
        <v>5255</v>
      </c>
      <c r="C38" s="1578">
        <v>44713.0</v>
      </c>
    </row>
    <row r="39">
      <c r="A39" s="606" t="s">
        <v>5256</v>
      </c>
      <c r="B39" s="606" t="s">
        <v>5257</v>
      </c>
      <c r="C39" s="1578">
        <v>44713.0</v>
      </c>
    </row>
    <row r="40">
      <c r="A40" s="606" t="s">
        <v>486</v>
      </c>
      <c r="B40" s="606" t="s">
        <v>5258</v>
      </c>
      <c r="C40" s="1578">
        <v>44713.0</v>
      </c>
    </row>
    <row r="41">
      <c r="A41" s="606" t="s">
        <v>3536</v>
      </c>
      <c r="B41" s="606" t="s">
        <v>5259</v>
      </c>
      <c r="C41" s="1578">
        <v>44713.0</v>
      </c>
    </row>
    <row r="42">
      <c r="A42" s="606" t="s">
        <v>5260</v>
      </c>
      <c r="B42" s="606" t="s">
        <v>5261</v>
      </c>
      <c r="C42" s="1578">
        <v>44835.0</v>
      </c>
    </row>
    <row r="43">
      <c r="A43" s="606" t="s">
        <v>335</v>
      </c>
      <c r="B43" s="606" t="s">
        <v>5262</v>
      </c>
      <c r="C43" s="1578">
        <v>44835.0</v>
      </c>
    </row>
    <row r="44">
      <c r="A44" s="606" t="s">
        <v>368</v>
      </c>
      <c r="B44" s="606" t="s">
        <v>5263</v>
      </c>
      <c r="C44" s="1578">
        <v>44835.0</v>
      </c>
    </row>
    <row r="45">
      <c r="A45" s="606" t="s">
        <v>5264</v>
      </c>
      <c r="B45" s="606" t="s">
        <v>5265</v>
      </c>
      <c r="C45" s="1578">
        <v>44835.0</v>
      </c>
    </row>
    <row r="46">
      <c r="A46" s="606" t="s">
        <v>577</v>
      </c>
      <c r="B46" s="606" t="s">
        <v>5266</v>
      </c>
      <c r="C46" s="1578">
        <v>44866.0</v>
      </c>
    </row>
    <row r="47">
      <c r="A47" s="606" t="s">
        <v>225</v>
      </c>
      <c r="B47" s="606" t="s">
        <v>5267</v>
      </c>
      <c r="C47" s="1578">
        <v>44866.0</v>
      </c>
    </row>
    <row r="48">
      <c r="A48" s="606" t="s">
        <v>3564</v>
      </c>
      <c r="B48" s="606" t="s">
        <v>5268</v>
      </c>
      <c r="C48" s="1578">
        <v>44866.0</v>
      </c>
    </row>
    <row r="49">
      <c r="A49" s="606" t="s">
        <v>163</v>
      </c>
      <c r="B49" s="606" t="s">
        <v>275</v>
      </c>
      <c r="C49" s="1578">
        <v>44866.0</v>
      </c>
    </row>
    <row r="50">
      <c r="A50" s="606" t="s">
        <v>498</v>
      </c>
      <c r="B50" s="606" t="s">
        <v>5007</v>
      </c>
      <c r="C50" s="1578">
        <v>44866.0</v>
      </c>
    </row>
    <row r="51">
      <c r="A51" s="606" t="s">
        <v>435</v>
      </c>
      <c r="B51" s="606" t="s">
        <v>5269</v>
      </c>
      <c r="C51" s="1578">
        <v>44896.0</v>
      </c>
    </row>
    <row r="52">
      <c r="A52" s="606" t="s">
        <v>3067</v>
      </c>
      <c r="B52" s="606" t="s">
        <v>5016</v>
      </c>
      <c r="C52" s="1578">
        <v>44927.0</v>
      </c>
    </row>
    <row r="53">
      <c r="A53" s="606" t="s">
        <v>489</v>
      </c>
      <c r="B53" s="606" t="s">
        <v>5270</v>
      </c>
      <c r="C53" s="1578">
        <v>44958.0</v>
      </c>
    </row>
    <row r="54">
      <c r="A54" s="606" t="s">
        <v>278</v>
      </c>
      <c r="B54" s="606" t="s">
        <v>5271</v>
      </c>
      <c r="C54" s="1578">
        <v>45017.0</v>
      </c>
    </row>
    <row r="55">
      <c r="A55" s="606" t="s">
        <v>562</v>
      </c>
      <c r="B55" s="606" t="s">
        <v>5272</v>
      </c>
      <c r="C55" s="1578">
        <v>45017.0</v>
      </c>
    </row>
    <row r="56">
      <c r="A56" s="606" t="s">
        <v>5273</v>
      </c>
      <c r="B56" s="606" t="s">
        <v>5068</v>
      </c>
      <c r="C56" s="1582">
        <v>45047.0</v>
      </c>
    </row>
    <row r="57">
      <c r="A57" s="606" t="s">
        <v>5274</v>
      </c>
      <c r="B57" s="606" t="s">
        <v>5275</v>
      </c>
      <c r="C57" s="1582">
        <v>45047.0</v>
      </c>
    </row>
    <row r="58">
      <c r="A58" s="606" t="s">
        <v>260</v>
      </c>
      <c r="B58" s="606" t="s">
        <v>5276</v>
      </c>
      <c r="C58" s="606" t="s">
        <v>5277</v>
      </c>
    </row>
    <row r="59">
      <c r="A59" s="606" t="s">
        <v>5278</v>
      </c>
      <c r="B59" s="606" t="s">
        <v>5279</v>
      </c>
      <c r="C59" s="1582">
        <v>45047.0</v>
      </c>
    </row>
    <row r="60">
      <c r="A60" s="606" t="s">
        <v>565</v>
      </c>
      <c r="B60" s="606" t="s">
        <v>5280</v>
      </c>
      <c r="C60" s="1578">
        <v>45078.0</v>
      </c>
    </row>
    <row r="61">
      <c r="A61" s="606" t="s">
        <v>25</v>
      </c>
      <c r="B61" s="606" t="s">
        <v>5281</v>
      </c>
      <c r="C61" s="1582">
        <v>45352.0</v>
      </c>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9.43"/>
  </cols>
  <sheetData>
    <row r="5">
      <c r="C5" s="725" t="s">
        <v>5282</v>
      </c>
    </row>
    <row r="6">
      <c r="C6" s="1583"/>
    </row>
    <row r="9">
      <c r="C9" s="725" t="s">
        <v>5283</v>
      </c>
    </row>
    <row r="10">
      <c r="C10" s="725" t="s">
        <v>203</v>
      </c>
    </row>
    <row r="11">
      <c r="F11" s="725" t="s">
        <v>5284</v>
      </c>
    </row>
    <row r="12">
      <c r="F12" s="725" t="s">
        <v>184</v>
      </c>
    </row>
    <row r="13">
      <c r="F13" s="725" t="s">
        <v>5285</v>
      </c>
    </row>
    <row r="14">
      <c r="F14" s="725" t="s">
        <v>291</v>
      </c>
    </row>
    <row r="15">
      <c r="F15" s="725" t="s">
        <v>506</v>
      </c>
    </row>
    <row r="16">
      <c r="F16" s="725" t="s">
        <v>582</v>
      </c>
    </row>
    <row r="17">
      <c r="F17" s="725" t="s">
        <v>94</v>
      </c>
    </row>
    <row r="18">
      <c r="F18" s="725" t="s">
        <v>5286</v>
      </c>
    </row>
    <row r="20">
      <c r="F20" s="725" t="s">
        <v>5287</v>
      </c>
    </row>
    <row r="21">
      <c r="F21" s="725" t="s">
        <v>993</v>
      </c>
    </row>
    <row r="22">
      <c r="F22" s="725" t="s">
        <v>5288</v>
      </c>
    </row>
    <row r="23">
      <c r="F23" s="725" t="s">
        <v>333</v>
      </c>
    </row>
    <row r="24">
      <c r="F24" s="725" t="s">
        <v>5289</v>
      </c>
    </row>
    <row r="30">
      <c r="C30" s="725" t="s">
        <v>5290</v>
      </c>
    </row>
    <row r="31">
      <c r="C31" s="725" t="s">
        <v>5291</v>
      </c>
    </row>
    <row r="32">
      <c r="C32" s="725" t="s">
        <v>5292</v>
      </c>
    </row>
    <row r="33">
      <c r="C33" s="725" t="s">
        <v>5293</v>
      </c>
    </row>
    <row r="34">
      <c r="C34" s="725" t="s">
        <v>5294</v>
      </c>
    </row>
    <row r="35">
      <c r="C35" s="725" t="s">
        <v>5295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0"/>
    <col customWidth="1" min="2" max="2" width="28.14"/>
  </cols>
  <sheetData>
    <row r="1">
      <c r="A1" s="606" t="s">
        <v>5296</v>
      </c>
      <c r="B1" s="606" t="s">
        <v>5297</v>
      </c>
    </row>
    <row r="2">
      <c r="A2" s="606" t="s">
        <v>5298</v>
      </c>
    </row>
    <row r="4">
      <c r="A4" s="606" t="s">
        <v>2122</v>
      </c>
      <c r="B4" s="606" t="s">
        <v>5299</v>
      </c>
    </row>
    <row r="5">
      <c r="A5" s="606" t="s">
        <v>1710</v>
      </c>
      <c r="B5" s="606" t="s">
        <v>5300</v>
      </c>
    </row>
    <row r="6">
      <c r="A6" s="606" t="s">
        <v>1710</v>
      </c>
      <c r="B6" s="606" t="s">
        <v>5301</v>
      </c>
    </row>
    <row r="7">
      <c r="A7" s="606" t="s">
        <v>1909</v>
      </c>
      <c r="B7" s="606" t="s">
        <v>5302</v>
      </c>
    </row>
    <row r="8">
      <c r="A8" s="606" t="s">
        <v>190</v>
      </c>
      <c r="B8" s="606" t="s">
        <v>5303</v>
      </c>
    </row>
    <row r="9">
      <c r="A9" s="606" t="s">
        <v>5304</v>
      </c>
      <c r="B9" s="606" t="s">
        <v>5305</v>
      </c>
    </row>
    <row r="15">
      <c r="A15" s="725" t="s">
        <v>5306</v>
      </c>
    </row>
    <row r="22">
      <c r="A22" s="26" t="s">
        <v>809</v>
      </c>
    </row>
    <row r="23">
      <c r="A23" s="725" t="s">
        <v>5307</v>
      </c>
      <c r="B23" s="725" t="s">
        <v>5308</v>
      </c>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84" t="s">
        <v>1</v>
      </c>
      <c r="B1" s="1584" t="s">
        <v>5309</v>
      </c>
      <c r="C1" s="1584" t="s">
        <v>5310</v>
      </c>
      <c r="D1" s="1584" t="s">
        <v>5311</v>
      </c>
      <c r="E1" s="1584" t="s">
        <v>7</v>
      </c>
      <c r="F1" s="1584" t="s">
        <v>5312</v>
      </c>
      <c r="G1" s="1584" t="s">
        <v>5313</v>
      </c>
      <c r="H1" s="1584" t="s">
        <v>5</v>
      </c>
      <c r="I1" s="1584" t="s">
        <v>5314</v>
      </c>
      <c r="J1" s="1584" t="s">
        <v>5315</v>
      </c>
      <c r="K1" s="1584" t="s">
        <v>5316</v>
      </c>
      <c r="L1" s="1584" t="s">
        <v>5317</v>
      </c>
      <c r="M1" s="1584" t="s">
        <v>5318</v>
      </c>
      <c r="N1" s="1584" t="s">
        <v>5319</v>
      </c>
      <c r="O1" s="1584" t="s">
        <v>5320</v>
      </c>
      <c r="P1" s="1584" t="s">
        <v>5321</v>
      </c>
      <c r="Q1" s="1584" t="s">
        <v>5322</v>
      </c>
    </row>
    <row r="2">
      <c r="A2" s="1585" t="s">
        <v>5323</v>
      </c>
      <c r="B2" s="1585" t="s">
        <v>5324</v>
      </c>
      <c r="C2" s="1585">
        <v>1980.0</v>
      </c>
      <c r="D2" s="1585">
        <v>3.0</v>
      </c>
      <c r="E2" s="1585">
        <v>7411569.0</v>
      </c>
      <c r="F2" s="1585" t="s">
        <v>5325</v>
      </c>
      <c r="G2" s="1585" t="s">
        <v>5326</v>
      </c>
      <c r="H2" s="1585" t="s">
        <v>5327</v>
      </c>
      <c r="I2" s="1586">
        <v>75683.0</v>
      </c>
      <c r="J2" s="1585" t="s">
        <v>5328</v>
      </c>
      <c r="K2" s="1585" t="s">
        <v>5329</v>
      </c>
      <c r="L2" s="1585" t="s">
        <v>3602</v>
      </c>
      <c r="M2" s="1585" t="s">
        <v>5330</v>
      </c>
      <c r="N2" s="1585">
        <v>1980.0</v>
      </c>
      <c r="O2" s="1587"/>
      <c r="P2" s="1585" t="e">
        <v>#N/A</v>
      </c>
      <c r="Q2" s="1585" t="e">
        <v>#N/A</v>
      </c>
    </row>
    <row r="3">
      <c r="A3" s="1585" t="s">
        <v>4914</v>
      </c>
      <c r="B3" s="1585" t="s">
        <v>5331</v>
      </c>
      <c r="C3" s="1585">
        <v>1982.0</v>
      </c>
      <c r="D3" s="1585">
        <v>5.0</v>
      </c>
      <c r="E3" s="1585">
        <v>7420089.0</v>
      </c>
      <c r="F3" s="1585" t="s">
        <v>5325</v>
      </c>
      <c r="G3" s="1585" t="s">
        <v>5326</v>
      </c>
      <c r="H3" s="1585" t="s">
        <v>5327</v>
      </c>
      <c r="I3" s="1586">
        <v>75684.0</v>
      </c>
      <c r="J3" s="1585" t="s">
        <v>5328</v>
      </c>
      <c r="K3" s="1585" t="s">
        <v>5329</v>
      </c>
      <c r="L3" s="1585" t="s">
        <v>5332</v>
      </c>
      <c r="M3" s="1585" t="s">
        <v>5333</v>
      </c>
      <c r="N3" s="1585">
        <v>1982.0</v>
      </c>
      <c r="O3" s="1588"/>
      <c r="P3" s="1585" t="s">
        <v>4845</v>
      </c>
      <c r="Q3" s="1588"/>
    </row>
    <row r="4">
      <c r="A4" s="1585" t="s">
        <v>5334</v>
      </c>
      <c r="B4" s="1585" t="s">
        <v>5335</v>
      </c>
      <c r="C4" s="1585">
        <v>1987.0</v>
      </c>
      <c r="D4" s="1585">
        <v>3.0</v>
      </c>
      <c r="E4" s="1585">
        <v>8519966.0</v>
      </c>
      <c r="F4" s="1585" t="s">
        <v>5336</v>
      </c>
      <c r="G4" s="1585" t="s">
        <v>668</v>
      </c>
      <c r="H4" s="1585" t="s">
        <v>5327</v>
      </c>
      <c r="I4" s="1586">
        <v>77749.0</v>
      </c>
      <c r="J4" s="1585" t="s">
        <v>5328</v>
      </c>
      <c r="K4" s="1585" t="s">
        <v>5329</v>
      </c>
      <c r="L4" s="1585" t="s">
        <v>3174</v>
      </c>
      <c r="M4" s="1585" t="s">
        <v>5337</v>
      </c>
      <c r="N4" s="1585">
        <v>1987.0</v>
      </c>
      <c r="O4" s="1587"/>
      <c r="P4" s="1585" t="s">
        <v>4845</v>
      </c>
      <c r="Q4" s="1588"/>
    </row>
    <row r="5">
      <c r="A5" s="1585" t="s">
        <v>4918</v>
      </c>
      <c r="B5" s="1585" t="s">
        <v>5338</v>
      </c>
      <c r="C5" s="1585">
        <v>1990.0</v>
      </c>
      <c r="D5" s="1585">
        <v>6.0</v>
      </c>
      <c r="E5" s="1585">
        <v>8902371.0</v>
      </c>
      <c r="F5" s="1585" t="s">
        <v>5339</v>
      </c>
      <c r="G5" s="1585" t="s">
        <v>668</v>
      </c>
      <c r="H5" s="1585" t="s">
        <v>5327</v>
      </c>
      <c r="I5" s="1586">
        <v>76918.0</v>
      </c>
      <c r="J5" s="1585" t="s">
        <v>5328</v>
      </c>
      <c r="K5" s="1585" t="s">
        <v>5329</v>
      </c>
      <c r="L5" s="1585" t="s">
        <v>3174</v>
      </c>
      <c r="M5" s="1585" t="s">
        <v>5340</v>
      </c>
      <c r="N5" s="1585">
        <v>1990.0</v>
      </c>
      <c r="O5" s="1587"/>
      <c r="P5" s="1585" t="s">
        <v>4845</v>
      </c>
      <c r="Q5" s="1588"/>
    </row>
    <row r="6">
      <c r="A6" s="1585" t="s">
        <v>5341</v>
      </c>
      <c r="B6" s="1585" t="s">
        <v>5342</v>
      </c>
      <c r="C6" s="1585">
        <v>1990.0</v>
      </c>
      <c r="D6" s="1585">
        <v>7.0</v>
      </c>
      <c r="E6" s="1585">
        <v>8818207.0</v>
      </c>
      <c r="F6" s="1585" t="s">
        <v>5343</v>
      </c>
      <c r="G6" s="1585" t="s">
        <v>668</v>
      </c>
      <c r="H6" s="1585" t="s">
        <v>5327</v>
      </c>
      <c r="I6" s="1586">
        <v>75203.0</v>
      </c>
      <c r="J6" s="1585" t="s">
        <v>5328</v>
      </c>
      <c r="K6" s="1585" t="s">
        <v>5329</v>
      </c>
      <c r="L6" s="1585" t="s">
        <v>3602</v>
      </c>
      <c r="M6" s="1585" t="s">
        <v>5344</v>
      </c>
      <c r="N6" s="1585">
        <v>1990.0</v>
      </c>
      <c r="O6" s="1587"/>
      <c r="P6" s="1585" t="s">
        <v>4774</v>
      </c>
      <c r="Q6" s="1588"/>
    </row>
    <row r="7">
      <c r="A7" s="1585" t="s">
        <v>3768</v>
      </c>
      <c r="B7" s="1585" t="s">
        <v>5345</v>
      </c>
      <c r="C7" s="1585">
        <v>1990.0</v>
      </c>
      <c r="D7" s="1585">
        <v>12.0</v>
      </c>
      <c r="E7" s="1585">
        <v>8818219.0</v>
      </c>
      <c r="F7" s="1585" t="s">
        <v>5339</v>
      </c>
      <c r="G7" s="1585" t="s">
        <v>668</v>
      </c>
      <c r="H7" s="1585" t="s">
        <v>5327</v>
      </c>
      <c r="I7" s="1586">
        <v>78488.0</v>
      </c>
      <c r="J7" s="1585" t="s">
        <v>5328</v>
      </c>
      <c r="K7" s="1585" t="s">
        <v>5329</v>
      </c>
      <c r="L7" s="1585" t="s">
        <v>5346</v>
      </c>
      <c r="M7" s="1585" t="s">
        <v>5347</v>
      </c>
      <c r="N7" s="1585">
        <v>1990.0</v>
      </c>
      <c r="O7" s="1587"/>
      <c r="P7" s="1585" t="s">
        <v>4845</v>
      </c>
      <c r="Q7" s="1588"/>
    </row>
    <row r="8">
      <c r="A8" s="1585" t="s">
        <v>5348</v>
      </c>
      <c r="B8" s="1585" t="s">
        <v>5349</v>
      </c>
      <c r="C8" s="1585">
        <v>1990.0</v>
      </c>
      <c r="D8" s="1585">
        <v>12.0</v>
      </c>
      <c r="E8" s="1585">
        <v>8912558.0</v>
      </c>
      <c r="F8" s="1585" t="s">
        <v>5343</v>
      </c>
      <c r="G8" s="1585" t="s">
        <v>668</v>
      </c>
      <c r="H8" s="1585" t="s">
        <v>5327</v>
      </c>
      <c r="I8" s="1586">
        <v>75382.0</v>
      </c>
      <c r="J8" s="1585" t="s">
        <v>5328</v>
      </c>
      <c r="K8" s="1585" t="s">
        <v>5329</v>
      </c>
      <c r="L8" s="1585" t="s">
        <v>5346</v>
      </c>
      <c r="M8" s="1585" t="s">
        <v>5347</v>
      </c>
      <c r="N8" s="1585">
        <v>1990.0</v>
      </c>
      <c r="O8" s="1587"/>
      <c r="P8" s="1585" t="s">
        <v>4845</v>
      </c>
      <c r="Q8" s="1588"/>
    </row>
    <row r="9">
      <c r="A9" s="1585" t="s">
        <v>5350</v>
      </c>
      <c r="B9" s="1585" t="s">
        <v>5351</v>
      </c>
      <c r="C9" s="1585">
        <v>1991.0</v>
      </c>
      <c r="D9" s="1585">
        <v>3.0</v>
      </c>
      <c r="E9" s="1585">
        <v>8910897.0</v>
      </c>
      <c r="F9" s="1585" t="s">
        <v>5352</v>
      </c>
      <c r="G9" s="1585" t="s">
        <v>668</v>
      </c>
      <c r="H9" s="1585" t="s">
        <v>5327</v>
      </c>
      <c r="I9" s="1586">
        <v>78374.0</v>
      </c>
      <c r="J9" s="1585" t="s">
        <v>5328</v>
      </c>
      <c r="K9" s="1585" t="s">
        <v>5329</v>
      </c>
      <c r="L9" s="1585" t="s">
        <v>5353</v>
      </c>
      <c r="M9" s="1585" t="s">
        <v>5354</v>
      </c>
      <c r="N9" s="1585">
        <v>1991.0</v>
      </c>
      <c r="O9" s="1587"/>
      <c r="P9" s="1588"/>
      <c r="Q9" s="1588"/>
    </row>
    <row r="10">
      <c r="A10" s="1585" t="s">
        <v>5355</v>
      </c>
      <c r="B10" s="1585" t="s">
        <v>5356</v>
      </c>
      <c r="C10" s="1585">
        <v>1991.0</v>
      </c>
      <c r="D10" s="1585">
        <v>7.0</v>
      </c>
      <c r="E10" s="1585">
        <v>9000883.0</v>
      </c>
      <c r="F10" s="1585" t="s">
        <v>5343</v>
      </c>
      <c r="G10" s="1585" t="s">
        <v>668</v>
      </c>
      <c r="H10" s="1585" t="s">
        <v>5327</v>
      </c>
      <c r="I10" s="1586">
        <v>75353.0</v>
      </c>
      <c r="J10" s="1585" t="s">
        <v>5328</v>
      </c>
      <c r="K10" s="1585" t="s">
        <v>5329</v>
      </c>
      <c r="L10" s="1585" t="s">
        <v>5346</v>
      </c>
      <c r="M10" s="1585" t="s">
        <v>5357</v>
      </c>
      <c r="N10" s="1585">
        <v>1991.0</v>
      </c>
      <c r="O10" s="1587"/>
      <c r="P10" s="1585" t="s">
        <v>4845</v>
      </c>
      <c r="Q10" s="1588"/>
    </row>
    <row r="11">
      <c r="A11" s="1585" t="s">
        <v>3404</v>
      </c>
      <c r="B11" s="1585" t="s">
        <v>5358</v>
      </c>
      <c r="C11" s="1585">
        <v>1991.0</v>
      </c>
      <c r="D11" s="1585">
        <v>10.0</v>
      </c>
      <c r="E11" s="1585">
        <v>8910902.0</v>
      </c>
      <c r="F11" s="1585" t="s">
        <v>5352</v>
      </c>
      <c r="G11" s="1585" t="s">
        <v>668</v>
      </c>
      <c r="H11" s="1585" t="s">
        <v>5327</v>
      </c>
      <c r="I11" s="1586">
        <v>76960.0</v>
      </c>
      <c r="J11" s="1585" t="s">
        <v>5328</v>
      </c>
      <c r="K11" s="1585" t="s">
        <v>5329</v>
      </c>
      <c r="L11" s="1585" t="s">
        <v>3174</v>
      </c>
      <c r="M11" s="1585" t="s">
        <v>5359</v>
      </c>
      <c r="N11" s="1585">
        <v>1991.0</v>
      </c>
      <c r="O11" s="1587"/>
      <c r="P11" s="1585" t="s">
        <v>4845</v>
      </c>
      <c r="Q11" s="1588"/>
    </row>
    <row r="12">
      <c r="A12" s="1585" t="s">
        <v>5360</v>
      </c>
      <c r="B12" s="1585" t="s">
        <v>5361</v>
      </c>
      <c r="C12" s="1585">
        <v>1991.0</v>
      </c>
      <c r="D12" s="1585">
        <v>11.0</v>
      </c>
      <c r="E12" s="1585">
        <v>9007386.0</v>
      </c>
      <c r="F12" s="1585" t="s">
        <v>5339</v>
      </c>
      <c r="G12" s="1585" t="s">
        <v>668</v>
      </c>
      <c r="H12" s="1585" t="s">
        <v>5327</v>
      </c>
      <c r="I12" s="1586">
        <v>78482.0</v>
      </c>
      <c r="J12" s="1585" t="s">
        <v>5328</v>
      </c>
      <c r="K12" s="1585" t="s">
        <v>5329</v>
      </c>
      <c r="L12" s="1585" t="s">
        <v>5362</v>
      </c>
      <c r="M12" s="1585" t="s">
        <v>5363</v>
      </c>
      <c r="N12" s="1585">
        <v>1991.0</v>
      </c>
      <c r="O12" s="1587"/>
      <c r="P12" s="1585" t="s">
        <v>4845</v>
      </c>
      <c r="Q12" s="1588"/>
    </row>
    <row r="13">
      <c r="A13" s="1585" t="s">
        <v>4919</v>
      </c>
      <c r="B13" s="1585" t="s">
        <v>5364</v>
      </c>
      <c r="C13" s="1585">
        <v>1992.0</v>
      </c>
      <c r="D13" s="1585">
        <v>2.0</v>
      </c>
      <c r="E13" s="1585">
        <v>9006679.0</v>
      </c>
      <c r="F13" s="1585" t="s">
        <v>5365</v>
      </c>
      <c r="G13" s="1585" t="s">
        <v>668</v>
      </c>
      <c r="H13" s="1585" t="s">
        <v>5327</v>
      </c>
      <c r="I13" s="1586">
        <v>75203.0</v>
      </c>
      <c r="J13" s="1585" t="s">
        <v>5328</v>
      </c>
      <c r="K13" s="1585" t="s">
        <v>5329</v>
      </c>
      <c r="L13" s="1585" t="s">
        <v>3174</v>
      </c>
      <c r="M13" s="1585" t="s">
        <v>5366</v>
      </c>
      <c r="N13" s="1585">
        <v>1992.0</v>
      </c>
      <c r="O13" s="1587"/>
      <c r="P13" s="1585" t="s">
        <v>4845</v>
      </c>
      <c r="Q13" s="1588"/>
    </row>
    <row r="14">
      <c r="A14" s="1585" t="s">
        <v>5367</v>
      </c>
      <c r="B14" s="1585" t="s">
        <v>5368</v>
      </c>
      <c r="C14" s="1585">
        <v>1992.0</v>
      </c>
      <c r="D14" s="1585">
        <v>3.0</v>
      </c>
      <c r="E14" s="1585">
        <v>8917807.0</v>
      </c>
      <c r="F14" s="1585" t="s">
        <v>5352</v>
      </c>
      <c r="G14" s="1585" t="s">
        <v>668</v>
      </c>
      <c r="H14" s="1585" t="s">
        <v>5327</v>
      </c>
      <c r="I14" s="1586">
        <v>76968.0</v>
      </c>
      <c r="J14" s="1585" t="s">
        <v>5328</v>
      </c>
      <c r="K14" s="1585" t="s">
        <v>5329</v>
      </c>
      <c r="L14" s="1585" t="s">
        <v>5369</v>
      </c>
      <c r="M14" s="1585" t="s">
        <v>5370</v>
      </c>
      <c r="N14" s="1585">
        <v>1992.0</v>
      </c>
      <c r="O14" s="1587"/>
      <c r="P14" s="1585" t="s">
        <v>4774</v>
      </c>
      <c r="Q14" s="1588"/>
    </row>
    <row r="15">
      <c r="A15" s="1585" t="s">
        <v>5371</v>
      </c>
      <c r="B15" s="1588"/>
      <c r="C15" s="1585">
        <v>1992.0</v>
      </c>
      <c r="D15" s="1585">
        <v>3.0</v>
      </c>
      <c r="E15" s="1585">
        <v>9008108.0</v>
      </c>
      <c r="F15" s="1585" t="s">
        <v>5339</v>
      </c>
      <c r="G15" s="1585" t="s">
        <v>668</v>
      </c>
      <c r="H15" s="1585" t="s">
        <v>5327</v>
      </c>
      <c r="I15" s="1586">
        <v>76937.0</v>
      </c>
      <c r="J15" s="1585" t="s">
        <v>5328</v>
      </c>
      <c r="K15" s="1585" t="s">
        <v>5329</v>
      </c>
      <c r="L15" s="1585" t="s">
        <v>3214</v>
      </c>
      <c r="M15" s="1585" t="s">
        <v>5370</v>
      </c>
      <c r="N15" s="1585">
        <v>1992.0</v>
      </c>
      <c r="O15" s="1587"/>
      <c r="P15" s="1589">
        <v>45799.0</v>
      </c>
      <c r="Q15" s="1588"/>
    </row>
    <row r="16">
      <c r="A16" s="1585" t="s">
        <v>5372</v>
      </c>
      <c r="B16" s="1585" t="s">
        <v>5373</v>
      </c>
      <c r="C16" s="1585">
        <v>1992.0</v>
      </c>
      <c r="D16" s="1585">
        <v>4.0</v>
      </c>
      <c r="E16" s="1585">
        <v>9003859.0</v>
      </c>
      <c r="F16" s="1585" t="s">
        <v>5339</v>
      </c>
      <c r="G16" s="1585" t="s">
        <v>668</v>
      </c>
      <c r="H16" s="1585" t="s">
        <v>5327</v>
      </c>
      <c r="I16" s="1586">
        <v>78488.0</v>
      </c>
      <c r="J16" s="1585" t="s">
        <v>5328</v>
      </c>
      <c r="K16" s="1585" t="s">
        <v>5329</v>
      </c>
      <c r="L16" s="1585" t="s">
        <v>1212</v>
      </c>
      <c r="M16" s="1585" t="s">
        <v>5374</v>
      </c>
      <c r="N16" s="1585">
        <v>1992.0</v>
      </c>
      <c r="O16" s="1587"/>
      <c r="P16" s="1588"/>
      <c r="Q16" s="1588"/>
    </row>
    <row r="17">
      <c r="A17" s="1585" t="s">
        <v>4770</v>
      </c>
      <c r="B17" s="1585" t="s">
        <v>5375</v>
      </c>
      <c r="C17" s="1585">
        <v>1992.0</v>
      </c>
      <c r="D17" s="1585">
        <v>9.0</v>
      </c>
      <c r="E17" s="1585">
        <v>8912546.0</v>
      </c>
      <c r="F17" s="1585" t="s">
        <v>5365</v>
      </c>
      <c r="G17" s="1585" t="s">
        <v>668</v>
      </c>
      <c r="H17" s="1585" t="s">
        <v>5327</v>
      </c>
      <c r="I17" s="1586">
        <v>75198.0</v>
      </c>
      <c r="J17" s="1585" t="s">
        <v>5328</v>
      </c>
      <c r="K17" s="1585" t="s">
        <v>5329</v>
      </c>
      <c r="L17" s="1585" t="s">
        <v>5376</v>
      </c>
      <c r="M17" s="1585" t="s">
        <v>5377</v>
      </c>
      <c r="N17" s="1585">
        <v>1992.0</v>
      </c>
      <c r="O17" s="1587"/>
      <c r="P17" s="1585" t="s">
        <v>4845</v>
      </c>
      <c r="Q17" s="1588"/>
    </row>
    <row r="18">
      <c r="A18" s="1585" t="s">
        <v>5378</v>
      </c>
      <c r="B18" s="1585" t="s">
        <v>5379</v>
      </c>
      <c r="C18" s="1585">
        <v>1992.0</v>
      </c>
      <c r="D18" s="1585">
        <v>11.0</v>
      </c>
      <c r="E18" s="1585">
        <v>9002491.0</v>
      </c>
      <c r="F18" s="1585" t="s">
        <v>5352</v>
      </c>
      <c r="G18" s="1585" t="s">
        <v>668</v>
      </c>
      <c r="H18" s="1585" t="s">
        <v>5327</v>
      </c>
      <c r="I18" s="1586">
        <v>78374.0</v>
      </c>
      <c r="J18" s="1585" t="s">
        <v>5328</v>
      </c>
      <c r="K18" s="1585" t="s">
        <v>5329</v>
      </c>
      <c r="L18" s="1585" t="s">
        <v>5346</v>
      </c>
      <c r="M18" s="1585" t="s">
        <v>5380</v>
      </c>
      <c r="N18" s="1585">
        <v>1992.0</v>
      </c>
      <c r="O18" s="1587"/>
      <c r="P18" s="1585" t="s">
        <v>4845</v>
      </c>
      <c r="Q18" s="1588"/>
    </row>
    <row r="19">
      <c r="A19" s="1585" t="s">
        <v>5381</v>
      </c>
      <c r="B19" s="1585" t="s">
        <v>5382</v>
      </c>
      <c r="C19" s="1585">
        <v>1992.0</v>
      </c>
      <c r="D19" s="1585">
        <v>12.0</v>
      </c>
      <c r="E19" s="1585">
        <v>9002908.0</v>
      </c>
      <c r="F19" s="1585" t="s">
        <v>5383</v>
      </c>
      <c r="G19" s="1585" t="s">
        <v>5384</v>
      </c>
      <c r="H19" s="1585" t="s">
        <v>5327</v>
      </c>
      <c r="I19" s="1586">
        <v>84109.0</v>
      </c>
      <c r="J19" s="1585" t="s">
        <v>5328</v>
      </c>
      <c r="K19" s="1585" t="s">
        <v>5329</v>
      </c>
      <c r="L19" s="1585" t="s">
        <v>3560</v>
      </c>
      <c r="M19" s="1585" t="s">
        <v>5385</v>
      </c>
      <c r="N19" s="1585">
        <v>1992.0</v>
      </c>
      <c r="O19" s="1585" t="s">
        <v>5386</v>
      </c>
      <c r="P19" s="1585" t="s">
        <v>4845</v>
      </c>
      <c r="Q19" s="1588"/>
    </row>
    <row r="20">
      <c r="A20" s="1585" t="s">
        <v>4742</v>
      </c>
      <c r="B20" s="1585" t="s">
        <v>5387</v>
      </c>
      <c r="C20" s="1585">
        <v>1992.0</v>
      </c>
      <c r="D20" s="1585">
        <v>12.0</v>
      </c>
      <c r="E20" s="1585">
        <v>9041655.0</v>
      </c>
      <c r="F20" s="1585" t="s">
        <v>5339</v>
      </c>
      <c r="G20" s="1585" t="s">
        <v>668</v>
      </c>
      <c r="H20" s="1585" t="s">
        <v>5327</v>
      </c>
      <c r="I20" s="1586">
        <v>76933.0</v>
      </c>
      <c r="J20" s="1585" t="s">
        <v>5328</v>
      </c>
      <c r="K20" s="1585" t="s">
        <v>5329</v>
      </c>
      <c r="L20" s="1585" t="s">
        <v>5346</v>
      </c>
      <c r="M20" s="1585" t="s">
        <v>5385</v>
      </c>
      <c r="N20" s="1585">
        <v>1992.0</v>
      </c>
      <c r="O20" s="1587"/>
      <c r="P20" s="1585" t="s">
        <v>4845</v>
      </c>
      <c r="Q20" s="1588"/>
    </row>
    <row r="21">
      <c r="A21" s="1585" t="s">
        <v>5388</v>
      </c>
      <c r="B21" s="1585" t="s">
        <v>5389</v>
      </c>
      <c r="C21" s="1585">
        <v>1993.0</v>
      </c>
      <c r="D21" s="1585">
        <v>1.0</v>
      </c>
      <c r="E21" s="1585">
        <v>9046784.0</v>
      </c>
      <c r="F21" s="1585" t="s">
        <v>5339</v>
      </c>
      <c r="G21" s="1585" t="s">
        <v>668</v>
      </c>
      <c r="H21" s="1585" t="s">
        <v>5327</v>
      </c>
      <c r="I21" s="1586">
        <v>78498.0</v>
      </c>
      <c r="J21" s="1585" t="s">
        <v>5328</v>
      </c>
      <c r="K21" s="1585" t="s">
        <v>5329</v>
      </c>
      <c r="L21" s="1585" t="s">
        <v>5390</v>
      </c>
      <c r="M21" s="1585" t="s">
        <v>5391</v>
      </c>
      <c r="N21" s="1585">
        <v>1993.0</v>
      </c>
      <c r="O21" s="1587"/>
      <c r="P21" s="1585" t="s">
        <v>4845</v>
      </c>
      <c r="Q21" s="1588"/>
    </row>
    <row r="22">
      <c r="A22" s="1585" t="s">
        <v>4769</v>
      </c>
      <c r="B22" s="1585" t="s">
        <v>5392</v>
      </c>
      <c r="C22" s="1585">
        <v>1993.0</v>
      </c>
      <c r="D22" s="1585">
        <v>2.0</v>
      </c>
      <c r="E22" s="1585">
        <v>9031519.0</v>
      </c>
      <c r="F22" s="1585" t="s">
        <v>5343</v>
      </c>
      <c r="G22" s="1585" t="s">
        <v>668</v>
      </c>
      <c r="H22" s="1585" t="s">
        <v>5327</v>
      </c>
      <c r="I22" s="1586">
        <v>75211.0</v>
      </c>
      <c r="J22" s="1585" t="s">
        <v>5328</v>
      </c>
      <c r="K22" s="1585" t="s">
        <v>5329</v>
      </c>
      <c r="L22" s="1585" t="s">
        <v>5346</v>
      </c>
      <c r="M22" s="1585" t="s">
        <v>5393</v>
      </c>
      <c r="N22" s="1585">
        <v>1993.0</v>
      </c>
      <c r="O22" s="1587"/>
      <c r="P22" s="1585" t="s">
        <v>4845</v>
      </c>
      <c r="Q22" s="1588"/>
    </row>
    <row r="23">
      <c r="A23" s="1585" t="s">
        <v>5394</v>
      </c>
      <c r="B23" s="1585" t="s">
        <v>5395</v>
      </c>
      <c r="C23" s="1585">
        <v>1993.0</v>
      </c>
      <c r="D23" s="1585">
        <v>3.0</v>
      </c>
      <c r="E23" s="1585">
        <v>9005053.0</v>
      </c>
      <c r="F23" s="1585" t="s">
        <v>5339</v>
      </c>
      <c r="G23" s="1585" t="s">
        <v>668</v>
      </c>
      <c r="H23" s="1585" t="s">
        <v>5327</v>
      </c>
      <c r="I23" s="1586">
        <v>78475.0</v>
      </c>
      <c r="J23" s="1585" t="s">
        <v>5328</v>
      </c>
      <c r="K23" s="1585" t="s">
        <v>5329</v>
      </c>
      <c r="L23" s="1585" t="s">
        <v>5376</v>
      </c>
      <c r="M23" s="1585" t="s">
        <v>5396</v>
      </c>
      <c r="N23" s="1585">
        <v>1993.0</v>
      </c>
      <c r="O23" s="1587"/>
      <c r="P23" s="1585" t="s">
        <v>4845</v>
      </c>
      <c r="Q23" s="1588"/>
    </row>
    <row r="24">
      <c r="A24" s="1585" t="s">
        <v>5397</v>
      </c>
      <c r="B24" s="1585" t="s">
        <v>5398</v>
      </c>
      <c r="C24" s="1585">
        <v>1993.0</v>
      </c>
      <c r="D24" s="1585">
        <v>3.0</v>
      </c>
      <c r="E24" s="1585">
        <v>9012886.0</v>
      </c>
      <c r="F24" s="1585" t="s">
        <v>5365</v>
      </c>
      <c r="G24" s="1585" t="s">
        <v>668</v>
      </c>
      <c r="H24" s="1585" t="s">
        <v>5327</v>
      </c>
      <c r="I24" s="1586">
        <v>75358.0</v>
      </c>
      <c r="J24" s="1585" t="s">
        <v>5328</v>
      </c>
      <c r="K24" s="1585" t="s">
        <v>5329</v>
      </c>
      <c r="L24" s="1585" t="s">
        <v>5346</v>
      </c>
      <c r="M24" s="1585" t="s">
        <v>5396</v>
      </c>
      <c r="N24" s="1585">
        <v>1993.0</v>
      </c>
      <c r="O24" s="1587"/>
      <c r="P24" s="1585" t="s">
        <v>4845</v>
      </c>
      <c r="Q24" s="1588"/>
    </row>
    <row r="25">
      <c r="A25" s="1585" t="s">
        <v>5399</v>
      </c>
      <c r="B25" s="1585" t="s">
        <v>5400</v>
      </c>
      <c r="C25" s="1585">
        <v>1993.0</v>
      </c>
      <c r="D25" s="1585">
        <v>6.0</v>
      </c>
      <c r="E25" s="1585">
        <v>9005065.0</v>
      </c>
      <c r="F25" s="1585" t="s">
        <v>5339</v>
      </c>
      <c r="G25" s="1585" t="s">
        <v>668</v>
      </c>
      <c r="H25" s="1585" t="s">
        <v>5327</v>
      </c>
      <c r="I25" s="1586">
        <v>78475.0</v>
      </c>
      <c r="J25" s="1585" t="s">
        <v>5328</v>
      </c>
      <c r="K25" s="1585" t="s">
        <v>5329</v>
      </c>
      <c r="L25" s="1585" t="s">
        <v>5362</v>
      </c>
      <c r="M25" s="1585" t="s">
        <v>5401</v>
      </c>
      <c r="N25" s="1585">
        <v>1993.0</v>
      </c>
      <c r="O25" s="1587"/>
      <c r="P25" s="1585" t="s">
        <v>4845</v>
      </c>
      <c r="Q25" s="1588"/>
    </row>
    <row r="26">
      <c r="A26" s="1585" t="s">
        <v>4736</v>
      </c>
      <c r="B26" s="1585" t="s">
        <v>5402</v>
      </c>
      <c r="C26" s="1585">
        <v>1993.0</v>
      </c>
      <c r="D26" s="1585">
        <v>7.0</v>
      </c>
      <c r="E26" s="1585">
        <v>9014456.0</v>
      </c>
      <c r="F26" s="1585" t="s">
        <v>5339</v>
      </c>
      <c r="G26" s="1585" t="s">
        <v>668</v>
      </c>
      <c r="H26" s="1585" t="s">
        <v>5327</v>
      </c>
      <c r="I26" s="1586">
        <v>78469.0</v>
      </c>
      <c r="J26" s="1585" t="s">
        <v>5328</v>
      </c>
      <c r="K26" s="1585" t="s">
        <v>5329</v>
      </c>
      <c r="L26" s="1585" t="s">
        <v>5376</v>
      </c>
      <c r="M26" s="1585" t="s">
        <v>5403</v>
      </c>
      <c r="N26" s="1585">
        <v>1993.0</v>
      </c>
      <c r="O26" s="1587"/>
      <c r="P26" s="1585" t="s">
        <v>4845</v>
      </c>
      <c r="Q26" s="1588"/>
    </row>
    <row r="27">
      <c r="A27" s="1585" t="s">
        <v>5404</v>
      </c>
      <c r="B27" s="1585" t="s">
        <v>5405</v>
      </c>
      <c r="C27" s="1585">
        <v>1994.0</v>
      </c>
      <c r="D27" s="1585">
        <v>3.0</v>
      </c>
      <c r="E27" s="1585">
        <v>9052331.0</v>
      </c>
      <c r="F27" s="1585" t="s">
        <v>5365</v>
      </c>
      <c r="G27" s="1585" t="s">
        <v>668</v>
      </c>
      <c r="H27" s="1585" t="s">
        <v>5327</v>
      </c>
      <c r="I27" s="1586">
        <v>75386.0</v>
      </c>
      <c r="J27" s="1585" t="s">
        <v>5328</v>
      </c>
      <c r="K27" s="1585" t="s">
        <v>5329</v>
      </c>
      <c r="L27" s="1585" t="s">
        <v>3560</v>
      </c>
      <c r="M27" s="1585" t="s">
        <v>5406</v>
      </c>
      <c r="N27" s="1585">
        <v>1994.0</v>
      </c>
      <c r="O27" s="1587"/>
      <c r="P27" s="1585" t="s">
        <v>4845</v>
      </c>
      <c r="Q27" s="1588"/>
    </row>
    <row r="28">
      <c r="A28" s="1585" t="s">
        <v>4715</v>
      </c>
      <c r="B28" s="1590" t="s">
        <v>5407</v>
      </c>
      <c r="C28" s="1585">
        <v>1995.0</v>
      </c>
      <c r="D28" s="1585">
        <v>11.0</v>
      </c>
      <c r="E28" s="1585">
        <v>9114581.0</v>
      </c>
      <c r="F28" s="1585" t="s">
        <v>5339</v>
      </c>
      <c r="G28" s="1585" t="s">
        <v>668</v>
      </c>
      <c r="H28" s="1585" t="s">
        <v>5327</v>
      </c>
      <c r="I28" s="1586">
        <v>78479.0</v>
      </c>
      <c r="J28" s="1585" t="s">
        <v>5328</v>
      </c>
      <c r="K28" s="1585" t="s">
        <v>5329</v>
      </c>
      <c r="L28" s="1585" t="s">
        <v>5408</v>
      </c>
      <c r="M28" s="1585" t="s">
        <v>5409</v>
      </c>
      <c r="N28" s="1585">
        <v>1995.0</v>
      </c>
      <c r="O28" s="1587"/>
      <c r="P28" s="1585" t="s">
        <v>4845</v>
      </c>
      <c r="Q28" s="1588"/>
    </row>
    <row r="29">
      <c r="A29" s="1585" t="s">
        <v>4708</v>
      </c>
      <c r="B29" s="1585" t="s">
        <v>5410</v>
      </c>
      <c r="C29" s="1585">
        <v>1996.0</v>
      </c>
      <c r="D29" s="1585">
        <v>2.0</v>
      </c>
      <c r="E29" s="1585">
        <v>9115303.0</v>
      </c>
      <c r="F29" s="1585" t="s">
        <v>5339</v>
      </c>
      <c r="G29" s="1585" t="s">
        <v>668</v>
      </c>
      <c r="H29" s="1585" t="s">
        <v>5327</v>
      </c>
      <c r="I29" s="1586">
        <v>78501.0</v>
      </c>
      <c r="J29" s="1585" t="s">
        <v>5328</v>
      </c>
      <c r="K29" s="1585" t="s">
        <v>5329</v>
      </c>
      <c r="L29" s="1585" t="s">
        <v>5411</v>
      </c>
      <c r="M29" s="1585" t="s">
        <v>5412</v>
      </c>
      <c r="N29" s="1585">
        <v>1996.0</v>
      </c>
      <c r="O29" s="1587"/>
      <c r="P29" s="1585" t="s">
        <v>4845</v>
      </c>
      <c r="Q29" s="1588"/>
    </row>
    <row r="30">
      <c r="A30" s="1585" t="s">
        <v>5413</v>
      </c>
      <c r="B30" s="1585" t="s">
        <v>5414</v>
      </c>
      <c r="C30" s="1585">
        <v>1996.0</v>
      </c>
      <c r="D30" s="1585">
        <v>2.0</v>
      </c>
      <c r="E30" s="1585">
        <v>9088536.0</v>
      </c>
      <c r="F30" s="1585" t="s">
        <v>5339</v>
      </c>
      <c r="G30" s="1585" t="s">
        <v>668</v>
      </c>
      <c r="H30" s="1585" t="s">
        <v>5327</v>
      </c>
      <c r="I30" s="1586">
        <v>76893.0</v>
      </c>
      <c r="J30" s="1585" t="s">
        <v>5328</v>
      </c>
      <c r="K30" s="1585" t="s">
        <v>5329</v>
      </c>
      <c r="L30" s="1585" t="s">
        <v>5415</v>
      </c>
      <c r="M30" s="1585" t="s">
        <v>5412</v>
      </c>
      <c r="N30" s="1585">
        <v>1996.0</v>
      </c>
      <c r="O30" s="1587"/>
      <c r="P30" s="1585" t="s">
        <v>4845</v>
      </c>
      <c r="Q30" s="1588"/>
    </row>
    <row r="31">
      <c r="A31" s="1585" t="s">
        <v>5416</v>
      </c>
      <c r="B31" s="1585" t="s">
        <v>5417</v>
      </c>
      <c r="C31" s="1585">
        <v>1996.0</v>
      </c>
      <c r="D31" s="1585">
        <v>5.0</v>
      </c>
      <c r="E31" s="1585">
        <v>9113379.0</v>
      </c>
      <c r="F31" s="1585" t="s">
        <v>5343</v>
      </c>
      <c r="G31" s="1585" t="s">
        <v>668</v>
      </c>
      <c r="H31" s="1585" t="s">
        <v>5327</v>
      </c>
      <c r="I31" s="1586">
        <v>84269.0</v>
      </c>
      <c r="J31" s="1585" t="s">
        <v>5328</v>
      </c>
      <c r="K31" s="1585" t="s">
        <v>5329</v>
      </c>
      <c r="L31" s="1585" t="s">
        <v>5362</v>
      </c>
      <c r="M31" s="1585" t="s">
        <v>5418</v>
      </c>
      <c r="N31" s="1585">
        <v>1996.0</v>
      </c>
      <c r="O31" s="1588"/>
      <c r="P31" s="1585" t="s">
        <v>4845</v>
      </c>
      <c r="Q31" s="1588"/>
    </row>
    <row r="32">
      <c r="A32" s="1585" t="s">
        <v>5419</v>
      </c>
      <c r="B32" s="1585" t="s">
        <v>5420</v>
      </c>
      <c r="C32" s="1585">
        <v>1996.0</v>
      </c>
      <c r="D32" s="1585">
        <v>7.0</v>
      </c>
      <c r="E32" s="1585">
        <v>9127033.0</v>
      </c>
      <c r="F32" s="1585" t="s">
        <v>5339</v>
      </c>
      <c r="G32" s="1585" t="s">
        <v>668</v>
      </c>
      <c r="H32" s="1585" t="s">
        <v>5327</v>
      </c>
      <c r="I32" s="1586">
        <v>76882.0</v>
      </c>
      <c r="J32" s="1585" t="s">
        <v>5328</v>
      </c>
      <c r="K32" s="1585" t="s">
        <v>5329</v>
      </c>
      <c r="L32" s="1585" t="s">
        <v>3207</v>
      </c>
      <c r="M32" s="1585" t="s">
        <v>5421</v>
      </c>
      <c r="N32" s="1585">
        <v>1996.0</v>
      </c>
      <c r="O32" s="1587"/>
      <c r="P32" s="1585" t="s">
        <v>4845</v>
      </c>
      <c r="Q32" s="1588"/>
    </row>
    <row r="33">
      <c r="A33" s="1585" t="s">
        <v>4727</v>
      </c>
      <c r="B33" s="1585" t="s">
        <v>5422</v>
      </c>
      <c r="C33" s="1585">
        <v>1997.0</v>
      </c>
      <c r="D33" s="1585">
        <v>2.0</v>
      </c>
      <c r="E33" s="1585">
        <v>9134294.0</v>
      </c>
      <c r="F33" s="1585" t="s">
        <v>5339</v>
      </c>
      <c r="G33" s="1585" t="s">
        <v>668</v>
      </c>
      <c r="H33" s="1585" t="s">
        <v>5327</v>
      </c>
      <c r="I33" s="1586">
        <v>78462.0</v>
      </c>
      <c r="J33" s="1585" t="s">
        <v>5328</v>
      </c>
      <c r="K33" s="1585" t="s">
        <v>5329</v>
      </c>
      <c r="L33" s="1585" t="s">
        <v>5376</v>
      </c>
      <c r="M33" s="1585" t="s">
        <v>5423</v>
      </c>
      <c r="N33" s="1585">
        <v>1997.0</v>
      </c>
      <c r="O33" s="1587"/>
      <c r="P33" s="1585" t="s">
        <v>4845</v>
      </c>
      <c r="Q33" s="1588"/>
    </row>
    <row r="34">
      <c r="A34" s="1585" t="s">
        <v>5424</v>
      </c>
      <c r="B34" s="1585" t="s">
        <v>5425</v>
      </c>
      <c r="C34" s="1585">
        <v>1997.0</v>
      </c>
      <c r="D34" s="1585">
        <v>10.0</v>
      </c>
      <c r="E34" s="1585">
        <v>9131539.0</v>
      </c>
      <c r="F34" s="1585" t="s">
        <v>5343</v>
      </c>
      <c r="G34" s="1585" t="s">
        <v>668</v>
      </c>
      <c r="H34" s="1585" t="s">
        <v>5327</v>
      </c>
      <c r="I34" s="1586">
        <v>79526.0</v>
      </c>
      <c r="J34" s="1585" t="s">
        <v>5328</v>
      </c>
      <c r="K34" s="1585" t="s">
        <v>5329</v>
      </c>
      <c r="L34" s="1585" t="s">
        <v>3116</v>
      </c>
      <c r="M34" s="1585" t="s">
        <v>5426</v>
      </c>
      <c r="N34" s="1585">
        <v>1997.0</v>
      </c>
      <c r="O34" s="1587"/>
      <c r="P34" s="1585" t="s">
        <v>4845</v>
      </c>
      <c r="Q34" s="1588"/>
    </row>
    <row r="35">
      <c r="A35" s="1585" t="s">
        <v>5427</v>
      </c>
      <c r="B35" s="1585" t="s">
        <v>5428</v>
      </c>
      <c r="C35" s="1585">
        <v>1999.0</v>
      </c>
      <c r="D35" s="1585">
        <v>2.0</v>
      </c>
      <c r="E35" s="1585">
        <v>9172739.0</v>
      </c>
      <c r="F35" s="1585" t="s">
        <v>5339</v>
      </c>
      <c r="G35" s="1585" t="s">
        <v>668</v>
      </c>
      <c r="H35" s="1585" t="s">
        <v>5327</v>
      </c>
      <c r="I35" s="1586">
        <v>76929.0</v>
      </c>
      <c r="J35" s="1585" t="s">
        <v>5328</v>
      </c>
      <c r="K35" s="1585" t="s">
        <v>5329</v>
      </c>
      <c r="L35" s="1585" t="s">
        <v>5429</v>
      </c>
      <c r="M35" s="1585" t="s">
        <v>5430</v>
      </c>
      <c r="N35" s="1585">
        <v>1999.0</v>
      </c>
      <c r="O35" s="1587"/>
      <c r="P35" s="1585" t="s">
        <v>4774</v>
      </c>
      <c r="Q35" s="1588"/>
    </row>
    <row r="36">
      <c r="A36" s="1585" t="s">
        <v>3365</v>
      </c>
      <c r="B36" s="1588"/>
      <c r="C36" s="1585">
        <v>1999.0</v>
      </c>
      <c r="D36" s="1585">
        <v>11.0</v>
      </c>
      <c r="E36" s="1585">
        <v>9176357.0</v>
      </c>
      <c r="F36" s="1585" t="s">
        <v>5343</v>
      </c>
      <c r="G36" s="1585" t="s">
        <v>668</v>
      </c>
      <c r="H36" s="1585" t="s">
        <v>5327</v>
      </c>
      <c r="I36" s="1586">
        <v>82671.0</v>
      </c>
      <c r="J36" s="1585" t="s">
        <v>5328</v>
      </c>
      <c r="K36" s="1585" t="s">
        <v>5329</v>
      </c>
      <c r="L36" s="1585" t="s">
        <v>1174</v>
      </c>
      <c r="M36" s="1585" t="s">
        <v>5431</v>
      </c>
      <c r="N36" s="1585">
        <v>1999.0</v>
      </c>
      <c r="O36" s="1585" t="s">
        <v>5432</v>
      </c>
      <c r="P36" s="1591">
        <v>46012.0</v>
      </c>
      <c r="Q36" s="1588"/>
    </row>
    <row r="37">
      <c r="A37" s="1585" t="s">
        <v>5433</v>
      </c>
      <c r="B37" s="1585" t="s">
        <v>5434</v>
      </c>
      <c r="C37" s="1585">
        <v>1999.0</v>
      </c>
      <c r="D37" s="1585">
        <v>11.0</v>
      </c>
      <c r="E37" s="1585">
        <v>9172636.0</v>
      </c>
      <c r="F37" s="1585" t="s">
        <v>5435</v>
      </c>
      <c r="G37" s="1585" t="s">
        <v>668</v>
      </c>
      <c r="H37" s="1585" t="s">
        <v>5327</v>
      </c>
      <c r="I37" s="1586">
        <v>78432.0</v>
      </c>
      <c r="J37" s="1585" t="s">
        <v>5328</v>
      </c>
      <c r="K37" s="1585" t="s">
        <v>5329</v>
      </c>
      <c r="L37" s="1585" t="s">
        <v>3544</v>
      </c>
      <c r="M37" s="1585" t="s">
        <v>5431</v>
      </c>
      <c r="N37" s="1585">
        <v>1999.0</v>
      </c>
      <c r="O37" s="1587"/>
      <c r="P37" s="1591">
        <v>45951.0</v>
      </c>
      <c r="Q37" s="1588"/>
    </row>
    <row r="38">
      <c r="A38" s="1585" t="s">
        <v>5436</v>
      </c>
      <c r="B38" s="1585" t="s">
        <v>5437</v>
      </c>
      <c r="C38" s="1585">
        <v>2000.0</v>
      </c>
      <c r="D38" s="1585">
        <v>6.0</v>
      </c>
      <c r="E38" s="1585">
        <v>9194969.0</v>
      </c>
      <c r="F38" s="1585" t="s">
        <v>5339</v>
      </c>
      <c r="G38" s="1585" t="s">
        <v>668</v>
      </c>
      <c r="H38" s="1585" t="s">
        <v>5327</v>
      </c>
      <c r="I38" s="1586">
        <v>77310.0</v>
      </c>
      <c r="J38" s="1585" t="s">
        <v>5328</v>
      </c>
      <c r="K38" s="1585" t="s">
        <v>5329</v>
      </c>
      <c r="L38" s="1585" t="s">
        <v>3602</v>
      </c>
      <c r="M38" s="1585" t="s">
        <v>5438</v>
      </c>
      <c r="N38" s="1585">
        <v>2000.0</v>
      </c>
      <c r="O38" s="1587"/>
      <c r="P38" s="1585" t="s">
        <v>4845</v>
      </c>
      <c r="Q38" s="1588"/>
    </row>
    <row r="39">
      <c r="A39" s="1585" t="s">
        <v>5439</v>
      </c>
      <c r="B39" s="1585" t="s">
        <v>5440</v>
      </c>
      <c r="C39" s="1585">
        <v>2000.0</v>
      </c>
      <c r="D39" s="1585">
        <v>6.0</v>
      </c>
      <c r="E39" s="1585">
        <v>9195494.0</v>
      </c>
      <c r="F39" s="1585" t="s">
        <v>5441</v>
      </c>
      <c r="G39" s="1585" t="s">
        <v>720</v>
      </c>
      <c r="H39" s="1585" t="s">
        <v>5327</v>
      </c>
      <c r="I39" s="1586">
        <v>77105.0</v>
      </c>
      <c r="J39" s="1585" t="s">
        <v>5328</v>
      </c>
      <c r="K39" s="1585" t="s">
        <v>5329</v>
      </c>
      <c r="L39" s="1585" t="s">
        <v>942</v>
      </c>
      <c r="M39" s="1585" t="s">
        <v>5438</v>
      </c>
      <c r="N39" s="1585">
        <v>2000.0</v>
      </c>
      <c r="O39" s="1587"/>
      <c r="P39" s="1585" t="s">
        <v>4845</v>
      </c>
      <c r="Q39" s="1588"/>
    </row>
    <row r="40">
      <c r="A40" s="1585" t="s">
        <v>4926</v>
      </c>
      <c r="B40" s="1588"/>
      <c r="C40" s="1585">
        <v>2000.0</v>
      </c>
      <c r="D40" s="1585">
        <v>10.0</v>
      </c>
      <c r="E40" s="1585">
        <v>9176369.0</v>
      </c>
      <c r="F40" s="1585" t="s">
        <v>5343</v>
      </c>
      <c r="G40" s="1585" t="s">
        <v>668</v>
      </c>
      <c r="H40" s="1585" t="s">
        <v>5327</v>
      </c>
      <c r="I40" s="1586">
        <v>82623.0</v>
      </c>
      <c r="J40" s="1585" t="s">
        <v>5328</v>
      </c>
      <c r="K40" s="1585" t="s">
        <v>5329</v>
      </c>
      <c r="L40" s="1585" t="s">
        <v>1174</v>
      </c>
      <c r="M40" s="1585" t="s">
        <v>5442</v>
      </c>
      <c r="N40" s="1585">
        <v>2000.0</v>
      </c>
      <c r="O40" s="1585" t="s">
        <v>5432</v>
      </c>
      <c r="P40" s="1585" t="s">
        <v>4845</v>
      </c>
      <c r="Q40" s="1588"/>
    </row>
    <row r="41">
      <c r="A41" s="1585" t="s">
        <v>3902</v>
      </c>
      <c r="B41" s="1588"/>
      <c r="C41" s="1585">
        <v>2000.0</v>
      </c>
      <c r="D41" s="1585">
        <v>10.0</v>
      </c>
      <c r="E41" s="1585">
        <v>9206384.0</v>
      </c>
      <c r="F41" s="1585" t="s">
        <v>5339</v>
      </c>
      <c r="G41" s="1585" t="s">
        <v>668</v>
      </c>
      <c r="H41" s="1585" t="s">
        <v>5327</v>
      </c>
      <c r="I41" s="1586">
        <v>78874.0</v>
      </c>
      <c r="J41" s="1585" t="s">
        <v>5328</v>
      </c>
      <c r="K41" s="1585" t="s">
        <v>5329</v>
      </c>
      <c r="L41" s="1585" t="s">
        <v>3214</v>
      </c>
      <c r="M41" s="1585" t="s">
        <v>5442</v>
      </c>
      <c r="N41" s="1585">
        <v>2000.0</v>
      </c>
      <c r="O41" s="1587"/>
      <c r="P41" s="1591">
        <v>45983.0</v>
      </c>
      <c r="Q41" s="1588"/>
    </row>
    <row r="42">
      <c r="A42" s="1585" t="s">
        <v>5443</v>
      </c>
      <c r="B42" s="1585" t="s">
        <v>5444</v>
      </c>
      <c r="C42" s="1585">
        <v>2000.0</v>
      </c>
      <c r="D42" s="1585">
        <v>11.0</v>
      </c>
      <c r="E42" s="1585">
        <v>9193721.0</v>
      </c>
      <c r="F42" s="1585" t="s">
        <v>5445</v>
      </c>
      <c r="G42" s="1585" t="s">
        <v>2738</v>
      </c>
      <c r="H42" s="1585" t="s">
        <v>5327</v>
      </c>
      <c r="I42" s="1586">
        <v>78551.0</v>
      </c>
      <c r="J42" s="1585" t="s">
        <v>5328</v>
      </c>
      <c r="K42" s="1585" t="s">
        <v>5329</v>
      </c>
      <c r="L42" s="1585" t="s">
        <v>5376</v>
      </c>
      <c r="M42" s="1585" t="s">
        <v>5446</v>
      </c>
      <c r="N42" s="1585">
        <v>2000.0</v>
      </c>
      <c r="O42" s="1587"/>
      <c r="P42" s="1585" t="e">
        <v>#N/A</v>
      </c>
      <c r="Q42" s="1585" t="e">
        <v>#N/A</v>
      </c>
    </row>
    <row r="43">
      <c r="A43" s="1585" t="s">
        <v>5447</v>
      </c>
      <c r="B43" s="1588"/>
      <c r="C43" s="1585">
        <v>2001.0</v>
      </c>
      <c r="D43" s="1585">
        <v>1.0</v>
      </c>
      <c r="E43" s="1585">
        <v>9206396.0</v>
      </c>
      <c r="F43" s="1585" t="s">
        <v>5339</v>
      </c>
      <c r="G43" s="1585" t="s">
        <v>668</v>
      </c>
      <c r="H43" s="1585" t="s">
        <v>5327</v>
      </c>
      <c r="I43" s="1586">
        <v>77334.0</v>
      </c>
      <c r="J43" s="1585" t="s">
        <v>5328</v>
      </c>
      <c r="K43" s="1585" t="s">
        <v>5329</v>
      </c>
      <c r="L43" s="1585" t="s">
        <v>3207</v>
      </c>
      <c r="M43" s="1592">
        <v>45658.0</v>
      </c>
      <c r="N43" s="1585">
        <v>2001.0</v>
      </c>
      <c r="O43" s="1587"/>
      <c r="P43" s="1591">
        <v>45710.0</v>
      </c>
      <c r="Q43" s="1588"/>
    </row>
    <row r="44">
      <c r="A44" s="1585" t="s">
        <v>5448</v>
      </c>
      <c r="B44" s="1585" t="s">
        <v>5449</v>
      </c>
      <c r="C44" s="1585">
        <v>2001.0</v>
      </c>
      <c r="D44" s="1585">
        <v>2.0</v>
      </c>
      <c r="E44" s="1585">
        <v>9193733.0</v>
      </c>
      <c r="F44" s="1585" t="s">
        <v>5445</v>
      </c>
      <c r="G44" s="1585" t="s">
        <v>2738</v>
      </c>
      <c r="H44" s="1585" t="s">
        <v>5327</v>
      </c>
      <c r="I44" s="1586">
        <v>78647.0</v>
      </c>
      <c r="J44" s="1585" t="s">
        <v>5328</v>
      </c>
      <c r="K44" s="1585" t="s">
        <v>5329</v>
      </c>
      <c r="L44" s="1585" t="s">
        <v>5369</v>
      </c>
      <c r="M44" s="1592">
        <v>45689.0</v>
      </c>
      <c r="N44" s="1585">
        <v>2001.0</v>
      </c>
      <c r="O44" s="1587"/>
      <c r="P44" s="1585" t="s">
        <v>4774</v>
      </c>
      <c r="Q44" s="1588"/>
    </row>
    <row r="45">
      <c r="A45" s="1585" t="s">
        <v>5450</v>
      </c>
      <c r="B45" s="1585" t="s">
        <v>5451</v>
      </c>
      <c r="C45" s="1585">
        <v>2001.0</v>
      </c>
      <c r="D45" s="1585">
        <v>3.0</v>
      </c>
      <c r="E45" s="1585">
        <v>9223540.0</v>
      </c>
      <c r="F45" s="1585" t="s">
        <v>5343</v>
      </c>
      <c r="G45" s="1585" t="s">
        <v>668</v>
      </c>
      <c r="H45" s="1585" t="s">
        <v>5327</v>
      </c>
      <c r="I45" s="1586">
        <v>79538.0</v>
      </c>
      <c r="J45" s="1585" t="s">
        <v>5328</v>
      </c>
      <c r="K45" s="1585" t="s">
        <v>5329</v>
      </c>
      <c r="L45" s="1585" t="s">
        <v>5376</v>
      </c>
      <c r="M45" s="1592">
        <v>45717.0</v>
      </c>
      <c r="N45" s="1585">
        <v>2001.0</v>
      </c>
      <c r="O45" s="1587"/>
      <c r="P45" s="1585" t="s">
        <v>4845</v>
      </c>
      <c r="Q45" s="1588"/>
    </row>
    <row r="46">
      <c r="A46" s="1585" t="s">
        <v>5452</v>
      </c>
      <c r="B46" s="1585" t="s">
        <v>3670</v>
      </c>
      <c r="C46" s="1585">
        <v>2001.0</v>
      </c>
      <c r="D46" s="1585">
        <v>6.0</v>
      </c>
      <c r="E46" s="1585">
        <v>9225342.0</v>
      </c>
      <c r="F46" s="1585" t="s">
        <v>5339</v>
      </c>
      <c r="G46" s="1585" t="s">
        <v>668</v>
      </c>
      <c r="H46" s="1585" t="s">
        <v>5327</v>
      </c>
      <c r="I46" s="1586">
        <v>77343.0</v>
      </c>
      <c r="J46" s="1585" t="s">
        <v>5328</v>
      </c>
      <c r="K46" s="1585" t="s">
        <v>5329</v>
      </c>
      <c r="L46" s="1585" t="s">
        <v>3602</v>
      </c>
      <c r="M46" s="1592">
        <v>45809.0</v>
      </c>
      <c r="N46" s="1585">
        <v>2001.0</v>
      </c>
      <c r="O46" s="1587"/>
      <c r="P46" s="1585" t="s">
        <v>4774</v>
      </c>
      <c r="Q46" s="1588"/>
    </row>
    <row r="47">
      <c r="A47" s="1585" t="s">
        <v>5453</v>
      </c>
      <c r="B47" s="1585" t="s">
        <v>5454</v>
      </c>
      <c r="C47" s="1585">
        <v>2001.0</v>
      </c>
      <c r="D47" s="1585">
        <v>8.0</v>
      </c>
      <c r="E47" s="1585">
        <v>9208227.0</v>
      </c>
      <c r="F47" s="1585" t="s">
        <v>5343</v>
      </c>
      <c r="G47" s="1585" t="s">
        <v>668</v>
      </c>
      <c r="H47" s="1585" t="s">
        <v>5327</v>
      </c>
      <c r="I47" s="1586">
        <v>84301.0</v>
      </c>
      <c r="J47" s="1585" t="s">
        <v>5328</v>
      </c>
      <c r="K47" s="1585" t="s">
        <v>5329</v>
      </c>
      <c r="L47" s="1585" t="s">
        <v>3460</v>
      </c>
      <c r="M47" s="1592">
        <v>45870.0</v>
      </c>
      <c r="N47" s="1585">
        <v>2001.0</v>
      </c>
      <c r="O47" s="1585" t="s">
        <v>5455</v>
      </c>
      <c r="P47" s="1591">
        <v>46012.0</v>
      </c>
      <c r="Q47" s="1588"/>
    </row>
    <row r="48">
      <c r="A48" s="1585" t="s">
        <v>3417</v>
      </c>
      <c r="B48" s="1585" t="s">
        <v>5456</v>
      </c>
      <c r="C48" s="1585">
        <v>2001.0</v>
      </c>
      <c r="D48" s="1585">
        <v>9.0</v>
      </c>
      <c r="E48" s="1585">
        <v>9232503.0</v>
      </c>
      <c r="F48" s="1585" t="s">
        <v>5343</v>
      </c>
      <c r="G48" s="1585" t="s">
        <v>668</v>
      </c>
      <c r="H48" s="1585" t="s">
        <v>5327</v>
      </c>
      <c r="I48" s="1586">
        <v>82488.0</v>
      </c>
      <c r="J48" s="1585" t="s">
        <v>5328</v>
      </c>
      <c r="K48" s="1585" t="s">
        <v>5329</v>
      </c>
      <c r="L48" s="1585" t="s">
        <v>5457</v>
      </c>
      <c r="M48" s="1592">
        <v>45901.0</v>
      </c>
      <c r="N48" s="1585">
        <v>2001.0</v>
      </c>
      <c r="O48" s="1585" t="s">
        <v>5455</v>
      </c>
      <c r="P48" s="1591">
        <v>45738.0</v>
      </c>
      <c r="Q48" s="1588"/>
    </row>
    <row r="49">
      <c r="A49" s="1585" t="s">
        <v>5458</v>
      </c>
      <c r="B49" s="1585" t="s">
        <v>5459</v>
      </c>
      <c r="C49" s="1585">
        <v>2001.0</v>
      </c>
      <c r="D49" s="1585">
        <v>12.0</v>
      </c>
      <c r="E49" s="1585">
        <v>9208239.0</v>
      </c>
      <c r="F49" s="1585" t="s">
        <v>5343</v>
      </c>
      <c r="G49" s="1585" t="s">
        <v>668</v>
      </c>
      <c r="H49" s="1585" t="s">
        <v>5327</v>
      </c>
      <c r="I49" s="1586">
        <v>82614.0</v>
      </c>
      <c r="J49" s="1585" t="s">
        <v>5328</v>
      </c>
      <c r="K49" s="1585" t="s">
        <v>5329</v>
      </c>
      <c r="L49" s="1585" t="s">
        <v>3586</v>
      </c>
      <c r="M49" s="1592">
        <v>45992.0</v>
      </c>
      <c r="N49" s="1585">
        <v>2001.0</v>
      </c>
      <c r="O49" s="1588"/>
      <c r="P49" s="1585" t="s">
        <v>4845</v>
      </c>
      <c r="Q49" s="1588"/>
    </row>
    <row r="50">
      <c r="A50" s="1585" t="s">
        <v>3891</v>
      </c>
      <c r="B50" s="1588"/>
      <c r="C50" s="1585">
        <v>2002.0</v>
      </c>
      <c r="D50" s="1585">
        <v>1.0</v>
      </c>
      <c r="E50" s="1585">
        <v>9238272.0</v>
      </c>
      <c r="F50" s="1585" t="s">
        <v>5339</v>
      </c>
      <c r="G50" s="1585" t="s">
        <v>668</v>
      </c>
      <c r="H50" s="1585" t="s">
        <v>5327</v>
      </c>
      <c r="I50" s="1586">
        <v>77351.0</v>
      </c>
      <c r="J50" s="1585" t="s">
        <v>5328</v>
      </c>
      <c r="K50" s="1585" t="s">
        <v>5329</v>
      </c>
      <c r="L50" s="1585" t="s">
        <v>3214</v>
      </c>
      <c r="M50" s="1592">
        <v>45659.0</v>
      </c>
      <c r="N50" s="1585">
        <v>2002.0</v>
      </c>
      <c r="O50" s="1587"/>
      <c r="P50" s="1591">
        <v>45710.0</v>
      </c>
      <c r="Q50" s="1588"/>
    </row>
    <row r="51">
      <c r="A51" s="1585" t="s">
        <v>4403</v>
      </c>
      <c r="B51" s="1585" t="s">
        <v>5460</v>
      </c>
      <c r="C51" s="1585">
        <v>2002.0</v>
      </c>
      <c r="D51" s="1585">
        <v>9.0</v>
      </c>
      <c r="E51" s="1585">
        <v>9232515.0</v>
      </c>
      <c r="F51" s="1585" t="s">
        <v>5343</v>
      </c>
      <c r="G51" s="1585" t="s">
        <v>668</v>
      </c>
      <c r="H51" s="1585" t="s">
        <v>5327</v>
      </c>
      <c r="I51" s="1586">
        <v>80898.0</v>
      </c>
      <c r="J51" s="1585" t="s">
        <v>5328</v>
      </c>
      <c r="K51" s="1585" t="s">
        <v>5329</v>
      </c>
      <c r="L51" s="1585" t="s">
        <v>3141</v>
      </c>
      <c r="M51" s="1592">
        <v>45902.0</v>
      </c>
      <c r="N51" s="1585">
        <v>2002.0</v>
      </c>
      <c r="O51" s="1587"/>
      <c r="P51" s="1585" t="s">
        <v>4845</v>
      </c>
      <c r="Q51" s="1588"/>
    </row>
    <row r="52">
      <c r="A52" s="1585" t="s">
        <v>3885</v>
      </c>
      <c r="B52" s="1585" t="s">
        <v>5461</v>
      </c>
      <c r="C52" s="1585">
        <v>2002.0</v>
      </c>
      <c r="D52" s="1585">
        <v>10.0</v>
      </c>
      <c r="E52" s="1585">
        <v>9264908.0</v>
      </c>
      <c r="F52" s="1585" t="s">
        <v>5343</v>
      </c>
      <c r="G52" s="1585" t="s">
        <v>668</v>
      </c>
      <c r="H52" s="1585" t="s">
        <v>5327</v>
      </c>
      <c r="I52" s="1586">
        <v>79514.0</v>
      </c>
      <c r="J52" s="1585" t="s">
        <v>5328</v>
      </c>
      <c r="K52" s="1585" t="s">
        <v>5329</v>
      </c>
      <c r="L52" s="1585" t="s">
        <v>2901</v>
      </c>
      <c r="M52" s="1592">
        <v>45932.0</v>
      </c>
      <c r="N52" s="1585">
        <v>2002.0</v>
      </c>
      <c r="O52" s="1587"/>
      <c r="P52" s="1591">
        <v>45982.0</v>
      </c>
      <c r="Q52" s="1588"/>
    </row>
    <row r="53">
      <c r="A53" s="1585" t="s">
        <v>5462</v>
      </c>
      <c r="B53" s="1585" t="s">
        <v>5463</v>
      </c>
      <c r="C53" s="1585">
        <v>2003.0</v>
      </c>
      <c r="D53" s="1585">
        <v>1.0</v>
      </c>
      <c r="E53" s="1585">
        <v>9317298.0</v>
      </c>
      <c r="F53" s="1585" t="s">
        <v>5343</v>
      </c>
      <c r="G53" s="1585" t="s">
        <v>668</v>
      </c>
      <c r="H53" s="1585" t="s">
        <v>5327</v>
      </c>
      <c r="I53" s="1586">
        <v>80906.0</v>
      </c>
      <c r="J53" s="1585" t="s">
        <v>5328</v>
      </c>
      <c r="K53" s="1585" t="s">
        <v>5329</v>
      </c>
      <c r="L53" s="1585" t="s">
        <v>5464</v>
      </c>
      <c r="M53" s="1592">
        <v>45660.0</v>
      </c>
      <c r="N53" s="1585">
        <v>2003.0</v>
      </c>
      <c r="O53" s="1587"/>
      <c r="P53" s="1585" t="s">
        <v>4845</v>
      </c>
      <c r="Q53" s="1588"/>
    </row>
    <row r="54">
      <c r="A54" s="1585" t="s">
        <v>3870</v>
      </c>
      <c r="B54" s="1588"/>
      <c r="C54" s="1585">
        <v>2003.0</v>
      </c>
      <c r="D54" s="1585">
        <v>2.0</v>
      </c>
      <c r="E54" s="1585">
        <v>9249336.0</v>
      </c>
      <c r="F54" s="1585" t="s">
        <v>5339</v>
      </c>
      <c r="G54" s="1585" t="s">
        <v>668</v>
      </c>
      <c r="H54" s="1585" t="s">
        <v>5327</v>
      </c>
      <c r="I54" s="1586">
        <v>77367.0</v>
      </c>
      <c r="J54" s="1585" t="s">
        <v>5328</v>
      </c>
      <c r="K54" s="1585" t="s">
        <v>5329</v>
      </c>
      <c r="L54" s="1585" t="s">
        <v>3207</v>
      </c>
      <c r="M54" s="1592">
        <v>45691.0</v>
      </c>
      <c r="N54" s="1585">
        <v>2003.0</v>
      </c>
      <c r="O54" s="1587"/>
      <c r="P54" s="1591">
        <v>46012.0</v>
      </c>
      <c r="Q54" s="1588"/>
    </row>
    <row r="55">
      <c r="A55" s="1585" t="s">
        <v>5465</v>
      </c>
      <c r="B55" s="1585" t="s">
        <v>5466</v>
      </c>
      <c r="C55" s="1585">
        <v>2003.0</v>
      </c>
      <c r="D55" s="1585">
        <v>4.0</v>
      </c>
      <c r="E55" s="1585">
        <v>9240419.0</v>
      </c>
      <c r="F55" s="1585" t="s">
        <v>5467</v>
      </c>
      <c r="G55" s="1585" t="s">
        <v>720</v>
      </c>
      <c r="H55" s="1585" t="s">
        <v>5327</v>
      </c>
      <c r="I55" s="1586">
        <v>82194.0</v>
      </c>
      <c r="J55" s="1585" t="s">
        <v>5328</v>
      </c>
      <c r="K55" s="1585" t="s">
        <v>5329</v>
      </c>
      <c r="L55" s="1585" t="s">
        <v>3544</v>
      </c>
      <c r="M55" s="1592">
        <v>45750.0</v>
      </c>
      <c r="N55" s="1585">
        <v>2003.0</v>
      </c>
      <c r="O55" s="1585" t="s">
        <v>5386</v>
      </c>
      <c r="P55" s="1585" t="s">
        <v>4997</v>
      </c>
      <c r="Q55" s="1588"/>
    </row>
    <row r="56">
      <c r="A56" s="1585" t="s">
        <v>5468</v>
      </c>
      <c r="B56" s="1585" t="s">
        <v>5469</v>
      </c>
      <c r="C56" s="1585">
        <v>2003.0</v>
      </c>
      <c r="D56" s="1585">
        <v>6.0</v>
      </c>
      <c r="E56" s="1585">
        <v>9240421.0</v>
      </c>
      <c r="F56" s="1585" t="s">
        <v>5467</v>
      </c>
      <c r="G56" s="1585" t="s">
        <v>720</v>
      </c>
      <c r="H56" s="1585" t="s">
        <v>5327</v>
      </c>
      <c r="I56" s="1586">
        <v>82173.0</v>
      </c>
      <c r="J56" s="1585" t="s">
        <v>5328</v>
      </c>
      <c r="K56" s="1585" t="s">
        <v>5329</v>
      </c>
      <c r="L56" s="1585" t="s">
        <v>3610</v>
      </c>
      <c r="M56" s="1592">
        <v>45811.0</v>
      </c>
      <c r="N56" s="1585">
        <v>2003.0</v>
      </c>
      <c r="O56" s="1585" t="s">
        <v>5386</v>
      </c>
      <c r="P56" s="1585" t="s">
        <v>4845</v>
      </c>
      <c r="Q56" s="1588"/>
    </row>
    <row r="57">
      <c r="A57" s="1585" t="s">
        <v>5470</v>
      </c>
      <c r="B57" s="1585" t="s">
        <v>5471</v>
      </c>
      <c r="C57" s="1585">
        <v>2003.0</v>
      </c>
      <c r="D57" s="1585">
        <v>6.0</v>
      </c>
      <c r="E57" s="1585">
        <v>9274563.0</v>
      </c>
      <c r="F57" s="1585" t="s">
        <v>5343</v>
      </c>
      <c r="G57" s="1585" t="s">
        <v>668</v>
      </c>
      <c r="H57" s="1585" t="s">
        <v>5327</v>
      </c>
      <c r="I57" s="1586">
        <v>78536.0</v>
      </c>
      <c r="J57" s="1585" t="s">
        <v>5328</v>
      </c>
      <c r="K57" s="1585" t="s">
        <v>5329</v>
      </c>
      <c r="L57" s="1585" t="s">
        <v>5472</v>
      </c>
      <c r="M57" s="1592">
        <v>45811.0</v>
      </c>
      <c r="N57" s="1585">
        <v>2003.0</v>
      </c>
      <c r="O57" s="1587"/>
      <c r="P57" s="1585" t="s">
        <v>4845</v>
      </c>
      <c r="Q57" s="1588"/>
    </row>
    <row r="58">
      <c r="A58" s="1585" t="s">
        <v>4627</v>
      </c>
      <c r="B58" s="1588"/>
      <c r="C58" s="1585">
        <v>2003.0</v>
      </c>
      <c r="D58" s="1585">
        <v>6.0</v>
      </c>
      <c r="E58" s="1585">
        <v>9255701.0</v>
      </c>
      <c r="F58" s="1585" t="s">
        <v>5339</v>
      </c>
      <c r="G58" s="1585" t="s">
        <v>668</v>
      </c>
      <c r="H58" s="1585" t="s">
        <v>5327</v>
      </c>
      <c r="I58" s="1586">
        <v>77356.0</v>
      </c>
      <c r="J58" s="1585" t="s">
        <v>5328</v>
      </c>
      <c r="K58" s="1585" t="s">
        <v>5329</v>
      </c>
      <c r="L58" s="1585" t="s">
        <v>667</v>
      </c>
      <c r="M58" s="1592">
        <v>45811.0</v>
      </c>
      <c r="N58" s="1585">
        <v>2003.0</v>
      </c>
      <c r="O58" s="1587"/>
      <c r="P58" s="1585" t="s">
        <v>4845</v>
      </c>
      <c r="Q58" s="1588"/>
    </row>
    <row r="59">
      <c r="A59" s="1585" t="s">
        <v>3924</v>
      </c>
      <c r="B59" s="1588"/>
      <c r="C59" s="1585">
        <v>2003.0</v>
      </c>
      <c r="D59" s="1585">
        <v>10.0</v>
      </c>
      <c r="E59" s="1585">
        <v>9249049.0</v>
      </c>
      <c r="F59" s="1585" t="s">
        <v>5467</v>
      </c>
      <c r="G59" s="1585" t="s">
        <v>720</v>
      </c>
      <c r="H59" s="1585" t="s">
        <v>5327</v>
      </c>
      <c r="I59" s="1586">
        <v>80595.0</v>
      </c>
      <c r="J59" s="1585" t="s">
        <v>5328</v>
      </c>
      <c r="K59" s="1585" t="s">
        <v>5329</v>
      </c>
      <c r="L59" s="1585" t="s">
        <v>5473</v>
      </c>
      <c r="M59" s="1592">
        <v>45933.0</v>
      </c>
      <c r="N59" s="1585">
        <v>2003.0</v>
      </c>
      <c r="O59" s="1587"/>
      <c r="P59" s="1591">
        <v>45679.0</v>
      </c>
      <c r="Q59" s="1588"/>
    </row>
    <row r="60">
      <c r="A60" s="1585" t="s">
        <v>3869</v>
      </c>
      <c r="B60" s="1588"/>
      <c r="C60" s="1585">
        <v>2003.0</v>
      </c>
      <c r="D60" s="1585">
        <v>12.0</v>
      </c>
      <c r="E60" s="1585">
        <v>9255713.0</v>
      </c>
      <c r="F60" s="1585" t="s">
        <v>5339</v>
      </c>
      <c r="G60" s="1585" t="s">
        <v>668</v>
      </c>
      <c r="H60" s="1585" t="s">
        <v>5327</v>
      </c>
      <c r="I60" s="1586">
        <v>77330.0</v>
      </c>
      <c r="J60" s="1585" t="s">
        <v>5328</v>
      </c>
      <c r="K60" s="1585" t="s">
        <v>5329</v>
      </c>
      <c r="L60" s="1585" t="s">
        <v>3207</v>
      </c>
      <c r="M60" s="1592">
        <v>45994.0</v>
      </c>
      <c r="N60" s="1585">
        <v>2003.0</v>
      </c>
      <c r="O60" s="1587"/>
      <c r="P60" s="1591">
        <v>46012.0</v>
      </c>
      <c r="Q60" s="1588"/>
    </row>
    <row r="61">
      <c r="A61" s="1585" t="s">
        <v>3712</v>
      </c>
      <c r="B61" s="1588"/>
      <c r="C61" s="1585">
        <v>2004.0</v>
      </c>
      <c r="D61" s="1585">
        <v>5.0</v>
      </c>
      <c r="E61" s="1585">
        <v>9287948.0</v>
      </c>
      <c r="F61" s="1585" t="s">
        <v>5339</v>
      </c>
      <c r="G61" s="1585" t="s">
        <v>668</v>
      </c>
      <c r="H61" s="1585" t="s">
        <v>5327</v>
      </c>
      <c r="I61" s="1586">
        <v>77340.0</v>
      </c>
      <c r="J61" s="1585" t="s">
        <v>5328</v>
      </c>
      <c r="K61" s="1585" t="s">
        <v>5329</v>
      </c>
      <c r="L61" s="1585" t="s">
        <v>3214</v>
      </c>
      <c r="M61" s="1593">
        <v>45781.0</v>
      </c>
      <c r="N61" s="1585">
        <v>2004.0</v>
      </c>
      <c r="O61" s="1587"/>
      <c r="P61" s="1591">
        <v>45743.0</v>
      </c>
      <c r="Q61" s="1588"/>
    </row>
    <row r="62">
      <c r="A62" s="1585" t="s">
        <v>5474</v>
      </c>
      <c r="B62" s="1585" t="s">
        <v>5475</v>
      </c>
      <c r="C62" s="1585">
        <v>2004.0</v>
      </c>
      <c r="D62" s="1585">
        <v>9.0</v>
      </c>
      <c r="E62" s="1585">
        <v>9282106.0</v>
      </c>
      <c r="F62" s="1585" t="s">
        <v>5476</v>
      </c>
      <c r="G62" s="1585" t="s">
        <v>668</v>
      </c>
      <c r="H62" s="1585" t="s">
        <v>5327</v>
      </c>
      <c r="I62" s="1586">
        <v>80874.0</v>
      </c>
      <c r="J62" s="1585" t="s">
        <v>5328</v>
      </c>
      <c r="K62" s="1585" t="s">
        <v>5329</v>
      </c>
      <c r="L62" s="1585" t="s">
        <v>5477</v>
      </c>
      <c r="M62" s="1592">
        <v>45904.0</v>
      </c>
      <c r="N62" s="1585">
        <v>2004.0</v>
      </c>
      <c r="O62" s="1587"/>
      <c r="P62" s="1585" t="e">
        <v>#N/A</v>
      </c>
      <c r="Q62" s="1585" t="e">
        <v>#N/A</v>
      </c>
    </row>
    <row r="63">
      <c r="A63" s="1585" t="s">
        <v>5478</v>
      </c>
      <c r="B63" s="1585" t="s">
        <v>5479</v>
      </c>
      <c r="C63" s="1585">
        <v>2005.0</v>
      </c>
      <c r="D63" s="1585">
        <v>1.0</v>
      </c>
      <c r="E63" s="1585">
        <v>9290270.0</v>
      </c>
      <c r="F63" s="1585" t="s">
        <v>5441</v>
      </c>
      <c r="G63" s="1585" t="s">
        <v>720</v>
      </c>
      <c r="H63" s="1585" t="s">
        <v>5327</v>
      </c>
      <c r="I63" s="1586">
        <v>77105.0</v>
      </c>
      <c r="J63" s="1585" t="s">
        <v>5328</v>
      </c>
      <c r="K63" s="1585" t="s">
        <v>5329</v>
      </c>
      <c r="L63" s="1585" t="s">
        <v>3610</v>
      </c>
      <c r="M63" s="1592">
        <v>45662.0</v>
      </c>
      <c r="N63" s="1585">
        <v>2005.0</v>
      </c>
      <c r="O63" s="1587"/>
      <c r="P63" s="1585" t="s">
        <v>4845</v>
      </c>
      <c r="Q63" s="1588"/>
    </row>
    <row r="64">
      <c r="A64" s="1585" t="s">
        <v>5480</v>
      </c>
      <c r="B64" s="1585" t="s">
        <v>5481</v>
      </c>
      <c r="C64" s="1585">
        <v>2005.0</v>
      </c>
      <c r="D64" s="1585">
        <v>3.0</v>
      </c>
      <c r="E64" s="1585">
        <v>9317298.0</v>
      </c>
      <c r="F64" s="1585" t="s">
        <v>5339</v>
      </c>
      <c r="G64" s="1585" t="s">
        <v>668</v>
      </c>
      <c r="H64" s="1585" t="s">
        <v>5327</v>
      </c>
      <c r="I64" s="1586">
        <v>77330.0</v>
      </c>
      <c r="J64" s="1585" t="s">
        <v>5328</v>
      </c>
      <c r="K64" s="1585" t="s">
        <v>5329</v>
      </c>
      <c r="L64" s="1585" t="s">
        <v>5464</v>
      </c>
      <c r="M64" s="1592">
        <v>45721.0</v>
      </c>
      <c r="N64" s="1585">
        <v>2005.0</v>
      </c>
      <c r="O64" s="1587"/>
      <c r="P64" s="1585" t="s">
        <v>4845</v>
      </c>
      <c r="Q64" s="1588"/>
    </row>
    <row r="65">
      <c r="A65" s="1585" t="s">
        <v>4012</v>
      </c>
      <c r="B65" s="1588"/>
      <c r="C65" s="1585">
        <v>2005.0</v>
      </c>
      <c r="D65" s="1585">
        <v>12.0</v>
      </c>
      <c r="E65" s="1585">
        <v>9321225.0</v>
      </c>
      <c r="F65" s="1585" t="s">
        <v>5339</v>
      </c>
      <c r="G65" s="1585" t="s">
        <v>668</v>
      </c>
      <c r="H65" s="1585" t="s">
        <v>5327</v>
      </c>
      <c r="I65" s="1586">
        <v>78913.0</v>
      </c>
      <c r="J65" s="1585" t="s">
        <v>5328</v>
      </c>
      <c r="K65" s="1585" t="s">
        <v>5329</v>
      </c>
      <c r="L65" s="1585" t="s">
        <v>2900</v>
      </c>
      <c r="M65" s="1592">
        <v>45996.0</v>
      </c>
      <c r="N65" s="1585">
        <v>2005.0</v>
      </c>
      <c r="O65" s="1587"/>
      <c r="P65" s="1591">
        <v>45679.0</v>
      </c>
      <c r="Q65" s="1588"/>
    </row>
    <row r="66">
      <c r="A66" s="1585" t="s">
        <v>3860</v>
      </c>
      <c r="B66" s="1588"/>
      <c r="C66" s="1585">
        <v>2006.0</v>
      </c>
      <c r="D66" s="1585">
        <v>2.0</v>
      </c>
      <c r="E66" s="1585">
        <v>9308493.0</v>
      </c>
      <c r="F66" s="1585" t="s">
        <v>5467</v>
      </c>
      <c r="G66" s="1585" t="s">
        <v>720</v>
      </c>
      <c r="H66" s="1585" t="s">
        <v>5327</v>
      </c>
      <c r="I66" s="1586">
        <v>80607.0</v>
      </c>
      <c r="J66" s="1585" t="s">
        <v>5328</v>
      </c>
      <c r="K66" s="1585" t="s">
        <v>5329</v>
      </c>
      <c r="L66" s="1585" t="s">
        <v>5482</v>
      </c>
      <c r="M66" s="1592">
        <v>45694.0</v>
      </c>
      <c r="N66" s="1585">
        <v>2006.0</v>
      </c>
      <c r="O66" s="1587"/>
      <c r="P66" s="1591">
        <v>45830.0</v>
      </c>
      <c r="Q66" s="1588"/>
    </row>
    <row r="67">
      <c r="A67" s="1585" t="s">
        <v>4150</v>
      </c>
      <c r="B67" s="1585" t="s">
        <v>5483</v>
      </c>
      <c r="C67" s="1585">
        <v>2006.0</v>
      </c>
      <c r="D67" s="1585">
        <v>3.0</v>
      </c>
      <c r="E67" s="1585">
        <v>9307736.0</v>
      </c>
      <c r="F67" s="1585" t="s">
        <v>5339</v>
      </c>
      <c r="G67" s="1585" t="s">
        <v>668</v>
      </c>
      <c r="H67" s="1585" t="s">
        <v>5327</v>
      </c>
      <c r="I67" s="1586">
        <v>81605.0</v>
      </c>
      <c r="J67" s="1585" t="s">
        <v>5328</v>
      </c>
      <c r="K67" s="1585" t="s">
        <v>5329</v>
      </c>
      <c r="L67" s="1585" t="s">
        <v>3560</v>
      </c>
      <c r="M67" s="1592">
        <v>45722.0</v>
      </c>
      <c r="N67" s="1585">
        <v>2006.0</v>
      </c>
      <c r="O67" s="1588"/>
      <c r="P67" s="1585" t="s">
        <v>4845</v>
      </c>
      <c r="Q67" s="1588"/>
    </row>
    <row r="68">
      <c r="A68" s="1585" t="s">
        <v>5484</v>
      </c>
      <c r="B68" s="1585" t="s">
        <v>5485</v>
      </c>
      <c r="C68" s="1585">
        <v>2006.0</v>
      </c>
      <c r="D68" s="1585">
        <v>3.0</v>
      </c>
      <c r="E68" s="1585">
        <v>9306548.0</v>
      </c>
      <c r="F68" s="1585" t="s">
        <v>5441</v>
      </c>
      <c r="G68" s="1585" t="s">
        <v>720</v>
      </c>
      <c r="H68" s="1585" t="s">
        <v>5327</v>
      </c>
      <c r="I68" s="1586">
        <v>78631.0</v>
      </c>
      <c r="J68" s="1585" t="s">
        <v>5328</v>
      </c>
      <c r="K68" s="1585" t="s">
        <v>5329</v>
      </c>
      <c r="L68" s="1585" t="s">
        <v>2935</v>
      </c>
      <c r="M68" s="1592">
        <v>45722.0</v>
      </c>
      <c r="N68" s="1585">
        <v>2006.0</v>
      </c>
      <c r="O68" s="1587"/>
      <c r="P68" s="1591">
        <v>46012.0</v>
      </c>
      <c r="Q68" s="1588"/>
    </row>
    <row r="69">
      <c r="A69" s="1585" t="s">
        <v>3381</v>
      </c>
      <c r="B69" s="1588"/>
      <c r="C69" s="1585">
        <v>2006.0</v>
      </c>
      <c r="D69" s="1585">
        <v>7.0</v>
      </c>
      <c r="E69" s="1585">
        <v>9317987.0</v>
      </c>
      <c r="F69" s="1585" t="s">
        <v>5467</v>
      </c>
      <c r="G69" s="1585" t="s">
        <v>720</v>
      </c>
      <c r="H69" s="1585" t="s">
        <v>5327</v>
      </c>
      <c r="I69" s="1586">
        <v>80599.0</v>
      </c>
      <c r="J69" s="1585" t="s">
        <v>5328</v>
      </c>
      <c r="K69" s="1585" t="s">
        <v>5329</v>
      </c>
      <c r="L69" s="1585" t="s">
        <v>2935</v>
      </c>
      <c r="M69" s="1592">
        <v>45845.0</v>
      </c>
      <c r="N69" s="1585">
        <v>2006.0</v>
      </c>
      <c r="O69" s="1585" t="s">
        <v>5486</v>
      </c>
      <c r="P69" s="1591">
        <v>45830.0</v>
      </c>
      <c r="Q69" s="1588"/>
    </row>
    <row r="70">
      <c r="A70" s="1585" t="s">
        <v>4677</v>
      </c>
      <c r="B70" s="1585" t="s">
        <v>5487</v>
      </c>
      <c r="C70" s="1585">
        <v>2006.0</v>
      </c>
      <c r="D70" s="1585">
        <v>8.0</v>
      </c>
      <c r="E70" s="1585">
        <v>9307748.0</v>
      </c>
      <c r="F70" s="1585" t="s">
        <v>5339</v>
      </c>
      <c r="G70" s="1585" t="s">
        <v>668</v>
      </c>
      <c r="H70" s="1585" t="s">
        <v>5327</v>
      </c>
      <c r="I70" s="1586">
        <v>81605.0</v>
      </c>
      <c r="J70" s="1585" t="s">
        <v>5328</v>
      </c>
      <c r="K70" s="1585" t="s">
        <v>5329</v>
      </c>
      <c r="L70" s="1585" t="s">
        <v>5488</v>
      </c>
      <c r="M70" s="1592">
        <v>45875.0</v>
      </c>
      <c r="N70" s="1585">
        <v>2006.0</v>
      </c>
      <c r="O70" s="1588"/>
      <c r="P70" s="1585" t="s">
        <v>4845</v>
      </c>
      <c r="Q70" s="1588"/>
    </row>
    <row r="71">
      <c r="A71" s="1585" t="s">
        <v>4093</v>
      </c>
      <c r="B71" s="1585" t="s">
        <v>5489</v>
      </c>
      <c r="C71" s="1585">
        <v>2006.0</v>
      </c>
      <c r="D71" s="1585">
        <v>11.0</v>
      </c>
      <c r="E71" s="1585">
        <v>9307750.0</v>
      </c>
      <c r="F71" s="1585" t="s">
        <v>5339</v>
      </c>
      <c r="G71" s="1585" t="s">
        <v>668</v>
      </c>
      <c r="H71" s="1585" t="s">
        <v>5327</v>
      </c>
      <c r="I71" s="1586">
        <v>83270.0</v>
      </c>
      <c r="J71" s="1585" t="s">
        <v>5328</v>
      </c>
      <c r="K71" s="1585" t="s">
        <v>5329</v>
      </c>
      <c r="L71" s="1585" t="s">
        <v>5411</v>
      </c>
      <c r="M71" s="1592">
        <v>45967.0</v>
      </c>
      <c r="N71" s="1585">
        <v>2006.0</v>
      </c>
      <c r="O71" s="1585" t="s">
        <v>5455</v>
      </c>
      <c r="P71" s="1591">
        <v>45738.0</v>
      </c>
      <c r="Q71" s="1588"/>
    </row>
    <row r="72">
      <c r="A72" s="1585" t="s">
        <v>5490</v>
      </c>
      <c r="B72" s="1588"/>
      <c r="C72" s="1585">
        <v>2006.0</v>
      </c>
      <c r="D72" s="1585">
        <v>11.0</v>
      </c>
      <c r="E72" s="1585">
        <v>9315680.0</v>
      </c>
      <c r="F72" s="1585" t="s">
        <v>5467</v>
      </c>
      <c r="G72" s="1585" t="s">
        <v>720</v>
      </c>
      <c r="H72" s="1585" t="s">
        <v>5327</v>
      </c>
      <c r="I72" s="1586">
        <v>80633.0</v>
      </c>
      <c r="J72" s="1585" t="s">
        <v>5328</v>
      </c>
      <c r="K72" s="1585" t="s">
        <v>5329</v>
      </c>
      <c r="L72" s="1585" t="s">
        <v>3299</v>
      </c>
      <c r="M72" s="1592">
        <v>45967.0</v>
      </c>
      <c r="N72" s="1585">
        <v>2006.0</v>
      </c>
      <c r="O72" s="1587"/>
      <c r="P72" s="1585" t="s">
        <v>4997</v>
      </c>
      <c r="Q72" s="1588"/>
    </row>
    <row r="73">
      <c r="A73" s="1585" t="s">
        <v>4885</v>
      </c>
      <c r="B73" s="1588"/>
      <c r="C73" s="1585">
        <v>2007.0</v>
      </c>
      <c r="D73" s="1585">
        <v>3.0</v>
      </c>
      <c r="E73" s="1585">
        <v>9347504.0</v>
      </c>
      <c r="F73" s="1585" t="s">
        <v>5467</v>
      </c>
      <c r="G73" s="1585" t="s">
        <v>720</v>
      </c>
      <c r="H73" s="1585" t="s">
        <v>5327</v>
      </c>
      <c r="I73" s="1586">
        <v>80595.0</v>
      </c>
      <c r="J73" s="1585" t="s">
        <v>5328</v>
      </c>
      <c r="K73" s="1585" t="s">
        <v>5329</v>
      </c>
      <c r="L73" s="1585" t="s">
        <v>3299</v>
      </c>
      <c r="M73" s="1592">
        <v>45723.0</v>
      </c>
      <c r="N73" s="1585">
        <v>2007.0</v>
      </c>
      <c r="O73" s="1587"/>
      <c r="P73" s="1585" t="s">
        <v>4997</v>
      </c>
      <c r="Q73" s="1588"/>
    </row>
    <row r="74">
      <c r="A74" s="1585" t="s">
        <v>4814</v>
      </c>
      <c r="B74" s="1588"/>
      <c r="C74" s="1585">
        <v>2007.0</v>
      </c>
      <c r="D74" s="1585">
        <v>4.0</v>
      </c>
      <c r="E74" s="1585">
        <v>9329710.0</v>
      </c>
      <c r="F74" s="1585" t="s">
        <v>5467</v>
      </c>
      <c r="G74" s="1585" t="s">
        <v>720</v>
      </c>
      <c r="H74" s="1585" t="s">
        <v>5327</v>
      </c>
      <c r="I74" s="1586">
        <v>80613.0</v>
      </c>
      <c r="J74" s="1585" t="s">
        <v>5328</v>
      </c>
      <c r="K74" s="1585" t="s">
        <v>5329</v>
      </c>
      <c r="L74" s="1585" t="s">
        <v>3327</v>
      </c>
      <c r="M74" s="1592">
        <v>45754.0</v>
      </c>
      <c r="N74" s="1585">
        <v>2007.0</v>
      </c>
      <c r="O74" s="1587"/>
      <c r="P74" s="1591">
        <v>45710.0</v>
      </c>
      <c r="Q74" s="1588"/>
    </row>
    <row r="75">
      <c r="A75" s="1585" t="s">
        <v>3828</v>
      </c>
      <c r="B75" s="1585" t="s">
        <v>5491</v>
      </c>
      <c r="C75" s="1585">
        <v>2007.0</v>
      </c>
      <c r="D75" s="1585">
        <v>6.0</v>
      </c>
      <c r="E75" s="1585">
        <v>9377781.0</v>
      </c>
      <c r="F75" s="1585" t="s">
        <v>5343</v>
      </c>
      <c r="G75" s="1585" t="s">
        <v>668</v>
      </c>
      <c r="H75" s="1585" t="s">
        <v>5327</v>
      </c>
      <c r="I75" s="1586">
        <v>80138.0</v>
      </c>
      <c r="J75" s="1585" t="s">
        <v>5328</v>
      </c>
      <c r="K75" s="1585" t="s">
        <v>5329</v>
      </c>
      <c r="L75" s="1585" t="s">
        <v>5492</v>
      </c>
      <c r="M75" s="1592">
        <v>45815.0</v>
      </c>
      <c r="N75" s="1585">
        <v>2007.0</v>
      </c>
      <c r="O75" s="1587"/>
      <c r="P75" s="1591">
        <v>45769.0</v>
      </c>
      <c r="Q75" s="1588"/>
    </row>
    <row r="76">
      <c r="A76" s="1585" t="s">
        <v>4068</v>
      </c>
      <c r="B76" s="1585" t="s">
        <v>5493</v>
      </c>
      <c r="C76" s="1585">
        <v>2007.0</v>
      </c>
      <c r="D76" s="1585">
        <v>7.0</v>
      </c>
      <c r="E76" s="1585">
        <v>9307762.0</v>
      </c>
      <c r="F76" s="1585" t="s">
        <v>5339</v>
      </c>
      <c r="G76" s="1585" t="s">
        <v>668</v>
      </c>
      <c r="H76" s="1585" t="s">
        <v>5327</v>
      </c>
      <c r="I76" s="1586">
        <v>83270.0</v>
      </c>
      <c r="J76" s="1585" t="s">
        <v>5328</v>
      </c>
      <c r="K76" s="1585" t="s">
        <v>5329</v>
      </c>
      <c r="L76" s="1585" t="s">
        <v>5411</v>
      </c>
      <c r="M76" s="1592">
        <v>45845.0</v>
      </c>
      <c r="N76" s="1585">
        <v>2007.0</v>
      </c>
      <c r="O76" s="1587"/>
      <c r="P76" s="1591">
        <v>45679.0</v>
      </c>
      <c r="Q76" s="1588"/>
    </row>
    <row r="77">
      <c r="A77" s="1585" t="s">
        <v>5020</v>
      </c>
      <c r="B77" s="1585" t="s">
        <v>5494</v>
      </c>
      <c r="C77" s="1585">
        <v>2007.0</v>
      </c>
      <c r="D77" s="1585">
        <v>7.0</v>
      </c>
      <c r="E77" s="1585">
        <v>9320738.0</v>
      </c>
      <c r="F77" s="1585" t="s">
        <v>5467</v>
      </c>
      <c r="G77" s="1585" t="s">
        <v>720</v>
      </c>
      <c r="H77" s="1585" t="s">
        <v>5327</v>
      </c>
      <c r="I77" s="1586">
        <v>80614.0</v>
      </c>
      <c r="J77" s="1585" t="s">
        <v>5328</v>
      </c>
      <c r="K77" s="1585" t="s">
        <v>5329</v>
      </c>
      <c r="L77" s="1585" t="s">
        <v>2935</v>
      </c>
      <c r="M77" s="1592">
        <v>45845.0</v>
      </c>
      <c r="N77" s="1585">
        <v>2007.0</v>
      </c>
      <c r="O77" s="1587"/>
      <c r="P77" s="1591">
        <v>46012.0</v>
      </c>
      <c r="Q77" s="1588"/>
    </row>
    <row r="78">
      <c r="A78" s="1585" t="s">
        <v>4142</v>
      </c>
      <c r="B78" s="1585" t="s">
        <v>5495</v>
      </c>
      <c r="C78" s="1585">
        <v>2007.0</v>
      </c>
      <c r="D78" s="1585">
        <v>9.0</v>
      </c>
      <c r="E78" s="1585">
        <v>9320740.0</v>
      </c>
      <c r="F78" s="1585" t="s">
        <v>5467</v>
      </c>
      <c r="G78" s="1585" t="s">
        <v>720</v>
      </c>
      <c r="H78" s="1585" t="s">
        <v>5327</v>
      </c>
      <c r="I78" s="1586">
        <v>80657.0</v>
      </c>
      <c r="J78" s="1585" t="s">
        <v>5328</v>
      </c>
      <c r="K78" s="1585" t="s">
        <v>5329</v>
      </c>
      <c r="L78" s="1585" t="s">
        <v>2935</v>
      </c>
      <c r="M78" s="1592">
        <v>45907.0</v>
      </c>
      <c r="N78" s="1585">
        <v>2007.0</v>
      </c>
      <c r="O78" s="1587"/>
      <c r="P78" s="1591">
        <v>45982.0</v>
      </c>
      <c r="Q78" s="1588"/>
    </row>
    <row r="79">
      <c r="A79" s="1585" t="s">
        <v>4033</v>
      </c>
      <c r="B79" s="1585" t="s">
        <v>5496</v>
      </c>
      <c r="C79" s="1585">
        <v>2007.0</v>
      </c>
      <c r="D79" s="1585">
        <v>10.0</v>
      </c>
      <c r="E79" s="1585">
        <v>9320752.0</v>
      </c>
      <c r="F79" s="1585" t="s">
        <v>5497</v>
      </c>
      <c r="G79" s="1585" t="s">
        <v>720</v>
      </c>
      <c r="H79" s="1585" t="s">
        <v>5327</v>
      </c>
      <c r="I79" s="1586">
        <v>80645.0</v>
      </c>
      <c r="J79" s="1585" t="s">
        <v>5328</v>
      </c>
      <c r="K79" s="1585" t="s">
        <v>5329</v>
      </c>
      <c r="L79" s="1585" t="s">
        <v>2935</v>
      </c>
      <c r="M79" s="1592">
        <v>45937.0</v>
      </c>
      <c r="N79" s="1585">
        <v>2007.0</v>
      </c>
      <c r="O79" s="1587"/>
      <c r="P79" s="1591">
        <v>45739.0</v>
      </c>
      <c r="Q79" s="1588"/>
    </row>
    <row r="80">
      <c r="A80" s="1585" t="s">
        <v>5011</v>
      </c>
      <c r="B80" s="1585" t="s">
        <v>5498</v>
      </c>
      <c r="C80" s="1585">
        <v>2007.0</v>
      </c>
      <c r="D80" s="1585">
        <v>11.0</v>
      </c>
      <c r="E80" s="1585">
        <v>9350288.0</v>
      </c>
      <c r="F80" s="1585" t="s">
        <v>5441</v>
      </c>
      <c r="G80" s="1585" t="s">
        <v>720</v>
      </c>
      <c r="H80" s="1585" t="s">
        <v>5327</v>
      </c>
      <c r="I80" s="1586">
        <v>82905.0</v>
      </c>
      <c r="J80" s="1585" t="s">
        <v>5328</v>
      </c>
      <c r="K80" s="1585" t="s">
        <v>5329</v>
      </c>
      <c r="L80" s="1585" t="s">
        <v>2935</v>
      </c>
      <c r="M80" s="1592">
        <v>45968.0</v>
      </c>
      <c r="N80" s="1585">
        <v>2007.0</v>
      </c>
      <c r="O80" s="1585" t="s">
        <v>5499</v>
      </c>
      <c r="P80" s="1591">
        <v>45830.0</v>
      </c>
      <c r="Q80" s="1588"/>
    </row>
    <row r="81">
      <c r="A81" s="1585" t="s">
        <v>5500</v>
      </c>
      <c r="B81" s="1588"/>
      <c r="C81" s="1585">
        <v>2007.0</v>
      </c>
      <c r="D81" s="1585">
        <v>11.0</v>
      </c>
      <c r="E81" s="1585">
        <v>9350422.0</v>
      </c>
      <c r="F81" s="1585" t="s">
        <v>5501</v>
      </c>
      <c r="G81" s="1585" t="s">
        <v>720</v>
      </c>
      <c r="H81" s="1585" t="s">
        <v>5327</v>
      </c>
      <c r="I81" s="1586">
        <v>80735.0</v>
      </c>
      <c r="J81" s="1585" t="s">
        <v>5328</v>
      </c>
      <c r="K81" s="1585" t="s">
        <v>5329</v>
      </c>
      <c r="L81" s="1585" t="s">
        <v>2935</v>
      </c>
      <c r="M81" s="1592">
        <v>45968.0</v>
      </c>
      <c r="N81" s="1585">
        <v>2007.0</v>
      </c>
      <c r="O81" s="1587"/>
      <c r="P81" s="1589">
        <v>45799.0</v>
      </c>
      <c r="Q81" s="1588"/>
    </row>
    <row r="82">
      <c r="A82" s="1585" t="s">
        <v>3813</v>
      </c>
      <c r="B82" s="1588"/>
      <c r="C82" s="1585">
        <v>2007.0</v>
      </c>
      <c r="D82" s="1585">
        <v>12.0</v>
      </c>
      <c r="E82" s="1585">
        <v>9329722.0</v>
      </c>
      <c r="F82" s="1585" t="s">
        <v>5501</v>
      </c>
      <c r="G82" s="1585" t="s">
        <v>720</v>
      </c>
      <c r="H82" s="1585" t="s">
        <v>5327</v>
      </c>
      <c r="I82" s="1586">
        <v>80613.0</v>
      </c>
      <c r="J82" s="1585" t="s">
        <v>5328</v>
      </c>
      <c r="K82" s="1585" t="s">
        <v>5329</v>
      </c>
      <c r="L82" s="1585" t="s">
        <v>3327</v>
      </c>
      <c r="M82" s="1592">
        <v>45998.0</v>
      </c>
      <c r="N82" s="1585">
        <v>2007.0</v>
      </c>
      <c r="O82" s="1587"/>
      <c r="P82" s="1585" t="s">
        <v>4997</v>
      </c>
      <c r="Q82" s="1588"/>
    </row>
    <row r="83">
      <c r="A83" s="1585" t="s">
        <v>4060</v>
      </c>
      <c r="B83" s="1588"/>
      <c r="C83" s="1585">
        <v>2007.0</v>
      </c>
      <c r="D83" s="1585">
        <v>12.0</v>
      </c>
      <c r="E83" s="1585">
        <v>9377793.0</v>
      </c>
      <c r="F83" s="1585" t="s">
        <v>5502</v>
      </c>
      <c r="G83" s="1585" t="s">
        <v>668</v>
      </c>
      <c r="H83" s="1585" t="s">
        <v>5327</v>
      </c>
      <c r="I83" s="1586">
        <v>78593.0</v>
      </c>
      <c r="J83" s="1585" t="s">
        <v>5328</v>
      </c>
      <c r="K83" s="1585" t="s">
        <v>5329</v>
      </c>
      <c r="L83" s="1585" t="s">
        <v>3044</v>
      </c>
      <c r="M83" s="1592">
        <v>45998.0</v>
      </c>
      <c r="N83" s="1585">
        <v>2007.0</v>
      </c>
      <c r="O83" s="1587"/>
      <c r="P83" s="1591">
        <v>45710.0</v>
      </c>
      <c r="Q83" s="1588"/>
    </row>
    <row r="84">
      <c r="A84" s="1585" t="s">
        <v>3933</v>
      </c>
      <c r="B84" s="1585" t="s">
        <v>5503</v>
      </c>
      <c r="C84" s="1585">
        <v>2008.0</v>
      </c>
      <c r="D84" s="1585">
        <v>1.0</v>
      </c>
      <c r="E84" s="1585">
        <v>9350290.0</v>
      </c>
      <c r="F84" s="1585" t="s">
        <v>5441</v>
      </c>
      <c r="G84" s="1585" t="s">
        <v>720</v>
      </c>
      <c r="H84" s="1585" t="s">
        <v>5327</v>
      </c>
      <c r="I84" s="1586">
        <v>82909.0</v>
      </c>
      <c r="J84" s="1585" t="s">
        <v>5328</v>
      </c>
      <c r="K84" s="1585" t="s">
        <v>5329</v>
      </c>
      <c r="L84" s="1585" t="s">
        <v>2935</v>
      </c>
      <c r="M84" s="1585">
        <v>43473.0</v>
      </c>
      <c r="N84" s="1585">
        <v>2008.0</v>
      </c>
      <c r="O84" s="1585" t="s">
        <v>5499</v>
      </c>
      <c r="P84" s="1591">
        <v>45830.0</v>
      </c>
      <c r="Q84" s="1588"/>
    </row>
    <row r="85">
      <c r="A85" s="1585" t="s">
        <v>5504</v>
      </c>
      <c r="B85" s="1588"/>
      <c r="C85" s="1585">
        <v>2008.0</v>
      </c>
      <c r="D85" s="1585">
        <v>1.0</v>
      </c>
      <c r="E85" s="1585">
        <v>9352963.0</v>
      </c>
      <c r="F85" s="1585" t="s">
        <v>5501</v>
      </c>
      <c r="G85" s="1585" t="s">
        <v>720</v>
      </c>
      <c r="H85" s="1585" t="s">
        <v>5327</v>
      </c>
      <c r="I85" s="1586">
        <v>80705.0</v>
      </c>
      <c r="J85" s="1585" t="s">
        <v>5328</v>
      </c>
      <c r="K85" s="1585" t="s">
        <v>5329</v>
      </c>
      <c r="L85" s="1585" t="s">
        <v>5505</v>
      </c>
      <c r="M85" s="1585">
        <v>43473.0</v>
      </c>
      <c r="N85" s="1585">
        <v>2008.0</v>
      </c>
      <c r="O85" s="1585" t="s">
        <v>5506</v>
      </c>
      <c r="P85" s="1591">
        <v>46012.0</v>
      </c>
      <c r="Q85" s="1588"/>
    </row>
    <row r="86">
      <c r="A86" s="1585" t="s">
        <v>4196</v>
      </c>
      <c r="B86" s="1585" t="s">
        <v>5507</v>
      </c>
      <c r="C86" s="1585">
        <v>2008.0</v>
      </c>
      <c r="D86" s="1585">
        <v>1.0</v>
      </c>
      <c r="E86" s="1585">
        <v>9320764.0</v>
      </c>
      <c r="F86" s="1585" t="s">
        <v>5497</v>
      </c>
      <c r="G86" s="1585" t="s">
        <v>720</v>
      </c>
      <c r="H86" s="1585" t="s">
        <v>5327</v>
      </c>
      <c r="I86" s="1586">
        <v>80608.0</v>
      </c>
      <c r="J86" s="1585" t="s">
        <v>5328</v>
      </c>
      <c r="K86" s="1585" t="s">
        <v>5329</v>
      </c>
      <c r="L86" s="1585" t="s">
        <v>2935</v>
      </c>
      <c r="M86" s="1592">
        <v>45665.0</v>
      </c>
      <c r="N86" s="1585">
        <v>2008.0</v>
      </c>
      <c r="O86" s="1585" t="s">
        <v>5499</v>
      </c>
      <c r="P86" s="1591">
        <v>45951.0</v>
      </c>
      <c r="Q86" s="1588"/>
    </row>
    <row r="87">
      <c r="A87" s="1585" t="s">
        <v>4192</v>
      </c>
      <c r="B87" s="1585" t="s">
        <v>5508</v>
      </c>
      <c r="C87" s="1585">
        <v>2008.0</v>
      </c>
      <c r="D87" s="1585">
        <v>2.0</v>
      </c>
      <c r="E87" s="1585">
        <v>9346122.0</v>
      </c>
      <c r="F87" s="1585" t="s">
        <v>5501</v>
      </c>
      <c r="G87" s="1585" t="s">
        <v>720</v>
      </c>
      <c r="H87" s="1585" t="s">
        <v>5327</v>
      </c>
      <c r="I87" s="1586">
        <v>82303.0</v>
      </c>
      <c r="J87" s="1585" t="s">
        <v>5328</v>
      </c>
      <c r="K87" s="1585" t="s">
        <v>5329</v>
      </c>
      <c r="L87" s="1585" t="s">
        <v>2935</v>
      </c>
      <c r="M87" s="1592">
        <v>45696.0</v>
      </c>
      <c r="N87" s="1585">
        <v>2008.0</v>
      </c>
      <c r="O87" s="1585" t="s">
        <v>5499</v>
      </c>
      <c r="P87" s="1591">
        <v>45982.0</v>
      </c>
      <c r="Q87" s="1588"/>
    </row>
    <row r="88">
      <c r="A88" s="1585" t="s">
        <v>5509</v>
      </c>
      <c r="B88" s="1588"/>
      <c r="C88" s="1585">
        <v>2008.0</v>
      </c>
      <c r="D88" s="1585">
        <v>2.0</v>
      </c>
      <c r="E88" s="1585">
        <v>9353242.0</v>
      </c>
      <c r="F88" s="1585" t="s">
        <v>5501</v>
      </c>
      <c r="G88" s="1585" t="s">
        <v>720</v>
      </c>
      <c r="H88" s="1585" t="s">
        <v>5327</v>
      </c>
      <c r="I88" s="1586">
        <v>80714.0</v>
      </c>
      <c r="J88" s="1585" t="s">
        <v>5328</v>
      </c>
      <c r="K88" s="1585" t="s">
        <v>5329</v>
      </c>
      <c r="L88" s="1585" t="s">
        <v>2935</v>
      </c>
      <c r="M88" s="1592">
        <v>45696.0</v>
      </c>
      <c r="N88" s="1585">
        <v>2008.0</v>
      </c>
      <c r="O88" s="1585" t="s">
        <v>5499</v>
      </c>
      <c r="P88" s="1591">
        <v>45769.0</v>
      </c>
      <c r="Q88" s="1588"/>
    </row>
    <row r="89">
      <c r="A89" s="1585" t="s">
        <v>5035</v>
      </c>
      <c r="B89" s="1588"/>
      <c r="C89" s="1585">
        <v>2008.0</v>
      </c>
      <c r="D89" s="1585">
        <v>3.0</v>
      </c>
      <c r="E89" s="1585">
        <v>9364382.0</v>
      </c>
      <c r="F89" s="1585" t="s">
        <v>5441</v>
      </c>
      <c r="G89" s="1585" t="s">
        <v>720</v>
      </c>
      <c r="H89" s="1585" t="s">
        <v>5327</v>
      </c>
      <c r="I89" s="1586">
        <v>81995.0</v>
      </c>
      <c r="J89" s="1585" t="s">
        <v>5328</v>
      </c>
      <c r="K89" s="1585" t="s">
        <v>5329</v>
      </c>
      <c r="L89" s="1585" t="s">
        <v>2937</v>
      </c>
      <c r="M89" s="1585">
        <v>43532.0</v>
      </c>
      <c r="N89" s="1585">
        <v>2008.0</v>
      </c>
      <c r="O89" s="1585" t="s">
        <v>5499</v>
      </c>
      <c r="P89" s="1591">
        <v>45923.0</v>
      </c>
      <c r="Q89" s="1588"/>
    </row>
    <row r="90">
      <c r="A90" s="1585" t="s">
        <v>5031</v>
      </c>
      <c r="B90" s="1588"/>
      <c r="C90" s="1585">
        <v>2008.0</v>
      </c>
      <c r="D90" s="1585">
        <v>4.0</v>
      </c>
      <c r="E90" s="1585">
        <v>9364394.0</v>
      </c>
      <c r="F90" s="1585" t="s">
        <v>5441</v>
      </c>
      <c r="G90" s="1585" t="s">
        <v>720</v>
      </c>
      <c r="H90" s="1585" t="s">
        <v>5327</v>
      </c>
      <c r="I90" s="1586">
        <v>82062.0</v>
      </c>
      <c r="J90" s="1585" t="s">
        <v>5328</v>
      </c>
      <c r="K90" s="1585" t="s">
        <v>5329</v>
      </c>
      <c r="L90" s="1585" t="s">
        <v>2937</v>
      </c>
      <c r="M90" s="1585">
        <v>43563.0</v>
      </c>
      <c r="N90" s="1585">
        <v>2008.0</v>
      </c>
      <c r="O90" s="1585" t="s">
        <v>5499</v>
      </c>
      <c r="P90" s="1591">
        <v>45982.0</v>
      </c>
      <c r="Q90" s="1588"/>
    </row>
    <row r="91">
      <c r="A91" s="1585" t="s">
        <v>4896</v>
      </c>
      <c r="B91" s="1588"/>
      <c r="C91" s="1585">
        <v>2008.0</v>
      </c>
      <c r="D91" s="1585">
        <v>4.0</v>
      </c>
      <c r="E91" s="1585">
        <v>9356892.0</v>
      </c>
      <c r="F91" s="1585" t="s">
        <v>5501</v>
      </c>
      <c r="G91" s="1585" t="s">
        <v>720</v>
      </c>
      <c r="H91" s="1585" t="s">
        <v>5327</v>
      </c>
      <c r="I91" s="1586">
        <v>80771.0</v>
      </c>
      <c r="J91" s="1585" t="s">
        <v>5328</v>
      </c>
      <c r="K91" s="1585" t="s">
        <v>5329</v>
      </c>
      <c r="L91" s="1585" t="s">
        <v>5510</v>
      </c>
      <c r="M91" s="1585">
        <v>43563.0</v>
      </c>
      <c r="N91" s="1585">
        <v>2008.0</v>
      </c>
      <c r="O91" s="1585" t="s">
        <v>5511</v>
      </c>
      <c r="P91" s="1591">
        <v>45860.0</v>
      </c>
      <c r="Q91" s="1588"/>
    </row>
    <row r="92">
      <c r="A92" s="1585" t="s">
        <v>4776</v>
      </c>
      <c r="B92" s="1585" t="s">
        <v>5512</v>
      </c>
      <c r="C92" s="1585">
        <v>2008.0</v>
      </c>
      <c r="D92" s="1585">
        <v>4.0</v>
      </c>
      <c r="E92" s="1585">
        <v>9347516.0</v>
      </c>
      <c r="F92" s="1585" t="s">
        <v>5501</v>
      </c>
      <c r="G92" s="1585" t="s">
        <v>720</v>
      </c>
      <c r="H92" s="1585" t="s">
        <v>5327</v>
      </c>
      <c r="I92" s="1586">
        <v>80623.0</v>
      </c>
      <c r="J92" s="1585" t="s">
        <v>5328</v>
      </c>
      <c r="K92" s="1585" t="s">
        <v>5329</v>
      </c>
      <c r="L92" s="1585" t="s">
        <v>1554</v>
      </c>
      <c r="M92" s="1585">
        <v>43563.0</v>
      </c>
      <c r="N92" s="1585">
        <v>2008.0</v>
      </c>
      <c r="O92" s="1585" t="s">
        <v>5513</v>
      </c>
      <c r="P92" s="1585" t="s">
        <v>4774</v>
      </c>
      <c r="Q92" s="1585" t="s">
        <v>3637</v>
      </c>
    </row>
    <row r="93">
      <c r="A93" s="1585" t="s">
        <v>4189</v>
      </c>
      <c r="B93" s="1588"/>
      <c r="C93" s="1585">
        <v>2008.0</v>
      </c>
      <c r="D93" s="1585">
        <v>4.0</v>
      </c>
      <c r="E93" s="1585">
        <v>9322657.0</v>
      </c>
      <c r="F93" s="1585" t="s">
        <v>5514</v>
      </c>
      <c r="G93" s="1585" t="s">
        <v>668</v>
      </c>
      <c r="H93" s="1585" t="s">
        <v>5327</v>
      </c>
      <c r="I93" s="1586">
        <v>77338.0</v>
      </c>
      <c r="J93" s="1585" t="s">
        <v>5328</v>
      </c>
      <c r="K93" s="1585" t="s">
        <v>5329</v>
      </c>
      <c r="L93" s="1585" t="s">
        <v>3214</v>
      </c>
      <c r="M93" s="1592">
        <v>45755.0</v>
      </c>
      <c r="N93" s="1585">
        <v>2008.0</v>
      </c>
      <c r="O93" s="1587"/>
      <c r="P93" s="1591">
        <v>45921.0</v>
      </c>
      <c r="Q93" s="1585" t="s">
        <v>3637</v>
      </c>
    </row>
    <row r="94">
      <c r="A94" s="1585" t="s">
        <v>5515</v>
      </c>
      <c r="B94" s="1588"/>
      <c r="C94" s="1585">
        <v>2008.0</v>
      </c>
      <c r="D94" s="1585">
        <v>5.0</v>
      </c>
      <c r="E94" s="1585">
        <v>9354612.0</v>
      </c>
      <c r="F94" s="1585" t="s">
        <v>5501</v>
      </c>
      <c r="G94" s="1585" t="s">
        <v>720</v>
      </c>
      <c r="H94" s="1585" t="s">
        <v>5327</v>
      </c>
      <c r="I94" s="1586">
        <v>80738.0</v>
      </c>
      <c r="J94" s="1585" t="s">
        <v>5328</v>
      </c>
      <c r="K94" s="1585" t="s">
        <v>5329</v>
      </c>
      <c r="L94" s="1585" t="s">
        <v>5505</v>
      </c>
      <c r="M94" s="1585">
        <v>43593.0</v>
      </c>
      <c r="N94" s="1585">
        <v>2008.0</v>
      </c>
      <c r="O94" s="1585" t="s">
        <v>5516</v>
      </c>
      <c r="P94" s="1591">
        <v>45982.0</v>
      </c>
      <c r="Q94" s="1588"/>
    </row>
    <row r="95">
      <c r="A95" s="1585" t="s">
        <v>5517</v>
      </c>
      <c r="B95" s="1585" t="s">
        <v>5518</v>
      </c>
      <c r="C95" s="1585">
        <v>2008.0</v>
      </c>
      <c r="D95" s="1585">
        <v>6.0</v>
      </c>
      <c r="E95" s="1585">
        <v>9346134.0</v>
      </c>
      <c r="F95" s="1585" t="s">
        <v>5501</v>
      </c>
      <c r="G95" s="1585" t="s">
        <v>720</v>
      </c>
      <c r="H95" s="1585" t="s">
        <v>5327</v>
      </c>
      <c r="I95" s="1586">
        <v>82197.0</v>
      </c>
      <c r="J95" s="1585" t="s">
        <v>5328</v>
      </c>
      <c r="K95" s="1585" t="s">
        <v>5329</v>
      </c>
      <c r="L95" s="1585" t="s">
        <v>2935</v>
      </c>
      <c r="M95" s="1592">
        <v>45816.0</v>
      </c>
      <c r="N95" s="1585">
        <v>2008.0</v>
      </c>
      <c r="O95" s="1585" t="s">
        <v>5519</v>
      </c>
      <c r="P95" s="1591">
        <v>46013.0</v>
      </c>
      <c r="Q95" s="1588"/>
    </row>
    <row r="96">
      <c r="A96" s="1585" t="s">
        <v>5520</v>
      </c>
      <c r="B96" s="1588"/>
      <c r="C96" s="1585">
        <v>2008.0</v>
      </c>
      <c r="D96" s="1585">
        <v>6.0</v>
      </c>
      <c r="E96" s="1585">
        <v>9379404.0</v>
      </c>
      <c r="F96" s="1585" t="s">
        <v>5501</v>
      </c>
      <c r="G96" s="1585" t="s">
        <v>720</v>
      </c>
      <c r="H96" s="1585" t="s">
        <v>5327</v>
      </c>
      <c r="I96" s="1586">
        <v>75000.0</v>
      </c>
      <c r="J96" s="1585" t="s">
        <v>5328</v>
      </c>
      <c r="K96" s="1585" t="s">
        <v>5329</v>
      </c>
      <c r="L96" s="1585" t="s">
        <v>1554</v>
      </c>
      <c r="M96" s="1592">
        <v>45816.0</v>
      </c>
      <c r="N96" s="1585">
        <v>2008.0</v>
      </c>
      <c r="O96" s="1588"/>
      <c r="P96" s="1585" t="s">
        <v>4997</v>
      </c>
      <c r="Q96" s="1588"/>
    </row>
    <row r="97">
      <c r="A97" s="1585" t="s">
        <v>5027</v>
      </c>
      <c r="B97" s="1585" t="s">
        <v>5521</v>
      </c>
      <c r="C97" s="1585">
        <v>2008.0</v>
      </c>
      <c r="D97" s="1585">
        <v>7.0</v>
      </c>
      <c r="E97" s="1585">
        <v>9350599.0</v>
      </c>
      <c r="F97" s="1585" t="s">
        <v>5441</v>
      </c>
      <c r="G97" s="1585" t="s">
        <v>720</v>
      </c>
      <c r="H97" s="1585" t="s">
        <v>5327</v>
      </c>
      <c r="I97" s="1586">
        <v>82423.0</v>
      </c>
      <c r="J97" s="1585" t="s">
        <v>5328</v>
      </c>
      <c r="K97" s="1585" t="s">
        <v>5329</v>
      </c>
      <c r="L97" s="1585" t="s">
        <v>2937</v>
      </c>
      <c r="M97" s="1585">
        <v>43654.0</v>
      </c>
      <c r="N97" s="1585">
        <v>2008.0</v>
      </c>
      <c r="O97" s="1585" t="s">
        <v>5499</v>
      </c>
      <c r="P97" s="1585" t="s">
        <v>4997</v>
      </c>
      <c r="Q97" s="1588"/>
    </row>
    <row r="98">
      <c r="A98" s="1585" t="s">
        <v>5033</v>
      </c>
      <c r="B98" s="1588"/>
      <c r="C98" s="1585">
        <v>2008.0</v>
      </c>
      <c r="D98" s="1585">
        <v>7.0</v>
      </c>
      <c r="E98" s="1585">
        <v>9393682.0</v>
      </c>
      <c r="F98" s="1585" t="s">
        <v>5441</v>
      </c>
      <c r="G98" s="1585" t="s">
        <v>720</v>
      </c>
      <c r="H98" s="1585" t="s">
        <v>5327</v>
      </c>
      <c r="I98" s="1586">
        <v>82090.0</v>
      </c>
      <c r="J98" s="1585" t="s">
        <v>5328</v>
      </c>
      <c r="K98" s="1585" t="s">
        <v>5329</v>
      </c>
      <c r="L98" s="1585" t="s">
        <v>2937</v>
      </c>
      <c r="M98" s="1585">
        <v>43654.0</v>
      </c>
      <c r="N98" s="1585">
        <v>2008.0</v>
      </c>
      <c r="O98" s="1585" t="s">
        <v>5499</v>
      </c>
      <c r="P98" s="1591">
        <v>45953.0</v>
      </c>
      <c r="Q98" s="1588"/>
    </row>
    <row r="99">
      <c r="A99" s="1585" t="s">
        <v>3778</v>
      </c>
      <c r="B99" s="1588"/>
      <c r="C99" s="1585">
        <v>2008.0</v>
      </c>
      <c r="D99" s="1585">
        <v>7.0</v>
      </c>
      <c r="E99" s="1585">
        <v>9359454.0</v>
      </c>
      <c r="F99" s="1585" t="s">
        <v>5501</v>
      </c>
      <c r="G99" s="1585" t="s">
        <v>720</v>
      </c>
      <c r="H99" s="1585" t="s">
        <v>5327</v>
      </c>
      <c r="I99" s="1586">
        <v>80771.0</v>
      </c>
      <c r="J99" s="1585" t="s">
        <v>5328</v>
      </c>
      <c r="K99" s="1585" t="s">
        <v>5329</v>
      </c>
      <c r="L99" s="1585" t="s">
        <v>5510</v>
      </c>
      <c r="M99" s="1585">
        <v>43654.0</v>
      </c>
      <c r="N99" s="1585">
        <v>2008.0</v>
      </c>
      <c r="O99" s="1585" t="s">
        <v>5522</v>
      </c>
      <c r="P99" s="1591">
        <v>45830.0</v>
      </c>
      <c r="Q99" s="1588"/>
    </row>
    <row r="100">
      <c r="A100" s="1585" t="s">
        <v>5523</v>
      </c>
      <c r="B100" s="1588"/>
      <c r="C100" s="1585">
        <v>2008.0</v>
      </c>
      <c r="D100" s="1585">
        <v>7.0</v>
      </c>
      <c r="E100" s="1585">
        <v>9351919.0</v>
      </c>
      <c r="F100" s="1585" t="s">
        <v>5501</v>
      </c>
      <c r="G100" s="1585" t="s">
        <v>720</v>
      </c>
      <c r="H100" s="1585" t="s">
        <v>5327</v>
      </c>
      <c r="I100" s="1586">
        <v>80645.0</v>
      </c>
      <c r="J100" s="1585" t="s">
        <v>5328</v>
      </c>
      <c r="K100" s="1585" t="s">
        <v>5329</v>
      </c>
      <c r="L100" s="1585" t="s">
        <v>3299</v>
      </c>
      <c r="M100" s="1592">
        <v>45846.0</v>
      </c>
      <c r="N100" s="1585">
        <v>2008.0</v>
      </c>
      <c r="O100" s="1585" t="s">
        <v>5524</v>
      </c>
      <c r="P100" s="1591">
        <v>45679.0</v>
      </c>
      <c r="Q100" s="1588"/>
    </row>
    <row r="101">
      <c r="A101" s="1585" t="s">
        <v>4458</v>
      </c>
      <c r="B101" s="1588"/>
      <c r="C101" s="1585">
        <v>2008.0</v>
      </c>
      <c r="D101" s="1585">
        <v>7.0</v>
      </c>
      <c r="E101" s="1585">
        <v>9369461.0</v>
      </c>
      <c r="F101" s="1585" t="s">
        <v>5502</v>
      </c>
      <c r="G101" s="1585" t="s">
        <v>668</v>
      </c>
      <c r="H101" s="1585" t="s">
        <v>5327</v>
      </c>
      <c r="I101" s="1586">
        <v>80169.0</v>
      </c>
      <c r="J101" s="1585" t="s">
        <v>5328</v>
      </c>
      <c r="K101" s="1585" t="s">
        <v>5329</v>
      </c>
      <c r="L101" s="1585" t="s">
        <v>2901</v>
      </c>
      <c r="M101" s="1585">
        <v>43654.0</v>
      </c>
      <c r="N101" s="1585">
        <v>2008.0</v>
      </c>
      <c r="O101" s="1585" t="s">
        <v>5525</v>
      </c>
      <c r="P101" s="1591">
        <v>45982.0</v>
      </c>
      <c r="Q101" s="1588"/>
    </row>
    <row r="102">
      <c r="A102" s="1585" t="s">
        <v>4861</v>
      </c>
      <c r="B102" s="1585" t="s">
        <v>5526</v>
      </c>
      <c r="C102" s="1585">
        <v>2008.0</v>
      </c>
      <c r="D102" s="1585">
        <v>9.0</v>
      </c>
      <c r="E102" s="1585">
        <v>9350604.0</v>
      </c>
      <c r="F102" s="1585" t="s">
        <v>5441</v>
      </c>
      <c r="G102" s="1585" t="s">
        <v>720</v>
      </c>
      <c r="H102" s="1585" t="s">
        <v>5327</v>
      </c>
      <c r="I102" s="1586">
        <v>82989.0</v>
      </c>
      <c r="J102" s="1585" t="s">
        <v>5328</v>
      </c>
      <c r="K102" s="1585" t="s">
        <v>5329</v>
      </c>
      <c r="L102" s="1585" t="s">
        <v>2935</v>
      </c>
      <c r="M102" s="1585">
        <v>43716.0</v>
      </c>
      <c r="N102" s="1585">
        <v>2008.0</v>
      </c>
      <c r="O102" s="1585" t="s">
        <v>5499</v>
      </c>
      <c r="P102" s="1591">
        <v>46012.0</v>
      </c>
      <c r="Q102" s="1588"/>
    </row>
    <row r="103">
      <c r="A103" s="1585" t="s">
        <v>5527</v>
      </c>
      <c r="B103" s="1588"/>
      <c r="C103" s="1585">
        <v>2008.0</v>
      </c>
      <c r="D103" s="1585">
        <v>9.0</v>
      </c>
      <c r="E103" s="1585">
        <v>9354624.0</v>
      </c>
      <c r="F103" s="1585" t="s">
        <v>5501</v>
      </c>
      <c r="G103" s="1585" t="s">
        <v>720</v>
      </c>
      <c r="H103" s="1585" t="s">
        <v>5327</v>
      </c>
      <c r="I103" s="1586">
        <v>80791.0</v>
      </c>
      <c r="J103" s="1585" t="s">
        <v>5328</v>
      </c>
      <c r="K103" s="1585" t="s">
        <v>5329</v>
      </c>
      <c r="L103" s="1585" t="s">
        <v>5505</v>
      </c>
      <c r="M103" s="1585">
        <v>43716.0</v>
      </c>
      <c r="N103" s="1585">
        <v>2008.0</v>
      </c>
      <c r="O103" s="1585" t="s">
        <v>5528</v>
      </c>
      <c r="P103" s="1591">
        <v>45679.0</v>
      </c>
      <c r="Q103" s="1588"/>
    </row>
    <row r="104">
      <c r="A104" s="1585" t="s">
        <v>3831</v>
      </c>
      <c r="B104" s="1588"/>
      <c r="C104" s="1585">
        <v>2008.0</v>
      </c>
      <c r="D104" s="1585">
        <v>9.0</v>
      </c>
      <c r="E104" s="1585">
        <v>9385685.0</v>
      </c>
      <c r="F104" s="1585" t="s">
        <v>5497</v>
      </c>
      <c r="G104" s="1585" t="s">
        <v>720</v>
      </c>
      <c r="H104" s="1585" t="s">
        <v>5327</v>
      </c>
      <c r="I104" s="1586">
        <v>80677.0</v>
      </c>
      <c r="J104" s="1585" t="s">
        <v>5328</v>
      </c>
      <c r="K104" s="1585" t="s">
        <v>5329</v>
      </c>
      <c r="L104" s="1585" t="s">
        <v>5529</v>
      </c>
      <c r="M104" s="1585">
        <v>43716.0</v>
      </c>
      <c r="N104" s="1585">
        <v>2008.0</v>
      </c>
      <c r="O104" s="1585" t="s">
        <v>5530</v>
      </c>
      <c r="P104" s="1591">
        <v>45982.0</v>
      </c>
      <c r="Q104" s="1588"/>
    </row>
    <row r="105">
      <c r="A105" s="1585" t="s">
        <v>4004</v>
      </c>
      <c r="B105" s="1585" t="s">
        <v>5531</v>
      </c>
      <c r="C105" s="1585">
        <v>2008.0</v>
      </c>
      <c r="D105" s="1585">
        <v>9.0</v>
      </c>
      <c r="E105" s="1585">
        <v>9405887.0</v>
      </c>
      <c r="F105" s="1585" t="s">
        <v>5502</v>
      </c>
      <c r="G105" s="1585" t="s">
        <v>668</v>
      </c>
      <c r="H105" s="1585" t="s">
        <v>5327</v>
      </c>
      <c r="I105" s="1586">
        <v>78582.0</v>
      </c>
      <c r="J105" s="1585" t="s">
        <v>5328</v>
      </c>
      <c r="K105" s="1585" t="s">
        <v>5329</v>
      </c>
      <c r="L105" s="1585" t="s">
        <v>5532</v>
      </c>
      <c r="M105" s="1592">
        <v>45908.0</v>
      </c>
      <c r="N105" s="1585">
        <v>2008.0</v>
      </c>
      <c r="O105" s="1587"/>
      <c r="P105" s="1589">
        <v>45800.0</v>
      </c>
      <c r="Q105" s="1588"/>
    </row>
    <row r="106">
      <c r="A106" s="1585" t="s">
        <v>4840</v>
      </c>
      <c r="B106" s="1588"/>
      <c r="C106" s="1585">
        <v>2008.0</v>
      </c>
      <c r="D106" s="1585">
        <v>10.0</v>
      </c>
      <c r="E106" s="1585">
        <v>9409302.0</v>
      </c>
      <c r="F106" s="1585" t="s">
        <v>5501</v>
      </c>
      <c r="G106" s="1585" t="s">
        <v>720</v>
      </c>
      <c r="H106" s="1585" t="s">
        <v>5327</v>
      </c>
      <c r="I106" s="1586">
        <v>80780.0</v>
      </c>
      <c r="J106" s="1585" t="s">
        <v>5328</v>
      </c>
      <c r="K106" s="1585" t="s">
        <v>5329</v>
      </c>
      <c r="L106" s="1585" t="s">
        <v>3177</v>
      </c>
      <c r="M106" s="1585">
        <v>43746.0</v>
      </c>
      <c r="N106" s="1585">
        <v>2008.0</v>
      </c>
      <c r="O106" s="1585" t="s">
        <v>5533</v>
      </c>
      <c r="P106" s="1585" t="s">
        <v>4774</v>
      </c>
      <c r="Q106" s="1588"/>
    </row>
    <row r="107">
      <c r="A107" s="1585" t="s">
        <v>5534</v>
      </c>
      <c r="B107" s="1588"/>
      <c r="C107" s="1585">
        <v>2008.0</v>
      </c>
      <c r="D107" s="1585">
        <v>10.0</v>
      </c>
      <c r="E107" s="1585">
        <v>9386304.0</v>
      </c>
      <c r="F107" s="1585" t="s">
        <v>5501</v>
      </c>
      <c r="G107" s="1585" t="s">
        <v>720</v>
      </c>
      <c r="H107" s="1585" t="s">
        <v>5327</v>
      </c>
      <c r="I107" s="1586">
        <v>73517.0</v>
      </c>
      <c r="J107" s="1585" t="s">
        <v>5328</v>
      </c>
      <c r="K107" s="1585" t="s">
        <v>5329</v>
      </c>
      <c r="L107" s="1585" t="s">
        <v>1536</v>
      </c>
      <c r="M107" s="1592">
        <v>45938.0</v>
      </c>
      <c r="N107" s="1585">
        <v>2008.0</v>
      </c>
      <c r="O107" s="1588"/>
      <c r="P107" s="1591">
        <v>46012.0</v>
      </c>
      <c r="Q107" s="1588"/>
    </row>
    <row r="108">
      <c r="A108" s="1585" t="s">
        <v>3835</v>
      </c>
      <c r="B108" s="1588"/>
      <c r="C108" s="1585">
        <v>2008.0</v>
      </c>
      <c r="D108" s="1585">
        <v>10.0</v>
      </c>
      <c r="E108" s="1585">
        <v>9388687.0</v>
      </c>
      <c r="F108" s="1585" t="s">
        <v>5497</v>
      </c>
      <c r="G108" s="1585" t="s">
        <v>720</v>
      </c>
      <c r="H108" s="1585" t="s">
        <v>5327</v>
      </c>
      <c r="I108" s="1586">
        <v>80677.0</v>
      </c>
      <c r="J108" s="1585" t="s">
        <v>5328</v>
      </c>
      <c r="K108" s="1585" t="s">
        <v>5329</v>
      </c>
      <c r="L108" s="1585" t="s">
        <v>5529</v>
      </c>
      <c r="M108" s="1585">
        <v>43746.0</v>
      </c>
      <c r="N108" s="1585">
        <v>2008.0</v>
      </c>
      <c r="O108" s="1585" t="s">
        <v>5530</v>
      </c>
      <c r="P108" s="1585" t="s">
        <v>4845</v>
      </c>
      <c r="Q108" s="1588"/>
    </row>
    <row r="109">
      <c r="A109" s="1585" t="s">
        <v>3735</v>
      </c>
      <c r="B109" s="1588"/>
      <c r="C109" s="1585">
        <v>2008.0</v>
      </c>
      <c r="D109" s="1585">
        <v>12.0</v>
      </c>
      <c r="E109" s="1585">
        <v>9359466.0</v>
      </c>
      <c r="F109" s="1585" t="s">
        <v>5501</v>
      </c>
      <c r="G109" s="1585" t="s">
        <v>720</v>
      </c>
      <c r="H109" s="1585" t="s">
        <v>5327</v>
      </c>
      <c r="I109" s="1586">
        <v>80841.0</v>
      </c>
      <c r="J109" s="1585" t="s">
        <v>5328</v>
      </c>
      <c r="K109" s="1585" t="s">
        <v>5329</v>
      </c>
      <c r="L109" s="1585" t="s">
        <v>5510</v>
      </c>
      <c r="M109" s="1585">
        <v>43807.0</v>
      </c>
      <c r="N109" s="1585">
        <v>2008.0</v>
      </c>
      <c r="O109" s="1585" t="s">
        <v>5522</v>
      </c>
      <c r="P109" s="1591">
        <v>45679.0</v>
      </c>
      <c r="Q109" s="1588"/>
    </row>
    <row r="110">
      <c r="A110" s="1585" t="s">
        <v>3866</v>
      </c>
      <c r="B110" s="1588"/>
      <c r="C110" s="1585">
        <v>2008.0</v>
      </c>
      <c r="D110" s="1585">
        <v>12.0</v>
      </c>
      <c r="E110" s="1585">
        <v>9349784.0</v>
      </c>
      <c r="F110" s="1585" t="s">
        <v>5514</v>
      </c>
      <c r="G110" s="1585" t="s">
        <v>668</v>
      </c>
      <c r="H110" s="1585" t="s">
        <v>5327</v>
      </c>
      <c r="I110" s="1586">
        <v>77321.0</v>
      </c>
      <c r="J110" s="1585" t="s">
        <v>5328</v>
      </c>
      <c r="K110" s="1585" t="s">
        <v>5329</v>
      </c>
      <c r="L110" s="1585" t="s">
        <v>3207</v>
      </c>
      <c r="M110" s="1592">
        <v>45999.0</v>
      </c>
      <c r="N110" s="1585">
        <v>2008.0</v>
      </c>
      <c r="O110" s="1587"/>
      <c r="P110" s="1591">
        <v>46012.0</v>
      </c>
      <c r="Q110" s="1588"/>
    </row>
    <row r="111">
      <c r="A111" s="1585" t="s">
        <v>5029</v>
      </c>
      <c r="B111" s="1585" t="s">
        <v>5535</v>
      </c>
      <c r="C111" s="1585">
        <v>2009.0</v>
      </c>
      <c r="D111" s="1585">
        <v>1.0</v>
      </c>
      <c r="E111" s="1585">
        <v>9354935.0</v>
      </c>
      <c r="F111" s="1585" t="s">
        <v>5441</v>
      </c>
      <c r="G111" s="1585" t="s">
        <v>720</v>
      </c>
      <c r="H111" s="1585" t="s">
        <v>5327</v>
      </c>
      <c r="I111" s="1586">
        <v>83421.0</v>
      </c>
      <c r="J111" s="1585" t="s">
        <v>5328</v>
      </c>
      <c r="K111" s="1585" t="s">
        <v>5329</v>
      </c>
      <c r="L111" s="1585" t="s">
        <v>2937</v>
      </c>
      <c r="M111" s="1585">
        <v>43474.0</v>
      </c>
      <c r="N111" s="1585">
        <v>2009.0</v>
      </c>
      <c r="O111" s="1585" t="s">
        <v>5499</v>
      </c>
      <c r="P111" s="1585" t="s">
        <v>4997</v>
      </c>
      <c r="Q111" s="1588"/>
    </row>
    <row r="112">
      <c r="A112" s="1585" t="s">
        <v>5170</v>
      </c>
      <c r="B112" s="1588"/>
      <c r="C112" s="1585">
        <v>2009.0</v>
      </c>
      <c r="D112" s="1585">
        <v>1.0</v>
      </c>
      <c r="E112" s="1585">
        <v>9379399.0</v>
      </c>
      <c r="F112" s="1585" t="s">
        <v>5501</v>
      </c>
      <c r="G112" s="1585" t="s">
        <v>720</v>
      </c>
      <c r="H112" s="1585" t="s">
        <v>5327</v>
      </c>
      <c r="I112" s="1586">
        <v>75000.0</v>
      </c>
      <c r="J112" s="1585" t="s">
        <v>5328</v>
      </c>
      <c r="K112" s="1585" t="s">
        <v>5329</v>
      </c>
      <c r="L112" s="1585" t="s">
        <v>1554</v>
      </c>
      <c r="M112" s="1592">
        <v>45666.0</v>
      </c>
      <c r="N112" s="1585">
        <v>2009.0</v>
      </c>
      <c r="O112" s="1588"/>
      <c r="P112" s="1591">
        <v>45710.0</v>
      </c>
      <c r="Q112" s="1585" t="s">
        <v>3637</v>
      </c>
    </row>
    <row r="113">
      <c r="A113" s="1585" t="s">
        <v>5536</v>
      </c>
      <c r="B113" s="1588"/>
      <c r="C113" s="1585">
        <v>2009.0</v>
      </c>
      <c r="D113" s="1585">
        <v>1.0</v>
      </c>
      <c r="E113" s="1585">
        <v>9387750.0</v>
      </c>
      <c r="F113" s="1585" t="s">
        <v>5501</v>
      </c>
      <c r="G113" s="1585" t="s">
        <v>720</v>
      </c>
      <c r="H113" s="1585" t="s">
        <v>5327</v>
      </c>
      <c r="I113" s="1586">
        <v>82446.0</v>
      </c>
      <c r="J113" s="1585" t="s">
        <v>5328</v>
      </c>
      <c r="K113" s="1585" t="s">
        <v>5329</v>
      </c>
      <c r="L113" s="1585" t="s">
        <v>1610</v>
      </c>
      <c r="M113" s="1585">
        <v>43474.0</v>
      </c>
      <c r="N113" s="1585">
        <v>2009.0</v>
      </c>
      <c r="O113" s="1585" t="s">
        <v>5537</v>
      </c>
      <c r="P113" s="1585" t="s">
        <v>4997</v>
      </c>
      <c r="Q113" s="1588"/>
    </row>
    <row r="114">
      <c r="A114" s="1585" t="s">
        <v>5538</v>
      </c>
      <c r="B114" s="1588"/>
      <c r="C114" s="1585">
        <v>2009.0</v>
      </c>
      <c r="D114" s="1585">
        <v>2.0</v>
      </c>
      <c r="E114" s="1585">
        <v>9386299.0</v>
      </c>
      <c r="F114" s="1585" t="s">
        <v>5501</v>
      </c>
      <c r="G114" s="1585" t="s">
        <v>720</v>
      </c>
      <c r="H114" s="1585" t="s">
        <v>5327</v>
      </c>
      <c r="I114" s="1586">
        <v>73555.0</v>
      </c>
      <c r="J114" s="1585" t="s">
        <v>5328</v>
      </c>
      <c r="K114" s="1585" t="s">
        <v>5329</v>
      </c>
      <c r="L114" s="1585" t="s">
        <v>1536</v>
      </c>
      <c r="M114" s="1592">
        <v>45697.0</v>
      </c>
      <c r="N114" s="1585">
        <v>2009.0</v>
      </c>
      <c r="O114" s="1587"/>
      <c r="P114" s="1591">
        <v>45769.0</v>
      </c>
      <c r="Q114" s="1588"/>
    </row>
    <row r="115">
      <c r="A115" s="1585" t="s">
        <v>4996</v>
      </c>
      <c r="B115" s="1585" t="s">
        <v>5539</v>
      </c>
      <c r="C115" s="1585">
        <v>2009.0</v>
      </c>
      <c r="D115" s="1585">
        <v>3.0</v>
      </c>
      <c r="E115" s="1585">
        <v>9370537.0</v>
      </c>
      <c r="F115" s="1585" t="s">
        <v>5441</v>
      </c>
      <c r="G115" s="1585" t="s">
        <v>720</v>
      </c>
      <c r="H115" s="1585" t="s">
        <v>5327</v>
      </c>
      <c r="I115" s="1586">
        <v>82922.0</v>
      </c>
      <c r="J115" s="1585" t="s">
        <v>5328</v>
      </c>
      <c r="K115" s="1585" t="s">
        <v>5329</v>
      </c>
      <c r="L115" s="1585" t="s">
        <v>2935</v>
      </c>
      <c r="M115" s="1592">
        <v>45725.0</v>
      </c>
      <c r="N115" s="1585">
        <v>2009.0</v>
      </c>
      <c r="O115" s="1587"/>
      <c r="P115" s="1585" t="s">
        <v>4997</v>
      </c>
      <c r="Q115" s="1585" t="s">
        <v>3637</v>
      </c>
    </row>
    <row r="116">
      <c r="A116" s="1585" t="s">
        <v>4892</v>
      </c>
      <c r="B116" s="1588"/>
      <c r="C116" s="1585">
        <v>2009.0</v>
      </c>
      <c r="D116" s="1585">
        <v>3.0</v>
      </c>
      <c r="E116" s="1585">
        <v>9359478.0</v>
      </c>
      <c r="F116" s="1585" t="s">
        <v>5501</v>
      </c>
      <c r="G116" s="1585" t="s">
        <v>720</v>
      </c>
      <c r="H116" s="1585" t="s">
        <v>5327</v>
      </c>
      <c r="I116" s="1586">
        <v>80803.0</v>
      </c>
      <c r="J116" s="1585" t="s">
        <v>5328</v>
      </c>
      <c r="K116" s="1585" t="s">
        <v>5329</v>
      </c>
      <c r="L116" s="1585" t="s">
        <v>5510</v>
      </c>
      <c r="M116" s="1592">
        <v>45725.0</v>
      </c>
      <c r="N116" s="1585">
        <v>2009.0</v>
      </c>
      <c r="O116" s="1587"/>
      <c r="P116" s="1591">
        <v>45769.0</v>
      </c>
      <c r="Q116" s="1588"/>
    </row>
    <row r="117">
      <c r="A117" s="1585" t="s">
        <v>5006</v>
      </c>
      <c r="B117" s="1585" t="s">
        <v>5540</v>
      </c>
      <c r="C117" s="1585">
        <v>2009.0</v>
      </c>
      <c r="D117" s="1585">
        <v>3.0</v>
      </c>
      <c r="E117" s="1585">
        <v>9387762.0</v>
      </c>
      <c r="F117" s="1585" t="s">
        <v>5501</v>
      </c>
      <c r="G117" s="1585" t="s">
        <v>720</v>
      </c>
      <c r="H117" s="1585" t="s">
        <v>5327</v>
      </c>
      <c r="I117" s="1586">
        <v>80797.0</v>
      </c>
      <c r="J117" s="1585" t="s">
        <v>5328</v>
      </c>
      <c r="K117" s="1585" t="s">
        <v>5329</v>
      </c>
      <c r="L117" s="1585" t="s">
        <v>2935</v>
      </c>
      <c r="M117" s="1592">
        <v>45725.0</v>
      </c>
      <c r="N117" s="1585">
        <v>2009.0</v>
      </c>
      <c r="O117" s="1587"/>
      <c r="P117" s="1585" t="s">
        <v>4997</v>
      </c>
      <c r="Q117" s="1585" t="s">
        <v>3637</v>
      </c>
    </row>
    <row r="118">
      <c r="A118" s="1585" t="s">
        <v>4222</v>
      </c>
      <c r="B118" s="1588"/>
      <c r="C118" s="1585">
        <v>2009.0</v>
      </c>
      <c r="D118" s="1585">
        <v>3.0</v>
      </c>
      <c r="E118" s="1585">
        <v>9407122.0</v>
      </c>
      <c r="F118" s="1585" t="s">
        <v>5501</v>
      </c>
      <c r="G118" s="1585" t="s">
        <v>720</v>
      </c>
      <c r="H118" s="1585" t="s">
        <v>5327</v>
      </c>
      <c r="I118" s="1586">
        <v>80676.0</v>
      </c>
      <c r="J118" s="1585" t="s">
        <v>5328</v>
      </c>
      <c r="K118" s="1585" t="s">
        <v>5329</v>
      </c>
      <c r="L118" s="1585" t="s">
        <v>1536</v>
      </c>
      <c r="M118" s="1592">
        <v>45725.0</v>
      </c>
      <c r="N118" s="1585">
        <v>2009.0</v>
      </c>
      <c r="O118" s="1587"/>
      <c r="P118" s="1591">
        <v>45681.0</v>
      </c>
      <c r="Q118" s="1585" t="s">
        <v>3637</v>
      </c>
    </row>
    <row r="119">
      <c r="A119" s="1585" t="s">
        <v>4165</v>
      </c>
      <c r="B119" s="1588"/>
      <c r="C119" s="1585">
        <v>2009.0</v>
      </c>
      <c r="D119" s="1585">
        <v>4.0</v>
      </c>
      <c r="E119" s="1585">
        <v>9398307.0</v>
      </c>
      <c r="F119" s="1585" t="s">
        <v>5514</v>
      </c>
      <c r="G119" s="1585" t="s">
        <v>668</v>
      </c>
      <c r="H119" s="1585" t="s">
        <v>5327</v>
      </c>
      <c r="I119" s="1586">
        <v>81605.0</v>
      </c>
      <c r="J119" s="1585" t="s">
        <v>5328</v>
      </c>
      <c r="K119" s="1585" t="s">
        <v>5329</v>
      </c>
      <c r="L119" s="1585" t="s">
        <v>5541</v>
      </c>
      <c r="M119" s="1592">
        <v>45756.0</v>
      </c>
      <c r="N119" s="1585">
        <v>2009.0</v>
      </c>
      <c r="O119" s="1587"/>
      <c r="P119" s="1585" t="s">
        <v>4774</v>
      </c>
      <c r="Q119" s="1588"/>
    </row>
    <row r="120">
      <c r="A120" s="1585" t="s">
        <v>3382</v>
      </c>
      <c r="B120" s="1588"/>
      <c r="C120" s="1585">
        <v>2009.0</v>
      </c>
      <c r="D120" s="1585">
        <v>8.0</v>
      </c>
      <c r="E120" s="1585">
        <v>9395501.0</v>
      </c>
      <c r="F120" s="1585" t="s">
        <v>5514</v>
      </c>
      <c r="G120" s="1585" t="s">
        <v>668</v>
      </c>
      <c r="H120" s="1585" t="s">
        <v>5327</v>
      </c>
      <c r="I120" s="1586">
        <v>77325.0</v>
      </c>
      <c r="J120" s="1585" t="s">
        <v>5328</v>
      </c>
      <c r="K120" s="1585" t="s">
        <v>5329</v>
      </c>
      <c r="L120" s="1585" t="s">
        <v>3214</v>
      </c>
      <c r="M120" s="1592">
        <v>45878.0</v>
      </c>
      <c r="N120" s="1585">
        <v>2009.0</v>
      </c>
      <c r="O120" s="1587"/>
      <c r="P120" s="1591">
        <v>45738.0</v>
      </c>
      <c r="Q120" s="1588"/>
    </row>
    <row r="121">
      <c r="A121" s="1585" t="s">
        <v>5542</v>
      </c>
      <c r="B121" s="1588"/>
      <c r="C121" s="1585">
        <v>2009.0</v>
      </c>
      <c r="D121" s="1585">
        <v>12.0</v>
      </c>
      <c r="E121" s="1585">
        <v>9415686.0</v>
      </c>
      <c r="F121" s="1585" t="s">
        <v>5501</v>
      </c>
      <c r="G121" s="1585" t="s">
        <v>720</v>
      </c>
      <c r="H121" s="1585" t="s">
        <v>5327</v>
      </c>
      <c r="I121" s="1586">
        <v>82521.0</v>
      </c>
      <c r="J121" s="1585" t="s">
        <v>5328</v>
      </c>
      <c r="K121" s="1585" t="s">
        <v>5329</v>
      </c>
      <c r="L121" s="1585" t="s">
        <v>5171</v>
      </c>
      <c r="M121" s="1592">
        <v>46000.0</v>
      </c>
      <c r="N121" s="1585">
        <v>2009.0</v>
      </c>
      <c r="O121" s="1587"/>
      <c r="P121" s="1585" t="s">
        <v>4774</v>
      </c>
      <c r="Q121" s="1588"/>
    </row>
    <row r="122">
      <c r="A122" s="1585" t="s">
        <v>3430</v>
      </c>
      <c r="B122" s="1588"/>
      <c r="C122" s="1585">
        <v>2009.0</v>
      </c>
      <c r="D122" s="1585">
        <v>12.0</v>
      </c>
      <c r="E122" s="1585">
        <v>9415648.0</v>
      </c>
      <c r="F122" s="1585" t="s">
        <v>5514</v>
      </c>
      <c r="G122" s="1585" t="s">
        <v>668</v>
      </c>
      <c r="H122" s="1585" t="s">
        <v>5327</v>
      </c>
      <c r="I122" s="1586">
        <v>81629.0</v>
      </c>
      <c r="J122" s="1585" t="s">
        <v>5328</v>
      </c>
      <c r="K122" s="1585" t="s">
        <v>5329</v>
      </c>
      <c r="L122" s="1585" t="s">
        <v>3044</v>
      </c>
      <c r="M122" s="1592">
        <v>46000.0</v>
      </c>
      <c r="N122" s="1585">
        <v>2009.0</v>
      </c>
      <c r="O122" s="1587"/>
      <c r="P122" s="1591">
        <v>46013.0</v>
      </c>
      <c r="Q122" s="1585" t="s">
        <v>3637</v>
      </c>
    </row>
    <row r="123">
      <c r="A123" s="1585" t="s">
        <v>3386</v>
      </c>
      <c r="B123" s="1588"/>
      <c r="C123" s="1585">
        <v>2010.0</v>
      </c>
      <c r="D123" s="1585">
        <v>1.0</v>
      </c>
      <c r="E123" s="1585">
        <v>9415650.0</v>
      </c>
      <c r="F123" s="1585" t="s">
        <v>5514</v>
      </c>
      <c r="G123" s="1585" t="s">
        <v>668</v>
      </c>
      <c r="H123" s="1585" t="s">
        <v>5327</v>
      </c>
      <c r="I123" s="1586">
        <v>81612.0</v>
      </c>
      <c r="J123" s="1585" t="s">
        <v>5328</v>
      </c>
      <c r="K123" s="1585" t="s">
        <v>5329</v>
      </c>
      <c r="L123" s="1585" t="s">
        <v>3044</v>
      </c>
      <c r="M123" s="1591">
        <v>45667.0</v>
      </c>
      <c r="N123" s="1585">
        <v>2010.0</v>
      </c>
      <c r="O123" s="1587"/>
      <c r="P123" s="1585" t="s">
        <v>4997</v>
      </c>
      <c r="Q123" s="1585" t="s">
        <v>3637</v>
      </c>
    </row>
    <row r="124">
      <c r="A124" s="1585" t="s">
        <v>3440</v>
      </c>
      <c r="B124" s="1588"/>
      <c r="C124" s="1585">
        <v>2010.0</v>
      </c>
      <c r="D124" s="1585">
        <v>1.0</v>
      </c>
      <c r="E124" s="1585">
        <v>9405875.0</v>
      </c>
      <c r="F124" s="1585" t="s">
        <v>5502</v>
      </c>
      <c r="G124" s="1585" t="s">
        <v>668</v>
      </c>
      <c r="H124" s="1585" t="s">
        <v>5327</v>
      </c>
      <c r="I124" s="1586">
        <v>80199.0</v>
      </c>
      <c r="J124" s="1585" t="s">
        <v>5328</v>
      </c>
      <c r="K124" s="1585" t="s">
        <v>5329</v>
      </c>
      <c r="L124" s="1585" t="s">
        <v>3044</v>
      </c>
      <c r="M124" s="1591">
        <v>45667.0</v>
      </c>
      <c r="N124" s="1585">
        <v>2010.0</v>
      </c>
      <c r="O124" s="1587"/>
      <c r="P124" s="1591">
        <v>45861.0</v>
      </c>
      <c r="Q124" s="1588"/>
    </row>
    <row r="125">
      <c r="A125" s="1585" t="s">
        <v>5543</v>
      </c>
      <c r="B125" s="1585" t="s">
        <v>5544</v>
      </c>
      <c r="C125" s="1585">
        <v>2010.0</v>
      </c>
      <c r="D125" s="1585">
        <v>1.0</v>
      </c>
      <c r="E125" s="1585">
        <v>9397080.0</v>
      </c>
      <c r="F125" s="1585" t="s">
        <v>5514</v>
      </c>
      <c r="G125" s="1585" t="s">
        <v>668</v>
      </c>
      <c r="H125" s="1585" t="s">
        <v>5327</v>
      </c>
      <c r="I125" s="1586">
        <v>77323.0</v>
      </c>
      <c r="J125" s="1585" t="s">
        <v>5328</v>
      </c>
      <c r="K125" s="1585" t="s">
        <v>5329</v>
      </c>
      <c r="L125" s="1585" t="s">
        <v>2935</v>
      </c>
      <c r="M125" s="1591">
        <v>45667.0</v>
      </c>
      <c r="N125" s="1585">
        <v>2010.0</v>
      </c>
      <c r="O125" s="1587"/>
      <c r="P125" s="1591">
        <v>45679.0</v>
      </c>
      <c r="Q125" s="1588"/>
    </row>
    <row r="126">
      <c r="A126" s="1585" t="s">
        <v>3389</v>
      </c>
      <c r="B126" s="1588"/>
      <c r="C126" s="1585">
        <v>2010.0</v>
      </c>
      <c r="D126" s="1585">
        <v>3.0</v>
      </c>
      <c r="E126" s="1585">
        <v>9415698.0</v>
      </c>
      <c r="F126" s="1585" t="s">
        <v>5501</v>
      </c>
      <c r="G126" s="1585" t="s">
        <v>720</v>
      </c>
      <c r="H126" s="1585" t="s">
        <v>5327</v>
      </c>
      <c r="I126" s="1586">
        <v>82521.0</v>
      </c>
      <c r="J126" s="1585" t="s">
        <v>5328</v>
      </c>
      <c r="K126" s="1585" t="s">
        <v>5329</v>
      </c>
      <c r="L126" s="1585" t="s">
        <v>5171</v>
      </c>
      <c r="M126" s="1591">
        <v>45726.0</v>
      </c>
      <c r="N126" s="1585">
        <v>2010.0</v>
      </c>
      <c r="O126" s="1587"/>
      <c r="P126" s="1585" t="s">
        <v>4774</v>
      </c>
      <c r="Q126" s="1588"/>
    </row>
    <row r="127">
      <c r="A127" s="1585" t="s">
        <v>3444</v>
      </c>
      <c r="B127" s="1588"/>
      <c r="C127" s="1585">
        <v>2010.0</v>
      </c>
      <c r="D127" s="1585">
        <v>4.0</v>
      </c>
      <c r="E127" s="1585">
        <v>9415662.0</v>
      </c>
      <c r="F127" s="1585" t="s">
        <v>5514</v>
      </c>
      <c r="G127" s="1585" t="s">
        <v>668</v>
      </c>
      <c r="H127" s="1585" t="s">
        <v>5327</v>
      </c>
      <c r="I127" s="1586">
        <v>81605.0</v>
      </c>
      <c r="J127" s="1585" t="s">
        <v>5328</v>
      </c>
      <c r="K127" s="1585" t="s">
        <v>5329</v>
      </c>
      <c r="L127" s="1585" t="s">
        <v>5545</v>
      </c>
      <c r="M127" s="1591">
        <v>45757.0</v>
      </c>
      <c r="N127" s="1585">
        <v>2010.0</v>
      </c>
      <c r="O127" s="1587"/>
      <c r="P127" s="1585" t="s">
        <v>4997</v>
      </c>
      <c r="Q127" s="1588"/>
    </row>
    <row r="128">
      <c r="A128" s="1585" t="s">
        <v>3449</v>
      </c>
      <c r="B128" s="1588"/>
      <c r="C128" s="1585">
        <v>2010.0</v>
      </c>
      <c r="D128" s="1585">
        <v>5.0</v>
      </c>
      <c r="E128" s="1585">
        <v>9415703.0</v>
      </c>
      <c r="F128" s="1585" t="s">
        <v>5501</v>
      </c>
      <c r="G128" s="1585" t="s">
        <v>720</v>
      </c>
      <c r="H128" s="1585" t="s">
        <v>5327</v>
      </c>
      <c r="I128" s="1586">
        <v>82521.0</v>
      </c>
      <c r="J128" s="1585" t="s">
        <v>5328</v>
      </c>
      <c r="K128" s="1585" t="s">
        <v>5329</v>
      </c>
      <c r="L128" s="1585" t="s">
        <v>5171</v>
      </c>
      <c r="M128" s="1589">
        <v>45787.0</v>
      </c>
      <c r="N128" s="1585">
        <v>2010.0</v>
      </c>
      <c r="O128" s="1587"/>
      <c r="P128" s="1585" t="s">
        <v>4774</v>
      </c>
      <c r="Q128" s="1588"/>
    </row>
    <row r="129">
      <c r="A129" s="1585" t="s">
        <v>5546</v>
      </c>
      <c r="B129" s="1585" t="s">
        <v>5547</v>
      </c>
      <c r="C129" s="1585">
        <v>2010.0</v>
      </c>
      <c r="D129" s="1585">
        <v>7.0</v>
      </c>
      <c r="E129" s="1585">
        <v>9423322.0</v>
      </c>
      <c r="F129" s="1585" t="s">
        <v>5514</v>
      </c>
      <c r="G129" s="1585" t="s">
        <v>668</v>
      </c>
      <c r="H129" s="1585" t="s">
        <v>5327</v>
      </c>
      <c r="I129" s="1586">
        <v>77330.0</v>
      </c>
      <c r="J129" s="1585" t="s">
        <v>5328</v>
      </c>
      <c r="K129" s="1585" t="s">
        <v>5329</v>
      </c>
      <c r="L129" s="1585" t="s">
        <v>5548</v>
      </c>
      <c r="M129" s="1591">
        <v>45848.0</v>
      </c>
      <c r="N129" s="1585">
        <v>2010.0</v>
      </c>
      <c r="O129" s="1587"/>
      <c r="P129" s="1591">
        <v>45861.0</v>
      </c>
      <c r="Q129" s="1588"/>
    </row>
    <row r="130">
      <c r="A130" s="1585" t="s">
        <v>5549</v>
      </c>
      <c r="B130" s="1585" t="s">
        <v>5550</v>
      </c>
      <c r="C130" s="1585">
        <v>2010.0</v>
      </c>
      <c r="D130" s="1585">
        <v>9.0</v>
      </c>
      <c r="E130" s="1585">
        <v>9454010.0</v>
      </c>
      <c r="F130" s="1585" t="s">
        <v>5502</v>
      </c>
      <c r="G130" s="1585" t="s">
        <v>668</v>
      </c>
      <c r="H130" s="1585" t="s">
        <v>5327</v>
      </c>
      <c r="I130" s="1586">
        <v>80199.0</v>
      </c>
      <c r="J130" s="1585" t="s">
        <v>5328</v>
      </c>
      <c r="K130" s="1585" t="s">
        <v>5329</v>
      </c>
      <c r="L130" s="1585" t="s">
        <v>5551</v>
      </c>
      <c r="M130" s="1591">
        <v>45910.0</v>
      </c>
      <c r="N130" s="1585">
        <v>2010.0</v>
      </c>
      <c r="O130" s="1587"/>
      <c r="P130" s="1589">
        <v>45800.0</v>
      </c>
      <c r="Q130" s="1588"/>
    </row>
    <row r="131">
      <c r="A131" s="1585" t="s">
        <v>3439</v>
      </c>
      <c r="B131" s="1588"/>
      <c r="C131" s="1585">
        <v>2010.0</v>
      </c>
      <c r="D131" s="1585">
        <v>11.0</v>
      </c>
      <c r="E131" s="1585">
        <v>9405083.0</v>
      </c>
      <c r="F131" s="1585" t="s">
        <v>5514</v>
      </c>
      <c r="G131" s="1585" t="s">
        <v>668</v>
      </c>
      <c r="H131" s="1585" t="s">
        <v>5327</v>
      </c>
      <c r="I131" s="1586">
        <v>81633.0</v>
      </c>
      <c r="J131" s="1585" t="s">
        <v>5328</v>
      </c>
      <c r="K131" s="1585" t="s">
        <v>5329</v>
      </c>
      <c r="L131" s="1585" t="s">
        <v>5541</v>
      </c>
      <c r="M131" s="1591">
        <v>45971.0</v>
      </c>
      <c r="N131" s="1585">
        <v>2010.0</v>
      </c>
      <c r="O131" s="1587"/>
      <c r="P131" s="1585" t="s">
        <v>4774</v>
      </c>
      <c r="Q131" s="1588"/>
    </row>
    <row r="132">
      <c r="A132" s="1585" t="s">
        <v>4063</v>
      </c>
      <c r="B132" s="1585" t="s">
        <v>5552</v>
      </c>
      <c r="C132" s="1585">
        <v>2011.0</v>
      </c>
      <c r="D132" s="1585">
        <v>3.0</v>
      </c>
      <c r="E132" s="1585">
        <v>9479929.0</v>
      </c>
      <c r="F132" s="1585" t="s">
        <v>5502</v>
      </c>
      <c r="G132" s="1585" t="s">
        <v>668</v>
      </c>
      <c r="H132" s="1585" t="s">
        <v>5327</v>
      </c>
      <c r="I132" s="1586">
        <v>78553.0</v>
      </c>
      <c r="J132" s="1585" t="s">
        <v>5328</v>
      </c>
      <c r="K132" s="1585" t="s">
        <v>5329</v>
      </c>
      <c r="L132" s="1585" t="s">
        <v>2935</v>
      </c>
      <c r="M132" s="1591">
        <v>45727.0</v>
      </c>
      <c r="N132" s="1585">
        <v>2011.0</v>
      </c>
      <c r="O132" s="1587"/>
      <c r="P132" s="1591">
        <v>45982.0</v>
      </c>
      <c r="Q132" s="1588"/>
    </row>
    <row r="133">
      <c r="A133" s="1585" t="s">
        <v>5164</v>
      </c>
      <c r="B133" s="1588"/>
      <c r="C133" s="1585">
        <v>2011.0</v>
      </c>
      <c r="D133" s="1585">
        <v>11.0</v>
      </c>
      <c r="E133" s="1585">
        <v>9534614.0</v>
      </c>
      <c r="F133" s="1585" t="s">
        <v>5514</v>
      </c>
      <c r="G133" s="1585" t="s">
        <v>668</v>
      </c>
      <c r="H133" s="1585" t="s">
        <v>5327</v>
      </c>
      <c r="I133" s="1586">
        <v>81609.0</v>
      </c>
      <c r="J133" s="1585" t="s">
        <v>5328</v>
      </c>
      <c r="K133" s="1585" t="s">
        <v>5329</v>
      </c>
      <c r="L133" s="1585" t="s">
        <v>5553</v>
      </c>
      <c r="M133" s="1591">
        <v>45972.0</v>
      </c>
      <c r="N133" s="1585">
        <v>2011.0</v>
      </c>
      <c r="O133" s="1587"/>
      <c r="P133" s="1591">
        <v>45830.0</v>
      </c>
      <c r="Q133" s="1585" t="s">
        <v>3637</v>
      </c>
    </row>
    <row r="134">
      <c r="A134" s="1585" t="s">
        <v>3781</v>
      </c>
      <c r="B134" s="1588"/>
      <c r="C134" s="1585">
        <v>2011.0</v>
      </c>
      <c r="D134" s="1585">
        <v>11.0</v>
      </c>
      <c r="E134" s="1585">
        <v>9470088.0</v>
      </c>
      <c r="F134" s="1585" t="s">
        <v>5502</v>
      </c>
      <c r="G134" s="1585" t="s">
        <v>668</v>
      </c>
      <c r="H134" s="1585" t="s">
        <v>5327</v>
      </c>
      <c r="I134" s="1586">
        <v>80000.0</v>
      </c>
      <c r="J134" s="1585" t="s">
        <v>5328</v>
      </c>
      <c r="K134" s="1585" t="s">
        <v>5329</v>
      </c>
      <c r="L134" s="1585" t="s">
        <v>5492</v>
      </c>
      <c r="M134" s="1591">
        <v>45972.0</v>
      </c>
      <c r="N134" s="1585">
        <v>2011.0</v>
      </c>
      <c r="O134" s="1587"/>
      <c r="P134" s="1585" t="s">
        <v>4845</v>
      </c>
      <c r="Q134" s="1588"/>
    </row>
    <row r="135">
      <c r="A135" s="1585" t="s">
        <v>4084</v>
      </c>
      <c r="B135" s="1588"/>
      <c r="C135" s="1585">
        <v>2012.0</v>
      </c>
      <c r="D135" s="1585">
        <v>2.0</v>
      </c>
      <c r="E135" s="1585">
        <v>9522415.0</v>
      </c>
      <c r="F135" s="1585" t="s">
        <v>5514</v>
      </c>
      <c r="G135" s="1585" t="s">
        <v>668</v>
      </c>
      <c r="H135" s="1585" t="s">
        <v>5327</v>
      </c>
      <c r="I135" s="1586">
        <v>78000.0</v>
      </c>
      <c r="J135" s="1585" t="s">
        <v>5328</v>
      </c>
      <c r="K135" s="1585" t="s">
        <v>5329</v>
      </c>
      <c r="L135" s="1585" t="s">
        <v>2900</v>
      </c>
      <c r="M135" s="1591">
        <v>45700.0</v>
      </c>
      <c r="N135" s="1585">
        <v>2012.0</v>
      </c>
      <c r="O135" s="1587"/>
      <c r="P135" s="1591">
        <v>45711.0</v>
      </c>
      <c r="Q135" s="1588"/>
    </row>
    <row r="136">
      <c r="A136" s="1585" t="s">
        <v>4466</v>
      </c>
      <c r="B136" s="1588"/>
      <c r="C136" s="1585">
        <v>2012.0</v>
      </c>
      <c r="D136" s="1585">
        <v>8.0</v>
      </c>
      <c r="E136" s="1585">
        <v>9607069.0</v>
      </c>
      <c r="F136" s="1585" t="s">
        <v>5514</v>
      </c>
      <c r="G136" s="1585" t="s">
        <v>668</v>
      </c>
      <c r="H136" s="1585" t="s">
        <v>5327</v>
      </c>
      <c r="I136" s="1586">
        <v>83426.0</v>
      </c>
      <c r="J136" s="1585" t="s">
        <v>5328</v>
      </c>
      <c r="K136" s="1585" t="s">
        <v>5329</v>
      </c>
      <c r="L136" s="1585" t="s">
        <v>667</v>
      </c>
      <c r="M136" s="1591">
        <v>45881.0</v>
      </c>
      <c r="N136" s="1585">
        <v>2012.0</v>
      </c>
      <c r="O136" s="1587"/>
      <c r="P136" s="1585" t="s">
        <v>4845</v>
      </c>
      <c r="Q136" s="1588"/>
    </row>
    <row r="137">
      <c r="A137" s="1585" t="s">
        <v>3940</v>
      </c>
      <c r="B137" s="1588"/>
      <c r="C137" s="1585">
        <v>2013.0</v>
      </c>
      <c r="D137" s="1585">
        <v>1.0</v>
      </c>
      <c r="E137" s="1585">
        <v>9629873.0</v>
      </c>
      <c r="F137" s="1585" t="s">
        <v>5514</v>
      </c>
      <c r="G137" s="1585" t="s">
        <v>668</v>
      </c>
      <c r="H137" s="1585" t="s">
        <v>5327</v>
      </c>
      <c r="I137" s="1586">
        <v>81718.0</v>
      </c>
      <c r="J137" s="1585" t="s">
        <v>5328</v>
      </c>
      <c r="K137" s="1585" t="s">
        <v>5329</v>
      </c>
      <c r="L137" s="1585" t="s">
        <v>3334</v>
      </c>
      <c r="M137" s="1591">
        <v>45670.0</v>
      </c>
      <c r="N137" s="1585">
        <v>2013.0</v>
      </c>
      <c r="O137" s="1587"/>
      <c r="P137" s="1591">
        <v>45710.0</v>
      </c>
      <c r="Q137" s="1588"/>
    </row>
    <row r="138">
      <c r="A138" s="1585" t="s">
        <v>5554</v>
      </c>
      <c r="B138" s="1588"/>
      <c r="C138" s="1585">
        <v>2013.0</v>
      </c>
      <c r="D138" s="1585">
        <v>1.0</v>
      </c>
      <c r="E138" s="1585">
        <v>9604392.0</v>
      </c>
      <c r="F138" s="1585" t="s">
        <v>5501</v>
      </c>
      <c r="G138" s="1585" t="s">
        <v>720</v>
      </c>
      <c r="H138" s="1585" t="s">
        <v>5327</v>
      </c>
      <c r="I138" s="1586">
        <v>80586.0</v>
      </c>
      <c r="J138" s="1585" t="s">
        <v>5328</v>
      </c>
      <c r="K138" s="1585" t="s">
        <v>5329</v>
      </c>
      <c r="L138" s="1585" t="s">
        <v>1080</v>
      </c>
      <c r="M138" s="1591">
        <v>45670.0</v>
      </c>
      <c r="N138" s="1585">
        <v>2013.0</v>
      </c>
      <c r="O138" s="1587"/>
      <c r="P138" s="1591">
        <v>45679.0</v>
      </c>
      <c r="Q138" s="1588"/>
    </row>
    <row r="139">
      <c r="A139" s="1585" t="s">
        <v>3926</v>
      </c>
      <c r="B139" s="1585" t="s">
        <v>5555</v>
      </c>
      <c r="C139" s="1585">
        <v>2013.0</v>
      </c>
      <c r="D139" s="1585">
        <v>1.0</v>
      </c>
      <c r="E139" s="1585">
        <v>9534810.0</v>
      </c>
      <c r="F139" s="1585" t="s">
        <v>5502</v>
      </c>
      <c r="G139" s="1585" t="s">
        <v>668</v>
      </c>
      <c r="H139" s="1585" t="s">
        <v>5327</v>
      </c>
      <c r="I139" s="1586">
        <v>80152.0</v>
      </c>
      <c r="J139" s="1585" t="s">
        <v>5328</v>
      </c>
      <c r="K139" s="1585" t="s">
        <v>5329</v>
      </c>
      <c r="L139" s="1585" t="s">
        <v>3334</v>
      </c>
      <c r="M139" s="1591">
        <v>45670.0</v>
      </c>
      <c r="N139" s="1585">
        <v>2013.0</v>
      </c>
      <c r="O139" s="1587"/>
      <c r="P139" s="1591">
        <v>45710.0</v>
      </c>
      <c r="Q139" s="1588"/>
    </row>
    <row r="140">
      <c r="A140" s="1585" t="s">
        <v>4074</v>
      </c>
      <c r="B140" s="1588"/>
      <c r="C140" s="1585">
        <v>2013.0</v>
      </c>
      <c r="D140" s="1585">
        <v>3.0</v>
      </c>
      <c r="E140" s="1585">
        <v>9607758.0</v>
      </c>
      <c r="F140" s="1585" t="s">
        <v>5514</v>
      </c>
      <c r="G140" s="1585" t="s">
        <v>668</v>
      </c>
      <c r="H140" s="1585" t="s">
        <v>5327</v>
      </c>
      <c r="I140" s="1586">
        <v>81665.0</v>
      </c>
      <c r="J140" s="1585" t="s">
        <v>5328</v>
      </c>
      <c r="K140" s="1585" t="s">
        <v>5329</v>
      </c>
      <c r="L140" s="1585" t="s">
        <v>3214</v>
      </c>
      <c r="M140" s="1591">
        <v>45729.0</v>
      </c>
      <c r="N140" s="1585">
        <v>2013.0</v>
      </c>
      <c r="O140" s="1587"/>
      <c r="P140" s="1591">
        <v>45681.0</v>
      </c>
      <c r="Q140" s="1588"/>
    </row>
    <row r="141">
      <c r="A141" s="1585" t="s">
        <v>4839</v>
      </c>
      <c r="B141" s="1588"/>
      <c r="C141" s="1585">
        <v>2013.0</v>
      </c>
      <c r="D141" s="1585">
        <v>3.0</v>
      </c>
      <c r="E141" s="1585">
        <v>9611955.0</v>
      </c>
      <c r="F141" s="1585" t="s">
        <v>5501</v>
      </c>
      <c r="G141" s="1585" t="s">
        <v>720</v>
      </c>
      <c r="H141" s="1585" t="s">
        <v>5327</v>
      </c>
      <c r="I141" s="1586">
        <v>80754.0</v>
      </c>
      <c r="J141" s="1585" t="s">
        <v>5328</v>
      </c>
      <c r="K141" s="1585" t="s">
        <v>5329</v>
      </c>
      <c r="L141" s="1585" t="s">
        <v>3177</v>
      </c>
      <c r="M141" s="1591">
        <v>45729.0</v>
      </c>
      <c r="N141" s="1585">
        <v>2013.0</v>
      </c>
      <c r="O141" s="1587"/>
      <c r="P141" s="1585" t="s">
        <v>4774</v>
      </c>
      <c r="Q141" s="1585" t="s">
        <v>3637</v>
      </c>
    </row>
    <row r="142">
      <c r="A142" s="1585" t="s">
        <v>5556</v>
      </c>
      <c r="B142" s="1588"/>
      <c r="C142" s="1585">
        <v>2013.0</v>
      </c>
      <c r="D142" s="1585">
        <v>3.0</v>
      </c>
      <c r="E142" s="1585">
        <v>9608300.0</v>
      </c>
      <c r="F142" s="1585" t="s">
        <v>5501</v>
      </c>
      <c r="G142" s="1585" t="s">
        <v>720</v>
      </c>
      <c r="H142" s="1585" t="s">
        <v>5327</v>
      </c>
      <c r="I142" s="1586">
        <v>80574.0</v>
      </c>
      <c r="J142" s="1585" t="s">
        <v>5328</v>
      </c>
      <c r="K142" s="1585" t="s">
        <v>5329</v>
      </c>
      <c r="L142" s="1585" t="s">
        <v>1080</v>
      </c>
      <c r="M142" s="1591">
        <v>45729.0</v>
      </c>
      <c r="N142" s="1585">
        <v>2013.0</v>
      </c>
      <c r="O142" s="1587"/>
      <c r="P142" s="1591">
        <v>45680.0</v>
      </c>
      <c r="Q142" s="1588"/>
    </row>
    <row r="143">
      <c r="A143" s="1585" t="s">
        <v>3663</v>
      </c>
      <c r="B143" s="1588"/>
      <c r="C143" s="1585">
        <v>2013.0</v>
      </c>
      <c r="D143" s="1585">
        <v>5.0</v>
      </c>
      <c r="E143" s="1585">
        <v>9625152.0</v>
      </c>
      <c r="F143" s="1585" t="s">
        <v>5501</v>
      </c>
      <c r="G143" s="1585" t="s">
        <v>720</v>
      </c>
      <c r="H143" s="1585" t="s">
        <v>5327</v>
      </c>
      <c r="I143" s="1586">
        <v>80554.0</v>
      </c>
      <c r="J143" s="1585" t="s">
        <v>5328</v>
      </c>
      <c r="K143" s="1585" t="s">
        <v>5329</v>
      </c>
      <c r="L143" s="1585" t="s">
        <v>1080</v>
      </c>
      <c r="M143" s="1589">
        <v>45790.0</v>
      </c>
      <c r="N143" s="1585">
        <v>2013.0</v>
      </c>
      <c r="O143" s="1587"/>
      <c r="P143" s="1591">
        <v>45679.0</v>
      </c>
      <c r="Q143" s="1588"/>
    </row>
    <row r="144">
      <c r="A144" s="1585" t="s">
        <v>3757</v>
      </c>
      <c r="B144" s="1588"/>
      <c r="C144" s="1585">
        <v>2013.0</v>
      </c>
      <c r="D144" s="1585">
        <v>6.0</v>
      </c>
      <c r="E144" s="1585">
        <v>9630755.0</v>
      </c>
      <c r="F144" s="1585" t="s">
        <v>5501</v>
      </c>
      <c r="G144" s="1585" t="s">
        <v>720</v>
      </c>
      <c r="H144" s="1585" t="s">
        <v>5327</v>
      </c>
      <c r="I144" s="1586">
        <v>82385.0</v>
      </c>
      <c r="J144" s="1585" t="s">
        <v>5328</v>
      </c>
      <c r="K144" s="1585" t="s">
        <v>5329</v>
      </c>
      <c r="L144" s="1585" t="s">
        <v>1554</v>
      </c>
      <c r="M144" s="1591">
        <v>45821.0</v>
      </c>
      <c r="N144" s="1585">
        <v>2013.0</v>
      </c>
      <c r="O144" s="1587"/>
      <c r="P144" s="1591">
        <v>46012.0</v>
      </c>
      <c r="Q144" s="1585" t="s">
        <v>3637</v>
      </c>
    </row>
    <row r="145">
      <c r="A145" s="1585" t="s">
        <v>4837</v>
      </c>
      <c r="B145" s="1588"/>
      <c r="C145" s="1585">
        <v>2013.0</v>
      </c>
      <c r="D145" s="1585">
        <v>6.0</v>
      </c>
      <c r="E145" s="1585">
        <v>9621584.0</v>
      </c>
      <c r="F145" s="1585" t="s">
        <v>5501</v>
      </c>
      <c r="G145" s="1585" t="s">
        <v>720</v>
      </c>
      <c r="H145" s="1585" t="s">
        <v>5327</v>
      </c>
      <c r="I145" s="1586">
        <v>82000.0</v>
      </c>
      <c r="J145" s="1585" t="s">
        <v>5328</v>
      </c>
      <c r="K145" s="1585" t="s">
        <v>5329</v>
      </c>
      <c r="L145" s="1585" t="s">
        <v>3177</v>
      </c>
      <c r="M145" s="1591">
        <v>45821.0</v>
      </c>
      <c r="N145" s="1585">
        <v>2013.0</v>
      </c>
      <c r="O145" s="1587"/>
      <c r="P145" s="1585" t="s">
        <v>4774</v>
      </c>
      <c r="Q145" s="1585" t="s">
        <v>3637</v>
      </c>
    </row>
    <row r="146">
      <c r="A146" s="1585" t="s">
        <v>4908</v>
      </c>
      <c r="B146" s="1585" t="s">
        <v>5557</v>
      </c>
      <c r="C146" s="1585">
        <v>2013.0</v>
      </c>
      <c r="D146" s="1585">
        <v>9.0</v>
      </c>
      <c r="E146" s="1585">
        <v>9643348.0</v>
      </c>
      <c r="F146" s="1585" t="s">
        <v>5501</v>
      </c>
      <c r="G146" s="1585" t="s">
        <v>720</v>
      </c>
      <c r="H146" s="1585" t="s">
        <v>5327</v>
      </c>
      <c r="I146" s="1586">
        <v>84000.0</v>
      </c>
      <c r="J146" s="1585" t="s">
        <v>5328</v>
      </c>
      <c r="K146" s="1585" t="s">
        <v>5329</v>
      </c>
      <c r="L146" s="1585" t="s">
        <v>1066</v>
      </c>
      <c r="M146" s="1591">
        <v>45913.0</v>
      </c>
      <c r="N146" s="1585">
        <v>2013.0</v>
      </c>
      <c r="O146" s="1587"/>
      <c r="P146" s="1585" t="s">
        <v>4774</v>
      </c>
      <c r="Q146" s="1588"/>
    </row>
    <row r="147">
      <c r="A147" s="1585" t="s">
        <v>4838</v>
      </c>
      <c r="B147" s="1588"/>
      <c r="C147" s="1585">
        <v>2013.0</v>
      </c>
      <c r="D147" s="1585">
        <v>9.0</v>
      </c>
      <c r="E147" s="1585">
        <v>9656888.0</v>
      </c>
      <c r="F147" s="1585" t="s">
        <v>5501</v>
      </c>
      <c r="G147" s="1585" t="s">
        <v>720</v>
      </c>
      <c r="H147" s="1585" t="s">
        <v>5327</v>
      </c>
      <c r="I147" s="1586">
        <v>80623.0</v>
      </c>
      <c r="J147" s="1585" t="s">
        <v>5328</v>
      </c>
      <c r="K147" s="1585" t="s">
        <v>5329</v>
      </c>
      <c r="L147" s="1585" t="s">
        <v>3177</v>
      </c>
      <c r="M147" s="1591">
        <v>45913.0</v>
      </c>
      <c r="N147" s="1585">
        <v>2013.0</v>
      </c>
      <c r="O147" s="1587"/>
      <c r="P147" s="1585" t="s">
        <v>4774</v>
      </c>
      <c r="Q147" s="1588"/>
    </row>
    <row r="148">
      <c r="A148" s="1585" t="s">
        <v>4065</v>
      </c>
      <c r="B148" s="1588"/>
      <c r="C148" s="1585">
        <v>2013.0</v>
      </c>
      <c r="D148" s="1585">
        <v>11.0</v>
      </c>
      <c r="E148" s="1585">
        <v>9631682.0</v>
      </c>
      <c r="F148" s="1585" t="s">
        <v>5502</v>
      </c>
      <c r="G148" s="1585" t="s">
        <v>668</v>
      </c>
      <c r="H148" s="1585" t="s">
        <v>5327</v>
      </c>
      <c r="I148" s="1586">
        <v>80747.0</v>
      </c>
      <c r="J148" s="1585" t="s">
        <v>5328</v>
      </c>
      <c r="K148" s="1585" t="s">
        <v>5329</v>
      </c>
      <c r="L148" s="1585" t="s">
        <v>5558</v>
      </c>
      <c r="M148" s="1591">
        <v>45974.0</v>
      </c>
      <c r="N148" s="1585">
        <v>2013.0</v>
      </c>
      <c r="O148" s="1587"/>
      <c r="P148" s="1591">
        <v>45951.0</v>
      </c>
      <c r="Q148" s="1585" t="s">
        <v>3637</v>
      </c>
    </row>
    <row r="149">
      <c r="A149" s="1585" t="s">
        <v>3942</v>
      </c>
      <c r="B149" s="1588"/>
      <c r="C149" s="1585">
        <v>2013.0</v>
      </c>
      <c r="D149" s="1585">
        <v>12.0</v>
      </c>
      <c r="E149" s="1585">
        <v>9656747.0</v>
      </c>
      <c r="F149" s="1585" t="s">
        <v>5501</v>
      </c>
      <c r="G149" s="1585" t="s">
        <v>720</v>
      </c>
      <c r="H149" s="1585" t="s">
        <v>5327</v>
      </c>
      <c r="I149" s="1586">
        <v>82385.0</v>
      </c>
      <c r="J149" s="1585" t="s">
        <v>5328</v>
      </c>
      <c r="K149" s="1585" t="s">
        <v>5329</v>
      </c>
      <c r="L149" s="1585" t="s">
        <v>1554</v>
      </c>
      <c r="M149" s="1591">
        <v>46004.0</v>
      </c>
      <c r="N149" s="1585">
        <v>2013.0</v>
      </c>
      <c r="O149" s="1587"/>
      <c r="P149" s="1591">
        <v>46012.0</v>
      </c>
      <c r="Q149" s="1585" t="s">
        <v>3637</v>
      </c>
    </row>
    <row r="150">
      <c r="A150" s="1585" t="s">
        <v>5559</v>
      </c>
      <c r="B150" s="1588"/>
      <c r="C150" s="1585">
        <v>2014.0</v>
      </c>
      <c r="D150" s="1585">
        <v>1.0</v>
      </c>
      <c r="E150" s="1585">
        <v>9670004.0</v>
      </c>
      <c r="F150" s="1585" t="s">
        <v>5501</v>
      </c>
      <c r="G150" s="1585" t="s">
        <v>720</v>
      </c>
      <c r="H150" s="1585" t="s">
        <v>5327</v>
      </c>
      <c r="I150" s="1586">
        <v>84144.0</v>
      </c>
      <c r="J150" s="1585" t="s">
        <v>5328</v>
      </c>
      <c r="K150" s="1585" t="s">
        <v>5329</v>
      </c>
      <c r="L150" s="1585" t="s">
        <v>2900</v>
      </c>
      <c r="M150" s="1591">
        <v>45671.0</v>
      </c>
      <c r="N150" s="1585">
        <v>2014.0</v>
      </c>
      <c r="O150" s="1587"/>
      <c r="P150" s="1591">
        <v>45681.0</v>
      </c>
      <c r="Q150" s="1588"/>
    </row>
    <row r="151">
      <c r="A151" s="1585" t="s">
        <v>4907</v>
      </c>
      <c r="B151" s="1585" t="s">
        <v>5560</v>
      </c>
      <c r="C151" s="1585">
        <v>2014.0</v>
      </c>
      <c r="D151" s="1585">
        <v>5.0</v>
      </c>
      <c r="E151" s="1585">
        <v>9685217.0</v>
      </c>
      <c r="F151" s="1585" t="s">
        <v>5501</v>
      </c>
      <c r="G151" s="1585" t="s">
        <v>720</v>
      </c>
      <c r="H151" s="1585" t="s">
        <v>5327</v>
      </c>
      <c r="I151" s="1586">
        <v>84000.0</v>
      </c>
      <c r="J151" s="1585" t="s">
        <v>5328</v>
      </c>
      <c r="K151" s="1585" t="s">
        <v>5329</v>
      </c>
      <c r="L151" s="1585" t="s">
        <v>1066</v>
      </c>
      <c r="M151" s="1589">
        <v>45791.0</v>
      </c>
      <c r="N151" s="1585">
        <v>2014.0</v>
      </c>
      <c r="O151" s="1587"/>
      <c r="P151" s="1585" t="s">
        <v>4774</v>
      </c>
      <c r="Q151" s="1588"/>
    </row>
    <row r="152">
      <c r="A152" s="1585" t="s">
        <v>3399</v>
      </c>
      <c r="B152" s="1588"/>
      <c r="C152" s="1585">
        <v>2014.0</v>
      </c>
      <c r="D152" s="1585">
        <v>6.0</v>
      </c>
      <c r="E152" s="1585">
        <v>9682447.0</v>
      </c>
      <c r="F152" s="1585" t="s">
        <v>5501</v>
      </c>
      <c r="G152" s="1585" t="s">
        <v>720</v>
      </c>
      <c r="H152" s="1585" t="s">
        <v>5327</v>
      </c>
      <c r="I152" s="1586">
        <v>84000.0</v>
      </c>
      <c r="J152" s="1585" t="s">
        <v>5328</v>
      </c>
      <c r="K152" s="1585" t="s">
        <v>5329</v>
      </c>
      <c r="L152" s="1585" t="s">
        <v>5561</v>
      </c>
      <c r="M152" s="1591">
        <v>45822.0</v>
      </c>
      <c r="N152" s="1585">
        <v>2014.0</v>
      </c>
      <c r="O152" s="1587"/>
      <c r="P152" s="1585" t="s">
        <v>4845</v>
      </c>
      <c r="Q152" s="1588"/>
    </row>
    <row r="153">
      <c r="A153" s="1585" t="s">
        <v>3415</v>
      </c>
      <c r="B153" s="1588"/>
      <c r="C153" s="1585">
        <v>2014.0</v>
      </c>
      <c r="D153" s="1585">
        <v>6.0</v>
      </c>
      <c r="E153" s="1585">
        <v>9670016.0</v>
      </c>
      <c r="F153" s="1585" t="s">
        <v>5502</v>
      </c>
      <c r="G153" s="1585" t="s">
        <v>668</v>
      </c>
      <c r="H153" s="1585" t="s">
        <v>5327</v>
      </c>
      <c r="I153" s="1586">
        <v>82391.0</v>
      </c>
      <c r="J153" s="1585" t="s">
        <v>5328</v>
      </c>
      <c r="K153" s="1585" t="s">
        <v>5329</v>
      </c>
      <c r="L153" s="1585" t="s">
        <v>2901</v>
      </c>
      <c r="M153" s="1591">
        <v>45822.0</v>
      </c>
      <c r="N153" s="1585">
        <v>2014.0</v>
      </c>
      <c r="O153" s="1587"/>
      <c r="P153" s="1591">
        <v>45679.0</v>
      </c>
      <c r="Q153" s="1588"/>
    </row>
    <row r="154">
      <c r="A154" s="1585" t="s">
        <v>3416</v>
      </c>
      <c r="B154" s="1585" t="s">
        <v>5562</v>
      </c>
      <c r="C154" s="1585">
        <v>2014.0</v>
      </c>
      <c r="D154" s="1585">
        <v>7.0</v>
      </c>
      <c r="E154" s="1585">
        <v>9689914.0</v>
      </c>
      <c r="F154" s="1585" t="s">
        <v>5501</v>
      </c>
      <c r="G154" s="1585" t="s">
        <v>720</v>
      </c>
      <c r="H154" s="1585" t="s">
        <v>5327</v>
      </c>
      <c r="I154" s="1586">
        <v>84050.0</v>
      </c>
      <c r="J154" s="1585" t="s">
        <v>5328</v>
      </c>
      <c r="K154" s="1585" t="s">
        <v>5329</v>
      </c>
      <c r="L154" s="1585" t="s">
        <v>3299</v>
      </c>
      <c r="M154" s="1591">
        <v>45852.0</v>
      </c>
      <c r="N154" s="1585">
        <v>2014.0</v>
      </c>
      <c r="O154" s="1587"/>
      <c r="P154" s="1585" t="s">
        <v>4997</v>
      </c>
      <c r="Q154" s="1585" t="s">
        <v>3637</v>
      </c>
    </row>
    <row r="155">
      <c r="A155" s="1585" t="s">
        <v>3361</v>
      </c>
      <c r="B155" s="1588"/>
      <c r="C155" s="1585">
        <v>2014.0</v>
      </c>
      <c r="D155" s="1585">
        <v>9.0</v>
      </c>
      <c r="E155" s="1585">
        <v>9693549.0</v>
      </c>
      <c r="F155" s="1585" t="s">
        <v>5501</v>
      </c>
      <c r="G155" s="1585" t="s">
        <v>720</v>
      </c>
      <c r="H155" s="1585" t="s">
        <v>5327</v>
      </c>
      <c r="I155" s="1586">
        <v>84144.0</v>
      </c>
      <c r="J155" s="1585" t="s">
        <v>5328</v>
      </c>
      <c r="K155" s="1585" t="s">
        <v>5329</v>
      </c>
      <c r="L155" s="1585" t="s">
        <v>2900</v>
      </c>
      <c r="M155" s="1591">
        <v>45914.0</v>
      </c>
      <c r="N155" s="1585">
        <v>2014.0</v>
      </c>
      <c r="O155" s="1587"/>
      <c r="P155" s="1591">
        <v>45924.0</v>
      </c>
      <c r="Q155" s="1585" t="s">
        <v>3637</v>
      </c>
    </row>
    <row r="156">
      <c r="A156" s="1585" t="s">
        <v>3363</v>
      </c>
      <c r="B156" s="1585" t="s">
        <v>5563</v>
      </c>
      <c r="C156" s="1585">
        <v>2014.0</v>
      </c>
      <c r="D156" s="1585">
        <v>9.0</v>
      </c>
      <c r="E156" s="1585">
        <v>9689926.0</v>
      </c>
      <c r="F156" s="1585" t="s">
        <v>5501</v>
      </c>
      <c r="G156" s="1585" t="s">
        <v>720</v>
      </c>
      <c r="H156" s="1585" t="s">
        <v>5327</v>
      </c>
      <c r="I156" s="1586">
        <v>84050.0</v>
      </c>
      <c r="J156" s="1585" t="s">
        <v>5328</v>
      </c>
      <c r="K156" s="1585" t="s">
        <v>5329</v>
      </c>
      <c r="L156" s="1585" t="s">
        <v>3299</v>
      </c>
      <c r="M156" s="1591">
        <v>45914.0</v>
      </c>
      <c r="N156" s="1585">
        <v>2014.0</v>
      </c>
      <c r="O156" s="1587"/>
      <c r="P156" s="1591">
        <v>45983.0</v>
      </c>
      <c r="Q156" s="1585" t="s">
        <v>3637</v>
      </c>
    </row>
    <row r="157">
      <c r="A157" s="1585" t="s">
        <v>3385</v>
      </c>
      <c r="B157" s="1588"/>
      <c r="C157" s="1585">
        <v>2014.0</v>
      </c>
      <c r="D157" s="1585">
        <v>10.0</v>
      </c>
      <c r="E157" s="1585">
        <v>9701786.0</v>
      </c>
      <c r="F157" s="1585" t="s">
        <v>5501</v>
      </c>
      <c r="G157" s="1585" t="s">
        <v>720</v>
      </c>
      <c r="H157" s="1585" t="s">
        <v>5327</v>
      </c>
      <c r="I157" s="1586">
        <v>84196.0</v>
      </c>
      <c r="J157" s="1585" t="s">
        <v>5328</v>
      </c>
      <c r="K157" s="1585" t="s">
        <v>5329</v>
      </c>
      <c r="L157" s="1585" t="s">
        <v>2935</v>
      </c>
      <c r="M157" s="1591">
        <v>45944.0</v>
      </c>
      <c r="N157" s="1585">
        <v>2014.0</v>
      </c>
      <c r="O157" s="1587"/>
      <c r="P157" s="1585" t="s">
        <v>4997</v>
      </c>
      <c r="Q157" s="1585" t="s">
        <v>3637</v>
      </c>
    </row>
    <row r="158">
      <c r="A158" s="1585" t="s">
        <v>3387</v>
      </c>
      <c r="B158" s="1585" t="s">
        <v>5564</v>
      </c>
      <c r="C158" s="1585">
        <v>2015.0</v>
      </c>
      <c r="D158" s="1585">
        <v>1.0</v>
      </c>
      <c r="E158" s="1585">
        <v>9703837.0</v>
      </c>
      <c r="F158" s="1585" t="s">
        <v>5501</v>
      </c>
      <c r="G158" s="1585" t="s">
        <v>720</v>
      </c>
      <c r="H158" s="1585" t="s">
        <v>5327</v>
      </c>
      <c r="I158" s="1586">
        <v>84000.0</v>
      </c>
      <c r="J158" s="1585" t="s">
        <v>5328</v>
      </c>
      <c r="K158" s="1585" t="s">
        <v>5329</v>
      </c>
      <c r="L158" s="1585" t="s">
        <v>5565</v>
      </c>
      <c r="M158" s="1591">
        <v>45672.0</v>
      </c>
      <c r="N158" s="1585">
        <v>2015.0</v>
      </c>
      <c r="O158" s="1587"/>
      <c r="P158" s="1585" t="s">
        <v>4997</v>
      </c>
      <c r="Q158" s="1585" t="s">
        <v>3637</v>
      </c>
    </row>
    <row r="159">
      <c r="A159" s="1585" t="s">
        <v>5156</v>
      </c>
      <c r="B159" s="1588"/>
      <c r="C159" s="1585">
        <v>2015.0</v>
      </c>
      <c r="D159" s="1585">
        <v>1.0</v>
      </c>
      <c r="E159" s="1585">
        <v>9667564.0</v>
      </c>
      <c r="F159" s="1585" t="s">
        <v>5566</v>
      </c>
      <c r="G159" s="1585" t="s">
        <v>188</v>
      </c>
      <c r="H159" s="1585" t="s">
        <v>5327</v>
      </c>
      <c r="I159" s="1586">
        <v>83138.0</v>
      </c>
      <c r="J159" s="1585" t="s">
        <v>5328</v>
      </c>
      <c r="K159" s="1585" t="s">
        <v>5329</v>
      </c>
      <c r="L159" s="1585" t="s">
        <v>2937</v>
      </c>
      <c r="M159" s="1591">
        <v>45672.0</v>
      </c>
      <c r="N159" s="1585">
        <v>2015.0</v>
      </c>
      <c r="O159" s="1587"/>
      <c r="P159" s="1591">
        <v>46012.0</v>
      </c>
      <c r="Q159" s="1585" t="s">
        <v>3637</v>
      </c>
    </row>
    <row r="160">
      <c r="A160" s="1585" t="s">
        <v>5155</v>
      </c>
      <c r="B160" s="1588"/>
      <c r="C160" s="1585">
        <v>2015.0</v>
      </c>
      <c r="D160" s="1585">
        <v>1.0</v>
      </c>
      <c r="E160" s="1585">
        <v>9667540.0</v>
      </c>
      <c r="F160" s="1585" t="s">
        <v>5566</v>
      </c>
      <c r="G160" s="1585" t="s">
        <v>188</v>
      </c>
      <c r="H160" s="1585" t="s">
        <v>5327</v>
      </c>
      <c r="I160" s="1586">
        <v>83000.0</v>
      </c>
      <c r="J160" s="1585" t="s">
        <v>5328</v>
      </c>
      <c r="K160" s="1585" t="s">
        <v>5329</v>
      </c>
      <c r="L160" s="1585" t="s">
        <v>2937</v>
      </c>
      <c r="M160" s="1591">
        <v>45672.0</v>
      </c>
      <c r="N160" s="1585">
        <v>2015.0</v>
      </c>
      <c r="O160" s="1587"/>
      <c r="P160" s="1585" t="s">
        <v>4997</v>
      </c>
      <c r="Q160" s="1585" t="s">
        <v>3637</v>
      </c>
    </row>
    <row r="161">
      <c r="A161" s="1585" t="s">
        <v>3406</v>
      </c>
      <c r="B161" s="1588"/>
      <c r="C161" s="1585">
        <v>2015.0</v>
      </c>
      <c r="D161" s="1585">
        <v>2.0</v>
      </c>
      <c r="E161" s="1585">
        <v>9701798.0</v>
      </c>
      <c r="F161" s="1585" t="s">
        <v>5501</v>
      </c>
      <c r="G161" s="1585" t="s">
        <v>720</v>
      </c>
      <c r="H161" s="1585" t="s">
        <v>5327</v>
      </c>
      <c r="I161" s="1586">
        <v>84154.0</v>
      </c>
      <c r="J161" s="1585" t="s">
        <v>5328</v>
      </c>
      <c r="K161" s="1585" t="s">
        <v>5329</v>
      </c>
      <c r="L161" s="1585" t="s">
        <v>2935</v>
      </c>
      <c r="M161" s="1591">
        <v>45703.0</v>
      </c>
      <c r="N161" s="1585">
        <v>2015.0</v>
      </c>
      <c r="O161" s="1587"/>
      <c r="P161" s="1585" t="s">
        <v>4997</v>
      </c>
      <c r="Q161" s="1585" t="s">
        <v>3637</v>
      </c>
    </row>
    <row r="162">
      <c r="A162" s="1585" t="s">
        <v>3408</v>
      </c>
      <c r="B162" s="1588"/>
      <c r="C162" s="1585">
        <v>2015.0</v>
      </c>
      <c r="D162" s="1585">
        <v>3.0</v>
      </c>
      <c r="E162" s="1585">
        <v>9703007.0</v>
      </c>
      <c r="F162" s="1585" t="s">
        <v>5501</v>
      </c>
      <c r="G162" s="1585" t="s">
        <v>720</v>
      </c>
      <c r="H162" s="1585" t="s">
        <v>5327</v>
      </c>
      <c r="I162" s="1586">
        <v>84196.0</v>
      </c>
      <c r="J162" s="1585" t="s">
        <v>5328</v>
      </c>
      <c r="K162" s="1585" t="s">
        <v>5329</v>
      </c>
      <c r="L162" s="1585" t="s">
        <v>2935</v>
      </c>
      <c r="M162" s="1591">
        <v>45731.0</v>
      </c>
      <c r="N162" s="1585">
        <v>2015.0</v>
      </c>
      <c r="O162" s="1587"/>
      <c r="P162" s="1591">
        <v>45831.0</v>
      </c>
      <c r="Q162" s="1585" t="s">
        <v>666</v>
      </c>
    </row>
    <row r="163">
      <c r="A163" s="1585" t="s">
        <v>3434</v>
      </c>
      <c r="B163" s="1588"/>
      <c r="C163" s="1585">
        <v>2015.0</v>
      </c>
      <c r="D163" s="1585">
        <v>4.0</v>
      </c>
      <c r="E163" s="1585">
        <v>9703019.0</v>
      </c>
      <c r="F163" s="1585" t="s">
        <v>5501</v>
      </c>
      <c r="G163" s="1585" t="s">
        <v>720</v>
      </c>
      <c r="H163" s="1585" t="s">
        <v>5327</v>
      </c>
      <c r="I163" s="1586">
        <v>84195.0</v>
      </c>
      <c r="J163" s="1585" t="s">
        <v>5328</v>
      </c>
      <c r="K163" s="1585" t="s">
        <v>5329</v>
      </c>
      <c r="L163" s="1585" t="s">
        <v>2935</v>
      </c>
      <c r="M163" s="1591">
        <v>45762.0</v>
      </c>
      <c r="N163" s="1585">
        <v>2015.0</v>
      </c>
      <c r="O163" s="1587"/>
      <c r="P163" s="1585" t="s">
        <v>4997</v>
      </c>
      <c r="Q163" s="1585" t="s">
        <v>666</v>
      </c>
    </row>
    <row r="164">
      <c r="A164" s="1585" t="s">
        <v>5122</v>
      </c>
      <c r="B164" s="1588"/>
      <c r="C164" s="1585">
        <v>2015.0</v>
      </c>
      <c r="D164" s="1585">
        <v>4.0</v>
      </c>
      <c r="E164" s="1585">
        <v>9674842.0</v>
      </c>
      <c r="F164" s="1585" t="s">
        <v>5566</v>
      </c>
      <c r="G164" s="1585" t="s">
        <v>188</v>
      </c>
      <c r="H164" s="1585" t="s">
        <v>5327</v>
      </c>
      <c r="I164" s="1586">
        <v>83000.0</v>
      </c>
      <c r="J164" s="1585" t="s">
        <v>5328</v>
      </c>
      <c r="K164" s="1585" t="s">
        <v>5329</v>
      </c>
      <c r="L164" s="1585" t="s">
        <v>2937</v>
      </c>
      <c r="M164" s="1591">
        <v>45762.0</v>
      </c>
      <c r="N164" s="1585">
        <v>2015.0</v>
      </c>
      <c r="O164" s="1587"/>
      <c r="P164" s="1585" t="s">
        <v>4997</v>
      </c>
      <c r="Q164" s="1585" t="s">
        <v>3637</v>
      </c>
    </row>
    <row r="165">
      <c r="A165" s="1585" t="s">
        <v>3392</v>
      </c>
      <c r="B165" s="1588"/>
      <c r="C165" s="1585">
        <v>2015.0</v>
      </c>
      <c r="D165" s="1585">
        <v>6.0</v>
      </c>
      <c r="E165" s="1585">
        <v>9734678.0</v>
      </c>
      <c r="F165" s="1585" t="s">
        <v>5501</v>
      </c>
      <c r="G165" s="1585" t="s">
        <v>720</v>
      </c>
      <c r="H165" s="1585" t="s">
        <v>5327</v>
      </c>
      <c r="I165" s="1586">
        <v>84000.0</v>
      </c>
      <c r="J165" s="1585" t="s">
        <v>5328</v>
      </c>
      <c r="K165" s="1585" t="s">
        <v>5329</v>
      </c>
      <c r="L165" s="1585" t="s">
        <v>5567</v>
      </c>
      <c r="M165" s="1591">
        <v>45823.0</v>
      </c>
      <c r="N165" s="1585">
        <v>2015.0</v>
      </c>
      <c r="O165" s="1587"/>
      <c r="P165" s="1591">
        <v>45710.0</v>
      </c>
      <c r="Q165" s="1585" t="s">
        <v>3637</v>
      </c>
    </row>
    <row r="166">
      <c r="A166" s="1585" t="s">
        <v>3450</v>
      </c>
      <c r="B166" s="1588"/>
      <c r="C166" s="1585">
        <v>2015.0</v>
      </c>
      <c r="D166" s="1585">
        <v>6.0</v>
      </c>
      <c r="E166" s="1585">
        <v>9702003.0</v>
      </c>
      <c r="F166" s="1585" t="s">
        <v>5497</v>
      </c>
      <c r="G166" s="1585" t="s">
        <v>720</v>
      </c>
      <c r="H166" s="1585" t="s">
        <v>5327</v>
      </c>
      <c r="I166" s="1586">
        <v>84000.0</v>
      </c>
      <c r="J166" s="1585" t="s">
        <v>5328</v>
      </c>
      <c r="K166" s="1585" t="s">
        <v>5329</v>
      </c>
      <c r="L166" s="1585" t="s">
        <v>3299</v>
      </c>
      <c r="M166" s="1591">
        <v>45823.0</v>
      </c>
      <c r="N166" s="1585">
        <v>2015.0</v>
      </c>
      <c r="O166" s="1587"/>
      <c r="P166" s="1591">
        <v>46012.0</v>
      </c>
      <c r="Q166" s="1588"/>
    </row>
    <row r="167">
      <c r="A167" s="1585" t="s">
        <v>3409</v>
      </c>
      <c r="B167" s="1588"/>
      <c r="C167" s="1585">
        <v>2015.0</v>
      </c>
      <c r="D167" s="1585">
        <v>6.0</v>
      </c>
      <c r="E167" s="1585">
        <v>9702015.0</v>
      </c>
      <c r="F167" s="1585" t="s">
        <v>5497</v>
      </c>
      <c r="G167" s="1585" t="s">
        <v>720</v>
      </c>
      <c r="H167" s="1585" t="s">
        <v>5327</v>
      </c>
      <c r="I167" s="1586">
        <v>84000.0</v>
      </c>
      <c r="J167" s="1585" t="s">
        <v>5328</v>
      </c>
      <c r="K167" s="1585" t="s">
        <v>5329</v>
      </c>
      <c r="L167" s="1585" t="s">
        <v>3299</v>
      </c>
      <c r="M167" s="1591">
        <v>45823.0</v>
      </c>
      <c r="N167" s="1585">
        <v>2015.0</v>
      </c>
      <c r="O167" s="1587"/>
      <c r="P167" s="1591">
        <v>45830.0</v>
      </c>
      <c r="Q167" s="1585" t="s">
        <v>3637</v>
      </c>
    </row>
    <row r="168">
      <c r="A168" s="1585" t="s">
        <v>5149</v>
      </c>
      <c r="B168" s="1588"/>
      <c r="C168" s="1585">
        <v>2015.0</v>
      </c>
      <c r="D168" s="1585">
        <v>6.0</v>
      </c>
      <c r="E168" s="1585">
        <v>9686376.0</v>
      </c>
      <c r="F168" s="1585" t="s">
        <v>5566</v>
      </c>
      <c r="G168" s="1585" t="s">
        <v>188</v>
      </c>
      <c r="H168" s="1585" t="s">
        <v>5327</v>
      </c>
      <c r="I168" s="1586">
        <v>83000.0</v>
      </c>
      <c r="J168" s="1585" t="s">
        <v>5328</v>
      </c>
      <c r="K168" s="1585" t="s">
        <v>5329</v>
      </c>
      <c r="L168" s="1585" t="s">
        <v>2937</v>
      </c>
      <c r="M168" s="1591">
        <v>45823.0</v>
      </c>
      <c r="N168" s="1585">
        <v>2015.0</v>
      </c>
      <c r="O168" s="1587"/>
      <c r="P168" s="1585" t="s">
        <v>4997</v>
      </c>
      <c r="Q168" s="1585" t="s">
        <v>3637</v>
      </c>
    </row>
    <row r="169">
      <c r="A169" s="1585" t="s">
        <v>5135</v>
      </c>
      <c r="B169" s="1588"/>
      <c r="C169" s="1585">
        <v>2015.0</v>
      </c>
      <c r="D169" s="1585">
        <v>6.0</v>
      </c>
      <c r="E169" s="1585">
        <v>9674854.0</v>
      </c>
      <c r="F169" s="1585" t="s">
        <v>5566</v>
      </c>
      <c r="G169" s="1585" t="s">
        <v>188</v>
      </c>
      <c r="H169" s="1585" t="s">
        <v>5327</v>
      </c>
      <c r="I169" s="1586">
        <v>83000.0</v>
      </c>
      <c r="J169" s="1585" t="s">
        <v>5328</v>
      </c>
      <c r="K169" s="1585" t="s">
        <v>5329</v>
      </c>
      <c r="L169" s="1585" t="s">
        <v>2937</v>
      </c>
      <c r="M169" s="1591">
        <v>45823.0</v>
      </c>
      <c r="N169" s="1585">
        <v>2015.0</v>
      </c>
      <c r="O169" s="1587"/>
      <c r="P169" s="1585" t="s">
        <v>4997</v>
      </c>
      <c r="Q169" s="1585" t="s">
        <v>3637</v>
      </c>
    </row>
    <row r="170">
      <c r="A170" s="1585" t="s">
        <v>5568</v>
      </c>
      <c r="B170" s="1588"/>
      <c r="C170" s="1585">
        <v>2015.0</v>
      </c>
      <c r="D170" s="1585">
        <v>7.0</v>
      </c>
      <c r="E170" s="1585">
        <v>9694622.0</v>
      </c>
      <c r="F170" s="1585" t="s">
        <v>5501</v>
      </c>
      <c r="G170" s="1585" t="s">
        <v>720</v>
      </c>
      <c r="H170" s="1585" t="s">
        <v>5327</v>
      </c>
      <c r="I170" s="1586">
        <v>84078.0</v>
      </c>
      <c r="J170" s="1585" t="s">
        <v>5328</v>
      </c>
      <c r="K170" s="1585" t="s">
        <v>5329</v>
      </c>
      <c r="L170" s="1585" t="s">
        <v>1080</v>
      </c>
      <c r="M170" s="1591">
        <v>45853.0</v>
      </c>
      <c r="N170" s="1585">
        <v>2015.0</v>
      </c>
      <c r="O170" s="1587"/>
      <c r="P170" s="1591">
        <v>45891.0</v>
      </c>
      <c r="Q170" s="1588"/>
    </row>
    <row r="171">
      <c r="A171" s="1585" t="s">
        <v>5569</v>
      </c>
      <c r="B171" s="1588"/>
      <c r="C171" s="1585">
        <v>2015.0</v>
      </c>
      <c r="D171" s="1585">
        <v>7.0</v>
      </c>
      <c r="E171" s="1585">
        <v>9730139.0</v>
      </c>
      <c r="F171" s="1585" t="s">
        <v>5501</v>
      </c>
      <c r="G171" s="1585" t="s">
        <v>720</v>
      </c>
      <c r="H171" s="1585" t="s">
        <v>5327</v>
      </c>
      <c r="I171" s="1586">
        <v>84000.0</v>
      </c>
      <c r="J171" s="1585" t="s">
        <v>5328</v>
      </c>
      <c r="K171" s="1585" t="s">
        <v>5329</v>
      </c>
      <c r="L171" s="1585" t="s">
        <v>1610</v>
      </c>
      <c r="M171" s="1591">
        <v>45853.0</v>
      </c>
      <c r="N171" s="1585">
        <v>2015.0</v>
      </c>
      <c r="O171" s="1587"/>
      <c r="P171" s="1591">
        <v>46012.0</v>
      </c>
      <c r="Q171" s="1588"/>
    </row>
    <row r="172">
      <c r="A172" s="1585" t="s">
        <v>3362</v>
      </c>
      <c r="B172" s="1588"/>
      <c r="C172" s="1585">
        <v>2015.0</v>
      </c>
      <c r="D172" s="1585">
        <v>7.0</v>
      </c>
      <c r="E172" s="1585">
        <v>9714381.0</v>
      </c>
      <c r="F172" s="1585" t="s">
        <v>5497</v>
      </c>
      <c r="G172" s="1585" t="s">
        <v>720</v>
      </c>
      <c r="H172" s="1585" t="s">
        <v>5327</v>
      </c>
      <c r="I172" s="1586">
        <v>82444.0</v>
      </c>
      <c r="J172" s="1585" t="s">
        <v>5328</v>
      </c>
      <c r="K172" s="1585" t="s">
        <v>5329</v>
      </c>
      <c r="L172" s="1585" t="s">
        <v>3299</v>
      </c>
      <c r="M172" s="1591">
        <v>45853.0</v>
      </c>
      <c r="N172" s="1585">
        <v>2015.0</v>
      </c>
      <c r="O172" s="1587"/>
      <c r="P172" s="1585" t="s">
        <v>4997</v>
      </c>
      <c r="Q172" s="1588"/>
    </row>
    <row r="173">
      <c r="A173" s="1585" t="s">
        <v>3374</v>
      </c>
      <c r="B173" s="1588"/>
      <c r="C173" s="1585">
        <v>2015.0</v>
      </c>
      <c r="D173" s="1585">
        <v>8.0</v>
      </c>
      <c r="E173" s="1585">
        <v>9719496.0</v>
      </c>
      <c r="F173" s="1585" t="s">
        <v>5501</v>
      </c>
      <c r="G173" s="1585" t="s">
        <v>720</v>
      </c>
      <c r="H173" s="1585" t="s">
        <v>5327</v>
      </c>
      <c r="I173" s="1586">
        <v>84196.0</v>
      </c>
      <c r="J173" s="1585" t="s">
        <v>5328</v>
      </c>
      <c r="K173" s="1585" t="s">
        <v>5329</v>
      </c>
      <c r="L173" s="1585" t="s">
        <v>2935</v>
      </c>
      <c r="M173" s="1591">
        <v>45884.0</v>
      </c>
      <c r="N173" s="1585">
        <v>2015.0</v>
      </c>
      <c r="O173" s="1587"/>
      <c r="P173" s="1585" t="s">
        <v>4997</v>
      </c>
      <c r="Q173" s="1585" t="s">
        <v>666</v>
      </c>
    </row>
    <row r="174">
      <c r="A174" s="1585" t="s">
        <v>3420</v>
      </c>
      <c r="B174" s="1588"/>
      <c r="C174" s="1585">
        <v>2015.0</v>
      </c>
      <c r="D174" s="1585">
        <v>8.0</v>
      </c>
      <c r="E174" s="1585">
        <v>9706499.0</v>
      </c>
      <c r="F174" s="1585" t="s">
        <v>5497</v>
      </c>
      <c r="G174" s="1585" t="s">
        <v>720</v>
      </c>
      <c r="H174" s="1585" t="s">
        <v>5327</v>
      </c>
      <c r="I174" s="1586">
        <v>84000.0</v>
      </c>
      <c r="J174" s="1585" t="s">
        <v>5328</v>
      </c>
      <c r="K174" s="1585" t="s">
        <v>5329</v>
      </c>
      <c r="L174" s="1585" t="s">
        <v>3299</v>
      </c>
      <c r="M174" s="1591">
        <v>45884.0</v>
      </c>
      <c r="N174" s="1585">
        <v>2015.0</v>
      </c>
      <c r="O174" s="1587"/>
      <c r="P174" s="1585" t="s">
        <v>4997</v>
      </c>
      <c r="Q174" s="1585" t="s">
        <v>3637</v>
      </c>
    </row>
    <row r="175">
      <c r="A175" s="1585" t="s">
        <v>3394</v>
      </c>
      <c r="B175" s="1588"/>
      <c r="C175" s="1585">
        <v>2015.0</v>
      </c>
      <c r="D175" s="1585">
        <v>8.0</v>
      </c>
      <c r="E175" s="1585">
        <v>9702027.0</v>
      </c>
      <c r="F175" s="1585" t="s">
        <v>5497</v>
      </c>
      <c r="G175" s="1585" t="s">
        <v>720</v>
      </c>
      <c r="H175" s="1585" t="s">
        <v>5327</v>
      </c>
      <c r="I175" s="1586">
        <v>84000.0</v>
      </c>
      <c r="J175" s="1585" t="s">
        <v>5328</v>
      </c>
      <c r="K175" s="1585" t="s">
        <v>5329</v>
      </c>
      <c r="L175" s="1585" t="s">
        <v>3299</v>
      </c>
      <c r="M175" s="1591">
        <v>45884.0</v>
      </c>
      <c r="N175" s="1585">
        <v>2015.0</v>
      </c>
      <c r="O175" s="1587"/>
      <c r="P175" s="1591">
        <v>45922.0</v>
      </c>
      <c r="Q175" s="1588"/>
    </row>
    <row r="176">
      <c r="A176" s="1585" t="s">
        <v>5570</v>
      </c>
      <c r="B176" s="1588"/>
      <c r="C176" s="1585">
        <v>2015.0</v>
      </c>
      <c r="D176" s="1585">
        <v>8.0</v>
      </c>
      <c r="E176" s="1585">
        <v>9686388.0</v>
      </c>
      <c r="F176" s="1585" t="s">
        <v>5566</v>
      </c>
      <c r="G176" s="1585" t="s">
        <v>188</v>
      </c>
      <c r="H176" s="1585" t="s">
        <v>5327</v>
      </c>
      <c r="I176" s="1586">
        <v>81471.0</v>
      </c>
      <c r="J176" s="1585" t="s">
        <v>5328</v>
      </c>
      <c r="K176" s="1585" t="s">
        <v>5329</v>
      </c>
      <c r="L176" s="1585" t="s">
        <v>2937</v>
      </c>
      <c r="M176" s="1591">
        <v>45884.0</v>
      </c>
      <c r="N176" s="1585">
        <v>2015.0</v>
      </c>
      <c r="O176" s="1587"/>
      <c r="P176" s="1585" t="s">
        <v>4997</v>
      </c>
      <c r="Q176" s="1585" t="s">
        <v>3637</v>
      </c>
    </row>
    <row r="177">
      <c r="A177" s="1585" t="s">
        <v>5571</v>
      </c>
      <c r="B177" s="1588"/>
      <c r="C177" s="1585">
        <v>2015.0</v>
      </c>
      <c r="D177" s="1585">
        <v>9.0</v>
      </c>
      <c r="E177" s="1585">
        <v>9694634.0</v>
      </c>
      <c r="F177" s="1585" t="s">
        <v>5501</v>
      </c>
      <c r="G177" s="1585" t="s">
        <v>720</v>
      </c>
      <c r="H177" s="1585" t="s">
        <v>5327</v>
      </c>
      <c r="I177" s="1586">
        <v>84123.0</v>
      </c>
      <c r="J177" s="1585" t="s">
        <v>5328</v>
      </c>
      <c r="K177" s="1585" t="s">
        <v>5329</v>
      </c>
      <c r="L177" s="1585" t="s">
        <v>1080</v>
      </c>
      <c r="M177" s="1591">
        <v>45915.0</v>
      </c>
      <c r="N177" s="1585">
        <v>2015.0</v>
      </c>
      <c r="O177" s="1587"/>
      <c r="P177" s="1591">
        <v>45680.0</v>
      </c>
      <c r="Q177" s="1588"/>
    </row>
    <row r="178">
      <c r="A178" s="1585" t="s">
        <v>3411</v>
      </c>
      <c r="B178" s="1588"/>
      <c r="C178" s="1585">
        <v>2015.0</v>
      </c>
      <c r="D178" s="1585">
        <v>9.0</v>
      </c>
      <c r="E178" s="1585">
        <v>9702039.0</v>
      </c>
      <c r="F178" s="1585" t="s">
        <v>5441</v>
      </c>
      <c r="G178" s="1585" t="s">
        <v>720</v>
      </c>
      <c r="H178" s="1585" t="s">
        <v>5327</v>
      </c>
      <c r="I178" s="1586">
        <v>84000.0</v>
      </c>
      <c r="J178" s="1585" t="s">
        <v>5328</v>
      </c>
      <c r="K178" s="1585" t="s">
        <v>5329</v>
      </c>
      <c r="L178" s="1585" t="s">
        <v>3299</v>
      </c>
      <c r="M178" s="1591">
        <v>45915.0</v>
      </c>
      <c r="N178" s="1585">
        <v>2015.0</v>
      </c>
      <c r="O178" s="1587"/>
      <c r="P178" s="1585" t="s">
        <v>4997</v>
      </c>
      <c r="Q178" s="1585" t="s">
        <v>3637</v>
      </c>
    </row>
    <row r="179">
      <c r="A179" s="1585" t="s">
        <v>3395</v>
      </c>
      <c r="B179" s="1588"/>
      <c r="C179" s="1585">
        <v>2015.0</v>
      </c>
      <c r="D179" s="1585">
        <v>9.0</v>
      </c>
      <c r="E179" s="1585">
        <v>9734680.0</v>
      </c>
      <c r="F179" s="1585" t="s">
        <v>5501</v>
      </c>
      <c r="G179" s="1585" t="s">
        <v>720</v>
      </c>
      <c r="H179" s="1585" t="s">
        <v>5327</v>
      </c>
      <c r="I179" s="1586">
        <v>84000.0</v>
      </c>
      <c r="J179" s="1585" t="s">
        <v>5328</v>
      </c>
      <c r="K179" s="1585" t="s">
        <v>5329</v>
      </c>
      <c r="L179" s="1585" t="s">
        <v>3299</v>
      </c>
      <c r="M179" s="1591">
        <v>45915.0</v>
      </c>
      <c r="N179" s="1585">
        <v>2015.0</v>
      </c>
      <c r="O179" s="1587"/>
      <c r="P179" s="1585" t="s">
        <v>4997</v>
      </c>
      <c r="Q179" s="1585" t="s">
        <v>3637</v>
      </c>
    </row>
    <row r="180">
      <c r="A180" s="1585" t="s">
        <v>5572</v>
      </c>
      <c r="B180" s="1588"/>
      <c r="C180" s="1585">
        <v>2015.0</v>
      </c>
      <c r="D180" s="1585">
        <v>9.0</v>
      </c>
      <c r="E180" s="1585">
        <v>9689536.0</v>
      </c>
      <c r="F180" s="1585" t="s">
        <v>5566</v>
      </c>
      <c r="G180" s="1585" t="s">
        <v>188</v>
      </c>
      <c r="H180" s="1585" t="s">
        <v>5327</v>
      </c>
      <c r="I180" s="1586">
        <v>83000.0</v>
      </c>
      <c r="J180" s="1585" t="s">
        <v>5328</v>
      </c>
      <c r="K180" s="1585" t="s">
        <v>5329</v>
      </c>
      <c r="L180" s="1585" t="s">
        <v>2937</v>
      </c>
      <c r="M180" s="1591">
        <v>45915.0</v>
      </c>
      <c r="N180" s="1585">
        <v>2015.0</v>
      </c>
      <c r="O180" s="1587"/>
      <c r="P180" s="1591">
        <v>45860.0</v>
      </c>
      <c r="Q180" s="1588"/>
    </row>
    <row r="181">
      <c r="A181" s="1585" t="s">
        <v>3432</v>
      </c>
      <c r="B181" s="1588"/>
      <c r="C181" s="1585">
        <v>2015.0</v>
      </c>
      <c r="D181" s="1585">
        <v>10.0</v>
      </c>
      <c r="E181" s="1585">
        <v>9702041.0</v>
      </c>
      <c r="F181" s="1585" t="s">
        <v>5441</v>
      </c>
      <c r="G181" s="1585" t="s">
        <v>720</v>
      </c>
      <c r="H181" s="1585" t="s">
        <v>5327</v>
      </c>
      <c r="I181" s="1586">
        <v>84147.0</v>
      </c>
      <c r="J181" s="1585" t="s">
        <v>5328</v>
      </c>
      <c r="K181" s="1585" t="s">
        <v>5329</v>
      </c>
      <c r="L181" s="1585" t="s">
        <v>3299</v>
      </c>
      <c r="M181" s="1591">
        <v>45945.0</v>
      </c>
      <c r="N181" s="1585">
        <v>2015.0</v>
      </c>
      <c r="O181" s="1587"/>
      <c r="P181" s="1585" t="s">
        <v>4997</v>
      </c>
      <c r="Q181" s="1585" t="s">
        <v>3637</v>
      </c>
    </row>
    <row r="182">
      <c r="A182" s="1585" t="s">
        <v>3412</v>
      </c>
      <c r="B182" s="1588"/>
      <c r="C182" s="1585">
        <v>2015.0</v>
      </c>
      <c r="D182" s="1585">
        <v>10.0</v>
      </c>
      <c r="E182" s="1585">
        <v>9706487.0</v>
      </c>
      <c r="F182" s="1585" t="s">
        <v>5497</v>
      </c>
      <c r="G182" s="1585" t="s">
        <v>720</v>
      </c>
      <c r="H182" s="1585" t="s">
        <v>5327</v>
      </c>
      <c r="I182" s="1586">
        <v>84117.0</v>
      </c>
      <c r="J182" s="1585" t="s">
        <v>5328</v>
      </c>
      <c r="K182" s="1585" t="s">
        <v>5329</v>
      </c>
      <c r="L182" s="1585" t="s">
        <v>3299</v>
      </c>
      <c r="M182" s="1591">
        <v>45945.0</v>
      </c>
      <c r="N182" s="1585">
        <v>2015.0</v>
      </c>
      <c r="O182" s="1587"/>
      <c r="P182" s="1585" t="s">
        <v>4997</v>
      </c>
      <c r="Q182" s="1585" t="s">
        <v>3637</v>
      </c>
    </row>
    <row r="183">
      <c r="A183" s="1585" t="s">
        <v>3371</v>
      </c>
      <c r="B183" s="1588"/>
      <c r="C183" s="1585">
        <v>2015.0</v>
      </c>
      <c r="D183" s="1585">
        <v>10.0</v>
      </c>
      <c r="E183" s="1585">
        <v>9706504.0</v>
      </c>
      <c r="F183" s="1585" t="s">
        <v>5497</v>
      </c>
      <c r="G183" s="1585" t="s">
        <v>720</v>
      </c>
      <c r="H183" s="1585" t="s">
        <v>5327</v>
      </c>
      <c r="I183" s="1586">
        <v>84000.0</v>
      </c>
      <c r="J183" s="1585" t="s">
        <v>5328</v>
      </c>
      <c r="K183" s="1585" t="s">
        <v>5329</v>
      </c>
      <c r="L183" s="1585" t="s">
        <v>3299</v>
      </c>
      <c r="M183" s="1591">
        <v>45945.0</v>
      </c>
      <c r="N183" s="1585">
        <v>2015.0</v>
      </c>
      <c r="O183" s="1587"/>
      <c r="P183" s="1585" t="s">
        <v>4997</v>
      </c>
      <c r="Q183" s="1585" t="s">
        <v>3637</v>
      </c>
    </row>
    <row r="184">
      <c r="A184" s="1585" t="s">
        <v>3438</v>
      </c>
      <c r="B184" s="1588"/>
      <c r="C184" s="1585">
        <v>2015.0</v>
      </c>
      <c r="D184" s="1585">
        <v>10.0</v>
      </c>
      <c r="E184" s="1585">
        <v>9719501.0</v>
      </c>
      <c r="F184" s="1585" t="s">
        <v>5501</v>
      </c>
      <c r="G184" s="1585" t="s">
        <v>720</v>
      </c>
      <c r="H184" s="1585" t="s">
        <v>5327</v>
      </c>
      <c r="I184" s="1586">
        <v>84000.0</v>
      </c>
      <c r="J184" s="1585" t="s">
        <v>5328</v>
      </c>
      <c r="K184" s="1585" t="s">
        <v>5329</v>
      </c>
      <c r="L184" s="1585" t="s">
        <v>2935</v>
      </c>
      <c r="M184" s="1591">
        <v>45945.0</v>
      </c>
      <c r="N184" s="1585">
        <v>2015.0</v>
      </c>
      <c r="O184" s="1587"/>
      <c r="P184" s="1585" t="s">
        <v>4997</v>
      </c>
      <c r="Q184" s="1585" t="s">
        <v>666</v>
      </c>
    </row>
    <row r="185">
      <c r="A185" s="1585" t="s">
        <v>5573</v>
      </c>
      <c r="B185" s="1588"/>
      <c r="C185" s="1585">
        <v>2015.0</v>
      </c>
      <c r="D185" s="1585">
        <v>10.0</v>
      </c>
      <c r="E185" s="1585">
        <v>9689548.0</v>
      </c>
      <c r="F185" s="1585" t="s">
        <v>5566</v>
      </c>
      <c r="G185" s="1585" t="s">
        <v>188</v>
      </c>
      <c r="H185" s="1585" t="s">
        <v>5327</v>
      </c>
      <c r="I185" s="1586">
        <v>83000.0</v>
      </c>
      <c r="J185" s="1585" t="s">
        <v>5328</v>
      </c>
      <c r="K185" s="1585" t="s">
        <v>5329</v>
      </c>
      <c r="L185" s="1585" t="s">
        <v>2937</v>
      </c>
      <c r="M185" s="1591">
        <v>45945.0</v>
      </c>
      <c r="N185" s="1585">
        <v>2015.0</v>
      </c>
      <c r="O185" s="1587"/>
      <c r="P185" s="1585" t="s">
        <v>4997</v>
      </c>
      <c r="Q185" s="1588"/>
    </row>
    <row r="186">
      <c r="A186" s="1585" t="s">
        <v>3448</v>
      </c>
      <c r="B186" s="1588"/>
      <c r="C186" s="1585">
        <v>2015.0</v>
      </c>
      <c r="D186" s="1585">
        <v>10.0</v>
      </c>
      <c r="E186" s="1585">
        <v>9721138.0</v>
      </c>
      <c r="F186" s="1585" t="s">
        <v>5501</v>
      </c>
      <c r="G186" s="1585" t="s">
        <v>720</v>
      </c>
      <c r="H186" s="1585" t="s">
        <v>5327</v>
      </c>
      <c r="I186" s="1586">
        <v>82345.0</v>
      </c>
      <c r="J186" s="1585" t="s">
        <v>5328</v>
      </c>
      <c r="K186" s="1585" t="s">
        <v>5329</v>
      </c>
      <c r="L186" s="1585" t="s">
        <v>5505</v>
      </c>
      <c r="M186" s="1591">
        <v>45945.0</v>
      </c>
      <c r="N186" s="1585">
        <v>2015.0</v>
      </c>
      <c r="O186" s="1587"/>
      <c r="P186" s="1591">
        <v>45738.0</v>
      </c>
      <c r="Q186" s="1588"/>
    </row>
    <row r="187">
      <c r="A187" s="1585" t="s">
        <v>5574</v>
      </c>
      <c r="B187" s="1588"/>
      <c r="C187" s="1585">
        <v>2015.0</v>
      </c>
      <c r="D187" s="1585">
        <v>11.0</v>
      </c>
      <c r="E187" s="1585">
        <v>9726061.0</v>
      </c>
      <c r="F187" s="1585" t="s">
        <v>5501</v>
      </c>
      <c r="G187" s="1585" t="s">
        <v>720</v>
      </c>
      <c r="H187" s="1585" t="s">
        <v>5327</v>
      </c>
      <c r="I187" s="1586">
        <v>84048.0</v>
      </c>
      <c r="J187" s="1585" t="s">
        <v>5328</v>
      </c>
      <c r="K187" s="1585" t="s">
        <v>5329</v>
      </c>
      <c r="L187" s="1585" t="s">
        <v>1080</v>
      </c>
      <c r="M187" s="1591">
        <v>45976.0</v>
      </c>
      <c r="N187" s="1585">
        <v>2015.0</v>
      </c>
      <c r="O187" s="1587"/>
      <c r="P187" s="1585" t="s">
        <v>4845</v>
      </c>
      <c r="Q187" s="1588"/>
    </row>
    <row r="188">
      <c r="A188" s="1585" t="s">
        <v>3413</v>
      </c>
      <c r="B188" s="1588"/>
      <c r="C188" s="1585">
        <v>2015.0</v>
      </c>
      <c r="D188" s="1585">
        <v>11.0</v>
      </c>
      <c r="E188" s="1585">
        <v>9734692.0</v>
      </c>
      <c r="F188" s="1585" t="s">
        <v>5501</v>
      </c>
      <c r="G188" s="1585" t="s">
        <v>720</v>
      </c>
      <c r="H188" s="1585" t="s">
        <v>5327</v>
      </c>
      <c r="I188" s="1586">
        <v>84000.0</v>
      </c>
      <c r="J188" s="1585" t="s">
        <v>5328</v>
      </c>
      <c r="K188" s="1585" t="s">
        <v>5329</v>
      </c>
      <c r="L188" s="1585" t="s">
        <v>3299</v>
      </c>
      <c r="M188" s="1591">
        <v>45976.0</v>
      </c>
      <c r="N188" s="1585">
        <v>2015.0</v>
      </c>
      <c r="O188" s="1587"/>
      <c r="P188" s="1585" t="s">
        <v>4997</v>
      </c>
      <c r="Q188" s="1585" t="s">
        <v>3637</v>
      </c>
    </row>
    <row r="189">
      <c r="A189" s="1585" t="s">
        <v>3423</v>
      </c>
      <c r="B189" s="1588"/>
      <c r="C189" s="1585">
        <v>2015.0</v>
      </c>
      <c r="D189" s="1585">
        <v>11.0</v>
      </c>
      <c r="E189" s="1585">
        <v>9706516.0</v>
      </c>
      <c r="F189" s="1585" t="s">
        <v>5441</v>
      </c>
      <c r="G189" s="1585" t="s">
        <v>720</v>
      </c>
      <c r="H189" s="1585" t="s">
        <v>5327</v>
      </c>
      <c r="I189" s="1586">
        <v>84000.0</v>
      </c>
      <c r="J189" s="1585" t="s">
        <v>5328</v>
      </c>
      <c r="K189" s="1585" t="s">
        <v>5329</v>
      </c>
      <c r="L189" s="1585" t="s">
        <v>3299</v>
      </c>
      <c r="M189" s="1591">
        <v>45976.0</v>
      </c>
      <c r="N189" s="1585">
        <v>2015.0</v>
      </c>
      <c r="O189" s="1587"/>
      <c r="P189" s="1585" t="s">
        <v>4997</v>
      </c>
      <c r="Q189" s="1585" t="s">
        <v>3637</v>
      </c>
    </row>
    <row r="190">
      <c r="A190" s="1585" t="s">
        <v>3679</v>
      </c>
      <c r="B190" s="1588"/>
      <c r="C190" s="1585">
        <v>2015.0</v>
      </c>
      <c r="D190" s="1585">
        <v>11.0</v>
      </c>
      <c r="E190" s="1585">
        <v>9714393.0</v>
      </c>
      <c r="F190" s="1585" t="s">
        <v>5497</v>
      </c>
      <c r="G190" s="1585" t="s">
        <v>720</v>
      </c>
      <c r="H190" s="1585" t="s">
        <v>5327</v>
      </c>
      <c r="I190" s="1586">
        <v>84000.0</v>
      </c>
      <c r="J190" s="1585" t="s">
        <v>5328</v>
      </c>
      <c r="K190" s="1585" t="s">
        <v>5329</v>
      </c>
      <c r="L190" s="1585" t="s">
        <v>3299</v>
      </c>
      <c r="M190" s="1591">
        <v>45976.0</v>
      </c>
      <c r="N190" s="1585">
        <v>2015.0</v>
      </c>
      <c r="O190" s="1587"/>
      <c r="P190" s="1585" t="s">
        <v>4997</v>
      </c>
      <c r="Q190" s="1588"/>
    </row>
    <row r="191">
      <c r="A191" s="1585" t="s">
        <v>3428</v>
      </c>
      <c r="B191" s="1588"/>
      <c r="C191" s="1585">
        <v>2015.0</v>
      </c>
      <c r="D191" s="1585">
        <v>11.0</v>
      </c>
      <c r="E191" s="1585">
        <v>9721140.0</v>
      </c>
      <c r="F191" s="1585" t="s">
        <v>5501</v>
      </c>
      <c r="G191" s="1585" t="s">
        <v>720</v>
      </c>
      <c r="H191" s="1585" t="s">
        <v>5327</v>
      </c>
      <c r="I191" s="1586">
        <v>84000.0</v>
      </c>
      <c r="J191" s="1585" t="s">
        <v>5328</v>
      </c>
      <c r="K191" s="1585" t="s">
        <v>5329</v>
      </c>
      <c r="L191" s="1585" t="s">
        <v>5505</v>
      </c>
      <c r="M191" s="1591">
        <v>45976.0</v>
      </c>
      <c r="N191" s="1585">
        <v>2015.0</v>
      </c>
      <c r="O191" s="1587"/>
      <c r="P191" s="1591">
        <v>46013.0</v>
      </c>
      <c r="Q191" s="1588"/>
    </row>
    <row r="192">
      <c r="A192" s="1585" t="s">
        <v>3398</v>
      </c>
      <c r="B192" s="1588"/>
      <c r="C192" s="1585">
        <v>2015.0</v>
      </c>
      <c r="D192" s="1585">
        <v>12.0</v>
      </c>
      <c r="E192" s="1585">
        <v>9722792.0</v>
      </c>
      <c r="F192" s="1585" t="s">
        <v>5497</v>
      </c>
      <c r="G192" s="1585" t="s">
        <v>720</v>
      </c>
      <c r="H192" s="1585" t="s">
        <v>5327</v>
      </c>
      <c r="I192" s="1586">
        <v>84000.0</v>
      </c>
      <c r="J192" s="1585" t="s">
        <v>5328</v>
      </c>
      <c r="K192" s="1585" t="s">
        <v>5329</v>
      </c>
      <c r="L192" s="1585" t="s">
        <v>3299</v>
      </c>
      <c r="M192" s="1591">
        <v>46006.0</v>
      </c>
      <c r="N192" s="1585">
        <v>2015.0</v>
      </c>
      <c r="O192" s="1587"/>
      <c r="P192" s="1591">
        <v>45922.0</v>
      </c>
      <c r="Q192" s="1588"/>
    </row>
    <row r="193">
      <c r="A193" s="1585" t="s">
        <v>3895</v>
      </c>
      <c r="B193" s="1588"/>
      <c r="C193" s="1585">
        <v>2016.0</v>
      </c>
      <c r="D193" s="1585">
        <v>1.0</v>
      </c>
      <c r="E193" s="1585">
        <v>9732503.0</v>
      </c>
      <c r="F193" s="1585" t="s">
        <v>5501</v>
      </c>
      <c r="G193" s="1585" t="s">
        <v>720</v>
      </c>
      <c r="H193" s="1585" t="s">
        <v>5327</v>
      </c>
      <c r="I193" s="1586">
        <v>84115.0</v>
      </c>
      <c r="J193" s="1585" t="s">
        <v>5328</v>
      </c>
      <c r="K193" s="1585" t="s">
        <v>5329</v>
      </c>
      <c r="L193" s="1585" t="s">
        <v>5505</v>
      </c>
      <c r="M193" s="1591">
        <v>45673.0</v>
      </c>
      <c r="N193" s="1585">
        <v>2016.0</v>
      </c>
      <c r="O193" s="1587"/>
      <c r="P193" s="1591">
        <v>46013.0</v>
      </c>
      <c r="Q193" s="1588"/>
    </row>
    <row r="194">
      <c r="A194" s="1585" t="s">
        <v>5575</v>
      </c>
      <c r="B194" s="1588"/>
      <c r="C194" s="1585">
        <v>2016.0</v>
      </c>
      <c r="D194" s="1585">
        <v>1.0</v>
      </c>
      <c r="E194" s="1585">
        <v>9699995.0</v>
      </c>
      <c r="F194" s="1585" t="s">
        <v>5501</v>
      </c>
      <c r="G194" s="1585" t="s">
        <v>720</v>
      </c>
      <c r="H194" s="1585" t="s">
        <v>5327</v>
      </c>
      <c r="I194" s="1586">
        <v>84097.0</v>
      </c>
      <c r="J194" s="1585" t="s">
        <v>5328</v>
      </c>
      <c r="K194" s="1585" t="s">
        <v>5329</v>
      </c>
      <c r="L194" s="1585" t="s">
        <v>1080</v>
      </c>
      <c r="M194" s="1591">
        <v>45673.0</v>
      </c>
      <c r="N194" s="1585">
        <v>2016.0</v>
      </c>
      <c r="O194" s="1587"/>
      <c r="P194" s="1591">
        <v>45830.0</v>
      </c>
      <c r="Q194" s="1588"/>
    </row>
    <row r="195">
      <c r="A195" s="1585" t="s">
        <v>3687</v>
      </c>
      <c r="B195" s="1588"/>
      <c r="C195" s="1585">
        <v>2016.0</v>
      </c>
      <c r="D195" s="1585">
        <v>1.0</v>
      </c>
      <c r="E195" s="1585">
        <v>9726073.0</v>
      </c>
      <c r="F195" s="1585" t="s">
        <v>5501</v>
      </c>
      <c r="G195" s="1585" t="s">
        <v>720</v>
      </c>
      <c r="H195" s="1585" t="s">
        <v>5327</v>
      </c>
      <c r="I195" s="1586">
        <v>84088.0</v>
      </c>
      <c r="J195" s="1585" t="s">
        <v>5328</v>
      </c>
      <c r="K195" s="1585" t="s">
        <v>5329</v>
      </c>
      <c r="L195" s="1585" t="s">
        <v>1080</v>
      </c>
      <c r="M195" s="1591">
        <v>45673.0</v>
      </c>
      <c r="N195" s="1585">
        <v>2016.0</v>
      </c>
      <c r="O195" s="1587"/>
      <c r="P195" s="1585" t="s">
        <v>4845</v>
      </c>
      <c r="Q195" s="1588"/>
    </row>
    <row r="196">
      <c r="A196" s="1585" t="s">
        <v>4590</v>
      </c>
      <c r="B196" s="1588"/>
      <c r="C196" s="1585">
        <v>2016.0</v>
      </c>
      <c r="D196" s="1585">
        <v>1.0</v>
      </c>
      <c r="E196" s="1585">
        <v>9726102.0</v>
      </c>
      <c r="F196" s="1585" t="s">
        <v>5501</v>
      </c>
      <c r="G196" s="1585" t="s">
        <v>720</v>
      </c>
      <c r="H196" s="1585" t="s">
        <v>5327</v>
      </c>
      <c r="I196" s="1586">
        <v>84064.0</v>
      </c>
      <c r="J196" s="1585" t="s">
        <v>5328</v>
      </c>
      <c r="K196" s="1585" t="s">
        <v>5329</v>
      </c>
      <c r="L196" s="1585" t="s">
        <v>1080</v>
      </c>
      <c r="M196" s="1591">
        <v>45673.0</v>
      </c>
      <c r="N196" s="1585">
        <v>2016.0</v>
      </c>
      <c r="O196" s="1587"/>
      <c r="P196" s="1591">
        <v>45710.0</v>
      </c>
      <c r="Q196" s="1588"/>
    </row>
    <row r="197">
      <c r="A197" s="1585" t="s">
        <v>3401</v>
      </c>
      <c r="B197" s="1585" t="s">
        <v>5576</v>
      </c>
      <c r="C197" s="1585">
        <v>2016.0</v>
      </c>
      <c r="D197" s="1585">
        <v>1.0</v>
      </c>
      <c r="E197" s="1585">
        <v>9719408.0</v>
      </c>
      <c r="F197" s="1585" t="s">
        <v>5497</v>
      </c>
      <c r="G197" s="1585" t="s">
        <v>720</v>
      </c>
      <c r="H197" s="1585" t="s">
        <v>5327</v>
      </c>
      <c r="I197" s="1586">
        <v>84000.0</v>
      </c>
      <c r="J197" s="1585" t="s">
        <v>5328</v>
      </c>
      <c r="K197" s="1585" t="s">
        <v>5329</v>
      </c>
      <c r="L197" s="1585" t="s">
        <v>942</v>
      </c>
      <c r="M197" s="1591">
        <v>45673.0</v>
      </c>
      <c r="N197" s="1585">
        <v>2016.0</v>
      </c>
      <c r="O197" s="1587"/>
      <c r="P197" s="1588"/>
      <c r="Q197" s="1588"/>
    </row>
    <row r="198">
      <c r="A198" s="1585" t="s">
        <v>3863</v>
      </c>
      <c r="B198" s="1588"/>
      <c r="C198" s="1585">
        <v>2016.0</v>
      </c>
      <c r="D198" s="1585">
        <v>1.0</v>
      </c>
      <c r="E198" s="1585">
        <v>9723679.0</v>
      </c>
      <c r="F198" s="1585" t="s">
        <v>5514</v>
      </c>
      <c r="G198" s="1585" t="s">
        <v>668</v>
      </c>
      <c r="H198" s="1585" t="s">
        <v>5327</v>
      </c>
      <c r="I198" s="1586">
        <v>83374.0</v>
      </c>
      <c r="J198" s="1585" t="s">
        <v>5328</v>
      </c>
      <c r="K198" s="1585" t="s">
        <v>5329</v>
      </c>
      <c r="L198" s="1585" t="s">
        <v>3207</v>
      </c>
      <c r="M198" s="1591">
        <v>45673.0</v>
      </c>
      <c r="N198" s="1585">
        <v>2016.0</v>
      </c>
      <c r="O198" s="1587"/>
      <c r="P198" s="1591">
        <v>46012.0</v>
      </c>
      <c r="Q198" s="1588"/>
    </row>
    <row r="199">
      <c r="A199" s="1585" t="s">
        <v>3670</v>
      </c>
      <c r="B199" s="1588"/>
      <c r="C199" s="1585">
        <v>2016.0</v>
      </c>
      <c r="D199" s="1585">
        <v>1.0</v>
      </c>
      <c r="E199" s="1585">
        <v>9710385.0</v>
      </c>
      <c r="F199" s="1585" t="s">
        <v>5566</v>
      </c>
      <c r="G199" s="1585" t="s">
        <v>188</v>
      </c>
      <c r="H199" s="1585" t="s">
        <v>5327</v>
      </c>
      <c r="I199" s="1586">
        <v>83000.0</v>
      </c>
      <c r="J199" s="1585" t="s">
        <v>5328</v>
      </c>
      <c r="K199" s="1585" t="s">
        <v>5329</v>
      </c>
      <c r="L199" s="1585" t="s">
        <v>5551</v>
      </c>
      <c r="M199" s="1591">
        <v>45673.0</v>
      </c>
      <c r="N199" s="1585">
        <v>2016.0</v>
      </c>
      <c r="O199" s="1587"/>
      <c r="P199" s="1585" t="s">
        <v>4997</v>
      </c>
      <c r="Q199" s="1588"/>
    </row>
    <row r="200">
      <c r="A200" s="1585" t="s">
        <v>3764</v>
      </c>
      <c r="B200" s="1588"/>
      <c r="C200" s="1585">
        <v>2016.0</v>
      </c>
      <c r="D200" s="1585">
        <v>2.0</v>
      </c>
      <c r="E200" s="1585">
        <v>9726085.0</v>
      </c>
      <c r="F200" s="1585" t="s">
        <v>5501</v>
      </c>
      <c r="G200" s="1585" t="s">
        <v>720</v>
      </c>
      <c r="H200" s="1585" t="s">
        <v>5327</v>
      </c>
      <c r="I200" s="1586">
        <v>84052.0</v>
      </c>
      <c r="J200" s="1585" t="s">
        <v>5328</v>
      </c>
      <c r="K200" s="1585" t="s">
        <v>5329</v>
      </c>
      <c r="L200" s="1585" t="s">
        <v>1080</v>
      </c>
      <c r="M200" s="1591">
        <v>45704.0</v>
      </c>
      <c r="N200" s="1585">
        <v>2016.0</v>
      </c>
      <c r="O200" s="1587"/>
      <c r="P200" s="1591">
        <v>45830.0</v>
      </c>
      <c r="Q200" s="1588"/>
    </row>
    <row r="201">
      <c r="A201" s="1585" t="s">
        <v>4882</v>
      </c>
      <c r="B201" s="1588"/>
      <c r="C201" s="1585">
        <v>2016.0</v>
      </c>
      <c r="D201" s="1585">
        <v>2.0</v>
      </c>
      <c r="E201" s="1585">
        <v>9722807.0</v>
      </c>
      <c r="F201" s="1585" t="s">
        <v>5497</v>
      </c>
      <c r="G201" s="1585" t="s">
        <v>720</v>
      </c>
      <c r="H201" s="1585" t="s">
        <v>5327</v>
      </c>
      <c r="I201" s="1586">
        <v>84000.0</v>
      </c>
      <c r="J201" s="1585" t="s">
        <v>5328</v>
      </c>
      <c r="K201" s="1585" t="s">
        <v>5329</v>
      </c>
      <c r="L201" s="1585" t="s">
        <v>3299</v>
      </c>
      <c r="M201" s="1591">
        <v>45704.0</v>
      </c>
      <c r="N201" s="1585">
        <v>2016.0</v>
      </c>
      <c r="O201" s="1587"/>
      <c r="P201" s="1591">
        <v>46012.0</v>
      </c>
      <c r="Q201" s="1588"/>
    </row>
    <row r="202">
      <c r="A202" s="1585" t="s">
        <v>4045</v>
      </c>
      <c r="B202" s="1588"/>
      <c r="C202" s="1585">
        <v>2016.0</v>
      </c>
      <c r="D202" s="1585">
        <v>3.0</v>
      </c>
      <c r="E202" s="1585">
        <v>9722223.0</v>
      </c>
      <c r="F202" s="1585" t="s">
        <v>5501</v>
      </c>
      <c r="G202" s="1585" t="s">
        <v>720</v>
      </c>
      <c r="H202" s="1585" t="s">
        <v>5327</v>
      </c>
      <c r="I202" s="1586">
        <v>84123.0</v>
      </c>
      <c r="J202" s="1585" t="s">
        <v>5328</v>
      </c>
      <c r="K202" s="1585" t="s">
        <v>5329</v>
      </c>
      <c r="L202" s="1585" t="s">
        <v>1080</v>
      </c>
      <c r="M202" s="1591">
        <v>45732.0</v>
      </c>
      <c r="N202" s="1585">
        <v>2016.0</v>
      </c>
      <c r="O202" s="1587"/>
      <c r="P202" s="1591">
        <v>45742.0</v>
      </c>
      <c r="Q202" s="1588"/>
    </row>
    <row r="203">
      <c r="A203" s="1585" t="s">
        <v>4873</v>
      </c>
      <c r="B203" s="1585" t="s">
        <v>5577</v>
      </c>
      <c r="C203" s="1585">
        <v>2016.0</v>
      </c>
      <c r="D203" s="1585">
        <v>3.0</v>
      </c>
      <c r="E203" s="1585">
        <v>9732527.0</v>
      </c>
      <c r="F203" s="1585" t="s">
        <v>5501</v>
      </c>
      <c r="G203" s="1585" t="s">
        <v>720</v>
      </c>
      <c r="H203" s="1585" t="s">
        <v>5327</v>
      </c>
      <c r="I203" s="1586">
        <v>84000.0</v>
      </c>
      <c r="J203" s="1585" t="s">
        <v>5328</v>
      </c>
      <c r="K203" s="1585" t="s">
        <v>5329</v>
      </c>
      <c r="L203" s="1585" t="s">
        <v>2935</v>
      </c>
      <c r="M203" s="1591">
        <v>45732.0</v>
      </c>
      <c r="N203" s="1585">
        <v>2016.0</v>
      </c>
      <c r="O203" s="1587"/>
      <c r="P203" s="1585" t="s">
        <v>4997</v>
      </c>
      <c r="Q203" s="1585" t="s">
        <v>666</v>
      </c>
    </row>
    <row r="204">
      <c r="A204" s="1585" t="s">
        <v>3917</v>
      </c>
      <c r="B204" s="1588"/>
      <c r="C204" s="1585">
        <v>2016.0</v>
      </c>
      <c r="D204" s="1585">
        <v>3.0</v>
      </c>
      <c r="E204" s="1585">
        <v>9732515.0</v>
      </c>
      <c r="F204" s="1585" t="s">
        <v>5501</v>
      </c>
      <c r="G204" s="1585" t="s">
        <v>720</v>
      </c>
      <c r="H204" s="1585" t="s">
        <v>5327</v>
      </c>
      <c r="I204" s="1586">
        <v>84000.0</v>
      </c>
      <c r="J204" s="1585" t="s">
        <v>5328</v>
      </c>
      <c r="K204" s="1585" t="s">
        <v>5329</v>
      </c>
      <c r="L204" s="1585" t="s">
        <v>5505</v>
      </c>
      <c r="M204" s="1591">
        <v>45732.0</v>
      </c>
      <c r="N204" s="1585">
        <v>2016.0</v>
      </c>
      <c r="O204" s="1587"/>
      <c r="P204" s="1585" t="s">
        <v>4997</v>
      </c>
      <c r="Q204" s="1588"/>
    </row>
    <row r="205">
      <c r="A205" s="1585" t="s">
        <v>4023</v>
      </c>
      <c r="B205" s="1588"/>
      <c r="C205" s="1585">
        <v>2016.0</v>
      </c>
      <c r="D205" s="1585">
        <v>3.0</v>
      </c>
      <c r="E205" s="1585">
        <v>9719410.0</v>
      </c>
      <c r="F205" s="1585" t="s">
        <v>5497</v>
      </c>
      <c r="G205" s="1585" t="s">
        <v>720</v>
      </c>
      <c r="H205" s="1585" t="s">
        <v>5327</v>
      </c>
      <c r="I205" s="1586">
        <v>84000.0</v>
      </c>
      <c r="J205" s="1585" t="s">
        <v>5328</v>
      </c>
      <c r="K205" s="1585" t="s">
        <v>5329</v>
      </c>
      <c r="L205" s="1585" t="s">
        <v>942</v>
      </c>
      <c r="M205" s="1591">
        <v>45732.0</v>
      </c>
      <c r="N205" s="1585">
        <v>2016.0</v>
      </c>
      <c r="O205" s="1587"/>
      <c r="P205" s="1585" t="s">
        <v>4845</v>
      </c>
      <c r="Q205" s="1588"/>
    </row>
    <row r="206">
      <c r="A206" s="1585" t="s">
        <v>4042</v>
      </c>
      <c r="B206" s="1588"/>
      <c r="C206" s="1585">
        <v>2016.0</v>
      </c>
      <c r="D206" s="1585">
        <v>3.0</v>
      </c>
      <c r="E206" s="1585">
        <v>9739977.0</v>
      </c>
      <c r="F206" s="1585" t="s">
        <v>5441</v>
      </c>
      <c r="G206" s="1585" t="s">
        <v>720</v>
      </c>
      <c r="H206" s="1585" t="s">
        <v>5327</v>
      </c>
      <c r="I206" s="1586">
        <v>84000.0</v>
      </c>
      <c r="J206" s="1585" t="s">
        <v>5328</v>
      </c>
      <c r="K206" s="1585" t="s">
        <v>5329</v>
      </c>
      <c r="L206" s="1585" t="s">
        <v>1326</v>
      </c>
      <c r="M206" s="1591">
        <v>45732.0</v>
      </c>
      <c r="N206" s="1585">
        <v>2016.0</v>
      </c>
      <c r="O206" s="1587"/>
      <c r="P206" s="1591">
        <v>45742.0</v>
      </c>
      <c r="Q206" s="1588"/>
    </row>
    <row r="207">
      <c r="A207" s="1585" t="s">
        <v>4020</v>
      </c>
      <c r="B207" s="1588"/>
      <c r="C207" s="1585">
        <v>2016.0</v>
      </c>
      <c r="D207" s="1585">
        <v>3.0</v>
      </c>
      <c r="E207" s="1585">
        <v>9738545.0</v>
      </c>
      <c r="F207" s="1585" t="s">
        <v>5514</v>
      </c>
      <c r="G207" s="1585" t="s">
        <v>668</v>
      </c>
      <c r="H207" s="1585" t="s">
        <v>5327</v>
      </c>
      <c r="I207" s="1586">
        <v>83309.0</v>
      </c>
      <c r="J207" s="1585" t="s">
        <v>5328</v>
      </c>
      <c r="K207" s="1585" t="s">
        <v>5329</v>
      </c>
      <c r="L207" s="1585" t="s">
        <v>667</v>
      </c>
      <c r="M207" s="1591">
        <v>45732.0</v>
      </c>
      <c r="N207" s="1585">
        <v>2016.0</v>
      </c>
      <c r="O207" s="1587"/>
      <c r="P207" s="1585" t="s">
        <v>4845</v>
      </c>
      <c r="Q207" s="1588"/>
    </row>
    <row r="208">
      <c r="A208" s="1585" t="s">
        <v>4241</v>
      </c>
      <c r="B208" s="1588"/>
      <c r="C208" s="1585">
        <v>2016.0</v>
      </c>
      <c r="D208" s="1585">
        <v>3.0</v>
      </c>
      <c r="E208" s="1585">
        <v>9710397.0</v>
      </c>
      <c r="F208" s="1585" t="s">
        <v>5566</v>
      </c>
      <c r="G208" s="1585" t="s">
        <v>188</v>
      </c>
      <c r="H208" s="1585" t="s">
        <v>5327</v>
      </c>
      <c r="I208" s="1586">
        <v>83000.0</v>
      </c>
      <c r="J208" s="1585" t="s">
        <v>5328</v>
      </c>
      <c r="K208" s="1585" t="s">
        <v>5329</v>
      </c>
      <c r="L208" s="1585" t="s">
        <v>5551</v>
      </c>
      <c r="M208" s="1591">
        <v>45732.0</v>
      </c>
      <c r="N208" s="1585">
        <v>2016.0</v>
      </c>
      <c r="O208" s="1587"/>
      <c r="P208" s="1585" t="s">
        <v>4997</v>
      </c>
      <c r="Q208" s="1588"/>
    </row>
    <row r="209">
      <c r="A209" s="1585" t="s">
        <v>4870</v>
      </c>
      <c r="B209" s="1585" t="s">
        <v>5578</v>
      </c>
      <c r="C209" s="1585">
        <v>2016.0</v>
      </c>
      <c r="D209" s="1585">
        <v>3.0</v>
      </c>
      <c r="E209" s="1585">
        <v>9741827.0</v>
      </c>
      <c r="F209" s="1585" t="s">
        <v>5501</v>
      </c>
      <c r="G209" s="1585" t="s">
        <v>720</v>
      </c>
      <c r="H209" s="1585" t="s">
        <v>5327</v>
      </c>
      <c r="I209" s="1586">
        <v>82425.0</v>
      </c>
      <c r="J209" s="1585" t="s">
        <v>5328</v>
      </c>
      <c r="K209" s="1585" t="s">
        <v>5329</v>
      </c>
      <c r="L209" s="1585" t="s">
        <v>2935</v>
      </c>
      <c r="M209" s="1591">
        <v>45732.0</v>
      </c>
      <c r="N209" s="1585">
        <v>2016.0</v>
      </c>
      <c r="O209" s="1587"/>
      <c r="P209" s="1585" t="s">
        <v>4997</v>
      </c>
      <c r="Q209" s="1585" t="s">
        <v>666</v>
      </c>
    </row>
    <row r="210">
      <c r="A210" s="1585" t="s">
        <v>3792</v>
      </c>
      <c r="B210" s="1588"/>
      <c r="C210" s="1585">
        <v>2016.0</v>
      </c>
      <c r="D210" s="1585">
        <v>3.0</v>
      </c>
      <c r="E210" s="1585">
        <v>9723681.0</v>
      </c>
      <c r="F210" s="1585" t="s">
        <v>5502</v>
      </c>
      <c r="G210" s="1585" t="s">
        <v>668</v>
      </c>
      <c r="H210" s="1585" t="s">
        <v>5327</v>
      </c>
      <c r="I210" s="1586">
        <v>82416.0</v>
      </c>
      <c r="J210" s="1585" t="s">
        <v>5328</v>
      </c>
      <c r="K210" s="1585" t="s">
        <v>5329</v>
      </c>
      <c r="L210" s="1585" t="s">
        <v>3334</v>
      </c>
      <c r="M210" s="1591">
        <v>45732.0</v>
      </c>
      <c r="N210" s="1585">
        <v>2016.0</v>
      </c>
      <c r="O210" s="1587"/>
      <c r="P210" s="1591">
        <v>45710.0</v>
      </c>
      <c r="Q210" s="1588"/>
    </row>
    <row r="211">
      <c r="A211" s="1585" t="s">
        <v>4874</v>
      </c>
      <c r="B211" s="1585" t="s">
        <v>5579</v>
      </c>
      <c r="C211" s="1585">
        <v>2016.0</v>
      </c>
      <c r="D211" s="1585">
        <v>4.0</v>
      </c>
      <c r="E211" s="1585">
        <v>9748227.0</v>
      </c>
      <c r="F211" s="1585" t="s">
        <v>5501</v>
      </c>
      <c r="G211" s="1585" t="s">
        <v>720</v>
      </c>
      <c r="H211" s="1585" t="s">
        <v>5327</v>
      </c>
      <c r="I211" s="1586">
        <v>84101.0</v>
      </c>
      <c r="J211" s="1585" t="s">
        <v>5328</v>
      </c>
      <c r="K211" s="1585" t="s">
        <v>5329</v>
      </c>
      <c r="L211" s="1585" t="s">
        <v>2935</v>
      </c>
      <c r="M211" s="1591">
        <v>45763.0</v>
      </c>
      <c r="N211" s="1585">
        <v>2016.0</v>
      </c>
      <c r="O211" s="1587"/>
      <c r="P211" s="1585" t="s">
        <v>4997</v>
      </c>
      <c r="Q211" s="1585" t="s">
        <v>666</v>
      </c>
    </row>
    <row r="212">
      <c r="A212" s="1585" t="s">
        <v>4556</v>
      </c>
      <c r="B212" s="1588"/>
      <c r="C212" s="1585">
        <v>2016.0</v>
      </c>
      <c r="D212" s="1585">
        <v>4.0</v>
      </c>
      <c r="E212" s="1585">
        <v>9726114.0</v>
      </c>
      <c r="F212" s="1585" t="s">
        <v>5501</v>
      </c>
      <c r="G212" s="1585" t="s">
        <v>720</v>
      </c>
      <c r="H212" s="1585" t="s">
        <v>5327</v>
      </c>
      <c r="I212" s="1586">
        <v>84045.0</v>
      </c>
      <c r="J212" s="1585" t="s">
        <v>5328</v>
      </c>
      <c r="K212" s="1585" t="s">
        <v>5329</v>
      </c>
      <c r="L212" s="1585" t="s">
        <v>1080</v>
      </c>
      <c r="M212" s="1591">
        <v>45763.0</v>
      </c>
      <c r="N212" s="1585">
        <v>2016.0</v>
      </c>
      <c r="O212" s="1587"/>
      <c r="P212" s="1591">
        <v>45769.0</v>
      </c>
      <c r="Q212" s="1588"/>
    </row>
    <row r="213">
      <c r="A213" s="1585" t="s">
        <v>4871</v>
      </c>
      <c r="B213" s="1585" t="s">
        <v>5580</v>
      </c>
      <c r="C213" s="1585">
        <v>2016.0</v>
      </c>
      <c r="D213" s="1585">
        <v>4.0</v>
      </c>
      <c r="E213" s="1585">
        <v>9735658.0</v>
      </c>
      <c r="F213" s="1585" t="s">
        <v>5501</v>
      </c>
      <c r="G213" s="1585" t="s">
        <v>720</v>
      </c>
      <c r="H213" s="1585" t="s">
        <v>5327</v>
      </c>
      <c r="I213" s="1586">
        <v>84000.0</v>
      </c>
      <c r="J213" s="1585" t="s">
        <v>5328</v>
      </c>
      <c r="K213" s="1585" t="s">
        <v>5329</v>
      </c>
      <c r="L213" s="1585" t="s">
        <v>2935</v>
      </c>
      <c r="M213" s="1591">
        <v>45763.0</v>
      </c>
      <c r="N213" s="1585">
        <v>2016.0</v>
      </c>
      <c r="O213" s="1587"/>
      <c r="P213" s="1585" t="s">
        <v>4997</v>
      </c>
      <c r="Q213" s="1585" t="s">
        <v>666</v>
      </c>
    </row>
    <row r="214">
      <c r="A214" s="1585" t="s">
        <v>4867</v>
      </c>
      <c r="B214" s="1585" t="s">
        <v>5581</v>
      </c>
      <c r="C214" s="1585">
        <v>2016.0</v>
      </c>
      <c r="D214" s="1585">
        <v>4.0</v>
      </c>
      <c r="E214" s="1585">
        <v>9732539.0</v>
      </c>
      <c r="F214" s="1585" t="s">
        <v>5501</v>
      </c>
      <c r="G214" s="1585" t="s">
        <v>720</v>
      </c>
      <c r="H214" s="1585" t="s">
        <v>5327</v>
      </c>
      <c r="I214" s="1586">
        <v>83272.0</v>
      </c>
      <c r="J214" s="1585" t="s">
        <v>5328</v>
      </c>
      <c r="K214" s="1585" t="s">
        <v>5329</v>
      </c>
      <c r="L214" s="1585" t="s">
        <v>2935</v>
      </c>
      <c r="M214" s="1591">
        <v>45763.0</v>
      </c>
      <c r="N214" s="1585">
        <v>2016.0</v>
      </c>
      <c r="O214" s="1587"/>
      <c r="P214" s="1585" t="s">
        <v>4997</v>
      </c>
      <c r="Q214" s="1585" t="s">
        <v>666</v>
      </c>
    </row>
    <row r="215">
      <c r="A215" s="1585" t="s">
        <v>4079</v>
      </c>
      <c r="B215" s="1588"/>
      <c r="C215" s="1585">
        <v>2016.0</v>
      </c>
      <c r="D215" s="1585">
        <v>4.0</v>
      </c>
      <c r="E215" s="1585">
        <v>9739989.0</v>
      </c>
      <c r="F215" s="1585" t="s">
        <v>5441</v>
      </c>
      <c r="G215" s="1585" t="s">
        <v>720</v>
      </c>
      <c r="H215" s="1585" t="s">
        <v>5327</v>
      </c>
      <c r="I215" s="1586">
        <v>82320.0</v>
      </c>
      <c r="J215" s="1585" t="s">
        <v>5328</v>
      </c>
      <c r="K215" s="1585" t="s">
        <v>5329</v>
      </c>
      <c r="L215" s="1585" t="s">
        <v>1326</v>
      </c>
      <c r="M215" s="1591">
        <v>45763.0</v>
      </c>
      <c r="N215" s="1585">
        <v>2016.0</v>
      </c>
      <c r="O215" s="1587"/>
      <c r="P215" s="1591">
        <v>45773.0</v>
      </c>
      <c r="Q215" s="1588"/>
    </row>
    <row r="216">
      <c r="A216" s="1585" t="s">
        <v>5582</v>
      </c>
      <c r="B216" s="1588"/>
      <c r="C216" s="1585">
        <v>2016.0</v>
      </c>
      <c r="D216" s="1585">
        <v>5.0</v>
      </c>
      <c r="E216" s="1585">
        <v>9754824.0</v>
      </c>
      <c r="F216" s="1585" t="s">
        <v>5501</v>
      </c>
      <c r="G216" s="1585" t="s">
        <v>720</v>
      </c>
      <c r="H216" s="1585" t="s">
        <v>5327</v>
      </c>
      <c r="I216" s="1586">
        <v>84144.0</v>
      </c>
      <c r="J216" s="1585" t="s">
        <v>5328</v>
      </c>
      <c r="K216" s="1585" t="s">
        <v>5329</v>
      </c>
      <c r="L216" s="1585" t="s">
        <v>2900</v>
      </c>
      <c r="M216" s="1589">
        <v>45793.0</v>
      </c>
      <c r="N216" s="1585">
        <v>2016.0</v>
      </c>
      <c r="O216" s="1587"/>
      <c r="P216" s="1589">
        <v>45800.0</v>
      </c>
      <c r="Q216" s="1588"/>
    </row>
    <row r="217">
      <c r="A217" s="1585" t="s">
        <v>4155</v>
      </c>
      <c r="B217" s="1588"/>
      <c r="C217" s="1585">
        <v>2016.0</v>
      </c>
      <c r="D217" s="1585">
        <v>5.0</v>
      </c>
      <c r="E217" s="1585">
        <v>9734525.0</v>
      </c>
      <c r="F217" s="1585" t="s">
        <v>5501</v>
      </c>
      <c r="G217" s="1585" t="s">
        <v>720</v>
      </c>
      <c r="H217" s="1585" t="s">
        <v>5327</v>
      </c>
      <c r="I217" s="1586">
        <v>84088.0</v>
      </c>
      <c r="J217" s="1585" t="s">
        <v>5328</v>
      </c>
      <c r="K217" s="1585" t="s">
        <v>5329</v>
      </c>
      <c r="L217" s="1585" t="s">
        <v>1080</v>
      </c>
      <c r="M217" s="1589">
        <v>45793.0</v>
      </c>
      <c r="N217" s="1585">
        <v>2016.0</v>
      </c>
      <c r="O217" s="1587"/>
      <c r="P217" s="1591">
        <v>45895.0</v>
      </c>
      <c r="Q217" s="1588"/>
    </row>
    <row r="218">
      <c r="A218" s="1585" t="s">
        <v>4052</v>
      </c>
      <c r="B218" s="1588"/>
      <c r="C218" s="1585">
        <v>2016.0</v>
      </c>
      <c r="D218" s="1585">
        <v>5.0</v>
      </c>
      <c r="E218" s="1585">
        <v>9726126.0</v>
      </c>
      <c r="F218" s="1585" t="s">
        <v>5501</v>
      </c>
      <c r="G218" s="1585" t="s">
        <v>720</v>
      </c>
      <c r="H218" s="1585" t="s">
        <v>5327</v>
      </c>
      <c r="I218" s="1586">
        <v>84064.0</v>
      </c>
      <c r="J218" s="1585" t="s">
        <v>5328</v>
      </c>
      <c r="K218" s="1585" t="s">
        <v>5329</v>
      </c>
      <c r="L218" s="1585" t="s">
        <v>1080</v>
      </c>
      <c r="M218" s="1589">
        <v>45793.0</v>
      </c>
      <c r="N218" s="1585">
        <v>2016.0</v>
      </c>
      <c r="O218" s="1587"/>
      <c r="P218" s="1591">
        <v>45860.0</v>
      </c>
      <c r="Q218" s="1588"/>
    </row>
    <row r="219">
      <c r="A219" s="1585" t="s">
        <v>4872</v>
      </c>
      <c r="B219" s="1588"/>
      <c r="C219" s="1585">
        <v>2016.0</v>
      </c>
      <c r="D219" s="1585">
        <v>5.0</v>
      </c>
      <c r="E219" s="1585">
        <v>9735660.0</v>
      </c>
      <c r="F219" s="1585" t="s">
        <v>5501</v>
      </c>
      <c r="G219" s="1585" t="s">
        <v>720</v>
      </c>
      <c r="H219" s="1585" t="s">
        <v>5327</v>
      </c>
      <c r="I219" s="1586">
        <v>84000.0</v>
      </c>
      <c r="J219" s="1585" t="s">
        <v>5328</v>
      </c>
      <c r="K219" s="1585" t="s">
        <v>5329</v>
      </c>
      <c r="L219" s="1585" t="s">
        <v>2935</v>
      </c>
      <c r="M219" s="1589">
        <v>45793.0</v>
      </c>
      <c r="N219" s="1585">
        <v>2016.0</v>
      </c>
      <c r="O219" s="1587"/>
      <c r="P219" s="1585" t="s">
        <v>4997</v>
      </c>
      <c r="Q219" s="1585" t="s">
        <v>666</v>
      </c>
    </row>
    <row r="220">
      <c r="A220" s="1585" t="s">
        <v>4110</v>
      </c>
      <c r="B220" s="1588"/>
      <c r="C220" s="1585">
        <v>2016.0</v>
      </c>
      <c r="D220" s="1585">
        <v>6.0</v>
      </c>
      <c r="E220" s="1585">
        <v>9734513.0</v>
      </c>
      <c r="F220" s="1585" t="s">
        <v>5501</v>
      </c>
      <c r="G220" s="1585" t="s">
        <v>720</v>
      </c>
      <c r="H220" s="1585" t="s">
        <v>5327</v>
      </c>
      <c r="I220" s="1586">
        <v>84066.0</v>
      </c>
      <c r="J220" s="1585" t="s">
        <v>5328</v>
      </c>
      <c r="K220" s="1585" t="s">
        <v>5329</v>
      </c>
      <c r="L220" s="1585" t="s">
        <v>1080</v>
      </c>
      <c r="M220" s="1591">
        <v>45824.0</v>
      </c>
      <c r="N220" s="1585">
        <v>2016.0</v>
      </c>
      <c r="O220" s="1587"/>
      <c r="P220" s="1591">
        <v>45834.0</v>
      </c>
      <c r="Q220" s="1588"/>
    </row>
    <row r="221">
      <c r="A221" s="1585" t="s">
        <v>4283</v>
      </c>
      <c r="B221" s="1588"/>
      <c r="C221" s="1585">
        <v>2016.0</v>
      </c>
      <c r="D221" s="1585">
        <v>6.0</v>
      </c>
      <c r="E221" s="1585">
        <v>9763813.0</v>
      </c>
      <c r="F221" s="1585" t="s">
        <v>5501</v>
      </c>
      <c r="G221" s="1585" t="s">
        <v>720</v>
      </c>
      <c r="H221" s="1585" t="s">
        <v>5327</v>
      </c>
      <c r="I221" s="1586">
        <v>84056.0</v>
      </c>
      <c r="J221" s="1585" t="s">
        <v>5328</v>
      </c>
      <c r="K221" s="1585" t="s">
        <v>5329</v>
      </c>
      <c r="L221" s="1585" t="s">
        <v>5482</v>
      </c>
      <c r="M221" s="1591">
        <v>45824.0</v>
      </c>
      <c r="N221" s="1585">
        <v>2016.0</v>
      </c>
      <c r="O221" s="1587"/>
      <c r="P221" s="1591">
        <v>45738.0</v>
      </c>
      <c r="Q221" s="1588"/>
    </row>
    <row r="222">
      <c r="A222" s="1585" t="s">
        <v>4868</v>
      </c>
      <c r="B222" s="1585" t="s">
        <v>5583</v>
      </c>
      <c r="C222" s="1585">
        <v>2016.0</v>
      </c>
      <c r="D222" s="1585">
        <v>6.0</v>
      </c>
      <c r="E222" s="1585">
        <v>9733325.0</v>
      </c>
      <c r="F222" s="1585" t="s">
        <v>5501</v>
      </c>
      <c r="G222" s="1585" t="s">
        <v>720</v>
      </c>
      <c r="H222" s="1585" t="s">
        <v>5327</v>
      </c>
      <c r="I222" s="1586">
        <v>84000.0</v>
      </c>
      <c r="J222" s="1585" t="s">
        <v>5328</v>
      </c>
      <c r="K222" s="1585" t="s">
        <v>5329</v>
      </c>
      <c r="L222" s="1585" t="s">
        <v>2935</v>
      </c>
      <c r="M222" s="1591">
        <v>45824.0</v>
      </c>
      <c r="N222" s="1585">
        <v>2016.0</v>
      </c>
      <c r="O222" s="1587"/>
      <c r="P222" s="1585" t="s">
        <v>4997</v>
      </c>
      <c r="Q222" s="1585" t="s">
        <v>5584</v>
      </c>
    </row>
    <row r="223">
      <c r="A223" s="1585" t="s">
        <v>3644</v>
      </c>
      <c r="B223" s="1588"/>
      <c r="C223" s="1585">
        <v>2016.0</v>
      </c>
      <c r="D223" s="1585">
        <v>6.0</v>
      </c>
      <c r="E223" s="1585">
        <v>9735282.0</v>
      </c>
      <c r="F223" s="1585" t="s">
        <v>5566</v>
      </c>
      <c r="G223" s="1585" t="s">
        <v>188</v>
      </c>
      <c r="H223" s="1585" t="s">
        <v>5327</v>
      </c>
      <c r="I223" s="1586">
        <v>83088.0</v>
      </c>
      <c r="J223" s="1585" t="s">
        <v>5328</v>
      </c>
      <c r="K223" s="1585" t="s">
        <v>5329</v>
      </c>
      <c r="L223" s="1585" t="s">
        <v>5551</v>
      </c>
      <c r="M223" s="1591">
        <v>45824.0</v>
      </c>
      <c r="N223" s="1585">
        <v>2016.0</v>
      </c>
      <c r="O223" s="1587"/>
      <c r="P223" s="1591">
        <v>45739.0</v>
      </c>
      <c r="Q223" s="1588"/>
    </row>
    <row r="224">
      <c r="A224" s="1585" t="s">
        <v>4108</v>
      </c>
      <c r="B224" s="1588"/>
      <c r="C224" s="1585">
        <v>2016.0</v>
      </c>
      <c r="D224" s="1585">
        <v>6.0</v>
      </c>
      <c r="E224" s="1585">
        <v>9739953.0</v>
      </c>
      <c r="F224" s="1585" t="s">
        <v>5441</v>
      </c>
      <c r="G224" s="1585" t="s">
        <v>720</v>
      </c>
      <c r="H224" s="1585" t="s">
        <v>5327</v>
      </c>
      <c r="I224" s="1586">
        <v>82478.0</v>
      </c>
      <c r="J224" s="1585" t="s">
        <v>5328</v>
      </c>
      <c r="K224" s="1585" t="s">
        <v>5329</v>
      </c>
      <c r="L224" s="1585" t="s">
        <v>1326</v>
      </c>
      <c r="M224" s="1591">
        <v>45824.0</v>
      </c>
      <c r="N224" s="1585">
        <v>2016.0</v>
      </c>
      <c r="O224" s="1587"/>
      <c r="P224" s="1591">
        <v>45834.0</v>
      </c>
      <c r="Q224" s="1588"/>
    </row>
    <row r="225">
      <c r="A225" s="1585" t="s">
        <v>4270</v>
      </c>
      <c r="B225" s="1588"/>
      <c r="C225" s="1585">
        <v>2016.0</v>
      </c>
      <c r="D225" s="1585">
        <v>6.0</v>
      </c>
      <c r="E225" s="1585">
        <v>9776341.0</v>
      </c>
      <c r="F225" s="1585" t="s">
        <v>5585</v>
      </c>
      <c r="G225" s="1585" t="s">
        <v>668</v>
      </c>
      <c r="H225" s="1585" t="s">
        <v>5327</v>
      </c>
      <c r="I225" s="1586">
        <v>76929.0</v>
      </c>
      <c r="J225" s="1585" t="s">
        <v>5328</v>
      </c>
      <c r="K225" s="1585" t="s">
        <v>5329</v>
      </c>
      <c r="L225" s="1585" t="s">
        <v>3214</v>
      </c>
      <c r="M225" s="1591">
        <v>45824.0</v>
      </c>
      <c r="N225" s="1585">
        <v>2016.0</v>
      </c>
      <c r="O225" s="1587"/>
      <c r="P225" s="1591">
        <v>45830.0</v>
      </c>
      <c r="Q225" s="1585" t="s">
        <v>3637</v>
      </c>
    </row>
    <row r="226">
      <c r="A226" s="1585" t="s">
        <v>4153</v>
      </c>
      <c r="B226" s="1588"/>
      <c r="C226" s="1585">
        <v>2016.0</v>
      </c>
      <c r="D226" s="1585">
        <v>7.0</v>
      </c>
      <c r="E226" s="1585">
        <v>9739965.0</v>
      </c>
      <c r="F226" s="1585" t="s">
        <v>5441</v>
      </c>
      <c r="G226" s="1585" t="s">
        <v>720</v>
      </c>
      <c r="H226" s="1585" t="s">
        <v>5327</v>
      </c>
      <c r="I226" s="1586">
        <v>82478.0</v>
      </c>
      <c r="J226" s="1585" t="s">
        <v>5328</v>
      </c>
      <c r="K226" s="1585" t="s">
        <v>5329</v>
      </c>
      <c r="L226" s="1585" t="s">
        <v>1326</v>
      </c>
      <c r="M226" s="1591">
        <v>45854.0</v>
      </c>
      <c r="N226" s="1585">
        <v>2016.0</v>
      </c>
      <c r="O226" s="1587"/>
      <c r="P226" s="1591">
        <v>45895.0</v>
      </c>
      <c r="Q226" s="1588"/>
    </row>
    <row r="227">
      <c r="A227" s="1585" t="s">
        <v>5586</v>
      </c>
      <c r="B227" s="1588"/>
      <c r="C227" s="1585">
        <v>2016.0</v>
      </c>
      <c r="D227" s="1585">
        <v>8.0</v>
      </c>
      <c r="E227" s="1585">
        <v>9762118.0</v>
      </c>
      <c r="F227" s="1585" t="s">
        <v>5497</v>
      </c>
      <c r="G227" s="1585" t="s">
        <v>720</v>
      </c>
      <c r="H227" s="1585" t="s">
        <v>5327</v>
      </c>
      <c r="I227" s="1586">
        <v>84000.0</v>
      </c>
      <c r="J227" s="1585" t="s">
        <v>5328</v>
      </c>
      <c r="K227" s="1585" t="s">
        <v>5329</v>
      </c>
      <c r="L227" s="1585" t="s">
        <v>1610</v>
      </c>
      <c r="M227" s="1591">
        <v>45885.0</v>
      </c>
      <c r="N227" s="1585">
        <v>2016.0</v>
      </c>
      <c r="O227" s="1587"/>
      <c r="P227" s="1591">
        <v>45951.0</v>
      </c>
      <c r="Q227" s="1588"/>
    </row>
    <row r="228">
      <c r="A228" s="1585" t="s">
        <v>4869</v>
      </c>
      <c r="B228" s="1585" t="s">
        <v>5587</v>
      </c>
      <c r="C228" s="1585">
        <v>2016.0</v>
      </c>
      <c r="D228" s="1585">
        <v>8.0</v>
      </c>
      <c r="E228" s="1585">
        <v>9733337.0</v>
      </c>
      <c r="F228" s="1585" t="s">
        <v>5501</v>
      </c>
      <c r="G228" s="1585" t="s">
        <v>720</v>
      </c>
      <c r="H228" s="1585" t="s">
        <v>5327</v>
      </c>
      <c r="I228" s="1586">
        <v>84000.0</v>
      </c>
      <c r="J228" s="1585" t="s">
        <v>5328</v>
      </c>
      <c r="K228" s="1585" t="s">
        <v>5329</v>
      </c>
      <c r="L228" s="1585" t="s">
        <v>2935</v>
      </c>
      <c r="M228" s="1591">
        <v>45885.0</v>
      </c>
      <c r="N228" s="1585">
        <v>2016.0</v>
      </c>
      <c r="O228" s="1587"/>
      <c r="P228" s="1585" t="s">
        <v>4997</v>
      </c>
      <c r="Q228" s="1585" t="s">
        <v>5584</v>
      </c>
    </row>
    <row r="229">
      <c r="A229" s="1585" t="s">
        <v>4551</v>
      </c>
      <c r="B229" s="1588"/>
      <c r="C229" s="1585">
        <v>2016.0</v>
      </c>
      <c r="D229" s="1585">
        <v>8.0</v>
      </c>
      <c r="E229" s="1585">
        <v>9743734.0</v>
      </c>
      <c r="F229" s="1585" t="s">
        <v>5441</v>
      </c>
      <c r="G229" s="1585" t="s">
        <v>720</v>
      </c>
      <c r="H229" s="1585" t="s">
        <v>5327</v>
      </c>
      <c r="I229" s="1586">
        <v>82478.0</v>
      </c>
      <c r="J229" s="1585" t="s">
        <v>5328</v>
      </c>
      <c r="K229" s="1585" t="s">
        <v>5329</v>
      </c>
      <c r="L229" s="1585" t="s">
        <v>1326</v>
      </c>
      <c r="M229" s="1591">
        <v>45885.0</v>
      </c>
      <c r="N229" s="1585">
        <v>2016.0</v>
      </c>
      <c r="O229" s="1587"/>
      <c r="P229" s="1585" t="s">
        <v>4845</v>
      </c>
      <c r="Q229" s="1588"/>
    </row>
    <row r="230">
      <c r="A230" s="1585" t="s">
        <v>3974</v>
      </c>
      <c r="B230" s="1588"/>
      <c r="C230" s="1585">
        <v>2016.0</v>
      </c>
      <c r="D230" s="1585">
        <v>8.0</v>
      </c>
      <c r="E230" s="1585">
        <v>9743722.0</v>
      </c>
      <c r="F230" s="1585" t="s">
        <v>5441</v>
      </c>
      <c r="G230" s="1585" t="s">
        <v>720</v>
      </c>
      <c r="H230" s="1585" t="s">
        <v>5327</v>
      </c>
      <c r="I230" s="1586">
        <v>82320.0</v>
      </c>
      <c r="J230" s="1585" t="s">
        <v>5328</v>
      </c>
      <c r="K230" s="1585" t="s">
        <v>5329</v>
      </c>
      <c r="L230" s="1585" t="s">
        <v>1326</v>
      </c>
      <c r="M230" s="1591">
        <v>45885.0</v>
      </c>
      <c r="N230" s="1585">
        <v>2016.0</v>
      </c>
      <c r="O230" s="1587"/>
      <c r="P230" s="1591">
        <v>45680.0</v>
      </c>
      <c r="Q230" s="1588"/>
    </row>
    <row r="231">
      <c r="A231" s="1585" t="s">
        <v>3784</v>
      </c>
      <c r="B231" s="1588"/>
      <c r="C231" s="1585">
        <v>2016.0</v>
      </c>
      <c r="D231" s="1585">
        <v>9.0</v>
      </c>
      <c r="E231" s="1585">
        <v>9765550.0</v>
      </c>
      <c r="F231" s="1585" t="s">
        <v>5514</v>
      </c>
      <c r="G231" s="1585" t="s">
        <v>668</v>
      </c>
      <c r="H231" s="1585" t="s">
        <v>5327</v>
      </c>
      <c r="I231" s="1586">
        <v>83319.0</v>
      </c>
      <c r="J231" s="1585" t="s">
        <v>5328</v>
      </c>
      <c r="K231" s="1585" t="s">
        <v>5329</v>
      </c>
      <c r="L231" s="1585" t="s">
        <v>3045</v>
      </c>
      <c r="M231" s="1591">
        <v>45916.0</v>
      </c>
      <c r="N231" s="1585">
        <v>2016.0</v>
      </c>
      <c r="O231" s="1587"/>
      <c r="P231" s="1591">
        <v>45921.0</v>
      </c>
      <c r="Q231" s="1588"/>
    </row>
    <row r="232">
      <c r="A232" s="1585" t="s">
        <v>4299</v>
      </c>
      <c r="B232" s="1588"/>
      <c r="C232" s="1585">
        <v>2016.0</v>
      </c>
      <c r="D232" s="1585">
        <v>10.0</v>
      </c>
      <c r="E232" s="1585">
        <v>9735048.0</v>
      </c>
      <c r="F232" s="1585" t="s">
        <v>5441</v>
      </c>
      <c r="G232" s="1585" t="s">
        <v>720</v>
      </c>
      <c r="H232" s="1585" t="s">
        <v>5327</v>
      </c>
      <c r="I232" s="1586">
        <v>84000.0</v>
      </c>
      <c r="J232" s="1585" t="s">
        <v>5328</v>
      </c>
      <c r="K232" s="1585" t="s">
        <v>5329</v>
      </c>
      <c r="L232" s="1585" t="s">
        <v>2935</v>
      </c>
      <c r="M232" s="1591">
        <v>45946.0</v>
      </c>
      <c r="N232" s="1585">
        <v>2016.0</v>
      </c>
      <c r="O232" s="1587"/>
      <c r="P232" s="1585" t="s">
        <v>4997</v>
      </c>
      <c r="Q232" s="1585" t="s">
        <v>5588</v>
      </c>
    </row>
    <row r="233">
      <c r="A233" s="1585" t="s">
        <v>4182</v>
      </c>
      <c r="B233" s="1588"/>
      <c r="C233" s="1585">
        <v>2016.0</v>
      </c>
      <c r="D233" s="1585">
        <v>10.0</v>
      </c>
      <c r="E233" s="1585">
        <v>9735787.0</v>
      </c>
      <c r="F233" s="1585" t="s">
        <v>5501</v>
      </c>
      <c r="G233" s="1585" t="s">
        <v>720</v>
      </c>
      <c r="H233" s="1585" t="s">
        <v>5327</v>
      </c>
      <c r="I233" s="1586">
        <v>84000.0</v>
      </c>
      <c r="J233" s="1585" t="s">
        <v>5328</v>
      </c>
      <c r="K233" s="1585" t="s">
        <v>5329</v>
      </c>
      <c r="L233" s="1585" t="s">
        <v>3088</v>
      </c>
      <c r="M233" s="1591">
        <v>45946.0</v>
      </c>
      <c r="N233" s="1585">
        <v>2016.0</v>
      </c>
      <c r="O233" s="1587"/>
      <c r="P233" s="1591">
        <v>45956.0</v>
      </c>
      <c r="Q233" s="1588"/>
    </row>
    <row r="234">
      <c r="A234" s="1585" t="s">
        <v>4866</v>
      </c>
      <c r="B234" s="1588"/>
      <c r="C234" s="1585">
        <v>2016.0</v>
      </c>
      <c r="D234" s="1585">
        <v>10.0</v>
      </c>
      <c r="E234" s="1585">
        <v>9735036.0</v>
      </c>
      <c r="F234" s="1585" t="s">
        <v>5441</v>
      </c>
      <c r="G234" s="1585" t="s">
        <v>720</v>
      </c>
      <c r="H234" s="1585" t="s">
        <v>5327</v>
      </c>
      <c r="I234" s="1586">
        <v>82487.0</v>
      </c>
      <c r="J234" s="1585" t="s">
        <v>5328</v>
      </c>
      <c r="K234" s="1585" t="s">
        <v>5329</v>
      </c>
      <c r="L234" s="1585" t="s">
        <v>2935</v>
      </c>
      <c r="M234" s="1591">
        <v>45946.0</v>
      </c>
      <c r="N234" s="1585">
        <v>2016.0</v>
      </c>
      <c r="O234" s="1587"/>
      <c r="P234" s="1585" t="s">
        <v>4997</v>
      </c>
      <c r="Q234" s="1585" t="s">
        <v>5589</v>
      </c>
    </row>
    <row r="235">
      <c r="A235" s="1585" t="s">
        <v>3837</v>
      </c>
      <c r="B235" s="1588"/>
      <c r="C235" s="1585">
        <v>2016.0</v>
      </c>
      <c r="D235" s="1585">
        <v>11.0</v>
      </c>
      <c r="E235" s="1585">
        <v>9749788.0</v>
      </c>
      <c r="F235" s="1585" t="s">
        <v>5502</v>
      </c>
      <c r="G235" s="1585" t="s">
        <v>668</v>
      </c>
      <c r="H235" s="1585" t="s">
        <v>5327</v>
      </c>
      <c r="I235" s="1586">
        <v>82401.0</v>
      </c>
      <c r="J235" s="1585" t="s">
        <v>5328</v>
      </c>
      <c r="K235" s="1585" t="s">
        <v>5329</v>
      </c>
      <c r="L235" s="1585" t="s">
        <v>5473</v>
      </c>
      <c r="M235" s="1591">
        <v>45977.0</v>
      </c>
      <c r="N235" s="1585">
        <v>2016.0</v>
      </c>
      <c r="O235" s="1587"/>
      <c r="P235" s="1591">
        <v>45982.0</v>
      </c>
      <c r="Q235" s="1588"/>
    </row>
    <row r="236">
      <c r="A236" s="1585" t="s">
        <v>3978</v>
      </c>
      <c r="B236" s="1588"/>
      <c r="C236" s="1585">
        <v>2016.0</v>
      </c>
      <c r="D236" s="1585">
        <v>12.0</v>
      </c>
      <c r="E236" s="1585">
        <v>9780732.0</v>
      </c>
      <c r="F236" s="1585" t="s">
        <v>5501</v>
      </c>
      <c r="G236" s="1585" t="s">
        <v>720</v>
      </c>
      <c r="H236" s="1585" t="s">
        <v>5327</v>
      </c>
      <c r="I236" s="1586">
        <v>82336.0</v>
      </c>
      <c r="J236" s="1585" t="s">
        <v>5328</v>
      </c>
      <c r="K236" s="1585" t="s">
        <v>5329</v>
      </c>
      <c r="L236" s="1585" t="s">
        <v>5561</v>
      </c>
      <c r="M236" s="1591">
        <v>46007.0</v>
      </c>
      <c r="N236" s="1585">
        <v>2016.0</v>
      </c>
      <c r="O236" s="1587"/>
      <c r="P236" s="1585" t="s">
        <v>4845</v>
      </c>
      <c r="Q236" s="1588"/>
    </row>
    <row r="237">
      <c r="A237" s="1585" t="s">
        <v>4415</v>
      </c>
      <c r="B237" s="1588"/>
      <c r="C237" s="1585">
        <v>2017.0</v>
      </c>
      <c r="D237" s="1585">
        <v>1.0</v>
      </c>
      <c r="E237" s="1585">
        <v>9735062.0</v>
      </c>
      <c r="F237" s="1585" t="s">
        <v>5441</v>
      </c>
      <c r="G237" s="1585" t="s">
        <v>720</v>
      </c>
      <c r="H237" s="1585" t="s">
        <v>5327</v>
      </c>
      <c r="I237" s="1586">
        <v>84000.0</v>
      </c>
      <c r="J237" s="1585" t="s">
        <v>5328</v>
      </c>
      <c r="K237" s="1585" t="s">
        <v>5329</v>
      </c>
      <c r="L237" s="1585" t="s">
        <v>3045</v>
      </c>
      <c r="M237" s="1591">
        <v>45674.0</v>
      </c>
      <c r="N237" s="1585">
        <v>2017.0</v>
      </c>
      <c r="O237" s="1587"/>
      <c r="P237" s="1585" t="s">
        <v>4774</v>
      </c>
      <c r="Q237" s="1588"/>
    </row>
    <row r="238">
      <c r="A238" s="1585" t="s">
        <v>4036</v>
      </c>
      <c r="B238" s="1588"/>
      <c r="C238" s="1585">
        <v>2017.0</v>
      </c>
      <c r="D238" s="1585">
        <v>1.0</v>
      </c>
      <c r="E238" s="1585">
        <v>9735050.0</v>
      </c>
      <c r="F238" s="1585" t="s">
        <v>5441</v>
      </c>
      <c r="G238" s="1585" t="s">
        <v>720</v>
      </c>
      <c r="H238" s="1585" t="s">
        <v>5327</v>
      </c>
      <c r="I238" s="1586">
        <v>84000.0</v>
      </c>
      <c r="J238" s="1585" t="s">
        <v>5328</v>
      </c>
      <c r="K238" s="1585" t="s">
        <v>5329</v>
      </c>
      <c r="L238" s="1585" t="s">
        <v>2935</v>
      </c>
      <c r="M238" s="1591">
        <v>45674.0</v>
      </c>
      <c r="N238" s="1585">
        <v>2017.0</v>
      </c>
      <c r="O238" s="1587"/>
      <c r="P238" s="1585" t="s">
        <v>4997</v>
      </c>
      <c r="Q238" s="1585" t="s">
        <v>5590</v>
      </c>
    </row>
    <row r="239">
      <c r="A239" s="1585" t="s">
        <v>3922</v>
      </c>
      <c r="B239" s="1588"/>
      <c r="C239" s="1585">
        <v>2017.0</v>
      </c>
      <c r="D239" s="1585">
        <v>1.0</v>
      </c>
      <c r="E239" s="1585">
        <v>9759185.0</v>
      </c>
      <c r="F239" s="1585" t="s">
        <v>5514</v>
      </c>
      <c r="G239" s="1585" t="s">
        <v>668</v>
      </c>
      <c r="H239" s="1585" t="s">
        <v>5327</v>
      </c>
      <c r="I239" s="1586">
        <v>83319.0</v>
      </c>
      <c r="J239" s="1585" t="s">
        <v>5328</v>
      </c>
      <c r="K239" s="1585" t="s">
        <v>5329</v>
      </c>
      <c r="L239" s="1585" t="s">
        <v>3334</v>
      </c>
      <c r="M239" s="1591">
        <v>45674.0</v>
      </c>
      <c r="N239" s="1585">
        <v>2017.0</v>
      </c>
      <c r="O239" s="1587"/>
      <c r="P239" s="1591">
        <v>45680.0</v>
      </c>
      <c r="Q239" s="1588"/>
    </row>
    <row r="240">
      <c r="A240" s="1585" t="s">
        <v>4072</v>
      </c>
      <c r="B240" s="1588"/>
      <c r="C240" s="1585">
        <v>2017.0</v>
      </c>
      <c r="D240" s="1585">
        <v>3.0</v>
      </c>
      <c r="E240" s="1585">
        <v>9788992.0</v>
      </c>
      <c r="F240" s="1585" t="s">
        <v>5501</v>
      </c>
      <c r="G240" s="1585" t="s">
        <v>720</v>
      </c>
      <c r="H240" s="1585" t="s">
        <v>5327</v>
      </c>
      <c r="I240" s="1586">
        <v>84000.0</v>
      </c>
      <c r="J240" s="1585" t="s">
        <v>5328</v>
      </c>
      <c r="K240" s="1585" t="s">
        <v>5329</v>
      </c>
      <c r="L240" s="1585" t="s">
        <v>2900</v>
      </c>
      <c r="M240" s="1591">
        <v>45733.0</v>
      </c>
      <c r="N240" s="1585">
        <v>2017.0</v>
      </c>
      <c r="O240" s="1587"/>
      <c r="P240" s="1591">
        <v>45771.0</v>
      </c>
      <c r="Q240" s="1585" t="s">
        <v>3637</v>
      </c>
    </row>
    <row r="241">
      <c r="A241" s="1585" t="s">
        <v>4275</v>
      </c>
      <c r="B241" s="1588"/>
      <c r="C241" s="1585">
        <v>2017.0</v>
      </c>
      <c r="D241" s="1585">
        <v>3.0</v>
      </c>
      <c r="E241" s="1585">
        <v>9765562.0</v>
      </c>
      <c r="F241" s="1585" t="s">
        <v>5514</v>
      </c>
      <c r="G241" s="1585" t="s">
        <v>668</v>
      </c>
      <c r="H241" s="1585" t="s">
        <v>5327</v>
      </c>
      <c r="I241" s="1586">
        <v>81626.0</v>
      </c>
      <c r="J241" s="1585" t="s">
        <v>5328</v>
      </c>
      <c r="K241" s="1585" t="s">
        <v>5329</v>
      </c>
      <c r="L241" s="1585" t="s">
        <v>3045</v>
      </c>
      <c r="M241" s="1591">
        <v>45733.0</v>
      </c>
      <c r="N241" s="1585">
        <v>2017.0</v>
      </c>
      <c r="O241" s="1587"/>
      <c r="P241" s="1591">
        <v>45982.0</v>
      </c>
      <c r="Q241" s="1588"/>
    </row>
    <row r="242">
      <c r="A242" s="1585" t="s">
        <v>3861</v>
      </c>
      <c r="B242" s="1588"/>
      <c r="C242" s="1585">
        <v>2017.0</v>
      </c>
      <c r="D242" s="1585">
        <v>4.0</v>
      </c>
      <c r="E242" s="1585">
        <v>9773234.0</v>
      </c>
      <c r="F242" s="1585" t="s">
        <v>5514</v>
      </c>
      <c r="G242" s="1585" t="s">
        <v>668</v>
      </c>
      <c r="H242" s="1585" t="s">
        <v>5327</v>
      </c>
      <c r="I242" s="1586">
        <v>81654.0</v>
      </c>
      <c r="J242" s="1585" t="s">
        <v>5328</v>
      </c>
      <c r="K242" s="1585" t="s">
        <v>5329</v>
      </c>
      <c r="L242" s="1585" t="s">
        <v>3207</v>
      </c>
      <c r="M242" s="1591">
        <v>45764.0</v>
      </c>
      <c r="N242" s="1585">
        <v>2017.0</v>
      </c>
      <c r="O242" s="1587"/>
      <c r="P242" s="1591">
        <v>45769.0</v>
      </c>
      <c r="Q242" s="1588"/>
    </row>
    <row r="243">
      <c r="A243" s="1585" t="s">
        <v>4449</v>
      </c>
      <c r="B243" s="1588"/>
      <c r="C243" s="1585">
        <v>2017.0</v>
      </c>
      <c r="D243" s="1585">
        <v>5.0</v>
      </c>
      <c r="E243" s="1585">
        <v>9765457.0</v>
      </c>
      <c r="F243" s="1585" t="s">
        <v>5502</v>
      </c>
      <c r="G243" s="1585" t="s">
        <v>668</v>
      </c>
      <c r="H243" s="1585" t="s">
        <v>5327</v>
      </c>
      <c r="I243" s="1586">
        <v>84000.0</v>
      </c>
      <c r="J243" s="1585" t="s">
        <v>5328</v>
      </c>
      <c r="K243" s="1585" t="s">
        <v>5329</v>
      </c>
      <c r="L243" s="1585" t="s">
        <v>3088</v>
      </c>
      <c r="M243" s="1589">
        <v>45794.0</v>
      </c>
      <c r="N243" s="1585">
        <v>2017.0</v>
      </c>
      <c r="O243" s="1587"/>
      <c r="P243" s="1589">
        <v>45801.0</v>
      </c>
      <c r="Q243" s="1588"/>
    </row>
    <row r="244">
      <c r="A244" s="1585" t="s">
        <v>4347</v>
      </c>
      <c r="B244" s="1588"/>
      <c r="C244" s="1585">
        <v>2017.0</v>
      </c>
      <c r="D244" s="1585">
        <v>5.0</v>
      </c>
      <c r="E244" s="1585">
        <v>9800099.0</v>
      </c>
      <c r="F244" s="1585" t="s">
        <v>5501</v>
      </c>
      <c r="G244" s="1585" t="s">
        <v>720</v>
      </c>
      <c r="H244" s="1585" t="s">
        <v>5327</v>
      </c>
      <c r="I244" s="1586">
        <v>84000.0</v>
      </c>
      <c r="J244" s="1585" t="s">
        <v>5328</v>
      </c>
      <c r="K244" s="1585" t="s">
        <v>5329</v>
      </c>
      <c r="L244" s="1585" t="s">
        <v>2900</v>
      </c>
      <c r="M244" s="1589">
        <v>45794.0</v>
      </c>
      <c r="N244" s="1585">
        <v>2017.0</v>
      </c>
      <c r="O244" s="1587"/>
      <c r="P244" s="1589">
        <v>45801.0</v>
      </c>
      <c r="Q244" s="1588"/>
    </row>
    <row r="245">
      <c r="A245" s="1585" t="s">
        <v>4929</v>
      </c>
      <c r="B245" s="1588"/>
      <c r="C245" s="1585">
        <v>2017.0</v>
      </c>
      <c r="D245" s="1585">
        <v>5.0</v>
      </c>
      <c r="E245" s="1585">
        <v>9794288.0</v>
      </c>
      <c r="F245" s="1585" t="s">
        <v>5501</v>
      </c>
      <c r="G245" s="1585" t="s">
        <v>720</v>
      </c>
      <c r="H245" s="1585" t="s">
        <v>5327</v>
      </c>
      <c r="I245" s="1586">
        <v>84000.0</v>
      </c>
      <c r="J245" s="1585" t="s">
        <v>5328</v>
      </c>
      <c r="K245" s="1585" t="s">
        <v>5329</v>
      </c>
      <c r="L245" s="1585" t="s">
        <v>5561</v>
      </c>
      <c r="M245" s="1589">
        <v>45794.0</v>
      </c>
      <c r="N245" s="1585">
        <v>2017.0</v>
      </c>
      <c r="O245" s="1587"/>
      <c r="P245" s="1585" t="s">
        <v>4845</v>
      </c>
      <c r="Q245" s="1588"/>
    </row>
    <row r="246">
      <c r="A246" s="1585" t="s">
        <v>4341</v>
      </c>
      <c r="B246" s="1588"/>
      <c r="C246" s="1585">
        <v>2017.0</v>
      </c>
      <c r="D246" s="1585">
        <v>5.0</v>
      </c>
      <c r="E246" s="1585">
        <v>9789154.0</v>
      </c>
      <c r="F246" s="1585" t="s">
        <v>5501</v>
      </c>
      <c r="G246" s="1585" t="s">
        <v>720</v>
      </c>
      <c r="H246" s="1585" t="s">
        <v>5327</v>
      </c>
      <c r="I246" s="1586">
        <v>77291.0</v>
      </c>
      <c r="J246" s="1585" t="s">
        <v>5328</v>
      </c>
      <c r="K246" s="1585" t="s">
        <v>5329</v>
      </c>
      <c r="L246" s="1585" t="s">
        <v>1554</v>
      </c>
      <c r="M246" s="1589">
        <v>45794.0</v>
      </c>
      <c r="N246" s="1585">
        <v>2017.0</v>
      </c>
      <c r="O246" s="1587"/>
      <c r="P246" s="1591">
        <v>45835.0</v>
      </c>
      <c r="Q246" s="1585" t="s">
        <v>3637</v>
      </c>
    </row>
    <row r="247">
      <c r="A247" s="1585" t="s">
        <v>4463</v>
      </c>
      <c r="B247" s="1588"/>
      <c r="C247" s="1585">
        <v>2017.0</v>
      </c>
      <c r="D247" s="1585">
        <v>6.0</v>
      </c>
      <c r="E247" s="1585">
        <v>9778478.0</v>
      </c>
      <c r="F247" s="1585" t="s">
        <v>5441</v>
      </c>
      <c r="G247" s="1585" t="s">
        <v>720</v>
      </c>
      <c r="H247" s="1585" t="s">
        <v>5327</v>
      </c>
      <c r="I247" s="1586">
        <v>82520.0</v>
      </c>
      <c r="J247" s="1585" t="s">
        <v>5328</v>
      </c>
      <c r="K247" s="1585" t="s">
        <v>5329</v>
      </c>
      <c r="L247" s="1585" t="s">
        <v>1326</v>
      </c>
      <c r="M247" s="1591">
        <v>45825.0</v>
      </c>
      <c r="N247" s="1585">
        <v>2017.0</v>
      </c>
      <c r="O247" s="1587"/>
      <c r="P247" s="1589">
        <v>45801.0</v>
      </c>
      <c r="Q247" s="1588"/>
    </row>
    <row r="248">
      <c r="A248" s="1585" t="s">
        <v>3817</v>
      </c>
      <c r="B248" s="1585" t="s">
        <v>5591</v>
      </c>
      <c r="C248" s="1585">
        <v>2017.0</v>
      </c>
      <c r="D248" s="1585">
        <v>6.0</v>
      </c>
      <c r="E248" s="1585">
        <v>9793234.0</v>
      </c>
      <c r="F248" s="1585" t="s">
        <v>5497</v>
      </c>
      <c r="G248" s="1585" t="s">
        <v>720</v>
      </c>
      <c r="H248" s="1585" t="s">
        <v>5327</v>
      </c>
      <c r="I248" s="1586">
        <v>78700.0</v>
      </c>
      <c r="J248" s="1585" t="s">
        <v>5328</v>
      </c>
      <c r="K248" s="1585" t="s">
        <v>5329</v>
      </c>
      <c r="L248" s="1585" t="s">
        <v>5592</v>
      </c>
      <c r="M248" s="1591">
        <v>45825.0</v>
      </c>
      <c r="N248" s="1585">
        <v>2017.0</v>
      </c>
      <c r="O248" s="1587"/>
      <c r="P248" s="1591">
        <v>45830.0</v>
      </c>
      <c r="Q248" s="1588"/>
    </row>
    <row r="249">
      <c r="A249" s="1585" t="s">
        <v>4502</v>
      </c>
      <c r="B249" s="1588"/>
      <c r="C249" s="1585">
        <v>2017.0</v>
      </c>
      <c r="D249" s="1585">
        <v>7.0</v>
      </c>
      <c r="E249" s="1585">
        <v>9778480.0</v>
      </c>
      <c r="F249" s="1585" t="s">
        <v>5441</v>
      </c>
      <c r="G249" s="1585" t="s">
        <v>720</v>
      </c>
      <c r="H249" s="1585" t="s">
        <v>5327</v>
      </c>
      <c r="I249" s="1586">
        <v>82476.0</v>
      </c>
      <c r="J249" s="1585" t="s">
        <v>5328</v>
      </c>
      <c r="K249" s="1585" t="s">
        <v>5329</v>
      </c>
      <c r="L249" s="1585" t="s">
        <v>1326</v>
      </c>
      <c r="M249" s="1591">
        <v>45855.0</v>
      </c>
      <c r="N249" s="1585">
        <v>2017.0</v>
      </c>
      <c r="O249" s="1587"/>
      <c r="P249" s="1591">
        <v>45681.0</v>
      </c>
      <c r="Q249" s="1588"/>
    </row>
    <row r="250">
      <c r="A250" s="1585" t="s">
        <v>3864</v>
      </c>
      <c r="B250" s="1588"/>
      <c r="C250" s="1585">
        <v>2017.0</v>
      </c>
      <c r="D250" s="1585">
        <v>7.0</v>
      </c>
      <c r="E250" s="1585">
        <v>9780641.0</v>
      </c>
      <c r="F250" s="1585" t="s">
        <v>5502</v>
      </c>
      <c r="G250" s="1585" t="s">
        <v>668</v>
      </c>
      <c r="H250" s="1585" t="s">
        <v>5327</v>
      </c>
      <c r="I250" s="1586">
        <v>82423.0</v>
      </c>
      <c r="J250" s="1585" t="s">
        <v>5328</v>
      </c>
      <c r="K250" s="1585" t="s">
        <v>5329</v>
      </c>
      <c r="L250" s="1585" t="s">
        <v>2901</v>
      </c>
      <c r="M250" s="1591">
        <v>45855.0</v>
      </c>
      <c r="N250" s="1585">
        <v>2017.0</v>
      </c>
      <c r="O250" s="1587"/>
      <c r="P250" s="1591">
        <v>45860.0</v>
      </c>
      <c r="Q250" s="1588"/>
    </row>
    <row r="251">
      <c r="A251" s="1585" t="s">
        <v>3795</v>
      </c>
      <c r="B251" s="1588"/>
      <c r="C251" s="1585">
        <v>2017.0</v>
      </c>
      <c r="D251" s="1585">
        <v>7.0</v>
      </c>
      <c r="E251" s="1585">
        <v>9790220.0</v>
      </c>
      <c r="F251" s="1585" t="s">
        <v>5501</v>
      </c>
      <c r="G251" s="1585" t="s">
        <v>720</v>
      </c>
      <c r="H251" s="1585" t="s">
        <v>5327</v>
      </c>
      <c r="I251" s="1586">
        <v>78700.0</v>
      </c>
      <c r="J251" s="1585" t="s">
        <v>5328</v>
      </c>
      <c r="K251" s="1585" t="s">
        <v>5329</v>
      </c>
      <c r="L251" s="1585" t="s">
        <v>1080</v>
      </c>
      <c r="M251" s="1591">
        <v>45855.0</v>
      </c>
      <c r="N251" s="1585">
        <v>2017.0</v>
      </c>
      <c r="O251" s="1587"/>
      <c r="P251" s="1591">
        <v>45679.0</v>
      </c>
      <c r="Q251" s="1588"/>
    </row>
    <row r="252">
      <c r="A252" s="1585" t="s">
        <v>4379</v>
      </c>
      <c r="B252" s="1588"/>
      <c r="C252" s="1585">
        <v>2017.0</v>
      </c>
      <c r="D252" s="1585">
        <v>8.0</v>
      </c>
      <c r="E252" s="1585">
        <v>9789166.0</v>
      </c>
      <c r="F252" s="1585" t="s">
        <v>5501</v>
      </c>
      <c r="G252" s="1585" t="s">
        <v>720</v>
      </c>
      <c r="H252" s="1585" t="s">
        <v>5327</v>
      </c>
      <c r="I252" s="1586">
        <v>78700.0</v>
      </c>
      <c r="J252" s="1585" t="s">
        <v>5328</v>
      </c>
      <c r="K252" s="1585" t="s">
        <v>5329</v>
      </c>
      <c r="L252" s="1585" t="s">
        <v>1554</v>
      </c>
      <c r="M252" s="1591">
        <v>45886.0</v>
      </c>
      <c r="N252" s="1585">
        <v>2017.0</v>
      </c>
      <c r="O252" s="1587"/>
      <c r="P252" s="1591">
        <v>45927.0</v>
      </c>
      <c r="Q252" s="1585" t="s">
        <v>3637</v>
      </c>
    </row>
    <row r="253">
      <c r="A253" s="1585" t="s">
        <v>3801</v>
      </c>
      <c r="B253" s="1588"/>
      <c r="C253" s="1585">
        <v>2017.0</v>
      </c>
      <c r="D253" s="1585">
        <v>9.0</v>
      </c>
      <c r="E253" s="1585">
        <v>9795543.0</v>
      </c>
      <c r="F253" s="1585" t="s">
        <v>5501</v>
      </c>
      <c r="G253" s="1585" t="s">
        <v>720</v>
      </c>
      <c r="H253" s="1585" t="s">
        <v>5327</v>
      </c>
      <c r="I253" s="1586">
        <v>84000.0</v>
      </c>
      <c r="J253" s="1585" t="s">
        <v>5328</v>
      </c>
      <c r="K253" s="1585" t="s">
        <v>5329</v>
      </c>
      <c r="L253" s="1585" t="s">
        <v>2900</v>
      </c>
      <c r="M253" s="1591">
        <v>45917.0</v>
      </c>
      <c r="N253" s="1585">
        <v>2017.0</v>
      </c>
      <c r="O253" s="1587"/>
      <c r="P253" s="1591">
        <v>45952.0</v>
      </c>
      <c r="Q253" s="1588"/>
    </row>
    <row r="254">
      <c r="A254" s="1585" t="s">
        <v>3879</v>
      </c>
      <c r="B254" s="1588"/>
      <c r="C254" s="1585">
        <v>2017.0</v>
      </c>
      <c r="D254" s="1585">
        <v>9.0</v>
      </c>
      <c r="E254" s="1585">
        <v>9804253.0</v>
      </c>
      <c r="F254" s="1585" t="s">
        <v>5501</v>
      </c>
      <c r="G254" s="1585" t="s">
        <v>720</v>
      </c>
      <c r="H254" s="1585" t="s">
        <v>5327</v>
      </c>
      <c r="I254" s="1586">
        <v>84000.0</v>
      </c>
      <c r="J254" s="1585" t="s">
        <v>5328</v>
      </c>
      <c r="K254" s="1585" t="s">
        <v>5329</v>
      </c>
      <c r="L254" s="1585" t="s">
        <v>5482</v>
      </c>
      <c r="M254" s="1591">
        <v>45917.0</v>
      </c>
      <c r="N254" s="1585">
        <v>2017.0</v>
      </c>
      <c r="O254" s="1587"/>
      <c r="P254" s="1591">
        <v>45952.0</v>
      </c>
      <c r="Q254" s="1588"/>
    </row>
    <row r="255">
      <c r="A255" s="1585" t="s">
        <v>3727</v>
      </c>
      <c r="B255" s="1585" t="s">
        <v>5593</v>
      </c>
      <c r="C255" s="1585">
        <v>2017.0</v>
      </c>
      <c r="D255" s="1585">
        <v>9.0</v>
      </c>
      <c r="E255" s="1585">
        <v>9793246.0</v>
      </c>
      <c r="F255" s="1585" t="s">
        <v>5497</v>
      </c>
      <c r="G255" s="1585" t="s">
        <v>720</v>
      </c>
      <c r="H255" s="1585" t="s">
        <v>5327</v>
      </c>
      <c r="I255" s="1586">
        <v>78700.0</v>
      </c>
      <c r="J255" s="1585" t="s">
        <v>5328</v>
      </c>
      <c r="K255" s="1585" t="s">
        <v>5329</v>
      </c>
      <c r="L255" s="1585" t="s">
        <v>5592</v>
      </c>
      <c r="M255" s="1591">
        <v>45917.0</v>
      </c>
      <c r="N255" s="1585">
        <v>2017.0</v>
      </c>
      <c r="O255" s="1587"/>
      <c r="P255" s="1591">
        <v>45922.0</v>
      </c>
      <c r="Q255" s="1588"/>
    </row>
    <row r="256">
      <c r="A256" s="1585" t="s">
        <v>4397</v>
      </c>
      <c r="B256" s="1585" t="s">
        <v>5594</v>
      </c>
      <c r="C256" s="1585">
        <v>2017.0</v>
      </c>
      <c r="D256" s="1585">
        <v>10.0</v>
      </c>
      <c r="E256" s="1585">
        <v>9793258.0</v>
      </c>
      <c r="F256" s="1585" t="s">
        <v>5497</v>
      </c>
      <c r="G256" s="1585" t="s">
        <v>720</v>
      </c>
      <c r="H256" s="1585" t="s">
        <v>5327</v>
      </c>
      <c r="I256" s="1586">
        <v>78700.0</v>
      </c>
      <c r="J256" s="1585" t="s">
        <v>5328</v>
      </c>
      <c r="K256" s="1585" t="s">
        <v>5329</v>
      </c>
      <c r="L256" s="1585" t="s">
        <v>5592</v>
      </c>
      <c r="M256" s="1591">
        <v>45947.0</v>
      </c>
      <c r="N256" s="1585">
        <v>2017.0</v>
      </c>
      <c r="O256" s="1587"/>
      <c r="P256" s="1591">
        <v>45988.0</v>
      </c>
      <c r="Q256" s="1588"/>
    </row>
    <row r="257">
      <c r="A257" s="1585" t="s">
        <v>3768</v>
      </c>
      <c r="B257" s="1588"/>
      <c r="C257" s="1585">
        <v>2017.0</v>
      </c>
      <c r="D257" s="1585">
        <v>12.0</v>
      </c>
      <c r="E257" s="1585">
        <v>9779991.0</v>
      </c>
      <c r="F257" s="1585" t="s">
        <v>5566</v>
      </c>
      <c r="G257" s="1585" t="s">
        <v>188</v>
      </c>
      <c r="H257" s="1585" t="s">
        <v>5327</v>
      </c>
      <c r="I257" s="1586">
        <v>85000.0</v>
      </c>
      <c r="J257" s="1585" t="s">
        <v>5328</v>
      </c>
      <c r="K257" s="1585" t="s">
        <v>5329</v>
      </c>
      <c r="L257" s="1585" t="s">
        <v>5595</v>
      </c>
      <c r="M257" s="1591">
        <v>46008.0</v>
      </c>
      <c r="N257" s="1585">
        <v>2017.0</v>
      </c>
      <c r="O257" s="1587"/>
      <c r="P257" s="1585" t="s">
        <v>4845</v>
      </c>
      <c r="Q257" s="1588"/>
    </row>
    <row r="258">
      <c r="A258" s="1585" t="s">
        <v>4302</v>
      </c>
      <c r="B258" s="1588"/>
      <c r="C258" s="1585">
        <v>2018.0</v>
      </c>
      <c r="D258" s="1585">
        <v>1.0</v>
      </c>
      <c r="E258" s="1585">
        <v>9780005.0</v>
      </c>
      <c r="F258" s="1585" t="s">
        <v>5566</v>
      </c>
      <c r="G258" s="1585" t="s">
        <v>188</v>
      </c>
      <c r="H258" s="1585" t="s">
        <v>5327</v>
      </c>
      <c r="I258" s="1586">
        <v>85000.0</v>
      </c>
      <c r="J258" s="1585" t="s">
        <v>5328</v>
      </c>
      <c r="K258" s="1585" t="s">
        <v>5329</v>
      </c>
      <c r="L258" s="1585" t="s">
        <v>5595</v>
      </c>
      <c r="M258" s="1591">
        <v>45675.0</v>
      </c>
      <c r="N258" s="1585">
        <v>2018.0</v>
      </c>
      <c r="O258" s="1587"/>
      <c r="P258" s="1591">
        <v>45679.0</v>
      </c>
      <c r="Q258" s="1588"/>
    </row>
    <row r="259">
      <c r="A259" s="1585" t="s">
        <v>4900</v>
      </c>
      <c r="B259" s="1588"/>
      <c r="C259" s="1585">
        <v>2018.0</v>
      </c>
      <c r="D259" s="1585">
        <v>1.0</v>
      </c>
      <c r="E259" s="1585">
        <v>9795919.0</v>
      </c>
      <c r="F259" s="1585" t="s">
        <v>5566</v>
      </c>
      <c r="G259" s="1585" t="s">
        <v>188</v>
      </c>
      <c r="H259" s="1585" t="s">
        <v>5327</v>
      </c>
      <c r="I259" s="1586">
        <v>84000.0</v>
      </c>
      <c r="J259" s="1585" t="s">
        <v>5328</v>
      </c>
      <c r="K259" s="1585" t="s">
        <v>5329</v>
      </c>
      <c r="L259" s="1585" t="s">
        <v>3116</v>
      </c>
      <c r="M259" s="1591">
        <v>45675.0</v>
      </c>
      <c r="N259" s="1585">
        <v>2018.0</v>
      </c>
      <c r="O259" s="1587"/>
      <c r="P259" s="1585" t="s">
        <v>4845</v>
      </c>
      <c r="Q259" s="1588"/>
    </row>
    <row r="260">
      <c r="A260" s="1585" t="s">
        <v>3812</v>
      </c>
      <c r="B260" s="1588"/>
      <c r="C260" s="1585">
        <v>2018.0</v>
      </c>
      <c r="D260" s="1585">
        <v>1.0</v>
      </c>
      <c r="E260" s="1585">
        <v>9790232.0</v>
      </c>
      <c r="F260" s="1585" t="s">
        <v>5501</v>
      </c>
      <c r="G260" s="1585" t="s">
        <v>720</v>
      </c>
      <c r="H260" s="1585" t="s">
        <v>5327</v>
      </c>
      <c r="I260" s="1586">
        <v>78700.0</v>
      </c>
      <c r="J260" s="1585" t="s">
        <v>5328</v>
      </c>
      <c r="K260" s="1585" t="s">
        <v>5329</v>
      </c>
      <c r="L260" s="1585" t="s">
        <v>1080</v>
      </c>
      <c r="M260" s="1591">
        <v>45675.0</v>
      </c>
      <c r="N260" s="1585">
        <v>2018.0</v>
      </c>
      <c r="O260" s="1587"/>
      <c r="P260" s="1585" t="s">
        <v>4845</v>
      </c>
      <c r="Q260" s="1588"/>
    </row>
    <row r="261">
      <c r="A261" s="1585" t="s">
        <v>4423</v>
      </c>
      <c r="B261" s="1585" t="s">
        <v>5596</v>
      </c>
      <c r="C261" s="1585">
        <v>2018.0</v>
      </c>
      <c r="D261" s="1585">
        <v>1.0</v>
      </c>
      <c r="E261" s="1585">
        <v>9793260.0</v>
      </c>
      <c r="F261" s="1585" t="s">
        <v>5497</v>
      </c>
      <c r="G261" s="1585" t="s">
        <v>720</v>
      </c>
      <c r="H261" s="1585" t="s">
        <v>5327</v>
      </c>
      <c r="I261" s="1586">
        <v>78700.0</v>
      </c>
      <c r="J261" s="1585" t="s">
        <v>5328</v>
      </c>
      <c r="K261" s="1585" t="s">
        <v>5329</v>
      </c>
      <c r="L261" s="1585" t="s">
        <v>5592</v>
      </c>
      <c r="M261" s="1591">
        <v>45675.0</v>
      </c>
      <c r="N261" s="1585">
        <v>2018.0</v>
      </c>
      <c r="O261" s="1587"/>
      <c r="P261" s="1591">
        <v>45685.0</v>
      </c>
      <c r="Q261" s="1588"/>
    </row>
    <row r="262">
      <c r="A262" s="1585" t="s">
        <v>4834</v>
      </c>
      <c r="B262" s="1588"/>
      <c r="C262" s="1585">
        <v>2018.0</v>
      </c>
      <c r="D262" s="1585">
        <v>2.0</v>
      </c>
      <c r="E262" s="1585">
        <v>9797864.0</v>
      </c>
      <c r="F262" s="1585" t="s">
        <v>5501</v>
      </c>
      <c r="G262" s="1585" t="s">
        <v>720</v>
      </c>
      <c r="H262" s="1585" t="s">
        <v>5327</v>
      </c>
      <c r="I262" s="1586">
        <v>84000.0</v>
      </c>
      <c r="J262" s="1585" t="s">
        <v>5328</v>
      </c>
      <c r="K262" s="1585" t="s">
        <v>5329</v>
      </c>
      <c r="L262" s="1585" t="s">
        <v>3177</v>
      </c>
      <c r="M262" s="1591">
        <v>45706.0</v>
      </c>
      <c r="N262" s="1585">
        <v>2018.0</v>
      </c>
      <c r="O262" s="1587"/>
      <c r="P262" s="1585" t="s">
        <v>4774</v>
      </c>
      <c r="Q262" s="1585" t="s">
        <v>3637</v>
      </c>
    </row>
    <row r="263">
      <c r="A263" s="1585" t="s">
        <v>4836</v>
      </c>
      <c r="B263" s="1588"/>
      <c r="C263" s="1585">
        <v>2018.0</v>
      </c>
      <c r="D263" s="1585">
        <v>3.0</v>
      </c>
      <c r="E263" s="1585">
        <v>9797876.0</v>
      </c>
      <c r="F263" s="1585" t="s">
        <v>5501</v>
      </c>
      <c r="G263" s="1585" t="s">
        <v>720</v>
      </c>
      <c r="H263" s="1585" t="s">
        <v>5327</v>
      </c>
      <c r="I263" s="1586">
        <v>84000.0</v>
      </c>
      <c r="J263" s="1585" t="s">
        <v>5328</v>
      </c>
      <c r="K263" s="1585" t="s">
        <v>5329</v>
      </c>
      <c r="L263" s="1585" t="s">
        <v>3177</v>
      </c>
      <c r="M263" s="1591">
        <v>45734.0</v>
      </c>
      <c r="N263" s="1585">
        <v>2018.0</v>
      </c>
      <c r="O263" s="1587"/>
      <c r="P263" s="1585" t="s">
        <v>4774</v>
      </c>
      <c r="Q263" s="1585" t="s">
        <v>3637</v>
      </c>
    </row>
    <row r="264">
      <c r="A264" s="1585" t="s">
        <v>4925</v>
      </c>
      <c r="B264" s="1588"/>
      <c r="C264" s="1585">
        <v>2018.0</v>
      </c>
      <c r="D264" s="1585">
        <v>9.0</v>
      </c>
      <c r="E264" s="1585">
        <v>9752723.0</v>
      </c>
      <c r="F264" s="1585" t="s">
        <v>5566</v>
      </c>
      <c r="G264" s="1585" t="s">
        <v>188</v>
      </c>
      <c r="H264" s="1585" t="s">
        <v>5327</v>
      </c>
      <c r="I264" s="1586">
        <v>81400.0</v>
      </c>
      <c r="J264" s="1585" t="s">
        <v>5328</v>
      </c>
      <c r="K264" s="1585" t="s">
        <v>5329</v>
      </c>
      <c r="L264" s="1585" t="s">
        <v>5551</v>
      </c>
      <c r="M264" s="1591">
        <v>45918.0</v>
      </c>
      <c r="N264" s="1585">
        <v>2018.0</v>
      </c>
      <c r="O264" s="1587"/>
      <c r="P264" s="1585" t="s">
        <v>4997</v>
      </c>
      <c r="Q264" s="1588"/>
    </row>
    <row r="265">
      <c r="A265" s="1585" t="s">
        <v>3929</v>
      </c>
      <c r="B265" s="1588"/>
      <c r="C265" s="1585">
        <v>2018.0</v>
      </c>
      <c r="D265" s="1585">
        <v>10.0</v>
      </c>
      <c r="E265" s="1585">
        <v>9752711.0</v>
      </c>
      <c r="F265" s="1585" t="s">
        <v>5566</v>
      </c>
      <c r="G265" s="1585" t="s">
        <v>188</v>
      </c>
      <c r="H265" s="1585" t="s">
        <v>5327</v>
      </c>
      <c r="I265" s="1586">
        <v>81400.0</v>
      </c>
      <c r="J265" s="1585" t="s">
        <v>5328</v>
      </c>
      <c r="K265" s="1585" t="s">
        <v>5329</v>
      </c>
      <c r="L265" s="1585" t="s">
        <v>5551</v>
      </c>
      <c r="M265" s="1591">
        <v>45948.0</v>
      </c>
      <c r="N265" s="1585">
        <v>2018.0</v>
      </c>
      <c r="O265" s="1587"/>
      <c r="P265" s="1585" t="s">
        <v>4997</v>
      </c>
      <c r="Q265" s="1588"/>
    </row>
    <row r="266">
      <c r="A266" s="1585" t="s">
        <v>3841</v>
      </c>
      <c r="B266" s="1588"/>
      <c r="C266" s="1585">
        <v>2018.0</v>
      </c>
      <c r="D266" s="1585">
        <v>11.0</v>
      </c>
      <c r="E266" s="1585">
        <v>9791224.0</v>
      </c>
      <c r="F266" s="1585" t="s">
        <v>5502</v>
      </c>
      <c r="G266" s="1585" t="s">
        <v>668</v>
      </c>
      <c r="H266" s="1585" t="s">
        <v>5327</v>
      </c>
      <c r="I266" s="1586">
        <v>82418.0</v>
      </c>
      <c r="J266" s="1585" t="s">
        <v>5328</v>
      </c>
      <c r="K266" s="1585" t="s">
        <v>5329</v>
      </c>
      <c r="L266" s="1585" t="s">
        <v>2901</v>
      </c>
      <c r="M266" s="1591">
        <v>45979.0</v>
      </c>
      <c r="N266" s="1585">
        <v>2018.0</v>
      </c>
      <c r="O266" s="1587"/>
      <c r="P266" s="1591">
        <v>45986.0</v>
      </c>
      <c r="Q266" s="1588"/>
    </row>
    <row r="267">
      <c r="A267" s="1585" t="s">
        <v>4782</v>
      </c>
      <c r="B267" s="1588"/>
      <c r="C267" s="1585">
        <v>2018.0</v>
      </c>
      <c r="D267" s="1585">
        <v>12.0</v>
      </c>
      <c r="E267" s="1585">
        <v>9795672.0</v>
      </c>
      <c r="F267" s="1585" t="s">
        <v>5514</v>
      </c>
      <c r="G267" s="1585" t="s">
        <v>668</v>
      </c>
      <c r="H267" s="1585" t="s">
        <v>5327</v>
      </c>
      <c r="I267" s="1586">
        <v>83000.0</v>
      </c>
      <c r="J267" s="1585" t="s">
        <v>5328</v>
      </c>
      <c r="K267" s="1585" t="s">
        <v>5329</v>
      </c>
      <c r="L267" s="1585" t="s">
        <v>3207</v>
      </c>
      <c r="M267" s="1591">
        <v>46009.0</v>
      </c>
      <c r="N267" s="1585">
        <v>2018.0</v>
      </c>
      <c r="O267" s="1587"/>
      <c r="P267" s="1591">
        <v>46014.0</v>
      </c>
      <c r="Q267" s="1588"/>
    </row>
    <row r="268">
      <c r="A268" s="1585" t="s">
        <v>4931</v>
      </c>
      <c r="B268" s="1588"/>
      <c r="C268" s="1585">
        <v>2019.0</v>
      </c>
      <c r="D268" s="1585">
        <v>3.0</v>
      </c>
      <c r="E268" s="1585">
        <v>9835173.0</v>
      </c>
      <c r="F268" s="1585" t="s">
        <v>5501</v>
      </c>
      <c r="G268" s="1585" t="s">
        <v>720</v>
      </c>
      <c r="H268" s="1585" t="s">
        <v>5327</v>
      </c>
      <c r="I268" s="1586">
        <v>84000.0</v>
      </c>
      <c r="J268" s="1585" t="s">
        <v>5328</v>
      </c>
      <c r="K268" s="1585" t="s">
        <v>5329</v>
      </c>
      <c r="L268" s="1585" t="s">
        <v>1264</v>
      </c>
      <c r="M268" s="1591">
        <v>45735.0</v>
      </c>
      <c r="N268" s="1585">
        <v>2019.0</v>
      </c>
      <c r="O268" s="1587"/>
      <c r="P268" s="1585" t="s">
        <v>4845</v>
      </c>
      <c r="Q268" s="1585" t="s">
        <v>3637</v>
      </c>
    </row>
    <row r="269">
      <c r="A269" s="1585" t="s">
        <v>4056</v>
      </c>
      <c r="B269" s="1588"/>
      <c r="C269" s="1585">
        <v>2019.0</v>
      </c>
      <c r="D269" s="1585">
        <v>3.0</v>
      </c>
      <c r="E269" s="1585">
        <v>9800491.0</v>
      </c>
      <c r="F269" s="1585" t="s">
        <v>5502</v>
      </c>
      <c r="G269" s="1585" t="s">
        <v>668</v>
      </c>
      <c r="H269" s="1585" t="s">
        <v>5327</v>
      </c>
      <c r="I269" s="1586">
        <v>82200.0</v>
      </c>
      <c r="J269" s="1585" t="s">
        <v>5328</v>
      </c>
      <c r="K269" s="1585" t="s">
        <v>5329</v>
      </c>
      <c r="L269" s="1585" t="s">
        <v>3334</v>
      </c>
      <c r="M269" s="1591">
        <v>45735.0</v>
      </c>
      <c r="N269" s="1585">
        <v>2019.0</v>
      </c>
      <c r="O269" s="1587"/>
      <c r="P269" s="1591">
        <v>45740.0</v>
      </c>
      <c r="Q269" s="1588"/>
    </row>
    <row r="270">
      <c r="A270" s="1585" t="s">
        <v>4572</v>
      </c>
      <c r="B270" s="1588"/>
      <c r="C270" s="1585">
        <v>2019.0</v>
      </c>
      <c r="D270" s="1585">
        <v>3.0</v>
      </c>
      <c r="E270" s="1585">
        <v>9810056.0</v>
      </c>
      <c r="F270" s="1585" t="s">
        <v>5514</v>
      </c>
      <c r="G270" s="1585" t="s">
        <v>668</v>
      </c>
      <c r="H270" s="1585" t="s">
        <v>5327</v>
      </c>
      <c r="I270" s="1586">
        <v>81607.0</v>
      </c>
      <c r="J270" s="1585" t="s">
        <v>5328</v>
      </c>
      <c r="K270" s="1585" t="s">
        <v>5329</v>
      </c>
      <c r="L270" s="1585" t="s">
        <v>3214</v>
      </c>
      <c r="M270" s="1591">
        <v>45735.0</v>
      </c>
      <c r="N270" s="1585">
        <v>2019.0</v>
      </c>
      <c r="O270" s="1587"/>
      <c r="P270" s="1591">
        <v>45741.0</v>
      </c>
      <c r="Q270" s="1585" t="s">
        <v>3637</v>
      </c>
    </row>
    <row r="271">
      <c r="A271" s="1585" t="s">
        <v>4932</v>
      </c>
      <c r="B271" s="1588"/>
      <c r="C271" s="1585">
        <v>2019.0</v>
      </c>
      <c r="D271" s="1585">
        <v>4.0</v>
      </c>
      <c r="E271" s="1585">
        <v>9835185.0</v>
      </c>
      <c r="F271" s="1585" t="s">
        <v>5501</v>
      </c>
      <c r="G271" s="1585" t="s">
        <v>720</v>
      </c>
      <c r="H271" s="1585" t="s">
        <v>5327</v>
      </c>
      <c r="I271" s="1586">
        <v>84000.0</v>
      </c>
      <c r="J271" s="1585" t="s">
        <v>5328</v>
      </c>
      <c r="K271" s="1585" t="s">
        <v>5329</v>
      </c>
      <c r="L271" s="1585" t="s">
        <v>1264</v>
      </c>
      <c r="M271" s="1591">
        <v>45766.0</v>
      </c>
      <c r="N271" s="1585">
        <v>2019.0</v>
      </c>
      <c r="O271" s="1587"/>
      <c r="P271" s="1585" t="s">
        <v>4845</v>
      </c>
      <c r="Q271" s="1585" t="s">
        <v>3637</v>
      </c>
    </row>
    <row r="272">
      <c r="A272" s="1585" t="s">
        <v>4071</v>
      </c>
      <c r="B272" s="1588"/>
      <c r="C272" s="1585">
        <v>2019.0</v>
      </c>
      <c r="D272" s="1585">
        <v>4.0</v>
      </c>
      <c r="E272" s="1585">
        <v>9792747.0</v>
      </c>
      <c r="F272" s="1585" t="s">
        <v>5597</v>
      </c>
      <c r="G272" s="1585" t="s">
        <v>668</v>
      </c>
      <c r="H272" s="1585" t="s">
        <v>5327</v>
      </c>
      <c r="I272" s="1586">
        <v>82200.0</v>
      </c>
      <c r="J272" s="1585" t="s">
        <v>5328</v>
      </c>
      <c r="K272" s="1585" t="s">
        <v>5329</v>
      </c>
      <c r="L272" s="1585" t="s">
        <v>5558</v>
      </c>
      <c r="M272" s="1591">
        <v>45766.0</v>
      </c>
      <c r="N272" s="1585">
        <v>2019.0</v>
      </c>
      <c r="O272" s="1587"/>
      <c r="P272" s="1591">
        <v>45770.0</v>
      </c>
      <c r="Q272" s="1585" t="s">
        <v>3637</v>
      </c>
    </row>
    <row r="273">
      <c r="A273" s="1585" t="s">
        <v>3848</v>
      </c>
      <c r="B273" s="1588"/>
      <c r="C273" s="1585">
        <v>2019.0</v>
      </c>
      <c r="D273" s="1585">
        <v>5.0</v>
      </c>
      <c r="E273" s="1585">
        <v>9809540.0</v>
      </c>
      <c r="F273" s="1585" t="s">
        <v>5598</v>
      </c>
      <c r="G273" s="1585" t="s">
        <v>668</v>
      </c>
      <c r="H273" s="1585" t="s">
        <v>5327</v>
      </c>
      <c r="I273" s="1586">
        <v>83379.0</v>
      </c>
      <c r="J273" s="1585" t="s">
        <v>5328</v>
      </c>
      <c r="K273" s="1585" t="s">
        <v>5329</v>
      </c>
      <c r="L273" s="1585" t="s">
        <v>3207</v>
      </c>
      <c r="M273" s="1589">
        <v>45796.0</v>
      </c>
      <c r="N273" s="1585">
        <v>2019.0</v>
      </c>
      <c r="O273" s="1587"/>
      <c r="P273" s="1591">
        <v>45831.0</v>
      </c>
      <c r="Q273" s="1588"/>
    </row>
    <row r="274">
      <c r="A274" s="1585" t="s">
        <v>3985</v>
      </c>
      <c r="B274" s="1588"/>
      <c r="C274" s="1585">
        <v>2019.0</v>
      </c>
      <c r="D274" s="1585">
        <v>5.0</v>
      </c>
      <c r="E274" s="1585">
        <v>9847425.0</v>
      </c>
      <c r="F274" s="1585" t="s">
        <v>5497</v>
      </c>
      <c r="G274" s="1585" t="s">
        <v>720</v>
      </c>
      <c r="H274" s="1585" t="s">
        <v>5327</v>
      </c>
      <c r="I274" s="1586">
        <v>78700.0</v>
      </c>
      <c r="J274" s="1585" t="s">
        <v>5328</v>
      </c>
      <c r="K274" s="1585" t="s">
        <v>5329</v>
      </c>
      <c r="L274" s="1585" t="s">
        <v>1227</v>
      </c>
      <c r="M274" s="1589">
        <v>45796.0</v>
      </c>
      <c r="N274" s="1585">
        <v>2019.0</v>
      </c>
      <c r="O274" s="1587"/>
      <c r="P274" s="1585" t="s">
        <v>4845</v>
      </c>
      <c r="Q274" s="1585" t="s">
        <v>3637</v>
      </c>
    </row>
    <row r="275">
      <c r="A275" s="1585" t="s">
        <v>3380</v>
      </c>
      <c r="B275" s="1588"/>
      <c r="C275" s="1585">
        <v>2019.0</v>
      </c>
      <c r="D275" s="1585">
        <v>6.0</v>
      </c>
      <c r="E275" s="1585">
        <v>9800506.0</v>
      </c>
      <c r="F275" s="1585" t="s">
        <v>5597</v>
      </c>
      <c r="G275" s="1585" t="s">
        <v>668</v>
      </c>
      <c r="H275" s="1585" t="s">
        <v>5327</v>
      </c>
      <c r="I275" s="1586">
        <v>82388.0</v>
      </c>
      <c r="J275" s="1585" t="s">
        <v>5328</v>
      </c>
      <c r="K275" s="1585" t="s">
        <v>5329</v>
      </c>
      <c r="L275" s="1585" t="s">
        <v>3045</v>
      </c>
      <c r="M275" s="1591">
        <v>45827.0</v>
      </c>
      <c r="N275" s="1585">
        <v>2019.0</v>
      </c>
      <c r="O275" s="1587"/>
      <c r="P275" s="1591">
        <v>45832.0</v>
      </c>
      <c r="Q275" s="1585" t="s">
        <v>3637</v>
      </c>
    </row>
    <row r="276">
      <c r="A276" s="1585" t="s">
        <v>3360</v>
      </c>
      <c r="B276" s="1588"/>
      <c r="C276" s="1585">
        <v>2019.0</v>
      </c>
      <c r="D276" s="1585">
        <v>6.0</v>
      </c>
      <c r="E276" s="1585">
        <v>9840867.0</v>
      </c>
      <c r="F276" s="1585" t="s">
        <v>5501</v>
      </c>
      <c r="G276" s="1585" t="s">
        <v>720</v>
      </c>
      <c r="H276" s="1585" t="s">
        <v>5327</v>
      </c>
      <c r="I276" s="1586">
        <v>78971.0</v>
      </c>
      <c r="J276" s="1585" t="s">
        <v>5328</v>
      </c>
      <c r="K276" s="1585" t="s">
        <v>5329</v>
      </c>
      <c r="L276" s="1585" t="s">
        <v>1264</v>
      </c>
      <c r="M276" s="1591">
        <v>45827.0</v>
      </c>
      <c r="N276" s="1585">
        <v>2019.0</v>
      </c>
      <c r="O276" s="1587"/>
      <c r="P276" s="1591">
        <v>45769.0</v>
      </c>
      <c r="Q276" s="1585" t="s">
        <v>3637</v>
      </c>
    </row>
    <row r="277">
      <c r="A277" s="1585" t="s">
        <v>3400</v>
      </c>
      <c r="B277" s="1588"/>
      <c r="C277" s="1585">
        <v>2019.0</v>
      </c>
      <c r="D277" s="1585">
        <v>6.0</v>
      </c>
      <c r="E277" s="1585">
        <v>9847437.0</v>
      </c>
      <c r="F277" s="1585" t="s">
        <v>5497</v>
      </c>
      <c r="G277" s="1585" t="s">
        <v>720</v>
      </c>
      <c r="H277" s="1585" t="s">
        <v>5327</v>
      </c>
      <c r="I277" s="1586">
        <v>78700.0</v>
      </c>
      <c r="J277" s="1585" t="s">
        <v>5328</v>
      </c>
      <c r="K277" s="1585" t="s">
        <v>5329</v>
      </c>
      <c r="L277" s="1585" t="s">
        <v>1227</v>
      </c>
      <c r="M277" s="1591">
        <v>45827.0</v>
      </c>
      <c r="N277" s="1585">
        <v>2019.0</v>
      </c>
      <c r="O277" s="1587"/>
      <c r="P277" s="1585" t="s">
        <v>4845</v>
      </c>
      <c r="Q277" s="1585" t="s">
        <v>3637</v>
      </c>
    </row>
    <row r="278">
      <c r="A278" s="1585" t="s">
        <v>3429</v>
      </c>
      <c r="B278" s="1588"/>
      <c r="C278" s="1585">
        <v>2019.0</v>
      </c>
      <c r="D278" s="1585">
        <v>7.0</v>
      </c>
      <c r="E278" s="1585">
        <v>9840879.0</v>
      </c>
      <c r="F278" s="1585" t="s">
        <v>5501</v>
      </c>
      <c r="G278" s="1585" t="s">
        <v>720</v>
      </c>
      <c r="H278" s="1585" t="s">
        <v>5327</v>
      </c>
      <c r="I278" s="1586">
        <v>84000.0</v>
      </c>
      <c r="J278" s="1585" t="s">
        <v>5328</v>
      </c>
      <c r="K278" s="1585" t="s">
        <v>5329</v>
      </c>
      <c r="L278" s="1585" t="s">
        <v>1264</v>
      </c>
      <c r="M278" s="1591">
        <v>45857.0</v>
      </c>
      <c r="N278" s="1585">
        <v>2019.0</v>
      </c>
      <c r="O278" s="1587"/>
      <c r="P278" s="1585" t="s">
        <v>4845</v>
      </c>
      <c r="Q278" s="1585" t="s">
        <v>3637</v>
      </c>
    </row>
    <row r="279">
      <c r="A279" s="1585" t="s">
        <v>3359</v>
      </c>
      <c r="B279" s="1588"/>
      <c r="C279" s="1585">
        <v>2019.0</v>
      </c>
      <c r="D279" s="1585">
        <v>8.0</v>
      </c>
      <c r="E279" s="1585">
        <v>9852949.0</v>
      </c>
      <c r="F279" s="1585" t="s">
        <v>5497</v>
      </c>
      <c r="G279" s="1585" t="s">
        <v>720</v>
      </c>
      <c r="H279" s="1585" t="s">
        <v>5327</v>
      </c>
      <c r="I279" s="1586">
        <v>78700.0</v>
      </c>
      <c r="J279" s="1585" t="s">
        <v>5328</v>
      </c>
      <c r="K279" s="1585" t="s">
        <v>5329</v>
      </c>
      <c r="L279" s="1585" t="s">
        <v>1227</v>
      </c>
      <c r="M279" s="1591">
        <v>45888.0</v>
      </c>
      <c r="N279" s="1585">
        <v>2019.0</v>
      </c>
      <c r="O279" s="1587"/>
      <c r="P279" s="1585" t="s">
        <v>4845</v>
      </c>
      <c r="Q279" s="1585" t="s">
        <v>3637</v>
      </c>
    </row>
    <row r="280">
      <c r="A280" s="1585" t="s">
        <v>3379</v>
      </c>
      <c r="B280" s="1588"/>
      <c r="C280" s="1585">
        <v>2019.0</v>
      </c>
      <c r="D280" s="1585">
        <v>9.0</v>
      </c>
      <c r="E280" s="1585">
        <v>9852951.0</v>
      </c>
      <c r="F280" s="1585" t="s">
        <v>5497</v>
      </c>
      <c r="G280" s="1585" t="s">
        <v>720</v>
      </c>
      <c r="H280" s="1585" t="s">
        <v>5327</v>
      </c>
      <c r="I280" s="1586">
        <v>78000.0</v>
      </c>
      <c r="J280" s="1585" t="s">
        <v>5328</v>
      </c>
      <c r="K280" s="1585" t="s">
        <v>5329</v>
      </c>
      <c r="L280" s="1585" t="s">
        <v>1227</v>
      </c>
      <c r="M280" s="1591">
        <v>45919.0</v>
      </c>
      <c r="N280" s="1585">
        <v>2019.0</v>
      </c>
      <c r="O280" s="1587"/>
      <c r="P280" s="1585" t="s">
        <v>4845</v>
      </c>
      <c r="Q280" s="1585" t="s">
        <v>3637</v>
      </c>
    </row>
    <row r="281">
      <c r="A281" s="1585" t="s">
        <v>3402</v>
      </c>
      <c r="B281" s="1588"/>
      <c r="C281" s="1585">
        <v>2019.0</v>
      </c>
      <c r="D281" s="1585">
        <v>10.0</v>
      </c>
      <c r="E281" s="1585">
        <v>9809552.0</v>
      </c>
      <c r="F281" s="1585" t="s">
        <v>5598</v>
      </c>
      <c r="G281" s="1585" t="s">
        <v>668</v>
      </c>
      <c r="H281" s="1585" t="s">
        <v>5327</v>
      </c>
      <c r="I281" s="1586">
        <v>83000.0</v>
      </c>
      <c r="J281" s="1585" t="s">
        <v>5328</v>
      </c>
      <c r="K281" s="1585" t="s">
        <v>5329</v>
      </c>
      <c r="L281" s="1585" t="s">
        <v>3207</v>
      </c>
      <c r="M281" s="1591">
        <v>45949.0</v>
      </c>
      <c r="N281" s="1585">
        <v>2019.0</v>
      </c>
      <c r="O281" s="1587"/>
      <c r="P281" s="1591">
        <v>45952.0</v>
      </c>
      <c r="Q281" s="1585" t="s">
        <v>3637</v>
      </c>
    </row>
    <row r="282">
      <c r="A282" s="1585" t="s">
        <v>3383</v>
      </c>
      <c r="B282" s="1588"/>
      <c r="C282" s="1585">
        <v>2019.0</v>
      </c>
      <c r="D282" s="1585">
        <v>10.0</v>
      </c>
      <c r="E282" s="1585">
        <v>9855941.0</v>
      </c>
      <c r="F282" s="1585" t="s">
        <v>5501</v>
      </c>
      <c r="G282" s="1585" t="s">
        <v>720</v>
      </c>
      <c r="H282" s="1585" t="s">
        <v>5327</v>
      </c>
      <c r="I282" s="1586">
        <v>80000.0</v>
      </c>
      <c r="J282" s="1585" t="s">
        <v>5328</v>
      </c>
      <c r="K282" s="1585" t="s">
        <v>5329</v>
      </c>
      <c r="L282" s="1585" t="s">
        <v>1554</v>
      </c>
      <c r="M282" s="1591">
        <v>45949.0</v>
      </c>
      <c r="N282" s="1585">
        <v>2019.0</v>
      </c>
      <c r="O282" s="1587"/>
      <c r="P282" s="1591">
        <v>46013.0</v>
      </c>
      <c r="Q282" s="1585" t="s">
        <v>3637</v>
      </c>
    </row>
    <row r="283">
      <c r="A283" s="1585" t="s">
        <v>3368</v>
      </c>
      <c r="B283" s="1588"/>
      <c r="C283" s="1585">
        <v>2019.0</v>
      </c>
      <c r="D283" s="1585">
        <v>11.0</v>
      </c>
      <c r="E283" s="1585">
        <v>9849617.0</v>
      </c>
      <c r="F283" s="1585" t="s">
        <v>5501</v>
      </c>
      <c r="G283" s="1585" t="s">
        <v>720</v>
      </c>
      <c r="H283" s="1585" t="s">
        <v>5327</v>
      </c>
      <c r="I283" s="1586">
        <v>83090.0</v>
      </c>
      <c r="J283" s="1585" t="s">
        <v>5328</v>
      </c>
      <c r="K283" s="1585" t="s">
        <v>5329</v>
      </c>
      <c r="L283" s="1585" t="s">
        <v>3327</v>
      </c>
      <c r="M283" s="1591">
        <v>45980.0</v>
      </c>
      <c r="N283" s="1585">
        <v>2019.0</v>
      </c>
      <c r="O283" s="1587"/>
      <c r="P283" s="1585" t="s">
        <v>4997</v>
      </c>
      <c r="Q283" s="1588"/>
    </row>
    <row r="284">
      <c r="A284" s="1585" t="s">
        <v>3431</v>
      </c>
      <c r="B284" s="1588"/>
      <c r="C284" s="1585">
        <v>2019.0</v>
      </c>
      <c r="D284" s="1585">
        <v>12.0</v>
      </c>
      <c r="E284" s="1585">
        <v>9810032.0</v>
      </c>
      <c r="F284" s="1585" t="s">
        <v>5514</v>
      </c>
      <c r="G284" s="1585" t="s">
        <v>668</v>
      </c>
      <c r="H284" s="1585" t="s">
        <v>5327</v>
      </c>
      <c r="I284" s="1586">
        <v>83000.0</v>
      </c>
      <c r="J284" s="1585" t="s">
        <v>5328</v>
      </c>
      <c r="K284" s="1585" t="s">
        <v>5329</v>
      </c>
      <c r="L284" s="1585" t="s">
        <v>3045</v>
      </c>
      <c r="M284" s="1591">
        <v>46010.0</v>
      </c>
      <c r="N284" s="1585">
        <v>2019.0</v>
      </c>
      <c r="O284" s="1587"/>
      <c r="P284" s="1585" t="s">
        <v>4774</v>
      </c>
      <c r="Q284" s="1585" t="s">
        <v>3637</v>
      </c>
    </row>
    <row r="285">
      <c r="A285" s="1585" t="s">
        <v>3366</v>
      </c>
      <c r="B285" s="1588"/>
      <c r="C285" s="1585">
        <v>2020.0</v>
      </c>
      <c r="D285" s="1585">
        <v>1.0</v>
      </c>
      <c r="E285" s="1585">
        <v>9832793.0</v>
      </c>
      <c r="F285" s="1585" t="s">
        <v>5566</v>
      </c>
      <c r="G285" s="1585" t="s">
        <v>188</v>
      </c>
      <c r="H285" s="1585" t="s">
        <v>5327</v>
      </c>
      <c r="I285" s="1586">
        <v>84000.0</v>
      </c>
      <c r="J285" s="1585" t="s">
        <v>5328</v>
      </c>
      <c r="K285" s="1585" t="s">
        <v>5329</v>
      </c>
      <c r="L285" s="1585" t="s">
        <v>1080</v>
      </c>
      <c r="M285" s="1591">
        <v>45677.0</v>
      </c>
      <c r="N285" s="1585">
        <v>2020.0</v>
      </c>
      <c r="O285" s="1587"/>
      <c r="P285" s="1585" t="s">
        <v>4845</v>
      </c>
      <c r="Q285" s="1585" t="s">
        <v>3637</v>
      </c>
    </row>
    <row r="286">
      <c r="A286" s="1585" t="s">
        <v>3418</v>
      </c>
      <c r="B286" s="1588"/>
      <c r="C286" s="1585">
        <v>2020.0</v>
      </c>
      <c r="D286" s="1585">
        <v>1.0</v>
      </c>
      <c r="E286" s="1585">
        <v>9839727.0</v>
      </c>
      <c r="F286" s="1585" t="s">
        <v>5566</v>
      </c>
      <c r="G286" s="1585" t="s">
        <v>188</v>
      </c>
      <c r="H286" s="1585" t="s">
        <v>5327</v>
      </c>
      <c r="I286" s="1586">
        <v>84000.0</v>
      </c>
      <c r="J286" s="1585" t="s">
        <v>5328</v>
      </c>
      <c r="K286" s="1585" t="s">
        <v>5329</v>
      </c>
      <c r="L286" s="1585" t="s">
        <v>1080</v>
      </c>
      <c r="M286" s="1591">
        <v>45677.0</v>
      </c>
      <c r="N286" s="1585">
        <v>2020.0</v>
      </c>
      <c r="O286" s="1587"/>
      <c r="P286" s="1591">
        <v>45863.0</v>
      </c>
      <c r="Q286" s="1585" t="s">
        <v>3637</v>
      </c>
    </row>
    <row r="287">
      <c r="A287" s="1585" t="s">
        <v>3384</v>
      </c>
      <c r="B287" s="1588"/>
      <c r="C287" s="1585">
        <v>2020.0</v>
      </c>
      <c r="D287" s="1585">
        <v>1.0</v>
      </c>
      <c r="E287" s="1585">
        <v>9832808.0</v>
      </c>
      <c r="F287" s="1585" t="s">
        <v>5566</v>
      </c>
      <c r="G287" s="1585" t="s">
        <v>188</v>
      </c>
      <c r="H287" s="1585" t="s">
        <v>5327</v>
      </c>
      <c r="I287" s="1586">
        <v>84000.0</v>
      </c>
      <c r="J287" s="1585" t="s">
        <v>5328</v>
      </c>
      <c r="K287" s="1585" t="s">
        <v>5329</v>
      </c>
      <c r="L287" s="1585" t="s">
        <v>1080</v>
      </c>
      <c r="M287" s="1591">
        <v>45677.0</v>
      </c>
      <c r="N287" s="1585">
        <v>2020.0</v>
      </c>
      <c r="O287" s="1587"/>
      <c r="P287" s="1588"/>
      <c r="Q287" s="1585" t="s">
        <v>3637</v>
      </c>
    </row>
    <row r="288">
      <c r="A288" s="1585" t="s">
        <v>3443</v>
      </c>
      <c r="B288" s="1588"/>
      <c r="C288" s="1585">
        <v>2020.0</v>
      </c>
      <c r="D288" s="1585">
        <v>1.0</v>
      </c>
      <c r="E288" s="1585">
        <v>9849629.0</v>
      </c>
      <c r="F288" s="1585" t="s">
        <v>5501</v>
      </c>
      <c r="G288" s="1585" t="s">
        <v>720</v>
      </c>
      <c r="H288" s="1585" t="s">
        <v>5327</v>
      </c>
      <c r="I288" s="1586">
        <v>83090.0</v>
      </c>
      <c r="J288" s="1585" t="s">
        <v>5328</v>
      </c>
      <c r="K288" s="1585" t="s">
        <v>5329</v>
      </c>
      <c r="L288" s="1585" t="s">
        <v>3327</v>
      </c>
      <c r="M288" s="1591">
        <v>45677.0</v>
      </c>
      <c r="N288" s="1585">
        <v>2020.0</v>
      </c>
      <c r="O288" s="1587"/>
      <c r="P288" s="1585" t="s">
        <v>4997</v>
      </c>
      <c r="Q288" s="1588"/>
    </row>
    <row r="289">
      <c r="A289" s="1585" t="s">
        <v>3364</v>
      </c>
      <c r="B289" s="1588"/>
      <c r="C289" s="1585">
        <v>2020.0</v>
      </c>
      <c r="D289" s="1585">
        <v>1.0</v>
      </c>
      <c r="E289" s="1585">
        <v>9850367.0</v>
      </c>
      <c r="F289" s="1585" t="s">
        <v>5502</v>
      </c>
      <c r="G289" s="1585" t="s">
        <v>668</v>
      </c>
      <c r="H289" s="1585" t="s">
        <v>5327</v>
      </c>
      <c r="I289" s="1586">
        <v>82200.0</v>
      </c>
      <c r="J289" s="1585" t="s">
        <v>5328</v>
      </c>
      <c r="K289" s="1585" t="s">
        <v>5329</v>
      </c>
      <c r="L289" s="1585" t="s">
        <v>3044</v>
      </c>
      <c r="M289" s="1591">
        <v>45677.0</v>
      </c>
      <c r="N289" s="1585">
        <v>2020.0</v>
      </c>
      <c r="O289" s="1587"/>
      <c r="P289" s="1591">
        <v>45682.0</v>
      </c>
      <c r="Q289" s="1585" t="s">
        <v>3637</v>
      </c>
    </row>
    <row r="290">
      <c r="A290" s="1585" t="s">
        <v>3367</v>
      </c>
      <c r="B290" s="1588"/>
      <c r="C290" s="1585">
        <v>2020.0</v>
      </c>
      <c r="D290" s="1585">
        <v>1.0</v>
      </c>
      <c r="E290" s="1585">
        <v>9853864.0</v>
      </c>
      <c r="F290" s="1585" t="s">
        <v>5501</v>
      </c>
      <c r="G290" s="1585" t="s">
        <v>720</v>
      </c>
      <c r="H290" s="1585" t="s">
        <v>5327</v>
      </c>
      <c r="I290" s="1586">
        <v>80000.0</v>
      </c>
      <c r="J290" s="1585" t="s">
        <v>5328</v>
      </c>
      <c r="K290" s="1585" t="s">
        <v>5329</v>
      </c>
      <c r="L290" s="1585" t="s">
        <v>3214</v>
      </c>
      <c r="M290" s="1591">
        <v>45677.0</v>
      </c>
      <c r="N290" s="1585">
        <v>2020.0</v>
      </c>
      <c r="O290" s="1587"/>
      <c r="P290" s="1591">
        <v>45711.0</v>
      </c>
      <c r="Q290" s="1585" t="s">
        <v>3637</v>
      </c>
    </row>
    <row r="291">
      <c r="A291" s="1585" t="s">
        <v>3419</v>
      </c>
      <c r="B291" s="1588"/>
      <c r="C291" s="1585">
        <v>2020.0</v>
      </c>
      <c r="D291" s="1585">
        <v>2.0</v>
      </c>
      <c r="E291" s="1585">
        <v>9833199.0</v>
      </c>
      <c r="F291" s="1585" t="s">
        <v>5599</v>
      </c>
      <c r="G291" s="1585" t="s">
        <v>668</v>
      </c>
      <c r="H291" s="1585" t="s">
        <v>5327</v>
      </c>
      <c r="I291" s="1586">
        <v>82200.0</v>
      </c>
      <c r="J291" s="1585" t="s">
        <v>5328</v>
      </c>
      <c r="K291" s="1585" t="s">
        <v>5329</v>
      </c>
      <c r="L291" s="1585" t="s">
        <v>3088</v>
      </c>
      <c r="M291" s="1591">
        <v>45708.0</v>
      </c>
      <c r="N291" s="1585">
        <v>2020.0</v>
      </c>
      <c r="O291" s="1587"/>
      <c r="P291" s="1591">
        <v>45711.0</v>
      </c>
      <c r="Q291" s="1585" t="s">
        <v>3637</v>
      </c>
    </row>
    <row r="292">
      <c r="A292" s="1585" t="s">
        <v>3388</v>
      </c>
      <c r="B292" s="1588"/>
      <c r="C292" s="1585">
        <v>2020.0</v>
      </c>
      <c r="D292" s="1585">
        <v>2.0</v>
      </c>
      <c r="E292" s="1585">
        <v>9810044.0</v>
      </c>
      <c r="F292" s="1585" t="s">
        <v>5514</v>
      </c>
      <c r="G292" s="1585" t="s">
        <v>668</v>
      </c>
      <c r="H292" s="1585" t="s">
        <v>5327</v>
      </c>
      <c r="I292" s="1586">
        <v>81600.0</v>
      </c>
      <c r="J292" s="1585" t="s">
        <v>5328</v>
      </c>
      <c r="K292" s="1585" t="s">
        <v>5329</v>
      </c>
      <c r="L292" s="1585" t="s">
        <v>3045</v>
      </c>
      <c r="M292" s="1591">
        <v>45708.0</v>
      </c>
      <c r="N292" s="1585">
        <v>2020.0</v>
      </c>
      <c r="O292" s="1587"/>
      <c r="P292" s="1585" t="s">
        <v>4774</v>
      </c>
      <c r="Q292" s="1585" t="s">
        <v>3637</v>
      </c>
    </row>
    <row r="293">
      <c r="A293" s="1585" t="s">
        <v>3391</v>
      </c>
      <c r="B293" s="1588"/>
      <c r="C293" s="1585">
        <v>2020.0</v>
      </c>
      <c r="D293" s="1585">
        <v>3.0</v>
      </c>
      <c r="E293" s="1585">
        <v>9849631.0</v>
      </c>
      <c r="F293" s="1585" t="s">
        <v>5501</v>
      </c>
      <c r="G293" s="1585" t="s">
        <v>720</v>
      </c>
      <c r="H293" s="1585" t="s">
        <v>5327</v>
      </c>
      <c r="I293" s="1586">
        <v>83090.0</v>
      </c>
      <c r="J293" s="1585" t="s">
        <v>5328</v>
      </c>
      <c r="K293" s="1585" t="s">
        <v>5329</v>
      </c>
      <c r="L293" s="1585" t="s">
        <v>3327</v>
      </c>
      <c r="M293" s="1591">
        <v>45736.0</v>
      </c>
      <c r="N293" s="1585">
        <v>2020.0</v>
      </c>
      <c r="O293" s="1587"/>
      <c r="P293" s="1585" t="s">
        <v>4997</v>
      </c>
      <c r="Q293" s="1588"/>
    </row>
    <row r="294">
      <c r="A294" s="1585" t="s">
        <v>3369</v>
      </c>
      <c r="B294" s="1588"/>
      <c r="C294" s="1585">
        <v>2020.0</v>
      </c>
      <c r="D294" s="1585">
        <v>3.0</v>
      </c>
      <c r="E294" s="1585">
        <v>9867102.0</v>
      </c>
      <c r="F294" s="1585" t="s">
        <v>5514</v>
      </c>
      <c r="G294" s="1585" t="s">
        <v>668</v>
      </c>
      <c r="H294" s="1585" t="s">
        <v>5327</v>
      </c>
      <c r="I294" s="1586">
        <v>81600.0</v>
      </c>
      <c r="J294" s="1585" t="s">
        <v>5328</v>
      </c>
      <c r="K294" s="1585" t="s">
        <v>5329</v>
      </c>
      <c r="L294" s="1585" t="s">
        <v>3214</v>
      </c>
      <c r="M294" s="1591">
        <v>45736.0</v>
      </c>
      <c r="N294" s="1585">
        <v>2020.0</v>
      </c>
      <c r="O294" s="1587"/>
      <c r="P294" s="1591">
        <v>45741.0</v>
      </c>
      <c r="Q294" s="1585" t="s">
        <v>3637</v>
      </c>
    </row>
    <row r="295">
      <c r="A295" s="1585" t="s">
        <v>3405</v>
      </c>
      <c r="B295" s="1588"/>
      <c r="C295" s="1585">
        <v>2020.0</v>
      </c>
      <c r="D295" s="1585">
        <v>3.0</v>
      </c>
      <c r="E295" s="1585">
        <v>9839739.0</v>
      </c>
      <c r="F295" s="1585" t="s">
        <v>5566</v>
      </c>
      <c r="G295" s="1585" t="s">
        <v>188</v>
      </c>
      <c r="H295" s="1585" t="s">
        <v>5327</v>
      </c>
      <c r="I295" s="1586">
        <v>84000.0</v>
      </c>
      <c r="J295" s="1585" t="s">
        <v>5328</v>
      </c>
      <c r="K295" s="1585" t="s">
        <v>5329</v>
      </c>
      <c r="L295" s="1585" t="s">
        <v>1080</v>
      </c>
      <c r="M295" s="1591">
        <v>45736.0</v>
      </c>
      <c r="N295" s="1585">
        <v>2020.0</v>
      </c>
      <c r="O295" s="1587"/>
      <c r="P295" s="1589">
        <v>45800.0</v>
      </c>
      <c r="Q295" s="1585" t="s">
        <v>3637</v>
      </c>
    </row>
    <row r="296">
      <c r="A296" s="1585" t="s">
        <v>3370</v>
      </c>
      <c r="B296" s="1588"/>
      <c r="C296" s="1585">
        <v>2020.0</v>
      </c>
      <c r="D296" s="1585">
        <v>3.0</v>
      </c>
      <c r="E296" s="1585">
        <v>9869241.0</v>
      </c>
      <c r="F296" s="1585" t="s">
        <v>5501</v>
      </c>
      <c r="G296" s="1585" t="s">
        <v>720</v>
      </c>
      <c r="H296" s="1585" t="s">
        <v>5327</v>
      </c>
      <c r="I296" s="1586">
        <v>80000.0</v>
      </c>
      <c r="J296" s="1585" t="s">
        <v>5328</v>
      </c>
      <c r="K296" s="1585" t="s">
        <v>5329</v>
      </c>
      <c r="L296" s="1585" t="s">
        <v>5505</v>
      </c>
      <c r="M296" s="1591">
        <v>45736.0</v>
      </c>
      <c r="N296" s="1585">
        <v>2020.0</v>
      </c>
      <c r="O296" s="1587"/>
      <c r="P296" s="1591">
        <v>45772.0</v>
      </c>
      <c r="Q296" s="1585" t="s">
        <v>3637</v>
      </c>
    </row>
    <row r="297">
      <c r="A297" s="1585" t="s">
        <v>3425</v>
      </c>
      <c r="B297" s="1588"/>
      <c r="C297" s="1585">
        <v>2020.0</v>
      </c>
      <c r="D297" s="1585">
        <v>5.0</v>
      </c>
      <c r="E297" s="1585">
        <v>9869253.0</v>
      </c>
      <c r="F297" s="1585" t="s">
        <v>5501</v>
      </c>
      <c r="G297" s="1585" t="s">
        <v>720</v>
      </c>
      <c r="H297" s="1585" t="s">
        <v>5327</v>
      </c>
      <c r="I297" s="1586">
        <v>80000.0</v>
      </c>
      <c r="J297" s="1585" t="s">
        <v>5328</v>
      </c>
      <c r="K297" s="1585" t="s">
        <v>5329</v>
      </c>
      <c r="L297" s="1585" t="s">
        <v>5505</v>
      </c>
      <c r="M297" s="1589">
        <v>45797.0</v>
      </c>
      <c r="N297" s="1585">
        <v>2020.0</v>
      </c>
      <c r="O297" s="1587"/>
      <c r="P297" s="1589">
        <v>45802.0</v>
      </c>
      <c r="Q297" s="1585" t="s">
        <v>3637</v>
      </c>
    </row>
    <row r="298">
      <c r="A298" s="1585" t="s">
        <v>5148</v>
      </c>
      <c r="B298" s="1588"/>
      <c r="C298" s="1585">
        <v>2020.0</v>
      </c>
      <c r="D298" s="1585">
        <v>6.0</v>
      </c>
      <c r="E298" s="1585">
        <v>9847944.0</v>
      </c>
      <c r="F298" s="1585" t="s">
        <v>5566</v>
      </c>
      <c r="G298" s="1585" t="s">
        <v>188</v>
      </c>
      <c r="H298" s="1585" t="s">
        <v>5327</v>
      </c>
      <c r="I298" s="1586">
        <v>84000.0</v>
      </c>
      <c r="J298" s="1585" t="s">
        <v>5328</v>
      </c>
      <c r="K298" s="1585" t="s">
        <v>5329</v>
      </c>
      <c r="L298" s="1585" t="s">
        <v>5600</v>
      </c>
      <c r="M298" s="1591">
        <v>45828.0</v>
      </c>
      <c r="N298" s="1585">
        <v>2020.0</v>
      </c>
      <c r="O298" s="1587"/>
      <c r="P298" s="1591">
        <v>45830.0</v>
      </c>
      <c r="Q298" s="1585" t="s">
        <v>3637</v>
      </c>
    </row>
    <row r="299">
      <c r="A299" s="1585" t="s">
        <v>3372</v>
      </c>
      <c r="B299" s="1588"/>
      <c r="C299" s="1585">
        <v>2020.0</v>
      </c>
      <c r="D299" s="1585">
        <v>7.0</v>
      </c>
      <c r="E299" s="1585">
        <v>9875408.0</v>
      </c>
      <c r="F299" s="1585" t="s">
        <v>5514</v>
      </c>
      <c r="G299" s="1585" t="s">
        <v>668</v>
      </c>
      <c r="H299" s="1585" t="s">
        <v>5327</v>
      </c>
      <c r="I299" s="1586">
        <v>81000.0</v>
      </c>
      <c r="J299" s="1585" t="s">
        <v>5328</v>
      </c>
      <c r="K299" s="1585" t="s">
        <v>5329</v>
      </c>
      <c r="L299" s="1585" t="s">
        <v>3214</v>
      </c>
      <c r="M299" s="1591">
        <v>45858.0</v>
      </c>
      <c r="N299" s="1585">
        <v>2020.0</v>
      </c>
      <c r="O299" s="1587"/>
      <c r="P299" s="1591">
        <v>45838.0</v>
      </c>
      <c r="Q299" s="1585" t="s">
        <v>3637</v>
      </c>
    </row>
    <row r="300">
      <c r="A300" s="1585" t="s">
        <v>5140</v>
      </c>
      <c r="B300" s="1588"/>
      <c r="C300" s="1585">
        <v>2020.0</v>
      </c>
      <c r="D300" s="1585">
        <v>7.0</v>
      </c>
      <c r="E300" s="1585">
        <v>9847956.0</v>
      </c>
      <c r="F300" s="1585" t="s">
        <v>5566</v>
      </c>
      <c r="G300" s="1585" t="s">
        <v>188</v>
      </c>
      <c r="H300" s="1585" t="s">
        <v>5327</v>
      </c>
      <c r="I300" s="1586">
        <v>84000.0</v>
      </c>
      <c r="J300" s="1585" t="s">
        <v>5328</v>
      </c>
      <c r="K300" s="1585" t="s">
        <v>5329</v>
      </c>
      <c r="L300" s="1585" t="s">
        <v>5600</v>
      </c>
      <c r="M300" s="1591">
        <v>45858.0</v>
      </c>
      <c r="N300" s="1585">
        <v>2020.0</v>
      </c>
      <c r="O300" s="1587"/>
      <c r="P300" s="1585" t="s">
        <v>4774</v>
      </c>
      <c r="Q300" s="1585" t="s">
        <v>3637</v>
      </c>
    </row>
    <row r="301">
      <c r="A301" s="1585" t="s">
        <v>3435</v>
      </c>
      <c r="B301" s="1588"/>
      <c r="C301" s="1585">
        <v>2020.0</v>
      </c>
      <c r="D301" s="1585">
        <v>7.0</v>
      </c>
      <c r="E301" s="1585">
        <v>9879703.0</v>
      </c>
      <c r="F301" s="1585" t="s">
        <v>5501</v>
      </c>
      <c r="G301" s="1585" t="s">
        <v>720</v>
      </c>
      <c r="H301" s="1585" t="s">
        <v>5327</v>
      </c>
      <c r="I301" s="1586">
        <v>85000.0</v>
      </c>
      <c r="J301" s="1585" t="s">
        <v>5328</v>
      </c>
      <c r="K301" s="1585" t="s">
        <v>5329</v>
      </c>
      <c r="L301" s="1585" t="s">
        <v>3045</v>
      </c>
      <c r="M301" s="1591">
        <v>45858.0</v>
      </c>
      <c r="N301" s="1585">
        <v>2020.0</v>
      </c>
      <c r="O301" s="1587"/>
      <c r="P301" s="1585" t="s">
        <v>4774</v>
      </c>
      <c r="Q301" s="1585" t="s">
        <v>3637</v>
      </c>
    </row>
    <row r="302">
      <c r="A302" s="1585" t="s">
        <v>3375</v>
      </c>
      <c r="B302" s="1588"/>
      <c r="C302" s="1585">
        <v>2020.0</v>
      </c>
      <c r="D302" s="1585">
        <v>9.0</v>
      </c>
      <c r="E302" s="1585">
        <v>9883819.0</v>
      </c>
      <c r="F302" s="1585" t="s">
        <v>5501</v>
      </c>
      <c r="G302" s="1585" t="s">
        <v>720</v>
      </c>
      <c r="H302" s="1585" t="s">
        <v>5327</v>
      </c>
      <c r="I302" s="1586">
        <v>84600.0</v>
      </c>
      <c r="J302" s="1585" t="s">
        <v>5328</v>
      </c>
      <c r="K302" s="1585" t="s">
        <v>5329</v>
      </c>
      <c r="L302" s="1585" t="s">
        <v>3317</v>
      </c>
      <c r="M302" s="1591">
        <v>45920.0</v>
      </c>
      <c r="N302" s="1585">
        <v>2020.0</v>
      </c>
      <c r="O302" s="1587"/>
      <c r="P302" s="1591">
        <v>45927.0</v>
      </c>
      <c r="Q302" s="1585" t="s">
        <v>3637</v>
      </c>
    </row>
    <row r="303">
      <c r="A303" s="1585" t="s">
        <v>3376</v>
      </c>
      <c r="B303" s="1588"/>
      <c r="C303" s="1585">
        <v>2020.0</v>
      </c>
      <c r="D303" s="1585">
        <v>10.0</v>
      </c>
      <c r="E303" s="1585">
        <v>9889552.0</v>
      </c>
      <c r="F303" s="1585" t="s">
        <v>5502</v>
      </c>
      <c r="G303" s="1585" t="s">
        <v>668</v>
      </c>
      <c r="H303" s="1585" t="s">
        <v>5327</v>
      </c>
      <c r="I303" s="1586">
        <v>84000.0</v>
      </c>
      <c r="J303" s="1585" t="s">
        <v>5328</v>
      </c>
      <c r="K303" s="1585" t="s">
        <v>5329</v>
      </c>
      <c r="L303" s="1585" t="s">
        <v>863</v>
      </c>
      <c r="M303" s="1591">
        <v>45950.0</v>
      </c>
      <c r="N303" s="1585">
        <v>2020.0</v>
      </c>
      <c r="O303" s="1587"/>
      <c r="P303" s="1588"/>
      <c r="Q303" s="1585" t="s">
        <v>3637</v>
      </c>
    </row>
    <row r="304">
      <c r="A304" s="1585" t="s">
        <v>5134</v>
      </c>
      <c r="B304" s="1588"/>
      <c r="C304" s="1585">
        <v>2020.0</v>
      </c>
      <c r="D304" s="1585">
        <v>10.0</v>
      </c>
      <c r="E304" s="1585">
        <v>9849277.0</v>
      </c>
      <c r="F304" s="1585" t="s">
        <v>5566</v>
      </c>
      <c r="G304" s="1585" t="s">
        <v>188</v>
      </c>
      <c r="H304" s="1585" t="s">
        <v>5327</v>
      </c>
      <c r="I304" s="1586">
        <v>84000.0</v>
      </c>
      <c r="J304" s="1585" t="s">
        <v>5328</v>
      </c>
      <c r="K304" s="1585" t="s">
        <v>5329</v>
      </c>
      <c r="L304" s="1585" t="s">
        <v>5601</v>
      </c>
      <c r="M304" s="1591">
        <v>45950.0</v>
      </c>
      <c r="N304" s="1585">
        <v>2020.0</v>
      </c>
      <c r="O304" s="1587"/>
      <c r="P304" s="1585" t="s">
        <v>4845</v>
      </c>
      <c r="Q304" s="1585" t="s">
        <v>3637</v>
      </c>
    </row>
    <row r="305">
      <c r="A305" s="1585" t="s">
        <v>5129</v>
      </c>
      <c r="B305" s="1594"/>
      <c r="C305" s="1585">
        <v>2020.0</v>
      </c>
      <c r="D305" s="1585">
        <v>12.0</v>
      </c>
      <c r="E305" s="1585">
        <v>9849289.0</v>
      </c>
      <c r="F305" s="1585" t="s">
        <v>5566</v>
      </c>
      <c r="G305" s="1585" t="s">
        <v>188</v>
      </c>
      <c r="H305" s="1585" t="s">
        <v>5327</v>
      </c>
      <c r="I305" s="1586">
        <v>84000.0</v>
      </c>
      <c r="J305" s="1585" t="s">
        <v>5328</v>
      </c>
      <c r="K305" s="1585" t="s">
        <v>5329</v>
      </c>
      <c r="L305" s="1585" t="s">
        <v>5601</v>
      </c>
      <c r="M305" s="1591">
        <v>46011.0</v>
      </c>
      <c r="N305" s="1585">
        <v>2020.0</v>
      </c>
      <c r="O305" s="1587"/>
      <c r="P305" s="1585" t="s">
        <v>4845</v>
      </c>
      <c r="Q305" s="1585" t="s">
        <v>3637</v>
      </c>
    </row>
    <row r="306">
      <c r="A306" s="1585" t="s">
        <v>5128</v>
      </c>
      <c r="B306" s="1594"/>
      <c r="C306" s="1585">
        <v>2021.0</v>
      </c>
      <c r="D306" s="1585">
        <v>1.0</v>
      </c>
      <c r="E306" s="1585">
        <v>9887451.0</v>
      </c>
      <c r="F306" s="1585" t="s">
        <v>5501</v>
      </c>
      <c r="G306" s="1585" t="s">
        <v>720</v>
      </c>
      <c r="H306" s="1585" t="s">
        <v>5327</v>
      </c>
      <c r="I306" s="1586">
        <v>84000.0</v>
      </c>
      <c r="J306" s="1585" t="s">
        <v>5328</v>
      </c>
      <c r="K306" s="1585" t="s">
        <v>5329</v>
      </c>
      <c r="L306" s="1585" t="s">
        <v>2900</v>
      </c>
      <c r="M306" s="1591">
        <v>45678.0</v>
      </c>
      <c r="N306" s="1585">
        <v>2021.0</v>
      </c>
      <c r="O306" s="1587"/>
      <c r="P306" s="1591">
        <v>45683.0</v>
      </c>
      <c r="Q306" s="1585" t="s">
        <v>3637</v>
      </c>
    </row>
    <row r="307">
      <c r="A307" s="1585" t="s">
        <v>4247</v>
      </c>
      <c r="B307" s="1595"/>
      <c r="C307" s="1585">
        <v>2021.0</v>
      </c>
      <c r="D307" s="1585">
        <v>1.0</v>
      </c>
      <c r="E307" s="1585">
        <v>9889564.0</v>
      </c>
      <c r="F307" s="1585" t="s">
        <v>5502</v>
      </c>
      <c r="G307" s="1585" t="s">
        <v>668</v>
      </c>
      <c r="H307" s="1585" t="s">
        <v>5327</v>
      </c>
      <c r="I307" s="1586">
        <v>82200.0</v>
      </c>
      <c r="J307" s="1585" t="s">
        <v>5328</v>
      </c>
      <c r="K307" s="1585" t="s">
        <v>5329</v>
      </c>
      <c r="L307" s="1585" t="s">
        <v>5492</v>
      </c>
      <c r="M307" s="1591">
        <v>45678.0</v>
      </c>
      <c r="N307" s="1585">
        <v>2021.0</v>
      </c>
      <c r="O307" s="1588"/>
      <c r="P307" s="1591">
        <v>45679.0</v>
      </c>
      <c r="Q307" s="1585" t="s">
        <v>3637</v>
      </c>
    </row>
    <row r="308">
      <c r="A308" s="1585" t="s">
        <v>4434</v>
      </c>
      <c r="B308" s="1590" t="s">
        <v>5602</v>
      </c>
      <c r="C308" s="1585">
        <v>2021.0</v>
      </c>
      <c r="D308" s="1585">
        <v>2.0</v>
      </c>
      <c r="E308" s="1585">
        <v>9892391.0</v>
      </c>
      <c r="F308" s="1585" t="s">
        <v>5501</v>
      </c>
      <c r="G308" s="1585" t="s">
        <v>720</v>
      </c>
      <c r="H308" s="1585" t="s">
        <v>5327</v>
      </c>
      <c r="I308" s="1586">
        <v>84000.0</v>
      </c>
      <c r="J308" s="1585" t="s">
        <v>5328</v>
      </c>
      <c r="K308" s="1585" t="s">
        <v>5329</v>
      </c>
      <c r="L308" s="1585" t="s">
        <v>2900</v>
      </c>
      <c r="M308" s="1591">
        <v>45709.0</v>
      </c>
      <c r="N308" s="1585">
        <v>2021.0</v>
      </c>
      <c r="O308" s="1588"/>
      <c r="P308" s="1591">
        <v>45716.0</v>
      </c>
      <c r="Q308" s="1585" t="s">
        <v>3637</v>
      </c>
    </row>
    <row r="309">
      <c r="A309" s="1585" t="s">
        <v>3994</v>
      </c>
      <c r="B309" s="1590" t="s">
        <v>5603</v>
      </c>
      <c r="C309" s="1585">
        <v>2021.0</v>
      </c>
      <c r="D309" s="1585">
        <v>3.0</v>
      </c>
      <c r="E309" s="1585">
        <v>9892406.0</v>
      </c>
      <c r="F309" s="1585" t="s">
        <v>5501</v>
      </c>
      <c r="G309" s="1585" t="s">
        <v>720</v>
      </c>
      <c r="H309" s="1585" t="s">
        <v>5327</v>
      </c>
      <c r="I309" s="1586">
        <v>84000.0</v>
      </c>
      <c r="J309" s="1585" t="s">
        <v>5328</v>
      </c>
      <c r="K309" s="1585" t="s">
        <v>5329</v>
      </c>
      <c r="L309" s="1585" t="s">
        <v>2900</v>
      </c>
      <c r="M309" s="1591">
        <v>45737.0</v>
      </c>
      <c r="N309" s="1585">
        <v>2021.0</v>
      </c>
      <c r="O309" s="1588"/>
      <c r="P309" s="1591">
        <v>45742.0</v>
      </c>
      <c r="Q309" s="1585" t="s">
        <v>3637</v>
      </c>
    </row>
    <row r="310">
      <c r="A310" s="1585" t="s">
        <v>3674</v>
      </c>
      <c r="B310" s="1588"/>
      <c r="C310" s="1585">
        <v>2021.0</v>
      </c>
      <c r="D310" s="1585">
        <v>4.0</v>
      </c>
      <c r="E310" s="1585">
        <v>9876490.0</v>
      </c>
      <c r="F310" s="1585" t="s">
        <v>5566</v>
      </c>
      <c r="G310" s="1585" t="s">
        <v>188</v>
      </c>
      <c r="H310" s="1585" t="s">
        <v>5327</v>
      </c>
      <c r="I310" s="1586">
        <v>86000.0</v>
      </c>
      <c r="J310" s="1585" t="s">
        <v>5328</v>
      </c>
      <c r="K310" s="1585" t="s">
        <v>5329</v>
      </c>
      <c r="L310" s="1585" t="s">
        <v>5551</v>
      </c>
      <c r="M310" s="1591">
        <v>45768.0</v>
      </c>
      <c r="N310" s="1585">
        <v>2021.0</v>
      </c>
      <c r="O310" s="1587"/>
      <c r="P310" s="1585" t="s">
        <v>5604</v>
      </c>
      <c r="Q310" s="1585" t="s">
        <v>666</v>
      </c>
    </row>
    <row r="311">
      <c r="A311" s="1585" t="s">
        <v>4058</v>
      </c>
      <c r="B311" s="1585" t="s">
        <v>5605</v>
      </c>
      <c r="C311" s="1585">
        <v>2021.0</v>
      </c>
      <c r="D311" s="1585">
        <v>4.0</v>
      </c>
      <c r="E311" s="1585">
        <v>9903762.0</v>
      </c>
      <c r="F311" s="1585" t="s">
        <v>5501</v>
      </c>
      <c r="G311" s="1585" t="s">
        <v>720</v>
      </c>
      <c r="H311" s="1585" t="s">
        <v>5327</v>
      </c>
      <c r="I311" s="1586">
        <v>84000.0</v>
      </c>
      <c r="J311" s="1585" t="s">
        <v>5328</v>
      </c>
      <c r="K311" s="1585" t="s">
        <v>5329</v>
      </c>
      <c r="L311" s="1585" t="s">
        <v>2900</v>
      </c>
      <c r="M311" s="1591">
        <v>45768.0</v>
      </c>
      <c r="N311" s="1585">
        <v>2021.0</v>
      </c>
      <c r="O311" s="1588"/>
      <c r="P311" s="1591">
        <v>45773.0</v>
      </c>
      <c r="Q311" s="1585" t="s">
        <v>3637</v>
      </c>
    </row>
    <row r="312">
      <c r="A312" s="1585" t="s">
        <v>4618</v>
      </c>
      <c r="B312" s="1585" t="s">
        <v>5606</v>
      </c>
      <c r="C312" s="1585">
        <v>2021.0</v>
      </c>
      <c r="D312" s="1585">
        <v>5.0</v>
      </c>
      <c r="E312" s="1585">
        <v>9892951.0</v>
      </c>
      <c r="F312" s="1585" t="s">
        <v>5566</v>
      </c>
      <c r="G312" s="1585" t="s">
        <v>188</v>
      </c>
      <c r="H312" s="1585" t="s">
        <v>5327</v>
      </c>
      <c r="I312" s="1586">
        <v>86000.0</v>
      </c>
      <c r="J312" s="1585" t="s">
        <v>5328</v>
      </c>
      <c r="K312" s="1585" t="s">
        <v>5329</v>
      </c>
      <c r="L312" s="1585" t="s">
        <v>5551</v>
      </c>
      <c r="M312" s="1589">
        <v>45798.0</v>
      </c>
      <c r="N312" s="1585">
        <v>2021.0</v>
      </c>
      <c r="O312" s="1588"/>
      <c r="P312" s="1589">
        <v>45808.0</v>
      </c>
      <c r="Q312" s="1585" t="s">
        <v>666</v>
      </c>
    </row>
    <row r="313">
      <c r="A313" s="1585" t="s">
        <v>4803</v>
      </c>
      <c r="B313" s="1590" t="s">
        <v>5607</v>
      </c>
      <c r="C313" s="1585">
        <v>2021.0</v>
      </c>
      <c r="D313" s="1585">
        <v>6.0</v>
      </c>
      <c r="E313" s="1585">
        <v>9897547.0</v>
      </c>
      <c r="F313" s="1585" t="s">
        <v>5566</v>
      </c>
      <c r="G313" s="1585" t="s">
        <v>188</v>
      </c>
      <c r="H313" s="1585" t="s">
        <v>5327</v>
      </c>
      <c r="I313" s="1586">
        <v>86000.0</v>
      </c>
      <c r="J313" s="1585" t="s">
        <v>5328</v>
      </c>
      <c r="K313" s="1585" t="s">
        <v>5329</v>
      </c>
      <c r="L313" s="1585" t="s">
        <v>5608</v>
      </c>
      <c r="M313" s="1591">
        <v>45829.0</v>
      </c>
      <c r="N313" s="1585">
        <v>2021.0</v>
      </c>
      <c r="O313" s="1588"/>
      <c r="P313" s="1585" t="s">
        <v>4774</v>
      </c>
      <c r="Q313" s="1585" t="s">
        <v>666</v>
      </c>
    </row>
    <row r="314">
      <c r="A314" s="1585" t="s">
        <v>4102</v>
      </c>
      <c r="B314" s="1585" t="s">
        <v>5609</v>
      </c>
      <c r="C314" s="1585">
        <v>2021.0</v>
      </c>
      <c r="D314" s="1585">
        <v>6.0</v>
      </c>
      <c r="E314" s="1585">
        <v>9902160.0</v>
      </c>
      <c r="F314" s="1585" t="s">
        <v>5501</v>
      </c>
      <c r="G314" s="1585" t="s">
        <v>720</v>
      </c>
      <c r="H314" s="1585" t="s">
        <v>5327</v>
      </c>
      <c r="I314" s="1586">
        <v>84000.0</v>
      </c>
      <c r="J314" s="1585" t="s">
        <v>5328</v>
      </c>
      <c r="K314" s="1585" t="s">
        <v>5329</v>
      </c>
      <c r="L314" s="1585" t="s">
        <v>3045</v>
      </c>
      <c r="M314" s="1591">
        <v>45829.0</v>
      </c>
      <c r="N314" s="1585">
        <v>2021.0</v>
      </c>
      <c r="O314" s="1588"/>
      <c r="P314" s="1591">
        <v>45834.0</v>
      </c>
      <c r="Q314" s="1585" t="s">
        <v>3637</v>
      </c>
    </row>
    <row r="315">
      <c r="A315" s="1585" t="s">
        <v>4930</v>
      </c>
      <c r="B315" s="1585" t="s">
        <v>5610</v>
      </c>
      <c r="C315" s="1585">
        <v>2021.0</v>
      </c>
      <c r="D315" s="1585">
        <v>7.0</v>
      </c>
      <c r="E315" s="1585">
        <v>9895305.0</v>
      </c>
      <c r="F315" s="1585" t="s">
        <v>5497</v>
      </c>
      <c r="G315" s="1585" t="s">
        <v>720</v>
      </c>
      <c r="H315" s="1585" t="s">
        <v>5327</v>
      </c>
      <c r="I315" s="1586">
        <v>90000.0</v>
      </c>
      <c r="J315" s="1585" t="s">
        <v>5328</v>
      </c>
      <c r="K315" s="1585" t="s">
        <v>5329</v>
      </c>
      <c r="L315" s="1585" t="s">
        <v>5611</v>
      </c>
      <c r="M315" s="1591">
        <v>45859.0</v>
      </c>
      <c r="N315" s="1585">
        <v>2021.0</v>
      </c>
      <c r="O315" s="1588"/>
      <c r="P315" s="1585" t="s">
        <v>4845</v>
      </c>
      <c r="Q315" s="1585" t="s">
        <v>666</v>
      </c>
    </row>
    <row r="316">
      <c r="A316" s="1585" t="s">
        <v>4131</v>
      </c>
      <c r="B316" s="1585" t="s">
        <v>5612</v>
      </c>
      <c r="C316" s="1585">
        <v>2021.0</v>
      </c>
      <c r="D316" s="1585">
        <v>7.0</v>
      </c>
      <c r="E316" s="1585">
        <v>9902172.0</v>
      </c>
      <c r="F316" s="1585" t="s">
        <v>5501</v>
      </c>
      <c r="G316" s="1585" t="s">
        <v>720</v>
      </c>
      <c r="H316" s="1585" t="s">
        <v>5327</v>
      </c>
      <c r="I316" s="1586">
        <v>84000.0</v>
      </c>
      <c r="J316" s="1585" t="s">
        <v>5328</v>
      </c>
      <c r="K316" s="1585" t="s">
        <v>5329</v>
      </c>
      <c r="L316" s="1585" t="s">
        <v>3045</v>
      </c>
      <c r="M316" s="1591">
        <v>45859.0</v>
      </c>
      <c r="N316" s="1585">
        <v>2021.0</v>
      </c>
      <c r="O316" s="1588"/>
      <c r="P316" s="1591">
        <v>45864.0</v>
      </c>
      <c r="Q316" s="1585" t="s">
        <v>3637</v>
      </c>
    </row>
    <row r="317">
      <c r="A317" s="1585" t="s">
        <v>4621</v>
      </c>
      <c r="B317" s="1585" t="s">
        <v>5613</v>
      </c>
      <c r="C317" s="1585">
        <v>2021.0</v>
      </c>
      <c r="D317" s="1585">
        <v>8.0</v>
      </c>
      <c r="E317" s="1585">
        <v>9902782.0</v>
      </c>
      <c r="F317" s="1585" t="s">
        <v>5566</v>
      </c>
      <c r="G317" s="1585" t="s">
        <v>188</v>
      </c>
      <c r="H317" s="1585" t="s">
        <v>5327</v>
      </c>
      <c r="I317" s="1586">
        <v>86000.0</v>
      </c>
      <c r="J317" s="1585" t="s">
        <v>5328</v>
      </c>
      <c r="K317" s="1585" t="s">
        <v>5329</v>
      </c>
      <c r="L317" s="1585" t="s">
        <v>5551</v>
      </c>
      <c r="M317" s="1591">
        <v>45890.0</v>
      </c>
      <c r="N317" s="1585">
        <v>2021.0</v>
      </c>
      <c r="O317" s="1588"/>
      <c r="P317" s="1591">
        <v>45900.0</v>
      </c>
      <c r="Q317" s="1585" t="s">
        <v>666</v>
      </c>
    </row>
    <row r="318">
      <c r="A318" s="1585" t="s">
        <v>4119</v>
      </c>
      <c r="B318" s="1585" t="s">
        <v>5614</v>
      </c>
      <c r="C318" s="1585">
        <v>2021.0</v>
      </c>
      <c r="D318" s="1585">
        <v>8.0</v>
      </c>
      <c r="E318" s="1585">
        <v>9889576.0</v>
      </c>
      <c r="F318" s="1585" t="s">
        <v>5502</v>
      </c>
      <c r="G318" s="1585" t="s">
        <v>668</v>
      </c>
      <c r="H318" s="1585" t="s">
        <v>5327</v>
      </c>
      <c r="I318" s="1586">
        <v>82200.0</v>
      </c>
      <c r="J318" s="1585" t="s">
        <v>5328</v>
      </c>
      <c r="K318" s="1585" t="s">
        <v>5329</v>
      </c>
      <c r="L318" s="1585" t="s">
        <v>3088</v>
      </c>
      <c r="M318" s="1591">
        <v>45890.0</v>
      </c>
      <c r="N318" s="1585">
        <v>2021.0</v>
      </c>
      <c r="O318" s="1588"/>
      <c r="P318" s="1591">
        <v>45926.0</v>
      </c>
      <c r="Q318" s="1585" t="s">
        <v>666</v>
      </c>
    </row>
    <row r="319">
      <c r="A319" s="1596" t="s">
        <v>4806</v>
      </c>
      <c r="B319" s="1596" t="s">
        <v>5615</v>
      </c>
      <c r="C319" s="1596">
        <v>2021.0</v>
      </c>
      <c r="D319" s="1596">
        <v>9.0</v>
      </c>
      <c r="E319" s="1588"/>
      <c r="F319" s="1596" t="s">
        <v>5566</v>
      </c>
      <c r="G319" s="1596" t="s">
        <v>188</v>
      </c>
      <c r="H319" s="1596" t="s">
        <v>5616</v>
      </c>
      <c r="I319" s="1597">
        <v>86000.0</v>
      </c>
      <c r="J319" s="1596" t="s">
        <v>5328</v>
      </c>
      <c r="K319" s="1596" t="s">
        <v>5329</v>
      </c>
      <c r="L319" s="1596" t="s">
        <v>5608</v>
      </c>
      <c r="M319" s="1598">
        <v>45921.0</v>
      </c>
      <c r="N319" s="1596">
        <v>2021.0</v>
      </c>
      <c r="O319" s="1587"/>
      <c r="P319" s="1585" t="e">
        <v>#N/A</v>
      </c>
      <c r="Q319" s="1585" t="e">
        <v>#N/A</v>
      </c>
    </row>
    <row r="320">
      <c r="A320" s="1596" t="s">
        <v>4485</v>
      </c>
      <c r="B320" s="1596" t="s">
        <v>5617</v>
      </c>
      <c r="C320" s="1596">
        <v>2021.0</v>
      </c>
      <c r="D320" s="1596">
        <v>9.0</v>
      </c>
      <c r="E320" s="1588"/>
      <c r="F320" s="1596" t="s">
        <v>5501</v>
      </c>
      <c r="G320" s="1596" t="s">
        <v>720</v>
      </c>
      <c r="H320" s="1596" t="s">
        <v>5616</v>
      </c>
      <c r="I320" s="1597">
        <v>84000.0</v>
      </c>
      <c r="J320" s="1596" t="s">
        <v>5328</v>
      </c>
      <c r="K320" s="1596" t="s">
        <v>5329</v>
      </c>
      <c r="L320" s="1596" t="s">
        <v>2900</v>
      </c>
      <c r="M320" s="1598">
        <v>45921.0</v>
      </c>
      <c r="N320" s="1596">
        <v>2021.0</v>
      </c>
      <c r="O320" s="1587"/>
      <c r="P320" s="1585" t="e">
        <v>#N/A</v>
      </c>
      <c r="Q320" s="1585" t="e">
        <v>#N/A</v>
      </c>
    </row>
    <row r="321">
      <c r="A321" s="1596" t="s">
        <v>4187</v>
      </c>
      <c r="B321" s="1596" t="s">
        <v>5618</v>
      </c>
      <c r="C321" s="1596">
        <v>2021.0</v>
      </c>
      <c r="D321" s="1596">
        <v>9.0</v>
      </c>
      <c r="E321" s="1599"/>
      <c r="F321" s="1596" t="s">
        <v>5501</v>
      </c>
      <c r="G321" s="1596" t="s">
        <v>720</v>
      </c>
      <c r="H321" s="1596" t="s">
        <v>5616</v>
      </c>
      <c r="I321" s="1597">
        <v>84000.0</v>
      </c>
      <c r="J321" s="1596" t="s">
        <v>5328</v>
      </c>
      <c r="K321" s="1596" t="s">
        <v>5329</v>
      </c>
      <c r="L321" s="1596" t="s">
        <v>3045</v>
      </c>
      <c r="M321" s="1598">
        <v>45921.0</v>
      </c>
      <c r="N321" s="1596">
        <v>2021.0</v>
      </c>
      <c r="O321" s="1587"/>
      <c r="P321" s="1585" t="e">
        <v>#N/A</v>
      </c>
      <c r="Q321" s="1585" t="e">
        <v>#N/A</v>
      </c>
    </row>
    <row r="322">
      <c r="A322" s="1596" t="s">
        <v>5138</v>
      </c>
      <c r="B322" s="1596" t="s">
        <v>5619</v>
      </c>
      <c r="C322" s="1596">
        <v>2021.0</v>
      </c>
      <c r="D322" s="1596">
        <v>11.0</v>
      </c>
      <c r="E322" s="1599"/>
      <c r="F322" s="1596" t="s">
        <v>5497</v>
      </c>
      <c r="G322" s="1596" t="s">
        <v>720</v>
      </c>
      <c r="H322" s="1596" t="s">
        <v>5616</v>
      </c>
      <c r="I322" s="1597">
        <v>90000.0</v>
      </c>
      <c r="J322" s="1596" t="s">
        <v>5328</v>
      </c>
      <c r="K322" s="1596" t="s">
        <v>5329</v>
      </c>
      <c r="L322" s="1596" t="s">
        <v>5611</v>
      </c>
      <c r="M322" s="1598">
        <v>45982.0</v>
      </c>
      <c r="N322" s="1596">
        <v>2021.0</v>
      </c>
      <c r="O322" s="1587"/>
      <c r="P322" s="1585" t="e">
        <v>#N/A</v>
      </c>
      <c r="Q322" s="1585" t="e">
        <v>#N/A</v>
      </c>
    </row>
    <row r="323">
      <c r="A323" s="1596" t="s">
        <v>4624</v>
      </c>
      <c r="B323" s="1596" t="s">
        <v>5620</v>
      </c>
      <c r="C323" s="1596">
        <v>2021.0</v>
      </c>
      <c r="D323" s="1596">
        <v>11.0</v>
      </c>
      <c r="E323" s="1588"/>
      <c r="F323" s="1596" t="s">
        <v>5566</v>
      </c>
      <c r="G323" s="1596" t="s">
        <v>188</v>
      </c>
      <c r="H323" s="1596" t="s">
        <v>5616</v>
      </c>
      <c r="I323" s="1597">
        <v>86000.0</v>
      </c>
      <c r="J323" s="1596" t="s">
        <v>5328</v>
      </c>
      <c r="K323" s="1596" t="s">
        <v>5329</v>
      </c>
      <c r="L323" s="1596" t="s">
        <v>5551</v>
      </c>
      <c r="M323" s="1598">
        <v>45982.0</v>
      </c>
      <c r="N323" s="1596">
        <v>2021.0</v>
      </c>
      <c r="O323" s="1587"/>
      <c r="P323" s="1585" t="e">
        <v>#N/A</v>
      </c>
      <c r="Q323" s="1585" t="e">
        <v>#N/A</v>
      </c>
    </row>
    <row r="324">
      <c r="A324" s="1596" t="s">
        <v>4627</v>
      </c>
      <c r="B324" s="1596" t="s">
        <v>5621</v>
      </c>
      <c r="C324" s="1596">
        <v>2021.0</v>
      </c>
      <c r="D324" s="1596">
        <v>12.0</v>
      </c>
      <c r="E324" s="1588"/>
      <c r="F324" s="1596" t="s">
        <v>5566</v>
      </c>
      <c r="G324" s="1596" t="s">
        <v>188</v>
      </c>
      <c r="H324" s="1596" t="s">
        <v>5616</v>
      </c>
      <c r="I324" s="1597">
        <v>86000.0</v>
      </c>
      <c r="J324" s="1596" t="s">
        <v>5328</v>
      </c>
      <c r="K324" s="1596" t="s">
        <v>5329</v>
      </c>
      <c r="L324" s="1596" t="s">
        <v>5551</v>
      </c>
      <c r="M324" s="1598">
        <v>46012.0</v>
      </c>
      <c r="N324" s="1596">
        <v>2021.0</v>
      </c>
      <c r="O324" s="1587"/>
      <c r="P324" s="1585" t="s">
        <v>4845</v>
      </c>
      <c r="Q324" s="1588"/>
    </row>
    <row r="325">
      <c r="A325" s="1596" t="s">
        <v>5622</v>
      </c>
      <c r="B325" s="1599"/>
      <c r="C325" s="1596">
        <v>2021.0</v>
      </c>
      <c r="D325" s="1596">
        <v>12.0</v>
      </c>
      <c r="E325" s="1599"/>
      <c r="F325" s="1596" t="s">
        <v>5623</v>
      </c>
      <c r="G325" s="1596" t="s">
        <v>668</v>
      </c>
      <c r="H325" s="1596" t="s">
        <v>5616</v>
      </c>
      <c r="I325" s="1597">
        <v>84000.0</v>
      </c>
      <c r="J325" s="1596" t="s">
        <v>5328</v>
      </c>
      <c r="K325" s="1596" t="s">
        <v>5329</v>
      </c>
      <c r="L325" s="1596" t="s">
        <v>3334</v>
      </c>
      <c r="M325" s="1598">
        <v>46012.0</v>
      </c>
      <c r="N325" s="1596">
        <v>2021.0</v>
      </c>
      <c r="O325" s="1587"/>
      <c r="P325" s="1585" t="e">
        <v>#N/A</v>
      </c>
      <c r="Q325" s="1585" t="e">
        <v>#N/A</v>
      </c>
    </row>
    <row r="326">
      <c r="A326" s="1596" t="s">
        <v>5143</v>
      </c>
      <c r="B326" s="1596" t="s">
        <v>5624</v>
      </c>
      <c r="C326" s="1596">
        <v>2022.0</v>
      </c>
      <c r="D326" s="1596">
        <v>1.0</v>
      </c>
      <c r="E326" s="1588"/>
      <c r="F326" s="1596" t="s">
        <v>5441</v>
      </c>
      <c r="G326" s="1596" t="s">
        <v>720</v>
      </c>
      <c r="H326" s="1596" t="s">
        <v>5616</v>
      </c>
      <c r="I326" s="1597">
        <v>91000.0</v>
      </c>
      <c r="J326" s="1596" t="s">
        <v>5328</v>
      </c>
      <c r="K326" s="1596" t="s">
        <v>5329</v>
      </c>
      <c r="L326" s="1596" t="s">
        <v>2937</v>
      </c>
      <c r="M326" s="1598">
        <v>45679.0</v>
      </c>
      <c r="N326" s="1596">
        <v>2022.0</v>
      </c>
      <c r="O326" s="1587"/>
      <c r="P326" s="1585" t="e">
        <v>#N/A</v>
      </c>
      <c r="Q326" s="1585" t="e">
        <v>#N/A</v>
      </c>
    </row>
    <row r="327">
      <c r="A327" s="1596" t="s">
        <v>5625</v>
      </c>
      <c r="B327" s="1599"/>
      <c r="C327" s="1596">
        <v>2022.0</v>
      </c>
      <c r="D327" s="1596">
        <v>1.0</v>
      </c>
      <c r="E327" s="1588"/>
      <c r="F327" s="1596" t="s">
        <v>5623</v>
      </c>
      <c r="G327" s="1596" t="s">
        <v>668</v>
      </c>
      <c r="H327" s="1596" t="s">
        <v>5616</v>
      </c>
      <c r="I327" s="1597">
        <v>84000.0</v>
      </c>
      <c r="J327" s="1596" t="s">
        <v>5328</v>
      </c>
      <c r="K327" s="1596" t="s">
        <v>5329</v>
      </c>
      <c r="L327" s="1596" t="s">
        <v>3088</v>
      </c>
      <c r="M327" s="1598">
        <v>45679.0</v>
      </c>
      <c r="N327" s="1596">
        <v>2022.0</v>
      </c>
      <c r="O327" s="1587"/>
      <c r="P327" s="1585" t="e">
        <v>#N/A</v>
      </c>
      <c r="Q327" s="1585" t="e">
        <v>#N/A</v>
      </c>
    </row>
    <row r="328">
      <c r="A328" s="1596" t="s">
        <v>5626</v>
      </c>
      <c r="B328" s="1596" t="s">
        <v>5627</v>
      </c>
      <c r="C328" s="1596">
        <v>2022.0</v>
      </c>
      <c r="D328" s="1596">
        <v>1.0</v>
      </c>
      <c r="E328" s="1599"/>
      <c r="F328" s="1596" t="s">
        <v>5497</v>
      </c>
      <c r="G328" s="1596" t="s">
        <v>720</v>
      </c>
      <c r="H328" s="1596" t="s">
        <v>5616</v>
      </c>
      <c r="I328" s="1597">
        <v>90000.0</v>
      </c>
      <c r="J328" s="1596" t="s">
        <v>5328</v>
      </c>
      <c r="K328" s="1596" t="s">
        <v>5329</v>
      </c>
      <c r="L328" s="1596" t="s">
        <v>942</v>
      </c>
      <c r="M328" s="1598">
        <v>45679.0</v>
      </c>
      <c r="N328" s="1596">
        <v>2022.0</v>
      </c>
      <c r="O328" s="1587"/>
      <c r="P328" s="1585" t="e">
        <v>#N/A</v>
      </c>
      <c r="Q328" s="1585" t="e">
        <v>#N/A</v>
      </c>
    </row>
    <row r="329">
      <c r="A329" s="1596" t="s">
        <v>5145</v>
      </c>
      <c r="B329" s="1596" t="s">
        <v>5628</v>
      </c>
      <c r="C329" s="1596">
        <v>2022.0</v>
      </c>
      <c r="D329" s="1596">
        <v>3.0</v>
      </c>
      <c r="E329" s="1588"/>
      <c r="F329" s="1596" t="s">
        <v>5441</v>
      </c>
      <c r="G329" s="1596" t="s">
        <v>720</v>
      </c>
      <c r="H329" s="1596" t="s">
        <v>5616</v>
      </c>
      <c r="I329" s="1597">
        <v>91000.0</v>
      </c>
      <c r="J329" s="1596" t="s">
        <v>5328</v>
      </c>
      <c r="K329" s="1596" t="s">
        <v>5329</v>
      </c>
      <c r="L329" s="1596" t="s">
        <v>2937</v>
      </c>
      <c r="M329" s="1598">
        <v>45738.0</v>
      </c>
      <c r="N329" s="1596">
        <v>2022.0</v>
      </c>
      <c r="O329" s="1587"/>
      <c r="P329" s="1585" t="e">
        <v>#N/A</v>
      </c>
      <c r="Q329" s="1585" t="e">
        <v>#N/A</v>
      </c>
    </row>
    <row r="330">
      <c r="A330" s="1596" t="s">
        <v>4886</v>
      </c>
      <c r="B330" s="1596" t="s">
        <v>5629</v>
      </c>
      <c r="C330" s="1596">
        <v>2022.0</v>
      </c>
      <c r="D330" s="1596">
        <v>4.0</v>
      </c>
      <c r="E330" s="1588"/>
      <c r="F330" s="1596" t="s">
        <v>5497</v>
      </c>
      <c r="G330" s="1596" t="s">
        <v>720</v>
      </c>
      <c r="H330" s="1596" t="s">
        <v>5616</v>
      </c>
      <c r="I330" s="1597">
        <v>90000.0</v>
      </c>
      <c r="J330" s="1596" t="s">
        <v>5328</v>
      </c>
      <c r="K330" s="1596" t="s">
        <v>5329</v>
      </c>
      <c r="L330" s="1596" t="s">
        <v>942</v>
      </c>
      <c r="M330" s="1598">
        <v>45769.0</v>
      </c>
      <c r="N330" s="1596">
        <v>2022.0</v>
      </c>
      <c r="O330" s="1587"/>
      <c r="P330" s="1585" t="e">
        <v>#N/A</v>
      </c>
      <c r="Q330" s="1585" t="e">
        <v>#N/A</v>
      </c>
    </row>
    <row r="331">
      <c r="A331" s="1596" t="s">
        <v>5630</v>
      </c>
      <c r="B331" s="1599"/>
      <c r="C331" s="1596">
        <v>2022.0</v>
      </c>
      <c r="D331" s="1596">
        <v>6.0</v>
      </c>
      <c r="E331" s="1599"/>
      <c r="F331" s="1596" t="s">
        <v>5623</v>
      </c>
      <c r="G331" s="1596" t="s">
        <v>668</v>
      </c>
      <c r="H331" s="1596" t="s">
        <v>5616</v>
      </c>
      <c r="I331" s="1597">
        <v>84000.0</v>
      </c>
      <c r="J331" s="1596" t="s">
        <v>5328</v>
      </c>
      <c r="K331" s="1596" t="s">
        <v>5329</v>
      </c>
      <c r="L331" s="1596" t="s">
        <v>3088</v>
      </c>
      <c r="M331" s="1598">
        <v>45830.0</v>
      </c>
      <c r="N331" s="1596">
        <v>2022.0</v>
      </c>
      <c r="O331" s="1587"/>
      <c r="P331" s="1585" t="e">
        <v>#N/A</v>
      </c>
      <c r="Q331" s="1585" t="e">
        <v>#N/A</v>
      </c>
    </row>
    <row r="332">
      <c r="A332" s="1596" t="s">
        <v>5631</v>
      </c>
      <c r="B332" s="1599"/>
      <c r="C332" s="1596">
        <v>2022.0</v>
      </c>
      <c r="D332" s="1596" t="s">
        <v>5632</v>
      </c>
      <c r="E332" s="1599"/>
      <c r="F332" s="1596" t="s">
        <v>5623</v>
      </c>
      <c r="G332" s="1596" t="s">
        <v>668</v>
      </c>
      <c r="H332" s="1596" t="s">
        <v>5616</v>
      </c>
      <c r="I332" s="1597">
        <v>86500.0</v>
      </c>
      <c r="J332" s="1596" t="s">
        <v>5328</v>
      </c>
      <c r="K332" s="1596" t="s">
        <v>5329</v>
      </c>
      <c r="L332" s="1596" t="s">
        <v>3207</v>
      </c>
      <c r="M332" s="1596" t="s">
        <v>5633</v>
      </c>
      <c r="N332" s="1596">
        <v>2022.0</v>
      </c>
      <c r="O332" s="1587"/>
      <c r="P332" s="1585" t="e">
        <v>#N/A</v>
      </c>
      <c r="Q332" s="1585" t="e">
        <v>#N/A</v>
      </c>
    </row>
    <row r="333">
      <c r="A333" s="1596" t="s">
        <v>5634</v>
      </c>
      <c r="B333" s="1599"/>
      <c r="C333" s="1596">
        <v>2022.0</v>
      </c>
      <c r="D333" s="1596">
        <v>7.0</v>
      </c>
      <c r="E333" s="1588"/>
      <c r="F333" s="1596" t="s">
        <v>5566</v>
      </c>
      <c r="G333" s="1596" t="s">
        <v>188</v>
      </c>
      <c r="H333" s="1596" t="s">
        <v>5616</v>
      </c>
      <c r="I333" s="1597">
        <v>86000.0</v>
      </c>
      <c r="J333" s="1596" t="s">
        <v>5328</v>
      </c>
      <c r="K333" s="1596" t="s">
        <v>5329</v>
      </c>
      <c r="L333" s="1596" t="s">
        <v>5151</v>
      </c>
      <c r="M333" s="1598">
        <v>45860.0</v>
      </c>
      <c r="N333" s="1596">
        <v>2022.0</v>
      </c>
      <c r="O333" s="1587"/>
      <c r="P333" s="1585" t="e">
        <v>#N/A</v>
      </c>
      <c r="Q333" s="1585" t="e">
        <v>#N/A</v>
      </c>
    </row>
    <row r="334">
      <c r="A334" s="1596" t="s">
        <v>5635</v>
      </c>
      <c r="B334" s="1599"/>
      <c r="C334" s="1596">
        <v>2022.0</v>
      </c>
      <c r="D334" s="1596">
        <v>7.0</v>
      </c>
      <c r="E334" s="1588"/>
      <c r="F334" s="1596" t="s">
        <v>5566</v>
      </c>
      <c r="G334" s="1596" t="s">
        <v>188</v>
      </c>
      <c r="H334" s="1596" t="s">
        <v>5616</v>
      </c>
      <c r="I334" s="1597">
        <v>86000.0</v>
      </c>
      <c r="J334" s="1596" t="s">
        <v>5328</v>
      </c>
      <c r="K334" s="1596" t="s">
        <v>5329</v>
      </c>
      <c r="L334" s="1596" t="s">
        <v>5151</v>
      </c>
      <c r="M334" s="1598">
        <v>45860.0</v>
      </c>
      <c r="N334" s="1596">
        <v>2022.0</v>
      </c>
      <c r="O334" s="1587"/>
      <c r="P334" s="1585" t="e">
        <v>#N/A</v>
      </c>
      <c r="Q334" s="1585" t="e">
        <v>#N/A</v>
      </c>
    </row>
    <row r="335">
      <c r="A335" s="1596" t="s">
        <v>4356</v>
      </c>
      <c r="B335" s="1596" t="s">
        <v>5636</v>
      </c>
      <c r="C335" s="1596">
        <v>2022.0</v>
      </c>
      <c r="D335" s="1596">
        <v>9.0</v>
      </c>
      <c r="E335" s="1588"/>
      <c r="F335" s="1596" t="s">
        <v>5501</v>
      </c>
      <c r="G335" s="1596" t="s">
        <v>720</v>
      </c>
      <c r="H335" s="1596" t="s">
        <v>5616</v>
      </c>
      <c r="I335" s="1597">
        <v>84000.0</v>
      </c>
      <c r="J335" s="1596" t="s">
        <v>5328</v>
      </c>
      <c r="K335" s="1596" t="s">
        <v>5329</v>
      </c>
      <c r="L335" s="1596" t="s">
        <v>2900</v>
      </c>
      <c r="M335" s="1598">
        <v>45891.0</v>
      </c>
      <c r="N335" s="1596">
        <v>2022.0</v>
      </c>
      <c r="O335" s="1587"/>
      <c r="P335" s="1585" t="e">
        <v>#N/A</v>
      </c>
      <c r="Q335" s="1585" t="e">
        <v>#N/A</v>
      </c>
    </row>
    <row r="336">
      <c r="A336" s="1596" t="s">
        <v>5637</v>
      </c>
      <c r="B336" s="1599"/>
      <c r="C336" s="1596">
        <v>2022.0</v>
      </c>
      <c r="D336" s="1596">
        <v>10.0</v>
      </c>
      <c r="E336" s="1588"/>
      <c r="F336" s="1596" t="s">
        <v>5497</v>
      </c>
      <c r="G336" s="1596" t="s">
        <v>720</v>
      </c>
      <c r="H336" s="1596" t="s">
        <v>5616</v>
      </c>
      <c r="I336" s="1597">
        <v>91000.0</v>
      </c>
      <c r="J336" s="1596" t="s">
        <v>5328</v>
      </c>
      <c r="K336" s="1596" t="s">
        <v>5329</v>
      </c>
      <c r="L336" s="1596" t="s">
        <v>5638</v>
      </c>
      <c r="M336" s="1598">
        <v>45952.0</v>
      </c>
      <c r="N336" s="1596">
        <v>2022.0</v>
      </c>
      <c r="O336" s="1587"/>
      <c r="P336" s="1585" t="e">
        <v>#N/A</v>
      </c>
      <c r="Q336" s="1585" t="e">
        <v>#N/A</v>
      </c>
    </row>
    <row r="337">
      <c r="A337" s="1596" t="s">
        <v>5639</v>
      </c>
      <c r="B337" s="1599"/>
      <c r="C337" s="1596">
        <v>2022.0</v>
      </c>
      <c r="D337" s="1596">
        <v>10.0</v>
      </c>
      <c r="E337" s="1588"/>
      <c r="F337" s="1596" t="s">
        <v>5441</v>
      </c>
      <c r="G337" s="1596" t="s">
        <v>720</v>
      </c>
      <c r="H337" s="1596" t="s">
        <v>5616</v>
      </c>
      <c r="I337" s="1597">
        <v>91000.0</v>
      </c>
      <c r="J337" s="1596" t="s">
        <v>5328</v>
      </c>
      <c r="K337" s="1596" t="s">
        <v>5329</v>
      </c>
      <c r="L337" s="1596" t="s">
        <v>2937</v>
      </c>
      <c r="M337" s="1598">
        <v>45952.0</v>
      </c>
      <c r="N337" s="1596">
        <v>2022.0</v>
      </c>
      <c r="O337" s="1587"/>
      <c r="P337" s="1591">
        <v>45952.0</v>
      </c>
      <c r="Q337" s="1585" t="s">
        <v>666</v>
      </c>
    </row>
    <row r="338">
      <c r="A338" s="1596" t="s">
        <v>5640</v>
      </c>
      <c r="B338" s="1599"/>
      <c r="C338" s="1596">
        <v>2022.0</v>
      </c>
      <c r="D338" s="1596">
        <v>10.0</v>
      </c>
      <c r="E338" s="1599"/>
      <c r="F338" s="1596" t="s">
        <v>5623</v>
      </c>
      <c r="G338" s="1596" t="s">
        <v>668</v>
      </c>
      <c r="H338" s="1596" t="s">
        <v>5616</v>
      </c>
      <c r="I338" s="1597">
        <v>86500.0</v>
      </c>
      <c r="J338" s="1596" t="s">
        <v>5328</v>
      </c>
      <c r="K338" s="1596" t="s">
        <v>5329</v>
      </c>
      <c r="L338" s="1596" t="s">
        <v>3207</v>
      </c>
      <c r="M338" s="1598">
        <v>45952.0</v>
      </c>
      <c r="N338" s="1596">
        <v>2022.0</v>
      </c>
      <c r="O338" s="1587"/>
      <c r="P338" s="1585" t="e">
        <v>#N/A</v>
      </c>
      <c r="Q338" s="1585" t="e">
        <v>#N/A</v>
      </c>
    </row>
    <row r="339">
      <c r="A339" s="1596" t="s">
        <v>5641</v>
      </c>
      <c r="B339" s="1599"/>
      <c r="C339" s="1596">
        <v>2022.0</v>
      </c>
      <c r="D339" s="1596">
        <v>12.0</v>
      </c>
      <c r="E339" s="1588"/>
      <c r="F339" s="1596" t="s">
        <v>5566</v>
      </c>
      <c r="G339" s="1596" t="s">
        <v>188</v>
      </c>
      <c r="H339" s="1596" t="s">
        <v>5616</v>
      </c>
      <c r="I339" s="1597">
        <v>86000.0</v>
      </c>
      <c r="J339" s="1596" t="s">
        <v>5328</v>
      </c>
      <c r="K339" s="1596" t="s">
        <v>5329</v>
      </c>
      <c r="L339" s="1596" t="s">
        <v>5151</v>
      </c>
      <c r="M339" s="1598">
        <v>46013.0</v>
      </c>
      <c r="N339" s="1596">
        <v>2022.0</v>
      </c>
      <c r="O339" s="1587"/>
      <c r="P339" s="1585" t="e">
        <v>#N/A</v>
      </c>
      <c r="Q339" s="1585" t="e">
        <v>#N/A</v>
      </c>
    </row>
    <row r="340">
      <c r="A340" s="1596" t="s">
        <v>5642</v>
      </c>
      <c r="B340" s="1599"/>
      <c r="C340" s="1596">
        <v>2022.0</v>
      </c>
      <c r="D340" s="1596">
        <v>12.0</v>
      </c>
      <c r="E340" s="1588"/>
      <c r="F340" s="1596" t="s">
        <v>5566</v>
      </c>
      <c r="G340" s="1596" t="s">
        <v>188</v>
      </c>
      <c r="H340" s="1596" t="s">
        <v>5616</v>
      </c>
      <c r="I340" s="1597">
        <v>86000.0</v>
      </c>
      <c r="J340" s="1596" t="s">
        <v>5328</v>
      </c>
      <c r="K340" s="1596" t="s">
        <v>5329</v>
      </c>
      <c r="L340" s="1596" t="s">
        <v>5151</v>
      </c>
      <c r="M340" s="1598">
        <v>46013.0</v>
      </c>
      <c r="N340" s="1596">
        <v>2022.0</v>
      </c>
      <c r="O340" s="1587"/>
      <c r="P340" s="1585" t="e">
        <v>#N/A</v>
      </c>
      <c r="Q340" s="1585" t="e">
        <v>#N/A</v>
      </c>
    </row>
    <row r="341">
      <c r="A341" s="1596" t="s">
        <v>5643</v>
      </c>
      <c r="B341" s="1599"/>
      <c r="C341" s="1596">
        <v>2022.0</v>
      </c>
      <c r="D341" s="1596">
        <v>11.0</v>
      </c>
      <c r="E341" s="1588"/>
      <c r="F341" s="1596" t="s">
        <v>5501</v>
      </c>
      <c r="G341" s="1596" t="s">
        <v>720</v>
      </c>
      <c r="H341" s="1596" t="s">
        <v>5616</v>
      </c>
      <c r="I341" s="1597">
        <v>91000.0</v>
      </c>
      <c r="J341" s="1596" t="s">
        <v>5328</v>
      </c>
      <c r="K341" s="1596" t="s">
        <v>5329</v>
      </c>
      <c r="L341" s="1596" t="s">
        <v>3214</v>
      </c>
      <c r="M341" s="1598">
        <v>45983.0</v>
      </c>
      <c r="N341" s="1596">
        <v>2022.0</v>
      </c>
      <c r="O341" s="1587"/>
      <c r="P341" s="1591">
        <v>45988.0</v>
      </c>
      <c r="Q341" s="1585" t="s">
        <v>666</v>
      </c>
    </row>
    <row r="342">
      <c r="A342" s="1596" t="s">
        <v>5637</v>
      </c>
      <c r="B342" s="1599"/>
      <c r="C342" s="1596">
        <v>2023.0</v>
      </c>
      <c r="D342" s="1596">
        <v>1.0</v>
      </c>
      <c r="E342" s="1588"/>
      <c r="F342" s="1596" t="s">
        <v>5497</v>
      </c>
      <c r="G342" s="1596" t="s">
        <v>720</v>
      </c>
      <c r="H342" s="1596" t="s">
        <v>5616</v>
      </c>
      <c r="I342" s="1597">
        <v>91000.0</v>
      </c>
      <c r="J342" s="1596" t="s">
        <v>5328</v>
      </c>
      <c r="K342" s="1596" t="s">
        <v>5329</v>
      </c>
      <c r="L342" s="1596" t="s">
        <v>5638</v>
      </c>
      <c r="M342" s="1598">
        <v>45680.0</v>
      </c>
      <c r="N342" s="1596">
        <v>2022.0</v>
      </c>
      <c r="O342" s="1587"/>
      <c r="P342" s="1585" t="e">
        <v>#N/A</v>
      </c>
      <c r="Q342" s="1585" t="e">
        <v>#N/A</v>
      </c>
    </row>
    <row r="343">
      <c r="A343" s="1596" t="s">
        <v>4913</v>
      </c>
      <c r="B343" s="1596" t="s">
        <v>5644</v>
      </c>
      <c r="C343" s="1596">
        <v>2023.0</v>
      </c>
      <c r="D343" s="1596">
        <v>1.0</v>
      </c>
      <c r="E343" s="1588"/>
      <c r="F343" s="1596" t="s">
        <v>5566</v>
      </c>
      <c r="G343" s="1596" t="s">
        <v>188</v>
      </c>
      <c r="H343" s="1596" t="s">
        <v>5616</v>
      </c>
      <c r="I343" s="1597">
        <v>93000.0</v>
      </c>
      <c r="J343" s="1596" t="s">
        <v>5328</v>
      </c>
      <c r="K343" s="1596" t="s">
        <v>5329</v>
      </c>
      <c r="L343" s="1596" t="s">
        <v>1080</v>
      </c>
      <c r="M343" s="1598">
        <v>45680.0</v>
      </c>
      <c r="N343" s="1596">
        <v>2023.0</v>
      </c>
      <c r="O343" s="1587"/>
      <c r="P343" s="1585" t="e">
        <v>#N/A</v>
      </c>
      <c r="Q343" s="1585" t="e">
        <v>#N/A</v>
      </c>
    </row>
    <row r="344">
      <c r="A344" s="1596" t="s">
        <v>5645</v>
      </c>
      <c r="B344" s="1599"/>
      <c r="C344" s="1596">
        <v>2023.0</v>
      </c>
      <c r="D344" s="1596">
        <v>1.0</v>
      </c>
      <c r="E344" s="1588"/>
      <c r="F344" s="1596" t="s">
        <v>5566</v>
      </c>
      <c r="G344" s="1596" t="s">
        <v>188</v>
      </c>
      <c r="H344" s="1596" t="s">
        <v>5616</v>
      </c>
      <c r="I344" s="1597">
        <v>86000.0</v>
      </c>
      <c r="J344" s="1596" t="s">
        <v>5328</v>
      </c>
      <c r="K344" s="1596" t="s">
        <v>5329</v>
      </c>
      <c r="L344" s="1596" t="s">
        <v>5151</v>
      </c>
      <c r="M344" s="1598">
        <v>45680.0</v>
      </c>
      <c r="N344" s="1596">
        <v>2023.0</v>
      </c>
      <c r="O344" s="1587"/>
      <c r="P344" s="1585" t="e">
        <v>#N/A</v>
      </c>
      <c r="Q344" s="1585" t="e">
        <v>#N/A</v>
      </c>
    </row>
    <row r="345">
      <c r="A345" s="1596" t="s">
        <v>5154</v>
      </c>
      <c r="B345" s="1599"/>
      <c r="C345" s="1596">
        <v>2023.0</v>
      </c>
      <c r="D345" s="1596">
        <v>1.0</v>
      </c>
      <c r="E345" s="1588"/>
      <c r="F345" s="1596" t="s">
        <v>5501</v>
      </c>
      <c r="G345" s="1596" t="s">
        <v>720</v>
      </c>
      <c r="H345" s="1596" t="s">
        <v>5616</v>
      </c>
      <c r="I345" s="1597">
        <v>86000.0</v>
      </c>
      <c r="J345" s="1596" t="s">
        <v>5328</v>
      </c>
      <c r="K345" s="1596" t="s">
        <v>5329</v>
      </c>
      <c r="L345" s="1596" t="s">
        <v>761</v>
      </c>
      <c r="M345" s="1598">
        <v>45680.0</v>
      </c>
      <c r="N345" s="1596">
        <v>2023.0</v>
      </c>
      <c r="O345" s="1587"/>
      <c r="P345" s="1588"/>
      <c r="Q345" s="1588"/>
    </row>
    <row r="346">
      <c r="A346" s="1596" t="s">
        <v>5154</v>
      </c>
      <c r="B346" s="1599"/>
      <c r="C346" s="1596">
        <v>2023.0</v>
      </c>
      <c r="D346" s="1596">
        <v>1.0</v>
      </c>
      <c r="E346" s="1588"/>
      <c r="F346" s="1596" t="s">
        <v>5501</v>
      </c>
      <c r="G346" s="1596" t="s">
        <v>720</v>
      </c>
      <c r="H346" s="1596" t="s">
        <v>5616</v>
      </c>
      <c r="I346" s="1597">
        <v>86000.0</v>
      </c>
      <c r="J346" s="1596" t="s">
        <v>5328</v>
      </c>
      <c r="K346" s="1596" t="s">
        <v>5329</v>
      </c>
      <c r="L346" s="1596" t="s">
        <v>2900</v>
      </c>
      <c r="M346" s="1598">
        <v>45680.0</v>
      </c>
      <c r="N346" s="1596">
        <v>2023.0</v>
      </c>
      <c r="O346" s="1587"/>
      <c r="P346" s="1588"/>
      <c r="Q346" s="1588"/>
    </row>
    <row r="347">
      <c r="A347" s="1596" t="s">
        <v>5646</v>
      </c>
      <c r="B347" s="1599"/>
      <c r="C347" s="1596">
        <v>2023.0</v>
      </c>
      <c r="D347" s="1596">
        <v>2.0</v>
      </c>
      <c r="E347" s="1588"/>
      <c r="F347" s="1596" t="s">
        <v>5441</v>
      </c>
      <c r="G347" s="1596" t="s">
        <v>720</v>
      </c>
      <c r="H347" s="1596" t="s">
        <v>5616</v>
      </c>
      <c r="I347" s="1597">
        <v>91000.0</v>
      </c>
      <c r="J347" s="1596" t="s">
        <v>5328</v>
      </c>
      <c r="K347" s="1596" t="s">
        <v>5329</v>
      </c>
      <c r="L347" s="1596" t="s">
        <v>2937</v>
      </c>
      <c r="M347" s="1598">
        <v>45711.0</v>
      </c>
      <c r="N347" s="1596">
        <v>2023.0</v>
      </c>
      <c r="O347" s="1587"/>
      <c r="P347" s="1591">
        <v>45711.0</v>
      </c>
      <c r="Q347" s="1585" t="s">
        <v>666</v>
      </c>
    </row>
    <row r="348">
      <c r="A348" s="1596" t="s">
        <v>5154</v>
      </c>
      <c r="B348" s="1599"/>
      <c r="C348" s="1596">
        <v>2023.0</v>
      </c>
      <c r="D348" s="1596">
        <v>2.0</v>
      </c>
      <c r="E348" s="1588"/>
      <c r="F348" s="1596" t="s">
        <v>5501</v>
      </c>
      <c r="G348" s="1596" t="s">
        <v>720</v>
      </c>
      <c r="H348" s="1596" t="s">
        <v>5616</v>
      </c>
      <c r="I348" s="1597">
        <v>91000.0</v>
      </c>
      <c r="J348" s="1596" t="s">
        <v>5328</v>
      </c>
      <c r="K348" s="1596" t="s">
        <v>5329</v>
      </c>
      <c r="L348" s="1596" t="s">
        <v>3214</v>
      </c>
      <c r="M348" s="1598">
        <v>45711.0</v>
      </c>
      <c r="N348" s="1596">
        <v>2023.0</v>
      </c>
      <c r="O348" s="1587"/>
      <c r="P348" s="1585" t="s">
        <v>4774</v>
      </c>
      <c r="Q348" s="1585" t="s">
        <v>666</v>
      </c>
    </row>
    <row r="349">
      <c r="A349" s="1596" t="s">
        <v>5172</v>
      </c>
      <c r="B349" s="1599"/>
      <c r="C349" s="1596">
        <v>2023.0</v>
      </c>
      <c r="D349" s="1596">
        <v>2.0</v>
      </c>
      <c r="E349" s="1588"/>
      <c r="F349" s="1596" t="s">
        <v>5441</v>
      </c>
      <c r="G349" s="1596" t="s">
        <v>720</v>
      </c>
      <c r="H349" s="1596" t="s">
        <v>5616</v>
      </c>
      <c r="I349" s="1597">
        <v>91000.0</v>
      </c>
      <c r="J349" s="1596" t="s">
        <v>5328</v>
      </c>
      <c r="K349" s="1596" t="s">
        <v>5329</v>
      </c>
      <c r="L349" s="1596" t="s">
        <v>5492</v>
      </c>
      <c r="M349" s="1598">
        <v>45711.0</v>
      </c>
      <c r="N349" s="1596">
        <v>2023.0</v>
      </c>
      <c r="O349" s="1587"/>
      <c r="P349" s="1588"/>
      <c r="Q349" s="1588"/>
    </row>
    <row r="350">
      <c r="A350" s="1596" t="s">
        <v>5160</v>
      </c>
      <c r="B350" s="1599"/>
      <c r="C350" s="1596">
        <v>2023.0</v>
      </c>
      <c r="D350" s="1596">
        <v>3.0</v>
      </c>
      <c r="E350" s="1599"/>
      <c r="F350" s="1596" t="s">
        <v>5623</v>
      </c>
      <c r="G350" s="1596" t="s">
        <v>668</v>
      </c>
      <c r="H350" s="1596" t="s">
        <v>5616</v>
      </c>
      <c r="I350" s="1597">
        <v>84000.0</v>
      </c>
      <c r="J350" s="1596" t="s">
        <v>5328</v>
      </c>
      <c r="K350" s="1596" t="s">
        <v>5329</v>
      </c>
      <c r="L350" s="1596" t="s">
        <v>3299</v>
      </c>
      <c r="M350" s="1598">
        <v>45739.0</v>
      </c>
      <c r="N350" s="1596">
        <v>2023.0</v>
      </c>
      <c r="O350" s="1587"/>
      <c r="P350" s="1588"/>
      <c r="Q350" s="1588"/>
    </row>
    <row r="351">
      <c r="A351" s="1596" t="s">
        <v>4911</v>
      </c>
      <c r="B351" s="1596" t="s">
        <v>5647</v>
      </c>
      <c r="C351" s="1596">
        <v>2023.0</v>
      </c>
      <c r="D351" s="1596">
        <v>3.0</v>
      </c>
      <c r="E351" s="1588"/>
      <c r="F351" s="1596" t="s">
        <v>5566</v>
      </c>
      <c r="G351" s="1596" t="s">
        <v>188</v>
      </c>
      <c r="H351" s="1596" t="s">
        <v>5616</v>
      </c>
      <c r="I351" s="1597">
        <v>93000.0</v>
      </c>
      <c r="J351" s="1596" t="s">
        <v>5328</v>
      </c>
      <c r="K351" s="1596" t="s">
        <v>5329</v>
      </c>
      <c r="L351" s="1596" t="s">
        <v>1080</v>
      </c>
      <c r="M351" s="1598">
        <v>45739.0</v>
      </c>
      <c r="N351" s="1596">
        <v>2023.0</v>
      </c>
      <c r="O351" s="1587"/>
      <c r="P351" s="1585" t="e">
        <v>#N/A</v>
      </c>
      <c r="Q351" s="1585" t="e">
        <v>#N/A</v>
      </c>
    </row>
    <row r="352">
      <c r="A352" s="1596" t="s">
        <v>5161</v>
      </c>
      <c r="B352" s="1599"/>
      <c r="C352" s="1596">
        <v>2023.0</v>
      </c>
      <c r="D352" s="1596">
        <v>3.0</v>
      </c>
      <c r="E352" s="1588"/>
      <c r="F352" s="1596" t="s">
        <v>5441</v>
      </c>
      <c r="G352" s="1596" t="s">
        <v>720</v>
      </c>
      <c r="H352" s="1596" t="s">
        <v>5616</v>
      </c>
      <c r="I352" s="1597">
        <v>91000.0</v>
      </c>
      <c r="J352" s="1596" t="s">
        <v>5328</v>
      </c>
      <c r="K352" s="1596" t="s">
        <v>5329</v>
      </c>
      <c r="L352" s="1596" t="s">
        <v>3334</v>
      </c>
      <c r="M352" s="1598">
        <v>45739.0</v>
      </c>
      <c r="N352" s="1596">
        <v>2023.0</v>
      </c>
      <c r="O352" s="1587"/>
      <c r="P352" s="1591">
        <v>45744.0</v>
      </c>
      <c r="Q352" s="1585" t="s">
        <v>666</v>
      </c>
    </row>
    <row r="353">
      <c r="A353" s="1596" t="s">
        <v>5184</v>
      </c>
      <c r="B353" s="1599"/>
      <c r="C353" s="1596">
        <v>2023.0</v>
      </c>
      <c r="D353" s="1596">
        <v>4.0</v>
      </c>
      <c r="E353" s="1588"/>
      <c r="F353" s="1596" t="s">
        <v>5441</v>
      </c>
      <c r="G353" s="1596" t="s">
        <v>720</v>
      </c>
      <c r="H353" s="1596" t="s">
        <v>5616</v>
      </c>
      <c r="I353" s="1597">
        <v>91000.0</v>
      </c>
      <c r="J353" s="1596" t="s">
        <v>5328</v>
      </c>
      <c r="K353" s="1596" t="s">
        <v>5329</v>
      </c>
      <c r="L353" s="1596" t="s">
        <v>5492</v>
      </c>
      <c r="M353" s="1598">
        <v>45770.0</v>
      </c>
      <c r="N353" s="1596">
        <v>2023.0</v>
      </c>
      <c r="O353" s="1587"/>
      <c r="P353" s="1588"/>
      <c r="Q353" s="1588"/>
    </row>
    <row r="354">
      <c r="A354" s="1596" t="s">
        <v>4912</v>
      </c>
      <c r="B354" s="1596" t="s">
        <v>5648</v>
      </c>
      <c r="C354" s="1596">
        <v>2023.0</v>
      </c>
      <c r="D354" s="1596">
        <v>5.0</v>
      </c>
      <c r="E354" s="1588"/>
      <c r="F354" s="1596" t="s">
        <v>5566</v>
      </c>
      <c r="G354" s="1596" t="s">
        <v>188</v>
      </c>
      <c r="H354" s="1596" t="s">
        <v>5616</v>
      </c>
      <c r="I354" s="1597">
        <v>93000.0</v>
      </c>
      <c r="J354" s="1596" t="s">
        <v>5328</v>
      </c>
      <c r="K354" s="1596" t="s">
        <v>5329</v>
      </c>
      <c r="L354" s="1596" t="s">
        <v>1080</v>
      </c>
      <c r="M354" s="1600">
        <v>45800.0</v>
      </c>
      <c r="N354" s="1596">
        <v>2023.0</v>
      </c>
      <c r="O354" s="1587"/>
      <c r="P354" s="1585" t="e">
        <v>#N/A</v>
      </c>
      <c r="Q354" s="1585" t="e">
        <v>#N/A</v>
      </c>
    </row>
    <row r="355">
      <c r="A355" s="1596" t="s">
        <v>5637</v>
      </c>
      <c r="B355" s="1599"/>
      <c r="C355" s="1596">
        <v>2023.0</v>
      </c>
      <c r="D355" s="1596">
        <v>6.0</v>
      </c>
      <c r="E355" s="1588"/>
      <c r="F355" s="1596" t="s">
        <v>5497</v>
      </c>
      <c r="G355" s="1596" t="s">
        <v>720</v>
      </c>
      <c r="H355" s="1596" t="s">
        <v>5616</v>
      </c>
      <c r="I355" s="1597">
        <v>86000.0</v>
      </c>
      <c r="J355" s="1596" t="s">
        <v>5328</v>
      </c>
      <c r="K355" s="1596" t="s">
        <v>5329</v>
      </c>
      <c r="L355" s="1596" t="s">
        <v>3045</v>
      </c>
      <c r="M355" s="1598">
        <v>45831.0</v>
      </c>
      <c r="N355" s="1596">
        <v>2023.0</v>
      </c>
      <c r="O355" s="1587"/>
      <c r="P355" s="1588"/>
      <c r="Q355" s="1588"/>
    </row>
    <row r="356">
      <c r="A356" s="1596" t="s">
        <v>4910</v>
      </c>
      <c r="B356" s="1601" t="s">
        <v>5649</v>
      </c>
      <c r="C356" s="1596">
        <v>2023.0</v>
      </c>
      <c r="D356" s="1596">
        <v>6.0</v>
      </c>
      <c r="E356" s="1588"/>
      <c r="F356" s="1596" t="s">
        <v>5566</v>
      </c>
      <c r="G356" s="1596" t="s">
        <v>188</v>
      </c>
      <c r="H356" s="1596" t="s">
        <v>5616</v>
      </c>
      <c r="I356" s="1597">
        <v>93000.0</v>
      </c>
      <c r="J356" s="1596" t="s">
        <v>5328</v>
      </c>
      <c r="K356" s="1596" t="s">
        <v>5329</v>
      </c>
      <c r="L356" s="1596" t="s">
        <v>1080</v>
      </c>
      <c r="M356" s="1598">
        <v>45831.0</v>
      </c>
      <c r="N356" s="1596">
        <v>2023.0</v>
      </c>
      <c r="O356" s="1587"/>
      <c r="P356" s="1585" t="e">
        <v>#N/A</v>
      </c>
      <c r="Q356" s="1585" t="e">
        <v>#N/A</v>
      </c>
    </row>
    <row r="357">
      <c r="A357" s="1596" t="s">
        <v>5637</v>
      </c>
      <c r="B357" s="1599"/>
      <c r="C357" s="1596">
        <v>2023.0</v>
      </c>
      <c r="D357" s="1596">
        <v>6.0</v>
      </c>
      <c r="E357" s="1588"/>
      <c r="F357" s="1596" t="s">
        <v>5497</v>
      </c>
      <c r="G357" s="1596" t="s">
        <v>720</v>
      </c>
      <c r="H357" s="1596" t="s">
        <v>5616</v>
      </c>
      <c r="I357" s="1597">
        <v>91000.0</v>
      </c>
      <c r="J357" s="1596" t="s">
        <v>5328</v>
      </c>
      <c r="K357" s="1596" t="s">
        <v>5329</v>
      </c>
      <c r="L357" s="1596" t="s">
        <v>5638</v>
      </c>
      <c r="M357" s="1598">
        <v>45831.0</v>
      </c>
      <c r="N357" s="1596">
        <v>2023.0</v>
      </c>
      <c r="O357" s="1587"/>
      <c r="P357" s="1588"/>
      <c r="Q357" s="1588"/>
    </row>
    <row r="358">
      <c r="A358" s="1596" t="s">
        <v>5154</v>
      </c>
      <c r="B358" s="1599"/>
      <c r="C358" s="1596">
        <v>2023.0</v>
      </c>
      <c r="D358" s="1596">
        <v>6.0</v>
      </c>
      <c r="E358" s="1588"/>
      <c r="F358" s="1596" t="s">
        <v>5501</v>
      </c>
      <c r="G358" s="1596" t="s">
        <v>720</v>
      </c>
      <c r="H358" s="1596" t="s">
        <v>5616</v>
      </c>
      <c r="I358" s="1597">
        <v>86000.0</v>
      </c>
      <c r="J358" s="1596" t="s">
        <v>5328</v>
      </c>
      <c r="K358" s="1596" t="s">
        <v>5329</v>
      </c>
      <c r="L358" s="1596" t="s">
        <v>761</v>
      </c>
      <c r="M358" s="1598">
        <v>45831.0</v>
      </c>
      <c r="N358" s="1596">
        <v>2023.0</v>
      </c>
      <c r="O358" s="1587"/>
      <c r="P358" s="1588"/>
      <c r="Q358" s="1588"/>
    </row>
    <row r="359">
      <c r="A359" s="1596" t="s">
        <v>5154</v>
      </c>
      <c r="B359" s="1599"/>
      <c r="C359" s="1596">
        <v>2023.0</v>
      </c>
      <c r="D359" s="1596">
        <v>6.0</v>
      </c>
      <c r="E359" s="1588"/>
      <c r="F359" s="1596" t="s">
        <v>5501</v>
      </c>
      <c r="G359" s="1596" t="s">
        <v>720</v>
      </c>
      <c r="H359" s="1596" t="s">
        <v>5616</v>
      </c>
      <c r="I359" s="1597">
        <v>86000.0</v>
      </c>
      <c r="J359" s="1596" t="s">
        <v>5328</v>
      </c>
      <c r="K359" s="1596" t="s">
        <v>5329</v>
      </c>
      <c r="L359" s="1596" t="s">
        <v>2900</v>
      </c>
      <c r="M359" s="1598">
        <v>45831.0</v>
      </c>
      <c r="N359" s="1596">
        <v>2023.0</v>
      </c>
      <c r="O359" s="1587"/>
      <c r="P359" s="1588"/>
      <c r="Q359" s="1588"/>
    </row>
    <row r="360">
      <c r="A360" s="1596" t="s">
        <v>5637</v>
      </c>
      <c r="B360" s="1587"/>
      <c r="C360" s="1596">
        <v>2023.0</v>
      </c>
      <c r="D360" s="1596">
        <v>6.0</v>
      </c>
      <c r="E360" s="1588"/>
      <c r="F360" s="1596" t="s">
        <v>5497</v>
      </c>
      <c r="G360" s="1596" t="s">
        <v>720</v>
      </c>
      <c r="H360" s="1596" t="s">
        <v>5616</v>
      </c>
      <c r="I360" s="1597">
        <v>86000.0</v>
      </c>
      <c r="J360" s="1596" t="s">
        <v>5328</v>
      </c>
      <c r="K360" s="1596" t="s">
        <v>5329</v>
      </c>
      <c r="L360" s="1596" t="s">
        <v>3317</v>
      </c>
      <c r="M360" s="1598">
        <v>45831.0</v>
      </c>
      <c r="N360" s="1596">
        <v>2023.0</v>
      </c>
      <c r="O360" s="1587"/>
      <c r="P360" s="1587"/>
      <c r="Q360" s="1587"/>
    </row>
    <row r="361">
      <c r="A361" s="1596" t="s">
        <v>5650</v>
      </c>
      <c r="B361" s="1599"/>
      <c r="C361" s="1596">
        <v>2023.0</v>
      </c>
      <c r="D361" s="1596">
        <v>6.0</v>
      </c>
      <c r="E361" s="1588"/>
      <c r="F361" s="1596" t="s">
        <v>5501</v>
      </c>
      <c r="G361" s="1596" t="s">
        <v>720</v>
      </c>
      <c r="H361" s="1596" t="s">
        <v>5616</v>
      </c>
      <c r="I361" s="1597">
        <v>91000.0</v>
      </c>
      <c r="J361" s="1596" t="s">
        <v>5328</v>
      </c>
      <c r="K361" s="1596" t="s">
        <v>5329</v>
      </c>
      <c r="L361" s="1596" t="s">
        <v>5171</v>
      </c>
      <c r="M361" s="1598">
        <v>45831.0</v>
      </c>
      <c r="N361" s="1596">
        <v>2023.0</v>
      </c>
      <c r="O361" s="1587"/>
      <c r="P361" s="1591">
        <v>45831.0</v>
      </c>
      <c r="Q361" s="1585" t="s">
        <v>666</v>
      </c>
    </row>
    <row r="362">
      <c r="A362" s="1596" t="s">
        <v>5651</v>
      </c>
      <c r="B362" s="1599"/>
      <c r="C362" s="1596">
        <v>2023.0</v>
      </c>
      <c r="D362" s="1596">
        <v>6.0</v>
      </c>
      <c r="E362" s="1588"/>
      <c r="F362" s="1596" t="s">
        <v>5501</v>
      </c>
      <c r="G362" s="1596" t="s">
        <v>720</v>
      </c>
      <c r="H362" s="1596" t="s">
        <v>5616</v>
      </c>
      <c r="I362" s="1597">
        <v>91000.0</v>
      </c>
      <c r="J362" s="1596" t="s">
        <v>5328</v>
      </c>
      <c r="K362" s="1596" t="s">
        <v>5329</v>
      </c>
      <c r="L362" s="1596" t="s">
        <v>5171</v>
      </c>
      <c r="M362" s="1598">
        <v>45831.0</v>
      </c>
      <c r="N362" s="1596">
        <v>2023.0</v>
      </c>
      <c r="O362" s="1587"/>
      <c r="P362" s="1591">
        <v>45831.0</v>
      </c>
      <c r="Q362" s="1585" t="s">
        <v>666</v>
      </c>
    </row>
    <row r="363">
      <c r="A363" s="1596" t="s">
        <v>5652</v>
      </c>
      <c r="B363" s="1599"/>
      <c r="C363" s="1596">
        <v>2023.0</v>
      </c>
      <c r="D363" s="1596">
        <v>6.0</v>
      </c>
      <c r="E363" s="1588"/>
      <c r="F363" s="1596" t="s">
        <v>5566</v>
      </c>
      <c r="G363" s="1596" t="s">
        <v>188</v>
      </c>
      <c r="H363" s="1596" t="s">
        <v>5616</v>
      </c>
      <c r="I363" s="1597">
        <v>93000.0</v>
      </c>
      <c r="J363" s="1596" t="s">
        <v>5328</v>
      </c>
      <c r="K363" s="1596" t="s">
        <v>5329</v>
      </c>
      <c r="L363" s="1596" t="s">
        <v>5601</v>
      </c>
      <c r="M363" s="1598">
        <v>45831.0</v>
      </c>
      <c r="N363" s="1596">
        <v>2023.0</v>
      </c>
      <c r="O363" s="1587"/>
      <c r="P363" s="1585" t="e">
        <v>#N/A</v>
      </c>
      <c r="Q363" s="1585" t="e">
        <v>#N/A</v>
      </c>
    </row>
    <row r="364">
      <c r="A364" s="1596" t="s">
        <v>5653</v>
      </c>
      <c r="B364" s="1599"/>
      <c r="C364" s="1596">
        <v>2023.0</v>
      </c>
      <c r="D364" s="1596">
        <v>6.0</v>
      </c>
      <c r="E364" s="1588"/>
      <c r="F364" s="1596" t="s">
        <v>5497</v>
      </c>
      <c r="G364" s="1596" t="s">
        <v>720</v>
      </c>
      <c r="H364" s="1596" t="s">
        <v>5616</v>
      </c>
      <c r="I364" s="1597">
        <v>86000.0</v>
      </c>
      <c r="J364" s="1596" t="s">
        <v>5328</v>
      </c>
      <c r="K364" s="1596" t="s">
        <v>5329</v>
      </c>
      <c r="L364" s="1596" t="s">
        <v>5167</v>
      </c>
      <c r="M364" s="1598">
        <v>45831.0</v>
      </c>
      <c r="N364" s="1596">
        <v>2023.0</v>
      </c>
      <c r="O364" s="1587"/>
      <c r="P364" s="1588"/>
      <c r="Q364" s="1588"/>
    </row>
    <row r="365">
      <c r="A365" s="1596" t="s">
        <v>5637</v>
      </c>
      <c r="B365" s="1599"/>
      <c r="C365" s="1596">
        <v>2023.0</v>
      </c>
      <c r="D365" s="1596">
        <v>6.0</v>
      </c>
      <c r="E365" s="1588"/>
      <c r="F365" s="1596" t="s">
        <v>5497</v>
      </c>
      <c r="G365" s="1596" t="s">
        <v>720</v>
      </c>
      <c r="H365" s="1596" t="s">
        <v>5616</v>
      </c>
      <c r="I365" s="1597">
        <v>86000.0</v>
      </c>
      <c r="J365" s="1596" t="s">
        <v>5328</v>
      </c>
      <c r="K365" s="1596" t="s">
        <v>5329</v>
      </c>
      <c r="L365" s="1596" t="s">
        <v>3177</v>
      </c>
      <c r="M365" s="1598">
        <v>45831.0</v>
      </c>
      <c r="N365" s="1596">
        <v>2023.0</v>
      </c>
      <c r="O365" s="1587"/>
      <c r="P365" s="1588"/>
      <c r="Q365" s="1588"/>
    </row>
    <row r="366">
      <c r="A366" s="1596" t="s">
        <v>5178</v>
      </c>
      <c r="B366" s="1599"/>
      <c r="C366" s="1596">
        <v>2023.0</v>
      </c>
      <c r="D366" s="1596">
        <v>6.0</v>
      </c>
      <c r="E366" s="1588"/>
      <c r="F366" s="1596" t="s">
        <v>5441</v>
      </c>
      <c r="G366" s="1596" t="s">
        <v>720</v>
      </c>
      <c r="H366" s="1596" t="s">
        <v>5616</v>
      </c>
      <c r="I366" s="1597">
        <v>91000.0</v>
      </c>
      <c r="J366" s="1596" t="s">
        <v>5328</v>
      </c>
      <c r="K366" s="1596" t="s">
        <v>5329</v>
      </c>
      <c r="L366" s="1596" t="s">
        <v>2937</v>
      </c>
      <c r="M366" s="1598">
        <v>45831.0</v>
      </c>
      <c r="N366" s="1596">
        <v>2023.0</v>
      </c>
      <c r="O366" s="1587"/>
      <c r="P366" s="1591">
        <v>45831.0</v>
      </c>
      <c r="Q366" s="1588"/>
    </row>
    <row r="367">
      <c r="A367" s="1596" t="s">
        <v>5169</v>
      </c>
      <c r="B367" s="1599"/>
      <c r="C367" s="1596">
        <v>2023.0</v>
      </c>
      <c r="D367" s="1596" t="s">
        <v>5632</v>
      </c>
      <c r="E367" s="1588"/>
      <c r="F367" s="1596" t="s">
        <v>5441</v>
      </c>
      <c r="G367" s="1596" t="s">
        <v>720</v>
      </c>
      <c r="H367" s="1596" t="s">
        <v>5616</v>
      </c>
      <c r="I367" s="1597">
        <v>91000.0</v>
      </c>
      <c r="J367" s="1596" t="s">
        <v>5328</v>
      </c>
      <c r="K367" s="1596" t="s">
        <v>5329</v>
      </c>
      <c r="L367" s="1596" t="s">
        <v>3317</v>
      </c>
      <c r="M367" s="1596" t="s">
        <v>5180</v>
      </c>
      <c r="N367" s="1596">
        <v>2023.0</v>
      </c>
      <c r="O367" s="1587"/>
      <c r="P367" s="1588"/>
      <c r="Q367" s="1588"/>
    </row>
    <row r="368">
      <c r="A368" s="1596" t="s">
        <v>5189</v>
      </c>
      <c r="B368" s="1599"/>
      <c r="C368" s="1596">
        <v>2023.0</v>
      </c>
      <c r="D368" s="1596">
        <v>7.0</v>
      </c>
      <c r="E368" s="1588"/>
      <c r="F368" s="1596" t="s">
        <v>5441</v>
      </c>
      <c r="G368" s="1596" t="s">
        <v>720</v>
      </c>
      <c r="H368" s="1596" t="s">
        <v>5616</v>
      </c>
      <c r="I368" s="1597">
        <v>91000.0</v>
      </c>
      <c r="J368" s="1596" t="s">
        <v>5328</v>
      </c>
      <c r="K368" s="1596" t="s">
        <v>5329</v>
      </c>
      <c r="L368" s="1596" t="s">
        <v>5492</v>
      </c>
      <c r="M368" s="1598">
        <v>45861.0</v>
      </c>
      <c r="N368" s="1596">
        <v>2023.0</v>
      </c>
      <c r="O368" s="1587"/>
      <c r="P368" s="1588"/>
      <c r="Q368" s="1588"/>
    </row>
    <row r="369">
      <c r="A369" s="1596" t="s">
        <v>5652</v>
      </c>
      <c r="B369" s="1599"/>
      <c r="C369" s="1596">
        <v>2023.0</v>
      </c>
      <c r="D369" s="1596">
        <v>8.0</v>
      </c>
      <c r="E369" s="1588"/>
      <c r="F369" s="1596" t="s">
        <v>5566</v>
      </c>
      <c r="G369" s="1596" t="s">
        <v>188</v>
      </c>
      <c r="H369" s="1596" t="s">
        <v>5616</v>
      </c>
      <c r="I369" s="1597">
        <v>93000.0</v>
      </c>
      <c r="J369" s="1596" t="s">
        <v>5328</v>
      </c>
      <c r="K369" s="1596" t="s">
        <v>5329</v>
      </c>
      <c r="L369" s="1596" t="s">
        <v>5551</v>
      </c>
      <c r="M369" s="1598">
        <v>45892.0</v>
      </c>
      <c r="N369" s="1596">
        <v>2023.0</v>
      </c>
      <c r="O369" s="1587"/>
      <c r="P369" s="1585" t="e">
        <v>#N/A</v>
      </c>
      <c r="Q369" s="1585" t="e">
        <v>#N/A</v>
      </c>
    </row>
    <row r="370">
      <c r="A370" s="1596" t="s">
        <v>3656</v>
      </c>
      <c r="B370" s="1601" t="s">
        <v>5654</v>
      </c>
      <c r="C370" s="1596">
        <v>2023.0</v>
      </c>
      <c r="D370" s="1596">
        <v>8.0</v>
      </c>
      <c r="E370" s="1588"/>
      <c r="F370" s="1596" t="s">
        <v>5566</v>
      </c>
      <c r="G370" s="1596" t="s">
        <v>188</v>
      </c>
      <c r="H370" s="1596" t="s">
        <v>5616</v>
      </c>
      <c r="I370" s="1597">
        <v>93000.0</v>
      </c>
      <c r="J370" s="1596" t="s">
        <v>5328</v>
      </c>
      <c r="K370" s="1596" t="s">
        <v>5329</v>
      </c>
      <c r="L370" s="1596" t="s">
        <v>1080</v>
      </c>
      <c r="M370" s="1598">
        <v>45892.0</v>
      </c>
      <c r="N370" s="1596">
        <v>2023.0</v>
      </c>
      <c r="O370" s="1587"/>
      <c r="P370" s="1585" t="e">
        <v>#N/A</v>
      </c>
      <c r="Q370" s="1585" t="e">
        <v>#N/A</v>
      </c>
    </row>
    <row r="371">
      <c r="A371" s="1596" t="s">
        <v>4909</v>
      </c>
      <c r="B371" s="1596" t="s">
        <v>5655</v>
      </c>
      <c r="C371" s="1596">
        <v>2023.0</v>
      </c>
      <c r="D371" s="1596">
        <v>9.0</v>
      </c>
      <c r="E371" s="1588"/>
      <c r="F371" s="1596" t="s">
        <v>5566</v>
      </c>
      <c r="G371" s="1596" t="s">
        <v>188</v>
      </c>
      <c r="H371" s="1596" t="s">
        <v>5616</v>
      </c>
      <c r="I371" s="1597">
        <v>93000.0</v>
      </c>
      <c r="J371" s="1596" t="s">
        <v>5328</v>
      </c>
      <c r="K371" s="1596" t="s">
        <v>5329</v>
      </c>
      <c r="L371" s="1596" t="s">
        <v>1080</v>
      </c>
      <c r="M371" s="1598">
        <v>45923.0</v>
      </c>
      <c r="N371" s="1596">
        <v>2023.0</v>
      </c>
      <c r="O371" s="1587"/>
      <c r="P371" s="1585" t="e">
        <v>#N/A</v>
      </c>
      <c r="Q371" s="1585" t="e">
        <v>#N/A</v>
      </c>
    </row>
    <row r="372">
      <c r="A372" s="1596" t="s">
        <v>5637</v>
      </c>
      <c r="B372" s="1599"/>
      <c r="C372" s="1596">
        <v>2023.0</v>
      </c>
      <c r="D372" s="1596">
        <v>9.0</v>
      </c>
      <c r="E372" s="1588"/>
      <c r="F372" s="1596" t="s">
        <v>5497</v>
      </c>
      <c r="G372" s="1596" t="s">
        <v>720</v>
      </c>
      <c r="H372" s="1596" t="s">
        <v>5616</v>
      </c>
      <c r="I372" s="1597">
        <v>86000.0</v>
      </c>
      <c r="J372" s="1596" t="s">
        <v>5328</v>
      </c>
      <c r="K372" s="1596" t="s">
        <v>5329</v>
      </c>
      <c r="L372" s="1596" t="s">
        <v>3177</v>
      </c>
      <c r="M372" s="1598">
        <v>45923.0</v>
      </c>
      <c r="N372" s="1596">
        <v>2023.0</v>
      </c>
      <c r="O372" s="1587"/>
      <c r="P372" s="1588"/>
      <c r="Q372" s="1588"/>
    </row>
    <row r="373">
      <c r="A373" s="1596" t="s">
        <v>5637</v>
      </c>
      <c r="B373" s="1599"/>
      <c r="C373" s="1596">
        <v>2023.0</v>
      </c>
      <c r="D373" s="1596">
        <v>9.0</v>
      </c>
      <c r="E373" s="1588"/>
      <c r="F373" s="1596" t="s">
        <v>5497</v>
      </c>
      <c r="G373" s="1596" t="s">
        <v>720</v>
      </c>
      <c r="H373" s="1596" t="s">
        <v>5616</v>
      </c>
      <c r="I373" s="1597">
        <v>86000.0</v>
      </c>
      <c r="J373" s="1596" t="s">
        <v>5328</v>
      </c>
      <c r="K373" s="1596" t="s">
        <v>5329</v>
      </c>
      <c r="L373" s="1596" t="s">
        <v>3045</v>
      </c>
      <c r="M373" s="1598">
        <v>45923.0</v>
      </c>
      <c r="N373" s="1596">
        <v>2023.0</v>
      </c>
      <c r="O373" s="1587"/>
      <c r="P373" s="1588"/>
      <c r="Q373" s="1588"/>
    </row>
    <row r="374">
      <c r="A374" s="1596" t="s">
        <v>5637</v>
      </c>
      <c r="B374" s="1599"/>
      <c r="C374" s="1596">
        <v>2023.0</v>
      </c>
      <c r="D374" s="1596">
        <v>10.0</v>
      </c>
      <c r="E374" s="1588"/>
      <c r="F374" s="1596" t="s">
        <v>5497</v>
      </c>
      <c r="G374" s="1596" t="s">
        <v>720</v>
      </c>
      <c r="H374" s="1596" t="s">
        <v>5616</v>
      </c>
      <c r="I374" s="1597">
        <v>86000.0</v>
      </c>
      <c r="J374" s="1596" t="s">
        <v>5328</v>
      </c>
      <c r="K374" s="1596" t="s">
        <v>5329</v>
      </c>
      <c r="L374" s="1596" t="s">
        <v>3317</v>
      </c>
      <c r="M374" s="1598">
        <v>45953.0</v>
      </c>
      <c r="N374" s="1596">
        <v>2023.0</v>
      </c>
      <c r="O374" s="1587"/>
      <c r="P374" s="1588"/>
      <c r="Q374" s="1588"/>
    </row>
    <row r="375">
      <c r="A375" s="1596" t="s">
        <v>5191</v>
      </c>
      <c r="B375" s="1599"/>
      <c r="C375" s="1596">
        <v>2023.0</v>
      </c>
      <c r="D375" s="1596" t="s">
        <v>5656</v>
      </c>
      <c r="E375" s="1588"/>
      <c r="F375" s="1596" t="s">
        <v>5441</v>
      </c>
      <c r="G375" s="1596" t="s">
        <v>720</v>
      </c>
      <c r="H375" s="1596" t="s">
        <v>5616</v>
      </c>
      <c r="I375" s="1597">
        <v>91000.0</v>
      </c>
      <c r="J375" s="1596" t="s">
        <v>5328</v>
      </c>
      <c r="K375" s="1596" t="s">
        <v>5329</v>
      </c>
      <c r="L375" s="1596" t="s">
        <v>3317</v>
      </c>
      <c r="M375" s="1596" t="s">
        <v>5657</v>
      </c>
      <c r="N375" s="1596">
        <v>2023.0</v>
      </c>
      <c r="O375" s="1587"/>
      <c r="P375" s="1588"/>
      <c r="Q375" s="1588"/>
    </row>
    <row r="376">
      <c r="A376" s="1596" t="s">
        <v>5188</v>
      </c>
      <c r="B376" s="1599"/>
      <c r="C376" s="1596">
        <v>2023.0</v>
      </c>
      <c r="D376" s="1596" t="s">
        <v>5656</v>
      </c>
      <c r="E376" s="1599"/>
      <c r="F376" s="1596" t="s">
        <v>5599</v>
      </c>
      <c r="G376" s="1596" t="s">
        <v>668</v>
      </c>
      <c r="H376" s="1596" t="s">
        <v>5616</v>
      </c>
      <c r="I376" s="1597">
        <v>87000.0</v>
      </c>
      <c r="J376" s="1596" t="s">
        <v>5328</v>
      </c>
      <c r="K376" s="1596" t="s">
        <v>5329</v>
      </c>
      <c r="L376" s="1596" t="s">
        <v>3214</v>
      </c>
      <c r="M376" s="1596" t="s">
        <v>5657</v>
      </c>
      <c r="N376" s="1596">
        <v>2023.0</v>
      </c>
      <c r="O376" s="1587"/>
      <c r="P376" s="1588"/>
      <c r="Q376" s="1588"/>
    </row>
    <row r="377">
      <c r="A377" s="1596" t="s">
        <v>5652</v>
      </c>
      <c r="B377" s="1599"/>
      <c r="C377" s="1596">
        <v>2023.0</v>
      </c>
      <c r="D377" s="1596">
        <v>12.0</v>
      </c>
      <c r="E377" s="1588"/>
      <c r="F377" s="1596" t="s">
        <v>5566</v>
      </c>
      <c r="G377" s="1596" t="s">
        <v>188</v>
      </c>
      <c r="H377" s="1596" t="s">
        <v>5616</v>
      </c>
      <c r="I377" s="1597">
        <v>93000.0</v>
      </c>
      <c r="J377" s="1596" t="s">
        <v>5328</v>
      </c>
      <c r="K377" s="1596" t="s">
        <v>5329</v>
      </c>
      <c r="L377" s="1596" t="s">
        <v>5601</v>
      </c>
      <c r="M377" s="1598">
        <v>46014.0</v>
      </c>
      <c r="N377" s="1596">
        <v>2023.0</v>
      </c>
      <c r="O377" s="1587"/>
      <c r="P377" s="1585" t="e">
        <v>#N/A</v>
      </c>
      <c r="Q377" s="1585" t="e">
        <v>#N/A</v>
      </c>
    </row>
    <row r="378">
      <c r="A378" s="1596" t="s">
        <v>5192</v>
      </c>
      <c r="B378" s="1599"/>
      <c r="C378" s="1596">
        <v>2023.0</v>
      </c>
      <c r="D378" s="1596">
        <v>12.0</v>
      </c>
      <c r="E378" s="1588"/>
      <c r="F378" s="1596" t="s">
        <v>5441</v>
      </c>
      <c r="G378" s="1596" t="s">
        <v>720</v>
      </c>
      <c r="H378" s="1596" t="s">
        <v>5616</v>
      </c>
      <c r="I378" s="1597">
        <v>91000.0</v>
      </c>
      <c r="J378" s="1596" t="s">
        <v>5328</v>
      </c>
      <c r="K378" s="1596" t="s">
        <v>5329</v>
      </c>
      <c r="L378" s="1596" t="s">
        <v>2937</v>
      </c>
      <c r="M378" s="1598">
        <v>46014.0</v>
      </c>
      <c r="N378" s="1596">
        <v>2023.0</v>
      </c>
      <c r="O378" s="1587"/>
      <c r="P378" s="1591">
        <v>46014.0</v>
      </c>
      <c r="Q378" s="1588"/>
    </row>
    <row r="379">
      <c r="A379" s="1596" t="s">
        <v>5658</v>
      </c>
      <c r="B379" s="1599"/>
      <c r="C379" s="1596">
        <v>2023.0</v>
      </c>
      <c r="D379" s="1596">
        <v>12.0</v>
      </c>
      <c r="E379" s="1588"/>
      <c r="F379" s="1596" t="s">
        <v>5497</v>
      </c>
      <c r="G379" s="1596" t="s">
        <v>720</v>
      </c>
      <c r="H379" s="1596" t="s">
        <v>5616</v>
      </c>
      <c r="I379" s="1597">
        <v>86000.0</v>
      </c>
      <c r="J379" s="1596" t="s">
        <v>5328</v>
      </c>
      <c r="K379" s="1596" t="s">
        <v>5329</v>
      </c>
      <c r="L379" s="1596" t="s">
        <v>5167</v>
      </c>
      <c r="M379" s="1598">
        <v>46014.0</v>
      </c>
      <c r="N379" s="1596">
        <v>2023.0</v>
      </c>
      <c r="O379" s="1587"/>
      <c r="P379" s="1588"/>
      <c r="Q379" s="1588"/>
    </row>
    <row r="380">
      <c r="A380" s="1596" t="s">
        <v>5637</v>
      </c>
      <c r="B380" s="1587"/>
      <c r="C380" s="1596">
        <v>2023.0</v>
      </c>
      <c r="D380" s="1596">
        <v>12.0</v>
      </c>
      <c r="E380" s="1588"/>
      <c r="F380" s="1596" t="s">
        <v>5497</v>
      </c>
      <c r="G380" s="1596" t="s">
        <v>720</v>
      </c>
      <c r="H380" s="1596" t="s">
        <v>5616</v>
      </c>
      <c r="I380" s="1597">
        <v>86000.0</v>
      </c>
      <c r="J380" s="1596" t="s">
        <v>5328</v>
      </c>
      <c r="K380" s="1596" t="s">
        <v>5329</v>
      </c>
      <c r="L380" s="1596" t="s">
        <v>3317</v>
      </c>
      <c r="M380" s="1598">
        <v>46014.0</v>
      </c>
      <c r="N380" s="1596">
        <v>2023.0</v>
      </c>
      <c r="O380" s="1587"/>
      <c r="P380" s="1587"/>
      <c r="Q380" s="1587"/>
    </row>
    <row r="381">
      <c r="A381" s="1596" t="s">
        <v>5637</v>
      </c>
      <c r="B381" s="1599"/>
      <c r="C381" s="1596">
        <v>2023.0</v>
      </c>
      <c r="D381" s="1596" t="s">
        <v>5659</v>
      </c>
      <c r="E381" s="1588"/>
      <c r="F381" s="1596" t="s">
        <v>5497</v>
      </c>
      <c r="G381" s="1596" t="s">
        <v>720</v>
      </c>
      <c r="H381" s="1596" t="s">
        <v>5616</v>
      </c>
      <c r="I381" s="1597">
        <v>91000.0</v>
      </c>
      <c r="J381" s="1596" t="s">
        <v>5328</v>
      </c>
      <c r="K381" s="1596" t="s">
        <v>5329</v>
      </c>
      <c r="L381" s="1596" t="s">
        <v>5638</v>
      </c>
      <c r="M381" s="1596" t="s">
        <v>5660</v>
      </c>
      <c r="N381" s="1596">
        <v>2023.0</v>
      </c>
      <c r="O381" s="1587"/>
      <c r="P381" s="1588"/>
      <c r="Q381" s="1588"/>
    </row>
    <row r="382">
      <c r="A382" s="1596" t="s">
        <v>5661</v>
      </c>
      <c r="B382" s="1599"/>
      <c r="C382" s="1596">
        <v>2023.0</v>
      </c>
      <c r="D382" s="1596" t="s">
        <v>5662</v>
      </c>
      <c r="E382" s="1588"/>
      <c r="F382" s="1596" t="s">
        <v>5497</v>
      </c>
      <c r="G382" s="1596" t="s">
        <v>720</v>
      </c>
      <c r="H382" s="1596" t="s">
        <v>5616</v>
      </c>
      <c r="I382" s="1597">
        <v>91000.0</v>
      </c>
      <c r="J382" s="1596" t="s">
        <v>5328</v>
      </c>
      <c r="K382" s="1596" t="s">
        <v>5329</v>
      </c>
      <c r="L382" s="1596" t="s">
        <v>5638</v>
      </c>
      <c r="M382" s="1596" t="s">
        <v>5663</v>
      </c>
      <c r="N382" s="1596">
        <v>2023.0</v>
      </c>
      <c r="O382" s="1587"/>
      <c r="P382" s="1588"/>
      <c r="Q382" s="1588"/>
    </row>
    <row r="383">
      <c r="A383" s="1596" t="s">
        <v>5154</v>
      </c>
      <c r="B383" s="1599"/>
      <c r="C383" s="1596">
        <v>2023.0</v>
      </c>
      <c r="D383" s="1596" t="s">
        <v>5662</v>
      </c>
      <c r="E383" s="1588"/>
      <c r="F383" s="1596" t="s">
        <v>5501</v>
      </c>
      <c r="G383" s="1596" t="s">
        <v>720</v>
      </c>
      <c r="H383" s="1596" t="s">
        <v>5616</v>
      </c>
      <c r="I383" s="1597">
        <v>91000.0</v>
      </c>
      <c r="J383" s="1596" t="s">
        <v>5328</v>
      </c>
      <c r="K383" s="1596" t="s">
        <v>5329</v>
      </c>
      <c r="L383" s="1596" t="s">
        <v>3177</v>
      </c>
      <c r="M383" s="1596" t="s">
        <v>5663</v>
      </c>
      <c r="N383" s="1596">
        <v>2023.0</v>
      </c>
      <c r="O383" s="1587"/>
      <c r="P383" s="1587"/>
      <c r="Q383" s="1587"/>
    </row>
    <row r="384">
      <c r="A384" s="1596" t="s">
        <v>5154</v>
      </c>
      <c r="B384" s="1599"/>
      <c r="C384" s="1596">
        <v>2023.0</v>
      </c>
      <c r="D384" s="1596" t="s">
        <v>5662</v>
      </c>
      <c r="E384" s="1588"/>
      <c r="F384" s="1596" t="s">
        <v>5501</v>
      </c>
      <c r="G384" s="1596" t="s">
        <v>720</v>
      </c>
      <c r="H384" s="1596" t="s">
        <v>5616</v>
      </c>
      <c r="I384" s="1597">
        <v>91000.0</v>
      </c>
      <c r="J384" s="1596" t="s">
        <v>5328</v>
      </c>
      <c r="K384" s="1596" t="s">
        <v>5329</v>
      </c>
      <c r="L384" s="1596" t="s">
        <v>3177</v>
      </c>
      <c r="M384" s="1596" t="s">
        <v>5663</v>
      </c>
      <c r="N384" s="1596">
        <v>2023.0</v>
      </c>
      <c r="O384" s="1587"/>
      <c r="P384" s="1587"/>
      <c r="Q384" s="1587"/>
    </row>
    <row r="385">
      <c r="A385" s="1596" t="s">
        <v>5188</v>
      </c>
      <c r="B385" s="1599"/>
      <c r="C385" s="1596">
        <v>2023.0</v>
      </c>
      <c r="D385" s="1596" t="s">
        <v>5662</v>
      </c>
      <c r="E385" s="1599"/>
      <c r="F385" s="1596" t="s">
        <v>5599</v>
      </c>
      <c r="G385" s="1596" t="s">
        <v>668</v>
      </c>
      <c r="H385" s="1596" t="s">
        <v>5616</v>
      </c>
      <c r="I385" s="1597">
        <v>86700.0</v>
      </c>
      <c r="J385" s="1596" t="s">
        <v>5328</v>
      </c>
      <c r="K385" s="1596" t="s">
        <v>5329</v>
      </c>
      <c r="L385" s="1596" t="s">
        <v>2901</v>
      </c>
      <c r="M385" s="1596" t="s">
        <v>5663</v>
      </c>
      <c r="N385" s="1596">
        <v>2023.0</v>
      </c>
      <c r="O385" s="1587"/>
      <c r="P385" s="1599"/>
      <c r="Q385" s="1599"/>
    </row>
    <row r="386">
      <c r="A386" s="1596" t="s">
        <v>5652</v>
      </c>
      <c r="B386" s="1599"/>
      <c r="C386" s="1596" t="s">
        <v>5664</v>
      </c>
      <c r="D386" s="1596" t="s">
        <v>2874</v>
      </c>
      <c r="E386" s="1588"/>
      <c r="F386" s="1596" t="s">
        <v>5566</v>
      </c>
      <c r="G386" s="1596" t="s">
        <v>188</v>
      </c>
      <c r="H386" s="1596" t="s">
        <v>5616</v>
      </c>
      <c r="I386" s="1597">
        <v>93000.0</v>
      </c>
      <c r="J386" s="1596" t="s">
        <v>5328</v>
      </c>
      <c r="K386" s="1596" t="s">
        <v>5329</v>
      </c>
      <c r="L386" s="1596" t="s">
        <v>5203</v>
      </c>
      <c r="M386" s="1596" t="s">
        <v>5665</v>
      </c>
      <c r="N386" s="1596" t="s">
        <v>5202</v>
      </c>
      <c r="O386" s="1587"/>
      <c r="P386" s="1599"/>
      <c r="Q386" s="1599"/>
    </row>
    <row r="387">
      <c r="A387" s="1596" t="s">
        <v>5666</v>
      </c>
      <c r="B387" s="1599"/>
      <c r="C387" s="1596">
        <v>2024.0</v>
      </c>
      <c r="D387" s="1596" t="s">
        <v>2874</v>
      </c>
      <c r="E387" s="1599"/>
      <c r="F387" s="1596" t="s">
        <v>5667</v>
      </c>
      <c r="G387" s="1596" t="s">
        <v>668</v>
      </c>
      <c r="H387" s="1596" t="s">
        <v>5616</v>
      </c>
      <c r="I387" s="1597">
        <v>87000.0</v>
      </c>
      <c r="J387" s="1596" t="s">
        <v>5328</v>
      </c>
      <c r="K387" s="1596" t="s">
        <v>5329</v>
      </c>
      <c r="L387" s="1596" t="s">
        <v>3044</v>
      </c>
      <c r="M387" s="1596" t="s">
        <v>5668</v>
      </c>
      <c r="N387" s="1596">
        <v>2024.0</v>
      </c>
      <c r="O387" s="1587"/>
      <c r="P387" s="1587"/>
      <c r="Q387" s="1587"/>
    </row>
    <row r="388">
      <c r="A388" s="1596" t="s">
        <v>5666</v>
      </c>
      <c r="B388" s="1599"/>
      <c r="C388" s="1596">
        <v>2024.0</v>
      </c>
      <c r="D388" s="1596" t="s">
        <v>2874</v>
      </c>
      <c r="E388" s="1599"/>
      <c r="F388" s="1596" t="s">
        <v>5667</v>
      </c>
      <c r="G388" s="1596" t="s">
        <v>668</v>
      </c>
      <c r="H388" s="1596" t="s">
        <v>5616</v>
      </c>
      <c r="I388" s="1597">
        <v>87000.0</v>
      </c>
      <c r="J388" s="1596" t="s">
        <v>5328</v>
      </c>
      <c r="K388" s="1596" t="s">
        <v>5329</v>
      </c>
      <c r="L388" s="1596" t="s">
        <v>3044</v>
      </c>
      <c r="M388" s="1596" t="s">
        <v>5668</v>
      </c>
      <c r="N388" s="1596">
        <v>2024.0</v>
      </c>
      <c r="O388" s="1587"/>
      <c r="P388" s="1587"/>
      <c r="Q388" s="1587"/>
    </row>
    <row r="389">
      <c r="A389" s="1596" t="s">
        <v>5637</v>
      </c>
      <c r="B389" s="1599"/>
      <c r="C389" s="1596">
        <v>2024.0</v>
      </c>
      <c r="D389" s="1596" t="s">
        <v>5669</v>
      </c>
      <c r="E389" s="1588"/>
      <c r="F389" s="1596" t="s">
        <v>5497</v>
      </c>
      <c r="G389" s="1596" t="s">
        <v>720</v>
      </c>
      <c r="H389" s="1596" t="s">
        <v>5616</v>
      </c>
      <c r="I389" s="1597">
        <v>86000.0</v>
      </c>
      <c r="J389" s="1596" t="s">
        <v>5328</v>
      </c>
      <c r="K389" s="1596" t="s">
        <v>5329</v>
      </c>
      <c r="L389" s="1596" t="s">
        <v>5206</v>
      </c>
      <c r="M389" s="1596" t="s">
        <v>5670</v>
      </c>
      <c r="N389" s="1596">
        <v>2024.0</v>
      </c>
      <c r="O389" s="1587"/>
      <c r="P389" s="1587"/>
      <c r="Q389" s="1587"/>
    </row>
    <row r="390">
      <c r="A390" s="1596" t="s">
        <v>5637</v>
      </c>
      <c r="B390" s="1599"/>
      <c r="C390" s="1596">
        <v>2024.0</v>
      </c>
      <c r="D390" s="1596" t="s">
        <v>5669</v>
      </c>
      <c r="E390" s="1588"/>
      <c r="F390" s="1596" t="s">
        <v>5497</v>
      </c>
      <c r="G390" s="1596" t="s">
        <v>720</v>
      </c>
      <c r="H390" s="1596" t="s">
        <v>5616</v>
      </c>
      <c r="I390" s="1597">
        <v>86000.0</v>
      </c>
      <c r="J390" s="1596" t="s">
        <v>5328</v>
      </c>
      <c r="K390" s="1596" t="s">
        <v>5329</v>
      </c>
      <c r="L390" s="1596" t="s">
        <v>5206</v>
      </c>
      <c r="M390" s="1596" t="s">
        <v>5670</v>
      </c>
      <c r="N390" s="1596">
        <v>2024.0</v>
      </c>
      <c r="O390" s="1587"/>
      <c r="P390" s="1587"/>
      <c r="Q390" s="1587"/>
    </row>
    <row r="391">
      <c r="A391" s="1587"/>
      <c r="B391" s="1587"/>
      <c r="C391" s="1587"/>
      <c r="D391" s="1587"/>
      <c r="E391" s="1587"/>
      <c r="F391" s="1587"/>
      <c r="G391" s="1587"/>
      <c r="H391" s="1587"/>
      <c r="I391" s="1587"/>
      <c r="J391" s="1587"/>
      <c r="K391" s="1587"/>
      <c r="L391" s="1587"/>
      <c r="M391" s="1587"/>
      <c r="N391" s="1587"/>
      <c r="O391" s="1587"/>
      <c r="P391" s="1587"/>
      <c r="Q391" s="1587"/>
    </row>
    <row r="392">
      <c r="A392" s="1587"/>
      <c r="B392" s="1587"/>
      <c r="C392" s="1587"/>
      <c r="D392" s="1587"/>
      <c r="E392" s="1587"/>
      <c r="F392" s="1587"/>
      <c r="G392" s="1587"/>
      <c r="H392" s="1587"/>
      <c r="I392" s="1587"/>
      <c r="J392" s="1587"/>
      <c r="K392" s="1587"/>
      <c r="L392" s="1587"/>
      <c r="M392" s="1587"/>
      <c r="N392" s="1587"/>
      <c r="O392" s="1587"/>
      <c r="P392" s="1587"/>
      <c r="Q392" s="1587"/>
    </row>
    <row r="393">
      <c r="A393" s="1587"/>
      <c r="B393" s="1587"/>
      <c r="C393" s="1587"/>
      <c r="D393" s="1587"/>
      <c r="E393" s="1587"/>
      <c r="F393" s="1587"/>
      <c r="G393" s="1587"/>
      <c r="H393" s="1587"/>
      <c r="I393" s="1587"/>
      <c r="J393" s="1587"/>
      <c r="K393" s="1587"/>
      <c r="L393" s="1587"/>
      <c r="M393" s="1587"/>
      <c r="N393" s="1587"/>
      <c r="O393" s="1587"/>
      <c r="P393" s="1587"/>
      <c r="Q393" s="1587"/>
    </row>
    <row r="394">
      <c r="A394" s="1587"/>
      <c r="B394" s="1587"/>
      <c r="C394" s="1587"/>
      <c r="D394" s="1587"/>
      <c r="E394" s="1587"/>
      <c r="F394" s="1587"/>
      <c r="G394" s="1587"/>
      <c r="H394" s="1587"/>
      <c r="I394" s="1587"/>
      <c r="J394" s="1587"/>
      <c r="K394" s="1587"/>
      <c r="L394" s="1587"/>
      <c r="M394" s="1587"/>
      <c r="N394" s="1587"/>
      <c r="O394" s="1587"/>
      <c r="P394" s="1587"/>
      <c r="Q394" s="1587"/>
    </row>
    <row r="395">
      <c r="A395" s="1587"/>
      <c r="B395" s="1587"/>
      <c r="C395" s="1587"/>
      <c r="D395" s="1587"/>
      <c r="E395" s="1587"/>
      <c r="F395" s="1587"/>
      <c r="G395" s="1587"/>
      <c r="H395" s="1587"/>
      <c r="I395" s="1587"/>
      <c r="J395" s="1587"/>
      <c r="K395" s="1587"/>
      <c r="L395" s="1587"/>
      <c r="M395" s="1587"/>
      <c r="N395" s="1587"/>
      <c r="O395" s="1587"/>
      <c r="P395" s="1587"/>
      <c r="Q395" s="1587"/>
    </row>
    <row r="396">
      <c r="A396" s="1587"/>
      <c r="B396" s="1587"/>
      <c r="C396" s="1587"/>
      <c r="D396" s="1587"/>
      <c r="E396" s="1587"/>
      <c r="F396" s="1587"/>
      <c r="G396" s="1587"/>
      <c r="H396" s="1587"/>
      <c r="I396" s="1587"/>
      <c r="J396" s="1587"/>
      <c r="K396" s="1587"/>
      <c r="L396" s="1587"/>
      <c r="M396" s="1587"/>
      <c r="N396" s="1587"/>
      <c r="O396" s="1587"/>
      <c r="P396" s="1587"/>
      <c r="Q396" s="1587"/>
    </row>
    <row r="397">
      <c r="A397" s="1587"/>
      <c r="B397" s="1587"/>
      <c r="C397" s="1587"/>
      <c r="D397" s="1587"/>
      <c r="E397" s="1587"/>
      <c r="F397" s="1587"/>
      <c r="G397" s="1587"/>
      <c r="H397" s="1587"/>
      <c r="I397" s="1587"/>
      <c r="J397" s="1587"/>
      <c r="K397" s="1587"/>
      <c r="L397" s="1587"/>
      <c r="M397" s="1587"/>
      <c r="N397" s="1587"/>
      <c r="O397" s="1587"/>
      <c r="P397" s="1587"/>
      <c r="Q397" s="1587"/>
    </row>
    <row r="398">
      <c r="A398" s="1587"/>
      <c r="B398" s="1587"/>
      <c r="C398" s="1587"/>
      <c r="D398" s="1587"/>
      <c r="E398" s="1587"/>
      <c r="F398" s="1587"/>
      <c r="G398" s="1587"/>
      <c r="H398" s="1587"/>
      <c r="I398" s="1587"/>
      <c r="J398" s="1587"/>
      <c r="K398" s="1587"/>
      <c r="L398" s="1587"/>
      <c r="M398" s="1587"/>
      <c r="N398" s="1587"/>
      <c r="O398" s="1587"/>
      <c r="P398" s="1587"/>
      <c r="Q398" s="1587"/>
    </row>
    <row r="399">
      <c r="A399" s="1587"/>
      <c r="B399" s="1587"/>
      <c r="C399" s="1587"/>
      <c r="D399" s="1587"/>
      <c r="E399" s="1587"/>
      <c r="F399" s="1587"/>
      <c r="G399" s="1587"/>
      <c r="H399" s="1587"/>
      <c r="I399" s="1587"/>
      <c r="J399" s="1587"/>
      <c r="K399" s="1587"/>
      <c r="L399" s="1587"/>
      <c r="M399" s="1587"/>
      <c r="N399" s="1587"/>
      <c r="O399" s="1587"/>
      <c r="P399" s="1587"/>
      <c r="Q399" s="1587"/>
    </row>
    <row r="400">
      <c r="A400" s="1587"/>
      <c r="B400" s="1587"/>
      <c r="C400" s="1587"/>
      <c r="D400" s="1587"/>
      <c r="E400" s="1587"/>
      <c r="F400" s="1587"/>
      <c r="G400" s="1587"/>
      <c r="H400" s="1587"/>
      <c r="I400" s="1587"/>
      <c r="J400" s="1587"/>
      <c r="K400" s="1587"/>
      <c r="L400" s="1587"/>
      <c r="M400" s="1587"/>
      <c r="N400" s="1587"/>
      <c r="O400" s="1587"/>
      <c r="P400" s="1587"/>
      <c r="Q400" s="1587"/>
    </row>
    <row r="401">
      <c r="A401" s="1587"/>
      <c r="B401" s="1587"/>
      <c r="C401" s="1587"/>
      <c r="D401" s="1587"/>
      <c r="E401" s="1587"/>
      <c r="F401" s="1587"/>
      <c r="G401" s="1587"/>
      <c r="H401" s="1587"/>
      <c r="I401" s="1587"/>
      <c r="J401" s="1587"/>
      <c r="K401" s="1587"/>
      <c r="L401" s="1587"/>
      <c r="M401" s="1587"/>
      <c r="N401" s="1587"/>
      <c r="O401" s="1587"/>
      <c r="P401" s="1587"/>
      <c r="Q401" s="1587"/>
    </row>
    <row r="402">
      <c r="A402" s="1587"/>
      <c r="B402" s="1587"/>
      <c r="C402" s="1587"/>
      <c r="D402" s="1587"/>
      <c r="E402" s="1587"/>
      <c r="F402" s="1587"/>
      <c r="G402" s="1587"/>
      <c r="H402" s="1587"/>
      <c r="I402" s="1587"/>
      <c r="J402" s="1587"/>
      <c r="K402" s="1587"/>
      <c r="L402" s="1587"/>
      <c r="M402" s="1587"/>
      <c r="N402" s="1587"/>
      <c r="O402" s="1587"/>
      <c r="P402" s="1587"/>
      <c r="Q402" s="1587"/>
    </row>
    <row r="403">
      <c r="A403" s="1587"/>
      <c r="B403" s="1587"/>
      <c r="C403" s="1587"/>
      <c r="D403" s="1587"/>
      <c r="E403" s="1587"/>
      <c r="F403" s="1587"/>
      <c r="G403" s="1587"/>
      <c r="H403" s="1587"/>
      <c r="I403" s="1587"/>
      <c r="J403" s="1587"/>
      <c r="K403" s="1587"/>
      <c r="L403" s="1587"/>
      <c r="M403" s="1587"/>
      <c r="N403" s="1587"/>
      <c r="O403" s="1587"/>
      <c r="P403" s="1587"/>
      <c r="Q403" s="1587"/>
    </row>
    <row r="404">
      <c r="A404" s="1587"/>
      <c r="B404" s="1587"/>
      <c r="C404" s="1587"/>
      <c r="D404" s="1587"/>
      <c r="E404" s="1587"/>
      <c r="F404" s="1587"/>
      <c r="G404" s="1587"/>
      <c r="H404" s="1587"/>
      <c r="I404" s="1587"/>
      <c r="J404" s="1587"/>
      <c r="K404" s="1587"/>
      <c r="L404" s="1587"/>
      <c r="M404" s="1587"/>
      <c r="N404" s="1587"/>
      <c r="O404" s="1587"/>
      <c r="P404" s="1587"/>
      <c r="Q404" s="1587"/>
    </row>
    <row r="405">
      <c r="A405" s="1587"/>
      <c r="B405" s="1587"/>
      <c r="C405" s="1587"/>
      <c r="D405" s="1587"/>
      <c r="E405" s="1587"/>
      <c r="F405" s="1587"/>
      <c r="G405" s="1587"/>
      <c r="H405" s="1587"/>
      <c r="I405" s="1587"/>
      <c r="J405" s="1587"/>
      <c r="K405" s="1587"/>
      <c r="L405" s="1587"/>
      <c r="M405" s="1587"/>
      <c r="N405" s="1587"/>
      <c r="O405" s="1587"/>
      <c r="P405" s="1587"/>
      <c r="Q405" s="1587"/>
    </row>
    <row r="406">
      <c r="A406" s="1587"/>
      <c r="B406" s="1587"/>
      <c r="C406" s="1587"/>
      <c r="D406" s="1587"/>
      <c r="E406" s="1587"/>
      <c r="F406" s="1587"/>
      <c r="G406" s="1587"/>
      <c r="H406" s="1587"/>
      <c r="I406" s="1587"/>
      <c r="J406" s="1587"/>
      <c r="K406" s="1587"/>
      <c r="L406" s="1587"/>
      <c r="M406" s="1587"/>
      <c r="N406" s="1587"/>
      <c r="O406" s="1587"/>
      <c r="P406" s="1587"/>
      <c r="Q406" s="1587"/>
    </row>
    <row r="407">
      <c r="A407" s="1587"/>
      <c r="B407" s="1587"/>
      <c r="C407" s="1587"/>
      <c r="D407" s="1587"/>
      <c r="E407" s="1587"/>
      <c r="F407" s="1587"/>
      <c r="G407" s="1587"/>
      <c r="H407" s="1587"/>
      <c r="I407" s="1587"/>
      <c r="J407" s="1587"/>
      <c r="K407" s="1587"/>
      <c r="L407" s="1587"/>
      <c r="M407" s="1587"/>
      <c r="N407" s="1587"/>
      <c r="O407" s="1587"/>
      <c r="P407" s="1587"/>
      <c r="Q407" s="1587"/>
    </row>
    <row r="408">
      <c r="A408" s="1587"/>
      <c r="B408" s="1587"/>
      <c r="C408" s="1587"/>
      <c r="D408" s="1587"/>
      <c r="E408" s="1587"/>
      <c r="F408" s="1587"/>
      <c r="G408" s="1587"/>
      <c r="H408" s="1587"/>
      <c r="I408" s="1587"/>
      <c r="J408" s="1587"/>
      <c r="K408" s="1587"/>
      <c r="L408" s="1587"/>
      <c r="M408" s="1587"/>
      <c r="N408" s="1587"/>
      <c r="O408" s="1587"/>
      <c r="P408" s="1587"/>
      <c r="Q408" s="1587"/>
    </row>
    <row r="409">
      <c r="A409" s="1587"/>
      <c r="B409" s="1587"/>
      <c r="C409" s="1587"/>
      <c r="D409" s="1587"/>
      <c r="E409" s="1587"/>
      <c r="F409" s="1587"/>
      <c r="G409" s="1587"/>
      <c r="H409" s="1587"/>
      <c r="I409" s="1587"/>
      <c r="J409" s="1587"/>
      <c r="K409" s="1587"/>
      <c r="L409" s="1587"/>
      <c r="M409" s="1587"/>
      <c r="N409" s="1587"/>
      <c r="O409" s="1587"/>
      <c r="P409" s="1587"/>
      <c r="Q409" s="1587"/>
    </row>
    <row r="410">
      <c r="A410" s="1587"/>
      <c r="B410" s="1587"/>
      <c r="C410" s="1587"/>
      <c r="D410" s="1587"/>
      <c r="E410" s="1587"/>
      <c r="F410" s="1587"/>
      <c r="G410" s="1587"/>
      <c r="H410" s="1587"/>
      <c r="I410" s="1587"/>
      <c r="J410" s="1587"/>
      <c r="K410" s="1587"/>
      <c r="L410" s="1587"/>
      <c r="M410" s="1587"/>
      <c r="N410" s="1587"/>
      <c r="O410" s="1587"/>
      <c r="P410" s="1587"/>
      <c r="Q410" s="1587"/>
    </row>
    <row r="411">
      <c r="A411" s="1587"/>
      <c r="B411" s="1587"/>
      <c r="C411" s="1587"/>
      <c r="D411" s="1587"/>
      <c r="E411" s="1587"/>
      <c r="F411" s="1587"/>
      <c r="G411" s="1587"/>
      <c r="H411" s="1587"/>
      <c r="I411" s="1587"/>
      <c r="J411" s="1587"/>
      <c r="K411" s="1587"/>
      <c r="L411" s="1587"/>
      <c r="M411" s="1587"/>
      <c r="N411" s="1587"/>
      <c r="O411" s="1587"/>
      <c r="P411" s="1587"/>
      <c r="Q411" s="1587"/>
    </row>
    <row r="412">
      <c r="A412" s="1587"/>
      <c r="B412" s="1587"/>
      <c r="C412" s="1587"/>
      <c r="D412" s="1587"/>
      <c r="E412" s="1587"/>
      <c r="F412" s="1587"/>
      <c r="G412" s="1587"/>
      <c r="H412" s="1587"/>
      <c r="I412" s="1587"/>
      <c r="J412" s="1587"/>
      <c r="K412" s="1587"/>
      <c r="L412" s="1587"/>
      <c r="M412" s="1587"/>
      <c r="N412" s="1587"/>
      <c r="O412" s="1587"/>
      <c r="P412" s="1587"/>
      <c r="Q412" s="1587"/>
    </row>
    <row r="413">
      <c r="A413" s="1587"/>
      <c r="B413" s="1587"/>
      <c r="C413" s="1587"/>
      <c r="D413" s="1587"/>
      <c r="E413" s="1587"/>
      <c r="F413" s="1587"/>
      <c r="G413" s="1587"/>
      <c r="H413" s="1587"/>
      <c r="I413" s="1587"/>
      <c r="J413" s="1587"/>
      <c r="K413" s="1587"/>
      <c r="L413" s="1587"/>
      <c r="M413" s="1587"/>
      <c r="N413" s="1587"/>
      <c r="O413" s="1587"/>
      <c r="P413" s="1587"/>
      <c r="Q413" s="1587"/>
    </row>
    <row r="414">
      <c r="A414" s="1587"/>
      <c r="B414" s="1587"/>
      <c r="C414" s="1587"/>
      <c r="D414" s="1587"/>
      <c r="E414" s="1587"/>
      <c r="F414" s="1587"/>
      <c r="G414" s="1587"/>
      <c r="H414" s="1587"/>
      <c r="I414" s="1587"/>
      <c r="J414" s="1587"/>
      <c r="K414" s="1587"/>
      <c r="L414" s="1587"/>
      <c r="M414" s="1587"/>
      <c r="N414" s="1587"/>
      <c r="O414" s="1587"/>
      <c r="P414" s="1587"/>
      <c r="Q414" s="1587"/>
    </row>
    <row r="415">
      <c r="A415" s="1587"/>
      <c r="B415" s="1587"/>
      <c r="C415" s="1587"/>
      <c r="D415" s="1587"/>
      <c r="E415" s="1587"/>
      <c r="F415" s="1587"/>
      <c r="G415" s="1587"/>
      <c r="H415" s="1587"/>
      <c r="I415" s="1587"/>
      <c r="J415" s="1587"/>
      <c r="K415" s="1587"/>
      <c r="L415" s="1587"/>
      <c r="M415" s="1587"/>
      <c r="N415" s="1587"/>
      <c r="O415" s="1587"/>
      <c r="P415" s="1587"/>
      <c r="Q415" s="1587"/>
    </row>
    <row r="416">
      <c r="A416" s="1587"/>
      <c r="B416" s="1587"/>
      <c r="C416" s="1587"/>
      <c r="D416" s="1587"/>
      <c r="E416" s="1587"/>
      <c r="F416" s="1587"/>
      <c r="G416" s="1587"/>
      <c r="H416" s="1587"/>
      <c r="I416" s="1587"/>
      <c r="J416" s="1587"/>
      <c r="K416" s="1587"/>
      <c r="L416" s="1587"/>
      <c r="M416" s="1587"/>
      <c r="N416" s="1587"/>
      <c r="O416" s="1587"/>
      <c r="P416" s="1587"/>
      <c r="Q416" s="1587"/>
    </row>
    <row r="417">
      <c r="A417" s="1587"/>
      <c r="B417" s="1587"/>
      <c r="C417" s="1587"/>
      <c r="D417" s="1587"/>
      <c r="E417" s="1587"/>
      <c r="F417" s="1587"/>
      <c r="G417" s="1587"/>
      <c r="H417" s="1587"/>
      <c r="I417" s="1587"/>
      <c r="J417" s="1587"/>
      <c r="K417" s="1587"/>
      <c r="L417" s="1587"/>
      <c r="M417" s="1587"/>
      <c r="N417" s="1587"/>
      <c r="O417" s="1587"/>
      <c r="P417" s="1587"/>
      <c r="Q417" s="1587"/>
    </row>
    <row r="418">
      <c r="A418" s="1587"/>
      <c r="B418" s="1587"/>
      <c r="C418" s="1587"/>
      <c r="D418" s="1587"/>
      <c r="E418" s="1587"/>
      <c r="F418" s="1587"/>
      <c r="G418" s="1587"/>
      <c r="H418" s="1587"/>
      <c r="I418" s="1587"/>
      <c r="J418" s="1587"/>
      <c r="K418" s="1587"/>
      <c r="L418" s="1587"/>
      <c r="M418" s="1587"/>
      <c r="N418" s="1587"/>
      <c r="O418" s="1587"/>
      <c r="P418" s="1587"/>
      <c r="Q418" s="1587"/>
    </row>
    <row r="419">
      <c r="A419" s="1587"/>
      <c r="B419" s="1587"/>
      <c r="C419" s="1587"/>
      <c r="D419" s="1587"/>
      <c r="E419" s="1587"/>
      <c r="F419" s="1587"/>
      <c r="G419" s="1587"/>
      <c r="H419" s="1587"/>
      <c r="I419" s="1587"/>
      <c r="J419" s="1587"/>
      <c r="K419" s="1587"/>
      <c r="L419" s="1587"/>
      <c r="M419" s="1587"/>
      <c r="N419" s="1587"/>
      <c r="O419" s="1587"/>
      <c r="P419" s="1587"/>
      <c r="Q419" s="1587"/>
    </row>
    <row r="420">
      <c r="A420" s="1587"/>
      <c r="B420" s="1587"/>
      <c r="C420" s="1587"/>
      <c r="D420" s="1587"/>
      <c r="E420" s="1587"/>
      <c r="F420" s="1587"/>
      <c r="G420" s="1587"/>
      <c r="H420" s="1587"/>
      <c r="I420" s="1587"/>
      <c r="J420" s="1587"/>
      <c r="K420" s="1587"/>
      <c r="L420" s="1587"/>
      <c r="M420" s="1587"/>
      <c r="N420" s="1587"/>
      <c r="O420" s="1587"/>
      <c r="P420" s="1587"/>
      <c r="Q420" s="1587"/>
    </row>
    <row r="421">
      <c r="A421" s="1587"/>
      <c r="B421" s="1587"/>
      <c r="C421" s="1587"/>
      <c r="D421" s="1587"/>
      <c r="E421" s="1587"/>
      <c r="F421" s="1587"/>
      <c r="G421" s="1587"/>
      <c r="H421" s="1587"/>
      <c r="I421" s="1587"/>
      <c r="J421" s="1587"/>
      <c r="K421" s="1587"/>
      <c r="L421" s="1587"/>
      <c r="M421" s="1587"/>
      <c r="N421" s="1587"/>
      <c r="O421" s="1587"/>
      <c r="P421" s="1587"/>
      <c r="Q421" s="1587"/>
    </row>
    <row r="422">
      <c r="A422" s="1587"/>
      <c r="B422" s="1587"/>
      <c r="C422" s="1587"/>
      <c r="D422" s="1587"/>
      <c r="E422" s="1587"/>
      <c r="F422" s="1587"/>
      <c r="G422" s="1587"/>
      <c r="H422" s="1587"/>
      <c r="I422" s="1587"/>
      <c r="J422" s="1587"/>
      <c r="K422" s="1587"/>
      <c r="L422" s="1587"/>
      <c r="M422" s="1587"/>
      <c r="N422" s="1587"/>
      <c r="O422" s="1587"/>
      <c r="P422" s="1587"/>
      <c r="Q422" s="1587"/>
    </row>
    <row r="423">
      <c r="A423" s="1587"/>
      <c r="B423" s="1587"/>
      <c r="C423" s="1587"/>
      <c r="D423" s="1587"/>
      <c r="E423" s="1587"/>
      <c r="F423" s="1587"/>
      <c r="G423" s="1587"/>
      <c r="H423" s="1587"/>
      <c r="I423" s="1587"/>
      <c r="J423" s="1587"/>
      <c r="K423" s="1587"/>
      <c r="L423" s="1587"/>
      <c r="M423" s="1587"/>
      <c r="N423" s="1587"/>
      <c r="O423" s="1587"/>
      <c r="P423" s="1587"/>
      <c r="Q423" s="1587"/>
    </row>
    <row r="424">
      <c r="A424" s="1587"/>
      <c r="B424" s="1587"/>
      <c r="C424" s="1587"/>
      <c r="D424" s="1587"/>
      <c r="E424" s="1587"/>
      <c r="F424" s="1587"/>
      <c r="G424" s="1587"/>
      <c r="H424" s="1587"/>
      <c r="I424" s="1587"/>
      <c r="J424" s="1587"/>
      <c r="K424" s="1587"/>
      <c r="L424" s="1587"/>
      <c r="M424" s="1587"/>
      <c r="N424" s="1587"/>
      <c r="O424" s="1587"/>
      <c r="P424" s="1587"/>
      <c r="Q424" s="1587"/>
    </row>
    <row r="425">
      <c r="A425" s="1587"/>
      <c r="B425" s="1587"/>
      <c r="C425" s="1587"/>
      <c r="D425" s="1587"/>
      <c r="E425" s="1587"/>
      <c r="F425" s="1587"/>
      <c r="G425" s="1587"/>
      <c r="H425" s="1587"/>
      <c r="I425" s="1587"/>
      <c r="J425" s="1587"/>
      <c r="K425" s="1587"/>
      <c r="L425" s="1587"/>
      <c r="M425" s="1587"/>
      <c r="N425" s="1587"/>
      <c r="O425" s="1587"/>
      <c r="P425" s="1587"/>
      <c r="Q425" s="1587"/>
    </row>
    <row r="426">
      <c r="A426" s="1587"/>
      <c r="B426" s="1587"/>
      <c r="C426" s="1587"/>
      <c r="D426" s="1587"/>
      <c r="E426" s="1587"/>
      <c r="F426" s="1587"/>
      <c r="G426" s="1587"/>
      <c r="H426" s="1587"/>
      <c r="I426" s="1587"/>
      <c r="J426" s="1587"/>
      <c r="K426" s="1587"/>
      <c r="L426" s="1587"/>
      <c r="M426" s="1587"/>
      <c r="N426" s="1587"/>
      <c r="O426" s="1587"/>
      <c r="P426" s="1587"/>
      <c r="Q426" s="1587"/>
    </row>
    <row r="427">
      <c r="A427" s="1587"/>
      <c r="B427" s="1587"/>
      <c r="C427" s="1587"/>
      <c r="D427" s="1587"/>
      <c r="E427" s="1587"/>
      <c r="F427" s="1587"/>
      <c r="G427" s="1587"/>
      <c r="H427" s="1587"/>
      <c r="I427" s="1587"/>
      <c r="J427" s="1587"/>
      <c r="K427" s="1587"/>
      <c r="L427" s="1587"/>
      <c r="M427" s="1587"/>
      <c r="N427" s="1587"/>
      <c r="O427" s="1587"/>
      <c r="P427" s="1587"/>
      <c r="Q427" s="1587"/>
    </row>
    <row r="428">
      <c r="A428" s="1587"/>
      <c r="B428" s="1587"/>
      <c r="C428" s="1587"/>
      <c r="D428" s="1587"/>
      <c r="E428" s="1587"/>
      <c r="F428" s="1587"/>
      <c r="G428" s="1587"/>
      <c r="H428" s="1587"/>
      <c r="I428" s="1587"/>
      <c r="J428" s="1587"/>
      <c r="K428" s="1587"/>
      <c r="L428" s="1587"/>
      <c r="M428" s="1587"/>
      <c r="N428" s="1587"/>
      <c r="O428" s="1587"/>
      <c r="P428" s="1587"/>
      <c r="Q428" s="1587"/>
    </row>
    <row r="429">
      <c r="A429" s="1587"/>
      <c r="B429" s="1587"/>
      <c r="C429" s="1587"/>
      <c r="D429" s="1587"/>
      <c r="E429" s="1587"/>
      <c r="F429" s="1587"/>
      <c r="G429" s="1587"/>
      <c r="H429" s="1587"/>
      <c r="I429" s="1587"/>
      <c r="J429" s="1587"/>
      <c r="K429" s="1587"/>
      <c r="L429" s="1587"/>
      <c r="M429" s="1587"/>
      <c r="N429" s="1587"/>
      <c r="O429" s="1587"/>
      <c r="P429" s="1587"/>
      <c r="Q429" s="1587"/>
    </row>
    <row r="430">
      <c r="A430" s="1587"/>
      <c r="B430" s="1587"/>
      <c r="C430" s="1587"/>
      <c r="D430" s="1587"/>
      <c r="E430" s="1587"/>
      <c r="F430" s="1587"/>
      <c r="G430" s="1587"/>
      <c r="H430" s="1587"/>
      <c r="I430" s="1587"/>
      <c r="J430" s="1587"/>
      <c r="K430" s="1587"/>
      <c r="L430" s="1587"/>
      <c r="M430" s="1587"/>
      <c r="N430" s="1587"/>
      <c r="O430" s="1587"/>
      <c r="P430" s="1587"/>
      <c r="Q430" s="1587"/>
    </row>
    <row r="431">
      <c r="A431" s="1587"/>
      <c r="B431" s="1587"/>
      <c r="C431" s="1587"/>
      <c r="D431" s="1587"/>
      <c r="E431" s="1587"/>
      <c r="F431" s="1587"/>
      <c r="G431" s="1587"/>
      <c r="H431" s="1587"/>
      <c r="I431" s="1587"/>
      <c r="J431" s="1587"/>
      <c r="K431" s="1587"/>
      <c r="L431" s="1587"/>
      <c r="M431" s="1587"/>
      <c r="N431" s="1587"/>
      <c r="O431" s="1587"/>
      <c r="P431" s="1587"/>
      <c r="Q431" s="1587"/>
    </row>
    <row r="432">
      <c r="A432" s="1587"/>
      <c r="B432" s="1587"/>
      <c r="C432" s="1587"/>
      <c r="D432" s="1587"/>
      <c r="E432" s="1587"/>
      <c r="F432" s="1587"/>
      <c r="G432" s="1587"/>
      <c r="H432" s="1587"/>
      <c r="I432" s="1587"/>
      <c r="J432" s="1587"/>
      <c r="K432" s="1587"/>
      <c r="L432" s="1587"/>
      <c r="M432" s="1587"/>
      <c r="N432" s="1587"/>
      <c r="O432" s="1587"/>
      <c r="P432" s="1587"/>
      <c r="Q432" s="1587"/>
    </row>
    <row r="433">
      <c r="A433" s="1587"/>
      <c r="B433" s="1587"/>
      <c r="C433" s="1587"/>
      <c r="D433" s="1587"/>
      <c r="E433" s="1587"/>
      <c r="F433" s="1587"/>
      <c r="G433" s="1587"/>
      <c r="H433" s="1587"/>
      <c r="I433" s="1587"/>
      <c r="J433" s="1587"/>
      <c r="K433" s="1587"/>
      <c r="L433" s="1587"/>
      <c r="M433" s="1587"/>
      <c r="N433" s="1587"/>
      <c r="O433" s="1587"/>
      <c r="P433" s="1587"/>
      <c r="Q433" s="1587"/>
    </row>
    <row r="434">
      <c r="A434" s="1587"/>
      <c r="B434" s="1587"/>
      <c r="C434" s="1587"/>
      <c r="D434" s="1587"/>
      <c r="E434" s="1587"/>
      <c r="F434" s="1587"/>
      <c r="G434" s="1587"/>
      <c r="H434" s="1587"/>
      <c r="I434" s="1587"/>
      <c r="J434" s="1587"/>
      <c r="K434" s="1587"/>
      <c r="L434" s="1587"/>
      <c r="M434" s="1587"/>
      <c r="N434" s="1587"/>
      <c r="O434" s="1587"/>
      <c r="P434" s="1587"/>
      <c r="Q434" s="1587"/>
    </row>
    <row r="435">
      <c r="A435" s="1587"/>
      <c r="B435" s="1587"/>
      <c r="C435" s="1587"/>
      <c r="D435" s="1587"/>
      <c r="E435" s="1587"/>
      <c r="F435" s="1587"/>
      <c r="G435" s="1587"/>
      <c r="H435" s="1587"/>
      <c r="I435" s="1587"/>
      <c r="J435" s="1587"/>
      <c r="K435" s="1587"/>
      <c r="L435" s="1587"/>
      <c r="M435" s="1587"/>
      <c r="N435" s="1587"/>
      <c r="O435" s="1587"/>
      <c r="P435" s="1587"/>
      <c r="Q435" s="158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33.57"/>
    <col customWidth="1" min="4" max="4" width="39.71"/>
    <col customWidth="1" min="6" max="6" width="40.0"/>
    <col customWidth="1" min="10" max="10" width="18.0"/>
    <col customWidth="1" min="12" max="12" width="23.71"/>
  </cols>
  <sheetData>
    <row r="1">
      <c r="A1" s="1577"/>
      <c r="B1" s="1602" t="s">
        <v>5671</v>
      </c>
      <c r="C1" s="1577"/>
      <c r="D1" s="1602" t="s">
        <v>5672</v>
      </c>
      <c r="F1" s="1603" t="s">
        <v>5673</v>
      </c>
      <c r="G1" s="1577"/>
      <c r="H1" s="1602" t="s">
        <v>5674</v>
      </c>
    </row>
    <row r="2">
      <c r="A2" s="1604"/>
      <c r="B2" s="1605"/>
      <c r="D2" s="1605"/>
      <c r="F2" s="1605"/>
      <c r="H2" s="1605"/>
      <c r="J2" s="606" t="s">
        <v>5675</v>
      </c>
      <c r="L2" s="606" t="s">
        <v>5676</v>
      </c>
    </row>
    <row r="3">
      <c r="B3" s="1606"/>
      <c r="D3" s="1606"/>
      <c r="F3" s="1606"/>
      <c r="H3" s="1606"/>
      <c r="J3" s="1607" t="s">
        <v>4446</v>
      </c>
      <c r="L3" s="1608" t="s">
        <v>245</v>
      </c>
    </row>
    <row r="4">
      <c r="B4" s="1605"/>
      <c r="D4" s="1605"/>
      <c r="F4" s="1605"/>
      <c r="H4" s="1605"/>
      <c r="J4" s="1607" t="s">
        <v>4438</v>
      </c>
      <c r="L4" s="1608" t="s">
        <v>577</v>
      </c>
    </row>
    <row r="5">
      <c r="B5" s="1606"/>
      <c r="D5" s="1606"/>
      <c r="F5" s="1606"/>
      <c r="H5" s="1606"/>
      <c r="J5" s="1607" t="s">
        <v>4843</v>
      </c>
      <c r="L5" s="1608" t="s">
        <v>301</v>
      </c>
    </row>
    <row r="6">
      <c r="B6" s="1605"/>
      <c r="D6" s="1605"/>
      <c r="F6" s="1609"/>
      <c r="H6" s="1605"/>
      <c r="J6" s="1607" t="s">
        <v>4847</v>
      </c>
      <c r="L6" s="1608" t="s">
        <v>316</v>
      </c>
    </row>
    <row r="7">
      <c r="B7" s="1606"/>
      <c r="D7" s="1606"/>
      <c r="F7" s="1312"/>
      <c r="H7" s="1606"/>
      <c r="J7" s="1607" t="s">
        <v>4485</v>
      </c>
      <c r="L7" s="1607" t="s">
        <v>366</v>
      </c>
      <c r="M7" s="1610"/>
      <c r="N7" s="1611"/>
      <c r="O7" s="1612"/>
      <c r="P7" s="1612"/>
      <c r="Q7" s="1612"/>
      <c r="R7" s="1612"/>
    </row>
    <row r="8">
      <c r="B8" s="1605"/>
      <c r="D8" s="1605"/>
      <c r="F8" s="1609"/>
      <c r="H8" s="1605"/>
      <c r="J8" s="1607" t="s">
        <v>4058</v>
      </c>
      <c r="L8" s="1607" t="s">
        <v>367</v>
      </c>
      <c r="M8" s="1610"/>
      <c r="N8" s="1611"/>
      <c r="O8" s="1612"/>
      <c r="P8" s="1612"/>
      <c r="Q8" s="1612"/>
      <c r="R8" s="1612"/>
    </row>
    <row r="9">
      <c r="B9" s="1606"/>
      <c r="D9" s="1606"/>
      <c r="F9" s="1312"/>
      <c r="H9" s="1606"/>
      <c r="J9" s="1607" t="s">
        <v>3994</v>
      </c>
      <c r="K9" s="1613"/>
      <c r="L9" s="1607" t="s">
        <v>423</v>
      </c>
      <c r="M9" s="1610"/>
      <c r="N9" s="1611"/>
      <c r="O9" s="1612"/>
      <c r="P9" s="1612"/>
      <c r="Q9" s="1612"/>
      <c r="R9" s="1612"/>
    </row>
    <row r="10">
      <c r="B10" s="1605"/>
      <c r="D10" s="1609"/>
      <c r="F10" s="1609"/>
      <c r="H10" s="1609"/>
      <c r="J10" s="1607" t="s">
        <v>4434</v>
      </c>
      <c r="K10" s="1614"/>
      <c r="L10" s="1607" t="s">
        <v>1358</v>
      </c>
      <c r="M10" s="1610"/>
      <c r="N10" s="1611"/>
      <c r="O10" s="1612"/>
      <c r="P10" s="1612"/>
      <c r="Q10" s="1612"/>
      <c r="R10" s="1612"/>
    </row>
    <row r="11">
      <c r="B11" s="1606"/>
      <c r="D11" s="1312"/>
      <c r="F11" s="1606"/>
      <c r="H11" s="1312"/>
      <c r="J11" s="1607" t="s">
        <v>3795</v>
      </c>
      <c r="K11" s="1613"/>
      <c r="L11" s="1607" t="s">
        <v>922</v>
      </c>
      <c r="M11" s="1610"/>
      <c r="N11" s="1611"/>
      <c r="O11" s="1612"/>
      <c r="P11" s="1612"/>
      <c r="Q11" s="1612"/>
      <c r="R11" s="1612"/>
    </row>
    <row r="12">
      <c r="B12" s="1605"/>
      <c r="D12" s="1609"/>
      <c r="F12" s="1605"/>
      <c r="H12" s="1609"/>
      <c r="J12" s="1607" t="s">
        <v>5128</v>
      </c>
      <c r="L12" s="1607" t="s">
        <v>3237</v>
      </c>
      <c r="M12" s="1610"/>
      <c r="N12" s="1611"/>
      <c r="O12" s="1612"/>
      <c r="P12" s="1612"/>
      <c r="Q12" s="1612"/>
      <c r="R12" s="1612"/>
    </row>
    <row r="13">
      <c r="B13" s="1615"/>
      <c r="D13" s="1312"/>
      <c r="F13" s="1606"/>
      <c r="H13" s="1312"/>
      <c r="J13" s="1607" t="s">
        <v>3383</v>
      </c>
      <c r="L13" s="1607" t="s">
        <v>5677</v>
      </c>
      <c r="M13" s="1610"/>
      <c r="N13" s="1611"/>
      <c r="O13" s="1612"/>
      <c r="P13" s="1612"/>
      <c r="Q13" s="1612"/>
      <c r="R13" s="1612"/>
    </row>
    <row r="14">
      <c r="B14" s="1614"/>
      <c r="D14" s="1609"/>
      <c r="F14" s="1605"/>
      <c r="H14" s="1609"/>
      <c r="J14" s="1607" t="s">
        <v>3429</v>
      </c>
      <c r="L14" s="1607" t="s">
        <v>1379</v>
      </c>
      <c r="M14" s="1610"/>
      <c r="N14" s="1611"/>
      <c r="O14" s="1612"/>
      <c r="P14" s="1612"/>
      <c r="Q14" s="1612"/>
      <c r="R14" s="1612"/>
    </row>
    <row r="15">
      <c r="B15" s="1615"/>
      <c r="D15" s="1312"/>
      <c r="F15" s="1606"/>
      <c r="H15" s="1312"/>
      <c r="J15" s="1608" t="s">
        <v>3360</v>
      </c>
      <c r="L15" s="1607" t="s">
        <v>1336</v>
      </c>
      <c r="M15" s="1610"/>
      <c r="N15" s="1611"/>
      <c r="O15" s="1612"/>
      <c r="P15" s="1612"/>
      <c r="Q15" s="1612"/>
      <c r="R15" s="1612"/>
    </row>
    <row r="16">
      <c r="B16" s="1614"/>
      <c r="D16" s="1609"/>
      <c r="F16" s="1606"/>
      <c r="H16" s="1609"/>
      <c r="J16" s="1608" t="s">
        <v>4187</v>
      </c>
      <c r="L16" s="1607" t="s">
        <v>5678</v>
      </c>
      <c r="M16" s="1610"/>
      <c r="N16" s="1611"/>
      <c r="O16" s="1612"/>
      <c r="P16" s="1612"/>
      <c r="Q16" s="1612"/>
      <c r="R16" s="1612"/>
    </row>
    <row r="17">
      <c r="B17" s="1615"/>
      <c r="D17" s="1312"/>
      <c r="F17" s="1616"/>
      <c r="H17" s="1312"/>
      <c r="J17" s="1608" t="s">
        <v>4131</v>
      </c>
      <c r="L17" s="1607" t="s">
        <v>381</v>
      </c>
      <c r="M17" s="1610"/>
      <c r="N17" s="1611"/>
      <c r="O17" s="1612"/>
      <c r="P17" s="1612"/>
      <c r="Q17" s="1612"/>
      <c r="R17" s="1612"/>
    </row>
    <row r="18">
      <c r="B18" s="1614"/>
      <c r="D18" s="1609"/>
      <c r="F18" s="1312"/>
      <c r="H18" s="1609"/>
      <c r="J18" s="1608" t="s">
        <v>3370</v>
      </c>
      <c r="L18" s="1607" t="s">
        <v>306</v>
      </c>
      <c r="M18" s="1610"/>
      <c r="N18" s="1611"/>
      <c r="O18" s="1612"/>
      <c r="P18" s="1612"/>
      <c r="Q18" s="1612"/>
      <c r="R18" s="1612"/>
    </row>
    <row r="19">
      <c r="B19" s="1615"/>
      <c r="D19" s="1312"/>
      <c r="F19" s="1617"/>
      <c r="H19" s="1312"/>
      <c r="J19" s="1608" t="s">
        <v>3425</v>
      </c>
      <c r="L19" s="1607" t="s">
        <v>460</v>
      </c>
      <c r="M19" s="1610"/>
      <c r="N19" s="1611"/>
      <c r="P19" s="1612"/>
      <c r="Q19" s="1612"/>
      <c r="R19" s="1612"/>
    </row>
    <row r="20">
      <c r="B20" s="1607"/>
      <c r="D20" s="1609"/>
      <c r="F20" s="1606"/>
      <c r="H20" s="1609"/>
      <c r="J20" s="1608" t="s">
        <v>4498</v>
      </c>
      <c r="L20" s="1607" t="s">
        <v>157</v>
      </c>
      <c r="M20" s="1610"/>
      <c r="N20" s="1611"/>
      <c r="P20" s="1612"/>
      <c r="Q20" s="1612"/>
      <c r="R20" s="1612"/>
    </row>
    <row r="21">
      <c r="B21" s="1618"/>
      <c r="D21" s="1312"/>
      <c r="F21" s="1617"/>
      <c r="H21" s="1312"/>
      <c r="J21" s="1608" t="s">
        <v>4461</v>
      </c>
      <c r="L21" s="1607" t="s">
        <v>203</v>
      </c>
      <c r="M21" s="1610"/>
      <c r="N21" s="1611"/>
      <c r="P21" s="1612"/>
      <c r="Q21" s="1612"/>
      <c r="R21" s="1612"/>
    </row>
    <row r="22">
      <c r="B22" s="1618"/>
      <c r="D22" s="1609"/>
      <c r="F22" s="1606"/>
      <c r="H22" s="1609"/>
      <c r="J22" s="606" t="s">
        <v>4578</v>
      </c>
      <c r="L22" s="1608" t="s">
        <v>1460</v>
      </c>
      <c r="M22" s="1610"/>
      <c r="N22" s="1611"/>
      <c r="P22" s="1612"/>
      <c r="Q22" s="1612"/>
      <c r="R22" s="1612"/>
    </row>
    <row r="23">
      <c r="B23" s="1618"/>
      <c r="D23" s="1312"/>
      <c r="F23" s="1616"/>
      <c r="H23" s="1312"/>
      <c r="J23" s="1607" t="s">
        <v>4563</v>
      </c>
      <c r="L23" s="1607" t="s">
        <v>1462</v>
      </c>
      <c r="M23" s="1610"/>
      <c r="N23" s="1611"/>
      <c r="P23" s="1612"/>
      <c r="Q23" s="1612"/>
      <c r="R23" s="1612"/>
    </row>
    <row r="24">
      <c r="B24" s="1618"/>
      <c r="D24" s="1609"/>
      <c r="F24" s="1606"/>
      <c r="H24" s="1609"/>
      <c r="J24" s="606" t="s">
        <v>3367</v>
      </c>
      <c r="L24" s="1607" t="s">
        <v>354</v>
      </c>
      <c r="M24" s="1610"/>
      <c r="N24" s="1611"/>
      <c r="P24" s="1612"/>
      <c r="Q24" s="1612"/>
      <c r="R24" s="1612"/>
    </row>
    <row r="25">
      <c r="B25" s="1618"/>
      <c r="D25" s="1615"/>
      <c r="F25" s="1616"/>
      <c r="H25" s="1605"/>
      <c r="J25" s="606" t="s">
        <v>4553</v>
      </c>
      <c r="L25" s="1607" t="s">
        <v>379</v>
      </c>
      <c r="M25" s="1610"/>
      <c r="N25" s="1611"/>
      <c r="P25" s="1612"/>
      <c r="Q25" s="1612"/>
      <c r="R25" s="1612"/>
    </row>
    <row r="26">
      <c r="B26" s="1618"/>
      <c r="D26" s="1615"/>
      <c r="F26" s="1606"/>
      <c r="H26" s="1606"/>
      <c r="J26" s="606" t="s">
        <v>4487</v>
      </c>
      <c r="L26" s="1607" t="s">
        <v>352</v>
      </c>
      <c r="M26" s="1610"/>
      <c r="N26" s="1611"/>
      <c r="P26" s="1612"/>
      <c r="Q26" s="1612"/>
      <c r="R26" s="1612"/>
    </row>
    <row r="27">
      <c r="B27" s="1619"/>
      <c r="F27" s="1616"/>
      <c r="H27" s="1605"/>
      <c r="J27" s="606" t="s">
        <v>4474</v>
      </c>
      <c r="L27" s="1607" t="s">
        <v>85</v>
      </c>
      <c r="M27" s="1610"/>
      <c r="N27" s="1611"/>
      <c r="P27" s="1612"/>
      <c r="Q27" s="1612"/>
      <c r="R27" s="1612"/>
    </row>
    <row r="28">
      <c r="B28" s="1619"/>
      <c r="F28" s="1606"/>
      <c r="H28" s="1606"/>
      <c r="J28" s="606" t="s">
        <v>4798</v>
      </c>
      <c r="L28" s="1607" t="s">
        <v>3213</v>
      </c>
      <c r="M28" s="1610"/>
      <c r="N28" s="1611"/>
      <c r="P28" s="1612"/>
      <c r="Q28" s="1612"/>
      <c r="R28" s="1612"/>
    </row>
    <row r="29">
      <c r="B29" s="1607"/>
      <c r="F29" s="1616"/>
      <c r="H29" s="1605"/>
      <c r="J29" s="606" t="s">
        <v>4102</v>
      </c>
      <c r="L29" s="1607" t="s">
        <v>351</v>
      </c>
      <c r="M29" s="1610"/>
      <c r="N29" s="1611"/>
      <c r="P29" s="1612"/>
      <c r="Q29" s="1612"/>
      <c r="R29" s="1612"/>
    </row>
    <row r="30">
      <c r="B30" s="1619"/>
      <c r="F30" s="1606"/>
      <c r="H30" s="1606"/>
      <c r="J30" s="606" t="s">
        <v>4610</v>
      </c>
      <c r="L30" s="1607" t="s">
        <v>440</v>
      </c>
      <c r="M30" s="1610"/>
      <c r="N30" s="1611"/>
      <c r="P30" s="1612"/>
      <c r="Q30" s="1612"/>
      <c r="R30" s="1612"/>
    </row>
    <row r="31">
      <c r="B31" s="1615"/>
      <c r="F31" s="1616"/>
      <c r="H31" s="1605"/>
      <c r="J31" s="606" t="s">
        <v>3812</v>
      </c>
      <c r="L31" s="1607" t="s">
        <v>489</v>
      </c>
      <c r="M31" s="1610"/>
      <c r="N31" s="1611"/>
      <c r="P31" s="1612"/>
      <c r="Q31" s="1612"/>
      <c r="R31" s="1612"/>
    </row>
    <row r="32">
      <c r="B32" s="1615"/>
      <c r="F32" s="1606"/>
      <c r="H32" s="1606"/>
      <c r="J32" s="606" t="s">
        <v>4423</v>
      </c>
      <c r="L32" s="1607" t="s">
        <v>461</v>
      </c>
      <c r="M32" s="1610"/>
      <c r="N32" s="1611"/>
      <c r="O32" s="1612"/>
      <c r="P32" s="1612"/>
      <c r="Q32" s="1612"/>
      <c r="R32" s="1612"/>
    </row>
    <row r="33">
      <c r="B33" s="1615"/>
      <c r="F33" s="1616"/>
      <c r="H33" s="1605"/>
      <c r="J33" s="606" t="s">
        <v>4397</v>
      </c>
      <c r="L33" s="1607" t="s">
        <v>4993</v>
      </c>
      <c r="M33" s="1610"/>
      <c r="N33" s="1611"/>
      <c r="O33" s="1612"/>
      <c r="P33" s="1612"/>
      <c r="Q33" s="1612"/>
      <c r="R33" s="1612"/>
    </row>
    <row r="34">
      <c r="B34" s="1615"/>
      <c r="F34" s="1606"/>
      <c r="H34" s="1606"/>
      <c r="J34" s="606" t="s">
        <v>3817</v>
      </c>
      <c r="L34" s="1607" t="s">
        <v>262</v>
      </c>
      <c r="M34" s="1610"/>
      <c r="N34" s="1611"/>
      <c r="O34" s="1612"/>
      <c r="P34" s="1612"/>
      <c r="Q34" s="1612"/>
      <c r="R34" s="1612"/>
    </row>
    <row r="35">
      <c r="B35" s="1615"/>
      <c r="F35" s="1616"/>
      <c r="H35" s="1605"/>
      <c r="J35" s="606" t="s">
        <v>3727</v>
      </c>
      <c r="L35" s="1607" t="s">
        <v>264</v>
      </c>
      <c r="M35" s="1610"/>
      <c r="N35" s="1611"/>
      <c r="O35" s="1612"/>
      <c r="P35" s="1612"/>
      <c r="Q35" s="1612"/>
      <c r="R35" s="1612"/>
    </row>
    <row r="36">
      <c r="B36" s="1615"/>
      <c r="F36" s="1606"/>
      <c r="H36" s="1620"/>
      <c r="J36" s="606" t="s">
        <v>4341</v>
      </c>
      <c r="L36" s="1607" t="s">
        <v>266</v>
      </c>
      <c r="M36" s="1610"/>
      <c r="N36" s="1611"/>
      <c r="O36" s="1612"/>
      <c r="P36" s="1612"/>
      <c r="Q36" s="1612"/>
      <c r="R36" s="1612"/>
    </row>
    <row r="37">
      <c r="B37" s="1615"/>
      <c r="D37" s="1607"/>
      <c r="F37" s="1616"/>
      <c r="H37" s="1620"/>
      <c r="J37" s="606" t="s">
        <v>4379</v>
      </c>
      <c r="L37" s="1607" t="s">
        <v>272</v>
      </c>
      <c r="M37" s="1610"/>
      <c r="N37" s="1621"/>
      <c r="O37" s="1611"/>
      <c r="P37" s="1612"/>
      <c r="Q37" s="1612"/>
      <c r="R37" s="1612"/>
      <c r="S37" s="1612"/>
    </row>
    <row r="38">
      <c r="B38" s="1614"/>
      <c r="F38" s="1622"/>
      <c r="H38" s="1620"/>
      <c r="J38" s="606" t="s">
        <v>3400</v>
      </c>
      <c r="L38" s="1607" t="s">
        <v>323</v>
      </c>
      <c r="N38" s="1610"/>
      <c r="O38" s="1611"/>
      <c r="P38" s="1612"/>
      <c r="Q38" s="1612"/>
      <c r="R38" s="1612"/>
      <c r="S38" s="1612"/>
    </row>
    <row r="39">
      <c r="B39" s="1615"/>
      <c r="F39" s="1622"/>
      <c r="H39" s="1620"/>
      <c r="J39" s="606" t="s">
        <v>3379</v>
      </c>
      <c r="L39" s="1607" t="s">
        <v>5281</v>
      </c>
      <c r="N39" s="1610"/>
      <c r="O39" s="1611"/>
      <c r="P39" s="1612"/>
      <c r="Q39" s="1612"/>
      <c r="R39" s="1612"/>
      <c r="S39" s="1612"/>
    </row>
    <row r="40">
      <c r="B40" s="1614"/>
      <c r="F40" s="1622"/>
      <c r="H40" s="1620"/>
      <c r="J40" s="606" t="s">
        <v>3985</v>
      </c>
      <c r="L40" s="1607" t="s">
        <v>1336</v>
      </c>
      <c r="N40" s="1610"/>
      <c r="O40" s="1611"/>
      <c r="P40" s="1612"/>
      <c r="Q40" s="1612"/>
      <c r="R40" s="1612"/>
      <c r="S40" s="1612"/>
    </row>
    <row r="41">
      <c r="B41" s="1615"/>
      <c r="F41" s="1623"/>
      <c r="H41" s="1620"/>
      <c r="J41" s="606" t="s">
        <v>3359</v>
      </c>
      <c r="L41" s="1607" t="s">
        <v>1339</v>
      </c>
      <c r="N41" s="1610"/>
      <c r="O41" s="1611"/>
      <c r="P41" s="1612"/>
      <c r="Q41" s="1612"/>
      <c r="R41" s="1612"/>
      <c r="S41" s="1612"/>
    </row>
    <row r="42">
      <c r="B42" s="1614"/>
      <c r="F42" s="1624"/>
      <c r="H42" s="1620"/>
      <c r="J42" s="606" t="s">
        <v>4760</v>
      </c>
      <c r="K42" s="1614"/>
      <c r="L42" s="1607" t="s">
        <v>751</v>
      </c>
      <c r="N42" s="1610"/>
      <c r="O42" s="1611"/>
      <c r="P42" s="1612"/>
      <c r="Q42" s="1612"/>
      <c r="R42" s="1612"/>
      <c r="S42" s="1612"/>
    </row>
    <row r="43">
      <c r="B43" s="1615"/>
      <c r="F43" s="1625"/>
      <c r="H43" s="1620"/>
      <c r="J43" s="606" t="s">
        <v>4765</v>
      </c>
      <c r="L43" s="1607" t="s">
        <v>1351</v>
      </c>
      <c r="N43" s="1610"/>
      <c r="O43" s="1611"/>
      <c r="P43" s="1612"/>
      <c r="Q43" s="1612"/>
      <c r="R43" s="1612"/>
      <c r="S43" s="1612"/>
    </row>
    <row r="44">
      <c r="B44" s="1614"/>
      <c r="F44" s="1624"/>
      <c r="H44" s="1620"/>
      <c r="J44" s="606" t="s">
        <v>5679</v>
      </c>
      <c r="L44" s="1607" t="s">
        <v>1211</v>
      </c>
      <c r="N44" s="1610"/>
      <c r="O44" s="1611"/>
      <c r="P44" s="1612"/>
      <c r="Q44" s="1612"/>
      <c r="R44" s="1612"/>
      <c r="S44" s="1612"/>
    </row>
    <row r="45">
      <c r="B45" s="1615"/>
      <c r="F45" s="1344"/>
      <c r="H45" s="1620"/>
      <c r="L45" s="1607" t="s">
        <v>1365</v>
      </c>
      <c r="N45" s="1610"/>
      <c r="O45" s="1611"/>
      <c r="P45" s="1612"/>
      <c r="Q45" s="1612"/>
      <c r="R45" s="1612"/>
      <c r="S45" s="1612"/>
    </row>
    <row r="46">
      <c r="B46" s="1614"/>
      <c r="F46" s="1344"/>
      <c r="H46" s="1620"/>
      <c r="L46" s="1607" t="s">
        <v>1376</v>
      </c>
      <c r="N46" s="1610"/>
      <c r="O46" s="1611"/>
      <c r="P46" s="1612"/>
      <c r="Q46" s="1612"/>
      <c r="R46" s="1612"/>
      <c r="S46" s="1612"/>
    </row>
    <row r="47">
      <c r="B47" s="1624"/>
      <c r="F47" s="1344"/>
      <c r="H47" s="1620"/>
      <c r="L47" s="1607" t="s">
        <v>1379</v>
      </c>
      <c r="N47" s="1610"/>
      <c r="O47" s="1611"/>
      <c r="P47" s="1612"/>
      <c r="Q47" s="1612"/>
      <c r="R47" s="1612"/>
      <c r="S47" s="1612"/>
    </row>
    <row r="48">
      <c r="B48" s="1626"/>
      <c r="D48" s="1607"/>
      <c r="F48" s="1344"/>
      <c r="H48" s="1620"/>
      <c r="L48" s="1607" t="s">
        <v>732</v>
      </c>
      <c r="N48" s="1610"/>
      <c r="O48" s="1611"/>
      <c r="P48" s="1612"/>
      <c r="Q48" s="1612"/>
      <c r="R48" s="1612"/>
      <c r="S48" s="1612"/>
    </row>
    <row r="49">
      <c r="B49" s="1344"/>
      <c r="D49" s="1607"/>
      <c r="F49" s="1344"/>
      <c r="H49" s="1620"/>
      <c r="L49" s="1607" t="s">
        <v>1395</v>
      </c>
      <c r="N49" s="1610"/>
      <c r="O49" s="1611"/>
      <c r="P49" s="1612"/>
      <c r="Q49" s="1612"/>
      <c r="R49" s="1612"/>
      <c r="S49" s="1612"/>
    </row>
    <row r="50">
      <c r="B50" s="1607"/>
      <c r="D50" s="1344"/>
      <c r="F50" s="1344"/>
      <c r="H50" s="606"/>
      <c r="L50" s="1607" t="s">
        <v>1398</v>
      </c>
      <c r="N50" s="1610"/>
      <c r="O50" s="1611"/>
      <c r="P50" s="1612"/>
      <c r="Q50" s="1612"/>
      <c r="R50" s="1612"/>
      <c r="S50" s="1612"/>
    </row>
    <row r="51">
      <c r="B51" s="1607"/>
      <c r="D51" s="1344"/>
      <c r="F51" s="1344"/>
      <c r="H51" s="606"/>
      <c r="I51" s="1627"/>
      <c r="L51" s="1607" t="s">
        <v>325</v>
      </c>
      <c r="N51" s="1610"/>
      <c r="O51" s="1611"/>
      <c r="P51" s="1612"/>
      <c r="Q51" s="1612"/>
      <c r="R51" s="1612"/>
      <c r="S51" s="1612"/>
    </row>
    <row r="52">
      <c r="B52" s="1607"/>
      <c r="D52" s="1344"/>
      <c r="F52" s="1344"/>
      <c r="L52" s="1607" t="s">
        <v>295</v>
      </c>
      <c r="N52" s="1610"/>
      <c r="O52" s="1611"/>
      <c r="P52" s="1612"/>
      <c r="Q52" s="1612"/>
      <c r="R52" s="1612"/>
      <c r="S52" s="1612"/>
    </row>
    <row r="53">
      <c r="B53" s="1607"/>
      <c r="D53" s="1344"/>
      <c r="F53" s="1344"/>
      <c r="H53" s="1628"/>
      <c r="L53" s="1607" t="s">
        <v>305</v>
      </c>
      <c r="N53" s="1610"/>
      <c r="O53" s="1611"/>
      <c r="P53" s="1612"/>
      <c r="Q53" s="1612"/>
      <c r="R53" s="1612"/>
      <c r="S53" s="1612"/>
    </row>
    <row r="54">
      <c r="B54" s="1607"/>
      <c r="F54" s="1344"/>
      <c r="H54" s="1628"/>
      <c r="L54" s="1607" t="s">
        <v>403</v>
      </c>
      <c r="N54" s="1610"/>
      <c r="O54" s="1611"/>
      <c r="P54" s="1612"/>
      <c r="Q54" s="1612"/>
      <c r="R54" s="1612"/>
      <c r="S54" s="1612"/>
    </row>
    <row r="55">
      <c r="B55" s="1607"/>
      <c r="F55" s="1344"/>
      <c r="H55" s="1628"/>
      <c r="L55" s="1607" t="s">
        <v>3234</v>
      </c>
      <c r="N55" s="1610"/>
      <c r="O55" s="1611"/>
      <c r="P55" s="1612"/>
      <c r="Q55" s="1612"/>
      <c r="R55" s="1612"/>
      <c r="S55" s="1612"/>
    </row>
    <row r="56">
      <c r="B56" s="1607"/>
      <c r="H56" s="1628"/>
      <c r="L56" s="1607" t="s">
        <v>3241</v>
      </c>
      <c r="N56" s="1610"/>
      <c r="O56" s="1611"/>
      <c r="P56" s="1612"/>
      <c r="Q56" s="1612"/>
      <c r="R56" s="1612"/>
      <c r="S56" s="1612"/>
    </row>
    <row r="57">
      <c r="H57" s="1628"/>
      <c r="L57" s="1607" t="s">
        <v>3243</v>
      </c>
      <c r="N57" s="1610"/>
      <c r="O57" s="1611"/>
      <c r="P57" s="1612"/>
      <c r="Q57" s="1612"/>
      <c r="R57" s="1612"/>
      <c r="S57" s="1612"/>
    </row>
    <row r="58">
      <c r="I58" s="1304"/>
      <c r="N58" s="1610"/>
      <c r="O58" s="1611"/>
      <c r="P58" s="1612"/>
      <c r="Q58" s="1612"/>
      <c r="R58" s="1612"/>
      <c r="S58" s="1612"/>
    </row>
    <row r="59">
      <c r="M59" s="1610"/>
      <c r="N59" s="1610"/>
      <c r="O59" s="1611"/>
      <c r="P59" s="1612"/>
      <c r="Q59" s="1612"/>
      <c r="R59" s="1612"/>
      <c r="S59" s="1612"/>
    </row>
    <row r="60">
      <c r="N60" s="1610"/>
      <c r="O60" s="1611"/>
      <c r="P60" s="1612"/>
      <c r="Q60" s="1612"/>
      <c r="R60" s="1612"/>
      <c r="S60" s="1612"/>
    </row>
    <row r="61">
      <c r="N61" s="1610"/>
      <c r="O61" s="1611"/>
      <c r="P61" s="1612"/>
      <c r="Q61" s="1612"/>
      <c r="R61" s="1612"/>
      <c r="S61" s="1612"/>
    </row>
    <row r="62">
      <c r="N62" s="1610"/>
      <c r="O62" s="1611"/>
      <c r="P62" s="1612"/>
      <c r="Q62" s="1612"/>
      <c r="R62" s="1612"/>
      <c r="S62" s="1612"/>
    </row>
    <row r="63">
      <c r="N63" s="1610"/>
      <c r="O63" s="1611"/>
      <c r="P63" s="1612"/>
      <c r="Q63" s="1612"/>
      <c r="R63" s="1612"/>
      <c r="S63" s="1612"/>
    </row>
    <row r="64">
      <c r="N64" s="1610"/>
      <c r="O64" s="1611"/>
      <c r="P64" s="1612"/>
      <c r="Q64" s="1612"/>
      <c r="R64" s="1612"/>
      <c r="S64" s="1612"/>
    </row>
    <row r="65">
      <c r="N65" s="1610"/>
      <c r="O65" s="1611"/>
      <c r="P65" s="1612"/>
      <c r="Q65" s="1612"/>
      <c r="R65" s="1612"/>
      <c r="S65" s="1612"/>
    </row>
    <row r="66">
      <c r="N66" s="1610"/>
      <c r="O66" s="1611"/>
      <c r="P66" s="1612"/>
      <c r="Q66" s="1612"/>
      <c r="R66" s="1612"/>
      <c r="S66" s="1612"/>
    </row>
    <row r="67">
      <c r="N67" s="1610"/>
      <c r="O67" s="1611"/>
      <c r="P67" s="1612"/>
      <c r="Q67" s="1612"/>
      <c r="R67" s="1612"/>
      <c r="S67" s="1612"/>
    </row>
    <row r="68">
      <c r="N68" s="1610"/>
      <c r="O68" s="1611"/>
      <c r="P68" s="1612"/>
      <c r="Q68" s="1612"/>
      <c r="R68" s="1612"/>
      <c r="S68" s="1612"/>
    </row>
    <row r="69">
      <c r="N69" s="1610"/>
      <c r="O69" s="1611"/>
      <c r="P69" s="1612"/>
      <c r="Q69" s="1612"/>
      <c r="R69" s="1612"/>
      <c r="S69" s="1612"/>
    </row>
    <row r="70">
      <c r="N70" s="1610"/>
      <c r="O70" s="1611"/>
      <c r="P70" s="1612"/>
      <c r="Q70" s="1612"/>
      <c r="R70" s="1612"/>
      <c r="S70" s="1612"/>
    </row>
    <row r="71">
      <c r="M71" s="1610"/>
      <c r="N71" s="1610"/>
      <c r="O71" s="1611"/>
      <c r="P71" s="1612"/>
      <c r="Q71" s="1612"/>
      <c r="R71" s="1612"/>
      <c r="S71" s="1612"/>
    </row>
    <row r="72">
      <c r="N72" s="1610"/>
      <c r="O72" s="1611"/>
      <c r="P72" s="1612"/>
      <c r="Q72" s="1612"/>
      <c r="R72" s="1612"/>
      <c r="S72" s="1612"/>
    </row>
    <row r="73">
      <c r="N73" s="1610"/>
      <c r="O73" s="1611"/>
      <c r="P73" s="1612"/>
      <c r="Q73" s="1612"/>
      <c r="R73" s="1612"/>
      <c r="S73" s="1612"/>
    </row>
    <row r="74">
      <c r="N74" s="1610"/>
      <c r="O74" s="1611"/>
      <c r="P74" s="1612"/>
      <c r="Q74" s="1612"/>
      <c r="R74" s="1612"/>
      <c r="S74" s="1612"/>
    </row>
    <row r="75">
      <c r="N75" s="1610"/>
      <c r="O75" s="1611"/>
      <c r="P75" s="1612"/>
      <c r="Q75" s="1612"/>
      <c r="R75" s="1612"/>
      <c r="S75" s="1612"/>
    </row>
    <row r="76">
      <c r="N76" s="1610"/>
      <c r="O76" s="1611"/>
      <c r="P76" s="1612"/>
      <c r="Q76" s="1612"/>
      <c r="R76" s="1612"/>
      <c r="S76" s="1612"/>
    </row>
    <row r="77">
      <c r="N77" s="1610"/>
      <c r="O77" s="1611"/>
      <c r="P77" s="1612"/>
      <c r="Q77" s="1612"/>
      <c r="R77" s="1612"/>
      <c r="S77" s="1612"/>
    </row>
    <row r="78">
      <c r="N78" s="1610"/>
      <c r="O78" s="1611"/>
      <c r="P78" s="1612"/>
      <c r="Q78" s="1612"/>
      <c r="R78" s="1612"/>
      <c r="S78" s="1612"/>
    </row>
    <row r="79">
      <c r="N79" s="1610"/>
      <c r="O79" s="1611"/>
      <c r="P79" s="1612"/>
      <c r="Q79" s="1612"/>
      <c r="R79" s="1612"/>
      <c r="S79" s="1612"/>
    </row>
    <row r="80">
      <c r="N80" s="1610"/>
      <c r="O80" s="1611"/>
      <c r="P80" s="1612"/>
      <c r="Q80" s="1612"/>
      <c r="R80" s="1612"/>
      <c r="S80" s="1612"/>
    </row>
    <row r="81">
      <c r="N81" s="1610"/>
      <c r="O81" s="1611"/>
      <c r="P81" s="1612"/>
      <c r="Q81" s="1612"/>
      <c r="R81" s="1612"/>
      <c r="S81" s="1612"/>
    </row>
    <row r="82">
      <c r="N82" s="1610"/>
      <c r="O82" s="1611"/>
      <c r="P82" s="1612"/>
      <c r="Q82" s="1612"/>
      <c r="R82" s="1612"/>
      <c r="S82" s="1612"/>
    </row>
    <row r="83">
      <c r="N83" s="1610"/>
      <c r="O83" s="1611"/>
      <c r="P83" s="1612"/>
      <c r="Q83" s="1612"/>
      <c r="R83" s="1612"/>
      <c r="S83" s="1612"/>
    </row>
    <row r="84">
      <c r="N84" s="1610"/>
      <c r="O84" s="1611"/>
      <c r="P84" s="1612"/>
      <c r="Q84" s="1612"/>
      <c r="R84" s="1612"/>
      <c r="S84" s="1612"/>
    </row>
    <row r="85">
      <c r="M85" s="1610"/>
      <c r="N85" s="1610"/>
      <c r="O85" s="1611"/>
      <c r="P85" s="1612"/>
      <c r="Q85" s="1612"/>
      <c r="R85" s="1612"/>
      <c r="S85" s="1612"/>
    </row>
    <row r="86">
      <c r="N86" s="1610"/>
      <c r="O86" s="1611"/>
      <c r="P86" s="1612"/>
      <c r="Q86" s="1612"/>
      <c r="R86" s="1612"/>
      <c r="S86" s="1612"/>
    </row>
    <row r="87">
      <c r="N87" s="1610"/>
      <c r="O87" s="1611"/>
      <c r="P87" s="1612"/>
      <c r="Q87" s="1612"/>
      <c r="R87" s="1612"/>
      <c r="S87" s="1612"/>
    </row>
    <row r="88">
      <c r="N88" s="1610"/>
      <c r="O88" s="1611"/>
      <c r="P88" s="1612"/>
      <c r="Q88" s="1612"/>
      <c r="R88" s="1612"/>
      <c r="S88" s="1612"/>
    </row>
    <row r="89">
      <c r="N89" s="1610"/>
      <c r="O89" s="1611"/>
      <c r="P89" s="1612"/>
      <c r="Q89" s="1612"/>
      <c r="R89" s="1612"/>
      <c r="S89" s="1612"/>
    </row>
    <row r="90">
      <c r="N90" s="1610"/>
      <c r="O90" s="1611"/>
      <c r="P90" s="1612"/>
      <c r="Q90" s="1612"/>
      <c r="R90" s="1612"/>
      <c r="S90" s="1612"/>
    </row>
    <row r="91">
      <c r="N91" s="1610"/>
      <c r="O91" s="1611"/>
      <c r="P91" s="1612"/>
      <c r="Q91" s="1612"/>
      <c r="R91" s="1612"/>
      <c r="S91" s="1612"/>
    </row>
    <row r="92">
      <c r="N92" s="1610"/>
      <c r="O92" s="1611"/>
      <c r="P92" s="1612"/>
      <c r="Q92" s="1612"/>
      <c r="R92" s="1612"/>
      <c r="S92" s="1612"/>
    </row>
    <row r="93">
      <c r="N93" s="1610"/>
      <c r="O93" s="1611"/>
      <c r="P93" s="1612"/>
      <c r="Q93" s="1612"/>
      <c r="R93" s="1612"/>
      <c r="S93" s="1612"/>
    </row>
    <row r="94">
      <c r="N94" s="1610"/>
      <c r="O94" s="1611"/>
      <c r="P94" s="1612"/>
      <c r="Q94" s="1612"/>
      <c r="R94" s="1612"/>
      <c r="S94" s="1612"/>
    </row>
    <row r="95">
      <c r="N95" s="1610"/>
      <c r="O95" s="1611"/>
      <c r="P95" s="1612"/>
      <c r="Q95" s="1612"/>
      <c r="R95" s="1612"/>
      <c r="S95" s="1612"/>
    </row>
    <row r="96">
      <c r="N96" s="1610"/>
      <c r="O96" s="1611"/>
      <c r="P96" s="1612"/>
      <c r="Q96" s="1612"/>
      <c r="R96" s="1612"/>
      <c r="S96" s="1612"/>
    </row>
    <row r="97">
      <c r="N97" s="1610"/>
      <c r="O97" s="1611"/>
      <c r="P97" s="1612"/>
      <c r="Q97" s="1612"/>
      <c r="R97" s="1612"/>
      <c r="S97" s="1612"/>
    </row>
    <row r="98">
      <c r="N98" s="1610"/>
      <c r="O98" s="1611"/>
      <c r="P98" s="1612"/>
      <c r="Q98" s="1612"/>
      <c r="R98" s="1612"/>
      <c r="S98" s="1612"/>
    </row>
    <row r="99">
      <c r="N99" s="1610"/>
      <c r="O99" s="1611"/>
      <c r="P99" s="1612"/>
      <c r="Q99" s="1612"/>
      <c r="R99" s="1612"/>
      <c r="S99" s="1612"/>
    </row>
    <row r="100">
      <c r="N100" s="1610"/>
      <c r="O100" s="1611"/>
      <c r="P100" s="1612"/>
      <c r="Q100" s="1612"/>
      <c r="R100" s="1612"/>
      <c r="S100" s="1612"/>
    </row>
    <row r="101">
      <c r="N101" s="1610"/>
      <c r="O101" s="1611"/>
      <c r="P101" s="1612"/>
      <c r="Q101" s="1612"/>
      <c r="R101" s="1612"/>
      <c r="S101" s="1612"/>
    </row>
    <row r="102">
      <c r="N102" s="1610"/>
      <c r="O102" s="1611"/>
      <c r="P102" s="1612"/>
      <c r="Q102" s="1612"/>
      <c r="R102" s="1612"/>
      <c r="S102" s="1612"/>
    </row>
    <row r="103">
      <c r="N103" s="1610"/>
      <c r="O103" s="1611"/>
      <c r="P103" s="1612"/>
      <c r="Q103" s="1612"/>
      <c r="R103" s="1612"/>
      <c r="S103" s="1612"/>
    </row>
    <row r="104">
      <c r="N104" s="1610"/>
      <c r="O104" s="1611"/>
      <c r="P104" s="1612"/>
      <c r="Q104" s="1612"/>
      <c r="R104" s="1612"/>
      <c r="S104" s="1612"/>
    </row>
    <row r="105">
      <c r="N105" s="1610"/>
      <c r="O105" s="1611"/>
      <c r="P105" s="1612"/>
      <c r="Q105" s="1612"/>
      <c r="R105" s="1612"/>
      <c r="S105" s="1612"/>
    </row>
    <row r="106">
      <c r="N106" s="1610"/>
      <c r="O106" s="1611"/>
      <c r="P106" s="1612"/>
      <c r="Q106" s="1612"/>
      <c r="R106" s="1612"/>
      <c r="S106" s="1612"/>
    </row>
    <row r="107">
      <c r="N107" s="1610"/>
      <c r="O107" s="1611"/>
      <c r="P107" s="1612"/>
      <c r="Q107" s="1612"/>
      <c r="R107" s="1612"/>
      <c r="S107" s="1612"/>
    </row>
    <row r="108">
      <c r="N108" s="1610"/>
      <c r="O108" s="1611"/>
      <c r="P108" s="1612"/>
      <c r="Q108" s="1612"/>
      <c r="R108" s="1612"/>
      <c r="S108" s="1612"/>
    </row>
    <row r="109">
      <c r="N109" s="1610"/>
      <c r="O109" s="1611"/>
      <c r="P109" s="1612"/>
      <c r="Q109" s="1612"/>
      <c r="R109" s="1612"/>
      <c r="S109" s="1612"/>
    </row>
    <row r="110">
      <c r="N110" s="1610"/>
      <c r="O110" s="1611"/>
      <c r="P110" s="1612"/>
      <c r="Q110" s="1612"/>
      <c r="R110" s="1612"/>
      <c r="S110" s="1612"/>
    </row>
    <row r="111">
      <c r="N111" s="1610"/>
      <c r="O111" s="1611"/>
      <c r="P111" s="1612"/>
      <c r="Q111" s="1612"/>
      <c r="R111" s="1612"/>
      <c r="S111" s="1612"/>
    </row>
    <row r="112">
      <c r="N112" s="1610"/>
      <c r="O112" s="1611"/>
      <c r="P112" s="1612"/>
      <c r="Q112" s="1612"/>
      <c r="R112" s="1612"/>
      <c r="S112" s="1612"/>
    </row>
    <row r="113">
      <c r="N113" s="1610"/>
      <c r="O113" s="1611"/>
      <c r="P113" s="1612"/>
      <c r="Q113" s="1612"/>
      <c r="R113" s="1612"/>
      <c r="S113" s="1612"/>
    </row>
    <row r="114">
      <c r="N114" s="1610"/>
      <c r="O114" s="1611"/>
      <c r="P114" s="1612"/>
      <c r="Q114" s="1612"/>
      <c r="R114" s="1612"/>
      <c r="S114" s="1612"/>
    </row>
    <row r="115">
      <c r="M115" s="1610"/>
      <c r="N115" s="1610"/>
      <c r="O115" s="1611"/>
      <c r="P115" s="1612"/>
      <c r="Q115" s="1612"/>
      <c r="R115" s="1612"/>
      <c r="S115" s="1612"/>
    </row>
    <row r="116">
      <c r="N116" s="1610"/>
      <c r="O116" s="1611"/>
      <c r="P116" s="1612"/>
      <c r="Q116" s="1612"/>
      <c r="R116" s="1612"/>
      <c r="S116" s="1612"/>
    </row>
    <row r="117">
      <c r="N117" s="1610"/>
      <c r="O117" s="1611"/>
      <c r="P117" s="1612"/>
      <c r="Q117" s="1612"/>
      <c r="R117" s="1612"/>
      <c r="S117" s="1612"/>
    </row>
    <row r="118">
      <c r="N118" s="1610"/>
      <c r="O118" s="1611"/>
      <c r="P118" s="1612"/>
      <c r="Q118" s="1612"/>
      <c r="R118" s="1612"/>
      <c r="S118" s="1612"/>
    </row>
    <row r="119">
      <c r="N119" s="1610"/>
      <c r="O119" s="1611"/>
      <c r="P119" s="1612"/>
      <c r="Q119" s="1612"/>
      <c r="R119" s="1612"/>
      <c r="S119" s="1612"/>
    </row>
    <row r="120">
      <c r="N120" s="1629"/>
      <c r="O120" s="1611"/>
      <c r="P120" s="1612"/>
      <c r="Q120" s="1612"/>
      <c r="R120" s="1612"/>
      <c r="S120" s="1612"/>
    </row>
    <row r="121">
      <c r="N121" s="1610"/>
      <c r="O121" s="1611"/>
      <c r="P121" s="1612"/>
      <c r="Q121" s="1612"/>
      <c r="R121" s="1612"/>
      <c r="S121" s="1612"/>
    </row>
    <row r="122">
      <c r="N122" s="1610"/>
      <c r="O122" s="1611"/>
      <c r="P122" s="1612"/>
      <c r="Q122" s="1612"/>
      <c r="R122" s="1612"/>
      <c r="S122" s="1612"/>
    </row>
    <row r="123">
      <c r="N123" s="1610"/>
      <c r="O123" s="1611"/>
      <c r="P123" s="1612"/>
      <c r="Q123" s="1612"/>
      <c r="R123" s="1612"/>
      <c r="S123" s="1612"/>
    </row>
    <row r="124">
      <c r="N124" s="1610"/>
    </row>
  </sheetData>
  <mergeCells count="5">
    <mergeCell ref="M37:M58"/>
    <mergeCell ref="M59:M70"/>
    <mergeCell ref="M71:M84"/>
    <mergeCell ref="M85:M114"/>
    <mergeCell ref="M115:M124"/>
  </mergeCells>
  <printOptions/>
  <pageMargins bottom="0.75" footer="0.0" header="0.0" left="0.7" right="0.7" top="0.75"/>
  <pageSetup orientation="landscape"/>
  <drawing r:id="rId1"/>
  <tableParts count="29">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3.29"/>
    <col customWidth="1" min="2" max="2" width="25.43"/>
    <col customWidth="1" min="3" max="3" width="23.57"/>
    <col customWidth="1" min="4" max="5" width="22.57"/>
    <col customWidth="1" min="6" max="6" width="24.71"/>
  </cols>
  <sheetData>
    <row r="1" ht="15.0" customHeight="1">
      <c r="A1" s="1630" t="s">
        <v>5000</v>
      </c>
      <c r="B1" s="1630" t="s">
        <v>5001</v>
      </c>
      <c r="C1" s="14" t="s">
        <v>5003</v>
      </c>
      <c r="D1" s="14" t="s">
        <v>5004</v>
      </c>
      <c r="E1" s="14" t="s">
        <v>5005</v>
      </c>
      <c r="F1" s="1630" t="s">
        <v>576</v>
      </c>
    </row>
    <row r="2" ht="15.0" customHeight="1">
      <c r="A2" s="606" t="s">
        <v>5013</v>
      </c>
      <c r="B2" s="606" t="s">
        <v>437</v>
      </c>
      <c r="C2" s="1304" t="s">
        <v>420</v>
      </c>
      <c r="D2" s="1172" t="s">
        <v>5014</v>
      </c>
      <c r="E2" s="1172" t="s">
        <v>325</v>
      </c>
      <c r="F2" s="606" t="s">
        <v>328</v>
      </c>
    </row>
    <row r="3" ht="15.0" customHeight="1">
      <c r="A3" s="606" t="s">
        <v>5017</v>
      </c>
      <c r="B3" s="606" t="s">
        <v>413</v>
      </c>
      <c r="C3" s="1304" t="s">
        <v>414</v>
      </c>
      <c r="D3" s="1631" t="s">
        <v>51</v>
      </c>
      <c r="E3" s="1172" t="s">
        <v>5019</v>
      </c>
      <c r="F3" s="606" t="s">
        <v>88</v>
      </c>
    </row>
    <row r="4">
      <c r="A4" s="606" t="s">
        <v>5022</v>
      </c>
      <c r="B4" s="606" t="s">
        <v>116</v>
      </c>
      <c r="C4" s="1154" t="s">
        <v>409</v>
      </c>
      <c r="D4" s="1172" t="s">
        <v>333</v>
      </c>
      <c r="E4" s="1172" t="s">
        <v>2904</v>
      </c>
      <c r="F4" s="606" t="s">
        <v>5678</v>
      </c>
    </row>
    <row r="5">
      <c r="A5" s="606" t="s">
        <v>5023</v>
      </c>
      <c r="B5" s="606" t="s">
        <v>48</v>
      </c>
      <c r="C5" s="1154" t="s">
        <v>247</v>
      </c>
      <c r="D5" s="23" t="s">
        <v>496</v>
      </c>
      <c r="E5" s="1172" t="s">
        <v>5024</v>
      </c>
      <c r="F5" s="606" t="s">
        <v>5256</v>
      </c>
    </row>
    <row r="6" ht="15.0" customHeight="1">
      <c r="B6" s="606" t="s">
        <v>317</v>
      </c>
      <c r="C6" s="1154" t="s">
        <v>264</v>
      </c>
      <c r="D6" s="23" t="s">
        <v>569</v>
      </c>
      <c r="E6" s="11"/>
      <c r="F6" s="606" t="s">
        <v>3241</v>
      </c>
    </row>
    <row r="7" ht="15.0" customHeight="1">
      <c r="B7" s="606" t="s">
        <v>199</v>
      </c>
      <c r="C7" s="1154" t="s">
        <v>456</v>
      </c>
      <c r="D7" s="23" t="s">
        <v>205</v>
      </c>
      <c r="E7" s="11"/>
      <c r="F7" s="606" t="s">
        <v>250</v>
      </c>
    </row>
    <row r="8" ht="15.0" customHeight="1">
      <c r="B8" s="606" t="s">
        <v>109</v>
      </c>
      <c r="C8" s="1154" t="s">
        <v>417</v>
      </c>
      <c r="D8" s="23" t="s">
        <v>360</v>
      </c>
      <c r="E8" s="606"/>
      <c r="F8" s="606" t="s">
        <v>583</v>
      </c>
    </row>
    <row r="9" ht="15.0" customHeight="1">
      <c r="B9" s="606" t="s">
        <v>97</v>
      </c>
      <c r="C9" s="1154" t="s">
        <v>5017</v>
      </c>
      <c r="D9" s="23"/>
      <c r="E9" s="606"/>
      <c r="F9" s="606" t="s">
        <v>498</v>
      </c>
    </row>
    <row r="10" ht="15.0" customHeight="1">
      <c r="B10" s="606" t="s">
        <v>463</v>
      </c>
      <c r="C10" s="1154" t="s">
        <v>187</v>
      </c>
      <c r="D10" s="23"/>
      <c r="E10" s="606"/>
      <c r="F10" s="606" t="s">
        <v>332</v>
      </c>
    </row>
    <row r="11" ht="15.0" customHeight="1">
      <c r="B11" s="606" t="s">
        <v>117</v>
      </c>
      <c r="C11" s="1154" t="s">
        <v>195</v>
      </c>
      <c r="D11" s="23"/>
      <c r="F11" s="606" t="s">
        <v>5680</v>
      </c>
    </row>
    <row r="12" ht="15.0" customHeight="1">
      <c r="B12" s="606" t="s">
        <v>425</v>
      </c>
      <c r="C12" s="1154" t="s">
        <v>463</v>
      </c>
      <c r="D12" s="23"/>
      <c r="F12" s="606" t="s">
        <v>3190</v>
      </c>
    </row>
    <row r="13">
      <c r="B13" s="606" t="s">
        <v>54</v>
      </c>
      <c r="C13" s="1154" t="s">
        <v>5036</v>
      </c>
      <c r="D13" s="23"/>
      <c r="E13" s="14"/>
      <c r="F13" s="606" t="s">
        <v>456</v>
      </c>
    </row>
    <row r="14">
      <c r="B14" s="606" t="s">
        <v>421</v>
      </c>
      <c r="C14" s="1154" t="s">
        <v>223</v>
      </c>
      <c r="D14" s="23"/>
      <c r="E14" s="14"/>
      <c r="F14" s="606" t="s">
        <v>3067</v>
      </c>
    </row>
    <row r="15">
      <c r="B15" s="606" t="s">
        <v>128</v>
      </c>
      <c r="C15" s="1154" t="s">
        <v>5037</v>
      </c>
      <c r="D15" s="23"/>
      <c r="E15" s="14"/>
      <c r="F15" s="606" t="s">
        <v>290</v>
      </c>
    </row>
    <row r="16">
      <c r="B16" s="606" t="s">
        <v>202</v>
      </c>
      <c r="C16" s="1154" t="s">
        <v>413</v>
      </c>
      <c r="D16" s="23"/>
      <c r="E16" s="14"/>
    </row>
    <row r="17">
      <c r="B17" s="606" t="s">
        <v>5039</v>
      </c>
      <c r="C17" s="1154" t="s">
        <v>341</v>
      </c>
      <c r="D17" s="23"/>
      <c r="E17" s="11"/>
    </row>
    <row r="18">
      <c r="B18" s="606" t="s">
        <v>87</v>
      </c>
      <c r="C18" s="1607" t="s">
        <v>412</v>
      </c>
      <c r="D18" s="1632"/>
      <c r="E18" s="1633"/>
    </row>
    <row r="19">
      <c r="C19" s="1154" t="s">
        <v>3159</v>
      </c>
      <c r="D19" s="23"/>
      <c r="E19" s="11"/>
    </row>
    <row r="20">
      <c r="C20" s="1154" t="s">
        <v>245</v>
      </c>
      <c r="D20" s="23"/>
      <c r="E20" s="11"/>
    </row>
    <row r="21" ht="15.75" customHeight="1">
      <c r="C21" s="1154" t="s">
        <v>198</v>
      </c>
      <c r="D21" s="23"/>
      <c r="E21" s="11"/>
    </row>
    <row r="22" ht="15.75" customHeight="1">
      <c r="A22" s="23"/>
      <c r="B22" s="23"/>
      <c r="C22" s="1154" t="s">
        <v>5044</v>
      </c>
      <c r="D22" s="23"/>
      <c r="E22" s="11"/>
      <c r="F22" s="23"/>
      <c r="G22" s="23"/>
      <c r="H22" s="23"/>
      <c r="I22" s="23"/>
      <c r="J22" s="23"/>
      <c r="K22" s="23"/>
      <c r="L22" s="23"/>
      <c r="M22" s="23"/>
      <c r="N22" s="23"/>
      <c r="O22" s="23"/>
      <c r="P22" s="23"/>
      <c r="Q22" s="23"/>
      <c r="R22" s="23"/>
      <c r="S22" s="23"/>
      <c r="T22" s="23"/>
      <c r="U22" s="23"/>
    </row>
    <row r="23" ht="15.75" customHeight="1">
      <c r="C23" s="1154" t="s">
        <v>359</v>
      </c>
      <c r="D23" s="23"/>
      <c r="E23" s="23"/>
    </row>
    <row r="24" ht="15.75" customHeight="1">
      <c r="C24" s="1154" t="s">
        <v>371</v>
      </c>
      <c r="D24" s="23"/>
      <c r="E24" s="23"/>
    </row>
    <row r="25" ht="15.0" customHeight="1">
      <c r="C25" s="1154" t="s">
        <v>287</v>
      </c>
      <c r="D25" s="23"/>
      <c r="E25" s="23"/>
    </row>
    <row r="26" ht="15.0" customHeight="1">
      <c r="C26" s="1154" t="s">
        <v>5048</v>
      </c>
      <c r="D26" s="23"/>
      <c r="E26" s="23"/>
    </row>
    <row r="27" ht="15.0" customHeight="1">
      <c r="C27" s="1154" t="s">
        <v>548</v>
      </c>
      <c r="D27" s="23"/>
      <c r="E27" s="23"/>
    </row>
    <row r="28" ht="15.0" customHeight="1">
      <c r="C28" s="1154" t="s">
        <v>465</v>
      </c>
      <c r="D28" s="1632"/>
      <c r="E28" s="1632"/>
    </row>
    <row r="29" ht="15.0" customHeight="1">
      <c r="A29" s="23"/>
      <c r="B29" s="23"/>
      <c r="C29" s="1154" t="s">
        <v>54</v>
      </c>
      <c r="D29" s="23"/>
      <c r="E29" s="23"/>
      <c r="F29" s="23"/>
      <c r="G29" s="23"/>
      <c r="H29" s="23"/>
      <c r="I29" s="23"/>
      <c r="J29" s="23"/>
      <c r="K29" s="23"/>
      <c r="L29" s="23"/>
      <c r="M29" s="23"/>
      <c r="N29" s="23"/>
      <c r="O29" s="23"/>
      <c r="P29" s="23"/>
      <c r="Q29" s="23"/>
      <c r="R29" s="23"/>
      <c r="S29" s="23"/>
      <c r="T29" s="23"/>
      <c r="U29" s="23"/>
    </row>
    <row r="30" ht="15.0" customHeight="1">
      <c r="C30" s="1607" t="s">
        <v>48</v>
      </c>
      <c r="D30" s="23"/>
    </row>
    <row r="31" ht="15.0" customHeight="1">
      <c r="C31" s="1607" t="s">
        <v>437</v>
      </c>
      <c r="D31" s="23"/>
    </row>
    <row r="32" ht="15.0" customHeight="1">
      <c r="C32" s="1607" t="s">
        <v>542</v>
      </c>
      <c r="D32" s="23"/>
    </row>
    <row r="33" ht="15.0" customHeight="1">
      <c r="C33" s="1607" t="s">
        <v>1535</v>
      </c>
      <c r="D33" s="23"/>
    </row>
    <row r="34" ht="15.0" customHeight="1">
      <c r="C34" s="1607" t="s">
        <v>827</v>
      </c>
      <c r="D34" s="23"/>
    </row>
    <row r="35" ht="15.0" customHeight="1">
      <c r="C35" s="1607"/>
      <c r="D35" s="23"/>
    </row>
    <row r="36" ht="15.0" customHeight="1">
      <c r="C36" s="1577" t="s">
        <v>5681</v>
      </c>
      <c r="D36" s="23"/>
    </row>
    <row r="37" ht="15.0" customHeight="1">
      <c r="C37" s="606" t="s">
        <v>25</v>
      </c>
      <c r="D37" s="23"/>
    </row>
    <row r="38" ht="15.0" customHeight="1">
      <c r="C38" s="23" t="s">
        <v>5682</v>
      </c>
      <c r="D38" s="23"/>
    </row>
    <row r="39" ht="15.0" customHeight="1">
      <c r="A39" s="23"/>
      <c r="B39" s="23"/>
      <c r="C39" s="23" t="s">
        <v>5683</v>
      </c>
      <c r="D39" s="23"/>
      <c r="E39" s="23"/>
      <c r="F39" s="23"/>
      <c r="G39" s="23"/>
      <c r="H39" s="23"/>
      <c r="I39" s="23"/>
      <c r="J39" s="23"/>
      <c r="K39" s="23"/>
      <c r="L39" s="23"/>
      <c r="M39" s="23"/>
      <c r="N39" s="23"/>
      <c r="O39" s="23"/>
      <c r="P39" s="23"/>
      <c r="Q39" s="23"/>
      <c r="R39" s="23"/>
      <c r="S39" s="23"/>
      <c r="T39" s="23"/>
      <c r="U39" s="23"/>
    </row>
    <row r="40" ht="15.75" customHeight="1">
      <c r="C40" s="606" t="s">
        <v>5684</v>
      </c>
      <c r="D40" s="11"/>
      <c r="E40" s="11"/>
    </row>
    <row r="41" ht="15.75" customHeight="1">
      <c r="C41" s="606" t="s">
        <v>5685</v>
      </c>
      <c r="D41" s="606"/>
      <c r="E41" s="606"/>
    </row>
    <row r="42" ht="15.75" customHeight="1">
      <c r="C42" s="606"/>
      <c r="D42" s="606"/>
      <c r="E42" s="606"/>
    </row>
    <row r="43" ht="15.75" customHeight="1">
      <c r="D43" s="606"/>
      <c r="E43" s="606"/>
    </row>
    <row r="44" ht="15.75" customHeight="1"/>
    <row r="45" ht="15.75" customHeight="1"/>
    <row r="46" ht="15.75" customHeight="1"/>
    <row r="47" ht="15.75" customHeight="1">
      <c r="C47" s="11"/>
      <c r="D47" s="11"/>
      <c r="E47" s="11"/>
    </row>
    <row r="48" ht="15.75" customHeight="1">
      <c r="C48" s="23"/>
      <c r="D48" s="23"/>
      <c r="E48" s="23"/>
    </row>
    <row r="49" ht="15.75" customHeight="1">
      <c r="C49" s="23"/>
      <c r="D49" s="23"/>
      <c r="E49" s="23"/>
    </row>
    <row r="50" ht="15.75" customHeight="1">
      <c r="C50" s="23"/>
      <c r="D50" s="23"/>
      <c r="E50" s="23"/>
    </row>
    <row r="51" ht="15.75" customHeight="1"/>
    <row r="52" ht="15.75" customHeight="1"/>
    <row r="53" ht="15.75" customHeight="1"/>
    <row r="54" ht="15.75" customHeight="1">
      <c r="C54" s="11"/>
      <c r="D54" s="11"/>
      <c r="E54" s="11"/>
    </row>
    <row r="55" ht="15.75" customHeight="1">
      <c r="C55" s="606"/>
      <c r="D55" s="606"/>
      <c r="E55" s="606"/>
    </row>
    <row r="56" ht="15.75" customHeight="1">
      <c r="C56" s="606"/>
      <c r="D56" s="606"/>
      <c r="E56" s="606"/>
    </row>
    <row r="57" ht="15.75" customHeight="1">
      <c r="C57" s="606"/>
      <c r="D57" s="606"/>
      <c r="E57" s="606"/>
    </row>
    <row r="58" ht="15.75" customHeight="1">
      <c r="C58" s="606"/>
      <c r="D58" s="606"/>
      <c r="E58" s="606"/>
    </row>
    <row r="59" ht="15.75" customHeight="1">
      <c r="C59" s="606"/>
      <c r="D59" s="606"/>
      <c r="E59" s="606"/>
    </row>
    <row r="60" ht="15.75" customHeight="1">
      <c r="C60" s="1632"/>
      <c r="D60" s="1632"/>
      <c r="E60" s="1632"/>
    </row>
    <row r="61" ht="15.75" customHeight="1">
      <c r="C61" s="1632"/>
      <c r="D61" s="1632"/>
      <c r="E61" s="1632"/>
    </row>
    <row r="62" ht="15.75" customHeight="1">
      <c r="C62" s="1632"/>
      <c r="D62" s="1632"/>
      <c r="E62" s="1632"/>
    </row>
    <row r="63" ht="15.75" customHeight="1">
      <c r="C63" s="1632"/>
      <c r="D63" s="1632"/>
      <c r="E63" s="1632"/>
    </row>
    <row r="64" ht="15.75" customHeight="1">
      <c r="C64" s="1632"/>
      <c r="D64" s="1632"/>
      <c r="E64" s="1632"/>
    </row>
    <row r="65" ht="15.75" customHeight="1">
      <c r="C65" s="11"/>
      <c r="D65" s="11"/>
      <c r="E65" s="11"/>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8.0"/>
    <col customWidth="1" min="2" max="2" width="5.43"/>
    <col customWidth="1" min="3" max="3" width="6.43"/>
    <col customWidth="1" min="4" max="4" width="9.86"/>
    <col customWidth="1" min="5" max="5" width="15.57"/>
    <col customWidth="1" min="6" max="7" width="7.0"/>
    <col customWidth="1" min="8" max="8" width="23.29"/>
    <col customWidth="1" min="9" max="9" width="13.29"/>
    <col customWidth="1" min="10" max="10" width="16.29"/>
    <col customWidth="1" min="11" max="12" width="16.0"/>
  </cols>
  <sheetData>
    <row r="2">
      <c r="A2" s="606" t="s">
        <v>5686</v>
      </c>
    </row>
    <row r="10">
      <c r="J10" s="1577" t="s">
        <v>5687</v>
      </c>
      <c r="K10" s="1577" t="s">
        <v>5688</v>
      </c>
      <c r="L10" s="1577" t="s">
        <v>5689</v>
      </c>
      <c r="M10" s="1577"/>
    </row>
    <row r="11">
      <c r="J11" s="1634">
        <v>45627.0</v>
      </c>
      <c r="K11" s="1634">
        <v>45637.0</v>
      </c>
      <c r="L11" s="1634">
        <v>45647.0</v>
      </c>
    </row>
    <row r="12">
      <c r="E12" s="1577" t="s">
        <v>5690</v>
      </c>
      <c r="F12" s="1577"/>
      <c r="G12" s="1577"/>
      <c r="H12" s="1577" t="s">
        <v>1527</v>
      </c>
      <c r="I12" s="1577" t="s">
        <v>5691</v>
      </c>
      <c r="J12" s="1634">
        <v>45636.0</v>
      </c>
      <c r="K12" s="1634">
        <v>45646.0</v>
      </c>
      <c r="L12" s="1635">
        <v>45657.0</v>
      </c>
    </row>
    <row r="13">
      <c r="A13" s="23" t="s">
        <v>268</v>
      </c>
      <c r="B13" s="561">
        <v>39546.0</v>
      </c>
      <c r="C13" s="25">
        <v>83783.0</v>
      </c>
      <c r="D13" s="606" t="s">
        <v>1066</v>
      </c>
      <c r="E13" s="1636" t="str">
        <f>VLOOKUP(A13,'2) Tracker'!$A$2:$BO$360,12,FALSE)</f>
        <v>Indo</v>
      </c>
      <c r="F13" s="1637">
        <f>VLOOKUP(A13,'2) Tracker'!$A$2:$BO$360,13,FALSE)</f>
        <v>46132</v>
      </c>
      <c r="G13" s="1638">
        <f>VLOOKUP(A13,'2) Tracker'!$A$2:$BO$360,14,FALSE)</f>
        <v>46133</v>
      </c>
      <c r="H13" s="230" t="str">
        <f>VLOOKUP(A13,'2) Tracker'!$A$2:$BO$360,18,FALSE)</f>
        <v>Perta 02-03 Mar Freeport</v>
      </c>
      <c r="I13" s="1639" t="str">
        <f>VLOOKUP(A13,'2) Tracker'!$A$2:$BO$376,33,FALSE)</f>
        <v>01-02 May</v>
      </c>
      <c r="J13" s="606" t="str">
        <f>IF(AND(I13 &gt;= J11, I13 &lt;= J12), "Date within range", "Date out of range")</f>
        <v>Date out of range</v>
      </c>
      <c r="K13" s="606" t="str">
        <f>IF(AND(I13 &gt;= K11, I13 &lt;= K12), "Date within range", "Date out of range")</f>
        <v>Date out of range</v>
      </c>
      <c r="L13" s="606" t="str">
        <f>IF(AND(I13 &gt;= L11, I13 &lt;= L12), "Date within range", "Date out of range")</f>
        <v>Date out of range</v>
      </c>
    </row>
    <row r="14">
      <c r="A14" s="23" t="s">
        <v>278</v>
      </c>
      <c r="B14" s="561">
        <v>39600.0</v>
      </c>
      <c r="C14" s="25">
        <v>82000.0</v>
      </c>
      <c r="D14" s="606" t="s">
        <v>1066</v>
      </c>
      <c r="E14" s="1072" t="str">
        <f>VLOOKUP(A14,'2) Tracker'!$A$2:$BO$360,12,FALSE)</f>
        <v>Indo</v>
      </c>
      <c r="F14" s="1640">
        <f>VLOOKUP(A14,'2) Tracker'!$A$2:$BO$360,13,FALSE)</f>
        <v>46141</v>
      </c>
      <c r="G14" s="1641">
        <f>VLOOKUP(A14,'2) Tracker'!$A$2:$BO$360,14,FALSE)</f>
        <v>46142</v>
      </c>
      <c r="H14" s="147" t="str">
        <f>VLOOKUP(A14,'2) Tracker'!$A$2:$BO$360,18,FALSE)</f>
        <v>Floating Storage</v>
      </c>
      <c r="I14" s="1642" t="str">
        <f>VLOOKUP(A14,'2) Tracker'!$A$2:$BO$376,33,FALSE)</f>
        <v>10-11 May</v>
      </c>
    </row>
    <row r="15">
      <c r="A15" s="23" t="s">
        <v>281</v>
      </c>
      <c r="B15" s="561">
        <v>39479.0</v>
      </c>
      <c r="C15" s="25">
        <v>82000.0</v>
      </c>
      <c r="D15" s="606" t="s">
        <v>1066</v>
      </c>
      <c r="E15" s="1072" t="str">
        <f>VLOOKUP(A15,'2) Tracker'!$A$2:$BO$360,12,FALSE)</f>
        <v>loads USG</v>
      </c>
      <c r="F15" s="1643">
        <f>VLOOKUP(A15,'2) Tracker'!$A$2:$BO$360,13,FALSE)</f>
        <v>46157</v>
      </c>
      <c r="G15" s="1641">
        <f>VLOOKUP(A15,'2) Tracker'!$A$2:$BO$360,14,FALSE)</f>
        <v>46158</v>
      </c>
      <c r="H15" s="147" t="str">
        <f>VLOOKUP(A15,'2) Tracker'!$A$2:$BO$360,18,FALSE)</f>
        <v>SwissChemGas 15-16 May USG</v>
      </c>
      <c r="I15" s="1642" t="str">
        <f>VLOOKUP(A15,'2) Tracker'!$A$2:$BO$376,33,FALSE)</f>
        <v/>
      </c>
      <c r="J15" s="606" t="str">
        <f>IF(AND(I15 &gt;= J11, I15 &lt;= J12), "Date within range", "Date out of range")</f>
        <v>Date out of range</v>
      </c>
      <c r="K15" s="606" t="str">
        <f>IF(AND(I15 &gt;= K11, I15 &lt;= K12), "Date within range", "Date out of range")</f>
        <v>Date out of range</v>
      </c>
      <c r="L15" s="606" t="str">
        <f>IF(AND(I15 &gt;= L11, I15 &lt;= L12), "Date within range", "Date out of range")</f>
        <v>Date out of range</v>
      </c>
    </row>
    <row r="16">
      <c r="A16" s="23" t="s">
        <v>287</v>
      </c>
      <c r="B16" s="561">
        <v>39692.0</v>
      </c>
      <c r="C16" s="25">
        <v>82791.0</v>
      </c>
      <c r="D16" s="606" t="s">
        <v>1066</v>
      </c>
      <c r="E16" s="1072" t="str">
        <f>VLOOKUP(A16,'2) Tracker'!$A$2:$BO$360,12,FALSE)</f>
        <v>Indo</v>
      </c>
      <c r="F16" s="1643">
        <f>VLOOKUP(A16,'2) Tracker'!$A$2:$BO$360,13,FALSE)</f>
        <v>46141</v>
      </c>
      <c r="G16" s="1641">
        <f>VLOOKUP(A16,'2) Tracker'!$A$2:$BO$360,14,FALSE)</f>
        <v>46142</v>
      </c>
      <c r="H16" s="147" t="str">
        <f>VLOOKUP(A16,'2) Tracker'!$A$2:$BO$360,18,FALSE)</f>
        <v>Floating Storage</v>
      </c>
      <c r="I16" s="1642" t="str">
        <f>VLOOKUP(A16,'2) Tracker'!$A$2:$BO$376,33,FALSE)</f>
        <v>10-11 May</v>
      </c>
    </row>
    <row r="17">
      <c r="A17" s="23" t="s">
        <v>395</v>
      </c>
      <c r="B17" s="1002">
        <v>40422.0</v>
      </c>
      <c r="C17" s="25">
        <v>80199.0</v>
      </c>
      <c r="D17" s="606" t="s">
        <v>1066</v>
      </c>
      <c r="E17" s="1072" t="str">
        <f>VLOOKUP(A17,'2) Tracker'!$A$2:$BO$360,12,FALSE)</f>
        <v>Vietnam</v>
      </c>
      <c r="F17" s="1643">
        <f>VLOOKUP(A17,'2) Tracker'!$A$2:$BO$360,13,FALSE)</f>
        <v>46142</v>
      </c>
      <c r="G17" s="1641">
        <f>VLOOKUP(A17,'2) Tracker'!$A$2:$BO$360,14,FALSE)</f>
        <v>46143</v>
      </c>
      <c r="H17" s="147" t="str">
        <f>VLOOKUP(A17,'2) Tracker'!$A$2:$BO$360,18,FALSE)</f>
        <v>ATC 16-17 Mar Targa</v>
      </c>
      <c r="I17" s="1642" t="str">
        <f>VLOOKUP(A17,'2) Tracker'!$A$2:$BO$376,33,FALSE)</f>
        <v>13-14 May</v>
      </c>
      <c r="J17" s="606" t="str">
        <f>IF(AND(I17 &gt;= J11, I17 &lt;= J12), "Date within range", "Date out of range")</f>
        <v>Date out of range</v>
      </c>
      <c r="K17" s="606" t="str">
        <f>IF(AND(I17 &gt;= K11, I17 &lt;= K12), "Date within range", "Date out of range")</f>
        <v>Date out of range</v>
      </c>
      <c r="L17" s="606" t="str">
        <f>IF(AND(I17 &gt;= L11, I17 &lt;= L12), "Date within range", "Date out of range")</f>
        <v>Date out of range</v>
      </c>
    </row>
    <row r="18">
      <c r="A18" s="23" t="s">
        <v>495</v>
      </c>
      <c r="B18" s="25">
        <v>2024.0</v>
      </c>
      <c r="C18" s="25">
        <v>86000.0</v>
      </c>
      <c r="D18" s="606" t="s">
        <v>1066</v>
      </c>
      <c r="E18" s="1072" t="str">
        <f>VLOOKUP(A18,'2) Tracker'!$A$2:$BO$360,12,FALSE)</f>
        <v>loads USG</v>
      </c>
      <c r="F18" s="1643">
        <f>VLOOKUP(A18,'2) Tracker'!$A$2:$BO$360,13,FALSE)</f>
        <v>46135</v>
      </c>
      <c r="G18" s="1641">
        <f>VLOOKUP(A18,'2) Tracker'!$A$2:$BO$360,14,FALSE)</f>
        <v>46136</v>
      </c>
      <c r="H18" s="147" t="str">
        <f>VLOOKUP(A18,'2) Tracker'!$A$2:$BO$360,18,FALSE)</f>
        <v>BGN 16-17 Mar Nederland</v>
      </c>
      <c r="I18" s="1642" t="str">
        <f>VLOOKUP(A18,'2) Tracker'!$A$2:$BO$376,33,FALSE)</f>
        <v/>
      </c>
      <c r="J18" s="606" t="str">
        <f>IF(AND(I18 &gt;= J11, I13 &lt;= J12), "Date within range", "Date out of range")</f>
        <v>Date out of range</v>
      </c>
      <c r="K18" s="606" t="str">
        <f>IF(AND(I18 &gt;= K11, I18 &lt;= K12), "Date within range", "Date out of range")</f>
        <v>Date out of range</v>
      </c>
      <c r="L18" s="606" t="str">
        <f>IF(AND(I18 &gt;= L11, I18 &lt;= L12), "Date within range", "Date out of range")</f>
        <v>Date out of range</v>
      </c>
    </row>
    <row r="19">
      <c r="A19" s="606" t="s">
        <v>487</v>
      </c>
      <c r="B19" s="561">
        <v>41518.0</v>
      </c>
      <c r="C19" s="25">
        <v>84000.0</v>
      </c>
      <c r="D19" s="606" t="s">
        <v>1066</v>
      </c>
      <c r="E19" s="1072" t="str">
        <f>VLOOKUP(A19,'2) Tracker'!$A$2:$BO$360,12,FALSE)</f>
        <v>Indo</v>
      </c>
      <c r="F19" s="1643">
        <f>VLOOKUP(A19,'2) Tracker'!$A$2:$BO$360,13,FALSE)</f>
        <v>46203</v>
      </c>
      <c r="G19" s="1641">
        <f>VLOOKUP(A19,'2) Tracker'!$A$2:$BO$360,14,FALSE)</f>
        <v>46204</v>
      </c>
      <c r="H19" s="147" t="str">
        <f>VLOOKUP(A19,'2) Tracker'!$A$2:$BO$360,18,FALSE)</f>
        <v>Perta 21-22 May Freeport</v>
      </c>
      <c r="I19" s="1642" t="str">
        <f>VLOOKUP(A19,'2) Tracker'!$A$2:$BO$376,33,FALSE)</f>
        <v>11-12 Jul</v>
      </c>
      <c r="J19" s="606" t="str">
        <f>IF(AND(I19 &gt;= J11, I19 &lt;= J12), "Date within range", "Date out of range")</f>
        <v>Date out of range</v>
      </c>
      <c r="K19" s="606" t="str">
        <f>IF(AND(I19 &gt;= K11, I19 &lt;= K12), "Date within range", "Date out of range")</f>
        <v>Date out of range</v>
      </c>
      <c r="L19" s="606" t="str">
        <f>IF(AND(I19 &gt;= L11, I19 &lt;= L12), "Date within range", "Date out of range")</f>
        <v>Date out of range</v>
      </c>
    </row>
    <row r="20">
      <c r="A20" s="606" t="s">
        <v>488</v>
      </c>
      <c r="B20" s="561">
        <v>41773.0</v>
      </c>
      <c r="C20" s="25">
        <v>84000.0</v>
      </c>
      <c r="D20" s="606" t="s">
        <v>1066</v>
      </c>
      <c r="E20" s="1072" t="str">
        <f>VLOOKUP(A20,'2) Tracker'!$A$2:$BO$360,12,FALSE)</f>
        <v>Indo</v>
      </c>
      <c r="F20" s="1643">
        <f>VLOOKUP(A20,'2) Tracker'!$A$2:$BO$360,13,FALSE)</f>
        <v>46174</v>
      </c>
      <c r="G20" s="1641">
        <f>VLOOKUP(A20,'2) Tracker'!$A$2:$BO$360,14,FALSE)</f>
        <v>46174</v>
      </c>
      <c r="H20" s="147" t="str">
        <f>VLOOKUP(A20,'2) Tracker'!$A$2:$BO$360,18,FALSE)</f>
        <v>Perta 18-19 Apr Freeport</v>
      </c>
      <c r="I20" s="1642" t="str">
        <f>VLOOKUP(A20,'2) Tracker'!$A$2:$BO$376,33,FALSE)</f>
        <v>12-12 Jun</v>
      </c>
      <c r="J20" s="606" t="str">
        <f>IF(AND(I20 &gt;= J11, I20 &lt;= J12), "Date within range", "Date out of range")</f>
        <v>Date out of range</v>
      </c>
      <c r="K20" s="606" t="str">
        <f>IF(AND(I20 &gt;= K11, I20 &lt;= K12), "Date within range", "Date out of range")</f>
        <v>Date out of range</v>
      </c>
      <c r="L20" s="606" t="str">
        <f>IF(AND(I20 &gt;= L11, I20 &lt;= L12), "Date within range", "Date out of range")</f>
        <v>Date out of range</v>
      </c>
    </row>
    <row r="21">
      <c r="A21" s="606" t="s">
        <v>503</v>
      </c>
      <c r="B21" s="1002">
        <v>37530.0</v>
      </c>
      <c r="C21" s="25">
        <v>82200.0</v>
      </c>
      <c r="D21" s="606" t="s">
        <v>1066</v>
      </c>
      <c r="E21" s="1072" t="str">
        <f>VLOOKUP(A21,'2) Tracker'!$A$2:$BO$360,12,FALSE)</f>
        <v>Indo</v>
      </c>
      <c r="F21" s="1640">
        <f>VLOOKUP(A21,'2) Tracker'!$A$2:$BO$360,13,FALSE)</f>
        <v>46129</v>
      </c>
      <c r="G21" s="1641">
        <f>VLOOKUP(A21,'2) Tracker'!$A$2:$BO$360,14,FALSE)</f>
        <v>46130</v>
      </c>
      <c r="H21" s="147" t="str">
        <f>VLOOKUP(A21,'2) Tracker'!$A$2:$BO$360,18,FALSE)</f>
        <v>Perta 24-25 Oct Freeport</v>
      </c>
      <c r="I21" s="1642" t="str">
        <f>VLOOKUP(A21,'2) Tracker'!$A$2:$BO$376,33,FALSE)</f>
        <v>28-29 Apr</v>
      </c>
      <c r="J21" s="606" t="str">
        <f>IF(AND(I21 &gt;= J11, I13 &lt;= J12), "Date within range", "Date out of range")</f>
        <v>Date out of range</v>
      </c>
      <c r="K21" s="606" t="str">
        <f>IF(AND(I21 &gt;= K11, I21 &lt;= K12), "Date within range", "Date out of range")</f>
        <v>Date out of range</v>
      </c>
      <c r="L21" s="606" t="str">
        <f>IF(AND(I21 &gt;= L11, I21 &lt;= L12), "Date within range", "Date out of range")</f>
        <v>Date out of range</v>
      </c>
    </row>
    <row r="22">
      <c r="A22" s="23" t="s">
        <v>575</v>
      </c>
      <c r="B22" s="561">
        <v>39539.0</v>
      </c>
      <c r="C22" s="25">
        <v>82500.0</v>
      </c>
      <c r="D22" s="606" t="s">
        <v>1066</v>
      </c>
      <c r="E22" s="1644" t="str">
        <f>VLOOKUP(A22,'2) Tracker'!$A$2:$BO$360,12,FALSE)</f>
        <v>Indo</v>
      </c>
      <c r="F22" s="1645">
        <f>VLOOKUP(A22,'2) Tracker'!$A$2:$BO$360,13,FALSE)</f>
        <v>46193</v>
      </c>
      <c r="G22" s="1646">
        <f>VLOOKUP(A22,'2) Tracker'!$A$2:$BO$360,14,FALSE)</f>
        <v>46194</v>
      </c>
      <c r="H22" s="674" t="str">
        <f>VLOOKUP(A22,'2) Tracker'!$A$2:$BO$360,18,FALSE)</f>
        <v>Perta 11-12 May Freeport</v>
      </c>
      <c r="I22" s="1647" t="str">
        <f>VLOOKUP(A22,'2) Tracker'!$A$2:$BO$376,33,FALSE)</f>
        <v>01-02 Jul</v>
      </c>
      <c r="J22" s="606" t="str">
        <f>IF(AND(I22 &gt;= J11, I22 &lt;= J12), "Date within range", "Date out of range")</f>
        <v>Date out of range</v>
      </c>
      <c r="K22" s="606" t="str">
        <f>IF(AND(I22 &gt;= K11, I22 &lt;= K12), "Date within range", "Date out of range")</f>
        <v>Date out of range</v>
      </c>
      <c r="L22" s="606" t="str">
        <f>IF(AND(I22 &gt;= L11, I22 &lt;= L12), "Date within range", "Date out of range")</f>
        <v>Date out of range</v>
      </c>
    </row>
  </sheetData>
  <conditionalFormatting sqref="A13:A17 A19:A22">
    <cfRule type="expression" dxfId="19" priority="1">
      <formula>COUNTIF(INDIRECT("Highlighter!F1:F100"), A13)&gt;0</formula>
    </cfRule>
  </conditionalFormatting>
  <conditionalFormatting sqref="A13:A22">
    <cfRule type="expression" dxfId="20" priority="2">
      <formula>AND(COUNTIF(INDIRECT("epositionlist!B:B"), A13) &gt; 0, COUNTIF(INDIRECT("wpositionlist!B:B"), A13) &gt; 0)</formula>
    </cfRule>
  </conditionalFormatting>
  <conditionalFormatting sqref="A13:A22">
    <cfRule type="expression" dxfId="21" priority="3">
      <formula>COUNTIF(INDIRECT("epositionlist!b3:F100"), A13)&gt;0</formula>
    </cfRule>
  </conditionalFormatting>
  <conditionalFormatting sqref="A13:A22">
    <cfRule type="expression" dxfId="22" priority="4">
      <formula>COUNTIF(INDIRECT("wpositionlist!b3:F100"), A13)&gt;0</formula>
    </cfRule>
  </conditionalFormatting>
  <conditionalFormatting sqref="E1:E1000">
    <cfRule type="cellIs" dxfId="0" priority="5" operator="equal">
      <formula>"loads USG"</formula>
    </cfRule>
  </conditionalFormatting>
  <conditionalFormatting sqref="E1:E1000">
    <cfRule type="cellIs" dxfId="10" priority="6" operator="equal">
      <formula>"loads AG"</formula>
    </cfRule>
  </conditionalFormatting>
  <conditionalFormatting sqref="J1:K1000">
    <cfRule type="cellIs" dxfId="23" priority="7" operator="equal">
      <formula>"Date within range"</formula>
    </cfRule>
  </conditionalFormatting>
  <conditionalFormatting sqref="L1:L1000">
    <cfRule type="cellIs" dxfId="23" priority="8" operator="equal">
      <formula>"date within range"</formula>
    </cfRule>
  </conditionalFormatting>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3" max="3" width="15.43"/>
    <col customWidth="1" min="4" max="4" width="18.86"/>
    <col customWidth="1" min="8" max="8" width="18.43"/>
    <col customWidth="1" min="9" max="9" width="20.71"/>
    <col customWidth="1" min="10" max="10" width="17.14"/>
    <col customWidth="1" min="15" max="15" width="16.0"/>
  </cols>
  <sheetData>
    <row r="1">
      <c r="A1" s="1648" t="s">
        <v>5692</v>
      </c>
      <c r="B1" s="1648" t="s">
        <v>5290</v>
      </c>
      <c r="C1" s="1648" t="s">
        <v>5693</v>
      </c>
      <c r="D1" s="1649" t="s">
        <v>600</v>
      </c>
      <c r="E1" s="1648" t="s">
        <v>5694</v>
      </c>
      <c r="G1" s="1650" t="s">
        <v>5692</v>
      </c>
      <c r="H1" s="1651" t="s">
        <v>5290</v>
      </c>
      <c r="I1" s="1650" t="s">
        <v>5693</v>
      </c>
      <c r="J1" s="1650" t="s">
        <v>600</v>
      </c>
      <c r="K1" s="1650" t="s">
        <v>5694</v>
      </c>
      <c r="L1" s="1652" t="str">
        <f>VLOOKUP(N1,'Control list'!$A$2:$BC$379,2,FALSE)</f>
        <v>#N/A</v>
      </c>
      <c r="O1" s="606" t="s">
        <v>5695</v>
      </c>
    </row>
    <row r="2">
      <c r="A2" s="1653">
        <v>45693.0</v>
      </c>
      <c r="B2" s="1154" t="s">
        <v>3858</v>
      </c>
      <c r="C2" s="1154" t="s">
        <v>1039</v>
      </c>
      <c r="D2" s="1154" t="s">
        <v>4126</v>
      </c>
      <c r="E2" s="1654">
        <v>59.5</v>
      </c>
      <c r="G2" s="1655"/>
      <c r="H2" s="1652"/>
      <c r="I2" s="1656"/>
      <c r="J2" s="1656"/>
      <c r="K2" s="606"/>
    </row>
    <row r="3">
      <c r="A3" s="1653">
        <v>45693.0</v>
      </c>
      <c r="B3" s="1154" t="s">
        <v>3976</v>
      </c>
      <c r="C3" s="1154" t="s">
        <v>5696</v>
      </c>
      <c r="D3" s="1154" t="s">
        <v>4922</v>
      </c>
      <c r="E3" s="1154" t="s">
        <v>5697</v>
      </c>
      <c r="G3" s="1655"/>
      <c r="H3" s="1652"/>
      <c r="I3" s="1656"/>
      <c r="J3" s="1656"/>
      <c r="K3" s="606"/>
    </row>
    <row r="4">
      <c r="A4" s="1653">
        <v>45690.0</v>
      </c>
      <c r="B4" s="1154" t="s">
        <v>5698</v>
      </c>
      <c r="C4" s="1154" t="s">
        <v>5699</v>
      </c>
      <c r="D4" s="1154" t="s">
        <v>3384</v>
      </c>
      <c r="E4" s="1654">
        <v>62.0</v>
      </c>
      <c r="G4" s="1655"/>
      <c r="H4" s="1652"/>
      <c r="I4" s="1656"/>
      <c r="J4" s="1656"/>
      <c r="K4" s="606"/>
    </row>
    <row r="5">
      <c r="A5" s="1653">
        <v>45689.0</v>
      </c>
      <c r="B5" s="1154" t="s">
        <v>727</v>
      </c>
      <c r="C5" s="1154" t="s">
        <v>5700</v>
      </c>
      <c r="D5" s="1154" t="s">
        <v>3446</v>
      </c>
      <c r="E5" s="1654" t="s">
        <v>5697</v>
      </c>
      <c r="G5" s="1655"/>
      <c r="H5" s="1652"/>
      <c r="I5" s="1656"/>
      <c r="J5" s="1656"/>
      <c r="K5" s="606"/>
    </row>
    <row r="6">
      <c r="A6" s="1653">
        <v>45689.0</v>
      </c>
      <c r="B6" s="1154" t="s">
        <v>2899</v>
      </c>
      <c r="C6" s="1154" t="s">
        <v>1039</v>
      </c>
      <c r="D6" s="1154" t="s">
        <v>3837</v>
      </c>
      <c r="E6" s="1654">
        <v>59.0</v>
      </c>
      <c r="G6" s="1655"/>
      <c r="H6" s="1652"/>
      <c r="I6" s="1656"/>
      <c r="J6" s="1656"/>
      <c r="K6" s="606"/>
    </row>
    <row r="7">
      <c r="A7" s="1653">
        <v>45689.0</v>
      </c>
      <c r="B7" s="1154" t="s">
        <v>1190</v>
      </c>
      <c r="C7" s="1154" t="s">
        <v>1039</v>
      </c>
      <c r="D7" s="1154" t="s">
        <v>4299</v>
      </c>
      <c r="E7" s="1654">
        <v>60.0</v>
      </c>
      <c r="G7" s="1655"/>
      <c r="H7" s="1652"/>
      <c r="I7" s="1656"/>
      <c r="J7" s="1656"/>
      <c r="K7" s="606"/>
    </row>
    <row r="8">
      <c r="A8" s="1653">
        <v>45688.0</v>
      </c>
      <c r="B8" s="1154" t="s">
        <v>2899</v>
      </c>
      <c r="C8" s="1154" t="s">
        <v>2129</v>
      </c>
      <c r="D8" s="1154" t="s">
        <v>3386</v>
      </c>
      <c r="E8" s="1657">
        <v>61.0</v>
      </c>
      <c r="G8" s="1655"/>
      <c r="H8" s="1652"/>
      <c r="I8" s="1658"/>
      <c r="J8" s="1658"/>
      <c r="K8" s="606"/>
      <c r="O8" s="1659" t="s">
        <v>5701</v>
      </c>
    </row>
    <row r="9">
      <c r="A9" s="1653">
        <v>45688.0</v>
      </c>
      <c r="B9" s="23" t="s">
        <v>727</v>
      </c>
      <c r="C9" s="23" t="s">
        <v>1039</v>
      </c>
      <c r="D9" s="23" t="s">
        <v>3922</v>
      </c>
      <c r="E9" s="1657">
        <v>61.0</v>
      </c>
      <c r="G9" s="1655"/>
      <c r="H9" s="1652"/>
      <c r="I9" s="1658"/>
      <c r="J9" s="1658"/>
      <c r="K9" s="606"/>
      <c r="O9" s="1659" t="s">
        <v>2042</v>
      </c>
    </row>
    <row r="10">
      <c r="A10" s="1653">
        <v>45685.0</v>
      </c>
      <c r="B10" s="23" t="s">
        <v>727</v>
      </c>
      <c r="C10" s="23" t="s">
        <v>1039</v>
      </c>
      <c r="D10" s="23" t="s">
        <v>4866</v>
      </c>
      <c r="E10" s="1654">
        <v>62.5</v>
      </c>
      <c r="G10" s="1655"/>
      <c r="H10" s="1652"/>
      <c r="I10" s="1658"/>
      <c r="J10" s="1658"/>
      <c r="K10" s="606"/>
      <c r="O10" s="1659" t="s">
        <v>2142</v>
      </c>
    </row>
    <row r="11">
      <c r="A11" s="1653">
        <v>45684.0</v>
      </c>
      <c r="B11" s="1154" t="s">
        <v>727</v>
      </c>
      <c r="C11" s="1154" t="s">
        <v>5702</v>
      </c>
      <c r="D11" s="1154" t="s">
        <v>3445</v>
      </c>
      <c r="E11" s="1654">
        <v>62.5</v>
      </c>
      <c r="G11" s="1655"/>
      <c r="H11" s="1652"/>
      <c r="I11" s="1658"/>
      <c r="J11" s="1658"/>
      <c r="K11" s="606"/>
      <c r="O11" s="1659" t="s">
        <v>5703</v>
      </c>
    </row>
    <row r="12">
      <c r="A12" s="1653">
        <v>45683.0</v>
      </c>
      <c r="B12" s="1154" t="s">
        <v>5704</v>
      </c>
      <c r="C12" s="1154" t="s">
        <v>2347</v>
      </c>
      <c r="D12" s="1154" t="s">
        <v>4590</v>
      </c>
      <c r="E12" s="1654">
        <v>58.5</v>
      </c>
      <c r="G12" s="1655"/>
      <c r="H12" s="1652"/>
      <c r="I12" s="1658"/>
      <c r="J12" s="1658"/>
      <c r="K12" s="606"/>
      <c r="O12" s="1659" t="s">
        <v>5705</v>
      </c>
    </row>
    <row r="13">
      <c r="A13" s="1653">
        <v>45681.0</v>
      </c>
      <c r="B13" s="23" t="s">
        <v>1362</v>
      </c>
      <c r="C13" s="23" t="s">
        <v>2129</v>
      </c>
      <c r="D13" s="23" t="s">
        <v>3813</v>
      </c>
      <c r="E13" s="1657">
        <v>65.0</v>
      </c>
      <c r="G13" s="1655"/>
      <c r="H13" s="1652"/>
      <c r="I13" s="1658"/>
      <c r="J13" s="1658"/>
      <c r="K13" s="606"/>
      <c r="O13" s="1659" t="s">
        <v>5702</v>
      </c>
    </row>
    <row r="14">
      <c r="A14" s="1653">
        <v>45681.0</v>
      </c>
      <c r="B14" s="1154" t="s">
        <v>3705</v>
      </c>
      <c r="C14" s="1154" t="s">
        <v>5699</v>
      </c>
      <c r="D14" s="1154" t="s">
        <v>4056</v>
      </c>
      <c r="E14" s="1657">
        <v>63.0</v>
      </c>
      <c r="G14" s="1655"/>
      <c r="H14" s="1652"/>
      <c r="I14" s="1658"/>
      <c r="J14" s="1658"/>
      <c r="K14" s="606"/>
      <c r="O14" s="1659" t="s">
        <v>5706</v>
      </c>
    </row>
    <row r="15">
      <c r="A15" s="1660">
        <v>45681.0</v>
      </c>
      <c r="B15" s="1154" t="s">
        <v>727</v>
      </c>
      <c r="C15" s="1154" t="s">
        <v>5702</v>
      </c>
      <c r="D15" s="1154" t="s">
        <v>3391</v>
      </c>
      <c r="E15" s="1654">
        <v>62.5</v>
      </c>
      <c r="G15" s="1655"/>
      <c r="H15" s="1652"/>
      <c r="I15" s="1658"/>
      <c r="J15" s="1658"/>
      <c r="K15" s="606"/>
      <c r="O15" s="1659" t="s">
        <v>1520</v>
      </c>
    </row>
    <row r="16">
      <c r="A16" s="1660">
        <v>45680.0</v>
      </c>
      <c r="B16" s="1154" t="s">
        <v>1362</v>
      </c>
      <c r="C16" s="1154" t="s">
        <v>5707</v>
      </c>
      <c r="D16" s="1154" t="s">
        <v>4072</v>
      </c>
      <c r="E16" s="1657">
        <v>56.0</v>
      </c>
      <c r="G16" s="1655"/>
      <c r="H16" s="1652"/>
      <c r="I16" s="1658"/>
      <c r="J16" s="1658"/>
      <c r="K16" s="606"/>
      <c r="O16" s="1659" t="s">
        <v>1524</v>
      </c>
    </row>
    <row r="17">
      <c r="A17" s="1653">
        <v>45678.0</v>
      </c>
      <c r="B17" s="1154" t="s">
        <v>1190</v>
      </c>
      <c r="C17" s="1154" t="s">
        <v>5707</v>
      </c>
      <c r="D17" s="1154" t="s">
        <v>4202</v>
      </c>
      <c r="E17" s="1657">
        <v>60.0</v>
      </c>
      <c r="G17" s="1655"/>
      <c r="H17" s="1652"/>
      <c r="I17" s="1658"/>
      <c r="J17" s="1658"/>
      <c r="K17" s="606"/>
      <c r="O17" s="1659" t="s">
        <v>2710</v>
      </c>
    </row>
    <row r="18">
      <c r="A18" s="1660">
        <v>45678.0</v>
      </c>
      <c r="B18" s="1154" t="s">
        <v>4038</v>
      </c>
      <c r="C18" s="1154" t="s">
        <v>5707</v>
      </c>
      <c r="D18" s="1154" t="s">
        <v>5575</v>
      </c>
      <c r="E18" s="1654">
        <v>58.5</v>
      </c>
      <c r="G18" s="1655"/>
      <c r="H18" s="1652"/>
      <c r="I18" s="1658"/>
      <c r="J18" s="1658"/>
      <c r="K18" s="606"/>
      <c r="O18" s="1659" t="s">
        <v>2707</v>
      </c>
    </row>
    <row r="19">
      <c r="A19" s="1653">
        <v>45675.0</v>
      </c>
      <c r="B19" s="23" t="s">
        <v>1362</v>
      </c>
      <c r="C19" s="23" t="s">
        <v>1039</v>
      </c>
      <c r="D19" s="23" t="s">
        <v>3792</v>
      </c>
      <c r="E19" s="1657" t="s">
        <v>5708</v>
      </c>
      <c r="G19" s="1655"/>
      <c r="H19" s="1652"/>
      <c r="I19" s="1658"/>
      <c r="J19" s="1658"/>
      <c r="K19" s="606"/>
      <c r="O19" s="1659" t="s">
        <v>5709</v>
      </c>
    </row>
    <row r="20">
      <c r="A20" s="1660">
        <v>45671.0</v>
      </c>
      <c r="B20" s="1154" t="s">
        <v>1362</v>
      </c>
      <c r="C20" s="1154" t="s">
        <v>2129</v>
      </c>
      <c r="D20" s="1154" t="s">
        <v>3405</v>
      </c>
      <c r="E20" s="1654">
        <v>63.5</v>
      </c>
      <c r="G20" s="1655"/>
      <c r="H20" s="1652"/>
      <c r="I20" s="1658"/>
      <c r="J20" s="1658"/>
      <c r="K20" s="606"/>
      <c r="O20" s="1659" t="s">
        <v>1641</v>
      </c>
    </row>
    <row r="21">
      <c r="A21" s="1660">
        <v>45671.0</v>
      </c>
      <c r="B21" s="1154" t="s">
        <v>3695</v>
      </c>
      <c r="C21" s="1154" t="s">
        <v>2105</v>
      </c>
      <c r="D21" s="1154" t="s">
        <v>3869</v>
      </c>
      <c r="E21" s="1654">
        <v>58.5</v>
      </c>
      <c r="G21" s="1655"/>
      <c r="H21" s="1652"/>
      <c r="I21" s="1658"/>
      <c r="J21" s="1658"/>
      <c r="K21" s="606"/>
      <c r="O21" s="1659" t="s">
        <v>1523</v>
      </c>
    </row>
    <row r="22">
      <c r="A22" s="1653">
        <v>45669.0</v>
      </c>
      <c r="B22" s="1154" t="s">
        <v>1190</v>
      </c>
      <c r="C22" s="1154" t="s">
        <v>2196</v>
      </c>
      <c r="D22" s="1154" t="s">
        <v>3687</v>
      </c>
      <c r="E22" s="1657">
        <v>61.0</v>
      </c>
      <c r="G22" s="1655"/>
      <c r="H22" s="1652"/>
      <c r="I22" s="1658"/>
      <c r="J22" s="1658"/>
      <c r="K22" s="606"/>
      <c r="O22" s="1659" t="s">
        <v>5710</v>
      </c>
    </row>
    <row r="23">
      <c r="A23" s="1653">
        <v>45669.0</v>
      </c>
      <c r="B23" s="1154" t="s">
        <v>727</v>
      </c>
      <c r="C23" s="1154" t="s">
        <v>5700</v>
      </c>
      <c r="D23" s="1154" t="s">
        <v>3406</v>
      </c>
      <c r="E23" s="1657">
        <v>54.0</v>
      </c>
      <c r="G23" s="1655"/>
      <c r="H23" s="1652"/>
      <c r="I23" s="1658"/>
      <c r="J23" s="1658"/>
      <c r="K23" s="606"/>
      <c r="O23" s="1659" t="s">
        <v>108</v>
      </c>
      <c r="P23" s="606" t="s">
        <v>5711</v>
      </c>
    </row>
    <row r="24">
      <c r="A24" s="1653">
        <v>45666.0</v>
      </c>
      <c r="B24" s="1154" t="s">
        <v>3858</v>
      </c>
      <c r="C24" s="1154" t="s">
        <v>2129</v>
      </c>
      <c r="D24" s="1154" t="s">
        <v>3385</v>
      </c>
      <c r="E24" s="1154" t="s">
        <v>5697</v>
      </c>
      <c r="G24" s="1655"/>
      <c r="H24" s="1652"/>
      <c r="I24" s="1658"/>
      <c r="J24" s="1658"/>
      <c r="K24" s="606"/>
      <c r="O24" s="1659" t="s">
        <v>5712</v>
      </c>
    </row>
    <row r="25">
      <c r="A25" s="1653">
        <v>45665.0</v>
      </c>
      <c r="B25" s="23" t="s">
        <v>761</v>
      </c>
      <c r="C25" s="23" t="s">
        <v>2105</v>
      </c>
      <c r="D25" s="23" t="s">
        <v>3423</v>
      </c>
      <c r="E25" s="1657">
        <v>60.0</v>
      </c>
      <c r="G25" s="1655"/>
      <c r="H25" s="1652"/>
      <c r="I25" s="1658"/>
      <c r="J25" s="1658"/>
      <c r="K25" s="606"/>
      <c r="O25" s="1659" t="s">
        <v>2335</v>
      </c>
    </row>
    <row r="26">
      <c r="A26" s="1653">
        <v>45665.0</v>
      </c>
      <c r="B26" s="1154" t="s">
        <v>727</v>
      </c>
      <c r="C26" s="1154" t="s">
        <v>5700</v>
      </c>
      <c r="D26" s="1154" t="s">
        <v>4900</v>
      </c>
      <c r="E26" s="1657">
        <v>54.0</v>
      </c>
      <c r="G26" s="1655"/>
      <c r="H26" s="1652"/>
      <c r="I26" s="1658"/>
      <c r="J26" s="1658"/>
      <c r="K26" s="606"/>
      <c r="O26" s="1659" t="s">
        <v>5713</v>
      </c>
    </row>
    <row r="27">
      <c r="A27" s="1653">
        <v>45663.0</v>
      </c>
      <c r="B27" s="23" t="s">
        <v>5698</v>
      </c>
      <c r="C27" s="23" t="s">
        <v>5699</v>
      </c>
      <c r="D27" s="23" t="s">
        <v>3902</v>
      </c>
      <c r="E27" s="1657">
        <v>67.0</v>
      </c>
      <c r="G27" s="1655"/>
      <c r="H27" s="1652"/>
      <c r="I27" s="1658"/>
      <c r="J27" s="1658"/>
      <c r="K27" s="606"/>
      <c r="O27" s="1659" t="s">
        <v>555</v>
      </c>
    </row>
    <row r="28">
      <c r="A28" s="1653">
        <v>45660.0</v>
      </c>
      <c r="B28" s="1154" t="s">
        <v>1190</v>
      </c>
      <c r="C28" s="1154" t="s">
        <v>5707</v>
      </c>
      <c r="D28" s="1154" t="s">
        <v>4896</v>
      </c>
      <c r="E28" s="1657">
        <v>74.0</v>
      </c>
      <c r="G28" s="1661"/>
      <c r="H28" s="1652"/>
      <c r="I28" s="1658"/>
      <c r="J28" s="1658"/>
      <c r="K28" s="606"/>
      <c r="O28" s="1659" t="s">
        <v>5714</v>
      </c>
      <c r="P28" s="606" t="s">
        <v>5715</v>
      </c>
    </row>
    <row r="29">
      <c r="A29" s="1653"/>
      <c r="B29" s="1154"/>
      <c r="C29" s="1154"/>
      <c r="D29" s="1154"/>
      <c r="E29" s="1654"/>
      <c r="G29" s="1661"/>
      <c r="H29" s="1652"/>
      <c r="I29" s="1658"/>
      <c r="J29" s="1658"/>
      <c r="K29" s="606"/>
      <c r="O29" s="1659" t="s">
        <v>2316</v>
      </c>
      <c r="P29" s="606" t="s">
        <v>624</v>
      </c>
      <c r="Q29" s="606" t="s">
        <v>1859</v>
      </c>
    </row>
    <row r="30">
      <c r="A30" s="1660"/>
      <c r="B30" s="1154"/>
      <c r="C30" s="1154"/>
      <c r="D30" s="1154"/>
      <c r="E30" s="1154"/>
      <c r="G30" s="1661"/>
      <c r="H30" s="1652"/>
      <c r="I30" s="1658"/>
      <c r="J30" s="1658"/>
      <c r="K30" s="606"/>
    </row>
    <row r="31">
      <c r="A31" s="1653"/>
      <c r="B31" s="23"/>
      <c r="C31" s="23"/>
      <c r="D31" s="23"/>
      <c r="E31" s="1154"/>
      <c r="G31" s="1661"/>
      <c r="H31" s="1652"/>
      <c r="I31" s="1658"/>
      <c r="J31" s="1658"/>
      <c r="K31" s="606"/>
    </row>
    <row r="32">
      <c r="A32" s="1653"/>
      <c r="B32" s="23"/>
      <c r="C32" s="23"/>
      <c r="D32" s="23"/>
      <c r="E32" s="1154"/>
      <c r="G32" s="1661"/>
      <c r="H32" s="1652"/>
      <c r="I32" s="1658"/>
      <c r="J32" s="1658"/>
      <c r="K32" s="606"/>
    </row>
    <row r="33">
      <c r="A33" s="1653"/>
      <c r="B33" s="1154"/>
      <c r="C33" s="23"/>
      <c r="D33" s="1154"/>
      <c r="E33" s="1154"/>
      <c r="G33" s="1661"/>
      <c r="H33" s="1652"/>
      <c r="I33" s="1658"/>
      <c r="J33" s="1658"/>
      <c r="K33" s="606"/>
    </row>
    <row r="34">
      <c r="A34" s="1653"/>
      <c r="B34" s="1154"/>
      <c r="C34" s="1154"/>
      <c r="D34" s="1154"/>
      <c r="E34" s="1154"/>
      <c r="G34" s="1661"/>
      <c r="H34" s="1652"/>
      <c r="I34" s="1658"/>
      <c r="J34" s="1658"/>
      <c r="K34" s="606"/>
    </row>
    <row r="35">
      <c r="A35" s="1653"/>
      <c r="B35" s="1154"/>
      <c r="C35" s="1154"/>
      <c r="D35" s="1154"/>
      <c r="E35" s="1154"/>
      <c r="G35" s="1661"/>
      <c r="H35" s="1652"/>
      <c r="I35" s="1658"/>
      <c r="J35" s="1658"/>
      <c r="K35" s="606"/>
    </row>
    <row r="36">
      <c r="A36" s="1660"/>
      <c r="B36" s="1154"/>
      <c r="C36" s="1154"/>
      <c r="D36" s="1154"/>
      <c r="E36" s="1154"/>
      <c r="G36" s="1661"/>
      <c r="H36" s="1652"/>
      <c r="I36" s="1658"/>
      <c r="J36" s="1658"/>
      <c r="K36" s="606"/>
    </row>
    <row r="37">
      <c r="A37" s="1653"/>
      <c r="B37" s="1154"/>
      <c r="C37" s="1662"/>
      <c r="D37" s="1662"/>
      <c r="E37" s="1154"/>
      <c r="G37" s="1661"/>
      <c r="H37" s="1652"/>
      <c r="I37" s="1658"/>
      <c r="J37" s="1658"/>
      <c r="K37" s="606"/>
    </row>
    <row r="38">
      <c r="A38" s="1653"/>
      <c r="B38" s="1154"/>
      <c r="C38" s="1154"/>
      <c r="D38" s="1154"/>
      <c r="E38" s="1154"/>
      <c r="G38" s="1661"/>
      <c r="H38" s="1652"/>
      <c r="I38" s="1658"/>
      <c r="J38" s="1658"/>
      <c r="K38" s="606"/>
    </row>
    <row r="39">
      <c r="A39" s="1653"/>
      <c r="B39" s="1154"/>
      <c r="C39" s="1154"/>
      <c r="D39" s="1154"/>
      <c r="E39" s="1154"/>
      <c r="G39" s="1661"/>
      <c r="H39" s="1652"/>
      <c r="I39" s="1658"/>
      <c r="J39" s="1658"/>
      <c r="K39" s="606"/>
    </row>
    <row r="40">
      <c r="A40" s="1653"/>
      <c r="B40" s="1154"/>
      <c r="C40" s="1154"/>
      <c r="D40" s="1154"/>
      <c r="E40" s="1154"/>
      <c r="G40" s="1661"/>
      <c r="H40" s="1652"/>
      <c r="I40" s="1658"/>
      <c r="J40" s="1658"/>
      <c r="K40" s="606"/>
    </row>
    <row r="41">
      <c r="A41" s="1653"/>
      <c r="B41" s="1154"/>
      <c r="C41" s="1154"/>
      <c r="D41" s="1154"/>
      <c r="E41" s="1154"/>
      <c r="G41" s="1661"/>
      <c r="H41" s="1652"/>
      <c r="I41" s="1658"/>
      <c r="J41" s="1658"/>
      <c r="K41" s="606"/>
    </row>
    <row r="42">
      <c r="A42" s="1653"/>
      <c r="B42" s="1154"/>
      <c r="C42" s="1154"/>
      <c r="D42" s="1154"/>
      <c r="E42" s="1154"/>
      <c r="G42" s="1661"/>
      <c r="H42" s="1652"/>
      <c r="I42" s="1658"/>
      <c r="J42" s="1658"/>
      <c r="K42" s="606"/>
    </row>
    <row r="43">
      <c r="A43" s="1660"/>
      <c r="B43" s="1154"/>
      <c r="C43" s="1154"/>
      <c r="D43" s="1154"/>
      <c r="E43" s="1154"/>
      <c r="G43" s="1661"/>
      <c r="H43" s="1652"/>
      <c r="I43" s="1658"/>
      <c r="J43" s="1658"/>
      <c r="K43" s="606"/>
    </row>
    <row r="44">
      <c r="A44" s="1653"/>
      <c r="B44" s="1154"/>
      <c r="C44" s="1154"/>
      <c r="D44" s="1154"/>
      <c r="E44" s="1154"/>
      <c r="G44" s="1661"/>
      <c r="H44" s="1652"/>
      <c r="I44" s="1658"/>
      <c r="J44" s="1658"/>
      <c r="K44" s="606"/>
    </row>
    <row r="45">
      <c r="A45" s="1653"/>
      <c r="B45" s="1154"/>
      <c r="C45" s="1154"/>
      <c r="D45" s="1154"/>
      <c r="E45" s="1154"/>
      <c r="G45" s="1661"/>
      <c r="H45" s="1652"/>
      <c r="I45" s="1658"/>
      <c r="J45" s="1658"/>
      <c r="K45" s="606"/>
    </row>
    <row r="46">
      <c r="A46" s="1660"/>
      <c r="B46" s="1154"/>
      <c r="C46" s="1154"/>
      <c r="D46" s="1154"/>
      <c r="E46" s="1154"/>
      <c r="G46" s="1661"/>
      <c r="H46" s="1652"/>
      <c r="I46" s="1658"/>
      <c r="J46" s="1658"/>
      <c r="K46" s="606"/>
    </row>
    <row r="47">
      <c r="A47" s="1660"/>
      <c r="B47" s="1154"/>
      <c r="C47" s="1154"/>
      <c r="D47" s="1154"/>
      <c r="E47" s="1154"/>
      <c r="G47" s="1661"/>
      <c r="H47" s="1652"/>
      <c r="I47" s="1658"/>
      <c r="J47" s="1658"/>
      <c r="K47" s="606"/>
    </row>
    <row r="48">
      <c r="A48" s="1653"/>
      <c r="B48" s="1154"/>
      <c r="C48" s="1154"/>
      <c r="D48" s="1154"/>
      <c r="E48" s="1154"/>
      <c r="G48" s="1661"/>
      <c r="H48" s="1652"/>
      <c r="I48" s="1658"/>
      <c r="J48" s="1658"/>
      <c r="K48" s="606"/>
    </row>
    <row r="49">
      <c r="A49" s="1653"/>
      <c r="B49" s="23"/>
      <c r="C49" s="23"/>
      <c r="D49" s="23"/>
      <c r="E49" s="1154"/>
      <c r="G49" s="1661"/>
      <c r="H49" s="1652"/>
      <c r="I49" s="1658"/>
      <c r="J49" s="1658"/>
      <c r="K49" s="606"/>
    </row>
    <row r="50">
      <c r="A50" s="1660"/>
      <c r="B50" s="1154"/>
      <c r="C50" s="1154"/>
      <c r="D50" s="1154"/>
      <c r="E50" s="1154"/>
      <c r="G50" s="1661"/>
      <c r="H50" s="1652"/>
      <c r="I50" s="1658"/>
      <c r="J50" s="1658"/>
      <c r="K50" s="606"/>
    </row>
    <row r="51">
      <c r="A51" s="1660"/>
      <c r="B51" s="1154"/>
      <c r="C51" s="1154"/>
      <c r="D51" s="1154"/>
      <c r="E51" s="1154"/>
      <c r="G51" s="1661"/>
      <c r="H51" s="1652"/>
      <c r="I51" s="1658"/>
      <c r="J51" s="1658"/>
      <c r="K51" s="606"/>
    </row>
    <row r="52">
      <c r="A52" s="1653"/>
      <c r="B52" s="1154"/>
      <c r="C52" s="1154"/>
      <c r="D52" s="1154"/>
      <c r="E52" s="1154"/>
      <c r="G52" s="1661"/>
      <c r="H52" s="1652"/>
      <c r="I52" s="1658"/>
      <c r="J52" s="1658"/>
      <c r="K52" s="606"/>
    </row>
    <row r="53">
      <c r="A53" s="1653"/>
      <c r="B53" s="1154"/>
      <c r="C53" s="1154"/>
      <c r="D53" s="1154"/>
      <c r="E53" s="1154"/>
      <c r="G53" s="1661"/>
      <c r="H53" s="1652"/>
      <c r="I53" s="1658"/>
      <c r="J53" s="1658"/>
      <c r="K53" s="606"/>
    </row>
    <row r="54">
      <c r="A54" s="1653"/>
      <c r="B54" s="1154"/>
      <c r="C54" s="1154"/>
      <c r="D54" s="1154"/>
      <c r="E54" s="1154"/>
      <c r="G54" s="1661"/>
      <c r="H54" s="1652"/>
      <c r="I54" s="1658"/>
      <c r="J54" s="1658"/>
      <c r="K54" s="606"/>
    </row>
    <row r="55">
      <c r="A55" s="1653"/>
      <c r="B55" s="1154"/>
      <c r="C55" s="1154"/>
      <c r="D55" s="1154"/>
      <c r="E55" s="1154"/>
      <c r="G55" s="1661"/>
      <c r="H55" s="1652"/>
      <c r="I55" s="1658"/>
      <c r="J55" s="1658"/>
      <c r="K55" s="606"/>
    </row>
    <row r="56">
      <c r="A56" s="1653"/>
      <c r="B56" s="1154"/>
      <c r="C56" s="1154"/>
      <c r="D56" s="1154"/>
      <c r="E56" s="1154"/>
      <c r="G56" s="1661"/>
      <c r="H56" s="1652"/>
      <c r="I56" s="1658"/>
      <c r="J56" s="1658"/>
      <c r="K56" s="606"/>
    </row>
    <row r="57">
      <c r="A57" s="1660"/>
      <c r="B57" s="1154"/>
      <c r="C57" s="1154"/>
      <c r="D57" s="1154"/>
      <c r="E57" s="1154"/>
      <c r="G57" s="1661"/>
      <c r="H57" s="1652"/>
      <c r="I57" s="1658"/>
      <c r="J57" s="1658"/>
      <c r="K57" s="606"/>
    </row>
    <row r="58">
      <c r="A58" s="1653"/>
      <c r="B58" s="1154"/>
      <c r="C58" s="23"/>
      <c r="D58" s="1154"/>
      <c r="E58" s="1154"/>
      <c r="G58" s="1661"/>
      <c r="H58" s="1652"/>
      <c r="I58" s="1658"/>
      <c r="J58" s="1658"/>
      <c r="K58" s="606"/>
    </row>
    <row r="59">
      <c r="A59" s="1653"/>
      <c r="B59" s="1154"/>
      <c r="C59" s="1154"/>
      <c r="D59" s="1154"/>
      <c r="E59" s="1154"/>
      <c r="G59" s="1661"/>
      <c r="H59" s="1652"/>
      <c r="I59" s="1658"/>
      <c r="J59" s="1658"/>
      <c r="K59" s="606"/>
    </row>
    <row r="60">
      <c r="A60" s="1653"/>
      <c r="B60" s="1154"/>
      <c r="C60" s="1154"/>
      <c r="D60" s="1154"/>
      <c r="E60" s="1154"/>
      <c r="G60" s="1661"/>
      <c r="H60" s="1652"/>
      <c r="I60" s="1658"/>
      <c r="J60" s="1658"/>
      <c r="K60" s="606"/>
    </row>
    <row r="61">
      <c r="A61" s="1653"/>
      <c r="B61" s="1154"/>
      <c r="C61" s="1154"/>
      <c r="D61" s="1154"/>
      <c r="E61" s="1154"/>
      <c r="G61" s="1661"/>
      <c r="H61" s="1652"/>
      <c r="I61" s="1658"/>
      <c r="J61" s="1658"/>
      <c r="K61" s="606"/>
    </row>
    <row r="62">
      <c r="A62" s="1660"/>
      <c r="B62" s="1154"/>
      <c r="C62" s="1154"/>
      <c r="D62" s="1154"/>
      <c r="E62" s="1154"/>
      <c r="G62" s="1661"/>
      <c r="H62" s="1652"/>
      <c r="I62" s="1658"/>
      <c r="J62" s="1658"/>
      <c r="K62" s="606"/>
    </row>
    <row r="63">
      <c r="A63" s="1660"/>
      <c r="B63" s="1154"/>
      <c r="C63" s="1154"/>
      <c r="D63" s="1154"/>
      <c r="E63" s="1154"/>
      <c r="G63" s="1661"/>
      <c r="H63" s="1652"/>
      <c r="I63" s="1658"/>
      <c r="J63" s="1658"/>
      <c r="K63" s="606"/>
    </row>
    <row r="64">
      <c r="A64" s="1653"/>
      <c r="B64" s="1154"/>
      <c r="C64" s="1154"/>
      <c r="D64" s="1154"/>
      <c r="E64" s="1154"/>
      <c r="G64" s="1661"/>
      <c r="H64" s="1652"/>
      <c r="I64" s="1658"/>
      <c r="J64" s="1658"/>
      <c r="K64" s="606"/>
    </row>
    <row r="65">
      <c r="A65" s="1660"/>
      <c r="B65" s="1154"/>
      <c r="C65" s="1154"/>
      <c r="D65" s="1154"/>
      <c r="E65" s="1154"/>
      <c r="G65" s="1661"/>
      <c r="H65" s="1652"/>
      <c r="I65" s="1658"/>
      <c r="J65" s="1658"/>
      <c r="K65" s="606"/>
    </row>
    <row r="66">
      <c r="A66" s="1653"/>
      <c r="B66" s="1154"/>
      <c r="C66" s="1154"/>
      <c r="D66" s="1154"/>
      <c r="E66" s="1154"/>
      <c r="G66" s="1661"/>
      <c r="H66" s="1652"/>
      <c r="I66" s="1658"/>
      <c r="J66" s="1658"/>
      <c r="K66" s="606"/>
    </row>
    <row r="67">
      <c r="A67" s="1660"/>
      <c r="B67" s="1154"/>
      <c r="C67" s="1154"/>
      <c r="D67" s="1154"/>
      <c r="E67" s="1154"/>
      <c r="G67" s="1661"/>
      <c r="H67" s="1652"/>
      <c r="I67" s="1658"/>
      <c r="J67" s="1658"/>
      <c r="K67" s="606"/>
    </row>
    <row r="68">
      <c r="A68" s="1653"/>
      <c r="B68" s="1154"/>
      <c r="C68" s="1154"/>
      <c r="D68" s="1154"/>
      <c r="E68" s="1154"/>
      <c r="G68" s="1661"/>
      <c r="H68" s="1652"/>
      <c r="I68" s="1658"/>
      <c r="J68" s="1658"/>
      <c r="K68" s="606"/>
    </row>
    <row r="69">
      <c r="A69" s="1653"/>
      <c r="B69" s="1154"/>
      <c r="C69" s="1154"/>
      <c r="D69" s="1154"/>
      <c r="E69" s="1154"/>
      <c r="G69" s="1661"/>
      <c r="H69" s="1652"/>
      <c r="I69" s="1658"/>
      <c r="J69" s="1658"/>
      <c r="K69" s="606"/>
    </row>
    <row r="70">
      <c r="A70" s="1653"/>
      <c r="B70" s="1154"/>
      <c r="C70" s="1154"/>
      <c r="D70" s="1154"/>
      <c r="E70" s="1154"/>
      <c r="G70" s="1661"/>
      <c r="H70" s="1652"/>
      <c r="I70" s="1658"/>
      <c r="J70" s="1658"/>
      <c r="K70" s="606"/>
    </row>
    <row r="71">
      <c r="A71" s="1660"/>
      <c r="B71" s="1154"/>
      <c r="C71" s="1154"/>
      <c r="D71" s="1154"/>
      <c r="E71" s="1154"/>
      <c r="G71" s="1661"/>
      <c r="H71" s="1652"/>
      <c r="I71" s="1658"/>
      <c r="J71" s="1658"/>
      <c r="K71" s="606"/>
    </row>
    <row r="72">
      <c r="A72" s="1653"/>
      <c r="B72" s="1154"/>
      <c r="C72" s="1154"/>
      <c r="D72" s="1154"/>
      <c r="E72" s="1154"/>
      <c r="G72" s="1661"/>
      <c r="H72" s="1652"/>
      <c r="I72" s="1658"/>
      <c r="J72" s="1607"/>
      <c r="K72" s="606"/>
    </row>
    <row r="73">
      <c r="A73" s="1660"/>
      <c r="B73" s="1154"/>
      <c r="C73" s="1154"/>
      <c r="D73" s="1154"/>
      <c r="E73" s="1154"/>
      <c r="G73" s="1661"/>
      <c r="H73" s="1652"/>
      <c r="I73" s="1658"/>
      <c r="J73" s="1658"/>
      <c r="K73" s="606"/>
    </row>
    <row r="74">
      <c r="A74" s="1653"/>
      <c r="B74" s="1154"/>
      <c r="C74" s="1154"/>
      <c r="D74" s="1154"/>
      <c r="E74" s="1154"/>
      <c r="G74" s="1661"/>
      <c r="H74" s="1652"/>
      <c r="I74" s="1658"/>
      <c r="J74" s="1658"/>
      <c r="K74" s="606"/>
    </row>
    <row r="75">
      <c r="A75" s="1653"/>
      <c r="B75" s="1154"/>
      <c r="C75" s="1154"/>
      <c r="D75" s="1154"/>
      <c r="E75" s="1154"/>
      <c r="G75" s="1661"/>
      <c r="H75" s="1652"/>
      <c r="I75" s="1658"/>
      <c r="J75" s="1658"/>
      <c r="K75" s="606"/>
    </row>
    <row r="76">
      <c r="A76" s="1653"/>
      <c r="B76" s="1154"/>
      <c r="C76" s="1154"/>
      <c r="D76" s="1154"/>
      <c r="E76" s="1154"/>
      <c r="G76" s="1661"/>
      <c r="H76" s="1652"/>
      <c r="I76" s="1658"/>
      <c r="J76" s="1658"/>
      <c r="K76" s="606"/>
    </row>
    <row r="77">
      <c r="A77" s="1660"/>
      <c r="B77" s="1154"/>
      <c r="C77" s="1154"/>
      <c r="D77" s="1154"/>
      <c r="E77" s="1154"/>
      <c r="G77" s="1661"/>
      <c r="H77" s="1652"/>
      <c r="I77" s="1658"/>
      <c r="J77" s="1658"/>
      <c r="K77" s="606"/>
    </row>
    <row r="78">
      <c r="A78" s="1653"/>
      <c r="B78" s="1154"/>
      <c r="C78" s="1154"/>
      <c r="D78" s="1154"/>
      <c r="E78" s="1154"/>
      <c r="G78" s="1661"/>
      <c r="H78" s="1652"/>
      <c r="I78" s="1658"/>
      <c r="J78" s="1658"/>
      <c r="K78" s="606"/>
    </row>
    <row r="79">
      <c r="A79" s="1653"/>
      <c r="B79" s="1154"/>
      <c r="C79" s="1154"/>
      <c r="D79" s="1154"/>
      <c r="E79" s="1154"/>
      <c r="G79" s="1661"/>
      <c r="H79" s="1652"/>
      <c r="I79" s="1658"/>
      <c r="J79" s="1658"/>
      <c r="K79" s="606"/>
    </row>
    <row r="80">
      <c r="A80" s="1653"/>
      <c r="B80" s="1154"/>
      <c r="C80" s="1154"/>
      <c r="D80" s="1154"/>
      <c r="E80" s="1154"/>
      <c r="G80" s="1661"/>
      <c r="H80" s="1652"/>
      <c r="I80" s="1658"/>
      <c r="J80" s="1658"/>
      <c r="K80" s="606"/>
    </row>
    <row r="81">
      <c r="A81" s="1660"/>
      <c r="B81" s="1154"/>
      <c r="C81" s="1154"/>
      <c r="D81" s="1154"/>
      <c r="E81" s="1154"/>
      <c r="G81" s="1661"/>
      <c r="H81" s="1652"/>
      <c r="I81" s="1658"/>
      <c r="J81" s="1658"/>
      <c r="K81" s="606"/>
    </row>
    <row r="82">
      <c r="A82" s="1660"/>
      <c r="B82" s="1154"/>
      <c r="C82" s="1154"/>
      <c r="D82" s="1154"/>
      <c r="E82" s="1154"/>
      <c r="G82" s="1661"/>
      <c r="H82" s="1652"/>
      <c r="I82" s="1658"/>
      <c r="J82" s="1658"/>
      <c r="K82" s="606"/>
    </row>
    <row r="83">
      <c r="A83" s="1653"/>
      <c r="B83" s="1154"/>
      <c r="C83" s="1154"/>
      <c r="D83" s="1154"/>
      <c r="E83" s="1154"/>
      <c r="G83" s="1661"/>
      <c r="H83" s="1652"/>
      <c r="I83" s="1658"/>
      <c r="J83" s="1658"/>
      <c r="K83" s="606"/>
    </row>
    <row r="84">
      <c r="A84" s="1660"/>
      <c r="B84" s="1154"/>
      <c r="C84" s="1154"/>
      <c r="D84" s="1154"/>
      <c r="E84" s="1154"/>
      <c r="G84" s="1661"/>
      <c r="H84" s="1652"/>
      <c r="I84" s="1658"/>
      <c r="J84" s="1658"/>
      <c r="K84" s="606"/>
    </row>
    <row r="85">
      <c r="A85" s="1660"/>
      <c r="B85" s="1154"/>
      <c r="C85" s="1154"/>
      <c r="D85" s="1154"/>
      <c r="E85" s="1154"/>
      <c r="G85" s="1661"/>
      <c r="H85" s="1652"/>
      <c r="I85" s="1658"/>
      <c r="J85" s="1658"/>
      <c r="K85" s="606"/>
    </row>
    <row r="86">
      <c r="A86" s="1653"/>
      <c r="B86" s="1154"/>
      <c r="C86" s="1154"/>
      <c r="D86" s="1154"/>
      <c r="E86" s="1154"/>
      <c r="G86" s="1661"/>
      <c r="H86" s="1652"/>
      <c r="I86" s="1658"/>
      <c r="J86" s="1658"/>
      <c r="K86" s="606"/>
    </row>
    <row r="87">
      <c r="A87" s="1653"/>
      <c r="B87" s="1154"/>
      <c r="C87" s="1154"/>
      <c r="D87" s="1154"/>
      <c r="E87" s="1154"/>
      <c r="G87" s="1661"/>
      <c r="H87" s="1652"/>
      <c r="I87" s="1658"/>
      <c r="J87" s="1658"/>
      <c r="K87" s="606"/>
    </row>
    <row r="88">
      <c r="A88" s="1653"/>
      <c r="B88" s="1154"/>
      <c r="C88" s="1154"/>
      <c r="D88" s="1154"/>
      <c r="E88" s="1154"/>
      <c r="G88" s="1661"/>
      <c r="H88" s="1652"/>
      <c r="I88" s="1658"/>
      <c r="J88" s="1658"/>
      <c r="K88" s="606"/>
    </row>
    <row r="89">
      <c r="A89" s="1653"/>
      <c r="B89" s="23"/>
      <c r="C89" s="23"/>
      <c r="D89" s="23"/>
      <c r="E89" s="1154"/>
      <c r="G89" s="1655"/>
      <c r="H89" s="1652"/>
      <c r="I89" s="1658"/>
      <c r="J89" s="1658"/>
      <c r="K89" s="606"/>
    </row>
    <row r="90">
      <c r="A90" s="1653"/>
      <c r="B90" s="23"/>
      <c r="C90" s="23"/>
      <c r="D90" s="23"/>
      <c r="E90" s="1154"/>
      <c r="G90" s="1655"/>
      <c r="H90" s="1652"/>
      <c r="I90" s="1658"/>
      <c r="J90" s="1658"/>
      <c r="K90" s="606"/>
    </row>
    <row r="91">
      <c r="A91" s="1653"/>
      <c r="B91" s="1154"/>
      <c r="C91" s="1154"/>
      <c r="D91" s="1154"/>
      <c r="E91" s="1154"/>
      <c r="G91" s="1655"/>
      <c r="H91" s="1652"/>
      <c r="I91" s="1658"/>
      <c r="J91" s="1658"/>
      <c r="K91" s="606"/>
    </row>
    <row r="92">
      <c r="A92" s="1653"/>
      <c r="B92" s="1154"/>
      <c r="C92" s="1662"/>
      <c r="D92" s="1662"/>
      <c r="E92" s="1154"/>
      <c r="G92" s="1655"/>
      <c r="H92" s="1652"/>
      <c r="I92" s="1658"/>
      <c r="J92" s="1658"/>
      <c r="K92" s="606"/>
    </row>
    <row r="93">
      <c r="A93" s="1653"/>
      <c r="B93" s="23"/>
      <c r="C93" s="23"/>
      <c r="D93" s="23"/>
      <c r="E93" s="1154"/>
      <c r="G93" s="1655"/>
      <c r="H93" s="1652"/>
      <c r="I93" s="1658"/>
      <c r="J93" s="1658"/>
      <c r="K93" s="606"/>
    </row>
    <row r="94">
      <c r="A94" s="1653"/>
      <c r="B94" s="23"/>
      <c r="C94" s="23"/>
      <c r="D94" s="23"/>
      <c r="E94" s="1154"/>
      <c r="G94" s="1655"/>
      <c r="H94" s="1652"/>
      <c r="I94" s="1658"/>
      <c r="J94" s="1658"/>
      <c r="K94" s="606"/>
    </row>
    <row r="95">
      <c r="A95" s="1653"/>
      <c r="B95" s="1154"/>
      <c r="C95" s="1154"/>
      <c r="D95" s="1154"/>
      <c r="E95" s="1154"/>
      <c r="G95" s="1655"/>
      <c r="H95" s="1652"/>
      <c r="I95" s="1658"/>
      <c r="J95" s="1658"/>
      <c r="K95" s="606"/>
    </row>
    <row r="96">
      <c r="A96" s="1653"/>
      <c r="B96" s="1154"/>
      <c r="C96" s="1154"/>
      <c r="D96" s="1154"/>
      <c r="E96" s="1154"/>
      <c r="G96" s="1655"/>
      <c r="H96" s="1652"/>
      <c r="I96" s="1658"/>
      <c r="J96" s="1658"/>
      <c r="K96" s="606"/>
    </row>
    <row r="97">
      <c r="A97" s="1660"/>
      <c r="B97" s="1154"/>
      <c r="C97" s="1154"/>
      <c r="D97" s="1154"/>
      <c r="E97" s="1154"/>
      <c r="G97" s="1655"/>
      <c r="H97" s="1652"/>
      <c r="I97" s="1658"/>
      <c r="J97" s="1658"/>
      <c r="K97" s="606"/>
    </row>
    <row r="98">
      <c r="A98" s="1653"/>
      <c r="B98" s="1154"/>
      <c r="C98" s="1154"/>
      <c r="D98" s="1154"/>
      <c r="E98" s="1154"/>
      <c r="G98" s="1655"/>
      <c r="H98" s="1652"/>
      <c r="I98" s="1658"/>
      <c r="J98" s="1658"/>
      <c r="K98" s="606"/>
    </row>
    <row r="99">
      <c r="A99" s="1653"/>
      <c r="B99" s="1154"/>
      <c r="C99" s="1154"/>
      <c r="D99" s="1154"/>
      <c r="E99" s="1154"/>
      <c r="G99" s="1655"/>
      <c r="H99" s="1652"/>
      <c r="I99" s="1658"/>
      <c r="J99" s="1658"/>
      <c r="K99" s="606"/>
    </row>
    <row r="100">
      <c r="A100" s="1653"/>
      <c r="B100" s="23"/>
      <c r="C100" s="23"/>
      <c r="D100" s="23"/>
      <c r="E100" s="1154"/>
      <c r="G100" s="1655"/>
      <c r="H100" s="1652"/>
      <c r="I100" s="1658"/>
      <c r="J100" s="1658"/>
      <c r="K100" s="606"/>
    </row>
    <row r="101">
      <c r="A101" s="1653"/>
      <c r="B101" s="1154"/>
      <c r="C101" s="1154"/>
      <c r="D101" s="1154"/>
      <c r="E101" s="1154"/>
      <c r="G101" s="1655"/>
      <c r="H101" s="1652"/>
      <c r="I101" s="1658"/>
      <c r="J101" s="1658"/>
      <c r="K101" s="606"/>
    </row>
    <row r="102">
      <c r="A102" s="1653"/>
      <c r="B102" s="23"/>
      <c r="C102" s="23"/>
      <c r="D102" s="23"/>
      <c r="E102" s="1154"/>
      <c r="G102" s="1655"/>
      <c r="H102" s="1652"/>
      <c r="I102" s="1658"/>
      <c r="J102" s="1658"/>
      <c r="K102" s="606"/>
    </row>
    <row r="103">
      <c r="A103" s="1660"/>
      <c r="B103" s="1154"/>
      <c r="C103" s="1154"/>
      <c r="D103" s="1154"/>
      <c r="E103" s="1154"/>
      <c r="G103" s="1655"/>
      <c r="H103" s="1652"/>
      <c r="I103" s="1658"/>
      <c r="J103" s="1658"/>
      <c r="K103" s="606"/>
    </row>
    <row r="104">
      <c r="A104" s="1653"/>
      <c r="B104" s="1154"/>
      <c r="C104" s="1154"/>
      <c r="D104" s="1154"/>
      <c r="E104" s="1154"/>
      <c r="G104" s="1655"/>
      <c r="H104" s="1652"/>
      <c r="I104" s="1658"/>
      <c r="J104" s="1658"/>
      <c r="K104" s="606"/>
    </row>
    <row r="105">
      <c r="A105" s="1653"/>
      <c r="B105" s="1154"/>
      <c r="C105" s="1154"/>
      <c r="D105" s="1154"/>
      <c r="E105" s="1154"/>
      <c r="G105" s="1655"/>
      <c r="H105" s="1652"/>
      <c r="I105" s="1658"/>
      <c r="J105" s="1658"/>
      <c r="K105" s="606"/>
    </row>
    <row r="106">
      <c r="A106" s="1653"/>
      <c r="B106" s="1154"/>
      <c r="C106" s="1154"/>
      <c r="D106" s="1154"/>
      <c r="E106" s="1154"/>
      <c r="G106" s="1655"/>
      <c r="H106" s="1652"/>
      <c r="I106" s="1658"/>
      <c r="J106" s="1658"/>
      <c r="K106" s="606"/>
    </row>
    <row r="107">
      <c r="A107" s="1653"/>
      <c r="B107" s="23"/>
      <c r="C107" s="23"/>
      <c r="D107" s="23"/>
      <c r="E107" s="1154"/>
      <c r="G107" s="1655"/>
      <c r="H107" s="1652"/>
      <c r="I107" s="1658"/>
      <c r="J107" s="1658"/>
      <c r="K107" s="606"/>
    </row>
    <row r="108">
      <c r="A108" s="1653"/>
      <c r="B108" s="1154"/>
      <c r="C108" s="1154"/>
      <c r="D108" s="1154"/>
      <c r="E108" s="1154"/>
      <c r="G108" s="1655"/>
      <c r="H108" s="1652"/>
      <c r="I108" s="1658"/>
      <c r="J108" s="1658"/>
      <c r="K108" s="606"/>
    </row>
    <row r="109">
      <c r="A109" s="1660"/>
      <c r="B109" s="1154"/>
      <c r="C109" s="1154"/>
      <c r="D109" s="1154"/>
      <c r="E109" s="1154"/>
      <c r="G109" s="1655"/>
      <c r="H109" s="1652"/>
      <c r="I109" s="1658"/>
      <c r="J109" s="1658"/>
      <c r="K109" s="606"/>
    </row>
    <row r="110">
      <c r="A110" s="1653"/>
      <c r="B110" s="23"/>
      <c r="C110" s="23"/>
      <c r="D110" s="23"/>
      <c r="E110" s="1154"/>
      <c r="G110" s="1655"/>
      <c r="H110" s="1652"/>
      <c r="I110" s="1658"/>
      <c r="J110" s="1658"/>
      <c r="K110" s="606"/>
    </row>
    <row r="111">
      <c r="A111" s="1653"/>
      <c r="B111" s="1154"/>
      <c r="C111" s="1154"/>
      <c r="D111" s="1154"/>
      <c r="E111" s="1154"/>
      <c r="G111" s="1655"/>
      <c r="H111" s="1652"/>
      <c r="I111" s="1658"/>
      <c r="J111" s="1658"/>
      <c r="K111" s="606"/>
    </row>
    <row r="112">
      <c r="A112" s="1653"/>
      <c r="B112" s="1154"/>
      <c r="C112" s="1154"/>
      <c r="D112" s="1154"/>
      <c r="E112" s="1154"/>
      <c r="G112" s="1655"/>
      <c r="H112" s="1652"/>
      <c r="I112" s="1658"/>
      <c r="J112" s="1658"/>
      <c r="K112" s="606"/>
    </row>
    <row r="113">
      <c r="A113" s="1653"/>
      <c r="B113" s="1154"/>
      <c r="C113" s="1154"/>
      <c r="D113" s="1154"/>
      <c r="E113" s="1154"/>
      <c r="G113" s="1663"/>
      <c r="H113" s="1652"/>
      <c r="I113" s="606"/>
      <c r="J113" s="23"/>
      <c r="K113" s="606"/>
    </row>
    <row r="114">
      <c r="A114" s="1653"/>
      <c r="B114" s="1154"/>
      <c r="C114" s="1154"/>
      <c r="D114" s="1154"/>
      <c r="E114" s="1154"/>
      <c r="G114" s="1663"/>
      <c r="H114" s="1652"/>
      <c r="I114" s="606"/>
      <c r="J114" s="23"/>
      <c r="K114" s="606"/>
    </row>
    <row r="115">
      <c r="A115" s="1660"/>
      <c r="B115" s="1154"/>
      <c r="C115" s="1154"/>
      <c r="D115" s="1154"/>
      <c r="E115" s="1154"/>
      <c r="G115" s="1663"/>
      <c r="H115" s="1652"/>
      <c r="I115" s="606"/>
      <c r="J115" s="23"/>
      <c r="K115" s="606"/>
    </row>
    <row r="116">
      <c r="A116" s="1653"/>
      <c r="B116" s="1154"/>
      <c r="C116" s="1154"/>
      <c r="D116" s="1154"/>
      <c r="E116" s="1154"/>
      <c r="G116" s="1663"/>
      <c r="H116" s="1652"/>
      <c r="I116" s="606"/>
      <c r="J116" s="23"/>
      <c r="K116" s="606"/>
    </row>
    <row r="117">
      <c r="A117" s="1653"/>
      <c r="B117" s="1154"/>
      <c r="C117" s="1154"/>
      <c r="D117" s="1154"/>
      <c r="E117" s="1154"/>
      <c r="G117" s="1663"/>
      <c r="H117" s="1652"/>
      <c r="I117" s="606"/>
      <c r="J117" s="23"/>
      <c r="K117" s="606"/>
    </row>
    <row r="118">
      <c r="A118" s="1653"/>
      <c r="B118" s="1154"/>
      <c r="C118" s="1154"/>
      <c r="D118" s="1154"/>
      <c r="E118" s="1154"/>
      <c r="G118" s="1663"/>
      <c r="H118" s="1652"/>
      <c r="I118" s="606"/>
      <c r="J118" s="23"/>
      <c r="K118" s="606"/>
    </row>
    <row r="119">
      <c r="A119" s="1653"/>
      <c r="B119" s="1154"/>
      <c r="C119" s="1154"/>
      <c r="D119" s="1154"/>
      <c r="E119" s="1154"/>
      <c r="G119" s="1663"/>
      <c r="H119" s="1652"/>
      <c r="I119" s="606"/>
      <c r="J119" s="23"/>
      <c r="K119" s="606"/>
    </row>
    <row r="120">
      <c r="A120" s="1653"/>
      <c r="B120" s="1154"/>
      <c r="C120" s="1154"/>
      <c r="D120" s="1154"/>
      <c r="E120" s="1154"/>
      <c r="G120" s="1663"/>
      <c r="H120" s="1652"/>
      <c r="I120" s="606"/>
      <c r="J120" s="23"/>
      <c r="K120" s="606"/>
    </row>
    <row r="121">
      <c r="A121" s="1653"/>
      <c r="B121" s="1154"/>
      <c r="C121" s="1154"/>
      <c r="D121" s="1154"/>
      <c r="E121" s="1154"/>
      <c r="G121" s="1663"/>
      <c r="H121" s="1652"/>
      <c r="I121" s="606"/>
      <c r="J121" s="23"/>
      <c r="K121" s="606"/>
    </row>
    <row r="122">
      <c r="A122" s="1660"/>
      <c r="B122" s="1154"/>
      <c r="C122" s="1154"/>
      <c r="D122" s="1154"/>
      <c r="E122" s="1154"/>
      <c r="G122" s="1663"/>
      <c r="H122" s="1652"/>
      <c r="I122" s="606"/>
      <c r="J122" s="23"/>
      <c r="K122" s="606"/>
    </row>
    <row r="123">
      <c r="A123" s="1653"/>
      <c r="B123" s="1154"/>
      <c r="C123" s="1154"/>
      <c r="D123" s="1154"/>
      <c r="E123" s="1154"/>
      <c r="G123" s="1663"/>
      <c r="H123" s="1652"/>
      <c r="I123" s="606"/>
      <c r="J123" s="23"/>
      <c r="K123" s="606"/>
    </row>
    <row r="124">
      <c r="A124" s="1653"/>
      <c r="B124" s="1154"/>
      <c r="C124" s="1154"/>
      <c r="D124" s="1154"/>
      <c r="E124" s="1154"/>
      <c r="G124" s="1663"/>
      <c r="H124" s="1652"/>
      <c r="I124" s="606"/>
      <c r="J124" s="23"/>
      <c r="K124" s="606"/>
    </row>
    <row r="125">
      <c r="A125" s="1660"/>
      <c r="B125" s="1154"/>
      <c r="C125" s="1154"/>
      <c r="D125" s="1154"/>
      <c r="E125" s="1154"/>
      <c r="G125" s="1663"/>
      <c r="H125" s="1652"/>
      <c r="I125" s="606"/>
      <c r="J125" s="23"/>
      <c r="K125" s="606"/>
    </row>
    <row r="126">
      <c r="A126" s="1653"/>
      <c r="B126" s="23"/>
      <c r="C126" s="23"/>
      <c r="D126" s="23"/>
      <c r="E126" s="1154"/>
      <c r="G126" s="1663"/>
      <c r="H126" s="1652"/>
      <c r="I126" s="606"/>
      <c r="J126" s="23"/>
      <c r="K126" s="606"/>
    </row>
    <row r="127">
      <c r="A127" s="1660"/>
      <c r="B127" s="1154"/>
      <c r="C127" s="1154"/>
      <c r="D127" s="1154"/>
      <c r="E127" s="1154"/>
      <c r="G127" s="1663"/>
      <c r="H127" s="1652"/>
      <c r="I127" s="606"/>
      <c r="J127" s="23"/>
      <c r="K127" s="606"/>
    </row>
    <row r="128">
      <c r="A128" s="1653"/>
      <c r="B128" s="1154"/>
      <c r="C128" s="1154"/>
      <c r="D128" s="1154"/>
      <c r="E128" s="1154"/>
      <c r="G128" s="1663"/>
      <c r="H128" s="1652"/>
      <c r="I128" s="606"/>
      <c r="J128" s="606"/>
      <c r="K128" s="606"/>
    </row>
    <row r="129">
      <c r="A129" s="1653"/>
      <c r="B129" s="1154"/>
      <c r="C129" s="1154"/>
      <c r="D129" s="1154"/>
      <c r="E129" s="1154"/>
      <c r="G129" s="1663"/>
      <c r="H129" s="1652"/>
      <c r="I129" s="606"/>
      <c r="J129" s="23"/>
      <c r="K129" s="606"/>
    </row>
    <row r="130">
      <c r="A130" s="1653"/>
      <c r="B130" s="1154"/>
      <c r="C130" s="1154"/>
      <c r="D130" s="1154"/>
      <c r="E130" s="1154"/>
      <c r="G130" s="1663"/>
      <c r="H130" s="1652"/>
      <c r="I130" s="606"/>
      <c r="J130" s="23"/>
      <c r="K130" s="606"/>
    </row>
    <row r="131">
      <c r="A131" s="1653"/>
      <c r="B131" s="1154"/>
      <c r="C131" s="1154"/>
      <c r="D131" s="1154"/>
      <c r="E131" s="1154"/>
      <c r="G131" s="1663"/>
      <c r="H131" s="1652"/>
      <c r="I131" s="606"/>
      <c r="J131" s="23"/>
      <c r="K131" s="606"/>
    </row>
    <row r="132">
      <c r="A132" s="1653"/>
      <c r="B132" s="1154"/>
      <c r="C132" s="1154"/>
      <c r="D132" s="1154"/>
      <c r="E132" s="1154"/>
      <c r="G132" s="1663"/>
      <c r="H132" s="1652"/>
      <c r="I132" s="606"/>
      <c r="J132" s="23"/>
      <c r="K132" s="606"/>
    </row>
    <row r="133">
      <c r="A133" s="1660"/>
      <c r="B133" s="1154"/>
      <c r="C133" s="1154"/>
      <c r="D133" s="1154"/>
      <c r="E133" s="1154"/>
      <c r="G133" s="1663"/>
      <c r="H133" s="1652"/>
      <c r="I133" s="606"/>
      <c r="J133" s="23"/>
      <c r="K133" s="606"/>
    </row>
    <row r="134">
      <c r="A134" s="1653"/>
      <c r="B134" s="1154"/>
      <c r="C134" s="1154"/>
      <c r="D134" s="1154"/>
      <c r="E134" s="1154"/>
      <c r="G134" s="1663"/>
      <c r="H134" s="1652"/>
      <c r="I134" s="606"/>
      <c r="J134" s="23"/>
      <c r="K134" s="606"/>
    </row>
    <row r="135">
      <c r="A135" s="1660"/>
      <c r="B135" s="1154"/>
      <c r="C135" s="1154"/>
      <c r="D135" s="1154"/>
      <c r="E135" s="1154"/>
      <c r="G135" s="1663"/>
      <c r="H135" s="1652"/>
      <c r="I135" s="606"/>
      <c r="J135" s="1607"/>
      <c r="K135" s="606"/>
    </row>
    <row r="136">
      <c r="A136" s="1653"/>
      <c r="B136" s="1154"/>
      <c r="C136" s="1154"/>
      <c r="D136" s="1154"/>
      <c r="E136" s="1154"/>
      <c r="G136" s="1663"/>
      <c r="H136" s="1652"/>
      <c r="I136" s="606"/>
      <c r="J136" s="606"/>
      <c r="K136" s="606"/>
    </row>
    <row r="137">
      <c r="A137" s="1660"/>
      <c r="B137" s="1154"/>
      <c r="C137" s="1154"/>
      <c r="D137" s="1154"/>
      <c r="E137" s="1154"/>
      <c r="G137" s="1663"/>
      <c r="H137" s="1172"/>
      <c r="I137" s="606"/>
      <c r="J137" s="606"/>
      <c r="K137" s="606"/>
    </row>
    <row r="138">
      <c r="A138" s="1653"/>
      <c r="B138" s="1154"/>
      <c r="C138" s="1154"/>
      <c r="D138" s="1154"/>
      <c r="E138" s="1154"/>
      <c r="G138" s="1664"/>
      <c r="H138" s="1172"/>
      <c r="I138" s="1607"/>
      <c r="J138" s="1607"/>
      <c r="K138" s="606"/>
    </row>
    <row r="139">
      <c r="A139" s="1653"/>
      <c r="B139" s="1154"/>
      <c r="C139" s="1154"/>
      <c r="D139" s="1154"/>
      <c r="E139" s="1154"/>
      <c r="G139" s="1664"/>
      <c r="H139" s="1172"/>
      <c r="I139" s="1607"/>
      <c r="J139" s="1607"/>
      <c r="K139" s="606"/>
    </row>
    <row r="140">
      <c r="A140" s="1665"/>
      <c r="B140" s="1154"/>
      <c r="C140" s="1154"/>
      <c r="D140" s="1154"/>
      <c r="E140" s="1154"/>
      <c r="G140" s="1664"/>
      <c r="H140" s="1172"/>
      <c r="I140" s="1607"/>
      <c r="J140" s="1607"/>
      <c r="K140" s="606"/>
    </row>
    <row r="141">
      <c r="A141" s="1653"/>
      <c r="B141" s="1154"/>
      <c r="C141" s="1154"/>
      <c r="D141" s="1154"/>
      <c r="E141" s="1154"/>
      <c r="G141" s="606"/>
      <c r="H141" s="1172"/>
      <c r="I141" s="606"/>
      <c r="J141" s="1607"/>
      <c r="K141" s="606"/>
    </row>
    <row r="142">
      <c r="A142" s="1653"/>
      <c r="B142" s="1154"/>
      <c r="C142" s="1154"/>
      <c r="D142" s="1154"/>
      <c r="E142" s="1154"/>
      <c r="G142" s="606"/>
      <c r="H142" s="1172"/>
      <c r="I142" s="606"/>
      <c r="J142" s="1607"/>
      <c r="K142" s="606"/>
    </row>
    <row r="143">
      <c r="A143" s="1653"/>
      <c r="B143" s="1154"/>
      <c r="C143" s="1154"/>
      <c r="D143" s="1154"/>
      <c r="E143" s="1154"/>
      <c r="G143" s="606"/>
      <c r="H143" s="1172"/>
      <c r="I143" s="606"/>
      <c r="J143" s="1607"/>
      <c r="K143" s="606"/>
    </row>
    <row r="144">
      <c r="A144" s="1660"/>
      <c r="B144" s="1154"/>
      <c r="C144" s="1154"/>
      <c r="D144" s="1154"/>
      <c r="E144" s="1154"/>
      <c r="G144" s="606"/>
      <c r="H144" s="1172"/>
      <c r="I144" s="606"/>
      <c r="J144" s="1607"/>
      <c r="K144" s="606"/>
    </row>
    <row r="145">
      <c r="A145" s="1653"/>
      <c r="B145" s="1154"/>
      <c r="C145" s="1154"/>
      <c r="D145" s="1154"/>
      <c r="E145" s="1154"/>
      <c r="G145" s="606"/>
      <c r="H145" s="1172"/>
      <c r="I145" s="606"/>
      <c r="J145" s="1607"/>
      <c r="K145" s="606"/>
    </row>
    <row r="146">
      <c r="A146" s="1660"/>
      <c r="B146" s="1154"/>
      <c r="C146" s="1154"/>
      <c r="D146" s="1154"/>
      <c r="E146" s="1154"/>
      <c r="G146" s="606"/>
      <c r="H146" s="1172"/>
      <c r="I146" s="606"/>
      <c r="J146" s="1607"/>
      <c r="K146" s="606"/>
    </row>
    <row r="147">
      <c r="A147" s="1665"/>
      <c r="B147" s="1154"/>
      <c r="C147" s="1154"/>
      <c r="D147" s="1154"/>
      <c r="E147" s="1154"/>
      <c r="G147" s="606"/>
      <c r="H147" s="1172"/>
      <c r="I147" s="606"/>
      <c r="J147" s="1607"/>
      <c r="K147" s="606"/>
    </row>
    <row r="148">
      <c r="A148" s="1660"/>
      <c r="B148" s="1154"/>
      <c r="C148" s="1154"/>
      <c r="D148" s="1154"/>
      <c r="E148" s="1154"/>
      <c r="G148" s="606"/>
      <c r="H148" s="1172"/>
      <c r="I148" s="606"/>
      <c r="J148" s="1607"/>
      <c r="K148" s="606"/>
    </row>
    <row r="149">
      <c r="A149" s="1653"/>
      <c r="B149" s="23"/>
      <c r="C149" s="23"/>
      <c r="D149" s="23"/>
      <c r="E149" s="1154"/>
      <c r="G149" s="606"/>
      <c r="H149" s="1172"/>
      <c r="I149" s="606"/>
      <c r="J149" s="1607"/>
      <c r="K149" s="606"/>
    </row>
    <row r="150">
      <c r="A150" s="1653"/>
      <c r="B150" s="23"/>
      <c r="C150" s="23"/>
      <c r="D150" s="23"/>
      <c r="E150" s="1154"/>
      <c r="G150" s="606"/>
      <c r="H150" s="1172"/>
      <c r="I150" s="606"/>
      <c r="J150" s="1607"/>
      <c r="K150" s="606"/>
    </row>
    <row r="151">
      <c r="A151" s="1653"/>
      <c r="B151" s="23"/>
      <c r="C151" s="23"/>
      <c r="D151" s="23"/>
      <c r="E151" s="1154"/>
      <c r="G151" s="606"/>
      <c r="H151" s="1172"/>
      <c r="I151" s="606"/>
      <c r="J151" s="606"/>
      <c r="K151" s="606"/>
    </row>
    <row r="152">
      <c r="A152" s="1653"/>
      <c r="B152" s="1154"/>
      <c r="C152" s="23"/>
      <c r="D152" s="1154"/>
      <c r="E152" s="1154"/>
      <c r="G152" s="606"/>
      <c r="H152" s="1172"/>
      <c r="I152" s="606"/>
      <c r="J152" s="606"/>
      <c r="K152" s="606"/>
    </row>
    <row r="153">
      <c r="A153" s="1653"/>
      <c r="B153" s="23"/>
      <c r="C153" s="1666"/>
      <c r="D153" s="1666"/>
      <c r="E153" s="1154"/>
      <c r="G153" s="606"/>
      <c r="H153" s="606"/>
      <c r="I153" s="606"/>
      <c r="J153" s="606"/>
      <c r="K153" s="606"/>
    </row>
    <row r="154">
      <c r="A154" s="1665"/>
      <c r="B154" s="1154"/>
      <c r="C154" s="1154"/>
      <c r="D154" s="1154"/>
      <c r="E154" s="1154"/>
      <c r="G154" s="606"/>
      <c r="H154" s="606"/>
      <c r="I154" s="606"/>
      <c r="J154" s="606"/>
      <c r="K154" s="606"/>
    </row>
    <row r="155">
      <c r="A155" s="1665"/>
      <c r="B155" s="1154"/>
      <c r="C155" s="1154"/>
      <c r="D155" s="1154"/>
      <c r="E155" s="1154"/>
      <c r="G155" s="606"/>
      <c r="H155" s="606"/>
      <c r="I155" s="606"/>
      <c r="J155" s="606"/>
      <c r="K155" s="606"/>
    </row>
    <row r="156">
      <c r="A156" s="1665"/>
      <c r="B156" s="1154"/>
      <c r="C156" s="1154"/>
      <c r="D156" s="1154"/>
      <c r="E156" s="1154"/>
      <c r="G156" s="606"/>
      <c r="H156" s="606"/>
      <c r="I156" s="606"/>
      <c r="J156" s="606"/>
      <c r="K156" s="606"/>
    </row>
    <row r="157">
      <c r="A157" s="1653"/>
      <c r="B157" s="1154"/>
      <c r="C157" s="1154"/>
      <c r="D157" s="1154"/>
      <c r="E157" s="1154"/>
      <c r="G157" s="606"/>
      <c r="H157" s="606"/>
      <c r="I157" s="606"/>
      <c r="J157" s="606"/>
      <c r="K157" s="606"/>
    </row>
    <row r="158">
      <c r="A158" s="1653"/>
      <c r="B158" s="23"/>
      <c r="C158" s="23"/>
      <c r="D158" s="23"/>
      <c r="E158" s="1154"/>
      <c r="G158" s="606"/>
      <c r="H158" s="606"/>
      <c r="I158" s="606"/>
      <c r="J158" s="606"/>
      <c r="K158" s="606"/>
    </row>
    <row r="159">
      <c r="A159" s="1653"/>
      <c r="B159" s="23"/>
      <c r="C159" s="23"/>
      <c r="D159" s="23"/>
      <c r="E159" s="1154"/>
      <c r="G159" s="606"/>
      <c r="H159" s="606"/>
      <c r="I159" s="606"/>
      <c r="J159" s="606"/>
      <c r="K159" s="606"/>
    </row>
    <row r="160">
      <c r="A160" s="1653"/>
      <c r="B160" s="1154"/>
      <c r="C160" s="1154"/>
      <c r="D160" s="1154"/>
      <c r="E160" s="1154"/>
      <c r="G160" s="606"/>
      <c r="H160" s="606"/>
      <c r="I160" s="606"/>
      <c r="J160" s="606"/>
      <c r="K160" s="606"/>
    </row>
    <row r="161">
      <c r="A161" s="1653"/>
      <c r="B161" s="23"/>
      <c r="C161" s="23"/>
      <c r="D161" s="23"/>
      <c r="E161" s="1154"/>
      <c r="G161" s="606"/>
      <c r="H161" s="606"/>
      <c r="I161" s="606"/>
      <c r="J161" s="606"/>
      <c r="K161" s="606"/>
    </row>
    <row r="162">
      <c r="A162" s="1653"/>
      <c r="B162" s="1154"/>
      <c r="C162" s="1154"/>
      <c r="D162" s="1154"/>
      <c r="E162" s="1154"/>
      <c r="G162" s="606"/>
      <c r="H162" s="606"/>
      <c r="I162" s="606"/>
      <c r="J162" s="606"/>
      <c r="K162" s="606"/>
    </row>
    <row r="163">
      <c r="A163" s="1653"/>
      <c r="B163" s="1154"/>
      <c r="C163" s="1154"/>
      <c r="D163" s="1154"/>
      <c r="E163" s="1154"/>
      <c r="G163" s="606"/>
      <c r="H163" s="606"/>
      <c r="I163" s="606"/>
      <c r="J163" s="606"/>
      <c r="K163" s="606"/>
    </row>
    <row r="164">
      <c r="A164" s="1653"/>
      <c r="B164" s="1154"/>
      <c r="C164" s="1154"/>
      <c r="D164" s="1154"/>
      <c r="E164" s="1154"/>
      <c r="G164" s="606"/>
      <c r="H164" s="606"/>
      <c r="I164" s="606"/>
      <c r="J164" s="606"/>
      <c r="K164" s="606"/>
    </row>
    <row r="165">
      <c r="A165" s="1653"/>
      <c r="B165" s="23"/>
      <c r="C165" s="23"/>
      <c r="D165" s="23"/>
      <c r="E165" s="1154"/>
      <c r="G165" s="606"/>
      <c r="H165" s="606"/>
      <c r="I165" s="606"/>
      <c r="J165" s="606"/>
      <c r="K165" s="606"/>
    </row>
    <row r="166">
      <c r="A166" s="1653"/>
      <c r="B166" s="23"/>
      <c r="C166" s="23"/>
      <c r="D166" s="23"/>
      <c r="E166" s="1154"/>
      <c r="G166" s="606"/>
      <c r="H166" s="606"/>
      <c r="I166" s="606"/>
      <c r="J166" s="606"/>
      <c r="K166" s="606"/>
    </row>
    <row r="167">
      <c r="A167" s="1653"/>
      <c r="B167" s="1154"/>
      <c r="C167" s="1154"/>
      <c r="D167" s="1154"/>
      <c r="E167" s="1154"/>
      <c r="G167" s="606"/>
      <c r="H167" s="606"/>
      <c r="I167" s="606"/>
      <c r="J167" s="606"/>
      <c r="K167" s="606"/>
    </row>
    <row r="168">
      <c r="A168" s="1653"/>
      <c r="B168" s="1154"/>
      <c r="C168" s="1154"/>
      <c r="D168" s="1154"/>
      <c r="E168" s="1154"/>
      <c r="G168" s="606"/>
      <c r="H168" s="606"/>
      <c r="I168" s="606"/>
      <c r="J168" s="606"/>
      <c r="K168" s="606"/>
    </row>
    <row r="169">
      <c r="A169" s="1653"/>
      <c r="B169" s="23"/>
      <c r="C169" s="23"/>
      <c r="D169" s="23"/>
      <c r="E169" s="1154"/>
      <c r="G169" s="606"/>
      <c r="H169" s="606"/>
      <c r="I169" s="606"/>
      <c r="J169" s="606"/>
      <c r="K169" s="606"/>
    </row>
    <row r="170">
      <c r="A170" s="1653"/>
      <c r="B170" s="1154"/>
      <c r="C170" s="1154"/>
      <c r="D170" s="1154"/>
      <c r="E170" s="1154"/>
      <c r="G170" s="606"/>
      <c r="H170" s="606"/>
      <c r="I170" s="606"/>
      <c r="J170" s="606"/>
      <c r="K170" s="606"/>
    </row>
    <row r="171">
      <c r="A171" s="1653"/>
      <c r="B171" s="23"/>
      <c r="C171" s="23"/>
      <c r="D171" s="23"/>
      <c r="E171" s="1154"/>
      <c r="G171" s="606"/>
      <c r="H171" s="606"/>
      <c r="I171" s="606"/>
      <c r="J171" s="606"/>
      <c r="K171" s="606"/>
    </row>
    <row r="172">
      <c r="A172" s="1653"/>
      <c r="B172" s="1154"/>
      <c r="C172" s="1154"/>
      <c r="D172" s="1154"/>
      <c r="E172" s="1154"/>
      <c r="G172" s="606"/>
      <c r="H172" s="606"/>
      <c r="I172" s="606"/>
      <c r="J172" s="606"/>
      <c r="K172" s="606"/>
    </row>
    <row r="173">
      <c r="A173" s="1653"/>
      <c r="B173" s="1154"/>
      <c r="C173" s="1154"/>
      <c r="D173" s="1154"/>
      <c r="E173" s="1154"/>
      <c r="G173" s="606"/>
      <c r="H173" s="606"/>
      <c r="I173" s="606"/>
      <c r="J173" s="606"/>
      <c r="K173" s="606"/>
    </row>
    <row r="174">
      <c r="A174" s="1653"/>
      <c r="B174" s="1154"/>
      <c r="C174" s="1154"/>
      <c r="D174" s="1154"/>
      <c r="E174" s="1154"/>
      <c r="G174" s="606"/>
      <c r="H174" s="606"/>
      <c r="I174" s="606"/>
      <c r="J174" s="606"/>
      <c r="K174" s="606"/>
    </row>
    <row r="175">
      <c r="A175" s="1665"/>
      <c r="B175" s="1154"/>
      <c r="C175" s="1154"/>
      <c r="D175" s="1154"/>
      <c r="E175" s="1154"/>
      <c r="G175" s="606"/>
      <c r="H175" s="606"/>
      <c r="I175" s="606"/>
      <c r="J175" s="606"/>
      <c r="K175" s="606"/>
    </row>
    <row r="176">
      <c r="A176" s="1653"/>
      <c r="B176" s="1154"/>
      <c r="C176" s="1154"/>
      <c r="D176" s="1154"/>
      <c r="E176" s="1154"/>
      <c r="G176" s="606"/>
      <c r="H176" s="606"/>
      <c r="I176" s="606"/>
      <c r="J176" s="606"/>
      <c r="K176" s="606"/>
    </row>
    <row r="177">
      <c r="A177" s="1653"/>
      <c r="B177" s="1154"/>
      <c r="C177" s="1154"/>
      <c r="D177" s="1154"/>
      <c r="E177" s="1154"/>
      <c r="G177" s="606"/>
      <c r="H177" s="606"/>
      <c r="I177" s="606"/>
      <c r="J177" s="606"/>
      <c r="K177" s="606"/>
    </row>
    <row r="178">
      <c r="A178" s="1653"/>
      <c r="B178" s="1154"/>
      <c r="C178" s="1154"/>
      <c r="D178" s="1154"/>
      <c r="E178" s="1154"/>
      <c r="G178" s="606"/>
      <c r="H178" s="606"/>
      <c r="I178" s="606"/>
      <c r="J178" s="606"/>
      <c r="K178" s="606"/>
    </row>
    <row r="179">
      <c r="A179" s="1653"/>
      <c r="B179" s="1154"/>
      <c r="C179" s="1154"/>
      <c r="D179" s="1154"/>
      <c r="E179" s="1154"/>
      <c r="G179" s="606"/>
      <c r="H179" s="606"/>
      <c r="I179" s="606"/>
      <c r="J179" s="606"/>
      <c r="K179" s="606"/>
    </row>
    <row r="180">
      <c r="A180" s="1653"/>
      <c r="B180" s="1154"/>
      <c r="C180" s="1154"/>
      <c r="D180" s="1154"/>
      <c r="E180" s="1154"/>
      <c r="G180" s="606"/>
      <c r="H180" s="606"/>
      <c r="I180" s="606"/>
      <c r="J180" s="606"/>
      <c r="K180" s="606"/>
    </row>
    <row r="181">
      <c r="A181" s="1653"/>
      <c r="B181" s="1154"/>
      <c r="C181" s="1154"/>
      <c r="D181" s="1154"/>
      <c r="E181" s="1154"/>
      <c r="G181" s="606"/>
      <c r="H181" s="606"/>
      <c r="I181" s="606"/>
      <c r="J181" s="606"/>
      <c r="K181" s="606"/>
    </row>
    <row r="182">
      <c r="A182" s="1653"/>
      <c r="B182" s="1154"/>
      <c r="C182" s="1154"/>
      <c r="D182" s="1154"/>
      <c r="E182" s="1154"/>
      <c r="G182" s="606"/>
      <c r="H182" s="606"/>
      <c r="I182" s="606"/>
      <c r="J182" s="606"/>
      <c r="K182" s="606"/>
    </row>
    <row r="183">
      <c r="A183" s="1653"/>
      <c r="B183" s="1154"/>
      <c r="C183" s="1154"/>
      <c r="D183" s="1154"/>
      <c r="E183" s="1154"/>
      <c r="G183" s="606"/>
      <c r="H183" s="606"/>
      <c r="I183" s="606"/>
      <c r="J183" s="606"/>
      <c r="K183" s="606"/>
    </row>
    <row r="184">
      <c r="A184" s="1653"/>
      <c r="B184" s="1154"/>
      <c r="C184" s="1154"/>
      <c r="D184" s="1154"/>
      <c r="E184" s="1154"/>
      <c r="G184" s="606"/>
      <c r="H184" s="606"/>
      <c r="I184" s="606"/>
      <c r="J184" s="606"/>
      <c r="K184" s="606"/>
    </row>
    <row r="185">
      <c r="A185" s="1665"/>
      <c r="B185" s="1154"/>
      <c r="C185" s="1154"/>
      <c r="D185" s="1154"/>
      <c r="E185" s="1154"/>
      <c r="G185" s="606"/>
      <c r="H185" s="606"/>
      <c r="I185" s="606"/>
      <c r="J185" s="606"/>
      <c r="K185" s="606"/>
    </row>
    <row r="186">
      <c r="A186" s="1653"/>
      <c r="B186" s="1154"/>
      <c r="C186" s="1154"/>
      <c r="D186" s="1154"/>
      <c r="E186" s="1154"/>
      <c r="G186" s="606"/>
      <c r="H186" s="606"/>
      <c r="I186" s="606"/>
      <c r="J186" s="606"/>
      <c r="K186" s="606"/>
    </row>
    <row r="187">
      <c r="A187" s="1653"/>
      <c r="B187" s="1154"/>
      <c r="C187" s="1154"/>
      <c r="D187" s="1154"/>
      <c r="E187" s="1154"/>
      <c r="G187" s="606"/>
      <c r="H187" s="606"/>
      <c r="I187" s="606"/>
      <c r="J187" s="606"/>
      <c r="K187" s="606"/>
    </row>
    <row r="188">
      <c r="A188" s="1653"/>
      <c r="B188" s="1154"/>
      <c r="C188" s="1154"/>
      <c r="D188" s="1154"/>
      <c r="E188" s="1154"/>
      <c r="G188" s="606"/>
      <c r="H188" s="606"/>
      <c r="I188" s="606"/>
      <c r="J188" s="606"/>
      <c r="K188" s="606"/>
    </row>
    <row r="189">
      <c r="A189" s="1665"/>
      <c r="B189" s="1154"/>
      <c r="C189" s="1154"/>
      <c r="D189" s="1154"/>
      <c r="E189" s="1154"/>
      <c r="G189" s="606"/>
      <c r="H189" s="606"/>
      <c r="I189" s="606"/>
      <c r="J189" s="606"/>
      <c r="K189" s="606"/>
    </row>
    <row r="190">
      <c r="A190" s="1653"/>
      <c r="B190" s="1154"/>
      <c r="C190" s="1154"/>
      <c r="D190" s="1154"/>
      <c r="E190" s="1154"/>
      <c r="G190" s="606"/>
      <c r="H190" s="606"/>
      <c r="I190" s="606"/>
      <c r="J190" s="606"/>
      <c r="K190" s="606"/>
    </row>
    <row r="191">
      <c r="A191" s="1653"/>
      <c r="B191" s="1154"/>
      <c r="C191" s="1154"/>
      <c r="D191" s="1154"/>
      <c r="E191" s="1154"/>
      <c r="G191" s="606"/>
      <c r="H191" s="606"/>
      <c r="I191" s="606"/>
      <c r="J191" s="606"/>
      <c r="K191" s="606"/>
    </row>
    <row r="192">
      <c r="A192" s="1665"/>
      <c r="B192" s="1154"/>
      <c r="C192" s="1154"/>
      <c r="D192" s="1154"/>
      <c r="E192" s="1154"/>
      <c r="G192" s="606"/>
      <c r="H192" s="606"/>
      <c r="I192" s="606"/>
      <c r="J192" s="606"/>
      <c r="K192" s="606"/>
    </row>
    <row r="193">
      <c r="A193" s="1665"/>
      <c r="B193" s="1154"/>
      <c r="C193" s="1154"/>
      <c r="D193" s="1154"/>
      <c r="E193" s="1154"/>
      <c r="G193" s="606"/>
      <c r="H193" s="606"/>
      <c r="I193" s="606"/>
      <c r="J193" s="606"/>
      <c r="K193" s="606"/>
    </row>
    <row r="194">
      <c r="A194" s="1653"/>
      <c r="B194" s="1154"/>
      <c r="C194" s="1154"/>
      <c r="D194" s="1154"/>
      <c r="E194" s="1154"/>
      <c r="G194" s="606"/>
      <c r="H194" s="606"/>
      <c r="I194" s="606"/>
      <c r="J194" s="606"/>
      <c r="K194" s="606"/>
    </row>
    <row r="195">
      <c r="A195" s="1665"/>
      <c r="B195" s="1154"/>
      <c r="C195" s="23"/>
      <c r="D195" s="1154"/>
      <c r="E195" s="1154"/>
      <c r="G195" s="606"/>
      <c r="H195" s="606"/>
      <c r="I195" s="606"/>
      <c r="J195" s="606"/>
      <c r="K195" s="606"/>
    </row>
    <row r="196">
      <c r="A196" s="1653"/>
      <c r="B196" s="1154"/>
      <c r="C196" s="1154"/>
      <c r="D196" s="1154"/>
      <c r="E196" s="1154"/>
      <c r="G196" s="606"/>
      <c r="H196" s="606"/>
      <c r="I196" s="606"/>
      <c r="J196" s="606"/>
      <c r="K196" s="606"/>
    </row>
    <row r="197">
      <c r="A197" s="1653"/>
      <c r="B197" s="23"/>
      <c r="C197" s="23"/>
      <c r="D197" s="23"/>
      <c r="E197" s="1154"/>
      <c r="G197" s="606"/>
      <c r="H197" s="606"/>
      <c r="I197" s="606"/>
      <c r="J197" s="606"/>
      <c r="K197" s="606"/>
    </row>
    <row r="198">
      <c r="A198" s="1665"/>
      <c r="B198" s="1154"/>
      <c r="C198" s="1154"/>
      <c r="D198" s="1154"/>
      <c r="E198" s="1154"/>
      <c r="G198" s="606"/>
      <c r="H198" s="606"/>
      <c r="I198" s="606"/>
      <c r="J198" s="606"/>
      <c r="K198" s="606"/>
    </row>
    <row r="199">
      <c r="A199" s="1653"/>
      <c r="B199" s="1154"/>
      <c r="C199" s="1154"/>
      <c r="D199" s="1154"/>
      <c r="E199" s="1154"/>
      <c r="G199" s="606"/>
      <c r="H199" s="606"/>
      <c r="I199" s="606"/>
      <c r="J199" s="606"/>
      <c r="K199" s="606"/>
    </row>
    <row r="200">
      <c r="A200" s="1653"/>
      <c r="B200" s="1154"/>
      <c r="C200" s="1154"/>
      <c r="D200" s="1154"/>
      <c r="E200" s="1154"/>
      <c r="G200" s="606"/>
      <c r="H200" s="606"/>
      <c r="I200" s="606"/>
      <c r="J200" s="606"/>
      <c r="K200" s="606"/>
    </row>
    <row r="201">
      <c r="A201" s="1653"/>
      <c r="B201" s="1154"/>
      <c r="C201" s="1154"/>
      <c r="D201" s="1154"/>
      <c r="E201" s="1154"/>
      <c r="G201" s="606"/>
      <c r="H201" s="606"/>
      <c r="I201" s="606"/>
      <c r="J201" s="606"/>
      <c r="K201" s="606"/>
    </row>
    <row r="202">
      <c r="A202" s="1653"/>
      <c r="B202" s="1154"/>
      <c r="C202" s="1154"/>
      <c r="D202" s="1154"/>
      <c r="E202" s="1154"/>
      <c r="G202" s="606"/>
      <c r="H202" s="606"/>
      <c r="I202" s="606"/>
      <c r="J202" s="606"/>
      <c r="K202" s="606"/>
    </row>
    <row r="203">
      <c r="A203" s="1653"/>
      <c r="B203" s="1154"/>
      <c r="C203" s="1154"/>
      <c r="D203" s="1154"/>
      <c r="E203" s="1154"/>
      <c r="G203" s="606"/>
      <c r="H203" s="606"/>
      <c r="I203" s="606"/>
      <c r="J203" s="606"/>
      <c r="K203" s="606"/>
    </row>
    <row r="204">
      <c r="A204" s="1665"/>
      <c r="B204" s="1154"/>
      <c r="C204" s="1154"/>
      <c r="D204" s="1154"/>
      <c r="E204" s="1154"/>
      <c r="G204" s="606"/>
      <c r="H204" s="606"/>
      <c r="I204" s="606"/>
      <c r="J204" s="606"/>
      <c r="K204" s="606"/>
    </row>
    <row r="205">
      <c r="A205" s="1653"/>
      <c r="B205" s="1154"/>
      <c r="C205" s="1154"/>
      <c r="D205" s="1154"/>
      <c r="E205" s="1154"/>
      <c r="G205" s="606"/>
      <c r="H205" s="606"/>
      <c r="I205" s="606"/>
      <c r="J205" s="606"/>
      <c r="K205" s="606"/>
    </row>
    <row r="206">
      <c r="A206" s="1653"/>
      <c r="B206" s="23"/>
      <c r="C206" s="23"/>
      <c r="D206" s="23"/>
      <c r="E206" s="1154"/>
      <c r="G206" s="606"/>
      <c r="H206" s="606"/>
      <c r="I206" s="606"/>
      <c r="J206" s="606"/>
      <c r="K206" s="606"/>
    </row>
    <row r="207">
      <c r="A207" s="1665"/>
      <c r="B207" s="1154"/>
      <c r="C207" s="1154"/>
      <c r="D207" s="1154"/>
      <c r="E207" s="1154"/>
      <c r="G207" s="606"/>
      <c r="H207" s="606"/>
      <c r="I207" s="606"/>
      <c r="J207" s="606"/>
      <c r="K207" s="606"/>
    </row>
    <row r="208">
      <c r="A208" s="1653"/>
      <c r="B208" s="1154"/>
      <c r="C208" s="1154"/>
      <c r="D208" s="1154"/>
      <c r="E208" s="1154"/>
      <c r="G208" s="606"/>
      <c r="H208" s="606"/>
      <c r="I208" s="606"/>
      <c r="J208" s="606"/>
      <c r="K208" s="606"/>
    </row>
    <row r="209">
      <c r="A209" s="1653"/>
      <c r="B209" s="1154"/>
      <c r="C209" s="1154"/>
      <c r="D209" s="1154"/>
      <c r="E209" s="1154"/>
      <c r="G209" s="606"/>
      <c r="H209" s="606"/>
      <c r="I209" s="606"/>
      <c r="J209" s="606"/>
      <c r="K209" s="606"/>
    </row>
    <row r="210">
      <c r="A210" s="1653"/>
      <c r="B210" s="1154"/>
      <c r="C210" s="1154"/>
      <c r="D210" s="1154"/>
      <c r="E210" s="1154"/>
      <c r="G210" s="606"/>
      <c r="H210" s="606"/>
      <c r="I210" s="606"/>
      <c r="J210" s="606"/>
      <c r="K210" s="606"/>
    </row>
    <row r="211">
      <c r="A211" s="1653"/>
      <c r="B211" s="1154"/>
      <c r="C211" s="1154"/>
      <c r="D211" s="1154"/>
      <c r="E211" s="1154"/>
      <c r="G211" s="606"/>
      <c r="H211" s="606"/>
      <c r="I211" s="606"/>
      <c r="J211" s="606"/>
      <c r="K211" s="606"/>
    </row>
    <row r="212">
      <c r="A212" s="1653"/>
      <c r="B212" s="1154"/>
      <c r="C212" s="1154"/>
      <c r="D212" s="1154"/>
      <c r="E212" s="1154"/>
      <c r="G212" s="606"/>
      <c r="H212" s="606"/>
      <c r="I212" s="606"/>
      <c r="J212" s="606"/>
      <c r="K212" s="606"/>
    </row>
    <row r="213">
      <c r="A213" s="1665"/>
      <c r="B213" s="1154"/>
      <c r="C213" s="1154"/>
      <c r="D213" s="1154"/>
      <c r="E213" s="1154"/>
      <c r="G213" s="606"/>
      <c r="H213" s="606"/>
      <c r="I213" s="606"/>
      <c r="J213" s="606"/>
      <c r="K213" s="606"/>
    </row>
    <row r="214">
      <c r="A214" s="1665"/>
      <c r="B214" s="1154"/>
      <c r="C214" s="1154"/>
      <c r="D214" s="1154"/>
      <c r="E214" s="1154"/>
      <c r="G214" s="606"/>
      <c r="H214" s="606"/>
      <c r="I214" s="606"/>
      <c r="J214" s="606"/>
      <c r="K214" s="606"/>
    </row>
    <row r="215">
      <c r="A215" s="1653"/>
      <c r="B215" s="1154"/>
      <c r="C215" s="1154"/>
      <c r="D215" s="1154"/>
      <c r="E215" s="1154"/>
      <c r="G215" s="606"/>
      <c r="H215" s="606"/>
      <c r="I215" s="606"/>
      <c r="J215" s="606"/>
      <c r="K215" s="606"/>
    </row>
    <row r="216">
      <c r="A216" s="1653"/>
      <c r="B216" s="1154"/>
      <c r="C216" s="1154"/>
      <c r="D216" s="1154"/>
      <c r="E216" s="1154"/>
      <c r="G216" s="606"/>
      <c r="H216" s="606"/>
      <c r="I216" s="606"/>
      <c r="J216" s="606"/>
      <c r="K216" s="606"/>
    </row>
    <row r="217">
      <c r="A217" s="1653"/>
      <c r="B217" s="1154"/>
      <c r="C217" s="1154"/>
      <c r="D217" s="1154"/>
      <c r="E217" s="1154"/>
      <c r="G217" s="606"/>
      <c r="H217" s="606"/>
      <c r="I217" s="606"/>
      <c r="J217" s="606"/>
      <c r="K217" s="606"/>
    </row>
    <row r="218">
      <c r="A218" s="1665"/>
      <c r="B218" s="1154"/>
      <c r="C218" s="1154"/>
      <c r="D218" s="1154"/>
      <c r="E218" s="1154"/>
      <c r="G218" s="606"/>
      <c r="H218" s="606"/>
      <c r="I218" s="606"/>
      <c r="J218" s="606"/>
      <c r="K218" s="606"/>
    </row>
    <row r="219">
      <c r="A219" s="1665"/>
      <c r="B219" s="1154"/>
      <c r="C219" s="1154"/>
      <c r="D219" s="1154"/>
      <c r="E219" s="1154"/>
      <c r="G219" s="606"/>
      <c r="H219" s="606"/>
      <c r="I219" s="606"/>
      <c r="J219" s="606"/>
      <c r="K219" s="606"/>
    </row>
    <row r="220">
      <c r="A220" s="1665"/>
      <c r="B220" s="1154"/>
      <c r="C220" s="1154"/>
      <c r="D220" s="1154"/>
      <c r="E220" s="1154"/>
      <c r="G220" s="606"/>
      <c r="H220" s="606"/>
      <c r="I220" s="606"/>
      <c r="J220" s="606"/>
      <c r="K220" s="606"/>
    </row>
    <row r="221">
      <c r="A221" s="1653"/>
      <c r="B221" s="1154"/>
      <c r="C221" s="1154"/>
      <c r="D221" s="1154"/>
      <c r="E221" s="1154"/>
      <c r="G221" s="606"/>
      <c r="H221" s="606"/>
      <c r="I221" s="606"/>
      <c r="J221" s="606"/>
      <c r="K221" s="606"/>
    </row>
    <row r="222">
      <c r="A222" s="1665"/>
      <c r="B222" s="1154"/>
      <c r="C222" s="1154"/>
      <c r="D222" s="1154"/>
      <c r="E222" s="1154"/>
      <c r="G222" s="606"/>
      <c r="H222" s="606"/>
      <c r="I222" s="606"/>
      <c r="J222" s="606"/>
      <c r="K222" s="606"/>
    </row>
    <row r="223">
      <c r="A223" s="1653"/>
      <c r="B223" s="23"/>
      <c r="C223" s="23"/>
      <c r="D223" s="23"/>
      <c r="E223" s="1154"/>
      <c r="G223" s="606"/>
      <c r="H223" s="606"/>
      <c r="I223" s="606"/>
      <c r="J223" s="606"/>
      <c r="K223" s="606"/>
    </row>
    <row r="224">
      <c r="A224" s="1653"/>
      <c r="B224" s="1154"/>
      <c r="C224" s="1662"/>
      <c r="D224" s="1662"/>
      <c r="E224" s="1154"/>
      <c r="G224" s="606"/>
      <c r="H224" s="606"/>
      <c r="I224" s="606"/>
      <c r="J224" s="606"/>
      <c r="K224" s="606"/>
    </row>
    <row r="225">
      <c r="A225" s="1653"/>
      <c r="B225" s="1154"/>
      <c r="C225" s="1154"/>
      <c r="D225" s="1154"/>
      <c r="E225" s="1154"/>
      <c r="G225" s="606"/>
      <c r="H225" s="606"/>
      <c r="I225" s="606"/>
      <c r="J225" s="606"/>
      <c r="K225" s="606"/>
    </row>
    <row r="226">
      <c r="A226" s="1653"/>
      <c r="B226" s="23"/>
      <c r="C226" s="1154"/>
      <c r="D226" s="23"/>
      <c r="E226" s="1154"/>
      <c r="G226" s="606"/>
      <c r="H226" s="606"/>
      <c r="I226" s="606"/>
      <c r="J226" s="606"/>
      <c r="K226" s="606"/>
    </row>
    <row r="227">
      <c r="A227" s="1665"/>
      <c r="B227" s="1154"/>
      <c r="C227" s="1154"/>
      <c r="D227" s="1154"/>
      <c r="E227" s="1154"/>
      <c r="G227" s="606"/>
      <c r="H227" s="606"/>
      <c r="I227" s="606"/>
      <c r="J227" s="606"/>
      <c r="K227" s="606"/>
    </row>
    <row r="228">
      <c r="A228" s="1665"/>
      <c r="B228" s="1154"/>
      <c r="C228" s="1154"/>
      <c r="D228" s="1154"/>
      <c r="E228" s="1154"/>
      <c r="G228" s="606"/>
      <c r="H228" s="606"/>
      <c r="I228" s="606"/>
      <c r="J228" s="606"/>
      <c r="K228" s="606"/>
    </row>
    <row r="229">
      <c r="A229" s="1653"/>
      <c r="B229" s="23"/>
      <c r="C229" s="23"/>
      <c r="D229" s="23"/>
      <c r="E229" s="1154"/>
      <c r="G229" s="606"/>
      <c r="H229" s="606"/>
      <c r="I229" s="606"/>
      <c r="J229" s="606"/>
      <c r="K229" s="606"/>
    </row>
    <row r="230">
      <c r="A230" s="1653"/>
      <c r="B230" s="23"/>
      <c r="C230" s="23"/>
      <c r="D230" s="23"/>
      <c r="E230" s="1154"/>
      <c r="G230" s="606"/>
      <c r="H230" s="606"/>
      <c r="I230" s="606"/>
      <c r="J230" s="606"/>
      <c r="K230" s="606"/>
    </row>
    <row r="231">
      <c r="A231" s="1653"/>
      <c r="B231" s="1154"/>
      <c r="C231" s="1154"/>
      <c r="D231" s="1154"/>
      <c r="E231" s="1154"/>
      <c r="G231" s="606"/>
      <c r="H231" s="606"/>
      <c r="I231" s="606"/>
      <c r="J231" s="606"/>
      <c r="K231" s="606"/>
    </row>
    <row r="232">
      <c r="A232" s="1665"/>
      <c r="B232" s="1154"/>
      <c r="C232" s="1154"/>
      <c r="D232" s="1154"/>
      <c r="E232" s="1154"/>
      <c r="G232" s="606"/>
      <c r="H232" s="606"/>
      <c r="I232" s="606"/>
      <c r="J232" s="606"/>
      <c r="K232" s="606"/>
    </row>
    <row r="233">
      <c r="A233" s="1653"/>
      <c r="B233" s="23"/>
      <c r="C233" s="23"/>
      <c r="D233" s="23"/>
      <c r="E233" s="1154"/>
      <c r="G233" s="606"/>
      <c r="H233" s="606"/>
      <c r="I233" s="606"/>
      <c r="J233" s="606"/>
      <c r="K233" s="606"/>
    </row>
    <row r="234">
      <c r="A234" s="1653"/>
      <c r="B234" s="23"/>
      <c r="C234" s="23"/>
      <c r="D234" s="23"/>
      <c r="E234" s="1154"/>
      <c r="G234" s="606"/>
      <c r="H234" s="606"/>
      <c r="I234" s="606"/>
      <c r="J234" s="606"/>
      <c r="K234" s="606"/>
    </row>
    <row r="235">
      <c r="A235" s="1653"/>
      <c r="B235" s="23"/>
      <c r="C235" s="23"/>
      <c r="D235" s="23"/>
      <c r="E235" s="1154"/>
      <c r="G235" s="606"/>
      <c r="H235" s="606"/>
      <c r="I235" s="606"/>
      <c r="J235" s="606"/>
      <c r="K235" s="606"/>
    </row>
    <row r="236">
      <c r="A236" s="1653"/>
      <c r="B236" s="1154"/>
      <c r="C236" s="1154"/>
      <c r="D236" s="1154"/>
      <c r="E236" s="1154"/>
      <c r="G236" s="606"/>
      <c r="H236" s="606"/>
      <c r="I236" s="606"/>
      <c r="J236" s="606"/>
      <c r="K236" s="606"/>
    </row>
    <row r="237">
      <c r="A237" s="1653"/>
      <c r="B237" s="1154"/>
      <c r="C237" s="1154"/>
      <c r="D237" s="1154"/>
      <c r="E237" s="1154"/>
      <c r="G237" s="606"/>
      <c r="H237" s="606"/>
      <c r="I237" s="606"/>
      <c r="J237" s="606"/>
      <c r="K237" s="606"/>
    </row>
    <row r="238">
      <c r="A238" s="1653"/>
      <c r="B238" s="1154"/>
      <c r="C238" s="1154"/>
      <c r="D238" s="1154"/>
      <c r="E238" s="1154"/>
      <c r="G238" s="606"/>
      <c r="H238" s="606"/>
      <c r="I238" s="606"/>
      <c r="J238" s="606"/>
      <c r="K238" s="606"/>
    </row>
    <row r="239">
      <c r="A239" s="1653"/>
      <c r="B239" s="23"/>
      <c r="C239" s="23"/>
      <c r="D239" s="23"/>
      <c r="E239" s="1154"/>
      <c r="G239" s="606"/>
      <c r="H239" s="606"/>
      <c r="I239" s="606"/>
      <c r="J239" s="606"/>
      <c r="K239" s="606"/>
    </row>
    <row r="240">
      <c r="A240" s="1665"/>
      <c r="B240" s="1154"/>
      <c r="C240" s="1154"/>
      <c r="D240" s="1154"/>
      <c r="E240" s="1154"/>
      <c r="G240" s="606"/>
      <c r="H240" s="606"/>
      <c r="I240" s="606"/>
      <c r="J240" s="606"/>
      <c r="K240" s="606"/>
    </row>
    <row r="241">
      <c r="A241" s="1653"/>
      <c r="B241" s="23"/>
      <c r="C241" s="23"/>
      <c r="D241" s="23"/>
      <c r="E241" s="1154"/>
      <c r="G241" s="606"/>
      <c r="H241" s="606"/>
      <c r="I241" s="606"/>
      <c r="J241" s="606"/>
      <c r="K241" s="606"/>
    </row>
    <row r="242">
      <c r="A242" s="1653"/>
      <c r="B242" s="1154"/>
      <c r="C242" s="1154"/>
      <c r="D242" s="1154"/>
      <c r="E242" s="1154"/>
      <c r="G242" s="606"/>
      <c r="H242" s="606"/>
      <c r="I242" s="606"/>
      <c r="J242" s="606"/>
      <c r="K242" s="606"/>
    </row>
    <row r="243">
      <c r="A243" s="1653"/>
      <c r="B243" s="1154"/>
      <c r="C243" s="1154"/>
      <c r="D243" s="1154"/>
      <c r="E243" s="1154"/>
      <c r="G243" s="606"/>
      <c r="H243" s="606"/>
      <c r="I243" s="606"/>
      <c r="J243" s="606"/>
      <c r="K243" s="606"/>
    </row>
    <row r="244">
      <c r="A244" s="1653"/>
      <c r="B244" s="1154"/>
      <c r="C244" s="1154"/>
      <c r="D244" s="1154"/>
      <c r="E244" s="1154"/>
      <c r="G244" s="606"/>
      <c r="H244" s="606"/>
      <c r="I244" s="606"/>
      <c r="J244" s="606"/>
      <c r="K244" s="606"/>
    </row>
    <row r="245">
      <c r="A245" s="1653"/>
      <c r="B245" s="1154"/>
      <c r="C245" s="1154"/>
      <c r="D245" s="1154"/>
      <c r="E245" s="1154"/>
      <c r="G245" s="606"/>
      <c r="H245" s="606"/>
      <c r="I245" s="606"/>
      <c r="J245" s="606"/>
      <c r="K245" s="606"/>
    </row>
    <row r="246">
      <c r="A246" s="1653"/>
      <c r="B246" s="1154"/>
      <c r="C246" s="1154"/>
      <c r="D246" s="1154"/>
      <c r="E246" s="1154"/>
      <c r="G246" s="606"/>
      <c r="H246" s="606"/>
      <c r="I246" s="606"/>
      <c r="J246" s="606"/>
      <c r="K246" s="606"/>
    </row>
    <row r="247">
      <c r="A247" s="1653"/>
      <c r="B247" s="1154"/>
      <c r="C247" s="1154"/>
      <c r="D247" s="1154"/>
      <c r="E247" s="1154"/>
      <c r="G247" s="606"/>
      <c r="H247" s="606"/>
      <c r="I247" s="606"/>
      <c r="J247" s="606"/>
      <c r="K247" s="606"/>
    </row>
    <row r="248">
      <c r="A248" s="1653"/>
      <c r="B248" s="1154"/>
      <c r="C248" s="1154"/>
      <c r="D248" s="1154"/>
      <c r="E248" s="1154"/>
      <c r="G248" s="606"/>
      <c r="H248" s="606"/>
      <c r="I248" s="606"/>
      <c r="J248" s="606"/>
      <c r="K248" s="606"/>
    </row>
    <row r="249">
      <c r="A249" s="1653"/>
      <c r="B249" s="1154"/>
      <c r="C249" s="1154"/>
      <c r="D249" s="1154"/>
      <c r="E249" s="1154"/>
      <c r="G249" s="606"/>
      <c r="H249" s="606"/>
      <c r="I249" s="606"/>
      <c r="J249" s="606"/>
      <c r="K249" s="606"/>
    </row>
    <row r="250">
      <c r="A250" s="1665"/>
      <c r="B250" s="1154"/>
      <c r="C250" s="1154"/>
      <c r="D250" s="1154"/>
      <c r="E250" s="1154"/>
      <c r="G250" s="606"/>
      <c r="H250" s="606"/>
      <c r="I250" s="606"/>
      <c r="J250" s="606"/>
      <c r="K250" s="606"/>
    </row>
    <row r="251">
      <c r="A251" s="1653"/>
      <c r="B251" s="23"/>
      <c r="C251" s="23"/>
      <c r="D251" s="23"/>
      <c r="E251" s="1154"/>
      <c r="G251" s="606"/>
      <c r="H251" s="606"/>
      <c r="I251" s="606"/>
      <c r="J251" s="606"/>
      <c r="K251" s="606"/>
    </row>
    <row r="252">
      <c r="A252" s="1665"/>
      <c r="B252" s="1154"/>
      <c r="C252" s="23"/>
      <c r="D252" s="1154"/>
      <c r="E252" s="1154"/>
      <c r="G252" s="606"/>
      <c r="H252" s="606"/>
      <c r="I252" s="606"/>
      <c r="J252" s="606"/>
      <c r="K252" s="606"/>
    </row>
    <row r="253">
      <c r="A253" s="1653"/>
      <c r="B253" s="1154"/>
      <c r="C253" s="1154"/>
      <c r="D253" s="1154"/>
      <c r="E253" s="1154"/>
      <c r="G253" s="606"/>
      <c r="H253" s="606"/>
      <c r="I253" s="606"/>
      <c r="J253" s="606"/>
      <c r="K253" s="606"/>
    </row>
    <row r="254">
      <c r="A254" s="1653"/>
      <c r="B254" s="1154"/>
      <c r="C254" s="1154"/>
      <c r="D254" s="1154"/>
      <c r="E254" s="1154"/>
      <c r="G254" s="606"/>
      <c r="H254" s="606"/>
      <c r="I254" s="606"/>
      <c r="J254" s="606"/>
      <c r="K254" s="606"/>
    </row>
    <row r="255">
      <c r="A255" s="1653"/>
      <c r="B255" s="1154"/>
      <c r="C255" s="1154"/>
      <c r="D255" s="1154"/>
      <c r="E255" s="1154"/>
      <c r="G255" s="606"/>
      <c r="H255" s="606"/>
      <c r="I255" s="606"/>
      <c r="J255" s="606"/>
      <c r="K255" s="606"/>
    </row>
    <row r="256">
      <c r="A256" s="1653"/>
      <c r="B256" s="1154"/>
      <c r="C256" s="1154"/>
      <c r="D256" s="1154"/>
      <c r="E256" s="1154"/>
      <c r="G256" s="606"/>
      <c r="H256" s="606"/>
      <c r="I256" s="606"/>
      <c r="J256" s="606"/>
      <c r="K256" s="606"/>
    </row>
    <row r="257">
      <c r="A257" s="1653"/>
      <c r="B257" s="1154"/>
      <c r="C257" s="1154"/>
      <c r="D257" s="1154"/>
      <c r="E257" s="1154"/>
      <c r="G257" s="606"/>
      <c r="H257" s="606"/>
      <c r="I257" s="606"/>
      <c r="J257" s="606"/>
      <c r="K257" s="606"/>
    </row>
    <row r="258">
      <c r="A258" s="1653"/>
      <c r="B258" s="1154"/>
      <c r="C258" s="1154"/>
      <c r="D258" s="1154"/>
      <c r="E258" s="1154"/>
      <c r="G258" s="606"/>
      <c r="H258" s="606"/>
      <c r="I258" s="606"/>
      <c r="J258" s="606"/>
      <c r="K258" s="606"/>
    </row>
    <row r="259">
      <c r="A259" s="1653"/>
      <c r="B259" s="1154"/>
      <c r="C259" s="1154"/>
      <c r="D259" s="1154"/>
      <c r="E259" s="1154"/>
      <c r="G259" s="606"/>
      <c r="H259" s="606"/>
      <c r="I259" s="606"/>
      <c r="J259" s="606"/>
      <c r="K259" s="606"/>
    </row>
    <row r="260">
      <c r="A260" s="1653"/>
      <c r="B260" s="1154"/>
      <c r="C260" s="1154"/>
      <c r="D260" s="1154"/>
      <c r="E260" s="1154"/>
      <c r="G260" s="606"/>
      <c r="H260" s="606"/>
      <c r="I260" s="606"/>
      <c r="J260" s="606"/>
      <c r="K260" s="606"/>
    </row>
    <row r="261">
      <c r="A261" s="1653"/>
      <c r="B261" s="1154"/>
      <c r="C261" s="1154"/>
      <c r="D261" s="1154"/>
      <c r="E261" s="1154"/>
      <c r="G261" s="606"/>
      <c r="H261" s="606"/>
      <c r="I261" s="606"/>
      <c r="J261" s="606"/>
      <c r="K261" s="606"/>
    </row>
    <row r="262">
      <c r="A262" s="1653"/>
      <c r="B262" s="1154"/>
      <c r="C262" s="1154"/>
      <c r="D262" s="1154"/>
      <c r="E262" s="1154"/>
      <c r="G262" s="606"/>
      <c r="H262" s="606"/>
      <c r="I262" s="606"/>
      <c r="J262" s="606"/>
      <c r="K262" s="606"/>
    </row>
    <row r="263">
      <c r="A263" s="1653"/>
      <c r="B263" s="1154"/>
      <c r="C263" s="1154"/>
      <c r="D263" s="1154"/>
      <c r="E263" s="1154"/>
      <c r="G263" s="606"/>
      <c r="H263" s="606"/>
      <c r="I263" s="606"/>
      <c r="J263" s="606"/>
      <c r="K263" s="606"/>
    </row>
    <row r="264">
      <c r="A264" s="1653"/>
      <c r="B264" s="1154"/>
      <c r="C264" s="1154"/>
      <c r="D264" s="1154"/>
      <c r="E264" s="1154"/>
      <c r="G264" s="606"/>
      <c r="H264" s="606"/>
      <c r="I264" s="606"/>
      <c r="J264" s="606"/>
      <c r="K264" s="606"/>
    </row>
    <row r="265">
      <c r="A265" s="1653"/>
      <c r="B265" s="1154"/>
      <c r="C265" s="1154"/>
      <c r="D265" s="1154"/>
      <c r="E265" s="1154"/>
      <c r="G265" s="606"/>
      <c r="H265" s="606"/>
      <c r="I265" s="606"/>
      <c r="J265" s="606"/>
      <c r="K265" s="606"/>
    </row>
    <row r="266">
      <c r="A266" s="1665"/>
      <c r="B266" s="1154"/>
      <c r="C266" s="1154"/>
      <c r="D266" s="1154"/>
      <c r="E266" s="1154"/>
      <c r="G266" s="606"/>
      <c r="H266" s="606"/>
      <c r="I266" s="606"/>
      <c r="J266" s="606"/>
      <c r="K266" s="606"/>
    </row>
    <row r="267">
      <c r="A267" s="1653"/>
      <c r="B267" s="1154"/>
      <c r="C267" s="1154"/>
      <c r="D267" s="1154"/>
      <c r="E267" s="1154"/>
      <c r="G267" s="606"/>
      <c r="H267" s="606"/>
      <c r="I267" s="606"/>
      <c r="J267" s="606"/>
      <c r="K267" s="606"/>
    </row>
    <row r="268">
      <c r="A268" s="1653"/>
      <c r="B268" s="23"/>
      <c r="C268" s="23"/>
      <c r="D268" s="23"/>
      <c r="E268" s="1154"/>
      <c r="G268" s="606"/>
      <c r="H268" s="606"/>
      <c r="I268" s="606"/>
      <c r="J268" s="606"/>
      <c r="K268" s="606"/>
    </row>
    <row r="269">
      <c r="A269" s="1665"/>
      <c r="B269" s="1154"/>
      <c r="C269" s="1154"/>
      <c r="D269" s="1154"/>
      <c r="E269" s="1154"/>
      <c r="G269" s="606"/>
      <c r="H269" s="606"/>
      <c r="I269" s="606"/>
      <c r="J269" s="606"/>
      <c r="K269" s="606"/>
    </row>
    <row r="270">
      <c r="A270" s="1653"/>
      <c r="B270" s="1154"/>
      <c r="C270" s="1154"/>
      <c r="D270" s="1154"/>
      <c r="E270" s="1154"/>
      <c r="G270" s="606"/>
      <c r="H270" s="606"/>
      <c r="I270" s="606"/>
      <c r="J270" s="606"/>
      <c r="K270" s="606"/>
    </row>
    <row r="271">
      <c r="A271" s="1653"/>
      <c r="B271" s="1154"/>
      <c r="C271" s="1154"/>
      <c r="D271" s="1154"/>
      <c r="E271" s="1154"/>
      <c r="G271" s="606"/>
      <c r="H271" s="606"/>
      <c r="I271" s="606"/>
      <c r="J271" s="606"/>
      <c r="K271" s="606"/>
    </row>
    <row r="272">
      <c r="A272" s="1653"/>
      <c r="B272" s="1154"/>
      <c r="C272" s="1154"/>
      <c r="D272" s="1154"/>
      <c r="E272" s="1154"/>
      <c r="G272" s="606"/>
      <c r="H272" s="606"/>
      <c r="I272" s="606"/>
      <c r="J272" s="606"/>
      <c r="K272" s="606"/>
    </row>
    <row r="273">
      <c r="A273" s="1653"/>
      <c r="B273" s="1154"/>
      <c r="C273" s="1154"/>
      <c r="D273" s="1154"/>
      <c r="E273" s="1154"/>
      <c r="G273" s="606"/>
      <c r="H273" s="606"/>
      <c r="I273" s="606"/>
      <c r="J273" s="606"/>
      <c r="K273" s="606"/>
    </row>
    <row r="274">
      <c r="A274" s="1653"/>
      <c r="B274" s="1154"/>
      <c r="C274" s="1154"/>
      <c r="D274" s="1154"/>
      <c r="E274" s="1154"/>
      <c r="G274" s="606"/>
      <c r="H274" s="606"/>
      <c r="I274" s="606"/>
      <c r="J274" s="606"/>
      <c r="K274" s="606"/>
    </row>
    <row r="275">
      <c r="A275" s="1653"/>
      <c r="B275" s="1154"/>
      <c r="C275" s="1154"/>
      <c r="D275" s="1154"/>
      <c r="E275" s="1154"/>
      <c r="G275" s="606"/>
      <c r="H275" s="606"/>
      <c r="I275" s="606"/>
      <c r="J275" s="606"/>
      <c r="K275" s="606"/>
    </row>
    <row r="276">
      <c r="A276" s="1653"/>
      <c r="B276" s="1154"/>
      <c r="C276" s="1154"/>
      <c r="D276" s="1154"/>
      <c r="E276" s="1154"/>
      <c r="G276" s="606"/>
      <c r="H276" s="606"/>
      <c r="I276" s="606"/>
      <c r="J276" s="606"/>
      <c r="K276" s="606"/>
    </row>
    <row r="277">
      <c r="A277" s="1653"/>
      <c r="B277" s="23"/>
      <c r="C277" s="23"/>
      <c r="D277" s="23"/>
      <c r="E277" s="1154"/>
      <c r="G277" s="606"/>
      <c r="H277" s="606"/>
      <c r="I277" s="606"/>
      <c r="J277" s="606"/>
      <c r="K277" s="606"/>
    </row>
    <row r="278">
      <c r="A278" s="1653"/>
      <c r="B278" s="1154"/>
      <c r="C278" s="1154"/>
      <c r="D278" s="1154"/>
      <c r="E278" s="1154"/>
      <c r="G278" s="606"/>
      <c r="H278" s="606"/>
      <c r="I278" s="606"/>
      <c r="J278" s="606"/>
      <c r="K278" s="606"/>
    </row>
    <row r="279">
      <c r="A279" s="1665"/>
      <c r="B279" s="1154"/>
      <c r="C279" s="1154"/>
      <c r="D279" s="1154"/>
      <c r="E279" s="1154"/>
      <c r="G279" s="606"/>
      <c r="H279" s="606"/>
      <c r="I279" s="606"/>
      <c r="J279" s="606"/>
      <c r="K279" s="606"/>
    </row>
    <row r="280">
      <c r="A280" s="1665"/>
      <c r="B280" s="1154"/>
      <c r="C280" s="1154"/>
      <c r="D280" s="1154"/>
      <c r="E280" s="1154"/>
      <c r="G280" s="606"/>
      <c r="H280" s="606"/>
      <c r="I280" s="606"/>
      <c r="J280" s="606"/>
      <c r="K280" s="606"/>
    </row>
    <row r="281">
      <c r="A281" s="1653"/>
      <c r="B281" s="1154"/>
      <c r="C281" s="1154"/>
      <c r="D281" s="1154"/>
      <c r="E281" s="1154"/>
      <c r="G281" s="606"/>
      <c r="H281" s="606"/>
      <c r="I281" s="606"/>
      <c r="J281" s="606"/>
      <c r="K281" s="606"/>
    </row>
    <row r="282">
      <c r="A282" s="1665"/>
      <c r="B282" s="1154"/>
      <c r="C282" s="1154"/>
      <c r="D282" s="1154"/>
      <c r="E282" s="1154"/>
      <c r="G282" s="606"/>
      <c r="H282" s="606"/>
      <c r="I282" s="606"/>
      <c r="J282" s="606"/>
      <c r="K282" s="606"/>
    </row>
    <row r="283">
      <c r="A283" s="1665"/>
      <c r="B283" s="1154"/>
      <c r="C283" s="1154"/>
      <c r="D283" s="1154"/>
      <c r="E283" s="1154"/>
      <c r="G283" s="606"/>
      <c r="H283" s="606"/>
      <c r="I283" s="606"/>
      <c r="J283" s="606"/>
      <c r="K283" s="606"/>
    </row>
    <row r="284">
      <c r="A284" s="1653"/>
      <c r="B284" s="1154"/>
      <c r="C284" s="1154"/>
      <c r="D284" s="1154"/>
      <c r="E284" s="1154"/>
      <c r="G284" s="606"/>
      <c r="H284" s="606"/>
      <c r="I284" s="606"/>
      <c r="J284" s="606"/>
      <c r="K284" s="606"/>
    </row>
    <row r="285">
      <c r="A285" s="1665"/>
      <c r="B285" s="1154"/>
      <c r="C285" s="1154"/>
      <c r="D285" s="1154"/>
      <c r="E285" s="1154"/>
      <c r="G285" s="606"/>
      <c r="H285" s="606"/>
      <c r="I285" s="606"/>
      <c r="J285" s="606"/>
      <c r="K285" s="606"/>
    </row>
    <row r="286">
      <c r="A286" s="1665"/>
      <c r="B286" s="1154"/>
      <c r="C286" s="1154"/>
      <c r="D286" s="1154"/>
      <c r="E286" s="1154"/>
      <c r="G286" s="606"/>
      <c r="H286" s="606"/>
      <c r="I286" s="606"/>
      <c r="J286" s="606"/>
      <c r="K286" s="606"/>
    </row>
    <row r="287">
      <c r="A287" s="1665"/>
      <c r="B287" s="1154"/>
      <c r="C287" s="1154"/>
      <c r="D287" s="1154"/>
      <c r="E287" s="1154"/>
      <c r="G287" s="606"/>
      <c r="H287" s="606"/>
      <c r="I287" s="606"/>
      <c r="J287" s="606"/>
      <c r="K287" s="606"/>
    </row>
    <row r="288">
      <c r="A288" s="1653"/>
      <c r="B288" s="1154"/>
      <c r="C288" s="1154"/>
      <c r="D288" s="1154"/>
      <c r="E288" s="1154"/>
      <c r="G288" s="606"/>
      <c r="H288" s="606"/>
      <c r="I288" s="606"/>
      <c r="J288" s="606"/>
      <c r="K288" s="606"/>
    </row>
    <row r="289">
      <c r="A289" s="1653"/>
      <c r="B289" s="1154"/>
      <c r="C289" s="1154"/>
      <c r="D289" s="1154"/>
      <c r="E289" s="1154"/>
      <c r="G289" s="606"/>
      <c r="H289" s="606"/>
      <c r="I289" s="606"/>
      <c r="J289" s="606"/>
      <c r="K289" s="606"/>
    </row>
    <row r="290">
      <c r="A290" s="1653"/>
      <c r="B290" s="1154"/>
      <c r="C290" s="1154"/>
      <c r="D290" s="1154"/>
      <c r="E290" s="1154"/>
      <c r="G290" s="606"/>
      <c r="H290" s="606"/>
      <c r="I290" s="606"/>
      <c r="J290" s="606"/>
      <c r="K290" s="606"/>
    </row>
    <row r="291">
      <c r="A291" s="1665"/>
      <c r="B291" s="1154"/>
      <c r="C291" s="1154"/>
      <c r="D291" s="1154"/>
      <c r="E291" s="1154"/>
      <c r="G291" s="606"/>
      <c r="H291" s="606"/>
      <c r="I291" s="606"/>
      <c r="J291" s="606"/>
      <c r="K291" s="606"/>
    </row>
    <row r="292">
      <c r="A292" s="1665"/>
      <c r="B292" s="1154"/>
      <c r="C292" s="1154"/>
      <c r="D292" s="1154"/>
      <c r="E292" s="1154"/>
      <c r="G292" s="606"/>
      <c r="H292" s="606"/>
      <c r="I292" s="606"/>
      <c r="J292" s="606"/>
      <c r="K292" s="606"/>
    </row>
    <row r="293">
      <c r="A293" s="1653"/>
      <c r="B293" s="1154"/>
      <c r="C293" s="1154"/>
      <c r="D293" s="1154"/>
      <c r="E293" s="1154"/>
      <c r="G293" s="606"/>
      <c r="H293" s="606"/>
      <c r="I293" s="606"/>
      <c r="J293" s="606"/>
      <c r="K293" s="606"/>
    </row>
    <row r="294">
      <c r="A294" s="1653"/>
      <c r="B294" s="1154"/>
      <c r="C294" s="1154"/>
      <c r="D294" s="1154"/>
      <c r="E294" s="1154"/>
      <c r="G294" s="606"/>
      <c r="H294" s="606"/>
      <c r="I294" s="606"/>
      <c r="J294" s="606"/>
      <c r="K294" s="606"/>
    </row>
    <row r="295">
      <c r="A295" s="1653"/>
      <c r="B295" s="1154"/>
      <c r="C295" s="1154"/>
      <c r="D295" s="1154"/>
      <c r="E295" s="1154"/>
      <c r="G295" s="606"/>
      <c r="H295" s="606"/>
      <c r="I295" s="606"/>
      <c r="J295" s="606"/>
      <c r="K295" s="606"/>
    </row>
    <row r="296">
      <c r="A296" s="1653"/>
      <c r="B296" s="1154"/>
      <c r="C296" s="1154"/>
      <c r="D296" s="1154"/>
      <c r="E296" s="1154"/>
      <c r="G296" s="606"/>
      <c r="H296" s="606"/>
      <c r="I296" s="606"/>
      <c r="J296" s="606"/>
      <c r="K296" s="606"/>
    </row>
    <row r="297">
      <c r="A297" s="1653"/>
      <c r="B297" s="1154"/>
      <c r="C297" s="1154"/>
      <c r="D297" s="1154"/>
      <c r="E297" s="1154"/>
      <c r="G297" s="606"/>
      <c r="H297" s="606"/>
      <c r="I297" s="606"/>
      <c r="J297" s="606"/>
      <c r="K297" s="606"/>
    </row>
    <row r="298">
      <c r="A298" s="1653"/>
      <c r="B298" s="1154"/>
      <c r="C298" s="1154"/>
      <c r="D298" s="1154"/>
      <c r="E298" s="1154"/>
      <c r="G298" s="606"/>
      <c r="H298" s="606"/>
      <c r="I298" s="606"/>
      <c r="J298" s="606"/>
      <c r="K298" s="606"/>
    </row>
    <row r="299">
      <c r="A299" s="1653"/>
      <c r="B299" s="1154"/>
      <c r="C299" s="1154"/>
      <c r="D299" s="1154"/>
      <c r="E299" s="1154"/>
      <c r="G299" s="606"/>
      <c r="H299" s="606"/>
      <c r="I299" s="606"/>
      <c r="J299" s="606"/>
      <c r="K299" s="606"/>
    </row>
    <row r="300">
      <c r="A300" s="1665"/>
      <c r="B300" s="1154"/>
      <c r="C300" s="23"/>
      <c r="D300" s="1154"/>
      <c r="E300" s="1154"/>
      <c r="G300" s="606"/>
      <c r="H300" s="606"/>
      <c r="I300" s="606"/>
      <c r="J300" s="606"/>
      <c r="K300" s="606"/>
    </row>
    <row r="301">
      <c r="A301" s="1665"/>
      <c r="B301" s="1154"/>
      <c r="C301" s="1154"/>
      <c r="D301" s="1154"/>
      <c r="E301" s="1154"/>
      <c r="G301" s="606"/>
      <c r="H301" s="606"/>
      <c r="I301" s="606"/>
      <c r="J301" s="606"/>
      <c r="K301" s="606"/>
    </row>
    <row r="302">
      <c r="A302" s="1665"/>
      <c r="B302" s="1154"/>
      <c r="C302" s="1154"/>
      <c r="D302" s="1154"/>
      <c r="E302" s="1154"/>
      <c r="G302" s="606"/>
      <c r="H302" s="606"/>
      <c r="I302" s="606"/>
      <c r="J302" s="606"/>
      <c r="K302" s="606"/>
    </row>
    <row r="303">
      <c r="A303" s="1660"/>
      <c r="B303" s="1154"/>
      <c r="C303" s="1154"/>
      <c r="D303" s="1154"/>
      <c r="E303" s="1154"/>
      <c r="G303" s="606"/>
      <c r="H303" s="606"/>
      <c r="I303" s="606"/>
      <c r="J303" s="606"/>
      <c r="K303" s="606"/>
    </row>
    <row r="304">
      <c r="A304" s="1653"/>
      <c r="B304" s="1154"/>
      <c r="C304" s="1154"/>
      <c r="D304" s="1154"/>
      <c r="E304" s="1154"/>
      <c r="G304" s="606"/>
      <c r="H304" s="606"/>
      <c r="I304" s="606"/>
      <c r="J304" s="606"/>
      <c r="K304" s="606"/>
    </row>
    <row r="305">
      <c r="A305" s="1665"/>
      <c r="B305" s="1154"/>
      <c r="C305" s="1154"/>
      <c r="D305" s="1154"/>
      <c r="E305" s="1154"/>
      <c r="G305" s="606"/>
      <c r="H305" s="606"/>
      <c r="I305" s="606"/>
      <c r="J305" s="606"/>
      <c r="K305" s="606"/>
    </row>
    <row r="306">
      <c r="A306" s="1653"/>
      <c r="B306" s="1154"/>
      <c r="C306" s="23"/>
      <c r="D306" s="1154"/>
      <c r="E306" s="1154"/>
      <c r="G306" s="606"/>
      <c r="H306" s="606"/>
      <c r="I306" s="606"/>
      <c r="J306" s="606"/>
      <c r="K306" s="606"/>
    </row>
    <row r="307">
      <c r="A307" s="1653"/>
      <c r="B307" s="1154"/>
      <c r="C307" s="1154"/>
      <c r="D307" s="1154"/>
      <c r="E307" s="1154"/>
      <c r="G307" s="606"/>
      <c r="H307" s="606"/>
      <c r="I307" s="606"/>
      <c r="J307" s="606"/>
      <c r="K307" s="606"/>
    </row>
    <row r="308">
      <c r="A308" s="1660"/>
      <c r="B308" s="1154"/>
      <c r="C308" s="1154"/>
      <c r="D308" s="1154"/>
      <c r="E308" s="1154"/>
      <c r="G308" s="606"/>
      <c r="H308" s="606"/>
      <c r="I308" s="606"/>
      <c r="J308" s="606"/>
      <c r="K308" s="606"/>
    </row>
    <row r="309">
      <c r="A309" s="1653"/>
      <c r="B309" s="23"/>
      <c r="C309" s="23"/>
      <c r="D309" s="23"/>
      <c r="E309" s="1154"/>
      <c r="G309" s="606"/>
      <c r="H309" s="606"/>
      <c r="I309" s="606"/>
      <c r="J309" s="606"/>
      <c r="K309" s="606"/>
    </row>
    <row r="310">
      <c r="A310" s="1653"/>
      <c r="B310" s="1154"/>
      <c r="C310" s="23"/>
      <c r="D310" s="1154"/>
      <c r="E310" s="1154"/>
      <c r="G310" s="606"/>
      <c r="H310" s="606"/>
      <c r="I310" s="606"/>
      <c r="J310" s="606"/>
      <c r="K310" s="606"/>
    </row>
    <row r="311">
      <c r="A311" s="1665"/>
      <c r="B311" s="1154"/>
      <c r="C311" s="23"/>
      <c r="D311" s="1154"/>
      <c r="E311" s="1154"/>
      <c r="G311" s="606"/>
      <c r="H311" s="606"/>
      <c r="I311" s="606"/>
      <c r="J311" s="606"/>
      <c r="K311" s="606"/>
    </row>
    <row r="312">
      <c r="A312" s="1653"/>
      <c r="B312" s="1154"/>
      <c r="C312" s="23"/>
      <c r="D312" s="1154"/>
      <c r="E312" s="1154"/>
      <c r="G312" s="606"/>
      <c r="H312" s="606"/>
      <c r="I312" s="606"/>
      <c r="J312" s="606"/>
      <c r="K312" s="606"/>
    </row>
    <row r="313">
      <c r="A313" s="1653"/>
      <c r="B313" s="1154"/>
      <c r="C313" s="1154"/>
      <c r="D313" s="1154"/>
      <c r="E313" s="1154"/>
      <c r="G313" s="606"/>
      <c r="H313" s="606"/>
      <c r="I313" s="606"/>
      <c r="J313" s="606"/>
      <c r="K313" s="606"/>
    </row>
    <row r="314">
      <c r="A314" s="1665"/>
      <c r="B314" s="1154"/>
      <c r="C314" s="1154"/>
      <c r="D314" s="1154"/>
      <c r="E314" s="1154"/>
      <c r="G314" s="606"/>
      <c r="H314" s="606"/>
      <c r="I314" s="606"/>
      <c r="J314" s="606"/>
      <c r="K314" s="606"/>
    </row>
    <row r="315">
      <c r="A315" s="1653"/>
      <c r="B315" s="1154"/>
      <c r="C315" s="23"/>
      <c r="D315" s="1154"/>
      <c r="E315" s="1154"/>
      <c r="G315" s="606"/>
      <c r="H315" s="606"/>
      <c r="I315" s="606"/>
      <c r="J315" s="606"/>
      <c r="K315" s="606"/>
    </row>
    <row r="316">
      <c r="A316" s="1653"/>
      <c r="B316" s="1154"/>
      <c r="C316" s="1154"/>
      <c r="D316" s="1154"/>
      <c r="E316" s="1154"/>
      <c r="G316" s="606"/>
      <c r="H316" s="606"/>
      <c r="I316" s="606"/>
      <c r="J316" s="606"/>
      <c r="K316" s="606"/>
    </row>
    <row r="317">
      <c r="A317" s="1653"/>
      <c r="B317" s="1154"/>
      <c r="C317" s="23"/>
      <c r="D317" s="1154"/>
      <c r="E317" s="1154"/>
      <c r="G317" s="606"/>
      <c r="H317" s="606"/>
      <c r="I317" s="606"/>
      <c r="J317" s="606"/>
      <c r="K317" s="606"/>
    </row>
    <row r="318">
      <c r="A318" s="1653"/>
      <c r="B318" s="1154"/>
      <c r="C318" s="1154"/>
      <c r="D318" s="1154"/>
      <c r="E318" s="1154"/>
      <c r="G318" s="606"/>
      <c r="H318" s="606"/>
      <c r="I318" s="606"/>
      <c r="J318" s="606"/>
      <c r="K318" s="606"/>
    </row>
    <row r="319">
      <c r="A319" s="1653"/>
      <c r="B319" s="1154"/>
      <c r="C319" s="1154"/>
      <c r="D319" s="1154"/>
      <c r="E319" s="1154"/>
      <c r="G319" s="606"/>
      <c r="H319" s="606"/>
      <c r="I319" s="606"/>
      <c r="J319" s="606"/>
      <c r="K319" s="606"/>
    </row>
    <row r="320">
      <c r="A320" s="1653"/>
      <c r="B320" s="1154"/>
      <c r="C320" s="23"/>
      <c r="D320" s="1154"/>
      <c r="E320" s="1154"/>
      <c r="G320" s="606"/>
      <c r="H320" s="606"/>
      <c r="I320" s="606"/>
      <c r="J320" s="606"/>
      <c r="K320" s="606"/>
    </row>
    <row r="321">
      <c r="A321" s="1653"/>
      <c r="B321" s="1154"/>
      <c r="C321" s="1154"/>
      <c r="D321" s="1154"/>
      <c r="E321" s="1154"/>
      <c r="G321" s="606"/>
      <c r="H321" s="606"/>
      <c r="I321" s="606"/>
      <c r="J321" s="606"/>
      <c r="K321" s="606"/>
    </row>
    <row r="322">
      <c r="A322" s="1653"/>
      <c r="B322" s="1154"/>
      <c r="C322" s="1154"/>
      <c r="D322" s="1154"/>
      <c r="E322" s="1154"/>
      <c r="G322" s="606"/>
      <c r="H322" s="606"/>
      <c r="I322" s="606"/>
      <c r="J322" s="606"/>
      <c r="K322" s="606"/>
    </row>
    <row r="323">
      <c r="A323" s="1653"/>
      <c r="B323" s="1154"/>
      <c r="C323" s="1154"/>
      <c r="D323" s="1154"/>
      <c r="E323" s="1154"/>
      <c r="G323" s="606"/>
      <c r="H323" s="606"/>
      <c r="I323" s="606"/>
      <c r="J323" s="606"/>
      <c r="K323" s="606"/>
    </row>
    <row r="324">
      <c r="A324" s="1653"/>
      <c r="B324" s="1154"/>
      <c r="C324" s="1154"/>
      <c r="D324" s="1154"/>
      <c r="E324" s="1154"/>
      <c r="G324" s="606"/>
      <c r="H324" s="606"/>
      <c r="I324" s="606"/>
      <c r="J324" s="606"/>
      <c r="K324" s="606"/>
    </row>
    <row r="325">
      <c r="A325" s="1653"/>
      <c r="B325" s="1154"/>
      <c r="C325" s="1154"/>
      <c r="D325" s="1154"/>
      <c r="E325" s="1154"/>
      <c r="G325" s="606"/>
      <c r="H325" s="606"/>
      <c r="I325" s="606"/>
      <c r="J325" s="606"/>
      <c r="K325" s="606"/>
    </row>
    <row r="326">
      <c r="A326" s="1653"/>
      <c r="B326" s="1154"/>
      <c r="C326" s="1154"/>
      <c r="D326" s="1154"/>
      <c r="E326" s="1154"/>
      <c r="G326" s="606"/>
      <c r="H326" s="606"/>
      <c r="I326" s="606"/>
      <c r="J326" s="606"/>
      <c r="K326" s="606"/>
    </row>
    <row r="327">
      <c r="A327" s="1665"/>
      <c r="B327" s="1154"/>
      <c r="C327" s="1154"/>
      <c r="D327" s="1154"/>
      <c r="E327" s="1154"/>
      <c r="G327" s="606"/>
      <c r="H327" s="606"/>
      <c r="I327" s="606"/>
      <c r="J327" s="606"/>
      <c r="K327" s="606"/>
    </row>
    <row r="328">
      <c r="A328" s="1653"/>
      <c r="B328" s="1154"/>
      <c r="C328" s="1154"/>
      <c r="D328" s="1154"/>
      <c r="E328" s="1154"/>
      <c r="G328" s="606"/>
      <c r="H328" s="606"/>
      <c r="I328" s="606"/>
      <c r="J328" s="606"/>
      <c r="K328" s="606"/>
    </row>
    <row r="329">
      <c r="A329" s="1665"/>
      <c r="B329" s="1154"/>
      <c r="C329" s="23"/>
      <c r="D329" s="1154"/>
      <c r="E329" s="1154"/>
      <c r="G329" s="606"/>
      <c r="H329" s="606"/>
      <c r="I329" s="606"/>
      <c r="J329" s="606"/>
      <c r="K329" s="606"/>
    </row>
    <row r="330">
      <c r="A330" s="1665"/>
      <c r="B330" s="1154"/>
      <c r="C330" s="1154"/>
      <c r="D330" s="1154"/>
      <c r="E330" s="1154"/>
      <c r="G330" s="606"/>
      <c r="H330" s="606"/>
      <c r="I330" s="606"/>
      <c r="J330" s="606"/>
      <c r="K330" s="606"/>
    </row>
    <row r="331">
      <c r="A331" s="1653"/>
      <c r="B331" s="1154"/>
      <c r="C331" s="1154"/>
      <c r="D331" s="1154"/>
      <c r="E331" s="1154"/>
      <c r="G331" s="606"/>
      <c r="H331" s="606"/>
      <c r="I331" s="606"/>
      <c r="J331" s="606"/>
      <c r="K331" s="606"/>
    </row>
    <row r="332">
      <c r="A332" s="1653"/>
      <c r="B332" s="1154"/>
      <c r="C332" s="1154"/>
      <c r="D332" s="1154"/>
      <c r="E332" s="1154"/>
      <c r="G332" s="606"/>
      <c r="H332" s="606"/>
      <c r="I332" s="606"/>
      <c r="J332" s="606"/>
      <c r="K332" s="606"/>
    </row>
    <row r="333">
      <c r="A333" s="1653"/>
      <c r="B333" s="1154"/>
      <c r="C333" s="1154"/>
      <c r="D333" s="1154"/>
      <c r="E333" s="1154"/>
      <c r="G333" s="606"/>
      <c r="H333" s="606"/>
      <c r="I333" s="606"/>
      <c r="J333" s="606"/>
      <c r="K333" s="606"/>
    </row>
    <row r="334">
      <c r="A334" s="1653"/>
      <c r="B334" s="1154"/>
      <c r="C334" s="1154"/>
      <c r="D334" s="1154"/>
      <c r="E334" s="1154"/>
      <c r="G334" s="606"/>
      <c r="H334" s="606"/>
      <c r="I334" s="606"/>
      <c r="J334" s="606"/>
      <c r="K334" s="606"/>
    </row>
    <row r="335">
      <c r="A335" s="1665"/>
      <c r="B335" s="1154"/>
      <c r="C335" s="1154"/>
      <c r="D335" s="1154"/>
      <c r="E335" s="1154"/>
      <c r="G335" s="606"/>
      <c r="H335" s="606"/>
      <c r="I335" s="606"/>
      <c r="J335" s="606"/>
      <c r="K335" s="606"/>
    </row>
    <row r="336">
      <c r="A336" s="1665"/>
      <c r="B336" s="1154"/>
      <c r="C336" s="1154"/>
      <c r="D336" s="1172"/>
      <c r="E336" s="1154"/>
      <c r="G336" s="606"/>
      <c r="H336" s="606"/>
      <c r="I336" s="606"/>
      <c r="J336" s="606"/>
      <c r="K336" s="606"/>
    </row>
    <row r="337">
      <c r="A337" s="1653"/>
      <c r="B337" s="1154"/>
      <c r="C337" s="1154"/>
      <c r="D337" s="1154"/>
      <c r="E337" s="1154"/>
      <c r="G337" s="606"/>
      <c r="H337" s="606"/>
      <c r="I337" s="606"/>
      <c r="J337" s="606"/>
      <c r="K337" s="606"/>
    </row>
    <row r="338">
      <c r="A338" s="1665"/>
      <c r="B338" s="1154"/>
      <c r="C338" s="23"/>
      <c r="D338" s="1154"/>
      <c r="E338" s="1154"/>
      <c r="G338" s="606"/>
      <c r="H338" s="606"/>
      <c r="I338" s="606"/>
      <c r="J338" s="606"/>
      <c r="K338" s="606"/>
    </row>
    <row r="339">
      <c r="A339" s="1653"/>
      <c r="B339" s="1154"/>
      <c r="C339" s="1154"/>
      <c r="D339" s="1154"/>
      <c r="E339" s="1154"/>
      <c r="G339" s="606"/>
      <c r="H339" s="606"/>
      <c r="I339" s="606"/>
      <c r="J339" s="606"/>
      <c r="K339" s="606"/>
    </row>
    <row r="340">
      <c r="A340" s="1653"/>
      <c r="B340" s="1154"/>
      <c r="C340" s="1154"/>
      <c r="D340" s="1154"/>
      <c r="E340" s="1154"/>
      <c r="G340" s="606"/>
      <c r="H340" s="606"/>
      <c r="I340" s="606"/>
      <c r="J340" s="606"/>
      <c r="K340" s="606"/>
    </row>
    <row r="341">
      <c r="A341" s="1653"/>
      <c r="B341" s="1154"/>
      <c r="C341" s="23"/>
      <c r="D341" s="1154"/>
      <c r="E341" s="1154"/>
      <c r="G341" s="606"/>
      <c r="H341" s="606"/>
      <c r="I341" s="606"/>
      <c r="J341" s="606"/>
      <c r="K341" s="606"/>
    </row>
    <row r="342">
      <c r="A342" s="1653"/>
      <c r="B342" s="1154"/>
      <c r="C342" s="1154"/>
      <c r="D342" s="1154"/>
      <c r="E342" s="1154"/>
      <c r="G342" s="606"/>
      <c r="H342" s="606"/>
      <c r="I342" s="606"/>
      <c r="J342" s="606"/>
      <c r="K342" s="606"/>
    </row>
    <row r="343">
      <c r="A343" s="1653"/>
      <c r="B343" s="1154"/>
      <c r="C343" s="1154"/>
      <c r="D343" s="1154"/>
      <c r="E343" s="1154"/>
      <c r="G343" s="606"/>
      <c r="H343" s="606"/>
      <c r="I343" s="606"/>
      <c r="J343" s="606"/>
      <c r="K343" s="606"/>
    </row>
    <row r="344">
      <c r="A344" s="1653"/>
      <c r="B344" s="1154"/>
      <c r="C344" s="1154"/>
      <c r="D344" s="1154"/>
      <c r="E344" s="1154"/>
      <c r="G344" s="606"/>
      <c r="H344" s="606"/>
      <c r="I344" s="606"/>
      <c r="J344" s="606"/>
      <c r="K344" s="606"/>
    </row>
    <row r="345">
      <c r="A345" s="1653"/>
      <c r="B345" s="1154"/>
      <c r="C345" s="23"/>
      <c r="D345" s="1154"/>
      <c r="E345" s="1154"/>
      <c r="G345" s="606"/>
      <c r="H345" s="606"/>
      <c r="I345" s="606"/>
      <c r="J345" s="606"/>
      <c r="K345" s="606"/>
    </row>
    <row r="346">
      <c r="A346" s="1665"/>
      <c r="B346" s="1154"/>
      <c r="C346" s="1154"/>
      <c r="D346" s="1154"/>
      <c r="E346" s="1154"/>
      <c r="G346" s="606"/>
      <c r="H346" s="606"/>
      <c r="I346" s="606"/>
      <c r="J346" s="606"/>
      <c r="K346" s="606"/>
    </row>
    <row r="347">
      <c r="A347" s="1653"/>
      <c r="B347" s="1154"/>
      <c r="C347" s="1154"/>
      <c r="D347" s="1154"/>
      <c r="E347" s="1154"/>
      <c r="G347" s="606"/>
      <c r="H347" s="606"/>
      <c r="I347" s="606"/>
      <c r="J347" s="606"/>
      <c r="K347" s="606"/>
    </row>
    <row r="348">
      <c r="A348" s="1653"/>
      <c r="B348" s="1154"/>
      <c r="C348" s="1154"/>
      <c r="D348" s="1154"/>
      <c r="E348" s="1154"/>
      <c r="G348" s="606"/>
      <c r="H348" s="606"/>
      <c r="I348" s="606"/>
      <c r="J348" s="606"/>
      <c r="K348" s="606"/>
    </row>
    <row r="349">
      <c r="A349" s="1665"/>
      <c r="B349" s="1154"/>
      <c r="C349" s="1154"/>
      <c r="D349" s="1154"/>
      <c r="E349" s="1154"/>
      <c r="G349" s="606"/>
      <c r="H349" s="606"/>
      <c r="I349" s="606"/>
      <c r="J349" s="606"/>
      <c r="K349" s="606"/>
    </row>
    <row r="350">
      <c r="A350" s="1653"/>
      <c r="B350" s="1154"/>
      <c r="C350" s="1154"/>
      <c r="D350" s="1154"/>
      <c r="E350" s="1154"/>
      <c r="G350" s="606"/>
      <c r="H350" s="606"/>
      <c r="I350" s="606"/>
      <c r="J350" s="606"/>
      <c r="K350" s="606"/>
    </row>
    <row r="351">
      <c r="A351" s="1665"/>
      <c r="B351" s="1154"/>
      <c r="C351" s="1154"/>
      <c r="D351" s="1154"/>
      <c r="E351" s="1154"/>
      <c r="G351" s="606"/>
      <c r="H351" s="606"/>
      <c r="I351" s="606"/>
      <c r="J351" s="606"/>
      <c r="K351" s="606"/>
    </row>
    <row r="352">
      <c r="A352" s="1653"/>
      <c r="B352" s="1154"/>
      <c r="C352" s="1154"/>
      <c r="D352" s="1154"/>
      <c r="E352" s="1154"/>
      <c r="G352" s="606"/>
      <c r="H352" s="606"/>
      <c r="I352" s="606"/>
      <c r="J352" s="606"/>
      <c r="K352" s="606"/>
    </row>
    <row r="353">
      <c r="A353" s="1653"/>
      <c r="B353" s="1154"/>
      <c r="C353" s="1154"/>
      <c r="D353" s="1154"/>
      <c r="E353" s="1154"/>
      <c r="G353" s="606"/>
      <c r="H353" s="606"/>
      <c r="I353" s="606"/>
      <c r="J353" s="606"/>
      <c r="K353" s="606"/>
    </row>
    <row r="354">
      <c r="A354" s="1665"/>
      <c r="B354" s="1154"/>
      <c r="C354" s="23"/>
      <c r="D354" s="1154"/>
      <c r="E354" s="1154"/>
      <c r="G354" s="606"/>
      <c r="H354" s="606"/>
      <c r="I354" s="606"/>
      <c r="J354" s="606"/>
      <c r="K354" s="606"/>
    </row>
    <row r="355">
      <c r="A355" s="1653"/>
      <c r="B355" s="1154"/>
      <c r="C355" s="1154"/>
      <c r="D355" s="1154"/>
      <c r="E355" s="1154"/>
      <c r="G355" s="606"/>
      <c r="H355" s="606"/>
      <c r="I355" s="606"/>
      <c r="J355" s="606"/>
      <c r="K355" s="606"/>
    </row>
    <row r="356">
      <c r="A356" s="1665"/>
      <c r="B356" s="1154"/>
      <c r="C356" s="1154"/>
      <c r="D356" s="1154"/>
      <c r="E356" s="1154"/>
      <c r="G356" s="606"/>
      <c r="H356" s="606"/>
      <c r="I356" s="606"/>
      <c r="J356" s="606"/>
      <c r="K356" s="606"/>
    </row>
    <row r="357">
      <c r="A357" s="1653"/>
      <c r="B357" s="1154"/>
      <c r="C357" s="1154"/>
      <c r="D357" s="1154"/>
      <c r="E357" s="1154"/>
      <c r="G357" s="606"/>
      <c r="H357" s="606"/>
      <c r="I357" s="606"/>
      <c r="J357" s="606"/>
      <c r="K357" s="606"/>
    </row>
    <row r="358">
      <c r="A358" s="1653"/>
      <c r="B358" s="1154"/>
      <c r="C358" s="23"/>
      <c r="D358" s="1154"/>
      <c r="E358" s="1154"/>
      <c r="G358" s="606"/>
      <c r="H358" s="606"/>
      <c r="I358" s="606"/>
      <c r="J358" s="606"/>
      <c r="K358" s="606"/>
    </row>
    <row r="359">
      <c r="A359" s="1665"/>
      <c r="B359" s="1154"/>
      <c r="C359" s="1154"/>
      <c r="D359" s="1154"/>
      <c r="E359" s="1154"/>
      <c r="G359" s="606"/>
      <c r="H359" s="606"/>
      <c r="I359" s="606"/>
      <c r="J359" s="606"/>
      <c r="K359" s="606"/>
    </row>
    <row r="360">
      <c r="A360" s="1665"/>
      <c r="B360" s="1154"/>
      <c r="C360" s="1154"/>
      <c r="D360" s="1154"/>
      <c r="E360" s="1154"/>
      <c r="G360" s="606"/>
      <c r="H360" s="606"/>
      <c r="I360" s="606"/>
      <c r="J360" s="606"/>
      <c r="K360" s="606"/>
    </row>
    <row r="361">
      <c r="A361" s="1653"/>
      <c r="B361" s="1154"/>
      <c r="C361" s="1154"/>
      <c r="D361" s="1154"/>
      <c r="E361" s="1154"/>
      <c r="G361" s="606"/>
      <c r="H361" s="606"/>
      <c r="I361" s="606"/>
      <c r="J361" s="606"/>
      <c r="K361" s="606"/>
    </row>
    <row r="362">
      <c r="A362" s="1665"/>
      <c r="B362" s="1154"/>
      <c r="C362" s="1154"/>
      <c r="D362" s="1154"/>
      <c r="E362" s="1154"/>
      <c r="G362" s="606"/>
      <c r="H362" s="606"/>
      <c r="I362" s="606"/>
      <c r="J362" s="606"/>
      <c r="K362" s="606"/>
    </row>
    <row r="363">
      <c r="A363" s="1653"/>
      <c r="B363" s="1154"/>
      <c r="C363" s="23"/>
      <c r="D363" s="1154"/>
      <c r="E363" s="1154"/>
      <c r="G363" s="606"/>
      <c r="H363" s="606"/>
      <c r="I363" s="606"/>
      <c r="J363" s="606"/>
      <c r="K363" s="606"/>
    </row>
    <row r="364">
      <c r="A364" s="1665"/>
      <c r="B364" s="1154"/>
      <c r="C364" s="1154"/>
      <c r="D364" s="1154"/>
      <c r="E364" s="1154"/>
      <c r="G364" s="606"/>
      <c r="H364" s="606"/>
      <c r="I364" s="606"/>
      <c r="J364" s="606"/>
      <c r="K364" s="606"/>
    </row>
    <row r="365">
      <c r="A365" s="1653"/>
      <c r="B365" s="1154"/>
      <c r="C365" s="1154"/>
      <c r="D365" s="1154"/>
      <c r="E365" s="1154"/>
      <c r="G365" s="606"/>
      <c r="H365" s="606"/>
      <c r="I365" s="606"/>
      <c r="J365" s="606"/>
      <c r="K365" s="606"/>
    </row>
    <row r="366">
      <c r="A366" s="1653"/>
      <c r="B366" s="1154"/>
      <c r="C366" s="1154"/>
      <c r="D366" s="1154"/>
      <c r="E366" s="1154"/>
      <c r="G366" s="606"/>
      <c r="H366" s="606"/>
      <c r="I366" s="606"/>
      <c r="J366" s="606"/>
      <c r="K366" s="606"/>
    </row>
    <row r="367">
      <c r="A367" s="1653"/>
      <c r="B367" s="1154"/>
      <c r="C367" s="1154"/>
      <c r="D367" s="1154"/>
      <c r="E367" s="1154"/>
      <c r="G367" s="606"/>
      <c r="H367" s="606"/>
      <c r="I367" s="606"/>
      <c r="J367" s="606"/>
      <c r="K367" s="606"/>
    </row>
    <row r="368">
      <c r="A368" s="1665"/>
      <c r="B368" s="1154"/>
      <c r="C368" s="1154"/>
      <c r="D368" s="1154"/>
      <c r="E368" s="1154"/>
      <c r="G368" s="606"/>
      <c r="H368" s="606"/>
      <c r="I368" s="606"/>
      <c r="J368" s="606"/>
      <c r="K368" s="606"/>
    </row>
    <row r="369">
      <c r="A369" s="1665"/>
      <c r="B369" s="1154"/>
      <c r="C369" s="23"/>
      <c r="D369" s="1154"/>
      <c r="E369" s="1154"/>
      <c r="G369" s="606"/>
      <c r="H369" s="606"/>
      <c r="I369" s="606"/>
      <c r="J369" s="606"/>
      <c r="K369" s="606"/>
    </row>
    <row r="370">
      <c r="A370" s="1665"/>
      <c r="B370" s="1154"/>
      <c r="C370" s="1154"/>
      <c r="D370" s="1154"/>
      <c r="E370" s="1154"/>
      <c r="G370" s="606"/>
      <c r="H370" s="606"/>
      <c r="I370" s="606"/>
      <c r="J370" s="606"/>
      <c r="K370" s="606"/>
    </row>
    <row r="371">
      <c r="A371" s="1653"/>
      <c r="B371" s="1154"/>
      <c r="C371" s="1154"/>
      <c r="D371" s="1154"/>
      <c r="E371" s="1154"/>
      <c r="G371" s="606"/>
      <c r="H371" s="606"/>
      <c r="I371" s="606"/>
      <c r="J371" s="606"/>
      <c r="K371" s="606"/>
    </row>
    <row r="372">
      <c r="A372" s="1660"/>
      <c r="B372" s="1154"/>
      <c r="C372" s="1154"/>
      <c r="D372" s="1154"/>
      <c r="E372" s="1154"/>
      <c r="G372" s="606"/>
      <c r="H372" s="606"/>
      <c r="I372" s="606"/>
      <c r="J372" s="606"/>
      <c r="K372" s="606"/>
    </row>
    <row r="373">
      <c r="A373" s="1665"/>
      <c r="B373" s="1304"/>
      <c r="C373" s="1154"/>
      <c r="D373" s="1154"/>
      <c r="E373" s="1154"/>
      <c r="G373" s="606"/>
      <c r="H373" s="606"/>
      <c r="I373" s="606"/>
      <c r="J373" s="606"/>
      <c r="K373" s="606"/>
    </row>
    <row r="374">
      <c r="A374" s="1665"/>
      <c r="B374" s="1304"/>
      <c r="C374" s="1154"/>
      <c r="D374" s="1154"/>
      <c r="E374" s="1154"/>
      <c r="G374" s="606"/>
      <c r="H374" s="606"/>
      <c r="I374" s="606"/>
      <c r="J374" s="606"/>
      <c r="K374" s="606"/>
    </row>
    <row r="375">
      <c r="A375" s="1665"/>
      <c r="B375" s="1304"/>
      <c r="C375" s="1154"/>
      <c r="D375" s="1154"/>
      <c r="E375" s="1154"/>
      <c r="G375" s="606"/>
      <c r="H375" s="606"/>
      <c r="I375" s="606"/>
      <c r="J375" s="606"/>
      <c r="K375" s="606"/>
    </row>
    <row r="376">
      <c r="A376" s="1665"/>
      <c r="B376" s="1304"/>
      <c r="C376" s="1154"/>
      <c r="D376" s="1154"/>
      <c r="E376" s="1154"/>
      <c r="G376" s="606"/>
      <c r="H376" s="606"/>
      <c r="I376" s="606"/>
      <c r="J376" s="606"/>
      <c r="K376" s="606"/>
    </row>
    <row r="377">
      <c r="A377" s="1665"/>
      <c r="B377" s="1154"/>
      <c r="C377" s="1154"/>
      <c r="D377" s="1154"/>
      <c r="E377" s="1154"/>
      <c r="G377" s="606"/>
      <c r="H377" s="606"/>
      <c r="I377" s="606"/>
      <c r="J377" s="606"/>
      <c r="K377" s="606"/>
    </row>
    <row r="378">
      <c r="A378" s="1665"/>
      <c r="B378" s="1154"/>
      <c r="C378" s="1154"/>
      <c r="D378" s="1154"/>
      <c r="E378" s="1154"/>
      <c r="G378" s="606"/>
      <c r="H378" s="606"/>
      <c r="I378" s="606"/>
      <c r="J378" s="606"/>
      <c r="K378" s="606"/>
    </row>
    <row r="379">
      <c r="A379" s="1665"/>
      <c r="B379" s="1304"/>
      <c r="C379" s="1154"/>
      <c r="D379" s="1154"/>
      <c r="E379" s="1154"/>
      <c r="G379" s="606"/>
      <c r="H379" s="606"/>
      <c r="I379" s="606"/>
      <c r="J379" s="606"/>
      <c r="K379" s="606"/>
    </row>
    <row r="380">
      <c r="A380" s="1665"/>
      <c r="B380" s="1304"/>
      <c r="C380" s="1154"/>
      <c r="D380" s="1154"/>
      <c r="E380" s="1154"/>
      <c r="G380" s="606"/>
      <c r="H380" s="606"/>
      <c r="I380" s="606"/>
      <c r="J380" s="606"/>
      <c r="K380" s="606"/>
    </row>
    <row r="381">
      <c r="A381" s="1665"/>
      <c r="B381" s="1154"/>
      <c r="C381" s="23"/>
      <c r="D381" s="1154"/>
      <c r="E381" s="1154"/>
      <c r="G381" s="606"/>
      <c r="H381" s="606"/>
      <c r="I381" s="606"/>
      <c r="J381" s="606"/>
      <c r="K381" s="606"/>
    </row>
    <row r="382">
      <c r="A382" s="1660"/>
      <c r="B382" s="1154"/>
      <c r="C382" s="23"/>
      <c r="D382" s="1154"/>
      <c r="E382" s="1154"/>
      <c r="G382" s="606"/>
      <c r="H382" s="606"/>
      <c r="I382" s="606"/>
      <c r="J382" s="606"/>
      <c r="K382" s="606"/>
    </row>
    <row r="383">
      <c r="A383" s="1665"/>
      <c r="B383" s="1154"/>
      <c r="C383" s="1154"/>
      <c r="D383" s="1154"/>
      <c r="E383" s="1154"/>
      <c r="G383" s="606"/>
      <c r="H383" s="606"/>
      <c r="I383" s="606"/>
      <c r="J383" s="606"/>
      <c r="K383" s="606"/>
    </row>
    <row r="384">
      <c r="A384" s="1665"/>
      <c r="B384" s="1304"/>
      <c r="C384" s="1154"/>
      <c r="D384" s="1154"/>
      <c r="E384" s="1154"/>
      <c r="G384" s="606"/>
      <c r="H384" s="606"/>
      <c r="I384" s="606"/>
      <c r="J384" s="606"/>
      <c r="K384" s="606"/>
    </row>
    <row r="385">
      <c r="A385" s="1653"/>
      <c r="B385" s="1154"/>
      <c r="C385" s="1154"/>
      <c r="D385" s="1154"/>
      <c r="E385" s="1154"/>
      <c r="G385" s="606"/>
      <c r="H385" s="606"/>
      <c r="I385" s="606"/>
      <c r="J385" s="606"/>
      <c r="K385" s="606"/>
    </row>
    <row r="386">
      <c r="A386" s="1665"/>
      <c r="B386" s="1154"/>
      <c r="C386" s="23"/>
      <c r="D386" s="1154"/>
      <c r="E386" s="1154"/>
      <c r="G386" s="606"/>
      <c r="H386" s="606"/>
      <c r="I386" s="606"/>
      <c r="J386" s="606"/>
      <c r="K386" s="606"/>
    </row>
    <row r="387">
      <c r="A387" s="1665"/>
      <c r="B387" s="1154"/>
      <c r="C387" s="1154"/>
      <c r="D387" s="1154"/>
      <c r="E387" s="1154"/>
      <c r="G387" s="606"/>
      <c r="H387" s="606"/>
      <c r="I387" s="606"/>
      <c r="J387" s="606"/>
      <c r="K387" s="606"/>
    </row>
    <row r="388">
      <c r="A388" s="1665"/>
      <c r="B388" s="1154"/>
      <c r="C388" s="1154"/>
      <c r="D388" s="1154"/>
      <c r="E388" s="1154"/>
      <c r="G388" s="606"/>
      <c r="H388" s="606"/>
      <c r="I388" s="606"/>
      <c r="J388" s="606"/>
      <c r="K388" s="606"/>
    </row>
    <row r="389">
      <c r="A389" s="1665"/>
      <c r="B389" s="1154"/>
      <c r="C389" s="1154"/>
      <c r="D389" s="1154"/>
      <c r="E389" s="1154"/>
      <c r="G389" s="606"/>
      <c r="H389" s="606"/>
      <c r="I389" s="606"/>
      <c r="J389" s="606"/>
      <c r="K389" s="606"/>
    </row>
    <row r="390">
      <c r="A390" s="1665"/>
      <c r="B390" s="1154"/>
      <c r="C390" s="1154"/>
      <c r="D390" s="1154"/>
      <c r="E390" s="1154"/>
      <c r="G390" s="606"/>
      <c r="H390" s="606"/>
      <c r="I390" s="606"/>
      <c r="J390" s="606"/>
      <c r="K390" s="606"/>
    </row>
    <row r="391">
      <c r="A391" s="1665"/>
      <c r="B391" s="1304"/>
      <c r="C391" s="1154"/>
      <c r="D391" s="1154"/>
      <c r="E391" s="1154"/>
      <c r="G391" s="606"/>
      <c r="H391" s="606"/>
      <c r="I391" s="606"/>
      <c r="J391" s="606"/>
      <c r="K391" s="606"/>
    </row>
    <row r="392">
      <c r="A392" s="1665"/>
      <c r="B392" s="1154"/>
      <c r="C392" s="1154"/>
      <c r="D392" s="1154"/>
      <c r="E392" s="1154"/>
      <c r="G392" s="606"/>
      <c r="H392" s="606"/>
      <c r="I392" s="606"/>
      <c r="J392" s="606"/>
      <c r="K392" s="606"/>
    </row>
    <row r="393">
      <c r="A393" s="1665"/>
      <c r="B393" s="1304"/>
      <c r="C393" s="1154"/>
      <c r="D393" s="1154"/>
      <c r="E393" s="1154"/>
      <c r="G393" s="606"/>
      <c r="H393" s="606"/>
      <c r="I393" s="606"/>
      <c r="J393" s="606"/>
      <c r="K393" s="606"/>
    </row>
    <row r="394">
      <c r="A394" s="1665"/>
      <c r="B394" s="1304"/>
      <c r="C394" s="1154"/>
      <c r="D394" s="1154"/>
      <c r="E394" s="1154"/>
      <c r="G394" s="606"/>
      <c r="H394" s="606"/>
      <c r="I394" s="606"/>
      <c r="J394" s="606"/>
      <c r="K394" s="606"/>
    </row>
    <row r="395">
      <c r="A395" s="1665"/>
      <c r="B395" s="1154"/>
      <c r="C395" s="23"/>
      <c r="D395" s="1154"/>
      <c r="E395" s="1154"/>
      <c r="G395" s="606"/>
      <c r="H395" s="606"/>
      <c r="I395" s="606"/>
      <c r="J395" s="606"/>
      <c r="K395" s="606"/>
    </row>
    <row r="396">
      <c r="A396" s="1665"/>
      <c r="B396" s="1154"/>
      <c r="C396" s="1154"/>
      <c r="D396" s="1154"/>
      <c r="E396" s="1154"/>
      <c r="G396" s="606"/>
      <c r="H396" s="606"/>
      <c r="I396" s="606"/>
      <c r="J396" s="606"/>
      <c r="K396" s="606"/>
    </row>
    <row r="397">
      <c r="A397" s="1665"/>
      <c r="B397" s="1154"/>
      <c r="C397" s="1154"/>
      <c r="D397" s="1154"/>
      <c r="E397" s="1154"/>
      <c r="G397" s="606"/>
      <c r="H397" s="606"/>
      <c r="I397" s="606"/>
      <c r="J397" s="606"/>
      <c r="K397" s="606"/>
    </row>
    <row r="398">
      <c r="A398" s="1665"/>
      <c r="B398" s="1154"/>
      <c r="C398" s="1154"/>
      <c r="D398" s="1154"/>
      <c r="E398" s="1154"/>
      <c r="G398" s="606"/>
      <c r="H398" s="606"/>
      <c r="I398" s="606"/>
      <c r="J398" s="606"/>
      <c r="K398" s="606"/>
    </row>
    <row r="399">
      <c r="A399" s="1665"/>
      <c r="B399" s="1154"/>
      <c r="C399" s="23"/>
      <c r="D399" s="1154"/>
      <c r="E399" s="1154"/>
      <c r="G399" s="606"/>
      <c r="H399" s="606"/>
      <c r="I399" s="606"/>
      <c r="J399" s="606"/>
      <c r="K399" s="606"/>
    </row>
    <row r="400">
      <c r="A400" s="1665"/>
      <c r="B400" s="1154"/>
      <c r="C400" s="1154"/>
      <c r="D400" s="1154"/>
      <c r="E400" s="1154"/>
      <c r="G400" s="606"/>
      <c r="H400" s="606"/>
      <c r="I400" s="606"/>
      <c r="J400" s="606"/>
      <c r="K400" s="606"/>
    </row>
    <row r="401">
      <c r="A401" s="1665"/>
      <c r="B401" s="1154"/>
      <c r="C401" s="1154"/>
      <c r="D401" s="1154"/>
      <c r="E401" s="1154"/>
      <c r="G401" s="606"/>
      <c r="H401" s="606"/>
      <c r="I401" s="606"/>
      <c r="J401" s="606"/>
      <c r="K401" s="606"/>
    </row>
    <row r="402">
      <c r="A402" s="1665"/>
      <c r="B402" s="1154"/>
      <c r="C402" s="1154"/>
      <c r="D402" s="1154"/>
      <c r="E402" s="1154"/>
      <c r="G402" s="606"/>
      <c r="H402" s="606"/>
      <c r="I402" s="606"/>
      <c r="J402" s="606"/>
      <c r="K402" s="606"/>
    </row>
    <row r="403">
      <c r="A403" s="1665"/>
      <c r="B403" s="1154"/>
      <c r="C403" s="1154"/>
      <c r="D403" s="1154"/>
      <c r="E403" s="1154"/>
      <c r="G403" s="606"/>
      <c r="H403" s="606"/>
      <c r="I403" s="606"/>
      <c r="J403" s="606"/>
      <c r="K403" s="606"/>
    </row>
    <row r="404">
      <c r="A404" s="1665"/>
      <c r="B404" s="1154"/>
      <c r="C404" s="1154"/>
      <c r="D404" s="1154"/>
      <c r="E404" s="1154"/>
      <c r="G404" s="606"/>
      <c r="H404" s="606"/>
      <c r="I404" s="606"/>
      <c r="J404" s="606"/>
      <c r="K404" s="606"/>
    </row>
    <row r="405">
      <c r="A405" s="1665"/>
      <c r="B405" s="1154"/>
      <c r="C405" s="1154"/>
      <c r="D405" s="1154"/>
      <c r="E405" s="1154"/>
      <c r="G405" s="606"/>
      <c r="H405" s="606"/>
      <c r="I405" s="606"/>
      <c r="J405" s="606"/>
      <c r="K405" s="606"/>
    </row>
    <row r="406">
      <c r="A406" s="1665"/>
      <c r="B406" s="1154"/>
      <c r="C406" s="1154"/>
      <c r="D406" s="1154"/>
      <c r="E406" s="1154"/>
      <c r="G406" s="606"/>
      <c r="H406" s="606"/>
      <c r="I406" s="606"/>
      <c r="J406" s="606"/>
      <c r="K406" s="606"/>
    </row>
    <row r="407">
      <c r="A407" s="1653"/>
      <c r="B407" s="1154"/>
      <c r="C407" s="1154"/>
      <c r="D407" s="1154"/>
      <c r="E407" s="1154"/>
      <c r="G407" s="606"/>
      <c r="H407" s="606"/>
      <c r="I407" s="606"/>
      <c r="J407" s="606"/>
      <c r="K407" s="606"/>
    </row>
    <row r="408">
      <c r="A408" s="1665"/>
      <c r="B408" s="1154"/>
      <c r="C408" s="1154"/>
      <c r="D408" s="1154"/>
      <c r="E408" s="1154"/>
      <c r="G408" s="606"/>
      <c r="H408" s="606"/>
      <c r="I408" s="606"/>
      <c r="J408" s="606"/>
      <c r="K408" s="606"/>
    </row>
    <row r="409">
      <c r="A409" s="1665"/>
      <c r="B409" s="1154"/>
      <c r="C409" s="23"/>
      <c r="D409" s="1154"/>
      <c r="E409" s="1154"/>
      <c r="G409" s="606"/>
      <c r="H409" s="606"/>
      <c r="I409" s="606"/>
      <c r="J409" s="606"/>
      <c r="K409" s="606"/>
    </row>
    <row r="410">
      <c r="A410" s="1665"/>
      <c r="B410" s="1154"/>
      <c r="C410" s="1154"/>
      <c r="D410" s="1154"/>
      <c r="E410" s="1154"/>
      <c r="G410" s="606"/>
      <c r="H410" s="606"/>
      <c r="I410" s="606"/>
      <c r="J410" s="606"/>
      <c r="K410" s="606"/>
    </row>
    <row r="411">
      <c r="A411" s="1665"/>
      <c r="B411" s="1154"/>
      <c r="C411" s="1154"/>
      <c r="D411" s="1154"/>
      <c r="E411" s="1154"/>
      <c r="G411" s="606"/>
      <c r="H411" s="606"/>
      <c r="I411" s="606"/>
      <c r="J411" s="606"/>
      <c r="K411" s="606"/>
    </row>
    <row r="412">
      <c r="A412" s="1665"/>
      <c r="B412" s="1304"/>
      <c r="C412" s="1154"/>
      <c r="D412" s="1154"/>
      <c r="E412" s="1154"/>
      <c r="G412" s="606"/>
      <c r="H412" s="606"/>
      <c r="I412" s="606"/>
      <c r="J412" s="606"/>
      <c r="K412" s="606"/>
    </row>
    <row r="413">
      <c r="A413" s="1665"/>
      <c r="B413" s="1154"/>
      <c r="C413" s="1154"/>
      <c r="D413" s="1154"/>
      <c r="E413" s="1154"/>
      <c r="G413" s="606"/>
      <c r="H413" s="606"/>
      <c r="I413" s="606"/>
      <c r="J413" s="606"/>
      <c r="K413" s="606"/>
    </row>
    <row r="414">
      <c r="A414" s="1665"/>
      <c r="B414" s="1154"/>
      <c r="C414" s="1154"/>
      <c r="D414" s="1154"/>
      <c r="E414" s="1154"/>
      <c r="G414" s="606"/>
      <c r="H414" s="606"/>
      <c r="I414" s="606"/>
      <c r="J414" s="606"/>
      <c r="K414" s="606"/>
    </row>
    <row r="415">
      <c r="A415" s="1665"/>
      <c r="B415" s="1154"/>
      <c r="C415" s="1154"/>
      <c r="D415" s="1154"/>
      <c r="E415" s="1154"/>
      <c r="G415" s="606"/>
      <c r="H415" s="606"/>
      <c r="I415" s="606"/>
      <c r="J415" s="606"/>
      <c r="K415" s="606"/>
    </row>
    <row r="416">
      <c r="A416" s="1665"/>
      <c r="B416" s="1154"/>
      <c r="C416" s="1154"/>
      <c r="D416" s="1154"/>
      <c r="E416" s="1154"/>
      <c r="G416" s="606"/>
      <c r="H416" s="606"/>
      <c r="I416" s="606"/>
      <c r="J416" s="606"/>
      <c r="K416" s="606"/>
    </row>
    <row r="417">
      <c r="A417" s="1665"/>
      <c r="B417" s="1154"/>
      <c r="C417" s="1154"/>
      <c r="D417" s="1154"/>
      <c r="E417" s="1154"/>
      <c r="G417" s="606"/>
      <c r="H417" s="606"/>
      <c r="I417" s="606"/>
      <c r="J417" s="606"/>
      <c r="K417" s="606"/>
    </row>
    <row r="418">
      <c r="A418" s="1653"/>
      <c r="B418" s="1154"/>
      <c r="C418" s="1154"/>
      <c r="D418" s="1154"/>
      <c r="E418" s="1154"/>
      <c r="G418" s="606"/>
      <c r="H418" s="606"/>
      <c r="I418" s="606"/>
      <c r="J418" s="606"/>
      <c r="K418" s="606"/>
    </row>
    <row r="419">
      <c r="A419" s="1665"/>
      <c r="B419" s="1154"/>
      <c r="C419" s="23"/>
      <c r="D419" s="1154"/>
      <c r="E419" s="1154"/>
      <c r="G419" s="606"/>
      <c r="H419" s="606"/>
      <c r="I419" s="606"/>
      <c r="J419" s="606"/>
      <c r="K419" s="606"/>
    </row>
    <row r="420">
      <c r="A420" s="1665"/>
      <c r="B420" s="1154"/>
      <c r="C420" s="1154"/>
      <c r="D420" s="1154"/>
      <c r="E420" s="1154"/>
      <c r="G420" s="606"/>
      <c r="H420" s="606"/>
      <c r="I420" s="606"/>
      <c r="J420" s="606"/>
      <c r="K420" s="606"/>
    </row>
    <row r="421">
      <c r="A421" s="1665"/>
      <c r="B421" s="1154"/>
      <c r="C421" s="1154"/>
      <c r="D421" s="1154"/>
      <c r="E421" s="1154"/>
      <c r="G421" s="606"/>
      <c r="H421" s="606"/>
      <c r="I421" s="606"/>
      <c r="J421" s="606"/>
      <c r="K421" s="606"/>
    </row>
    <row r="422">
      <c r="A422" s="1665"/>
      <c r="B422" s="1154"/>
      <c r="C422" s="1154"/>
      <c r="D422" s="1154"/>
      <c r="E422" s="1154"/>
      <c r="G422" s="606"/>
      <c r="H422" s="606"/>
      <c r="I422" s="606"/>
      <c r="J422" s="606"/>
      <c r="K422" s="606"/>
    </row>
    <row r="423">
      <c r="A423" s="1665"/>
      <c r="B423" s="1154"/>
      <c r="C423" s="1154"/>
      <c r="D423" s="1154"/>
      <c r="E423" s="1154"/>
      <c r="G423" s="606"/>
      <c r="H423" s="606"/>
      <c r="I423" s="606"/>
      <c r="J423" s="606"/>
      <c r="K423" s="606"/>
    </row>
    <row r="424">
      <c r="A424" s="1665"/>
      <c r="B424" s="1154"/>
      <c r="C424" s="23"/>
      <c r="D424" s="1154"/>
      <c r="E424" s="1154"/>
      <c r="G424" s="606"/>
      <c r="H424" s="606"/>
      <c r="I424" s="606"/>
      <c r="J424" s="606"/>
      <c r="K424" s="606"/>
    </row>
    <row r="425">
      <c r="A425" s="1665"/>
      <c r="B425" s="1154"/>
      <c r="C425" s="1154"/>
      <c r="D425" s="1154"/>
      <c r="E425" s="1154"/>
      <c r="G425" s="606"/>
      <c r="H425" s="606"/>
      <c r="I425" s="606"/>
      <c r="J425" s="606"/>
      <c r="K425" s="606"/>
    </row>
    <row r="426">
      <c r="A426" s="1665"/>
      <c r="B426" s="1154"/>
      <c r="C426" s="1154"/>
      <c r="D426" s="1154"/>
      <c r="E426" s="1154"/>
      <c r="G426" s="606"/>
      <c r="H426" s="606"/>
      <c r="I426" s="606"/>
      <c r="J426" s="606"/>
      <c r="K426" s="606"/>
    </row>
    <row r="427">
      <c r="A427" s="1665"/>
      <c r="B427" s="1154"/>
      <c r="C427" s="1154"/>
      <c r="D427" s="1154"/>
      <c r="E427" s="1154"/>
      <c r="G427" s="606"/>
      <c r="H427" s="606"/>
      <c r="I427" s="606"/>
      <c r="J427" s="606"/>
      <c r="K427" s="606"/>
    </row>
    <row r="428">
      <c r="A428" s="1665"/>
      <c r="B428" s="1154"/>
      <c r="C428" s="1154"/>
      <c r="D428" s="1154"/>
      <c r="E428" s="1154"/>
      <c r="G428" s="606"/>
      <c r="H428" s="606"/>
      <c r="I428" s="606"/>
      <c r="J428" s="606"/>
      <c r="K428" s="606"/>
    </row>
    <row r="429">
      <c r="A429" s="1665"/>
      <c r="B429" s="1154"/>
      <c r="C429" s="1154"/>
      <c r="D429" s="1154"/>
      <c r="E429" s="1154"/>
      <c r="G429" s="606"/>
      <c r="H429" s="606"/>
      <c r="I429" s="606"/>
      <c r="J429" s="606"/>
      <c r="K429" s="606"/>
    </row>
    <row r="430">
      <c r="A430" s="1653"/>
      <c r="B430" s="1154"/>
      <c r="C430" s="1154"/>
      <c r="D430" s="1154"/>
      <c r="E430" s="1154"/>
      <c r="G430" s="606"/>
      <c r="H430" s="606"/>
      <c r="I430" s="606"/>
      <c r="J430" s="606"/>
      <c r="K430" s="606"/>
    </row>
    <row r="431">
      <c r="A431" s="1665"/>
      <c r="B431" s="1154"/>
      <c r="C431" s="1154"/>
      <c r="D431" s="1154"/>
      <c r="E431" s="1154"/>
      <c r="G431" s="606"/>
      <c r="H431" s="606"/>
      <c r="I431" s="606"/>
      <c r="J431" s="606"/>
      <c r="K431" s="606"/>
    </row>
    <row r="432">
      <c r="A432" s="1665"/>
      <c r="B432" s="1154"/>
      <c r="C432" s="1154"/>
      <c r="D432" s="1154"/>
      <c r="E432" s="1154"/>
      <c r="G432" s="606"/>
      <c r="H432" s="606"/>
      <c r="I432" s="606"/>
      <c r="J432" s="606"/>
      <c r="K432" s="606"/>
    </row>
    <row r="433">
      <c r="A433" s="1665"/>
      <c r="B433" s="1154"/>
      <c r="C433" s="1154"/>
      <c r="D433" s="1154"/>
      <c r="E433" s="1154"/>
      <c r="G433" s="606"/>
      <c r="H433" s="606"/>
      <c r="I433" s="606"/>
      <c r="J433" s="606"/>
      <c r="K433" s="606"/>
    </row>
    <row r="434">
      <c r="A434" s="1665"/>
      <c r="B434" s="1154"/>
      <c r="C434" s="1154"/>
      <c r="D434" s="1154"/>
      <c r="E434" s="1154"/>
      <c r="G434" s="606"/>
      <c r="H434" s="606"/>
      <c r="I434" s="606"/>
      <c r="J434" s="606"/>
      <c r="K434" s="606"/>
    </row>
    <row r="435">
      <c r="A435" s="1665"/>
      <c r="B435" s="1154"/>
      <c r="C435" s="23"/>
      <c r="D435" s="1154"/>
      <c r="E435" s="1154"/>
      <c r="G435" s="606"/>
      <c r="H435" s="606"/>
      <c r="I435" s="606"/>
      <c r="J435" s="606"/>
      <c r="K435" s="606"/>
    </row>
    <row r="436">
      <c r="A436" s="1665"/>
      <c r="B436" s="1154"/>
      <c r="C436" s="1154"/>
      <c r="D436" s="1154"/>
      <c r="E436" s="1154"/>
      <c r="G436" s="606"/>
      <c r="H436" s="606"/>
      <c r="I436" s="606"/>
      <c r="J436" s="606"/>
      <c r="K436" s="606"/>
    </row>
    <row r="437">
      <c r="A437" s="1665"/>
      <c r="B437" s="1154"/>
      <c r="C437" s="23"/>
      <c r="D437" s="1154"/>
      <c r="E437" s="1154"/>
      <c r="G437" s="606"/>
      <c r="H437" s="606"/>
      <c r="I437" s="606"/>
      <c r="J437" s="606"/>
      <c r="K437" s="606"/>
    </row>
    <row r="438">
      <c r="A438" s="1665"/>
      <c r="B438" s="1304"/>
      <c r="C438" s="1154"/>
      <c r="D438" s="1154"/>
      <c r="E438" s="1154"/>
      <c r="G438" s="606"/>
      <c r="H438" s="606"/>
      <c r="I438" s="606"/>
      <c r="J438" s="606"/>
      <c r="K438" s="606"/>
    </row>
    <row r="439">
      <c r="A439" s="1665"/>
      <c r="B439" s="1154"/>
      <c r="C439" s="1154"/>
      <c r="D439" s="1154"/>
      <c r="E439" s="1154"/>
      <c r="G439" s="606"/>
      <c r="H439" s="606"/>
      <c r="I439" s="606"/>
      <c r="J439" s="606"/>
      <c r="K439" s="606"/>
    </row>
    <row r="440">
      <c r="A440" s="1665"/>
      <c r="B440" s="1154"/>
      <c r="C440" s="1154"/>
      <c r="D440" s="1154"/>
      <c r="E440" s="1154"/>
      <c r="G440" s="606"/>
      <c r="H440" s="606"/>
      <c r="I440" s="606"/>
      <c r="J440" s="606"/>
      <c r="K440" s="606"/>
    </row>
    <row r="441">
      <c r="A441" s="1665"/>
      <c r="B441" s="1154"/>
      <c r="C441" s="1154"/>
      <c r="D441" s="1154"/>
      <c r="E441" s="1154"/>
      <c r="G441" s="606"/>
      <c r="H441" s="606"/>
      <c r="I441" s="606"/>
      <c r="J441" s="606"/>
      <c r="K441" s="606"/>
    </row>
    <row r="442">
      <c r="A442" s="1665"/>
      <c r="B442" s="1154"/>
      <c r="C442" s="1154"/>
      <c r="D442" s="1154"/>
      <c r="E442" s="1154"/>
      <c r="G442" s="606"/>
      <c r="H442" s="606"/>
      <c r="I442" s="606"/>
      <c r="J442" s="606"/>
      <c r="K442" s="606"/>
    </row>
    <row r="443">
      <c r="A443" s="1665"/>
      <c r="B443" s="1154"/>
      <c r="C443" s="1154"/>
      <c r="D443" s="1154"/>
      <c r="E443" s="1154"/>
      <c r="G443" s="606"/>
      <c r="H443" s="606"/>
      <c r="I443" s="606"/>
      <c r="J443" s="606"/>
      <c r="K443" s="606"/>
    </row>
    <row r="444">
      <c r="A444" s="1665"/>
      <c r="B444" s="1154"/>
      <c r="C444" s="23"/>
      <c r="D444" s="1154"/>
      <c r="E444" s="1154"/>
      <c r="G444" s="606"/>
      <c r="H444" s="606"/>
      <c r="I444" s="606"/>
      <c r="J444" s="606"/>
      <c r="K444" s="606"/>
    </row>
    <row r="445">
      <c r="A445" s="1665"/>
      <c r="B445" s="1154"/>
      <c r="C445" s="1154"/>
      <c r="D445" s="1154"/>
      <c r="E445" s="1154"/>
      <c r="G445" s="606"/>
      <c r="H445" s="606"/>
      <c r="I445" s="606"/>
      <c r="J445" s="606"/>
      <c r="K445" s="606"/>
    </row>
    <row r="446">
      <c r="A446" s="1665"/>
      <c r="B446" s="1154"/>
      <c r="C446" s="1154"/>
      <c r="D446" s="1154"/>
      <c r="E446" s="1154"/>
      <c r="G446" s="606"/>
      <c r="H446" s="606"/>
      <c r="I446" s="606"/>
      <c r="J446" s="606"/>
      <c r="K446" s="606"/>
    </row>
    <row r="447">
      <c r="A447" s="1653"/>
      <c r="B447" s="1304"/>
      <c r="C447" s="1154"/>
      <c r="D447" s="1154"/>
      <c r="E447" s="1154"/>
      <c r="G447" s="606"/>
      <c r="H447" s="606"/>
      <c r="I447" s="606"/>
      <c r="J447" s="606"/>
      <c r="K447" s="606"/>
    </row>
    <row r="448">
      <c r="A448" s="1665"/>
      <c r="B448" s="1154"/>
      <c r="C448" s="1154"/>
      <c r="D448" s="1154"/>
      <c r="E448" s="1154"/>
      <c r="G448" s="606"/>
      <c r="H448" s="606"/>
      <c r="I448" s="606"/>
      <c r="J448" s="606"/>
      <c r="K448" s="606"/>
    </row>
    <row r="449">
      <c r="A449" s="1665"/>
      <c r="B449" s="1154"/>
      <c r="C449" s="1154"/>
      <c r="D449" s="1154"/>
      <c r="E449" s="1154"/>
      <c r="G449" s="606"/>
      <c r="H449" s="606"/>
      <c r="I449" s="606"/>
      <c r="J449" s="606"/>
      <c r="K449" s="606"/>
    </row>
    <row r="450">
      <c r="A450" s="1665"/>
      <c r="B450" s="1304"/>
      <c r="C450" s="23"/>
      <c r="D450" s="1154"/>
      <c r="E450" s="1154"/>
      <c r="G450" s="606"/>
      <c r="H450" s="606"/>
      <c r="I450" s="606"/>
      <c r="J450" s="606"/>
      <c r="K450" s="606"/>
    </row>
    <row r="451">
      <c r="A451" s="1665"/>
      <c r="B451" s="1154"/>
      <c r="C451" s="1154"/>
      <c r="D451" s="1154"/>
      <c r="E451" s="1154"/>
      <c r="G451" s="606"/>
      <c r="H451" s="606"/>
      <c r="I451" s="606"/>
      <c r="J451" s="606"/>
      <c r="K451" s="606"/>
    </row>
    <row r="452">
      <c r="A452" s="1653"/>
      <c r="B452" s="1154"/>
      <c r="C452" s="1154"/>
      <c r="D452" s="1154"/>
      <c r="E452" s="1154"/>
      <c r="G452" s="606"/>
      <c r="H452" s="606"/>
      <c r="I452" s="606"/>
      <c r="J452" s="606"/>
      <c r="K452" s="606"/>
    </row>
    <row r="453">
      <c r="A453" s="1665"/>
      <c r="B453" s="1154"/>
      <c r="C453" s="1154"/>
      <c r="D453" s="1154"/>
      <c r="E453" s="1154"/>
      <c r="G453" s="606"/>
      <c r="H453" s="606"/>
      <c r="I453" s="606"/>
      <c r="J453" s="606"/>
      <c r="K453" s="606"/>
    </row>
    <row r="454">
      <c r="A454" s="1665"/>
      <c r="B454" s="1154"/>
      <c r="C454" s="1154"/>
      <c r="D454" s="1154"/>
      <c r="E454" s="1154"/>
      <c r="G454" s="606"/>
      <c r="H454" s="606"/>
      <c r="I454" s="606"/>
      <c r="J454" s="606"/>
      <c r="K454" s="606"/>
    </row>
    <row r="455">
      <c r="A455" s="1665"/>
      <c r="B455" s="1154"/>
      <c r="C455" s="23"/>
      <c r="D455" s="1154"/>
      <c r="E455" s="1154"/>
      <c r="G455" s="606"/>
      <c r="H455" s="606"/>
      <c r="I455" s="606"/>
      <c r="J455" s="606"/>
      <c r="K455" s="606"/>
    </row>
    <row r="456">
      <c r="A456" s="1665"/>
      <c r="B456" s="1154"/>
      <c r="C456" s="1154"/>
      <c r="D456" s="1154"/>
      <c r="E456" s="1154"/>
      <c r="G456" s="606"/>
      <c r="H456" s="606"/>
      <c r="I456" s="606"/>
      <c r="J456" s="606"/>
      <c r="K456" s="606"/>
    </row>
    <row r="457">
      <c r="A457" s="1665"/>
      <c r="B457" s="1154"/>
      <c r="C457" s="1154"/>
      <c r="D457" s="1154"/>
      <c r="E457" s="1154"/>
      <c r="G457" s="606"/>
      <c r="H457" s="606"/>
      <c r="I457" s="606"/>
      <c r="J457" s="606"/>
      <c r="K457" s="606"/>
    </row>
    <row r="458">
      <c r="A458" s="1665"/>
      <c r="B458" s="1154"/>
      <c r="C458" s="1154"/>
      <c r="D458" s="1154"/>
      <c r="E458" s="1154"/>
      <c r="G458" s="606"/>
      <c r="H458" s="606"/>
      <c r="I458" s="606"/>
      <c r="J458" s="606"/>
      <c r="K458" s="606"/>
    </row>
    <row r="459">
      <c r="A459" s="1653"/>
      <c r="B459" s="1154"/>
      <c r="C459" s="1154"/>
      <c r="D459" s="1154"/>
      <c r="E459" s="1154"/>
      <c r="G459" s="606"/>
      <c r="H459" s="606"/>
      <c r="I459" s="606"/>
      <c r="J459" s="606"/>
      <c r="K459" s="606"/>
    </row>
    <row r="460">
      <c r="A460" s="1665"/>
      <c r="B460" s="1154"/>
      <c r="C460" s="1154"/>
      <c r="D460" s="1154"/>
      <c r="E460" s="1154"/>
      <c r="G460" s="606"/>
      <c r="H460" s="606"/>
      <c r="I460" s="606"/>
      <c r="J460" s="606"/>
      <c r="K460" s="606"/>
    </row>
    <row r="461">
      <c r="A461" s="1665"/>
      <c r="B461" s="1154"/>
      <c r="C461" s="1154"/>
      <c r="D461" s="1154"/>
      <c r="E461" s="1154"/>
      <c r="G461" s="606"/>
      <c r="H461" s="606"/>
      <c r="I461" s="606"/>
      <c r="J461" s="606"/>
      <c r="K461" s="606"/>
    </row>
    <row r="462">
      <c r="A462" s="1665"/>
      <c r="B462" s="1154"/>
      <c r="C462" s="1154"/>
      <c r="D462" s="1154"/>
      <c r="E462" s="1154"/>
      <c r="G462" s="606"/>
      <c r="H462" s="606"/>
      <c r="I462" s="606"/>
      <c r="J462" s="606"/>
      <c r="K462" s="606"/>
    </row>
    <row r="463">
      <c r="A463" s="1665"/>
      <c r="B463" s="1154"/>
      <c r="C463" s="1154"/>
      <c r="D463" s="1154"/>
      <c r="E463" s="1154"/>
      <c r="G463" s="606"/>
      <c r="H463" s="606"/>
      <c r="I463" s="606"/>
      <c r="J463" s="606"/>
      <c r="K463" s="606"/>
    </row>
    <row r="464">
      <c r="A464" s="1665"/>
      <c r="B464" s="1154"/>
      <c r="C464" s="1154"/>
      <c r="D464" s="1154"/>
      <c r="E464" s="1154"/>
      <c r="G464" s="606"/>
      <c r="H464" s="606"/>
      <c r="I464" s="606"/>
      <c r="J464" s="606"/>
      <c r="K464" s="606"/>
    </row>
    <row r="465">
      <c r="A465" s="1665"/>
      <c r="B465" s="1154"/>
      <c r="C465" s="1154"/>
      <c r="D465" s="1154"/>
      <c r="E465" s="1154"/>
      <c r="G465" s="606"/>
      <c r="H465" s="606"/>
      <c r="I465" s="606"/>
      <c r="J465" s="606"/>
      <c r="K465" s="606"/>
    </row>
    <row r="466">
      <c r="A466" s="1665"/>
      <c r="B466" s="1154"/>
      <c r="C466" s="23"/>
      <c r="D466" s="1154"/>
      <c r="E466" s="1154"/>
      <c r="G466" s="606"/>
      <c r="H466" s="606"/>
      <c r="I466" s="606"/>
      <c r="J466" s="606"/>
      <c r="K466" s="606"/>
    </row>
    <row r="467">
      <c r="A467" s="1665"/>
      <c r="B467" s="1154"/>
      <c r="C467" s="1154"/>
      <c r="D467" s="1154"/>
      <c r="E467" s="1154"/>
      <c r="G467" s="606"/>
      <c r="H467" s="606"/>
      <c r="I467" s="606"/>
      <c r="J467" s="606"/>
      <c r="K467" s="606"/>
    </row>
    <row r="468">
      <c r="A468" s="1665"/>
      <c r="B468" s="1154"/>
      <c r="C468" s="1154"/>
      <c r="D468" s="1154"/>
      <c r="E468" s="1154"/>
      <c r="G468" s="606"/>
      <c r="H468" s="606"/>
      <c r="I468" s="606"/>
      <c r="J468" s="606"/>
      <c r="K468" s="606"/>
    </row>
    <row r="469">
      <c r="A469" s="1665"/>
      <c r="B469" s="1154"/>
      <c r="C469" s="1154"/>
      <c r="D469" s="1154"/>
      <c r="E469" s="1154"/>
      <c r="G469" s="606"/>
      <c r="H469" s="606"/>
      <c r="I469" s="606"/>
      <c r="J469" s="606"/>
      <c r="K469" s="606"/>
    </row>
    <row r="470">
      <c r="A470" s="1665"/>
      <c r="B470" s="1304"/>
      <c r="C470" s="1154"/>
      <c r="D470" s="1154"/>
      <c r="E470" s="1154"/>
      <c r="G470" s="606"/>
      <c r="H470" s="606"/>
      <c r="I470" s="606"/>
      <c r="J470" s="606"/>
      <c r="K470" s="606"/>
    </row>
    <row r="471">
      <c r="A471" s="1665"/>
      <c r="B471" s="1154"/>
      <c r="C471" s="1154"/>
      <c r="D471" s="1154"/>
      <c r="E471" s="1154"/>
      <c r="G471" s="606"/>
      <c r="H471" s="606"/>
      <c r="I471" s="606"/>
      <c r="J471" s="606"/>
      <c r="K471" s="606"/>
    </row>
    <row r="472">
      <c r="A472" s="1653"/>
      <c r="B472" s="1154"/>
      <c r="C472" s="1154"/>
      <c r="D472" s="1154"/>
      <c r="E472" s="1154"/>
      <c r="G472" s="606"/>
      <c r="H472" s="606"/>
      <c r="I472" s="606"/>
      <c r="J472" s="606"/>
      <c r="K472" s="606"/>
    </row>
    <row r="473">
      <c r="A473" s="1665"/>
      <c r="B473" s="1154"/>
      <c r="C473" s="1154"/>
      <c r="D473" s="1154"/>
      <c r="E473" s="1154"/>
      <c r="G473" s="606"/>
      <c r="H473" s="606"/>
      <c r="I473" s="606"/>
      <c r="J473" s="606"/>
      <c r="K473" s="606"/>
    </row>
    <row r="474">
      <c r="A474" s="1665"/>
      <c r="B474" s="1154"/>
      <c r="C474" s="1154"/>
      <c r="D474" s="1154"/>
      <c r="E474" s="1154"/>
      <c r="G474" s="606"/>
      <c r="H474" s="606"/>
      <c r="I474" s="606"/>
      <c r="J474" s="606"/>
      <c r="K474" s="606"/>
    </row>
    <row r="475">
      <c r="A475" s="1665"/>
      <c r="B475" s="1154"/>
      <c r="C475" s="23"/>
      <c r="D475" s="1154"/>
      <c r="E475" s="1154"/>
      <c r="G475" s="606"/>
      <c r="H475" s="606"/>
      <c r="I475" s="606"/>
      <c r="J475" s="606"/>
      <c r="K475" s="606"/>
    </row>
    <row r="476">
      <c r="A476" s="1665"/>
      <c r="B476" s="1154"/>
      <c r="C476" s="1154"/>
      <c r="D476" s="1154"/>
      <c r="E476" s="1154"/>
      <c r="G476" s="606"/>
      <c r="H476" s="606"/>
      <c r="I476" s="606"/>
      <c r="J476" s="606"/>
      <c r="K476" s="606"/>
    </row>
    <row r="477">
      <c r="A477" s="1665"/>
      <c r="B477" s="1154"/>
      <c r="C477" s="1154"/>
      <c r="D477" s="1154"/>
      <c r="E477" s="1154"/>
      <c r="G477" s="606"/>
      <c r="H477" s="606"/>
      <c r="I477" s="606"/>
      <c r="J477" s="606"/>
      <c r="K477" s="606"/>
    </row>
    <row r="478">
      <c r="A478" s="1665"/>
      <c r="B478" s="1154"/>
      <c r="C478" s="1154"/>
      <c r="D478" s="1154"/>
      <c r="E478" s="1154"/>
      <c r="G478" s="606"/>
      <c r="H478" s="606"/>
      <c r="I478" s="606"/>
      <c r="J478" s="606"/>
      <c r="K478" s="606"/>
    </row>
    <row r="479">
      <c r="A479" s="1665"/>
      <c r="B479" s="1154"/>
      <c r="C479" s="1154"/>
      <c r="D479" s="1154"/>
      <c r="E479" s="1154"/>
      <c r="G479" s="606"/>
      <c r="H479" s="606"/>
      <c r="I479" s="606"/>
      <c r="J479" s="606"/>
      <c r="K479" s="606"/>
    </row>
    <row r="480">
      <c r="A480" s="1665"/>
      <c r="B480" s="1154"/>
      <c r="C480" s="1154"/>
      <c r="D480" s="1154"/>
      <c r="E480" s="1154"/>
      <c r="G480" s="606"/>
      <c r="H480" s="606"/>
      <c r="I480" s="606"/>
      <c r="J480" s="606"/>
      <c r="K480" s="606"/>
    </row>
    <row r="481">
      <c r="A481" s="1665"/>
      <c r="B481" s="1154"/>
      <c r="C481" s="1154"/>
      <c r="D481" s="1154"/>
      <c r="E481" s="1154"/>
      <c r="G481" s="606"/>
      <c r="H481" s="606"/>
      <c r="I481" s="606"/>
      <c r="J481" s="606"/>
      <c r="K481" s="606"/>
    </row>
    <row r="482">
      <c r="A482" s="1665"/>
      <c r="B482" s="1154"/>
      <c r="C482" s="1154"/>
      <c r="D482" s="1154"/>
      <c r="E482" s="1154"/>
      <c r="G482" s="606"/>
      <c r="H482" s="606"/>
      <c r="I482" s="606"/>
      <c r="J482" s="606"/>
      <c r="K482" s="606"/>
    </row>
    <row r="483">
      <c r="A483" s="1665"/>
      <c r="B483" s="1154"/>
      <c r="C483" s="23"/>
      <c r="D483" s="1154"/>
      <c r="E483" s="1154"/>
      <c r="G483" s="606"/>
      <c r="H483" s="606"/>
      <c r="I483" s="606"/>
      <c r="J483" s="606"/>
      <c r="K483" s="606"/>
    </row>
    <row r="484">
      <c r="A484" s="1665"/>
      <c r="B484" s="1154"/>
      <c r="C484" s="1154"/>
      <c r="D484" s="1154"/>
      <c r="E484" s="1154"/>
      <c r="G484" s="606"/>
      <c r="H484" s="606"/>
      <c r="I484" s="606"/>
      <c r="J484" s="606"/>
      <c r="K484" s="606"/>
    </row>
    <row r="485">
      <c r="A485" s="1665"/>
      <c r="B485" s="1304"/>
      <c r="C485" s="1154"/>
      <c r="D485" s="1154"/>
      <c r="E485" s="1154"/>
      <c r="G485" s="606"/>
      <c r="H485" s="606"/>
      <c r="I485" s="606"/>
      <c r="J485" s="606"/>
      <c r="K485" s="606"/>
    </row>
    <row r="486">
      <c r="A486" s="1665"/>
      <c r="B486" s="1154"/>
      <c r="C486" s="1154"/>
      <c r="D486" s="1154"/>
      <c r="E486" s="1154"/>
      <c r="G486" s="606"/>
      <c r="H486" s="606"/>
      <c r="I486" s="606"/>
      <c r="J486" s="606"/>
      <c r="K486" s="606"/>
    </row>
    <row r="487">
      <c r="A487" s="1665"/>
      <c r="B487" s="1154"/>
      <c r="C487" s="1154"/>
      <c r="D487" s="1154"/>
      <c r="E487" s="1154"/>
      <c r="G487" s="606"/>
      <c r="H487" s="606"/>
      <c r="I487" s="606"/>
      <c r="J487" s="606"/>
      <c r="K487" s="606"/>
    </row>
    <row r="488">
      <c r="A488" s="1665"/>
      <c r="B488" s="1154"/>
      <c r="C488" s="23"/>
      <c r="D488" s="1154"/>
      <c r="E488" s="1154"/>
      <c r="G488" s="606"/>
      <c r="H488" s="606"/>
      <c r="I488" s="606"/>
      <c r="J488" s="606"/>
      <c r="K488" s="606"/>
    </row>
    <row r="489">
      <c r="A489" s="1665"/>
      <c r="B489" s="1304"/>
      <c r="C489" s="1154"/>
      <c r="D489" s="1154"/>
      <c r="E489" s="1154"/>
      <c r="G489" s="606"/>
      <c r="H489" s="606"/>
      <c r="I489" s="606"/>
      <c r="J489" s="606"/>
      <c r="K489" s="606"/>
    </row>
    <row r="490">
      <c r="A490" s="1665"/>
      <c r="B490" s="1154"/>
      <c r="C490" s="1154"/>
      <c r="D490" s="1154"/>
      <c r="E490" s="1154"/>
      <c r="G490" s="606"/>
      <c r="H490" s="606"/>
      <c r="I490" s="606"/>
      <c r="J490" s="606"/>
      <c r="K490" s="606"/>
    </row>
    <row r="491">
      <c r="A491" s="1665"/>
      <c r="B491" s="1154"/>
      <c r="C491" s="1154"/>
      <c r="D491" s="1154"/>
      <c r="E491" s="1154"/>
      <c r="G491" s="606"/>
      <c r="H491" s="606"/>
      <c r="I491" s="606"/>
      <c r="J491" s="606"/>
      <c r="K491" s="606"/>
    </row>
    <row r="492">
      <c r="A492" s="1665"/>
      <c r="B492" s="1154"/>
      <c r="C492" s="1154"/>
      <c r="D492" s="1154"/>
      <c r="E492" s="1154"/>
      <c r="G492" s="606"/>
      <c r="H492" s="606"/>
      <c r="I492" s="606"/>
      <c r="J492" s="606"/>
      <c r="K492" s="606"/>
    </row>
    <row r="493">
      <c r="A493" s="1665"/>
      <c r="B493" s="1154"/>
      <c r="C493" s="1154"/>
      <c r="D493" s="1154"/>
      <c r="E493" s="1154"/>
      <c r="G493" s="606"/>
      <c r="H493" s="606"/>
      <c r="I493" s="606"/>
      <c r="J493" s="606"/>
      <c r="K493" s="606"/>
    </row>
    <row r="494">
      <c r="A494" s="1665"/>
      <c r="B494" s="1154"/>
      <c r="C494" s="23"/>
      <c r="D494" s="1154"/>
      <c r="E494" s="1154"/>
      <c r="G494" s="606"/>
      <c r="H494" s="606"/>
      <c r="I494" s="606"/>
      <c r="J494" s="606"/>
      <c r="K494" s="606"/>
    </row>
    <row r="495">
      <c r="A495" s="1665"/>
      <c r="B495" s="1154"/>
      <c r="C495" s="1154"/>
      <c r="D495" s="1154"/>
      <c r="E495" s="1154"/>
      <c r="G495" s="606"/>
      <c r="H495" s="606"/>
      <c r="I495" s="606"/>
      <c r="J495" s="606"/>
      <c r="K495" s="606"/>
    </row>
    <row r="496">
      <c r="A496" s="1653"/>
      <c r="B496" s="1154"/>
      <c r="C496" s="1154"/>
      <c r="D496" s="1154"/>
      <c r="E496" s="1154"/>
      <c r="G496" s="606"/>
      <c r="H496" s="606"/>
      <c r="I496" s="606"/>
      <c r="J496" s="606"/>
      <c r="K496" s="606"/>
    </row>
    <row r="497">
      <c r="A497" s="1665"/>
      <c r="B497" s="1154"/>
      <c r="C497" s="1154"/>
      <c r="D497" s="1154"/>
      <c r="E497" s="1154"/>
      <c r="G497" s="606"/>
      <c r="H497" s="606"/>
      <c r="I497" s="606"/>
      <c r="J497" s="606"/>
      <c r="K497" s="606"/>
    </row>
    <row r="498">
      <c r="A498" s="1665"/>
      <c r="B498" s="1154"/>
      <c r="C498" s="1154"/>
      <c r="D498" s="1154"/>
      <c r="E498" s="1154"/>
      <c r="G498" s="606"/>
      <c r="H498" s="606"/>
      <c r="I498" s="606"/>
      <c r="J498" s="606"/>
      <c r="K498" s="606"/>
    </row>
    <row r="499">
      <c r="A499" s="1665"/>
      <c r="B499" s="1154"/>
      <c r="C499" s="1154"/>
      <c r="D499" s="1154"/>
      <c r="E499" s="1154"/>
      <c r="G499" s="606"/>
      <c r="H499" s="606"/>
      <c r="I499" s="606"/>
      <c r="J499" s="606"/>
      <c r="K499" s="606"/>
    </row>
    <row r="500">
      <c r="A500" s="1665"/>
      <c r="B500" s="1154"/>
      <c r="C500" s="1154"/>
      <c r="D500" s="1154"/>
      <c r="E500" s="1154"/>
      <c r="G500" s="606"/>
      <c r="H500" s="606"/>
      <c r="I500" s="606"/>
      <c r="J500" s="606"/>
      <c r="K500" s="606"/>
    </row>
    <row r="501">
      <c r="A501" s="1665"/>
      <c r="B501" s="1154"/>
      <c r="C501" s="1154"/>
      <c r="D501" s="1154"/>
      <c r="E501" s="1154"/>
      <c r="G501" s="606"/>
      <c r="H501" s="606"/>
      <c r="I501" s="606"/>
      <c r="J501" s="606"/>
      <c r="K501" s="606"/>
    </row>
    <row r="502">
      <c r="A502" s="1665"/>
      <c r="B502" s="1304"/>
      <c r="C502" s="1154"/>
      <c r="D502" s="1154"/>
      <c r="E502" s="1154"/>
      <c r="G502" s="606"/>
      <c r="H502" s="606"/>
      <c r="I502" s="606"/>
      <c r="J502" s="606"/>
      <c r="K502" s="606"/>
    </row>
    <row r="503">
      <c r="A503" s="1665"/>
      <c r="B503" s="1154"/>
      <c r="C503" s="1154"/>
      <c r="D503" s="1154"/>
      <c r="E503" s="1154"/>
      <c r="G503" s="606"/>
      <c r="H503" s="606"/>
      <c r="I503" s="606"/>
      <c r="J503" s="606"/>
      <c r="K503" s="606"/>
    </row>
    <row r="504">
      <c r="A504" s="1665"/>
      <c r="B504" s="1154"/>
      <c r="C504" s="1154"/>
      <c r="D504" s="1154"/>
      <c r="E504" s="1154"/>
      <c r="G504" s="606"/>
      <c r="H504" s="606"/>
      <c r="I504" s="606"/>
      <c r="J504" s="606"/>
      <c r="K504" s="606"/>
    </row>
    <row r="505">
      <c r="A505" s="1665"/>
      <c r="B505" s="1154"/>
      <c r="C505" s="1154"/>
      <c r="D505" s="1154"/>
      <c r="E505" s="1154"/>
      <c r="G505" s="606"/>
      <c r="H505" s="606"/>
      <c r="I505" s="606"/>
      <c r="J505" s="606"/>
      <c r="K505" s="606"/>
    </row>
    <row r="506">
      <c r="A506" s="1665"/>
      <c r="B506" s="1154"/>
      <c r="C506" s="1154"/>
      <c r="D506" s="1154"/>
      <c r="E506" s="1154"/>
      <c r="G506" s="606"/>
      <c r="H506" s="606"/>
      <c r="I506" s="606"/>
      <c r="J506" s="606"/>
      <c r="K506" s="606"/>
    </row>
    <row r="507">
      <c r="A507" s="1665"/>
      <c r="B507" s="1154"/>
      <c r="C507" s="23"/>
      <c r="D507" s="1154"/>
      <c r="E507" s="1154"/>
      <c r="G507" s="606"/>
      <c r="H507" s="606"/>
      <c r="I507" s="606"/>
      <c r="J507" s="606"/>
      <c r="K507" s="606"/>
    </row>
    <row r="508">
      <c r="A508" s="1665"/>
      <c r="B508" s="1154"/>
      <c r="C508" s="23"/>
      <c r="D508" s="1154"/>
      <c r="E508" s="1154"/>
      <c r="G508" s="606"/>
      <c r="H508" s="606"/>
      <c r="I508" s="606"/>
      <c r="J508" s="606"/>
      <c r="K508" s="606"/>
    </row>
    <row r="509">
      <c r="A509" s="1665"/>
      <c r="B509" s="1154"/>
      <c r="C509" s="1154"/>
      <c r="D509" s="1154"/>
      <c r="E509" s="1154"/>
      <c r="G509" s="606"/>
      <c r="H509" s="606"/>
      <c r="I509" s="606"/>
      <c r="J509" s="606"/>
      <c r="K509" s="606"/>
    </row>
    <row r="510">
      <c r="A510" s="1665"/>
      <c r="B510" s="1154"/>
      <c r="C510" s="1154"/>
      <c r="D510" s="1154"/>
      <c r="E510" s="1154"/>
      <c r="G510" s="606"/>
      <c r="H510" s="606"/>
      <c r="I510" s="606"/>
      <c r="J510" s="606"/>
      <c r="K510" s="606"/>
    </row>
    <row r="511">
      <c r="A511" s="1665"/>
      <c r="B511" s="1154"/>
      <c r="C511" s="1154"/>
      <c r="D511" s="1154"/>
      <c r="E511" s="1154"/>
      <c r="G511" s="606"/>
      <c r="H511" s="606"/>
      <c r="I511" s="606"/>
      <c r="J511" s="606"/>
      <c r="K511" s="606"/>
    </row>
    <row r="512">
      <c r="A512" s="1665"/>
      <c r="B512" s="1154"/>
      <c r="C512" s="1154"/>
      <c r="D512" s="1154"/>
      <c r="E512" s="1154"/>
      <c r="G512" s="606"/>
      <c r="H512" s="606"/>
      <c r="I512" s="606"/>
      <c r="J512" s="606"/>
      <c r="K512" s="606"/>
    </row>
    <row r="513">
      <c r="A513" s="1665"/>
      <c r="B513" s="1154"/>
      <c r="C513" s="1154"/>
      <c r="D513" s="1154"/>
      <c r="E513" s="1154"/>
      <c r="G513" s="606"/>
      <c r="H513" s="606"/>
      <c r="I513" s="606"/>
      <c r="J513" s="606"/>
      <c r="K513" s="606"/>
    </row>
    <row r="514">
      <c r="A514" s="1665"/>
      <c r="B514" s="1154"/>
      <c r="C514" s="23"/>
      <c r="D514" s="1154"/>
      <c r="E514" s="1154"/>
      <c r="G514" s="606"/>
      <c r="H514" s="606"/>
      <c r="I514" s="606"/>
      <c r="J514" s="606"/>
      <c r="K514" s="606"/>
    </row>
    <row r="515">
      <c r="A515" s="1665"/>
      <c r="B515" s="1154"/>
      <c r="C515" s="1154"/>
      <c r="D515" s="1154"/>
      <c r="E515" s="1154"/>
      <c r="G515" s="606"/>
      <c r="H515" s="606"/>
      <c r="I515" s="606"/>
      <c r="J515" s="606"/>
      <c r="K515" s="606"/>
    </row>
    <row r="516">
      <c r="A516" s="1665"/>
      <c r="B516" s="1304"/>
      <c r="C516" s="1154"/>
      <c r="D516" s="1154"/>
      <c r="E516" s="1154"/>
      <c r="G516" s="606"/>
      <c r="H516" s="606"/>
      <c r="I516" s="606"/>
      <c r="J516" s="606"/>
      <c r="K516" s="606"/>
    </row>
    <row r="517">
      <c r="A517" s="1665"/>
      <c r="B517" s="1154"/>
      <c r="C517" s="1154"/>
      <c r="D517" s="1154"/>
      <c r="E517" s="1154"/>
      <c r="G517" s="606"/>
      <c r="H517" s="606"/>
      <c r="I517" s="606"/>
      <c r="J517" s="606"/>
      <c r="K517" s="606"/>
    </row>
    <row r="518">
      <c r="A518" s="1665"/>
      <c r="B518" s="1154"/>
      <c r="C518" s="1154"/>
      <c r="D518" s="1154"/>
      <c r="E518" s="1154"/>
      <c r="G518" s="606"/>
      <c r="H518" s="606"/>
      <c r="I518" s="606"/>
      <c r="J518" s="606"/>
      <c r="K518" s="606"/>
    </row>
    <row r="519">
      <c r="A519" s="1665"/>
      <c r="B519" s="1154"/>
      <c r="C519" s="1154"/>
      <c r="D519" s="1154"/>
      <c r="E519" s="1154"/>
      <c r="G519" s="606"/>
      <c r="H519" s="606"/>
      <c r="I519" s="606"/>
      <c r="J519" s="606"/>
      <c r="K519" s="606"/>
    </row>
    <row r="520">
      <c r="A520" s="1665"/>
      <c r="B520" s="1154"/>
      <c r="C520" s="1154"/>
      <c r="D520" s="1154"/>
      <c r="E520" s="1154"/>
      <c r="G520" s="606"/>
      <c r="H520" s="606"/>
      <c r="I520" s="606"/>
      <c r="J520" s="606"/>
      <c r="K520" s="606"/>
    </row>
    <row r="521">
      <c r="A521" s="1665"/>
      <c r="B521" s="1154"/>
      <c r="C521" s="1154"/>
      <c r="D521" s="1154"/>
      <c r="E521" s="1154"/>
      <c r="G521" s="606"/>
      <c r="H521" s="606"/>
      <c r="I521" s="606"/>
      <c r="J521" s="606"/>
      <c r="K521" s="606"/>
    </row>
    <row r="522">
      <c r="A522" s="1665"/>
      <c r="B522" s="1154"/>
      <c r="C522" s="1154"/>
      <c r="D522" s="1154"/>
      <c r="E522" s="1154"/>
      <c r="G522" s="606"/>
      <c r="H522" s="606"/>
      <c r="I522" s="606"/>
      <c r="J522" s="606"/>
      <c r="K522" s="606"/>
    </row>
    <row r="523">
      <c r="A523" s="1665"/>
      <c r="B523" s="1154"/>
      <c r="C523" s="1154"/>
      <c r="D523" s="1154"/>
      <c r="E523" s="1154"/>
      <c r="G523" s="606"/>
      <c r="H523" s="606"/>
      <c r="I523" s="606"/>
      <c r="J523" s="606"/>
      <c r="K523" s="606"/>
    </row>
    <row r="524">
      <c r="A524" s="1665"/>
      <c r="B524" s="1154"/>
      <c r="C524" s="23"/>
      <c r="D524" s="1154"/>
      <c r="E524" s="1154"/>
      <c r="G524" s="606"/>
      <c r="H524" s="606"/>
      <c r="I524" s="606"/>
      <c r="J524" s="606"/>
      <c r="K524" s="606"/>
    </row>
    <row r="525">
      <c r="A525" s="1665"/>
      <c r="B525" s="1154"/>
      <c r="C525" s="1154"/>
      <c r="D525" s="1154"/>
      <c r="E525" s="1154"/>
      <c r="G525" s="606"/>
      <c r="H525" s="606"/>
      <c r="I525" s="606"/>
      <c r="J525" s="606"/>
      <c r="K525" s="606"/>
    </row>
    <row r="526">
      <c r="A526" s="1665"/>
      <c r="B526" s="1154"/>
      <c r="C526" s="1154"/>
      <c r="D526" s="1154"/>
      <c r="E526" s="1154"/>
      <c r="G526" s="606"/>
      <c r="H526" s="606"/>
      <c r="I526" s="606"/>
      <c r="J526" s="606"/>
      <c r="K526" s="606"/>
    </row>
    <row r="527">
      <c r="A527" s="1665"/>
      <c r="B527" s="1154"/>
      <c r="C527" s="1154"/>
      <c r="D527" s="1154"/>
      <c r="E527" s="1154"/>
      <c r="G527" s="606"/>
      <c r="H527" s="606"/>
      <c r="I527" s="606"/>
      <c r="J527" s="606"/>
      <c r="K527" s="606"/>
    </row>
    <row r="528">
      <c r="A528" s="1665"/>
      <c r="B528" s="1154"/>
      <c r="C528" s="1154"/>
      <c r="D528" s="1154"/>
      <c r="E528" s="1154"/>
      <c r="G528" s="606"/>
      <c r="H528" s="606"/>
      <c r="I528" s="606"/>
      <c r="J528" s="606"/>
      <c r="K528" s="606"/>
    </row>
    <row r="529">
      <c r="A529" s="1665"/>
      <c r="B529" s="1154"/>
      <c r="C529" s="1154"/>
      <c r="D529" s="1154"/>
      <c r="E529" s="1154"/>
      <c r="G529" s="606"/>
      <c r="H529" s="606"/>
      <c r="I529" s="606"/>
      <c r="J529" s="606"/>
      <c r="K529" s="606"/>
    </row>
    <row r="530">
      <c r="A530" s="1653"/>
      <c r="B530" s="1154"/>
      <c r="C530" s="1154"/>
      <c r="D530" s="1154"/>
      <c r="E530" s="1154"/>
      <c r="G530" s="606"/>
      <c r="H530" s="606"/>
      <c r="I530" s="606"/>
      <c r="J530" s="606"/>
      <c r="K530" s="606"/>
    </row>
    <row r="531">
      <c r="A531" s="1653"/>
      <c r="B531" s="1304"/>
      <c r="C531" s="1662"/>
      <c r="D531" s="1662"/>
      <c r="E531" s="1154"/>
      <c r="G531" s="606"/>
      <c r="H531" s="606"/>
      <c r="I531" s="606"/>
      <c r="J531" s="606"/>
      <c r="K531" s="606"/>
    </row>
    <row r="532">
      <c r="A532" s="1665"/>
      <c r="B532" s="1154"/>
      <c r="C532" s="1154"/>
      <c r="D532" s="1154"/>
      <c r="E532" s="1154"/>
      <c r="G532" s="606"/>
      <c r="H532" s="606"/>
      <c r="I532" s="606"/>
      <c r="J532" s="606"/>
      <c r="K532" s="606"/>
    </row>
    <row r="533">
      <c r="A533" s="1665"/>
      <c r="B533" s="1154"/>
      <c r="C533" s="1154"/>
      <c r="D533" s="1154"/>
      <c r="E533" s="1154"/>
      <c r="G533" s="606"/>
      <c r="H533" s="606"/>
      <c r="I533" s="606"/>
      <c r="J533" s="606"/>
      <c r="K533" s="606"/>
    </row>
    <row r="534">
      <c r="A534" s="1653"/>
      <c r="B534" s="1304"/>
      <c r="C534" s="1154"/>
      <c r="D534" s="1154"/>
      <c r="E534" s="1154"/>
      <c r="G534" s="606"/>
      <c r="H534" s="606"/>
      <c r="I534" s="606"/>
      <c r="J534" s="606"/>
      <c r="K534" s="606"/>
    </row>
    <row r="535">
      <c r="A535" s="1665"/>
      <c r="B535" s="1154"/>
      <c r="C535" s="23"/>
      <c r="D535" s="1154"/>
      <c r="E535" s="1154"/>
      <c r="G535" s="606"/>
      <c r="H535" s="606"/>
      <c r="I535" s="606"/>
      <c r="J535" s="606"/>
      <c r="K535" s="606"/>
    </row>
    <row r="536">
      <c r="A536" s="1667"/>
      <c r="B536" s="1154"/>
      <c r="C536" s="1154"/>
      <c r="D536" s="1154"/>
      <c r="E536" s="1154"/>
      <c r="G536" s="606"/>
      <c r="H536" s="606"/>
      <c r="I536" s="606"/>
      <c r="J536" s="606"/>
      <c r="K536" s="606"/>
    </row>
    <row r="537">
      <c r="A537" s="1667"/>
      <c r="B537" s="1154"/>
      <c r="C537" s="1154"/>
      <c r="D537" s="1154"/>
      <c r="E537" s="1154"/>
      <c r="G537" s="606"/>
      <c r="H537" s="606"/>
      <c r="I537" s="606"/>
      <c r="J537" s="606"/>
      <c r="K537" s="606"/>
    </row>
    <row r="538">
      <c r="A538" s="1653"/>
      <c r="B538" s="1154"/>
      <c r="C538" s="1154"/>
      <c r="D538" s="1154"/>
      <c r="E538" s="1154"/>
      <c r="G538" s="606"/>
      <c r="H538" s="606"/>
      <c r="I538" s="606"/>
      <c r="J538" s="606"/>
      <c r="K538" s="606"/>
    </row>
    <row r="539">
      <c r="A539" s="1665"/>
      <c r="B539" s="1154"/>
      <c r="C539" s="1154"/>
      <c r="D539" s="1154"/>
      <c r="E539" s="1154"/>
      <c r="G539" s="606"/>
      <c r="H539" s="606"/>
      <c r="I539" s="606"/>
      <c r="J539" s="606"/>
      <c r="K539" s="606"/>
    </row>
    <row r="540">
      <c r="A540" s="1665"/>
      <c r="B540" s="1304"/>
      <c r="C540" s="1154"/>
      <c r="D540" s="1154"/>
      <c r="E540" s="1154"/>
      <c r="G540" s="606"/>
      <c r="H540" s="606"/>
      <c r="I540" s="606"/>
      <c r="J540" s="606"/>
      <c r="K540" s="606"/>
    </row>
    <row r="541">
      <c r="A541" s="1665"/>
      <c r="B541" s="1154"/>
      <c r="C541" s="23"/>
      <c r="D541" s="1154"/>
      <c r="E541" s="1154"/>
      <c r="G541" s="606"/>
      <c r="H541" s="606"/>
      <c r="I541" s="606"/>
      <c r="J541" s="606"/>
      <c r="K541" s="606"/>
    </row>
    <row r="542">
      <c r="A542" s="1665"/>
      <c r="B542" s="1154"/>
      <c r="C542" s="1154"/>
      <c r="D542" s="1154"/>
      <c r="E542" s="1154"/>
      <c r="G542" s="606"/>
      <c r="H542" s="606"/>
      <c r="I542" s="606"/>
      <c r="J542" s="606"/>
      <c r="K542" s="606"/>
    </row>
    <row r="543">
      <c r="A543" s="1665"/>
      <c r="B543" s="1154"/>
      <c r="C543" s="1154"/>
      <c r="D543" s="1154"/>
      <c r="E543" s="1154"/>
      <c r="G543" s="606"/>
      <c r="H543" s="606"/>
      <c r="I543" s="606"/>
      <c r="J543" s="606"/>
      <c r="K543" s="606"/>
    </row>
    <row r="544">
      <c r="A544" s="1665"/>
      <c r="B544" s="1154"/>
      <c r="C544" s="1154"/>
      <c r="D544" s="1154"/>
      <c r="E544" s="1154"/>
      <c r="G544" s="606"/>
      <c r="H544" s="606"/>
      <c r="I544" s="606"/>
      <c r="J544" s="606"/>
      <c r="K544" s="606"/>
    </row>
    <row r="545">
      <c r="A545" s="1665"/>
      <c r="B545" s="1154"/>
      <c r="C545" s="23"/>
      <c r="D545" s="1154"/>
      <c r="E545" s="1154"/>
      <c r="G545" s="606"/>
      <c r="H545" s="606"/>
      <c r="I545" s="606"/>
      <c r="J545" s="606"/>
      <c r="K545" s="606"/>
    </row>
    <row r="546">
      <c r="A546" s="1653"/>
      <c r="B546" s="1304"/>
      <c r="C546" s="1154"/>
      <c r="D546" s="1154"/>
      <c r="E546" s="1154"/>
      <c r="G546" s="606"/>
      <c r="H546" s="606"/>
      <c r="I546" s="606"/>
      <c r="J546" s="606"/>
      <c r="K546" s="606"/>
    </row>
    <row r="547">
      <c r="A547" s="1665"/>
      <c r="B547" s="1154"/>
      <c r="C547" s="1154"/>
      <c r="D547" s="1154"/>
      <c r="E547" s="1154"/>
      <c r="G547" s="606"/>
      <c r="H547" s="606"/>
      <c r="I547" s="606"/>
      <c r="J547" s="606"/>
      <c r="K547" s="606"/>
    </row>
    <row r="548">
      <c r="A548" s="1665"/>
      <c r="B548" s="1154"/>
      <c r="C548" s="1154"/>
      <c r="D548" s="1154"/>
      <c r="E548" s="1154"/>
      <c r="G548" s="606"/>
      <c r="H548" s="606"/>
      <c r="I548" s="606"/>
      <c r="J548" s="606"/>
      <c r="K548" s="606"/>
    </row>
    <row r="549">
      <c r="A549" s="1653"/>
      <c r="B549" s="1154"/>
      <c r="C549" s="1154"/>
      <c r="D549" s="1154"/>
      <c r="E549" s="1154"/>
      <c r="G549" s="606"/>
      <c r="H549" s="606"/>
      <c r="I549" s="606"/>
      <c r="J549" s="606"/>
      <c r="K549" s="606"/>
    </row>
    <row r="550">
      <c r="A550" s="1665"/>
      <c r="B550" s="1154"/>
      <c r="C550" s="23"/>
      <c r="D550" s="1154"/>
      <c r="E550" s="1154"/>
      <c r="G550" s="606"/>
      <c r="H550" s="606"/>
      <c r="I550" s="606"/>
      <c r="J550" s="606"/>
      <c r="K550" s="606"/>
    </row>
    <row r="551">
      <c r="A551" s="1665"/>
      <c r="B551" s="1154"/>
      <c r="C551" s="1154"/>
      <c r="D551" s="1154"/>
      <c r="E551" s="1154"/>
      <c r="G551" s="606"/>
      <c r="H551" s="606"/>
      <c r="I551" s="606"/>
      <c r="J551" s="606"/>
      <c r="K551" s="606"/>
    </row>
    <row r="552">
      <c r="A552" s="1667"/>
      <c r="B552" s="1154"/>
      <c r="C552" s="1154"/>
      <c r="D552" s="1154"/>
      <c r="E552" s="1154"/>
      <c r="G552" s="606"/>
      <c r="H552" s="606"/>
      <c r="I552" s="606"/>
      <c r="J552" s="606"/>
      <c r="K552" s="606"/>
    </row>
    <row r="553">
      <c r="A553" s="1668"/>
      <c r="B553" s="1304"/>
      <c r="C553" s="1154"/>
      <c r="D553" s="1154"/>
      <c r="E553" s="1154"/>
      <c r="G553" s="606"/>
      <c r="H553" s="606"/>
      <c r="I553" s="606"/>
      <c r="J553" s="606"/>
      <c r="K553" s="606"/>
    </row>
    <row r="554">
      <c r="A554" s="1669"/>
      <c r="B554" s="1154"/>
      <c r="C554" s="23"/>
      <c r="D554" s="1154"/>
      <c r="E554" s="1154"/>
      <c r="G554" s="606"/>
      <c r="H554" s="606"/>
      <c r="I554" s="606"/>
      <c r="J554" s="606"/>
      <c r="K554" s="606"/>
    </row>
    <row r="555">
      <c r="A555" s="1669"/>
      <c r="B555" s="1154"/>
      <c r="C555" s="1154"/>
      <c r="D555" s="1154"/>
      <c r="E555" s="1154"/>
      <c r="G555" s="606"/>
      <c r="H555" s="606"/>
      <c r="I555" s="606"/>
      <c r="J555" s="606"/>
      <c r="K555" s="606"/>
    </row>
    <row r="556">
      <c r="A556" s="1669"/>
      <c r="B556" s="1154"/>
      <c r="C556" s="1154"/>
      <c r="D556" s="1154"/>
      <c r="E556" s="1154"/>
      <c r="G556" s="606"/>
      <c r="H556" s="606"/>
      <c r="I556" s="606"/>
      <c r="J556" s="606"/>
      <c r="K556" s="606"/>
    </row>
    <row r="557">
      <c r="A557" s="1669"/>
      <c r="B557" s="1154"/>
      <c r="C557" s="23"/>
      <c r="D557" s="1154"/>
      <c r="E557" s="1154"/>
      <c r="G557" s="606"/>
      <c r="H557" s="606"/>
      <c r="I557" s="606"/>
      <c r="J557" s="606"/>
      <c r="K557" s="606"/>
    </row>
    <row r="558">
      <c r="A558" s="1669"/>
      <c r="B558" s="1154"/>
      <c r="C558" s="1154"/>
      <c r="D558" s="1154"/>
      <c r="E558" s="1154"/>
      <c r="G558" s="606"/>
      <c r="H558" s="606"/>
      <c r="I558" s="606"/>
      <c r="J558" s="606"/>
      <c r="K558" s="606"/>
    </row>
    <row r="559">
      <c r="A559" s="1669"/>
      <c r="B559" s="1154"/>
      <c r="C559" s="1154"/>
      <c r="D559" s="1154"/>
      <c r="E559" s="1154"/>
      <c r="G559" s="606"/>
      <c r="H559" s="606"/>
      <c r="I559" s="606"/>
      <c r="J559" s="606"/>
      <c r="K559" s="606"/>
    </row>
    <row r="560">
      <c r="A560" s="1668"/>
      <c r="B560" s="1304"/>
      <c r="C560" s="1154"/>
      <c r="D560" s="1154"/>
      <c r="E560" s="1154"/>
      <c r="G560" s="606"/>
      <c r="H560" s="606"/>
      <c r="I560" s="606"/>
      <c r="J560" s="606"/>
      <c r="K560" s="606"/>
    </row>
    <row r="561">
      <c r="A561" s="1668"/>
      <c r="B561" s="1304"/>
      <c r="C561" s="1154"/>
      <c r="D561" s="1154"/>
      <c r="E561" s="1154"/>
      <c r="G561" s="606"/>
      <c r="H561" s="606"/>
      <c r="I561" s="606"/>
      <c r="J561" s="606"/>
      <c r="K561" s="606"/>
    </row>
    <row r="562">
      <c r="A562" s="1669"/>
      <c r="B562" s="1154"/>
      <c r="C562" s="1154"/>
      <c r="D562" s="1154"/>
      <c r="E562" s="1154"/>
      <c r="G562" s="606"/>
      <c r="H562" s="606"/>
      <c r="I562" s="606"/>
      <c r="J562" s="606"/>
      <c r="K562" s="606"/>
    </row>
    <row r="563">
      <c r="A563" s="1668"/>
      <c r="B563" s="1304"/>
      <c r="C563" s="1154"/>
      <c r="D563" s="1154"/>
      <c r="E563" s="1154"/>
      <c r="G563" s="606"/>
      <c r="H563" s="606"/>
      <c r="I563" s="606"/>
      <c r="J563" s="606"/>
      <c r="K563" s="606"/>
    </row>
    <row r="564">
      <c r="A564" s="1669"/>
      <c r="B564" s="1154"/>
      <c r="C564" s="23"/>
      <c r="D564" s="1154"/>
      <c r="E564" s="1154"/>
      <c r="G564" s="606"/>
      <c r="H564" s="606"/>
      <c r="I564" s="606"/>
      <c r="J564" s="606"/>
      <c r="K564" s="606"/>
    </row>
    <row r="565">
      <c r="A565" s="1669"/>
      <c r="B565" s="1154"/>
      <c r="C565" s="1154"/>
      <c r="D565" s="1154"/>
      <c r="E565" s="1154"/>
      <c r="G565" s="606"/>
      <c r="H565" s="606"/>
      <c r="I565" s="606"/>
      <c r="J565" s="606"/>
      <c r="K565" s="606"/>
    </row>
    <row r="566">
      <c r="A566" s="1669"/>
      <c r="B566" s="1154"/>
      <c r="C566" s="1154"/>
      <c r="D566" s="1154"/>
      <c r="E566" s="1154"/>
      <c r="G566" s="606"/>
      <c r="H566" s="606"/>
      <c r="I566" s="606"/>
      <c r="J566" s="606"/>
      <c r="K566" s="606"/>
    </row>
    <row r="567">
      <c r="A567" s="1670"/>
      <c r="B567" s="1154"/>
      <c r="C567" s="1154"/>
      <c r="D567" s="1154"/>
      <c r="E567" s="1154"/>
      <c r="G567" s="606"/>
      <c r="H567" s="606"/>
      <c r="I567" s="606"/>
      <c r="J567" s="606"/>
      <c r="K567" s="606"/>
    </row>
    <row r="568">
      <c r="A568" s="1668"/>
      <c r="B568" s="1304"/>
      <c r="C568" s="1154"/>
      <c r="D568" s="1154"/>
      <c r="E568" s="1154"/>
      <c r="G568" s="606"/>
      <c r="H568" s="606"/>
      <c r="I568" s="606"/>
      <c r="J568" s="606"/>
      <c r="K568" s="606"/>
    </row>
    <row r="569">
      <c r="A569" s="1669"/>
      <c r="B569" s="1154"/>
      <c r="C569" s="1154"/>
      <c r="D569" s="1154"/>
      <c r="E569" s="1154"/>
      <c r="G569" s="606"/>
      <c r="H569" s="606"/>
      <c r="I569" s="606"/>
      <c r="J569" s="606"/>
      <c r="K569" s="606"/>
    </row>
    <row r="570">
      <c r="A570" s="1669"/>
      <c r="B570" s="1154"/>
      <c r="C570" s="1154"/>
      <c r="D570" s="1154"/>
      <c r="E570" s="1154"/>
      <c r="G570" s="606"/>
      <c r="H570" s="606"/>
      <c r="I570" s="606"/>
      <c r="J570" s="606"/>
      <c r="K570" s="606"/>
    </row>
    <row r="571">
      <c r="A571" s="1669"/>
      <c r="B571" s="1154"/>
      <c r="C571" s="1154"/>
      <c r="D571" s="1154"/>
      <c r="E571" s="1154"/>
      <c r="G571" s="606"/>
      <c r="H571" s="606"/>
      <c r="I571" s="606"/>
      <c r="J571" s="606"/>
      <c r="K571" s="606"/>
    </row>
    <row r="572">
      <c r="A572" s="1669"/>
      <c r="B572" s="1154"/>
      <c r="C572" s="1154"/>
      <c r="D572" s="1154"/>
      <c r="E572" s="1154"/>
      <c r="G572" s="606"/>
      <c r="H572" s="606"/>
      <c r="I572" s="606"/>
      <c r="J572" s="606"/>
      <c r="K572" s="606"/>
    </row>
    <row r="573">
      <c r="A573" s="1669"/>
      <c r="B573" s="1304"/>
      <c r="C573" s="23"/>
      <c r="D573" s="1154"/>
      <c r="E573" s="1154"/>
      <c r="G573" s="606"/>
      <c r="H573" s="606"/>
      <c r="I573" s="606"/>
      <c r="J573" s="606"/>
      <c r="K573" s="606"/>
    </row>
    <row r="574">
      <c r="A574" s="1669"/>
      <c r="B574" s="1154"/>
      <c r="C574" s="1154"/>
      <c r="D574" s="1154"/>
      <c r="E574" s="1154"/>
      <c r="G574" s="606"/>
      <c r="H574" s="606"/>
      <c r="I574" s="606"/>
      <c r="J574" s="606"/>
      <c r="K574" s="606"/>
    </row>
    <row r="575">
      <c r="A575" s="1669"/>
      <c r="B575" s="1154"/>
      <c r="C575" s="1154"/>
      <c r="D575" s="1154"/>
      <c r="E575" s="1154"/>
      <c r="G575" s="606"/>
      <c r="H575" s="606"/>
      <c r="I575" s="606"/>
      <c r="J575" s="606"/>
      <c r="K575" s="606"/>
    </row>
    <row r="576">
      <c r="A576" s="1669"/>
      <c r="B576" s="1154"/>
      <c r="C576" s="1154"/>
      <c r="D576" s="1154"/>
      <c r="E576" s="1154"/>
      <c r="G576" s="606"/>
      <c r="H576" s="606"/>
      <c r="I576" s="606"/>
      <c r="J576" s="606"/>
      <c r="K576" s="606"/>
    </row>
    <row r="577">
      <c r="A577" s="1669"/>
      <c r="B577" s="1154"/>
      <c r="C577" s="1154"/>
      <c r="D577" s="1154"/>
      <c r="E577" s="1154"/>
      <c r="G577" s="606"/>
      <c r="H577" s="606"/>
      <c r="I577" s="606"/>
      <c r="J577" s="606"/>
      <c r="K577" s="606"/>
    </row>
    <row r="578">
      <c r="A578" s="1669"/>
      <c r="B578" s="1154"/>
      <c r="C578" s="1154"/>
      <c r="D578" s="1154"/>
      <c r="E578" s="1154"/>
      <c r="G578" s="606"/>
      <c r="H578" s="606"/>
      <c r="I578" s="606"/>
      <c r="J578" s="606"/>
      <c r="K578" s="606"/>
    </row>
    <row r="579">
      <c r="A579" s="1669"/>
      <c r="B579" s="1154"/>
      <c r="C579" s="23"/>
      <c r="D579" s="1154"/>
      <c r="E579" s="1154"/>
      <c r="G579" s="606"/>
      <c r="H579" s="606"/>
      <c r="I579" s="606"/>
      <c r="J579" s="606"/>
      <c r="K579" s="606"/>
    </row>
    <row r="580">
      <c r="A580" s="1669"/>
      <c r="B580" s="1154"/>
      <c r="C580" s="1154"/>
      <c r="D580" s="1154"/>
      <c r="E580" s="1154"/>
      <c r="G580" s="606"/>
      <c r="H580" s="606"/>
      <c r="I580" s="606"/>
      <c r="J580" s="606"/>
      <c r="K580" s="606"/>
    </row>
    <row r="581">
      <c r="A581" s="1669"/>
      <c r="B581" s="1154"/>
      <c r="C581" s="1154"/>
      <c r="D581" s="1154"/>
      <c r="E581" s="1154"/>
      <c r="G581" s="606"/>
      <c r="H581" s="606"/>
      <c r="I581" s="606"/>
      <c r="J581" s="606"/>
      <c r="K581" s="606"/>
    </row>
    <row r="582">
      <c r="A582" s="1670"/>
      <c r="B582" s="1154"/>
      <c r="C582" s="1154"/>
      <c r="D582" s="1154"/>
      <c r="E582" s="1154"/>
      <c r="G582" s="606"/>
      <c r="H582" s="606"/>
      <c r="I582" s="606"/>
      <c r="J582" s="606"/>
      <c r="K582" s="606"/>
    </row>
    <row r="583">
      <c r="A583" s="1669"/>
      <c r="B583" s="1154"/>
      <c r="C583" s="1154"/>
      <c r="D583" s="1154"/>
      <c r="E583" s="1154"/>
      <c r="G583" s="606"/>
      <c r="H583" s="606"/>
      <c r="I583" s="606"/>
      <c r="J583" s="606"/>
      <c r="K583" s="606"/>
    </row>
    <row r="584">
      <c r="A584" s="1669"/>
      <c r="B584" s="1154"/>
      <c r="C584" s="1154"/>
      <c r="D584" s="1154"/>
      <c r="E584" s="1154"/>
      <c r="G584" s="606"/>
      <c r="H584" s="606"/>
      <c r="I584" s="606"/>
      <c r="J584" s="606"/>
      <c r="K584" s="606"/>
    </row>
    <row r="585">
      <c r="A585" s="1668"/>
      <c r="B585" s="1304"/>
      <c r="C585" s="1154"/>
      <c r="D585" s="1154"/>
      <c r="E585" s="1154"/>
      <c r="G585" s="606"/>
      <c r="H585" s="606"/>
      <c r="I585" s="606"/>
      <c r="J585" s="606"/>
      <c r="K585" s="606"/>
    </row>
    <row r="586">
      <c r="A586" s="1669"/>
      <c r="B586" s="1154"/>
      <c r="C586" s="1154"/>
      <c r="D586" s="1154"/>
      <c r="E586" s="1154"/>
      <c r="G586" s="606"/>
      <c r="H586" s="606"/>
      <c r="I586" s="606"/>
      <c r="J586" s="606"/>
      <c r="K586" s="606"/>
    </row>
    <row r="587">
      <c r="A587" s="1668"/>
      <c r="B587" s="1304"/>
      <c r="C587" s="1154"/>
      <c r="D587" s="1154"/>
      <c r="E587" s="1154"/>
      <c r="G587" s="606"/>
      <c r="H587" s="606"/>
      <c r="I587" s="606"/>
      <c r="J587" s="606"/>
      <c r="K587" s="606"/>
    </row>
    <row r="588">
      <c r="A588" s="1669"/>
      <c r="B588" s="1154"/>
      <c r="C588" s="23"/>
      <c r="D588" s="1154"/>
      <c r="E588" s="1154"/>
      <c r="G588" s="606"/>
      <c r="H588" s="606"/>
      <c r="I588" s="606"/>
      <c r="J588" s="606"/>
      <c r="K588" s="606"/>
    </row>
    <row r="589">
      <c r="A589" s="1669"/>
      <c r="B589" s="1154"/>
      <c r="C589" s="1154"/>
      <c r="D589" s="1154"/>
      <c r="E589" s="1154"/>
      <c r="G589" s="606"/>
      <c r="H589" s="606"/>
      <c r="I589" s="606"/>
      <c r="J589" s="606"/>
      <c r="K589" s="606"/>
    </row>
    <row r="590">
      <c r="A590" s="1669"/>
      <c r="B590" s="1154"/>
      <c r="C590" s="1154"/>
      <c r="D590" s="1154"/>
      <c r="E590" s="1154"/>
      <c r="G590" s="606"/>
      <c r="H590" s="606"/>
      <c r="I590" s="606"/>
      <c r="J590" s="606"/>
      <c r="K590" s="606"/>
    </row>
    <row r="591">
      <c r="A591" s="1669"/>
      <c r="B591" s="1154"/>
      <c r="C591" s="1154"/>
      <c r="D591" s="1154"/>
      <c r="E591" s="1154"/>
      <c r="G591" s="606"/>
      <c r="H591" s="606"/>
      <c r="I591" s="606"/>
      <c r="J591" s="606"/>
      <c r="K591" s="606"/>
    </row>
    <row r="592">
      <c r="A592" s="1669"/>
      <c r="B592" s="1154"/>
      <c r="C592" s="1154"/>
      <c r="D592" s="1154"/>
      <c r="E592" s="1154"/>
      <c r="G592" s="606"/>
      <c r="H592" s="606"/>
      <c r="I592" s="606"/>
      <c r="J592" s="606"/>
      <c r="K592" s="606"/>
    </row>
    <row r="593">
      <c r="A593" s="1669"/>
      <c r="B593" s="1154"/>
      <c r="C593" s="1154"/>
      <c r="D593" s="1154"/>
      <c r="E593" s="1154"/>
      <c r="G593" s="606"/>
      <c r="H593" s="606"/>
      <c r="I593" s="606"/>
      <c r="J593" s="606"/>
      <c r="K593" s="606"/>
    </row>
    <row r="594">
      <c r="A594" s="1669"/>
      <c r="B594" s="1154"/>
      <c r="C594" s="23"/>
      <c r="D594" s="1154"/>
      <c r="E594" s="1154"/>
      <c r="G594" s="606"/>
      <c r="H594" s="606"/>
      <c r="I594" s="606"/>
      <c r="J594" s="606"/>
      <c r="K594" s="606"/>
    </row>
    <row r="595">
      <c r="A595" s="1667"/>
      <c r="B595" s="1154"/>
      <c r="C595" s="1154"/>
      <c r="D595" s="1154"/>
      <c r="E595" s="1154"/>
      <c r="G595" s="606"/>
      <c r="H595" s="606"/>
      <c r="I595" s="606"/>
      <c r="J595" s="606"/>
      <c r="K595" s="606"/>
    </row>
    <row r="596">
      <c r="A596" s="1665"/>
      <c r="B596" s="1154"/>
      <c r="C596" s="1154"/>
      <c r="D596" s="1154"/>
      <c r="E596" s="1154"/>
      <c r="G596" s="606"/>
      <c r="H596" s="606"/>
      <c r="I596" s="606"/>
      <c r="J596" s="606"/>
      <c r="K596" s="606"/>
    </row>
    <row r="597">
      <c r="A597" s="1665"/>
      <c r="B597" s="1154"/>
      <c r="C597" s="1154"/>
      <c r="D597" s="1154"/>
      <c r="E597" s="1154"/>
      <c r="G597" s="606"/>
      <c r="H597" s="606"/>
      <c r="I597" s="606"/>
      <c r="J597" s="606"/>
      <c r="K597" s="606"/>
    </row>
    <row r="598">
      <c r="A598" s="1665"/>
      <c r="B598" s="1154"/>
      <c r="C598" s="23"/>
      <c r="D598" s="1154"/>
      <c r="E598" s="1154"/>
      <c r="G598" s="606"/>
      <c r="H598" s="606"/>
      <c r="I598" s="606"/>
      <c r="J598" s="606"/>
      <c r="K598" s="606"/>
    </row>
    <row r="599">
      <c r="A599" s="1667"/>
      <c r="B599" s="1154"/>
      <c r="C599" s="1154"/>
      <c r="D599" s="1154"/>
      <c r="E599" s="1154"/>
      <c r="G599" s="606"/>
      <c r="H599" s="606"/>
      <c r="I599" s="606"/>
      <c r="J599" s="606"/>
      <c r="K599" s="606"/>
    </row>
    <row r="600">
      <c r="A600" s="1665"/>
      <c r="B600" s="1154"/>
      <c r="C600" s="1154"/>
      <c r="D600" s="1154"/>
      <c r="E600" s="1154"/>
      <c r="G600" s="606"/>
      <c r="H600" s="606"/>
      <c r="I600" s="606"/>
      <c r="J600" s="606"/>
      <c r="K600" s="606"/>
    </row>
    <row r="601">
      <c r="A601" s="1665"/>
      <c r="B601" s="1154"/>
      <c r="C601" s="1154"/>
      <c r="D601" s="1154"/>
      <c r="E601" s="1154"/>
      <c r="G601" s="606"/>
      <c r="H601" s="606"/>
      <c r="I601" s="606"/>
      <c r="J601" s="606"/>
      <c r="K601" s="606"/>
    </row>
    <row r="602">
      <c r="A602" s="1665"/>
      <c r="B602" s="1154"/>
      <c r="C602" s="1154"/>
      <c r="D602" s="1154"/>
      <c r="E602" s="1154"/>
      <c r="G602" s="606"/>
      <c r="H602" s="606"/>
      <c r="I602" s="606"/>
      <c r="J602" s="606"/>
      <c r="K602" s="606"/>
    </row>
    <row r="603">
      <c r="A603" s="1665"/>
      <c r="B603" s="1154"/>
      <c r="C603" s="1154"/>
      <c r="D603" s="1154"/>
      <c r="E603" s="1154"/>
      <c r="G603" s="606"/>
      <c r="H603" s="606"/>
      <c r="I603" s="606"/>
      <c r="J603" s="606"/>
      <c r="K603" s="606"/>
    </row>
    <row r="604">
      <c r="A604" s="1665"/>
      <c r="B604" s="1154"/>
      <c r="C604" s="1154"/>
      <c r="D604" s="1154"/>
      <c r="E604" s="1154"/>
      <c r="G604" s="606"/>
      <c r="H604" s="606"/>
      <c r="I604" s="606"/>
      <c r="J604" s="606"/>
      <c r="K604" s="606"/>
    </row>
    <row r="605">
      <c r="A605" s="1665"/>
      <c r="B605" s="1154"/>
      <c r="C605" s="1154"/>
      <c r="D605" s="1154"/>
      <c r="E605" s="1154"/>
      <c r="G605" s="606"/>
      <c r="H605" s="606"/>
      <c r="I605" s="606"/>
      <c r="J605" s="606"/>
      <c r="K605" s="606"/>
    </row>
    <row r="606">
      <c r="A606" s="1653"/>
      <c r="B606" s="1304"/>
      <c r="C606" s="1154"/>
      <c r="D606" s="1154"/>
      <c r="E606" s="1154"/>
      <c r="G606" s="606"/>
      <c r="H606" s="606"/>
      <c r="I606" s="606"/>
      <c r="J606" s="606"/>
      <c r="K606" s="606"/>
    </row>
    <row r="607">
      <c r="A607" s="1653"/>
      <c r="B607" s="1304"/>
      <c r="C607" s="1154"/>
      <c r="D607" s="1154"/>
      <c r="E607" s="1154"/>
      <c r="G607" s="606"/>
      <c r="H607" s="606"/>
      <c r="I607" s="606"/>
      <c r="J607" s="606"/>
      <c r="K607" s="606"/>
    </row>
    <row r="608">
      <c r="A608" s="1665"/>
      <c r="B608" s="1154"/>
      <c r="C608" s="1154"/>
      <c r="D608" s="1154"/>
      <c r="E608" s="1154"/>
      <c r="G608" s="606"/>
      <c r="H608" s="606"/>
      <c r="I608" s="606"/>
      <c r="J608" s="606"/>
      <c r="K608" s="606"/>
    </row>
    <row r="609">
      <c r="A609" s="1665"/>
      <c r="B609" s="1154"/>
      <c r="C609" s="1154"/>
      <c r="D609" s="1154"/>
      <c r="E609" s="1154"/>
      <c r="G609" s="606"/>
      <c r="H609" s="606"/>
      <c r="I609" s="606"/>
      <c r="J609" s="606"/>
      <c r="K609" s="606"/>
    </row>
    <row r="610">
      <c r="A610" s="1665"/>
      <c r="B610" s="1154"/>
      <c r="C610" s="23"/>
      <c r="D610" s="1154"/>
      <c r="E610" s="1154"/>
      <c r="G610" s="606"/>
      <c r="H610" s="606"/>
      <c r="I610" s="606"/>
      <c r="J610" s="606"/>
      <c r="K610" s="606"/>
    </row>
    <row r="611">
      <c r="A611" s="1653"/>
      <c r="B611" s="1304"/>
      <c r="C611" s="1154"/>
      <c r="D611" s="1154"/>
      <c r="E611" s="1154"/>
      <c r="G611" s="606"/>
      <c r="H611" s="606"/>
      <c r="I611" s="606"/>
      <c r="J611" s="606"/>
      <c r="K611" s="606"/>
    </row>
    <row r="612">
      <c r="A612" s="1665"/>
      <c r="B612" s="1154"/>
      <c r="C612" s="1154"/>
      <c r="D612" s="1154"/>
      <c r="E612" s="1154"/>
      <c r="G612" s="606"/>
      <c r="H612" s="606"/>
      <c r="I612" s="606"/>
      <c r="J612" s="606"/>
      <c r="K612" s="606"/>
    </row>
    <row r="613">
      <c r="A613" s="1665"/>
      <c r="B613" s="1154"/>
      <c r="C613" s="1154"/>
      <c r="D613" s="1154"/>
      <c r="E613" s="1154"/>
      <c r="G613" s="606"/>
      <c r="H613" s="606"/>
      <c r="I613" s="606"/>
      <c r="J613" s="606"/>
      <c r="K613" s="606"/>
    </row>
    <row r="614">
      <c r="A614" s="1665"/>
      <c r="B614" s="1154"/>
      <c r="C614" s="23"/>
      <c r="D614" s="1154"/>
      <c r="E614" s="1154"/>
      <c r="G614" s="606"/>
      <c r="H614" s="606"/>
      <c r="I614" s="606"/>
      <c r="J614" s="606"/>
      <c r="K614" s="606"/>
    </row>
    <row r="615">
      <c r="A615" s="1665"/>
      <c r="B615" s="1154"/>
      <c r="C615" s="1154"/>
      <c r="D615" s="1154"/>
      <c r="E615" s="1154"/>
      <c r="G615" s="606"/>
      <c r="H615" s="606"/>
      <c r="I615" s="606"/>
      <c r="J615" s="606"/>
      <c r="K615" s="606"/>
    </row>
    <row r="616">
      <c r="A616" s="1669"/>
      <c r="B616" s="1154"/>
      <c r="C616" s="1154"/>
      <c r="D616" s="1154"/>
      <c r="E616" s="1154"/>
      <c r="G616" s="606"/>
      <c r="H616" s="606"/>
      <c r="I616" s="606"/>
      <c r="J616" s="606"/>
      <c r="K616" s="606"/>
    </row>
    <row r="617">
      <c r="A617" s="1669"/>
      <c r="B617" s="1154"/>
      <c r="C617" s="1154"/>
      <c r="D617" s="1154"/>
      <c r="E617" s="1154"/>
      <c r="G617" s="606"/>
      <c r="H617" s="606"/>
      <c r="I617" s="606"/>
      <c r="J617" s="606"/>
      <c r="K617" s="606"/>
    </row>
    <row r="618">
      <c r="A618" s="1669"/>
      <c r="B618" s="1154"/>
      <c r="C618" s="1154"/>
      <c r="D618" s="1154"/>
      <c r="E618" s="1154"/>
      <c r="G618" s="606"/>
      <c r="H618" s="606"/>
      <c r="I618" s="606"/>
      <c r="J618" s="606"/>
      <c r="K618" s="606"/>
    </row>
    <row r="619">
      <c r="A619" s="1669"/>
      <c r="B619" s="1154"/>
      <c r="C619" s="1154"/>
      <c r="D619" s="1154"/>
      <c r="E619" s="1154"/>
      <c r="G619" s="606"/>
      <c r="H619" s="606"/>
      <c r="I619" s="606"/>
      <c r="J619" s="606"/>
      <c r="K619" s="606"/>
    </row>
    <row r="620">
      <c r="A620" s="1669"/>
      <c r="B620" s="1154"/>
      <c r="C620" s="1154"/>
      <c r="D620" s="1154"/>
      <c r="E620" s="1154"/>
      <c r="G620" s="606"/>
      <c r="H620" s="606"/>
      <c r="I620" s="606"/>
      <c r="J620" s="606"/>
      <c r="K620" s="606"/>
    </row>
    <row r="621">
      <c r="A621" s="1668"/>
      <c r="B621" s="1154"/>
      <c r="C621" s="1154"/>
      <c r="D621" s="1154"/>
      <c r="E621" s="1154"/>
      <c r="G621" s="606"/>
      <c r="H621" s="606"/>
      <c r="I621" s="606"/>
      <c r="J621" s="606"/>
      <c r="K621" s="606"/>
    </row>
    <row r="622">
      <c r="A622" s="1669"/>
      <c r="B622" s="1154"/>
      <c r="C622" s="1154"/>
      <c r="D622" s="1154"/>
      <c r="E622" s="1154"/>
      <c r="G622" s="606"/>
      <c r="H622" s="606"/>
      <c r="I622" s="606"/>
      <c r="J622" s="606"/>
      <c r="K622" s="606"/>
    </row>
    <row r="623">
      <c r="A623" s="1669"/>
      <c r="B623" s="1154"/>
      <c r="C623" s="1154"/>
      <c r="D623" s="1154"/>
      <c r="E623" s="1154"/>
      <c r="G623" s="606"/>
      <c r="H623" s="606"/>
      <c r="I623" s="606"/>
      <c r="J623" s="606"/>
      <c r="K623" s="606"/>
    </row>
    <row r="624">
      <c r="A624" s="1665"/>
      <c r="B624" s="1154"/>
      <c r="C624" s="1154"/>
      <c r="D624" s="1154"/>
      <c r="E624" s="1154"/>
      <c r="G624" s="606"/>
      <c r="H624" s="606"/>
      <c r="I624" s="606"/>
      <c r="J624" s="606"/>
      <c r="K624" s="606"/>
    </row>
    <row r="625">
      <c r="A625" s="1665"/>
      <c r="B625" s="1154"/>
      <c r="C625" s="1154"/>
      <c r="D625" s="1154"/>
      <c r="E625" s="1154"/>
      <c r="G625" s="606"/>
      <c r="H625" s="606"/>
      <c r="I625" s="606"/>
      <c r="J625" s="606"/>
      <c r="K625" s="606"/>
    </row>
    <row r="626">
      <c r="A626" s="1665"/>
      <c r="B626" s="1154"/>
      <c r="C626" s="23"/>
      <c r="D626" s="1154"/>
      <c r="E626" s="1154"/>
      <c r="G626" s="606"/>
      <c r="H626" s="606"/>
      <c r="I626" s="606"/>
      <c r="J626" s="606"/>
      <c r="K626" s="606"/>
    </row>
    <row r="627">
      <c r="A627" s="1665"/>
      <c r="B627" s="1154"/>
      <c r="C627" s="1154"/>
      <c r="D627" s="1154"/>
      <c r="E627" s="1154"/>
      <c r="G627" s="606"/>
      <c r="H627" s="606"/>
      <c r="I627" s="606"/>
      <c r="J627" s="606"/>
      <c r="K627" s="606"/>
    </row>
    <row r="628">
      <c r="A628" s="1665"/>
      <c r="B628" s="1154"/>
      <c r="C628" s="1154"/>
      <c r="D628" s="1154"/>
      <c r="E628" s="1154"/>
      <c r="G628" s="606"/>
      <c r="H628" s="606"/>
      <c r="I628" s="606"/>
      <c r="J628" s="606"/>
      <c r="K628" s="606"/>
    </row>
    <row r="629">
      <c r="A629" s="1665"/>
      <c r="B629" s="1154"/>
      <c r="C629" s="1154"/>
      <c r="D629" s="1154"/>
      <c r="E629" s="1154"/>
      <c r="G629" s="606"/>
      <c r="H629" s="606"/>
      <c r="I629" s="606"/>
      <c r="J629" s="606"/>
      <c r="K629" s="606"/>
    </row>
    <row r="630">
      <c r="A630" s="1665"/>
      <c r="B630" s="1154"/>
      <c r="C630" s="1154"/>
      <c r="D630" s="1154"/>
      <c r="E630" s="1154"/>
      <c r="G630" s="606"/>
      <c r="H630" s="606"/>
      <c r="I630" s="606"/>
      <c r="J630" s="606"/>
      <c r="K630" s="606"/>
    </row>
    <row r="631">
      <c r="A631" s="1665"/>
      <c r="B631" s="1154"/>
      <c r="C631" s="1154"/>
      <c r="D631" s="1154"/>
      <c r="E631" s="1154"/>
      <c r="G631" s="606"/>
      <c r="H631" s="606"/>
      <c r="I631" s="606"/>
      <c r="J631" s="606"/>
      <c r="K631" s="606"/>
    </row>
    <row r="632">
      <c r="A632" s="1665"/>
      <c r="B632" s="1154"/>
      <c r="C632" s="1154"/>
      <c r="D632" s="1154"/>
      <c r="E632" s="1154"/>
      <c r="G632" s="606"/>
      <c r="H632" s="606"/>
      <c r="I632" s="606"/>
      <c r="J632" s="606"/>
      <c r="K632" s="606"/>
    </row>
    <row r="633">
      <c r="A633" s="1665"/>
      <c r="B633" s="1154"/>
      <c r="C633" s="23"/>
      <c r="D633" s="1154"/>
      <c r="E633" s="1154"/>
      <c r="G633" s="606"/>
      <c r="H633" s="606"/>
      <c r="I633" s="606"/>
      <c r="J633" s="606"/>
      <c r="K633" s="606"/>
    </row>
    <row r="634">
      <c r="A634" s="1665"/>
      <c r="B634" s="1154"/>
      <c r="C634" s="1154"/>
      <c r="D634" s="1154"/>
      <c r="E634" s="1154"/>
      <c r="G634" s="606"/>
      <c r="H634" s="606"/>
      <c r="I634" s="606"/>
      <c r="J634" s="606"/>
      <c r="K634" s="606"/>
    </row>
    <row r="635">
      <c r="A635" s="1665"/>
      <c r="B635" s="1154"/>
      <c r="C635" s="1154"/>
      <c r="D635" s="1154"/>
      <c r="E635" s="1154"/>
      <c r="G635" s="606"/>
      <c r="H635" s="606"/>
      <c r="I635" s="606"/>
      <c r="J635" s="606"/>
      <c r="K635" s="606"/>
    </row>
    <row r="636">
      <c r="A636" s="1665"/>
      <c r="B636" s="1154"/>
      <c r="C636" s="1154"/>
      <c r="D636" s="1154"/>
      <c r="E636" s="1154"/>
      <c r="G636" s="606"/>
      <c r="H636" s="606"/>
      <c r="I636" s="606"/>
      <c r="J636" s="606"/>
      <c r="K636" s="606"/>
    </row>
    <row r="637">
      <c r="A637" s="1665"/>
      <c r="B637" s="1154"/>
      <c r="C637" s="1154"/>
      <c r="D637" s="1154"/>
      <c r="E637" s="1154"/>
      <c r="G637" s="606"/>
      <c r="H637" s="606"/>
      <c r="I637" s="606"/>
      <c r="J637" s="606"/>
      <c r="K637" s="606"/>
    </row>
    <row r="638">
      <c r="A638" s="1665"/>
      <c r="B638" s="1154"/>
      <c r="C638" s="1154"/>
      <c r="D638" s="1154"/>
      <c r="E638" s="1154"/>
      <c r="G638" s="606"/>
      <c r="H638" s="606"/>
      <c r="I638" s="606"/>
      <c r="J638" s="606"/>
      <c r="K638" s="606"/>
    </row>
    <row r="639">
      <c r="A639" s="1665"/>
      <c r="B639" s="1154"/>
      <c r="C639" s="1154"/>
      <c r="D639" s="1154"/>
      <c r="E639" s="1154"/>
      <c r="G639" s="606"/>
      <c r="H639" s="606"/>
      <c r="I639" s="606"/>
      <c r="J639" s="606"/>
      <c r="K639" s="606"/>
    </row>
    <row r="640">
      <c r="A640" s="1665"/>
      <c r="B640" s="1154"/>
      <c r="C640" s="1154"/>
      <c r="D640" s="1154"/>
      <c r="E640" s="1154"/>
      <c r="G640" s="606"/>
      <c r="H640" s="606"/>
      <c r="I640" s="606"/>
      <c r="J640" s="606"/>
      <c r="K640" s="606"/>
    </row>
    <row r="641">
      <c r="A641" s="1665"/>
      <c r="B641" s="1154"/>
      <c r="C641" s="1154"/>
      <c r="D641" s="1154"/>
      <c r="E641" s="1154"/>
      <c r="G641" s="606"/>
      <c r="H641" s="606"/>
      <c r="I641" s="606"/>
      <c r="J641" s="606"/>
      <c r="K641" s="606"/>
    </row>
    <row r="642">
      <c r="A642" s="1665"/>
      <c r="B642" s="1154"/>
      <c r="C642" s="23"/>
      <c r="D642" s="1154"/>
      <c r="E642" s="1154"/>
      <c r="G642" s="606"/>
      <c r="H642" s="606"/>
      <c r="I642" s="606"/>
      <c r="J642" s="606"/>
      <c r="K642" s="606"/>
    </row>
    <row r="643">
      <c r="A643" s="1665"/>
      <c r="B643" s="1154"/>
      <c r="C643" s="1154"/>
      <c r="D643" s="1154"/>
      <c r="E643" s="1154"/>
      <c r="G643" s="606"/>
      <c r="H643" s="606"/>
      <c r="I643" s="606"/>
      <c r="J643" s="606"/>
      <c r="K643" s="606"/>
    </row>
    <row r="644">
      <c r="A644" s="1665"/>
      <c r="B644" s="1154"/>
      <c r="C644" s="1154"/>
      <c r="D644" s="1154"/>
      <c r="E644" s="1154"/>
      <c r="G644" s="606"/>
      <c r="H644" s="606"/>
      <c r="I644" s="606"/>
      <c r="J644" s="606"/>
      <c r="K644" s="606"/>
    </row>
    <row r="645">
      <c r="A645" s="1665"/>
      <c r="B645" s="1154"/>
      <c r="C645" s="1154"/>
      <c r="D645" s="1154"/>
      <c r="E645" s="1154"/>
      <c r="G645" s="606"/>
      <c r="H645" s="606"/>
      <c r="I645" s="606"/>
      <c r="J645" s="606"/>
      <c r="K645" s="606"/>
    </row>
    <row r="646">
      <c r="A646" s="1653"/>
      <c r="B646" s="1154"/>
      <c r="C646" s="1154"/>
      <c r="D646" s="1154"/>
      <c r="E646" s="1154"/>
      <c r="G646" s="606"/>
      <c r="H646" s="606"/>
      <c r="I646" s="606"/>
      <c r="J646" s="606"/>
      <c r="K646" s="606"/>
    </row>
    <row r="647">
      <c r="A647" s="1665"/>
      <c r="B647" s="1154"/>
      <c r="C647" s="23"/>
      <c r="D647" s="1154"/>
      <c r="E647" s="1154"/>
      <c r="G647" s="606"/>
      <c r="H647" s="606"/>
      <c r="I647" s="606"/>
      <c r="J647" s="606"/>
      <c r="K647" s="606"/>
    </row>
    <row r="648">
      <c r="A648" s="1665"/>
      <c r="B648" s="1154"/>
      <c r="C648" s="1154"/>
      <c r="D648" s="1154"/>
      <c r="E648" s="1154"/>
      <c r="G648" s="606"/>
      <c r="H648" s="606"/>
      <c r="I648" s="606"/>
      <c r="J648" s="606"/>
      <c r="K648" s="606"/>
    </row>
    <row r="649">
      <c r="A649" s="1665"/>
      <c r="B649" s="1154"/>
      <c r="C649" s="23"/>
      <c r="D649" s="1154"/>
      <c r="E649" s="1154"/>
      <c r="G649" s="606"/>
      <c r="H649" s="606"/>
      <c r="I649" s="606"/>
      <c r="J649" s="606"/>
      <c r="K649" s="606"/>
    </row>
    <row r="650">
      <c r="A650" s="1665"/>
      <c r="B650" s="1154"/>
      <c r="C650" s="1154"/>
      <c r="D650" s="1154"/>
      <c r="E650" s="1154"/>
      <c r="G650" s="606"/>
      <c r="H650" s="606"/>
      <c r="I650" s="606"/>
      <c r="J650" s="606"/>
      <c r="K650" s="606"/>
    </row>
    <row r="651">
      <c r="A651" s="1665"/>
      <c r="B651" s="1304"/>
      <c r="C651" s="1154"/>
      <c r="D651" s="1154"/>
      <c r="E651" s="1154"/>
      <c r="G651" s="606"/>
      <c r="H651" s="606"/>
      <c r="I651" s="606"/>
      <c r="J651" s="606"/>
      <c r="K651" s="606"/>
    </row>
    <row r="652">
      <c r="A652" s="1665"/>
      <c r="B652" s="1154"/>
      <c r="C652" s="23"/>
      <c r="D652" s="1154"/>
      <c r="E652" s="1154"/>
      <c r="G652" s="606"/>
      <c r="H652" s="606"/>
      <c r="I652" s="606"/>
      <c r="J652" s="606"/>
      <c r="K652" s="606"/>
    </row>
    <row r="653">
      <c r="A653" s="1665"/>
      <c r="B653" s="1154"/>
      <c r="C653" s="1154"/>
      <c r="D653" s="1154"/>
      <c r="E653" s="1154"/>
      <c r="G653" s="606"/>
      <c r="H653" s="606"/>
      <c r="I653" s="606"/>
      <c r="J653" s="606"/>
      <c r="K653" s="606"/>
    </row>
    <row r="654">
      <c r="A654" s="1665"/>
      <c r="B654" s="1154"/>
      <c r="C654" s="1154"/>
      <c r="D654" s="1154"/>
      <c r="E654" s="1154"/>
      <c r="G654" s="606"/>
      <c r="H654" s="606"/>
      <c r="I654" s="606"/>
      <c r="J654" s="606"/>
      <c r="K654" s="606"/>
    </row>
    <row r="655">
      <c r="A655" s="1665"/>
      <c r="B655" s="1154"/>
      <c r="C655" s="1154"/>
      <c r="D655" s="1154"/>
      <c r="E655" s="1154"/>
      <c r="G655" s="606"/>
      <c r="H655" s="606"/>
      <c r="I655" s="606"/>
      <c r="J655" s="606"/>
      <c r="K655" s="606"/>
    </row>
    <row r="656">
      <c r="A656" s="1665"/>
      <c r="B656" s="1154"/>
      <c r="C656" s="1154"/>
      <c r="D656" s="1154"/>
      <c r="E656" s="1154"/>
      <c r="G656" s="606"/>
      <c r="H656" s="606"/>
      <c r="I656" s="606"/>
      <c r="J656" s="606"/>
      <c r="K656" s="606"/>
    </row>
    <row r="657">
      <c r="A657" s="1665"/>
      <c r="B657" s="1154"/>
      <c r="C657" s="1154"/>
      <c r="D657" s="1154"/>
      <c r="E657" s="1154"/>
      <c r="G657" s="606"/>
      <c r="H657" s="606"/>
      <c r="I657" s="606"/>
      <c r="J657" s="606"/>
      <c r="K657" s="606"/>
    </row>
    <row r="658">
      <c r="A658" s="1665"/>
      <c r="B658" s="1154"/>
      <c r="C658" s="1154"/>
      <c r="D658" s="1154"/>
      <c r="E658" s="1154"/>
      <c r="G658" s="606"/>
      <c r="H658" s="606"/>
      <c r="I658" s="606"/>
      <c r="J658" s="606"/>
      <c r="K658" s="606"/>
    </row>
    <row r="659">
      <c r="A659" s="1665"/>
      <c r="B659" s="1154"/>
      <c r="C659" s="1154"/>
      <c r="D659" s="1154"/>
      <c r="E659" s="1154"/>
      <c r="G659" s="606"/>
      <c r="H659" s="606"/>
      <c r="I659" s="606"/>
      <c r="J659" s="606"/>
      <c r="K659" s="606"/>
    </row>
    <row r="660">
      <c r="A660" s="1665"/>
      <c r="B660" s="1154"/>
      <c r="C660" s="1154"/>
      <c r="D660" s="1154"/>
      <c r="E660" s="1154"/>
      <c r="G660" s="606"/>
      <c r="H660" s="606"/>
      <c r="I660" s="606"/>
      <c r="J660" s="606"/>
      <c r="K660" s="606"/>
    </row>
    <row r="661">
      <c r="A661" s="1665"/>
      <c r="B661" s="1154"/>
      <c r="C661" s="1154"/>
      <c r="D661" s="1154"/>
      <c r="E661" s="1154"/>
      <c r="G661" s="606"/>
      <c r="H661" s="606"/>
      <c r="I661" s="606"/>
      <c r="J661" s="606"/>
      <c r="K661" s="606"/>
    </row>
    <row r="662">
      <c r="A662" s="1665"/>
      <c r="B662" s="1154"/>
      <c r="C662" s="1154"/>
      <c r="D662" s="1154"/>
      <c r="E662" s="1154"/>
      <c r="G662" s="606"/>
      <c r="H662" s="606"/>
      <c r="I662" s="606"/>
      <c r="J662" s="606"/>
      <c r="K662" s="606"/>
    </row>
    <row r="663">
      <c r="A663" s="1665"/>
      <c r="B663" s="1154"/>
      <c r="C663" s="1154"/>
      <c r="D663" s="1154"/>
      <c r="E663" s="1154"/>
      <c r="G663" s="606"/>
      <c r="H663" s="606"/>
      <c r="I663" s="606"/>
      <c r="J663" s="606"/>
      <c r="K663" s="606"/>
    </row>
    <row r="664">
      <c r="A664" s="1665"/>
      <c r="B664" s="1154"/>
      <c r="C664" s="1154"/>
      <c r="D664" s="1154"/>
      <c r="E664" s="1154"/>
      <c r="G664" s="606"/>
      <c r="H664" s="606"/>
      <c r="I664" s="606"/>
      <c r="J664" s="606"/>
      <c r="K664" s="606"/>
    </row>
    <row r="665">
      <c r="A665" s="1665"/>
      <c r="B665" s="1154"/>
      <c r="C665" s="1154"/>
      <c r="D665" s="1154"/>
      <c r="E665" s="1154"/>
      <c r="G665" s="606"/>
      <c r="H665" s="606"/>
      <c r="I665" s="606"/>
      <c r="J665" s="606"/>
      <c r="K665" s="606"/>
    </row>
    <row r="666">
      <c r="A666" s="1665"/>
      <c r="B666" s="1154"/>
      <c r="C666" s="1154"/>
      <c r="D666" s="1154"/>
      <c r="E666" s="1154"/>
      <c r="G666" s="606"/>
      <c r="H666" s="606"/>
      <c r="I666" s="606"/>
      <c r="J666" s="606"/>
      <c r="K666" s="606"/>
    </row>
    <row r="667">
      <c r="A667" s="1665"/>
      <c r="B667" s="1154"/>
      <c r="C667" s="23"/>
      <c r="D667" s="1154"/>
      <c r="E667" s="1154"/>
      <c r="G667" s="606"/>
      <c r="H667" s="606"/>
      <c r="I667" s="606"/>
      <c r="J667" s="606"/>
      <c r="K667" s="606"/>
    </row>
    <row r="668">
      <c r="A668" s="1665"/>
      <c r="B668" s="1304"/>
      <c r="C668" s="1154"/>
      <c r="D668" s="1154"/>
      <c r="E668" s="1154"/>
      <c r="G668" s="606"/>
      <c r="H668" s="606"/>
      <c r="I668" s="606"/>
      <c r="J668" s="606"/>
      <c r="K668" s="606"/>
    </row>
    <row r="669">
      <c r="A669" s="1665"/>
      <c r="B669" s="1154"/>
      <c r="C669" s="1154"/>
      <c r="D669" s="1154"/>
      <c r="E669" s="1154"/>
      <c r="G669" s="606"/>
      <c r="H669" s="606"/>
      <c r="I669" s="606"/>
      <c r="J669" s="606"/>
      <c r="K669" s="606"/>
    </row>
    <row r="670">
      <c r="A670" s="1665"/>
      <c r="B670" s="1154"/>
      <c r="C670" s="1154"/>
      <c r="D670" s="1154"/>
      <c r="E670" s="1154"/>
      <c r="G670" s="606"/>
      <c r="H670" s="606"/>
      <c r="I670" s="606"/>
      <c r="J670" s="606"/>
      <c r="K670" s="606"/>
    </row>
    <row r="671">
      <c r="A671" s="1665"/>
      <c r="B671" s="1154"/>
      <c r="C671" s="1154"/>
      <c r="D671" s="1154"/>
      <c r="E671" s="1154"/>
      <c r="G671" s="606"/>
      <c r="H671" s="606"/>
      <c r="I671" s="606"/>
      <c r="J671" s="606"/>
      <c r="K671" s="606"/>
    </row>
    <row r="672">
      <c r="A672" s="1665"/>
      <c r="B672" s="1154"/>
      <c r="C672" s="23"/>
      <c r="D672" s="1154"/>
      <c r="E672" s="1154"/>
      <c r="G672" s="606"/>
      <c r="H672" s="606"/>
      <c r="I672" s="606"/>
      <c r="J672" s="606"/>
      <c r="K672" s="606"/>
    </row>
    <row r="673">
      <c r="A673" s="1665"/>
      <c r="B673" s="1154"/>
      <c r="C673" s="1154"/>
      <c r="D673" s="1154"/>
      <c r="E673" s="1154"/>
      <c r="G673" s="606"/>
      <c r="H673" s="606"/>
      <c r="I673" s="606"/>
      <c r="J673" s="606"/>
      <c r="K673" s="606"/>
    </row>
    <row r="674">
      <c r="A674" s="1665"/>
      <c r="B674" s="1154"/>
      <c r="C674" s="1154"/>
      <c r="D674" s="1154"/>
      <c r="E674" s="1154"/>
      <c r="G674" s="606"/>
      <c r="H674" s="606"/>
      <c r="I674" s="606"/>
      <c r="J674" s="606"/>
      <c r="K674" s="606"/>
    </row>
    <row r="675">
      <c r="A675" s="1665"/>
      <c r="B675" s="1154"/>
      <c r="C675" s="1154"/>
      <c r="D675" s="1154"/>
      <c r="E675" s="1154"/>
      <c r="G675" s="606"/>
      <c r="H675" s="606"/>
      <c r="I675" s="606"/>
      <c r="J675" s="606"/>
      <c r="K675" s="606"/>
    </row>
    <row r="676">
      <c r="A676" s="1665"/>
      <c r="B676" s="1154"/>
      <c r="C676" s="1154"/>
      <c r="D676" s="1154"/>
      <c r="E676" s="1154"/>
      <c r="G676" s="606"/>
      <c r="H676" s="606"/>
      <c r="I676" s="606"/>
      <c r="J676" s="606"/>
      <c r="K676" s="606"/>
    </row>
    <row r="677">
      <c r="A677" s="1665"/>
      <c r="B677" s="1154"/>
      <c r="C677" s="1154"/>
      <c r="D677" s="1154"/>
      <c r="E677" s="1154"/>
      <c r="G677" s="606"/>
      <c r="H677" s="606"/>
      <c r="I677" s="606"/>
      <c r="J677" s="606"/>
      <c r="K677" s="606"/>
    </row>
    <row r="678">
      <c r="A678" s="1665"/>
      <c r="B678" s="1154"/>
      <c r="C678" s="1154"/>
      <c r="D678" s="1154"/>
      <c r="E678" s="1154"/>
      <c r="G678" s="606"/>
      <c r="H678" s="606"/>
      <c r="I678" s="606"/>
      <c r="J678" s="606"/>
      <c r="K678" s="606"/>
    </row>
    <row r="679">
      <c r="A679" s="1665"/>
      <c r="B679" s="1154"/>
      <c r="C679" s="1154"/>
      <c r="D679" s="1154"/>
      <c r="E679" s="1154"/>
      <c r="G679" s="606"/>
      <c r="H679" s="606"/>
      <c r="I679" s="606"/>
      <c r="J679" s="606"/>
      <c r="K679" s="606"/>
    </row>
    <row r="680">
      <c r="A680" s="1665"/>
      <c r="B680" s="1154"/>
      <c r="C680" s="23"/>
      <c r="D680" s="1154"/>
      <c r="E680" s="1154"/>
      <c r="G680" s="606"/>
      <c r="H680" s="606"/>
      <c r="I680" s="606"/>
      <c r="J680" s="606"/>
      <c r="K680" s="606"/>
    </row>
    <row r="681">
      <c r="A681" s="1665"/>
      <c r="B681" s="1154"/>
      <c r="C681" s="1154"/>
      <c r="D681" s="1154"/>
      <c r="E681" s="1154"/>
      <c r="G681" s="606"/>
      <c r="H681" s="606"/>
      <c r="I681" s="606"/>
      <c r="J681" s="606"/>
      <c r="K681" s="606"/>
    </row>
    <row r="682">
      <c r="A682" s="1665"/>
      <c r="B682" s="1154"/>
      <c r="C682" s="1154"/>
      <c r="D682" s="1154"/>
      <c r="E682" s="1154"/>
      <c r="G682" s="606"/>
      <c r="H682" s="606"/>
      <c r="I682" s="606"/>
      <c r="J682" s="606"/>
      <c r="K682" s="606"/>
    </row>
    <row r="683">
      <c r="A683" s="1665"/>
      <c r="B683" s="1154"/>
      <c r="C683" s="1154"/>
      <c r="D683" s="1154"/>
      <c r="E683" s="1154"/>
      <c r="G683" s="606"/>
      <c r="H683" s="606"/>
      <c r="I683" s="606"/>
      <c r="J683" s="606"/>
      <c r="K683" s="606"/>
    </row>
    <row r="684">
      <c r="A684" s="1665"/>
      <c r="B684" s="1154"/>
      <c r="C684" s="1154"/>
      <c r="D684" s="1154"/>
      <c r="E684" s="1154"/>
      <c r="G684" s="606"/>
      <c r="H684" s="606"/>
      <c r="I684" s="606"/>
      <c r="J684" s="606"/>
      <c r="K684" s="606"/>
    </row>
    <row r="685">
      <c r="A685" s="1665"/>
      <c r="B685" s="1154"/>
      <c r="C685" s="1154"/>
      <c r="D685" s="1154"/>
      <c r="E685" s="1154"/>
      <c r="G685" s="606"/>
      <c r="H685" s="606"/>
      <c r="I685" s="606"/>
      <c r="J685" s="606"/>
      <c r="K685" s="606"/>
    </row>
    <row r="686">
      <c r="A686" s="1653"/>
      <c r="B686" s="1154"/>
      <c r="C686" s="1154"/>
      <c r="D686" s="1154"/>
      <c r="E686" s="1154"/>
      <c r="G686" s="606"/>
      <c r="H686" s="606"/>
      <c r="I686" s="606"/>
      <c r="J686" s="606"/>
      <c r="K686" s="606"/>
    </row>
    <row r="687">
      <c r="A687" s="1665"/>
      <c r="B687" s="1154"/>
      <c r="C687" s="23"/>
      <c r="D687" s="1154"/>
      <c r="E687" s="1154"/>
      <c r="G687" s="606"/>
      <c r="H687" s="606"/>
      <c r="I687" s="606"/>
      <c r="J687" s="606"/>
      <c r="K687" s="606"/>
    </row>
    <row r="688">
      <c r="A688" s="1665"/>
      <c r="B688" s="1154"/>
      <c r="C688" s="1154"/>
      <c r="D688" s="1154"/>
      <c r="E688" s="1154"/>
      <c r="G688" s="606"/>
      <c r="H688" s="606"/>
      <c r="I688" s="606"/>
      <c r="J688" s="606"/>
      <c r="K688" s="606"/>
    </row>
    <row r="689">
      <c r="A689" s="1665"/>
      <c r="B689" s="1154"/>
      <c r="C689" s="1154"/>
      <c r="D689" s="1154"/>
      <c r="E689" s="1154"/>
      <c r="G689" s="606"/>
      <c r="H689" s="606"/>
      <c r="I689" s="606"/>
      <c r="J689" s="606"/>
      <c r="K689" s="606"/>
    </row>
    <row r="690">
      <c r="A690" s="1665"/>
      <c r="B690" s="1154"/>
      <c r="C690" s="1154"/>
      <c r="D690" s="1154"/>
      <c r="E690" s="1154"/>
      <c r="G690" s="606"/>
      <c r="H690" s="606"/>
      <c r="I690" s="606"/>
      <c r="J690" s="606"/>
      <c r="K690" s="606"/>
    </row>
    <row r="691">
      <c r="A691" s="1665"/>
      <c r="B691" s="1154"/>
      <c r="C691" s="1154"/>
      <c r="D691" s="1154"/>
      <c r="E691" s="1154"/>
      <c r="G691" s="606"/>
      <c r="H691" s="606"/>
      <c r="I691" s="606"/>
      <c r="J691" s="606"/>
      <c r="K691" s="606"/>
    </row>
    <row r="692">
      <c r="A692" s="1665"/>
      <c r="B692" s="1154"/>
      <c r="C692" s="1154"/>
      <c r="D692" s="1154"/>
      <c r="E692" s="1154"/>
      <c r="G692" s="606"/>
      <c r="H692" s="606"/>
      <c r="I692" s="606"/>
      <c r="J692" s="606"/>
      <c r="K692" s="606"/>
    </row>
    <row r="693">
      <c r="A693" s="1665"/>
      <c r="B693" s="1154"/>
      <c r="C693" s="1154"/>
      <c r="D693" s="1154"/>
      <c r="E693" s="1154"/>
      <c r="G693" s="606"/>
      <c r="H693" s="606"/>
      <c r="I693" s="606"/>
      <c r="J693" s="606"/>
      <c r="K693" s="606"/>
    </row>
    <row r="694">
      <c r="A694" s="1665"/>
      <c r="B694" s="1154"/>
      <c r="C694" s="23"/>
      <c r="D694" s="1154"/>
      <c r="E694" s="1154"/>
      <c r="G694" s="606"/>
      <c r="H694" s="606"/>
      <c r="I694" s="606"/>
      <c r="J694" s="606"/>
      <c r="K694" s="606"/>
    </row>
    <row r="695">
      <c r="A695" s="1665"/>
      <c r="B695" s="1154"/>
      <c r="C695" s="1154"/>
      <c r="D695" s="1154"/>
      <c r="E695" s="1154"/>
      <c r="G695" s="606"/>
      <c r="H695" s="606"/>
      <c r="I695" s="606"/>
      <c r="J695" s="606"/>
      <c r="K695" s="606"/>
    </row>
    <row r="696">
      <c r="A696" s="1665"/>
      <c r="B696" s="1154"/>
      <c r="C696" s="1154"/>
      <c r="D696" s="1154"/>
      <c r="E696" s="1154"/>
      <c r="G696" s="606"/>
      <c r="H696" s="606"/>
      <c r="I696" s="606"/>
      <c r="J696" s="606"/>
      <c r="K696" s="606"/>
    </row>
    <row r="697">
      <c r="A697" s="1653"/>
      <c r="B697" s="1154"/>
      <c r="C697" s="1154"/>
      <c r="D697" s="1154"/>
      <c r="E697" s="1154"/>
      <c r="G697" s="606"/>
      <c r="H697" s="606"/>
      <c r="I697" s="606"/>
      <c r="J697" s="606"/>
      <c r="K697" s="606"/>
    </row>
    <row r="698">
      <c r="A698" s="1665"/>
      <c r="B698" s="1154"/>
      <c r="C698" s="1154"/>
      <c r="D698" s="1154"/>
      <c r="E698" s="1154"/>
      <c r="G698" s="606"/>
      <c r="H698" s="606"/>
      <c r="I698" s="606"/>
      <c r="J698" s="606"/>
      <c r="K698" s="606"/>
    </row>
    <row r="699">
      <c r="A699" s="1665"/>
      <c r="B699" s="1154"/>
      <c r="C699" s="1154"/>
      <c r="D699" s="1154"/>
      <c r="E699" s="1154"/>
      <c r="G699" s="606"/>
      <c r="H699" s="606"/>
      <c r="I699" s="606"/>
      <c r="J699" s="606"/>
      <c r="K699" s="606"/>
    </row>
    <row r="700">
      <c r="A700" s="1665"/>
      <c r="B700" s="1154"/>
      <c r="C700" s="1154"/>
      <c r="D700" s="1154"/>
      <c r="E700" s="1154"/>
      <c r="G700" s="606"/>
      <c r="H700" s="606"/>
      <c r="I700" s="606"/>
      <c r="J700" s="606"/>
      <c r="K700" s="606"/>
    </row>
    <row r="701">
      <c r="A701" s="1665"/>
      <c r="B701" s="1154"/>
      <c r="C701" s="1154"/>
      <c r="D701" s="1154"/>
      <c r="E701" s="1154"/>
      <c r="G701" s="606"/>
      <c r="H701" s="606"/>
      <c r="I701" s="606"/>
      <c r="J701" s="606"/>
      <c r="K701" s="606"/>
    </row>
    <row r="702">
      <c r="A702" s="1665"/>
      <c r="B702" s="1154"/>
      <c r="C702" s="1154"/>
      <c r="D702" s="1154"/>
      <c r="E702" s="1154"/>
      <c r="G702" s="606"/>
      <c r="H702" s="606"/>
      <c r="I702" s="606"/>
      <c r="J702" s="606"/>
      <c r="K702" s="606"/>
    </row>
    <row r="703">
      <c r="A703" s="1665"/>
      <c r="B703" s="1154"/>
      <c r="C703" s="1154"/>
      <c r="D703" s="1154"/>
      <c r="E703" s="1154"/>
      <c r="G703" s="606"/>
      <c r="H703" s="606"/>
      <c r="I703" s="606"/>
      <c r="J703" s="606"/>
      <c r="K703" s="606"/>
    </row>
    <row r="704">
      <c r="A704" s="1665"/>
      <c r="B704" s="1154"/>
      <c r="C704" s="1154"/>
      <c r="D704" s="1154"/>
      <c r="E704" s="1154"/>
      <c r="G704" s="606"/>
      <c r="H704" s="606"/>
      <c r="I704" s="606"/>
      <c r="J704" s="606"/>
      <c r="K704" s="606"/>
    </row>
    <row r="705">
      <c r="A705" s="1665"/>
      <c r="B705" s="1154"/>
      <c r="C705" s="23"/>
      <c r="D705" s="1154"/>
      <c r="E705" s="1154"/>
      <c r="G705" s="606"/>
      <c r="H705" s="606"/>
      <c r="I705" s="606"/>
      <c r="J705" s="606"/>
      <c r="K705" s="606"/>
    </row>
    <row r="706">
      <c r="A706" s="1653"/>
      <c r="B706" s="1154"/>
      <c r="C706" s="1154"/>
      <c r="D706" s="1154"/>
      <c r="E706" s="1154"/>
      <c r="G706" s="606"/>
      <c r="H706" s="606"/>
      <c r="I706" s="606"/>
      <c r="J706" s="606"/>
      <c r="K706" s="606"/>
    </row>
    <row r="707">
      <c r="A707" s="1665"/>
      <c r="B707" s="1154"/>
      <c r="C707" s="23"/>
      <c r="D707" s="1154"/>
      <c r="E707" s="1154"/>
      <c r="G707" s="606"/>
      <c r="H707" s="606"/>
      <c r="I707" s="606"/>
      <c r="J707" s="606"/>
      <c r="K707" s="606"/>
    </row>
    <row r="708">
      <c r="A708" s="1665"/>
      <c r="B708" s="1154"/>
      <c r="C708" s="1154"/>
      <c r="D708" s="1154"/>
      <c r="E708" s="1154"/>
      <c r="G708" s="606"/>
      <c r="H708" s="606"/>
      <c r="I708" s="606"/>
      <c r="J708" s="606"/>
      <c r="K708" s="606"/>
    </row>
    <row r="709">
      <c r="A709" s="1665"/>
      <c r="B709" s="1154"/>
      <c r="C709" s="23"/>
      <c r="D709" s="1154"/>
      <c r="E709" s="1154"/>
      <c r="G709" s="606"/>
      <c r="H709" s="606"/>
      <c r="I709" s="606"/>
      <c r="J709" s="606"/>
      <c r="K709" s="606"/>
    </row>
    <row r="710">
      <c r="A710" s="1665"/>
      <c r="B710" s="1154"/>
      <c r="C710" s="1154"/>
      <c r="D710" s="1154"/>
      <c r="E710" s="1154"/>
      <c r="G710" s="606"/>
      <c r="H710" s="606"/>
      <c r="I710" s="606"/>
      <c r="J710" s="606"/>
      <c r="K710" s="606"/>
    </row>
    <row r="711">
      <c r="A711" s="1665"/>
      <c r="B711" s="1154"/>
      <c r="C711" s="1154"/>
      <c r="D711" s="1154"/>
      <c r="E711" s="1154"/>
      <c r="G711" s="606"/>
      <c r="H711" s="606"/>
      <c r="I711" s="606"/>
      <c r="J711" s="606"/>
      <c r="K711" s="606"/>
    </row>
    <row r="712">
      <c r="A712" s="1665"/>
      <c r="B712" s="1154"/>
      <c r="C712" s="1154"/>
      <c r="D712" s="1154"/>
      <c r="E712" s="1154"/>
      <c r="G712" s="606"/>
      <c r="H712" s="606"/>
      <c r="I712" s="606"/>
      <c r="J712" s="606"/>
      <c r="K712" s="606"/>
    </row>
    <row r="713">
      <c r="A713" s="1665"/>
      <c r="B713" s="1154"/>
      <c r="C713" s="1154"/>
      <c r="D713" s="1154"/>
      <c r="E713" s="1154"/>
      <c r="G713" s="606"/>
      <c r="H713" s="606"/>
      <c r="I713" s="606"/>
      <c r="J713" s="606"/>
      <c r="K713" s="606"/>
    </row>
    <row r="714">
      <c r="A714" s="1665"/>
      <c r="B714" s="1154"/>
      <c r="C714" s="1154"/>
      <c r="D714" s="1154"/>
      <c r="E714" s="1154"/>
      <c r="G714" s="606"/>
      <c r="H714" s="606"/>
      <c r="I714" s="606"/>
      <c r="J714" s="606"/>
      <c r="K714" s="606"/>
    </row>
    <row r="715">
      <c r="A715" s="1665"/>
      <c r="B715" s="1154"/>
      <c r="C715" s="1154"/>
      <c r="D715" s="1154"/>
      <c r="E715" s="1154"/>
      <c r="G715" s="606"/>
      <c r="H715" s="606"/>
      <c r="I715" s="606"/>
      <c r="J715" s="606"/>
      <c r="K715" s="606"/>
    </row>
    <row r="716">
      <c r="A716" s="1665"/>
      <c r="B716" s="1154"/>
      <c r="C716" s="1154"/>
      <c r="D716" s="1154"/>
      <c r="E716" s="1154"/>
      <c r="G716" s="606"/>
      <c r="H716" s="606"/>
      <c r="I716" s="606"/>
      <c r="J716" s="606"/>
      <c r="K716" s="606"/>
    </row>
    <row r="717">
      <c r="A717" s="1665"/>
      <c r="B717" s="1154"/>
      <c r="C717" s="1154"/>
      <c r="D717" s="1154"/>
      <c r="E717" s="1154"/>
      <c r="G717" s="606"/>
      <c r="H717" s="606"/>
      <c r="I717" s="606"/>
      <c r="J717" s="606"/>
      <c r="K717" s="606"/>
    </row>
    <row r="718">
      <c r="A718" s="1665"/>
      <c r="B718" s="1154"/>
      <c r="C718" s="23"/>
      <c r="D718" s="1154"/>
      <c r="E718" s="1154"/>
      <c r="G718" s="606"/>
      <c r="H718" s="606"/>
      <c r="I718" s="606"/>
      <c r="J718" s="606"/>
      <c r="K718" s="606"/>
    </row>
    <row r="719">
      <c r="A719" s="1665"/>
      <c r="B719" s="1154"/>
      <c r="C719" s="1154"/>
      <c r="D719" s="1154"/>
      <c r="E719" s="1154"/>
      <c r="G719" s="606"/>
      <c r="H719" s="606"/>
      <c r="I719" s="606"/>
      <c r="J719" s="606"/>
      <c r="K719" s="606"/>
    </row>
    <row r="720">
      <c r="A720" s="1665"/>
      <c r="B720" s="1154"/>
      <c r="C720" s="1154"/>
      <c r="D720" s="1154"/>
      <c r="E720" s="1154"/>
      <c r="G720" s="606"/>
      <c r="H720" s="606"/>
      <c r="I720" s="606"/>
      <c r="J720" s="606"/>
      <c r="K720" s="606"/>
    </row>
    <row r="721">
      <c r="A721" s="1665"/>
      <c r="B721" s="1154"/>
      <c r="C721" s="1154"/>
      <c r="D721" s="1154"/>
      <c r="E721" s="1154"/>
      <c r="G721" s="606"/>
      <c r="H721" s="606"/>
      <c r="I721" s="606"/>
      <c r="J721" s="606"/>
      <c r="K721" s="606"/>
    </row>
    <row r="722">
      <c r="A722" s="1665"/>
      <c r="B722" s="1154"/>
      <c r="C722" s="1154"/>
      <c r="D722" s="1154"/>
      <c r="E722" s="1154"/>
      <c r="G722" s="606"/>
      <c r="H722" s="606"/>
      <c r="I722" s="606"/>
      <c r="J722" s="606"/>
      <c r="K722" s="606"/>
    </row>
    <row r="723">
      <c r="A723" s="1665"/>
      <c r="B723" s="1154"/>
      <c r="C723" s="1154"/>
      <c r="D723" s="1154"/>
      <c r="E723" s="1154"/>
      <c r="G723" s="606"/>
      <c r="H723" s="606"/>
      <c r="I723" s="606"/>
      <c r="J723" s="606"/>
      <c r="K723" s="606"/>
    </row>
    <row r="724">
      <c r="A724" s="1665"/>
      <c r="B724" s="1154"/>
      <c r="C724" s="1154"/>
      <c r="D724" s="1154"/>
      <c r="E724" s="1154"/>
      <c r="G724" s="606"/>
      <c r="H724" s="606"/>
      <c r="I724" s="606"/>
      <c r="J724" s="606"/>
      <c r="K724" s="606"/>
    </row>
    <row r="725">
      <c r="A725" s="1665"/>
      <c r="B725" s="1154"/>
      <c r="C725" s="1154"/>
      <c r="D725" s="1154"/>
      <c r="E725" s="1154"/>
      <c r="G725" s="606"/>
      <c r="H725" s="606"/>
      <c r="I725" s="606"/>
      <c r="J725" s="606"/>
      <c r="K725" s="606"/>
    </row>
    <row r="726">
      <c r="A726" s="1665"/>
      <c r="B726" s="1154"/>
      <c r="C726" s="1154"/>
      <c r="D726" s="1154"/>
      <c r="E726" s="1154"/>
      <c r="G726" s="606"/>
      <c r="H726" s="606"/>
      <c r="I726" s="606"/>
      <c r="J726" s="606"/>
      <c r="K726" s="606"/>
    </row>
    <row r="727">
      <c r="A727" s="1665"/>
      <c r="B727" s="1154"/>
      <c r="C727" s="1154"/>
      <c r="D727" s="1154"/>
      <c r="E727" s="1154"/>
      <c r="G727" s="606"/>
      <c r="H727" s="606"/>
      <c r="I727" s="606"/>
      <c r="J727" s="606"/>
      <c r="K727" s="606"/>
    </row>
    <row r="728">
      <c r="A728" s="1665"/>
      <c r="B728" s="1154"/>
      <c r="C728" s="1154"/>
      <c r="D728" s="1154"/>
      <c r="E728" s="1154"/>
      <c r="G728" s="606"/>
      <c r="H728" s="606"/>
      <c r="I728" s="606"/>
      <c r="J728" s="606"/>
      <c r="K728" s="606"/>
    </row>
    <row r="729">
      <c r="A729" s="1665"/>
      <c r="B729" s="23"/>
      <c r="C729" s="23"/>
      <c r="D729" s="23"/>
      <c r="E729" s="1154"/>
      <c r="G729" s="606"/>
      <c r="H729" s="606"/>
      <c r="I729" s="606"/>
      <c r="J729" s="606"/>
      <c r="K729" s="606"/>
    </row>
    <row r="730">
      <c r="A730" s="1665"/>
      <c r="B730" s="1154"/>
      <c r="C730" s="1154"/>
      <c r="D730" s="1154"/>
      <c r="E730" s="1154"/>
      <c r="G730" s="606"/>
      <c r="H730" s="606"/>
      <c r="I730" s="606"/>
      <c r="J730" s="606"/>
      <c r="K730" s="606"/>
    </row>
    <row r="731">
      <c r="A731" s="1665"/>
      <c r="B731" s="1154"/>
      <c r="C731" s="1154"/>
      <c r="D731" s="1154"/>
      <c r="E731" s="1154"/>
      <c r="G731" s="606"/>
      <c r="H731" s="606"/>
      <c r="I731" s="606"/>
      <c r="J731" s="606"/>
      <c r="K731" s="606"/>
    </row>
    <row r="732">
      <c r="A732" s="1665"/>
      <c r="B732" s="1154"/>
      <c r="C732" s="23"/>
      <c r="D732" s="1154"/>
      <c r="E732" s="1154"/>
      <c r="G732" s="606"/>
      <c r="H732" s="606"/>
      <c r="I732" s="606"/>
      <c r="J732" s="606"/>
      <c r="K732" s="606"/>
    </row>
    <row r="733">
      <c r="A733" s="1653"/>
      <c r="B733" s="1154"/>
      <c r="C733" s="1154"/>
      <c r="D733" s="1154"/>
      <c r="E733" s="1154"/>
      <c r="G733" s="606"/>
      <c r="H733" s="606"/>
      <c r="I733" s="606"/>
      <c r="J733" s="606"/>
      <c r="K733" s="606"/>
    </row>
    <row r="734">
      <c r="A734" s="1665"/>
      <c r="B734" s="1154"/>
      <c r="C734" s="1154"/>
      <c r="D734" s="1154"/>
      <c r="E734" s="1154"/>
      <c r="G734" s="606"/>
      <c r="H734" s="606"/>
      <c r="I734" s="606"/>
      <c r="J734" s="606"/>
      <c r="K734" s="606"/>
    </row>
    <row r="735">
      <c r="A735" s="1665"/>
      <c r="B735" s="1154"/>
      <c r="C735" s="23"/>
      <c r="D735" s="1154"/>
      <c r="E735" s="1154"/>
      <c r="G735" s="606"/>
      <c r="H735" s="606"/>
      <c r="I735" s="606"/>
      <c r="J735" s="606"/>
      <c r="K735" s="606"/>
    </row>
    <row r="736">
      <c r="A736" s="1665"/>
      <c r="B736" s="1154"/>
      <c r="C736" s="1154"/>
      <c r="D736" s="1154"/>
      <c r="E736" s="1154"/>
      <c r="G736" s="606"/>
      <c r="H736" s="606"/>
      <c r="I736" s="606"/>
      <c r="J736" s="606"/>
      <c r="K736" s="606"/>
    </row>
    <row r="737">
      <c r="A737" s="1665"/>
      <c r="B737" s="1154"/>
      <c r="C737" s="1154"/>
      <c r="D737" s="1154"/>
      <c r="E737" s="1154"/>
      <c r="G737" s="606"/>
      <c r="H737" s="606"/>
      <c r="I737" s="606"/>
      <c r="J737" s="606"/>
      <c r="K737" s="606"/>
    </row>
    <row r="738">
      <c r="A738" s="1665"/>
      <c r="B738" s="1154"/>
      <c r="C738" s="1154"/>
      <c r="D738" s="1154"/>
      <c r="E738" s="1154"/>
      <c r="G738" s="606"/>
      <c r="H738" s="606"/>
      <c r="I738" s="606"/>
      <c r="J738" s="606"/>
      <c r="K738" s="606"/>
    </row>
    <row r="739">
      <c r="A739" s="1665"/>
      <c r="B739" s="1154"/>
      <c r="C739" s="1154"/>
      <c r="D739" s="1154"/>
      <c r="E739" s="1154"/>
      <c r="G739" s="606"/>
      <c r="H739" s="606"/>
      <c r="I739" s="606"/>
      <c r="J739" s="606"/>
      <c r="K739" s="606"/>
    </row>
    <row r="740">
      <c r="A740" s="1665"/>
      <c r="B740" s="1154"/>
      <c r="C740" s="1154"/>
      <c r="D740" s="1154"/>
      <c r="E740" s="1154"/>
      <c r="G740" s="606"/>
      <c r="H740" s="606"/>
      <c r="I740" s="606"/>
      <c r="J740" s="606"/>
      <c r="K740" s="606"/>
    </row>
    <row r="741">
      <c r="A741" s="1665"/>
      <c r="B741" s="1154"/>
      <c r="C741" s="1154"/>
      <c r="D741" s="1154"/>
      <c r="E741" s="1154"/>
      <c r="G741" s="606"/>
      <c r="H741" s="606"/>
      <c r="I741" s="606"/>
      <c r="J741" s="606"/>
      <c r="K741" s="606"/>
    </row>
    <row r="742">
      <c r="A742" s="1665"/>
      <c r="B742" s="1154"/>
      <c r="C742" s="1154"/>
      <c r="D742" s="1154"/>
      <c r="E742" s="1154"/>
      <c r="G742" s="606"/>
      <c r="H742" s="606"/>
      <c r="I742" s="606"/>
      <c r="J742" s="606"/>
      <c r="K742" s="606"/>
    </row>
    <row r="743">
      <c r="A743" s="1665"/>
      <c r="B743" s="1154"/>
      <c r="C743" s="23"/>
      <c r="D743" s="1154"/>
      <c r="E743" s="1154"/>
      <c r="G743" s="606"/>
      <c r="H743" s="606"/>
      <c r="I743" s="606"/>
      <c r="J743" s="606"/>
      <c r="K743" s="606"/>
    </row>
    <row r="744">
      <c r="A744" s="1665"/>
      <c r="B744" s="1154"/>
      <c r="C744" s="1154"/>
      <c r="D744" s="1154"/>
      <c r="E744" s="1154"/>
      <c r="G744" s="606"/>
      <c r="H744" s="606"/>
      <c r="I744" s="606"/>
      <c r="J744" s="606"/>
      <c r="K744" s="606"/>
    </row>
    <row r="745">
      <c r="A745" s="1665"/>
      <c r="B745" s="1154"/>
      <c r="C745" s="1154"/>
      <c r="D745" s="1154"/>
      <c r="E745" s="1154"/>
      <c r="G745" s="606"/>
      <c r="H745" s="606"/>
      <c r="I745" s="606"/>
      <c r="J745" s="606"/>
      <c r="K745" s="606"/>
    </row>
    <row r="746">
      <c r="A746" s="1665"/>
      <c r="B746" s="1154"/>
      <c r="C746" s="1154"/>
      <c r="D746" s="1154"/>
      <c r="E746" s="1154"/>
      <c r="G746" s="606"/>
      <c r="H746" s="606"/>
      <c r="I746" s="606"/>
      <c r="J746" s="606"/>
      <c r="K746" s="606"/>
    </row>
    <row r="747">
      <c r="A747" s="1665"/>
      <c r="B747" s="1154"/>
      <c r="C747" s="1154"/>
      <c r="D747" s="1154"/>
      <c r="E747" s="1154"/>
      <c r="G747" s="606"/>
      <c r="H747" s="606"/>
      <c r="I747" s="606"/>
      <c r="J747" s="606"/>
      <c r="K747" s="606"/>
    </row>
    <row r="748">
      <c r="A748" s="1665"/>
      <c r="B748" s="1154"/>
      <c r="C748" s="1154"/>
      <c r="D748" s="1154"/>
      <c r="E748" s="1154"/>
      <c r="G748" s="606"/>
      <c r="H748" s="606"/>
      <c r="I748" s="606"/>
      <c r="J748" s="606"/>
      <c r="K748" s="606"/>
    </row>
    <row r="749">
      <c r="A749" s="1665"/>
      <c r="B749" s="1154"/>
      <c r="C749" s="1154"/>
      <c r="D749" s="1154"/>
      <c r="E749" s="1154"/>
      <c r="G749" s="606"/>
      <c r="H749" s="606"/>
      <c r="I749" s="606"/>
      <c r="J749" s="606"/>
      <c r="K749" s="606"/>
    </row>
    <row r="750">
      <c r="A750" s="1665"/>
      <c r="B750" s="1154"/>
      <c r="C750" s="23"/>
      <c r="D750" s="1154"/>
      <c r="E750" s="1154"/>
      <c r="G750" s="606"/>
      <c r="H750" s="606"/>
      <c r="I750" s="606"/>
      <c r="J750" s="606"/>
      <c r="K750" s="606"/>
    </row>
    <row r="751">
      <c r="A751" s="1665"/>
      <c r="B751" s="1154"/>
      <c r="C751" s="1154"/>
      <c r="D751" s="1154"/>
      <c r="E751" s="1154"/>
      <c r="G751" s="606"/>
      <c r="H751" s="606"/>
      <c r="I751" s="606"/>
      <c r="J751" s="606"/>
      <c r="K751" s="606"/>
    </row>
    <row r="752">
      <c r="A752" s="1665"/>
      <c r="B752" s="1154"/>
      <c r="C752" s="1154"/>
      <c r="D752" s="1154"/>
      <c r="E752" s="1154"/>
      <c r="G752" s="606"/>
      <c r="H752" s="606"/>
      <c r="I752" s="606"/>
      <c r="J752" s="606"/>
      <c r="K752" s="606"/>
    </row>
    <row r="753">
      <c r="A753" s="1665"/>
      <c r="B753" s="1154"/>
      <c r="C753" s="23"/>
      <c r="D753" s="1154"/>
      <c r="E753" s="1154"/>
      <c r="G753" s="606"/>
      <c r="H753" s="606"/>
      <c r="I753" s="606"/>
      <c r="J753" s="606"/>
      <c r="K753" s="606"/>
    </row>
    <row r="754">
      <c r="A754" s="1665"/>
      <c r="B754" s="1154"/>
      <c r="C754" s="1154"/>
      <c r="D754" s="1154"/>
      <c r="E754" s="1154"/>
      <c r="G754" s="606"/>
      <c r="H754" s="606"/>
      <c r="I754" s="606"/>
      <c r="J754" s="606"/>
      <c r="K754" s="606"/>
    </row>
    <row r="755">
      <c r="A755" s="1653"/>
      <c r="B755" s="1154"/>
      <c r="C755" s="1154"/>
      <c r="D755" s="1154"/>
      <c r="E755" s="1154"/>
      <c r="G755" s="606"/>
      <c r="H755" s="606"/>
      <c r="I755" s="606"/>
      <c r="J755" s="606"/>
      <c r="K755" s="606"/>
    </row>
    <row r="756">
      <c r="A756" s="1665"/>
      <c r="B756" s="1154"/>
      <c r="C756" s="1154"/>
      <c r="D756" s="1154"/>
      <c r="E756" s="1154"/>
      <c r="G756" s="606"/>
      <c r="H756" s="606"/>
      <c r="I756" s="606"/>
      <c r="J756" s="606"/>
      <c r="K756" s="606"/>
    </row>
    <row r="757">
      <c r="A757" s="1665"/>
      <c r="B757" s="1304"/>
      <c r="C757" s="1154"/>
      <c r="D757" s="1154"/>
      <c r="E757" s="1154"/>
      <c r="G757" s="606"/>
      <c r="H757" s="606"/>
      <c r="I757" s="606"/>
      <c r="J757" s="606"/>
      <c r="K757" s="606"/>
    </row>
    <row r="758">
      <c r="A758" s="1665"/>
      <c r="B758" s="1154"/>
      <c r="C758" s="1154"/>
      <c r="D758" s="1154"/>
      <c r="E758" s="1154"/>
      <c r="G758" s="606"/>
      <c r="H758" s="606"/>
      <c r="I758" s="606"/>
      <c r="J758" s="606"/>
      <c r="K758" s="606"/>
    </row>
    <row r="759">
      <c r="A759" s="1665"/>
      <c r="B759" s="1154"/>
      <c r="C759" s="1154"/>
      <c r="D759" s="1154"/>
      <c r="E759" s="1154"/>
      <c r="G759" s="606"/>
      <c r="H759" s="606"/>
      <c r="I759" s="606"/>
      <c r="J759" s="606"/>
      <c r="K759" s="606"/>
    </row>
    <row r="760">
      <c r="A760" s="1665"/>
      <c r="B760" s="1154"/>
      <c r="C760" s="1154"/>
      <c r="D760" s="1154"/>
      <c r="E760" s="1154"/>
      <c r="G760" s="606"/>
      <c r="H760" s="606"/>
      <c r="I760" s="606"/>
      <c r="J760" s="606"/>
      <c r="K760" s="606"/>
    </row>
    <row r="761">
      <c r="A761" s="1665"/>
      <c r="B761" s="1154"/>
      <c r="C761" s="1154"/>
      <c r="D761" s="1154"/>
      <c r="E761" s="1154"/>
      <c r="G761" s="606"/>
      <c r="H761" s="606"/>
      <c r="I761" s="606"/>
      <c r="J761" s="606"/>
      <c r="K761" s="606"/>
    </row>
    <row r="762">
      <c r="A762" s="1665"/>
      <c r="B762" s="1154"/>
      <c r="C762" s="1154"/>
      <c r="D762" s="1154"/>
      <c r="E762" s="1154"/>
      <c r="G762" s="606"/>
      <c r="H762" s="606"/>
      <c r="I762" s="606"/>
      <c r="J762" s="606"/>
      <c r="K762" s="606"/>
    </row>
    <row r="763">
      <c r="A763" s="1665"/>
      <c r="B763" s="1154"/>
      <c r="C763" s="1154"/>
      <c r="D763" s="1154"/>
      <c r="E763" s="1154"/>
      <c r="G763" s="606"/>
      <c r="H763" s="606"/>
      <c r="I763" s="606"/>
      <c r="J763" s="606"/>
      <c r="K763" s="606"/>
    </row>
    <row r="764">
      <c r="A764" s="1665"/>
      <c r="B764" s="1154"/>
      <c r="C764" s="1154"/>
      <c r="D764" s="1154"/>
      <c r="E764" s="1154"/>
      <c r="G764" s="606"/>
      <c r="H764" s="606"/>
      <c r="I764" s="606"/>
      <c r="J764" s="606"/>
      <c r="K764" s="606"/>
    </row>
    <row r="765">
      <c r="A765" s="1665"/>
      <c r="B765" s="1154"/>
      <c r="C765" s="1154"/>
      <c r="D765" s="1154"/>
      <c r="E765" s="1154"/>
      <c r="G765" s="606"/>
      <c r="H765" s="606"/>
      <c r="I765" s="606"/>
      <c r="J765" s="606"/>
      <c r="K765" s="606"/>
    </row>
    <row r="766">
      <c r="A766" s="1665"/>
      <c r="B766" s="1154"/>
      <c r="C766" s="1154"/>
      <c r="D766" s="1154"/>
      <c r="E766" s="1154"/>
      <c r="G766" s="606"/>
      <c r="H766" s="606"/>
      <c r="I766" s="606"/>
      <c r="J766" s="606"/>
      <c r="K766" s="606"/>
    </row>
    <row r="767">
      <c r="A767" s="1665"/>
      <c r="B767" s="1154"/>
      <c r="C767" s="1154"/>
      <c r="D767" s="1154"/>
      <c r="E767" s="1154"/>
      <c r="G767" s="606"/>
      <c r="H767" s="606"/>
      <c r="I767" s="606"/>
      <c r="J767" s="606"/>
      <c r="K767" s="606"/>
    </row>
    <row r="768">
      <c r="A768" s="1665"/>
      <c r="B768" s="1154"/>
      <c r="C768" s="1154"/>
      <c r="D768" s="1154"/>
      <c r="E768" s="1154"/>
      <c r="G768" s="606"/>
      <c r="H768" s="606"/>
      <c r="I768" s="606"/>
      <c r="J768" s="606"/>
      <c r="K768" s="606"/>
    </row>
    <row r="769">
      <c r="A769" s="1665"/>
      <c r="B769" s="1154"/>
      <c r="C769" s="1154"/>
      <c r="D769" s="1154"/>
      <c r="E769" s="1154"/>
      <c r="G769" s="606"/>
      <c r="H769" s="606"/>
      <c r="I769" s="606"/>
      <c r="J769" s="606"/>
      <c r="K769" s="606"/>
    </row>
    <row r="770">
      <c r="A770" s="1653"/>
      <c r="B770" s="1154"/>
      <c r="C770" s="1154"/>
      <c r="D770" s="1154"/>
      <c r="E770" s="1154"/>
      <c r="G770" s="606"/>
      <c r="H770" s="606"/>
      <c r="I770" s="606"/>
      <c r="J770" s="606"/>
      <c r="K770" s="606"/>
    </row>
    <row r="771">
      <c r="A771" s="1665"/>
      <c r="B771" s="1154"/>
      <c r="C771" s="1154"/>
      <c r="D771" s="1154"/>
      <c r="E771" s="1154"/>
      <c r="G771" s="606"/>
      <c r="H771" s="606"/>
      <c r="I771" s="606"/>
      <c r="J771" s="606"/>
      <c r="K771" s="606"/>
    </row>
    <row r="772">
      <c r="A772" s="1665"/>
      <c r="B772" s="1154"/>
      <c r="C772" s="1154"/>
      <c r="D772" s="1154"/>
      <c r="E772" s="1154"/>
      <c r="G772" s="606"/>
      <c r="H772" s="606"/>
      <c r="I772" s="606"/>
      <c r="J772" s="606"/>
      <c r="K772" s="606"/>
    </row>
    <row r="773">
      <c r="A773" s="1665"/>
      <c r="B773" s="1154"/>
      <c r="C773" s="1154"/>
      <c r="D773" s="1154"/>
      <c r="E773" s="1154"/>
      <c r="G773" s="606"/>
      <c r="H773" s="606"/>
      <c r="I773" s="606"/>
      <c r="J773" s="606"/>
      <c r="K773" s="606"/>
    </row>
    <row r="774">
      <c r="A774" s="1665"/>
      <c r="B774" s="1154"/>
      <c r="C774" s="23"/>
      <c r="D774" s="1154"/>
      <c r="E774" s="1154"/>
      <c r="G774" s="606"/>
      <c r="H774" s="606"/>
      <c r="I774" s="606"/>
      <c r="J774" s="606"/>
      <c r="K774" s="606"/>
    </row>
    <row r="775">
      <c r="A775" s="1665"/>
      <c r="B775" s="1154"/>
      <c r="C775" s="1154"/>
      <c r="D775" s="1154"/>
      <c r="E775" s="1154"/>
      <c r="G775" s="606"/>
      <c r="H775" s="606"/>
      <c r="I775" s="606"/>
      <c r="J775" s="606"/>
      <c r="K775" s="606"/>
    </row>
    <row r="776">
      <c r="A776" s="1665"/>
      <c r="B776" s="1154"/>
      <c r="C776" s="1154"/>
      <c r="D776" s="1154"/>
      <c r="E776" s="1154"/>
      <c r="G776" s="606"/>
      <c r="H776" s="606"/>
      <c r="I776" s="606"/>
      <c r="J776" s="606"/>
      <c r="K776" s="606"/>
    </row>
    <row r="777">
      <c r="A777" s="1665"/>
      <c r="B777" s="1154"/>
      <c r="C777" s="1154"/>
      <c r="D777" s="1154"/>
      <c r="E777" s="1653"/>
      <c r="G777" s="606"/>
      <c r="H777" s="606"/>
      <c r="I777" s="606"/>
      <c r="J777" s="606"/>
      <c r="K777" s="606"/>
    </row>
    <row r="778">
      <c r="A778" s="1665"/>
      <c r="B778" s="1154"/>
      <c r="C778" s="1154"/>
      <c r="D778" s="1154"/>
      <c r="E778" s="1154"/>
      <c r="G778" s="606"/>
      <c r="H778" s="606"/>
      <c r="I778" s="606"/>
      <c r="J778" s="606"/>
      <c r="K778" s="606"/>
    </row>
    <row r="779">
      <c r="A779" s="1665"/>
      <c r="B779" s="1154"/>
      <c r="C779" s="1154"/>
      <c r="D779" s="1154"/>
      <c r="E779" s="1154"/>
      <c r="G779" s="606"/>
      <c r="H779" s="606"/>
      <c r="I779" s="606"/>
      <c r="J779" s="606"/>
      <c r="K779" s="606"/>
    </row>
    <row r="780">
      <c r="A780" s="1665"/>
      <c r="B780" s="1154"/>
      <c r="C780" s="1154"/>
      <c r="D780" s="1154"/>
      <c r="E780" s="1154"/>
      <c r="G780" s="606"/>
      <c r="H780" s="606"/>
      <c r="I780" s="606"/>
      <c r="J780" s="606"/>
      <c r="K780" s="606"/>
    </row>
    <row r="781">
      <c r="A781" s="1665"/>
      <c r="B781" s="1154"/>
      <c r="C781" s="1154"/>
      <c r="D781" s="1154"/>
      <c r="E781" s="1154"/>
      <c r="G781" s="606"/>
      <c r="H781" s="606"/>
      <c r="I781" s="606"/>
      <c r="J781" s="606"/>
      <c r="K781" s="606"/>
    </row>
    <row r="782">
      <c r="A782" s="1665"/>
      <c r="B782" s="1154"/>
      <c r="C782" s="1154"/>
      <c r="D782" s="1154"/>
      <c r="E782" s="1154"/>
      <c r="G782" s="606"/>
      <c r="H782" s="606"/>
      <c r="I782" s="606"/>
      <c r="J782" s="606"/>
      <c r="K782" s="606"/>
    </row>
    <row r="783">
      <c r="A783" s="1665"/>
      <c r="B783" s="1154"/>
      <c r="C783" s="1154"/>
      <c r="D783" s="1154"/>
      <c r="E783" s="1154"/>
      <c r="G783" s="606"/>
      <c r="H783" s="606"/>
      <c r="I783" s="606"/>
      <c r="J783" s="606"/>
      <c r="K783" s="606"/>
    </row>
    <row r="784">
      <c r="A784" s="1665"/>
      <c r="B784" s="1154"/>
      <c r="C784" s="1154"/>
      <c r="D784" s="1154"/>
      <c r="E784" s="1154"/>
      <c r="G784" s="606"/>
      <c r="H784" s="606"/>
      <c r="I784" s="606"/>
      <c r="J784" s="606"/>
      <c r="K784" s="606"/>
    </row>
    <row r="785">
      <c r="A785" s="1665"/>
      <c r="B785" s="1154"/>
      <c r="C785" s="1154"/>
      <c r="D785" s="1154"/>
      <c r="E785" s="1653"/>
      <c r="G785" s="606"/>
      <c r="H785" s="606"/>
      <c r="I785" s="606"/>
      <c r="J785" s="606"/>
      <c r="K785" s="606"/>
    </row>
    <row r="786">
      <c r="A786" s="1665"/>
      <c r="B786" s="1154"/>
      <c r="C786" s="1154"/>
      <c r="D786" s="1154"/>
      <c r="E786" s="1154"/>
      <c r="G786" s="606"/>
      <c r="H786" s="606"/>
      <c r="I786" s="606"/>
      <c r="J786" s="606"/>
      <c r="K786" s="606"/>
    </row>
    <row r="787">
      <c r="A787" s="1665"/>
      <c r="B787" s="1154"/>
      <c r="C787" s="23"/>
      <c r="D787" s="1154"/>
      <c r="E787" s="1154"/>
      <c r="G787" s="606"/>
      <c r="H787" s="606"/>
      <c r="I787" s="606"/>
      <c r="J787" s="606"/>
      <c r="K787" s="606"/>
    </row>
    <row r="788">
      <c r="A788" s="1665"/>
      <c r="B788" s="1154"/>
      <c r="C788" s="1154"/>
      <c r="D788" s="1154"/>
      <c r="E788" s="1154"/>
      <c r="G788" s="606"/>
      <c r="H788" s="606"/>
      <c r="I788" s="606"/>
      <c r="J788" s="606"/>
      <c r="K788" s="606"/>
    </row>
    <row r="789">
      <c r="A789" s="1665"/>
      <c r="B789" s="1154"/>
      <c r="C789" s="1154"/>
      <c r="D789" s="1154"/>
      <c r="E789" s="1154"/>
      <c r="G789" s="606"/>
      <c r="H789" s="606"/>
      <c r="I789" s="606"/>
      <c r="J789" s="606"/>
      <c r="K789" s="606"/>
    </row>
    <row r="790">
      <c r="A790" s="1665"/>
      <c r="B790" s="1154"/>
      <c r="C790" s="1154"/>
      <c r="D790" s="1154"/>
      <c r="E790" s="1653"/>
      <c r="G790" s="606"/>
      <c r="H790" s="606"/>
      <c r="I790" s="606"/>
      <c r="J790" s="606"/>
      <c r="K790" s="606"/>
    </row>
    <row r="791">
      <c r="A791" s="1665"/>
      <c r="B791" s="1154"/>
      <c r="C791" s="1154"/>
      <c r="D791" s="1154"/>
      <c r="E791" s="1154"/>
      <c r="G791" s="606"/>
      <c r="H791" s="606"/>
      <c r="I791" s="606"/>
      <c r="J791" s="606"/>
      <c r="K791" s="606"/>
    </row>
    <row r="792">
      <c r="A792" s="1665"/>
      <c r="B792" s="1154"/>
      <c r="C792" s="23"/>
      <c r="D792" s="1154"/>
      <c r="E792" s="1154"/>
      <c r="G792" s="606"/>
      <c r="H792" s="606"/>
      <c r="I792" s="606"/>
      <c r="J792" s="606"/>
      <c r="K792" s="606"/>
    </row>
    <row r="793">
      <c r="A793" s="1665"/>
      <c r="B793" s="1154"/>
      <c r="C793" s="1154"/>
      <c r="D793" s="1154"/>
      <c r="E793" s="1154"/>
      <c r="G793" s="606"/>
      <c r="H793" s="606"/>
      <c r="I793" s="606"/>
      <c r="J793" s="606"/>
      <c r="K793" s="606"/>
    </row>
    <row r="794">
      <c r="A794" s="1665"/>
      <c r="B794" s="1154"/>
      <c r="C794" s="1154"/>
      <c r="D794" s="1154"/>
      <c r="E794" s="1154"/>
      <c r="G794" s="606"/>
      <c r="H794" s="606"/>
      <c r="I794" s="606"/>
      <c r="J794" s="606"/>
      <c r="K794" s="606"/>
    </row>
    <row r="795">
      <c r="A795" s="1665"/>
      <c r="B795" s="1154"/>
      <c r="C795" s="1154"/>
      <c r="D795" s="1154"/>
      <c r="E795" s="1154"/>
      <c r="G795" s="606"/>
      <c r="H795" s="606"/>
      <c r="I795" s="606"/>
      <c r="J795" s="606"/>
      <c r="K795" s="606"/>
    </row>
    <row r="796">
      <c r="A796" s="1665"/>
      <c r="B796" s="1154"/>
      <c r="C796" s="1154"/>
      <c r="D796" s="1154"/>
      <c r="E796" s="1154"/>
      <c r="G796" s="606"/>
      <c r="H796" s="606"/>
      <c r="I796" s="606"/>
      <c r="J796" s="606"/>
      <c r="K796" s="606"/>
    </row>
    <row r="797">
      <c r="A797" s="1665"/>
      <c r="B797" s="1154"/>
      <c r="C797" s="1154"/>
      <c r="D797" s="1154"/>
      <c r="E797" s="1154"/>
      <c r="G797" s="606"/>
      <c r="H797" s="606"/>
      <c r="I797" s="606"/>
      <c r="J797" s="606"/>
      <c r="K797" s="606"/>
    </row>
    <row r="798">
      <c r="A798" s="1665"/>
      <c r="B798" s="1154"/>
      <c r="C798" s="1154"/>
      <c r="D798" s="1154"/>
      <c r="E798" s="1154"/>
      <c r="G798" s="606"/>
      <c r="H798" s="606"/>
      <c r="I798" s="606"/>
      <c r="J798" s="606"/>
      <c r="K798" s="606"/>
    </row>
    <row r="799">
      <c r="A799" s="1665"/>
      <c r="B799" s="1154"/>
      <c r="C799" s="1154"/>
      <c r="D799" s="1154"/>
      <c r="E799" s="1154"/>
      <c r="G799" s="606"/>
      <c r="H799" s="606"/>
      <c r="I799" s="606"/>
      <c r="J799" s="606"/>
      <c r="K799" s="606"/>
    </row>
    <row r="800">
      <c r="A800" s="1665"/>
      <c r="B800" s="1154"/>
      <c r="C800" s="1154"/>
      <c r="D800" s="1154"/>
      <c r="E800" s="1154"/>
      <c r="G800" s="606"/>
      <c r="H800" s="606"/>
      <c r="I800" s="606"/>
      <c r="J800" s="606"/>
      <c r="K800" s="606"/>
    </row>
    <row r="801">
      <c r="A801" s="1665"/>
      <c r="B801" s="1154"/>
      <c r="C801" s="1154"/>
      <c r="D801" s="1154"/>
      <c r="E801" s="1653"/>
      <c r="G801" s="606"/>
      <c r="H801" s="606"/>
      <c r="I801" s="606"/>
      <c r="J801" s="606"/>
      <c r="K801" s="606"/>
    </row>
    <row r="802">
      <c r="A802" s="1665"/>
      <c r="B802" s="1154"/>
      <c r="C802" s="1154"/>
      <c r="D802" s="1154"/>
      <c r="E802" s="1154"/>
      <c r="G802" s="606"/>
      <c r="H802" s="606"/>
      <c r="I802" s="606"/>
      <c r="J802" s="606"/>
      <c r="K802" s="606"/>
    </row>
    <row r="803">
      <c r="A803" s="1665"/>
      <c r="B803" s="1154"/>
      <c r="C803" s="23"/>
      <c r="D803" s="1154"/>
      <c r="E803" s="1154"/>
      <c r="G803" s="606"/>
      <c r="H803" s="606"/>
      <c r="I803" s="606"/>
      <c r="J803" s="606"/>
      <c r="K803" s="606"/>
    </row>
    <row r="804">
      <c r="A804" s="1665"/>
      <c r="B804" s="1154"/>
      <c r="C804" s="1154"/>
      <c r="D804" s="1154"/>
      <c r="E804" s="1653"/>
      <c r="G804" s="606"/>
      <c r="H804" s="606"/>
      <c r="I804" s="606"/>
      <c r="J804" s="606"/>
      <c r="K804" s="606"/>
    </row>
    <row r="805">
      <c r="A805" s="1665"/>
      <c r="B805" s="1154"/>
      <c r="C805" s="1154"/>
      <c r="D805" s="1154"/>
      <c r="E805" s="1154"/>
      <c r="G805" s="606"/>
      <c r="H805" s="606"/>
      <c r="I805" s="606"/>
      <c r="J805" s="606"/>
      <c r="K805" s="606"/>
    </row>
    <row r="806">
      <c r="A806" s="1665"/>
      <c r="B806" s="1154"/>
      <c r="C806" s="1154"/>
      <c r="D806" s="1154"/>
      <c r="E806" s="1154"/>
      <c r="G806" s="606"/>
      <c r="H806" s="606"/>
      <c r="I806" s="606"/>
      <c r="J806" s="606"/>
      <c r="K806" s="606"/>
    </row>
    <row r="807">
      <c r="A807" s="1665"/>
      <c r="B807" s="1154"/>
      <c r="C807" s="1154"/>
      <c r="D807" s="1154"/>
      <c r="E807" s="1154"/>
      <c r="G807" s="606"/>
      <c r="H807" s="606"/>
      <c r="I807" s="606"/>
      <c r="J807" s="606"/>
      <c r="K807" s="606"/>
    </row>
    <row r="808">
      <c r="A808" s="1665"/>
      <c r="B808" s="1154"/>
      <c r="C808" s="1154"/>
      <c r="D808" s="1154"/>
      <c r="E808" s="1154"/>
      <c r="G808" s="606"/>
      <c r="H808" s="606"/>
      <c r="I808" s="606"/>
      <c r="J808" s="606"/>
      <c r="K808" s="606"/>
    </row>
    <row r="809">
      <c r="A809" s="1665"/>
      <c r="B809" s="1154"/>
      <c r="C809" s="1154"/>
      <c r="D809" s="1154"/>
      <c r="E809" s="1653"/>
      <c r="G809" s="606"/>
      <c r="H809" s="606"/>
      <c r="I809" s="606"/>
      <c r="J809" s="606"/>
      <c r="K809" s="606"/>
    </row>
    <row r="810">
      <c r="A810" s="1665"/>
      <c r="B810" s="1304"/>
      <c r="C810" s="1154"/>
      <c r="D810" s="1154"/>
      <c r="E810" s="1154"/>
      <c r="G810" s="606"/>
      <c r="H810" s="606"/>
      <c r="I810" s="606"/>
      <c r="J810" s="606"/>
      <c r="K810" s="606"/>
    </row>
    <row r="811">
      <c r="A811" s="1665"/>
      <c r="B811" s="1154"/>
      <c r="C811" s="1154"/>
      <c r="D811" s="1154"/>
      <c r="E811" s="1154"/>
      <c r="G811" s="606"/>
      <c r="H811" s="606"/>
      <c r="I811" s="606"/>
      <c r="J811" s="606"/>
      <c r="K811" s="606"/>
    </row>
    <row r="812">
      <c r="A812" s="1665"/>
      <c r="B812" s="1154"/>
      <c r="C812" s="1154"/>
      <c r="D812" s="1154"/>
      <c r="E812" s="1154"/>
      <c r="G812" s="606"/>
      <c r="H812" s="606"/>
      <c r="I812" s="606"/>
      <c r="J812" s="606"/>
      <c r="K812" s="606"/>
    </row>
    <row r="813">
      <c r="A813" s="1653"/>
      <c r="B813" s="1154"/>
      <c r="C813" s="1154"/>
      <c r="D813" s="1154"/>
      <c r="E813" s="1154"/>
      <c r="G813" s="606"/>
      <c r="H813" s="606"/>
      <c r="I813" s="606"/>
      <c r="J813" s="606"/>
      <c r="K813" s="606"/>
    </row>
    <row r="814">
      <c r="A814" s="1665"/>
      <c r="B814" s="1154"/>
      <c r="C814" s="1154"/>
      <c r="D814" s="1154"/>
      <c r="E814" s="1154"/>
      <c r="G814" s="606"/>
      <c r="H814" s="606"/>
      <c r="I814" s="606"/>
      <c r="J814" s="606"/>
      <c r="K814" s="606"/>
    </row>
    <row r="815">
      <c r="A815" s="1665"/>
      <c r="B815" s="1154"/>
      <c r="C815" s="1154"/>
      <c r="D815" s="1154"/>
      <c r="E815" s="1653"/>
      <c r="G815" s="606"/>
      <c r="H815" s="606"/>
      <c r="I815" s="606"/>
      <c r="J815" s="606"/>
      <c r="K815" s="606"/>
    </row>
    <row r="816">
      <c r="A816" s="1665"/>
      <c r="B816" s="1154"/>
      <c r="C816" s="1154"/>
      <c r="D816" s="1154"/>
      <c r="E816" s="1154"/>
      <c r="G816" s="606"/>
      <c r="H816" s="606"/>
      <c r="I816" s="606"/>
      <c r="J816" s="606"/>
      <c r="K816" s="606"/>
    </row>
    <row r="817">
      <c r="A817" s="1665"/>
      <c r="B817" s="1154"/>
      <c r="C817" s="23"/>
      <c r="D817" s="1154"/>
      <c r="E817" s="1154"/>
      <c r="G817" s="606"/>
      <c r="H817" s="606"/>
      <c r="I817" s="606"/>
      <c r="J817" s="606"/>
      <c r="K817" s="606"/>
    </row>
    <row r="818">
      <c r="A818" s="1665"/>
      <c r="B818" s="1154"/>
      <c r="C818" s="1154"/>
      <c r="D818" s="1154"/>
      <c r="E818" s="1154"/>
      <c r="G818" s="606"/>
      <c r="H818" s="606"/>
      <c r="I818" s="606"/>
      <c r="J818" s="606"/>
      <c r="K818" s="606"/>
    </row>
    <row r="819">
      <c r="A819" s="1665"/>
      <c r="B819" s="1154"/>
      <c r="C819" s="1154"/>
      <c r="D819" s="1154"/>
      <c r="E819" s="1154"/>
      <c r="G819" s="606"/>
      <c r="H819" s="606"/>
      <c r="I819" s="606"/>
      <c r="J819" s="606"/>
      <c r="K819" s="606"/>
    </row>
    <row r="820">
      <c r="A820" s="1665"/>
      <c r="B820" s="1154"/>
      <c r="C820" s="1154"/>
      <c r="D820" s="1154"/>
      <c r="E820" s="1154"/>
      <c r="G820" s="606"/>
      <c r="H820" s="606"/>
      <c r="I820" s="606"/>
      <c r="J820" s="606"/>
      <c r="K820" s="606"/>
    </row>
    <row r="821">
      <c r="A821" s="1665"/>
      <c r="B821" s="1154"/>
      <c r="C821" s="1154"/>
      <c r="D821" s="1154"/>
      <c r="E821" s="1154"/>
      <c r="G821" s="606"/>
      <c r="H821" s="606"/>
      <c r="I821" s="606"/>
      <c r="J821" s="606"/>
      <c r="K821" s="606"/>
    </row>
    <row r="822">
      <c r="A822" s="1665"/>
      <c r="B822" s="1154"/>
      <c r="C822" s="1154"/>
      <c r="D822" s="1154"/>
      <c r="E822" s="1154"/>
      <c r="G822" s="606"/>
      <c r="H822" s="606"/>
      <c r="I822" s="606"/>
      <c r="J822" s="606"/>
      <c r="K822" s="606"/>
    </row>
    <row r="823">
      <c r="A823" s="1665"/>
      <c r="B823" s="1154"/>
      <c r="C823" s="1154"/>
      <c r="D823" s="1154"/>
      <c r="E823" s="1154"/>
      <c r="G823" s="606"/>
      <c r="H823" s="606"/>
      <c r="I823" s="606"/>
      <c r="J823" s="606"/>
      <c r="K823" s="606"/>
    </row>
    <row r="824">
      <c r="A824" s="1665"/>
      <c r="B824" s="1154"/>
      <c r="C824" s="1154"/>
      <c r="D824" s="1154"/>
      <c r="E824" s="1154"/>
      <c r="G824" s="606"/>
      <c r="H824" s="606"/>
      <c r="I824" s="606"/>
      <c r="J824" s="606"/>
      <c r="K824" s="606"/>
    </row>
    <row r="825">
      <c r="A825" s="1665"/>
      <c r="B825" s="1154"/>
      <c r="C825" s="1154"/>
      <c r="D825" s="1154"/>
      <c r="E825" s="1154"/>
      <c r="G825" s="606"/>
      <c r="H825" s="606"/>
      <c r="I825" s="606"/>
      <c r="J825" s="606"/>
      <c r="K825" s="606"/>
    </row>
    <row r="826">
      <c r="A826" s="1665"/>
      <c r="B826" s="1154"/>
      <c r="C826" s="23"/>
      <c r="D826" s="1154"/>
      <c r="E826" s="1154"/>
      <c r="G826" s="606"/>
      <c r="H826" s="606"/>
      <c r="I826" s="606"/>
      <c r="J826" s="606"/>
      <c r="K826" s="606"/>
    </row>
    <row r="827">
      <c r="A827" s="1653"/>
      <c r="B827" s="1154"/>
      <c r="C827" s="1154"/>
      <c r="D827" s="1154"/>
      <c r="E827" s="1154"/>
      <c r="G827" s="606"/>
      <c r="H827" s="606"/>
      <c r="I827" s="606"/>
      <c r="J827" s="606"/>
      <c r="K827" s="606"/>
    </row>
    <row r="828">
      <c r="A828" s="1665"/>
      <c r="B828" s="1154"/>
      <c r="C828" s="1154"/>
      <c r="D828" s="1154"/>
      <c r="E828" s="1653"/>
      <c r="G828" s="606"/>
      <c r="H828" s="606"/>
      <c r="I828" s="606"/>
      <c r="J828" s="606"/>
      <c r="K828" s="606"/>
    </row>
    <row r="829">
      <c r="A829" s="1665"/>
      <c r="B829" s="1154"/>
      <c r="C829" s="1154"/>
      <c r="D829" s="1154"/>
      <c r="E829" s="1154"/>
      <c r="G829" s="606"/>
      <c r="H829" s="606"/>
      <c r="I829" s="606"/>
      <c r="J829" s="606"/>
      <c r="K829" s="606"/>
    </row>
    <row r="830">
      <c r="A830" s="1665"/>
      <c r="B830" s="1154"/>
      <c r="C830" s="1154"/>
      <c r="D830" s="1154"/>
      <c r="E830" s="1154"/>
      <c r="G830" s="606"/>
      <c r="H830" s="606"/>
      <c r="I830" s="606"/>
      <c r="J830" s="606"/>
      <c r="K830" s="606"/>
    </row>
    <row r="831">
      <c r="A831" s="1665"/>
      <c r="B831" s="1154"/>
      <c r="C831" s="1154"/>
      <c r="D831" s="1154"/>
      <c r="E831" s="1154"/>
      <c r="G831" s="606"/>
      <c r="H831" s="606"/>
      <c r="I831" s="606"/>
      <c r="J831" s="606"/>
      <c r="K831" s="606"/>
    </row>
    <row r="832">
      <c r="A832" s="1665"/>
      <c r="B832" s="1154"/>
      <c r="C832" s="23"/>
      <c r="D832" s="1154"/>
      <c r="E832" s="1154"/>
      <c r="G832" s="606"/>
      <c r="H832" s="606"/>
      <c r="I832" s="606"/>
      <c r="J832" s="606"/>
      <c r="K832" s="606"/>
    </row>
    <row r="833">
      <c r="A833" s="1665"/>
      <c r="B833" s="1154"/>
      <c r="C833" s="1154"/>
      <c r="D833" s="1154"/>
      <c r="E833" s="1154"/>
      <c r="G833" s="606"/>
      <c r="H833" s="606"/>
      <c r="I833" s="606"/>
      <c r="J833" s="606"/>
      <c r="K833" s="606"/>
    </row>
    <row r="834">
      <c r="A834" s="1665"/>
      <c r="B834" s="1154"/>
      <c r="C834" s="1154"/>
      <c r="D834" s="1154"/>
      <c r="E834" s="1653"/>
      <c r="G834" s="606"/>
      <c r="H834" s="606"/>
      <c r="I834" s="606"/>
      <c r="J834" s="606"/>
      <c r="K834" s="606"/>
    </row>
    <row r="835">
      <c r="A835" s="1665"/>
      <c r="B835" s="1154"/>
      <c r="C835" s="1154"/>
      <c r="D835" s="1154"/>
      <c r="E835" s="1653"/>
      <c r="G835" s="606"/>
      <c r="H835" s="606"/>
      <c r="I835" s="606"/>
      <c r="J835" s="606"/>
      <c r="K835" s="606"/>
    </row>
    <row r="836">
      <c r="A836" s="1665"/>
      <c r="B836" s="1154"/>
      <c r="C836" s="1154"/>
      <c r="D836" s="1154"/>
      <c r="E836" s="1154"/>
      <c r="G836" s="606"/>
      <c r="H836" s="606"/>
      <c r="I836" s="606"/>
      <c r="J836" s="606"/>
      <c r="K836" s="606"/>
    </row>
    <row r="837">
      <c r="A837" s="1665"/>
      <c r="B837" s="1154"/>
      <c r="C837" s="1154"/>
      <c r="D837" s="1154"/>
      <c r="E837" s="1154"/>
      <c r="G837" s="606"/>
      <c r="H837" s="606"/>
      <c r="I837" s="606"/>
      <c r="J837" s="606"/>
      <c r="K837" s="606"/>
    </row>
    <row r="838">
      <c r="A838" s="1665"/>
      <c r="B838" s="1154"/>
      <c r="C838" s="23"/>
      <c r="D838" s="1154"/>
      <c r="E838" s="1154"/>
      <c r="G838" s="606"/>
      <c r="H838" s="606"/>
      <c r="I838" s="606"/>
      <c r="J838" s="606"/>
      <c r="K838" s="606"/>
    </row>
    <row r="839">
      <c r="A839" s="1665"/>
      <c r="B839" s="1154"/>
      <c r="C839" s="1154"/>
      <c r="D839" s="1154"/>
      <c r="E839" s="1653"/>
      <c r="G839" s="606"/>
      <c r="H839" s="606"/>
      <c r="I839" s="606"/>
      <c r="J839" s="606"/>
      <c r="K839" s="606"/>
    </row>
    <row r="840">
      <c r="A840" s="1665"/>
      <c r="B840" s="1154"/>
      <c r="C840" s="1154"/>
      <c r="D840" s="1154"/>
      <c r="E840" s="1154"/>
      <c r="G840" s="606"/>
      <c r="H840" s="606"/>
      <c r="I840" s="606"/>
      <c r="J840" s="606"/>
      <c r="K840" s="606"/>
    </row>
    <row r="841">
      <c r="A841" s="1665"/>
      <c r="B841" s="1154"/>
      <c r="C841" s="23"/>
      <c r="D841" s="1154"/>
      <c r="E841" s="1653"/>
      <c r="G841" s="606"/>
      <c r="H841" s="606"/>
      <c r="I841" s="606"/>
      <c r="J841" s="606"/>
      <c r="K841" s="606"/>
    </row>
    <row r="842">
      <c r="A842" s="1665"/>
      <c r="B842" s="1154"/>
      <c r="C842" s="1154"/>
      <c r="D842" s="1154"/>
      <c r="E842" s="1154"/>
      <c r="G842" s="606"/>
      <c r="H842" s="606"/>
      <c r="I842" s="606"/>
      <c r="J842" s="606"/>
      <c r="K842" s="606"/>
    </row>
    <row r="843">
      <c r="A843" s="1665"/>
      <c r="B843" s="1154"/>
      <c r="C843" s="23"/>
      <c r="D843" s="1154"/>
      <c r="E843" s="1653"/>
      <c r="G843" s="606"/>
      <c r="H843" s="606"/>
      <c r="I843" s="606"/>
      <c r="J843" s="606"/>
      <c r="K843" s="606"/>
    </row>
    <row r="844">
      <c r="A844" s="1665"/>
      <c r="B844" s="1154"/>
      <c r="C844" s="1154"/>
      <c r="D844" s="1154"/>
      <c r="E844" s="1154"/>
      <c r="G844" s="606"/>
      <c r="H844" s="606"/>
      <c r="I844" s="606"/>
      <c r="J844" s="606"/>
      <c r="K844" s="606"/>
    </row>
    <row r="845">
      <c r="A845" s="1665"/>
      <c r="B845" s="1154"/>
      <c r="C845" s="1154"/>
      <c r="D845" s="1154"/>
      <c r="E845" s="1154"/>
      <c r="G845" s="606"/>
      <c r="H845" s="606"/>
      <c r="I845" s="606"/>
      <c r="J845" s="606"/>
      <c r="K845" s="606"/>
    </row>
    <row r="846">
      <c r="A846" s="1665"/>
      <c r="B846" s="1154"/>
      <c r="C846" s="1154"/>
      <c r="D846" s="1154"/>
      <c r="E846" s="1154"/>
      <c r="G846" s="606"/>
      <c r="H846" s="606"/>
      <c r="I846" s="606"/>
      <c r="J846" s="606"/>
      <c r="K846" s="606"/>
    </row>
    <row r="847">
      <c r="A847" s="1665"/>
      <c r="B847" s="1154"/>
      <c r="C847" s="1154"/>
      <c r="D847" s="1154"/>
      <c r="E847" s="1154"/>
      <c r="G847" s="606"/>
      <c r="H847" s="606"/>
      <c r="I847" s="606"/>
      <c r="J847" s="606"/>
      <c r="K847" s="606"/>
    </row>
    <row r="848">
      <c r="A848" s="1665"/>
      <c r="B848" s="1304"/>
      <c r="C848" s="1154"/>
      <c r="D848" s="1154"/>
      <c r="E848" s="1154"/>
      <c r="G848" s="606"/>
      <c r="H848" s="606"/>
      <c r="I848" s="606"/>
      <c r="J848" s="606"/>
      <c r="K848" s="606"/>
    </row>
    <row r="849">
      <c r="A849" s="1665"/>
      <c r="B849" s="1154"/>
      <c r="C849" s="1154"/>
      <c r="D849" s="1154"/>
      <c r="E849" s="1154"/>
      <c r="G849" s="606"/>
      <c r="H849" s="606"/>
      <c r="I849" s="606"/>
      <c r="J849" s="606"/>
      <c r="K849" s="606"/>
    </row>
    <row r="850">
      <c r="A850" s="1665"/>
      <c r="B850" s="1154"/>
      <c r="C850" s="23"/>
      <c r="D850" s="1154"/>
      <c r="E850" s="1653"/>
      <c r="G850" s="606"/>
      <c r="H850" s="606"/>
      <c r="I850" s="606"/>
      <c r="J850" s="606"/>
      <c r="K850" s="606"/>
    </row>
    <row r="851">
      <c r="A851" s="1665"/>
      <c r="B851" s="1154"/>
      <c r="C851" s="1154"/>
      <c r="D851" s="1154"/>
      <c r="E851" s="1154"/>
      <c r="G851" s="606"/>
      <c r="H851" s="606"/>
      <c r="I851" s="606"/>
      <c r="J851" s="606"/>
      <c r="K851" s="606"/>
    </row>
    <row r="852">
      <c r="A852" s="1665"/>
      <c r="B852" s="1154"/>
      <c r="C852" s="1154"/>
      <c r="D852" s="1154"/>
      <c r="E852" s="1154"/>
      <c r="G852" s="606"/>
      <c r="H852" s="606"/>
      <c r="I852" s="606"/>
      <c r="J852" s="606"/>
      <c r="K852" s="606"/>
    </row>
    <row r="853">
      <c r="A853" s="1665"/>
      <c r="B853" s="1304"/>
      <c r="C853" s="1154"/>
      <c r="D853" s="1154"/>
      <c r="E853" s="1154"/>
      <c r="G853" s="606"/>
      <c r="H853" s="606"/>
      <c r="I853" s="606"/>
      <c r="J853" s="606"/>
      <c r="K853" s="606"/>
    </row>
    <row r="854">
      <c r="A854" s="1665"/>
      <c r="B854" s="1154"/>
      <c r="C854" s="1154"/>
      <c r="D854" s="1154"/>
      <c r="E854" s="1154"/>
      <c r="G854" s="606"/>
      <c r="H854" s="606"/>
      <c r="I854" s="606"/>
      <c r="J854" s="606"/>
      <c r="K854" s="606"/>
    </row>
    <row r="855">
      <c r="A855" s="1665"/>
      <c r="B855" s="1154"/>
      <c r="C855" s="1154"/>
      <c r="D855" s="1154"/>
      <c r="E855" s="1154"/>
      <c r="G855" s="606"/>
      <c r="H855" s="606"/>
      <c r="I855" s="606"/>
      <c r="J855" s="606"/>
      <c r="K855" s="606"/>
    </row>
    <row r="856">
      <c r="A856" s="1665"/>
      <c r="B856" s="1154"/>
      <c r="C856" s="1154"/>
      <c r="D856" s="1154"/>
      <c r="E856" s="1154"/>
      <c r="G856" s="606"/>
      <c r="H856" s="606"/>
      <c r="I856" s="606"/>
      <c r="J856" s="606"/>
      <c r="K856" s="606"/>
    </row>
    <row r="857">
      <c r="A857" s="1665"/>
      <c r="B857" s="1154"/>
      <c r="C857" s="1154"/>
      <c r="D857" s="1154"/>
      <c r="E857" s="1154"/>
      <c r="G857" s="606"/>
      <c r="H857" s="606"/>
      <c r="I857" s="606"/>
      <c r="J857" s="606"/>
      <c r="K857" s="606"/>
    </row>
    <row r="858">
      <c r="A858" s="1665"/>
      <c r="B858" s="1154"/>
      <c r="C858" s="1154"/>
      <c r="D858" s="1154"/>
      <c r="E858" s="1154"/>
      <c r="G858" s="606"/>
      <c r="H858" s="606"/>
      <c r="I858" s="606"/>
      <c r="J858" s="606"/>
      <c r="K858" s="606"/>
    </row>
    <row r="859">
      <c r="A859" s="1665"/>
      <c r="B859" s="1154"/>
      <c r="C859" s="1154"/>
      <c r="D859" s="1154"/>
      <c r="E859" s="1154"/>
      <c r="G859" s="606"/>
      <c r="H859" s="606"/>
      <c r="I859" s="606"/>
      <c r="J859" s="606"/>
      <c r="K859" s="606"/>
    </row>
    <row r="860">
      <c r="A860" s="1665"/>
      <c r="B860" s="1154"/>
      <c r="C860" s="23"/>
      <c r="D860" s="1154"/>
      <c r="E860" s="1653"/>
      <c r="G860" s="606"/>
      <c r="H860" s="606"/>
      <c r="I860" s="606"/>
      <c r="J860" s="606"/>
      <c r="K860" s="606"/>
    </row>
    <row r="861">
      <c r="A861" s="1653"/>
      <c r="B861" s="1154"/>
      <c r="C861" s="1662"/>
      <c r="D861" s="1662"/>
      <c r="E861" s="1154"/>
      <c r="G861" s="606"/>
      <c r="H861" s="606"/>
      <c r="I861" s="606"/>
      <c r="J861" s="606"/>
      <c r="K861" s="606"/>
    </row>
    <row r="862">
      <c r="A862" s="1665"/>
      <c r="B862" s="1154"/>
      <c r="C862" s="1154"/>
      <c r="D862" s="1154"/>
      <c r="E862" s="1154"/>
      <c r="G862" s="606"/>
      <c r="H862" s="606"/>
      <c r="I862" s="606"/>
      <c r="J862" s="606"/>
      <c r="K862" s="606"/>
    </row>
    <row r="863">
      <c r="A863" s="1665"/>
      <c r="B863" s="1154"/>
      <c r="C863" s="1154"/>
      <c r="D863" s="1154"/>
      <c r="E863" s="1154"/>
      <c r="G863" s="606"/>
      <c r="H863" s="606"/>
      <c r="I863" s="606"/>
      <c r="J863" s="606"/>
      <c r="K863" s="606"/>
    </row>
    <row r="864">
      <c r="A864" s="1665"/>
      <c r="B864" s="1154"/>
      <c r="C864" s="1154"/>
      <c r="D864" s="1154"/>
      <c r="E864" s="1154"/>
      <c r="G864" s="606"/>
      <c r="H864" s="606"/>
      <c r="I864" s="606"/>
      <c r="J864" s="606"/>
      <c r="K864" s="606"/>
    </row>
    <row r="865">
      <c r="A865" s="1665"/>
      <c r="B865" s="1154"/>
      <c r="C865" s="23"/>
      <c r="D865" s="1154"/>
      <c r="E865" s="1653"/>
      <c r="G865" s="606"/>
      <c r="H865" s="606"/>
      <c r="I865" s="606"/>
      <c r="J865" s="606"/>
      <c r="K865" s="606"/>
    </row>
    <row r="866">
      <c r="A866" s="1665"/>
      <c r="B866" s="1154"/>
      <c r="C866" s="1154"/>
      <c r="D866" s="1154"/>
      <c r="E866" s="1154"/>
      <c r="G866" s="606"/>
      <c r="H866" s="606"/>
      <c r="I866" s="606"/>
      <c r="J866" s="606"/>
      <c r="K866" s="606"/>
    </row>
    <row r="867">
      <c r="A867" s="1653"/>
      <c r="B867" s="1154"/>
      <c r="C867" s="1154"/>
      <c r="D867" s="1154"/>
      <c r="E867" s="1154"/>
      <c r="G867" s="606"/>
      <c r="H867" s="606"/>
      <c r="I867" s="606"/>
      <c r="J867" s="606"/>
      <c r="K867" s="606"/>
    </row>
    <row r="868">
      <c r="A868" s="1665"/>
      <c r="B868" s="1154"/>
      <c r="C868" s="1154"/>
      <c r="D868" s="1154"/>
      <c r="E868" s="1154"/>
      <c r="G868" s="606"/>
      <c r="H868" s="606"/>
      <c r="I868" s="606"/>
      <c r="J868" s="606"/>
      <c r="K868" s="606"/>
    </row>
    <row r="869">
      <c r="A869" s="1665"/>
      <c r="B869" s="1154"/>
      <c r="C869" s="1154"/>
      <c r="D869" s="1154"/>
      <c r="E869" s="1154"/>
      <c r="G869" s="606"/>
      <c r="H869" s="606"/>
      <c r="I869" s="606"/>
      <c r="J869" s="606"/>
      <c r="K869" s="606"/>
    </row>
    <row r="870">
      <c r="A870" s="1665"/>
      <c r="B870" s="1154"/>
      <c r="C870" s="23"/>
      <c r="D870" s="1154"/>
      <c r="E870" s="1653"/>
      <c r="G870" s="606"/>
      <c r="H870" s="606"/>
      <c r="I870" s="606"/>
      <c r="J870" s="606"/>
      <c r="K870" s="606"/>
    </row>
    <row r="871">
      <c r="A871" s="1665"/>
      <c r="B871" s="1154"/>
      <c r="C871" s="1154"/>
      <c r="D871" s="1154"/>
      <c r="E871" s="1154"/>
      <c r="G871" s="606"/>
      <c r="H871" s="606"/>
      <c r="I871" s="606"/>
      <c r="J871" s="606"/>
      <c r="K871" s="606"/>
    </row>
    <row r="872">
      <c r="A872" s="1665"/>
      <c r="B872" s="1154"/>
      <c r="C872" s="1154"/>
      <c r="D872" s="1154"/>
      <c r="E872" s="1154"/>
      <c r="G872" s="606"/>
      <c r="H872" s="606"/>
      <c r="I872" s="606"/>
      <c r="J872" s="606"/>
      <c r="K872" s="606"/>
    </row>
    <row r="873">
      <c r="A873" s="1665"/>
      <c r="B873" s="1154"/>
      <c r="C873" s="1154"/>
      <c r="D873" s="1154"/>
      <c r="E873" s="1154"/>
      <c r="G873" s="606"/>
      <c r="H873" s="606"/>
      <c r="I873" s="606"/>
      <c r="J873" s="606"/>
      <c r="K873" s="606"/>
    </row>
    <row r="874">
      <c r="A874" s="1665"/>
      <c r="B874" s="1154"/>
      <c r="C874" s="1154"/>
      <c r="D874" s="1154"/>
      <c r="E874" s="1154"/>
      <c r="G874" s="606"/>
      <c r="H874" s="606"/>
      <c r="I874" s="606"/>
      <c r="J874" s="606"/>
      <c r="K874" s="606"/>
    </row>
    <row r="875">
      <c r="A875" s="1665"/>
      <c r="B875" s="1154"/>
      <c r="C875" s="1154"/>
      <c r="D875" s="1154"/>
      <c r="E875" s="1154"/>
      <c r="G875" s="606"/>
      <c r="H875" s="606"/>
      <c r="I875" s="606"/>
      <c r="J875" s="606"/>
      <c r="K875" s="606"/>
    </row>
    <row r="876">
      <c r="A876" s="1665"/>
      <c r="B876" s="1154"/>
      <c r="C876" s="1154"/>
      <c r="D876" s="1154"/>
      <c r="E876" s="1154"/>
      <c r="G876" s="606"/>
      <c r="H876" s="606"/>
      <c r="I876" s="606"/>
      <c r="J876" s="606"/>
      <c r="K876" s="606"/>
    </row>
    <row r="877">
      <c r="A877" s="1665"/>
      <c r="B877" s="1154"/>
      <c r="C877" s="1154"/>
      <c r="D877" s="1154"/>
      <c r="E877" s="1154"/>
      <c r="G877" s="606"/>
      <c r="H877" s="606"/>
      <c r="I877" s="606"/>
      <c r="J877" s="606"/>
      <c r="K877" s="606"/>
    </row>
    <row r="878">
      <c r="A878" s="1665"/>
      <c r="B878" s="1154"/>
      <c r="C878" s="1154"/>
      <c r="D878" s="1154"/>
      <c r="E878" s="1154"/>
      <c r="G878" s="606"/>
      <c r="H878" s="606"/>
      <c r="I878" s="606"/>
      <c r="J878" s="606"/>
      <c r="K878" s="606"/>
    </row>
    <row r="879">
      <c r="A879" s="1665"/>
      <c r="B879" s="1154"/>
      <c r="C879" s="1154"/>
      <c r="D879" s="1154"/>
      <c r="E879" s="1154"/>
      <c r="G879" s="606"/>
      <c r="H879" s="606"/>
      <c r="I879" s="606"/>
      <c r="J879" s="606"/>
      <c r="K879" s="606"/>
    </row>
    <row r="880">
      <c r="A880" s="1665"/>
      <c r="B880" s="1154"/>
      <c r="C880" s="1154"/>
      <c r="D880" s="1154"/>
      <c r="E880" s="1154"/>
      <c r="G880" s="606"/>
      <c r="H880" s="606"/>
      <c r="I880" s="606"/>
      <c r="J880" s="606"/>
      <c r="K880" s="606"/>
    </row>
    <row r="881">
      <c r="A881" s="1665"/>
      <c r="B881" s="1154"/>
      <c r="C881" s="1154"/>
      <c r="D881" s="1154"/>
      <c r="E881" s="1154"/>
      <c r="G881" s="606"/>
      <c r="H881" s="606"/>
      <c r="I881" s="606"/>
      <c r="J881" s="606"/>
      <c r="K881" s="606"/>
    </row>
    <row r="882">
      <c r="A882" s="1665"/>
      <c r="B882" s="1154"/>
      <c r="C882" s="1154"/>
      <c r="D882" s="1154"/>
      <c r="E882" s="1154"/>
      <c r="G882" s="606"/>
      <c r="H882" s="606"/>
      <c r="I882" s="606"/>
      <c r="J882" s="606"/>
      <c r="K882" s="606"/>
    </row>
    <row r="883">
      <c r="A883" s="1653"/>
      <c r="B883" s="1154"/>
      <c r="C883" s="1154"/>
      <c r="D883" s="1154"/>
      <c r="E883" s="1154"/>
      <c r="G883" s="606"/>
      <c r="H883" s="606"/>
      <c r="I883" s="606"/>
      <c r="J883" s="606"/>
      <c r="K883" s="606"/>
    </row>
    <row r="884">
      <c r="A884" s="1665"/>
      <c r="B884" s="1154"/>
      <c r="C884" s="1154"/>
      <c r="D884" s="1154"/>
      <c r="E884" s="1154"/>
      <c r="G884" s="606"/>
      <c r="H884" s="606"/>
      <c r="I884" s="606"/>
      <c r="J884" s="606"/>
      <c r="K884" s="606"/>
    </row>
    <row r="885">
      <c r="A885" s="1665"/>
      <c r="B885" s="1154"/>
      <c r="C885" s="23"/>
      <c r="D885" s="1154"/>
      <c r="E885" s="1154"/>
      <c r="G885" s="606"/>
      <c r="H885" s="606"/>
      <c r="I885" s="606"/>
      <c r="J885" s="606"/>
      <c r="K885" s="606"/>
    </row>
    <row r="886">
      <c r="A886" s="1653"/>
      <c r="B886" s="1154"/>
      <c r="C886" s="1154"/>
      <c r="D886" s="1154"/>
      <c r="E886" s="1154"/>
      <c r="G886" s="606"/>
      <c r="H886" s="606"/>
      <c r="I886" s="606"/>
      <c r="J886" s="606"/>
      <c r="K886" s="606"/>
    </row>
    <row r="887">
      <c r="A887" s="1665"/>
      <c r="B887" s="1154"/>
      <c r="C887" s="1154"/>
      <c r="D887" s="1154"/>
      <c r="E887" s="1154"/>
      <c r="G887" s="606"/>
      <c r="H887" s="606"/>
      <c r="I887" s="606"/>
      <c r="J887" s="606"/>
      <c r="K887" s="606"/>
    </row>
    <row r="888">
      <c r="A888" s="1665"/>
      <c r="B888" s="1154"/>
      <c r="C888" s="1154"/>
      <c r="D888" s="1154"/>
      <c r="E888" s="1154"/>
      <c r="G888" s="606"/>
      <c r="H888" s="606"/>
      <c r="I888" s="606"/>
      <c r="J888" s="606"/>
      <c r="K888" s="606"/>
    </row>
    <row r="889">
      <c r="A889" s="1665"/>
      <c r="B889" s="1154"/>
      <c r="C889" s="1154"/>
      <c r="D889" s="1154"/>
      <c r="E889" s="1154"/>
      <c r="G889" s="606"/>
      <c r="H889" s="606"/>
      <c r="I889" s="606"/>
      <c r="J889" s="606"/>
      <c r="K889" s="606"/>
    </row>
    <row r="890">
      <c r="A890" s="1665"/>
      <c r="B890" s="1154"/>
      <c r="C890" s="1154"/>
      <c r="D890" s="1154"/>
      <c r="E890" s="1154"/>
      <c r="G890" s="606"/>
      <c r="H890" s="606"/>
      <c r="I890" s="606"/>
      <c r="J890" s="606"/>
      <c r="K890" s="606"/>
    </row>
    <row r="891">
      <c r="A891" s="1665"/>
      <c r="B891" s="1154"/>
      <c r="C891" s="1154"/>
      <c r="D891" s="1154"/>
      <c r="E891" s="1154"/>
      <c r="G891" s="606"/>
      <c r="H891" s="606"/>
      <c r="I891" s="606"/>
      <c r="J891" s="606"/>
      <c r="K891" s="606"/>
    </row>
    <row r="892">
      <c r="A892" s="1665"/>
      <c r="B892" s="1154"/>
      <c r="C892" s="1154"/>
      <c r="D892" s="1154"/>
      <c r="E892" s="1154"/>
      <c r="G892" s="606"/>
      <c r="H892" s="606"/>
      <c r="I892" s="606"/>
      <c r="J892" s="606"/>
      <c r="K892" s="606"/>
    </row>
    <row r="893">
      <c r="A893" s="1665"/>
      <c r="B893" s="1154"/>
      <c r="C893" s="1154"/>
      <c r="D893" s="1154"/>
      <c r="E893" s="1154"/>
      <c r="G893" s="606"/>
      <c r="H893" s="606"/>
      <c r="I893" s="606"/>
      <c r="J893" s="606"/>
      <c r="K893" s="606"/>
    </row>
    <row r="894">
      <c r="A894" s="1665"/>
      <c r="B894" s="1154"/>
      <c r="C894" s="23"/>
      <c r="D894" s="1154"/>
      <c r="E894" s="1154"/>
      <c r="G894" s="606"/>
      <c r="H894" s="606"/>
      <c r="I894" s="606"/>
      <c r="J894" s="606"/>
      <c r="K894" s="606"/>
    </row>
    <row r="895">
      <c r="A895" s="1665"/>
      <c r="B895" s="1154"/>
      <c r="C895" s="1154"/>
      <c r="D895" s="1154"/>
      <c r="E895" s="1154"/>
      <c r="G895" s="606"/>
      <c r="H895" s="606"/>
      <c r="I895" s="606"/>
      <c r="J895" s="606"/>
      <c r="K895" s="606"/>
    </row>
    <row r="896">
      <c r="A896" s="1665"/>
      <c r="B896" s="1154"/>
      <c r="C896" s="1154"/>
      <c r="D896" s="1154"/>
      <c r="E896" s="1154"/>
      <c r="G896" s="606"/>
      <c r="H896" s="606"/>
      <c r="I896" s="606"/>
      <c r="J896" s="606"/>
      <c r="K896" s="606"/>
    </row>
    <row r="897">
      <c r="A897" s="1665"/>
      <c r="B897" s="1154"/>
      <c r="C897" s="1154"/>
      <c r="D897" s="1154"/>
      <c r="E897" s="1154"/>
      <c r="G897" s="606"/>
      <c r="H897" s="606"/>
      <c r="I897" s="606"/>
      <c r="J897" s="606"/>
      <c r="K897" s="606"/>
    </row>
    <row r="898">
      <c r="A898" s="1665"/>
      <c r="B898" s="1154"/>
      <c r="C898" s="1154"/>
      <c r="D898" s="1154"/>
      <c r="E898" s="1154"/>
      <c r="G898" s="606"/>
      <c r="H898" s="606"/>
      <c r="I898" s="606"/>
      <c r="J898" s="606"/>
      <c r="K898" s="606"/>
    </row>
    <row r="899">
      <c r="A899" s="1665"/>
      <c r="B899" s="1154"/>
      <c r="C899" s="1154"/>
      <c r="D899" s="1154"/>
      <c r="E899" s="1154"/>
      <c r="G899" s="606"/>
      <c r="H899" s="606"/>
      <c r="I899" s="606"/>
      <c r="J899" s="606"/>
      <c r="K899" s="606"/>
    </row>
    <row r="900">
      <c r="A900" s="1665"/>
      <c r="B900" s="1154"/>
      <c r="C900" s="1154"/>
      <c r="D900" s="1154"/>
      <c r="E900" s="1154"/>
      <c r="G900" s="606"/>
      <c r="H900" s="606"/>
      <c r="I900" s="606"/>
      <c r="J900" s="606"/>
      <c r="K900" s="606"/>
    </row>
    <row r="901">
      <c r="A901" s="1665"/>
      <c r="B901" s="1154"/>
      <c r="C901" s="1154"/>
      <c r="D901" s="1154"/>
      <c r="E901" s="1154"/>
      <c r="G901" s="606"/>
      <c r="H901" s="606"/>
      <c r="I901" s="606"/>
      <c r="J901" s="606"/>
      <c r="K901" s="606"/>
    </row>
    <row r="902">
      <c r="A902" s="1665"/>
      <c r="B902" s="1154"/>
      <c r="C902" s="1154"/>
      <c r="D902" s="1154"/>
      <c r="E902" s="1154"/>
      <c r="G902" s="606"/>
      <c r="H902" s="606"/>
      <c r="I902" s="606"/>
      <c r="J902" s="606"/>
      <c r="K902" s="606"/>
    </row>
    <row r="903">
      <c r="A903" s="1665"/>
      <c r="B903" s="1154"/>
      <c r="C903" s="1154"/>
      <c r="D903" s="1154"/>
      <c r="E903" s="1154"/>
      <c r="G903" s="606"/>
      <c r="H903" s="606"/>
      <c r="I903" s="606"/>
      <c r="J903" s="606"/>
      <c r="K903" s="606"/>
    </row>
    <row r="904">
      <c r="A904" s="1665"/>
      <c r="B904" s="1154"/>
      <c r="C904" s="1154"/>
      <c r="D904" s="1154"/>
      <c r="E904" s="1154"/>
      <c r="G904" s="606"/>
      <c r="H904" s="606"/>
      <c r="I904" s="606"/>
      <c r="J904" s="606"/>
      <c r="K904" s="606"/>
    </row>
    <row r="905">
      <c r="A905" s="1665"/>
      <c r="B905" s="1154"/>
      <c r="C905" s="1154"/>
      <c r="D905" s="1154"/>
      <c r="E905" s="1154"/>
      <c r="G905" s="606"/>
      <c r="H905" s="606"/>
      <c r="I905" s="606"/>
      <c r="J905" s="606"/>
      <c r="K905" s="606"/>
    </row>
    <row r="906">
      <c r="A906" s="1665"/>
      <c r="B906" s="1154"/>
      <c r="C906" s="23"/>
      <c r="D906" s="1154"/>
      <c r="E906" s="1653"/>
      <c r="G906" s="606"/>
      <c r="H906" s="606"/>
      <c r="I906" s="606"/>
      <c r="J906" s="606"/>
      <c r="K906" s="606"/>
    </row>
    <row r="907">
      <c r="A907" s="1665"/>
      <c r="B907" s="1154"/>
      <c r="C907" s="1154"/>
      <c r="D907" s="1154"/>
      <c r="E907" s="1154"/>
      <c r="G907" s="606"/>
      <c r="H907" s="606"/>
      <c r="I907" s="606"/>
      <c r="J907" s="606"/>
      <c r="K907" s="606"/>
    </row>
    <row r="908">
      <c r="A908" s="1154"/>
      <c r="B908" s="1154"/>
      <c r="C908" s="1154"/>
      <c r="D908" s="1154"/>
      <c r="E908" s="1154"/>
      <c r="G908" s="606"/>
      <c r="H908" s="606"/>
      <c r="I908" s="606"/>
      <c r="J908" s="606"/>
      <c r="K908" s="606"/>
    </row>
    <row r="909">
      <c r="A909" s="1154"/>
      <c r="B909" s="1154"/>
      <c r="C909" s="1154"/>
      <c r="D909" s="1154"/>
      <c r="E909" s="1154"/>
      <c r="G909" s="606"/>
      <c r="H909" s="606"/>
      <c r="I909" s="606"/>
      <c r="J909" s="606"/>
      <c r="K909" s="606"/>
    </row>
    <row r="910">
      <c r="A910" s="1154"/>
      <c r="B910" s="1154"/>
      <c r="C910" s="1154"/>
      <c r="D910" s="1154"/>
      <c r="E910" s="1154"/>
      <c r="G910" s="606"/>
      <c r="H910" s="606"/>
      <c r="I910" s="606"/>
      <c r="J910" s="606"/>
      <c r="K910" s="606"/>
    </row>
    <row r="911">
      <c r="A911" s="1154"/>
      <c r="B911" s="1154"/>
      <c r="C911" s="1154"/>
      <c r="D911" s="1154"/>
      <c r="E911" s="1154"/>
      <c r="G911" s="606"/>
      <c r="H911" s="606"/>
      <c r="I911" s="606"/>
      <c r="J911" s="606"/>
      <c r="K911" s="606"/>
    </row>
    <row r="912">
      <c r="A912" s="1154"/>
      <c r="B912" s="1154"/>
      <c r="C912" s="1154"/>
      <c r="D912" s="1154"/>
      <c r="E912" s="1154"/>
      <c r="G912" s="606"/>
      <c r="H912" s="606"/>
      <c r="I912" s="606"/>
      <c r="J912" s="606"/>
      <c r="K912" s="606"/>
    </row>
    <row r="913">
      <c r="A913" s="1154"/>
      <c r="B913" s="1154"/>
      <c r="C913" s="1154"/>
      <c r="D913" s="1154"/>
      <c r="E913" s="1154"/>
      <c r="G913" s="606"/>
      <c r="H913" s="606"/>
      <c r="I913" s="606"/>
      <c r="J913" s="606"/>
      <c r="K913" s="606"/>
    </row>
    <row r="914">
      <c r="A914" s="1154"/>
      <c r="B914" s="1154"/>
      <c r="C914" s="1154"/>
      <c r="D914" s="1154"/>
      <c r="E914" s="1154"/>
      <c r="G914" s="606"/>
      <c r="H914" s="606"/>
      <c r="I914" s="606"/>
      <c r="J914" s="606"/>
      <c r="K914" s="606"/>
    </row>
    <row r="915">
      <c r="A915" s="1154"/>
      <c r="B915" s="1154"/>
      <c r="C915" s="1154"/>
      <c r="D915" s="1154"/>
      <c r="E915" s="1154"/>
      <c r="G915" s="606"/>
      <c r="H915" s="606"/>
      <c r="I915" s="606"/>
      <c r="J915" s="606"/>
      <c r="K915" s="606"/>
    </row>
    <row r="916">
      <c r="A916" s="1154"/>
      <c r="B916" s="1154"/>
      <c r="C916" s="1154"/>
      <c r="D916" s="1154"/>
      <c r="E916" s="1154"/>
      <c r="G916" s="606"/>
      <c r="H916" s="606"/>
      <c r="I916" s="606"/>
      <c r="J916" s="606"/>
      <c r="K916" s="606"/>
    </row>
    <row r="917">
      <c r="A917" s="1154"/>
      <c r="B917" s="1154"/>
      <c r="C917" s="1154"/>
      <c r="D917" s="1154"/>
      <c r="E917" s="1154"/>
      <c r="G917" s="606"/>
      <c r="H917" s="606"/>
      <c r="I917" s="606"/>
      <c r="J917" s="606"/>
      <c r="K917" s="606"/>
    </row>
    <row r="918">
      <c r="A918" s="1154"/>
      <c r="B918" s="1154"/>
      <c r="C918" s="1154"/>
      <c r="D918" s="1154"/>
      <c r="E918" s="1154"/>
      <c r="G918" s="606"/>
      <c r="H918" s="606"/>
      <c r="I918" s="606"/>
      <c r="J918" s="606"/>
      <c r="K918" s="606"/>
    </row>
    <row r="919">
      <c r="A919" s="1607"/>
      <c r="B919" s="1607"/>
      <c r="C919" s="1607"/>
      <c r="D919" s="1607"/>
      <c r="E919" s="1607"/>
      <c r="G919" s="606"/>
      <c r="H919" s="606"/>
      <c r="I919" s="606"/>
      <c r="J919" s="606"/>
      <c r="K919" s="606"/>
    </row>
    <row r="920">
      <c r="A920" s="1607"/>
      <c r="B920" s="1607"/>
      <c r="C920" s="1607"/>
      <c r="D920" s="1607"/>
      <c r="E920" s="1607"/>
      <c r="G920" s="606"/>
      <c r="H920" s="606"/>
      <c r="I920" s="606"/>
      <c r="J920" s="606"/>
      <c r="K920" s="606"/>
    </row>
    <row r="921">
      <c r="A921" s="1607"/>
      <c r="B921" s="1607"/>
      <c r="C921" s="1607"/>
      <c r="D921" s="1607"/>
      <c r="E921" s="1607"/>
      <c r="G921" s="606"/>
      <c r="H921" s="606"/>
      <c r="I921" s="606"/>
      <c r="J921" s="606"/>
      <c r="K921" s="606"/>
    </row>
    <row r="922">
      <c r="A922" s="1607"/>
      <c r="B922" s="1607"/>
      <c r="C922" s="1607"/>
      <c r="D922" s="1607"/>
      <c r="E922" s="1607"/>
      <c r="G922" s="606"/>
      <c r="H922" s="606"/>
      <c r="I922" s="606"/>
      <c r="J922" s="606"/>
      <c r="K922" s="606"/>
    </row>
    <row r="923">
      <c r="A923" s="1607"/>
      <c r="B923" s="1607"/>
      <c r="C923" s="1607"/>
      <c r="D923" s="1607"/>
      <c r="E923" s="1607"/>
      <c r="G923" s="606"/>
      <c r="H923" s="606"/>
      <c r="I923" s="606"/>
      <c r="J923" s="606"/>
      <c r="K923" s="606"/>
    </row>
    <row r="924">
      <c r="A924" s="1607"/>
      <c r="B924" s="1607"/>
      <c r="C924" s="1607"/>
      <c r="D924" s="1607"/>
      <c r="E924" s="1607"/>
      <c r="G924" s="606"/>
      <c r="H924" s="606"/>
      <c r="I924" s="606"/>
      <c r="J924" s="606"/>
      <c r="K924" s="606"/>
    </row>
    <row r="925">
      <c r="A925" s="1607"/>
      <c r="B925" s="1607"/>
      <c r="C925" s="1607"/>
      <c r="D925" s="1607"/>
      <c r="E925" s="1607"/>
      <c r="G925" s="606"/>
      <c r="H925" s="606"/>
      <c r="I925" s="606"/>
      <c r="J925" s="606"/>
      <c r="K925" s="606"/>
    </row>
    <row r="926">
      <c r="A926" s="1607"/>
      <c r="B926" s="1607"/>
      <c r="C926" s="1607"/>
      <c r="D926" s="1607"/>
      <c r="E926" s="1607"/>
      <c r="G926" s="606"/>
      <c r="H926" s="606"/>
      <c r="I926" s="606"/>
      <c r="J926" s="606"/>
      <c r="K926" s="606"/>
    </row>
    <row r="927">
      <c r="A927" s="1607"/>
      <c r="B927" s="1607"/>
      <c r="C927" s="1607"/>
      <c r="D927" s="1607"/>
      <c r="E927" s="1607"/>
      <c r="G927" s="606"/>
      <c r="H927" s="606"/>
      <c r="I927" s="606"/>
      <c r="J927" s="606"/>
      <c r="K927" s="606"/>
    </row>
    <row r="928">
      <c r="A928" s="1607"/>
      <c r="B928" s="1607"/>
      <c r="C928" s="1607"/>
      <c r="D928" s="1607"/>
      <c r="E928" s="1607"/>
      <c r="G928" s="606"/>
      <c r="H928" s="606"/>
      <c r="I928" s="606"/>
      <c r="J928" s="606"/>
      <c r="K928" s="606"/>
    </row>
    <row r="929">
      <c r="A929" s="1607"/>
      <c r="B929" s="1607"/>
      <c r="C929" s="1607"/>
      <c r="D929" s="1607"/>
      <c r="E929" s="1607"/>
      <c r="G929" s="606"/>
      <c r="H929" s="606"/>
      <c r="I929" s="606"/>
      <c r="J929" s="606"/>
      <c r="K929" s="606"/>
    </row>
    <row r="930">
      <c r="A930" s="1607"/>
      <c r="B930" s="1607"/>
      <c r="C930" s="1607"/>
      <c r="D930" s="1607"/>
      <c r="E930" s="1607"/>
      <c r="G930" s="606"/>
      <c r="H930" s="606"/>
      <c r="I930" s="606"/>
      <c r="J930" s="606"/>
      <c r="K930" s="606"/>
    </row>
    <row r="931">
      <c r="A931" s="1607"/>
      <c r="B931" s="1607"/>
      <c r="C931" s="1607"/>
      <c r="D931" s="1607"/>
      <c r="E931" s="1607"/>
      <c r="G931" s="606"/>
      <c r="H931" s="606"/>
      <c r="I931" s="606"/>
      <c r="J931" s="606"/>
      <c r="K931" s="606"/>
    </row>
    <row r="932">
      <c r="A932" s="1607"/>
      <c r="B932" s="1607"/>
      <c r="C932" s="1607"/>
      <c r="D932" s="1607"/>
      <c r="E932" s="1607"/>
      <c r="G932" s="606"/>
      <c r="H932" s="606"/>
      <c r="I932" s="606"/>
      <c r="J932" s="606"/>
      <c r="K932" s="606"/>
    </row>
    <row r="933">
      <c r="A933" s="1607"/>
      <c r="B933" s="1607"/>
      <c r="C933" s="1607"/>
      <c r="D933" s="1607"/>
      <c r="E933" s="1607"/>
      <c r="G933" s="606"/>
      <c r="H933" s="606"/>
      <c r="I933" s="606"/>
      <c r="J933" s="606"/>
      <c r="K933" s="606"/>
    </row>
    <row r="934">
      <c r="A934" s="1607"/>
      <c r="B934" s="1607"/>
      <c r="C934" s="1607"/>
      <c r="D934" s="1607"/>
      <c r="E934" s="1607"/>
      <c r="G934" s="606"/>
      <c r="H934" s="606"/>
      <c r="I934" s="606"/>
      <c r="J934" s="606"/>
      <c r="K934" s="606"/>
    </row>
    <row r="935">
      <c r="A935" s="1607"/>
      <c r="B935" s="1607"/>
      <c r="C935" s="1607"/>
      <c r="D935" s="1607"/>
      <c r="E935" s="1607"/>
      <c r="G935" s="606"/>
      <c r="H935" s="606"/>
      <c r="I935" s="606"/>
      <c r="J935" s="606"/>
      <c r="K935" s="606"/>
    </row>
    <row r="936">
      <c r="A936" s="1607"/>
      <c r="B936" s="1607"/>
      <c r="C936" s="1607"/>
      <c r="D936" s="1607"/>
      <c r="E936" s="1607"/>
      <c r="G936" s="606"/>
      <c r="H936" s="606"/>
      <c r="I936" s="606"/>
      <c r="J936" s="606"/>
      <c r="K936" s="606"/>
    </row>
    <row r="937">
      <c r="A937" s="1607"/>
      <c r="B937" s="1607"/>
      <c r="C937" s="1607"/>
      <c r="D937" s="1607"/>
      <c r="E937" s="1607"/>
      <c r="G937" s="606"/>
      <c r="H937" s="606"/>
      <c r="I937" s="606"/>
      <c r="J937" s="606"/>
      <c r="K937" s="606"/>
    </row>
    <row r="938">
      <c r="A938" s="1607"/>
      <c r="B938" s="1607"/>
      <c r="C938" s="1607"/>
      <c r="D938" s="1607"/>
      <c r="E938" s="1607"/>
      <c r="G938" s="606"/>
      <c r="H938" s="606"/>
      <c r="I938" s="606"/>
      <c r="J938" s="606"/>
      <c r="K938" s="606"/>
    </row>
    <row r="939">
      <c r="A939" s="1607"/>
      <c r="B939" s="1607"/>
      <c r="C939" s="1607"/>
      <c r="D939" s="1607"/>
      <c r="E939" s="1607"/>
      <c r="G939" s="606"/>
      <c r="H939" s="606"/>
      <c r="I939" s="606"/>
      <c r="J939" s="606"/>
      <c r="K939" s="606"/>
    </row>
    <row r="940">
      <c r="A940" s="1607"/>
      <c r="B940" s="1607"/>
      <c r="C940" s="1607"/>
      <c r="D940" s="1607"/>
      <c r="E940" s="1607"/>
      <c r="G940" s="606"/>
      <c r="H940" s="606"/>
      <c r="I940" s="606"/>
      <c r="J940" s="606"/>
      <c r="K940" s="606"/>
    </row>
    <row r="941">
      <c r="A941" s="1607"/>
      <c r="B941" s="1607"/>
      <c r="C941" s="1607"/>
      <c r="D941" s="1607"/>
      <c r="E941" s="1607"/>
      <c r="G941" s="606"/>
      <c r="H941" s="606"/>
      <c r="I941" s="606"/>
      <c r="J941" s="606"/>
      <c r="K941" s="606"/>
    </row>
    <row r="942">
      <c r="A942" s="1607"/>
      <c r="B942" s="1607"/>
      <c r="C942" s="1607"/>
      <c r="D942" s="1607"/>
      <c r="E942" s="1607"/>
      <c r="G942" s="606"/>
      <c r="H942" s="606"/>
      <c r="I942" s="606"/>
      <c r="J942" s="606"/>
      <c r="K942" s="606"/>
    </row>
    <row r="943">
      <c r="A943" s="1607"/>
      <c r="B943" s="1607"/>
      <c r="C943" s="1607"/>
      <c r="D943" s="1607"/>
      <c r="E943" s="1607"/>
      <c r="G943" s="606"/>
      <c r="H943" s="606"/>
      <c r="I943" s="606"/>
      <c r="J943" s="606"/>
      <c r="K943" s="606"/>
    </row>
    <row r="944">
      <c r="A944" s="1607"/>
      <c r="B944" s="1607"/>
      <c r="C944" s="1607"/>
      <c r="D944" s="1607"/>
      <c r="E944" s="1607"/>
      <c r="G944" s="606"/>
      <c r="H944" s="606"/>
      <c r="I944" s="606"/>
      <c r="J944" s="606"/>
      <c r="K944" s="606"/>
    </row>
    <row r="945">
      <c r="A945" s="1607"/>
      <c r="B945" s="1607"/>
      <c r="C945" s="1607"/>
      <c r="D945" s="1607"/>
      <c r="E945" s="1607"/>
      <c r="G945" s="606"/>
      <c r="H945" s="606"/>
      <c r="I945" s="606"/>
      <c r="J945" s="606"/>
      <c r="K945" s="606"/>
    </row>
    <row r="946">
      <c r="A946" s="1607"/>
      <c r="B946" s="1607"/>
      <c r="C946" s="1607"/>
      <c r="D946" s="1607"/>
      <c r="E946" s="1607"/>
      <c r="G946" s="606"/>
      <c r="H946" s="606"/>
      <c r="I946" s="606"/>
      <c r="J946" s="606"/>
      <c r="K946" s="606"/>
    </row>
    <row r="947">
      <c r="A947" s="1607"/>
      <c r="B947" s="1607"/>
      <c r="C947" s="1607"/>
      <c r="D947" s="1607"/>
      <c r="E947" s="1607"/>
      <c r="G947" s="606"/>
      <c r="H947" s="606"/>
      <c r="I947" s="606"/>
      <c r="J947" s="606"/>
      <c r="K947" s="606"/>
    </row>
    <row r="948">
      <c r="A948" s="1607"/>
      <c r="B948" s="1607"/>
      <c r="C948" s="1607"/>
      <c r="D948" s="1607"/>
      <c r="E948" s="1607"/>
      <c r="G948" s="606"/>
      <c r="H948" s="606"/>
      <c r="I948" s="606"/>
      <c r="J948" s="606"/>
      <c r="K948" s="606"/>
    </row>
    <row r="949">
      <c r="A949" s="1607"/>
      <c r="B949" s="1607"/>
      <c r="C949" s="1607"/>
      <c r="D949" s="1607"/>
      <c r="E949" s="1607"/>
      <c r="G949" s="606"/>
      <c r="H949" s="606"/>
      <c r="I949" s="606"/>
      <c r="J949" s="606"/>
      <c r="K949" s="606"/>
    </row>
    <row r="950">
      <c r="A950" s="1607"/>
      <c r="B950" s="1607"/>
      <c r="C950" s="1607"/>
      <c r="D950" s="1607"/>
      <c r="E950" s="1607"/>
      <c r="G950" s="606"/>
      <c r="H950" s="606"/>
      <c r="I950" s="606"/>
      <c r="J950" s="606"/>
      <c r="K950" s="606"/>
    </row>
    <row r="951">
      <c r="A951" s="1607"/>
      <c r="B951" s="1607"/>
      <c r="C951" s="1607"/>
      <c r="D951" s="1607"/>
      <c r="E951" s="1607"/>
      <c r="G951" s="606"/>
      <c r="H951" s="606"/>
      <c r="I951" s="606"/>
      <c r="J951" s="606"/>
      <c r="K951" s="606"/>
    </row>
    <row r="952">
      <c r="A952" s="1607"/>
      <c r="B952" s="1607"/>
      <c r="C952" s="1607"/>
      <c r="D952" s="1607"/>
      <c r="E952" s="1607"/>
      <c r="G952" s="606"/>
      <c r="H952" s="606"/>
      <c r="I952" s="606"/>
      <c r="J952" s="606"/>
      <c r="K952" s="606"/>
    </row>
    <row r="953">
      <c r="A953" s="1607"/>
      <c r="B953" s="1607"/>
      <c r="C953" s="1607"/>
      <c r="D953" s="1607"/>
      <c r="E953" s="1607"/>
      <c r="G953" s="606"/>
      <c r="H953" s="606"/>
      <c r="I953" s="606"/>
      <c r="J953" s="606"/>
      <c r="K953" s="606"/>
    </row>
    <row r="954">
      <c r="A954" s="1607"/>
      <c r="B954" s="1607"/>
      <c r="C954" s="1607"/>
      <c r="D954" s="1607"/>
      <c r="E954" s="1607"/>
      <c r="G954" s="606"/>
      <c r="H954" s="606"/>
      <c r="I954" s="606"/>
      <c r="J954" s="606"/>
      <c r="K954" s="606"/>
    </row>
    <row r="955">
      <c r="A955" s="1607"/>
      <c r="B955" s="1607"/>
      <c r="C955" s="1607"/>
      <c r="D955" s="1607"/>
      <c r="E955" s="1607"/>
      <c r="G955" s="606"/>
      <c r="H955" s="606"/>
      <c r="I955" s="606"/>
      <c r="J955" s="606"/>
      <c r="K955" s="606"/>
    </row>
    <row r="956">
      <c r="A956" s="1607"/>
      <c r="B956" s="1607"/>
      <c r="C956" s="1607"/>
      <c r="D956" s="1607"/>
      <c r="E956" s="1607"/>
      <c r="G956" s="606"/>
      <c r="H956" s="606"/>
      <c r="I956" s="606"/>
      <c r="J956" s="606"/>
      <c r="K956" s="606"/>
    </row>
    <row r="957">
      <c r="A957" s="1607"/>
      <c r="B957" s="1607"/>
      <c r="C957" s="1607"/>
      <c r="D957" s="1607"/>
      <c r="E957" s="1607"/>
      <c r="G957" s="606"/>
      <c r="H957" s="606"/>
      <c r="I957" s="606"/>
      <c r="J957" s="606"/>
      <c r="K957" s="606"/>
    </row>
    <row r="958">
      <c r="A958" s="1607"/>
      <c r="B958" s="1607"/>
      <c r="C958" s="1607"/>
      <c r="D958" s="1607"/>
      <c r="E958" s="1607"/>
      <c r="G958" s="606"/>
      <c r="H958" s="606"/>
      <c r="I958" s="606"/>
      <c r="J958" s="606"/>
      <c r="K958" s="606"/>
    </row>
    <row r="959">
      <c r="A959" s="1607"/>
      <c r="B959" s="1607"/>
      <c r="C959" s="1607"/>
      <c r="D959" s="1607"/>
      <c r="E959" s="1607"/>
      <c r="G959" s="606"/>
      <c r="H959" s="606"/>
      <c r="I959" s="606"/>
      <c r="J959" s="606"/>
      <c r="K959" s="606"/>
    </row>
    <row r="960">
      <c r="A960" s="1607"/>
      <c r="B960" s="1607"/>
      <c r="C960" s="1607"/>
      <c r="D960" s="1607"/>
      <c r="E960" s="1607"/>
      <c r="G960" s="606"/>
      <c r="H960" s="606"/>
      <c r="I960" s="606"/>
      <c r="J960" s="606"/>
      <c r="K960" s="606"/>
    </row>
    <row r="961">
      <c r="A961" s="1607"/>
      <c r="B961" s="1607"/>
      <c r="C961" s="1607"/>
      <c r="D961" s="1607"/>
      <c r="E961" s="1607"/>
      <c r="G961" s="606"/>
      <c r="H961" s="606"/>
      <c r="I961" s="606"/>
      <c r="J961" s="606"/>
      <c r="K961" s="606"/>
    </row>
    <row r="962">
      <c r="A962" s="1607"/>
      <c r="B962" s="1607"/>
      <c r="C962" s="1607"/>
      <c r="D962" s="1607"/>
      <c r="E962" s="1607"/>
      <c r="G962" s="606"/>
      <c r="H962" s="606"/>
      <c r="I962" s="606"/>
      <c r="J962" s="606"/>
      <c r="K962" s="606"/>
    </row>
    <row r="963">
      <c r="A963" s="1607"/>
      <c r="B963" s="1607"/>
      <c r="C963" s="1607"/>
      <c r="D963" s="1607"/>
      <c r="E963" s="1607"/>
      <c r="G963" s="606"/>
      <c r="H963" s="606"/>
      <c r="I963" s="606"/>
      <c r="J963" s="606"/>
      <c r="K963" s="606"/>
    </row>
    <row r="964">
      <c r="A964" s="1607"/>
      <c r="B964" s="1607"/>
      <c r="C964" s="1607"/>
      <c r="D964" s="1607"/>
      <c r="E964" s="1607"/>
      <c r="G964" s="606"/>
      <c r="H964" s="606"/>
      <c r="I964" s="606"/>
      <c r="J964" s="606"/>
      <c r="K964" s="606"/>
    </row>
    <row r="965">
      <c r="A965" s="1607"/>
      <c r="B965" s="1607"/>
      <c r="C965" s="1607"/>
      <c r="D965" s="1607"/>
      <c r="E965" s="1607"/>
      <c r="G965" s="606"/>
      <c r="H965" s="606"/>
      <c r="I965" s="606"/>
      <c r="J965" s="606"/>
      <c r="K965" s="606"/>
    </row>
    <row r="966">
      <c r="A966" s="1607"/>
      <c r="B966" s="1607"/>
      <c r="C966" s="1607"/>
      <c r="D966" s="1607"/>
      <c r="E966" s="1607"/>
      <c r="G966" s="606"/>
      <c r="H966" s="606"/>
      <c r="I966" s="606"/>
      <c r="J966" s="606"/>
      <c r="K966" s="606"/>
    </row>
    <row r="967">
      <c r="A967" s="1607"/>
      <c r="B967" s="1607"/>
      <c r="C967" s="1607"/>
      <c r="D967" s="1607"/>
      <c r="E967" s="1607"/>
      <c r="G967" s="606"/>
      <c r="H967" s="606"/>
      <c r="I967" s="606"/>
      <c r="J967" s="606"/>
      <c r="K967" s="606"/>
    </row>
    <row r="968">
      <c r="A968" s="1607"/>
      <c r="B968" s="1607"/>
      <c r="C968" s="1607"/>
      <c r="D968" s="1607"/>
      <c r="E968" s="1607"/>
      <c r="G968" s="606"/>
      <c r="H968" s="606"/>
      <c r="I968" s="606"/>
      <c r="J968" s="606"/>
      <c r="K968" s="606"/>
    </row>
    <row r="969">
      <c r="A969" s="1607"/>
      <c r="B969" s="1607"/>
      <c r="C969" s="1607"/>
      <c r="D969" s="1607"/>
      <c r="E969" s="1607"/>
      <c r="G969" s="606"/>
      <c r="H969" s="606"/>
      <c r="I969" s="606"/>
      <c r="J969" s="606"/>
      <c r="K969" s="606"/>
    </row>
    <row r="970">
      <c r="A970" s="1607"/>
      <c r="B970" s="1607"/>
      <c r="C970" s="1607"/>
      <c r="D970" s="1607"/>
      <c r="E970" s="1607"/>
      <c r="G970" s="606"/>
      <c r="H970" s="606"/>
      <c r="I970" s="606"/>
      <c r="J970" s="606"/>
      <c r="K970" s="606"/>
    </row>
    <row r="971">
      <c r="A971" s="1607"/>
      <c r="B971" s="1607"/>
      <c r="C971" s="1607"/>
      <c r="D971" s="1607"/>
      <c r="E971" s="1607"/>
      <c r="G971" s="606"/>
      <c r="H971" s="606"/>
      <c r="I971" s="606"/>
      <c r="J971" s="606"/>
      <c r="K971" s="606"/>
    </row>
    <row r="972">
      <c r="A972" s="1607"/>
      <c r="B972" s="1607"/>
      <c r="C972" s="1607"/>
      <c r="D972" s="1607"/>
      <c r="E972" s="1607"/>
      <c r="G972" s="606"/>
      <c r="H972" s="606"/>
      <c r="I972" s="606"/>
      <c r="J972" s="606"/>
      <c r="K972" s="606"/>
    </row>
    <row r="973">
      <c r="A973" s="1607"/>
      <c r="B973" s="1607"/>
      <c r="C973" s="1607"/>
      <c r="D973" s="1607"/>
      <c r="E973" s="1607"/>
      <c r="G973" s="606"/>
      <c r="H973" s="606"/>
      <c r="I973" s="606"/>
      <c r="J973" s="606"/>
      <c r="K973" s="606"/>
    </row>
    <row r="974">
      <c r="A974" s="1607"/>
      <c r="B974" s="1607"/>
      <c r="C974" s="1607"/>
      <c r="D974" s="1607"/>
      <c r="E974" s="1607"/>
      <c r="G974" s="606"/>
      <c r="H974" s="606"/>
      <c r="I974" s="606"/>
      <c r="J974" s="606"/>
      <c r="K974" s="606"/>
    </row>
    <row r="975">
      <c r="A975" s="1607"/>
      <c r="B975" s="1607"/>
      <c r="C975" s="1607"/>
      <c r="D975" s="1607"/>
      <c r="E975" s="1607"/>
      <c r="G975" s="606"/>
      <c r="H975" s="606"/>
      <c r="I975" s="606"/>
      <c r="J975" s="606"/>
      <c r="K975" s="606"/>
    </row>
    <row r="976">
      <c r="A976" s="1607"/>
      <c r="B976" s="1607"/>
      <c r="C976" s="1607"/>
      <c r="D976" s="1607"/>
      <c r="E976" s="1607"/>
      <c r="G976" s="606"/>
      <c r="H976" s="606"/>
      <c r="I976" s="606"/>
      <c r="J976" s="606"/>
      <c r="K976" s="606"/>
    </row>
    <row r="977">
      <c r="A977" s="1607"/>
      <c r="B977" s="1607"/>
      <c r="C977" s="1607"/>
      <c r="D977" s="1607"/>
      <c r="E977" s="1607"/>
      <c r="G977" s="606"/>
      <c r="H977" s="606"/>
      <c r="I977" s="606"/>
      <c r="J977" s="606"/>
      <c r="K977" s="606"/>
    </row>
    <row r="978">
      <c r="A978" s="1607"/>
      <c r="B978" s="1607"/>
      <c r="C978" s="1607"/>
      <c r="D978" s="1607"/>
      <c r="E978" s="1607"/>
      <c r="G978" s="606"/>
      <c r="H978" s="606"/>
      <c r="I978" s="606"/>
      <c r="J978" s="606"/>
      <c r="K978" s="606"/>
    </row>
    <row r="979">
      <c r="A979" s="1607"/>
      <c r="B979" s="1607"/>
      <c r="C979" s="1607"/>
      <c r="D979" s="1607"/>
      <c r="E979" s="1607"/>
      <c r="G979" s="606"/>
      <c r="H979" s="606"/>
      <c r="I979" s="606"/>
      <c r="J979" s="606"/>
      <c r="K979" s="606"/>
    </row>
    <row r="980">
      <c r="A980" s="1607"/>
      <c r="B980" s="1607"/>
      <c r="C980" s="1607"/>
      <c r="D980" s="1607"/>
      <c r="E980" s="1607"/>
      <c r="G980" s="606"/>
      <c r="H980" s="606"/>
      <c r="I980" s="606"/>
      <c r="J980" s="606"/>
      <c r="K980" s="606"/>
    </row>
    <row r="981">
      <c r="A981" s="1607"/>
      <c r="B981" s="1607"/>
      <c r="C981" s="1607"/>
      <c r="D981" s="1607"/>
      <c r="E981" s="1607"/>
      <c r="G981" s="606"/>
      <c r="H981" s="606"/>
      <c r="I981" s="606"/>
      <c r="J981" s="606"/>
      <c r="K981" s="606"/>
    </row>
    <row r="982">
      <c r="A982" s="1607"/>
      <c r="B982" s="1607"/>
      <c r="C982" s="1607"/>
      <c r="D982" s="1607"/>
      <c r="E982" s="1607"/>
      <c r="G982" s="606"/>
      <c r="H982" s="606"/>
      <c r="I982" s="606"/>
      <c r="J982" s="606"/>
      <c r="K982" s="606"/>
    </row>
    <row r="983">
      <c r="A983" s="1607"/>
      <c r="B983" s="1607"/>
      <c r="C983" s="1607"/>
      <c r="D983" s="1607"/>
      <c r="E983" s="1607"/>
      <c r="G983" s="606"/>
      <c r="H983" s="606"/>
      <c r="I983" s="606"/>
      <c r="J983" s="606"/>
      <c r="K983" s="606"/>
    </row>
    <row r="984">
      <c r="A984" s="1607"/>
      <c r="B984" s="1607"/>
      <c r="C984" s="1607"/>
      <c r="D984" s="1607"/>
      <c r="E984" s="1607"/>
      <c r="G984" s="606"/>
      <c r="H984" s="606"/>
      <c r="I984" s="606"/>
      <c r="J984" s="606"/>
      <c r="K984" s="606"/>
    </row>
    <row r="985">
      <c r="A985" s="1607"/>
      <c r="B985" s="1607"/>
      <c r="C985" s="1607"/>
      <c r="D985" s="1607"/>
      <c r="E985" s="1607"/>
      <c r="G985" s="606"/>
      <c r="H985" s="606"/>
      <c r="I985" s="606"/>
      <c r="J985" s="606"/>
      <c r="K985" s="606"/>
    </row>
    <row r="986">
      <c r="A986" s="1607"/>
      <c r="B986" s="1607"/>
      <c r="C986" s="1607"/>
      <c r="D986" s="1607"/>
      <c r="E986" s="1607"/>
      <c r="G986" s="606"/>
      <c r="H986" s="606"/>
      <c r="I986" s="606"/>
      <c r="J986" s="606"/>
      <c r="K986" s="606"/>
    </row>
    <row r="987">
      <c r="A987" s="1607"/>
      <c r="B987" s="1607"/>
      <c r="C987" s="1607"/>
      <c r="D987" s="1607"/>
      <c r="E987" s="1607"/>
      <c r="G987" s="606"/>
      <c r="H987" s="606"/>
      <c r="I987" s="606"/>
      <c r="J987" s="606"/>
      <c r="K987" s="606"/>
    </row>
    <row r="988">
      <c r="A988" s="1607"/>
      <c r="B988" s="1607"/>
      <c r="C988" s="1607"/>
      <c r="D988" s="1607"/>
      <c r="E988" s="1607"/>
      <c r="G988" s="606"/>
      <c r="H988" s="606"/>
      <c r="I988" s="606"/>
      <c r="J988" s="606"/>
      <c r="K988" s="606"/>
    </row>
    <row r="989">
      <c r="A989" s="1607"/>
      <c r="B989" s="1607"/>
      <c r="C989" s="1607"/>
      <c r="D989" s="1607"/>
      <c r="E989" s="1607"/>
      <c r="G989" s="606"/>
      <c r="H989" s="606"/>
      <c r="I989" s="606"/>
      <c r="J989" s="606"/>
      <c r="K989" s="606"/>
    </row>
    <row r="990">
      <c r="A990" s="1607"/>
      <c r="B990" s="1607"/>
      <c r="C990" s="1607"/>
      <c r="D990" s="1607"/>
      <c r="E990" s="1607"/>
      <c r="G990" s="606"/>
      <c r="H990" s="606"/>
      <c r="I990" s="606"/>
      <c r="J990" s="606"/>
      <c r="K990" s="606"/>
    </row>
    <row r="991">
      <c r="A991" s="1607"/>
      <c r="B991" s="1607"/>
      <c r="C991" s="1607"/>
      <c r="D991" s="1607"/>
      <c r="E991" s="1607"/>
      <c r="G991" s="606"/>
      <c r="H991" s="606"/>
      <c r="I991" s="606"/>
      <c r="J991" s="606"/>
      <c r="K991" s="606"/>
    </row>
    <row r="992">
      <c r="A992" s="1607"/>
      <c r="B992" s="1607"/>
      <c r="C992" s="1607"/>
      <c r="D992" s="1607"/>
      <c r="E992" s="1607"/>
      <c r="G992" s="606"/>
      <c r="H992" s="606"/>
      <c r="I992" s="606"/>
      <c r="J992" s="606"/>
      <c r="K992" s="606"/>
    </row>
    <row r="993">
      <c r="A993" s="1607"/>
      <c r="B993" s="1607"/>
      <c r="C993" s="1607"/>
      <c r="D993" s="1607"/>
      <c r="E993" s="1607"/>
      <c r="G993" s="606"/>
      <c r="H993" s="606"/>
      <c r="I993" s="606"/>
      <c r="J993" s="606"/>
      <c r="K993" s="606"/>
    </row>
    <row r="994">
      <c r="A994" s="1607"/>
      <c r="B994" s="1607"/>
      <c r="C994" s="1607"/>
      <c r="D994" s="1607"/>
      <c r="E994" s="1607"/>
      <c r="G994" s="606"/>
      <c r="H994" s="606"/>
      <c r="I994" s="606"/>
      <c r="J994" s="606"/>
      <c r="K994" s="606"/>
    </row>
    <row r="995">
      <c r="A995" s="1607"/>
      <c r="B995" s="1607"/>
      <c r="C995" s="1607"/>
      <c r="D995" s="1607"/>
      <c r="E995" s="1607"/>
      <c r="G995" s="606"/>
      <c r="H995" s="606"/>
      <c r="I995" s="606"/>
      <c r="J995" s="606"/>
      <c r="K995" s="606"/>
    </row>
    <row r="996">
      <c r="A996" s="1607"/>
      <c r="B996" s="1607"/>
      <c r="C996" s="1607"/>
      <c r="D996" s="1607"/>
      <c r="E996" s="1607"/>
      <c r="G996" s="606"/>
      <c r="H996" s="606"/>
      <c r="I996" s="606"/>
      <c r="J996" s="606"/>
      <c r="K996" s="606"/>
    </row>
    <row r="997">
      <c r="A997" s="1607"/>
      <c r="B997" s="1607"/>
      <c r="C997" s="1607"/>
      <c r="D997" s="1607"/>
      <c r="E997" s="1607"/>
      <c r="G997" s="606"/>
      <c r="H997" s="606"/>
      <c r="I997" s="606"/>
      <c r="J997" s="606"/>
      <c r="K997" s="606"/>
    </row>
    <row r="998">
      <c r="A998" s="1607"/>
      <c r="B998" s="1607"/>
      <c r="C998" s="1607"/>
      <c r="D998" s="1607"/>
      <c r="E998" s="1607"/>
      <c r="G998" s="606"/>
      <c r="H998" s="606"/>
      <c r="I998" s="606"/>
      <c r="J998" s="606"/>
      <c r="K998" s="606"/>
    </row>
    <row r="999">
      <c r="A999" s="1607"/>
      <c r="B999" s="1607"/>
      <c r="C999" s="1607"/>
      <c r="D999" s="1607"/>
      <c r="E999" s="1607"/>
      <c r="G999" s="606"/>
      <c r="H999" s="606"/>
      <c r="I999" s="606"/>
      <c r="J999" s="606"/>
      <c r="K999" s="606"/>
    </row>
    <row r="1000">
      <c r="A1000" s="1607"/>
      <c r="B1000" s="1607"/>
      <c r="C1000" s="1607"/>
      <c r="D1000" s="1607"/>
      <c r="E1000" s="1607"/>
      <c r="G1000" s="606"/>
      <c r="H1000" s="606"/>
      <c r="I1000" s="606"/>
      <c r="J1000" s="606"/>
      <c r="K1000" s="606"/>
    </row>
    <row r="1001">
      <c r="A1001" s="1607"/>
      <c r="B1001" s="1607"/>
      <c r="C1001" s="1607"/>
      <c r="D1001" s="1607"/>
      <c r="E1001" s="1607"/>
      <c r="G1001" s="606"/>
      <c r="H1001" s="606"/>
      <c r="I1001" s="606"/>
      <c r="J1001" s="606"/>
      <c r="K1001" s="606"/>
    </row>
    <row r="1002">
      <c r="A1002" s="1607"/>
      <c r="B1002" s="1607"/>
      <c r="C1002" s="1607"/>
      <c r="D1002" s="1607"/>
      <c r="E1002" s="1607"/>
      <c r="G1002" s="606"/>
      <c r="H1002" s="606"/>
      <c r="I1002" s="606"/>
      <c r="J1002" s="606"/>
      <c r="K1002" s="606"/>
    </row>
    <row r="1003">
      <c r="A1003" s="1607"/>
      <c r="B1003" s="1607"/>
      <c r="C1003" s="1607"/>
      <c r="D1003" s="1607"/>
      <c r="E1003" s="1607"/>
      <c r="G1003" s="606"/>
      <c r="H1003" s="606"/>
      <c r="I1003" s="606"/>
      <c r="J1003" s="606"/>
      <c r="K1003" s="606"/>
    </row>
    <row r="1004">
      <c r="A1004" s="1607"/>
      <c r="B1004" s="1607"/>
      <c r="C1004" s="1607"/>
      <c r="D1004" s="1607"/>
      <c r="E1004" s="1607"/>
      <c r="G1004" s="606"/>
      <c r="H1004" s="606"/>
      <c r="I1004" s="606"/>
      <c r="J1004" s="606"/>
      <c r="K1004" s="606"/>
    </row>
    <row r="1005">
      <c r="A1005" s="1607"/>
      <c r="B1005" s="1607"/>
      <c r="C1005" s="1607"/>
      <c r="D1005" s="1607"/>
      <c r="E1005" s="1607"/>
      <c r="G1005" s="606"/>
      <c r="H1005" s="606"/>
      <c r="I1005" s="606"/>
      <c r="J1005" s="606"/>
      <c r="K1005" s="606"/>
    </row>
    <row r="1006">
      <c r="A1006" s="1607"/>
      <c r="B1006" s="1607"/>
      <c r="C1006" s="1607"/>
      <c r="D1006" s="1607"/>
      <c r="E1006" s="1607"/>
      <c r="G1006" s="606"/>
      <c r="H1006" s="606"/>
      <c r="I1006" s="606"/>
      <c r="J1006" s="606"/>
      <c r="K1006" s="606"/>
    </row>
    <row r="1007">
      <c r="A1007" s="1607"/>
      <c r="B1007" s="1607"/>
      <c r="C1007" s="1607"/>
      <c r="D1007" s="1607"/>
      <c r="E1007" s="1607"/>
      <c r="G1007" s="606"/>
      <c r="H1007" s="606"/>
      <c r="I1007" s="606"/>
      <c r="J1007" s="606"/>
      <c r="K1007" s="606"/>
    </row>
    <row r="1008">
      <c r="A1008" s="1607"/>
      <c r="B1008" s="1607"/>
      <c r="C1008" s="1607"/>
      <c r="D1008" s="1607"/>
      <c r="E1008" s="1607"/>
      <c r="G1008" s="606"/>
      <c r="H1008" s="606"/>
      <c r="I1008" s="606"/>
      <c r="J1008" s="606"/>
      <c r="K1008" s="606"/>
    </row>
    <row r="1009">
      <c r="A1009" s="1607"/>
      <c r="B1009" s="1607"/>
      <c r="C1009" s="1607"/>
      <c r="D1009" s="1607"/>
      <c r="E1009" s="1607"/>
      <c r="G1009" s="606"/>
      <c r="H1009" s="606"/>
      <c r="I1009" s="606"/>
      <c r="J1009" s="606"/>
      <c r="K1009" s="606"/>
    </row>
    <row r="1010">
      <c r="A1010" s="1607"/>
      <c r="B1010" s="1607"/>
      <c r="C1010" s="1607"/>
      <c r="D1010" s="1607"/>
      <c r="E1010" s="1607"/>
      <c r="G1010" s="606"/>
      <c r="H1010" s="606"/>
      <c r="I1010" s="606"/>
      <c r="J1010" s="606"/>
      <c r="K1010" s="606"/>
    </row>
    <row r="1011">
      <c r="A1011" s="1607"/>
      <c r="B1011" s="1607"/>
      <c r="C1011" s="1607"/>
      <c r="D1011" s="1607"/>
      <c r="E1011" s="1607"/>
      <c r="G1011" s="606"/>
      <c r="H1011" s="606"/>
      <c r="I1011" s="606"/>
      <c r="J1011" s="606"/>
      <c r="K1011" s="606"/>
    </row>
    <row r="1012">
      <c r="A1012" s="1607"/>
      <c r="B1012" s="1607"/>
      <c r="C1012" s="1607"/>
      <c r="D1012" s="1607"/>
      <c r="E1012" s="1607"/>
      <c r="G1012" s="606"/>
      <c r="H1012" s="606"/>
      <c r="I1012" s="606"/>
      <c r="J1012" s="606"/>
      <c r="K1012" s="606"/>
    </row>
    <row r="1013">
      <c r="A1013" s="1607"/>
      <c r="B1013" s="1607"/>
      <c r="C1013" s="1607"/>
      <c r="D1013" s="1607"/>
      <c r="E1013" s="1607"/>
      <c r="G1013" s="606"/>
      <c r="H1013" s="606"/>
      <c r="I1013" s="606"/>
      <c r="J1013" s="606"/>
      <c r="K1013" s="606"/>
    </row>
    <row r="1014">
      <c r="A1014" s="1607"/>
      <c r="B1014" s="1607"/>
      <c r="C1014" s="1607"/>
      <c r="D1014" s="1607"/>
      <c r="E1014" s="1607"/>
      <c r="G1014" s="606"/>
      <c r="H1014" s="606"/>
      <c r="I1014" s="606"/>
      <c r="J1014" s="606"/>
      <c r="K1014" s="606"/>
    </row>
    <row r="1015">
      <c r="A1015" s="1607"/>
      <c r="B1015" s="1607"/>
      <c r="C1015" s="1607"/>
      <c r="D1015" s="1607"/>
      <c r="E1015" s="1607"/>
      <c r="G1015" s="606"/>
      <c r="H1015" s="606"/>
      <c r="I1015" s="606"/>
      <c r="J1015" s="606"/>
      <c r="K1015" s="606"/>
    </row>
    <row r="1016">
      <c r="A1016" s="1607"/>
      <c r="B1016" s="1607"/>
      <c r="C1016" s="1607"/>
      <c r="D1016" s="1607"/>
      <c r="E1016" s="1607"/>
      <c r="G1016" s="606"/>
      <c r="H1016" s="606"/>
      <c r="I1016" s="606"/>
      <c r="J1016" s="606"/>
      <c r="K1016" s="606"/>
    </row>
    <row r="1017">
      <c r="A1017" s="1607"/>
      <c r="B1017" s="1607"/>
      <c r="C1017" s="1607"/>
      <c r="D1017" s="1607"/>
      <c r="E1017" s="1607"/>
      <c r="G1017" s="606"/>
      <c r="H1017" s="606"/>
      <c r="I1017" s="606"/>
      <c r="J1017" s="606"/>
      <c r="K1017" s="606"/>
    </row>
    <row r="1018">
      <c r="A1018" s="1607"/>
      <c r="B1018" s="1607"/>
      <c r="C1018" s="1607"/>
      <c r="D1018" s="1607"/>
      <c r="E1018" s="1607"/>
      <c r="G1018" s="606"/>
      <c r="H1018" s="606"/>
      <c r="I1018" s="606"/>
      <c r="J1018" s="606"/>
      <c r="K1018" s="606"/>
    </row>
    <row r="1019">
      <c r="A1019" s="1607"/>
      <c r="B1019" s="1607"/>
      <c r="C1019" s="1607"/>
      <c r="D1019" s="1607"/>
      <c r="E1019" s="1607"/>
      <c r="G1019" s="606"/>
      <c r="H1019" s="606"/>
      <c r="I1019" s="606"/>
      <c r="J1019" s="606"/>
      <c r="K1019" s="606"/>
    </row>
    <row r="1020">
      <c r="A1020" s="1607"/>
      <c r="B1020" s="1607"/>
      <c r="C1020" s="1607"/>
      <c r="D1020" s="1607"/>
      <c r="E1020" s="1607"/>
      <c r="G1020" s="606"/>
      <c r="H1020" s="606"/>
      <c r="I1020" s="606"/>
      <c r="J1020" s="606"/>
      <c r="K1020" s="606"/>
    </row>
    <row r="1021">
      <c r="A1021" s="1607"/>
      <c r="B1021" s="1607"/>
      <c r="C1021" s="1607"/>
      <c r="D1021" s="1607"/>
      <c r="E1021" s="1607"/>
      <c r="G1021" s="606"/>
      <c r="H1021" s="606"/>
      <c r="I1021" s="606"/>
      <c r="J1021" s="606"/>
      <c r="K1021" s="606"/>
    </row>
    <row r="1022">
      <c r="A1022" s="1607"/>
      <c r="B1022" s="1607"/>
      <c r="C1022" s="1607"/>
      <c r="D1022" s="1607"/>
      <c r="E1022" s="1607"/>
      <c r="G1022" s="606"/>
      <c r="H1022" s="606"/>
      <c r="I1022" s="606"/>
      <c r="J1022" s="606"/>
      <c r="K1022" s="606"/>
    </row>
    <row r="1023">
      <c r="A1023" s="1607"/>
      <c r="B1023" s="1607"/>
      <c r="C1023" s="1607"/>
      <c r="D1023" s="1607"/>
      <c r="E1023" s="1607"/>
      <c r="G1023" s="606"/>
      <c r="H1023" s="606"/>
      <c r="I1023" s="606"/>
      <c r="J1023" s="606"/>
      <c r="K1023" s="606"/>
    </row>
    <row r="1024">
      <c r="A1024" s="1607"/>
      <c r="B1024" s="1607"/>
      <c r="C1024" s="1607"/>
      <c r="D1024" s="1607"/>
      <c r="E1024" s="1607"/>
      <c r="G1024" s="606"/>
      <c r="H1024" s="606"/>
      <c r="I1024" s="606"/>
      <c r="J1024" s="606"/>
      <c r="K1024" s="606"/>
    </row>
    <row r="1025">
      <c r="A1025" s="1607"/>
      <c r="B1025" s="1607"/>
      <c r="C1025" s="1607"/>
      <c r="D1025" s="1607"/>
      <c r="E1025" s="1607"/>
      <c r="G1025" s="606"/>
      <c r="H1025" s="606"/>
      <c r="I1025" s="606"/>
      <c r="J1025" s="606"/>
      <c r="K1025" s="606"/>
    </row>
    <row r="1026">
      <c r="A1026" s="1607"/>
      <c r="B1026" s="1607"/>
      <c r="C1026" s="1607"/>
      <c r="D1026" s="1607"/>
      <c r="E1026" s="1607"/>
      <c r="G1026" s="606"/>
      <c r="H1026" s="606"/>
      <c r="I1026" s="606"/>
      <c r="J1026" s="606"/>
      <c r="K1026" s="606"/>
    </row>
    <row r="1027">
      <c r="A1027" s="1607"/>
      <c r="B1027" s="1607"/>
      <c r="C1027" s="1607"/>
      <c r="D1027" s="1607"/>
      <c r="E1027" s="1607"/>
      <c r="G1027" s="606"/>
      <c r="H1027" s="606"/>
      <c r="I1027" s="606"/>
      <c r="J1027" s="606"/>
      <c r="K1027" s="606"/>
    </row>
    <row r="1028">
      <c r="A1028" s="1607"/>
      <c r="B1028" s="1607"/>
      <c r="C1028" s="1607"/>
      <c r="D1028" s="1607"/>
      <c r="E1028" s="1607"/>
      <c r="G1028" s="606"/>
      <c r="H1028" s="606"/>
      <c r="I1028" s="606"/>
      <c r="J1028" s="606"/>
      <c r="K1028" s="606"/>
    </row>
    <row r="1029">
      <c r="A1029" s="1607"/>
      <c r="B1029" s="1607"/>
      <c r="C1029" s="1607"/>
      <c r="D1029" s="1607"/>
      <c r="E1029" s="1607"/>
      <c r="G1029" s="606"/>
      <c r="H1029" s="606"/>
      <c r="I1029" s="606"/>
      <c r="J1029" s="606"/>
      <c r="K1029" s="606"/>
    </row>
    <row r="1030">
      <c r="A1030" s="1607"/>
      <c r="B1030" s="1607"/>
      <c r="C1030" s="1607"/>
      <c r="D1030" s="1607"/>
      <c r="E1030" s="1607"/>
      <c r="G1030" s="606"/>
      <c r="H1030" s="606"/>
      <c r="I1030" s="606"/>
      <c r="J1030" s="606"/>
      <c r="K1030" s="606"/>
    </row>
    <row r="1031">
      <c r="A1031" s="1607"/>
      <c r="B1031" s="1607"/>
      <c r="C1031" s="1607"/>
      <c r="D1031" s="1607"/>
      <c r="E1031" s="1607"/>
      <c r="G1031" s="606"/>
      <c r="H1031" s="606"/>
      <c r="I1031" s="606"/>
      <c r="J1031" s="606"/>
      <c r="K1031" s="606"/>
    </row>
    <row r="1032">
      <c r="A1032" s="1607"/>
      <c r="B1032" s="1607"/>
      <c r="C1032" s="1607"/>
      <c r="D1032" s="1607"/>
      <c r="E1032" s="1607"/>
      <c r="G1032" s="606"/>
      <c r="H1032" s="606"/>
      <c r="I1032" s="606"/>
      <c r="J1032" s="606"/>
      <c r="K1032" s="606"/>
    </row>
    <row r="1033">
      <c r="A1033" s="1607"/>
      <c r="B1033" s="1607"/>
      <c r="C1033" s="1607"/>
      <c r="D1033" s="1607"/>
      <c r="E1033" s="1607"/>
      <c r="G1033" s="606"/>
      <c r="H1033" s="606"/>
      <c r="I1033" s="606"/>
      <c r="J1033" s="606"/>
      <c r="K1033" s="606"/>
    </row>
    <row r="1034">
      <c r="A1034" s="1607"/>
      <c r="B1034" s="1607"/>
      <c r="C1034" s="1607"/>
      <c r="D1034" s="1607"/>
      <c r="E1034" s="1607"/>
      <c r="G1034" s="606"/>
      <c r="H1034" s="606"/>
      <c r="I1034" s="606"/>
      <c r="J1034" s="606"/>
      <c r="K1034" s="606"/>
    </row>
    <row r="1035">
      <c r="A1035" s="1607"/>
      <c r="B1035" s="1607"/>
      <c r="C1035" s="1607"/>
      <c r="D1035" s="1607"/>
      <c r="E1035" s="1607"/>
      <c r="G1035" s="606"/>
      <c r="H1035" s="606"/>
      <c r="I1035" s="606"/>
      <c r="J1035" s="606"/>
      <c r="K1035" s="606"/>
    </row>
    <row r="1036">
      <c r="A1036" s="1607"/>
      <c r="B1036" s="1607"/>
      <c r="C1036" s="1607"/>
      <c r="D1036" s="1607"/>
      <c r="E1036" s="1607"/>
      <c r="G1036" s="606"/>
      <c r="H1036" s="606"/>
      <c r="I1036" s="606"/>
      <c r="J1036" s="606"/>
      <c r="K1036" s="606"/>
    </row>
    <row r="1037">
      <c r="A1037" s="1607"/>
      <c r="B1037" s="1607"/>
      <c r="C1037" s="1607"/>
      <c r="D1037" s="1607"/>
      <c r="E1037" s="1607"/>
      <c r="G1037" s="606"/>
      <c r="H1037" s="606"/>
      <c r="I1037" s="606"/>
      <c r="J1037" s="606"/>
      <c r="K1037" s="606"/>
    </row>
    <row r="1038">
      <c r="A1038" s="1607"/>
      <c r="B1038" s="1607"/>
      <c r="C1038" s="1607"/>
      <c r="D1038" s="1607"/>
      <c r="E1038" s="1607"/>
      <c r="G1038" s="606"/>
      <c r="H1038" s="606"/>
      <c r="I1038" s="606"/>
      <c r="J1038" s="606"/>
      <c r="K1038" s="606"/>
    </row>
    <row r="1039">
      <c r="A1039" s="1607"/>
      <c r="B1039" s="1607"/>
      <c r="C1039" s="1607"/>
      <c r="D1039" s="1607"/>
      <c r="E1039" s="1607"/>
      <c r="G1039" s="606"/>
      <c r="H1039" s="606"/>
      <c r="I1039" s="606"/>
      <c r="J1039" s="606"/>
      <c r="K1039" s="606"/>
    </row>
    <row r="1040">
      <c r="A1040" s="1607"/>
      <c r="B1040" s="1607"/>
      <c r="C1040" s="1607"/>
      <c r="D1040" s="1607"/>
      <c r="E1040" s="1607"/>
      <c r="G1040" s="606"/>
      <c r="H1040" s="606"/>
      <c r="I1040" s="606"/>
      <c r="J1040" s="606"/>
      <c r="K1040" s="606"/>
    </row>
    <row r="1041">
      <c r="A1041" s="1607"/>
      <c r="B1041" s="1607"/>
      <c r="C1041" s="1607"/>
      <c r="D1041" s="1607"/>
      <c r="E1041" s="1607"/>
      <c r="G1041" s="606"/>
      <c r="H1041" s="606"/>
      <c r="I1041" s="606"/>
      <c r="J1041" s="606"/>
      <c r="K1041" s="606"/>
    </row>
    <row r="1042">
      <c r="A1042" s="1607"/>
      <c r="B1042" s="1607"/>
      <c r="C1042" s="1607"/>
      <c r="D1042" s="1607"/>
      <c r="E1042" s="1607"/>
      <c r="G1042" s="606"/>
      <c r="H1042" s="606"/>
      <c r="I1042" s="606"/>
      <c r="J1042" s="606"/>
      <c r="K1042" s="606"/>
    </row>
    <row r="1043">
      <c r="A1043" s="1607"/>
      <c r="B1043" s="1607"/>
      <c r="C1043" s="1607"/>
      <c r="D1043" s="1607"/>
      <c r="E1043" s="1607"/>
      <c r="G1043" s="606"/>
      <c r="H1043" s="606"/>
      <c r="I1043" s="606"/>
      <c r="J1043" s="606"/>
      <c r="K1043" s="606"/>
    </row>
    <row r="1044">
      <c r="A1044" s="1607"/>
      <c r="B1044" s="1607"/>
      <c r="C1044" s="1607"/>
      <c r="D1044" s="1607"/>
      <c r="E1044" s="1607"/>
      <c r="G1044" s="606"/>
      <c r="H1044" s="606"/>
      <c r="I1044" s="606"/>
      <c r="J1044" s="606"/>
      <c r="K1044" s="606"/>
    </row>
    <row r="1045">
      <c r="A1045" s="1607"/>
      <c r="B1045" s="1607"/>
      <c r="C1045" s="1607"/>
      <c r="D1045" s="1607"/>
      <c r="E1045" s="1607"/>
      <c r="G1045" s="606"/>
      <c r="H1045" s="606"/>
      <c r="I1045" s="606"/>
      <c r="J1045" s="606"/>
      <c r="K1045" s="606"/>
    </row>
    <row r="1046">
      <c r="A1046" s="1607"/>
      <c r="B1046" s="1607"/>
      <c r="C1046" s="1607"/>
      <c r="D1046" s="1607"/>
      <c r="E1046" s="1607"/>
      <c r="G1046" s="606"/>
      <c r="H1046" s="606"/>
      <c r="I1046" s="606"/>
      <c r="J1046" s="606"/>
      <c r="K1046" s="606"/>
    </row>
    <row r="1047">
      <c r="A1047" s="1607"/>
      <c r="B1047" s="1607"/>
      <c r="C1047" s="1607"/>
      <c r="D1047" s="1607"/>
      <c r="E1047" s="1607"/>
      <c r="G1047" s="606"/>
      <c r="H1047" s="606"/>
      <c r="I1047" s="606"/>
      <c r="J1047" s="606"/>
      <c r="K1047" s="606"/>
    </row>
    <row r="1048">
      <c r="A1048" s="1607"/>
      <c r="B1048" s="1607"/>
      <c r="C1048" s="1607"/>
      <c r="D1048" s="1607"/>
      <c r="E1048" s="1607"/>
      <c r="G1048" s="606"/>
      <c r="H1048" s="606"/>
      <c r="I1048" s="606"/>
      <c r="J1048" s="606"/>
      <c r="K1048" s="606"/>
    </row>
    <row r="1049">
      <c r="A1049" s="1607"/>
      <c r="B1049" s="1607"/>
      <c r="C1049" s="1607"/>
      <c r="D1049" s="1607"/>
      <c r="E1049" s="1607"/>
      <c r="G1049" s="606"/>
      <c r="H1049" s="606"/>
      <c r="I1049" s="606"/>
      <c r="J1049" s="606"/>
      <c r="K1049" s="606"/>
    </row>
    <row r="1050">
      <c r="A1050" s="1607"/>
      <c r="B1050" s="1607"/>
      <c r="C1050" s="1607"/>
      <c r="D1050" s="1607"/>
      <c r="E1050" s="1607"/>
      <c r="G1050" s="606"/>
      <c r="H1050" s="606"/>
      <c r="I1050" s="606"/>
      <c r="J1050" s="606"/>
      <c r="K1050" s="606"/>
    </row>
    <row r="1051">
      <c r="A1051" s="1607"/>
      <c r="B1051" s="1607"/>
      <c r="C1051" s="1607"/>
      <c r="D1051" s="1607"/>
      <c r="E1051" s="1607"/>
      <c r="G1051" s="606"/>
      <c r="H1051" s="606"/>
      <c r="I1051" s="606"/>
      <c r="J1051" s="606"/>
      <c r="K1051" s="606"/>
    </row>
    <row r="1052">
      <c r="A1052" s="1607"/>
      <c r="B1052" s="1607"/>
      <c r="C1052" s="1607"/>
      <c r="D1052" s="1607"/>
      <c r="E1052" s="1607"/>
      <c r="G1052" s="606"/>
      <c r="H1052" s="606"/>
      <c r="I1052" s="606"/>
      <c r="J1052" s="606"/>
      <c r="K1052" s="606"/>
    </row>
    <row r="1053">
      <c r="A1053" s="1607"/>
      <c r="B1053" s="1607"/>
      <c r="C1053" s="1607"/>
      <c r="D1053" s="1607"/>
      <c r="E1053" s="1607"/>
      <c r="G1053" s="606"/>
      <c r="H1053" s="606"/>
      <c r="I1053" s="606"/>
      <c r="J1053" s="606"/>
      <c r="K1053" s="606"/>
    </row>
    <row r="1054">
      <c r="A1054" s="1607"/>
      <c r="B1054" s="1607"/>
      <c r="C1054" s="1607"/>
      <c r="D1054" s="1607"/>
      <c r="E1054" s="1607"/>
      <c r="G1054" s="606"/>
      <c r="H1054" s="606"/>
      <c r="I1054" s="606"/>
      <c r="J1054" s="606"/>
      <c r="K1054" s="606"/>
    </row>
    <row r="1055">
      <c r="A1055" s="1607"/>
      <c r="B1055" s="1607"/>
      <c r="C1055" s="1607"/>
      <c r="D1055" s="1607"/>
      <c r="E1055" s="1607"/>
      <c r="G1055" s="606"/>
      <c r="H1055" s="606"/>
      <c r="I1055" s="606"/>
      <c r="J1055" s="606"/>
      <c r="K1055" s="606"/>
    </row>
    <row r="1056">
      <c r="A1056" s="1607"/>
      <c r="B1056" s="1607"/>
      <c r="C1056" s="1607"/>
      <c r="D1056" s="1607"/>
      <c r="E1056" s="1607"/>
      <c r="G1056" s="606"/>
      <c r="H1056" s="606"/>
      <c r="I1056" s="606"/>
      <c r="J1056" s="606"/>
      <c r="K1056" s="606"/>
    </row>
    <row r="1057">
      <c r="A1057" s="1607"/>
      <c r="B1057" s="1607"/>
      <c r="C1057" s="1607"/>
      <c r="D1057" s="1607"/>
      <c r="E1057" s="1607"/>
      <c r="G1057" s="606"/>
      <c r="H1057" s="606"/>
      <c r="I1057" s="606"/>
      <c r="J1057" s="606"/>
      <c r="K1057" s="606"/>
    </row>
    <row r="1058">
      <c r="A1058" s="1607"/>
      <c r="B1058" s="1607"/>
      <c r="C1058" s="1607"/>
      <c r="D1058" s="1607"/>
      <c r="E1058" s="1607"/>
      <c r="G1058" s="606"/>
      <c r="H1058" s="606"/>
      <c r="I1058" s="606"/>
      <c r="J1058" s="606"/>
      <c r="K1058" s="606"/>
    </row>
    <row r="1059">
      <c r="A1059" s="1607"/>
      <c r="B1059" s="1607"/>
      <c r="C1059" s="1607"/>
      <c r="D1059" s="1607"/>
      <c r="E1059" s="1607"/>
      <c r="G1059" s="606"/>
      <c r="H1059" s="606"/>
      <c r="I1059" s="606"/>
      <c r="J1059" s="606"/>
      <c r="K1059" s="606"/>
    </row>
    <row r="1060">
      <c r="A1060" s="1607"/>
      <c r="B1060" s="1607"/>
      <c r="C1060" s="1607"/>
      <c r="D1060" s="1607"/>
      <c r="E1060" s="1607"/>
      <c r="G1060" s="606"/>
      <c r="H1060" s="606"/>
      <c r="I1060" s="606"/>
      <c r="J1060" s="606"/>
      <c r="K1060" s="606"/>
    </row>
    <row r="1061">
      <c r="A1061" s="1607"/>
      <c r="B1061" s="1607"/>
      <c r="C1061" s="1607"/>
      <c r="D1061" s="1607"/>
      <c r="E1061" s="1607"/>
      <c r="G1061" s="606"/>
      <c r="H1061" s="606"/>
      <c r="I1061" s="606"/>
      <c r="J1061" s="606"/>
      <c r="K1061" s="606"/>
    </row>
    <row r="1062">
      <c r="A1062" s="1607"/>
      <c r="B1062" s="1607"/>
      <c r="C1062" s="1607"/>
      <c r="D1062" s="1607"/>
      <c r="E1062" s="1607"/>
      <c r="G1062" s="606"/>
      <c r="H1062" s="606"/>
      <c r="I1062" s="606"/>
      <c r="J1062" s="606"/>
      <c r="K1062" s="606"/>
    </row>
    <row r="1063">
      <c r="A1063" s="1607"/>
      <c r="B1063" s="1607"/>
      <c r="C1063" s="1607"/>
      <c r="D1063" s="1607"/>
      <c r="E1063" s="1607"/>
      <c r="G1063" s="606"/>
      <c r="H1063" s="606"/>
      <c r="I1063" s="606"/>
      <c r="J1063" s="606"/>
      <c r="K1063" s="606"/>
    </row>
    <row r="1064">
      <c r="A1064" s="1607"/>
      <c r="B1064" s="1607"/>
      <c r="C1064" s="1607"/>
      <c r="D1064" s="1607"/>
      <c r="E1064" s="1607"/>
      <c r="G1064" s="606"/>
      <c r="H1064" s="606"/>
      <c r="I1064" s="606"/>
      <c r="J1064" s="606"/>
      <c r="K1064" s="606"/>
    </row>
    <row r="1065">
      <c r="A1065" s="1607"/>
      <c r="B1065" s="1607"/>
      <c r="C1065" s="1607"/>
      <c r="D1065" s="1607"/>
      <c r="E1065" s="1607"/>
      <c r="G1065" s="606"/>
      <c r="H1065" s="606"/>
      <c r="I1065" s="606"/>
      <c r="J1065" s="606"/>
      <c r="K1065" s="606"/>
    </row>
    <row r="1066">
      <c r="A1066" s="1607"/>
      <c r="B1066" s="1607"/>
      <c r="C1066" s="1607"/>
      <c r="D1066" s="1607"/>
      <c r="E1066" s="1607"/>
      <c r="G1066" s="606"/>
      <c r="H1066" s="606"/>
      <c r="I1066" s="606"/>
      <c r="J1066" s="606"/>
      <c r="K1066" s="606"/>
    </row>
    <row r="1067">
      <c r="A1067" s="1607"/>
      <c r="B1067" s="1607"/>
      <c r="C1067" s="1607"/>
      <c r="D1067" s="1607"/>
      <c r="E1067" s="1607"/>
      <c r="G1067" s="606"/>
      <c r="H1067" s="606"/>
      <c r="I1067" s="606"/>
      <c r="J1067" s="606"/>
      <c r="K1067" s="606"/>
    </row>
    <row r="1068">
      <c r="A1068" s="1607"/>
      <c r="B1068" s="1607"/>
      <c r="C1068" s="1607"/>
      <c r="D1068" s="1607"/>
      <c r="E1068" s="1607"/>
      <c r="G1068" s="606"/>
      <c r="H1068" s="606"/>
      <c r="I1068" s="606"/>
      <c r="J1068" s="606"/>
      <c r="K1068" s="606"/>
    </row>
    <row r="1069">
      <c r="A1069" s="1607"/>
      <c r="B1069" s="1607"/>
      <c r="C1069" s="1607"/>
      <c r="D1069" s="1607"/>
      <c r="E1069" s="1607"/>
      <c r="G1069" s="606"/>
      <c r="H1069" s="606"/>
      <c r="I1069" s="606"/>
      <c r="J1069" s="606"/>
      <c r="K1069" s="606"/>
    </row>
    <row r="1070">
      <c r="A1070" s="1607"/>
      <c r="B1070" s="1607"/>
      <c r="C1070" s="1607"/>
      <c r="D1070" s="1607"/>
      <c r="E1070" s="1607"/>
      <c r="G1070" s="606"/>
      <c r="H1070" s="606"/>
      <c r="I1070" s="606"/>
      <c r="J1070" s="606"/>
      <c r="K1070" s="606"/>
    </row>
    <row r="1071">
      <c r="A1071" s="1607"/>
      <c r="B1071" s="1607"/>
      <c r="C1071" s="1607"/>
      <c r="D1071" s="1607"/>
      <c r="E1071" s="1607"/>
      <c r="G1071" s="606"/>
      <c r="H1071" s="606"/>
      <c r="I1071" s="606"/>
      <c r="J1071" s="606"/>
      <c r="K1071" s="606"/>
    </row>
    <row r="1072">
      <c r="A1072" s="1607"/>
      <c r="B1072" s="1607"/>
      <c r="C1072" s="1607"/>
      <c r="D1072" s="1607"/>
      <c r="E1072" s="1607"/>
      <c r="G1072" s="606"/>
      <c r="H1072" s="606"/>
      <c r="I1072" s="606"/>
      <c r="J1072" s="606"/>
      <c r="K1072" s="606"/>
    </row>
    <row r="1073">
      <c r="A1073" s="1607"/>
      <c r="B1073" s="1607"/>
      <c r="C1073" s="1607"/>
      <c r="D1073" s="1607"/>
      <c r="E1073" s="1607"/>
      <c r="G1073" s="606"/>
      <c r="H1073" s="606"/>
      <c r="I1073" s="606"/>
      <c r="J1073" s="606"/>
      <c r="K1073" s="606"/>
    </row>
    <row r="1074">
      <c r="A1074" s="1607"/>
      <c r="B1074" s="1607"/>
      <c r="C1074" s="1607"/>
      <c r="D1074" s="1607"/>
      <c r="E1074" s="1607"/>
      <c r="G1074" s="606"/>
      <c r="H1074" s="606"/>
      <c r="I1074" s="606"/>
      <c r="J1074" s="606"/>
      <c r="K1074" s="606"/>
    </row>
    <row r="1075">
      <c r="A1075" s="1607"/>
      <c r="B1075" s="1607"/>
      <c r="C1075" s="1607"/>
      <c r="D1075" s="1607"/>
      <c r="E1075" s="1607"/>
      <c r="G1075" s="606"/>
      <c r="H1075" s="606"/>
      <c r="I1075" s="606"/>
      <c r="J1075" s="606"/>
      <c r="K1075" s="606"/>
    </row>
    <row r="1076">
      <c r="A1076" s="1607"/>
      <c r="B1076" s="1607"/>
      <c r="C1076" s="1607"/>
      <c r="D1076" s="1607"/>
      <c r="E1076" s="1607"/>
      <c r="G1076" s="606"/>
      <c r="H1076" s="606"/>
      <c r="I1076" s="606"/>
      <c r="J1076" s="606"/>
      <c r="K1076" s="606"/>
    </row>
    <row r="1077">
      <c r="A1077" s="1607"/>
      <c r="B1077" s="1607"/>
      <c r="C1077" s="1607"/>
      <c r="D1077" s="1607"/>
      <c r="E1077" s="1607"/>
      <c r="G1077" s="606"/>
      <c r="H1077" s="606"/>
      <c r="I1077" s="606"/>
      <c r="J1077" s="606"/>
      <c r="K1077" s="606"/>
    </row>
    <row r="1078">
      <c r="A1078" s="1607"/>
      <c r="B1078" s="1607"/>
      <c r="C1078" s="1607"/>
      <c r="D1078" s="1607"/>
      <c r="E1078" s="1607"/>
      <c r="G1078" s="606"/>
      <c r="H1078" s="606"/>
      <c r="I1078" s="606"/>
      <c r="J1078" s="606"/>
      <c r="K1078" s="606"/>
    </row>
    <row r="1079">
      <c r="A1079" s="1607"/>
      <c r="B1079" s="1607"/>
      <c r="C1079" s="1607"/>
      <c r="D1079" s="1607"/>
      <c r="E1079" s="1607"/>
      <c r="G1079" s="606"/>
      <c r="H1079" s="606"/>
      <c r="I1079" s="606"/>
      <c r="J1079" s="606"/>
      <c r="K1079" s="606"/>
    </row>
    <row r="1080">
      <c r="A1080" s="1607"/>
      <c r="B1080" s="1607"/>
      <c r="C1080" s="1607"/>
      <c r="D1080" s="1607"/>
      <c r="E1080" s="1607"/>
      <c r="G1080" s="606"/>
      <c r="H1080" s="606"/>
      <c r="I1080" s="606"/>
      <c r="J1080" s="606"/>
      <c r="K1080" s="606"/>
    </row>
    <row r="1081">
      <c r="A1081" s="1607"/>
      <c r="B1081" s="1607"/>
      <c r="C1081" s="1607"/>
      <c r="D1081" s="1607"/>
      <c r="E1081" s="1607"/>
      <c r="G1081" s="606"/>
      <c r="H1081" s="606"/>
      <c r="I1081" s="606"/>
      <c r="J1081" s="606"/>
      <c r="K1081" s="606"/>
    </row>
    <row r="1082">
      <c r="A1082" s="1607"/>
      <c r="B1082" s="1607"/>
      <c r="C1082" s="1607"/>
      <c r="D1082" s="1607"/>
      <c r="E1082" s="1607"/>
      <c r="G1082" s="606"/>
      <c r="H1082" s="606"/>
      <c r="I1082" s="606"/>
      <c r="J1082" s="606"/>
      <c r="K1082" s="606"/>
    </row>
    <row r="1083">
      <c r="A1083" s="1607"/>
      <c r="B1083" s="1607"/>
      <c r="C1083" s="1607"/>
      <c r="D1083" s="1607"/>
      <c r="E1083" s="1607"/>
      <c r="G1083" s="606"/>
      <c r="H1083" s="606"/>
      <c r="I1083" s="606"/>
      <c r="J1083" s="606"/>
      <c r="K1083" s="606"/>
    </row>
    <row r="1084">
      <c r="A1084" s="1607"/>
      <c r="B1084" s="1607"/>
      <c r="C1084" s="1607"/>
      <c r="D1084" s="1607"/>
      <c r="E1084" s="1607"/>
      <c r="G1084" s="606"/>
      <c r="H1084" s="606"/>
      <c r="I1084" s="606"/>
      <c r="J1084" s="606"/>
      <c r="K1084" s="606"/>
    </row>
    <row r="1085">
      <c r="A1085" s="1607"/>
      <c r="B1085" s="1607"/>
      <c r="C1085" s="1607"/>
      <c r="D1085" s="1607"/>
      <c r="E1085" s="1607"/>
      <c r="G1085" s="606"/>
      <c r="H1085" s="606"/>
      <c r="I1085" s="606"/>
      <c r="J1085" s="606"/>
      <c r="K1085" s="606"/>
    </row>
    <row r="1086">
      <c r="A1086" s="1607"/>
      <c r="B1086" s="1607"/>
      <c r="C1086" s="1607"/>
      <c r="D1086" s="1607"/>
      <c r="E1086" s="1607"/>
      <c r="G1086" s="606"/>
      <c r="H1086" s="606"/>
      <c r="I1086" s="606"/>
      <c r="J1086" s="606"/>
      <c r="K1086" s="606"/>
    </row>
    <row r="1087">
      <c r="A1087" s="1607"/>
      <c r="B1087" s="1607"/>
      <c r="C1087" s="1607"/>
      <c r="D1087" s="1607"/>
      <c r="E1087" s="1607"/>
      <c r="G1087" s="606"/>
      <c r="H1087" s="606"/>
      <c r="I1087" s="606"/>
      <c r="J1087" s="606"/>
      <c r="K1087" s="606"/>
    </row>
    <row r="1088">
      <c r="A1088" s="1607"/>
      <c r="B1088" s="1607"/>
      <c r="C1088" s="1607"/>
      <c r="D1088" s="1607"/>
      <c r="E1088" s="1607"/>
      <c r="G1088" s="606"/>
      <c r="H1088" s="606"/>
      <c r="I1088" s="606"/>
      <c r="J1088" s="606"/>
      <c r="K1088" s="606"/>
    </row>
    <row r="1089">
      <c r="A1089" s="1607"/>
      <c r="B1089" s="1607"/>
      <c r="C1089" s="1607"/>
      <c r="D1089" s="1607"/>
      <c r="E1089" s="1607"/>
      <c r="G1089" s="606"/>
      <c r="H1089" s="606"/>
      <c r="I1089" s="606"/>
      <c r="J1089" s="606"/>
      <c r="K1089" s="606"/>
    </row>
    <row r="1090">
      <c r="A1090" s="1607"/>
      <c r="B1090" s="1607"/>
      <c r="C1090" s="1607"/>
      <c r="D1090" s="1607"/>
      <c r="E1090" s="1607"/>
      <c r="G1090" s="606"/>
      <c r="H1090" s="606"/>
      <c r="I1090" s="606"/>
      <c r="J1090" s="606"/>
      <c r="K1090" s="606"/>
    </row>
    <row r="1091">
      <c r="A1091" s="1607"/>
      <c r="B1091" s="1607"/>
      <c r="C1091" s="1607"/>
      <c r="D1091" s="1607"/>
      <c r="E1091" s="1607"/>
      <c r="G1091" s="606"/>
      <c r="H1091" s="606"/>
      <c r="I1091" s="606"/>
      <c r="J1091" s="606"/>
      <c r="K1091" s="606"/>
    </row>
    <row r="1092">
      <c r="A1092" s="1607"/>
      <c r="B1092" s="1607"/>
      <c r="C1092" s="1607"/>
      <c r="D1092" s="1607"/>
      <c r="E1092" s="1607"/>
      <c r="G1092" s="606"/>
      <c r="H1092" s="606"/>
      <c r="I1092" s="606"/>
      <c r="J1092" s="606"/>
      <c r="K1092" s="606"/>
    </row>
    <row r="1093">
      <c r="A1093" s="1607"/>
      <c r="B1093" s="1607"/>
      <c r="C1093" s="1607"/>
      <c r="D1093" s="1607"/>
      <c r="E1093" s="1607"/>
      <c r="G1093" s="606"/>
      <c r="H1093" s="606"/>
      <c r="I1093" s="606"/>
      <c r="J1093" s="606"/>
      <c r="K1093" s="606"/>
    </row>
    <row r="1094">
      <c r="A1094" s="1607"/>
      <c r="B1094" s="1607"/>
      <c r="C1094" s="1607"/>
      <c r="D1094" s="1607"/>
      <c r="E1094" s="1607"/>
      <c r="G1094" s="606"/>
      <c r="H1094" s="606"/>
      <c r="I1094" s="606"/>
      <c r="J1094" s="606"/>
      <c r="K1094" s="606"/>
    </row>
    <row r="1095">
      <c r="A1095" s="1607"/>
      <c r="B1095" s="1607"/>
      <c r="C1095" s="1607"/>
      <c r="D1095" s="1607"/>
      <c r="E1095" s="1607"/>
      <c r="G1095" s="606"/>
      <c r="H1095" s="606"/>
      <c r="I1095" s="606"/>
      <c r="J1095" s="606"/>
      <c r="K1095" s="606"/>
    </row>
    <row r="1096">
      <c r="A1096" s="1607"/>
      <c r="B1096" s="1607"/>
      <c r="C1096" s="1607"/>
      <c r="D1096" s="1607"/>
      <c r="E1096" s="1607"/>
      <c r="G1096" s="606"/>
      <c r="H1096" s="606"/>
      <c r="I1096" s="606"/>
      <c r="J1096" s="606"/>
      <c r="K1096" s="606"/>
    </row>
    <row r="1097">
      <c r="A1097" s="1607"/>
      <c r="B1097" s="1607"/>
      <c r="C1097" s="1607"/>
      <c r="D1097" s="1607"/>
      <c r="E1097" s="1607"/>
      <c r="G1097" s="606"/>
      <c r="H1097" s="606"/>
      <c r="I1097" s="606"/>
      <c r="J1097" s="606"/>
      <c r="K1097" s="606"/>
    </row>
    <row r="1098">
      <c r="A1098" s="1607"/>
      <c r="B1098" s="1607"/>
      <c r="C1098" s="1607"/>
      <c r="D1098" s="1607"/>
      <c r="E1098" s="1607"/>
      <c r="G1098" s="606"/>
      <c r="H1098" s="606"/>
      <c r="I1098" s="606"/>
      <c r="J1098" s="606"/>
      <c r="K1098" s="606"/>
    </row>
    <row r="1099">
      <c r="A1099" s="1607"/>
      <c r="B1099" s="1607"/>
      <c r="C1099" s="1607"/>
      <c r="D1099" s="1607"/>
      <c r="E1099" s="1607"/>
      <c r="G1099" s="606"/>
      <c r="H1099" s="606"/>
      <c r="I1099" s="606"/>
      <c r="J1099" s="606"/>
      <c r="K1099" s="606"/>
    </row>
    <row r="1100">
      <c r="A1100" s="1607"/>
      <c r="B1100" s="1607"/>
      <c r="C1100" s="1607"/>
      <c r="D1100" s="1607"/>
      <c r="E1100" s="1607"/>
      <c r="G1100" s="606"/>
      <c r="H1100" s="606"/>
      <c r="I1100" s="606"/>
      <c r="J1100" s="606"/>
      <c r="K1100" s="606"/>
    </row>
    <row r="1101">
      <c r="A1101" s="1607"/>
      <c r="B1101" s="1607"/>
      <c r="C1101" s="1607"/>
      <c r="D1101" s="1607"/>
      <c r="E1101" s="1607"/>
      <c r="G1101" s="606"/>
      <c r="H1101" s="606"/>
      <c r="I1101" s="606"/>
      <c r="J1101" s="606"/>
      <c r="K1101" s="606"/>
    </row>
    <row r="1102">
      <c r="A1102" s="1607"/>
      <c r="B1102" s="1607"/>
      <c r="C1102" s="1607"/>
      <c r="D1102" s="1607"/>
      <c r="E1102" s="1607"/>
      <c r="G1102" s="606"/>
      <c r="H1102" s="606"/>
      <c r="I1102" s="606"/>
      <c r="J1102" s="606"/>
      <c r="K1102" s="606"/>
    </row>
    <row r="1103">
      <c r="A1103" s="1607"/>
      <c r="B1103" s="1607"/>
      <c r="C1103" s="1607"/>
      <c r="D1103" s="1607"/>
      <c r="E1103" s="1607"/>
      <c r="G1103" s="606"/>
      <c r="H1103" s="606"/>
      <c r="I1103" s="606"/>
      <c r="J1103" s="606"/>
      <c r="K1103" s="606"/>
    </row>
    <row r="1104">
      <c r="A1104" s="1607"/>
      <c r="B1104" s="1607"/>
      <c r="C1104" s="1607"/>
      <c r="D1104" s="1607"/>
      <c r="E1104" s="1607"/>
      <c r="G1104" s="606"/>
      <c r="H1104" s="606"/>
      <c r="I1104" s="606"/>
      <c r="J1104" s="606"/>
      <c r="K1104" s="606"/>
    </row>
    <row r="1105">
      <c r="A1105" s="1607"/>
      <c r="B1105" s="1607"/>
      <c r="C1105" s="1607"/>
      <c r="D1105" s="1607"/>
      <c r="E1105" s="1607"/>
      <c r="G1105" s="606"/>
      <c r="H1105" s="606"/>
      <c r="I1105" s="606"/>
      <c r="J1105" s="606"/>
      <c r="K1105" s="606"/>
    </row>
    <row r="1106">
      <c r="A1106" s="1607"/>
      <c r="B1106" s="1607"/>
      <c r="C1106" s="1607"/>
      <c r="D1106" s="1607"/>
      <c r="E1106" s="1607"/>
      <c r="G1106" s="606"/>
      <c r="H1106" s="606"/>
      <c r="I1106" s="606"/>
      <c r="J1106" s="606"/>
      <c r="K1106" s="606"/>
    </row>
    <row r="1107">
      <c r="A1107" s="1607"/>
      <c r="B1107" s="1607"/>
      <c r="C1107" s="1607"/>
      <c r="D1107" s="1607"/>
      <c r="E1107" s="1607"/>
      <c r="G1107" s="606"/>
      <c r="H1107" s="606"/>
      <c r="I1107" s="606"/>
      <c r="J1107" s="606"/>
      <c r="K1107" s="606"/>
    </row>
    <row r="1108">
      <c r="A1108" s="1607"/>
      <c r="B1108" s="1607"/>
      <c r="C1108" s="1607"/>
      <c r="D1108" s="1607"/>
      <c r="E1108" s="1607"/>
      <c r="G1108" s="606"/>
      <c r="H1108" s="606"/>
      <c r="I1108" s="606"/>
      <c r="J1108" s="606"/>
      <c r="K1108" s="606"/>
    </row>
    <row r="1109">
      <c r="A1109" s="1607"/>
      <c r="B1109" s="1607"/>
      <c r="C1109" s="1607"/>
      <c r="D1109" s="1607"/>
      <c r="E1109" s="1607"/>
      <c r="G1109" s="606"/>
      <c r="H1109" s="606"/>
      <c r="I1109" s="606"/>
      <c r="J1109" s="606"/>
      <c r="K1109" s="606"/>
    </row>
    <row r="1110">
      <c r="A1110" s="1607"/>
      <c r="B1110" s="1607"/>
      <c r="C1110" s="1607"/>
      <c r="D1110" s="1607"/>
      <c r="E1110" s="1607"/>
      <c r="G1110" s="606"/>
      <c r="H1110" s="606"/>
      <c r="I1110" s="606"/>
      <c r="J1110" s="606"/>
      <c r="K1110" s="606"/>
    </row>
    <row r="1111">
      <c r="A1111" s="1607"/>
      <c r="B1111" s="1607"/>
      <c r="C1111" s="1607"/>
      <c r="D1111" s="1607"/>
      <c r="E1111" s="1607"/>
      <c r="G1111" s="606"/>
      <c r="H1111" s="606"/>
      <c r="I1111" s="606"/>
      <c r="J1111" s="606"/>
      <c r="K1111" s="606"/>
    </row>
    <row r="1112">
      <c r="A1112" s="1607"/>
      <c r="B1112" s="1607"/>
      <c r="C1112" s="1607"/>
      <c r="D1112" s="1607"/>
      <c r="E1112" s="1607"/>
      <c r="G1112" s="606"/>
      <c r="H1112" s="606"/>
      <c r="I1112" s="606"/>
      <c r="J1112" s="606"/>
      <c r="K1112" s="606"/>
    </row>
    <row r="1113">
      <c r="A1113" s="1607"/>
      <c r="B1113" s="1607"/>
      <c r="C1113" s="1607"/>
      <c r="D1113" s="1607"/>
      <c r="E1113" s="1607"/>
      <c r="G1113" s="606"/>
      <c r="H1113" s="606"/>
      <c r="I1113" s="606"/>
      <c r="J1113" s="606"/>
      <c r="K1113" s="606"/>
    </row>
    <row r="1114">
      <c r="A1114" s="1607"/>
      <c r="B1114" s="1607"/>
      <c r="C1114" s="1607"/>
      <c r="D1114" s="1607"/>
      <c r="E1114" s="1607"/>
      <c r="G1114" s="606"/>
      <c r="H1114" s="606"/>
      <c r="I1114" s="606"/>
      <c r="J1114" s="606"/>
      <c r="K1114" s="606"/>
    </row>
    <row r="1115">
      <c r="A1115" s="1607"/>
      <c r="B1115" s="1607"/>
      <c r="C1115" s="1607"/>
      <c r="D1115" s="1607"/>
      <c r="E1115" s="1607"/>
      <c r="G1115" s="606"/>
      <c r="H1115" s="606"/>
      <c r="I1115" s="606"/>
      <c r="J1115" s="606"/>
      <c r="K1115" s="606"/>
    </row>
    <row r="1116">
      <c r="A1116" s="1607"/>
      <c r="B1116" s="1607"/>
      <c r="C1116" s="1607"/>
      <c r="D1116" s="1607"/>
      <c r="E1116" s="1607"/>
      <c r="G1116" s="606"/>
      <c r="H1116" s="606"/>
      <c r="I1116" s="606"/>
      <c r="J1116" s="606"/>
      <c r="K1116" s="606"/>
    </row>
    <row r="1117">
      <c r="A1117" s="1607"/>
      <c r="B1117" s="1607"/>
      <c r="C1117" s="1607"/>
      <c r="D1117" s="1607"/>
      <c r="E1117" s="1607"/>
      <c r="G1117" s="606"/>
      <c r="H1117" s="606"/>
      <c r="I1117" s="606"/>
      <c r="J1117" s="606"/>
      <c r="K1117" s="606"/>
    </row>
    <row r="1118">
      <c r="A1118" s="1607"/>
      <c r="B1118" s="1607"/>
      <c r="C1118" s="1607"/>
      <c r="D1118" s="1607"/>
      <c r="E1118" s="1607"/>
      <c r="G1118" s="606"/>
      <c r="H1118" s="606"/>
      <c r="I1118" s="606"/>
      <c r="J1118" s="606"/>
      <c r="K1118" s="606"/>
    </row>
    <row r="1119">
      <c r="A1119" s="1607"/>
      <c r="B1119" s="1607"/>
      <c r="C1119" s="1607"/>
      <c r="D1119" s="1607"/>
      <c r="E1119" s="1607"/>
      <c r="G1119" s="606"/>
      <c r="H1119" s="606"/>
      <c r="I1119" s="606"/>
      <c r="J1119" s="606"/>
      <c r="K1119" s="606"/>
    </row>
    <row r="1120">
      <c r="A1120" s="1607"/>
      <c r="B1120" s="1607"/>
      <c r="C1120" s="1607"/>
      <c r="D1120" s="1607"/>
      <c r="E1120" s="1607"/>
      <c r="G1120" s="606"/>
      <c r="H1120" s="606"/>
      <c r="I1120" s="606"/>
      <c r="J1120" s="606"/>
      <c r="K1120" s="606"/>
    </row>
    <row r="1121">
      <c r="A1121" s="1607"/>
      <c r="B1121" s="1607"/>
      <c r="C1121" s="1607"/>
      <c r="D1121" s="1607"/>
      <c r="E1121" s="1607"/>
      <c r="G1121" s="606"/>
      <c r="H1121" s="606"/>
      <c r="I1121" s="606"/>
      <c r="J1121" s="606"/>
      <c r="K1121" s="606"/>
    </row>
    <row r="1122">
      <c r="A1122" s="1607"/>
      <c r="B1122" s="1607"/>
      <c r="C1122" s="1607"/>
      <c r="D1122" s="1607"/>
      <c r="E1122" s="1607"/>
      <c r="G1122" s="606"/>
      <c r="H1122" s="606"/>
      <c r="I1122" s="606"/>
      <c r="J1122" s="606"/>
      <c r="K1122" s="606"/>
    </row>
    <row r="1123">
      <c r="A1123" s="1607"/>
      <c r="B1123" s="1607"/>
      <c r="C1123" s="1607"/>
      <c r="D1123" s="1607"/>
      <c r="E1123" s="1607"/>
      <c r="G1123" s="606"/>
      <c r="H1123" s="606"/>
      <c r="I1123" s="606"/>
      <c r="J1123" s="606"/>
      <c r="K1123" s="606"/>
    </row>
    <row r="1124">
      <c r="A1124" s="1607"/>
      <c r="B1124" s="1607"/>
      <c r="C1124" s="1607"/>
      <c r="D1124" s="1607"/>
      <c r="E1124" s="1607"/>
      <c r="G1124" s="606"/>
      <c r="H1124" s="606"/>
      <c r="I1124" s="606"/>
      <c r="J1124" s="606"/>
      <c r="K1124" s="606"/>
    </row>
    <row r="1125">
      <c r="A1125" s="1607"/>
      <c r="B1125" s="1607"/>
      <c r="C1125" s="1607"/>
      <c r="D1125" s="1607"/>
      <c r="E1125" s="1607"/>
      <c r="G1125" s="606"/>
      <c r="H1125" s="606"/>
      <c r="I1125" s="606"/>
      <c r="J1125" s="606"/>
      <c r="K1125" s="606"/>
    </row>
    <row r="1126">
      <c r="A1126" s="1607"/>
      <c r="B1126" s="1607"/>
      <c r="C1126" s="1607"/>
      <c r="D1126" s="1607"/>
      <c r="E1126" s="1607"/>
      <c r="G1126" s="606"/>
      <c r="H1126" s="606"/>
      <c r="I1126" s="606"/>
      <c r="J1126" s="606"/>
      <c r="K1126" s="606"/>
    </row>
    <row r="1127">
      <c r="A1127" s="1607"/>
      <c r="B1127" s="1607"/>
      <c r="C1127" s="1607"/>
      <c r="D1127" s="1607"/>
      <c r="E1127" s="1607"/>
      <c r="G1127" s="606"/>
      <c r="H1127" s="606"/>
      <c r="I1127" s="606"/>
      <c r="J1127" s="606"/>
      <c r="K1127" s="606"/>
    </row>
    <row r="1128">
      <c r="A1128" s="1607"/>
      <c r="B1128" s="1607"/>
      <c r="C1128" s="1607"/>
      <c r="D1128" s="1607"/>
      <c r="E1128" s="1607"/>
      <c r="G1128" s="606"/>
      <c r="H1128" s="606"/>
      <c r="I1128" s="606"/>
      <c r="J1128" s="606"/>
      <c r="K1128" s="606"/>
    </row>
    <row r="1129">
      <c r="A1129" s="1607"/>
      <c r="B1129" s="1607"/>
      <c r="C1129" s="1607"/>
      <c r="D1129" s="1607"/>
      <c r="E1129" s="1607"/>
      <c r="G1129" s="606"/>
      <c r="H1129" s="606"/>
      <c r="I1129" s="606"/>
      <c r="J1129" s="606"/>
      <c r="K1129" s="606"/>
    </row>
    <row r="1130">
      <c r="A1130" s="1607"/>
      <c r="B1130" s="1607"/>
      <c r="C1130" s="1607"/>
      <c r="D1130" s="1607"/>
      <c r="E1130" s="1607"/>
      <c r="G1130" s="606"/>
      <c r="H1130" s="606"/>
      <c r="I1130" s="606"/>
      <c r="J1130" s="606"/>
      <c r="K1130" s="606"/>
    </row>
    <row r="1131">
      <c r="A1131" s="1607"/>
      <c r="B1131" s="1607"/>
      <c r="C1131" s="1607"/>
      <c r="D1131" s="1607"/>
      <c r="E1131" s="1607"/>
      <c r="G1131" s="606"/>
      <c r="H1131" s="606"/>
      <c r="I1131" s="606"/>
      <c r="J1131" s="606"/>
      <c r="K1131" s="606"/>
    </row>
    <row r="1132">
      <c r="A1132" s="1607"/>
      <c r="B1132" s="1607"/>
      <c r="C1132" s="1607"/>
      <c r="D1132" s="1607"/>
      <c r="E1132" s="1607"/>
      <c r="G1132" s="606"/>
      <c r="H1132" s="606"/>
      <c r="I1132" s="606"/>
      <c r="J1132" s="606"/>
      <c r="K1132" s="606"/>
    </row>
    <row r="1133">
      <c r="A1133" s="1607"/>
      <c r="B1133" s="1607"/>
      <c r="C1133" s="1607"/>
      <c r="D1133" s="1607"/>
      <c r="E1133" s="1607"/>
      <c r="G1133" s="606"/>
      <c r="H1133" s="606"/>
      <c r="I1133" s="606"/>
      <c r="J1133" s="606"/>
      <c r="K1133" s="606"/>
    </row>
    <row r="1134">
      <c r="A1134" s="1607"/>
      <c r="B1134" s="1607"/>
      <c r="C1134" s="1607"/>
      <c r="D1134" s="1607"/>
      <c r="E1134" s="1607"/>
      <c r="G1134" s="606"/>
      <c r="H1134" s="606"/>
      <c r="I1134" s="606"/>
      <c r="J1134" s="606"/>
      <c r="K1134" s="606"/>
    </row>
    <row r="1135">
      <c r="A1135" s="1607"/>
      <c r="B1135" s="1607"/>
      <c r="C1135" s="1607"/>
      <c r="D1135" s="1607"/>
      <c r="E1135" s="1607"/>
      <c r="G1135" s="606"/>
      <c r="H1135" s="606"/>
      <c r="I1135" s="606"/>
      <c r="J1135" s="606"/>
      <c r="K1135" s="606"/>
    </row>
    <row r="1136">
      <c r="A1136" s="1607"/>
      <c r="B1136" s="1607"/>
      <c r="C1136" s="1607"/>
      <c r="D1136" s="1607"/>
      <c r="E1136" s="1607"/>
      <c r="G1136" s="606"/>
      <c r="H1136" s="606"/>
      <c r="I1136" s="606"/>
      <c r="J1136" s="606"/>
      <c r="K1136" s="606"/>
    </row>
    <row r="1137">
      <c r="A1137" s="1607"/>
      <c r="B1137" s="1607"/>
      <c r="C1137" s="1607"/>
      <c r="D1137" s="1607"/>
      <c r="E1137" s="1607"/>
      <c r="G1137" s="606"/>
      <c r="H1137" s="606"/>
      <c r="I1137" s="606"/>
      <c r="J1137" s="606"/>
      <c r="K1137" s="606"/>
    </row>
    <row r="1138">
      <c r="A1138" s="1607"/>
      <c r="B1138" s="1607"/>
      <c r="C1138" s="1607"/>
      <c r="D1138" s="1607"/>
      <c r="E1138" s="1607"/>
      <c r="G1138" s="606"/>
      <c r="H1138" s="606"/>
      <c r="I1138" s="606"/>
      <c r="J1138" s="606"/>
      <c r="K1138" s="606"/>
    </row>
    <row r="1139">
      <c r="A1139" s="1607"/>
      <c r="B1139" s="1607"/>
      <c r="C1139" s="1607"/>
      <c r="D1139" s="1607"/>
      <c r="E1139" s="1607"/>
      <c r="G1139" s="606"/>
      <c r="H1139" s="606"/>
      <c r="I1139" s="606"/>
      <c r="J1139" s="606"/>
      <c r="K1139" s="606"/>
    </row>
    <row r="1140">
      <c r="A1140" s="1607"/>
      <c r="B1140" s="1607"/>
      <c r="C1140" s="1607"/>
      <c r="D1140" s="1607"/>
      <c r="E1140" s="1607"/>
      <c r="G1140" s="606"/>
      <c r="H1140" s="606"/>
      <c r="I1140" s="606"/>
      <c r="J1140" s="606"/>
      <c r="K1140" s="606"/>
    </row>
    <row r="1141">
      <c r="A1141" s="1607"/>
      <c r="B1141" s="1607"/>
      <c r="C1141" s="1607"/>
      <c r="D1141" s="1607"/>
      <c r="E1141" s="1607"/>
      <c r="G1141" s="606"/>
      <c r="H1141" s="606"/>
      <c r="I1141" s="606"/>
      <c r="J1141" s="606"/>
      <c r="K1141" s="606"/>
    </row>
    <row r="1142">
      <c r="A1142" s="1607"/>
      <c r="B1142" s="1607"/>
      <c r="C1142" s="1607"/>
      <c r="D1142" s="1607"/>
      <c r="E1142" s="1607"/>
      <c r="G1142" s="606"/>
      <c r="H1142" s="606"/>
      <c r="I1142" s="606"/>
      <c r="J1142" s="606"/>
      <c r="K1142" s="606"/>
    </row>
    <row r="1143">
      <c r="A1143" s="1607"/>
      <c r="B1143" s="1607"/>
      <c r="C1143" s="1607"/>
      <c r="D1143" s="1607"/>
      <c r="E1143" s="1607"/>
      <c r="G1143" s="606"/>
      <c r="H1143" s="606"/>
      <c r="I1143" s="606"/>
      <c r="J1143" s="606"/>
      <c r="K1143" s="606"/>
    </row>
    <row r="1144">
      <c r="A1144" s="1607"/>
      <c r="B1144" s="1607"/>
      <c r="C1144" s="1607"/>
      <c r="D1144" s="1607"/>
      <c r="E1144" s="1607"/>
      <c r="G1144" s="606"/>
      <c r="H1144" s="606"/>
      <c r="I1144" s="606"/>
      <c r="J1144" s="606"/>
      <c r="K1144" s="606"/>
    </row>
    <row r="1145">
      <c r="A1145" s="1607"/>
      <c r="B1145" s="1607"/>
      <c r="C1145" s="1607"/>
      <c r="D1145" s="1607"/>
      <c r="E1145" s="1607"/>
      <c r="G1145" s="606"/>
      <c r="H1145" s="606"/>
      <c r="I1145" s="606"/>
      <c r="J1145" s="606"/>
      <c r="K1145" s="606"/>
    </row>
    <row r="1146">
      <c r="A1146" s="1607"/>
      <c r="B1146" s="1607"/>
      <c r="C1146" s="1607"/>
      <c r="D1146" s="1607"/>
      <c r="E1146" s="1607"/>
      <c r="G1146" s="606"/>
      <c r="H1146" s="606"/>
      <c r="I1146" s="606"/>
      <c r="J1146" s="606"/>
      <c r="K1146" s="606"/>
    </row>
    <row r="1147">
      <c r="A1147" s="1607"/>
      <c r="B1147" s="1607"/>
      <c r="C1147" s="1607"/>
      <c r="D1147" s="1607"/>
      <c r="E1147" s="1607"/>
      <c r="G1147" s="606"/>
      <c r="H1147" s="606"/>
      <c r="I1147" s="606"/>
      <c r="J1147" s="606"/>
      <c r="K1147" s="606"/>
    </row>
    <row r="1148">
      <c r="A1148" s="1607"/>
      <c r="B1148" s="1607"/>
      <c r="C1148" s="1607"/>
      <c r="D1148" s="1607"/>
      <c r="E1148" s="1607"/>
      <c r="G1148" s="606"/>
      <c r="H1148" s="606"/>
      <c r="I1148" s="606"/>
      <c r="J1148" s="606"/>
      <c r="K1148" s="606"/>
    </row>
    <row r="1149">
      <c r="A1149" s="1607"/>
      <c r="B1149" s="1607"/>
      <c r="C1149" s="1607"/>
      <c r="D1149" s="1607"/>
      <c r="E1149" s="1607"/>
      <c r="G1149" s="606"/>
      <c r="H1149" s="606"/>
      <c r="I1149" s="606"/>
      <c r="J1149" s="606"/>
      <c r="K1149" s="606"/>
    </row>
    <row r="1150">
      <c r="A1150" s="1607"/>
      <c r="B1150" s="1607"/>
      <c r="C1150" s="1607"/>
      <c r="D1150" s="1607"/>
      <c r="E1150" s="1607"/>
      <c r="G1150" s="606"/>
      <c r="H1150" s="606"/>
      <c r="I1150" s="606"/>
      <c r="J1150" s="606"/>
      <c r="K1150" s="606"/>
    </row>
    <row r="1151">
      <c r="A1151" s="1607"/>
      <c r="B1151" s="1607"/>
      <c r="C1151" s="1607"/>
      <c r="D1151" s="1607"/>
      <c r="E1151" s="1607"/>
      <c r="G1151" s="606"/>
      <c r="H1151" s="606"/>
      <c r="I1151" s="606"/>
      <c r="J1151" s="606"/>
      <c r="K1151" s="606"/>
    </row>
    <row r="1152">
      <c r="A1152" s="1607"/>
      <c r="B1152" s="1607"/>
      <c r="C1152" s="1607"/>
      <c r="D1152" s="1607"/>
      <c r="E1152" s="1607"/>
      <c r="G1152" s="606"/>
      <c r="H1152" s="606"/>
      <c r="I1152" s="606"/>
      <c r="J1152" s="606"/>
      <c r="K1152" s="606"/>
    </row>
    <row r="1153">
      <c r="A1153" s="1607"/>
      <c r="B1153" s="1607"/>
      <c r="C1153" s="1607"/>
      <c r="D1153" s="1607"/>
      <c r="E1153" s="1607"/>
      <c r="G1153" s="606"/>
      <c r="H1153" s="606"/>
      <c r="I1153" s="606"/>
      <c r="J1153" s="606"/>
      <c r="K1153" s="606"/>
    </row>
    <row r="1154">
      <c r="A1154" s="1607"/>
      <c r="B1154" s="1607"/>
      <c r="C1154" s="1607"/>
      <c r="D1154" s="1607"/>
      <c r="E1154" s="1607"/>
      <c r="G1154" s="606"/>
      <c r="H1154" s="606"/>
      <c r="I1154" s="606"/>
      <c r="J1154" s="606"/>
      <c r="K1154" s="606"/>
    </row>
    <row r="1155">
      <c r="A1155" s="1607"/>
      <c r="B1155" s="1607"/>
      <c r="C1155" s="1607"/>
      <c r="D1155" s="1607"/>
      <c r="E1155" s="1607"/>
      <c r="G1155" s="606"/>
      <c r="H1155" s="606"/>
      <c r="I1155" s="606"/>
      <c r="J1155" s="606"/>
      <c r="K1155" s="606"/>
    </row>
    <row r="1156">
      <c r="A1156" s="1607"/>
      <c r="B1156" s="1607"/>
      <c r="C1156" s="1607"/>
      <c r="D1156" s="1607"/>
      <c r="E1156" s="1607"/>
      <c r="G1156" s="606"/>
      <c r="H1156" s="606"/>
      <c r="I1156" s="606"/>
      <c r="J1156" s="606"/>
      <c r="K1156" s="606"/>
    </row>
    <row r="1157">
      <c r="A1157" s="1607"/>
      <c r="B1157" s="1607"/>
      <c r="C1157" s="1607"/>
      <c r="D1157" s="1607"/>
      <c r="E1157" s="1607"/>
      <c r="G1157" s="606"/>
      <c r="H1157" s="606"/>
      <c r="I1157" s="606"/>
      <c r="J1157" s="606"/>
      <c r="K1157" s="606"/>
    </row>
    <row r="1158">
      <c r="A1158" s="1607"/>
      <c r="B1158" s="1607"/>
      <c r="C1158" s="1607"/>
      <c r="D1158" s="1607"/>
      <c r="E1158" s="1607"/>
      <c r="G1158" s="606"/>
      <c r="H1158" s="606"/>
      <c r="I1158" s="606"/>
      <c r="J1158" s="606"/>
      <c r="K1158" s="606"/>
    </row>
    <row r="1159">
      <c r="A1159" s="1607"/>
      <c r="B1159" s="1607"/>
      <c r="C1159" s="1607"/>
      <c r="D1159" s="1607"/>
      <c r="E1159" s="1607"/>
      <c r="G1159" s="606"/>
      <c r="H1159" s="606"/>
      <c r="I1159" s="606"/>
      <c r="J1159" s="606"/>
      <c r="K1159" s="606"/>
    </row>
    <row r="1160">
      <c r="A1160" s="1607"/>
      <c r="B1160" s="1607"/>
      <c r="C1160" s="1607"/>
      <c r="D1160" s="1607"/>
      <c r="E1160" s="1607"/>
      <c r="G1160" s="606"/>
      <c r="H1160" s="606"/>
      <c r="I1160" s="606"/>
      <c r="J1160" s="606"/>
      <c r="K1160" s="606"/>
    </row>
    <row r="1161">
      <c r="A1161" s="1607"/>
      <c r="B1161" s="1607"/>
      <c r="C1161" s="1607"/>
      <c r="D1161" s="1607"/>
      <c r="E1161" s="1607"/>
      <c r="G1161" s="606"/>
      <c r="H1161" s="606"/>
      <c r="I1161" s="606"/>
      <c r="J1161" s="606"/>
      <c r="K1161" s="606"/>
    </row>
    <row r="1162">
      <c r="A1162" s="1607"/>
      <c r="B1162" s="1607"/>
      <c r="C1162" s="1607"/>
      <c r="D1162" s="1607"/>
      <c r="E1162" s="1607"/>
      <c r="G1162" s="606"/>
      <c r="H1162" s="606"/>
      <c r="I1162" s="606"/>
      <c r="J1162" s="606"/>
      <c r="K1162" s="606"/>
    </row>
    <row r="1163">
      <c r="A1163" s="1607"/>
      <c r="B1163" s="1607"/>
      <c r="C1163" s="1607"/>
      <c r="D1163" s="1607"/>
      <c r="E1163" s="1607"/>
      <c r="G1163" s="606"/>
      <c r="H1163" s="606"/>
      <c r="I1163" s="606"/>
      <c r="J1163" s="606"/>
      <c r="K1163" s="606"/>
    </row>
    <row r="1164">
      <c r="A1164" s="1607"/>
      <c r="B1164" s="1607"/>
      <c r="C1164" s="1607"/>
      <c r="D1164" s="1607"/>
      <c r="E1164" s="1607"/>
      <c r="G1164" s="606"/>
      <c r="H1164" s="606"/>
      <c r="I1164" s="606"/>
      <c r="J1164" s="606"/>
      <c r="K1164" s="606"/>
    </row>
    <row r="1165">
      <c r="A1165" s="1607"/>
      <c r="B1165" s="1607"/>
      <c r="C1165" s="1607"/>
      <c r="D1165" s="1607"/>
      <c r="E1165" s="1607"/>
      <c r="G1165" s="606"/>
      <c r="H1165" s="606"/>
      <c r="I1165" s="606"/>
      <c r="J1165" s="606"/>
      <c r="K1165" s="606"/>
    </row>
    <row r="1166">
      <c r="A1166" s="1607"/>
      <c r="B1166" s="1607"/>
      <c r="C1166" s="1607"/>
      <c r="D1166" s="1607"/>
      <c r="E1166" s="1607"/>
      <c r="G1166" s="606"/>
      <c r="H1166" s="606"/>
      <c r="I1166" s="606"/>
      <c r="J1166" s="606"/>
      <c r="K1166" s="606"/>
    </row>
    <row r="1167">
      <c r="A1167" s="1607"/>
      <c r="B1167" s="1607"/>
      <c r="C1167" s="1607"/>
      <c r="D1167" s="1607"/>
      <c r="E1167" s="1607"/>
      <c r="G1167" s="606"/>
      <c r="H1167" s="606"/>
      <c r="I1167" s="606"/>
      <c r="J1167" s="606"/>
      <c r="K1167" s="606"/>
    </row>
    <row r="1168">
      <c r="A1168" s="1607"/>
      <c r="B1168" s="1607"/>
      <c r="C1168" s="1607"/>
      <c r="D1168" s="1607"/>
      <c r="E1168" s="1607"/>
      <c r="G1168" s="606"/>
      <c r="H1168" s="606"/>
      <c r="I1168" s="606"/>
      <c r="J1168" s="606"/>
      <c r="K1168" s="606"/>
    </row>
  </sheetData>
  <autoFilter ref="$A$1:$E$1168"/>
  <conditionalFormatting sqref="D1:D1168 J2:J127 J129:J150">
    <cfRule type="expression" dxfId="9" priority="1">
      <formula>MATCH(D1, $J$1:$J1168, 0)</formula>
    </cfRule>
  </conditionalFormatting>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5" width="15.0"/>
    <col customWidth="1" min="10" max="10" width="19.43"/>
    <col customWidth="1" min="15" max="15" width="15.43"/>
  </cols>
  <sheetData>
    <row r="1">
      <c r="A1" s="1607"/>
      <c r="B1" s="1607"/>
      <c r="C1" s="1607"/>
      <c r="D1" s="1607"/>
      <c r="E1" s="1607"/>
      <c r="F1" s="1607"/>
      <c r="G1" s="1607"/>
      <c r="H1" s="1607"/>
      <c r="I1" s="1607"/>
      <c r="J1" s="1607"/>
      <c r="K1" s="1607"/>
      <c r="L1" s="1607"/>
      <c r="M1" s="1607"/>
      <c r="N1" s="1607"/>
      <c r="O1" s="1607"/>
      <c r="P1" s="1607"/>
      <c r="Q1" s="1607"/>
      <c r="R1" s="1607"/>
      <c r="S1" s="1607"/>
      <c r="T1" s="1607"/>
      <c r="U1" s="1607"/>
      <c r="V1" s="1607"/>
      <c r="W1" s="1607"/>
      <c r="X1" s="1607"/>
      <c r="Y1" s="1607"/>
      <c r="Z1" s="1607"/>
      <c r="AA1" s="1607"/>
      <c r="AB1" s="1607"/>
      <c r="AC1" s="1607"/>
      <c r="AD1" s="1607"/>
      <c r="AE1" s="1607"/>
      <c r="AF1" s="1607"/>
      <c r="AG1" s="1607"/>
      <c r="AH1" s="1607"/>
      <c r="AI1" s="1607"/>
      <c r="AJ1" s="1607"/>
      <c r="AK1" s="1607"/>
      <c r="AL1" s="1607"/>
      <c r="AM1" s="1607"/>
      <c r="AN1" s="1607"/>
      <c r="AO1" s="1607"/>
      <c r="AP1" s="1607"/>
      <c r="AQ1" s="1607"/>
      <c r="AR1" s="1607"/>
      <c r="AS1" s="1607"/>
      <c r="AT1" s="1607"/>
      <c r="AU1" s="1607"/>
      <c r="AV1" s="1607"/>
      <c r="AW1" s="1607"/>
      <c r="AX1" s="1607"/>
      <c r="AY1" s="1607"/>
      <c r="AZ1" s="1607"/>
      <c r="BA1" s="1607"/>
      <c r="BB1" s="1607"/>
      <c r="BC1" s="1607"/>
      <c r="BD1" s="1607"/>
      <c r="BE1" s="1607"/>
      <c r="BF1" s="1607"/>
      <c r="BG1" s="1607"/>
      <c r="BH1" s="1607"/>
      <c r="BI1" s="1607"/>
      <c r="BJ1" s="1607"/>
      <c r="BK1" s="1607"/>
      <c r="BL1" s="1607"/>
    </row>
    <row r="2">
      <c r="A2" s="1671" t="s">
        <v>5716</v>
      </c>
      <c r="B2" s="1672"/>
      <c r="C2" s="1672"/>
      <c r="D2" s="1672"/>
      <c r="E2" s="1672"/>
      <c r="F2" s="1672"/>
      <c r="G2" s="1671" t="s">
        <v>5717</v>
      </c>
      <c r="H2" s="1672"/>
      <c r="I2" s="1672"/>
      <c r="J2" s="1672"/>
      <c r="K2" s="1672"/>
      <c r="L2" s="1672"/>
      <c r="M2" s="1671" t="s">
        <v>5718</v>
      </c>
      <c r="Q2" s="1672"/>
      <c r="R2" s="1672"/>
      <c r="S2" s="1671" t="s">
        <v>5719</v>
      </c>
      <c r="T2" s="1672"/>
      <c r="U2" s="1672"/>
      <c r="V2" s="1672"/>
      <c r="W2" s="1672"/>
      <c r="X2" s="1672"/>
      <c r="Y2" s="1671" t="s">
        <v>5720</v>
      </c>
      <c r="AD2" s="1672"/>
      <c r="AE2" s="1671" t="s">
        <v>5721</v>
      </c>
      <c r="AF2" s="1671"/>
      <c r="AG2" s="1671"/>
      <c r="AH2" s="1671"/>
      <c r="AI2" s="1672"/>
      <c r="AJ2" s="1672"/>
      <c r="AK2" s="1577" t="s">
        <v>5722</v>
      </c>
      <c r="AM2" s="606" t="s">
        <v>5723</v>
      </c>
      <c r="AP2" s="1672"/>
      <c r="AQ2" s="1673" t="s">
        <v>5724</v>
      </c>
      <c r="AR2" s="1672"/>
      <c r="AS2" s="1672"/>
      <c r="AT2" s="1672"/>
      <c r="AU2" s="1672"/>
      <c r="AV2" s="1672"/>
      <c r="AW2" s="1673" t="s">
        <v>5725</v>
      </c>
      <c r="AX2" s="1673"/>
      <c r="AY2" s="1672"/>
      <c r="AZ2" s="1672"/>
      <c r="BA2" s="1672"/>
      <c r="BB2" s="1672"/>
      <c r="BC2" s="1672"/>
      <c r="BD2" s="1672"/>
      <c r="BE2" s="1672"/>
      <c r="BF2" s="1672"/>
      <c r="BG2" s="1672"/>
      <c r="BH2" s="1672"/>
      <c r="BI2" s="1672"/>
      <c r="BJ2" s="1672"/>
      <c r="BK2" s="1672"/>
      <c r="BL2" s="1672"/>
    </row>
    <row r="3">
      <c r="A3" s="1674" t="s">
        <v>5692</v>
      </c>
      <c r="B3" s="1674" t="s">
        <v>5290</v>
      </c>
      <c r="C3" s="1674" t="s">
        <v>5693</v>
      </c>
      <c r="D3" s="1674" t="s">
        <v>600</v>
      </c>
      <c r="E3" s="1674" t="s">
        <v>5694</v>
      </c>
      <c r="F3" s="1672"/>
      <c r="G3" s="1674" t="s">
        <v>5692</v>
      </c>
      <c r="H3" s="1674" t="s">
        <v>5290</v>
      </c>
      <c r="I3" s="1674" t="s">
        <v>5693</v>
      </c>
      <c r="J3" s="1674" t="s">
        <v>600</v>
      </c>
      <c r="K3" s="1674" t="s">
        <v>5694</v>
      </c>
      <c r="L3" s="1672"/>
      <c r="M3" s="1674" t="s">
        <v>5692</v>
      </c>
      <c r="N3" s="1674" t="s">
        <v>5290</v>
      </c>
      <c r="O3" s="1674" t="s">
        <v>5693</v>
      </c>
      <c r="P3" s="1674" t="s">
        <v>600</v>
      </c>
      <c r="Q3" s="1674" t="s">
        <v>5694</v>
      </c>
      <c r="R3" s="1672"/>
      <c r="S3" s="1674" t="s">
        <v>5692</v>
      </c>
      <c r="T3" s="1674" t="s">
        <v>5290</v>
      </c>
      <c r="U3" s="1674" t="s">
        <v>5693</v>
      </c>
      <c r="V3" s="1674" t="s">
        <v>600</v>
      </c>
      <c r="W3" s="1674" t="s">
        <v>5694</v>
      </c>
      <c r="X3" s="1672"/>
      <c r="Y3" s="1674" t="s">
        <v>5692</v>
      </c>
      <c r="Z3" s="1674" t="s">
        <v>5290</v>
      </c>
      <c r="AA3" s="1674" t="s">
        <v>5693</v>
      </c>
      <c r="AB3" s="1674" t="s">
        <v>600</v>
      </c>
      <c r="AC3" s="1674" t="s">
        <v>5694</v>
      </c>
      <c r="AD3" s="1672"/>
      <c r="AE3" s="1674" t="s">
        <v>5692</v>
      </c>
      <c r="AF3" s="1674" t="s">
        <v>5290</v>
      </c>
      <c r="AG3" s="1674" t="s">
        <v>5693</v>
      </c>
      <c r="AH3" s="1674" t="s">
        <v>600</v>
      </c>
      <c r="AI3" s="1674" t="s">
        <v>5694</v>
      </c>
      <c r="AJ3" s="1673"/>
      <c r="AK3" s="1649" t="s">
        <v>5692</v>
      </c>
      <c r="AL3" s="1649" t="s">
        <v>5290</v>
      </c>
      <c r="AM3" s="1649" t="s">
        <v>5693</v>
      </c>
      <c r="AN3" s="1649" t="s">
        <v>600</v>
      </c>
      <c r="AO3" s="1674" t="s">
        <v>5694</v>
      </c>
      <c r="AP3" s="1673"/>
      <c r="AQ3" s="1674" t="s">
        <v>5692</v>
      </c>
      <c r="AR3" s="1674" t="s">
        <v>5290</v>
      </c>
      <c r="AS3" s="1674" t="s">
        <v>5693</v>
      </c>
      <c r="AT3" s="1674" t="s">
        <v>600</v>
      </c>
      <c r="AU3" s="1674" t="s">
        <v>5694</v>
      </c>
      <c r="AV3" s="1673"/>
      <c r="AW3" s="1674" t="s">
        <v>5692</v>
      </c>
      <c r="AX3" s="1674" t="s">
        <v>5290</v>
      </c>
      <c r="AY3" s="1674" t="s">
        <v>5693</v>
      </c>
      <c r="AZ3" s="1674" t="s">
        <v>600</v>
      </c>
      <c r="BA3" s="1674" t="s">
        <v>5694</v>
      </c>
      <c r="BB3" s="1673"/>
      <c r="BC3" s="1673"/>
      <c r="BD3" s="1673"/>
      <c r="BE3" s="1673"/>
      <c r="BF3" s="1673"/>
      <c r="BG3" s="1673"/>
      <c r="BH3" s="1673"/>
      <c r="BI3" s="1673"/>
      <c r="BJ3" s="1673"/>
      <c r="BK3" s="1673"/>
      <c r="BL3" s="1673"/>
    </row>
    <row r="4">
      <c r="A4" s="1675">
        <f>IFERROR(__xludf.DUMMYFUNCTION("FILTER(AGsorter!A:E, (AGsorter!C:C = ""AG""))"),45693.0)</f>
        <v>45693</v>
      </c>
      <c r="B4" s="1607" t="str">
        <f>IFERROR(__xludf.DUMMYFUNCTION("""COMPUTED_VALUE"""),"ADMIC")</f>
        <v>ADMIC</v>
      </c>
      <c r="C4" s="1607" t="str">
        <f>IFERROR(__xludf.DUMMYFUNCTION("""COMPUTED_VALUE"""),"AG")</f>
        <v>AG</v>
      </c>
      <c r="D4" s="1607" t="str">
        <f>IFERROR(__xludf.DUMMYFUNCTION("""COMPUTED_VALUE"""),"GENEVI")</f>
        <v>GENEVI</v>
      </c>
      <c r="E4" s="1676">
        <f>IFERROR(__xludf.DUMMYFUNCTION("""COMPUTED_VALUE"""),59.5)</f>
        <v>59.5</v>
      </c>
      <c r="F4" s="1607"/>
      <c r="G4" s="1677">
        <f>IFERROR(__xludf.DUMMYFUNCTION("FILTER(AGsorter!A:E, (AGsorter!C:C = ""Ras Laffan"") + (AGsorter!C:C = ""Mesaieed""))"),45671.0)</f>
        <v>45671</v>
      </c>
      <c r="H4" s="1607" t="str">
        <f>IFERROR(__xludf.DUMMYFUNCTION("""COMPUTED_VALUE"""),"GYXIS")</f>
        <v>GYXIS</v>
      </c>
      <c r="I4" s="1607" t="str">
        <f>IFERROR(__xludf.DUMMYFUNCTION("""COMPUTED_VALUE"""),"RAS LAFFAN")</f>
        <v>RAS LAFFAN</v>
      </c>
      <c r="J4" s="1607" t="str">
        <f>IFERROR(__xludf.DUMMYFUNCTION("""COMPUTED_VALUE"""),"LETO PROVIDENCE")</f>
        <v>LETO PROVIDENCE</v>
      </c>
      <c r="K4" s="1676">
        <f>IFERROR(__xludf.DUMMYFUNCTION("""COMPUTED_VALUE"""),58.5)</f>
        <v>58.5</v>
      </c>
      <c r="L4" s="1607"/>
      <c r="M4" s="1677">
        <f>IFERROR(__xludf.DUMMYFUNCTION("FILTER(AGsorter!A:E, AGsorter!C:C = ""Mina Al-Ahmadi"")"),45680.0)</f>
        <v>45680</v>
      </c>
      <c r="N4" s="1607" t="str">
        <f>IFERROR(__xludf.DUMMYFUNCTION("""COMPUTED_VALUE"""),"HPCL")</f>
        <v>HPCL</v>
      </c>
      <c r="O4" s="1607" t="str">
        <f>IFERROR(__xludf.DUMMYFUNCTION("""COMPUTED_VALUE"""),"MINA AL-AHMADI")</f>
        <v>MINA AL-AHMADI</v>
      </c>
      <c r="P4" s="1607" t="str">
        <f>IFERROR(__xludf.DUMMYFUNCTION("""COMPUTED_VALUE"""),"GAS WISDOM")</f>
        <v>GAS WISDOM</v>
      </c>
      <c r="Q4" s="1678">
        <f>IFERROR(__xludf.DUMMYFUNCTION("""COMPUTED_VALUE"""),56.0)</f>
        <v>56</v>
      </c>
      <c r="R4" s="1607"/>
      <c r="S4" s="1675">
        <f>IFERROR(__xludf.DUMMYFUNCTION("FILTER(AGsorter!A:E, (AGsorter!C:C = ""Ruwais"") + (AGsorter!C:C = ""Das Island""))"),45688.0)</f>
        <v>45688</v>
      </c>
      <c r="T4" s="1607" t="str">
        <f>IFERROR(__xludf.DUMMYFUNCTION("""COMPUTED_VALUE"""),"BPCL")</f>
        <v>BPCL</v>
      </c>
      <c r="U4" s="1607" t="str">
        <f>IFERROR(__xludf.DUMMYFUNCTION("""COMPUTED_VALUE"""),"RUWAIS")</f>
        <v>RUWAIS</v>
      </c>
      <c r="V4" s="1607" t="str">
        <f>IFERROR(__xludf.DUMMYFUNCTION("""COMPUTED_VALUE"""),"AQUAMARINE PROGRESS")</f>
        <v>AQUAMARINE PROGRESS</v>
      </c>
      <c r="W4" s="1678">
        <f>IFERROR(__xludf.DUMMYFUNCTION("""COMPUTED_VALUE"""),61.0)</f>
        <v>61</v>
      </c>
      <c r="X4" s="1607"/>
      <c r="Y4" s="1675">
        <f>IFERROR(__xludf.DUMMYFUNCTION("FILTER(AGsorter!A:E, (AGsorter!C:C = ""Ras Tanura"") + (AGsorter!C:C = ""Yanbu""))"),45689.0)</f>
        <v>45689</v>
      </c>
      <c r="Z4" s="1607" t="str">
        <f>IFERROR(__xludf.DUMMYFUNCTION("""COMPUTED_VALUE"""),"ATC")</f>
        <v>ATC</v>
      </c>
      <c r="AA4" s="1607" t="str">
        <f>IFERROR(__xludf.DUMMYFUNCTION("""COMPUTED_VALUE"""),"YANBU")</f>
        <v>YANBU</v>
      </c>
      <c r="AB4" s="1607" t="str">
        <f>IFERROR(__xludf.DUMMYFUNCTION("""COMPUTED_VALUE"""),"BW PASSAT")</f>
        <v>BW PASSAT</v>
      </c>
      <c r="AC4" s="1676" t="str">
        <f>IFERROR(__xludf.DUMMYFUNCTION("""COMPUTED_VALUE"""),"RNR")</f>
        <v>RNR</v>
      </c>
      <c r="AD4" s="1607"/>
      <c r="AE4" s="1679">
        <f>IFERROR(__xludf.DUMMYFUNCTION("FILTER(AGsorter!A:E, 
  (AGsorter!C:C = ""Darwin"") + 
  (AGsorter!C:C = ""Western Port Bay"") + 
  (AGsorter!C:C = ""Prelude Area"") + 
  (AGsorter!C:C = ""Dampier"") + 
  (AGsorter!C:C = ""Port Bonython"") + 
  (AGsorter!C:C = ""NWS"")
)
"),45690.0)</f>
        <v>45690</v>
      </c>
      <c r="AF4" s="1607" t="str">
        <f>IFERROR(__xludf.DUMMYFUNCTION("""COMPUTED_VALUE"""),"INPEX")</f>
        <v>INPEX</v>
      </c>
      <c r="AG4" s="1607" t="str">
        <f>IFERROR(__xludf.DUMMYFUNCTION("""COMPUTED_VALUE"""),"DARWIN")</f>
        <v>DARWIN</v>
      </c>
      <c r="AH4" s="1607" t="str">
        <f>IFERROR(__xludf.DUMMYFUNCTION("""COMPUTED_VALUE"""),"REFERENCE POINT")</f>
        <v>REFERENCE POINT</v>
      </c>
      <c r="AI4" s="1676">
        <f>IFERROR(__xludf.DUMMYFUNCTION("""COMPUTED_VALUE"""),62.0)</f>
        <v>62</v>
      </c>
      <c r="AJ4" s="1607"/>
      <c r="AK4" s="1680" t="str">
        <f>IFERROR(__xludf.DUMMYFUNCTION("FILTER(AGsorter!A:E, (AGsorter!C:C = ""Ferndale"") + (AGsorter!C:C = ""Prince Rupert""))"),"#N/A")</f>
        <v>#N/A</v>
      </c>
      <c r="AL4" s="1607"/>
      <c r="AM4" s="1607"/>
      <c r="AN4" s="1607"/>
      <c r="AO4" s="1607"/>
      <c r="AP4" s="1607"/>
      <c r="AQ4" s="1681">
        <f>IFERROR(__xludf.DUMMYFUNCTION("FILTER(AGsorter!A:E, (AGsorter!C:C = ""Soyo"") + (AGsorter!C:C = ""Bonny Island"") +(AGsorter!C:C = ""Malongo"") + (AGsorter!C:C = ""Escravos Terminal""))"),45683.0)</f>
        <v>45683</v>
      </c>
      <c r="AR4" s="1607" t="str">
        <f>IFERROR(__xludf.DUMMYFUNCTION("""COMPUTED_VALUE"""),"SWISSCHEM")</f>
        <v>SWISSCHEM</v>
      </c>
      <c r="AS4" s="1607" t="str">
        <f>IFERROR(__xludf.DUMMYFUNCTION("""COMPUTED_VALUE"""),"SOYO")</f>
        <v>SOYO</v>
      </c>
      <c r="AT4" s="1607" t="str">
        <f>IFERROR(__xludf.DUMMYFUNCTION("""COMPUTED_VALUE"""),"SECRETO")</f>
        <v>SECRETO</v>
      </c>
      <c r="AU4" s="1676">
        <f>IFERROR(__xludf.DUMMYFUNCTION("""COMPUTED_VALUE"""),58.5)</f>
        <v>58.5</v>
      </c>
      <c r="AV4" s="1607"/>
      <c r="AW4" s="1664">
        <f>IFERROR(__xludf.DUMMYFUNCTION("FILTER(AGsorter!A:E, AGsorter!C:C = ""Arzew"")"),45693.0)</f>
        <v>45693</v>
      </c>
      <c r="AX4" s="1607" t="str">
        <f>IFERROR(__xludf.DUMMYFUNCTION("""COMPUTED_VALUE"""),"WANHUA")</f>
        <v>WANHUA</v>
      </c>
      <c r="AY4" s="1607" t="str">
        <f>IFERROR(__xludf.DUMMYFUNCTION("""COMPUTED_VALUE"""),"ARZEW")</f>
        <v>ARZEW</v>
      </c>
      <c r="AZ4" s="1607" t="str">
        <f>IFERROR(__xludf.DUMMYFUNCTION("""COMPUTED_VALUE"""),"GAS ARCTURUS")</f>
        <v>GAS ARCTURUS</v>
      </c>
      <c r="BA4" s="1607" t="str">
        <f>IFERROR(__xludf.DUMMYFUNCTION("""COMPUTED_VALUE"""),"RNR")</f>
        <v>RNR</v>
      </c>
      <c r="BB4" s="1607"/>
      <c r="BC4" s="1607"/>
      <c r="BD4" s="1607"/>
      <c r="BE4" s="1607"/>
      <c r="BF4" s="1607"/>
      <c r="BG4" s="1607"/>
      <c r="BH4" s="1607"/>
      <c r="BI4" s="1607"/>
      <c r="BJ4" s="1607"/>
      <c r="BK4" s="1607"/>
      <c r="BL4" s="1607"/>
    </row>
    <row r="5">
      <c r="A5" s="1675">
        <f>IFERROR(__xludf.DUMMYFUNCTION("""COMPUTED_VALUE"""),45689.0)</f>
        <v>45689</v>
      </c>
      <c r="B5" s="1607" t="str">
        <f>IFERROR(__xludf.DUMMYFUNCTION("""COMPUTED_VALUE"""),"BPCL")</f>
        <v>BPCL</v>
      </c>
      <c r="C5" s="1607" t="str">
        <f>IFERROR(__xludf.DUMMYFUNCTION("""COMPUTED_VALUE"""),"AG")</f>
        <v>AG</v>
      </c>
      <c r="D5" s="1607" t="str">
        <f>IFERROR(__xludf.DUMMYFUNCTION("""COMPUTED_VALUE"""),"NS FRONTIER")</f>
        <v>NS FRONTIER</v>
      </c>
      <c r="E5" s="1676">
        <f>IFERROR(__xludf.DUMMYFUNCTION("""COMPUTED_VALUE"""),59.0)</f>
        <v>59</v>
      </c>
      <c r="F5" s="1607"/>
      <c r="G5" s="1675">
        <f>IFERROR(__xludf.DUMMYFUNCTION("""COMPUTED_VALUE"""),45665.0)</f>
        <v>45665</v>
      </c>
      <c r="H5" s="1607" t="str">
        <f>IFERROR(__xludf.DUMMYFUNCTION("""COMPUTED_VALUE"""),"BGN")</f>
        <v>BGN</v>
      </c>
      <c r="I5" s="1607" t="str">
        <f>IFERROR(__xludf.DUMMYFUNCTION("""COMPUTED_VALUE"""),"RAS LAFFAN")</f>
        <v>RAS LAFFAN</v>
      </c>
      <c r="J5" s="1607" t="str">
        <f>IFERROR(__xludf.DUMMYFUNCTION("""COMPUTED_VALUE"""),"COPERNICUS")</f>
        <v>COPERNICUS</v>
      </c>
      <c r="K5" s="1678">
        <f>IFERROR(__xludf.DUMMYFUNCTION("""COMPUTED_VALUE"""),60.0)</f>
        <v>60</v>
      </c>
      <c r="L5" s="1607"/>
      <c r="M5" s="1675">
        <f>IFERROR(__xludf.DUMMYFUNCTION("""COMPUTED_VALUE"""),45678.0)</f>
        <v>45678</v>
      </c>
      <c r="N5" s="1607" t="str">
        <f>IFERROR(__xludf.DUMMYFUNCTION("""COMPUTED_VALUE"""),"IOC")</f>
        <v>IOC</v>
      </c>
      <c r="O5" s="1607" t="str">
        <f>IFERROR(__xludf.DUMMYFUNCTION("""COMPUTED_VALUE"""),"MINA AL-AHMADI")</f>
        <v>MINA AL-AHMADI</v>
      </c>
      <c r="P5" s="1607" t="str">
        <f>IFERROR(__xludf.DUMMYFUNCTION("""COMPUTED_VALUE"""),"VISHVAKARMAA")</f>
        <v>VISHVAKARMAA</v>
      </c>
      <c r="Q5" s="1678">
        <f>IFERROR(__xludf.DUMMYFUNCTION("""COMPUTED_VALUE"""),60.0)</f>
        <v>60</v>
      </c>
      <c r="R5" s="1607"/>
      <c r="S5" s="1675">
        <f>IFERROR(__xludf.DUMMYFUNCTION("""COMPUTED_VALUE"""),45681.0)</f>
        <v>45681</v>
      </c>
      <c r="T5" s="1607" t="str">
        <f>IFERROR(__xludf.DUMMYFUNCTION("""COMPUTED_VALUE"""),"HPCL")</f>
        <v>HPCL</v>
      </c>
      <c r="U5" s="1607" t="str">
        <f>IFERROR(__xludf.DUMMYFUNCTION("""COMPUTED_VALUE"""),"RUWAIS")</f>
        <v>RUWAIS</v>
      </c>
      <c r="V5" s="1607" t="str">
        <f>IFERROR(__xludf.DUMMYFUNCTION("""COMPUTED_VALUE"""),"GAS AL NEGEH")</f>
        <v>GAS AL NEGEH</v>
      </c>
      <c r="W5" s="1678">
        <f>IFERROR(__xludf.DUMMYFUNCTION("""COMPUTED_VALUE"""),65.0)</f>
        <v>65</v>
      </c>
      <c r="X5" s="1607"/>
      <c r="Y5" s="1675">
        <f>IFERROR(__xludf.DUMMYFUNCTION("""COMPUTED_VALUE"""),45684.0)</f>
        <v>45684</v>
      </c>
      <c r="Z5" s="1607" t="str">
        <f>IFERROR(__xludf.DUMMYFUNCTION("""COMPUTED_VALUE"""),"ATC")</f>
        <v>ATC</v>
      </c>
      <c r="AA5" s="1607" t="str">
        <f>IFERROR(__xludf.DUMMYFUNCTION("""COMPUTED_VALUE"""),"Ras Tanura")</f>
        <v>Ras Tanura</v>
      </c>
      <c r="AB5" s="1607" t="str">
        <f>IFERROR(__xludf.DUMMYFUNCTION("""COMPUTED_VALUE"""),"MADO")</f>
        <v>MADO</v>
      </c>
      <c r="AC5" s="1676">
        <f>IFERROR(__xludf.DUMMYFUNCTION("""COMPUTED_VALUE"""),62.5)</f>
        <v>62.5</v>
      </c>
      <c r="AD5" s="1607"/>
      <c r="AE5" s="1675">
        <f>IFERROR(__xludf.DUMMYFUNCTION("""COMPUTED_VALUE"""),45681.0)</f>
        <v>45681</v>
      </c>
      <c r="AF5" s="1607" t="str">
        <f>IFERROR(__xludf.DUMMYFUNCTION("""COMPUTED_VALUE"""),"TOTAL")</f>
        <v>TOTAL</v>
      </c>
      <c r="AG5" s="1607" t="str">
        <f>IFERROR(__xludf.DUMMYFUNCTION("""COMPUTED_VALUE"""),"DARWIN")</f>
        <v>DARWIN</v>
      </c>
      <c r="AH5" s="1607" t="str">
        <f>IFERROR(__xludf.DUMMYFUNCTION("""COMPUTED_VALUE"""),"MAPLE GAS")</f>
        <v>MAPLE GAS</v>
      </c>
      <c r="AI5" s="1678">
        <f>IFERROR(__xludf.DUMMYFUNCTION("""COMPUTED_VALUE"""),63.0)</f>
        <v>63</v>
      </c>
      <c r="AJ5" s="1607"/>
      <c r="AK5" s="1607"/>
      <c r="AL5" s="1607"/>
      <c r="AM5" s="1607"/>
      <c r="AN5" s="1607"/>
      <c r="AO5" s="1607"/>
      <c r="AP5" s="1607"/>
      <c r="AQ5" s="1607"/>
      <c r="AR5" s="1607"/>
      <c r="AS5" s="1607"/>
      <c r="AT5" s="1607"/>
      <c r="AU5" s="1607"/>
      <c r="AV5" s="1607"/>
      <c r="AW5" s="1607"/>
      <c r="AX5" s="1607"/>
      <c r="AY5" s="1607"/>
      <c r="AZ5" s="1607"/>
      <c r="BA5" s="1607"/>
      <c r="BB5" s="1607"/>
      <c r="BC5" s="1607"/>
      <c r="BD5" s="1607"/>
      <c r="BE5" s="1607"/>
      <c r="BF5" s="1607"/>
      <c r="BG5" s="1607"/>
      <c r="BH5" s="1607"/>
      <c r="BI5" s="1607"/>
      <c r="BJ5" s="1607"/>
      <c r="BK5" s="1607"/>
      <c r="BL5" s="1607"/>
    </row>
    <row r="6">
      <c r="A6" s="1675">
        <f>IFERROR(__xludf.DUMMYFUNCTION("""COMPUTED_VALUE"""),45689.0)</f>
        <v>45689</v>
      </c>
      <c r="B6" s="1607" t="str">
        <f>IFERROR(__xludf.DUMMYFUNCTION("""COMPUTED_VALUE"""),"IOC")</f>
        <v>IOC</v>
      </c>
      <c r="C6" s="1607" t="str">
        <f>IFERROR(__xludf.DUMMYFUNCTION("""COMPUTED_VALUE"""),"AG")</f>
        <v>AG</v>
      </c>
      <c r="D6" s="1607" t="str">
        <f>IFERROR(__xludf.DUMMYFUNCTION("""COMPUTED_VALUE"""),"BW MALACCA")</f>
        <v>BW MALACCA</v>
      </c>
      <c r="E6" s="1676">
        <f>IFERROR(__xludf.DUMMYFUNCTION("""COMPUTED_VALUE"""),60.0)</f>
        <v>60</v>
      </c>
      <c r="F6" s="1607"/>
      <c r="G6" s="1607"/>
      <c r="H6" s="1607"/>
      <c r="I6" s="1607"/>
      <c r="J6" s="1607"/>
      <c r="K6" s="1607"/>
      <c r="L6" s="1607"/>
      <c r="M6" s="1677">
        <f>IFERROR(__xludf.DUMMYFUNCTION("""COMPUTED_VALUE"""),45678.0)</f>
        <v>45678</v>
      </c>
      <c r="N6" s="1607" t="str">
        <f>IFERROR(__xludf.DUMMYFUNCTION("""COMPUTED_VALUE"""),"EXXON")</f>
        <v>EXXON</v>
      </c>
      <c r="O6" s="1607" t="str">
        <f>IFERROR(__xludf.DUMMYFUNCTION("""COMPUTED_VALUE"""),"MINA AL-AHMADI")</f>
        <v>MINA AL-AHMADI</v>
      </c>
      <c r="P6" s="1607" t="str">
        <f>IFERROR(__xludf.DUMMYFUNCTION("""COMPUTED_VALUE"""),"SPREAD EAGLE")</f>
        <v>SPREAD EAGLE</v>
      </c>
      <c r="Q6" s="1676">
        <f>IFERROR(__xludf.DUMMYFUNCTION("""COMPUTED_VALUE"""),58.5)</f>
        <v>58.5</v>
      </c>
      <c r="R6" s="1607"/>
      <c r="S6" s="1677">
        <f>IFERROR(__xludf.DUMMYFUNCTION("""COMPUTED_VALUE"""),45671.0)</f>
        <v>45671</v>
      </c>
      <c r="T6" s="1607" t="str">
        <f>IFERROR(__xludf.DUMMYFUNCTION("""COMPUTED_VALUE"""),"HPCL")</f>
        <v>HPCL</v>
      </c>
      <c r="U6" s="1607" t="str">
        <f>IFERROR(__xludf.DUMMYFUNCTION("""COMPUTED_VALUE"""),"RUWAIS")</f>
        <v>RUWAIS</v>
      </c>
      <c r="V6" s="1607" t="str">
        <f>IFERROR(__xludf.DUMMYFUNCTION("""COMPUTED_VALUE"""),"RED MARAUDER")</f>
        <v>RED MARAUDER</v>
      </c>
      <c r="W6" s="1676">
        <f>IFERROR(__xludf.DUMMYFUNCTION("""COMPUTED_VALUE"""),63.5)</f>
        <v>63.5</v>
      </c>
      <c r="X6" s="1607"/>
      <c r="Y6" s="1677">
        <f>IFERROR(__xludf.DUMMYFUNCTION("""COMPUTED_VALUE"""),45681.0)</f>
        <v>45681</v>
      </c>
      <c r="Z6" s="1607" t="str">
        <f>IFERROR(__xludf.DUMMYFUNCTION("""COMPUTED_VALUE"""),"ATC")</f>
        <v>ATC</v>
      </c>
      <c r="AA6" s="1607" t="str">
        <f>IFERROR(__xludf.DUMMYFUNCTION("""COMPUTED_VALUE"""),"Ras Tanura")</f>
        <v>Ras Tanura</v>
      </c>
      <c r="AB6" s="1607" t="str">
        <f>IFERROR(__xludf.DUMMYFUNCTION("""COMPUTED_VALUE"""),"GAS UMM AL ROWAISAT")</f>
        <v>GAS UMM AL ROWAISAT</v>
      </c>
      <c r="AC6" s="1676">
        <f>IFERROR(__xludf.DUMMYFUNCTION("""COMPUTED_VALUE"""),62.5)</f>
        <v>62.5</v>
      </c>
      <c r="AD6" s="1607"/>
      <c r="AE6" s="1675">
        <f>IFERROR(__xludf.DUMMYFUNCTION("""COMPUTED_VALUE"""),45663.0)</f>
        <v>45663</v>
      </c>
      <c r="AF6" s="1607" t="str">
        <f>IFERROR(__xludf.DUMMYFUNCTION("""COMPUTED_VALUE"""),"INPEX")</f>
        <v>INPEX</v>
      </c>
      <c r="AG6" s="1607" t="str">
        <f>IFERROR(__xludf.DUMMYFUNCTION("""COMPUTED_VALUE"""),"DARWIN")</f>
        <v>DARWIN</v>
      </c>
      <c r="AH6" s="1607" t="str">
        <f>IFERROR(__xludf.DUMMYFUNCTION("""COMPUTED_VALUE"""),"SUNNY JOY")</f>
        <v>SUNNY JOY</v>
      </c>
      <c r="AI6" s="1678">
        <f>IFERROR(__xludf.DUMMYFUNCTION("""COMPUTED_VALUE"""),67.0)</f>
        <v>67</v>
      </c>
      <c r="AJ6" s="1607"/>
      <c r="AK6" s="1607"/>
      <c r="AL6" s="1607"/>
      <c r="AM6" s="1607"/>
      <c r="AN6" s="1607"/>
      <c r="AO6" s="1607"/>
      <c r="AP6" s="1607"/>
      <c r="AQ6" s="1607"/>
      <c r="AR6" s="1607"/>
      <c r="AS6" s="1607"/>
      <c r="AT6" s="1607"/>
      <c r="AU6" s="1607"/>
      <c r="AV6" s="1607"/>
      <c r="AW6" s="1607"/>
      <c r="AX6" s="1607"/>
      <c r="AY6" s="1607"/>
      <c r="AZ6" s="1607"/>
      <c r="BA6" s="1607"/>
      <c r="BB6" s="1607"/>
      <c r="BC6" s="1607"/>
      <c r="BD6" s="1607"/>
      <c r="BE6" s="1607"/>
      <c r="BF6" s="1607"/>
      <c r="BG6" s="1607"/>
      <c r="BH6" s="1607"/>
      <c r="BI6" s="1607"/>
      <c r="BJ6" s="1607"/>
      <c r="BK6" s="1607"/>
      <c r="BL6" s="1607"/>
    </row>
    <row r="7">
      <c r="A7" s="1675">
        <f>IFERROR(__xludf.DUMMYFUNCTION("""COMPUTED_VALUE"""),45688.0)</f>
        <v>45688</v>
      </c>
      <c r="B7" s="1607" t="str">
        <f>IFERROR(__xludf.DUMMYFUNCTION("""COMPUTED_VALUE"""),"ATC")</f>
        <v>ATC</v>
      </c>
      <c r="C7" s="1607" t="str">
        <f>IFERROR(__xludf.DUMMYFUNCTION("""COMPUTED_VALUE"""),"AG")</f>
        <v>AG</v>
      </c>
      <c r="D7" s="1607" t="str">
        <f>IFERROR(__xludf.DUMMYFUNCTION("""COMPUTED_VALUE"""),"DORAJI GAS")</f>
        <v>DORAJI GAS</v>
      </c>
      <c r="E7" s="1678">
        <f>IFERROR(__xludf.DUMMYFUNCTION("""COMPUTED_VALUE"""),61.0)</f>
        <v>61</v>
      </c>
      <c r="F7" s="1607"/>
      <c r="G7" s="1607"/>
      <c r="H7" s="1607"/>
      <c r="I7" s="1607"/>
      <c r="J7" s="1607"/>
      <c r="K7" s="1607"/>
      <c r="L7" s="1607"/>
      <c r="M7" s="1675">
        <f>IFERROR(__xludf.DUMMYFUNCTION("""COMPUTED_VALUE"""),45660.0)</f>
        <v>45660</v>
      </c>
      <c r="N7" s="1607" t="str">
        <f>IFERROR(__xludf.DUMMYFUNCTION("""COMPUTED_VALUE"""),"IOC")</f>
        <v>IOC</v>
      </c>
      <c r="O7" s="1607" t="str">
        <f>IFERROR(__xludf.DUMMYFUNCTION("""COMPUTED_VALUE"""),"MINA AL-AHMADI")</f>
        <v>MINA AL-AHMADI</v>
      </c>
      <c r="P7" s="1607" t="str">
        <f>IFERROR(__xludf.DUMMYFUNCTION("""COMPUTED_VALUE"""),"BU SIDRA")</f>
        <v>BU SIDRA</v>
      </c>
      <c r="Q7" s="1678">
        <f>IFERROR(__xludf.DUMMYFUNCTION("""COMPUTED_VALUE"""),74.0)</f>
        <v>74</v>
      </c>
      <c r="R7" s="1607"/>
      <c r="S7" s="1675">
        <f>IFERROR(__xludf.DUMMYFUNCTION("""COMPUTED_VALUE"""),45666.0)</f>
        <v>45666</v>
      </c>
      <c r="T7" s="1607" t="str">
        <f>IFERROR(__xludf.DUMMYFUNCTION("""COMPUTED_VALUE"""),"ADMIC")</f>
        <v>ADMIC</v>
      </c>
      <c r="U7" s="1607" t="str">
        <f>IFERROR(__xludf.DUMMYFUNCTION("""COMPUTED_VALUE"""),"RUWAIS")</f>
        <v>RUWAIS</v>
      </c>
      <c r="V7" s="1607" t="str">
        <f>IFERROR(__xludf.DUMMYFUNCTION("""COMPUTED_VALUE"""),"BW ARIES")</f>
        <v>BW ARIES</v>
      </c>
      <c r="W7" s="1607" t="str">
        <f>IFERROR(__xludf.DUMMYFUNCTION("""COMPUTED_VALUE"""),"RNR")</f>
        <v>RNR</v>
      </c>
      <c r="X7" s="1607"/>
      <c r="Y7" s="1675">
        <f>IFERROR(__xludf.DUMMYFUNCTION("""COMPUTED_VALUE"""),45669.0)</f>
        <v>45669</v>
      </c>
      <c r="Z7" s="1607" t="str">
        <f>IFERROR(__xludf.DUMMYFUNCTION("""COMPUTED_VALUE"""),"IOC")</f>
        <v>IOC</v>
      </c>
      <c r="AA7" s="1607" t="str">
        <f>IFERROR(__xludf.DUMMYFUNCTION("""COMPUTED_VALUE"""),"RAS TANURA")</f>
        <v>RAS TANURA</v>
      </c>
      <c r="AB7" s="1607" t="str">
        <f>IFERROR(__xludf.DUMMYFUNCTION("""COMPUTED_VALUE"""),"SHERGAR")</f>
        <v>SHERGAR</v>
      </c>
      <c r="AC7" s="1678">
        <f>IFERROR(__xludf.DUMMYFUNCTION("""COMPUTED_VALUE"""),61.0)</f>
        <v>61</v>
      </c>
      <c r="AD7" s="1607"/>
      <c r="AE7" s="1607"/>
      <c r="AF7" s="1607"/>
      <c r="AG7" s="1607"/>
      <c r="AH7" s="1607"/>
      <c r="AI7" s="1607"/>
      <c r="AJ7" s="1607"/>
      <c r="AK7" s="1607"/>
      <c r="AL7" s="1607"/>
      <c r="AM7" s="1607"/>
      <c r="AN7" s="1607"/>
      <c r="AO7" s="1607"/>
      <c r="AP7" s="1607"/>
      <c r="AQ7" s="1607"/>
      <c r="AR7" s="1607"/>
      <c r="AS7" s="1607"/>
      <c r="AT7" s="1607"/>
      <c r="AU7" s="1607"/>
      <c r="AV7" s="1607"/>
      <c r="AW7" s="1607"/>
      <c r="AX7" s="1607"/>
      <c r="AY7" s="1607"/>
      <c r="AZ7" s="1607"/>
      <c r="BA7" s="1607"/>
      <c r="BB7" s="1607"/>
      <c r="BC7" s="1607"/>
      <c r="BD7" s="1607"/>
      <c r="BE7" s="1607"/>
      <c r="BF7" s="1607"/>
      <c r="BG7" s="1607"/>
      <c r="BH7" s="1607"/>
      <c r="BI7" s="1607"/>
      <c r="BJ7" s="1607"/>
      <c r="BK7" s="1607"/>
      <c r="BL7" s="1607"/>
    </row>
    <row r="8">
      <c r="A8" s="1675">
        <f>IFERROR(__xludf.DUMMYFUNCTION("""COMPUTED_VALUE"""),45685.0)</f>
        <v>45685</v>
      </c>
      <c r="B8" s="1607" t="str">
        <f>IFERROR(__xludf.DUMMYFUNCTION("""COMPUTED_VALUE"""),"ATC")</f>
        <v>ATC</v>
      </c>
      <c r="C8" s="1607" t="str">
        <f>IFERROR(__xludf.DUMMYFUNCTION("""COMPUTED_VALUE"""),"AG")</f>
        <v>AG</v>
      </c>
      <c r="D8" s="1607" t="str">
        <f>IFERROR(__xludf.DUMMYFUNCTION("""COMPUTED_VALUE"""),"BW MAGELLAN")</f>
        <v>BW MAGELLAN</v>
      </c>
      <c r="E8" s="1676">
        <f>IFERROR(__xludf.DUMMYFUNCTION("""COMPUTED_VALUE"""),62.5)</f>
        <v>62.5</v>
      </c>
      <c r="F8" s="1607"/>
      <c r="G8" s="1607"/>
      <c r="H8" s="1607"/>
      <c r="I8" s="1607"/>
      <c r="J8" s="1607"/>
      <c r="K8" s="1607"/>
      <c r="L8" s="1607"/>
      <c r="M8" s="1607"/>
      <c r="N8" s="1607"/>
      <c r="O8" s="1607"/>
      <c r="P8" s="1607"/>
      <c r="Q8" s="1607"/>
      <c r="R8" s="1607"/>
      <c r="S8" s="1607"/>
      <c r="T8" s="1607"/>
      <c r="U8" s="1607"/>
      <c r="V8" s="1607"/>
      <c r="W8" s="1607"/>
      <c r="X8" s="1607"/>
      <c r="Y8" s="1675">
        <f>IFERROR(__xludf.DUMMYFUNCTION("""COMPUTED_VALUE"""),45669.0)</f>
        <v>45669</v>
      </c>
      <c r="Z8" s="1607" t="str">
        <f>IFERROR(__xludf.DUMMYFUNCTION("""COMPUTED_VALUE"""),"ATC")</f>
        <v>ATC</v>
      </c>
      <c r="AA8" s="1607" t="str">
        <f>IFERROR(__xludf.DUMMYFUNCTION("""COMPUTED_VALUE"""),"YANBU")</f>
        <v>YANBU</v>
      </c>
      <c r="AB8" s="1607" t="str">
        <f>IFERROR(__xludf.DUMMYFUNCTION("""COMPUTED_VALUE"""),"BW CARINA")</f>
        <v>BW CARINA</v>
      </c>
      <c r="AC8" s="1678">
        <f>IFERROR(__xludf.DUMMYFUNCTION("""COMPUTED_VALUE"""),54.0)</f>
        <v>54</v>
      </c>
      <c r="AD8" s="1607"/>
      <c r="AE8" s="1607"/>
      <c r="AF8" s="1607"/>
      <c r="AG8" s="1607"/>
      <c r="AH8" s="1607"/>
      <c r="AI8" s="1607"/>
      <c r="AJ8" s="1607"/>
      <c r="AK8" s="1607"/>
      <c r="AL8" s="1607"/>
      <c r="AM8" s="1607"/>
      <c r="AN8" s="1607"/>
      <c r="AO8" s="1607"/>
      <c r="AP8" s="1607"/>
      <c r="AQ8" s="1607"/>
      <c r="AR8" s="1607"/>
      <c r="AS8" s="1607"/>
      <c r="AT8" s="1607"/>
      <c r="AU8" s="1607"/>
      <c r="AV8" s="1607"/>
      <c r="AW8" s="1607"/>
      <c r="AX8" s="1607"/>
      <c r="AY8" s="1607"/>
      <c r="AZ8" s="1607"/>
      <c r="BA8" s="1607"/>
      <c r="BB8" s="1607"/>
      <c r="BC8" s="1607"/>
      <c r="BD8" s="1607"/>
      <c r="BE8" s="1607"/>
      <c r="BF8" s="1607"/>
      <c r="BG8" s="1607"/>
      <c r="BH8" s="1607"/>
      <c r="BI8" s="1607"/>
      <c r="BJ8" s="1607"/>
      <c r="BK8" s="1607"/>
      <c r="BL8" s="1607"/>
    </row>
    <row r="9">
      <c r="A9" s="1675">
        <f>IFERROR(__xludf.DUMMYFUNCTION("""COMPUTED_VALUE"""),45675.0)</f>
        <v>45675</v>
      </c>
      <c r="B9" s="1607" t="str">
        <f>IFERROR(__xludf.DUMMYFUNCTION("""COMPUTED_VALUE"""),"HPCL")</f>
        <v>HPCL</v>
      </c>
      <c r="C9" s="1607" t="str">
        <f>IFERROR(__xludf.DUMMYFUNCTION("""COMPUTED_VALUE"""),"AG")</f>
        <v>AG</v>
      </c>
      <c r="D9" s="1607" t="str">
        <f>IFERROR(__xludf.DUMMYFUNCTION("""COMPUTED_VALUE"""),"SUMIRE GAS")</f>
        <v>SUMIRE GAS</v>
      </c>
      <c r="E9" s="1678" t="str">
        <f>IFERROR(__xludf.DUMMYFUNCTION("""COMPUTED_VALUE"""),"65 dropped?")</f>
        <v>65 dropped?</v>
      </c>
      <c r="F9" s="1607"/>
      <c r="G9" s="1607"/>
      <c r="H9" s="1607"/>
      <c r="I9" s="1607"/>
      <c r="J9" s="1607"/>
      <c r="K9" s="1607"/>
      <c r="L9" s="1607"/>
      <c r="M9" s="1607"/>
      <c r="N9" s="1607"/>
      <c r="O9" s="1607"/>
      <c r="P9" s="1607"/>
      <c r="Q9" s="1607"/>
      <c r="R9" s="1607"/>
      <c r="S9" s="1607"/>
      <c r="T9" s="1607"/>
      <c r="U9" s="1607"/>
      <c r="V9" s="1607"/>
      <c r="W9" s="1607"/>
      <c r="X9" s="1607"/>
      <c r="Y9" s="1675">
        <f>IFERROR(__xludf.DUMMYFUNCTION("""COMPUTED_VALUE"""),45665.0)</f>
        <v>45665</v>
      </c>
      <c r="Z9" s="1607" t="str">
        <f>IFERROR(__xludf.DUMMYFUNCTION("""COMPUTED_VALUE"""),"ATC")</f>
        <v>ATC</v>
      </c>
      <c r="AA9" s="1607" t="str">
        <f>IFERROR(__xludf.DUMMYFUNCTION("""COMPUTED_VALUE"""),"YANBU")</f>
        <v>YANBU</v>
      </c>
      <c r="AB9" s="1607" t="str">
        <f>IFERROR(__xludf.DUMMYFUNCTION("""COMPUTED_VALUE"""),"GAZ IMPERIAL")</f>
        <v>GAZ IMPERIAL</v>
      </c>
      <c r="AC9" s="1678">
        <f>IFERROR(__xludf.DUMMYFUNCTION("""COMPUTED_VALUE"""),54.0)</f>
        <v>54</v>
      </c>
      <c r="AD9" s="1607"/>
      <c r="AE9" s="1607"/>
      <c r="AF9" s="1607"/>
      <c r="AG9" s="1607"/>
      <c r="AH9" s="1607"/>
      <c r="AI9" s="1607"/>
      <c r="AJ9" s="1607"/>
      <c r="AK9" s="1607"/>
      <c r="AL9" s="1607"/>
      <c r="AM9" s="1607"/>
      <c r="AN9" s="1607"/>
      <c r="AO9" s="1607"/>
      <c r="AP9" s="1607"/>
      <c r="AQ9" s="1607"/>
      <c r="AR9" s="1607"/>
      <c r="AS9" s="1607"/>
      <c r="AT9" s="1607"/>
      <c r="AU9" s="1607"/>
      <c r="AV9" s="1607"/>
      <c r="AW9" s="1607"/>
      <c r="AX9" s="1607"/>
      <c r="AY9" s="1607"/>
      <c r="AZ9" s="1607"/>
      <c r="BA9" s="1607"/>
      <c r="BB9" s="1607"/>
      <c r="BC9" s="1607"/>
      <c r="BD9" s="1607"/>
      <c r="BE9" s="1607"/>
      <c r="BF9" s="1607"/>
      <c r="BG9" s="1607"/>
      <c r="BH9" s="1607"/>
      <c r="BI9" s="1607"/>
      <c r="BJ9" s="1607"/>
      <c r="BK9" s="1607"/>
      <c r="BL9" s="1607"/>
    </row>
    <row r="10">
      <c r="A10" s="1607"/>
      <c r="B10" s="1607"/>
      <c r="C10" s="1607"/>
      <c r="D10" s="1607"/>
      <c r="E10" s="1607"/>
      <c r="F10" s="1607"/>
      <c r="G10" s="1607"/>
      <c r="H10" s="1607"/>
      <c r="I10" s="1607"/>
      <c r="J10" s="1607"/>
      <c r="K10" s="1607"/>
      <c r="L10" s="1607"/>
      <c r="M10" s="1607"/>
      <c r="N10" s="1607"/>
      <c r="O10" s="1607"/>
      <c r="P10" s="1607"/>
      <c r="Q10" s="1607"/>
      <c r="R10" s="1607"/>
      <c r="S10" s="1607"/>
      <c r="T10" s="1607"/>
      <c r="U10" s="1607"/>
      <c r="V10" s="1607"/>
      <c r="W10" s="1607"/>
      <c r="X10" s="1607"/>
      <c r="Y10" s="1607"/>
      <c r="Z10" s="1607"/>
      <c r="AA10" s="1607"/>
      <c r="AB10" s="1607"/>
      <c r="AC10" s="1607"/>
      <c r="AD10" s="1607"/>
      <c r="AE10" s="1607"/>
      <c r="AF10" s="1607"/>
      <c r="AG10" s="1607"/>
      <c r="AH10" s="1607"/>
      <c r="AI10" s="1607"/>
      <c r="AJ10" s="1607"/>
      <c r="AK10" s="1607"/>
      <c r="AL10" s="1607"/>
      <c r="AM10" s="1607"/>
      <c r="AN10" s="1607"/>
      <c r="AO10" s="1607"/>
      <c r="AP10" s="1607"/>
      <c r="AQ10" s="1607"/>
      <c r="AR10" s="1607"/>
      <c r="AS10" s="1607"/>
      <c r="AT10" s="1607"/>
      <c r="AU10" s="1607"/>
      <c r="AV10" s="1607"/>
      <c r="AW10" s="1607"/>
      <c r="AX10" s="1607"/>
      <c r="AY10" s="1607"/>
      <c r="AZ10" s="1607"/>
      <c r="BA10" s="1607"/>
      <c r="BB10" s="1607"/>
      <c r="BC10" s="1607"/>
      <c r="BD10" s="1607"/>
      <c r="BE10" s="1607"/>
      <c r="BF10" s="1607"/>
      <c r="BG10" s="1607"/>
      <c r="BH10" s="1607"/>
      <c r="BI10" s="1607"/>
      <c r="BJ10" s="1607"/>
      <c r="BK10" s="1607"/>
      <c r="BL10" s="1607"/>
    </row>
    <row r="11">
      <c r="A11" s="1607"/>
      <c r="B11" s="1607"/>
      <c r="C11" s="1607"/>
      <c r="D11" s="1607"/>
      <c r="E11" s="1607"/>
      <c r="F11" s="1607"/>
      <c r="G11" s="1607"/>
      <c r="H11" s="1607"/>
      <c r="I11" s="1607"/>
      <c r="J11" s="1607"/>
      <c r="K11" s="1607"/>
      <c r="L11" s="1607"/>
      <c r="M11" s="1607"/>
      <c r="N11" s="1607"/>
      <c r="O11" s="1607"/>
      <c r="P11" s="1607"/>
      <c r="Q11" s="1607"/>
      <c r="R11" s="1607"/>
      <c r="S11" s="1607"/>
      <c r="T11" s="1607"/>
      <c r="U11" s="1607"/>
      <c r="V11" s="1607"/>
      <c r="W11" s="1607"/>
      <c r="X11" s="1607"/>
      <c r="Y11" s="1607"/>
      <c r="Z11" s="1607"/>
      <c r="AA11" s="1607"/>
      <c r="AB11" s="1607"/>
      <c r="AC11" s="1607"/>
      <c r="AD11" s="1607"/>
      <c r="AE11" s="1607"/>
      <c r="AF11" s="1607"/>
      <c r="AG11" s="1607"/>
      <c r="AH11" s="1607"/>
      <c r="AI11" s="1607"/>
      <c r="AJ11" s="1607"/>
      <c r="AK11" s="1607"/>
      <c r="AL11" s="1607"/>
      <c r="AM11" s="1607"/>
      <c r="AN11" s="1607"/>
      <c r="AO11" s="1607"/>
      <c r="AP11" s="1607"/>
      <c r="AQ11" s="1607"/>
      <c r="AR11" s="1607"/>
      <c r="AS11" s="1607"/>
      <c r="AT11" s="1607"/>
      <c r="AU11" s="1607"/>
      <c r="AV11" s="1607"/>
      <c r="AW11" s="1607"/>
      <c r="AX11" s="1607"/>
      <c r="AY11" s="1607"/>
      <c r="AZ11" s="1607"/>
      <c r="BA11" s="1607"/>
      <c r="BB11" s="1607"/>
      <c r="BC11" s="1607"/>
      <c r="BD11" s="1607"/>
      <c r="BE11" s="1607"/>
      <c r="BF11" s="1607"/>
      <c r="BG11" s="1607"/>
      <c r="BH11" s="1607"/>
      <c r="BI11" s="1607"/>
      <c r="BJ11" s="1607"/>
      <c r="BK11" s="1607"/>
      <c r="BL11" s="1607"/>
    </row>
    <row r="12">
      <c r="A12" s="1607"/>
      <c r="B12" s="1607"/>
      <c r="C12" s="1607"/>
      <c r="D12" s="1607"/>
      <c r="E12" s="1607"/>
      <c r="F12" s="1607"/>
      <c r="G12" s="1607"/>
      <c r="H12" s="1607"/>
      <c r="I12" s="1607"/>
      <c r="J12" s="1607"/>
      <c r="K12" s="1607"/>
      <c r="L12" s="1607"/>
      <c r="M12" s="1607"/>
      <c r="N12" s="1607"/>
      <c r="O12" s="1607"/>
      <c r="P12" s="1607"/>
      <c r="Q12" s="1607"/>
      <c r="R12" s="1607"/>
      <c r="S12" s="1607"/>
      <c r="T12" s="1607"/>
      <c r="U12" s="1607"/>
      <c r="V12" s="1607"/>
      <c r="W12" s="1607"/>
      <c r="X12" s="1607"/>
      <c r="Y12" s="1607"/>
      <c r="Z12" s="1607"/>
      <c r="AA12" s="1607"/>
      <c r="AB12" s="1607"/>
      <c r="AC12" s="1607"/>
      <c r="AD12" s="1607"/>
      <c r="AE12" s="1607"/>
      <c r="AF12" s="1607"/>
      <c r="AG12" s="1607"/>
      <c r="AH12" s="1607"/>
      <c r="AI12" s="1607"/>
      <c r="AJ12" s="1607"/>
      <c r="AK12" s="1607"/>
      <c r="AL12" s="1607"/>
      <c r="AM12" s="1607"/>
      <c r="AN12" s="1607"/>
      <c r="AO12" s="1607"/>
      <c r="AP12" s="1607"/>
      <c r="AQ12" s="1607"/>
      <c r="AR12" s="1607"/>
      <c r="AS12" s="1607"/>
      <c r="AT12" s="1607"/>
      <c r="AU12" s="1607"/>
      <c r="AV12" s="1607"/>
      <c r="AW12" s="1607"/>
      <c r="AX12" s="1607"/>
      <c r="AY12" s="1607"/>
      <c r="AZ12" s="1607"/>
      <c r="BA12" s="1607"/>
      <c r="BB12" s="1607"/>
      <c r="BC12" s="1607"/>
      <c r="BD12" s="1607"/>
      <c r="BE12" s="1607"/>
      <c r="BF12" s="1607"/>
      <c r="BG12" s="1607"/>
      <c r="BH12" s="1607"/>
      <c r="BI12" s="1607"/>
      <c r="BJ12" s="1607"/>
      <c r="BK12" s="1607"/>
      <c r="BL12" s="1607"/>
    </row>
    <row r="13">
      <c r="A13" s="1607"/>
      <c r="B13" s="1607"/>
      <c r="C13" s="1607"/>
      <c r="D13" s="1607"/>
      <c r="E13" s="1607"/>
      <c r="F13" s="1607"/>
      <c r="G13" s="1607"/>
      <c r="H13" s="1607"/>
      <c r="I13" s="1607"/>
      <c r="J13" s="1607"/>
      <c r="K13" s="1607"/>
      <c r="L13" s="1607"/>
      <c r="M13" s="1607"/>
      <c r="N13" s="1607"/>
      <c r="O13" s="1607"/>
      <c r="P13" s="1607"/>
      <c r="Q13" s="1607"/>
      <c r="R13" s="1607"/>
      <c r="S13" s="1607"/>
      <c r="T13" s="1607"/>
      <c r="U13" s="1607"/>
      <c r="V13" s="1607"/>
      <c r="W13" s="1607"/>
      <c r="X13" s="1607"/>
      <c r="Y13" s="1607"/>
      <c r="Z13" s="1607"/>
      <c r="AA13" s="1607"/>
      <c r="AB13" s="1607"/>
      <c r="AC13" s="1607"/>
      <c r="AD13" s="1607"/>
      <c r="AE13" s="1607"/>
      <c r="AF13" s="1607"/>
      <c r="AG13" s="1607"/>
      <c r="AH13" s="1607"/>
      <c r="AI13" s="1607"/>
      <c r="AJ13" s="1607"/>
      <c r="AK13" s="1607"/>
      <c r="AL13" s="1607"/>
      <c r="AM13" s="1607"/>
      <c r="AN13" s="1607"/>
      <c r="AO13" s="1607"/>
      <c r="AP13" s="1607"/>
      <c r="AQ13" s="1607"/>
      <c r="AR13" s="1607"/>
      <c r="AS13" s="1607"/>
      <c r="AT13" s="1607"/>
      <c r="AU13" s="1607"/>
      <c r="AV13" s="1607"/>
      <c r="AW13" s="1607"/>
      <c r="AX13" s="1607"/>
      <c r="AY13" s="1607"/>
      <c r="AZ13" s="1607"/>
      <c r="BA13" s="1607"/>
      <c r="BB13" s="1607"/>
      <c r="BC13" s="1607"/>
      <c r="BD13" s="1607"/>
      <c r="BE13" s="1607"/>
      <c r="BF13" s="1607"/>
      <c r="BG13" s="1607"/>
      <c r="BH13" s="1607"/>
      <c r="BI13" s="1607"/>
      <c r="BJ13" s="1607"/>
      <c r="BK13" s="1607"/>
      <c r="BL13" s="1607"/>
    </row>
    <row r="14">
      <c r="A14" s="1607"/>
      <c r="B14" s="1607"/>
      <c r="C14" s="1607"/>
      <c r="D14" s="1607"/>
      <c r="E14" s="1607"/>
      <c r="F14" s="1607"/>
      <c r="G14" s="1607"/>
      <c r="H14" s="1607"/>
      <c r="I14" s="1607"/>
      <c r="J14" s="1607"/>
      <c r="K14" s="1607"/>
      <c r="L14" s="1607"/>
      <c r="M14" s="1607"/>
      <c r="N14" s="1607"/>
      <c r="O14" s="1607"/>
      <c r="P14" s="1607"/>
      <c r="Q14" s="1607"/>
      <c r="R14" s="1607"/>
      <c r="S14" s="1607"/>
      <c r="T14" s="1607"/>
      <c r="U14" s="1607"/>
      <c r="V14" s="1607"/>
      <c r="W14" s="1607"/>
      <c r="X14" s="1607"/>
      <c r="Y14" s="1607"/>
      <c r="Z14" s="1607"/>
      <c r="AA14" s="1607"/>
      <c r="AB14" s="1607"/>
      <c r="AC14" s="1607"/>
      <c r="AD14" s="1607"/>
      <c r="AE14" s="1607"/>
      <c r="AF14" s="1607"/>
      <c r="AG14" s="1607"/>
      <c r="AH14" s="1607"/>
      <c r="AI14" s="1607"/>
      <c r="AJ14" s="1607"/>
      <c r="AK14" s="1607"/>
      <c r="AL14" s="1607"/>
      <c r="AM14" s="1607"/>
      <c r="AN14" s="1607"/>
      <c r="AO14" s="1607"/>
      <c r="AP14" s="1607"/>
      <c r="AQ14" s="1607"/>
      <c r="AR14" s="1607"/>
      <c r="AS14" s="1607"/>
      <c r="AT14" s="1607"/>
      <c r="AU14" s="1607"/>
      <c r="AV14" s="1607"/>
      <c r="AW14" s="1607"/>
      <c r="AX14" s="1607"/>
      <c r="AY14" s="1607"/>
      <c r="AZ14" s="1607"/>
      <c r="BA14" s="1607"/>
      <c r="BB14" s="1607"/>
      <c r="BC14" s="1607"/>
      <c r="BD14" s="1607"/>
      <c r="BE14" s="1607"/>
      <c r="BF14" s="1607"/>
      <c r="BG14" s="1607"/>
      <c r="BH14" s="1607"/>
      <c r="BI14" s="1607"/>
      <c r="BJ14" s="1607"/>
      <c r="BK14" s="1607"/>
      <c r="BL14" s="1607"/>
    </row>
    <row r="15">
      <c r="A15" s="1607"/>
      <c r="B15" s="1607"/>
      <c r="C15" s="1607"/>
      <c r="D15" s="1607"/>
      <c r="E15" s="1607"/>
      <c r="F15" s="1607"/>
      <c r="G15" s="1607"/>
      <c r="H15" s="1607"/>
      <c r="I15" s="1607"/>
      <c r="J15" s="1607"/>
      <c r="K15" s="1607"/>
      <c r="L15" s="1607"/>
      <c r="M15" s="1607"/>
      <c r="N15" s="1607"/>
      <c r="O15" s="1607"/>
      <c r="P15" s="1607"/>
      <c r="Q15" s="1607"/>
      <c r="R15" s="1607"/>
      <c r="S15" s="1607"/>
      <c r="T15" s="1607"/>
      <c r="U15" s="1607"/>
      <c r="V15" s="1607"/>
      <c r="W15" s="1607"/>
      <c r="X15" s="1607"/>
      <c r="Y15" s="1607"/>
      <c r="Z15" s="1607"/>
      <c r="AA15" s="1607"/>
      <c r="AB15" s="1607"/>
      <c r="AC15" s="1607"/>
      <c r="AD15" s="1607"/>
      <c r="AE15" s="1607"/>
      <c r="AF15" s="1607"/>
      <c r="AG15" s="1607"/>
      <c r="AH15" s="1607"/>
      <c r="AI15" s="1607"/>
      <c r="AJ15" s="1607"/>
      <c r="AK15" s="1607"/>
      <c r="AL15" s="1607"/>
      <c r="AM15" s="1607"/>
      <c r="AN15" s="1607"/>
      <c r="AO15" s="1607"/>
      <c r="AP15" s="1607"/>
      <c r="AQ15" s="1607"/>
      <c r="AR15" s="1607"/>
      <c r="AS15" s="1607"/>
      <c r="AT15" s="1607"/>
      <c r="AU15" s="1607"/>
      <c r="AV15" s="1607"/>
      <c r="AW15" s="1607"/>
      <c r="AX15" s="1607"/>
      <c r="AY15" s="1607"/>
      <c r="AZ15" s="1607"/>
      <c r="BA15" s="1607"/>
      <c r="BB15" s="1607"/>
      <c r="BC15" s="1607"/>
      <c r="BD15" s="1607"/>
      <c r="BE15" s="1607"/>
      <c r="BF15" s="1607"/>
      <c r="BG15" s="1607"/>
      <c r="BH15" s="1607"/>
      <c r="BI15" s="1607"/>
      <c r="BJ15" s="1607"/>
      <c r="BK15" s="1607"/>
      <c r="BL15" s="1607"/>
    </row>
    <row r="16">
      <c r="A16" s="1607"/>
      <c r="B16" s="1607"/>
      <c r="C16" s="1607"/>
      <c r="D16" s="1607"/>
      <c r="E16" s="1607"/>
      <c r="F16" s="1607"/>
      <c r="G16" s="1607"/>
      <c r="H16" s="1607"/>
      <c r="I16" s="1607"/>
      <c r="J16" s="1607"/>
      <c r="K16" s="1607"/>
      <c r="L16" s="1607"/>
      <c r="M16" s="1607"/>
      <c r="N16" s="1607"/>
      <c r="O16" s="1607"/>
      <c r="P16" s="1607"/>
      <c r="Q16" s="1607"/>
      <c r="R16" s="1607"/>
      <c r="S16" s="1607"/>
      <c r="T16" s="1607"/>
      <c r="U16" s="1607"/>
      <c r="V16" s="1607"/>
      <c r="W16" s="1607"/>
      <c r="X16" s="1607"/>
      <c r="Y16" s="1607"/>
      <c r="Z16" s="1607"/>
      <c r="AA16" s="1607"/>
      <c r="AB16" s="1607"/>
      <c r="AC16" s="1607"/>
      <c r="AD16" s="1607"/>
      <c r="AE16" s="1607"/>
      <c r="AF16" s="1607"/>
      <c r="AG16" s="1607"/>
      <c r="AH16" s="1607"/>
      <c r="AI16" s="1607"/>
      <c r="AJ16" s="1607"/>
      <c r="AK16" s="1607"/>
      <c r="AL16" s="1607"/>
      <c r="AM16" s="1607"/>
      <c r="AN16" s="1607"/>
      <c r="AO16" s="1607"/>
      <c r="AP16" s="1607"/>
      <c r="AQ16" s="1607"/>
      <c r="AR16" s="1607"/>
      <c r="AS16" s="1607"/>
      <c r="AT16" s="1607"/>
      <c r="AU16" s="1607"/>
      <c r="AV16" s="1607"/>
      <c r="AW16" s="1607"/>
      <c r="AX16" s="1607"/>
      <c r="AY16" s="1607"/>
      <c r="AZ16" s="1607"/>
      <c r="BA16" s="1607"/>
      <c r="BB16" s="1607"/>
      <c r="BC16" s="1607"/>
      <c r="BD16" s="1607"/>
      <c r="BE16" s="1607"/>
      <c r="BF16" s="1607"/>
      <c r="BG16" s="1607"/>
      <c r="BH16" s="1607"/>
      <c r="BI16" s="1607"/>
      <c r="BJ16" s="1607"/>
      <c r="BK16" s="1607"/>
      <c r="BL16" s="1607"/>
    </row>
    <row r="17">
      <c r="A17" s="1607"/>
      <c r="B17" s="1607"/>
      <c r="C17" s="1607"/>
      <c r="D17" s="1607"/>
      <c r="E17" s="1607"/>
      <c r="F17" s="1607"/>
      <c r="G17" s="1607"/>
      <c r="H17" s="1607"/>
      <c r="I17" s="1607"/>
      <c r="J17" s="1607"/>
      <c r="K17" s="1607"/>
      <c r="L17" s="1607"/>
      <c r="M17" s="1607"/>
      <c r="N17" s="1607"/>
      <c r="O17" s="1607"/>
      <c r="P17" s="1607"/>
      <c r="Q17" s="1607"/>
      <c r="R17" s="1607"/>
      <c r="S17" s="1607"/>
      <c r="T17" s="1607"/>
      <c r="U17" s="1607"/>
      <c r="V17" s="1607"/>
      <c r="W17" s="1607"/>
      <c r="X17" s="1607"/>
      <c r="Y17" s="1607"/>
      <c r="Z17" s="1607"/>
      <c r="AA17" s="1607"/>
      <c r="AB17" s="1607"/>
      <c r="AC17" s="1607"/>
      <c r="AD17" s="1607"/>
      <c r="AE17" s="1607"/>
      <c r="AF17" s="1607"/>
      <c r="AG17" s="1607"/>
      <c r="AH17" s="1607"/>
      <c r="AI17" s="1607"/>
      <c r="AJ17" s="1607"/>
      <c r="AK17" s="1607"/>
      <c r="AL17" s="1607"/>
      <c r="AM17" s="1607"/>
      <c r="AN17" s="1607"/>
      <c r="AO17" s="1607"/>
      <c r="AP17" s="1607"/>
      <c r="AQ17" s="1607"/>
      <c r="AR17" s="1607"/>
      <c r="AS17" s="1607"/>
      <c r="AT17" s="1607"/>
      <c r="AU17" s="1607"/>
      <c r="AV17" s="1607"/>
      <c r="AW17" s="1607"/>
      <c r="AX17" s="1607"/>
      <c r="AY17" s="1607"/>
      <c r="AZ17" s="1607"/>
      <c r="BA17" s="1607"/>
      <c r="BB17" s="1607"/>
      <c r="BC17" s="1607"/>
      <c r="BD17" s="1607"/>
      <c r="BE17" s="1607"/>
      <c r="BF17" s="1607"/>
      <c r="BG17" s="1607"/>
      <c r="BH17" s="1607"/>
      <c r="BI17" s="1607"/>
      <c r="BJ17" s="1607"/>
      <c r="BK17" s="1607"/>
      <c r="BL17" s="1607"/>
    </row>
    <row r="18">
      <c r="A18" s="1607"/>
      <c r="B18" s="1607"/>
      <c r="C18" s="1607"/>
      <c r="D18" s="1607"/>
      <c r="E18" s="1607"/>
      <c r="F18" s="1607"/>
      <c r="G18" s="1607"/>
      <c r="H18" s="1607"/>
      <c r="I18" s="1607"/>
      <c r="J18" s="1607"/>
      <c r="K18" s="1607"/>
      <c r="L18" s="1607"/>
      <c r="M18" s="1607"/>
      <c r="N18" s="1607"/>
      <c r="O18" s="1607"/>
      <c r="P18" s="1607"/>
      <c r="Q18" s="1607"/>
      <c r="R18" s="1607"/>
      <c r="S18" s="1607"/>
      <c r="T18" s="1607"/>
      <c r="U18" s="1607"/>
      <c r="V18" s="1607"/>
      <c r="W18" s="1607"/>
      <c r="X18" s="1607"/>
      <c r="Y18" s="1607"/>
      <c r="Z18" s="1607"/>
      <c r="AA18" s="1607"/>
      <c r="AB18" s="1607"/>
      <c r="AC18" s="1607"/>
      <c r="AD18" s="1607"/>
      <c r="AE18" s="1607"/>
      <c r="AF18" s="1607"/>
      <c r="AG18" s="1607"/>
      <c r="AH18" s="1607"/>
      <c r="AI18" s="1607"/>
      <c r="AJ18" s="1607"/>
      <c r="AK18" s="1607"/>
      <c r="AL18" s="1607"/>
      <c r="AM18" s="1607"/>
      <c r="AN18" s="1607"/>
      <c r="AO18" s="1607"/>
      <c r="AP18" s="1607"/>
      <c r="AQ18" s="1607"/>
      <c r="AR18" s="1607"/>
      <c r="AS18" s="1607"/>
      <c r="AT18" s="1607"/>
      <c r="AU18" s="1607"/>
      <c r="AV18" s="1607"/>
      <c r="AW18" s="1607"/>
      <c r="AX18" s="1607"/>
      <c r="AY18" s="1607"/>
      <c r="AZ18" s="1607"/>
      <c r="BA18" s="1607"/>
      <c r="BB18" s="1607"/>
      <c r="BC18" s="1607"/>
      <c r="BD18" s="1607"/>
      <c r="BE18" s="1607"/>
      <c r="BF18" s="1607"/>
      <c r="BG18" s="1607"/>
      <c r="BH18" s="1607"/>
      <c r="BI18" s="1607"/>
      <c r="BJ18" s="1607"/>
      <c r="BK18" s="1607"/>
      <c r="BL18" s="1607"/>
    </row>
    <row r="19">
      <c r="A19" s="1607"/>
      <c r="B19" s="1607"/>
      <c r="C19" s="1607"/>
      <c r="D19" s="1607"/>
      <c r="E19" s="1607"/>
      <c r="F19" s="1607"/>
      <c r="G19" s="1607"/>
      <c r="H19" s="1607"/>
      <c r="I19" s="1607"/>
      <c r="J19" s="1607"/>
      <c r="K19" s="1607"/>
      <c r="L19" s="1607"/>
      <c r="M19" s="1607"/>
      <c r="N19" s="1607"/>
      <c r="O19" s="1607"/>
      <c r="P19" s="1607"/>
      <c r="Q19" s="1607"/>
      <c r="R19" s="1607"/>
      <c r="S19" s="1607"/>
      <c r="T19" s="1607"/>
      <c r="U19" s="1607"/>
      <c r="V19" s="1607"/>
      <c r="W19" s="1607"/>
      <c r="X19" s="1607"/>
      <c r="Y19" s="1607"/>
      <c r="Z19" s="1607"/>
      <c r="AA19" s="1607"/>
      <c r="AB19" s="1607"/>
      <c r="AC19" s="1607"/>
      <c r="AD19" s="1607"/>
      <c r="AE19" s="1607"/>
      <c r="AF19" s="1607"/>
      <c r="AG19" s="1607"/>
      <c r="AH19" s="1607"/>
      <c r="AI19" s="1607"/>
      <c r="AJ19" s="1607"/>
      <c r="AK19" s="1607"/>
      <c r="AL19" s="1607"/>
      <c r="AM19" s="1607"/>
      <c r="AN19" s="1607"/>
      <c r="AO19" s="1607"/>
      <c r="AP19" s="1607"/>
      <c r="AQ19" s="1607"/>
      <c r="AR19" s="1607"/>
      <c r="AS19" s="1607"/>
      <c r="AT19" s="1607"/>
      <c r="AU19" s="1607"/>
      <c r="AV19" s="1607"/>
      <c r="AW19" s="1607"/>
      <c r="AX19" s="1607"/>
      <c r="AY19" s="1607"/>
      <c r="AZ19" s="1607"/>
      <c r="BA19" s="1607"/>
      <c r="BB19" s="1607"/>
      <c r="BC19" s="1607"/>
      <c r="BD19" s="1607"/>
      <c r="BE19" s="1607"/>
      <c r="BF19" s="1607"/>
      <c r="BG19" s="1607"/>
      <c r="BH19" s="1607"/>
      <c r="BI19" s="1607"/>
      <c r="BJ19" s="1607"/>
      <c r="BK19" s="1607"/>
      <c r="BL19" s="1607"/>
    </row>
    <row r="20">
      <c r="A20" s="1607"/>
      <c r="B20" s="1607"/>
      <c r="C20" s="1607"/>
      <c r="D20" s="1607"/>
      <c r="E20" s="1607"/>
      <c r="F20" s="1607"/>
      <c r="G20" s="1607"/>
      <c r="H20" s="1607"/>
      <c r="I20" s="1607"/>
      <c r="J20" s="1607"/>
      <c r="K20" s="1607"/>
      <c r="L20" s="1607"/>
      <c r="M20" s="1607"/>
      <c r="N20" s="1607"/>
      <c r="O20" s="1607"/>
      <c r="P20" s="1607"/>
      <c r="Q20" s="1607"/>
      <c r="R20" s="1607"/>
      <c r="S20" s="1607"/>
      <c r="T20" s="1607"/>
      <c r="U20" s="1607"/>
      <c r="V20" s="1607"/>
      <c r="W20" s="1607"/>
      <c r="X20" s="1607"/>
      <c r="Y20" s="1607"/>
      <c r="Z20" s="1607"/>
      <c r="AA20" s="1607"/>
      <c r="AB20" s="1607"/>
      <c r="AC20" s="1607"/>
      <c r="AD20" s="1607"/>
      <c r="AE20" s="1607"/>
      <c r="AF20" s="1607"/>
      <c r="AG20" s="1607"/>
      <c r="AH20" s="1607"/>
      <c r="AI20" s="1607"/>
      <c r="AJ20" s="1607"/>
      <c r="AK20" s="1607"/>
      <c r="AL20" s="1607"/>
      <c r="AM20" s="1607"/>
      <c r="AN20" s="1607"/>
      <c r="AO20" s="1607"/>
      <c r="AP20" s="1607"/>
      <c r="AQ20" s="1607"/>
      <c r="AR20" s="1607"/>
      <c r="AS20" s="1607"/>
      <c r="AT20" s="1607"/>
      <c r="AU20" s="1607"/>
      <c r="AV20" s="1607"/>
      <c r="AW20" s="1607"/>
      <c r="AX20" s="1607"/>
      <c r="AY20" s="1607"/>
      <c r="AZ20" s="1607"/>
      <c r="BA20" s="1607"/>
      <c r="BB20" s="1607"/>
      <c r="BC20" s="1607"/>
      <c r="BD20" s="1607"/>
      <c r="BE20" s="1607"/>
      <c r="BF20" s="1607"/>
      <c r="BG20" s="1607"/>
      <c r="BH20" s="1607"/>
      <c r="BI20" s="1607"/>
      <c r="BJ20" s="1607"/>
      <c r="BK20" s="1607"/>
      <c r="BL20" s="1607"/>
    </row>
    <row r="21">
      <c r="A21" s="1607"/>
      <c r="B21" s="1607"/>
      <c r="C21" s="1607"/>
      <c r="D21" s="1607"/>
      <c r="E21" s="1607"/>
      <c r="F21" s="1607"/>
      <c r="G21" s="1607"/>
      <c r="H21" s="1607"/>
      <c r="I21" s="1607"/>
      <c r="J21" s="1607"/>
      <c r="K21" s="1607"/>
      <c r="L21" s="1607"/>
      <c r="M21" s="1607"/>
      <c r="N21" s="1607"/>
      <c r="O21" s="1607"/>
      <c r="P21" s="1607"/>
      <c r="Q21" s="1607"/>
      <c r="R21" s="1607"/>
      <c r="S21" s="1607"/>
      <c r="T21" s="1607"/>
      <c r="U21" s="1607"/>
      <c r="V21" s="1607"/>
      <c r="W21" s="1607"/>
      <c r="X21" s="1607"/>
      <c r="Y21" s="1607"/>
      <c r="Z21" s="1607"/>
      <c r="AA21" s="1607"/>
      <c r="AB21" s="1607"/>
      <c r="AC21" s="1607"/>
      <c r="AD21" s="1607"/>
      <c r="AE21" s="1607"/>
      <c r="AF21" s="1607"/>
      <c r="AG21" s="1607"/>
      <c r="AH21" s="1607"/>
      <c r="AI21" s="1607"/>
      <c r="AJ21" s="1607"/>
      <c r="AK21" s="1607"/>
      <c r="AL21" s="1607"/>
      <c r="AM21" s="1607"/>
      <c r="AN21" s="1607"/>
      <c r="AO21" s="1607"/>
      <c r="AP21" s="1607"/>
      <c r="AQ21" s="1607"/>
      <c r="AR21" s="1607"/>
      <c r="AS21" s="1607"/>
      <c r="AT21" s="1607"/>
      <c r="AU21" s="1607"/>
      <c r="AV21" s="1607"/>
      <c r="AW21" s="1607"/>
      <c r="AX21" s="1607"/>
      <c r="AY21" s="1607"/>
      <c r="AZ21" s="1607"/>
      <c r="BA21" s="1607"/>
      <c r="BB21" s="1607"/>
      <c r="BC21" s="1607"/>
      <c r="BD21" s="1607"/>
      <c r="BE21" s="1607"/>
      <c r="BF21" s="1607"/>
      <c r="BG21" s="1607"/>
      <c r="BH21" s="1607"/>
      <c r="BI21" s="1607"/>
      <c r="BJ21" s="1607"/>
      <c r="BK21" s="1607"/>
      <c r="BL21" s="1607"/>
    </row>
    <row r="22">
      <c r="A22" s="1607"/>
      <c r="B22" s="1607"/>
      <c r="C22" s="1607"/>
      <c r="D22" s="1607"/>
      <c r="E22" s="1607"/>
      <c r="F22" s="1607"/>
      <c r="G22" s="1607"/>
      <c r="H22" s="1607"/>
      <c r="I22" s="1607"/>
      <c r="J22" s="1607"/>
      <c r="K22" s="1607"/>
      <c r="L22" s="1607"/>
      <c r="M22" s="1607"/>
      <c r="N22" s="1607"/>
      <c r="O22" s="1607"/>
      <c r="P22" s="1607"/>
      <c r="Q22" s="1607"/>
      <c r="R22" s="1607"/>
      <c r="S22" s="1607"/>
      <c r="T22" s="1607"/>
      <c r="U22" s="1607"/>
      <c r="V22" s="1607"/>
      <c r="W22" s="1607"/>
      <c r="X22" s="1607"/>
      <c r="Y22" s="1607"/>
      <c r="Z22" s="1607"/>
      <c r="AA22" s="1607"/>
      <c r="AB22" s="1607"/>
      <c r="AC22" s="1607"/>
      <c r="AD22" s="1607"/>
      <c r="AE22" s="1607"/>
      <c r="AF22" s="1607"/>
      <c r="AG22" s="1607"/>
      <c r="AH22" s="1607"/>
      <c r="AI22" s="1607"/>
      <c r="AJ22" s="1607"/>
      <c r="AK22" s="1607"/>
      <c r="AL22" s="1607"/>
      <c r="AM22" s="1607"/>
      <c r="AN22" s="1607"/>
      <c r="AO22" s="1607"/>
      <c r="AP22" s="1607"/>
      <c r="AQ22" s="1607"/>
      <c r="AR22" s="1607"/>
      <c r="AS22" s="1607"/>
      <c r="AT22" s="1607"/>
      <c r="AU22" s="1607"/>
      <c r="AV22" s="1607"/>
      <c r="AW22" s="1607"/>
      <c r="AX22" s="1607"/>
      <c r="AY22" s="1607"/>
      <c r="AZ22" s="1607"/>
      <c r="BA22" s="1607"/>
      <c r="BB22" s="1607"/>
      <c r="BC22" s="1607"/>
      <c r="BD22" s="1607"/>
      <c r="BE22" s="1607"/>
      <c r="BF22" s="1607"/>
      <c r="BG22" s="1607"/>
      <c r="BH22" s="1607"/>
      <c r="BI22" s="1607"/>
      <c r="BJ22" s="1607"/>
      <c r="BK22" s="1607"/>
      <c r="BL22" s="1607"/>
    </row>
    <row r="23">
      <c r="A23" s="1607"/>
      <c r="B23" s="1607"/>
      <c r="C23" s="1607"/>
      <c r="D23" s="1607"/>
      <c r="E23" s="1607"/>
      <c r="F23" s="1607"/>
      <c r="G23" s="1607"/>
      <c r="H23" s="1607"/>
      <c r="J23" s="1607"/>
      <c r="K23" s="1607"/>
      <c r="L23" s="1607"/>
      <c r="M23" s="1607"/>
      <c r="N23" s="1607"/>
      <c r="O23" s="1607"/>
      <c r="P23" s="1607"/>
      <c r="Q23" s="1607"/>
      <c r="R23" s="1607"/>
      <c r="S23" s="1607"/>
      <c r="T23" s="1607"/>
      <c r="U23" s="1607"/>
      <c r="V23" s="1607"/>
      <c r="W23" s="1607"/>
      <c r="X23" s="1607"/>
      <c r="Y23" s="1607"/>
      <c r="Z23" s="1607"/>
      <c r="AA23" s="1607"/>
      <c r="AB23" s="1607"/>
      <c r="AC23" s="1607"/>
      <c r="AD23" s="1607"/>
      <c r="AE23" s="1607"/>
      <c r="AF23" s="1607"/>
      <c r="AG23" s="1607"/>
      <c r="AH23" s="1607"/>
      <c r="AI23" s="1607"/>
      <c r="AJ23" s="1607"/>
      <c r="AK23" s="1607"/>
      <c r="AL23" s="1607"/>
      <c r="AM23" s="1607"/>
      <c r="AN23" s="1607"/>
      <c r="AO23" s="1607"/>
      <c r="AP23" s="1607"/>
      <c r="AQ23" s="1607"/>
      <c r="AR23" s="1607"/>
      <c r="AS23" s="1607"/>
      <c r="AT23" s="1607"/>
      <c r="AU23" s="1607"/>
      <c r="AV23" s="1607"/>
      <c r="AW23" s="1607"/>
      <c r="AX23" s="1607"/>
      <c r="AY23" s="1607"/>
      <c r="AZ23" s="1607"/>
      <c r="BA23" s="1607"/>
      <c r="BB23" s="1607"/>
      <c r="BC23" s="1607"/>
      <c r="BD23" s="1607"/>
      <c r="BE23" s="1607"/>
      <c r="BF23" s="1607"/>
      <c r="BG23" s="1607"/>
      <c r="BH23" s="1607"/>
      <c r="BI23" s="1607"/>
      <c r="BJ23" s="1607"/>
      <c r="BK23" s="1607"/>
      <c r="BL23" s="1607"/>
    </row>
    <row r="24">
      <c r="A24" s="1607"/>
      <c r="B24" s="1607"/>
      <c r="C24" s="1607"/>
      <c r="D24" s="1607"/>
      <c r="E24" s="1607"/>
      <c r="F24" s="1607"/>
      <c r="G24" s="1607"/>
      <c r="H24" s="1607"/>
      <c r="I24" s="1607"/>
      <c r="J24" s="1607"/>
      <c r="K24" s="1607"/>
      <c r="L24" s="1607"/>
      <c r="M24" s="1607"/>
      <c r="N24" s="1607"/>
      <c r="O24" s="1607"/>
      <c r="P24" s="1607"/>
      <c r="Q24" s="1607"/>
      <c r="R24" s="1607"/>
      <c r="S24" s="1607"/>
      <c r="T24" s="1607"/>
      <c r="U24" s="1607"/>
      <c r="V24" s="1607"/>
      <c r="W24" s="1607"/>
      <c r="X24" s="1607"/>
      <c r="Y24" s="1607"/>
      <c r="Z24" s="1607"/>
      <c r="AA24" s="1607"/>
      <c r="AB24" s="1607"/>
      <c r="AC24" s="1607"/>
      <c r="AD24" s="1607"/>
      <c r="AE24" s="1607"/>
      <c r="AF24" s="1607"/>
      <c r="AG24" s="1607"/>
      <c r="AH24" s="1607"/>
      <c r="AI24" s="1607"/>
      <c r="AJ24" s="1607"/>
      <c r="AK24" s="1607"/>
      <c r="AL24" s="1607"/>
      <c r="AM24" s="1607"/>
      <c r="AN24" s="1607"/>
      <c r="AO24" s="1607"/>
      <c r="AP24" s="1607"/>
      <c r="AQ24" s="1607"/>
      <c r="AR24" s="1607"/>
      <c r="AS24" s="1607"/>
      <c r="AT24" s="1607"/>
      <c r="AU24" s="1607"/>
      <c r="AV24" s="1607"/>
      <c r="AW24" s="1607"/>
      <c r="AX24" s="1607"/>
      <c r="AY24" s="1607"/>
      <c r="AZ24" s="1607"/>
      <c r="BA24" s="1607"/>
      <c r="BB24" s="1607"/>
      <c r="BC24" s="1607"/>
      <c r="BD24" s="1607"/>
      <c r="BE24" s="1607"/>
      <c r="BF24" s="1607"/>
      <c r="BG24" s="1607"/>
      <c r="BH24" s="1607"/>
      <c r="BI24" s="1607"/>
      <c r="BJ24" s="1607"/>
      <c r="BK24" s="1607"/>
      <c r="BL24" s="1607"/>
    </row>
    <row r="25">
      <c r="A25" s="1607"/>
      <c r="B25" s="1607"/>
      <c r="C25" s="1607"/>
      <c r="D25" s="1607"/>
      <c r="E25" s="1607"/>
      <c r="F25" s="1607"/>
      <c r="G25" s="1607"/>
      <c r="H25" s="1607"/>
      <c r="I25" s="1607"/>
      <c r="J25" s="1607"/>
      <c r="K25" s="1607"/>
      <c r="L25" s="1607"/>
      <c r="M25" s="1607"/>
      <c r="N25" s="1607"/>
      <c r="O25" s="1607"/>
      <c r="P25" s="1607"/>
      <c r="Q25" s="1607"/>
      <c r="R25" s="1607"/>
      <c r="S25" s="1607"/>
      <c r="T25" s="1607"/>
      <c r="U25" s="1607"/>
      <c r="V25" s="1607"/>
      <c r="W25" s="1607"/>
      <c r="X25" s="1607"/>
      <c r="Y25" s="1607"/>
      <c r="Z25" s="1607"/>
      <c r="AA25" s="1607"/>
      <c r="AB25" s="1607"/>
      <c r="AC25" s="1607"/>
      <c r="AD25" s="1607"/>
      <c r="AE25" s="1607"/>
      <c r="AF25" s="1607"/>
      <c r="AG25" s="1607"/>
      <c r="AH25" s="1607"/>
      <c r="AI25" s="1607"/>
      <c r="AJ25" s="1607"/>
      <c r="AK25" s="1607"/>
      <c r="AL25" s="1607"/>
      <c r="AM25" s="1607"/>
      <c r="AN25" s="1607"/>
      <c r="AO25" s="1607"/>
      <c r="AP25" s="1607"/>
      <c r="AQ25" s="1607"/>
      <c r="AR25" s="1607"/>
      <c r="AS25" s="1607"/>
      <c r="AT25" s="1607"/>
      <c r="AU25" s="1607"/>
      <c r="AV25" s="1607"/>
      <c r="AW25" s="1607"/>
      <c r="AX25" s="1607"/>
      <c r="AY25" s="1607"/>
      <c r="AZ25" s="1607"/>
      <c r="BA25" s="1607"/>
      <c r="BB25" s="1607"/>
      <c r="BC25" s="1607"/>
      <c r="BD25" s="1607"/>
      <c r="BE25" s="1607"/>
      <c r="BF25" s="1607"/>
      <c r="BG25" s="1607"/>
      <c r="BH25" s="1607"/>
      <c r="BI25" s="1607"/>
      <c r="BJ25" s="1607"/>
      <c r="BK25" s="1607"/>
      <c r="BL25" s="1607"/>
    </row>
    <row r="26">
      <c r="A26" s="1607"/>
      <c r="B26" s="1607"/>
      <c r="C26" s="1607"/>
      <c r="D26" s="1607"/>
      <c r="E26" s="1607"/>
      <c r="F26" s="1607"/>
      <c r="G26" s="1607"/>
      <c r="H26" s="1607"/>
      <c r="I26" s="1607"/>
      <c r="J26" s="1607"/>
      <c r="K26" s="1607"/>
      <c r="L26" s="1607"/>
      <c r="M26" s="1607"/>
      <c r="N26" s="1607"/>
      <c r="O26" s="1607"/>
      <c r="P26" s="1607"/>
      <c r="Q26" s="1607"/>
      <c r="R26" s="1607"/>
      <c r="S26" s="1607"/>
      <c r="T26" s="1607"/>
      <c r="U26" s="1607"/>
      <c r="V26" s="1607"/>
      <c r="W26" s="1607"/>
      <c r="X26" s="1607"/>
      <c r="Y26" s="1607"/>
      <c r="Z26" s="1607"/>
      <c r="AA26" s="1607"/>
      <c r="AB26" s="1607"/>
      <c r="AC26" s="1607"/>
      <c r="AD26" s="1607"/>
      <c r="AE26" s="1607"/>
      <c r="AF26" s="1607"/>
      <c r="AG26" s="1607"/>
      <c r="AH26" s="1607"/>
      <c r="AI26" s="1607"/>
      <c r="AJ26" s="1607"/>
      <c r="AK26" s="1607"/>
      <c r="AL26" s="1607"/>
      <c r="AM26" s="1607"/>
      <c r="AN26" s="1607"/>
      <c r="AO26" s="1607"/>
      <c r="AP26" s="1607"/>
      <c r="AQ26" s="1607"/>
      <c r="AR26" s="1607"/>
      <c r="AS26" s="1607"/>
      <c r="AT26" s="1607"/>
      <c r="AU26" s="1607"/>
      <c r="AV26" s="1607"/>
      <c r="AW26" s="1607"/>
      <c r="AX26" s="1607"/>
      <c r="AY26" s="1607"/>
      <c r="AZ26" s="1607"/>
      <c r="BA26" s="1607"/>
      <c r="BB26" s="1607"/>
      <c r="BC26" s="1607"/>
      <c r="BD26" s="1607"/>
      <c r="BE26" s="1607"/>
      <c r="BF26" s="1607"/>
      <c r="BG26" s="1607"/>
      <c r="BH26" s="1607"/>
      <c r="BI26" s="1607"/>
      <c r="BJ26" s="1607"/>
      <c r="BK26" s="1607"/>
      <c r="BL26" s="1607"/>
    </row>
    <row r="27">
      <c r="A27" s="1607"/>
      <c r="B27" s="1607"/>
      <c r="C27" s="1607"/>
      <c r="D27" s="1607"/>
      <c r="E27" s="1607"/>
      <c r="F27" s="1607"/>
      <c r="G27" s="1607"/>
      <c r="H27" s="1607"/>
      <c r="I27" s="1607"/>
      <c r="J27" s="1607"/>
      <c r="K27" s="1607"/>
      <c r="L27" s="1607"/>
      <c r="M27" s="1607"/>
      <c r="N27" s="1607"/>
      <c r="O27" s="1607"/>
      <c r="P27" s="1607"/>
      <c r="Q27" s="1607"/>
      <c r="R27" s="1607"/>
      <c r="S27" s="1607"/>
      <c r="T27" s="1607"/>
      <c r="U27" s="1607"/>
      <c r="V27" s="1607"/>
      <c r="W27" s="1607"/>
      <c r="X27" s="1607"/>
      <c r="Y27" s="1607"/>
      <c r="Z27" s="1607"/>
      <c r="AA27" s="1607"/>
      <c r="AB27" s="1607"/>
      <c r="AC27" s="1607"/>
      <c r="AD27" s="1607"/>
      <c r="AE27" s="1607"/>
      <c r="AF27" s="1607"/>
      <c r="AG27" s="1607"/>
      <c r="AH27" s="1607"/>
      <c r="AI27" s="1607"/>
      <c r="AJ27" s="1607"/>
      <c r="AK27" s="1607"/>
      <c r="AL27" s="1607"/>
      <c r="AM27" s="1607"/>
      <c r="AN27" s="1607"/>
      <c r="AO27" s="1607"/>
      <c r="AP27" s="1607"/>
      <c r="AQ27" s="1607"/>
      <c r="AR27" s="1607"/>
      <c r="AS27" s="1607"/>
      <c r="AT27" s="1607"/>
      <c r="AU27" s="1607"/>
      <c r="AV27" s="1607"/>
      <c r="AW27" s="1607"/>
      <c r="AX27" s="1607"/>
      <c r="AY27" s="1607"/>
      <c r="AZ27" s="1607"/>
      <c r="BA27" s="1607"/>
      <c r="BB27" s="1607"/>
      <c r="BC27" s="1607"/>
      <c r="BD27" s="1607"/>
      <c r="BE27" s="1607"/>
      <c r="BF27" s="1607"/>
      <c r="BG27" s="1607"/>
      <c r="BH27" s="1607"/>
      <c r="BI27" s="1607"/>
      <c r="BJ27" s="1607"/>
      <c r="BK27" s="1607"/>
      <c r="BL27" s="1607"/>
    </row>
    <row r="28">
      <c r="A28" s="1607"/>
      <c r="B28" s="1607"/>
      <c r="C28" s="1607"/>
      <c r="D28" s="1607"/>
      <c r="E28" s="1607"/>
      <c r="F28" s="1607"/>
      <c r="G28" s="1607"/>
      <c r="H28" s="1607"/>
      <c r="I28" s="1607"/>
      <c r="J28" s="1607"/>
      <c r="K28" s="1607"/>
      <c r="L28" s="1607"/>
      <c r="M28" s="1607"/>
      <c r="N28" s="1607"/>
      <c r="O28" s="1607"/>
      <c r="P28" s="1607"/>
      <c r="Q28" s="1607"/>
      <c r="R28" s="1607"/>
      <c r="S28" s="1607"/>
      <c r="T28" s="1607"/>
      <c r="U28" s="1607"/>
      <c r="V28" s="1607"/>
      <c r="W28" s="1607"/>
      <c r="X28" s="1607"/>
      <c r="Y28" s="1607"/>
      <c r="Z28" s="1607"/>
      <c r="AA28" s="1607"/>
      <c r="AB28" s="1607"/>
      <c r="AC28" s="1607"/>
      <c r="AD28" s="1607"/>
      <c r="AE28" s="1607"/>
      <c r="AF28" s="1607"/>
      <c r="AG28" s="1607"/>
      <c r="AH28" s="1607"/>
      <c r="AI28" s="1607"/>
      <c r="AJ28" s="1607"/>
      <c r="AK28" s="1607"/>
      <c r="AL28" s="1607"/>
      <c r="AM28" s="1607"/>
      <c r="AN28" s="1607"/>
      <c r="AO28" s="1607"/>
      <c r="AP28" s="1607"/>
      <c r="AQ28" s="1607"/>
      <c r="AR28" s="1607"/>
      <c r="AS28" s="1607"/>
      <c r="AT28" s="1607"/>
      <c r="AU28" s="1607"/>
      <c r="AV28" s="1607"/>
      <c r="AW28" s="1607"/>
      <c r="AX28" s="1607"/>
      <c r="AY28" s="1607"/>
      <c r="AZ28" s="1607"/>
      <c r="BA28" s="1607"/>
      <c r="BB28" s="1607"/>
      <c r="BC28" s="1607"/>
      <c r="BD28" s="1607"/>
      <c r="BE28" s="1607"/>
      <c r="BF28" s="1607"/>
      <c r="BG28" s="1607"/>
      <c r="BH28" s="1607"/>
      <c r="BI28" s="1607"/>
      <c r="BJ28" s="1607"/>
      <c r="BK28" s="1607"/>
      <c r="BL28" s="1607"/>
    </row>
    <row r="29">
      <c r="A29" s="1607"/>
      <c r="B29" s="1607"/>
      <c r="C29" s="1607"/>
      <c r="D29" s="1607"/>
      <c r="E29" s="1607"/>
      <c r="F29" s="1607"/>
      <c r="G29" s="1607"/>
      <c r="H29" s="1607"/>
      <c r="I29" s="1607"/>
      <c r="J29" s="1607"/>
      <c r="K29" s="1607"/>
      <c r="L29" s="1607"/>
      <c r="M29" s="1607"/>
      <c r="N29" s="1607"/>
      <c r="O29" s="1607"/>
      <c r="P29" s="1607"/>
      <c r="Q29" s="1607"/>
      <c r="R29" s="1607"/>
      <c r="S29" s="1607"/>
      <c r="T29" s="1607"/>
      <c r="U29" s="1607"/>
      <c r="V29" s="1607"/>
      <c r="W29" s="1607"/>
      <c r="X29" s="1607"/>
      <c r="Y29" s="1607"/>
      <c r="Z29" s="1607"/>
      <c r="AA29" s="1607"/>
      <c r="AB29" s="1607"/>
      <c r="AC29" s="1607"/>
      <c r="AD29" s="1607"/>
      <c r="AE29" s="1607"/>
      <c r="AF29" s="1607"/>
      <c r="AG29" s="1607"/>
      <c r="AH29" s="1607"/>
      <c r="AI29" s="1607"/>
      <c r="AJ29" s="1607"/>
      <c r="AK29" s="1607"/>
      <c r="AL29" s="1607"/>
      <c r="AM29" s="1607"/>
      <c r="AN29" s="1607"/>
      <c r="AO29" s="1607"/>
      <c r="AP29" s="1607"/>
      <c r="AQ29" s="1607"/>
      <c r="AR29" s="1607"/>
      <c r="AS29" s="1607"/>
      <c r="AT29" s="1607"/>
      <c r="AU29" s="1607"/>
      <c r="AV29" s="1607"/>
      <c r="AW29" s="1607"/>
      <c r="AX29" s="1607"/>
      <c r="AY29" s="1607"/>
      <c r="AZ29" s="1607"/>
      <c r="BA29" s="1607"/>
      <c r="BB29" s="1607"/>
      <c r="BC29" s="1607"/>
      <c r="BD29" s="1607"/>
      <c r="BE29" s="1607"/>
      <c r="BF29" s="1607"/>
      <c r="BG29" s="1607"/>
      <c r="BH29" s="1607"/>
      <c r="BI29" s="1607"/>
      <c r="BJ29" s="1607"/>
      <c r="BK29" s="1607"/>
      <c r="BL29" s="1607"/>
    </row>
    <row r="30">
      <c r="A30" s="1607"/>
      <c r="B30" s="1607"/>
      <c r="C30" s="1607"/>
      <c r="D30" s="1607"/>
      <c r="E30" s="1607"/>
      <c r="F30" s="1607"/>
      <c r="G30" s="1607"/>
      <c r="H30" s="1607"/>
      <c r="I30" s="1607"/>
      <c r="J30" s="1607"/>
      <c r="K30" s="1607"/>
      <c r="L30" s="1607"/>
      <c r="M30" s="1607"/>
      <c r="N30" s="1607"/>
      <c r="O30" s="1607"/>
      <c r="P30" s="1607"/>
      <c r="Q30" s="1607"/>
      <c r="R30" s="1607"/>
      <c r="S30" s="1607"/>
      <c r="T30" s="1607"/>
      <c r="U30" s="1607"/>
      <c r="V30" s="1607"/>
      <c r="W30" s="1607"/>
      <c r="X30" s="1607"/>
      <c r="Y30" s="1607"/>
      <c r="Z30" s="1607"/>
      <c r="AA30" s="1607"/>
      <c r="AB30" s="1607"/>
      <c r="AC30" s="1607"/>
      <c r="AD30" s="1607"/>
      <c r="AE30" s="1607"/>
      <c r="AF30" s="1607"/>
      <c r="AG30" s="1607"/>
      <c r="AH30" s="1607"/>
      <c r="AI30" s="1607"/>
      <c r="AJ30" s="1607"/>
      <c r="AK30" s="1607"/>
      <c r="AL30" s="1607"/>
      <c r="AM30" s="1607"/>
      <c r="AN30" s="1607"/>
      <c r="AO30" s="1607"/>
      <c r="AP30" s="1607"/>
      <c r="AQ30" s="1607"/>
      <c r="AR30" s="1607"/>
      <c r="AS30" s="1607"/>
      <c r="AT30" s="1607"/>
      <c r="AU30" s="1607"/>
      <c r="AV30" s="1607"/>
      <c r="AW30" s="1607"/>
      <c r="AX30" s="1607"/>
      <c r="AY30" s="1607"/>
      <c r="AZ30" s="1607"/>
      <c r="BA30" s="1607"/>
      <c r="BB30" s="1607"/>
      <c r="BC30" s="1607"/>
      <c r="BD30" s="1607"/>
      <c r="BE30" s="1607"/>
      <c r="BF30" s="1607"/>
      <c r="BG30" s="1607"/>
      <c r="BH30" s="1607"/>
      <c r="BI30" s="1607"/>
      <c r="BJ30" s="1607"/>
      <c r="BK30" s="1607"/>
      <c r="BL30" s="1607"/>
    </row>
    <row r="31">
      <c r="A31" s="1607"/>
      <c r="B31" s="1607"/>
      <c r="C31" s="1607"/>
      <c r="D31" s="1607"/>
      <c r="E31" s="1607"/>
      <c r="F31" s="1607"/>
      <c r="G31" s="1607"/>
      <c r="H31" s="1607"/>
      <c r="I31" s="1607"/>
      <c r="J31" s="1607"/>
      <c r="K31" s="1607"/>
      <c r="L31" s="1607"/>
      <c r="M31" s="1607"/>
      <c r="N31" s="1607"/>
      <c r="O31" s="1607"/>
      <c r="P31" s="1607"/>
      <c r="Q31" s="1607"/>
      <c r="R31" s="1607"/>
      <c r="S31" s="1607"/>
      <c r="T31" s="1607"/>
      <c r="U31" s="1607"/>
      <c r="V31" s="1607"/>
      <c r="W31" s="1607"/>
      <c r="X31" s="1607"/>
      <c r="Y31" s="1607"/>
      <c r="Z31" s="1607"/>
      <c r="AA31" s="1607"/>
      <c r="AB31" s="1607"/>
      <c r="AC31" s="1607"/>
      <c r="AD31" s="1607"/>
      <c r="AE31" s="1607"/>
      <c r="AF31" s="1607"/>
      <c r="AG31" s="1607"/>
      <c r="AH31" s="1607"/>
      <c r="AI31" s="1607"/>
      <c r="AJ31" s="1607"/>
      <c r="AK31" s="1607"/>
      <c r="AL31" s="1607"/>
      <c r="AM31" s="1607"/>
      <c r="AN31" s="1607"/>
      <c r="AO31" s="1607"/>
      <c r="AP31" s="1607"/>
      <c r="AQ31" s="1607"/>
      <c r="AR31" s="1607"/>
      <c r="AS31" s="1607"/>
      <c r="AT31" s="1607"/>
      <c r="AU31" s="1607"/>
      <c r="AV31" s="1607"/>
      <c r="AW31" s="1607"/>
      <c r="AX31" s="1607"/>
      <c r="AY31" s="1607"/>
      <c r="AZ31" s="1607"/>
      <c r="BA31" s="1607"/>
      <c r="BB31" s="1607"/>
      <c r="BC31" s="1607"/>
      <c r="BD31" s="1607"/>
      <c r="BE31" s="1607"/>
      <c r="BF31" s="1607"/>
      <c r="BG31" s="1607"/>
      <c r="BH31" s="1607"/>
      <c r="BI31" s="1607"/>
      <c r="BJ31" s="1607"/>
      <c r="BK31" s="1607"/>
      <c r="BL31" s="1607"/>
    </row>
    <row r="32">
      <c r="A32" s="1607"/>
      <c r="B32" s="1607"/>
      <c r="C32" s="1607"/>
      <c r="D32" s="1607"/>
      <c r="E32" s="1607"/>
      <c r="F32" s="1607"/>
      <c r="G32" s="1607"/>
      <c r="H32" s="1607"/>
      <c r="I32" s="1607"/>
      <c r="J32" s="1607"/>
      <c r="K32" s="1607"/>
      <c r="L32" s="1607"/>
      <c r="M32" s="1607"/>
      <c r="N32" s="1607"/>
      <c r="O32" s="1607"/>
      <c r="P32" s="1607"/>
      <c r="Q32" s="1607"/>
      <c r="R32" s="1607"/>
      <c r="S32" s="1607"/>
      <c r="T32" s="1607"/>
      <c r="U32" s="1607"/>
      <c r="V32" s="1607"/>
      <c r="W32" s="1607"/>
      <c r="X32" s="1607"/>
      <c r="Y32" s="1607"/>
      <c r="Z32" s="1607"/>
      <c r="AA32" s="1607"/>
      <c r="AB32" s="1607"/>
      <c r="AC32" s="1607"/>
      <c r="AD32" s="1607"/>
      <c r="AE32" s="1607"/>
      <c r="AF32" s="1607"/>
      <c r="AG32" s="1607"/>
      <c r="AH32" s="1607"/>
      <c r="AI32" s="1607"/>
      <c r="AJ32" s="1607"/>
      <c r="AK32" s="1607"/>
      <c r="AL32" s="1607"/>
      <c r="AM32" s="1607"/>
      <c r="AN32" s="1607"/>
      <c r="AO32" s="1607"/>
      <c r="AP32" s="1607"/>
      <c r="AQ32" s="1607"/>
      <c r="AR32" s="1607"/>
      <c r="AS32" s="1607"/>
      <c r="AT32" s="1607"/>
      <c r="AU32" s="1607"/>
      <c r="AV32" s="1607"/>
      <c r="AW32" s="1607"/>
      <c r="AX32" s="1607"/>
      <c r="AY32" s="1607"/>
      <c r="AZ32" s="1607"/>
      <c r="BA32" s="1607"/>
      <c r="BB32" s="1607"/>
      <c r="BC32" s="1607"/>
      <c r="BD32" s="1607"/>
      <c r="BE32" s="1607"/>
      <c r="BF32" s="1607"/>
      <c r="BG32" s="1607"/>
      <c r="BH32" s="1607"/>
      <c r="BI32" s="1607"/>
      <c r="BJ32" s="1607"/>
      <c r="BK32" s="1607"/>
      <c r="BL32" s="1607"/>
    </row>
    <row r="33">
      <c r="A33" s="1607"/>
      <c r="B33" s="1607"/>
      <c r="C33" s="1607"/>
      <c r="D33" s="1607"/>
      <c r="E33" s="1607"/>
      <c r="F33" s="1607"/>
      <c r="G33" s="1607"/>
      <c r="H33" s="1607"/>
      <c r="I33" s="1607"/>
      <c r="J33" s="1607"/>
      <c r="K33" s="1607"/>
      <c r="L33" s="1607"/>
      <c r="M33" s="1607"/>
      <c r="N33" s="1607"/>
      <c r="O33" s="1607"/>
      <c r="P33" s="1607"/>
      <c r="Q33" s="1607"/>
      <c r="R33" s="1607"/>
      <c r="S33" s="1607"/>
      <c r="T33" s="1607"/>
      <c r="U33" s="1607"/>
      <c r="V33" s="1607"/>
      <c r="W33" s="1607"/>
      <c r="X33" s="1607"/>
      <c r="Y33" s="1607"/>
      <c r="Z33" s="1607"/>
      <c r="AA33" s="1607"/>
      <c r="AB33" s="1607"/>
      <c r="AC33" s="1607"/>
      <c r="AD33" s="1607"/>
      <c r="AE33" s="1607"/>
      <c r="AF33" s="1607"/>
      <c r="AG33" s="1607"/>
      <c r="AH33" s="1607"/>
      <c r="AI33" s="1607"/>
      <c r="AJ33" s="1607"/>
      <c r="AK33" s="1607"/>
      <c r="AL33" s="1607"/>
      <c r="AM33" s="1607"/>
      <c r="AN33" s="1607"/>
      <c r="AO33" s="1607"/>
      <c r="AP33" s="1607"/>
      <c r="AQ33" s="1607"/>
      <c r="AR33" s="1607"/>
      <c r="AS33" s="1607"/>
      <c r="AT33" s="1607"/>
      <c r="AU33" s="1607"/>
      <c r="AV33" s="1607"/>
      <c r="AW33" s="1607"/>
      <c r="AX33" s="1607"/>
      <c r="AY33" s="1607"/>
      <c r="AZ33" s="1607"/>
      <c r="BA33" s="1607"/>
      <c r="BB33" s="1607"/>
      <c r="BC33" s="1607"/>
      <c r="BD33" s="1607"/>
      <c r="BE33" s="1607"/>
      <c r="BF33" s="1607"/>
      <c r="BG33" s="1607"/>
      <c r="BH33" s="1607"/>
      <c r="BI33" s="1607"/>
      <c r="BJ33" s="1607"/>
      <c r="BK33" s="1607"/>
      <c r="BL33" s="1607"/>
    </row>
    <row r="34">
      <c r="A34" s="1607"/>
      <c r="B34" s="1607"/>
      <c r="C34" s="1607"/>
      <c r="D34" s="1607"/>
      <c r="E34" s="1607"/>
      <c r="F34" s="1607"/>
      <c r="G34" s="1607"/>
      <c r="H34" s="1607"/>
      <c r="I34" s="1607"/>
      <c r="J34" s="1607"/>
      <c r="K34" s="1607"/>
      <c r="L34" s="1607"/>
      <c r="M34" s="1607"/>
      <c r="N34" s="1607"/>
      <c r="O34" s="1607"/>
      <c r="P34" s="1607"/>
      <c r="Q34" s="1607"/>
      <c r="R34" s="1607"/>
      <c r="S34" s="1607"/>
      <c r="T34" s="1607"/>
      <c r="U34" s="1607"/>
      <c r="V34" s="1607"/>
      <c r="W34" s="1607"/>
      <c r="X34" s="1607"/>
      <c r="Y34" s="1607"/>
      <c r="Z34" s="1607"/>
      <c r="AA34" s="1607"/>
      <c r="AB34" s="1607"/>
      <c r="AC34" s="1607"/>
      <c r="AD34" s="1607"/>
      <c r="AE34" s="1607"/>
      <c r="AF34" s="1607"/>
      <c r="AG34" s="1607"/>
      <c r="AH34" s="1607"/>
      <c r="AI34" s="1607"/>
      <c r="AJ34" s="1607"/>
      <c r="AK34" s="1607"/>
      <c r="AL34" s="1607"/>
      <c r="AM34" s="1607"/>
      <c r="AN34" s="1607"/>
      <c r="AO34" s="1607"/>
      <c r="AP34" s="1607"/>
      <c r="AQ34" s="1607"/>
      <c r="AR34" s="1607"/>
      <c r="AS34" s="1607"/>
      <c r="AT34" s="1607"/>
      <c r="AU34" s="1607"/>
      <c r="AV34" s="1607"/>
      <c r="AW34" s="1607"/>
      <c r="AX34" s="1607"/>
      <c r="AY34" s="1607"/>
      <c r="AZ34" s="1607"/>
      <c r="BA34" s="1607"/>
      <c r="BB34" s="1607"/>
      <c r="BC34" s="1607"/>
      <c r="BD34" s="1607"/>
      <c r="BE34" s="1607"/>
      <c r="BF34" s="1607"/>
      <c r="BG34" s="1607"/>
      <c r="BH34" s="1607"/>
      <c r="BI34" s="1607"/>
      <c r="BJ34" s="1607"/>
      <c r="BK34" s="1607"/>
      <c r="BL34" s="1607"/>
    </row>
    <row r="35">
      <c r="A35" s="1607"/>
      <c r="B35" s="1607"/>
      <c r="C35" s="1607"/>
      <c r="D35" s="1607"/>
      <c r="E35" s="1607"/>
      <c r="F35" s="1607"/>
      <c r="G35" s="1607"/>
      <c r="H35" s="1607"/>
      <c r="I35" s="1607"/>
      <c r="J35" s="1607"/>
      <c r="K35" s="1607"/>
      <c r="L35" s="1607"/>
      <c r="M35" s="1607"/>
      <c r="N35" s="1607"/>
      <c r="O35" s="1607"/>
      <c r="P35" s="1607"/>
      <c r="Q35" s="1607"/>
      <c r="R35" s="1607"/>
      <c r="S35" s="1607"/>
      <c r="T35" s="1607"/>
      <c r="U35" s="1607"/>
      <c r="V35" s="1607"/>
      <c r="W35" s="1607"/>
      <c r="X35" s="1607"/>
      <c r="Y35" s="1607"/>
      <c r="Z35" s="1607"/>
      <c r="AA35" s="1607"/>
      <c r="AB35" s="1607"/>
      <c r="AC35" s="1607"/>
      <c r="AD35" s="1607"/>
      <c r="AE35" s="1607"/>
      <c r="AF35" s="1607"/>
      <c r="AG35" s="1607"/>
      <c r="AH35" s="1607"/>
      <c r="AI35" s="1607"/>
      <c r="AJ35" s="1607"/>
      <c r="AK35" s="1607"/>
      <c r="AL35" s="1607"/>
      <c r="AM35" s="1607"/>
      <c r="AN35" s="1607"/>
      <c r="AO35" s="1607"/>
      <c r="AP35" s="1607"/>
      <c r="AQ35" s="1607"/>
      <c r="AR35" s="1607"/>
      <c r="AS35" s="1607"/>
      <c r="AT35" s="1607"/>
      <c r="AU35" s="1607"/>
      <c r="AV35" s="1607"/>
      <c r="AW35" s="1607"/>
      <c r="AX35" s="1607"/>
      <c r="AY35" s="1607"/>
      <c r="AZ35" s="1607"/>
      <c r="BA35" s="1607"/>
      <c r="BB35" s="1607"/>
      <c r="BC35" s="1607"/>
      <c r="BD35" s="1607"/>
      <c r="BE35" s="1607"/>
      <c r="BF35" s="1607"/>
      <c r="BG35" s="1607"/>
      <c r="BH35" s="1607"/>
      <c r="BI35" s="1607"/>
      <c r="BJ35" s="1607"/>
      <c r="BK35" s="1607"/>
      <c r="BL35" s="1607"/>
    </row>
    <row r="36">
      <c r="A36" s="1607"/>
      <c r="B36" s="1607"/>
      <c r="C36" s="1607"/>
      <c r="D36" s="1607"/>
      <c r="E36" s="1607"/>
      <c r="F36" s="1607"/>
      <c r="G36" s="1607"/>
      <c r="H36" s="1607"/>
      <c r="I36" s="1607"/>
      <c r="J36" s="1607"/>
      <c r="K36" s="1607"/>
      <c r="L36" s="1607"/>
      <c r="M36" s="1607"/>
      <c r="N36" s="1607"/>
      <c r="O36" s="1607"/>
      <c r="P36" s="1607"/>
      <c r="Q36" s="1607"/>
      <c r="R36" s="1607"/>
      <c r="S36" s="1607"/>
      <c r="T36" s="1607"/>
      <c r="U36" s="1607"/>
      <c r="V36" s="1607"/>
      <c r="W36" s="1607"/>
      <c r="X36" s="1607"/>
      <c r="Y36" s="1607"/>
      <c r="Z36" s="1607"/>
      <c r="AA36" s="1607"/>
      <c r="AB36" s="1607"/>
      <c r="AC36" s="1607"/>
      <c r="AD36" s="1607"/>
      <c r="AE36" s="1607"/>
      <c r="AF36" s="1607"/>
      <c r="AG36" s="1607"/>
      <c r="AH36" s="1607"/>
      <c r="AI36" s="1607"/>
      <c r="AJ36" s="1607"/>
      <c r="AK36" s="1607"/>
      <c r="AL36" s="1607"/>
      <c r="AM36" s="1607"/>
      <c r="AN36" s="1607"/>
      <c r="AO36" s="1607"/>
      <c r="AP36" s="1607"/>
      <c r="AQ36" s="1607"/>
      <c r="AR36" s="1607"/>
      <c r="AS36" s="1607"/>
      <c r="AT36" s="1607"/>
      <c r="AU36" s="1607"/>
      <c r="AV36" s="1607"/>
      <c r="AW36" s="1607"/>
      <c r="AX36" s="1607"/>
      <c r="AY36" s="1607"/>
      <c r="AZ36" s="1607"/>
      <c r="BA36" s="1607"/>
      <c r="BB36" s="1607"/>
      <c r="BC36" s="1607"/>
      <c r="BD36" s="1607"/>
      <c r="BE36" s="1607"/>
      <c r="BF36" s="1607"/>
      <c r="BG36" s="1607"/>
      <c r="BH36" s="1607"/>
      <c r="BI36" s="1607"/>
      <c r="BJ36" s="1607"/>
      <c r="BK36" s="1607"/>
      <c r="BL36" s="1607"/>
    </row>
    <row r="37">
      <c r="A37" s="1607"/>
      <c r="B37" s="1607"/>
      <c r="C37" s="1607"/>
      <c r="D37" s="1607"/>
      <c r="E37" s="1607"/>
      <c r="F37" s="1607"/>
      <c r="G37" s="1607"/>
      <c r="H37" s="1607"/>
      <c r="I37" s="1607"/>
      <c r="J37" s="1607"/>
      <c r="K37" s="1607"/>
      <c r="L37" s="1607"/>
      <c r="M37" s="1607"/>
      <c r="N37" s="1607"/>
      <c r="O37" s="1607"/>
      <c r="P37" s="1607"/>
      <c r="Q37" s="1607"/>
      <c r="R37" s="1607"/>
      <c r="S37" s="1607"/>
      <c r="T37" s="1607"/>
      <c r="U37" s="1607"/>
      <c r="V37" s="1607"/>
      <c r="W37" s="1607"/>
      <c r="X37" s="1607"/>
      <c r="Y37" s="1607"/>
      <c r="Z37" s="1607"/>
      <c r="AA37" s="1607"/>
      <c r="AB37" s="1607"/>
      <c r="AC37" s="1607"/>
      <c r="AD37" s="1607"/>
      <c r="AE37" s="1607"/>
      <c r="AF37" s="1607"/>
      <c r="AG37" s="1607"/>
      <c r="AH37" s="1607"/>
      <c r="AI37" s="1607"/>
      <c r="AJ37" s="1607"/>
      <c r="AK37" s="1607"/>
      <c r="AL37" s="1607"/>
      <c r="AM37" s="1607"/>
      <c r="AN37" s="1607"/>
      <c r="AO37" s="1607"/>
      <c r="AP37" s="1607"/>
      <c r="AQ37" s="1607"/>
      <c r="AR37" s="1607"/>
      <c r="AS37" s="1607"/>
      <c r="AT37" s="1607"/>
      <c r="AU37" s="1607"/>
      <c r="AV37" s="1607"/>
      <c r="AW37" s="1607"/>
      <c r="AX37" s="1607"/>
      <c r="AY37" s="1607"/>
      <c r="AZ37" s="1607"/>
      <c r="BA37" s="1607"/>
      <c r="BB37" s="1607"/>
      <c r="BC37" s="1607"/>
      <c r="BD37" s="1607"/>
      <c r="BE37" s="1607"/>
      <c r="BF37" s="1607"/>
      <c r="BG37" s="1607"/>
      <c r="BH37" s="1607"/>
      <c r="BI37" s="1607"/>
      <c r="BJ37" s="1607"/>
      <c r="BK37" s="1607"/>
      <c r="BL37" s="1607"/>
    </row>
    <row r="38">
      <c r="A38" s="1607"/>
      <c r="B38" s="1607"/>
      <c r="C38" s="1607"/>
      <c r="D38" s="1607"/>
      <c r="E38" s="1607"/>
      <c r="F38" s="1607"/>
      <c r="G38" s="1607"/>
      <c r="H38" s="1607"/>
      <c r="I38" s="1607"/>
      <c r="J38" s="1607"/>
      <c r="K38" s="1607"/>
      <c r="L38" s="1607"/>
      <c r="M38" s="1607"/>
      <c r="N38" s="1607"/>
      <c r="O38" s="1607"/>
      <c r="P38" s="1607"/>
      <c r="Q38" s="1607"/>
      <c r="R38" s="1607"/>
      <c r="S38" s="1607"/>
      <c r="T38" s="1607"/>
      <c r="U38" s="1607"/>
      <c r="V38" s="1607"/>
      <c r="W38" s="1607"/>
      <c r="X38" s="1607"/>
      <c r="Y38" s="1607"/>
      <c r="Z38" s="1607"/>
      <c r="AA38" s="1607"/>
      <c r="AB38" s="1607"/>
      <c r="AC38" s="1607"/>
      <c r="AD38" s="1607"/>
      <c r="AE38" s="1607"/>
      <c r="AF38" s="1607"/>
      <c r="AG38" s="1607"/>
      <c r="AH38" s="1607"/>
      <c r="AI38" s="1607"/>
      <c r="AJ38" s="1607"/>
      <c r="AK38" s="1607"/>
      <c r="AL38" s="1607"/>
      <c r="AM38" s="1607"/>
      <c r="AN38" s="1607"/>
      <c r="AO38" s="1607"/>
      <c r="AP38" s="1607"/>
      <c r="AQ38" s="1607"/>
      <c r="AR38" s="1607"/>
      <c r="AS38" s="1607"/>
      <c r="AT38" s="1607"/>
      <c r="AU38" s="1607"/>
      <c r="AV38" s="1607"/>
      <c r="AW38" s="1607"/>
      <c r="AX38" s="1607"/>
      <c r="AY38" s="1607"/>
      <c r="AZ38" s="1607"/>
      <c r="BA38" s="1607"/>
      <c r="BB38" s="1607"/>
      <c r="BC38" s="1607"/>
      <c r="BD38" s="1607"/>
      <c r="BE38" s="1607"/>
      <c r="BF38" s="1607"/>
      <c r="BG38" s="1607"/>
      <c r="BH38" s="1607"/>
      <c r="BI38" s="1607"/>
      <c r="BJ38" s="1607"/>
      <c r="BK38" s="1607"/>
      <c r="BL38" s="1607"/>
    </row>
    <row r="39">
      <c r="A39" s="1607"/>
      <c r="B39" s="1607"/>
      <c r="C39" s="1607"/>
      <c r="D39" s="1607"/>
      <c r="E39" s="1607"/>
      <c r="F39" s="1607"/>
      <c r="G39" s="1607"/>
      <c r="H39" s="1607"/>
      <c r="I39" s="1607"/>
      <c r="J39" s="1607"/>
      <c r="K39" s="1607"/>
      <c r="L39" s="1607"/>
      <c r="M39" s="1607"/>
      <c r="N39" s="1607"/>
      <c r="O39" s="1607"/>
      <c r="P39" s="1607"/>
      <c r="Q39" s="1607"/>
      <c r="R39" s="1607"/>
      <c r="S39" s="1607"/>
      <c r="T39" s="1607"/>
      <c r="U39" s="1607"/>
      <c r="V39" s="1607"/>
      <c r="W39" s="1607"/>
      <c r="X39" s="1607"/>
      <c r="Y39" s="1607"/>
      <c r="Z39" s="1607"/>
      <c r="AA39" s="1607"/>
      <c r="AB39" s="1607"/>
      <c r="AC39" s="1607"/>
      <c r="AD39" s="1607"/>
      <c r="AE39" s="1607"/>
      <c r="AF39" s="1607"/>
      <c r="AG39" s="1607"/>
      <c r="AH39" s="1607"/>
      <c r="AI39" s="1607"/>
      <c r="AJ39" s="1607"/>
      <c r="AK39" s="1607"/>
      <c r="AL39" s="1607"/>
      <c r="AM39" s="1607"/>
      <c r="AN39" s="1607"/>
      <c r="AO39" s="1607"/>
      <c r="AP39" s="1607"/>
      <c r="AQ39" s="1607"/>
      <c r="AR39" s="1607"/>
      <c r="AS39" s="1607"/>
      <c r="AT39" s="1607"/>
      <c r="AU39" s="1607"/>
      <c r="AV39" s="1607"/>
      <c r="AW39" s="1607"/>
      <c r="AX39" s="1607"/>
      <c r="AY39" s="1607"/>
      <c r="AZ39" s="1607"/>
      <c r="BA39" s="1607"/>
      <c r="BB39" s="1607"/>
      <c r="BC39" s="1607"/>
      <c r="BD39" s="1607"/>
      <c r="BE39" s="1607"/>
      <c r="BF39" s="1607"/>
      <c r="BG39" s="1607"/>
      <c r="BH39" s="1607"/>
      <c r="BI39" s="1607"/>
      <c r="BJ39" s="1607"/>
      <c r="BK39" s="1607"/>
      <c r="BL39" s="1607"/>
    </row>
    <row r="40">
      <c r="A40" s="1607"/>
      <c r="B40" s="1607"/>
      <c r="C40" s="1607"/>
      <c r="D40" s="1607"/>
      <c r="E40" s="1607"/>
      <c r="F40" s="1607"/>
      <c r="G40" s="1607"/>
      <c r="H40" s="1607"/>
      <c r="I40" s="1607"/>
      <c r="J40" s="1607"/>
      <c r="K40" s="1607"/>
      <c r="L40" s="1607"/>
      <c r="M40" s="1607"/>
      <c r="N40" s="1607"/>
      <c r="O40" s="1607"/>
      <c r="P40" s="1607"/>
      <c r="Q40" s="1607"/>
      <c r="R40" s="1607"/>
      <c r="S40" s="1607"/>
      <c r="T40" s="1607"/>
      <c r="U40" s="1607"/>
      <c r="V40" s="1607"/>
      <c r="W40" s="1607"/>
      <c r="X40" s="1607"/>
      <c r="Y40" s="1607"/>
      <c r="Z40" s="1607"/>
      <c r="AA40" s="1607"/>
      <c r="AB40" s="1607"/>
      <c r="AC40" s="1607"/>
      <c r="AD40" s="1607"/>
      <c r="AE40" s="1607"/>
      <c r="AF40" s="1607"/>
      <c r="AG40" s="1607"/>
      <c r="AH40" s="1607"/>
      <c r="AI40" s="1607"/>
      <c r="AJ40" s="1607"/>
      <c r="AK40" s="1607"/>
      <c r="AL40" s="1607"/>
      <c r="AM40" s="1607"/>
      <c r="AN40" s="1607"/>
      <c r="AO40" s="1607"/>
      <c r="AP40" s="1607"/>
      <c r="AQ40" s="1607"/>
      <c r="AR40" s="1607"/>
      <c r="AS40" s="1607"/>
      <c r="AT40" s="1607"/>
      <c r="AU40" s="1607"/>
      <c r="AV40" s="1607"/>
      <c r="AW40" s="1607"/>
      <c r="AX40" s="1607"/>
      <c r="AY40" s="1607"/>
      <c r="AZ40" s="1607"/>
      <c r="BA40" s="1607"/>
      <c r="BB40" s="1607"/>
      <c r="BC40" s="1607"/>
      <c r="BD40" s="1607"/>
      <c r="BE40" s="1607"/>
      <c r="BF40" s="1607"/>
      <c r="BG40" s="1607"/>
      <c r="BH40" s="1607"/>
      <c r="BI40" s="1607"/>
      <c r="BJ40" s="1607"/>
      <c r="BK40" s="1607"/>
      <c r="BL40" s="1607"/>
    </row>
    <row r="41">
      <c r="A41" s="1607"/>
      <c r="B41" s="1607"/>
      <c r="C41" s="1607"/>
      <c r="D41" s="1607"/>
      <c r="E41" s="1607"/>
      <c r="F41" s="1607"/>
      <c r="G41" s="1607"/>
      <c r="H41" s="1607"/>
      <c r="I41" s="1607"/>
      <c r="J41" s="1607"/>
      <c r="K41" s="1607"/>
      <c r="L41" s="1607"/>
      <c r="M41" s="1607"/>
      <c r="N41" s="1607"/>
      <c r="O41" s="1607"/>
      <c r="P41" s="1607"/>
      <c r="Q41" s="1607"/>
      <c r="R41" s="1607"/>
      <c r="S41" s="1607"/>
      <c r="T41" s="1607"/>
      <c r="U41" s="1607"/>
      <c r="V41" s="1607"/>
      <c r="W41" s="1607"/>
      <c r="X41" s="1607"/>
      <c r="Y41" s="1607"/>
      <c r="Z41" s="1607"/>
      <c r="AA41" s="1607"/>
      <c r="AB41" s="1607"/>
      <c r="AC41" s="1607"/>
      <c r="AD41" s="1607"/>
      <c r="AE41" s="1607"/>
      <c r="AF41" s="1607"/>
      <c r="AG41" s="1607"/>
      <c r="AH41" s="1607"/>
      <c r="AI41" s="1607"/>
      <c r="AJ41" s="1607"/>
      <c r="AK41" s="1607"/>
      <c r="AL41" s="1607"/>
      <c r="AM41" s="1607"/>
      <c r="AN41" s="1607"/>
      <c r="AO41" s="1607"/>
      <c r="AP41" s="1607"/>
      <c r="AQ41" s="1607"/>
      <c r="AR41" s="1607"/>
      <c r="AS41" s="1607"/>
      <c r="AT41" s="1607"/>
      <c r="AU41" s="1607"/>
      <c r="AV41" s="1607"/>
      <c r="AW41" s="1607"/>
      <c r="AX41" s="1607"/>
      <c r="AY41" s="1607"/>
      <c r="AZ41" s="1607"/>
      <c r="BA41" s="1607"/>
      <c r="BB41" s="1607"/>
      <c r="BC41" s="1607"/>
      <c r="BD41" s="1607"/>
      <c r="BE41" s="1607"/>
      <c r="BF41" s="1607"/>
      <c r="BG41" s="1607"/>
      <c r="BH41" s="1607"/>
      <c r="BI41" s="1607"/>
      <c r="BJ41" s="1607"/>
      <c r="BK41" s="1607"/>
      <c r="BL41" s="1607"/>
    </row>
    <row r="42">
      <c r="A42" s="1607"/>
      <c r="B42" s="1607"/>
      <c r="C42" s="1607"/>
      <c r="D42" s="1607"/>
      <c r="E42" s="1607"/>
      <c r="F42" s="1607"/>
      <c r="G42" s="1607"/>
      <c r="H42" s="1607"/>
      <c r="I42" s="1607"/>
      <c r="J42" s="1607"/>
      <c r="K42" s="1607"/>
      <c r="L42" s="1607"/>
      <c r="M42" s="1607"/>
      <c r="N42" s="1607"/>
      <c r="O42" s="1607"/>
      <c r="P42" s="1607"/>
      <c r="Q42" s="1607"/>
      <c r="R42" s="1607"/>
      <c r="S42" s="1607"/>
      <c r="T42" s="1607"/>
      <c r="U42" s="1607"/>
      <c r="V42" s="1607"/>
      <c r="W42" s="1607"/>
      <c r="X42" s="1607"/>
      <c r="Y42" s="1607"/>
      <c r="Z42" s="1607"/>
      <c r="AA42" s="1607"/>
      <c r="AB42" s="1607"/>
      <c r="AC42" s="1607"/>
      <c r="AD42" s="1607"/>
      <c r="AE42" s="1607"/>
      <c r="AF42" s="1607"/>
      <c r="AG42" s="1607"/>
      <c r="AH42" s="1607"/>
      <c r="AI42" s="1607"/>
      <c r="AJ42" s="1607"/>
      <c r="AK42" s="1607"/>
      <c r="AL42" s="1607"/>
      <c r="AM42" s="1607"/>
      <c r="AN42" s="1607"/>
      <c r="AO42" s="1607"/>
      <c r="AP42" s="1607"/>
      <c r="AQ42" s="1607"/>
      <c r="AR42" s="1607"/>
      <c r="AS42" s="1607"/>
      <c r="AT42" s="1607"/>
      <c r="AU42" s="1607"/>
      <c r="AV42" s="1607"/>
      <c r="AW42" s="1607"/>
      <c r="AX42" s="1607"/>
      <c r="AY42" s="1607"/>
      <c r="AZ42" s="1607"/>
      <c r="BA42" s="1607"/>
      <c r="BB42" s="1607"/>
      <c r="BC42" s="1607"/>
      <c r="BD42" s="1607"/>
      <c r="BE42" s="1607"/>
      <c r="BF42" s="1607"/>
      <c r="BG42" s="1607"/>
      <c r="BH42" s="1607"/>
      <c r="BI42" s="1607"/>
      <c r="BJ42" s="1607"/>
      <c r="BK42" s="1607"/>
      <c r="BL42" s="1607"/>
    </row>
    <row r="43">
      <c r="A43" s="1607"/>
      <c r="B43" s="1607"/>
      <c r="C43" s="1607"/>
      <c r="D43" s="1607"/>
      <c r="E43" s="1607"/>
      <c r="F43" s="1607"/>
      <c r="G43" s="1607"/>
      <c r="H43" s="1607"/>
      <c r="I43" s="1607"/>
      <c r="J43" s="1607"/>
      <c r="K43" s="1607"/>
      <c r="L43" s="1607"/>
      <c r="M43" s="1607"/>
      <c r="N43" s="1607"/>
      <c r="O43" s="1607"/>
      <c r="P43" s="1607"/>
      <c r="Q43" s="1607"/>
      <c r="R43" s="1607"/>
      <c r="S43" s="1607"/>
      <c r="T43" s="1607"/>
      <c r="U43" s="1607"/>
      <c r="V43" s="1607"/>
      <c r="W43" s="1607"/>
      <c r="X43" s="1607"/>
      <c r="Y43" s="1607"/>
      <c r="Z43" s="1607"/>
      <c r="AA43" s="1607"/>
      <c r="AB43" s="1607"/>
      <c r="AC43" s="1607"/>
      <c r="AD43" s="1607"/>
      <c r="AE43" s="1607"/>
      <c r="AF43" s="1607"/>
      <c r="AG43" s="1607"/>
      <c r="AH43" s="1607"/>
      <c r="AI43" s="1607"/>
      <c r="AJ43" s="1607"/>
      <c r="AK43" s="1607"/>
      <c r="AL43" s="1607"/>
      <c r="AM43" s="1607"/>
      <c r="AN43" s="1607"/>
      <c r="AO43" s="1607"/>
      <c r="AP43" s="1607"/>
      <c r="AQ43" s="1607"/>
      <c r="AR43" s="1607"/>
      <c r="AS43" s="1607"/>
      <c r="AT43" s="1607"/>
      <c r="AU43" s="1607"/>
      <c r="AV43" s="1607"/>
      <c r="AW43" s="1607"/>
      <c r="AX43" s="1607"/>
      <c r="AY43" s="1607"/>
      <c r="AZ43" s="1607"/>
      <c r="BA43" s="1607"/>
      <c r="BB43" s="1607"/>
      <c r="BC43" s="1607"/>
      <c r="BD43" s="1607"/>
      <c r="BE43" s="1607"/>
      <c r="BF43" s="1607"/>
      <c r="BG43" s="1607"/>
      <c r="BH43" s="1607"/>
      <c r="BI43" s="1607"/>
      <c r="BJ43" s="1607"/>
      <c r="BK43" s="1607"/>
      <c r="BL43" s="1607"/>
    </row>
    <row r="44">
      <c r="A44" s="1607"/>
      <c r="B44" s="1607"/>
      <c r="C44" s="1607"/>
      <c r="D44" s="1607"/>
      <c r="E44" s="1607"/>
      <c r="F44" s="1607"/>
      <c r="G44" s="1607"/>
      <c r="H44" s="1607"/>
      <c r="I44" s="1607"/>
      <c r="J44" s="1607"/>
      <c r="K44" s="1607"/>
      <c r="L44" s="1607"/>
      <c r="M44" s="1607"/>
      <c r="N44" s="1607"/>
      <c r="O44" s="1607"/>
      <c r="P44" s="1607"/>
      <c r="Q44" s="1607"/>
      <c r="R44" s="1607"/>
      <c r="S44" s="1607"/>
      <c r="T44" s="1607"/>
      <c r="U44" s="1607"/>
      <c r="V44" s="1607"/>
      <c r="W44" s="1607"/>
      <c r="X44" s="1607"/>
      <c r="Y44" s="1607"/>
      <c r="Z44" s="1607"/>
      <c r="AA44" s="1607"/>
      <c r="AB44" s="1607"/>
      <c r="AC44" s="1607"/>
      <c r="AD44" s="1607"/>
      <c r="AE44" s="1607"/>
      <c r="AF44" s="1607"/>
      <c r="AG44" s="1607"/>
      <c r="AH44" s="1607"/>
      <c r="AI44" s="1607"/>
      <c r="AJ44" s="1607"/>
      <c r="AK44" s="1607"/>
      <c r="AL44" s="1607"/>
      <c r="AM44" s="1607"/>
      <c r="AN44" s="1607"/>
      <c r="AO44" s="1607"/>
      <c r="AP44" s="1607"/>
      <c r="AQ44" s="1607"/>
      <c r="AR44" s="1607"/>
      <c r="AS44" s="1607"/>
      <c r="AT44" s="1607"/>
      <c r="AU44" s="1607"/>
      <c r="AV44" s="1607"/>
      <c r="AW44" s="1607"/>
      <c r="AX44" s="1607"/>
      <c r="AY44" s="1607"/>
      <c r="AZ44" s="1607"/>
      <c r="BA44" s="1607"/>
      <c r="BB44" s="1607"/>
      <c r="BC44" s="1607"/>
      <c r="BD44" s="1607"/>
      <c r="BE44" s="1607"/>
      <c r="BF44" s="1607"/>
      <c r="BG44" s="1607"/>
      <c r="BH44" s="1607"/>
      <c r="BI44" s="1607"/>
      <c r="BJ44" s="1607"/>
      <c r="BK44" s="1607"/>
      <c r="BL44" s="1607"/>
    </row>
    <row r="45">
      <c r="A45" s="1607"/>
      <c r="B45" s="1607"/>
      <c r="C45" s="1607"/>
      <c r="D45" s="1607"/>
      <c r="E45" s="1607"/>
      <c r="F45" s="1607"/>
      <c r="G45" s="1607"/>
      <c r="H45" s="1607"/>
      <c r="I45" s="1607"/>
      <c r="J45" s="1607"/>
      <c r="K45" s="1607"/>
      <c r="L45" s="1607"/>
      <c r="M45" s="1607"/>
      <c r="N45" s="1607"/>
      <c r="O45" s="1607"/>
      <c r="P45" s="1607"/>
      <c r="Q45" s="1607"/>
      <c r="R45" s="1607"/>
      <c r="S45" s="1607"/>
      <c r="T45" s="1607"/>
      <c r="U45" s="1607"/>
      <c r="V45" s="1607"/>
      <c r="W45" s="1607"/>
      <c r="X45" s="1607"/>
      <c r="Y45" s="1607"/>
      <c r="Z45" s="1607"/>
      <c r="AA45" s="1607"/>
      <c r="AB45" s="1607"/>
      <c r="AC45" s="1607"/>
      <c r="AD45" s="1607"/>
      <c r="AE45" s="1607"/>
      <c r="AF45" s="1607"/>
      <c r="AG45" s="1607"/>
      <c r="AH45" s="1607"/>
      <c r="AI45" s="1607"/>
      <c r="AJ45" s="1607"/>
      <c r="AK45" s="1607"/>
      <c r="AL45" s="1607"/>
      <c r="AM45" s="1607"/>
      <c r="AN45" s="1607"/>
      <c r="AO45" s="1607"/>
      <c r="AP45" s="1607"/>
      <c r="AQ45" s="1607"/>
      <c r="AR45" s="1607"/>
      <c r="AS45" s="1607"/>
      <c r="AT45" s="1607"/>
      <c r="AU45" s="1607"/>
      <c r="AV45" s="1607"/>
      <c r="AW45" s="1607"/>
      <c r="AX45" s="1607"/>
      <c r="AY45" s="1607"/>
      <c r="AZ45" s="1607"/>
      <c r="BA45" s="1607"/>
      <c r="BB45" s="1607"/>
      <c r="BC45" s="1607"/>
      <c r="BD45" s="1607"/>
      <c r="BE45" s="1607"/>
      <c r="BF45" s="1607"/>
      <c r="BG45" s="1607"/>
      <c r="BH45" s="1607"/>
      <c r="BI45" s="1607"/>
      <c r="BJ45" s="1607"/>
      <c r="BK45" s="1607"/>
      <c r="BL45" s="1607"/>
    </row>
    <row r="46">
      <c r="A46" s="1607"/>
      <c r="B46" s="1607"/>
      <c r="C46" s="1607"/>
      <c r="D46" s="1607"/>
      <c r="E46" s="1607"/>
      <c r="F46" s="1607"/>
      <c r="G46" s="1607"/>
      <c r="H46" s="1607"/>
      <c r="I46" s="1607"/>
      <c r="J46" s="1607"/>
      <c r="K46" s="1607"/>
      <c r="L46" s="1607"/>
      <c r="M46" s="1607"/>
      <c r="N46" s="1607"/>
      <c r="O46" s="1607"/>
      <c r="P46" s="1607"/>
      <c r="Q46" s="1607"/>
      <c r="R46" s="1607"/>
      <c r="S46" s="1607"/>
      <c r="T46" s="1607"/>
      <c r="U46" s="1607"/>
      <c r="V46" s="1607"/>
      <c r="W46" s="1607"/>
      <c r="X46" s="1607"/>
      <c r="Y46" s="1607"/>
      <c r="Z46" s="1607"/>
      <c r="AA46" s="1607"/>
      <c r="AB46" s="1607"/>
      <c r="AC46" s="1607"/>
      <c r="AD46" s="1607"/>
      <c r="AE46" s="1607"/>
      <c r="AF46" s="1607"/>
      <c r="AG46" s="1607"/>
      <c r="AH46" s="1607"/>
      <c r="AI46" s="1607"/>
      <c r="AJ46" s="1607"/>
      <c r="AK46" s="1607"/>
      <c r="AL46" s="1607"/>
      <c r="AM46" s="1607"/>
      <c r="AN46" s="1607"/>
      <c r="AO46" s="1607"/>
      <c r="AP46" s="1607"/>
      <c r="AQ46" s="1607"/>
      <c r="AR46" s="1607"/>
      <c r="AS46" s="1607"/>
      <c r="AT46" s="1607"/>
      <c r="AU46" s="1607"/>
      <c r="AV46" s="1607"/>
      <c r="AW46" s="1607"/>
      <c r="AX46" s="1607"/>
      <c r="AY46" s="1607"/>
      <c r="AZ46" s="1607"/>
      <c r="BA46" s="1607"/>
      <c r="BB46" s="1607"/>
      <c r="BC46" s="1607"/>
      <c r="BD46" s="1607"/>
      <c r="BE46" s="1607"/>
      <c r="BF46" s="1607"/>
      <c r="BG46" s="1607"/>
      <c r="BH46" s="1607"/>
      <c r="BI46" s="1607"/>
      <c r="BJ46" s="1607"/>
      <c r="BK46" s="1607"/>
      <c r="BL46" s="1607"/>
    </row>
    <row r="47">
      <c r="A47" s="1607"/>
      <c r="B47" s="1607"/>
      <c r="C47" s="1607"/>
      <c r="D47" s="1607"/>
      <c r="E47" s="1607"/>
      <c r="F47" s="1607"/>
      <c r="G47" s="1607"/>
      <c r="H47" s="1607"/>
      <c r="I47" s="1607"/>
      <c r="J47" s="1607"/>
      <c r="K47" s="1607"/>
      <c r="L47" s="1607"/>
      <c r="M47" s="1607"/>
      <c r="N47" s="1607"/>
      <c r="O47" s="1607"/>
      <c r="P47" s="1607"/>
      <c r="Q47" s="1607"/>
      <c r="R47" s="1607"/>
      <c r="S47" s="1607"/>
      <c r="T47" s="1607"/>
      <c r="U47" s="1607"/>
      <c r="V47" s="1607"/>
      <c r="W47" s="1607"/>
      <c r="X47" s="1607"/>
      <c r="Y47" s="1607"/>
      <c r="Z47" s="1607"/>
      <c r="AA47" s="1607"/>
      <c r="AB47" s="1607"/>
      <c r="AC47" s="1607"/>
      <c r="AD47" s="1607"/>
      <c r="AE47" s="1607"/>
      <c r="AF47" s="1607"/>
      <c r="AG47" s="1607"/>
      <c r="AH47" s="1607"/>
      <c r="AI47" s="1607"/>
      <c r="AJ47" s="1607"/>
      <c r="AK47" s="1607"/>
      <c r="AL47" s="1607"/>
      <c r="AM47" s="1607"/>
      <c r="AN47" s="1607"/>
      <c r="AO47" s="1607"/>
      <c r="AP47" s="1607"/>
      <c r="AQ47" s="1607"/>
      <c r="AR47" s="1607"/>
      <c r="AS47" s="1607"/>
      <c r="AT47" s="1607"/>
      <c r="AU47" s="1607"/>
      <c r="AV47" s="1607"/>
      <c r="AW47" s="1607"/>
      <c r="AX47" s="1607"/>
      <c r="AY47" s="1607"/>
      <c r="AZ47" s="1607"/>
      <c r="BA47" s="1607"/>
      <c r="BB47" s="1607"/>
      <c r="BC47" s="1607"/>
      <c r="BD47" s="1607"/>
      <c r="BE47" s="1607"/>
      <c r="BF47" s="1607"/>
      <c r="BG47" s="1607"/>
      <c r="BH47" s="1607"/>
      <c r="BI47" s="1607"/>
      <c r="BJ47" s="1607"/>
      <c r="BK47" s="1607"/>
      <c r="BL47" s="1607"/>
    </row>
    <row r="48">
      <c r="A48" s="1607"/>
      <c r="B48" s="1607"/>
      <c r="C48" s="1607"/>
      <c r="D48" s="1607"/>
      <c r="E48" s="1607"/>
      <c r="F48" s="1607"/>
      <c r="G48" s="1607"/>
      <c r="H48" s="1607"/>
      <c r="I48" s="1607"/>
      <c r="J48" s="1607"/>
      <c r="K48" s="1607"/>
      <c r="L48" s="1607"/>
      <c r="M48" s="1607"/>
      <c r="N48" s="1607"/>
      <c r="O48" s="1607"/>
      <c r="P48" s="1607"/>
      <c r="Q48" s="1607"/>
      <c r="R48" s="1607"/>
      <c r="S48" s="1607"/>
      <c r="T48" s="1607"/>
      <c r="U48" s="1607"/>
      <c r="V48" s="1607"/>
      <c r="W48" s="1607"/>
      <c r="X48" s="1607"/>
      <c r="Y48" s="1607"/>
      <c r="Z48" s="1607"/>
      <c r="AA48" s="1607"/>
      <c r="AB48" s="1607"/>
      <c r="AC48" s="1607"/>
      <c r="AD48" s="1607"/>
      <c r="AE48" s="1607"/>
      <c r="AF48" s="1607"/>
      <c r="AG48" s="1607"/>
      <c r="AH48" s="1607"/>
      <c r="AI48" s="1607"/>
      <c r="AJ48" s="1607"/>
      <c r="AK48" s="1607"/>
      <c r="AL48" s="1607"/>
      <c r="AM48" s="1607"/>
      <c r="AN48" s="1607"/>
      <c r="AO48" s="1607"/>
      <c r="AP48" s="1607"/>
      <c r="AQ48" s="1607"/>
      <c r="AR48" s="1607"/>
      <c r="AS48" s="1607"/>
      <c r="AT48" s="1607"/>
      <c r="AU48" s="1607"/>
      <c r="AV48" s="1607"/>
      <c r="AW48" s="1607"/>
      <c r="AX48" s="1607"/>
      <c r="AY48" s="1607"/>
      <c r="AZ48" s="1607"/>
      <c r="BA48" s="1607"/>
      <c r="BB48" s="1607"/>
      <c r="BC48" s="1607"/>
      <c r="BD48" s="1607"/>
      <c r="BE48" s="1607"/>
      <c r="BF48" s="1607"/>
      <c r="BG48" s="1607"/>
      <c r="BH48" s="1607"/>
      <c r="BI48" s="1607"/>
      <c r="BJ48" s="1607"/>
      <c r="BK48" s="1607"/>
      <c r="BL48" s="1607"/>
    </row>
    <row r="49">
      <c r="A49" s="1607"/>
      <c r="B49" s="1607"/>
      <c r="C49" s="1607"/>
      <c r="D49" s="1607"/>
      <c r="E49" s="1607"/>
      <c r="F49" s="1607"/>
      <c r="G49" s="1607"/>
      <c r="H49" s="1607"/>
      <c r="I49" s="1607"/>
      <c r="J49" s="1607"/>
      <c r="K49" s="1607"/>
      <c r="L49" s="1607"/>
      <c r="M49" s="1607"/>
      <c r="N49" s="1607"/>
      <c r="O49" s="1607"/>
      <c r="P49" s="1607"/>
      <c r="Q49" s="1607"/>
      <c r="R49" s="1607"/>
      <c r="S49" s="1607"/>
      <c r="T49" s="1607"/>
      <c r="U49" s="1607"/>
      <c r="V49" s="1607"/>
      <c r="W49" s="1607"/>
      <c r="X49" s="1607"/>
      <c r="Y49" s="1607"/>
      <c r="Z49" s="1607"/>
      <c r="AA49" s="1607"/>
      <c r="AB49" s="1607"/>
      <c r="AC49" s="1607"/>
      <c r="AD49" s="1607"/>
      <c r="AE49" s="1607"/>
      <c r="AF49" s="1607"/>
      <c r="AG49" s="1607"/>
      <c r="AH49" s="1607"/>
      <c r="AI49" s="1607"/>
      <c r="AJ49" s="1607"/>
      <c r="AK49" s="1607"/>
      <c r="AL49" s="1607"/>
      <c r="AM49" s="1607"/>
      <c r="AN49" s="1607"/>
      <c r="AO49" s="1607"/>
      <c r="AP49" s="1607"/>
      <c r="AQ49" s="1607"/>
      <c r="AR49" s="1607"/>
      <c r="AS49" s="1607"/>
      <c r="AT49" s="1607"/>
      <c r="AU49" s="1607"/>
      <c r="AV49" s="1607"/>
      <c r="AW49" s="1607"/>
      <c r="AX49" s="1607"/>
      <c r="AY49" s="1607"/>
      <c r="AZ49" s="1607"/>
      <c r="BA49" s="1607"/>
      <c r="BB49" s="1607"/>
      <c r="BC49" s="1607"/>
      <c r="BD49" s="1607"/>
      <c r="BE49" s="1607"/>
      <c r="BF49" s="1607"/>
      <c r="BG49" s="1607"/>
      <c r="BH49" s="1607"/>
      <c r="BI49" s="1607"/>
      <c r="BJ49" s="1607"/>
      <c r="BK49" s="1607"/>
      <c r="BL49" s="1607"/>
    </row>
    <row r="50">
      <c r="A50" s="1607"/>
      <c r="B50" s="1607"/>
      <c r="C50" s="1607"/>
      <c r="D50" s="1607"/>
      <c r="E50" s="1607"/>
      <c r="F50" s="1607"/>
      <c r="G50" s="1607"/>
      <c r="H50" s="1607"/>
      <c r="I50" s="1607"/>
      <c r="J50" s="1607"/>
      <c r="K50" s="1607"/>
      <c r="L50" s="1607"/>
      <c r="M50" s="1607"/>
      <c r="N50" s="1607"/>
      <c r="O50" s="1607"/>
      <c r="P50" s="1607"/>
      <c r="Q50" s="1607"/>
      <c r="R50" s="1607"/>
      <c r="S50" s="1607"/>
      <c r="T50" s="1607"/>
      <c r="U50" s="1607"/>
      <c r="V50" s="1607"/>
      <c r="W50" s="1607"/>
      <c r="X50" s="1607"/>
      <c r="Y50" s="1607"/>
      <c r="Z50" s="1607"/>
      <c r="AA50" s="1607"/>
      <c r="AB50" s="1607"/>
      <c r="AC50" s="1607"/>
      <c r="AD50" s="1607"/>
      <c r="AE50" s="1607"/>
      <c r="AF50" s="1607"/>
      <c r="AG50" s="1607"/>
      <c r="AH50" s="1607"/>
      <c r="AI50" s="1607"/>
      <c r="AJ50" s="1607"/>
      <c r="AK50" s="1607"/>
      <c r="AL50" s="1607"/>
      <c r="AM50" s="1607"/>
      <c r="AN50" s="1607"/>
      <c r="AO50" s="1607"/>
      <c r="AP50" s="1607"/>
      <c r="AQ50" s="1607"/>
      <c r="AR50" s="1607"/>
      <c r="AS50" s="1607"/>
      <c r="AT50" s="1607"/>
      <c r="AU50" s="1607"/>
      <c r="AV50" s="1607"/>
      <c r="AW50" s="1607"/>
      <c r="AX50" s="1607"/>
      <c r="AY50" s="1607"/>
      <c r="AZ50" s="1607"/>
      <c r="BA50" s="1607"/>
      <c r="BB50" s="1607"/>
      <c r="BC50" s="1607"/>
      <c r="BD50" s="1607"/>
      <c r="BE50" s="1607"/>
      <c r="BF50" s="1607"/>
      <c r="BG50" s="1607"/>
      <c r="BH50" s="1607"/>
      <c r="BI50" s="1607"/>
      <c r="BJ50" s="1607"/>
      <c r="BK50" s="1607"/>
      <c r="BL50" s="1607"/>
    </row>
    <row r="51">
      <c r="A51" s="1607"/>
      <c r="B51" s="1607"/>
      <c r="C51" s="1607"/>
      <c r="D51" s="1607"/>
      <c r="E51" s="1607"/>
      <c r="F51" s="1607"/>
      <c r="G51" s="1607"/>
      <c r="H51" s="1607"/>
      <c r="I51" s="1607"/>
      <c r="J51" s="1607"/>
      <c r="K51" s="1607"/>
      <c r="L51" s="1607"/>
      <c r="M51" s="1607"/>
      <c r="N51" s="1607"/>
      <c r="O51" s="1607"/>
      <c r="P51" s="1607"/>
      <c r="Q51" s="1607"/>
      <c r="R51" s="1607"/>
      <c r="S51" s="1607"/>
      <c r="T51" s="1607"/>
      <c r="U51" s="1607"/>
      <c r="V51" s="1607"/>
      <c r="W51" s="1607"/>
      <c r="X51" s="1607"/>
      <c r="Y51" s="1607"/>
      <c r="Z51" s="1607"/>
      <c r="AA51" s="1607"/>
      <c r="AB51" s="1607"/>
      <c r="AC51" s="1607"/>
      <c r="AD51" s="1607"/>
      <c r="AE51" s="1607"/>
      <c r="AF51" s="1607"/>
      <c r="AG51" s="1607"/>
      <c r="AH51" s="1607"/>
      <c r="AI51" s="1607"/>
      <c r="AJ51" s="1607"/>
      <c r="AK51" s="1607"/>
      <c r="AL51" s="1607"/>
      <c r="AM51" s="1607"/>
      <c r="AN51" s="1607"/>
      <c r="AO51" s="1607"/>
      <c r="AP51" s="1607"/>
      <c r="AQ51" s="1607"/>
      <c r="AR51" s="1607"/>
      <c r="AS51" s="1607"/>
      <c r="AT51" s="1607"/>
      <c r="AU51" s="1607"/>
      <c r="AV51" s="1607"/>
      <c r="AW51" s="1607"/>
      <c r="AX51" s="1607"/>
      <c r="AY51" s="1607"/>
      <c r="AZ51" s="1607"/>
      <c r="BA51" s="1607"/>
      <c r="BB51" s="1607"/>
      <c r="BC51" s="1607"/>
      <c r="BD51" s="1607"/>
      <c r="BE51" s="1607"/>
      <c r="BF51" s="1607"/>
      <c r="BG51" s="1607"/>
      <c r="BH51" s="1607"/>
      <c r="BI51" s="1607"/>
      <c r="BJ51" s="1607"/>
      <c r="BK51" s="1607"/>
      <c r="BL51" s="1607"/>
    </row>
    <row r="52">
      <c r="A52" s="1607"/>
      <c r="B52" s="1607"/>
      <c r="C52" s="1607"/>
      <c r="D52" s="1607"/>
      <c r="E52" s="1607"/>
      <c r="F52" s="1607"/>
      <c r="G52" s="1607"/>
      <c r="H52" s="1607"/>
      <c r="I52" s="1607"/>
      <c r="J52" s="1607"/>
      <c r="K52" s="1607"/>
      <c r="L52" s="1607"/>
      <c r="M52" s="1607"/>
      <c r="N52" s="1607"/>
      <c r="O52" s="1607"/>
      <c r="P52" s="1607"/>
      <c r="Q52" s="1607"/>
      <c r="R52" s="1607"/>
      <c r="S52" s="1607"/>
      <c r="T52" s="1607"/>
      <c r="U52" s="1607"/>
      <c r="V52" s="1607"/>
      <c r="W52" s="1607"/>
      <c r="X52" s="1607"/>
      <c r="Y52" s="1607"/>
      <c r="Z52" s="1607"/>
      <c r="AA52" s="1607"/>
      <c r="AB52" s="1607"/>
      <c r="AC52" s="1607"/>
      <c r="AD52" s="1607"/>
      <c r="AE52" s="1607"/>
      <c r="AF52" s="1607"/>
      <c r="AG52" s="1607"/>
      <c r="AH52" s="1607"/>
      <c r="AI52" s="1607"/>
      <c r="AJ52" s="1607"/>
      <c r="AK52" s="1607"/>
      <c r="AL52" s="1607"/>
      <c r="AM52" s="1607"/>
      <c r="AN52" s="1607"/>
      <c r="AO52" s="1607"/>
      <c r="AP52" s="1607"/>
      <c r="AQ52" s="1607"/>
      <c r="AR52" s="1607"/>
      <c r="AS52" s="1607"/>
      <c r="AT52" s="1607"/>
      <c r="AU52" s="1607"/>
      <c r="AV52" s="1607"/>
      <c r="AW52" s="1607"/>
      <c r="AX52" s="1607"/>
      <c r="AY52" s="1607"/>
      <c r="AZ52" s="1607"/>
      <c r="BA52" s="1607"/>
      <c r="BB52" s="1607"/>
      <c r="BC52" s="1607"/>
      <c r="BD52" s="1607"/>
      <c r="BE52" s="1607"/>
      <c r="BF52" s="1607"/>
      <c r="BG52" s="1607"/>
      <c r="BH52" s="1607"/>
      <c r="BI52" s="1607"/>
      <c r="BJ52" s="1607"/>
      <c r="BK52" s="1607"/>
      <c r="BL52" s="1607"/>
    </row>
    <row r="53">
      <c r="A53" s="1607"/>
      <c r="B53" s="1607"/>
      <c r="C53" s="1607"/>
      <c r="D53" s="1607"/>
      <c r="E53" s="1607"/>
      <c r="F53" s="1607"/>
      <c r="G53" s="1607"/>
      <c r="H53" s="1607"/>
      <c r="I53" s="1607"/>
      <c r="J53" s="1607"/>
      <c r="K53" s="1607"/>
      <c r="L53" s="1607"/>
      <c r="M53" s="1607"/>
      <c r="N53" s="1607"/>
      <c r="O53" s="1607"/>
      <c r="P53" s="1607"/>
      <c r="Q53" s="1607"/>
      <c r="R53" s="1607"/>
      <c r="S53" s="1607"/>
      <c r="T53" s="1607"/>
      <c r="U53" s="1607"/>
      <c r="V53" s="1607"/>
      <c r="W53" s="1607"/>
      <c r="X53" s="1607"/>
      <c r="Y53" s="1607"/>
      <c r="Z53" s="1607"/>
      <c r="AA53" s="1607"/>
      <c r="AB53" s="1607"/>
      <c r="AC53" s="1607"/>
      <c r="AD53" s="1607"/>
      <c r="AE53" s="1607"/>
      <c r="AF53" s="1607"/>
      <c r="AG53" s="1607"/>
      <c r="AH53" s="1607"/>
      <c r="AI53" s="1607"/>
      <c r="AJ53" s="1607"/>
      <c r="AK53" s="1607"/>
      <c r="AL53" s="1607"/>
      <c r="AM53" s="1607"/>
      <c r="AN53" s="1607"/>
      <c r="AO53" s="1607"/>
      <c r="AP53" s="1607"/>
      <c r="AQ53" s="1607"/>
      <c r="AR53" s="1607"/>
      <c r="AS53" s="1607"/>
      <c r="AT53" s="1607"/>
      <c r="AU53" s="1607"/>
      <c r="AV53" s="1607"/>
      <c r="AW53" s="1607"/>
      <c r="AX53" s="1607"/>
      <c r="AY53" s="1607"/>
      <c r="AZ53" s="1607"/>
      <c r="BA53" s="1607"/>
      <c r="BB53" s="1607"/>
      <c r="BC53" s="1607"/>
      <c r="BD53" s="1607"/>
      <c r="BE53" s="1607"/>
      <c r="BF53" s="1607"/>
      <c r="BG53" s="1607"/>
      <c r="BH53" s="1607"/>
      <c r="BI53" s="1607"/>
      <c r="BJ53" s="1607"/>
      <c r="BK53" s="1607"/>
      <c r="BL53" s="1607"/>
    </row>
    <row r="54">
      <c r="A54" s="1607"/>
      <c r="B54" s="1607"/>
      <c r="C54" s="1607"/>
      <c r="D54" s="1607"/>
      <c r="E54" s="1607"/>
      <c r="F54" s="1607"/>
      <c r="G54" s="1607"/>
      <c r="H54" s="1607"/>
      <c r="I54" s="1607"/>
      <c r="J54" s="1607"/>
      <c r="K54" s="1607"/>
      <c r="L54" s="1607"/>
      <c r="M54" s="1607"/>
      <c r="N54" s="1607"/>
      <c r="O54" s="1607"/>
      <c r="P54" s="1607"/>
      <c r="Q54" s="1607"/>
      <c r="R54" s="1607"/>
      <c r="S54" s="1607"/>
      <c r="T54" s="1607"/>
      <c r="U54" s="1607"/>
      <c r="V54" s="1607"/>
      <c r="W54" s="1607"/>
      <c r="X54" s="1607"/>
      <c r="Y54" s="1607"/>
      <c r="Z54" s="1607"/>
      <c r="AA54" s="1607"/>
      <c r="AB54" s="1607"/>
      <c r="AC54" s="1607"/>
      <c r="AD54" s="1607"/>
      <c r="AE54" s="1607"/>
      <c r="AF54" s="1607"/>
      <c r="AG54" s="1607"/>
      <c r="AH54" s="1607"/>
      <c r="AI54" s="1607"/>
      <c r="AJ54" s="1607"/>
      <c r="AK54" s="1607"/>
      <c r="AL54" s="1607"/>
      <c r="AM54" s="1607"/>
      <c r="AN54" s="1607"/>
      <c r="AO54" s="1607"/>
      <c r="AP54" s="1607"/>
      <c r="AQ54" s="1607"/>
      <c r="AR54" s="1607"/>
      <c r="AS54" s="1607"/>
      <c r="AT54" s="1607"/>
      <c r="AU54" s="1607"/>
      <c r="AV54" s="1607"/>
      <c r="AW54" s="1607"/>
      <c r="AX54" s="1607"/>
      <c r="AY54" s="1607"/>
      <c r="AZ54" s="1607"/>
      <c r="BA54" s="1607"/>
      <c r="BB54" s="1607"/>
      <c r="BC54" s="1607"/>
      <c r="BD54" s="1607"/>
      <c r="BE54" s="1607"/>
      <c r="BF54" s="1607"/>
      <c r="BG54" s="1607"/>
      <c r="BH54" s="1607"/>
      <c r="BI54" s="1607"/>
      <c r="BJ54" s="1607"/>
      <c r="BK54" s="1607"/>
      <c r="BL54" s="1607"/>
    </row>
    <row r="55">
      <c r="A55" s="1607"/>
      <c r="B55" s="1607"/>
      <c r="C55" s="1607"/>
      <c r="D55" s="1607"/>
      <c r="E55" s="1607"/>
      <c r="F55" s="1607"/>
      <c r="G55" s="1607"/>
      <c r="H55" s="1607"/>
      <c r="I55" s="1607"/>
      <c r="J55" s="1607"/>
      <c r="K55" s="1607"/>
      <c r="L55" s="1607"/>
      <c r="M55" s="1607"/>
      <c r="N55" s="1607"/>
      <c r="O55" s="1607"/>
      <c r="P55" s="1607"/>
      <c r="Q55" s="1607"/>
      <c r="R55" s="1607"/>
      <c r="S55" s="1607"/>
      <c r="T55" s="1607"/>
      <c r="U55" s="1607"/>
      <c r="V55" s="1607"/>
      <c r="W55" s="1607"/>
      <c r="X55" s="1607"/>
      <c r="Y55" s="1607"/>
      <c r="Z55" s="1607"/>
      <c r="AA55" s="1607"/>
      <c r="AB55" s="1607"/>
      <c r="AC55" s="1607"/>
      <c r="AD55" s="1607"/>
      <c r="AE55" s="1607"/>
      <c r="AF55" s="1607"/>
      <c r="AG55" s="1607"/>
      <c r="AH55" s="1607"/>
      <c r="AI55" s="1607"/>
      <c r="AJ55" s="1607"/>
      <c r="AK55" s="1607"/>
      <c r="AL55" s="1607"/>
      <c r="AM55" s="1607"/>
      <c r="AN55" s="1607"/>
      <c r="AO55" s="1607"/>
      <c r="AP55" s="1607"/>
      <c r="AQ55" s="1607"/>
      <c r="AR55" s="1607"/>
      <c r="AS55" s="1607"/>
      <c r="AT55" s="1607"/>
      <c r="AU55" s="1607"/>
      <c r="AV55" s="1607"/>
      <c r="AW55" s="1607"/>
      <c r="AX55" s="1607"/>
      <c r="AY55" s="1607"/>
      <c r="AZ55" s="1607"/>
      <c r="BA55" s="1607"/>
      <c r="BB55" s="1607"/>
      <c r="BC55" s="1607"/>
      <c r="BD55" s="1607"/>
      <c r="BE55" s="1607"/>
      <c r="BF55" s="1607"/>
      <c r="BG55" s="1607"/>
      <c r="BH55" s="1607"/>
      <c r="BI55" s="1607"/>
      <c r="BJ55" s="1607"/>
      <c r="BK55" s="1607"/>
      <c r="BL55" s="1607"/>
    </row>
    <row r="56">
      <c r="A56" s="1607"/>
      <c r="B56" s="1607"/>
      <c r="C56" s="1607"/>
      <c r="D56" s="1607"/>
      <c r="E56" s="1607"/>
      <c r="F56" s="1607"/>
      <c r="G56" s="1607"/>
      <c r="H56" s="1607"/>
      <c r="I56" s="1607"/>
      <c r="J56" s="1607"/>
      <c r="K56" s="1607"/>
      <c r="L56" s="1607"/>
      <c r="M56" s="1607"/>
      <c r="N56" s="1607"/>
      <c r="O56" s="1607"/>
      <c r="P56" s="1607"/>
      <c r="Q56" s="1607"/>
      <c r="R56" s="1607"/>
      <c r="S56" s="1607"/>
      <c r="T56" s="1607"/>
      <c r="U56" s="1607"/>
      <c r="V56" s="1607"/>
      <c r="W56" s="1607"/>
      <c r="X56" s="1607"/>
      <c r="Y56" s="1607"/>
      <c r="Z56" s="1607"/>
      <c r="AA56" s="1607"/>
      <c r="AB56" s="1607"/>
      <c r="AC56" s="1607"/>
      <c r="AD56" s="1607"/>
      <c r="AE56" s="1607"/>
      <c r="AF56" s="1607"/>
      <c r="AG56" s="1607"/>
      <c r="AH56" s="1607"/>
      <c r="AI56" s="1607"/>
      <c r="AJ56" s="1607"/>
      <c r="AK56" s="1607"/>
      <c r="AL56" s="1607"/>
      <c r="AM56" s="1607"/>
      <c r="AN56" s="1607"/>
      <c r="AO56" s="1607"/>
      <c r="AP56" s="1607"/>
      <c r="AQ56" s="1607"/>
      <c r="AR56" s="1607"/>
      <c r="AS56" s="1607"/>
      <c r="AT56" s="1607"/>
      <c r="AU56" s="1607"/>
      <c r="AV56" s="1607"/>
      <c r="AW56" s="1607"/>
      <c r="AX56" s="1607"/>
      <c r="AY56" s="1607"/>
      <c r="AZ56" s="1607"/>
      <c r="BA56" s="1607"/>
      <c r="BB56" s="1607"/>
      <c r="BC56" s="1607"/>
      <c r="BD56" s="1607"/>
      <c r="BE56" s="1607"/>
      <c r="BF56" s="1607"/>
      <c r="BG56" s="1607"/>
      <c r="BH56" s="1607"/>
      <c r="BI56" s="1607"/>
      <c r="BJ56" s="1607"/>
      <c r="BK56" s="1607"/>
      <c r="BL56" s="1607"/>
    </row>
    <row r="57">
      <c r="A57" s="1607"/>
      <c r="B57" s="1607"/>
      <c r="C57" s="1607"/>
      <c r="D57" s="1607"/>
      <c r="E57" s="1607"/>
      <c r="F57" s="1607"/>
      <c r="G57" s="1607"/>
      <c r="H57" s="1607"/>
      <c r="I57" s="1607"/>
      <c r="J57" s="1607"/>
      <c r="K57" s="1607"/>
      <c r="L57" s="1607"/>
      <c r="M57" s="1607"/>
      <c r="N57" s="1607"/>
      <c r="O57" s="1607"/>
      <c r="P57" s="1607"/>
      <c r="Q57" s="1607"/>
      <c r="R57" s="1607"/>
      <c r="S57" s="1607"/>
      <c r="T57" s="1607"/>
      <c r="U57" s="1607"/>
      <c r="V57" s="1607"/>
      <c r="W57" s="1607"/>
      <c r="X57" s="1607"/>
      <c r="Y57" s="1607"/>
      <c r="Z57" s="1607"/>
      <c r="AA57" s="1607"/>
      <c r="AB57" s="1607"/>
      <c r="AC57" s="1607"/>
      <c r="AD57" s="1607"/>
      <c r="AE57" s="1607"/>
      <c r="AF57" s="1607"/>
      <c r="AG57" s="1607"/>
      <c r="AH57" s="1607"/>
      <c r="AI57" s="1607"/>
      <c r="AJ57" s="1607"/>
      <c r="AK57" s="1607"/>
      <c r="AL57" s="1607"/>
      <c r="AM57" s="1607"/>
      <c r="AN57" s="1607"/>
      <c r="AO57" s="1607"/>
      <c r="AP57" s="1607"/>
      <c r="AQ57" s="1607"/>
      <c r="AR57" s="1607"/>
      <c r="AS57" s="1607"/>
      <c r="AT57" s="1607"/>
      <c r="AU57" s="1607"/>
      <c r="AV57" s="1607"/>
      <c r="AW57" s="1607"/>
      <c r="AX57" s="1607"/>
      <c r="AY57" s="1607"/>
      <c r="AZ57" s="1607"/>
      <c r="BA57" s="1607"/>
      <c r="BB57" s="1607"/>
      <c r="BC57" s="1607"/>
      <c r="BD57" s="1607"/>
      <c r="BE57" s="1607"/>
      <c r="BF57" s="1607"/>
      <c r="BG57" s="1607"/>
      <c r="BH57" s="1607"/>
      <c r="BI57" s="1607"/>
      <c r="BJ57" s="1607"/>
      <c r="BK57" s="1607"/>
      <c r="BL57" s="1607"/>
    </row>
    <row r="58">
      <c r="A58" s="1607"/>
      <c r="B58" s="1607"/>
      <c r="C58" s="1607"/>
      <c r="D58" s="1607"/>
      <c r="E58" s="1607"/>
      <c r="F58" s="1607"/>
      <c r="G58" s="1607"/>
      <c r="H58" s="1607"/>
      <c r="I58" s="1607"/>
      <c r="J58" s="1607"/>
      <c r="K58" s="1607"/>
      <c r="L58" s="1607"/>
      <c r="M58" s="1607"/>
      <c r="N58" s="1607"/>
      <c r="O58" s="1607"/>
      <c r="P58" s="1607"/>
      <c r="Q58" s="1607"/>
      <c r="R58" s="1607"/>
      <c r="S58" s="1607"/>
      <c r="T58" s="1607"/>
      <c r="U58" s="1607"/>
      <c r="V58" s="1607"/>
      <c r="W58" s="1607"/>
      <c r="X58" s="1607"/>
      <c r="Y58" s="1607"/>
      <c r="Z58" s="1607"/>
      <c r="AA58" s="1607"/>
      <c r="AB58" s="1607"/>
      <c r="AC58" s="1607"/>
      <c r="AD58" s="1607"/>
      <c r="AE58" s="1607"/>
      <c r="AF58" s="1607"/>
      <c r="AG58" s="1607"/>
      <c r="AH58" s="1607"/>
      <c r="AI58" s="1607"/>
      <c r="AJ58" s="1607"/>
      <c r="AK58" s="1607"/>
      <c r="AL58" s="1607"/>
      <c r="AM58" s="1607"/>
      <c r="AN58" s="1607"/>
      <c r="AO58" s="1607"/>
      <c r="AP58" s="1607"/>
      <c r="AQ58" s="1607"/>
      <c r="AR58" s="1607"/>
      <c r="AS58" s="1607"/>
      <c r="AT58" s="1607"/>
      <c r="AU58" s="1607"/>
      <c r="AV58" s="1607"/>
      <c r="AW58" s="1607"/>
      <c r="AX58" s="1607"/>
      <c r="AY58" s="1607"/>
      <c r="AZ58" s="1607"/>
      <c r="BA58" s="1607"/>
      <c r="BB58" s="1607"/>
      <c r="BC58" s="1607"/>
      <c r="BD58" s="1607"/>
      <c r="BE58" s="1607"/>
      <c r="BF58" s="1607"/>
      <c r="BG58" s="1607"/>
      <c r="BH58" s="1607"/>
      <c r="BI58" s="1607"/>
      <c r="BJ58" s="1607"/>
      <c r="BK58" s="1607"/>
      <c r="BL58" s="1607"/>
    </row>
    <row r="59">
      <c r="A59" s="1607"/>
      <c r="B59" s="1607"/>
      <c r="C59" s="1607"/>
      <c r="D59" s="1607"/>
      <c r="E59" s="1607"/>
      <c r="F59" s="1607"/>
      <c r="G59" s="1607"/>
      <c r="H59" s="1607"/>
      <c r="I59" s="1607"/>
      <c r="J59" s="1607"/>
      <c r="K59" s="1607"/>
      <c r="L59" s="1607"/>
      <c r="M59" s="1607"/>
      <c r="N59" s="1607"/>
      <c r="O59" s="1607"/>
      <c r="P59" s="1607"/>
      <c r="Q59" s="1607"/>
      <c r="R59" s="1607"/>
      <c r="S59" s="1607"/>
      <c r="T59" s="1607"/>
      <c r="U59" s="1607"/>
      <c r="V59" s="1607"/>
      <c r="W59" s="1607"/>
      <c r="X59" s="1607"/>
      <c r="Y59" s="1607"/>
      <c r="Z59" s="1607"/>
      <c r="AA59" s="1607"/>
      <c r="AB59" s="1607"/>
      <c r="AC59" s="1607"/>
      <c r="AD59" s="1607"/>
      <c r="AE59" s="1607"/>
      <c r="AF59" s="1607"/>
      <c r="AG59" s="1607"/>
      <c r="AH59" s="1607"/>
      <c r="AI59" s="1607"/>
      <c r="AJ59" s="1607"/>
      <c r="AK59" s="1607"/>
      <c r="AL59" s="1607"/>
      <c r="AM59" s="1607"/>
      <c r="AN59" s="1607"/>
      <c r="AO59" s="1607"/>
      <c r="AP59" s="1607"/>
      <c r="AQ59" s="1607"/>
      <c r="AR59" s="1607"/>
      <c r="AS59" s="1607"/>
      <c r="AT59" s="1607"/>
      <c r="AU59" s="1607"/>
      <c r="AV59" s="1607"/>
      <c r="AW59" s="1607"/>
      <c r="AX59" s="1607"/>
      <c r="AY59" s="1607"/>
      <c r="AZ59" s="1607"/>
      <c r="BA59" s="1607"/>
      <c r="BB59" s="1607"/>
      <c r="BC59" s="1607"/>
      <c r="BD59" s="1607"/>
      <c r="BE59" s="1607"/>
      <c r="BF59" s="1607"/>
      <c r="BG59" s="1607"/>
      <c r="BH59" s="1607"/>
      <c r="BI59" s="1607"/>
      <c r="BJ59" s="1607"/>
      <c r="BK59" s="1607"/>
      <c r="BL59" s="1607"/>
    </row>
    <row r="60">
      <c r="A60" s="1607"/>
      <c r="B60" s="1607"/>
      <c r="C60" s="1607"/>
      <c r="D60" s="1607"/>
      <c r="E60" s="1607"/>
      <c r="F60" s="1607"/>
      <c r="G60" s="1607"/>
      <c r="H60" s="1607"/>
      <c r="I60" s="1607"/>
      <c r="J60" s="1607"/>
      <c r="K60" s="1607"/>
      <c r="L60" s="1607"/>
      <c r="M60" s="1607"/>
      <c r="N60" s="1607"/>
      <c r="O60" s="1607"/>
      <c r="P60" s="1607"/>
      <c r="Q60" s="1607"/>
      <c r="R60" s="1607"/>
      <c r="S60" s="1607"/>
      <c r="T60" s="1607"/>
      <c r="U60" s="1607"/>
      <c r="V60" s="1607"/>
      <c r="W60" s="1607"/>
      <c r="X60" s="1607"/>
      <c r="Y60" s="1607"/>
      <c r="Z60" s="1607"/>
      <c r="AA60" s="1607"/>
      <c r="AB60" s="1607"/>
      <c r="AC60" s="1607"/>
      <c r="AD60" s="1607"/>
      <c r="AE60" s="1607"/>
      <c r="AF60" s="1607"/>
      <c r="AG60" s="1607"/>
      <c r="AH60" s="1607"/>
      <c r="AI60" s="1607"/>
      <c r="AJ60" s="1607"/>
      <c r="AK60" s="1607"/>
      <c r="AL60" s="1607"/>
      <c r="AM60" s="1607"/>
      <c r="AN60" s="1607"/>
      <c r="AO60" s="1607"/>
      <c r="AP60" s="1607"/>
      <c r="AQ60" s="1607"/>
      <c r="AR60" s="1607"/>
      <c r="AS60" s="1607"/>
      <c r="AT60" s="1607"/>
      <c r="AU60" s="1607"/>
      <c r="AV60" s="1607"/>
      <c r="AW60" s="1607"/>
      <c r="AX60" s="1607"/>
      <c r="AY60" s="1607"/>
      <c r="AZ60" s="1607"/>
      <c r="BA60" s="1607"/>
      <c r="BB60" s="1607"/>
      <c r="BC60" s="1607"/>
      <c r="BD60" s="1607"/>
      <c r="BE60" s="1607"/>
      <c r="BF60" s="1607"/>
      <c r="BG60" s="1607"/>
      <c r="BH60" s="1607"/>
      <c r="BI60" s="1607"/>
      <c r="BJ60" s="1607"/>
      <c r="BK60" s="1607"/>
      <c r="BL60" s="1607"/>
    </row>
    <row r="61">
      <c r="A61" s="1607"/>
      <c r="B61" s="1607"/>
      <c r="C61" s="1607"/>
      <c r="D61" s="1607"/>
      <c r="E61" s="1607"/>
      <c r="F61" s="1607"/>
      <c r="G61" s="1607"/>
      <c r="H61" s="1607"/>
      <c r="I61" s="1607"/>
      <c r="J61" s="1607"/>
      <c r="K61" s="1607"/>
      <c r="L61" s="1607"/>
      <c r="M61" s="1607"/>
      <c r="N61" s="1607"/>
      <c r="O61" s="1607"/>
      <c r="P61" s="1607"/>
      <c r="Q61" s="1607"/>
      <c r="R61" s="1607"/>
      <c r="S61" s="1607"/>
      <c r="T61" s="1607"/>
      <c r="U61" s="1607"/>
      <c r="V61" s="1607"/>
      <c r="W61" s="1607"/>
      <c r="X61" s="1607"/>
      <c r="Y61" s="1607"/>
      <c r="Z61" s="1607"/>
      <c r="AA61" s="1607"/>
      <c r="AB61" s="1607"/>
      <c r="AC61" s="1607"/>
      <c r="AD61" s="1607"/>
      <c r="AE61" s="1607"/>
      <c r="AF61" s="1607"/>
      <c r="AG61" s="1607"/>
      <c r="AH61" s="1607"/>
      <c r="AI61" s="1607"/>
      <c r="AJ61" s="1607"/>
      <c r="AK61" s="1607"/>
      <c r="AL61" s="1607"/>
      <c r="AM61" s="1607"/>
      <c r="AN61" s="1607"/>
      <c r="AO61" s="1607"/>
      <c r="AP61" s="1607"/>
      <c r="AQ61" s="1607"/>
      <c r="AR61" s="1607"/>
      <c r="AS61" s="1607"/>
      <c r="AT61" s="1607"/>
      <c r="AU61" s="1607"/>
      <c r="AV61" s="1607"/>
      <c r="AW61" s="1607"/>
      <c r="AX61" s="1607"/>
      <c r="AY61" s="1607"/>
      <c r="AZ61" s="1607"/>
      <c r="BA61" s="1607"/>
      <c r="BB61" s="1607"/>
      <c r="BC61" s="1607"/>
      <c r="BD61" s="1607"/>
      <c r="BE61" s="1607"/>
      <c r="BF61" s="1607"/>
      <c r="BG61" s="1607"/>
      <c r="BH61" s="1607"/>
      <c r="BI61" s="1607"/>
      <c r="BJ61" s="1607"/>
      <c r="BK61" s="1607"/>
      <c r="BL61" s="1607"/>
    </row>
    <row r="62">
      <c r="A62" s="1607"/>
      <c r="B62" s="1607"/>
      <c r="C62" s="1607"/>
      <c r="D62" s="1607"/>
      <c r="E62" s="1607"/>
      <c r="F62" s="1607"/>
      <c r="G62" s="1607"/>
      <c r="H62" s="1607"/>
      <c r="I62" s="1607"/>
      <c r="J62" s="1607"/>
      <c r="K62" s="1607"/>
      <c r="L62" s="1607"/>
      <c r="M62" s="1607"/>
      <c r="N62" s="1607"/>
      <c r="O62" s="1607"/>
      <c r="P62" s="1607"/>
      <c r="Q62" s="1607"/>
      <c r="R62" s="1607"/>
      <c r="S62" s="1607"/>
      <c r="T62" s="1607"/>
      <c r="U62" s="1607"/>
      <c r="V62" s="1607"/>
      <c r="W62" s="1607"/>
      <c r="X62" s="1607"/>
      <c r="Y62" s="1607"/>
      <c r="Z62" s="1607"/>
      <c r="AA62" s="1607"/>
      <c r="AB62" s="1607"/>
      <c r="AC62" s="1607"/>
      <c r="AD62" s="1607"/>
      <c r="AE62" s="1607"/>
      <c r="AF62" s="1607"/>
      <c r="AG62" s="1607"/>
      <c r="AH62" s="1607"/>
      <c r="AI62" s="1607"/>
      <c r="AJ62" s="1607"/>
      <c r="AK62" s="1607"/>
      <c r="AL62" s="1607"/>
      <c r="AM62" s="1607"/>
      <c r="AN62" s="1607"/>
      <c r="AO62" s="1607"/>
      <c r="AP62" s="1607"/>
      <c r="AQ62" s="1607"/>
      <c r="AR62" s="1607"/>
      <c r="AS62" s="1607"/>
      <c r="AT62" s="1607"/>
      <c r="AU62" s="1607"/>
      <c r="AV62" s="1607"/>
      <c r="AW62" s="1607"/>
      <c r="AX62" s="1607"/>
      <c r="AY62" s="1607"/>
      <c r="AZ62" s="1607"/>
      <c r="BA62" s="1607"/>
      <c r="BB62" s="1607"/>
      <c r="BC62" s="1607"/>
      <c r="BD62" s="1607"/>
      <c r="BE62" s="1607"/>
      <c r="BF62" s="1607"/>
      <c r="BG62" s="1607"/>
      <c r="BH62" s="1607"/>
      <c r="BI62" s="1607"/>
      <c r="BJ62" s="1607"/>
      <c r="BK62" s="1607"/>
      <c r="BL62" s="1607"/>
    </row>
    <row r="63">
      <c r="A63" s="1607"/>
      <c r="B63" s="1607"/>
      <c r="C63" s="1607"/>
      <c r="D63" s="1607"/>
      <c r="E63" s="1607"/>
      <c r="F63" s="1607"/>
      <c r="G63" s="1607"/>
      <c r="H63" s="1607"/>
      <c r="I63" s="1607"/>
      <c r="J63" s="1607"/>
      <c r="K63" s="1607"/>
      <c r="L63" s="1607"/>
      <c r="M63" s="1607"/>
      <c r="N63" s="1607"/>
      <c r="O63" s="1607"/>
      <c r="P63" s="1607"/>
      <c r="Q63" s="1607"/>
      <c r="R63" s="1607"/>
      <c r="S63" s="1607"/>
      <c r="T63" s="1607"/>
      <c r="U63" s="1607"/>
      <c r="V63" s="1607"/>
      <c r="W63" s="1607"/>
      <c r="X63" s="1607"/>
      <c r="Y63" s="1607"/>
      <c r="Z63" s="1607"/>
      <c r="AA63" s="1607"/>
      <c r="AB63" s="1607"/>
      <c r="AC63" s="1607"/>
      <c r="AD63" s="1607"/>
      <c r="AE63" s="1607"/>
      <c r="AF63" s="1607"/>
      <c r="AG63" s="1607"/>
      <c r="AH63" s="1607"/>
      <c r="AI63" s="1607"/>
      <c r="AJ63" s="1607"/>
      <c r="AK63" s="1607"/>
      <c r="AL63" s="1607"/>
      <c r="AM63" s="1607"/>
      <c r="AN63" s="1607"/>
      <c r="AO63" s="1607"/>
      <c r="AP63" s="1607"/>
      <c r="AQ63" s="1607"/>
      <c r="AR63" s="1607"/>
      <c r="AS63" s="1607"/>
      <c r="AT63" s="1607"/>
      <c r="AU63" s="1607"/>
      <c r="AV63" s="1607"/>
      <c r="AW63" s="1607"/>
      <c r="AX63" s="1607"/>
      <c r="AY63" s="1607"/>
      <c r="AZ63" s="1607"/>
      <c r="BA63" s="1607"/>
      <c r="BB63" s="1607"/>
      <c r="BC63" s="1607"/>
      <c r="BD63" s="1607"/>
      <c r="BE63" s="1607"/>
      <c r="BF63" s="1607"/>
      <c r="BG63" s="1607"/>
      <c r="BH63" s="1607"/>
      <c r="BI63" s="1607"/>
      <c r="BJ63" s="1607"/>
      <c r="BK63" s="1607"/>
      <c r="BL63" s="1607"/>
    </row>
    <row r="64">
      <c r="A64" s="1607"/>
      <c r="B64" s="1607"/>
      <c r="C64" s="1607"/>
      <c r="D64" s="1607"/>
      <c r="E64" s="1607"/>
      <c r="F64" s="1607"/>
      <c r="G64" s="1607"/>
      <c r="H64" s="1607"/>
      <c r="I64" s="1607"/>
      <c r="J64" s="1607"/>
      <c r="K64" s="1607"/>
      <c r="L64" s="1607"/>
      <c r="M64" s="1607"/>
      <c r="N64" s="1607"/>
      <c r="O64" s="1607"/>
      <c r="P64" s="1607"/>
      <c r="Q64" s="1607"/>
      <c r="R64" s="1607"/>
      <c r="S64" s="1607"/>
      <c r="T64" s="1607"/>
      <c r="U64" s="1607"/>
      <c r="V64" s="1607"/>
      <c r="W64" s="1607"/>
      <c r="X64" s="1607"/>
      <c r="Y64" s="1607"/>
      <c r="Z64" s="1607"/>
      <c r="AA64" s="1607"/>
      <c r="AB64" s="1607"/>
      <c r="AC64" s="1607"/>
      <c r="AD64" s="1607"/>
      <c r="AE64" s="1607"/>
      <c r="AF64" s="1607"/>
      <c r="AG64" s="1607"/>
      <c r="AH64" s="1607"/>
      <c r="AI64" s="1607"/>
      <c r="AJ64" s="1607"/>
      <c r="AK64" s="1607"/>
      <c r="AL64" s="1607"/>
      <c r="AM64" s="1607"/>
      <c r="AN64" s="1607"/>
      <c r="AO64" s="1607"/>
      <c r="AP64" s="1607"/>
      <c r="AQ64" s="1607"/>
      <c r="AR64" s="1607"/>
      <c r="AS64" s="1607"/>
      <c r="AT64" s="1607"/>
      <c r="AU64" s="1607"/>
      <c r="AV64" s="1607"/>
      <c r="AW64" s="1607"/>
      <c r="AX64" s="1607"/>
      <c r="AY64" s="1607"/>
      <c r="AZ64" s="1607"/>
      <c r="BA64" s="1607"/>
      <c r="BB64" s="1607"/>
      <c r="BC64" s="1607"/>
      <c r="BD64" s="1607"/>
      <c r="BE64" s="1607"/>
      <c r="BF64" s="1607"/>
      <c r="BG64" s="1607"/>
      <c r="BH64" s="1607"/>
      <c r="BI64" s="1607"/>
      <c r="BJ64" s="1607"/>
      <c r="BK64" s="1607"/>
      <c r="BL64" s="1607"/>
    </row>
    <row r="65">
      <c r="A65" s="1607"/>
      <c r="B65" s="1607"/>
      <c r="C65" s="1607"/>
      <c r="D65" s="1607"/>
      <c r="E65" s="1607"/>
      <c r="F65" s="1607"/>
      <c r="G65" s="1607"/>
      <c r="H65" s="1607"/>
      <c r="I65" s="1607"/>
      <c r="J65" s="1607"/>
      <c r="K65" s="1607"/>
      <c r="L65" s="1607"/>
      <c r="M65" s="1607"/>
      <c r="N65" s="1607"/>
      <c r="O65" s="1607"/>
      <c r="P65" s="1607"/>
      <c r="Q65" s="1607"/>
      <c r="R65" s="1607"/>
      <c r="S65" s="1607"/>
      <c r="T65" s="1607"/>
      <c r="U65" s="1607"/>
      <c r="V65" s="1607"/>
      <c r="W65" s="1607"/>
      <c r="X65" s="1607"/>
      <c r="Y65" s="1607"/>
      <c r="Z65" s="1607"/>
      <c r="AA65" s="1607"/>
      <c r="AB65" s="1607"/>
      <c r="AC65" s="1607"/>
      <c r="AD65" s="1607"/>
      <c r="AE65" s="1607"/>
      <c r="AF65" s="1607"/>
      <c r="AG65" s="1607"/>
      <c r="AH65" s="1607"/>
      <c r="AI65" s="1607"/>
      <c r="AJ65" s="1607"/>
      <c r="AK65" s="1607"/>
      <c r="AL65" s="1607"/>
      <c r="AM65" s="1607"/>
      <c r="AN65" s="1607"/>
      <c r="AO65" s="1607"/>
      <c r="AP65" s="1607"/>
      <c r="AQ65" s="1607"/>
      <c r="AR65" s="1607"/>
      <c r="AS65" s="1607"/>
      <c r="AT65" s="1607"/>
      <c r="AU65" s="1607"/>
      <c r="AV65" s="1607"/>
      <c r="AW65" s="1607"/>
      <c r="AX65" s="1607"/>
      <c r="AY65" s="1607"/>
      <c r="AZ65" s="1607"/>
      <c r="BA65" s="1607"/>
      <c r="BB65" s="1607"/>
      <c r="BC65" s="1607"/>
      <c r="BD65" s="1607"/>
      <c r="BE65" s="1607"/>
      <c r="BF65" s="1607"/>
      <c r="BG65" s="1607"/>
      <c r="BH65" s="1607"/>
      <c r="BI65" s="1607"/>
      <c r="BJ65" s="1607"/>
      <c r="BK65" s="1607"/>
      <c r="BL65" s="1607"/>
    </row>
    <row r="66">
      <c r="A66" s="1607"/>
      <c r="B66" s="1607"/>
      <c r="C66" s="1607"/>
      <c r="D66" s="1607"/>
      <c r="E66" s="1607"/>
      <c r="F66" s="1607"/>
      <c r="G66" s="1607"/>
      <c r="H66" s="1607"/>
      <c r="I66" s="1607"/>
      <c r="J66" s="1607"/>
      <c r="K66" s="1607"/>
      <c r="L66" s="1607"/>
      <c r="M66" s="1607"/>
      <c r="N66" s="1607"/>
      <c r="O66" s="1607"/>
      <c r="P66" s="1607"/>
      <c r="Q66" s="1607"/>
      <c r="R66" s="1607"/>
      <c r="S66" s="1607"/>
      <c r="T66" s="1607"/>
      <c r="U66" s="1607"/>
      <c r="V66" s="1607"/>
      <c r="W66" s="1607"/>
      <c r="X66" s="1607"/>
      <c r="Y66" s="1607"/>
      <c r="Z66" s="1607"/>
      <c r="AA66" s="1607"/>
      <c r="AB66" s="1607"/>
      <c r="AC66" s="1607"/>
      <c r="AD66" s="1607"/>
      <c r="AE66" s="1607"/>
      <c r="AF66" s="1607"/>
      <c r="AG66" s="1607"/>
      <c r="AH66" s="1607"/>
      <c r="AI66" s="1607"/>
      <c r="AJ66" s="1607"/>
      <c r="AK66" s="1607"/>
      <c r="AL66" s="1607"/>
      <c r="AM66" s="1607"/>
      <c r="AN66" s="1607"/>
      <c r="AO66" s="1607"/>
      <c r="AP66" s="1607"/>
      <c r="AQ66" s="1607"/>
      <c r="AR66" s="1607"/>
      <c r="AS66" s="1607"/>
      <c r="AT66" s="1607"/>
      <c r="AU66" s="1607"/>
      <c r="AV66" s="1607"/>
      <c r="AW66" s="1607"/>
      <c r="AX66" s="1607"/>
      <c r="AY66" s="1607"/>
      <c r="AZ66" s="1607"/>
      <c r="BA66" s="1607"/>
      <c r="BB66" s="1607"/>
      <c r="BC66" s="1607"/>
      <c r="BD66" s="1607"/>
      <c r="BE66" s="1607"/>
      <c r="BF66" s="1607"/>
      <c r="BG66" s="1607"/>
      <c r="BH66" s="1607"/>
      <c r="BI66" s="1607"/>
      <c r="BJ66" s="1607"/>
      <c r="BK66" s="1607"/>
      <c r="BL66" s="1607"/>
    </row>
    <row r="67">
      <c r="A67" s="1607"/>
      <c r="B67" s="1607"/>
      <c r="C67" s="1607"/>
      <c r="D67" s="1607"/>
      <c r="E67" s="1607"/>
      <c r="F67" s="1607"/>
      <c r="G67" s="1607"/>
      <c r="H67" s="1607"/>
      <c r="I67" s="1607"/>
      <c r="J67" s="1607"/>
      <c r="K67" s="1607"/>
      <c r="L67" s="1607"/>
      <c r="M67" s="1607"/>
      <c r="N67" s="1607"/>
      <c r="O67" s="1607"/>
      <c r="P67" s="1607"/>
      <c r="Q67" s="1607"/>
      <c r="R67" s="1607"/>
      <c r="S67" s="1607"/>
      <c r="T67" s="1607"/>
      <c r="U67" s="1607"/>
      <c r="V67" s="1607"/>
      <c r="W67" s="1607"/>
      <c r="X67" s="1607"/>
      <c r="Y67" s="1607"/>
      <c r="Z67" s="1607"/>
      <c r="AA67" s="1607"/>
      <c r="AB67" s="1607"/>
      <c r="AC67" s="1607"/>
      <c r="AD67" s="1607"/>
      <c r="AE67" s="1607"/>
      <c r="AF67" s="1607"/>
      <c r="AG67" s="1607"/>
      <c r="AH67" s="1607"/>
      <c r="AI67" s="1607"/>
      <c r="AJ67" s="1607"/>
      <c r="AK67" s="1607"/>
      <c r="AL67" s="1607"/>
      <c r="AM67" s="1607"/>
      <c r="AN67" s="1607"/>
      <c r="AO67" s="1607"/>
      <c r="AP67" s="1607"/>
      <c r="AQ67" s="1607"/>
      <c r="AR67" s="1607"/>
      <c r="AS67" s="1607"/>
      <c r="AT67" s="1607"/>
      <c r="AU67" s="1607"/>
      <c r="AV67" s="1607"/>
      <c r="AW67" s="1607"/>
      <c r="AX67" s="1607"/>
      <c r="AY67" s="1607"/>
      <c r="AZ67" s="1607"/>
      <c r="BA67" s="1607"/>
      <c r="BB67" s="1607"/>
      <c r="BC67" s="1607"/>
      <c r="BD67" s="1607"/>
      <c r="BE67" s="1607"/>
      <c r="BF67" s="1607"/>
      <c r="BG67" s="1607"/>
      <c r="BH67" s="1607"/>
      <c r="BI67" s="1607"/>
      <c r="BJ67" s="1607"/>
      <c r="BK67" s="1607"/>
      <c r="BL67" s="1607"/>
    </row>
    <row r="68">
      <c r="A68" s="1607"/>
      <c r="B68" s="1607"/>
      <c r="C68" s="1607"/>
      <c r="D68" s="1607"/>
      <c r="E68" s="1607"/>
      <c r="F68" s="1607"/>
      <c r="G68" s="1607"/>
      <c r="H68" s="1607"/>
      <c r="I68" s="1607"/>
      <c r="J68" s="1607"/>
      <c r="K68" s="1607"/>
      <c r="L68" s="1607"/>
      <c r="M68" s="1607"/>
      <c r="N68" s="1607"/>
      <c r="O68" s="1607"/>
      <c r="P68" s="1607"/>
      <c r="Q68" s="1607"/>
      <c r="R68" s="1607"/>
      <c r="S68" s="1607"/>
      <c r="T68" s="1607"/>
      <c r="U68" s="1607"/>
      <c r="V68" s="1607"/>
      <c r="W68" s="1607"/>
      <c r="X68" s="1607"/>
      <c r="Y68" s="1607"/>
      <c r="Z68" s="1607"/>
      <c r="AA68" s="1607"/>
      <c r="AB68" s="1607"/>
      <c r="AC68" s="1607"/>
      <c r="AD68" s="1607"/>
      <c r="AE68" s="1607"/>
      <c r="AF68" s="1607"/>
      <c r="AG68" s="1607"/>
      <c r="AH68" s="1607"/>
      <c r="AI68" s="1607"/>
      <c r="AJ68" s="1607"/>
      <c r="AK68" s="1607"/>
      <c r="AL68" s="1607"/>
      <c r="AM68" s="1607"/>
      <c r="AN68" s="1607"/>
      <c r="AO68" s="1607"/>
      <c r="AP68" s="1607"/>
      <c r="AQ68" s="1607"/>
      <c r="AR68" s="1607"/>
      <c r="AS68" s="1607"/>
      <c r="AT68" s="1607"/>
      <c r="AU68" s="1607"/>
      <c r="AV68" s="1607"/>
      <c r="AW68" s="1607"/>
      <c r="AX68" s="1607"/>
      <c r="AY68" s="1607"/>
      <c r="AZ68" s="1607"/>
      <c r="BA68" s="1607"/>
      <c r="BB68" s="1607"/>
      <c r="BC68" s="1607"/>
      <c r="BD68" s="1607"/>
      <c r="BE68" s="1607"/>
      <c r="BF68" s="1607"/>
      <c r="BG68" s="1607"/>
      <c r="BH68" s="1607"/>
      <c r="BI68" s="1607"/>
      <c r="BJ68" s="1607"/>
      <c r="BK68" s="1607"/>
      <c r="BL68" s="1607"/>
    </row>
    <row r="69">
      <c r="A69" s="1607"/>
      <c r="B69" s="1607"/>
      <c r="C69" s="1607"/>
      <c r="D69" s="1607"/>
      <c r="E69" s="1607"/>
      <c r="F69" s="1607"/>
      <c r="G69" s="1607"/>
      <c r="H69" s="1607"/>
      <c r="I69" s="1607"/>
      <c r="J69" s="1607"/>
      <c r="K69" s="1607"/>
      <c r="L69" s="1607"/>
      <c r="M69" s="1607"/>
      <c r="N69" s="1607"/>
      <c r="O69" s="1607"/>
      <c r="P69" s="1607"/>
      <c r="Q69" s="1607"/>
      <c r="R69" s="1607"/>
      <c r="S69" s="1607"/>
      <c r="T69" s="1607"/>
      <c r="U69" s="1607"/>
      <c r="V69" s="1607"/>
      <c r="W69" s="1607"/>
      <c r="X69" s="1607"/>
      <c r="Y69" s="1607"/>
      <c r="Z69" s="1607"/>
      <c r="AA69" s="1607"/>
      <c r="AB69" s="1607"/>
      <c r="AC69" s="1607"/>
      <c r="AD69" s="1607"/>
      <c r="AE69" s="1607"/>
      <c r="AF69" s="1607"/>
      <c r="AG69" s="1607"/>
      <c r="AH69" s="1607"/>
      <c r="AI69" s="1607"/>
      <c r="AJ69" s="1607"/>
      <c r="AK69" s="1607"/>
      <c r="AL69" s="1607"/>
      <c r="AM69" s="1607"/>
      <c r="AN69" s="1607"/>
      <c r="AO69" s="1607"/>
      <c r="AP69" s="1607"/>
      <c r="AQ69" s="1607"/>
      <c r="AR69" s="1607"/>
      <c r="AS69" s="1607"/>
      <c r="AT69" s="1607"/>
      <c r="AU69" s="1607"/>
      <c r="AV69" s="1607"/>
      <c r="AW69" s="1607"/>
      <c r="AX69" s="1607"/>
      <c r="AY69" s="1607"/>
      <c r="AZ69" s="1607"/>
      <c r="BA69" s="1607"/>
      <c r="BB69" s="1607"/>
      <c r="BC69" s="1607"/>
      <c r="BD69" s="1607"/>
      <c r="BE69" s="1607"/>
      <c r="BF69" s="1607"/>
      <c r="BG69" s="1607"/>
      <c r="BH69" s="1607"/>
      <c r="BI69" s="1607"/>
      <c r="BJ69" s="1607"/>
      <c r="BK69" s="1607"/>
      <c r="BL69" s="1607"/>
    </row>
    <row r="70">
      <c r="A70" s="1607"/>
      <c r="B70" s="1607"/>
      <c r="C70" s="1607"/>
      <c r="D70" s="1607"/>
      <c r="E70" s="1607"/>
      <c r="F70" s="1607"/>
      <c r="G70" s="1607"/>
      <c r="H70" s="1607"/>
      <c r="I70" s="1607"/>
      <c r="J70" s="1607"/>
      <c r="K70" s="1607"/>
      <c r="L70" s="1607"/>
      <c r="M70" s="1607"/>
      <c r="N70" s="1607"/>
      <c r="O70" s="1607"/>
      <c r="P70" s="1607"/>
      <c r="Q70" s="1607"/>
      <c r="R70" s="1607"/>
      <c r="S70" s="1607"/>
      <c r="T70" s="1607"/>
      <c r="U70" s="1607"/>
      <c r="V70" s="1607"/>
      <c r="W70" s="1607"/>
      <c r="X70" s="1607"/>
      <c r="Y70" s="1607"/>
      <c r="Z70" s="1607"/>
      <c r="AA70" s="1607"/>
      <c r="AB70" s="1607"/>
      <c r="AC70" s="1607"/>
      <c r="AD70" s="1607"/>
      <c r="AE70" s="1607"/>
      <c r="AF70" s="1607"/>
      <c r="AG70" s="1607"/>
      <c r="AH70" s="1607"/>
      <c r="AI70" s="1607"/>
      <c r="AJ70" s="1607"/>
      <c r="AK70" s="1607"/>
      <c r="AL70" s="1607"/>
      <c r="AM70" s="1607"/>
      <c r="AN70" s="1607"/>
      <c r="AO70" s="1607"/>
      <c r="AP70" s="1607"/>
      <c r="AQ70" s="1607"/>
      <c r="AR70" s="1607"/>
      <c r="AS70" s="1607"/>
      <c r="AT70" s="1607"/>
      <c r="AU70" s="1607"/>
      <c r="AV70" s="1607"/>
      <c r="AW70" s="1607"/>
      <c r="AX70" s="1607"/>
      <c r="AY70" s="1607"/>
      <c r="AZ70" s="1607"/>
      <c r="BA70" s="1607"/>
      <c r="BB70" s="1607"/>
      <c r="BC70" s="1607"/>
      <c r="BD70" s="1607"/>
      <c r="BE70" s="1607"/>
      <c r="BF70" s="1607"/>
      <c r="BG70" s="1607"/>
      <c r="BH70" s="1607"/>
      <c r="BI70" s="1607"/>
      <c r="BJ70" s="1607"/>
      <c r="BK70" s="1607"/>
      <c r="BL70" s="1607"/>
    </row>
    <row r="71">
      <c r="A71" s="1607"/>
      <c r="B71" s="1607"/>
      <c r="C71" s="1607"/>
      <c r="D71" s="1607"/>
      <c r="E71" s="1607"/>
      <c r="F71" s="1607"/>
      <c r="G71" s="1607"/>
      <c r="H71" s="1607"/>
      <c r="I71" s="1607"/>
      <c r="J71" s="1607"/>
      <c r="K71" s="1607"/>
      <c r="L71" s="1607"/>
      <c r="M71" s="1607"/>
      <c r="N71" s="1607"/>
      <c r="O71" s="1607"/>
      <c r="P71" s="1607"/>
      <c r="Q71" s="1607"/>
      <c r="R71" s="1607"/>
      <c r="S71" s="1607"/>
      <c r="T71" s="1607"/>
      <c r="U71" s="1607"/>
      <c r="V71" s="1607"/>
      <c r="W71" s="1607"/>
      <c r="X71" s="1607"/>
      <c r="Y71" s="1607"/>
      <c r="Z71" s="1607"/>
      <c r="AA71" s="1607"/>
      <c r="AB71" s="1607"/>
      <c r="AC71" s="1607"/>
      <c r="AD71" s="1607"/>
      <c r="AE71" s="1607"/>
      <c r="AF71" s="1607"/>
      <c r="AG71" s="1607"/>
      <c r="AH71" s="1607"/>
      <c r="AI71" s="1607"/>
      <c r="AJ71" s="1607"/>
      <c r="AK71" s="1607"/>
      <c r="AL71" s="1607"/>
      <c r="AM71" s="1607"/>
      <c r="AN71" s="1607"/>
      <c r="AO71" s="1607"/>
      <c r="AP71" s="1607"/>
      <c r="AQ71" s="1607"/>
      <c r="AR71" s="1607"/>
      <c r="AS71" s="1607"/>
      <c r="AT71" s="1607"/>
      <c r="AU71" s="1607"/>
      <c r="AV71" s="1607"/>
      <c r="AW71" s="1607"/>
      <c r="AX71" s="1607"/>
      <c r="AY71" s="1607"/>
      <c r="AZ71" s="1607"/>
      <c r="BA71" s="1607"/>
      <c r="BB71" s="1607"/>
      <c r="BC71" s="1607"/>
      <c r="BD71" s="1607"/>
      <c r="BE71" s="1607"/>
      <c r="BF71" s="1607"/>
      <c r="BG71" s="1607"/>
      <c r="BH71" s="1607"/>
      <c r="BI71" s="1607"/>
      <c r="BJ71" s="1607"/>
      <c r="BK71" s="1607"/>
      <c r="BL71" s="1607"/>
    </row>
    <row r="72">
      <c r="A72" s="1607"/>
      <c r="B72" s="1607"/>
      <c r="C72" s="1607"/>
      <c r="D72" s="1607"/>
      <c r="E72" s="1607"/>
      <c r="F72" s="1607"/>
      <c r="G72" s="1607"/>
      <c r="H72" s="1607"/>
      <c r="I72" s="1607"/>
      <c r="J72" s="1607"/>
      <c r="K72" s="1607"/>
      <c r="L72" s="1607"/>
      <c r="M72" s="1607"/>
      <c r="N72" s="1607"/>
      <c r="O72" s="1607"/>
      <c r="P72" s="1607"/>
      <c r="Q72" s="1607"/>
      <c r="R72" s="1607"/>
      <c r="S72" s="1607"/>
      <c r="T72" s="1607"/>
      <c r="U72" s="1607"/>
      <c r="V72" s="1607"/>
      <c r="W72" s="1607"/>
      <c r="X72" s="1607"/>
      <c r="Y72" s="1607"/>
      <c r="Z72" s="1607"/>
      <c r="AA72" s="1607"/>
      <c r="AB72" s="1607"/>
      <c r="AC72" s="1607"/>
      <c r="AD72" s="1607"/>
      <c r="AE72" s="1607"/>
      <c r="AF72" s="1607"/>
      <c r="AG72" s="1607"/>
      <c r="AH72" s="1607"/>
      <c r="AI72" s="1607"/>
      <c r="AJ72" s="1607"/>
      <c r="AK72" s="1607"/>
      <c r="AL72" s="1607"/>
      <c r="AM72" s="1607"/>
      <c r="AN72" s="1607"/>
      <c r="AO72" s="1607"/>
      <c r="AP72" s="1607"/>
      <c r="AQ72" s="1607"/>
      <c r="AR72" s="1607"/>
      <c r="AS72" s="1607"/>
      <c r="AT72" s="1607"/>
      <c r="AU72" s="1607"/>
      <c r="AV72" s="1607"/>
      <c r="AW72" s="1607"/>
      <c r="AX72" s="1607"/>
      <c r="AY72" s="1607"/>
      <c r="AZ72" s="1607"/>
      <c r="BA72" s="1607"/>
      <c r="BB72" s="1607"/>
      <c r="BC72" s="1607"/>
      <c r="BD72" s="1607"/>
      <c r="BE72" s="1607"/>
      <c r="BF72" s="1607"/>
      <c r="BG72" s="1607"/>
      <c r="BH72" s="1607"/>
      <c r="BI72" s="1607"/>
      <c r="BJ72" s="1607"/>
      <c r="BK72" s="1607"/>
      <c r="BL72" s="1607"/>
    </row>
    <row r="73">
      <c r="A73" s="1607"/>
      <c r="B73" s="1607"/>
      <c r="C73" s="1607"/>
      <c r="D73" s="1607"/>
      <c r="E73" s="1607"/>
      <c r="F73" s="1607"/>
      <c r="G73" s="1607"/>
      <c r="H73" s="1607"/>
      <c r="I73" s="1607"/>
      <c r="J73" s="1607"/>
      <c r="K73" s="1607"/>
      <c r="L73" s="1607"/>
      <c r="M73" s="1607"/>
      <c r="N73" s="1607"/>
      <c r="O73" s="1607"/>
      <c r="P73" s="1607"/>
      <c r="Q73" s="1607"/>
      <c r="R73" s="1607"/>
      <c r="S73" s="1607"/>
      <c r="T73" s="1607"/>
      <c r="U73" s="1607"/>
      <c r="V73" s="1607"/>
      <c r="W73" s="1607"/>
      <c r="X73" s="1607"/>
      <c r="Y73" s="1607"/>
      <c r="Z73" s="1607"/>
      <c r="AA73" s="1607"/>
      <c r="AB73" s="1607"/>
      <c r="AC73" s="1607"/>
      <c r="AD73" s="1607"/>
      <c r="AE73" s="1607"/>
      <c r="AF73" s="1607"/>
      <c r="AG73" s="1607"/>
      <c r="AH73" s="1607"/>
      <c r="AI73" s="1607"/>
      <c r="AJ73" s="1607"/>
      <c r="AK73" s="1607"/>
      <c r="AL73" s="1607"/>
      <c r="AM73" s="1607"/>
      <c r="AN73" s="1607"/>
      <c r="AO73" s="1607"/>
      <c r="AP73" s="1607"/>
      <c r="AQ73" s="1607"/>
      <c r="AR73" s="1607"/>
      <c r="AS73" s="1607"/>
      <c r="AT73" s="1607"/>
      <c r="AU73" s="1607"/>
      <c r="AV73" s="1607"/>
      <c r="AW73" s="1607"/>
      <c r="AX73" s="1607"/>
      <c r="AY73" s="1607"/>
      <c r="AZ73" s="1607"/>
      <c r="BA73" s="1607"/>
      <c r="BB73" s="1607"/>
      <c r="BC73" s="1607"/>
      <c r="BD73" s="1607"/>
      <c r="BE73" s="1607"/>
      <c r="BF73" s="1607"/>
      <c r="BG73" s="1607"/>
      <c r="BH73" s="1607"/>
      <c r="BI73" s="1607"/>
      <c r="BJ73" s="1607"/>
      <c r="BK73" s="1607"/>
      <c r="BL73" s="1607"/>
    </row>
    <row r="74">
      <c r="A74" s="1607"/>
      <c r="B74" s="1607"/>
      <c r="C74" s="1607"/>
      <c r="D74" s="1607"/>
      <c r="E74" s="1607"/>
      <c r="F74" s="1607"/>
      <c r="G74" s="1607"/>
      <c r="H74" s="1607"/>
      <c r="I74" s="1607"/>
      <c r="J74" s="1607"/>
      <c r="K74" s="1607"/>
      <c r="L74" s="1607"/>
      <c r="M74" s="1607"/>
      <c r="N74" s="1607"/>
      <c r="O74" s="1607"/>
      <c r="P74" s="1607"/>
      <c r="Q74" s="1607"/>
      <c r="R74" s="1607"/>
      <c r="S74" s="1607"/>
      <c r="T74" s="1607"/>
      <c r="U74" s="1607"/>
      <c r="V74" s="1607"/>
      <c r="W74" s="1607"/>
      <c r="X74" s="1607"/>
      <c r="Y74" s="1607"/>
      <c r="Z74" s="1607"/>
      <c r="AA74" s="1607"/>
      <c r="AB74" s="1607"/>
      <c r="AC74" s="1607"/>
      <c r="AD74" s="1607"/>
      <c r="AE74" s="1607"/>
      <c r="AF74" s="1607"/>
      <c r="AG74" s="1607"/>
      <c r="AH74" s="1607"/>
      <c r="AI74" s="1607"/>
      <c r="AJ74" s="1607"/>
      <c r="AK74" s="1607"/>
      <c r="AL74" s="1607"/>
      <c r="AM74" s="1607"/>
      <c r="AN74" s="1607"/>
      <c r="AO74" s="1607"/>
      <c r="AP74" s="1607"/>
      <c r="AQ74" s="1607"/>
      <c r="AR74" s="1607"/>
      <c r="AS74" s="1607"/>
      <c r="AT74" s="1607"/>
      <c r="AU74" s="1607"/>
      <c r="AV74" s="1607"/>
      <c r="AW74" s="1607"/>
      <c r="AX74" s="1607"/>
      <c r="AY74" s="1607"/>
      <c r="AZ74" s="1607"/>
      <c r="BA74" s="1607"/>
      <c r="BB74" s="1607"/>
      <c r="BC74" s="1607"/>
      <c r="BD74" s="1607"/>
      <c r="BE74" s="1607"/>
      <c r="BF74" s="1607"/>
      <c r="BG74" s="1607"/>
      <c r="BH74" s="1607"/>
      <c r="BI74" s="1607"/>
      <c r="BJ74" s="1607"/>
      <c r="BK74" s="1607"/>
      <c r="BL74" s="1607"/>
    </row>
    <row r="75">
      <c r="A75" s="1607"/>
      <c r="B75" s="1607"/>
      <c r="C75" s="1607"/>
      <c r="D75" s="1607"/>
      <c r="E75" s="1607"/>
      <c r="F75" s="1607"/>
      <c r="G75" s="1607"/>
      <c r="H75" s="1607"/>
      <c r="I75" s="1607"/>
      <c r="J75" s="1607"/>
      <c r="K75" s="1607"/>
      <c r="L75" s="1607"/>
      <c r="M75" s="1607"/>
      <c r="N75" s="1607"/>
      <c r="O75" s="1607"/>
      <c r="P75" s="1607"/>
      <c r="Q75" s="1607"/>
      <c r="R75" s="1607"/>
      <c r="S75" s="1607"/>
      <c r="T75" s="1607"/>
      <c r="U75" s="1607"/>
      <c r="V75" s="1607"/>
      <c r="W75" s="1607"/>
      <c r="X75" s="1607"/>
      <c r="Y75" s="1607"/>
      <c r="Z75" s="1607"/>
      <c r="AA75" s="1607"/>
      <c r="AB75" s="1607"/>
      <c r="AC75" s="1607"/>
      <c r="AD75" s="1607"/>
      <c r="AE75" s="1607"/>
      <c r="AF75" s="1607"/>
      <c r="AG75" s="1607"/>
      <c r="AH75" s="1607"/>
      <c r="AI75" s="1607"/>
      <c r="AJ75" s="1607"/>
      <c r="AK75" s="1607"/>
      <c r="AL75" s="1607"/>
      <c r="AM75" s="1607"/>
      <c r="AN75" s="1607"/>
      <c r="AO75" s="1607"/>
      <c r="AP75" s="1607"/>
      <c r="AQ75" s="1607"/>
      <c r="AR75" s="1607"/>
      <c r="AS75" s="1607"/>
      <c r="AT75" s="1607"/>
      <c r="AU75" s="1607"/>
      <c r="AV75" s="1607"/>
      <c r="AW75" s="1607"/>
      <c r="AX75" s="1607"/>
      <c r="AY75" s="1607"/>
      <c r="AZ75" s="1607"/>
      <c r="BA75" s="1607"/>
      <c r="BB75" s="1607"/>
      <c r="BC75" s="1607"/>
      <c r="BD75" s="1607"/>
      <c r="BE75" s="1607"/>
      <c r="BF75" s="1607"/>
      <c r="BG75" s="1607"/>
      <c r="BH75" s="1607"/>
      <c r="BI75" s="1607"/>
      <c r="BJ75" s="1607"/>
      <c r="BK75" s="1607"/>
      <c r="BL75" s="1607"/>
    </row>
    <row r="76">
      <c r="A76" s="1607"/>
      <c r="B76" s="1607"/>
      <c r="C76" s="1607"/>
      <c r="D76" s="1607"/>
      <c r="E76" s="1607"/>
      <c r="F76" s="1607"/>
      <c r="G76" s="1607"/>
      <c r="H76" s="1607"/>
      <c r="I76" s="1607"/>
      <c r="J76" s="1607"/>
      <c r="K76" s="1607"/>
      <c r="L76" s="1607"/>
      <c r="M76" s="1607"/>
      <c r="N76" s="1607"/>
      <c r="O76" s="1607"/>
      <c r="P76" s="1607"/>
      <c r="Q76" s="1607"/>
      <c r="R76" s="1607"/>
      <c r="S76" s="1607"/>
      <c r="T76" s="1607"/>
      <c r="U76" s="1607"/>
      <c r="V76" s="1607"/>
      <c r="W76" s="1607"/>
      <c r="X76" s="1607"/>
      <c r="Y76" s="1607"/>
      <c r="Z76" s="1607"/>
      <c r="AA76" s="1607"/>
      <c r="AB76" s="1607"/>
      <c r="AC76" s="1607"/>
      <c r="AD76" s="1607"/>
      <c r="AE76" s="1607"/>
      <c r="AF76" s="1607"/>
      <c r="AG76" s="1607"/>
      <c r="AH76" s="1607"/>
      <c r="AI76" s="1607"/>
      <c r="AJ76" s="1607"/>
      <c r="AK76" s="1607"/>
      <c r="AL76" s="1607"/>
      <c r="AM76" s="1607"/>
      <c r="AN76" s="1607"/>
      <c r="AO76" s="1607"/>
      <c r="AP76" s="1607"/>
      <c r="AQ76" s="1607"/>
      <c r="AR76" s="1607"/>
      <c r="AS76" s="1607"/>
      <c r="AT76" s="1607"/>
      <c r="AU76" s="1607"/>
      <c r="AV76" s="1607"/>
      <c r="AW76" s="1607"/>
      <c r="AX76" s="1607"/>
      <c r="AY76" s="1607"/>
      <c r="AZ76" s="1607"/>
      <c r="BA76" s="1607"/>
      <c r="BB76" s="1607"/>
      <c r="BC76" s="1607"/>
      <c r="BD76" s="1607"/>
      <c r="BE76" s="1607"/>
      <c r="BF76" s="1607"/>
      <c r="BG76" s="1607"/>
      <c r="BH76" s="1607"/>
      <c r="BI76" s="1607"/>
      <c r="BJ76" s="1607"/>
      <c r="BK76" s="1607"/>
      <c r="BL76" s="1607"/>
    </row>
    <row r="77">
      <c r="A77" s="1607"/>
      <c r="B77" s="1607"/>
      <c r="C77" s="1607"/>
      <c r="D77" s="1607"/>
      <c r="E77" s="1607"/>
      <c r="F77" s="1607"/>
      <c r="G77" s="1607"/>
      <c r="H77" s="1607"/>
      <c r="I77" s="1607"/>
      <c r="J77" s="1607"/>
      <c r="K77" s="1607"/>
      <c r="L77" s="1607"/>
      <c r="M77" s="1607"/>
      <c r="N77" s="1607"/>
      <c r="O77" s="1607"/>
      <c r="P77" s="1607"/>
      <c r="Q77" s="1607"/>
      <c r="R77" s="1607"/>
      <c r="S77" s="1607"/>
      <c r="T77" s="1607"/>
      <c r="U77" s="1607"/>
      <c r="V77" s="1607"/>
      <c r="W77" s="1607"/>
      <c r="X77" s="1607"/>
      <c r="Y77" s="1607"/>
      <c r="Z77" s="1607"/>
      <c r="AA77" s="1607"/>
      <c r="AB77" s="1607"/>
      <c r="AC77" s="1607"/>
      <c r="AD77" s="1607"/>
      <c r="AE77" s="1607"/>
      <c r="AF77" s="1607"/>
      <c r="AG77" s="1607"/>
      <c r="AH77" s="1607"/>
      <c r="AI77" s="1607"/>
      <c r="AJ77" s="1607"/>
      <c r="AK77" s="1607"/>
      <c r="AL77" s="1607"/>
      <c r="AM77" s="1607"/>
      <c r="AN77" s="1607"/>
      <c r="AO77" s="1607"/>
      <c r="AP77" s="1607"/>
      <c r="AQ77" s="1607"/>
      <c r="AR77" s="1607"/>
      <c r="AS77" s="1607"/>
      <c r="AT77" s="1607"/>
      <c r="AU77" s="1607"/>
      <c r="AV77" s="1607"/>
      <c r="AW77" s="1607"/>
      <c r="AX77" s="1607"/>
      <c r="AY77" s="1607"/>
      <c r="AZ77" s="1607"/>
      <c r="BA77" s="1607"/>
      <c r="BB77" s="1607"/>
      <c r="BC77" s="1607"/>
      <c r="BD77" s="1607"/>
      <c r="BE77" s="1607"/>
      <c r="BF77" s="1607"/>
      <c r="BG77" s="1607"/>
      <c r="BH77" s="1607"/>
      <c r="BI77" s="1607"/>
      <c r="BJ77" s="1607"/>
      <c r="BK77" s="1607"/>
      <c r="BL77" s="1607"/>
    </row>
    <row r="78">
      <c r="A78" s="1607"/>
      <c r="B78" s="1607"/>
      <c r="C78" s="1607"/>
      <c r="D78" s="1607"/>
      <c r="E78" s="1607"/>
      <c r="F78" s="1607"/>
      <c r="G78" s="1607"/>
      <c r="H78" s="1607"/>
      <c r="I78" s="1607"/>
      <c r="J78" s="1607"/>
      <c r="K78" s="1607"/>
      <c r="L78" s="1607"/>
      <c r="M78" s="1607"/>
      <c r="N78" s="1607"/>
      <c r="O78" s="1607"/>
      <c r="P78" s="1607"/>
      <c r="Q78" s="1607"/>
      <c r="R78" s="1607"/>
      <c r="S78" s="1607"/>
      <c r="T78" s="1607"/>
      <c r="U78" s="1607"/>
      <c r="V78" s="1607"/>
      <c r="W78" s="1607"/>
      <c r="X78" s="1607"/>
      <c r="Y78" s="1607"/>
      <c r="Z78" s="1607"/>
      <c r="AA78" s="1607"/>
      <c r="AB78" s="1607"/>
      <c r="AC78" s="1607"/>
      <c r="AD78" s="1607"/>
      <c r="AE78" s="1607"/>
      <c r="AF78" s="1607"/>
      <c r="AG78" s="1607"/>
      <c r="AH78" s="1607"/>
      <c r="AI78" s="1607"/>
      <c r="AJ78" s="1607"/>
      <c r="AK78" s="1607"/>
      <c r="AL78" s="1607"/>
      <c r="AM78" s="1607"/>
      <c r="AN78" s="1607"/>
      <c r="AO78" s="1607"/>
      <c r="AP78" s="1607"/>
      <c r="AQ78" s="1607"/>
      <c r="AR78" s="1607"/>
      <c r="AS78" s="1607"/>
      <c r="AT78" s="1607"/>
      <c r="AU78" s="1607"/>
      <c r="AV78" s="1607"/>
      <c r="AW78" s="1607"/>
      <c r="AX78" s="1607"/>
      <c r="AY78" s="1607"/>
      <c r="AZ78" s="1607"/>
      <c r="BA78" s="1607"/>
      <c r="BB78" s="1607"/>
      <c r="BC78" s="1607"/>
      <c r="BD78" s="1607"/>
      <c r="BE78" s="1607"/>
      <c r="BF78" s="1607"/>
      <c r="BG78" s="1607"/>
      <c r="BH78" s="1607"/>
      <c r="BI78" s="1607"/>
      <c r="BJ78" s="1607"/>
      <c r="BK78" s="1607"/>
      <c r="BL78" s="1607"/>
    </row>
    <row r="79">
      <c r="A79" s="1607"/>
      <c r="B79" s="1607"/>
      <c r="C79" s="1607"/>
      <c r="D79" s="1607"/>
      <c r="E79" s="1607"/>
      <c r="F79" s="1607"/>
      <c r="G79" s="1607"/>
      <c r="H79" s="1607"/>
      <c r="I79" s="1607"/>
      <c r="J79" s="1607"/>
      <c r="K79" s="1607"/>
      <c r="L79" s="1607"/>
      <c r="M79" s="1607"/>
      <c r="N79" s="1607"/>
      <c r="O79" s="1607"/>
      <c r="P79" s="1607"/>
      <c r="Q79" s="1607"/>
      <c r="R79" s="1607"/>
      <c r="S79" s="1607"/>
      <c r="T79" s="1607"/>
      <c r="U79" s="1607"/>
      <c r="V79" s="1607"/>
      <c r="W79" s="1607"/>
      <c r="X79" s="1607"/>
      <c r="Y79" s="1607"/>
      <c r="Z79" s="1607"/>
      <c r="AA79" s="1607"/>
      <c r="AB79" s="1607"/>
      <c r="AC79" s="1607"/>
      <c r="AD79" s="1607"/>
      <c r="AE79" s="1607"/>
      <c r="AF79" s="1607"/>
      <c r="AG79" s="1607"/>
      <c r="AH79" s="1607"/>
      <c r="AI79" s="1607"/>
      <c r="AJ79" s="1607"/>
      <c r="AK79" s="1607"/>
      <c r="AL79" s="1607"/>
      <c r="AM79" s="1607"/>
      <c r="AN79" s="1607"/>
      <c r="AO79" s="1607"/>
      <c r="AP79" s="1607"/>
      <c r="AQ79" s="1607"/>
      <c r="AR79" s="1607"/>
      <c r="AS79" s="1607"/>
      <c r="AT79" s="1607"/>
      <c r="AU79" s="1607"/>
      <c r="AV79" s="1607"/>
      <c r="AW79" s="1607"/>
      <c r="AX79" s="1607"/>
      <c r="AY79" s="1607"/>
      <c r="AZ79" s="1607"/>
      <c r="BA79" s="1607"/>
      <c r="BB79" s="1607"/>
      <c r="BC79" s="1607"/>
      <c r="BD79" s="1607"/>
      <c r="BE79" s="1607"/>
      <c r="BF79" s="1607"/>
      <c r="BG79" s="1607"/>
      <c r="BH79" s="1607"/>
      <c r="BI79" s="1607"/>
      <c r="BJ79" s="1607"/>
      <c r="BK79" s="1607"/>
      <c r="BL79" s="1607"/>
    </row>
    <row r="80">
      <c r="A80" s="1607"/>
      <c r="B80" s="1607"/>
      <c r="C80" s="1607"/>
      <c r="D80" s="1607"/>
      <c r="E80" s="1607"/>
      <c r="F80" s="1607"/>
      <c r="G80" s="1607"/>
      <c r="H80" s="1607"/>
      <c r="I80" s="1607"/>
      <c r="J80" s="1607"/>
      <c r="K80" s="1607"/>
      <c r="L80" s="1607"/>
      <c r="M80" s="1607"/>
      <c r="N80" s="1607"/>
      <c r="O80" s="1607"/>
      <c r="P80" s="1607"/>
      <c r="Q80" s="1607"/>
      <c r="R80" s="1607"/>
      <c r="S80" s="1607"/>
      <c r="T80" s="1607"/>
      <c r="U80" s="1607"/>
      <c r="V80" s="1607"/>
      <c r="W80" s="1607"/>
      <c r="X80" s="1607"/>
      <c r="Y80" s="1607"/>
      <c r="Z80" s="1607"/>
      <c r="AA80" s="1607"/>
      <c r="AB80" s="1607"/>
      <c r="AC80" s="1607"/>
      <c r="AD80" s="1607"/>
      <c r="AE80" s="1607"/>
      <c r="AF80" s="1607"/>
      <c r="AG80" s="1607"/>
      <c r="AH80" s="1607"/>
      <c r="AI80" s="1607"/>
      <c r="AJ80" s="1607"/>
      <c r="AK80" s="1607"/>
      <c r="AL80" s="1607"/>
      <c r="AM80" s="1607"/>
      <c r="AN80" s="1607"/>
      <c r="AO80" s="1607"/>
      <c r="AP80" s="1607"/>
      <c r="AQ80" s="1607"/>
      <c r="AR80" s="1607"/>
      <c r="AS80" s="1607"/>
      <c r="AT80" s="1607"/>
      <c r="AU80" s="1607"/>
      <c r="AV80" s="1607"/>
      <c r="AW80" s="1607"/>
      <c r="AX80" s="1607"/>
      <c r="AY80" s="1607"/>
      <c r="AZ80" s="1607"/>
      <c r="BA80" s="1607"/>
      <c r="BB80" s="1607"/>
      <c r="BC80" s="1607"/>
      <c r="BD80" s="1607"/>
      <c r="BE80" s="1607"/>
      <c r="BF80" s="1607"/>
      <c r="BG80" s="1607"/>
      <c r="BH80" s="1607"/>
      <c r="BI80" s="1607"/>
      <c r="BJ80" s="1607"/>
      <c r="BK80" s="1607"/>
      <c r="BL80" s="1607"/>
    </row>
    <row r="81">
      <c r="A81" s="1607"/>
      <c r="B81" s="1607"/>
      <c r="C81" s="1607"/>
      <c r="D81" s="1607"/>
      <c r="E81" s="1607"/>
      <c r="F81" s="1607"/>
      <c r="G81" s="1607"/>
      <c r="H81" s="1607"/>
      <c r="I81" s="1607"/>
      <c r="J81" s="1607"/>
      <c r="K81" s="1607"/>
      <c r="L81" s="1607"/>
      <c r="M81" s="1607"/>
      <c r="N81" s="1607"/>
      <c r="O81" s="1607"/>
      <c r="P81" s="1607"/>
      <c r="Q81" s="1607"/>
      <c r="R81" s="1607"/>
      <c r="S81" s="1607"/>
      <c r="T81" s="1607"/>
      <c r="U81" s="1607"/>
      <c r="V81" s="1607"/>
      <c r="W81" s="1607"/>
      <c r="X81" s="1607"/>
      <c r="Y81" s="1607"/>
      <c r="Z81" s="1607"/>
      <c r="AA81" s="1607"/>
      <c r="AB81" s="1607"/>
      <c r="AC81" s="1607"/>
      <c r="AD81" s="1607"/>
      <c r="AE81" s="1607"/>
      <c r="AF81" s="1607"/>
      <c r="AG81" s="1607"/>
      <c r="AH81" s="1607"/>
      <c r="AI81" s="1607"/>
      <c r="AJ81" s="1607"/>
      <c r="AK81" s="1607"/>
      <c r="AL81" s="1607"/>
      <c r="AM81" s="1607"/>
      <c r="AN81" s="1607"/>
      <c r="AO81" s="1607"/>
      <c r="AP81" s="1607"/>
      <c r="AQ81" s="1607"/>
      <c r="AR81" s="1607"/>
      <c r="AS81" s="1607"/>
      <c r="AT81" s="1607"/>
      <c r="AU81" s="1607"/>
      <c r="AV81" s="1607"/>
      <c r="AW81" s="1607"/>
      <c r="AX81" s="1607"/>
      <c r="AY81" s="1607"/>
      <c r="AZ81" s="1607"/>
      <c r="BA81" s="1607"/>
      <c r="BB81" s="1607"/>
      <c r="BC81" s="1607"/>
      <c r="BD81" s="1607"/>
      <c r="BE81" s="1607"/>
      <c r="BF81" s="1607"/>
      <c r="BG81" s="1607"/>
      <c r="BH81" s="1607"/>
      <c r="BI81" s="1607"/>
      <c r="BJ81" s="1607"/>
      <c r="BK81" s="1607"/>
      <c r="BL81" s="1607"/>
    </row>
    <row r="82">
      <c r="A82" s="1607"/>
      <c r="B82" s="1607"/>
      <c r="C82" s="1607"/>
      <c r="D82" s="1607"/>
      <c r="E82" s="1607"/>
      <c r="F82" s="1607"/>
      <c r="G82" s="1607"/>
      <c r="H82" s="1607"/>
      <c r="I82" s="1607"/>
      <c r="J82" s="1607"/>
      <c r="K82" s="1607"/>
      <c r="L82" s="1607"/>
      <c r="M82" s="1607"/>
      <c r="N82" s="1607"/>
      <c r="O82" s="1607"/>
      <c r="P82" s="1607"/>
      <c r="Q82" s="1607"/>
      <c r="R82" s="1607"/>
      <c r="S82" s="1607"/>
      <c r="T82" s="1607"/>
      <c r="U82" s="1607"/>
      <c r="V82" s="1607"/>
      <c r="W82" s="1607"/>
      <c r="X82" s="1607"/>
      <c r="Y82" s="1607"/>
      <c r="Z82" s="1607"/>
      <c r="AA82" s="1607"/>
      <c r="AB82" s="1607"/>
      <c r="AC82" s="1607"/>
      <c r="AD82" s="1607"/>
      <c r="AE82" s="1607"/>
      <c r="AF82" s="1607"/>
      <c r="AG82" s="1607"/>
      <c r="AH82" s="1607"/>
      <c r="AI82" s="1607"/>
      <c r="AJ82" s="1607"/>
      <c r="AK82" s="1607"/>
      <c r="AL82" s="1607"/>
      <c r="AM82" s="1607"/>
      <c r="AN82" s="1607"/>
      <c r="AO82" s="1607"/>
      <c r="AP82" s="1607"/>
      <c r="AQ82" s="1607"/>
      <c r="AR82" s="1607"/>
      <c r="AS82" s="1607"/>
      <c r="AT82" s="1607"/>
      <c r="AU82" s="1607"/>
      <c r="AV82" s="1607"/>
      <c r="AW82" s="1607"/>
      <c r="AX82" s="1607"/>
      <c r="AY82" s="1607"/>
      <c r="AZ82" s="1607"/>
      <c r="BA82" s="1607"/>
      <c r="BB82" s="1607"/>
      <c r="BC82" s="1607"/>
      <c r="BD82" s="1607"/>
      <c r="BE82" s="1607"/>
      <c r="BF82" s="1607"/>
      <c r="BG82" s="1607"/>
      <c r="BH82" s="1607"/>
      <c r="BI82" s="1607"/>
      <c r="BJ82" s="1607"/>
      <c r="BK82" s="1607"/>
      <c r="BL82" s="1607"/>
    </row>
    <row r="83">
      <c r="A83" s="1607"/>
      <c r="B83" s="1607"/>
      <c r="C83" s="1607"/>
      <c r="D83" s="1607"/>
      <c r="E83" s="1607"/>
      <c r="F83" s="1607"/>
      <c r="G83" s="1607"/>
      <c r="H83" s="1607"/>
      <c r="I83" s="1607"/>
      <c r="J83" s="1607"/>
      <c r="K83" s="1607"/>
      <c r="L83" s="1607"/>
      <c r="M83" s="1607"/>
      <c r="N83" s="1607"/>
      <c r="O83" s="1607"/>
      <c r="P83" s="1607"/>
      <c r="Q83" s="1607"/>
      <c r="R83" s="1607"/>
      <c r="S83" s="1607"/>
      <c r="T83" s="1607"/>
      <c r="U83" s="1607"/>
      <c r="V83" s="1607"/>
      <c r="W83" s="1607"/>
      <c r="X83" s="1607"/>
      <c r="Y83" s="1607"/>
      <c r="Z83" s="1607"/>
      <c r="AA83" s="1607"/>
      <c r="AB83" s="1607"/>
      <c r="AC83" s="1607"/>
      <c r="AD83" s="1607"/>
      <c r="AE83" s="1607"/>
      <c r="AF83" s="1607"/>
      <c r="AG83" s="1607"/>
      <c r="AH83" s="1607"/>
      <c r="AI83" s="1607"/>
      <c r="AJ83" s="1607"/>
      <c r="AK83" s="1607"/>
      <c r="AL83" s="1607"/>
      <c r="AM83" s="1607"/>
      <c r="AN83" s="1607"/>
      <c r="AO83" s="1607"/>
      <c r="AP83" s="1607"/>
      <c r="AQ83" s="1607"/>
      <c r="AR83" s="1607"/>
      <c r="AS83" s="1607"/>
      <c r="AT83" s="1607"/>
      <c r="AU83" s="1607"/>
      <c r="AV83" s="1607"/>
      <c r="AW83" s="1607"/>
      <c r="AX83" s="1607"/>
      <c r="AY83" s="1607"/>
      <c r="AZ83" s="1607"/>
      <c r="BA83" s="1607"/>
      <c r="BB83" s="1607"/>
      <c r="BC83" s="1607"/>
      <c r="BD83" s="1607"/>
      <c r="BE83" s="1607"/>
      <c r="BF83" s="1607"/>
      <c r="BG83" s="1607"/>
      <c r="BH83" s="1607"/>
      <c r="BI83" s="1607"/>
      <c r="BJ83" s="1607"/>
      <c r="BK83" s="1607"/>
      <c r="BL83" s="1607"/>
    </row>
    <row r="84">
      <c r="A84" s="1607"/>
      <c r="B84" s="1607"/>
      <c r="C84" s="1607"/>
      <c r="D84" s="1607"/>
      <c r="E84" s="1607"/>
      <c r="F84" s="1607"/>
      <c r="G84" s="1607"/>
      <c r="H84" s="1607"/>
      <c r="I84" s="1607"/>
      <c r="J84" s="1607"/>
      <c r="K84" s="1607"/>
      <c r="L84" s="1607"/>
      <c r="M84" s="1607"/>
      <c r="N84" s="1607"/>
      <c r="O84" s="1607"/>
      <c r="P84" s="1607"/>
      <c r="Q84" s="1607"/>
      <c r="R84" s="1607"/>
      <c r="S84" s="1607"/>
      <c r="T84" s="1607"/>
      <c r="U84" s="1607"/>
      <c r="V84" s="1607"/>
      <c r="W84" s="1607"/>
      <c r="X84" s="1607"/>
      <c r="Y84" s="1607"/>
      <c r="Z84" s="1607"/>
      <c r="AA84" s="1607"/>
      <c r="AB84" s="1607"/>
      <c r="AC84" s="1607"/>
      <c r="AD84" s="1607"/>
      <c r="AE84" s="1607"/>
      <c r="AF84" s="1607"/>
      <c r="AG84" s="1607"/>
      <c r="AH84" s="1607"/>
      <c r="AI84" s="1607"/>
      <c r="AJ84" s="1607"/>
      <c r="AK84" s="1607"/>
      <c r="AL84" s="1607"/>
      <c r="AM84" s="1607"/>
      <c r="AN84" s="1607"/>
      <c r="AO84" s="1607"/>
      <c r="AP84" s="1607"/>
      <c r="AQ84" s="1607"/>
      <c r="AR84" s="1607"/>
      <c r="AS84" s="1607"/>
      <c r="AT84" s="1607"/>
      <c r="AU84" s="1607"/>
      <c r="AV84" s="1607"/>
      <c r="AW84" s="1607"/>
      <c r="AX84" s="1607"/>
      <c r="AY84" s="1607"/>
      <c r="AZ84" s="1607"/>
      <c r="BA84" s="1607"/>
      <c r="BB84" s="1607"/>
      <c r="BC84" s="1607"/>
      <c r="BD84" s="1607"/>
      <c r="BE84" s="1607"/>
      <c r="BF84" s="1607"/>
      <c r="BG84" s="1607"/>
      <c r="BH84" s="1607"/>
      <c r="BI84" s="1607"/>
      <c r="BJ84" s="1607"/>
      <c r="BK84" s="1607"/>
      <c r="BL84" s="1607"/>
    </row>
    <row r="85">
      <c r="A85" s="1607"/>
      <c r="B85" s="1607"/>
      <c r="C85" s="1607"/>
      <c r="D85" s="1607"/>
      <c r="E85" s="1607"/>
      <c r="F85" s="1607"/>
      <c r="G85" s="1607"/>
      <c r="H85" s="1607"/>
      <c r="I85" s="1607"/>
      <c r="J85" s="1607"/>
      <c r="K85" s="1607"/>
      <c r="L85" s="1607"/>
      <c r="M85" s="1607"/>
      <c r="N85" s="1607"/>
      <c r="O85" s="1607"/>
      <c r="P85" s="1607"/>
      <c r="Q85" s="1607"/>
      <c r="R85" s="1607"/>
      <c r="S85" s="1607"/>
      <c r="T85" s="1607"/>
      <c r="U85" s="1607"/>
      <c r="V85" s="1607"/>
      <c r="W85" s="1607"/>
      <c r="X85" s="1607"/>
      <c r="Y85" s="1607"/>
      <c r="Z85" s="1607"/>
      <c r="AA85" s="1607"/>
      <c r="AB85" s="1607"/>
      <c r="AC85" s="1607"/>
      <c r="AD85" s="1607"/>
      <c r="AE85" s="1607"/>
      <c r="AF85" s="1607"/>
      <c r="AG85" s="1607"/>
      <c r="AH85" s="1607"/>
      <c r="AI85" s="1607"/>
      <c r="AJ85" s="1607"/>
      <c r="AK85" s="1607"/>
      <c r="AL85" s="1607"/>
      <c r="AM85" s="1607"/>
      <c r="AN85" s="1607"/>
      <c r="AO85" s="1607"/>
      <c r="AP85" s="1607"/>
      <c r="AQ85" s="1607"/>
      <c r="AR85" s="1607"/>
      <c r="AS85" s="1607"/>
      <c r="AT85" s="1607"/>
      <c r="AU85" s="1607"/>
      <c r="AV85" s="1607"/>
      <c r="AW85" s="1607"/>
      <c r="AX85" s="1607"/>
      <c r="AY85" s="1607"/>
      <c r="AZ85" s="1607"/>
      <c r="BA85" s="1607"/>
      <c r="BB85" s="1607"/>
      <c r="BC85" s="1607"/>
      <c r="BD85" s="1607"/>
      <c r="BE85" s="1607"/>
      <c r="BF85" s="1607"/>
      <c r="BG85" s="1607"/>
      <c r="BH85" s="1607"/>
      <c r="BI85" s="1607"/>
      <c r="BJ85" s="1607"/>
      <c r="BK85" s="1607"/>
      <c r="BL85" s="1607"/>
    </row>
    <row r="86">
      <c r="A86" s="1607"/>
      <c r="B86" s="1607"/>
      <c r="C86" s="1607"/>
      <c r="D86" s="1607"/>
      <c r="E86" s="1607"/>
      <c r="F86" s="1607"/>
      <c r="G86" s="1607"/>
      <c r="H86" s="1607"/>
      <c r="I86" s="1607"/>
      <c r="J86" s="1607"/>
      <c r="K86" s="1607"/>
      <c r="L86" s="1607"/>
      <c r="M86" s="1607"/>
      <c r="N86" s="1607"/>
      <c r="O86" s="1607"/>
      <c r="P86" s="1607"/>
      <c r="Q86" s="1607"/>
      <c r="R86" s="1607"/>
      <c r="S86" s="1607"/>
      <c r="T86" s="1607"/>
      <c r="U86" s="1607"/>
      <c r="V86" s="1607"/>
      <c r="W86" s="1607"/>
      <c r="X86" s="1607"/>
      <c r="Y86" s="1607"/>
      <c r="Z86" s="1607"/>
      <c r="AA86" s="1607"/>
      <c r="AB86" s="1607"/>
      <c r="AC86" s="1607"/>
      <c r="AD86" s="1607"/>
      <c r="AE86" s="1607"/>
      <c r="AF86" s="1607"/>
      <c r="AG86" s="1607"/>
      <c r="AH86" s="1607"/>
      <c r="AI86" s="1607"/>
      <c r="AJ86" s="1607"/>
      <c r="AK86" s="1607"/>
      <c r="AL86" s="1607"/>
      <c r="AM86" s="1607"/>
      <c r="AN86" s="1607"/>
      <c r="AO86" s="1607"/>
      <c r="AP86" s="1607"/>
      <c r="AQ86" s="1607"/>
      <c r="AR86" s="1607"/>
      <c r="AS86" s="1607"/>
      <c r="AT86" s="1607"/>
      <c r="AU86" s="1607"/>
      <c r="AV86" s="1607"/>
      <c r="AW86" s="1607"/>
      <c r="AX86" s="1607"/>
      <c r="AY86" s="1607"/>
      <c r="AZ86" s="1607"/>
      <c r="BA86" s="1607"/>
      <c r="BB86" s="1607"/>
      <c r="BC86" s="1607"/>
      <c r="BD86" s="1607"/>
      <c r="BE86" s="1607"/>
      <c r="BF86" s="1607"/>
      <c r="BG86" s="1607"/>
      <c r="BH86" s="1607"/>
      <c r="BI86" s="1607"/>
      <c r="BJ86" s="1607"/>
      <c r="BK86" s="1607"/>
      <c r="BL86" s="1607"/>
    </row>
    <row r="87">
      <c r="A87" s="1607"/>
      <c r="B87" s="1607"/>
      <c r="C87" s="1607"/>
      <c r="D87" s="1607"/>
      <c r="E87" s="1607"/>
      <c r="F87" s="1607"/>
      <c r="G87" s="1607"/>
      <c r="H87" s="1607"/>
      <c r="I87" s="1607"/>
      <c r="J87" s="1607"/>
      <c r="K87" s="1607"/>
      <c r="L87" s="1607"/>
      <c r="M87" s="1607"/>
      <c r="N87" s="1607"/>
      <c r="O87" s="1607"/>
      <c r="P87" s="1607"/>
      <c r="Q87" s="1607"/>
      <c r="R87" s="1607"/>
      <c r="S87" s="1607"/>
      <c r="T87" s="1607"/>
      <c r="U87" s="1607"/>
      <c r="V87" s="1607"/>
      <c r="W87" s="1607"/>
      <c r="X87" s="1607"/>
      <c r="Y87" s="1607"/>
      <c r="Z87" s="1607"/>
      <c r="AA87" s="1607"/>
      <c r="AB87" s="1607"/>
      <c r="AC87" s="1607"/>
      <c r="AD87" s="1607"/>
      <c r="AE87" s="1607"/>
      <c r="AF87" s="1607"/>
      <c r="AG87" s="1607"/>
      <c r="AH87" s="1607"/>
      <c r="AI87" s="1607"/>
      <c r="AJ87" s="1607"/>
      <c r="AK87" s="1607"/>
      <c r="AL87" s="1607"/>
      <c r="AM87" s="1607"/>
      <c r="AN87" s="1607"/>
      <c r="AO87" s="1607"/>
      <c r="AP87" s="1607"/>
      <c r="AQ87" s="1607"/>
      <c r="AR87" s="1607"/>
      <c r="AS87" s="1607"/>
      <c r="AT87" s="1607"/>
      <c r="AU87" s="1607"/>
      <c r="AV87" s="1607"/>
      <c r="AW87" s="1607"/>
      <c r="AX87" s="1607"/>
      <c r="AY87" s="1607"/>
      <c r="AZ87" s="1607"/>
      <c r="BA87" s="1607"/>
      <c r="BB87" s="1607"/>
      <c r="BC87" s="1607"/>
      <c r="BD87" s="1607"/>
      <c r="BE87" s="1607"/>
      <c r="BF87" s="1607"/>
      <c r="BG87" s="1607"/>
      <c r="BH87" s="1607"/>
      <c r="BI87" s="1607"/>
      <c r="BJ87" s="1607"/>
      <c r="BK87" s="1607"/>
      <c r="BL87" s="1607"/>
    </row>
    <row r="88">
      <c r="A88" s="1607"/>
      <c r="B88" s="1607"/>
      <c r="C88" s="1607"/>
      <c r="D88" s="1607"/>
      <c r="E88" s="1607"/>
      <c r="F88" s="1607"/>
      <c r="G88" s="1607"/>
      <c r="H88" s="1607"/>
      <c r="I88" s="1607"/>
      <c r="J88" s="1607"/>
      <c r="K88" s="1607"/>
      <c r="L88" s="1607"/>
      <c r="M88" s="1607"/>
      <c r="N88" s="1607"/>
      <c r="O88" s="1607"/>
      <c r="P88" s="1607"/>
      <c r="Q88" s="1607"/>
      <c r="R88" s="1607"/>
      <c r="S88" s="1607"/>
      <c r="T88" s="1607"/>
      <c r="U88" s="1607"/>
      <c r="V88" s="1607"/>
      <c r="W88" s="1607"/>
      <c r="X88" s="1607"/>
      <c r="Y88" s="1607"/>
      <c r="Z88" s="1607"/>
      <c r="AA88" s="1607"/>
      <c r="AB88" s="1607"/>
      <c r="AC88" s="1607"/>
      <c r="AD88" s="1607"/>
      <c r="AE88" s="1607"/>
      <c r="AF88" s="1607"/>
      <c r="AG88" s="1607"/>
      <c r="AH88" s="1607"/>
      <c r="AI88" s="1607"/>
      <c r="AJ88" s="1607"/>
      <c r="AK88" s="1607"/>
      <c r="AL88" s="1607"/>
      <c r="AM88" s="1607"/>
      <c r="AN88" s="1607"/>
      <c r="AO88" s="1607"/>
      <c r="AP88" s="1607"/>
      <c r="AQ88" s="1607"/>
      <c r="AR88" s="1607"/>
      <c r="AS88" s="1607"/>
      <c r="AT88" s="1607"/>
      <c r="AU88" s="1607"/>
      <c r="AV88" s="1607"/>
      <c r="AW88" s="1607"/>
      <c r="AX88" s="1607"/>
      <c r="AY88" s="1607"/>
      <c r="AZ88" s="1607"/>
      <c r="BA88" s="1607"/>
      <c r="BB88" s="1607"/>
      <c r="BC88" s="1607"/>
      <c r="BD88" s="1607"/>
      <c r="BE88" s="1607"/>
      <c r="BF88" s="1607"/>
      <c r="BG88" s="1607"/>
      <c r="BH88" s="1607"/>
      <c r="BI88" s="1607"/>
      <c r="BJ88" s="1607"/>
      <c r="BK88" s="1607"/>
      <c r="BL88" s="1607"/>
    </row>
    <row r="89">
      <c r="A89" s="1607"/>
      <c r="B89" s="1607"/>
      <c r="C89" s="1607"/>
      <c r="D89" s="1607"/>
      <c r="E89" s="1607"/>
      <c r="F89" s="1607"/>
      <c r="G89" s="1607"/>
      <c r="H89" s="1607"/>
      <c r="I89" s="1607"/>
      <c r="J89" s="1607"/>
      <c r="K89" s="1607"/>
      <c r="L89" s="1607"/>
      <c r="M89" s="1607"/>
      <c r="N89" s="1607"/>
      <c r="O89" s="1607"/>
      <c r="P89" s="1607"/>
      <c r="Q89" s="1607"/>
      <c r="R89" s="1607"/>
      <c r="S89" s="1607"/>
      <c r="T89" s="1607"/>
      <c r="U89" s="1607"/>
      <c r="V89" s="1607"/>
      <c r="W89" s="1607"/>
      <c r="X89" s="1607"/>
      <c r="Y89" s="1607"/>
      <c r="Z89" s="1607"/>
      <c r="AA89" s="1607"/>
      <c r="AB89" s="1607"/>
      <c r="AC89" s="1607"/>
      <c r="AD89" s="1607"/>
      <c r="AE89" s="1607"/>
      <c r="AF89" s="1607"/>
      <c r="AG89" s="1607"/>
      <c r="AH89" s="1607"/>
      <c r="AI89" s="1607"/>
      <c r="AJ89" s="1607"/>
      <c r="AK89" s="1607"/>
      <c r="AL89" s="1607"/>
      <c r="AM89" s="1607"/>
      <c r="AN89" s="1607"/>
      <c r="AO89" s="1607"/>
      <c r="AP89" s="1607"/>
      <c r="AQ89" s="1607"/>
      <c r="AR89" s="1607"/>
      <c r="AS89" s="1607"/>
      <c r="AT89" s="1607"/>
      <c r="AU89" s="1607"/>
      <c r="AV89" s="1607"/>
      <c r="AW89" s="1607"/>
      <c r="AX89" s="1607"/>
      <c r="AY89" s="1607"/>
      <c r="AZ89" s="1607"/>
      <c r="BA89" s="1607"/>
      <c r="BB89" s="1607"/>
      <c r="BC89" s="1607"/>
      <c r="BD89" s="1607"/>
      <c r="BE89" s="1607"/>
      <c r="BF89" s="1607"/>
      <c r="BG89" s="1607"/>
      <c r="BH89" s="1607"/>
      <c r="BI89" s="1607"/>
      <c r="BJ89" s="1607"/>
      <c r="BK89" s="1607"/>
      <c r="BL89" s="1607"/>
    </row>
    <row r="90">
      <c r="A90" s="1607"/>
      <c r="B90" s="1607"/>
      <c r="C90" s="1607"/>
      <c r="D90" s="1607"/>
      <c r="E90" s="1607"/>
      <c r="F90" s="1607"/>
      <c r="G90" s="1607"/>
      <c r="H90" s="1607"/>
      <c r="I90" s="1607"/>
      <c r="J90" s="1607"/>
      <c r="K90" s="1607"/>
      <c r="L90" s="1607"/>
      <c r="M90" s="1607"/>
      <c r="N90" s="1607"/>
      <c r="O90" s="1607"/>
      <c r="P90" s="1607"/>
      <c r="Q90" s="1607"/>
      <c r="R90" s="1607"/>
      <c r="S90" s="1607"/>
      <c r="T90" s="1607"/>
      <c r="U90" s="1607"/>
      <c r="V90" s="1607"/>
      <c r="W90" s="1607"/>
      <c r="X90" s="1607"/>
      <c r="Y90" s="1607"/>
      <c r="Z90" s="1607"/>
      <c r="AA90" s="1607"/>
      <c r="AB90" s="1607"/>
      <c r="AC90" s="1607"/>
      <c r="AD90" s="1607"/>
      <c r="AE90" s="1607"/>
      <c r="AF90" s="1607"/>
      <c r="AG90" s="1607"/>
      <c r="AH90" s="1607"/>
      <c r="AI90" s="1607"/>
      <c r="AJ90" s="1607"/>
      <c r="AK90" s="1607"/>
      <c r="AL90" s="1607"/>
      <c r="AM90" s="1607"/>
      <c r="AN90" s="1607"/>
      <c r="AO90" s="1607"/>
      <c r="AP90" s="1607"/>
      <c r="AQ90" s="1607"/>
      <c r="AR90" s="1607"/>
      <c r="AS90" s="1607"/>
      <c r="AT90" s="1607"/>
      <c r="AU90" s="1607"/>
      <c r="AV90" s="1607"/>
      <c r="AW90" s="1607"/>
      <c r="AX90" s="1607"/>
      <c r="AY90" s="1607"/>
      <c r="AZ90" s="1607"/>
      <c r="BA90" s="1607"/>
      <c r="BB90" s="1607"/>
      <c r="BC90" s="1607"/>
      <c r="BD90" s="1607"/>
      <c r="BE90" s="1607"/>
      <c r="BF90" s="1607"/>
      <c r="BG90" s="1607"/>
      <c r="BH90" s="1607"/>
      <c r="BI90" s="1607"/>
      <c r="BJ90" s="1607"/>
      <c r="BK90" s="1607"/>
      <c r="BL90" s="1607"/>
    </row>
    <row r="91">
      <c r="A91" s="1607"/>
      <c r="B91" s="1607"/>
      <c r="C91" s="1607"/>
      <c r="D91" s="1607"/>
      <c r="E91" s="1607"/>
      <c r="F91" s="1607"/>
      <c r="G91" s="1607"/>
      <c r="H91" s="1607"/>
      <c r="I91" s="1607"/>
      <c r="J91" s="1607"/>
      <c r="K91" s="1607"/>
      <c r="L91" s="1607"/>
      <c r="M91" s="1607"/>
      <c r="N91" s="1607"/>
      <c r="O91" s="1607"/>
      <c r="P91" s="1607"/>
      <c r="Q91" s="1607"/>
      <c r="R91" s="1607"/>
      <c r="S91" s="1607"/>
      <c r="T91" s="1607"/>
      <c r="U91" s="1607"/>
      <c r="V91" s="1607"/>
      <c r="W91" s="1607"/>
      <c r="X91" s="1607"/>
      <c r="Y91" s="1607"/>
      <c r="Z91" s="1607"/>
      <c r="AA91" s="1607"/>
      <c r="AB91" s="1607"/>
      <c r="AC91" s="1607"/>
      <c r="AD91" s="1607"/>
      <c r="AE91" s="1607"/>
      <c r="AF91" s="1607"/>
      <c r="AG91" s="1607"/>
      <c r="AH91" s="1607"/>
      <c r="AI91" s="1607"/>
      <c r="AJ91" s="1607"/>
      <c r="AK91" s="1607"/>
      <c r="AL91" s="1607"/>
      <c r="AM91" s="1607"/>
      <c r="AN91" s="1607"/>
      <c r="AO91" s="1607"/>
      <c r="AP91" s="1607"/>
      <c r="AQ91" s="1607"/>
      <c r="AR91" s="1607"/>
      <c r="AS91" s="1607"/>
      <c r="AT91" s="1607"/>
      <c r="AU91" s="1607"/>
      <c r="AV91" s="1607"/>
      <c r="AW91" s="1607"/>
      <c r="AX91" s="1607"/>
      <c r="AY91" s="1607"/>
      <c r="AZ91" s="1607"/>
      <c r="BA91" s="1607"/>
      <c r="BB91" s="1607"/>
      <c r="BC91" s="1607"/>
      <c r="BD91" s="1607"/>
      <c r="BE91" s="1607"/>
      <c r="BF91" s="1607"/>
      <c r="BG91" s="1607"/>
      <c r="BH91" s="1607"/>
      <c r="BI91" s="1607"/>
      <c r="BJ91" s="1607"/>
      <c r="BK91" s="1607"/>
      <c r="BL91" s="1607"/>
    </row>
    <row r="92">
      <c r="A92" s="1607"/>
      <c r="B92" s="1607"/>
      <c r="C92" s="1607"/>
      <c r="D92" s="1607"/>
      <c r="E92" s="1607"/>
      <c r="F92" s="1607"/>
      <c r="G92" s="1607"/>
      <c r="H92" s="1607"/>
      <c r="I92" s="1607"/>
      <c r="J92" s="1607"/>
      <c r="K92" s="1607"/>
      <c r="L92" s="1607"/>
      <c r="M92" s="1607"/>
      <c r="N92" s="1607"/>
      <c r="O92" s="1607"/>
      <c r="P92" s="1607"/>
      <c r="Q92" s="1607"/>
      <c r="R92" s="1607"/>
      <c r="S92" s="1607"/>
      <c r="T92" s="1607"/>
      <c r="U92" s="1607"/>
      <c r="V92" s="1607"/>
      <c r="W92" s="1607"/>
      <c r="X92" s="1607"/>
      <c r="Y92" s="1607"/>
      <c r="Z92" s="1607"/>
      <c r="AA92" s="1607"/>
      <c r="AB92" s="1607"/>
      <c r="AC92" s="1607"/>
      <c r="AD92" s="1607"/>
      <c r="AE92" s="1607"/>
      <c r="AF92" s="1607"/>
      <c r="AG92" s="1607"/>
      <c r="AH92" s="1607"/>
      <c r="AI92" s="1607"/>
      <c r="AJ92" s="1607"/>
      <c r="AK92" s="1607"/>
      <c r="AL92" s="1607"/>
      <c r="AM92" s="1607"/>
      <c r="AN92" s="1607"/>
      <c r="AO92" s="1607"/>
      <c r="AP92" s="1607"/>
      <c r="AQ92" s="1607"/>
      <c r="AR92" s="1607"/>
      <c r="AS92" s="1607"/>
      <c r="AT92" s="1607"/>
      <c r="AU92" s="1607"/>
      <c r="AV92" s="1607"/>
      <c r="AW92" s="1607"/>
      <c r="AX92" s="1607"/>
      <c r="AY92" s="1607"/>
      <c r="AZ92" s="1607"/>
      <c r="BA92" s="1607"/>
      <c r="BB92" s="1607"/>
      <c r="BC92" s="1607"/>
      <c r="BD92" s="1607"/>
      <c r="BE92" s="1607"/>
      <c r="BF92" s="1607"/>
      <c r="BG92" s="1607"/>
      <c r="BH92" s="1607"/>
      <c r="BI92" s="1607"/>
      <c r="BJ92" s="1607"/>
      <c r="BK92" s="1607"/>
      <c r="BL92" s="1607"/>
    </row>
    <row r="93">
      <c r="A93" s="1607"/>
      <c r="B93" s="1607"/>
      <c r="C93" s="1607"/>
      <c r="D93" s="1607"/>
      <c r="E93" s="1607"/>
      <c r="F93" s="1607"/>
      <c r="G93" s="1607"/>
      <c r="H93" s="1607"/>
      <c r="I93" s="1607"/>
      <c r="J93" s="1607"/>
      <c r="K93" s="1607"/>
      <c r="L93" s="1607"/>
      <c r="M93" s="1607"/>
      <c r="N93" s="1607"/>
      <c r="O93" s="1607"/>
      <c r="P93" s="1607"/>
      <c r="Q93" s="1607"/>
      <c r="R93" s="1607"/>
      <c r="S93" s="1607"/>
      <c r="T93" s="1607"/>
      <c r="U93" s="1607"/>
      <c r="V93" s="1607"/>
      <c r="W93" s="1607"/>
      <c r="X93" s="1607"/>
      <c r="Y93" s="1607"/>
      <c r="Z93" s="1607"/>
      <c r="AA93" s="1607"/>
      <c r="AB93" s="1607"/>
      <c r="AC93" s="1607"/>
      <c r="AD93" s="1607"/>
      <c r="AE93" s="1607"/>
      <c r="AF93" s="1607"/>
      <c r="AG93" s="1607"/>
      <c r="AH93" s="1607"/>
      <c r="AI93" s="1607"/>
      <c r="AJ93" s="1607"/>
      <c r="AK93" s="1607"/>
      <c r="AL93" s="1607"/>
      <c r="AM93" s="1607"/>
      <c r="AN93" s="1607"/>
      <c r="AO93" s="1607"/>
      <c r="AP93" s="1607"/>
      <c r="AQ93" s="1607"/>
      <c r="AR93" s="1607"/>
      <c r="AS93" s="1607"/>
      <c r="AT93" s="1607"/>
      <c r="AU93" s="1607"/>
      <c r="AV93" s="1607"/>
      <c r="AW93" s="1607"/>
      <c r="AX93" s="1607"/>
      <c r="AY93" s="1607"/>
      <c r="AZ93" s="1607"/>
      <c r="BA93" s="1607"/>
      <c r="BB93" s="1607"/>
      <c r="BC93" s="1607"/>
      <c r="BD93" s="1607"/>
      <c r="BE93" s="1607"/>
      <c r="BF93" s="1607"/>
      <c r="BG93" s="1607"/>
      <c r="BH93" s="1607"/>
      <c r="BI93" s="1607"/>
      <c r="BJ93" s="1607"/>
      <c r="BK93" s="1607"/>
      <c r="BL93" s="1607"/>
    </row>
    <row r="94">
      <c r="A94" s="1607"/>
      <c r="B94" s="1607"/>
      <c r="C94" s="1607"/>
      <c r="D94" s="1607"/>
      <c r="E94" s="1607"/>
      <c r="F94" s="1607"/>
      <c r="G94" s="1607"/>
      <c r="H94" s="1607"/>
      <c r="I94" s="1607"/>
      <c r="J94" s="1607"/>
      <c r="K94" s="1607"/>
      <c r="L94" s="1607"/>
      <c r="M94" s="1607"/>
      <c r="N94" s="1607"/>
      <c r="O94" s="1607"/>
      <c r="P94" s="1607"/>
      <c r="Q94" s="1607"/>
      <c r="R94" s="1607"/>
      <c r="S94" s="1607"/>
      <c r="T94" s="1607"/>
      <c r="U94" s="1607"/>
      <c r="V94" s="1607"/>
      <c r="W94" s="1607"/>
      <c r="X94" s="1607"/>
      <c r="Y94" s="1607"/>
      <c r="Z94" s="1607"/>
      <c r="AA94" s="1607"/>
      <c r="AB94" s="1607"/>
      <c r="AC94" s="1607"/>
      <c r="AD94" s="1607"/>
      <c r="AE94" s="1607"/>
      <c r="AF94" s="1607"/>
      <c r="AG94" s="1607"/>
      <c r="AH94" s="1607"/>
      <c r="AI94" s="1607"/>
      <c r="AJ94" s="1607"/>
      <c r="AK94" s="1607"/>
      <c r="AL94" s="1607"/>
      <c r="AM94" s="1607"/>
      <c r="AN94" s="1607"/>
      <c r="AO94" s="1607"/>
      <c r="AP94" s="1607"/>
      <c r="AQ94" s="1607"/>
      <c r="AR94" s="1607"/>
      <c r="AS94" s="1607"/>
      <c r="AT94" s="1607"/>
      <c r="AU94" s="1607"/>
      <c r="AV94" s="1607"/>
      <c r="AW94" s="1607"/>
      <c r="AX94" s="1607"/>
      <c r="AY94" s="1607"/>
      <c r="AZ94" s="1607"/>
      <c r="BA94" s="1607"/>
      <c r="BB94" s="1607"/>
      <c r="BC94" s="1607"/>
      <c r="BD94" s="1607"/>
      <c r="BE94" s="1607"/>
      <c r="BF94" s="1607"/>
      <c r="BG94" s="1607"/>
      <c r="BH94" s="1607"/>
      <c r="BI94" s="1607"/>
      <c r="BJ94" s="1607"/>
      <c r="BK94" s="1607"/>
      <c r="BL94" s="1607"/>
    </row>
    <row r="95">
      <c r="A95" s="1607"/>
      <c r="B95" s="1607"/>
      <c r="C95" s="1607"/>
      <c r="D95" s="1607"/>
      <c r="E95" s="1607"/>
      <c r="F95" s="1607"/>
      <c r="G95" s="1607"/>
      <c r="H95" s="1607"/>
      <c r="I95" s="1607"/>
      <c r="J95" s="1607"/>
      <c r="K95" s="1607"/>
      <c r="L95" s="1607"/>
      <c r="M95" s="1607"/>
      <c r="N95" s="1607"/>
      <c r="O95" s="1607"/>
      <c r="P95" s="1607"/>
      <c r="Q95" s="1607"/>
      <c r="R95" s="1607"/>
      <c r="S95" s="1607"/>
      <c r="T95" s="1607"/>
      <c r="U95" s="1607"/>
      <c r="V95" s="1607"/>
      <c r="W95" s="1607"/>
      <c r="X95" s="1607"/>
      <c r="Y95" s="1607"/>
      <c r="Z95" s="1607"/>
      <c r="AA95" s="1607"/>
      <c r="AB95" s="1607"/>
      <c r="AC95" s="1607"/>
      <c r="AD95" s="1607"/>
      <c r="AE95" s="1607"/>
      <c r="AF95" s="1607"/>
      <c r="AG95" s="1607"/>
      <c r="AH95" s="1607"/>
      <c r="AI95" s="1607"/>
      <c r="AJ95" s="1607"/>
      <c r="AK95" s="1607"/>
      <c r="AL95" s="1607"/>
      <c r="AM95" s="1607"/>
      <c r="AN95" s="1607"/>
      <c r="AO95" s="1607"/>
      <c r="AP95" s="1607"/>
      <c r="AQ95" s="1607"/>
      <c r="AR95" s="1607"/>
      <c r="AS95" s="1607"/>
      <c r="AT95" s="1607"/>
      <c r="AU95" s="1607"/>
      <c r="AV95" s="1607"/>
      <c r="AW95" s="1607"/>
      <c r="AX95" s="1607"/>
      <c r="AY95" s="1607"/>
      <c r="AZ95" s="1607"/>
      <c r="BA95" s="1607"/>
      <c r="BB95" s="1607"/>
      <c r="BC95" s="1607"/>
      <c r="BD95" s="1607"/>
      <c r="BE95" s="1607"/>
      <c r="BF95" s="1607"/>
      <c r="BG95" s="1607"/>
      <c r="BH95" s="1607"/>
      <c r="BI95" s="1607"/>
      <c r="BJ95" s="1607"/>
      <c r="BK95" s="1607"/>
      <c r="BL95" s="1607"/>
    </row>
    <row r="96">
      <c r="A96" s="1607"/>
      <c r="B96" s="1607"/>
      <c r="C96" s="1607"/>
      <c r="D96" s="1607"/>
      <c r="E96" s="1607"/>
      <c r="F96" s="1607"/>
      <c r="G96" s="1607"/>
      <c r="H96" s="1607"/>
      <c r="I96" s="1607"/>
      <c r="J96" s="1607"/>
      <c r="K96" s="1607"/>
      <c r="L96" s="1607"/>
      <c r="M96" s="1607"/>
      <c r="N96" s="1607"/>
      <c r="O96" s="1607"/>
      <c r="P96" s="1607"/>
      <c r="Q96" s="1607"/>
      <c r="R96" s="1607"/>
      <c r="S96" s="1607"/>
      <c r="T96" s="1607"/>
      <c r="U96" s="1607"/>
      <c r="V96" s="1607"/>
      <c r="W96" s="1607"/>
      <c r="X96" s="1607"/>
      <c r="Y96" s="1607"/>
      <c r="Z96" s="1607"/>
      <c r="AA96" s="1607"/>
      <c r="AB96" s="1607"/>
      <c r="AC96" s="1607"/>
      <c r="AD96" s="1607"/>
      <c r="AE96" s="1607"/>
      <c r="AF96" s="1607"/>
      <c r="AG96" s="1607"/>
      <c r="AH96" s="1607"/>
      <c r="AI96" s="1607"/>
      <c r="AJ96" s="1607"/>
      <c r="AK96" s="1607"/>
      <c r="AL96" s="1607"/>
      <c r="AM96" s="1607"/>
      <c r="AN96" s="1607"/>
      <c r="AO96" s="1607"/>
      <c r="AP96" s="1607"/>
      <c r="AQ96" s="1607"/>
      <c r="AR96" s="1607"/>
      <c r="AS96" s="1607"/>
      <c r="AT96" s="1607"/>
      <c r="AU96" s="1607"/>
      <c r="AV96" s="1607"/>
      <c r="AW96" s="1607"/>
      <c r="AX96" s="1607"/>
      <c r="AY96" s="1607"/>
      <c r="AZ96" s="1607"/>
      <c r="BA96" s="1607"/>
      <c r="BB96" s="1607"/>
      <c r="BC96" s="1607"/>
      <c r="BD96" s="1607"/>
      <c r="BE96" s="1607"/>
      <c r="BF96" s="1607"/>
      <c r="BG96" s="1607"/>
      <c r="BH96" s="1607"/>
      <c r="BI96" s="1607"/>
      <c r="BJ96" s="1607"/>
      <c r="BK96" s="1607"/>
      <c r="BL96" s="1607"/>
    </row>
    <row r="97">
      <c r="A97" s="1607"/>
      <c r="B97" s="1607"/>
      <c r="C97" s="1607"/>
      <c r="D97" s="1607"/>
      <c r="E97" s="1607"/>
      <c r="F97" s="1607"/>
      <c r="G97" s="1607"/>
      <c r="H97" s="1607"/>
      <c r="I97" s="1607"/>
      <c r="J97" s="1607"/>
      <c r="K97" s="1607"/>
      <c r="L97" s="1607"/>
      <c r="M97" s="1607"/>
      <c r="N97" s="1607"/>
      <c r="O97" s="1607"/>
      <c r="P97" s="1607"/>
      <c r="Q97" s="1607"/>
      <c r="R97" s="1607"/>
      <c r="S97" s="1607"/>
      <c r="T97" s="1607"/>
      <c r="U97" s="1607"/>
      <c r="V97" s="1607"/>
      <c r="W97" s="1607"/>
      <c r="X97" s="1607"/>
      <c r="Y97" s="1607"/>
      <c r="Z97" s="1607"/>
      <c r="AA97" s="1607"/>
      <c r="AB97" s="1607"/>
      <c r="AC97" s="1607"/>
      <c r="AD97" s="1607"/>
      <c r="AE97" s="1607"/>
      <c r="AF97" s="1607"/>
      <c r="AG97" s="1607"/>
      <c r="AH97" s="1607"/>
      <c r="AI97" s="1607"/>
      <c r="AJ97" s="1607"/>
      <c r="AK97" s="1607"/>
      <c r="AL97" s="1607"/>
      <c r="AM97" s="1607"/>
      <c r="AN97" s="1607"/>
      <c r="AO97" s="1607"/>
      <c r="AP97" s="1607"/>
      <c r="AQ97" s="1607"/>
      <c r="AR97" s="1607"/>
      <c r="AS97" s="1607"/>
      <c r="AT97" s="1607"/>
      <c r="AU97" s="1607"/>
      <c r="AV97" s="1607"/>
      <c r="AW97" s="1607"/>
      <c r="AX97" s="1607"/>
      <c r="AY97" s="1607"/>
      <c r="AZ97" s="1607"/>
      <c r="BA97" s="1607"/>
      <c r="BB97" s="1607"/>
      <c r="BC97" s="1607"/>
      <c r="BD97" s="1607"/>
      <c r="BE97" s="1607"/>
      <c r="BF97" s="1607"/>
      <c r="BG97" s="1607"/>
      <c r="BH97" s="1607"/>
      <c r="BI97" s="1607"/>
      <c r="BJ97" s="1607"/>
      <c r="BK97" s="1607"/>
      <c r="BL97" s="1607"/>
    </row>
    <row r="98">
      <c r="A98" s="1607"/>
      <c r="B98" s="1607"/>
      <c r="C98" s="1607"/>
      <c r="D98" s="1607"/>
      <c r="E98" s="1607"/>
      <c r="F98" s="1607"/>
      <c r="G98" s="1607"/>
      <c r="H98" s="1607"/>
      <c r="I98" s="1607"/>
      <c r="J98" s="1607"/>
      <c r="K98" s="1607"/>
      <c r="L98" s="1607"/>
      <c r="M98" s="1607"/>
      <c r="N98" s="1607"/>
      <c r="O98" s="1607"/>
      <c r="P98" s="1607"/>
      <c r="Q98" s="1607"/>
      <c r="R98" s="1607"/>
      <c r="S98" s="1607"/>
      <c r="T98" s="1607"/>
      <c r="U98" s="1607"/>
      <c r="V98" s="1607"/>
      <c r="W98" s="1607"/>
      <c r="X98" s="1607"/>
      <c r="Y98" s="1607"/>
      <c r="Z98" s="1607"/>
      <c r="AA98" s="1607"/>
      <c r="AB98" s="1607"/>
      <c r="AC98" s="1607"/>
      <c r="AD98" s="1607"/>
      <c r="AE98" s="1607"/>
      <c r="AF98" s="1607"/>
      <c r="AG98" s="1607"/>
      <c r="AH98" s="1607"/>
      <c r="AI98" s="1607"/>
      <c r="AJ98" s="1607"/>
      <c r="AK98" s="1607"/>
      <c r="AL98" s="1607"/>
      <c r="AM98" s="1607"/>
      <c r="AN98" s="1607"/>
      <c r="AO98" s="1607"/>
      <c r="AP98" s="1607"/>
      <c r="AQ98" s="1607"/>
      <c r="AR98" s="1607"/>
      <c r="AS98" s="1607"/>
      <c r="AT98" s="1607"/>
      <c r="AU98" s="1607"/>
      <c r="AV98" s="1607"/>
      <c r="AW98" s="1607"/>
      <c r="AX98" s="1607"/>
      <c r="AY98" s="1607"/>
      <c r="AZ98" s="1607"/>
      <c r="BA98" s="1607"/>
      <c r="BB98" s="1607"/>
      <c r="BC98" s="1607"/>
      <c r="BD98" s="1607"/>
      <c r="BE98" s="1607"/>
      <c r="BF98" s="1607"/>
      <c r="BG98" s="1607"/>
      <c r="BH98" s="1607"/>
      <c r="BI98" s="1607"/>
      <c r="BJ98" s="1607"/>
      <c r="BK98" s="1607"/>
      <c r="BL98" s="1607"/>
    </row>
    <row r="99">
      <c r="A99" s="1607"/>
      <c r="B99" s="1607"/>
      <c r="C99" s="1607"/>
      <c r="D99" s="1607"/>
      <c r="E99" s="1607"/>
      <c r="F99" s="1607"/>
      <c r="G99" s="1607"/>
      <c r="H99" s="1607"/>
      <c r="I99" s="1607"/>
      <c r="J99" s="1607"/>
      <c r="K99" s="1607"/>
      <c r="L99" s="1607"/>
      <c r="M99" s="1607"/>
      <c r="N99" s="1607"/>
      <c r="O99" s="1607"/>
      <c r="P99" s="1607"/>
      <c r="Q99" s="1607"/>
      <c r="R99" s="1607"/>
      <c r="S99" s="1607"/>
      <c r="T99" s="1607"/>
      <c r="U99" s="1607"/>
      <c r="V99" s="1607"/>
      <c r="W99" s="1607"/>
      <c r="X99" s="1607"/>
      <c r="Y99" s="1607"/>
      <c r="Z99" s="1607"/>
      <c r="AA99" s="1607"/>
      <c r="AB99" s="1607"/>
      <c r="AC99" s="1607"/>
      <c r="AD99" s="1607"/>
      <c r="AE99" s="1607"/>
      <c r="AF99" s="1607"/>
      <c r="AG99" s="1607"/>
      <c r="AH99" s="1607"/>
      <c r="AI99" s="1607"/>
      <c r="AJ99" s="1607"/>
      <c r="AK99" s="1607"/>
      <c r="AL99" s="1607"/>
      <c r="AM99" s="1607"/>
      <c r="AN99" s="1607"/>
      <c r="AO99" s="1607"/>
      <c r="AP99" s="1607"/>
      <c r="AQ99" s="1607"/>
      <c r="AR99" s="1607"/>
      <c r="AS99" s="1607"/>
      <c r="AT99" s="1607"/>
      <c r="AU99" s="1607"/>
      <c r="AV99" s="1607"/>
      <c r="AW99" s="1607"/>
      <c r="AX99" s="1607"/>
      <c r="AY99" s="1607"/>
      <c r="AZ99" s="1607"/>
      <c r="BA99" s="1607"/>
      <c r="BB99" s="1607"/>
      <c r="BC99" s="1607"/>
      <c r="BD99" s="1607"/>
      <c r="BE99" s="1607"/>
      <c r="BF99" s="1607"/>
      <c r="BG99" s="1607"/>
      <c r="BH99" s="1607"/>
      <c r="BI99" s="1607"/>
      <c r="BJ99" s="1607"/>
      <c r="BK99" s="1607"/>
      <c r="BL99" s="1607"/>
    </row>
    <row r="100">
      <c r="A100" s="1607"/>
      <c r="B100" s="1607"/>
      <c r="C100" s="1607"/>
      <c r="D100" s="1607"/>
      <c r="E100" s="1607"/>
      <c r="F100" s="1607"/>
      <c r="G100" s="1607"/>
      <c r="H100" s="1607"/>
      <c r="I100" s="1607"/>
      <c r="J100" s="1607"/>
      <c r="K100" s="1607"/>
      <c r="L100" s="1607"/>
      <c r="M100" s="1607"/>
      <c r="N100" s="1607"/>
      <c r="O100" s="1607"/>
      <c r="P100" s="1607"/>
      <c r="Q100" s="1607"/>
      <c r="R100" s="1607"/>
      <c r="S100" s="1607"/>
      <c r="T100" s="1607"/>
      <c r="U100" s="1607"/>
      <c r="V100" s="1607"/>
      <c r="W100" s="1607"/>
      <c r="X100" s="1607"/>
      <c r="Y100" s="1607"/>
      <c r="Z100" s="1607"/>
      <c r="AA100" s="1607"/>
      <c r="AB100" s="1607"/>
      <c r="AC100" s="1607"/>
      <c r="AD100" s="1607"/>
      <c r="AE100" s="1607"/>
      <c r="AF100" s="1607"/>
      <c r="AG100" s="1607"/>
      <c r="AH100" s="1607"/>
      <c r="AI100" s="1607"/>
      <c r="AJ100" s="1607"/>
      <c r="AK100" s="1607"/>
      <c r="AL100" s="1607"/>
      <c r="AM100" s="1607"/>
      <c r="AN100" s="1607"/>
      <c r="AO100" s="1607"/>
      <c r="AP100" s="1607"/>
      <c r="AQ100" s="1607"/>
      <c r="AR100" s="1607"/>
      <c r="AS100" s="1607"/>
      <c r="AT100" s="1607"/>
      <c r="AU100" s="1607"/>
      <c r="AV100" s="1607"/>
      <c r="AW100" s="1607"/>
      <c r="AX100" s="1607"/>
      <c r="AY100" s="1607"/>
      <c r="AZ100" s="1607"/>
      <c r="BA100" s="1607"/>
      <c r="BB100" s="1607"/>
      <c r="BC100" s="1607"/>
      <c r="BD100" s="1607"/>
      <c r="BE100" s="1607"/>
      <c r="BF100" s="1607"/>
      <c r="BG100" s="1607"/>
      <c r="BH100" s="1607"/>
      <c r="BI100" s="1607"/>
      <c r="BJ100" s="1607"/>
      <c r="BK100" s="1607"/>
      <c r="BL100" s="1607"/>
    </row>
    <row r="101">
      <c r="A101" s="1607"/>
      <c r="B101" s="1607"/>
      <c r="C101" s="1607"/>
      <c r="D101" s="1607"/>
      <c r="E101" s="1607"/>
      <c r="F101" s="1607"/>
      <c r="G101" s="1607"/>
      <c r="H101" s="1607"/>
      <c r="I101" s="1607"/>
      <c r="J101" s="1607"/>
      <c r="K101" s="1607"/>
      <c r="L101" s="1607"/>
      <c r="M101" s="1607"/>
      <c r="N101" s="1607"/>
      <c r="O101" s="1607"/>
      <c r="P101" s="1607"/>
      <c r="Q101" s="1607"/>
      <c r="R101" s="1607"/>
      <c r="S101" s="1607"/>
      <c r="T101" s="1607"/>
      <c r="U101" s="1607"/>
      <c r="V101" s="1607"/>
      <c r="W101" s="1607"/>
      <c r="X101" s="1607"/>
      <c r="Y101" s="1607"/>
      <c r="Z101" s="1607"/>
      <c r="AA101" s="1607"/>
      <c r="AB101" s="1607"/>
      <c r="AC101" s="1607"/>
      <c r="AD101" s="1607"/>
      <c r="AE101" s="1607"/>
      <c r="AF101" s="1607"/>
      <c r="AG101" s="1607"/>
      <c r="AH101" s="1607"/>
      <c r="AI101" s="1607"/>
      <c r="AJ101" s="1607"/>
      <c r="AK101" s="1607"/>
      <c r="AL101" s="1607"/>
      <c r="AM101" s="1607"/>
      <c r="AN101" s="1607"/>
      <c r="AO101" s="1607"/>
      <c r="AP101" s="1607"/>
      <c r="AQ101" s="1607"/>
      <c r="AR101" s="1607"/>
      <c r="AS101" s="1607"/>
      <c r="AT101" s="1607"/>
      <c r="AU101" s="1607"/>
      <c r="AV101" s="1607"/>
      <c r="AW101" s="1607"/>
      <c r="AX101" s="1607"/>
      <c r="AY101" s="1607"/>
      <c r="AZ101" s="1607"/>
      <c r="BA101" s="1607"/>
      <c r="BB101" s="1607"/>
      <c r="BC101" s="1607"/>
      <c r="BD101" s="1607"/>
      <c r="BE101" s="1607"/>
      <c r="BF101" s="1607"/>
      <c r="BG101" s="1607"/>
      <c r="BH101" s="1607"/>
      <c r="BI101" s="1607"/>
      <c r="BJ101" s="1607"/>
      <c r="BK101" s="1607"/>
      <c r="BL101" s="1607"/>
    </row>
    <row r="102">
      <c r="A102" s="1607"/>
      <c r="B102" s="1607"/>
      <c r="C102" s="1607"/>
      <c r="D102" s="1607"/>
      <c r="E102" s="1607"/>
      <c r="F102" s="1607"/>
      <c r="G102" s="1607"/>
      <c r="H102" s="1607"/>
      <c r="I102" s="1607"/>
      <c r="J102" s="1607"/>
      <c r="K102" s="1607"/>
      <c r="L102" s="1607"/>
      <c r="M102" s="1607"/>
      <c r="N102" s="1607"/>
      <c r="O102" s="1607"/>
      <c r="P102" s="1607"/>
      <c r="Q102" s="1607"/>
      <c r="R102" s="1607"/>
      <c r="S102" s="1607"/>
      <c r="T102" s="1607"/>
      <c r="U102" s="1607"/>
      <c r="V102" s="1607"/>
      <c r="W102" s="1607"/>
      <c r="X102" s="1607"/>
      <c r="Y102" s="1607"/>
      <c r="Z102" s="1607"/>
      <c r="AA102" s="1607"/>
      <c r="AB102" s="1607"/>
      <c r="AC102" s="1607"/>
      <c r="AD102" s="1607"/>
      <c r="AE102" s="1607"/>
      <c r="AF102" s="1607"/>
      <c r="AG102" s="1607"/>
      <c r="AH102" s="1607"/>
      <c r="AI102" s="1607"/>
      <c r="AJ102" s="1607"/>
      <c r="AK102" s="1607"/>
      <c r="AL102" s="1607"/>
      <c r="AM102" s="1607"/>
      <c r="AN102" s="1607"/>
      <c r="AO102" s="1607"/>
      <c r="AP102" s="1607"/>
      <c r="AQ102" s="1607"/>
      <c r="AR102" s="1607"/>
      <c r="AS102" s="1607"/>
      <c r="AT102" s="1607"/>
      <c r="AU102" s="1607"/>
      <c r="AV102" s="1607"/>
      <c r="AW102" s="1607"/>
      <c r="AX102" s="1607"/>
      <c r="AY102" s="1607"/>
      <c r="AZ102" s="1607"/>
      <c r="BA102" s="1607"/>
      <c r="BB102" s="1607"/>
      <c r="BC102" s="1607"/>
      <c r="BD102" s="1607"/>
      <c r="BE102" s="1607"/>
      <c r="BF102" s="1607"/>
      <c r="BG102" s="1607"/>
      <c r="BH102" s="1607"/>
      <c r="BI102" s="1607"/>
      <c r="BJ102" s="1607"/>
      <c r="BK102" s="1607"/>
      <c r="BL102" s="1607"/>
    </row>
    <row r="103">
      <c r="A103" s="1607"/>
      <c r="B103" s="1607"/>
      <c r="C103" s="1607"/>
      <c r="D103" s="1607"/>
      <c r="E103" s="1607"/>
      <c r="F103" s="1607"/>
      <c r="G103" s="1607"/>
      <c r="H103" s="1607"/>
      <c r="I103" s="1607"/>
      <c r="J103" s="1607"/>
      <c r="K103" s="1607"/>
      <c r="L103" s="1607"/>
      <c r="M103" s="1607"/>
      <c r="N103" s="1607"/>
      <c r="O103" s="1607"/>
      <c r="P103" s="1607"/>
      <c r="Q103" s="1607"/>
      <c r="R103" s="1607"/>
      <c r="S103" s="1607"/>
      <c r="T103" s="1607"/>
      <c r="U103" s="1607"/>
      <c r="V103" s="1607"/>
      <c r="W103" s="1607"/>
      <c r="X103" s="1607"/>
      <c r="Y103" s="1607"/>
      <c r="Z103" s="1607"/>
      <c r="AA103" s="1607"/>
      <c r="AB103" s="1607"/>
      <c r="AC103" s="1607"/>
      <c r="AD103" s="1607"/>
      <c r="AE103" s="1607"/>
      <c r="AF103" s="1607"/>
      <c r="AG103" s="1607"/>
      <c r="AH103" s="1607"/>
      <c r="AI103" s="1607"/>
      <c r="AJ103" s="1607"/>
      <c r="AK103" s="1607"/>
      <c r="AL103" s="1607"/>
      <c r="AM103" s="1607"/>
      <c r="AN103" s="1607"/>
      <c r="AO103" s="1607"/>
      <c r="AP103" s="1607"/>
      <c r="AQ103" s="1607"/>
      <c r="AR103" s="1607"/>
      <c r="AS103" s="1607"/>
      <c r="AT103" s="1607"/>
      <c r="AU103" s="1607"/>
      <c r="AV103" s="1607"/>
      <c r="AW103" s="1607"/>
      <c r="AX103" s="1607"/>
      <c r="AY103" s="1607"/>
      <c r="AZ103" s="1607"/>
      <c r="BA103" s="1607"/>
      <c r="BB103" s="1607"/>
      <c r="BC103" s="1607"/>
      <c r="BD103" s="1607"/>
      <c r="BE103" s="1607"/>
      <c r="BF103" s="1607"/>
      <c r="BG103" s="1607"/>
      <c r="BH103" s="1607"/>
      <c r="BI103" s="1607"/>
      <c r="BJ103" s="1607"/>
      <c r="BK103" s="1607"/>
      <c r="BL103" s="1607"/>
    </row>
    <row r="104">
      <c r="A104" s="1607"/>
      <c r="B104" s="1607"/>
      <c r="C104" s="1607"/>
      <c r="D104" s="1607"/>
      <c r="E104" s="1607"/>
      <c r="F104" s="1607"/>
      <c r="G104" s="1607"/>
      <c r="H104" s="1607"/>
      <c r="I104" s="1607"/>
      <c r="J104" s="1607"/>
      <c r="K104" s="1607"/>
      <c r="L104" s="1607"/>
      <c r="M104" s="1607"/>
      <c r="N104" s="1607"/>
      <c r="O104" s="1607"/>
      <c r="P104" s="1607"/>
      <c r="Q104" s="1607"/>
      <c r="R104" s="1607"/>
      <c r="S104" s="1607"/>
      <c r="T104" s="1607"/>
      <c r="U104" s="1607"/>
      <c r="V104" s="1607"/>
      <c r="W104" s="1607"/>
      <c r="X104" s="1607"/>
      <c r="Y104" s="1607"/>
      <c r="Z104" s="1607"/>
      <c r="AA104" s="1607"/>
      <c r="AB104" s="1607"/>
      <c r="AC104" s="1607"/>
      <c r="AD104" s="1607"/>
      <c r="AE104" s="1607"/>
      <c r="AF104" s="1607"/>
      <c r="AG104" s="1607"/>
      <c r="AH104" s="1607"/>
      <c r="AI104" s="1607"/>
      <c r="AJ104" s="1607"/>
      <c r="AK104" s="1607"/>
      <c r="AL104" s="1607"/>
      <c r="AM104" s="1607"/>
      <c r="AN104" s="1607"/>
      <c r="AO104" s="1607"/>
      <c r="AP104" s="1607"/>
      <c r="AQ104" s="1607"/>
      <c r="AR104" s="1607"/>
      <c r="AS104" s="1607"/>
      <c r="AT104" s="1607"/>
      <c r="AU104" s="1607"/>
      <c r="AV104" s="1607"/>
      <c r="AW104" s="1607"/>
      <c r="AX104" s="1607"/>
      <c r="AY104" s="1607"/>
      <c r="AZ104" s="1607"/>
      <c r="BA104" s="1607"/>
      <c r="BB104" s="1607"/>
      <c r="BC104" s="1607"/>
      <c r="BD104" s="1607"/>
      <c r="BE104" s="1607"/>
      <c r="BF104" s="1607"/>
      <c r="BG104" s="1607"/>
      <c r="BH104" s="1607"/>
      <c r="BI104" s="1607"/>
      <c r="BJ104" s="1607"/>
      <c r="BK104" s="1607"/>
      <c r="BL104" s="1607"/>
    </row>
    <row r="105">
      <c r="A105" s="1607"/>
      <c r="B105" s="1607"/>
      <c r="C105" s="1607"/>
      <c r="D105" s="1607"/>
      <c r="E105" s="1607"/>
      <c r="F105" s="1607"/>
      <c r="G105" s="1607"/>
      <c r="H105" s="1607"/>
      <c r="I105" s="1607"/>
      <c r="J105" s="1607"/>
      <c r="K105" s="1607"/>
      <c r="L105" s="1607"/>
      <c r="M105" s="1607"/>
      <c r="N105" s="1607"/>
      <c r="O105" s="1607"/>
      <c r="P105" s="1607"/>
      <c r="Q105" s="1607"/>
      <c r="R105" s="1607"/>
      <c r="S105" s="1607"/>
      <c r="T105" s="1607"/>
      <c r="U105" s="1607"/>
      <c r="V105" s="1607"/>
      <c r="W105" s="1607"/>
      <c r="X105" s="1607"/>
      <c r="Y105" s="1607"/>
      <c r="Z105" s="1607"/>
      <c r="AA105" s="1607"/>
      <c r="AB105" s="1607"/>
      <c r="AC105" s="1607"/>
      <c r="AD105" s="1607"/>
      <c r="AE105" s="1607"/>
      <c r="AF105" s="1607"/>
      <c r="AG105" s="1607"/>
      <c r="AH105" s="1607"/>
      <c r="AI105" s="1607"/>
      <c r="AJ105" s="1607"/>
      <c r="AK105" s="1607"/>
      <c r="AL105" s="1607"/>
      <c r="AM105" s="1607"/>
      <c r="AN105" s="1607"/>
      <c r="AO105" s="1607"/>
      <c r="AP105" s="1607"/>
      <c r="AQ105" s="1607"/>
      <c r="AR105" s="1607"/>
      <c r="AS105" s="1607"/>
      <c r="AT105" s="1607"/>
      <c r="AU105" s="1607"/>
      <c r="AV105" s="1607"/>
      <c r="AW105" s="1607"/>
      <c r="AX105" s="1607"/>
      <c r="AY105" s="1607"/>
      <c r="AZ105" s="1607"/>
      <c r="BA105" s="1607"/>
      <c r="BB105" s="1607"/>
      <c r="BC105" s="1607"/>
      <c r="BD105" s="1607"/>
      <c r="BE105" s="1607"/>
      <c r="BF105" s="1607"/>
      <c r="BG105" s="1607"/>
      <c r="BH105" s="1607"/>
      <c r="BI105" s="1607"/>
      <c r="BJ105" s="1607"/>
      <c r="BK105" s="1607"/>
      <c r="BL105" s="1607"/>
    </row>
    <row r="106">
      <c r="A106" s="1607"/>
      <c r="B106" s="1607"/>
      <c r="C106" s="1607"/>
      <c r="D106" s="1607"/>
      <c r="E106" s="1607"/>
      <c r="F106" s="1607"/>
      <c r="G106" s="1607"/>
      <c r="H106" s="1607"/>
      <c r="I106" s="1607"/>
      <c r="J106" s="1607"/>
      <c r="K106" s="1607"/>
      <c r="L106" s="1607"/>
      <c r="M106" s="1607"/>
      <c r="N106" s="1607"/>
      <c r="O106" s="1607"/>
      <c r="P106" s="1607"/>
      <c r="Q106" s="1607"/>
      <c r="R106" s="1607"/>
      <c r="S106" s="1607"/>
      <c r="T106" s="1607"/>
      <c r="U106" s="1607"/>
      <c r="V106" s="1607"/>
      <c r="W106" s="1607"/>
      <c r="X106" s="1607"/>
      <c r="Y106" s="1607"/>
      <c r="Z106" s="1607"/>
      <c r="AA106" s="1607"/>
      <c r="AB106" s="1607"/>
      <c r="AC106" s="1607"/>
      <c r="AD106" s="1607"/>
      <c r="AE106" s="1607"/>
      <c r="AF106" s="1607"/>
      <c r="AG106" s="1607"/>
      <c r="AH106" s="1607"/>
      <c r="AI106" s="1607"/>
      <c r="AJ106" s="1607"/>
      <c r="AK106" s="1607"/>
      <c r="AL106" s="1607"/>
      <c r="AM106" s="1607"/>
      <c r="AN106" s="1607"/>
      <c r="AO106" s="1607"/>
      <c r="AP106" s="1607"/>
      <c r="AQ106" s="1607"/>
      <c r="AR106" s="1607"/>
      <c r="AS106" s="1607"/>
      <c r="AT106" s="1607"/>
      <c r="AU106" s="1607"/>
      <c r="AV106" s="1607"/>
      <c r="AW106" s="1607"/>
      <c r="AX106" s="1607"/>
      <c r="AY106" s="1607"/>
      <c r="AZ106" s="1607"/>
      <c r="BA106" s="1607"/>
      <c r="BB106" s="1607"/>
      <c r="BC106" s="1607"/>
      <c r="BD106" s="1607"/>
      <c r="BE106" s="1607"/>
      <c r="BF106" s="1607"/>
      <c r="BG106" s="1607"/>
      <c r="BH106" s="1607"/>
      <c r="BI106" s="1607"/>
      <c r="BJ106" s="1607"/>
      <c r="BK106" s="1607"/>
      <c r="BL106" s="1607"/>
    </row>
    <row r="107">
      <c r="A107" s="1607"/>
      <c r="B107" s="1607"/>
      <c r="C107" s="1607"/>
      <c r="D107" s="1607"/>
      <c r="E107" s="1607"/>
      <c r="F107" s="1607"/>
      <c r="G107" s="1607"/>
      <c r="H107" s="1607"/>
      <c r="I107" s="1607"/>
      <c r="J107" s="1607"/>
      <c r="K107" s="1607"/>
      <c r="L107" s="1607"/>
      <c r="M107" s="1607"/>
      <c r="N107" s="1607"/>
      <c r="O107" s="1607"/>
      <c r="P107" s="1607"/>
      <c r="Q107" s="1607"/>
      <c r="R107" s="1607"/>
      <c r="S107" s="1607"/>
      <c r="T107" s="1607"/>
      <c r="U107" s="1607"/>
      <c r="V107" s="1607"/>
      <c r="W107" s="1607"/>
      <c r="X107" s="1607"/>
      <c r="Y107" s="1607"/>
      <c r="Z107" s="1607"/>
      <c r="AA107" s="1607"/>
      <c r="AB107" s="1607"/>
      <c r="AC107" s="1607"/>
      <c r="AD107" s="1607"/>
      <c r="AE107" s="1607"/>
      <c r="AF107" s="1607"/>
      <c r="AG107" s="1607"/>
      <c r="AH107" s="1607"/>
      <c r="AI107" s="1607"/>
      <c r="AJ107" s="1607"/>
      <c r="AK107" s="1607"/>
      <c r="AL107" s="1607"/>
      <c r="AM107" s="1607"/>
      <c r="AN107" s="1607"/>
      <c r="AO107" s="1607"/>
      <c r="AP107" s="1607"/>
      <c r="AQ107" s="1607"/>
      <c r="AR107" s="1607"/>
      <c r="AS107" s="1607"/>
      <c r="AT107" s="1607"/>
      <c r="AU107" s="1607"/>
      <c r="AV107" s="1607"/>
      <c r="AW107" s="1607"/>
      <c r="AX107" s="1607"/>
      <c r="AY107" s="1607"/>
      <c r="AZ107" s="1607"/>
      <c r="BA107" s="1607"/>
      <c r="BB107" s="1607"/>
      <c r="BC107" s="1607"/>
      <c r="BD107" s="1607"/>
      <c r="BE107" s="1607"/>
      <c r="BF107" s="1607"/>
      <c r="BG107" s="1607"/>
      <c r="BH107" s="1607"/>
      <c r="BI107" s="1607"/>
      <c r="BJ107" s="1607"/>
      <c r="BK107" s="1607"/>
      <c r="BL107" s="1607"/>
    </row>
    <row r="108">
      <c r="A108" s="1607"/>
      <c r="B108" s="1607"/>
      <c r="C108" s="1607"/>
      <c r="D108" s="1607"/>
      <c r="E108" s="1607"/>
      <c r="F108" s="1607"/>
      <c r="G108" s="1607"/>
      <c r="H108" s="1607"/>
      <c r="I108" s="1607"/>
      <c r="J108" s="1607"/>
      <c r="K108" s="1607"/>
      <c r="L108" s="1607"/>
      <c r="M108" s="1607"/>
      <c r="N108" s="1607"/>
      <c r="O108" s="1607"/>
      <c r="P108" s="1607"/>
      <c r="Q108" s="1607"/>
      <c r="R108" s="1607"/>
      <c r="S108" s="1607"/>
      <c r="T108" s="1607"/>
      <c r="U108" s="1607"/>
      <c r="V108" s="1607"/>
      <c r="W108" s="1607"/>
      <c r="X108" s="1607"/>
      <c r="Y108" s="1607"/>
      <c r="Z108" s="1607"/>
      <c r="AA108" s="1607"/>
      <c r="AB108" s="1607"/>
      <c r="AC108" s="1607"/>
      <c r="AD108" s="1607"/>
      <c r="AE108" s="1607"/>
      <c r="AF108" s="1607"/>
      <c r="AG108" s="1607"/>
      <c r="AH108" s="1607"/>
      <c r="AI108" s="1607"/>
      <c r="AJ108" s="1607"/>
      <c r="AK108" s="1607"/>
      <c r="AL108" s="1607"/>
      <c r="AM108" s="1607"/>
      <c r="AN108" s="1607"/>
      <c r="AO108" s="1607"/>
      <c r="AP108" s="1607"/>
      <c r="AQ108" s="1607"/>
      <c r="AR108" s="1607"/>
      <c r="AS108" s="1607"/>
      <c r="AT108" s="1607"/>
      <c r="AU108" s="1607"/>
      <c r="AV108" s="1607"/>
      <c r="AW108" s="1607"/>
      <c r="AX108" s="1607"/>
      <c r="AY108" s="1607"/>
      <c r="AZ108" s="1607"/>
      <c r="BA108" s="1607"/>
      <c r="BB108" s="1607"/>
      <c r="BC108" s="1607"/>
      <c r="BD108" s="1607"/>
      <c r="BE108" s="1607"/>
      <c r="BF108" s="1607"/>
      <c r="BG108" s="1607"/>
      <c r="BH108" s="1607"/>
      <c r="BI108" s="1607"/>
      <c r="BJ108" s="1607"/>
      <c r="BK108" s="1607"/>
      <c r="BL108" s="1607"/>
    </row>
    <row r="109">
      <c r="A109" s="1607"/>
      <c r="B109" s="1607"/>
      <c r="C109" s="1607"/>
      <c r="D109" s="1607"/>
      <c r="E109" s="1607"/>
      <c r="F109" s="1607"/>
      <c r="G109" s="1607"/>
      <c r="H109" s="1607"/>
      <c r="I109" s="1607"/>
      <c r="J109" s="1607"/>
      <c r="K109" s="1607"/>
      <c r="L109" s="1607"/>
      <c r="M109" s="1607"/>
      <c r="N109" s="1607"/>
      <c r="O109" s="1607"/>
      <c r="P109" s="1607"/>
      <c r="Q109" s="1607"/>
      <c r="R109" s="1607"/>
      <c r="S109" s="1607"/>
      <c r="T109" s="1607"/>
      <c r="U109" s="1607"/>
      <c r="V109" s="1607"/>
      <c r="W109" s="1607"/>
      <c r="X109" s="1607"/>
      <c r="Y109" s="1607"/>
      <c r="Z109" s="1607"/>
      <c r="AA109" s="1607"/>
      <c r="AB109" s="1607"/>
      <c r="AC109" s="1607"/>
      <c r="AD109" s="1607"/>
      <c r="AE109" s="1607"/>
      <c r="AF109" s="1607"/>
      <c r="AG109" s="1607"/>
      <c r="AH109" s="1607"/>
      <c r="AI109" s="1607"/>
      <c r="AJ109" s="1607"/>
      <c r="AK109" s="1607"/>
      <c r="AL109" s="1607"/>
      <c r="AM109" s="1607"/>
      <c r="AN109" s="1607"/>
      <c r="AO109" s="1607"/>
      <c r="AP109" s="1607"/>
      <c r="AQ109" s="1607"/>
      <c r="AR109" s="1607"/>
      <c r="AS109" s="1607"/>
      <c r="AT109" s="1607"/>
      <c r="AU109" s="1607"/>
      <c r="AV109" s="1607"/>
      <c r="AW109" s="1607"/>
      <c r="AX109" s="1607"/>
      <c r="AY109" s="1607"/>
      <c r="AZ109" s="1607"/>
      <c r="BA109" s="1607"/>
      <c r="BB109" s="1607"/>
      <c r="BC109" s="1607"/>
      <c r="BD109" s="1607"/>
      <c r="BE109" s="1607"/>
      <c r="BF109" s="1607"/>
      <c r="BG109" s="1607"/>
      <c r="BH109" s="1607"/>
      <c r="BI109" s="1607"/>
      <c r="BJ109" s="1607"/>
      <c r="BK109" s="1607"/>
      <c r="BL109" s="1607"/>
    </row>
    <row r="110">
      <c r="A110" s="1607"/>
      <c r="B110" s="1607"/>
      <c r="C110" s="1607"/>
      <c r="D110" s="1607"/>
      <c r="E110" s="1607"/>
      <c r="F110" s="1607"/>
      <c r="G110" s="1607"/>
      <c r="H110" s="1607"/>
      <c r="I110" s="1607"/>
      <c r="J110" s="1607"/>
      <c r="K110" s="1607"/>
      <c r="L110" s="1607"/>
      <c r="M110" s="1607"/>
      <c r="N110" s="1607"/>
      <c r="O110" s="1607"/>
      <c r="P110" s="1607"/>
      <c r="Q110" s="1607"/>
      <c r="R110" s="1607"/>
      <c r="S110" s="1607"/>
      <c r="T110" s="1607"/>
      <c r="U110" s="1607"/>
      <c r="V110" s="1607"/>
      <c r="W110" s="1607"/>
      <c r="X110" s="1607"/>
      <c r="Y110" s="1607"/>
      <c r="Z110" s="1607"/>
      <c r="AA110" s="1607"/>
      <c r="AB110" s="1607"/>
      <c r="AC110" s="1607"/>
      <c r="AD110" s="1607"/>
      <c r="AE110" s="1607"/>
      <c r="AF110" s="1607"/>
      <c r="AG110" s="1607"/>
      <c r="AH110" s="1607"/>
      <c r="AI110" s="1607"/>
      <c r="AJ110" s="1607"/>
      <c r="AK110" s="1607"/>
      <c r="AL110" s="1607"/>
      <c r="AM110" s="1607"/>
      <c r="AN110" s="1607"/>
      <c r="AO110" s="1607"/>
      <c r="AP110" s="1607"/>
      <c r="AQ110" s="1607"/>
      <c r="AR110" s="1607"/>
      <c r="AS110" s="1607"/>
      <c r="AT110" s="1607"/>
      <c r="AU110" s="1607"/>
      <c r="AV110" s="1607"/>
      <c r="AW110" s="1607"/>
      <c r="AX110" s="1607"/>
      <c r="AY110" s="1607"/>
      <c r="AZ110" s="1607"/>
      <c r="BA110" s="1607"/>
      <c r="BB110" s="1607"/>
      <c r="BC110" s="1607"/>
      <c r="BD110" s="1607"/>
      <c r="BE110" s="1607"/>
      <c r="BF110" s="1607"/>
      <c r="BG110" s="1607"/>
      <c r="BH110" s="1607"/>
      <c r="BI110" s="1607"/>
      <c r="BJ110" s="1607"/>
      <c r="BK110" s="1607"/>
      <c r="BL110" s="1607"/>
    </row>
    <row r="111">
      <c r="A111" s="1607"/>
      <c r="B111" s="1607"/>
      <c r="C111" s="1607"/>
      <c r="D111" s="1607"/>
      <c r="E111" s="1607"/>
      <c r="F111" s="1607"/>
      <c r="G111" s="1607"/>
      <c r="H111" s="1607"/>
      <c r="I111" s="1607"/>
      <c r="J111" s="1607"/>
      <c r="K111" s="1607"/>
      <c r="L111" s="1607"/>
      <c r="M111" s="1607"/>
      <c r="N111" s="1607"/>
      <c r="O111" s="1607"/>
      <c r="P111" s="1607"/>
      <c r="Q111" s="1607"/>
      <c r="R111" s="1607"/>
      <c r="S111" s="1607"/>
      <c r="T111" s="1607"/>
      <c r="U111" s="1607"/>
      <c r="V111" s="1607"/>
      <c r="W111" s="1607"/>
      <c r="X111" s="1607"/>
      <c r="Y111" s="1607"/>
      <c r="Z111" s="1607"/>
      <c r="AA111" s="1607"/>
      <c r="AB111" s="1607"/>
      <c r="AC111" s="1607"/>
      <c r="AD111" s="1607"/>
      <c r="AE111" s="1607"/>
      <c r="AF111" s="1607"/>
      <c r="AG111" s="1607"/>
      <c r="AH111" s="1607"/>
      <c r="AI111" s="1607"/>
      <c r="AJ111" s="1607"/>
      <c r="AK111" s="1607"/>
      <c r="AL111" s="1607"/>
      <c r="AM111" s="1607"/>
      <c r="AN111" s="1607"/>
      <c r="AO111" s="1607"/>
      <c r="AP111" s="1607"/>
      <c r="AQ111" s="1607"/>
      <c r="AR111" s="1607"/>
      <c r="AS111" s="1607"/>
      <c r="AT111" s="1607"/>
      <c r="AU111" s="1607"/>
      <c r="AV111" s="1607"/>
      <c r="AW111" s="1607"/>
      <c r="AX111" s="1607"/>
      <c r="AY111" s="1607"/>
      <c r="AZ111" s="1607"/>
      <c r="BA111" s="1607"/>
      <c r="BB111" s="1607"/>
      <c r="BC111" s="1607"/>
      <c r="BD111" s="1607"/>
      <c r="BE111" s="1607"/>
      <c r="BF111" s="1607"/>
      <c r="BG111" s="1607"/>
      <c r="BH111" s="1607"/>
      <c r="BI111" s="1607"/>
      <c r="BJ111" s="1607"/>
      <c r="BK111" s="1607"/>
      <c r="BL111" s="1607"/>
    </row>
    <row r="112">
      <c r="A112" s="1607"/>
      <c r="B112" s="1607"/>
      <c r="C112" s="1607"/>
      <c r="D112" s="1607"/>
      <c r="E112" s="1607"/>
      <c r="F112" s="1607"/>
      <c r="G112" s="1607"/>
      <c r="H112" s="1607"/>
      <c r="I112" s="1607"/>
      <c r="J112" s="1607"/>
      <c r="K112" s="1607"/>
      <c r="L112" s="1607"/>
      <c r="M112" s="1607"/>
      <c r="N112" s="1607"/>
      <c r="O112" s="1607"/>
      <c r="P112" s="1607"/>
      <c r="Q112" s="1607"/>
      <c r="R112" s="1607"/>
      <c r="S112" s="1607"/>
      <c r="T112" s="1607"/>
      <c r="U112" s="1607"/>
      <c r="V112" s="1607"/>
      <c r="W112" s="1607"/>
      <c r="X112" s="1607"/>
      <c r="Y112" s="1607"/>
      <c r="Z112" s="1607"/>
      <c r="AA112" s="1607"/>
      <c r="AB112" s="1607"/>
      <c r="AC112" s="1607"/>
      <c r="AD112" s="1607"/>
      <c r="AE112" s="1607"/>
      <c r="AF112" s="1607"/>
      <c r="AG112" s="1607"/>
      <c r="AH112" s="1607"/>
      <c r="AI112" s="1607"/>
      <c r="AJ112" s="1607"/>
      <c r="AK112" s="1607"/>
      <c r="AL112" s="1607"/>
      <c r="AM112" s="1607"/>
      <c r="AN112" s="1607"/>
      <c r="AO112" s="1607"/>
      <c r="AP112" s="1607"/>
      <c r="AQ112" s="1607"/>
      <c r="AR112" s="1607"/>
      <c r="AS112" s="1607"/>
      <c r="AT112" s="1607"/>
      <c r="AU112" s="1607"/>
      <c r="AV112" s="1607"/>
      <c r="AW112" s="1607"/>
      <c r="AX112" s="1607"/>
      <c r="AY112" s="1607"/>
      <c r="AZ112" s="1607"/>
      <c r="BA112" s="1607"/>
      <c r="BB112" s="1607"/>
      <c r="BC112" s="1607"/>
      <c r="BD112" s="1607"/>
      <c r="BE112" s="1607"/>
      <c r="BF112" s="1607"/>
      <c r="BG112" s="1607"/>
      <c r="BH112" s="1607"/>
      <c r="BI112" s="1607"/>
      <c r="BJ112" s="1607"/>
      <c r="BK112" s="1607"/>
      <c r="BL112" s="1607"/>
    </row>
    <row r="113">
      <c r="A113" s="1607"/>
      <c r="B113" s="1607"/>
      <c r="C113" s="1607"/>
      <c r="D113" s="1607"/>
      <c r="E113" s="1607"/>
      <c r="F113" s="1607"/>
      <c r="G113" s="1607"/>
      <c r="H113" s="1607"/>
      <c r="I113" s="1607"/>
      <c r="J113" s="1607"/>
      <c r="K113" s="1607"/>
      <c r="L113" s="1607"/>
      <c r="M113" s="1607"/>
      <c r="N113" s="1607"/>
      <c r="O113" s="1607"/>
      <c r="P113" s="1607"/>
      <c r="Q113" s="1607"/>
      <c r="R113" s="1607"/>
      <c r="S113" s="1607"/>
      <c r="T113" s="1607"/>
      <c r="U113" s="1607"/>
      <c r="V113" s="1607"/>
      <c r="W113" s="1607"/>
      <c r="X113" s="1607"/>
      <c r="Y113" s="1607"/>
      <c r="Z113" s="1607"/>
      <c r="AA113" s="1607"/>
      <c r="AB113" s="1607"/>
      <c r="AC113" s="1607"/>
      <c r="AD113" s="1607"/>
      <c r="AE113" s="1607"/>
      <c r="AF113" s="1607"/>
      <c r="AG113" s="1607"/>
      <c r="AH113" s="1607"/>
      <c r="AI113" s="1607"/>
      <c r="AJ113" s="1607"/>
      <c r="AK113" s="1607"/>
      <c r="AL113" s="1607"/>
      <c r="AM113" s="1607"/>
      <c r="AN113" s="1607"/>
      <c r="AO113" s="1607"/>
      <c r="AP113" s="1607"/>
      <c r="AQ113" s="1607"/>
      <c r="AR113" s="1607"/>
      <c r="AS113" s="1607"/>
      <c r="AT113" s="1607"/>
      <c r="AU113" s="1607"/>
      <c r="AV113" s="1607"/>
      <c r="AW113" s="1607"/>
      <c r="AX113" s="1607"/>
      <c r="AY113" s="1607"/>
      <c r="AZ113" s="1607"/>
      <c r="BA113" s="1607"/>
      <c r="BB113" s="1607"/>
      <c r="BC113" s="1607"/>
      <c r="BD113" s="1607"/>
      <c r="BE113" s="1607"/>
      <c r="BF113" s="1607"/>
      <c r="BG113" s="1607"/>
      <c r="BH113" s="1607"/>
      <c r="BI113" s="1607"/>
      <c r="BJ113" s="1607"/>
      <c r="BK113" s="1607"/>
      <c r="BL113" s="1607"/>
    </row>
    <row r="114">
      <c r="A114" s="1607"/>
      <c r="B114" s="1607"/>
      <c r="C114" s="1607"/>
      <c r="D114" s="1607"/>
      <c r="E114" s="1607"/>
      <c r="F114" s="1607"/>
      <c r="G114" s="1607"/>
      <c r="H114" s="1607"/>
      <c r="I114" s="1607"/>
      <c r="J114" s="1607"/>
      <c r="K114" s="1607"/>
      <c r="L114" s="1607"/>
      <c r="M114" s="1607"/>
      <c r="N114" s="1607"/>
      <c r="O114" s="1607"/>
      <c r="P114" s="1607"/>
      <c r="Q114" s="1607"/>
      <c r="R114" s="1607"/>
      <c r="S114" s="1607"/>
      <c r="T114" s="1607"/>
      <c r="U114" s="1607"/>
      <c r="V114" s="1607"/>
      <c r="W114" s="1607"/>
      <c r="X114" s="1607"/>
      <c r="Y114" s="1607"/>
      <c r="Z114" s="1607"/>
      <c r="AA114" s="1607"/>
      <c r="AB114" s="1607"/>
      <c r="AC114" s="1607"/>
      <c r="AD114" s="1607"/>
      <c r="AE114" s="1607"/>
      <c r="AF114" s="1607"/>
      <c r="AG114" s="1607"/>
      <c r="AH114" s="1607"/>
      <c r="AI114" s="1607"/>
      <c r="AJ114" s="1607"/>
      <c r="AK114" s="1607"/>
      <c r="AL114" s="1607"/>
      <c r="AM114" s="1607"/>
      <c r="AN114" s="1607"/>
      <c r="AO114" s="1607"/>
      <c r="AP114" s="1607"/>
      <c r="AQ114" s="1607"/>
      <c r="AR114" s="1607"/>
      <c r="AS114" s="1607"/>
      <c r="AT114" s="1607"/>
      <c r="AU114" s="1607"/>
      <c r="AV114" s="1607"/>
      <c r="AW114" s="1607"/>
      <c r="AX114" s="1607"/>
      <c r="AY114" s="1607"/>
      <c r="AZ114" s="1607"/>
      <c r="BA114" s="1607"/>
      <c r="BB114" s="1607"/>
      <c r="BC114" s="1607"/>
      <c r="BD114" s="1607"/>
      <c r="BE114" s="1607"/>
      <c r="BF114" s="1607"/>
      <c r="BG114" s="1607"/>
      <c r="BH114" s="1607"/>
      <c r="BI114" s="1607"/>
      <c r="BJ114" s="1607"/>
      <c r="BK114" s="1607"/>
      <c r="BL114" s="1607"/>
    </row>
    <row r="115">
      <c r="A115" s="1607"/>
      <c r="B115" s="1607"/>
      <c r="C115" s="1607"/>
      <c r="D115" s="1607"/>
      <c r="E115" s="1607"/>
      <c r="F115" s="1607"/>
      <c r="G115" s="1607"/>
      <c r="H115" s="1607"/>
      <c r="I115" s="1607"/>
      <c r="J115" s="1607"/>
      <c r="K115" s="1607"/>
      <c r="L115" s="1607"/>
      <c r="M115" s="1607"/>
      <c r="N115" s="1607"/>
      <c r="O115" s="1607"/>
      <c r="P115" s="1607"/>
      <c r="Q115" s="1607"/>
      <c r="R115" s="1607"/>
      <c r="S115" s="1607"/>
      <c r="T115" s="1607"/>
      <c r="U115" s="1607"/>
      <c r="V115" s="1607"/>
      <c r="W115" s="1607"/>
      <c r="X115" s="1607"/>
      <c r="Y115" s="1607"/>
      <c r="Z115" s="1607"/>
      <c r="AA115" s="1607"/>
      <c r="AB115" s="1607"/>
      <c r="AC115" s="1607"/>
      <c r="AD115" s="1607"/>
      <c r="AE115" s="1607"/>
      <c r="AF115" s="1607"/>
      <c r="AG115" s="1607"/>
      <c r="AH115" s="1607"/>
      <c r="AI115" s="1607"/>
      <c r="AJ115" s="1607"/>
      <c r="AK115" s="1607"/>
      <c r="AL115" s="1607"/>
      <c r="AM115" s="1607"/>
      <c r="AN115" s="1607"/>
      <c r="AO115" s="1607"/>
      <c r="AP115" s="1607"/>
      <c r="AQ115" s="1607"/>
      <c r="AR115" s="1607"/>
      <c r="AS115" s="1607"/>
      <c r="AT115" s="1607"/>
      <c r="AU115" s="1607"/>
      <c r="AV115" s="1607"/>
      <c r="AW115" s="1607"/>
      <c r="AX115" s="1607"/>
      <c r="AY115" s="1607"/>
      <c r="AZ115" s="1607"/>
      <c r="BA115" s="1607"/>
      <c r="BB115" s="1607"/>
      <c r="BC115" s="1607"/>
      <c r="BD115" s="1607"/>
      <c r="BE115" s="1607"/>
      <c r="BF115" s="1607"/>
      <c r="BG115" s="1607"/>
      <c r="BH115" s="1607"/>
      <c r="BI115" s="1607"/>
      <c r="BJ115" s="1607"/>
      <c r="BK115" s="1607"/>
      <c r="BL115" s="1607"/>
    </row>
    <row r="116">
      <c r="A116" s="1607"/>
      <c r="B116" s="1607"/>
      <c r="C116" s="1607"/>
      <c r="D116" s="1607"/>
      <c r="E116" s="1607"/>
      <c r="F116" s="1607"/>
      <c r="G116" s="1607"/>
      <c r="H116" s="1607"/>
      <c r="I116" s="1607"/>
      <c r="J116" s="1607"/>
      <c r="K116" s="1607"/>
      <c r="L116" s="1607"/>
      <c r="M116" s="1607"/>
      <c r="N116" s="1607"/>
      <c r="O116" s="1607"/>
      <c r="P116" s="1607"/>
      <c r="Q116" s="1607"/>
      <c r="R116" s="1607"/>
      <c r="S116" s="1607"/>
      <c r="T116" s="1607"/>
      <c r="U116" s="1607"/>
      <c r="V116" s="1607"/>
      <c r="W116" s="1607"/>
      <c r="X116" s="1607"/>
      <c r="Y116" s="1607"/>
      <c r="Z116" s="1607"/>
      <c r="AA116" s="1607"/>
      <c r="AB116" s="1607"/>
      <c r="AC116" s="1607"/>
      <c r="AD116" s="1607"/>
      <c r="AE116" s="1607"/>
      <c r="AF116" s="1607"/>
      <c r="AG116" s="1607"/>
      <c r="AH116" s="1607"/>
      <c r="AI116" s="1607"/>
      <c r="AJ116" s="1607"/>
      <c r="AK116" s="1607"/>
      <c r="AL116" s="1607"/>
      <c r="AM116" s="1607"/>
      <c r="AN116" s="1607"/>
      <c r="AO116" s="1607"/>
      <c r="AP116" s="1607"/>
      <c r="AQ116" s="1607"/>
      <c r="AR116" s="1607"/>
      <c r="AS116" s="1607"/>
      <c r="AT116" s="1607"/>
      <c r="AU116" s="1607"/>
      <c r="AV116" s="1607"/>
      <c r="AW116" s="1607"/>
      <c r="AX116" s="1607"/>
      <c r="AY116" s="1607"/>
      <c r="AZ116" s="1607"/>
      <c r="BA116" s="1607"/>
      <c r="BB116" s="1607"/>
      <c r="BC116" s="1607"/>
      <c r="BD116" s="1607"/>
      <c r="BE116" s="1607"/>
      <c r="BF116" s="1607"/>
      <c r="BG116" s="1607"/>
      <c r="BH116" s="1607"/>
      <c r="BI116" s="1607"/>
      <c r="BJ116" s="1607"/>
      <c r="BK116" s="1607"/>
      <c r="BL116" s="1607"/>
    </row>
    <row r="117">
      <c r="A117" s="1607"/>
      <c r="B117" s="1607"/>
      <c r="C117" s="1607"/>
      <c r="D117" s="1607"/>
      <c r="E117" s="1607"/>
      <c r="F117" s="1607"/>
      <c r="G117" s="1607"/>
      <c r="H117" s="1607"/>
      <c r="I117" s="1607"/>
      <c r="J117" s="1607"/>
      <c r="K117" s="1607"/>
      <c r="L117" s="1607"/>
      <c r="M117" s="1607"/>
      <c r="N117" s="1607"/>
      <c r="O117" s="1607"/>
      <c r="P117" s="1607"/>
      <c r="Q117" s="1607"/>
      <c r="R117" s="1607"/>
      <c r="S117" s="1607"/>
      <c r="T117" s="1607"/>
      <c r="U117" s="1607"/>
      <c r="V117" s="1607"/>
      <c r="W117" s="1607"/>
      <c r="X117" s="1607"/>
      <c r="Y117" s="1607"/>
      <c r="Z117" s="1607"/>
      <c r="AA117" s="1607"/>
      <c r="AB117" s="1607"/>
      <c r="AC117" s="1607"/>
      <c r="AD117" s="1607"/>
      <c r="AE117" s="1607"/>
      <c r="AF117" s="1607"/>
      <c r="AG117" s="1607"/>
      <c r="AH117" s="1607"/>
      <c r="AI117" s="1607"/>
      <c r="AJ117" s="1607"/>
      <c r="AK117" s="1607"/>
      <c r="AL117" s="1607"/>
      <c r="AM117" s="1607"/>
      <c r="AN117" s="1607"/>
      <c r="AO117" s="1607"/>
      <c r="AP117" s="1607"/>
      <c r="AQ117" s="1607"/>
      <c r="AR117" s="1607"/>
      <c r="AS117" s="1607"/>
      <c r="AT117" s="1607"/>
      <c r="AU117" s="1607"/>
      <c r="AV117" s="1607"/>
      <c r="AW117" s="1607"/>
      <c r="AX117" s="1607"/>
      <c r="AY117" s="1607"/>
      <c r="AZ117" s="1607"/>
      <c r="BA117" s="1607"/>
      <c r="BB117" s="1607"/>
      <c r="BC117" s="1607"/>
      <c r="BD117" s="1607"/>
      <c r="BE117" s="1607"/>
      <c r="BF117" s="1607"/>
      <c r="BG117" s="1607"/>
      <c r="BH117" s="1607"/>
      <c r="BI117" s="1607"/>
      <c r="BJ117" s="1607"/>
      <c r="BK117" s="1607"/>
      <c r="BL117" s="1607"/>
    </row>
    <row r="118">
      <c r="A118" s="1607"/>
      <c r="B118" s="1607"/>
      <c r="C118" s="1607"/>
      <c r="D118" s="1607"/>
      <c r="E118" s="1607"/>
      <c r="F118" s="1607"/>
      <c r="G118" s="1607"/>
      <c r="H118" s="1607"/>
      <c r="I118" s="1607"/>
      <c r="J118" s="1607"/>
      <c r="K118" s="1607"/>
      <c r="L118" s="1607"/>
      <c r="M118" s="1607"/>
      <c r="N118" s="1607"/>
      <c r="O118" s="1607"/>
      <c r="P118" s="1607"/>
      <c r="Q118" s="1607"/>
      <c r="R118" s="1607"/>
      <c r="S118" s="1607"/>
      <c r="T118" s="1607"/>
      <c r="U118" s="1607"/>
      <c r="V118" s="1607"/>
      <c r="W118" s="1607"/>
      <c r="X118" s="1607"/>
      <c r="Y118" s="1607"/>
      <c r="Z118" s="1607"/>
      <c r="AA118" s="1607"/>
      <c r="AB118" s="1607"/>
      <c r="AC118" s="1607"/>
      <c r="AD118" s="1607"/>
      <c r="AE118" s="1607"/>
      <c r="AF118" s="1607"/>
      <c r="AG118" s="1607"/>
      <c r="AH118" s="1607"/>
      <c r="AI118" s="1607"/>
      <c r="AJ118" s="1607"/>
      <c r="AK118" s="1607"/>
      <c r="AL118" s="1607"/>
      <c r="AM118" s="1607"/>
      <c r="AN118" s="1607"/>
      <c r="AO118" s="1607"/>
      <c r="AP118" s="1607"/>
      <c r="AQ118" s="1607"/>
      <c r="AR118" s="1607"/>
      <c r="AS118" s="1607"/>
      <c r="AT118" s="1607"/>
      <c r="AU118" s="1607"/>
      <c r="AV118" s="1607"/>
      <c r="AW118" s="1607"/>
      <c r="AX118" s="1607"/>
      <c r="AY118" s="1607"/>
      <c r="AZ118" s="1607"/>
      <c r="BA118" s="1607"/>
      <c r="BB118" s="1607"/>
      <c r="BC118" s="1607"/>
      <c r="BD118" s="1607"/>
      <c r="BE118" s="1607"/>
      <c r="BF118" s="1607"/>
      <c r="BG118" s="1607"/>
      <c r="BH118" s="1607"/>
      <c r="BI118" s="1607"/>
      <c r="BJ118" s="1607"/>
      <c r="BK118" s="1607"/>
      <c r="BL118" s="1607"/>
    </row>
    <row r="119">
      <c r="A119" s="1607"/>
      <c r="B119" s="1607"/>
      <c r="C119" s="1607"/>
      <c r="D119" s="1607"/>
      <c r="E119" s="1607"/>
      <c r="F119" s="1607"/>
      <c r="G119" s="1607"/>
      <c r="H119" s="1607"/>
      <c r="I119" s="1607"/>
      <c r="J119" s="1607"/>
      <c r="K119" s="1607"/>
      <c r="L119" s="1607"/>
      <c r="M119" s="1607"/>
      <c r="N119" s="1607"/>
      <c r="O119" s="1607"/>
      <c r="P119" s="1607"/>
      <c r="Q119" s="1607"/>
      <c r="R119" s="1607"/>
      <c r="S119" s="1607"/>
      <c r="T119" s="1607"/>
      <c r="U119" s="1607"/>
      <c r="V119" s="1607"/>
      <c r="W119" s="1607"/>
      <c r="X119" s="1607"/>
      <c r="Y119" s="1607"/>
      <c r="Z119" s="1607"/>
      <c r="AA119" s="1607"/>
      <c r="AB119" s="1607"/>
      <c r="AC119" s="1607"/>
      <c r="AD119" s="1607"/>
      <c r="AE119" s="1607"/>
      <c r="AF119" s="1607"/>
      <c r="AG119" s="1607"/>
      <c r="AH119" s="1607"/>
      <c r="AI119" s="1607"/>
      <c r="AJ119" s="1607"/>
      <c r="AK119" s="1607"/>
      <c r="AL119" s="1607"/>
      <c r="AM119" s="1607"/>
      <c r="AN119" s="1607"/>
      <c r="AO119" s="1607"/>
      <c r="AP119" s="1607"/>
      <c r="AQ119" s="1607"/>
      <c r="AR119" s="1607"/>
      <c r="AS119" s="1607"/>
      <c r="AT119" s="1607"/>
      <c r="AU119" s="1607"/>
      <c r="AV119" s="1607"/>
      <c r="AW119" s="1607"/>
      <c r="AX119" s="1607"/>
      <c r="AY119" s="1607"/>
      <c r="AZ119" s="1607"/>
      <c r="BA119" s="1607"/>
      <c r="BB119" s="1607"/>
      <c r="BC119" s="1607"/>
      <c r="BD119" s="1607"/>
      <c r="BE119" s="1607"/>
      <c r="BF119" s="1607"/>
      <c r="BG119" s="1607"/>
      <c r="BH119" s="1607"/>
      <c r="BI119" s="1607"/>
      <c r="BJ119" s="1607"/>
      <c r="BK119" s="1607"/>
      <c r="BL119" s="1607"/>
    </row>
    <row r="120">
      <c r="A120" s="1607"/>
      <c r="B120" s="1607"/>
      <c r="C120" s="1607"/>
      <c r="D120" s="1607"/>
      <c r="E120" s="1607"/>
      <c r="F120" s="1607"/>
      <c r="G120" s="1607"/>
      <c r="H120" s="1607"/>
      <c r="I120" s="1607"/>
      <c r="J120" s="1607"/>
      <c r="K120" s="1607"/>
      <c r="L120" s="1607"/>
      <c r="M120" s="1607"/>
      <c r="N120" s="1607"/>
      <c r="O120" s="1607"/>
      <c r="P120" s="1607"/>
      <c r="Q120" s="1607"/>
      <c r="R120" s="1607"/>
      <c r="S120" s="1607"/>
      <c r="T120" s="1607"/>
      <c r="U120" s="1607"/>
      <c r="V120" s="1607"/>
      <c r="W120" s="1607"/>
      <c r="X120" s="1607"/>
      <c r="Y120" s="1607"/>
      <c r="Z120" s="1607"/>
      <c r="AA120" s="1607"/>
      <c r="AB120" s="1607"/>
      <c r="AC120" s="1607"/>
      <c r="AD120" s="1607"/>
      <c r="AE120" s="1607"/>
      <c r="AF120" s="1607"/>
      <c r="AG120" s="1607"/>
      <c r="AH120" s="1607"/>
      <c r="AI120" s="1607"/>
      <c r="AJ120" s="1607"/>
      <c r="AK120" s="1607"/>
      <c r="AL120" s="1607"/>
      <c r="AM120" s="1607"/>
      <c r="AN120" s="1607"/>
      <c r="AO120" s="1607"/>
      <c r="AP120" s="1607"/>
      <c r="AQ120" s="1607"/>
      <c r="AR120" s="1607"/>
      <c r="AS120" s="1607"/>
      <c r="AT120" s="1607"/>
      <c r="AU120" s="1607"/>
      <c r="AV120" s="1607"/>
      <c r="AW120" s="1607"/>
      <c r="AX120" s="1607"/>
      <c r="AY120" s="1607"/>
      <c r="AZ120" s="1607"/>
      <c r="BA120" s="1607"/>
      <c r="BB120" s="1607"/>
      <c r="BC120" s="1607"/>
      <c r="BD120" s="1607"/>
      <c r="BE120" s="1607"/>
      <c r="BF120" s="1607"/>
      <c r="BG120" s="1607"/>
      <c r="BH120" s="1607"/>
      <c r="BI120" s="1607"/>
      <c r="BJ120" s="1607"/>
      <c r="BK120" s="1607"/>
      <c r="BL120" s="1607"/>
    </row>
    <row r="121">
      <c r="A121" s="1607"/>
      <c r="B121" s="1607"/>
      <c r="C121" s="1607"/>
      <c r="D121" s="1607"/>
      <c r="E121" s="1607"/>
      <c r="F121" s="1607"/>
      <c r="G121" s="1607"/>
      <c r="H121" s="1607"/>
      <c r="I121" s="1607"/>
      <c r="J121" s="1607"/>
      <c r="K121" s="1607"/>
      <c r="L121" s="1607"/>
      <c r="M121" s="1607"/>
      <c r="N121" s="1607"/>
      <c r="O121" s="1607"/>
      <c r="P121" s="1607"/>
      <c r="Q121" s="1607"/>
      <c r="R121" s="1607"/>
      <c r="S121" s="1607"/>
      <c r="T121" s="1607"/>
      <c r="U121" s="1607"/>
      <c r="V121" s="1607"/>
      <c r="W121" s="1607"/>
      <c r="X121" s="1607"/>
      <c r="Y121" s="1607"/>
      <c r="Z121" s="1607"/>
      <c r="AA121" s="1607"/>
      <c r="AB121" s="1607"/>
      <c r="AC121" s="1607"/>
      <c r="AD121" s="1607"/>
      <c r="AE121" s="1607"/>
      <c r="AF121" s="1607"/>
      <c r="AG121" s="1607"/>
      <c r="AH121" s="1607"/>
      <c r="AI121" s="1607"/>
      <c r="AJ121" s="1607"/>
      <c r="AK121" s="1607"/>
      <c r="AL121" s="1607"/>
      <c r="AM121" s="1607"/>
      <c r="AN121" s="1607"/>
      <c r="AO121" s="1607"/>
      <c r="AP121" s="1607"/>
      <c r="AQ121" s="1607"/>
      <c r="AR121" s="1607"/>
      <c r="AS121" s="1607"/>
      <c r="AT121" s="1607"/>
      <c r="AU121" s="1607"/>
      <c r="AV121" s="1607"/>
      <c r="AW121" s="1607"/>
      <c r="AX121" s="1607"/>
      <c r="AY121" s="1607"/>
      <c r="AZ121" s="1607"/>
      <c r="BA121" s="1607"/>
      <c r="BB121" s="1607"/>
      <c r="BC121" s="1607"/>
      <c r="BD121" s="1607"/>
      <c r="BE121" s="1607"/>
      <c r="BF121" s="1607"/>
      <c r="BG121" s="1607"/>
      <c r="BH121" s="1607"/>
      <c r="BI121" s="1607"/>
      <c r="BJ121" s="1607"/>
      <c r="BK121" s="1607"/>
      <c r="BL121" s="1607"/>
    </row>
    <row r="122">
      <c r="A122" s="1607"/>
      <c r="B122" s="1607"/>
      <c r="C122" s="1607"/>
      <c r="D122" s="1607"/>
      <c r="E122" s="1607"/>
      <c r="F122" s="1607"/>
      <c r="G122" s="1607"/>
      <c r="H122" s="1607"/>
      <c r="I122" s="1607"/>
      <c r="J122" s="1607"/>
      <c r="K122" s="1607"/>
      <c r="L122" s="1607"/>
      <c r="M122" s="1607"/>
      <c r="N122" s="1607"/>
      <c r="O122" s="1607"/>
      <c r="P122" s="1607"/>
      <c r="Q122" s="1607"/>
      <c r="R122" s="1607"/>
      <c r="S122" s="1607"/>
      <c r="T122" s="1607"/>
      <c r="U122" s="1607"/>
      <c r="V122" s="1607"/>
      <c r="W122" s="1607"/>
      <c r="X122" s="1607"/>
      <c r="Y122" s="1607"/>
      <c r="Z122" s="1607"/>
      <c r="AA122" s="1607"/>
      <c r="AB122" s="1607"/>
      <c r="AC122" s="1607"/>
      <c r="AD122" s="1607"/>
      <c r="AE122" s="1607"/>
      <c r="AF122" s="1607"/>
      <c r="AG122" s="1607"/>
      <c r="AH122" s="1607"/>
      <c r="AI122" s="1607"/>
      <c r="AJ122" s="1607"/>
      <c r="AK122" s="1607"/>
      <c r="AL122" s="1607"/>
      <c r="AM122" s="1607"/>
      <c r="AN122" s="1607"/>
      <c r="AO122" s="1607"/>
      <c r="AP122" s="1607"/>
      <c r="AQ122" s="1607"/>
      <c r="AR122" s="1607"/>
      <c r="AS122" s="1607"/>
      <c r="AT122" s="1607"/>
      <c r="AU122" s="1607"/>
      <c r="AV122" s="1607"/>
      <c r="AW122" s="1607"/>
      <c r="AX122" s="1607"/>
      <c r="AY122" s="1607"/>
      <c r="AZ122" s="1607"/>
      <c r="BA122" s="1607"/>
      <c r="BB122" s="1607"/>
      <c r="BC122" s="1607"/>
      <c r="BD122" s="1607"/>
      <c r="BE122" s="1607"/>
      <c r="BF122" s="1607"/>
      <c r="BG122" s="1607"/>
      <c r="BH122" s="1607"/>
      <c r="BI122" s="1607"/>
      <c r="BJ122" s="1607"/>
      <c r="BK122" s="1607"/>
      <c r="BL122" s="1607"/>
    </row>
    <row r="123">
      <c r="A123" s="1607"/>
      <c r="B123" s="1607"/>
      <c r="C123" s="1607"/>
      <c r="D123" s="1607"/>
      <c r="E123" s="1607"/>
      <c r="F123" s="1607"/>
      <c r="G123" s="1607"/>
      <c r="H123" s="1607"/>
      <c r="I123" s="1607"/>
      <c r="J123" s="1607"/>
      <c r="K123" s="1607"/>
      <c r="L123" s="1607"/>
      <c r="M123" s="1607"/>
      <c r="N123" s="1607"/>
      <c r="O123" s="1607"/>
      <c r="P123" s="1607"/>
      <c r="Q123" s="1607"/>
      <c r="R123" s="1607"/>
      <c r="S123" s="1607"/>
      <c r="T123" s="1607"/>
      <c r="U123" s="1607"/>
      <c r="V123" s="1607"/>
      <c r="W123" s="1607"/>
      <c r="X123" s="1607"/>
      <c r="Y123" s="1607"/>
      <c r="Z123" s="1607"/>
      <c r="AA123" s="1607"/>
      <c r="AB123" s="1607"/>
      <c r="AC123" s="1607"/>
      <c r="AD123" s="1607"/>
      <c r="AE123" s="1607"/>
      <c r="AF123" s="1607"/>
      <c r="AG123" s="1607"/>
      <c r="AH123" s="1607"/>
      <c r="AI123" s="1607"/>
      <c r="AJ123" s="1607"/>
      <c r="AK123" s="1607"/>
      <c r="AL123" s="1607"/>
      <c r="AM123" s="1607"/>
      <c r="AN123" s="1607"/>
      <c r="AO123" s="1607"/>
      <c r="AP123" s="1607"/>
      <c r="AQ123" s="1607"/>
      <c r="AR123" s="1607"/>
      <c r="AS123" s="1607"/>
      <c r="AT123" s="1607"/>
      <c r="AU123" s="1607"/>
      <c r="AV123" s="1607"/>
      <c r="AW123" s="1607"/>
      <c r="AX123" s="1607"/>
      <c r="AY123" s="1607"/>
      <c r="AZ123" s="1607"/>
      <c r="BA123" s="1607"/>
      <c r="BB123" s="1607"/>
      <c r="BC123" s="1607"/>
      <c r="BD123" s="1607"/>
      <c r="BE123" s="1607"/>
      <c r="BF123" s="1607"/>
      <c r="BG123" s="1607"/>
      <c r="BH123" s="1607"/>
      <c r="BI123" s="1607"/>
      <c r="BJ123" s="1607"/>
      <c r="BK123" s="1607"/>
      <c r="BL123" s="1607"/>
    </row>
    <row r="124">
      <c r="A124" s="1607"/>
      <c r="B124" s="1607"/>
      <c r="C124" s="1607"/>
      <c r="D124" s="1607"/>
      <c r="E124" s="1607"/>
      <c r="F124" s="1607"/>
      <c r="G124" s="1607"/>
      <c r="H124" s="1607"/>
      <c r="I124" s="1607"/>
      <c r="J124" s="1607"/>
      <c r="K124" s="1607"/>
      <c r="L124" s="1607"/>
      <c r="M124" s="1607"/>
      <c r="N124" s="1607"/>
      <c r="O124" s="1607"/>
      <c r="P124" s="1607"/>
      <c r="Q124" s="1607"/>
      <c r="R124" s="1607"/>
      <c r="S124" s="1607"/>
      <c r="T124" s="1607"/>
      <c r="U124" s="1607"/>
      <c r="V124" s="1607"/>
      <c r="W124" s="1607"/>
      <c r="X124" s="1607"/>
      <c r="Y124" s="1607"/>
      <c r="Z124" s="1607"/>
      <c r="AA124" s="1607"/>
      <c r="AB124" s="1607"/>
      <c r="AC124" s="1607"/>
      <c r="AD124" s="1607"/>
      <c r="AE124" s="1607"/>
      <c r="AF124" s="1607"/>
      <c r="AG124" s="1607"/>
      <c r="AH124" s="1607"/>
      <c r="AI124" s="1607"/>
      <c r="AJ124" s="1607"/>
      <c r="AK124" s="1607"/>
      <c r="AL124" s="1607"/>
      <c r="AM124" s="1607"/>
      <c r="AN124" s="1607"/>
      <c r="AO124" s="1607"/>
      <c r="AP124" s="1607"/>
      <c r="AQ124" s="1607"/>
      <c r="AR124" s="1607"/>
      <c r="AS124" s="1607"/>
      <c r="AT124" s="1607"/>
      <c r="AU124" s="1607"/>
      <c r="AV124" s="1607"/>
      <c r="AW124" s="1607"/>
      <c r="AX124" s="1607"/>
      <c r="AY124" s="1607"/>
      <c r="AZ124" s="1607"/>
      <c r="BA124" s="1607"/>
      <c r="BB124" s="1607"/>
      <c r="BC124" s="1607"/>
      <c r="BD124" s="1607"/>
      <c r="BE124" s="1607"/>
      <c r="BF124" s="1607"/>
      <c r="BG124" s="1607"/>
      <c r="BH124" s="1607"/>
      <c r="BI124" s="1607"/>
      <c r="BJ124" s="1607"/>
      <c r="BK124" s="1607"/>
      <c r="BL124" s="1607"/>
    </row>
    <row r="125">
      <c r="A125" s="1607"/>
      <c r="B125" s="1607"/>
      <c r="C125" s="1607"/>
      <c r="D125" s="1607"/>
      <c r="E125" s="1607"/>
      <c r="F125" s="1607"/>
      <c r="G125" s="1607"/>
      <c r="H125" s="1607"/>
      <c r="I125" s="1607"/>
      <c r="J125" s="1607"/>
      <c r="K125" s="1607"/>
      <c r="L125" s="1607"/>
      <c r="M125" s="1607"/>
      <c r="N125" s="1607"/>
      <c r="O125" s="1607"/>
      <c r="P125" s="1607"/>
      <c r="Q125" s="1607"/>
      <c r="R125" s="1607"/>
      <c r="S125" s="1607"/>
      <c r="T125" s="1607"/>
      <c r="U125" s="1607"/>
      <c r="V125" s="1607"/>
      <c r="W125" s="1607"/>
      <c r="X125" s="1607"/>
      <c r="Y125" s="1607"/>
      <c r="Z125" s="1607"/>
      <c r="AA125" s="1607"/>
      <c r="AB125" s="1607"/>
      <c r="AC125" s="1607"/>
      <c r="AD125" s="1607"/>
      <c r="AE125" s="1607"/>
      <c r="AF125" s="1607"/>
      <c r="AG125" s="1607"/>
      <c r="AH125" s="1607"/>
      <c r="AI125" s="1607"/>
      <c r="AJ125" s="1607"/>
      <c r="AK125" s="1607"/>
      <c r="AL125" s="1607"/>
      <c r="AM125" s="1607"/>
      <c r="AN125" s="1607"/>
      <c r="AO125" s="1607"/>
      <c r="AP125" s="1607"/>
      <c r="AQ125" s="1607"/>
      <c r="AR125" s="1607"/>
      <c r="AS125" s="1607"/>
      <c r="AT125" s="1607"/>
      <c r="AU125" s="1607"/>
      <c r="AV125" s="1607"/>
      <c r="AW125" s="1607"/>
      <c r="AX125" s="1607"/>
      <c r="AY125" s="1607"/>
      <c r="AZ125" s="1607"/>
      <c r="BA125" s="1607"/>
      <c r="BB125" s="1607"/>
      <c r="BC125" s="1607"/>
      <c r="BD125" s="1607"/>
      <c r="BE125" s="1607"/>
      <c r="BF125" s="1607"/>
      <c r="BG125" s="1607"/>
      <c r="BH125" s="1607"/>
      <c r="BI125" s="1607"/>
      <c r="BJ125" s="1607"/>
      <c r="BK125" s="1607"/>
      <c r="BL125" s="1607"/>
    </row>
    <row r="126">
      <c r="A126" s="1607"/>
      <c r="B126" s="1607"/>
      <c r="C126" s="1607"/>
      <c r="D126" s="1607"/>
      <c r="E126" s="1607"/>
      <c r="F126" s="1607"/>
      <c r="G126" s="1607"/>
      <c r="H126" s="1607"/>
      <c r="I126" s="1607"/>
      <c r="J126" s="1607"/>
      <c r="K126" s="1607"/>
      <c r="L126" s="1607"/>
      <c r="M126" s="1607"/>
      <c r="N126" s="1607"/>
      <c r="O126" s="1607"/>
      <c r="P126" s="1607"/>
      <c r="Q126" s="1607"/>
      <c r="R126" s="1607"/>
      <c r="S126" s="1607"/>
      <c r="T126" s="1607"/>
      <c r="U126" s="1607"/>
      <c r="V126" s="1607"/>
      <c r="W126" s="1607"/>
      <c r="X126" s="1607"/>
      <c r="Y126" s="1607"/>
      <c r="Z126" s="1607"/>
      <c r="AA126" s="1607"/>
      <c r="AB126" s="1607"/>
      <c r="AC126" s="1607"/>
      <c r="AD126" s="1607"/>
      <c r="AE126" s="1607"/>
      <c r="AF126" s="1607"/>
      <c r="AG126" s="1607"/>
      <c r="AH126" s="1607"/>
      <c r="AI126" s="1607"/>
      <c r="AJ126" s="1607"/>
      <c r="AK126" s="1607"/>
      <c r="AL126" s="1607"/>
      <c r="AM126" s="1607"/>
      <c r="AN126" s="1607"/>
      <c r="AO126" s="1607"/>
      <c r="AP126" s="1607"/>
      <c r="AQ126" s="1607"/>
      <c r="AR126" s="1607"/>
      <c r="AS126" s="1607"/>
      <c r="AT126" s="1607"/>
      <c r="AU126" s="1607"/>
      <c r="AV126" s="1607"/>
      <c r="AW126" s="1607"/>
      <c r="AX126" s="1607"/>
      <c r="AY126" s="1607"/>
      <c r="AZ126" s="1607"/>
      <c r="BA126" s="1607"/>
      <c r="BB126" s="1607"/>
      <c r="BC126" s="1607"/>
      <c r="BD126" s="1607"/>
      <c r="BE126" s="1607"/>
      <c r="BF126" s="1607"/>
      <c r="BG126" s="1607"/>
      <c r="BH126" s="1607"/>
      <c r="BI126" s="1607"/>
      <c r="BJ126" s="1607"/>
      <c r="BK126" s="1607"/>
      <c r="BL126" s="1607"/>
    </row>
    <row r="127">
      <c r="A127" s="1607"/>
      <c r="B127" s="1607"/>
      <c r="C127" s="1607"/>
      <c r="D127" s="1607"/>
      <c r="E127" s="1607"/>
      <c r="F127" s="1607"/>
      <c r="G127" s="1607"/>
      <c r="H127" s="1607"/>
      <c r="I127" s="1607"/>
      <c r="J127" s="1607"/>
      <c r="K127" s="1607"/>
      <c r="L127" s="1607"/>
      <c r="M127" s="1607"/>
      <c r="N127" s="1607"/>
      <c r="O127" s="1607"/>
      <c r="P127" s="1607"/>
      <c r="Q127" s="1607"/>
      <c r="R127" s="1607"/>
      <c r="S127" s="1607"/>
      <c r="T127" s="1607"/>
      <c r="U127" s="1607"/>
      <c r="V127" s="1607"/>
      <c r="W127" s="1607"/>
      <c r="X127" s="1607"/>
      <c r="Y127" s="1607"/>
      <c r="Z127" s="1607"/>
      <c r="AA127" s="1607"/>
      <c r="AB127" s="1607"/>
      <c r="AC127" s="1607"/>
      <c r="AD127" s="1607"/>
      <c r="AE127" s="1607"/>
      <c r="AF127" s="1607"/>
      <c r="AG127" s="1607"/>
      <c r="AH127" s="1607"/>
      <c r="AI127" s="1607"/>
      <c r="AJ127" s="1607"/>
      <c r="AK127" s="1607"/>
      <c r="AL127" s="1607"/>
      <c r="AM127" s="1607"/>
      <c r="AN127" s="1607"/>
      <c r="AO127" s="1607"/>
      <c r="AP127" s="1607"/>
      <c r="AQ127" s="1607"/>
      <c r="AR127" s="1607"/>
      <c r="AS127" s="1607"/>
      <c r="AT127" s="1607"/>
      <c r="AU127" s="1607"/>
      <c r="AV127" s="1607"/>
      <c r="AW127" s="1607"/>
      <c r="AX127" s="1607"/>
      <c r="AY127" s="1607"/>
      <c r="AZ127" s="1607"/>
      <c r="BA127" s="1607"/>
      <c r="BB127" s="1607"/>
      <c r="BC127" s="1607"/>
      <c r="BD127" s="1607"/>
      <c r="BE127" s="1607"/>
      <c r="BF127" s="1607"/>
      <c r="BG127" s="1607"/>
      <c r="BH127" s="1607"/>
      <c r="BI127" s="1607"/>
      <c r="BJ127" s="1607"/>
      <c r="BK127" s="1607"/>
      <c r="BL127" s="1607"/>
    </row>
    <row r="128">
      <c r="A128" s="1607"/>
      <c r="B128" s="1607"/>
      <c r="C128" s="1607"/>
      <c r="D128" s="1607"/>
      <c r="E128" s="1607"/>
      <c r="F128" s="1607"/>
      <c r="G128" s="1607"/>
      <c r="H128" s="1607"/>
      <c r="I128" s="1607"/>
      <c r="J128" s="1607"/>
      <c r="K128" s="1607"/>
      <c r="L128" s="1607"/>
      <c r="M128" s="1607"/>
      <c r="N128" s="1607"/>
      <c r="O128" s="1607"/>
      <c r="P128" s="1607"/>
      <c r="Q128" s="1607"/>
      <c r="R128" s="1607"/>
      <c r="S128" s="1607"/>
      <c r="T128" s="1607"/>
      <c r="U128" s="1607"/>
      <c r="V128" s="1607"/>
      <c r="W128" s="1607"/>
      <c r="X128" s="1607"/>
      <c r="Y128" s="1607"/>
      <c r="Z128" s="1607"/>
      <c r="AA128" s="1607"/>
      <c r="AB128" s="1607"/>
      <c r="AC128" s="1607"/>
      <c r="AD128" s="1607"/>
      <c r="AE128" s="1607"/>
      <c r="AF128" s="1607"/>
      <c r="AG128" s="1607"/>
      <c r="AH128" s="1607"/>
      <c r="AI128" s="1607"/>
      <c r="AJ128" s="1607"/>
      <c r="AK128" s="1607"/>
      <c r="AL128" s="1607"/>
      <c r="AM128" s="1607"/>
      <c r="AN128" s="1607"/>
      <c r="AO128" s="1607"/>
      <c r="AP128" s="1607"/>
      <c r="AQ128" s="1607"/>
      <c r="AR128" s="1607"/>
      <c r="AS128" s="1607"/>
      <c r="AT128" s="1607"/>
      <c r="AU128" s="1607"/>
      <c r="AV128" s="1607"/>
      <c r="AW128" s="1607"/>
      <c r="AX128" s="1607"/>
      <c r="AY128" s="1607"/>
      <c r="AZ128" s="1607"/>
      <c r="BA128" s="1607"/>
      <c r="BB128" s="1607"/>
      <c r="BC128" s="1607"/>
      <c r="BD128" s="1607"/>
      <c r="BE128" s="1607"/>
      <c r="BF128" s="1607"/>
      <c r="BG128" s="1607"/>
      <c r="BH128" s="1607"/>
      <c r="BI128" s="1607"/>
      <c r="BJ128" s="1607"/>
      <c r="BK128" s="1607"/>
      <c r="BL128" s="1607"/>
    </row>
    <row r="129">
      <c r="A129" s="1607"/>
      <c r="B129" s="1607"/>
      <c r="C129" s="1607"/>
      <c r="D129" s="1607"/>
      <c r="E129" s="1607"/>
      <c r="F129" s="1607"/>
      <c r="G129" s="1607"/>
      <c r="H129" s="1607"/>
      <c r="I129" s="1607"/>
      <c r="J129" s="1607"/>
      <c r="K129" s="1607"/>
      <c r="L129" s="1607"/>
      <c r="M129" s="1607"/>
      <c r="N129" s="1607"/>
      <c r="O129" s="1607"/>
      <c r="P129" s="1607"/>
      <c r="Q129" s="1607"/>
      <c r="R129" s="1607"/>
      <c r="S129" s="1607"/>
      <c r="T129" s="1607"/>
      <c r="U129" s="1607"/>
      <c r="V129" s="1607"/>
      <c r="W129" s="1607"/>
      <c r="X129" s="1607"/>
      <c r="Y129" s="1607"/>
      <c r="Z129" s="1607"/>
      <c r="AA129" s="1607"/>
      <c r="AB129" s="1607"/>
      <c r="AC129" s="1607"/>
      <c r="AD129" s="1607"/>
      <c r="AE129" s="1607"/>
      <c r="AF129" s="1607"/>
      <c r="AG129" s="1607"/>
      <c r="AH129" s="1607"/>
      <c r="AI129" s="1607"/>
      <c r="AJ129" s="1607"/>
      <c r="AK129" s="1607"/>
      <c r="AL129" s="1607"/>
      <c r="AM129" s="1607"/>
      <c r="AN129" s="1607"/>
      <c r="AO129" s="1607"/>
      <c r="AP129" s="1607"/>
      <c r="AQ129" s="1607"/>
      <c r="AR129" s="1607"/>
      <c r="AS129" s="1607"/>
      <c r="AT129" s="1607"/>
      <c r="AU129" s="1607"/>
      <c r="AV129" s="1607"/>
      <c r="AW129" s="1607"/>
      <c r="AX129" s="1607"/>
      <c r="AY129" s="1607"/>
      <c r="AZ129" s="1607"/>
      <c r="BA129" s="1607"/>
      <c r="BB129" s="1607"/>
      <c r="BC129" s="1607"/>
      <c r="BD129" s="1607"/>
      <c r="BE129" s="1607"/>
      <c r="BF129" s="1607"/>
      <c r="BG129" s="1607"/>
      <c r="BH129" s="1607"/>
      <c r="BI129" s="1607"/>
      <c r="BJ129" s="1607"/>
      <c r="BK129" s="1607"/>
      <c r="BL129" s="1607"/>
    </row>
    <row r="130">
      <c r="A130" s="1607"/>
      <c r="B130" s="1607"/>
      <c r="C130" s="1607"/>
      <c r="D130" s="1607"/>
      <c r="E130" s="1607"/>
      <c r="F130" s="1607"/>
      <c r="G130" s="1607"/>
      <c r="H130" s="1607"/>
      <c r="I130" s="1607"/>
      <c r="J130" s="1607"/>
      <c r="K130" s="1607"/>
      <c r="L130" s="1607"/>
      <c r="M130" s="1607"/>
      <c r="N130" s="1607"/>
      <c r="O130" s="1607"/>
      <c r="P130" s="1607"/>
      <c r="Q130" s="1607"/>
      <c r="R130" s="1607"/>
      <c r="S130" s="1607"/>
      <c r="T130" s="1607"/>
      <c r="U130" s="1607"/>
      <c r="V130" s="1607"/>
      <c r="W130" s="1607"/>
      <c r="X130" s="1607"/>
      <c r="Y130" s="1607"/>
      <c r="Z130" s="1607"/>
      <c r="AA130" s="1607"/>
      <c r="AB130" s="1607"/>
      <c r="AC130" s="1607"/>
      <c r="AD130" s="1607"/>
      <c r="AE130" s="1607"/>
      <c r="AF130" s="1607"/>
      <c r="AG130" s="1607"/>
      <c r="AH130" s="1607"/>
      <c r="AI130" s="1607"/>
      <c r="AJ130" s="1607"/>
      <c r="AK130" s="1607"/>
      <c r="AL130" s="1607"/>
      <c r="AM130" s="1607"/>
      <c r="AN130" s="1607"/>
      <c r="AO130" s="1607"/>
      <c r="AP130" s="1607"/>
      <c r="AQ130" s="1607"/>
      <c r="AR130" s="1607"/>
      <c r="AS130" s="1607"/>
      <c r="AT130" s="1607"/>
      <c r="AU130" s="1607"/>
      <c r="AV130" s="1607"/>
      <c r="AW130" s="1607"/>
      <c r="AX130" s="1607"/>
      <c r="AY130" s="1607"/>
      <c r="AZ130" s="1607"/>
      <c r="BA130" s="1607"/>
      <c r="BB130" s="1607"/>
      <c r="BC130" s="1607"/>
      <c r="BD130" s="1607"/>
      <c r="BE130" s="1607"/>
      <c r="BF130" s="1607"/>
      <c r="BG130" s="1607"/>
      <c r="BH130" s="1607"/>
      <c r="BI130" s="1607"/>
      <c r="BJ130" s="1607"/>
      <c r="BK130" s="1607"/>
      <c r="BL130" s="1607"/>
    </row>
    <row r="131">
      <c r="A131" s="1607"/>
      <c r="B131" s="1607"/>
      <c r="C131" s="1607"/>
      <c r="D131" s="1607"/>
      <c r="E131" s="1607"/>
      <c r="F131" s="1607"/>
      <c r="G131" s="1607"/>
      <c r="H131" s="1607"/>
      <c r="I131" s="1607"/>
      <c r="J131" s="1607"/>
      <c r="K131" s="1607"/>
      <c r="L131" s="1607"/>
      <c r="M131" s="1607"/>
      <c r="N131" s="1607"/>
      <c r="O131" s="1607"/>
      <c r="P131" s="1607"/>
      <c r="Q131" s="1607"/>
      <c r="R131" s="1607"/>
      <c r="S131" s="1607"/>
      <c r="T131" s="1607"/>
      <c r="U131" s="1607"/>
      <c r="V131" s="1607"/>
      <c r="W131" s="1607"/>
      <c r="X131" s="1607"/>
      <c r="Y131" s="1607"/>
      <c r="Z131" s="1607"/>
      <c r="AA131" s="1607"/>
      <c r="AB131" s="1607"/>
      <c r="AC131" s="1607"/>
      <c r="AD131" s="1607"/>
      <c r="AE131" s="1607"/>
      <c r="AF131" s="1607"/>
      <c r="AG131" s="1607"/>
      <c r="AH131" s="1607"/>
      <c r="AI131" s="1607"/>
      <c r="AJ131" s="1607"/>
      <c r="AK131" s="1607"/>
      <c r="AL131" s="1607"/>
      <c r="AM131" s="1607"/>
      <c r="AN131" s="1607"/>
      <c r="AO131" s="1607"/>
      <c r="AP131" s="1607"/>
      <c r="AQ131" s="1607"/>
      <c r="AR131" s="1607"/>
      <c r="AS131" s="1607"/>
      <c r="AT131" s="1607"/>
      <c r="AU131" s="1607"/>
      <c r="AV131" s="1607"/>
      <c r="AW131" s="1607"/>
      <c r="AX131" s="1607"/>
      <c r="AY131" s="1607"/>
      <c r="AZ131" s="1607"/>
      <c r="BA131" s="1607"/>
      <c r="BB131" s="1607"/>
      <c r="BC131" s="1607"/>
      <c r="BD131" s="1607"/>
      <c r="BE131" s="1607"/>
      <c r="BF131" s="1607"/>
      <c r="BG131" s="1607"/>
      <c r="BH131" s="1607"/>
      <c r="BI131" s="1607"/>
      <c r="BJ131" s="1607"/>
      <c r="BK131" s="1607"/>
      <c r="BL131" s="1607"/>
    </row>
    <row r="132">
      <c r="A132" s="1607"/>
      <c r="B132" s="1607"/>
      <c r="C132" s="1607"/>
      <c r="D132" s="1607"/>
      <c r="E132" s="1607"/>
      <c r="F132" s="1607"/>
      <c r="G132" s="1607"/>
      <c r="H132" s="1607"/>
      <c r="I132" s="1607"/>
      <c r="J132" s="1607"/>
      <c r="K132" s="1607"/>
      <c r="L132" s="1607"/>
      <c r="M132" s="1607"/>
      <c r="N132" s="1607"/>
      <c r="O132" s="1607"/>
      <c r="P132" s="1607"/>
      <c r="Q132" s="1607"/>
      <c r="R132" s="1607"/>
      <c r="S132" s="1607"/>
      <c r="T132" s="1607"/>
      <c r="U132" s="1607"/>
      <c r="V132" s="1607"/>
      <c r="W132" s="1607"/>
      <c r="X132" s="1607"/>
      <c r="Y132" s="1607"/>
      <c r="Z132" s="1607"/>
      <c r="AA132" s="1607"/>
      <c r="AB132" s="1607"/>
      <c r="AC132" s="1607"/>
      <c r="AD132" s="1607"/>
      <c r="AE132" s="1607"/>
      <c r="AF132" s="1607"/>
      <c r="AG132" s="1607"/>
      <c r="AH132" s="1607"/>
      <c r="AI132" s="1607"/>
      <c r="AJ132" s="1607"/>
      <c r="AK132" s="1607"/>
      <c r="AL132" s="1607"/>
      <c r="AM132" s="1607"/>
      <c r="AN132" s="1607"/>
      <c r="AO132" s="1607"/>
      <c r="AP132" s="1607"/>
      <c r="AQ132" s="1607"/>
      <c r="AR132" s="1607"/>
      <c r="AS132" s="1607"/>
      <c r="AT132" s="1607"/>
      <c r="AU132" s="1607"/>
      <c r="AV132" s="1607"/>
      <c r="AW132" s="1607"/>
      <c r="AX132" s="1607"/>
      <c r="AY132" s="1607"/>
      <c r="AZ132" s="1607"/>
      <c r="BA132" s="1607"/>
      <c r="BB132" s="1607"/>
      <c r="BC132" s="1607"/>
      <c r="BD132" s="1607"/>
      <c r="BE132" s="1607"/>
      <c r="BF132" s="1607"/>
      <c r="BG132" s="1607"/>
      <c r="BH132" s="1607"/>
      <c r="BI132" s="1607"/>
      <c r="BJ132" s="1607"/>
      <c r="BK132" s="1607"/>
      <c r="BL132" s="1607"/>
    </row>
    <row r="133">
      <c r="A133" s="1607"/>
      <c r="B133" s="1607"/>
      <c r="C133" s="1607"/>
      <c r="D133" s="1607"/>
      <c r="E133" s="1607"/>
      <c r="F133" s="1607"/>
      <c r="G133" s="1607"/>
      <c r="H133" s="1607"/>
      <c r="I133" s="1607"/>
      <c r="J133" s="1607"/>
      <c r="K133" s="1607"/>
      <c r="L133" s="1607"/>
      <c r="M133" s="1607"/>
      <c r="N133" s="1607"/>
      <c r="O133" s="1607"/>
      <c r="P133" s="1607"/>
      <c r="Q133" s="1607"/>
      <c r="R133" s="1607"/>
      <c r="S133" s="1607"/>
      <c r="T133" s="1607"/>
      <c r="U133" s="1607"/>
      <c r="V133" s="1607"/>
      <c r="W133" s="1607"/>
      <c r="X133" s="1607"/>
      <c r="Y133" s="1607"/>
      <c r="Z133" s="1607"/>
      <c r="AA133" s="1607"/>
      <c r="AB133" s="1607"/>
      <c r="AC133" s="1607"/>
      <c r="AD133" s="1607"/>
      <c r="AE133" s="1607"/>
      <c r="AF133" s="1607"/>
      <c r="AG133" s="1607"/>
      <c r="AH133" s="1607"/>
      <c r="AI133" s="1607"/>
      <c r="AJ133" s="1607"/>
      <c r="AK133" s="1607"/>
      <c r="AL133" s="1607"/>
      <c r="AM133" s="1607"/>
      <c r="AN133" s="1607"/>
      <c r="AO133" s="1607"/>
      <c r="AP133" s="1607"/>
      <c r="AQ133" s="1607"/>
      <c r="AR133" s="1607"/>
      <c r="AS133" s="1607"/>
      <c r="AT133" s="1607"/>
      <c r="AU133" s="1607"/>
      <c r="AV133" s="1607"/>
      <c r="AW133" s="1607"/>
      <c r="AX133" s="1607"/>
      <c r="AY133" s="1607"/>
      <c r="AZ133" s="1607"/>
      <c r="BA133" s="1607"/>
      <c r="BB133" s="1607"/>
      <c r="BC133" s="1607"/>
      <c r="BD133" s="1607"/>
      <c r="BE133" s="1607"/>
      <c r="BF133" s="1607"/>
      <c r="BG133" s="1607"/>
      <c r="BH133" s="1607"/>
      <c r="BI133" s="1607"/>
      <c r="BJ133" s="1607"/>
      <c r="BK133" s="1607"/>
      <c r="BL133" s="1607"/>
    </row>
    <row r="134">
      <c r="A134" s="1607"/>
      <c r="B134" s="1607"/>
      <c r="C134" s="1607"/>
      <c r="D134" s="1607"/>
      <c r="E134" s="1607"/>
      <c r="F134" s="1607"/>
      <c r="G134" s="1607"/>
      <c r="H134" s="1607"/>
      <c r="I134" s="1607"/>
      <c r="J134" s="1607"/>
      <c r="K134" s="1607"/>
      <c r="L134" s="1607"/>
      <c r="M134" s="1607"/>
      <c r="N134" s="1607"/>
      <c r="O134" s="1607"/>
      <c r="P134" s="1607"/>
      <c r="Q134" s="1607"/>
      <c r="R134" s="1607"/>
      <c r="S134" s="1607"/>
      <c r="T134" s="1607"/>
      <c r="U134" s="1607"/>
      <c r="V134" s="1607"/>
      <c r="W134" s="1607"/>
      <c r="X134" s="1607"/>
      <c r="Y134" s="1607"/>
      <c r="Z134" s="1607"/>
      <c r="AA134" s="1607"/>
      <c r="AB134" s="1607"/>
      <c r="AC134" s="1607"/>
      <c r="AD134" s="1607"/>
      <c r="AE134" s="1607"/>
      <c r="AF134" s="1607"/>
      <c r="AG134" s="1607"/>
      <c r="AH134" s="1607"/>
      <c r="AI134" s="1607"/>
      <c r="AJ134" s="1607"/>
      <c r="AK134" s="1607"/>
      <c r="AL134" s="1607"/>
      <c r="AM134" s="1607"/>
      <c r="AN134" s="1607"/>
      <c r="AO134" s="1607"/>
      <c r="AP134" s="1607"/>
      <c r="AQ134" s="1607"/>
      <c r="AR134" s="1607"/>
      <c r="AS134" s="1607"/>
      <c r="AT134" s="1607"/>
      <c r="AU134" s="1607"/>
      <c r="AV134" s="1607"/>
      <c r="AW134" s="1607"/>
      <c r="AX134" s="1607"/>
      <c r="AY134" s="1607"/>
      <c r="AZ134" s="1607"/>
      <c r="BA134" s="1607"/>
      <c r="BB134" s="1607"/>
      <c r="BC134" s="1607"/>
      <c r="BD134" s="1607"/>
      <c r="BE134" s="1607"/>
      <c r="BF134" s="1607"/>
      <c r="BG134" s="1607"/>
      <c r="BH134" s="1607"/>
      <c r="BI134" s="1607"/>
      <c r="BJ134" s="1607"/>
      <c r="BK134" s="1607"/>
      <c r="BL134" s="1607"/>
    </row>
    <row r="135">
      <c r="A135" s="1607"/>
      <c r="B135" s="1607"/>
      <c r="C135" s="1607"/>
      <c r="D135" s="1607"/>
      <c r="E135" s="1607"/>
      <c r="F135" s="1607"/>
      <c r="G135" s="1607"/>
      <c r="H135" s="1607"/>
      <c r="I135" s="1607"/>
      <c r="J135" s="1607"/>
      <c r="K135" s="1607"/>
      <c r="L135" s="1607"/>
      <c r="M135" s="1607"/>
      <c r="N135" s="1607"/>
      <c r="O135" s="1607"/>
      <c r="P135" s="1607"/>
      <c r="Q135" s="1607"/>
      <c r="R135" s="1607"/>
      <c r="S135" s="1607"/>
      <c r="T135" s="1607"/>
      <c r="U135" s="1607"/>
      <c r="V135" s="1607"/>
      <c r="W135" s="1607"/>
      <c r="X135" s="1607"/>
      <c r="Y135" s="1607"/>
      <c r="Z135" s="1607"/>
      <c r="AA135" s="1607"/>
      <c r="AB135" s="1607"/>
      <c r="AC135" s="1607"/>
      <c r="AD135" s="1607"/>
      <c r="AE135" s="1607"/>
      <c r="AF135" s="1607"/>
      <c r="AG135" s="1607"/>
      <c r="AH135" s="1607"/>
      <c r="AI135" s="1607"/>
      <c r="AJ135" s="1607"/>
      <c r="AK135" s="1607"/>
      <c r="AL135" s="1607"/>
      <c r="AM135" s="1607"/>
      <c r="AN135" s="1607"/>
      <c r="AO135" s="1607"/>
      <c r="AP135" s="1607"/>
      <c r="AQ135" s="1607"/>
      <c r="AR135" s="1607"/>
      <c r="AS135" s="1607"/>
      <c r="AT135" s="1607"/>
      <c r="AU135" s="1607"/>
      <c r="AV135" s="1607"/>
      <c r="AW135" s="1607"/>
      <c r="AX135" s="1607"/>
      <c r="AY135" s="1607"/>
      <c r="AZ135" s="1607"/>
      <c r="BA135" s="1607"/>
      <c r="BB135" s="1607"/>
      <c r="BC135" s="1607"/>
      <c r="BD135" s="1607"/>
      <c r="BE135" s="1607"/>
      <c r="BF135" s="1607"/>
      <c r="BG135" s="1607"/>
      <c r="BH135" s="1607"/>
      <c r="BI135" s="1607"/>
      <c r="BJ135" s="1607"/>
      <c r="BK135" s="1607"/>
      <c r="BL135" s="1607"/>
    </row>
    <row r="136">
      <c r="A136" s="1607"/>
      <c r="B136" s="1607"/>
      <c r="C136" s="1607"/>
      <c r="D136" s="1607"/>
      <c r="E136" s="1607"/>
      <c r="F136" s="1607"/>
      <c r="G136" s="1607"/>
      <c r="H136" s="1607"/>
      <c r="I136" s="1607"/>
      <c r="J136" s="1607"/>
      <c r="K136" s="1607"/>
      <c r="L136" s="1607"/>
      <c r="M136" s="1607"/>
      <c r="N136" s="1607"/>
      <c r="O136" s="1607"/>
      <c r="P136" s="1607"/>
      <c r="Q136" s="1607"/>
      <c r="R136" s="1607"/>
      <c r="S136" s="1607"/>
      <c r="T136" s="1607"/>
      <c r="U136" s="1607"/>
      <c r="V136" s="1607"/>
      <c r="W136" s="1607"/>
      <c r="X136" s="1607"/>
      <c r="Y136" s="1607"/>
      <c r="Z136" s="1607"/>
      <c r="AA136" s="1607"/>
      <c r="AB136" s="1607"/>
      <c r="AC136" s="1607"/>
      <c r="AD136" s="1607"/>
      <c r="AE136" s="1607"/>
      <c r="AF136" s="1607"/>
      <c r="AG136" s="1607"/>
      <c r="AH136" s="1607"/>
      <c r="AI136" s="1607"/>
      <c r="AJ136" s="1607"/>
      <c r="AK136" s="1607"/>
      <c r="AL136" s="1607"/>
      <c r="AM136" s="1607"/>
      <c r="AN136" s="1607"/>
      <c r="AO136" s="1607"/>
      <c r="AP136" s="1607"/>
      <c r="AQ136" s="1607"/>
      <c r="AR136" s="1607"/>
      <c r="AS136" s="1607"/>
      <c r="AT136" s="1607"/>
      <c r="AU136" s="1607"/>
      <c r="AV136" s="1607"/>
      <c r="AW136" s="1607"/>
      <c r="AX136" s="1607"/>
      <c r="AY136" s="1607"/>
      <c r="AZ136" s="1607"/>
      <c r="BA136" s="1607"/>
      <c r="BB136" s="1607"/>
      <c r="BC136" s="1607"/>
      <c r="BD136" s="1607"/>
      <c r="BE136" s="1607"/>
      <c r="BF136" s="1607"/>
      <c r="BG136" s="1607"/>
      <c r="BH136" s="1607"/>
      <c r="BI136" s="1607"/>
      <c r="BJ136" s="1607"/>
      <c r="BK136" s="1607"/>
      <c r="BL136" s="1607"/>
    </row>
    <row r="137">
      <c r="A137" s="1607"/>
      <c r="B137" s="1607"/>
      <c r="C137" s="1607"/>
      <c r="D137" s="1607"/>
      <c r="E137" s="1607"/>
      <c r="F137" s="1607"/>
      <c r="G137" s="1607"/>
      <c r="H137" s="1607"/>
      <c r="I137" s="1607"/>
      <c r="J137" s="1607"/>
      <c r="K137" s="1607"/>
      <c r="L137" s="1607"/>
      <c r="M137" s="1607"/>
      <c r="N137" s="1607"/>
      <c r="O137" s="1607"/>
      <c r="P137" s="1607"/>
      <c r="Q137" s="1607"/>
      <c r="R137" s="1607"/>
      <c r="S137" s="1607"/>
      <c r="T137" s="1607"/>
      <c r="U137" s="1607"/>
      <c r="V137" s="1607"/>
      <c r="W137" s="1607"/>
      <c r="X137" s="1607"/>
      <c r="Y137" s="1607"/>
      <c r="Z137" s="1607"/>
      <c r="AA137" s="1607"/>
      <c r="AB137" s="1607"/>
      <c r="AC137" s="1607"/>
      <c r="AD137" s="1607"/>
      <c r="AE137" s="1607"/>
      <c r="AF137" s="1607"/>
      <c r="AG137" s="1607"/>
      <c r="AH137" s="1607"/>
      <c r="AI137" s="1607"/>
      <c r="AJ137" s="1607"/>
      <c r="AK137" s="1607"/>
      <c r="AL137" s="1607"/>
      <c r="AM137" s="1607"/>
      <c r="AN137" s="1607"/>
      <c r="AO137" s="1607"/>
      <c r="AP137" s="1607"/>
      <c r="AQ137" s="1607"/>
      <c r="AR137" s="1607"/>
      <c r="AS137" s="1607"/>
      <c r="AT137" s="1607"/>
      <c r="AU137" s="1607"/>
      <c r="AV137" s="1607"/>
      <c r="AW137" s="1607"/>
      <c r="AX137" s="1607"/>
      <c r="AY137" s="1607"/>
      <c r="AZ137" s="1607"/>
      <c r="BA137" s="1607"/>
      <c r="BB137" s="1607"/>
      <c r="BC137" s="1607"/>
      <c r="BD137" s="1607"/>
      <c r="BE137" s="1607"/>
      <c r="BF137" s="1607"/>
      <c r="BG137" s="1607"/>
      <c r="BH137" s="1607"/>
      <c r="BI137" s="1607"/>
      <c r="BJ137" s="1607"/>
      <c r="BK137" s="1607"/>
      <c r="BL137" s="1607"/>
    </row>
    <row r="138">
      <c r="A138" s="1607"/>
      <c r="B138" s="1607"/>
      <c r="C138" s="1607"/>
      <c r="D138" s="1607"/>
      <c r="E138" s="1607"/>
      <c r="F138" s="1607"/>
      <c r="G138" s="1607"/>
      <c r="H138" s="1607"/>
      <c r="I138" s="1607"/>
      <c r="J138" s="1607"/>
      <c r="K138" s="1607"/>
      <c r="L138" s="1607"/>
      <c r="M138" s="1607"/>
      <c r="N138" s="1607"/>
      <c r="O138" s="1607"/>
      <c r="P138" s="1607"/>
      <c r="Q138" s="1607"/>
      <c r="R138" s="1607"/>
      <c r="S138" s="1607"/>
      <c r="T138" s="1607"/>
      <c r="U138" s="1607"/>
      <c r="V138" s="1607"/>
      <c r="W138" s="1607"/>
      <c r="X138" s="1607"/>
      <c r="Y138" s="1607"/>
      <c r="Z138" s="1607"/>
      <c r="AA138" s="1607"/>
      <c r="AB138" s="1607"/>
      <c r="AC138" s="1607"/>
      <c r="AD138" s="1607"/>
      <c r="AE138" s="1607"/>
      <c r="AF138" s="1607"/>
      <c r="AG138" s="1607"/>
      <c r="AH138" s="1607"/>
      <c r="AI138" s="1607"/>
      <c r="AJ138" s="1607"/>
      <c r="AK138" s="1607"/>
      <c r="AL138" s="1607"/>
      <c r="AM138" s="1607"/>
      <c r="AN138" s="1607"/>
      <c r="AO138" s="1607"/>
      <c r="AP138" s="1607"/>
      <c r="AQ138" s="1607"/>
      <c r="AR138" s="1607"/>
      <c r="AS138" s="1607"/>
      <c r="AT138" s="1607"/>
      <c r="AU138" s="1607"/>
      <c r="AV138" s="1607"/>
      <c r="AW138" s="1607"/>
      <c r="AX138" s="1607"/>
      <c r="AY138" s="1607"/>
      <c r="AZ138" s="1607"/>
      <c r="BA138" s="1607"/>
      <c r="BB138" s="1607"/>
      <c r="BC138" s="1607"/>
      <c r="BD138" s="1607"/>
      <c r="BE138" s="1607"/>
      <c r="BF138" s="1607"/>
      <c r="BG138" s="1607"/>
      <c r="BH138" s="1607"/>
      <c r="BI138" s="1607"/>
      <c r="BJ138" s="1607"/>
      <c r="BK138" s="1607"/>
      <c r="BL138" s="1607"/>
    </row>
    <row r="139">
      <c r="A139" s="1607"/>
      <c r="B139" s="1607"/>
      <c r="C139" s="1607"/>
      <c r="D139" s="1607"/>
      <c r="E139" s="1607"/>
      <c r="F139" s="1607"/>
      <c r="G139" s="1607"/>
      <c r="H139" s="1607"/>
      <c r="I139" s="1607"/>
      <c r="J139" s="1607"/>
      <c r="K139" s="1607"/>
      <c r="L139" s="1607"/>
      <c r="M139" s="1607"/>
      <c r="N139" s="1607"/>
      <c r="O139" s="1607"/>
      <c r="P139" s="1607"/>
      <c r="Q139" s="1607"/>
      <c r="R139" s="1607"/>
      <c r="S139" s="1607"/>
      <c r="T139" s="1607"/>
      <c r="U139" s="1607"/>
      <c r="V139" s="1607"/>
      <c r="W139" s="1607"/>
      <c r="X139" s="1607"/>
      <c r="Y139" s="1607"/>
      <c r="Z139" s="1607"/>
      <c r="AA139" s="1607"/>
      <c r="AB139" s="1607"/>
      <c r="AC139" s="1607"/>
      <c r="AD139" s="1607"/>
      <c r="AE139" s="1607"/>
      <c r="AF139" s="1607"/>
      <c r="AG139" s="1607"/>
      <c r="AH139" s="1607"/>
      <c r="AI139" s="1607"/>
      <c r="AJ139" s="1607"/>
      <c r="AK139" s="1607"/>
      <c r="AL139" s="1607"/>
      <c r="AM139" s="1607"/>
      <c r="AN139" s="1607"/>
      <c r="AO139" s="1607"/>
      <c r="AP139" s="1607"/>
      <c r="AQ139" s="1607"/>
      <c r="AR139" s="1607"/>
      <c r="AS139" s="1607"/>
      <c r="AT139" s="1607"/>
      <c r="AU139" s="1607"/>
      <c r="AV139" s="1607"/>
      <c r="AW139" s="1607"/>
      <c r="AX139" s="1607"/>
      <c r="AY139" s="1607"/>
      <c r="AZ139" s="1607"/>
      <c r="BA139" s="1607"/>
      <c r="BB139" s="1607"/>
      <c r="BC139" s="1607"/>
      <c r="BD139" s="1607"/>
      <c r="BE139" s="1607"/>
      <c r="BF139" s="1607"/>
      <c r="BG139" s="1607"/>
      <c r="BH139" s="1607"/>
      <c r="BI139" s="1607"/>
      <c r="BJ139" s="1607"/>
      <c r="BK139" s="1607"/>
      <c r="BL139" s="1607"/>
    </row>
    <row r="140">
      <c r="A140" s="1607"/>
      <c r="B140" s="1607"/>
      <c r="C140" s="1607"/>
      <c r="D140" s="1607"/>
      <c r="E140" s="1607"/>
      <c r="F140" s="1607"/>
      <c r="G140" s="1607"/>
      <c r="H140" s="1607"/>
      <c r="I140" s="1607"/>
      <c r="J140" s="1607"/>
      <c r="K140" s="1607"/>
      <c r="L140" s="1607"/>
      <c r="M140" s="1607"/>
      <c r="N140" s="1607"/>
      <c r="O140" s="1607"/>
      <c r="P140" s="1607"/>
      <c r="Q140" s="1607"/>
      <c r="R140" s="1607"/>
      <c r="S140" s="1607"/>
      <c r="T140" s="1607"/>
      <c r="U140" s="1607"/>
      <c r="V140" s="1607"/>
      <c r="W140" s="1607"/>
      <c r="X140" s="1607"/>
      <c r="Y140" s="1607"/>
      <c r="Z140" s="1607"/>
      <c r="AA140" s="1607"/>
      <c r="AB140" s="1607"/>
      <c r="AC140" s="1607"/>
      <c r="AD140" s="1607"/>
      <c r="AE140" s="1607"/>
      <c r="AF140" s="1607"/>
      <c r="AG140" s="1607"/>
      <c r="AH140" s="1607"/>
      <c r="AI140" s="1607"/>
      <c r="AJ140" s="1607"/>
      <c r="AK140" s="1607"/>
      <c r="AL140" s="1607"/>
      <c r="AM140" s="1607"/>
      <c r="AN140" s="1607"/>
      <c r="AO140" s="1607"/>
      <c r="AP140" s="1607"/>
      <c r="AQ140" s="1607"/>
      <c r="AR140" s="1607"/>
      <c r="AS140" s="1607"/>
      <c r="AT140" s="1607"/>
      <c r="AU140" s="1607"/>
      <c r="AV140" s="1607"/>
      <c r="AW140" s="1607"/>
      <c r="AX140" s="1607"/>
      <c r="AY140" s="1607"/>
      <c r="AZ140" s="1607"/>
      <c r="BA140" s="1607"/>
      <c r="BB140" s="1607"/>
      <c r="BC140" s="1607"/>
      <c r="BD140" s="1607"/>
      <c r="BE140" s="1607"/>
      <c r="BF140" s="1607"/>
      <c r="BG140" s="1607"/>
      <c r="BH140" s="1607"/>
      <c r="BI140" s="1607"/>
      <c r="BJ140" s="1607"/>
      <c r="BK140" s="1607"/>
      <c r="BL140" s="1607"/>
    </row>
    <row r="141">
      <c r="A141" s="1607"/>
      <c r="B141" s="1607"/>
      <c r="C141" s="1607"/>
      <c r="D141" s="1607"/>
      <c r="E141" s="1607"/>
      <c r="F141" s="1607"/>
      <c r="G141" s="1607"/>
      <c r="H141" s="1607"/>
      <c r="I141" s="1607"/>
      <c r="J141" s="1607"/>
      <c r="K141" s="1607"/>
      <c r="L141" s="1607"/>
      <c r="M141" s="1607"/>
      <c r="N141" s="1607"/>
      <c r="O141" s="1607"/>
      <c r="P141" s="1607"/>
      <c r="Q141" s="1607"/>
      <c r="R141" s="1607"/>
      <c r="S141" s="1607"/>
      <c r="T141" s="1607"/>
      <c r="U141" s="1607"/>
      <c r="V141" s="1607"/>
      <c r="W141" s="1607"/>
      <c r="X141" s="1607"/>
      <c r="Y141" s="1607"/>
      <c r="Z141" s="1607"/>
      <c r="AA141" s="1607"/>
      <c r="AB141" s="1607"/>
      <c r="AC141" s="1607"/>
      <c r="AD141" s="1607"/>
      <c r="AE141" s="1607"/>
      <c r="AF141" s="1607"/>
      <c r="AG141" s="1607"/>
      <c r="AH141" s="1607"/>
      <c r="AI141" s="1607"/>
      <c r="AJ141" s="1607"/>
      <c r="AK141" s="1607"/>
      <c r="AL141" s="1607"/>
      <c r="AM141" s="1607"/>
      <c r="AN141" s="1607"/>
      <c r="AO141" s="1607"/>
      <c r="AP141" s="1607"/>
      <c r="AQ141" s="1607"/>
      <c r="AR141" s="1607"/>
      <c r="AS141" s="1607"/>
      <c r="AT141" s="1607"/>
      <c r="AU141" s="1607"/>
      <c r="AV141" s="1607"/>
      <c r="AW141" s="1607"/>
      <c r="AX141" s="1607"/>
      <c r="AY141" s="1607"/>
      <c r="AZ141" s="1607"/>
      <c r="BA141" s="1607"/>
      <c r="BB141" s="1607"/>
      <c r="BC141" s="1607"/>
      <c r="BD141" s="1607"/>
      <c r="BE141" s="1607"/>
      <c r="BF141" s="1607"/>
      <c r="BG141" s="1607"/>
      <c r="BH141" s="1607"/>
      <c r="BI141" s="1607"/>
      <c r="BJ141" s="1607"/>
      <c r="BK141" s="1607"/>
      <c r="BL141" s="1607"/>
    </row>
    <row r="142">
      <c r="A142" s="1607"/>
      <c r="B142" s="1607"/>
      <c r="C142" s="1607"/>
      <c r="D142" s="1607"/>
      <c r="E142" s="1607"/>
      <c r="F142" s="1607"/>
      <c r="G142" s="1607"/>
      <c r="H142" s="1607"/>
      <c r="I142" s="1607"/>
      <c r="J142" s="1607"/>
      <c r="K142" s="1607"/>
      <c r="L142" s="1607"/>
      <c r="M142" s="1607"/>
      <c r="N142" s="1607"/>
      <c r="O142" s="1607"/>
      <c r="P142" s="1607"/>
      <c r="Q142" s="1607"/>
      <c r="R142" s="1607"/>
      <c r="S142" s="1607"/>
      <c r="T142" s="1607"/>
      <c r="U142" s="1607"/>
      <c r="V142" s="1607"/>
      <c r="W142" s="1607"/>
      <c r="X142" s="1607"/>
      <c r="Y142" s="1607"/>
      <c r="Z142" s="1607"/>
      <c r="AA142" s="1607"/>
      <c r="AB142" s="1607"/>
      <c r="AC142" s="1607"/>
      <c r="AD142" s="1607"/>
      <c r="AE142" s="1607"/>
      <c r="AF142" s="1607"/>
      <c r="AG142" s="1607"/>
      <c r="AH142" s="1607"/>
      <c r="AI142" s="1607"/>
      <c r="AJ142" s="1607"/>
      <c r="AK142" s="1607"/>
      <c r="AL142" s="1607"/>
      <c r="AM142" s="1607"/>
      <c r="AN142" s="1607"/>
      <c r="AO142" s="1607"/>
      <c r="AP142" s="1607"/>
      <c r="AQ142" s="1607"/>
      <c r="AR142" s="1607"/>
      <c r="AS142" s="1607"/>
      <c r="AT142" s="1607"/>
      <c r="AU142" s="1607"/>
      <c r="AV142" s="1607"/>
      <c r="AW142" s="1607"/>
      <c r="AX142" s="1607"/>
      <c r="AY142" s="1607"/>
      <c r="AZ142" s="1607"/>
      <c r="BA142" s="1607"/>
      <c r="BB142" s="1607"/>
      <c r="BC142" s="1607"/>
      <c r="BD142" s="1607"/>
      <c r="BE142" s="1607"/>
      <c r="BF142" s="1607"/>
      <c r="BG142" s="1607"/>
      <c r="BH142" s="1607"/>
      <c r="BI142" s="1607"/>
      <c r="BJ142" s="1607"/>
      <c r="BK142" s="1607"/>
      <c r="BL142" s="1607"/>
    </row>
    <row r="143">
      <c r="A143" s="1607"/>
      <c r="B143" s="1607"/>
      <c r="C143" s="1607"/>
      <c r="D143" s="1607"/>
      <c r="E143" s="1607"/>
      <c r="F143" s="1607"/>
      <c r="G143" s="1607"/>
      <c r="H143" s="1607"/>
      <c r="I143" s="1607"/>
      <c r="J143" s="1607"/>
      <c r="K143" s="1607"/>
      <c r="L143" s="1607"/>
      <c r="M143" s="1607"/>
      <c r="N143" s="1607"/>
      <c r="O143" s="1607"/>
      <c r="P143" s="1607"/>
      <c r="Q143" s="1607"/>
      <c r="R143" s="1607"/>
      <c r="S143" s="1607"/>
      <c r="T143" s="1607"/>
      <c r="U143" s="1607"/>
      <c r="V143" s="1607"/>
      <c r="W143" s="1607"/>
      <c r="X143" s="1607"/>
      <c r="Y143" s="1607"/>
      <c r="Z143" s="1607"/>
      <c r="AA143" s="1607"/>
      <c r="AB143" s="1607"/>
      <c r="AC143" s="1607"/>
      <c r="AD143" s="1607"/>
      <c r="AE143" s="1607"/>
      <c r="AF143" s="1607"/>
      <c r="AG143" s="1607"/>
      <c r="AH143" s="1607"/>
      <c r="AI143" s="1607"/>
      <c r="AJ143" s="1607"/>
      <c r="AK143" s="1607"/>
      <c r="AL143" s="1607"/>
      <c r="AM143" s="1607"/>
      <c r="AN143" s="1607"/>
      <c r="AO143" s="1607"/>
      <c r="AP143" s="1607"/>
      <c r="AQ143" s="1607"/>
      <c r="AR143" s="1607"/>
      <c r="AS143" s="1607"/>
      <c r="AT143" s="1607"/>
      <c r="AU143" s="1607"/>
      <c r="AV143" s="1607"/>
      <c r="AW143" s="1607"/>
      <c r="AX143" s="1607"/>
      <c r="AY143" s="1607"/>
      <c r="AZ143" s="1607"/>
      <c r="BA143" s="1607"/>
      <c r="BB143" s="1607"/>
      <c r="BC143" s="1607"/>
      <c r="BD143" s="1607"/>
      <c r="BE143" s="1607"/>
      <c r="BF143" s="1607"/>
      <c r="BG143" s="1607"/>
      <c r="BH143" s="1607"/>
      <c r="BI143" s="1607"/>
      <c r="BJ143" s="1607"/>
      <c r="BK143" s="1607"/>
      <c r="BL143" s="1607"/>
    </row>
    <row r="144">
      <c r="A144" s="1607"/>
      <c r="B144" s="1607"/>
      <c r="C144" s="1607"/>
      <c r="D144" s="1607"/>
      <c r="E144" s="1607"/>
      <c r="F144" s="1607"/>
      <c r="G144" s="1607"/>
      <c r="H144" s="1607"/>
      <c r="I144" s="1607"/>
      <c r="J144" s="1607"/>
      <c r="K144" s="1607"/>
      <c r="L144" s="1607"/>
      <c r="M144" s="1607"/>
      <c r="N144" s="1607"/>
      <c r="O144" s="1607"/>
      <c r="P144" s="1607"/>
      <c r="Q144" s="1607"/>
      <c r="R144" s="1607"/>
      <c r="S144" s="1607"/>
      <c r="T144" s="1607"/>
      <c r="U144" s="1607"/>
      <c r="V144" s="1607"/>
      <c r="W144" s="1607"/>
      <c r="X144" s="1607"/>
      <c r="Y144" s="1607"/>
      <c r="Z144" s="1607"/>
      <c r="AA144" s="1607"/>
      <c r="AB144" s="1607"/>
      <c r="AC144" s="1607"/>
      <c r="AD144" s="1607"/>
      <c r="AE144" s="1607"/>
      <c r="AF144" s="1607"/>
      <c r="AG144" s="1607"/>
      <c r="AH144" s="1607"/>
      <c r="AI144" s="1607"/>
      <c r="AJ144" s="1607"/>
      <c r="AK144" s="1607"/>
      <c r="AL144" s="1607"/>
      <c r="AM144" s="1607"/>
      <c r="AN144" s="1607"/>
      <c r="AO144" s="1607"/>
      <c r="AP144" s="1607"/>
      <c r="AQ144" s="1607"/>
      <c r="AR144" s="1607"/>
      <c r="AS144" s="1607"/>
      <c r="AT144" s="1607"/>
      <c r="AU144" s="1607"/>
      <c r="AV144" s="1607"/>
      <c r="AW144" s="1607"/>
      <c r="AX144" s="1607"/>
      <c r="AY144" s="1607"/>
      <c r="AZ144" s="1607"/>
      <c r="BA144" s="1607"/>
      <c r="BB144" s="1607"/>
      <c r="BC144" s="1607"/>
      <c r="BD144" s="1607"/>
      <c r="BE144" s="1607"/>
      <c r="BF144" s="1607"/>
      <c r="BG144" s="1607"/>
      <c r="BH144" s="1607"/>
      <c r="BI144" s="1607"/>
      <c r="BJ144" s="1607"/>
      <c r="BK144" s="1607"/>
      <c r="BL144" s="1607"/>
    </row>
    <row r="145">
      <c r="A145" s="1607"/>
      <c r="B145" s="1607"/>
      <c r="C145" s="1607"/>
      <c r="D145" s="1607"/>
      <c r="E145" s="1607"/>
      <c r="F145" s="1607"/>
      <c r="G145" s="1607"/>
      <c r="H145" s="1607"/>
      <c r="I145" s="1607"/>
      <c r="J145" s="1607"/>
      <c r="K145" s="1607"/>
      <c r="L145" s="1607"/>
      <c r="M145" s="1607"/>
      <c r="N145" s="1607"/>
      <c r="O145" s="1607"/>
      <c r="P145" s="1607"/>
      <c r="Q145" s="1607"/>
      <c r="R145" s="1607"/>
      <c r="S145" s="1607"/>
      <c r="T145" s="1607"/>
      <c r="U145" s="1607"/>
      <c r="V145" s="1607"/>
      <c r="W145" s="1607"/>
      <c r="X145" s="1607"/>
      <c r="Y145" s="1607"/>
      <c r="Z145" s="1607"/>
      <c r="AA145" s="1607"/>
      <c r="AB145" s="1607"/>
      <c r="AC145" s="1607"/>
      <c r="AD145" s="1607"/>
      <c r="AE145" s="1607"/>
      <c r="AF145" s="1607"/>
      <c r="AG145" s="1607"/>
      <c r="AH145" s="1607"/>
      <c r="AI145" s="1607"/>
      <c r="AJ145" s="1607"/>
      <c r="AK145" s="1607"/>
      <c r="AL145" s="1607"/>
      <c r="AM145" s="1607"/>
      <c r="AN145" s="1607"/>
      <c r="AO145" s="1607"/>
      <c r="AP145" s="1607"/>
      <c r="AQ145" s="1607"/>
      <c r="AR145" s="1607"/>
      <c r="AS145" s="1607"/>
      <c r="AT145" s="1607"/>
      <c r="AU145" s="1607"/>
      <c r="AV145" s="1607"/>
      <c r="AW145" s="1607"/>
      <c r="AX145" s="1607"/>
      <c r="AY145" s="1607"/>
      <c r="AZ145" s="1607"/>
      <c r="BA145" s="1607"/>
      <c r="BB145" s="1607"/>
      <c r="BC145" s="1607"/>
      <c r="BD145" s="1607"/>
      <c r="BE145" s="1607"/>
      <c r="BF145" s="1607"/>
      <c r="BG145" s="1607"/>
      <c r="BH145" s="1607"/>
      <c r="BI145" s="1607"/>
      <c r="BJ145" s="1607"/>
      <c r="BK145" s="1607"/>
      <c r="BL145" s="1607"/>
    </row>
    <row r="146">
      <c r="A146" s="1607"/>
      <c r="B146" s="1607"/>
      <c r="C146" s="1607"/>
      <c r="D146" s="1607"/>
      <c r="E146" s="1607"/>
      <c r="F146" s="1607"/>
      <c r="G146" s="1607"/>
      <c r="H146" s="1607"/>
      <c r="I146" s="1607"/>
      <c r="J146" s="1607"/>
      <c r="K146" s="1607"/>
      <c r="L146" s="1607"/>
      <c r="M146" s="1607"/>
      <c r="N146" s="1607"/>
      <c r="O146" s="1607"/>
      <c r="P146" s="1607"/>
      <c r="Q146" s="1607"/>
      <c r="R146" s="1607"/>
      <c r="S146" s="1607"/>
      <c r="T146" s="1607"/>
      <c r="U146" s="1607"/>
      <c r="V146" s="1607"/>
      <c r="W146" s="1607"/>
      <c r="X146" s="1607"/>
      <c r="Y146" s="1607"/>
      <c r="Z146" s="1607"/>
      <c r="AA146" s="1607"/>
      <c r="AB146" s="1607"/>
      <c r="AC146" s="1607"/>
      <c r="AD146" s="1607"/>
      <c r="AE146" s="1607"/>
      <c r="AF146" s="1607"/>
      <c r="AG146" s="1607"/>
      <c r="AH146" s="1607"/>
      <c r="AI146" s="1607"/>
      <c r="AJ146" s="1607"/>
      <c r="AK146" s="1607"/>
      <c r="AL146" s="1607"/>
      <c r="AM146" s="1607"/>
      <c r="AN146" s="1607"/>
      <c r="AO146" s="1607"/>
      <c r="AP146" s="1607"/>
      <c r="AQ146" s="1607"/>
      <c r="AR146" s="1607"/>
      <c r="AS146" s="1607"/>
      <c r="AT146" s="1607"/>
      <c r="AU146" s="1607"/>
      <c r="AV146" s="1607"/>
      <c r="AW146" s="1607"/>
      <c r="AX146" s="1607"/>
      <c r="AY146" s="1607"/>
      <c r="AZ146" s="1607"/>
      <c r="BA146" s="1607"/>
      <c r="BB146" s="1607"/>
      <c r="BC146" s="1607"/>
      <c r="BD146" s="1607"/>
      <c r="BE146" s="1607"/>
      <c r="BF146" s="1607"/>
      <c r="BG146" s="1607"/>
      <c r="BH146" s="1607"/>
      <c r="BI146" s="1607"/>
      <c r="BJ146" s="1607"/>
      <c r="BK146" s="1607"/>
      <c r="BL146" s="1607"/>
    </row>
    <row r="147">
      <c r="A147" s="1607"/>
      <c r="B147" s="1607"/>
      <c r="C147" s="1607"/>
      <c r="D147" s="1607"/>
      <c r="E147" s="1607"/>
      <c r="F147" s="1607"/>
      <c r="G147" s="1607"/>
      <c r="H147" s="1607"/>
      <c r="I147" s="1607"/>
      <c r="J147" s="1607"/>
      <c r="K147" s="1607"/>
      <c r="L147" s="1607"/>
      <c r="M147" s="1607"/>
      <c r="N147" s="1607"/>
      <c r="O147" s="1607"/>
      <c r="P147" s="1607"/>
      <c r="Q147" s="1607"/>
      <c r="R147" s="1607"/>
      <c r="S147" s="1607"/>
      <c r="T147" s="1607"/>
      <c r="U147" s="1607"/>
      <c r="V147" s="1607"/>
      <c r="W147" s="1607"/>
      <c r="X147" s="1607"/>
      <c r="Y147" s="1607"/>
      <c r="Z147" s="1607"/>
      <c r="AA147" s="1607"/>
      <c r="AB147" s="1607"/>
      <c r="AC147" s="1607"/>
      <c r="AD147" s="1607"/>
      <c r="AE147" s="1607"/>
      <c r="AF147" s="1607"/>
      <c r="AG147" s="1607"/>
      <c r="AH147" s="1607"/>
      <c r="AI147" s="1607"/>
      <c r="AJ147" s="1607"/>
      <c r="AK147" s="1607"/>
      <c r="AL147" s="1607"/>
      <c r="AM147" s="1607"/>
      <c r="AN147" s="1607"/>
      <c r="AO147" s="1607"/>
      <c r="AP147" s="1607"/>
      <c r="AQ147" s="1607"/>
      <c r="AR147" s="1607"/>
      <c r="AS147" s="1607"/>
      <c r="AT147" s="1607"/>
      <c r="AU147" s="1607"/>
      <c r="AV147" s="1607"/>
      <c r="AW147" s="1607"/>
      <c r="AX147" s="1607"/>
      <c r="AY147" s="1607"/>
      <c r="AZ147" s="1607"/>
      <c r="BA147" s="1607"/>
      <c r="BB147" s="1607"/>
      <c r="BC147" s="1607"/>
      <c r="BD147" s="1607"/>
      <c r="BE147" s="1607"/>
      <c r="BF147" s="1607"/>
      <c r="BG147" s="1607"/>
      <c r="BH147" s="1607"/>
      <c r="BI147" s="1607"/>
      <c r="BJ147" s="1607"/>
      <c r="BK147" s="1607"/>
      <c r="BL147" s="1607"/>
    </row>
    <row r="148">
      <c r="A148" s="1607"/>
      <c r="B148" s="1607"/>
      <c r="C148" s="1607"/>
      <c r="D148" s="1607"/>
      <c r="E148" s="1607"/>
      <c r="F148" s="1607"/>
      <c r="G148" s="1607"/>
      <c r="H148" s="1607"/>
      <c r="I148" s="1607"/>
      <c r="J148" s="1607"/>
      <c r="K148" s="1607"/>
      <c r="L148" s="1607"/>
      <c r="M148" s="1607"/>
      <c r="N148" s="1607"/>
      <c r="O148" s="1607"/>
      <c r="P148" s="1607"/>
      <c r="Q148" s="1607"/>
      <c r="R148" s="1607"/>
      <c r="S148" s="1607"/>
      <c r="T148" s="1607"/>
      <c r="U148" s="1607"/>
      <c r="V148" s="1607"/>
      <c r="W148" s="1607"/>
      <c r="X148" s="1607"/>
      <c r="Y148" s="1607"/>
      <c r="Z148" s="1607"/>
      <c r="AA148" s="1607"/>
      <c r="AB148" s="1607"/>
      <c r="AC148" s="1607"/>
      <c r="AD148" s="1607"/>
      <c r="AE148" s="1607"/>
      <c r="AF148" s="1607"/>
      <c r="AG148" s="1607"/>
      <c r="AH148" s="1607"/>
      <c r="AI148" s="1607"/>
      <c r="AJ148" s="1607"/>
      <c r="AK148" s="1607"/>
      <c r="AL148" s="1607"/>
      <c r="AM148" s="1607"/>
      <c r="AN148" s="1607"/>
      <c r="AO148" s="1607"/>
      <c r="AP148" s="1607"/>
      <c r="AQ148" s="1607"/>
      <c r="AR148" s="1607"/>
      <c r="AS148" s="1607"/>
      <c r="AT148" s="1607"/>
      <c r="AU148" s="1607"/>
      <c r="AV148" s="1607"/>
      <c r="AW148" s="1607"/>
      <c r="AX148" s="1607"/>
      <c r="AY148" s="1607"/>
      <c r="AZ148" s="1607"/>
      <c r="BA148" s="1607"/>
      <c r="BB148" s="1607"/>
      <c r="BC148" s="1607"/>
      <c r="BD148" s="1607"/>
      <c r="BE148" s="1607"/>
      <c r="BF148" s="1607"/>
      <c r="BG148" s="1607"/>
      <c r="BH148" s="1607"/>
      <c r="BI148" s="1607"/>
      <c r="BJ148" s="1607"/>
      <c r="BK148" s="1607"/>
      <c r="BL148" s="1607"/>
    </row>
    <row r="149">
      <c r="A149" s="1607"/>
      <c r="B149" s="1607"/>
      <c r="C149" s="1607"/>
      <c r="D149" s="1607"/>
      <c r="E149" s="1607"/>
      <c r="F149" s="1607"/>
      <c r="G149" s="1607"/>
      <c r="H149" s="1607"/>
      <c r="I149" s="1607"/>
      <c r="J149" s="1607"/>
      <c r="K149" s="1607"/>
      <c r="L149" s="1607"/>
      <c r="M149" s="1607"/>
      <c r="N149" s="1607"/>
      <c r="O149" s="1607"/>
      <c r="P149" s="1607"/>
      <c r="Q149" s="1607"/>
      <c r="R149" s="1607"/>
      <c r="S149" s="1607"/>
      <c r="T149" s="1607"/>
      <c r="U149" s="1607"/>
      <c r="V149" s="1607"/>
      <c r="W149" s="1607"/>
      <c r="X149" s="1607"/>
      <c r="Y149" s="1607"/>
      <c r="Z149" s="1607"/>
      <c r="AA149" s="1607"/>
      <c r="AB149" s="1607"/>
      <c r="AC149" s="1607"/>
      <c r="AD149" s="1607"/>
      <c r="AE149" s="1607"/>
      <c r="AF149" s="1607"/>
      <c r="AG149" s="1607"/>
      <c r="AH149" s="1607"/>
      <c r="AI149" s="1607"/>
      <c r="AJ149" s="1607"/>
      <c r="AK149" s="1607"/>
      <c r="AL149" s="1607"/>
      <c r="AM149" s="1607"/>
      <c r="AN149" s="1607"/>
      <c r="AO149" s="1607"/>
      <c r="AP149" s="1607"/>
      <c r="AQ149" s="1607"/>
      <c r="AR149" s="1607"/>
      <c r="AS149" s="1607"/>
      <c r="AT149" s="1607"/>
      <c r="AU149" s="1607"/>
      <c r="AV149" s="1607"/>
      <c r="AW149" s="1607"/>
      <c r="AX149" s="1607"/>
      <c r="AY149" s="1607"/>
      <c r="AZ149" s="1607"/>
      <c r="BA149" s="1607"/>
      <c r="BB149" s="1607"/>
      <c r="BC149" s="1607"/>
      <c r="BD149" s="1607"/>
      <c r="BE149" s="1607"/>
      <c r="BF149" s="1607"/>
      <c r="BG149" s="1607"/>
      <c r="BH149" s="1607"/>
      <c r="BI149" s="1607"/>
      <c r="BJ149" s="1607"/>
      <c r="BK149" s="1607"/>
      <c r="BL149" s="1607"/>
    </row>
    <row r="150">
      <c r="A150" s="1607"/>
      <c r="B150" s="1607"/>
      <c r="C150" s="1607"/>
      <c r="D150" s="1607"/>
      <c r="E150" s="1607"/>
      <c r="F150" s="1607"/>
      <c r="G150" s="1607"/>
      <c r="H150" s="1607"/>
      <c r="I150" s="1607"/>
      <c r="J150" s="1607"/>
      <c r="K150" s="1607"/>
      <c r="L150" s="1607"/>
      <c r="M150" s="1607"/>
      <c r="N150" s="1607"/>
      <c r="O150" s="1607"/>
      <c r="P150" s="1607"/>
      <c r="Q150" s="1607"/>
      <c r="R150" s="1607"/>
      <c r="S150" s="1607"/>
      <c r="T150" s="1607"/>
      <c r="U150" s="1607"/>
      <c r="V150" s="1607"/>
      <c r="W150" s="1607"/>
      <c r="X150" s="1607"/>
      <c r="Y150" s="1607"/>
      <c r="Z150" s="1607"/>
      <c r="AA150" s="1607"/>
      <c r="AB150" s="1607"/>
      <c r="AC150" s="1607"/>
      <c r="AD150" s="1607"/>
      <c r="AE150" s="1607"/>
      <c r="AF150" s="1607"/>
      <c r="AG150" s="1607"/>
      <c r="AH150" s="1607"/>
      <c r="AI150" s="1607"/>
      <c r="AJ150" s="1607"/>
      <c r="AK150" s="1607"/>
      <c r="AL150" s="1607"/>
      <c r="AM150" s="1607"/>
      <c r="AN150" s="1607"/>
      <c r="AO150" s="1607"/>
      <c r="AP150" s="1607"/>
      <c r="AQ150" s="1607"/>
      <c r="AR150" s="1607"/>
      <c r="AS150" s="1607"/>
      <c r="AT150" s="1607"/>
      <c r="AU150" s="1607"/>
      <c r="AV150" s="1607"/>
      <c r="AW150" s="1607"/>
      <c r="AX150" s="1607"/>
      <c r="AY150" s="1607"/>
      <c r="AZ150" s="1607"/>
      <c r="BA150" s="1607"/>
      <c r="BB150" s="1607"/>
      <c r="BC150" s="1607"/>
      <c r="BD150" s="1607"/>
      <c r="BE150" s="1607"/>
      <c r="BF150" s="1607"/>
      <c r="BG150" s="1607"/>
      <c r="BH150" s="1607"/>
      <c r="BI150" s="1607"/>
      <c r="BJ150" s="1607"/>
      <c r="BK150" s="1607"/>
      <c r="BL150" s="1607"/>
    </row>
    <row r="151">
      <c r="A151" s="1607"/>
      <c r="B151" s="1607"/>
      <c r="C151" s="1607"/>
      <c r="D151" s="1607"/>
      <c r="E151" s="1607"/>
      <c r="F151" s="1607"/>
      <c r="G151" s="1607"/>
      <c r="H151" s="1607"/>
      <c r="I151" s="1607"/>
      <c r="J151" s="1607"/>
      <c r="K151" s="1607"/>
      <c r="L151" s="1607"/>
      <c r="M151" s="1607"/>
      <c r="N151" s="1607"/>
      <c r="O151" s="1607"/>
      <c r="P151" s="1607"/>
      <c r="Q151" s="1607"/>
      <c r="R151" s="1607"/>
      <c r="S151" s="1607"/>
      <c r="T151" s="1607"/>
      <c r="U151" s="1607"/>
      <c r="V151" s="1607"/>
      <c r="W151" s="1607"/>
      <c r="X151" s="1607"/>
      <c r="Y151" s="1607"/>
      <c r="Z151" s="1607"/>
      <c r="AA151" s="1607"/>
      <c r="AB151" s="1607"/>
      <c r="AC151" s="1607"/>
      <c r="AD151" s="1607"/>
      <c r="AE151" s="1607"/>
      <c r="AF151" s="1607"/>
      <c r="AG151" s="1607"/>
      <c r="AH151" s="1607"/>
      <c r="AI151" s="1607"/>
      <c r="AJ151" s="1607"/>
      <c r="AK151" s="1607"/>
      <c r="AL151" s="1607"/>
      <c r="AM151" s="1607"/>
      <c r="AN151" s="1607"/>
      <c r="AO151" s="1607"/>
      <c r="AP151" s="1607"/>
      <c r="AQ151" s="1607"/>
      <c r="AR151" s="1607"/>
      <c r="AS151" s="1607"/>
      <c r="AT151" s="1607"/>
      <c r="AU151" s="1607"/>
      <c r="AV151" s="1607"/>
      <c r="AW151" s="1607"/>
      <c r="AX151" s="1607"/>
      <c r="AY151" s="1607"/>
      <c r="AZ151" s="1607"/>
      <c r="BA151" s="1607"/>
      <c r="BB151" s="1607"/>
      <c r="BC151" s="1607"/>
      <c r="BD151" s="1607"/>
      <c r="BE151" s="1607"/>
      <c r="BF151" s="1607"/>
      <c r="BG151" s="1607"/>
      <c r="BH151" s="1607"/>
      <c r="BI151" s="1607"/>
      <c r="BJ151" s="1607"/>
      <c r="BK151" s="1607"/>
      <c r="BL151" s="1607"/>
    </row>
    <row r="152">
      <c r="A152" s="1607"/>
      <c r="B152" s="1607"/>
      <c r="C152" s="1607"/>
      <c r="D152" s="1607"/>
      <c r="E152" s="1607"/>
      <c r="F152" s="1607"/>
      <c r="G152" s="1607"/>
      <c r="H152" s="1607"/>
      <c r="I152" s="1607"/>
      <c r="J152" s="1607"/>
      <c r="K152" s="1607"/>
      <c r="L152" s="1607"/>
      <c r="M152" s="1607"/>
      <c r="N152" s="1607"/>
      <c r="O152" s="1607"/>
      <c r="P152" s="1607"/>
      <c r="Q152" s="1607"/>
      <c r="R152" s="1607"/>
      <c r="S152" s="1607"/>
      <c r="T152" s="1607"/>
      <c r="U152" s="1607"/>
      <c r="V152" s="1607"/>
      <c r="W152" s="1607"/>
      <c r="X152" s="1607"/>
      <c r="Y152" s="1607"/>
      <c r="Z152" s="1607"/>
      <c r="AA152" s="1607"/>
      <c r="AB152" s="1607"/>
      <c r="AC152" s="1607"/>
      <c r="AD152" s="1607"/>
      <c r="AE152" s="1607"/>
      <c r="AF152" s="1607"/>
      <c r="AG152" s="1607"/>
      <c r="AH152" s="1607"/>
      <c r="AI152" s="1607"/>
      <c r="AJ152" s="1607"/>
      <c r="AK152" s="1607"/>
      <c r="AL152" s="1607"/>
      <c r="AM152" s="1607"/>
      <c r="AN152" s="1607"/>
      <c r="AO152" s="1607"/>
      <c r="AP152" s="1607"/>
      <c r="AQ152" s="1607"/>
      <c r="AR152" s="1607"/>
      <c r="AS152" s="1607"/>
      <c r="AT152" s="1607"/>
      <c r="AU152" s="1607"/>
      <c r="AV152" s="1607"/>
      <c r="AW152" s="1607"/>
      <c r="AX152" s="1607"/>
      <c r="AY152" s="1607"/>
      <c r="AZ152" s="1607"/>
      <c r="BA152" s="1607"/>
      <c r="BB152" s="1607"/>
      <c r="BC152" s="1607"/>
      <c r="BD152" s="1607"/>
      <c r="BE152" s="1607"/>
      <c r="BF152" s="1607"/>
      <c r="BG152" s="1607"/>
      <c r="BH152" s="1607"/>
      <c r="BI152" s="1607"/>
      <c r="BJ152" s="1607"/>
      <c r="BK152" s="1607"/>
      <c r="BL152" s="1607"/>
    </row>
    <row r="153">
      <c r="A153" s="1607"/>
      <c r="B153" s="1607"/>
      <c r="C153" s="1607"/>
      <c r="D153" s="1607"/>
      <c r="E153" s="1607"/>
      <c r="F153" s="1607"/>
      <c r="G153" s="1607"/>
      <c r="H153" s="1607"/>
      <c r="I153" s="1607"/>
      <c r="J153" s="1607"/>
      <c r="K153" s="1607"/>
      <c r="L153" s="1607"/>
      <c r="M153" s="1607"/>
      <c r="N153" s="1607"/>
      <c r="O153" s="1607"/>
      <c r="P153" s="1607"/>
      <c r="Q153" s="1607"/>
      <c r="R153" s="1607"/>
      <c r="S153" s="1607"/>
      <c r="T153" s="1607"/>
      <c r="U153" s="1607"/>
      <c r="V153" s="1607"/>
      <c r="W153" s="1607"/>
      <c r="X153" s="1607"/>
      <c r="Y153" s="1607"/>
      <c r="Z153" s="1607"/>
      <c r="AA153" s="1607"/>
      <c r="AB153" s="1607"/>
      <c r="AC153" s="1607"/>
      <c r="AD153" s="1607"/>
      <c r="AE153" s="1607"/>
      <c r="AF153" s="1607"/>
      <c r="AG153" s="1607"/>
      <c r="AH153" s="1607"/>
      <c r="AI153" s="1607"/>
      <c r="AJ153" s="1607"/>
      <c r="AK153" s="1607"/>
      <c r="AL153" s="1607"/>
      <c r="AM153" s="1607"/>
      <c r="AN153" s="1607"/>
      <c r="AO153" s="1607"/>
      <c r="AP153" s="1607"/>
      <c r="AQ153" s="1607"/>
      <c r="AR153" s="1607"/>
      <c r="AS153" s="1607"/>
      <c r="AT153" s="1607"/>
      <c r="AU153" s="1607"/>
      <c r="AV153" s="1607"/>
      <c r="AW153" s="1607"/>
      <c r="AX153" s="1607"/>
      <c r="AY153" s="1607"/>
      <c r="AZ153" s="1607"/>
      <c r="BA153" s="1607"/>
      <c r="BB153" s="1607"/>
      <c r="BC153" s="1607"/>
      <c r="BD153" s="1607"/>
      <c r="BE153" s="1607"/>
      <c r="BF153" s="1607"/>
      <c r="BG153" s="1607"/>
      <c r="BH153" s="1607"/>
      <c r="BI153" s="1607"/>
      <c r="BJ153" s="1607"/>
      <c r="BK153" s="1607"/>
      <c r="BL153" s="1607"/>
    </row>
    <row r="154">
      <c r="A154" s="1607"/>
      <c r="B154" s="1607"/>
      <c r="C154" s="1607"/>
      <c r="D154" s="1607"/>
      <c r="E154" s="1607"/>
      <c r="F154" s="1607"/>
      <c r="G154" s="1607"/>
      <c r="H154" s="1607"/>
      <c r="I154" s="1607"/>
      <c r="J154" s="1607"/>
      <c r="K154" s="1607"/>
      <c r="L154" s="1607"/>
      <c r="M154" s="1607"/>
      <c r="N154" s="1607"/>
      <c r="O154" s="1607"/>
      <c r="P154" s="1607"/>
      <c r="Q154" s="1607"/>
      <c r="R154" s="1607"/>
      <c r="S154" s="1607"/>
      <c r="T154" s="1607"/>
      <c r="U154" s="1607"/>
      <c r="V154" s="1607"/>
      <c r="W154" s="1607"/>
      <c r="X154" s="1607"/>
      <c r="Y154" s="1607"/>
      <c r="Z154" s="1607"/>
      <c r="AA154" s="1607"/>
      <c r="AB154" s="1607"/>
      <c r="AC154" s="1607"/>
      <c r="AD154" s="1607"/>
      <c r="AE154" s="1607"/>
      <c r="AF154" s="1607"/>
      <c r="AG154" s="1607"/>
      <c r="AH154" s="1607"/>
      <c r="AI154" s="1607"/>
      <c r="AJ154" s="1607"/>
      <c r="AK154" s="1607"/>
      <c r="AL154" s="1607"/>
      <c r="AM154" s="1607"/>
      <c r="AN154" s="1607"/>
      <c r="AO154" s="1607"/>
      <c r="AP154" s="1607"/>
      <c r="AQ154" s="1607"/>
      <c r="AR154" s="1607"/>
      <c r="AS154" s="1607"/>
      <c r="AT154" s="1607"/>
      <c r="AU154" s="1607"/>
      <c r="AV154" s="1607"/>
      <c r="AW154" s="1607"/>
      <c r="AX154" s="1607"/>
      <c r="AY154" s="1607"/>
      <c r="AZ154" s="1607"/>
      <c r="BA154" s="1607"/>
      <c r="BB154" s="1607"/>
      <c r="BC154" s="1607"/>
      <c r="BD154" s="1607"/>
      <c r="BE154" s="1607"/>
      <c r="BF154" s="1607"/>
      <c r="BG154" s="1607"/>
      <c r="BH154" s="1607"/>
      <c r="BI154" s="1607"/>
      <c r="BJ154" s="1607"/>
      <c r="BK154" s="1607"/>
      <c r="BL154" s="1607"/>
    </row>
    <row r="155">
      <c r="A155" s="1607"/>
      <c r="B155" s="1607"/>
      <c r="C155" s="1607"/>
      <c r="D155" s="1607"/>
      <c r="E155" s="1607"/>
      <c r="F155" s="1607"/>
      <c r="G155" s="1607"/>
      <c r="H155" s="1607"/>
      <c r="I155" s="1607"/>
      <c r="J155" s="1607"/>
      <c r="K155" s="1607"/>
      <c r="L155" s="1607"/>
      <c r="M155" s="1607"/>
      <c r="N155" s="1607"/>
      <c r="O155" s="1607"/>
      <c r="P155" s="1607"/>
      <c r="Q155" s="1607"/>
      <c r="R155" s="1607"/>
      <c r="S155" s="1607"/>
      <c r="T155" s="1607"/>
      <c r="U155" s="1607"/>
      <c r="V155" s="1607"/>
      <c r="W155" s="1607"/>
      <c r="X155" s="1607"/>
      <c r="Y155" s="1607"/>
      <c r="Z155" s="1607"/>
      <c r="AA155" s="1607"/>
      <c r="AB155" s="1607"/>
      <c r="AC155" s="1607"/>
      <c r="AD155" s="1607"/>
      <c r="AE155" s="1607"/>
      <c r="AF155" s="1607"/>
      <c r="AG155" s="1607"/>
      <c r="AH155" s="1607"/>
      <c r="AI155" s="1607"/>
      <c r="AJ155" s="1607"/>
      <c r="AK155" s="1607"/>
      <c r="AL155" s="1607"/>
      <c r="AM155" s="1607"/>
      <c r="AN155" s="1607"/>
      <c r="AO155" s="1607"/>
      <c r="AP155" s="1607"/>
      <c r="AQ155" s="1607"/>
      <c r="AR155" s="1607"/>
      <c r="AS155" s="1607"/>
      <c r="AT155" s="1607"/>
      <c r="AU155" s="1607"/>
      <c r="AV155" s="1607"/>
      <c r="AW155" s="1607"/>
      <c r="AX155" s="1607"/>
      <c r="AY155" s="1607"/>
      <c r="AZ155" s="1607"/>
      <c r="BA155" s="1607"/>
      <c r="BB155" s="1607"/>
      <c r="BC155" s="1607"/>
      <c r="BD155" s="1607"/>
      <c r="BE155" s="1607"/>
      <c r="BF155" s="1607"/>
      <c r="BG155" s="1607"/>
      <c r="BH155" s="1607"/>
      <c r="BI155" s="1607"/>
      <c r="BJ155" s="1607"/>
      <c r="BK155" s="1607"/>
      <c r="BL155" s="1607"/>
    </row>
    <row r="156">
      <c r="A156" s="1607"/>
      <c r="B156" s="1607"/>
      <c r="C156" s="1607"/>
      <c r="D156" s="1607"/>
      <c r="E156" s="1607"/>
      <c r="F156" s="1607"/>
      <c r="G156" s="1607"/>
      <c r="H156" s="1607"/>
      <c r="I156" s="1607"/>
      <c r="J156" s="1607"/>
      <c r="K156" s="1607"/>
      <c r="L156" s="1607"/>
      <c r="M156" s="1607"/>
      <c r="N156" s="1607"/>
      <c r="O156" s="1607"/>
      <c r="P156" s="1607"/>
      <c r="Q156" s="1607"/>
      <c r="R156" s="1607"/>
      <c r="S156" s="1607"/>
      <c r="T156" s="1607"/>
      <c r="U156" s="1607"/>
      <c r="V156" s="1607"/>
      <c r="W156" s="1607"/>
      <c r="X156" s="1607"/>
      <c r="Y156" s="1607"/>
      <c r="Z156" s="1607"/>
      <c r="AA156" s="1607"/>
      <c r="AB156" s="1607"/>
      <c r="AC156" s="1607"/>
      <c r="AD156" s="1607"/>
      <c r="AE156" s="1607"/>
      <c r="AF156" s="1607"/>
      <c r="AG156" s="1607"/>
      <c r="AH156" s="1607"/>
      <c r="AI156" s="1607"/>
      <c r="AJ156" s="1607"/>
      <c r="AK156" s="1607"/>
      <c r="AL156" s="1607"/>
      <c r="AM156" s="1607"/>
      <c r="AN156" s="1607"/>
      <c r="AO156" s="1607"/>
      <c r="AP156" s="1607"/>
      <c r="AQ156" s="1607"/>
      <c r="AR156" s="1607"/>
      <c r="AS156" s="1607"/>
      <c r="AT156" s="1607"/>
      <c r="AU156" s="1607"/>
      <c r="AV156" s="1607"/>
      <c r="AW156" s="1607"/>
      <c r="AX156" s="1607"/>
      <c r="AY156" s="1607"/>
      <c r="AZ156" s="1607"/>
      <c r="BA156" s="1607"/>
      <c r="BB156" s="1607"/>
      <c r="BC156" s="1607"/>
      <c r="BD156" s="1607"/>
      <c r="BE156" s="1607"/>
      <c r="BF156" s="1607"/>
      <c r="BG156" s="1607"/>
      <c r="BH156" s="1607"/>
      <c r="BI156" s="1607"/>
      <c r="BJ156" s="1607"/>
      <c r="BK156" s="1607"/>
      <c r="BL156" s="1607"/>
    </row>
    <row r="157">
      <c r="A157" s="1607"/>
      <c r="B157" s="1607"/>
      <c r="C157" s="1607"/>
      <c r="D157" s="1607"/>
      <c r="E157" s="1607"/>
      <c r="F157" s="1607"/>
      <c r="G157" s="1607"/>
      <c r="H157" s="1607"/>
      <c r="I157" s="1607"/>
      <c r="J157" s="1607"/>
      <c r="K157" s="1607"/>
      <c r="L157" s="1607"/>
      <c r="M157" s="1607"/>
      <c r="N157" s="1607"/>
      <c r="O157" s="1607"/>
      <c r="P157" s="1607"/>
      <c r="Q157" s="1607"/>
      <c r="R157" s="1607"/>
      <c r="S157" s="1607"/>
      <c r="T157" s="1607"/>
      <c r="U157" s="1607"/>
      <c r="V157" s="1607"/>
      <c r="W157" s="1607"/>
      <c r="X157" s="1607"/>
      <c r="Y157" s="1607"/>
      <c r="Z157" s="1607"/>
      <c r="AA157" s="1607"/>
      <c r="AB157" s="1607"/>
      <c r="AC157" s="1607"/>
      <c r="AD157" s="1607"/>
      <c r="AE157" s="1607"/>
      <c r="AF157" s="1607"/>
      <c r="AG157" s="1607"/>
      <c r="AH157" s="1607"/>
      <c r="AI157" s="1607"/>
      <c r="AJ157" s="1607"/>
      <c r="AK157" s="1607"/>
      <c r="AL157" s="1607"/>
      <c r="AM157" s="1607"/>
      <c r="AN157" s="1607"/>
      <c r="AO157" s="1607"/>
      <c r="AP157" s="1607"/>
      <c r="AQ157" s="1607"/>
      <c r="AR157" s="1607"/>
      <c r="AS157" s="1607"/>
      <c r="AT157" s="1607"/>
      <c r="AU157" s="1607"/>
      <c r="AV157" s="1607"/>
      <c r="AW157" s="1607"/>
      <c r="AX157" s="1607"/>
      <c r="AY157" s="1607"/>
      <c r="AZ157" s="1607"/>
      <c r="BA157" s="1607"/>
      <c r="BB157" s="1607"/>
      <c r="BC157" s="1607"/>
      <c r="BD157" s="1607"/>
      <c r="BE157" s="1607"/>
      <c r="BF157" s="1607"/>
      <c r="BG157" s="1607"/>
      <c r="BH157" s="1607"/>
      <c r="BI157" s="1607"/>
      <c r="BJ157" s="1607"/>
      <c r="BK157" s="1607"/>
      <c r="BL157" s="1607"/>
    </row>
    <row r="158">
      <c r="A158" s="1607"/>
      <c r="B158" s="1607"/>
      <c r="C158" s="1607"/>
      <c r="D158" s="1607"/>
      <c r="E158" s="1607"/>
      <c r="F158" s="1607"/>
      <c r="G158" s="1607"/>
      <c r="H158" s="1607"/>
      <c r="I158" s="1607"/>
      <c r="J158" s="1607"/>
      <c r="K158" s="1607"/>
      <c r="L158" s="1607"/>
      <c r="M158" s="1607"/>
      <c r="N158" s="1607"/>
      <c r="O158" s="1607"/>
      <c r="P158" s="1607"/>
      <c r="Q158" s="1607"/>
      <c r="R158" s="1607"/>
      <c r="S158" s="1607"/>
      <c r="T158" s="1607"/>
      <c r="U158" s="1607"/>
      <c r="V158" s="1607"/>
      <c r="W158" s="1607"/>
      <c r="X158" s="1607"/>
      <c r="Y158" s="1607"/>
      <c r="Z158" s="1607"/>
      <c r="AA158" s="1607"/>
      <c r="AB158" s="1607"/>
      <c r="AC158" s="1607"/>
      <c r="AD158" s="1607"/>
      <c r="AE158" s="1607"/>
      <c r="AF158" s="1607"/>
      <c r="AG158" s="1607"/>
      <c r="AH158" s="1607"/>
      <c r="AI158" s="1607"/>
      <c r="AJ158" s="1607"/>
      <c r="AK158" s="1607"/>
      <c r="AL158" s="1607"/>
      <c r="AM158" s="1607"/>
      <c r="AN158" s="1607"/>
      <c r="AO158" s="1607"/>
      <c r="AP158" s="1607"/>
      <c r="AQ158" s="1607"/>
      <c r="AR158" s="1607"/>
      <c r="AS158" s="1607"/>
      <c r="AT158" s="1607"/>
      <c r="AU158" s="1607"/>
      <c r="AV158" s="1607"/>
      <c r="AW158" s="1607"/>
      <c r="AX158" s="1607"/>
      <c r="AY158" s="1607"/>
      <c r="AZ158" s="1607"/>
      <c r="BA158" s="1607"/>
      <c r="BB158" s="1607"/>
      <c r="BC158" s="1607"/>
      <c r="BD158" s="1607"/>
      <c r="BE158" s="1607"/>
      <c r="BF158" s="1607"/>
      <c r="BG158" s="1607"/>
      <c r="BH158" s="1607"/>
      <c r="BI158" s="1607"/>
      <c r="BJ158" s="1607"/>
      <c r="BK158" s="1607"/>
      <c r="BL158" s="1607"/>
    </row>
    <row r="159">
      <c r="A159" s="1607"/>
      <c r="B159" s="1607"/>
      <c r="C159" s="1607"/>
      <c r="D159" s="1607"/>
      <c r="E159" s="1607"/>
      <c r="F159" s="1607"/>
      <c r="G159" s="1607"/>
      <c r="H159" s="1607"/>
      <c r="I159" s="1607"/>
      <c r="J159" s="1607"/>
      <c r="K159" s="1607"/>
      <c r="L159" s="1607"/>
      <c r="M159" s="1607"/>
      <c r="N159" s="1607"/>
      <c r="O159" s="1607"/>
      <c r="P159" s="1607"/>
      <c r="Q159" s="1607"/>
      <c r="R159" s="1607"/>
      <c r="S159" s="1607"/>
      <c r="T159" s="1607"/>
      <c r="U159" s="1607"/>
      <c r="V159" s="1607"/>
      <c r="W159" s="1607"/>
      <c r="X159" s="1607"/>
      <c r="Y159" s="1607"/>
      <c r="Z159" s="1607"/>
      <c r="AA159" s="1607"/>
      <c r="AB159" s="1607"/>
      <c r="AC159" s="1607"/>
      <c r="AD159" s="1607"/>
      <c r="AE159" s="1607"/>
      <c r="AF159" s="1607"/>
      <c r="AG159" s="1607"/>
      <c r="AH159" s="1607"/>
      <c r="AI159" s="1607"/>
      <c r="AJ159" s="1607"/>
      <c r="AK159" s="1607"/>
      <c r="AL159" s="1607"/>
      <c r="AM159" s="1607"/>
      <c r="AN159" s="1607"/>
      <c r="AO159" s="1607"/>
      <c r="AP159" s="1607"/>
      <c r="AQ159" s="1607"/>
      <c r="AR159" s="1607"/>
      <c r="AS159" s="1607"/>
      <c r="AT159" s="1607"/>
      <c r="AU159" s="1607"/>
      <c r="AV159" s="1607"/>
      <c r="AW159" s="1607"/>
      <c r="AX159" s="1607"/>
      <c r="AY159" s="1607"/>
      <c r="AZ159" s="1607"/>
      <c r="BA159" s="1607"/>
      <c r="BB159" s="1607"/>
      <c r="BC159" s="1607"/>
      <c r="BD159" s="1607"/>
      <c r="BE159" s="1607"/>
      <c r="BF159" s="1607"/>
      <c r="BG159" s="1607"/>
      <c r="BH159" s="1607"/>
      <c r="BI159" s="1607"/>
      <c r="BJ159" s="1607"/>
      <c r="BK159" s="1607"/>
      <c r="BL159" s="1607"/>
    </row>
    <row r="160">
      <c r="A160" s="1607"/>
      <c r="B160" s="1607"/>
      <c r="C160" s="1607"/>
      <c r="D160" s="1607"/>
      <c r="E160" s="1607"/>
      <c r="F160" s="1607"/>
      <c r="G160" s="1607"/>
      <c r="H160" s="1607"/>
      <c r="I160" s="1607"/>
      <c r="J160" s="1607"/>
      <c r="K160" s="1607"/>
      <c r="L160" s="1607"/>
      <c r="M160" s="1607"/>
      <c r="N160" s="1607"/>
      <c r="O160" s="1607"/>
      <c r="P160" s="1607"/>
      <c r="Q160" s="1607"/>
      <c r="R160" s="1607"/>
      <c r="S160" s="1607"/>
      <c r="T160" s="1607"/>
      <c r="U160" s="1607"/>
      <c r="V160" s="1607"/>
      <c r="W160" s="1607"/>
      <c r="X160" s="1607"/>
      <c r="Y160" s="1607"/>
      <c r="Z160" s="1607"/>
      <c r="AA160" s="1607"/>
      <c r="AB160" s="1607"/>
      <c r="AC160" s="1607"/>
      <c r="AD160" s="1607"/>
      <c r="AE160" s="1607"/>
      <c r="AF160" s="1607"/>
      <c r="AG160" s="1607"/>
      <c r="AH160" s="1607"/>
      <c r="AI160" s="1607"/>
      <c r="AJ160" s="1607"/>
      <c r="AK160" s="1607"/>
      <c r="AL160" s="1607"/>
      <c r="AM160" s="1607"/>
      <c r="AN160" s="1607"/>
      <c r="AO160" s="1607"/>
      <c r="AP160" s="1607"/>
      <c r="AQ160" s="1607"/>
      <c r="AR160" s="1607"/>
      <c r="AS160" s="1607"/>
      <c r="AT160" s="1607"/>
      <c r="AU160" s="1607"/>
      <c r="AV160" s="1607"/>
      <c r="AW160" s="1607"/>
      <c r="AX160" s="1607"/>
      <c r="AY160" s="1607"/>
      <c r="AZ160" s="1607"/>
      <c r="BA160" s="1607"/>
      <c r="BB160" s="1607"/>
      <c r="BC160" s="1607"/>
      <c r="BD160" s="1607"/>
      <c r="BE160" s="1607"/>
      <c r="BF160" s="1607"/>
      <c r="BG160" s="1607"/>
      <c r="BH160" s="1607"/>
      <c r="BI160" s="1607"/>
      <c r="BJ160" s="1607"/>
      <c r="BK160" s="1607"/>
      <c r="BL160" s="1607"/>
    </row>
    <row r="161">
      <c r="A161" s="1607"/>
      <c r="B161" s="1607"/>
      <c r="C161" s="1607"/>
      <c r="D161" s="1607"/>
      <c r="E161" s="1607"/>
      <c r="F161" s="1607"/>
      <c r="G161" s="1607"/>
      <c r="H161" s="1607"/>
      <c r="I161" s="1607"/>
      <c r="J161" s="1607"/>
      <c r="K161" s="1607"/>
      <c r="L161" s="1607"/>
      <c r="M161" s="1607"/>
      <c r="N161" s="1607"/>
      <c r="O161" s="1607"/>
      <c r="P161" s="1607"/>
      <c r="Q161" s="1607"/>
      <c r="R161" s="1607"/>
      <c r="S161" s="1607"/>
      <c r="T161" s="1607"/>
      <c r="U161" s="1607"/>
      <c r="V161" s="1607"/>
      <c r="W161" s="1607"/>
      <c r="X161" s="1607"/>
      <c r="Y161" s="1607"/>
      <c r="Z161" s="1607"/>
      <c r="AA161" s="1607"/>
      <c r="AB161" s="1607"/>
      <c r="AC161" s="1607"/>
      <c r="AD161" s="1607"/>
      <c r="AE161" s="1607"/>
      <c r="AF161" s="1607"/>
      <c r="AG161" s="1607"/>
      <c r="AH161" s="1607"/>
      <c r="AI161" s="1607"/>
      <c r="AJ161" s="1607"/>
      <c r="AK161" s="1607"/>
      <c r="AL161" s="1607"/>
      <c r="AM161" s="1607"/>
      <c r="AN161" s="1607"/>
      <c r="AO161" s="1607"/>
      <c r="AP161" s="1607"/>
      <c r="AQ161" s="1607"/>
      <c r="AR161" s="1607"/>
      <c r="AS161" s="1607"/>
      <c r="AT161" s="1607"/>
      <c r="AU161" s="1607"/>
      <c r="AV161" s="1607"/>
      <c r="AW161" s="1607"/>
      <c r="AX161" s="1607"/>
      <c r="AY161" s="1607"/>
      <c r="AZ161" s="1607"/>
      <c r="BA161" s="1607"/>
      <c r="BB161" s="1607"/>
      <c r="BC161" s="1607"/>
      <c r="BD161" s="1607"/>
      <c r="BE161" s="1607"/>
      <c r="BF161" s="1607"/>
      <c r="BG161" s="1607"/>
      <c r="BH161" s="1607"/>
      <c r="BI161" s="1607"/>
      <c r="BJ161" s="1607"/>
      <c r="BK161" s="1607"/>
      <c r="BL161" s="1607"/>
    </row>
    <row r="162">
      <c r="A162" s="1607"/>
      <c r="B162" s="1607"/>
      <c r="C162" s="1607"/>
      <c r="D162" s="1607"/>
      <c r="E162" s="1607"/>
      <c r="F162" s="1607"/>
      <c r="G162" s="1607"/>
      <c r="H162" s="1607"/>
      <c r="I162" s="1607"/>
      <c r="J162" s="1607"/>
      <c r="K162" s="1607"/>
      <c r="L162" s="1607"/>
      <c r="M162" s="1607"/>
      <c r="N162" s="1607"/>
      <c r="O162" s="1607"/>
      <c r="P162" s="1607"/>
      <c r="Q162" s="1607"/>
      <c r="R162" s="1607"/>
      <c r="S162" s="1607"/>
      <c r="T162" s="1607"/>
      <c r="U162" s="1607"/>
      <c r="V162" s="1607"/>
      <c r="W162" s="1607"/>
      <c r="X162" s="1607"/>
      <c r="Y162" s="1607"/>
      <c r="Z162" s="1607"/>
      <c r="AA162" s="1607"/>
      <c r="AB162" s="1607"/>
      <c r="AC162" s="1607"/>
      <c r="AD162" s="1607"/>
      <c r="AE162" s="1607"/>
      <c r="AF162" s="1607"/>
      <c r="AG162" s="1607"/>
      <c r="AH162" s="1607"/>
      <c r="AI162" s="1607"/>
      <c r="AJ162" s="1607"/>
      <c r="AK162" s="1607"/>
      <c r="AL162" s="1607"/>
      <c r="AM162" s="1607"/>
      <c r="AN162" s="1607"/>
      <c r="AO162" s="1607"/>
      <c r="AP162" s="1607"/>
      <c r="AQ162" s="1607"/>
      <c r="AR162" s="1607"/>
      <c r="AS162" s="1607"/>
      <c r="AT162" s="1607"/>
      <c r="AU162" s="1607"/>
      <c r="AV162" s="1607"/>
      <c r="AW162" s="1607"/>
      <c r="AX162" s="1607"/>
      <c r="AY162" s="1607"/>
      <c r="AZ162" s="1607"/>
      <c r="BA162" s="1607"/>
      <c r="BB162" s="1607"/>
      <c r="BC162" s="1607"/>
      <c r="BD162" s="1607"/>
      <c r="BE162" s="1607"/>
      <c r="BF162" s="1607"/>
      <c r="BG162" s="1607"/>
      <c r="BH162" s="1607"/>
      <c r="BI162" s="1607"/>
      <c r="BJ162" s="1607"/>
      <c r="BK162" s="1607"/>
      <c r="BL162" s="1607"/>
    </row>
    <row r="163">
      <c r="A163" s="1607"/>
      <c r="B163" s="1607"/>
      <c r="C163" s="1607"/>
      <c r="D163" s="1607"/>
      <c r="E163" s="1607"/>
      <c r="F163" s="1607"/>
      <c r="G163" s="1607"/>
      <c r="H163" s="1607"/>
      <c r="I163" s="1607"/>
      <c r="J163" s="1607"/>
      <c r="K163" s="1607"/>
      <c r="L163" s="1607"/>
      <c r="M163" s="1607"/>
      <c r="N163" s="1607"/>
      <c r="O163" s="1607"/>
      <c r="P163" s="1607"/>
      <c r="Q163" s="1607"/>
      <c r="R163" s="1607"/>
      <c r="S163" s="1607"/>
      <c r="T163" s="1607"/>
      <c r="U163" s="1607"/>
      <c r="V163" s="1607"/>
      <c r="W163" s="1607"/>
      <c r="X163" s="1607"/>
      <c r="Y163" s="1607"/>
      <c r="Z163" s="1607"/>
      <c r="AA163" s="1607"/>
      <c r="AB163" s="1607"/>
      <c r="AC163" s="1607"/>
      <c r="AD163" s="1607"/>
      <c r="AE163" s="1607"/>
      <c r="AF163" s="1607"/>
      <c r="AG163" s="1607"/>
      <c r="AH163" s="1607"/>
      <c r="AI163" s="1607"/>
      <c r="AJ163" s="1607"/>
      <c r="AK163" s="1607"/>
      <c r="AL163" s="1607"/>
      <c r="AM163" s="1607"/>
      <c r="AN163" s="1607"/>
      <c r="AO163" s="1607"/>
      <c r="AP163" s="1607"/>
      <c r="AQ163" s="1607"/>
      <c r="AR163" s="1607"/>
      <c r="AS163" s="1607"/>
      <c r="AT163" s="1607"/>
      <c r="AU163" s="1607"/>
      <c r="AV163" s="1607"/>
      <c r="AW163" s="1607"/>
      <c r="AX163" s="1607"/>
      <c r="AY163" s="1607"/>
      <c r="AZ163" s="1607"/>
      <c r="BA163" s="1607"/>
      <c r="BB163" s="1607"/>
      <c r="BC163" s="1607"/>
      <c r="BD163" s="1607"/>
      <c r="BE163" s="1607"/>
      <c r="BF163" s="1607"/>
      <c r="BG163" s="1607"/>
      <c r="BH163" s="1607"/>
      <c r="BI163" s="1607"/>
      <c r="BJ163" s="1607"/>
      <c r="BK163" s="1607"/>
      <c r="BL163" s="1607"/>
    </row>
    <row r="164">
      <c r="A164" s="1607"/>
      <c r="B164" s="1607"/>
      <c r="C164" s="1607"/>
      <c r="D164" s="1607"/>
      <c r="E164" s="1607"/>
      <c r="F164" s="1607"/>
      <c r="G164" s="1607"/>
      <c r="H164" s="1607"/>
      <c r="I164" s="1607"/>
      <c r="J164" s="1607"/>
      <c r="K164" s="1607"/>
      <c r="L164" s="1607"/>
      <c r="M164" s="1607"/>
      <c r="N164" s="1607"/>
      <c r="O164" s="1607"/>
      <c r="P164" s="1607"/>
      <c r="Q164" s="1607"/>
      <c r="R164" s="1607"/>
      <c r="S164" s="1607"/>
      <c r="T164" s="1607"/>
      <c r="U164" s="1607"/>
      <c r="V164" s="1607"/>
      <c r="W164" s="1607"/>
      <c r="X164" s="1607"/>
      <c r="Y164" s="1607"/>
      <c r="Z164" s="1607"/>
      <c r="AA164" s="1607"/>
      <c r="AB164" s="1607"/>
      <c r="AC164" s="1607"/>
      <c r="AD164" s="1607"/>
      <c r="AE164" s="1607"/>
      <c r="AF164" s="1607"/>
      <c r="AG164" s="1607"/>
      <c r="AH164" s="1607"/>
      <c r="AI164" s="1607"/>
      <c r="AJ164" s="1607"/>
      <c r="AK164" s="1607"/>
      <c r="AL164" s="1607"/>
      <c r="AM164" s="1607"/>
      <c r="AN164" s="1607"/>
      <c r="AO164" s="1607"/>
      <c r="AP164" s="1607"/>
      <c r="AQ164" s="1607"/>
      <c r="AR164" s="1607"/>
      <c r="AS164" s="1607"/>
      <c r="AT164" s="1607"/>
      <c r="AU164" s="1607"/>
      <c r="AV164" s="1607"/>
      <c r="AW164" s="1607"/>
      <c r="AX164" s="1607"/>
      <c r="AY164" s="1607"/>
      <c r="AZ164" s="1607"/>
      <c r="BA164" s="1607"/>
      <c r="BB164" s="1607"/>
      <c r="BC164" s="1607"/>
      <c r="BD164" s="1607"/>
      <c r="BE164" s="1607"/>
      <c r="BF164" s="1607"/>
      <c r="BG164" s="1607"/>
      <c r="BH164" s="1607"/>
      <c r="BI164" s="1607"/>
      <c r="BJ164" s="1607"/>
      <c r="BK164" s="1607"/>
      <c r="BL164" s="1607"/>
    </row>
    <row r="165">
      <c r="A165" s="1607"/>
      <c r="B165" s="1607"/>
      <c r="C165" s="1607"/>
      <c r="D165" s="1607"/>
      <c r="E165" s="1607"/>
      <c r="F165" s="1607"/>
      <c r="G165" s="1607"/>
      <c r="H165" s="1607"/>
      <c r="I165" s="1607"/>
      <c r="J165" s="1607"/>
      <c r="K165" s="1607"/>
      <c r="L165" s="1607"/>
      <c r="M165" s="1607"/>
      <c r="N165" s="1607"/>
      <c r="O165" s="1607"/>
      <c r="P165" s="1607"/>
      <c r="Q165" s="1607"/>
      <c r="R165" s="1607"/>
      <c r="S165" s="1607"/>
      <c r="T165" s="1607"/>
      <c r="U165" s="1607"/>
      <c r="V165" s="1607"/>
      <c r="W165" s="1607"/>
      <c r="X165" s="1607"/>
      <c r="Y165" s="1607"/>
      <c r="Z165" s="1607"/>
      <c r="AA165" s="1607"/>
      <c r="AB165" s="1607"/>
      <c r="AC165" s="1607"/>
      <c r="AD165" s="1607"/>
      <c r="AE165" s="1607"/>
      <c r="AF165" s="1607"/>
      <c r="AG165" s="1607"/>
      <c r="AH165" s="1607"/>
      <c r="AI165" s="1607"/>
      <c r="AJ165" s="1607"/>
      <c r="AK165" s="1607"/>
      <c r="AL165" s="1607"/>
      <c r="AM165" s="1607"/>
      <c r="AN165" s="1607"/>
      <c r="AO165" s="1607"/>
      <c r="AP165" s="1607"/>
      <c r="AQ165" s="1607"/>
      <c r="AR165" s="1607"/>
      <c r="AS165" s="1607"/>
      <c r="AT165" s="1607"/>
      <c r="AU165" s="1607"/>
      <c r="AV165" s="1607"/>
      <c r="AW165" s="1607"/>
      <c r="AX165" s="1607"/>
      <c r="AY165" s="1607"/>
      <c r="AZ165" s="1607"/>
      <c r="BA165" s="1607"/>
      <c r="BB165" s="1607"/>
      <c r="BC165" s="1607"/>
      <c r="BD165" s="1607"/>
      <c r="BE165" s="1607"/>
      <c r="BF165" s="1607"/>
      <c r="BG165" s="1607"/>
      <c r="BH165" s="1607"/>
      <c r="BI165" s="1607"/>
      <c r="BJ165" s="1607"/>
      <c r="BK165" s="1607"/>
      <c r="BL165" s="1607"/>
    </row>
    <row r="166">
      <c r="A166" s="1607"/>
      <c r="B166" s="1607"/>
      <c r="C166" s="1607"/>
      <c r="D166" s="1607"/>
      <c r="E166" s="1607"/>
      <c r="F166" s="1607"/>
      <c r="G166" s="1607"/>
      <c r="H166" s="1607"/>
      <c r="I166" s="1607"/>
      <c r="J166" s="1607"/>
      <c r="K166" s="1607"/>
      <c r="L166" s="1607"/>
      <c r="M166" s="1607"/>
      <c r="N166" s="1607"/>
      <c r="O166" s="1607"/>
      <c r="P166" s="1607"/>
      <c r="Q166" s="1607"/>
      <c r="R166" s="1607"/>
      <c r="S166" s="1607"/>
      <c r="T166" s="1607"/>
      <c r="U166" s="1607"/>
      <c r="V166" s="1607"/>
      <c r="W166" s="1607"/>
      <c r="X166" s="1607"/>
      <c r="Y166" s="1607"/>
      <c r="Z166" s="1607"/>
      <c r="AA166" s="1607"/>
      <c r="AB166" s="1607"/>
      <c r="AC166" s="1607"/>
      <c r="AD166" s="1607"/>
      <c r="AE166" s="1607"/>
      <c r="AF166" s="1607"/>
      <c r="AG166" s="1607"/>
      <c r="AH166" s="1607"/>
      <c r="AI166" s="1607"/>
      <c r="AJ166" s="1607"/>
      <c r="AK166" s="1607"/>
      <c r="AL166" s="1607"/>
      <c r="AM166" s="1607"/>
      <c r="AN166" s="1607"/>
      <c r="AO166" s="1607"/>
      <c r="AP166" s="1607"/>
      <c r="AQ166" s="1607"/>
      <c r="AR166" s="1607"/>
      <c r="AS166" s="1607"/>
      <c r="AT166" s="1607"/>
      <c r="AU166" s="1607"/>
      <c r="AV166" s="1607"/>
      <c r="AW166" s="1607"/>
      <c r="AX166" s="1607"/>
      <c r="AY166" s="1607"/>
      <c r="AZ166" s="1607"/>
      <c r="BA166" s="1607"/>
      <c r="BB166" s="1607"/>
      <c r="BC166" s="1607"/>
      <c r="BD166" s="1607"/>
      <c r="BE166" s="1607"/>
      <c r="BF166" s="1607"/>
      <c r="BG166" s="1607"/>
      <c r="BH166" s="1607"/>
      <c r="BI166" s="1607"/>
      <c r="BJ166" s="1607"/>
      <c r="BK166" s="1607"/>
      <c r="BL166" s="1607"/>
    </row>
    <row r="167">
      <c r="A167" s="1607"/>
      <c r="B167" s="1607"/>
      <c r="C167" s="1607"/>
      <c r="D167" s="1607"/>
      <c r="E167" s="1607"/>
      <c r="F167" s="1607"/>
      <c r="G167" s="1607"/>
      <c r="H167" s="1607"/>
      <c r="I167" s="1607"/>
      <c r="J167" s="1607"/>
      <c r="K167" s="1607"/>
      <c r="L167" s="1607"/>
      <c r="M167" s="1607"/>
      <c r="N167" s="1607"/>
      <c r="O167" s="1607"/>
      <c r="P167" s="1607"/>
      <c r="Q167" s="1607"/>
      <c r="R167" s="1607"/>
      <c r="S167" s="1607"/>
      <c r="T167" s="1607"/>
      <c r="U167" s="1607"/>
      <c r="V167" s="1607"/>
      <c r="W167" s="1607"/>
      <c r="X167" s="1607"/>
      <c r="Y167" s="1607"/>
      <c r="Z167" s="1607"/>
      <c r="AA167" s="1607"/>
      <c r="AB167" s="1607"/>
      <c r="AC167" s="1607"/>
      <c r="AD167" s="1607"/>
      <c r="AE167" s="1607"/>
      <c r="AF167" s="1607"/>
      <c r="AG167" s="1607"/>
      <c r="AH167" s="1607"/>
      <c r="AI167" s="1607"/>
      <c r="AJ167" s="1607"/>
      <c r="AK167" s="1607"/>
      <c r="AL167" s="1607"/>
      <c r="AM167" s="1607"/>
      <c r="AN167" s="1607"/>
      <c r="AO167" s="1607"/>
      <c r="AP167" s="1607"/>
      <c r="AQ167" s="1607"/>
      <c r="AR167" s="1607"/>
      <c r="AS167" s="1607"/>
      <c r="AT167" s="1607"/>
      <c r="AU167" s="1607"/>
      <c r="AV167" s="1607"/>
      <c r="AW167" s="1607"/>
      <c r="AX167" s="1607"/>
      <c r="AY167" s="1607"/>
      <c r="AZ167" s="1607"/>
      <c r="BA167" s="1607"/>
      <c r="BB167" s="1607"/>
      <c r="BC167" s="1607"/>
      <c r="BD167" s="1607"/>
      <c r="BE167" s="1607"/>
      <c r="BF167" s="1607"/>
      <c r="BG167" s="1607"/>
      <c r="BH167" s="1607"/>
      <c r="BI167" s="1607"/>
      <c r="BJ167" s="1607"/>
      <c r="BK167" s="1607"/>
      <c r="BL167" s="1607"/>
    </row>
    <row r="168">
      <c r="A168" s="1607"/>
      <c r="B168" s="1607"/>
      <c r="C168" s="1607"/>
      <c r="D168" s="1607"/>
      <c r="E168" s="1607"/>
      <c r="F168" s="1607"/>
      <c r="G168" s="1607"/>
      <c r="H168" s="1607"/>
      <c r="I168" s="1607"/>
      <c r="J168" s="1607"/>
      <c r="K168" s="1607"/>
      <c r="L168" s="1607"/>
      <c r="M168" s="1607"/>
      <c r="N168" s="1607"/>
      <c r="O168" s="1607"/>
      <c r="P168" s="1607"/>
      <c r="Q168" s="1607"/>
      <c r="R168" s="1607"/>
      <c r="S168" s="1607"/>
      <c r="T168" s="1607"/>
      <c r="U168" s="1607"/>
      <c r="V168" s="1607"/>
      <c r="W168" s="1607"/>
      <c r="X168" s="1607"/>
      <c r="Y168" s="1607"/>
      <c r="Z168" s="1607"/>
      <c r="AA168" s="1607"/>
      <c r="AB168" s="1607"/>
      <c r="AC168" s="1607"/>
      <c r="AD168" s="1607"/>
      <c r="AE168" s="1607"/>
      <c r="AF168" s="1607"/>
      <c r="AG168" s="1607"/>
      <c r="AH168" s="1607"/>
      <c r="AI168" s="1607"/>
      <c r="AJ168" s="1607"/>
      <c r="AK168" s="1607"/>
      <c r="AL168" s="1607"/>
      <c r="AM168" s="1607"/>
      <c r="AN168" s="1607"/>
      <c r="AO168" s="1607"/>
      <c r="AP168" s="1607"/>
      <c r="AQ168" s="1607"/>
      <c r="AR168" s="1607"/>
      <c r="AS168" s="1607"/>
      <c r="AT168" s="1607"/>
      <c r="AU168" s="1607"/>
      <c r="AV168" s="1607"/>
      <c r="AW168" s="1607"/>
      <c r="AX168" s="1607"/>
      <c r="AY168" s="1607"/>
      <c r="AZ168" s="1607"/>
      <c r="BA168" s="1607"/>
      <c r="BB168" s="1607"/>
      <c r="BC168" s="1607"/>
      <c r="BD168" s="1607"/>
      <c r="BE168" s="1607"/>
      <c r="BF168" s="1607"/>
      <c r="BG168" s="1607"/>
      <c r="BH168" s="1607"/>
      <c r="BI168" s="1607"/>
      <c r="BJ168" s="1607"/>
      <c r="BK168" s="1607"/>
      <c r="BL168" s="1607"/>
    </row>
    <row r="169">
      <c r="A169" s="1607"/>
      <c r="B169" s="1607"/>
      <c r="C169" s="1607"/>
      <c r="D169" s="1607"/>
      <c r="E169" s="1607"/>
      <c r="F169" s="1607"/>
      <c r="G169" s="1607"/>
      <c r="H169" s="1607"/>
      <c r="I169" s="1607"/>
      <c r="J169" s="1607"/>
      <c r="K169" s="1607"/>
      <c r="L169" s="1607"/>
      <c r="M169" s="1607"/>
      <c r="N169" s="1607"/>
      <c r="O169" s="1607"/>
      <c r="P169" s="1607"/>
      <c r="Q169" s="1607"/>
      <c r="R169" s="1607"/>
      <c r="S169" s="1607"/>
      <c r="T169" s="1607"/>
      <c r="U169" s="1607"/>
      <c r="V169" s="1607"/>
      <c r="W169" s="1607"/>
      <c r="X169" s="1607"/>
      <c r="Y169" s="1607"/>
      <c r="Z169" s="1607"/>
      <c r="AA169" s="1607"/>
      <c r="AB169" s="1607"/>
      <c r="AC169" s="1607"/>
      <c r="AD169" s="1607"/>
      <c r="AE169" s="1607"/>
      <c r="AF169" s="1607"/>
      <c r="AG169" s="1607"/>
      <c r="AH169" s="1607"/>
      <c r="AI169" s="1607"/>
      <c r="AJ169" s="1607"/>
      <c r="AK169" s="1607"/>
      <c r="AL169" s="1607"/>
      <c r="AM169" s="1607"/>
      <c r="AN169" s="1607"/>
      <c r="AO169" s="1607"/>
      <c r="AP169" s="1607"/>
      <c r="AQ169" s="1607"/>
      <c r="AR169" s="1607"/>
      <c r="AS169" s="1607"/>
      <c r="AT169" s="1607"/>
      <c r="AU169" s="1607"/>
      <c r="AV169" s="1607"/>
      <c r="AW169" s="1607"/>
      <c r="AX169" s="1607"/>
      <c r="AY169" s="1607"/>
      <c r="AZ169" s="1607"/>
      <c r="BA169" s="1607"/>
      <c r="BB169" s="1607"/>
      <c r="BC169" s="1607"/>
      <c r="BD169" s="1607"/>
      <c r="BE169" s="1607"/>
      <c r="BF169" s="1607"/>
      <c r="BG169" s="1607"/>
      <c r="BH169" s="1607"/>
      <c r="BI169" s="1607"/>
      <c r="BJ169" s="1607"/>
      <c r="BK169" s="1607"/>
      <c r="BL169" s="1607"/>
    </row>
    <row r="170">
      <c r="A170" s="1607"/>
      <c r="B170" s="1607"/>
      <c r="C170" s="1607"/>
      <c r="D170" s="1607"/>
      <c r="E170" s="1607"/>
      <c r="F170" s="1607"/>
      <c r="G170" s="1607"/>
      <c r="H170" s="1607"/>
      <c r="I170" s="1607"/>
      <c r="J170" s="1607"/>
      <c r="K170" s="1607"/>
      <c r="L170" s="1607"/>
      <c r="M170" s="1607"/>
      <c r="N170" s="1607"/>
      <c r="O170" s="1607"/>
      <c r="P170" s="1607"/>
      <c r="Q170" s="1607"/>
      <c r="R170" s="1607"/>
      <c r="S170" s="1607"/>
      <c r="T170" s="1607"/>
      <c r="U170" s="1607"/>
      <c r="V170" s="1607"/>
      <c r="W170" s="1607"/>
      <c r="X170" s="1607"/>
      <c r="Y170" s="1607"/>
      <c r="Z170" s="1607"/>
      <c r="AA170" s="1607"/>
      <c r="AB170" s="1607"/>
      <c r="AC170" s="1607"/>
      <c r="AD170" s="1607"/>
      <c r="AE170" s="1607"/>
      <c r="AF170" s="1607"/>
      <c r="AG170" s="1607"/>
      <c r="AH170" s="1607"/>
      <c r="AI170" s="1607"/>
      <c r="AJ170" s="1607"/>
      <c r="AK170" s="1607"/>
      <c r="AL170" s="1607"/>
      <c r="AM170" s="1607"/>
      <c r="AN170" s="1607"/>
      <c r="AO170" s="1607"/>
      <c r="AP170" s="1607"/>
      <c r="AQ170" s="1607"/>
      <c r="AR170" s="1607"/>
      <c r="AS170" s="1607"/>
      <c r="AT170" s="1607"/>
      <c r="AU170" s="1607"/>
      <c r="AV170" s="1607"/>
      <c r="AW170" s="1607"/>
      <c r="AX170" s="1607"/>
      <c r="AY170" s="1607"/>
      <c r="AZ170" s="1607"/>
      <c r="BA170" s="1607"/>
      <c r="BB170" s="1607"/>
      <c r="BC170" s="1607"/>
      <c r="BD170" s="1607"/>
      <c r="BE170" s="1607"/>
      <c r="BF170" s="1607"/>
      <c r="BG170" s="1607"/>
      <c r="BH170" s="1607"/>
      <c r="BI170" s="1607"/>
      <c r="BJ170" s="1607"/>
      <c r="BK170" s="1607"/>
      <c r="BL170" s="1607"/>
    </row>
    <row r="171">
      <c r="A171" s="1607"/>
      <c r="B171" s="1607"/>
      <c r="C171" s="1607"/>
      <c r="D171" s="1607"/>
      <c r="E171" s="1607"/>
      <c r="F171" s="1607"/>
      <c r="G171" s="1607"/>
      <c r="H171" s="1607"/>
      <c r="I171" s="1607"/>
      <c r="J171" s="1607"/>
      <c r="K171" s="1607"/>
      <c r="L171" s="1607"/>
      <c r="M171" s="1607"/>
      <c r="N171" s="1607"/>
      <c r="O171" s="1607"/>
      <c r="P171" s="1607"/>
      <c r="Q171" s="1607"/>
      <c r="R171" s="1607"/>
      <c r="S171" s="1607"/>
      <c r="T171" s="1607"/>
      <c r="U171" s="1607"/>
      <c r="V171" s="1607"/>
      <c r="W171" s="1607"/>
      <c r="X171" s="1607"/>
      <c r="Y171" s="1607"/>
      <c r="Z171" s="1607"/>
      <c r="AA171" s="1607"/>
      <c r="AB171" s="1607"/>
      <c r="AC171" s="1607"/>
      <c r="AD171" s="1607"/>
      <c r="AE171" s="1607"/>
      <c r="AF171" s="1607"/>
      <c r="AG171" s="1607"/>
      <c r="AH171" s="1607"/>
      <c r="AI171" s="1607"/>
      <c r="AJ171" s="1607"/>
      <c r="AK171" s="1607"/>
      <c r="AL171" s="1607"/>
      <c r="AM171" s="1607"/>
      <c r="AN171" s="1607"/>
      <c r="AO171" s="1607"/>
      <c r="AP171" s="1607"/>
      <c r="AQ171" s="1607"/>
      <c r="AR171" s="1607"/>
      <c r="AS171" s="1607"/>
      <c r="AT171" s="1607"/>
      <c r="AU171" s="1607"/>
      <c r="AV171" s="1607"/>
      <c r="AW171" s="1607"/>
      <c r="AX171" s="1607"/>
      <c r="AY171" s="1607"/>
      <c r="AZ171" s="1607"/>
      <c r="BA171" s="1607"/>
      <c r="BB171" s="1607"/>
      <c r="BC171" s="1607"/>
      <c r="BD171" s="1607"/>
      <c r="BE171" s="1607"/>
      <c r="BF171" s="1607"/>
      <c r="BG171" s="1607"/>
      <c r="BH171" s="1607"/>
      <c r="BI171" s="1607"/>
      <c r="BJ171" s="1607"/>
      <c r="BK171" s="1607"/>
      <c r="BL171" s="1607"/>
    </row>
    <row r="172">
      <c r="A172" s="1607"/>
      <c r="B172" s="1607"/>
      <c r="C172" s="1607"/>
      <c r="D172" s="1607"/>
      <c r="E172" s="1607"/>
      <c r="F172" s="1607"/>
      <c r="G172" s="1607"/>
      <c r="H172" s="1607"/>
      <c r="I172" s="1607"/>
      <c r="J172" s="1607"/>
      <c r="K172" s="1607"/>
      <c r="L172" s="1607"/>
      <c r="M172" s="1607"/>
      <c r="N172" s="1607"/>
      <c r="O172" s="1607"/>
      <c r="P172" s="1607"/>
      <c r="Q172" s="1607"/>
      <c r="R172" s="1607"/>
      <c r="S172" s="1607"/>
      <c r="T172" s="1607"/>
      <c r="U172" s="1607"/>
      <c r="V172" s="1607"/>
      <c r="W172" s="1607"/>
      <c r="X172" s="1607"/>
      <c r="Y172" s="1607"/>
      <c r="Z172" s="1607"/>
      <c r="AA172" s="1607"/>
      <c r="AB172" s="1607"/>
      <c r="AC172" s="1607"/>
      <c r="AD172" s="1607"/>
      <c r="AE172" s="1607"/>
      <c r="AF172" s="1607"/>
      <c r="AG172" s="1607"/>
      <c r="AH172" s="1607"/>
      <c r="AI172" s="1607"/>
      <c r="AJ172" s="1607"/>
      <c r="AK172" s="1607"/>
      <c r="AL172" s="1607"/>
      <c r="AM172" s="1607"/>
      <c r="AN172" s="1607"/>
      <c r="AO172" s="1607"/>
      <c r="AP172" s="1607"/>
      <c r="AQ172" s="1607"/>
      <c r="AR172" s="1607"/>
      <c r="AS172" s="1607"/>
      <c r="AT172" s="1607"/>
      <c r="AU172" s="1607"/>
      <c r="AV172" s="1607"/>
      <c r="AW172" s="1607"/>
      <c r="AX172" s="1607"/>
      <c r="AY172" s="1607"/>
      <c r="AZ172" s="1607"/>
      <c r="BA172" s="1607"/>
      <c r="BB172" s="1607"/>
      <c r="BC172" s="1607"/>
      <c r="BD172" s="1607"/>
      <c r="BE172" s="1607"/>
      <c r="BF172" s="1607"/>
      <c r="BG172" s="1607"/>
      <c r="BH172" s="1607"/>
      <c r="BI172" s="1607"/>
      <c r="BJ172" s="1607"/>
      <c r="BK172" s="1607"/>
      <c r="BL172" s="1607"/>
    </row>
    <row r="173">
      <c r="A173" s="1607"/>
      <c r="B173" s="1607"/>
      <c r="C173" s="1607"/>
      <c r="D173" s="1607"/>
      <c r="E173" s="1607"/>
      <c r="F173" s="1607"/>
      <c r="G173" s="1607"/>
      <c r="H173" s="1607"/>
      <c r="I173" s="1607"/>
      <c r="J173" s="1607"/>
      <c r="K173" s="1607"/>
      <c r="L173" s="1607"/>
      <c r="M173" s="1607"/>
      <c r="N173" s="1607"/>
      <c r="O173" s="1607"/>
      <c r="P173" s="1607"/>
      <c r="Q173" s="1607"/>
      <c r="R173" s="1607"/>
      <c r="S173" s="1607"/>
      <c r="T173" s="1607"/>
      <c r="U173" s="1607"/>
      <c r="V173" s="1607"/>
      <c r="W173" s="1607"/>
      <c r="X173" s="1607"/>
      <c r="Y173" s="1607"/>
      <c r="Z173" s="1607"/>
      <c r="AA173" s="1607"/>
      <c r="AB173" s="1607"/>
      <c r="AC173" s="1607"/>
      <c r="AD173" s="1607"/>
      <c r="AE173" s="1607"/>
      <c r="AF173" s="1607"/>
      <c r="AG173" s="1607"/>
      <c r="AH173" s="1607"/>
      <c r="AI173" s="1607"/>
      <c r="AJ173" s="1607"/>
      <c r="AK173" s="1607"/>
      <c r="AL173" s="1607"/>
      <c r="AM173" s="1607"/>
      <c r="AN173" s="1607"/>
      <c r="AO173" s="1607"/>
      <c r="AP173" s="1607"/>
      <c r="AQ173" s="1607"/>
      <c r="AR173" s="1607"/>
      <c r="AS173" s="1607"/>
      <c r="AT173" s="1607"/>
      <c r="AU173" s="1607"/>
      <c r="AV173" s="1607"/>
      <c r="AW173" s="1607"/>
      <c r="AX173" s="1607"/>
      <c r="AY173" s="1607"/>
      <c r="AZ173" s="1607"/>
      <c r="BA173" s="1607"/>
      <c r="BB173" s="1607"/>
      <c r="BC173" s="1607"/>
      <c r="BD173" s="1607"/>
      <c r="BE173" s="1607"/>
      <c r="BF173" s="1607"/>
      <c r="BG173" s="1607"/>
      <c r="BH173" s="1607"/>
      <c r="BI173" s="1607"/>
      <c r="BJ173" s="1607"/>
      <c r="BK173" s="1607"/>
      <c r="BL173" s="1607"/>
    </row>
    <row r="174">
      <c r="A174" s="1607"/>
      <c r="B174" s="1607"/>
      <c r="C174" s="1607"/>
      <c r="D174" s="1607"/>
      <c r="E174" s="1607"/>
      <c r="F174" s="1607"/>
      <c r="G174" s="1607"/>
      <c r="H174" s="1607"/>
      <c r="I174" s="1607"/>
      <c r="J174" s="1607"/>
      <c r="K174" s="1607"/>
      <c r="L174" s="1607"/>
      <c r="M174" s="1607"/>
      <c r="N174" s="1607"/>
      <c r="O174" s="1607"/>
      <c r="P174" s="1607"/>
      <c r="Q174" s="1607"/>
      <c r="R174" s="1607"/>
      <c r="S174" s="1607"/>
      <c r="T174" s="1607"/>
      <c r="U174" s="1607"/>
      <c r="V174" s="1607"/>
      <c r="W174" s="1607"/>
      <c r="X174" s="1607"/>
      <c r="Y174" s="1607"/>
      <c r="Z174" s="1607"/>
      <c r="AA174" s="1607"/>
      <c r="AB174" s="1607"/>
      <c r="AC174" s="1607"/>
      <c r="AD174" s="1607"/>
      <c r="AE174" s="1607"/>
      <c r="AF174" s="1607"/>
      <c r="AG174" s="1607"/>
      <c r="AH174" s="1607"/>
      <c r="AI174" s="1607"/>
      <c r="AJ174" s="1607"/>
      <c r="AK174" s="1607"/>
      <c r="AL174" s="1607"/>
      <c r="AM174" s="1607"/>
      <c r="AN174" s="1607"/>
      <c r="AO174" s="1607"/>
      <c r="AP174" s="1607"/>
      <c r="AQ174" s="1607"/>
      <c r="AR174" s="1607"/>
      <c r="AS174" s="1607"/>
      <c r="AT174" s="1607"/>
      <c r="AU174" s="1607"/>
      <c r="AV174" s="1607"/>
      <c r="AW174" s="1607"/>
      <c r="AX174" s="1607"/>
      <c r="AY174" s="1607"/>
      <c r="AZ174" s="1607"/>
      <c r="BA174" s="1607"/>
      <c r="BB174" s="1607"/>
      <c r="BC174" s="1607"/>
      <c r="BD174" s="1607"/>
      <c r="BE174" s="1607"/>
      <c r="BF174" s="1607"/>
      <c r="BG174" s="1607"/>
      <c r="BH174" s="1607"/>
      <c r="BI174" s="1607"/>
      <c r="BJ174" s="1607"/>
      <c r="BK174" s="1607"/>
      <c r="BL174" s="1607"/>
    </row>
    <row r="175">
      <c r="A175" s="1607"/>
      <c r="B175" s="1607"/>
      <c r="C175" s="1607"/>
      <c r="D175" s="1607"/>
      <c r="E175" s="1607"/>
      <c r="F175" s="1607"/>
      <c r="G175" s="1607"/>
      <c r="H175" s="1607"/>
      <c r="I175" s="1607"/>
      <c r="J175" s="1607"/>
      <c r="K175" s="1607"/>
      <c r="L175" s="1607"/>
      <c r="M175" s="1607"/>
      <c r="N175" s="1607"/>
      <c r="O175" s="1607"/>
      <c r="P175" s="1607"/>
      <c r="Q175" s="1607"/>
      <c r="R175" s="1607"/>
      <c r="S175" s="1607"/>
      <c r="T175" s="1607"/>
      <c r="U175" s="1607"/>
      <c r="V175" s="1607"/>
      <c r="W175" s="1607"/>
      <c r="X175" s="1607"/>
      <c r="Y175" s="1607"/>
      <c r="Z175" s="1607"/>
      <c r="AA175" s="1607"/>
      <c r="AB175" s="1607"/>
      <c r="AC175" s="1607"/>
      <c r="AD175" s="1607"/>
      <c r="AE175" s="1607"/>
      <c r="AF175" s="1607"/>
      <c r="AG175" s="1607"/>
      <c r="AH175" s="1607"/>
      <c r="AI175" s="1607"/>
      <c r="AJ175" s="1607"/>
      <c r="AK175" s="1607"/>
      <c r="AL175" s="1607"/>
      <c r="AM175" s="1607"/>
      <c r="AN175" s="1607"/>
      <c r="AO175" s="1607"/>
      <c r="AP175" s="1607"/>
      <c r="AQ175" s="1607"/>
      <c r="AR175" s="1607"/>
      <c r="AS175" s="1607"/>
      <c r="AT175" s="1607"/>
      <c r="AU175" s="1607"/>
      <c r="AV175" s="1607"/>
      <c r="AW175" s="1607"/>
      <c r="AX175" s="1607"/>
      <c r="AY175" s="1607"/>
      <c r="AZ175" s="1607"/>
      <c r="BA175" s="1607"/>
      <c r="BB175" s="1607"/>
      <c r="BC175" s="1607"/>
      <c r="BD175" s="1607"/>
      <c r="BE175" s="1607"/>
      <c r="BF175" s="1607"/>
      <c r="BG175" s="1607"/>
      <c r="BH175" s="1607"/>
      <c r="BI175" s="1607"/>
      <c r="BJ175" s="1607"/>
      <c r="BK175" s="1607"/>
      <c r="BL175" s="1607"/>
    </row>
    <row r="176">
      <c r="A176" s="1607"/>
      <c r="B176" s="1607"/>
      <c r="C176" s="1607"/>
      <c r="D176" s="1607"/>
      <c r="E176" s="1607"/>
      <c r="F176" s="1607"/>
      <c r="G176" s="1607"/>
      <c r="H176" s="1607"/>
      <c r="I176" s="1607"/>
      <c r="J176" s="1607"/>
      <c r="K176" s="1607"/>
      <c r="L176" s="1607"/>
      <c r="M176" s="1607"/>
      <c r="N176" s="1607"/>
      <c r="O176" s="1607"/>
      <c r="P176" s="1607"/>
      <c r="Q176" s="1607"/>
      <c r="R176" s="1607"/>
      <c r="S176" s="1607"/>
      <c r="T176" s="1607"/>
      <c r="U176" s="1607"/>
      <c r="V176" s="1607"/>
      <c r="W176" s="1607"/>
      <c r="X176" s="1607"/>
      <c r="Y176" s="1607"/>
      <c r="Z176" s="1607"/>
      <c r="AA176" s="1607"/>
      <c r="AB176" s="1607"/>
      <c r="AC176" s="1607"/>
      <c r="AD176" s="1607"/>
      <c r="AE176" s="1607"/>
      <c r="AF176" s="1607"/>
      <c r="AG176" s="1607"/>
      <c r="AH176" s="1607"/>
      <c r="AI176" s="1607"/>
      <c r="AJ176" s="1607"/>
      <c r="AK176" s="1607"/>
      <c r="AL176" s="1607"/>
      <c r="AM176" s="1607"/>
      <c r="AN176" s="1607"/>
      <c r="AO176" s="1607"/>
      <c r="AP176" s="1607"/>
      <c r="AQ176" s="1607"/>
      <c r="AR176" s="1607"/>
      <c r="AS176" s="1607"/>
      <c r="AT176" s="1607"/>
      <c r="AU176" s="1607"/>
      <c r="AV176" s="1607"/>
      <c r="AW176" s="1607"/>
      <c r="AX176" s="1607"/>
      <c r="AY176" s="1607"/>
      <c r="AZ176" s="1607"/>
      <c r="BA176" s="1607"/>
      <c r="BB176" s="1607"/>
      <c r="BC176" s="1607"/>
      <c r="BD176" s="1607"/>
      <c r="BE176" s="1607"/>
      <c r="BF176" s="1607"/>
      <c r="BG176" s="1607"/>
      <c r="BH176" s="1607"/>
      <c r="BI176" s="1607"/>
      <c r="BJ176" s="1607"/>
      <c r="BK176" s="1607"/>
      <c r="BL176" s="1607"/>
    </row>
    <row r="177">
      <c r="A177" s="1607"/>
      <c r="B177" s="1607"/>
      <c r="C177" s="1607"/>
      <c r="D177" s="1607"/>
      <c r="E177" s="1607"/>
      <c r="F177" s="1607"/>
      <c r="G177" s="1607"/>
      <c r="H177" s="1607"/>
      <c r="I177" s="1607"/>
      <c r="J177" s="1607"/>
      <c r="K177" s="1607"/>
      <c r="L177" s="1607"/>
      <c r="M177" s="1607"/>
      <c r="N177" s="1607"/>
      <c r="O177" s="1607"/>
      <c r="P177" s="1607"/>
      <c r="Q177" s="1607"/>
      <c r="R177" s="1607"/>
      <c r="S177" s="1607"/>
      <c r="T177" s="1607"/>
      <c r="U177" s="1607"/>
      <c r="V177" s="1607"/>
      <c r="W177" s="1607"/>
      <c r="X177" s="1607"/>
      <c r="Y177" s="1607"/>
      <c r="Z177" s="1607"/>
      <c r="AA177" s="1607"/>
      <c r="AB177" s="1607"/>
      <c r="AC177" s="1607"/>
      <c r="AD177" s="1607"/>
      <c r="AE177" s="1607"/>
      <c r="AF177" s="1607"/>
      <c r="AG177" s="1607"/>
      <c r="AH177" s="1607"/>
      <c r="AI177" s="1607"/>
      <c r="AJ177" s="1607"/>
      <c r="AK177" s="1607"/>
      <c r="AL177" s="1607"/>
      <c r="AM177" s="1607"/>
      <c r="AN177" s="1607"/>
      <c r="AO177" s="1607"/>
      <c r="AP177" s="1607"/>
      <c r="AQ177" s="1607"/>
      <c r="AR177" s="1607"/>
      <c r="AS177" s="1607"/>
      <c r="AT177" s="1607"/>
      <c r="AU177" s="1607"/>
      <c r="AV177" s="1607"/>
      <c r="AW177" s="1607"/>
      <c r="AX177" s="1607"/>
      <c r="AY177" s="1607"/>
      <c r="AZ177" s="1607"/>
      <c r="BA177" s="1607"/>
      <c r="BB177" s="1607"/>
      <c r="BC177" s="1607"/>
      <c r="BD177" s="1607"/>
      <c r="BE177" s="1607"/>
      <c r="BF177" s="1607"/>
      <c r="BG177" s="1607"/>
      <c r="BH177" s="1607"/>
      <c r="BI177" s="1607"/>
      <c r="BJ177" s="1607"/>
      <c r="BK177" s="1607"/>
      <c r="BL177" s="1607"/>
    </row>
    <row r="178">
      <c r="A178" s="1607"/>
      <c r="B178" s="1607"/>
      <c r="C178" s="1607"/>
      <c r="D178" s="1607"/>
      <c r="E178" s="1607"/>
      <c r="F178" s="1607"/>
      <c r="G178" s="1607"/>
      <c r="H178" s="1607"/>
      <c r="I178" s="1607"/>
      <c r="J178" s="1607"/>
      <c r="K178" s="1607"/>
      <c r="L178" s="1607"/>
      <c r="M178" s="1607"/>
      <c r="N178" s="1607"/>
      <c r="O178" s="1607"/>
      <c r="P178" s="1607"/>
      <c r="Q178" s="1607"/>
      <c r="R178" s="1607"/>
      <c r="S178" s="1607"/>
      <c r="T178" s="1607"/>
      <c r="U178" s="1607"/>
      <c r="V178" s="1607"/>
      <c r="W178" s="1607"/>
      <c r="X178" s="1607"/>
      <c r="Y178" s="1607"/>
      <c r="Z178" s="1607"/>
      <c r="AA178" s="1607"/>
      <c r="AB178" s="1607"/>
      <c r="AC178" s="1607"/>
      <c r="AD178" s="1607"/>
      <c r="AE178" s="1607"/>
      <c r="AF178" s="1607"/>
      <c r="AG178" s="1607"/>
      <c r="AH178" s="1607"/>
      <c r="AI178" s="1607"/>
      <c r="AJ178" s="1607"/>
      <c r="AK178" s="1607"/>
      <c r="AL178" s="1607"/>
      <c r="AM178" s="1607"/>
      <c r="AN178" s="1607"/>
      <c r="AO178" s="1607"/>
      <c r="AP178" s="1607"/>
      <c r="AQ178" s="1607"/>
      <c r="AR178" s="1607"/>
      <c r="AS178" s="1607"/>
      <c r="AT178" s="1607"/>
      <c r="AU178" s="1607"/>
      <c r="AV178" s="1607"/>
      <c r="AW178" s="1607"/>
      <c r="AX178" s="1607"/>
      <c r="AY178" s="1607"/>
      <c r="AZ178" s="1607"/>
      <c r="BA178" s="1607"/>
      <c r="BB178" s="1607"/>
      <c r="BC178" s="1607"/>
      <c r="BD178" s="1607"/>
      <c r="BE178" s="1607"/>
      <c r="BF178" s="1607"/>
      <c r="BG178" s="1607"/>
      <c r="BH178" s="1607"/>
      <c r="BI178" s="1607"/>
      <c r="BJ178" s="1607"/>
      <c r="BK178" s="1607"/>
      <c r="BL178" s="1607"/>
    </row>
    <row r="179">
      <c r="A179" s="1607"/>
      <c r="B179" s="1607"/>
      <c r="C179" s="1607"/>
      <c r="D179" s="1607"/>
      <c r="E179" s="1607"/>
      <c r="F179" s="1607"/>
      <c r="G179" s="1607"/>
      <c r="H179" s="1607"/>
      <c r="I179" s="1607"/>
      <c r="J179" s="1607"/>
      <c r="K179" s="1607"/>
      <c r="L179" s="1607"/>
      <c r="M179" s="1607"/>
      <c r="N179" s="1607"/>
      <c r="O179" s="1607"/>
      <c r="P179" s="1607"/>
      <c r="Q179" s="1607"/>
      <c r="R179" s="1607"/>
      <c r="S179" s="1607"/>
      <c r="T179" s="1607"/>
      <c r="U179" s="1607"/>
      <c r="V179" s="1607"/>
      <c r="W179" s="1607"/>
      <c r="X179" s="1607"/>
      <c r="Y179" s="1607"/>
      <c r="Z179" s="1607"/>
      <c r="AA179" s="1607"/>
      <c r="AB179" s="1607"/>
      <c r="AC179" s="1607"/>
      <c r="AD179" s="1607"/>
      <c r="AE179" s="1607"/>
      <c r="AF179" s="1607"/>
      <c r="AG179" s="1607"/>
      <c r="AH179" s="1607"/>
      <c r="AI179" s="1607"/>
      <c r="AJ179" s="1607"/>
      <c r="AK179" s="1607"/>
      <c r="AL179" s="1607"/>
      <c r="AM179" s="1607"/>
      <c r="AN179" s="1607"/>
      <c r="AO179" s="1607"/>
      <c r="AP179" s="1607"/>
      <c r="AQ179" s="1607"/>
      <c r="AR179" s="1607"/>
      <c r="AS179" s="1607"/>
      <c r="AT179" s="1607"/>
      <c r="AU179" s="1607"/>
      <c r="AV179" s="1607"/>
      <c r="AW179" s="1607"/>
      <c r="AX179" s="1607"/>
      <c r="AY179" s="1607"/>
      <c r="AZ179" s="1607"/>
      <c r="BA179" s="1607"/>
      <c r="BB179" s="1607"/>
      <c r="BC179" s="1607"/>
      <c r="BD179" s="1607"/>
      <c r="BE179" s="1607"/>
      <c r="BF179" s="1607"/>
      <c r="BG179" s="1607"/>
      <c r="BH179" s="1607"/>
      <c r="BI179" s="1607"/>
      <c r="BJ179" s="1607"/>
      <c r="BK179" s="1607"/>
      <c r="BL179" s="1607"/>
    </row>
    <row r="180">
      <c r="A180" s="1607"/>
      <c r="B180" s="1607"/>
      <c r="C180" s="1607"/>
      <c r="D180" s="1607"/>
      <c r="E180" s="1607"/>
      <c r="F180" s="1607"/>
      <c r="G180" s="1607"/>
      <c r="H180" s="1607"/>
      <c r="I180" s="1607"/>
      <c r="J180" s="1607"/>
      <c r="K180" s="1607"/>
      <c r="L180" s="1607"/>
      <c r="M180" s="1607"/>
      <c r="N180" s="1607"/>
      <c r="O180" s="1607"/>
      <c r="P180" s="1607"/>
      <c r="Q180" s="1607"/>
      <c r="R180" s="1607"/>
      <c r="S180" s="1607"/>
      <c r="T180" s="1607"/>
      <c r="U180" s="1607"/>
      <c r="V180" s="1607"/>
      <c r="W180" s="1607"/>
      <c r="X180" s="1607"/>
      <c r="Y180" s="1607"/>
      <c r="Z180" s="1607"/>
      <c r="AA180" s="1607"/>
      <c r="AB180" s="1607"/>
      <c r="AC180" s="1607"/>
      <c r="AD180" s="1607"/>
      <c r="AE180" s="1607"/>
      <c r="AF180" s="1607"/>
      <c r="AG180" s="1607"/>
      <c r="AH180" s="1607"/>
      <c r="AI180" s="1607"/>
      <c r="AJ180" s="1607"/>
      <c r="AK180" s="1607"/>
      <c r="AL180" s="1607"/>
      <c r="AM180" s="1607"/>
      <c r="AN180" s="1607"/>
      <c r="AO180" s="1607"/>
      <c r="AP180" s="1607"/>
      <c r="AQ180" s="1607"/>
      <c r="AR180" s="1607"/>
      <c r="AS180" s="1607"/>
      <c r="AT180" s="1607"/>
      <c r="AU180" s="1607"/>
      <c r="AV180" s="1607"/>
      <c r="AW180" s="1607"/>
      <c r="AX180" s="1607"/>
      <c r="AY180" s="1607"/>
      <c r="AZ180" s="1607"/>
      <c r="BA180" s="1607"/>
      <c r="BB180" s="1607"/>
      <c r="BC180" s="1607"/>
      <c r="BD180" s="1607"/>
      <c r="BE180" s="1607"/>
      <c r="BF180" s="1607"/>
      <c r="BG180" s="1607"/>
      <c r="BH180" s="1607"/>
      <c r="BI180" s="1607"/>
      <c r="BJ180" s="1607"/>
      <c r="BK180" s="1607"/>
      <c r="BL180" s="1607"/>
    </row>
    <row r="181">
      <c r="A181" s="1607"/>
      <c r="B181" s="1607"/>
      <c r="C181" s="1607"/>
      <c r="D181" s="1607"/>
      <c r="E181" s="1607"/>
      <c r="F181" s="1607"/>
      <c r="G181" s="1607"/>
      <c r="H181" s="1607"/>
      <c r="I181" s="1607"/>
      <c r="J181" s="1607"/>
      <c r="K181" s="1607"/>
      <c r="L181" s="1607"/>
      <c r="M181" s="1607"/>
      <c r="N181" s="1607"/>
      <c r="O181" s="1607"/>
      <c r="P181" s="1607"/>
      <c r="Q181" s="1607"/>
      <c r="R181" s="1607"/>
      <c r="S181" s="1607"/>
      <c r="T181" s="1607"/>
      <c r="U181" s="1607"/>
      <c r="V181" s="1607"/>
      <c r="W181" s="1607"/>
      <c r="X181" s="1607"/>
      <c r="Y181" s="1607"/>
      <c r="Z181" s="1607"/>
      <c r="AA181" s="1607"/>
      <c r="AB181" s="1607"/>
      <c r="AC181" s="1607"/>
      <c r="AD181" s="1607"/>
      <c r="AE181" s="1607"/>
      <c r="AF181" s="1607"/>
      <c r="AG181" s="1607"/>
      <c r="AH181" s="1607"/>
      <c r="AI181" s="1607"/>
      <c r="AJ181" s="1607"/>
      <c r="AK181" s="1607"/>
      <c r="AL181" s="1607"/>
      <c r="AM181" s="1607"/>
      <c r="AN181" s="1607"/>
      <c r="AO181" s="1607"/>
      <c r="AP181" s="1607"/>
      <c r="AQ181" s="1607"/>
      <c r="AR181" s="1607"/>
      <c r="AS181" s="1607"/>
      <c r="AT181" s="1607"/>
      <c r="AU181" s="1607"/>
      <c r="AV181" s="1607"/>
      <c r="AW181" s="1607"/>
      <c r="AX181" s="1607"/>
      <c r="AY181" s="1607"/>
      <c r="AZ181" s="1607"/>
      <c r="BA181" s="1607"/>
      <c r="BB181" s="1607"/>
      <c r="BC181" s="1607"/>
      <c r="BD181" s="1607"/>
      <c r="BE181" s="1607"/>
      <c r="BF181" s="1607"/>
      <c r="BG181" s="1607"/>
      <c r="BH181" s="1607"/>
      <c r="BI181" s="1607"/>
      <c r="BJ181" s="1607"/>
      <c r="BK181" s="1607"/>
      <c r="BL181" s="1607"/>
    </row>
    <row r="182">
      <c r="A182" s="1607"/>
      <c r="B182" s="1607"/>
      <c r="C182" s="1607"/>
      <c r="D182" s="1607"/>
      <c r="E182" s="1607"/>
      <c r="F182" s="1607"/>
      <c r="G182" s="1607"/>
      <c r="H182" s="1607"/>
      <c r="I182" s="1607"/>
      <c r="J182" s="1607"/>
      <c r="K182" s="1607"/>
      <c r="L182" s="1607"/>
      <c r="M182" s="1607"/>
      <c r="N182" s="1607"/>
      <c r="O182" s="1607"/>
      <c r="P182" s="1607"/>
      <c r="Q182" s="1607"/>
      <c r="R182" s="1607"/>
      <c r="S182" s="1607"/>
      <c r="T182" s="1607"/>
      <c r="U182" s="1607"/>
      <c r="V182" s="1607"/>
      <c r="W182" s="1607"/>
      <c r="X182" s="1607"/>
      <c r="Y182" s="1607"/>
      <c r="Z182" s="1607"/>
      <c r="AA182" s="1607"/>
      <c r="AB182" s="1607"/>
      <c r="AC182" s="1607"/>
      <c r="AD182" s="1607"/>
      <c r="AE182" s="1607"/>
      <c r="AF182" s="1607"/>
      <c r="AG182" s="1607"/>
      <c r="AH182" s="1607"/>
      <c r="AI182" s="1607"/>
      <c r="AJ182" s="1607"/>
      <c r="AK182" s="1607"/>
      <c r="AL182" s="1607"/>
      <c r="AM182" s="1607"/>
      <c r="AN182" s="1607"/>
      <c r="AO182" s="1607"/>
      <c r="AP182" s="1607"/>
      <c r="AQ182" s="1607"/>
      <c r="AR182" s="1607"/>
      <c r="AS182" s="1607"/>
      <c r="AT182" s="1607"/>
      <c r="AU182" s="1607"/>
      <c r="AV182" s="1607"/>
      <c r="AW182" s="1607"/>
      <c r="AX182" s="1607"/>
      <c r="AY182" s="1607"/>
      <c r="AZ182" s="1607"/>
      <c r="BA182" s="1607"/>
      <c r="BB182" s="1607"/>
      <c r="BC182" s="1607"/>
      <c r="BD182" s="1607"/>
      <c r="BE182" s="1607"/>
      <c r="BF182" s="1607"/>
      <c r="BG182" s="1607"/>
      <c r="BH182" s="1607"/>
      <c r="BI182" s="1607"/>
      <c r="BJ182" s="1607"/>
      <c r="BK182" s="1607"/>
      <c r="BL182" s="1607"/>
    </row>
    <row r="183">
      <c r="A183" s="1607"/>
      <c r="B183" s="1607"/>
      <c r="C183" s="1607"/>
      <c r="D183" s="1607"/>
      <c r="E183" s="1607"/>
      <c r="F183" s="1607"/>
      <c r="G183" s="1607"/>
      <c r="H183" s="1607"/>
      <c r="I183" s="1607"/>
      <c r="J183" s="1607"/>
      <c r="K183" s="1607"/>
      <c r="L183" s="1607"/>
      <c r="M183" s="1607"/>
      <c r="N183" s="1607"/>
      <c r="O183" s="1607"/>
      <c r="P183" s="1607"/>
      <c r="Q183" s="1607"/>
      <c r="R183" s="1607"/>
      <c r="S183" s="1607"/>
      <c r="T183" s="1607"/>
      <c r="U183" s="1607"/>
      <c r="V183" s="1607"/>
      <c r="W183" s="1607"/>
      <c r="X183" s="1607"/>
      <c r="Y183" s="1607"/>
      <c r="Z183" s="1607"/>
      <c r="AA183" s="1607"/>
      <c r="AB183" s="1607"/>
      <c r="AC183" s="1607"/>
      <c r="AD183" s="1607"/>
      <c r="AE183" s="1607"/>
      <c r="AF183" s="1607"/>
      <c r="AG183" s="1607"/>
      <c r="AH183" s="1607"/>
      <c r="AI183" s="1607"/>
      <c r="AJ183" s="1607"/>
      <c r="AK183" s="1607"/>
      <c r="AL183" s="1607"/>
      <c r="AM183" s="1607"/>
      <c r="AN183" s="1607"/>
      <c r="AO183" s="1607"/>
      <c r="AP183" s="1607"/>
      <c r="AQ183" s="1607"/>
      <c r="AR183" s="1607"/>
      <c r="AS183" s="1607"/>
      <c r="AT183" s="1607"/>
      <c r="AU183" s="1607"/>
      <c r="AV183" s="1607"/>
      <c r="AW183" s="1607"/>
      <c r="AX183" s="1607"/>
      <c r="AY183" s="1607"/>
      <c r="AZ183" s="1607"/>
      <c r="BA183" s="1607"/>
      <c r="BB183" s="1607"/>
      <c r="BC183" s="1607"/>
      <c r="BD183" s="1607"/>
      <c r="BE183" s="1607"/>
      <c r="BF183" s="1607"/>
      <c r="BG183" s="1607"/>
      <c r="BH183" s="1607"/>
      <c r="BI183" s="1607"/>
      <c r="BJ183" s="1607"/>
      <c r="BK183" s="1607"/>
      <c r="BL183" s="1607"/>
    </row>
    <row r="184">
      <c r="A184" s="1607"/>
      <c r="B184" s="1607"/>
      <c r="C184" s="1607"/>
      <c r="D184" s="1607"/>
      <c r="E184" s="1607"/>
      <c r="F184" s="1607"/>
      <c r="G184" s="1607"/>
      <c r="H184" s="1607"/>
      <c r="I184" s="1607"/>
      <c r="J184" s="1607"/>
      <c r="K184" s="1607"/>
      <c r="L184" s="1607"/>
      <c r="M184" s="1607"/>
      <c r="N184" s="1607"/>
      <c r="O184" s="1607"/>
      <c r="P184" s="1607"/>
      <c r="Q184" s="1607"/>
      <c r="R184" s="1607"/>
      <c r="S184" s="1607"/>
      <c r="T184" s="1607"/>
      <c r="U184" s="1607"/>
      <c r="V184" s="1607"/>
      <c r="W184" s="1607"/>
      <c r="X184" s="1607"/>
      <c r="Y184" s="1607"/>
      <c r="Z184" s="1607"/>
      <c r="AA184" s="1607"/>
      <c r="AB184" s="1607"/>
      <c r="AC184" s="1607"/>
      <c r="AD184" s="1607"/>
      <c r="AE184" s="1607"/>
      <c r="AF184" s="1607"/>
      <c r="AG184" s="1607"/>
      <c r="AH184" s="1607"/>
      <c r="AI184" s="1607"/>
      <c r="AJ184" s="1607"/>
      <c r="AK184" s="1607"/>
      <c r="AL184" s="1607"/>
      <c r="AM184" s="1607"/>
      <c r="AN184" s="1607"/>
      <c r="AO184" s="1607"/>
      <c r="AP184" s="1607"/>
      <c r="AQ184" s="1607"/>
      <c r="AR184" s="1607"/>
      <c r="AS184" s="1607"/>
      <c r="AT184" s="1607"/>
      <c r="AU184" s="1607"/>
      <c r="AV184" s="1607"/>
      <c r="AW184" s="1607"/>
      <c r="AX184" s="1607"/>
      <c r="AY184" s="1607"/>
      <c r="AZ184" s="1607"/>
      <c r="BA184" s="1607"/>
      <c r="BB184" s="1607"/>
      <c r="BC184" s="1607"/>
      <c r="BD184" s="1607"/>
      <c r="BE184" s="1607"/>
      <c r="BF184" s="1607"/>
      <c r="BG184" s="1607"/>
      <c r="BH184" s="1607"/>
      <c r="BI184" s="1607"/>
      <c r="BJ184" s="1607"/>
      <c r="BK184" s="1607"/>
      <c r="BL184" s="1607"/>
    </row>
    <row r="185">
      <c r="A185" s="1607"/>
      <c r="B185" s="1607"/>
      <c r="C185" s="1607"/>
      <c r="D185" s="1607"/>
      <c r="E185" s="1607"/>
      <c r="F185" s="1607"/>
      <c r="G185" s="1607"/>
      <c r="H185" s="1607"/>
      <c r="I185" s="1607"/>
      <c r="J185" s="1607"/>
      <c r="K185" s="1607"/>
      <c r="L185" s="1607"/>
      <c r="M185" s="1607"/>
      <c r="N185" s="1607"/>
      <c r="O185" s="1607"/>
      <c r="P185" s="1607"/>
      <c r="Q185" s="1607"/>
      <c r="R185" s="1607"/>
      <c r="S185" s="1607"/>
      <c r="T185" s="1607"/>
      <c r="U185" s="1607"/>
      <c r="V185" s="1607"/>
      <c r="W185" s="1607"/>
      <c r="X185" s="1607"/>
      <c r="Y185" s="1607"/>
      <c r="Z185" s="1607"/>
      <c r="AA185" s="1607"/>
      <c r="AB185" s="1607"/>
      <c r="AC185" s="1607"/>
      <c r="AD185" s="1607"/>
      <c r="AE185" s="1607"/>
      <c r="AF185" s="1607"/>
      <c r="AG185" s="1607"/>
      <c r="AH185" s="1607"/>
      <c r="AI185" s="1607"/>
      <c r="AJ185" s="1607"/>
      <c r="AK185" s="1607"/>
      <c r="AL185" s="1607"/>
      <c r="AM185" s="1607"/>
      <c r="AN185" s="1607"/>
      <c r="AO185" s="1607"/>
      <c r="AP185" s="1607"/>
      <c r="AQ185" s="1607"/>
      <c r="AR185" s="1607"/>
      <c r="AS185" s="1607"/>
      <c r="AT185" s="1607"/>
      <c r="AU185" s="1607"/>
      <c r="AV185" s="1607"/>
      <c r="AW185" s="1607"/>
      <c r="AX185" s="1607"/>
      <c r="AY185" s="1607"/>
      <c r="AZ185" s="1607"/>
      <c r="BA185" s="1607"/>
      <c r="BB185" s="1607"/>
      <c r="BC185" s="1607"/>
      <c r="BD185" s="1607"/>
      <c r="BE185" s="1607"/>
      <c r="BF185" s="1607"/>
      <c r="BG185" s="1607"/>
      <c r="BH185" s="1607"/>
      <c r="BI185" s="1607"/>
      <c r="BJ185" s="1607"/>
      <c r="BK185" s="1607"/>
      <c r="BL185" s="1607"/>
    </row>
    <row r="186">
      <c r="A186" s="1607"/>
      <c r="B186" s="1607"/>
      <c r="C186" s="1607"/>
      <c r="D186" s="1607"/>
      <c r="E186" s="1607"/>
      <c r="F186" s="1607"/>
      <c r="G186" s="1607"/>
      <c r="H186" s="1607"/>
      <c r="I186" s="1607"/>
      <c r="J186" s="1607"/>
      <c r="K186" s="1607"/>
      <c r="L186" s="1607"/>
      <c r="M186" s="1607"/>
      <c r="N186" s="1607"/>
      <c r="O186" s="1607"/>
      <c r="P186" s="1607"/>
      <c r="Q186" s="1607"/>
      <c r="R186" s="1607"/>
      <c r="S186" s="1607"/>
      <c r="T186" s="1607"/>
      <c r="U186" s="1607"/>
      <c r="V186" s="1607"/>
      <c r="W186" s="1607"/>
      <c r="X186" s="1607"/>
      <c r="Y186" s="1607"/>
      <c r="Z186" s="1607"/>
      <c r="AA186" s="1607"/>
      <c r="AB186" s="1607"/>
      <c r="AC186" s="1607"/>
      <c r="AD186" s="1607"/>
      <c r="AE186" s="1607"/>
      <c r="AF186" s="1607"/>
      <c r="AG186" s="1607"/>
      <c r="AH186" s="1607"/>
      <c r="AI186" s="1607"/>
      <c r="AJ186" s="1607"/>
      <c r="AK186" s="1607"/>
      <c r="AL186" s="1607"/>
      <c r="AM186" s="1607"/>
      <c r="AN186" s="1607"/>
      <c r="AO186" s="1607"/>
      <c r="AP186" s="1607"/>
      <c r="AQ186" s="1607"/>
      <c r="AR186" s="1607"/>
      <c r="AS186" s="1607"/>
      <c r="AT186" s="1607"/>
      <c r="AU186" s="1607"/>
      <c r="AV186" s="1607"/>
      <c r="AW186" s="1607"/>
      <c r="AX186" s="1607"/>
      <c r="AY186" s="1607"/>
      <c r="AZ186" s="1607"/>
      <c r="BA186" s="1607"/>
      <c r="BB186" s="1607"/>
      <c r="BC186" s="1607"/>
      <c r="BD186" s="1607"/>
      <c r="BE186" s="1607"/>
      <c r="BF186" s="1607"/>
      <c r="BG186" s="1607"/>
      <c r="BH186" s="1607"/>
      <c r="BI186" s="1607"/>
      <c r="BJ186" s="1607"/>
      <c r="BK186" s="1607"/>
      <c r="BL186" s="1607"/>
    </row>
    <row r="187">
      <c r="A187" s="1607"/>
      <c r="B187" s="1607"/>
      <c r="C187" s="1607"/>
      <c r="D187" s="1607"/>
      <c r="E187" s="1607"/>
      <c r="F187" s="1607"/>
      <c r="G187" s="1607"/>
      <c r="H187" s="1607"/>
      <c r="I187" s="1607"/>
      <c r="J187" s="1607"/>
      <c r="K187" s="1607"/>
      <c r="L187" s="1607"/>
      <c r="M187" s="1607"/>
      <c r="N187" s="1607"/>
      <c r="O187" s="1607"/>
      <c r="P187" s="1607"/>
      <c r="Q187" s="1607"/>
      <c r="R187" s="1607"/>
      <c r="S187" s="1607"/>
      <c r="T187" s="1607"/>
      <c r="U187" s="1607"/>
      <c r="V187" s="1607"/>
      <c r="W187" s="1607"/>
      <c r="X187" s="1607"/>
      <c r="Y187" s="1607"/>
      <c r="Z187" s="1607"/>
      <c r="AA187" s="1607"/>
      <c r="AB187" s="1607"/>
      <c r="AC187" s="1607"/>
      <c r="AD187" s="1607"/>
      <c r="AE187" s="1607"/>
      <c r="AF187" s="1607"/>
      <c r="AG187" s="1607"/>
      <c r="AH187" s="1607"/>
      <c r="AI187" s="1607"/>
      <c r="AJ187" s="1607"/>
      <c r="AK187" s="1607"/>
      <c r="AL187" s="1607"/>
      <c r="AM187" s="1607"/>
      <c r="AN187" s="1607"/>
      <c r="AO187" s="1607"/>
      <c r="AP187" s="1607"/>
      <c r="AQ187" s="1607"/>
      <c r="AR187" s="1607"/>
      <c r="AS187" s="1607"/>
      <c r="AT187" s="1607"/>
      <c r="AU187" s="1607"/>
      <c r="AV187" s="1607"/>
      <c r="AW187" s="1607"/>
      <c r="AX187" s="1607"/>
      <c r="AY187" s="1607"/>
      <c r="AZ187" s="1607"/>
      <c r="BA187" s="1607"/>
      <c r="BB187" s="1607"/>
      <c r="BC187" s="1607"/>
      <c r="BD187" s="1607"/>
      <c r="BE187" s="1607"/>
      <c r="BF187" s="1607"/>
      <c r="BG187" s="1607"/>
      <c r="BH187" s="1607"/>
      <c r="BI187" s="1607"/>
      <c r="BJ187" s="1607"/>
      <c r="BK187" s="1607"/>
      <c r="BL187" s="1607"/>
    </row>
    <row r="188">
      <c r="A188" s="1607"/>
      <c r="B188" s="1607"/>
      <c r="C188" s="1607"/>
      <c r="D188" s="1607"/>
      <c r="E188" s="1607"/>
      <c r="F188" s="1607"/>
      <c r="G188" s="1607"/>
      <c r="H188" s="1607"/>
      <c r="I188" s="1607"/>
      <c r="J188" s="1607"/>
      <c r="K188" s="1607"/>
      <c r="L188" s="1607"/>
      <c r="M188" s="1607"/>
      <c r="N188" s="1607"/>
      <c r="O188" s="1607"/>
      <c r="P188" s="1607"/>
      <c r="Q188" s="1607"/>
      <c r="R188" s="1607"/>
      <c r="S188" s="1607"/>
      <c r="T188" s="1607"/>
      <c r="U188" s="1607"/>
      <c r="V188" s="1607"/>
      <c r="W188" s="1607"/>
      <c r="X188" s="1607"/>
      <c r="Y188" s="1607"/>
      <c r="Z188" s="1607"/>
      <c r="AA188" s="1607"/>
      <c r="AB188" s="1607"/>
      <c r="AC188" s="1607"/>
      <c r="AD188" s="1607"/>
      <c r="AE188" s="1607"/>
      <c r="AF188" s="1607"/>
      <c r="AG188" s="1607"/>
      <c r="AH188" s="1607"/>
      <c r="AI188" s="1607"/>
      <c r="AJ188" s="1607"/>
      <c r="AK188" s="1607"/>
      <c r="AL188" s="1607"/>
      <c r="AM188" s="1607"/>
      <c r="AN188" s="1607"/>
      <c r="AO188" s="1607"/>
      <c r="AP188" s="1607"/>
      <c r="AQ188" s="1607"/>
      <c r="AR188" s="1607"/>
      <c r="AS188" s="1607"/>
      <c r="AT188" s="1607"/>
      <c r="AU188" s="1607"/>
      <c r="AV188" s="1607"/>
      <c r="AW188" s="1607"/>
      <c r="AX188" s="1607"/>
      <c r="AY188" s="1607"/>
      <c r="AZ188" s="1607"/>
      <c r="BA188" s="1607"/>
      <c r="BB188" s="1607"/>
      <c r="BC188" s="1607"/>
      <c r="BD188" s="1607"/>
      <c r="BE188" s="1607"/>
      <c r="BF188" s="1607"/>
      <c r="BG188" s="1607"/>
      <c r="BH188" s="1607"/>
      <c r="BI188" s="1607"/>
      <c r="BJ188" s="1607"/>
      <c r="BK188" s="1607"/>
      <c r="BL188" s="1607"/>
    </row>
    <row r="189">
      <c r="A189" s="1607"/>
      <c r="B189" s="1607"/>
      <c r="C189" s="1607"/>
      <c r="D189" s="1607"/>
      <c r="E189" s="1607"/>
      <c r="F189" s="1607"/>
      <c r="G189" s="1607"/>
      <c r="H189" s="1607"/>
      <c r="I189" s="1607"/>
      <c r="J189" s="1607"/>
      <c r="K189" s="1607"/>
      <c r="L189" s="1607"/>
      <c r="M189" s="1607"/>
      <c r="N189" s="1607"/>
      <c r="O189" s="1607"/>
      <c r="P189" s="1607"/>
      <c r="Q189" s="1607"/>
      <c r="R189" s="1607"/>
      <c r="S189" s="1607"/>
      <c r="T189" s="1607"/>
      <c r="U189" s="1607"/>
      <c r="V189" s="1607"/>
      <c r="W189" s="1607"/>
      <c r="X189" s="1607"/>
      <c r="Y189" s="1607"/>
      <c r="Z189" s="1607"/>
      <c r="AA189" s="1607"/>
      <c r="AB189" s="1607"/>
      <c r="AC189" s="1607"/>
      <c r="AD189" s="1607"/>
      <c r="AE189" s="1607"/>
      <c r="AF189" s="1607"/>
      <c r="AG189" s="1607"/>
      <c r="AH189" s="1607"/>
      <c r="AI189" s="1607"/>
      <c r="AJ189" s="1607"/>
      <c r="AK189" s="1607"/>
      <c r="AL189" s="1607"/>
      <c r="AM189" s="1607"/>
      <c r="AN189" s="1607"/>
      <c r="AO189" s="1607"/>
      <c r="AP189" s="1607"/>
      <c r="AQ189" s="1607"/>
      <c r="AR189" s="1607"/>
      <c r="AS189" s="1607"/>
      <c r="AT189" s="1607"/>
      <c r="AU189" s="1607"/>
      <c r="AV189" s="1607"/>
      <c r="AW189" s="1607"/>
      <c r="AX189" s="1607"/>
      <c r="AY189" s="1607"/>
      <c r="AZ189" s="1607"/>
      <c r="BA189" s="1607"/>
      <c r="BB189" s="1607"/>
      <c r="BC189" s="1607"/>
      <c r="BD189" s="1607"/>
      <c r="BE189" s="1607"/>
      <c r="BF189" s="1607"/>
      <c r="BG189" s="1607"/>
      <c r="BH189" s="1607"/>
      <c r="BI189" s="1607"/>
      <c r="BJ189" s="1607"/>
      <c r="BK189" s="1607"/>
      <c r="BL189" s="1607"/>
    </row>
    <row r="190">
      <c r="A190" s="1607"/>
      <c r="B190" s="1607"/>
      <c r="C190" s="1607"/>
      <c r="D190" s="1607"/>
      <c r="E190" s="1607"/>
      <c r="F190" s="1607"/>
      <c r="G190" s="1607"/>
      <c r="H190" s="1607"/>
      <c r="I190" s="1607"/>
      <c r="J190" s="1607"/>
      <c r="K190" s="1607"/>
      <c r="L190" s="1607"/>
      <c r="M190" s="1607"/>
      <c r="N190" s="1607"/>
      <c r="O190" s="1607"/>
      <c r="P190" s="1607"/>
      <c r="Q190" s="1607"/>
      <c r="R190" s="1607"/>
      <c r="S190" s="1607"/>
      <c r="T190" s="1607"/>
      <c r="U190" s="1607"/>
      <c r="V190" s="1607"/>
      <c r="W190" s="1607"/>
      <c r="X190" s="1607"/>
      <c r="Y190" s="1607"/>
      <c r="Z190" s="1607"/>
      <c r="AA190" s="1607"/>
      <c r="AB190" s="1607"/>
      <c r="AC190" s="1607"/>
      <c r="AD190" s="1607"/>
      <c r="AE190" s="1607"/>
      <c r="AF190" s="1607"/>
      <c r="AG190" s="1607"/>
      <c r="AH190" s="1607"/>
      <c r="AI190" s="1607"/>
      <c r="AJ190" s="1607"/>
      <c r="AK190" s="1607"/>
      <c r="AL190" s="1607"/>
      <c r="AM190" s="1607"/>
      <c r="AN190" s="1607"/>
      <c r="AO190" s="1607"/>
      <c r="AP190" s="1607"/>
      <c r="AQ190" s="1607"/>
      <c r="AR190" s="1607"/>
      <c r="AS190" s="1607"/>
      <c r="AT190" s="1607"/>
      <c r="AU190" s="1607"/>
      <c r="AV190" s="1607"/>
      <c r="AW190" s="1607"/>
      <c r="AX190" s="1607"/>
      <c r="AY190" s="1607"/>
      <c r="AZ190" s="1607"/>
      <c r="BA190" s="1607"/>
      <c r="BB190" s="1607"/>
      <c r="BC190" s="1607"/>
      <c r="BD190" s="1607"/>
      <c r="BE190" s="1607"/>
      <c r="BF190" s="1607"/>
      <c r="BG190" s="1607"/>
      <c r="BH190" s="1607"/>
      <c r="BI190" s="1607"/>
      <c r="BJ190" s="1607"/>
      <c r="BK190" s="1607"/>
      <c r="BL190" s="1607"/>
    </row>
    <row r="191">
      <c r="A191" s="1607"/>
      <c r="B191" s="1607"/>
      <c r="C191" s="1607"/>
      <c r="D191" s="1607"/>
      <c r="E191" s="1607"/>
      <c r="F191" s="1607"/>
      <c r="G191" s="1607"/>
      <c r="H191" s="1607"/>
      <c r="I191" s="1607"/>
      <c r="J191" s="1607"/>
      <c r="K191" s="1607"/>
      <c r="L191" s="1607"/>
      <c r="M191" s="1607"/>
      <c r="N191" s="1607"/>
      <c r="O191" s="1607"/>
      <c r="P191" s="1607"/>
      <c r="Q191" s="1607"/>
      <c r="R191" s="1607"/>
      <c r="S191" s="1607"/>
      <c r="T191" s="1607"/>
      <c r="U191" s="1607"/>
      <c r="V191" s="1607"/>
      <c r="W191" s="1607"/>
      <c r="X191" s="1607"/>
      <c r="Y191" s="1607"/>
      <c r="Z191" s="1607"/>
      <c r="AA191" s="1607"/>
      <c r="AB191" s="1607"/>
      <c r="AC191" s="1607"/>
      <c r="AD191" s="1607"/>
      <c r="AE191" s="1607"/>
      <c r="AF191" s="1607"/>
      <c r="AG191" s="1607"/>
      <c r="AH191" s="1607"/>
      <c r="AI191" s="1607"/>
      <c r="AJ191" s="1607"/>
      <c r="AK191" s="1607"/>
      <c r="AL191" s="1607"/>
      <c r="AM191" s="1607"/>
      <c r="AN191" s="1607"/>
      <c r="AO191" s="1607"/>
      <c r="AP191" s="1607"/>
      <c r="AQ191" s="1607"/>
      <c r="AR191" s="1607"/>
      <c r="AS191" s="1607"/>
      <c r="AT191" s="1607"/>
      <c r="AU191" s="1607"/>
      <c r="AV191" s="1607"/>
      <c r="AW191" s="1607"/>
      <c r="AX191" s="1607"/>
      <c r="AY191" s="1607"/>
      <c r="AZ191" s="1607"/>
      <c r="BA191" s="1607"/>
      <c r="BB191" s="1607"/>
      <c r="BC191" s="1607"/>
      <c r="BD191" s="1607"/>
      <c r="BE191" s="1607"/>
      <c r="BF191" s="1607"/>
      <c r="BG191" s="1607"/>
      <c r="BH191" s="1607"/>
      <c r="BI191" s="1607"/>
      <c r="BJ191" s="1607"/>
      <c r="BK191" s="1607"/>
      <c r="BL191" s="1607"/>
    </row>
    <row r="192">
      <c r="A192" s="1607"/>
      <c r="B192" s="1607"/>
      <c r="C192" s="1607"/>
      <c r="D192" s="1607"/>
      <c r="E192" s="1607"/>
      <c r="F192" s="1607"/>
      <c r="G192" s="1607"/>
      <c r="H192" s="1607"/>
      <c r="I192" s="1607"/>
      <c r="J192" s="1607"/>
      <c r="K192" s="1607"/>
      <c r="L192" s="1607"/>
      <c r="M192" s="1607"/>
      <c r="N192" s="1607"/>
      <c r="O192" s="1607"/>
      <c r="P192" s="1607"/>
      <c r="Q192" s="1607"/>
      <c r="R192" s="1607"/>
      <c r="S192" s="1607"/>
      <c r="T192" s="1607"/>
      <c r="U192" s="1607"/>
      <c r="V192" s="1607"/>
      <c r="W192" s="1607"/>
      <c r="X192" s="1607"/>
      <c r="Y192" s="1607"/>
      <c r="Z192" s="1607"/>
      <c r="AA192" s="1607"/>
      <c r="AB192" s="1607"/>
      <c r="AC192" s="1607"/>
      <c r="AD192" s="1607"/>
      <c r="AE192" s="1607"/>
      <c r="AF192" s="1607"/>
      <c r="AG192" s="1607"/>
      <c r="AH192" s="1607"/>
      <c r="AI192" s="1607"/>
      <c r="AJ192" s="1607"/>
      <c r="AK192" s="1607"/>
      <c r="AL192" s="1607"/>
      <c r="AM192" s="1607"/>
      <c r="AN192" s="1607"/>
      <c r="AO192" s="1607"/>
      <c r="AP192" s="1607"/>
      <c r="AQ192" s="1607"/>
      <c r="AR192" s="1607"/>
      <c r="AS192" s="1607"/>
      <c r="AT192" s="1607"/>
      <c r="AU192" s="1607"/>
      <c r="AV192" s="1607"/>
      <c r="AW192" s="1607"/>
      <c r="AX192" s="1607"/>
      <c r="AY192" s="1607"/>
      <c r="AZ192" s="1607"/>
      <c r="BA192" s="1607"/>
      <c r="BB192" s="1607"/>
      <c r="BC192" s="1607"/>
      <c r="BD192" s="1607"/>
      <c r="BE192" s="1607"/>
      <c r="BF192" s="1607"/>
      <c r="BG192" s="1607"/>
      <c r="BH192" s="1607"/>
      <c r="BI192" s="1607"/>
      <c r="BJ192" s="1607"/>
      <c r="BK192" s="1607"/>
      <c r="BL192" s="1607"/>
    </row>
    <row r="193">
      <c r="A193" s="1607"/>
      <c r="B193" s="1607"/>
      <c r="C193" s="1607"/>
      <c r="D193" s="1607"/>
      <c r="E193" s="1607"/>
      <c r="F193" s="1607"/>
      <c r="G193" s="1607"/>
      <c r="H193" s="1607"/>
      <c r="I193" s="1607"/>
      <c r="J193" s="1607"/>
      <c r="K193" s="1607"/>
      <c r="L193" s="1607"/>
      <c r="M193" s="1607"/>
      <c r="N193" s="1607"/>
      <c r="O193" s="1607"/>
      <c r="P193" s="1607"/>
      <c r="Q193" s="1607"/>
      <c r="R193" s="1607"/>
      <c r="S193" s="1607"/>
      <c r="T193" s="1607"/>
      <c r="U193" s="1607"/>
      <c r="V193" s="1607"/>
      <c r="W193" s="1607"/>
      <c r="X193" s="1607"/>
      <c r="Y193" s="1607"/>
      <c r="Z193" s="1607"/>
      <c r="AA193" s="1607"/>
      <c r="AB193" s="1607"/>
      <c r="AC193" s="1607"/>
      <c r="AD193" s="1607"/>
      <c r="AE193" s="1607"/>
      <c r="AF193" s="1607"/>
      <c r="AG193" s="1607"/>
      <c r="AH193" s="1607"/>
      <c r="AI193" s="1607"/>
      <c r="AJ193" s="1607"/>
      <c r="AK193" s="1607"/>
      <c r="AL193" s="1607"/>
      <c r="AM193" s="1607"/>
      <c r="AN193" s="1607"/>
      <c r="AO193" s="1607"/>
      <c r="AP193" s="1607"/>
      <c r="AQ193" s="1607"/>
      <c r="AR193" s="1607"/>
      <c r="AS193" s="1607"/>
      <c r="AT193" s="1607"/>
      <c r="AU193" s="1607"/>
      <c r="AV193" s="1607"/>
      <c r="AW193" s="1607"/>
      <c r="AX193" s="1607"/>
      <c r="AY193" s="1607"/>
      <c r="AZ193" s="1607"/>
      <c r="BA193" s="1607"/>
      <c r="BB193" s="1607"/>
      <c r="BC193" s="1607"/>
      <c r="BD193" s="1607"/>
      <c r="BE193" s="1607"/>
      <c r="BF193" s="1607"/>
      <c r="BG193" s="1607"/>
      <c r="BH193" s="1607"/>
      <c r="BI193" s="1607"/>
      <c r="BJ193" s="1607"/>
      <c r="BK193" s="1607"/>
      <c r="BL193" s="1607"/>
    </row>
    <row r="194">
      <c r="A194" s="1607"/>
      <c r="B194" s="1607"/>
      <c r="C194" s="1607"/>
      <c r="D194" s="1607"/>
      <c r="E194" s="1607"/>
      <c r="F194" s="1607"/>
      <c r="G194" s="1607"/>
      <c r="H194" s="1607"/>
      <c r="I194" s="1607"/>
      <c r="J194" s="1607"/>
      <c r="K194" s="1607"/>
      <c r="L194" s="1607"/>
      <c r="M194" s="1607"/>
      <c r="N194" s="1607"/>
      <c r="O194" s="1607"/>
      <c r="P194" s="1607"/>
      <c r="Q194" s="1607"/>
      <c r="R194" s="1607"/>
      <c r="S194" s="1607"/>
      <c r="T194" s="1607"/>
      <c r="U194" s="1607"/>
      <c r="V194" s="1607"/>
      <c r="W194" s="1607"/>
      <c r="X194" s="1607"/>
      <c r="Y194" s="1607"/>
      <c r="Z194" s="1607"/>
      <c r="AA194" s="1607"/>
      <c r="AB194" s="1607"/>
      <c r="AC194" s="1607"/>
      <c r="AD194" s="1607"/>
      <c r="AE194" s="1607"/>
      <c r="AF194" s="1607"/>
      <c r="AG194" s="1607"/>
      <c r="AH194" s="1607"/>
      <c r="AI194" s="1607"/>
      <c r="AJ194" s="1607"/>
      <c r="AK194" s="1607"/>
      <c r="AL194" s="1607"/>
      <c r="AM194" s="1607"/>
      <c r="AN194" s="1607"/>
      <c r="AO194" s="1607"/>
      <c r="AP194" s="1607"/>
      <c r="AQ194" s="1607"/>
      <c r="AR194" s="1607"/>
      <c r="AS194" s="1607"/>
      <c r="AT194" s="1607"/>
      <c r="AU194" s="1607"/>
      <c r="AV194" s="1607"/>
      <c r="AW194" s="1607"/>
      <c r="AX194" s="1607"/>
      <c r="AY194" s="1607"/>
      <c r="AZ194" s="1607"/>
      <c r="BA194" s="1607"/>
      <c r="BB194" s="1607"/>
      <c r="BC194" s="1607"/>
      <c r="BD194" s="1607"/>
      <c r="BE194" s="1607"/>
      <c r="BF194" s="1607"/>
      <c r="BG194" s="1607"/>
      <c r="BH194" s="1607"/>
      <c r="BI194" s="1607"/>
      <c r="BJ194" s="1607"/>
      <c r="BK194" s="1607"/>
      <c r="BL194" s="1607"/>
    </row>
    <row r="195">
      <c r="A195" s="1607"/>
      <c r="B195" s="1607"/>
      <c r="C195" s="1607"/>
      <c r="D195" s="1607"/>
      <c r="E195" s="1607"/>
      <c r="F195" s="1607"/>
      <c r="G195" s="1607"/>
      <c r="H195" s="1607"/>
      <c r="I195" s="1607"/>
      <c r="J195" s="1607"/>
      <c r="K195" s="1607"/>
      <c r="L195" s="1607"/>
      <c r="M195" s="1607"/>
      <c r="N195" s="1607"/>
      <c r="O195" s="1607"/>
      <c r="P195" s="1607"/>
      <c r="Q195" s="1607"/>
      <c r="R195" s="1607"/>
      <c r="S195" s="1607"/>
      <c r="T195" s="1607"/>
      <c r="U195" s="1607"/>
      <c r="V195" s="1607"/>
      <c r="W195" s="1607"/>
      <c r="X195" s="1607"/>
      <c r="Y195" s="1607"/>
      <c r="Z195" s="1607"/>
      <c r="AA195" s="1607"/>
      <c r="AB195" s="1607"/>
      <c r="AC195" s="1607"/>
      <c r="AD195" s="1607"/>
      <c r="AE195" s="1607"/>
      <c r="AF195" s="1607"/>
      <c r="AG195" s="1607"/>
      <c r="AH195" s="1607"/>
      <c r="AI195" s="1607"/>
      <c r="AJ195" s="1607"/>
      <c r="AK195" s="1607"/>
      <c r="AL195" s="1607"/>
      <c r="AM195" s="1607"/>
      <c r="AN195" s="1607"/>
      <c r="AO195" s="1607"/>
      <c r="AP195" s="1607"/>
      <c r="AQ195" s="1607"/>
      <c r="AR195" s="1607"/>
      <c r="AS195" s="1607"/>
      <c r="AT195" s="1607"/>
      <c r="AU195" s="1607"/>
      <c r="AV195" s="1607"/>
      <c r="AW195" s="1607"/>
      <c r="AX195" s="1607"/>
      <c r="AY195" s="1607"/>
      <c r="AZ195" s="1607"/>
      <c r="BA195" s="1607"/>
      <c r="BB195" s="1607"/>
      <c r="BC195" s="1607"/>
      <c r="BD195" s="1607"/>
      <c r="BE195" s="1607"/>
      <c r="BF195" s="1607"/>
      <c r="BG195" s="1607"/>
      <c r="BH195" s="1607"/>
      <c r="BI195" s="1607"/>
      <c r="BJ195" s="1607"/>
      <c r="BK195" s="1607"/>
      <c r="BL195" s="1607"/>
    </row>
    <row r="196">
      <c r="A196" s="1607"/>
      <c r="B196" s="1607"/>
      <c r="C196" s="1607"/>
      <c r="D196" s="1607"/>
      <c r="E196" s="1607"/>
      <c r="F196" s="1607"/>
      <c r="G196" s="1607"/>
      <c r="H196" s="1607"/>
      <c r="I196" s="1607"/>
      <c r="J196" s="1607"/>
      <c r="K196" s="1607"/>
      <c r="L196" s="1607"/>
      <c r="M196" s="1607"/>
      <c r="N196" s="1607"/>
      <c r="O196" s="1607"/>
      <c r="P196" s="1607"/>
      <c r="Q196" s="1607"/>
      <c r="R196" s="1607"/>
      <c r="S196" s="1607"/>
      <c r="T196" s="1607"/>
      <c r="U196" s="1607"/>
      <c r="V196" s="1607"/>
      <c r="W196" s="1607"/>
      <c r="X196" s="1607"/>
      <c r="Y196" s="1607"/>
      <c r="Z196" s="1607"/>
      <c r="AA196" s="1607"/>
      <c r="AB196" s="1607"/>
      <c r="AC196" s="1607"/>
      <c r="AD196" s="1607"/>
      <c r="AE196" s="1607"/>
      <c r="AF196" s="1607"/>
      <c r="AG196" s="1607"/>
      <c r="AH196" s="1607"/>
      <c r="AI196" s="1607"/>
      <c r="AJ196" s="1607"/>
      <c r="AK196" s="1607"/>
      <c r="AL196" s="1607"/>
      <c r="AM196" s="1607"/>
      <c r="AN196" s="1607"/>
      <c r="AO196" s="1607"/>
      <c r="AP196" s="1607"/>
      <c r="AQ196" s="1607"/>
      <c r="AR196" s="1607"/>
      <c r="AS196" s="1607"/>
      <c r="AT196" s="1607"/>
      <c r="AU196" s="1607"/>
      <c r="AV196" s="1607"/>
      <c r="AW196" s="1607"/>
      <c r="AX196" s="1607"/>
      <c r="AY196" s="1607"/>
      <c r="AZ196" s="1607"/>
      <c r="BA196" s="1607"/>
      <c r="BB196" s="1607"/>
      <c r="BC196" s="1607"/>
      <c r="BD196" s="1607"/>
      <c r="BE196" s="1607"/>
      <c r="BF196" s="1607"/>
      <c r="BG196" s="1607"/>
      <c r="BH196" s="1607"/>
      <c r="BI196" s="1607"/>
      <c r="BJ196" s="1607"/>
      <c r="BK196" s="1607"/>
      <c r="BL196" s="1607"/>
    </row>
    <row r="197">
      <c r="A197" s="1607"/>
      <c r="B197" s="1607"/>
      <c r="C197" s="1607"/>
      <c r="D197" s="1607"/>
      <c r="E197" s="1607"/>
      <c r="F197" s="1607"/>
      <c r="G197" s="1607"/>
      <c r="H197" s="1607"/>
      <c r="I197" s="1607"/>
      <c r="J197" s="1607"/>
      <c r="K197" s="1607"/>
      <c r="L197" s="1607"/>
      <c r="M197" s="1607"/>
      <c r="N197" s="1607"/>
      <c r="O197" s="1607"/>
      <c r="P197" s="1607"/>
      <c r="Q197" s="1607"/>
      <c r="R197" s="1607"/>
      <c r="S197" s="1607"/>
      <c r="T197" s="1607"/>
      <c r="U197" s="1607"/>
      <c r="V197" s="1607"/>
      <c r="W197" s="1607"/>
      <c r="X197" s="1607"/>
      <c r="Y197" s="1607"/>
      <c r="Z197" s="1607"/>
      <c r="AA197" s="1607"/>
      <c r="AB197" s="1607"/>
      <c r="AC197" s="1607"/>
      <c r="AD197" s="1607"/>
      <c r="AE197" s="1607"/>
      <c r="AF197" s="1607"/>
      <c r="AG197" s="1607"/>
      <c r="AH197" s="1607"/>
      <c r="AI197" s="1607"/>
      <c r="AJ197" s="1607"/>
      <c r="AK197" s="1607"/>
      <c r="AL197" s="1607"/>
      <c r="AM197" s="1607"/>
      <c r="AN197" s="1607"/>
      <c r="AO197" s="1607"/>
      <c r="AP197" s="1607"/>
      <c r="AQ197" s="1607"/>
      <c r="AR197" s="1607"/>
      <c r="AS197" s="1607"/>
      <c r="AT197" s="1607"/>
      <c r="AU197" s="1607"/>
      <c r="AV197" s="1607"/>
      <c r="AW197" s="1607"/>
      <c r="AX197" s="1607"/>
      <c r="AY197" s="1607"/>
      <c r="AZ197" s="1607"/>
      <c r="BA197" s="1607"/>
      <c r="BB197" s="1607"/>
      <c r="BC197" s="1607"/>
      <c r="BD197" s="1607"/>
      <c r="BE197" s="1607"/>
      <c r="BF197" s="1607"/>
      <c r="BG197" s="1607"/>
      <c r="BH197" s="1607"/>
      <c r="BI197" s="1607"/>
      <c r="BJ197" s="1607"/>
      <c r="BK197" s="1607"/>
      <c r="BL197" s="1607"/>
    </row>
    <row r="198">
      <c r="A198" s="1607"/>
      <c r="B198" s="1607"/>
      <c r="C198" s="1607"/>
      <c r="D198" s="1607"/>
      <c r="E198" s="1607"/>
      <c r="F198" s="1607"/>
      <c r="G198" s="1607"/>
      <c r="H198" s="1607"/>
      <c r="I198" s="1607"/>
      <c r="J198" s="1607"/>
      <c r="K198" s="1607"/>
      <c r="L198" s="1607"/>
      <c r="M198" s="1607"/>
      <c r="N198" s="1607"/>
      <c r="O198" s="1607"/>
      <c r="P198" s="1607"/>
      <c r="Q198" s="1607"/>
      <c r="R198" s="1607"/>
      <c r="S198" s="1607"/>
      <c r="T198" s="1607"/>
      <c r="U198" s="1607"/>
      <c r="V198" s="1607"/>
      <c r="W198" s="1607"/>
      <c r="X198" s="1607"/>
      <c r="Y198" s="1607"/>
      <c r="Z198" s="1607"/>
      <c r="AA198" s="1607"/>
      <c r="AB198" s="1607"/>
      <c r="AC198" s="1607"/>
      <c r="AD198" s="1607"/>
      <c r="AE198" s="1607"/>
      <c r="AF198" s="1607"/>
      <c r="AG198" s="1607"/>
      <c r="AH198" s="1607"/>
      <c r="AI198" s="1607"/>
      <c r="AJ198" s="1607"/>
      <c r="AK198" s="1607"/>
      <c r="AL198" s="1607"/>
      <c r="AM198" s="1607"/>
      <c r="AN198" s="1607"/>
      <c r="AO198" s="1607"/>
      <c r="AP198" s="1607"/>
      <c r="AQ198" s="1607"/>
      <c r="AR198" s="1607"/>
      <c r="AS198" s="1607"/>
      <c r="AT198" s="1607"/>
      <c r="AU198" s="1607"/>
      <c r="AV198" s="1607"/>
      <c r="AW198" s="1607"/>
      <c r="AX198" s="1607"/>
      <c r="AY198" s="1607"/>
      <c r="AZ198" s="1607"/>
      <c r="BA198" s="1607"/>
      <c r="BB198" s="1607"/>
      <c r="BC198" s="1607"/>
      <c r="BD198" s="1607"/>
      <c r="BE198" s="1607"/>
      <c r="BF198" s="1607"/>
      <c r="BG198" s="1607"/>
      <c r="BH198" s="1607"/>
      <c r="BI198" s="1607"/>
      <c r="BJ198" s="1607"/>
      <c r="BK198" s="1607"/>
      <c r="BL198" s="1607"/>
    </row>
    <row r="199">
      <c r="A199" s="1607"/>
      <c r="B199" s="1607"/>
      <c r="C199" s="1607"/>
      <c r="D199" s="1607"/>
      <c r="E199" s="1607"/>
      <c r="F199" s="1607"/>
      <c r="G199" s="1607"/>
      <c r="H199" s="1607"/>
      <c r="I199" s="1607"/>
      <c r="J199" s="1607"/>
      <c r="K199" s="1607"/>
      <c r="L199" s="1607"/>
      <c r="M199" s="1607"/>
      <c r="N199" s="1607"/>
      <c r="O199" s="1607"/>
      <c r="P199" s="1607"/>
      <c r="Q199" s="1607"/>
      <c r="R199" s="1607"/>
      <c r="S199" s="1607"/>
      <c r="T199" s="1607"/>
      <c r="U199" s="1607"/>
      <c r="V199" s="1607"/>
      <c r="W199" s="1607"/>
      <c r="X199" s="1607"/>
      <c r="Y199" s="1607"/>
      <c r="Z199" s="1607"/>
      <c r="AA199" s="1607"/>
      <c r="AB199" s="1607"/>
      <c r="AC199" s="1607"/>
      <c r="AD199" s="1607"/>
      <c r="AE199" s="1607"/>
      <c r="AF199" s="1607"/>
      <c r="AG199" s="1607"/>
      <c r="AH199" s="1607"/>
      <c r="AI199" s="1607"/>
      <c r="AJ199" s="1607"/>
      <c r="AK199" s="1607"/>
      <c r="AL199" s="1607"/>
      <c r="AM199" s="1607"/>
      <c r="AN199" s="1607"/>
      <c r="AO199" s="1607"/>
      <c r="AP199" s="1607"/>
      <c r="AQ199" s="1607"/>
      <c r="AR199" s="1607"/>
      <c r="AS199" s="1607"/>
      <c r="AT199" s="1607"/>
      <c r="AU199" s="1607"/>
      <c r="AV199" s="1607"/>
      <c r="AW199" s="1607"/>
      <c r="AX199" s="1607"/>
      <c r="AY199" s="1607"/>
      <c r="AZ199" s="1607"/>
      <c r="BA199" s="1607"/>
      <c r="BB199" s="1607"/>
      <c r="BC199" s="1607"/>
      <c r="BD199" s="1607"/>
      <c r="BE199" s="1607"/>
      <c r="BF199" s="1607"/>
      <c r="BG199" s="1607"/>
      <c r="BH199" s="1607"/>
      <c r="BI199" s="1607"/>
      <c r="BJ199" s="1607"/>
      <c r="BK199" s="1607"/>
      <c r="BL199" s="1607"/>
    </row>
    <row r="200">
      <c r="A200" s="1607"/>
      <c r="B200" s="1607"/>
      <c r="C200" s="1607"/>
      <c r="D200" s="1607"/>
      <c r="E200" s="1607"/>
      <c r="F200" s="1607"/>
      <c r="G200" s="1607"/>
      <c r="H200" s="1607"/>
      <c r="I200" s="1607"/>
      <c r="J200" s="1607"/>
      <c r="K200" s="1607"/>
      <c r="L200" s="1607"/>
      <c r="M200" s="1607"/>
      <c r="N200" s="1607"/>
      <c r="O200" s="1607"/>
      <c r="P200" s="1607"/>
      <c r="Q200" s="1607"/>
      <c r="R200" s="1607"/>
      <c r="S200" s="1607"/>
      <c r="T200" s="1607"/>
      <c r="U200" s="1607"/>
      <c r="V200" s="1607"/>
      <c r="W200" s="1607"/>
      <c r="X200" s="1607"/>
      <c r="Y200" s="1607"/>
      <c r="Z200" s="1607"/>
      <c r="AA200" s="1607"/>
      <c r="AB200" s="1607"/>
      <c r="AC200" s="1607"/>
      <c r="AD200" s="1607"/>
      <c r="AE200" s="1607"/>
      <c r="AF200" s="1607"/>
      <c r="AG200" s="1607"/>
      <c r="AH200" s="1607"/>
      <c r="AI200" s="1607"/>
      <c r="AJ200" s="1607"/>
      <c r="AK200" s="1607"/>
      <c r="AL200" s="1607"/>
      <c r="AM200" s="1607"/>
      <c r="AN200" s="1607"/>
      <c r="AO200" s="1607"/>
      <c r="AP200" s="1607"/>
      <c r="AQ200" s="1607"/>
      <c r="AR200" s="1607"/>
      <c r="AS200" s="1607"/>
      <c r="AT200" s="1607"/>
      <c r="AU200" s="1607"/>
      <c r="AV200" s="1607"/>
      <c r="AW200" s="1607"/>
      <c r="AX200" s="1607"/>
      <c r="AY200" s="1607"/>
      <c r="AZ200" s="1607"/>
      <c r="BA200" s="1607"/>
      <c r="BB200" s="1607"/>
      <c r="BC200" s="1607"/>
      <c r="BD200" s="1607"/>
      <c r="BE200" s="1607"/>
      <c r="BF200" s="1607"/>
      <c r="BG200" s="1607"/>
      <c r="BH200" s="1607"/>
      <c r="BI200" s="1607"/>
      <c r="BJ200" s="1607"/>
      <c r="BK200" s="1607"/>
      <c r="BL200" s="1607"/>
    </row>
    <row r="201">
      <c r="A201" s="1607"/>
      <c r="B201" s="1607"/>
      <c r="C201" s="1607"/>
      <c r="D201" s="1607"/>
      <c r="E201" s="1607"/>
      <c r="F201" s="1607"/>
      <c r="G201" s="1607"/>
      <c r="H201" s="1607"/>
      <c r="I201" s="1607"/>
      <c r="J201" s="1607"/>
      <c r="K201" s="1607"/>
      <c r="L201" s="1607"/>
      <c r="M201" s="1607"/>
      <c r="N201" s="1607"/>
      <c r="O201" s="1607"/>
      <c r="P201" s="1607"/>
      <c r="Q201" s="1607"/>
      <c r="R201" s="1607"/>
      <c r="S201" s="1607"/>
      <c r="T201" s="1607"/>
      <c r="U201" s="1607"/>
      <c r="V201" s="1607"/>
      <c r="W201" s="1607"/>
      <c r="X201" s="1607"/>
      <c r="Y201" s="1607"/>
      <c r="Z201" s="1607"/>
      <c r="AA201" s="1607"/>
      <c r="AB201" s="1607"/>
      <c r="AC201" s="1607"/>
      <c r="AD201" s="1607"/>
      <c r="AE201" s="1607"/>
      <c r="AF201" s="1607"/>
      <c r="AG201" s="1607"/>
      <c r="AH201" s="1607"/>
      <c r="AI201" s="1607"/>
      <c r="AJ201" s="1607"/>
      <c r="AK201" s="1607"/>
      <c r="AL201" s="1607"/>
      <c r="AM201" s="1607"/>
      <c r="AN201" s="1607"/>
      <c r="AO201" s="1607"/>
      <c r="AP201" s="1607"/>
      <c r="AQ201" s="1607"/>
      <c r="AR201" s="1607"/>
      <c r="AS201" s="1607"/>
      <c r="AT201" s="1607"/>
      <c r="AU201" s="1607"/>
      <c r="AV201" s="1607"/>
      <c r="AW201" s="1607"/>
      <c r="AX201" s="1607"/>
      <c r="AY201" s="1607"/>
      <c r="AZ201" s="1607"/>
      <c r="BA201" s="1607"/>
      <c r="BB201" s="1607"/>
      <c r="BC201" s="1607"/>
      <c r="BD201" s="1607"/>
      <c r="BE201" s="1607"/>
      <c r="BF201" s="1607"/>
      <c r="BG201" s="1607"/>
      <c r="BH201" s="1607"/>
      <c r="BI201" s="1607"/>
      <c r="BJ201" s="1607"/>
      <c r="BK201" s="1607"/>
      <c r="BL201" s="1607"/>
    </row>
    <row r="202">
      <c r="A202" s="1607"/>
      <c r="B202" s="1607"/>
      <c r="C202" s="1607"/>
      <c r="D202" s="1607"/>
      <c r="E202" s="1607"/>
      <c r="F202" s="1607"/>
      <c r="G202" s="1607"/>
      <c r="H202" s="1607"/>
      <c r="I202" s="1607"/>
      <c r="J202" s="1607"/>
      <c r="K202" s="1607"/>
      <c r="L202" s="1607"/>
      <c r="M202" s="1607"/>
      <c r="N202" s="1607"/>
      <c r="O202" s="1607"/>
      <c r="P202" s="1607"/>
      <c r="Q202" s="1607"/>
      <c r="R202" s="1607"/>
      <c r="S202" s="1607"/>
      <c r="T202" s="1607"/>
      <c r="U202" s="1607"/>
      <c r="V202" s="1607"/>
      <c r="W202" s="1607"/>
      <c r="X202" s="1607"/>
      <c r="Y202" s="1607"/>
      <c r="Z202" s="1607"/>
      <c r="AA202" s="1607"/>
      <c r="AB202" s="1607"/>
      <c r="AC202" s="1607"/>
      <c r="AD202" s="1607"/>
      <c r="AE202" s="1607"/>
      <c r="AF202" s="1607"/>
      <c r="AG202" s="1607"/>
      <c r="AH202" s="1607"/>
      <c r="AI202" s="1607"/>
      <c r="AJ202" s="1607"/>
      <c r="AK202" s="1607"/>
      <c r="AL202" s="1607"/>
      <c r="AM202" s="1607"/>
      <c r="AN202" s="1607"/>
      <c r="AO202" s="1607"/>
      <c r="AP202" s="1607"/>
      <c r="AQ202" s="1607"/>
      <c r="AR202" s="1607"/>
      <c r="AS202" s="1607"/>
      <c r="AT202" s="1607"/>
      <c r="AU202" s="1607"/>
      <c r="AV202" s="1607"/>
      <c r="AW202" s="1607"/>
      <c r="AX202" s="1607"/>
      <c r="AY202" s="1607"/>
      <c r="AZ202" s="1607"/>
      <c r="BA202" s="1607"/>
      <c r="BB202" s="1607"/>
      <c r="BC202" s="1607"/>
      <c r="BD202" s="1607"/>
      <c r="BE202" s="1607"/>
      <c r="BF202" s="1607"/>
      <c r="BG202" s="1607"/>
      <c r="BH202" s="1607"/>
      <c r="BI202" s="1607"/>
      <c r="BJ202" s="1607"/>
      <c r="BK202" s="1607"/>
      <c r="BL202" s="1607"/>
    </row>
    <row r="203">
      <c r="A203" s="1607"/>
      <c r="B203" s="1607"/>
      <c r="C203" s="1607"/>
      <c r="D203" s="1607"/>
      <c r="E203" s="1607"/>
      <c r="F203" s="1607"/>
      <c r="G203" s="1607"/>
      <c r="H203" s="1607"/>
      <c r="I203" s="1607"/>
      <c r="J203" s="1607"/>
      <c r="K203" s="1607"/>
      <c r="L203" s="1607"/>
      <c r="M203" s="1607"/>
      <c r="N203" s="1607"/>
      <c r="O203" s="1607"/>
      <c r="P203" s="1607"/>
      <c r="Q203" s="1607"/>
      <c r="R203" s="1607"/>
      <c r="S203" s="1607"/>
      <c r="T203" s="1607"/>
      <c r="U203" s="1607"/>
      <c r="V203" s="1607"/>
      <c r="W203" s="1607"/>
      <c r="X203" s="1607"/>
      <c r="Y203" s="1607"/>
      <c r="Z203" s="1607"/>
      <c r="AA203" s="1607"/>
      <c r="AB203" s="1607"/>
      <c r="AC203" s="1607"/>
      <c r="AD203" s="1607"/>
      <c r="AE203" s="1607"/>
      <c r="AF203" s="1607"/>
      <c r="AG203" s="1607"/>
      <c r="AH203" s="1607"/>
      <c r="AI203" s="1607"/>
      <c r="AJ203" s="1607"/>
      <c r="AK203" s="1607"/>
      <c r="AL203" s="1607"/>
      <c r="AM203" s="1607"/>
      <c r="AN203" s="1607"/>
      <c r="AO203" s="1607"/>
      <c r="AP203" s="1607"/>
      <c r="AQ203" s="1607"/>
      <c r="AR203" s="1607"/>
      <c r="AS203" s="1607"/>
      <c r="AT203" s="1607"/>
      <c r="AU203" s="1607"/>
      <c r="AV203" s="1607"/>
      <c r="AW203" s="1607"/>
      <c r="AX203" s="1607"/>
      <c r="AY203" s="1607"/>
      <c r="AZ203" s="1607"/>
      <c r="BA203" s="1607"/>
      <c r="BB203" s="1607"/>
      <c r="BC203" s="1607"/>
      <c r="BD203" s="1607"/>
      <c r="BE203" s="1607"/>
      <c r="BF203" s="1607"/>
      <c r="BG203" s="1607"/>
      <c r="BH203" s="1607"/>
      <c r="BI203" s="1607"/>
      <c r="BJ203" s="1607"/>
      <c r="BK203" s="1607"/>
      <c r="BL203" s="1607"/>
    </row>
    <row r="204">
      <c r="A204" s="1607"/>
      <c r="B204" s="1607"/>
      <c r="C204" s="1607"/>
      <c r="D204" s="1607"/>
      <c r="E204" s="1607"/>
      <c r="F204" s="1607"/>
      <c r="G204" s="1607"/>
      <c r="H204" s="1607"/>
      <c r="I204" s="1607"/>
      <c r="J204" s="1607"/>
      <c r="K204" s="1607"/>
      <c r="L204" s="1607"/>
      <c r="M204" s="1607"/>
      <c r="N204" s="1607"/>
      <c r="O204" s="1607"/>
      <c r="P204" s="1607"/>
      <c r="Q204" s="1607"/>
      <c r="R204" s="1607"/>
      <c r="S204" s="1607"/>
      <c r="T204" s="1607"/>
      <c r="U204" s="1607"/>
      <c r="V204" s="1607"/>
      <c r="W204" s="1607"/>
      <c r="X204" s="1607"/>
      <c r="Y204" s="1607"/>
      <c r="Z204" s="1607"/>
      <c r="AA204" s="1607"/>
      <c r="AB204" s="1607"/>
      <c r="AC204" s="1607"/>
      <c r="AD204" s="1607"/>
      <c r="AE204" s="1607"/>
      <c r="AF204" s="1607"/>
      <c r="AG204" s="1607"/>
      <c r="AH204" s="1607"/>
      <c r="AI204" s="1607"/>
      <c r="AJ204" s="1607"/>
      <c r="AK204" s="1607"/>
      <c r="AL204" s="1607"/>
      <c r="AM204" s="1607"/>
      <c r="AN204" s="1607"/>
      <c r="AO204" s="1607"/>
      <c r="AP204" s="1607"/>
      <c r="AQ204" s="1607"/>
      <c r="AR204" s="1607"/>
      <c r="AS204" s="1607"/>
      <c r="AT204" s="1607"/>
      <c r="AU204" s="1607"/>
      <c r="AV204" s="1607"/>
      <c r="AW204" s="1607"/>
      <c r="AX204" s="1607"/>
      <c r="AY204" s="1607"/>
      <c r="AZ204" s="1607"/>
      <c r="BA204" s="1607"/>
      <c r="BB204" s="1607"/>
      <c r="BC204" s="1607"/>
      <c r="BD204" s="1607"/>
      <c r="BE204" s="1607"/>
      <c r="BF204" s="1607"/>
      <c r="BG204" s="1607"/>
      <c r="BH204" s="1607"/>
      <c r="BI204" s="1607"/>
      <c r="BJ204" s="1607"/>
      <c r="BK204" s="1607"/>
      <c r="BL204" s="1607"/>
    </row>
    <row r="205">
      <c r="A205" s="1607"/>
      <c r="B205" s="1607"/>
      <c r="C205" s="1607"/>
      <c r="D205" s="1607"/>
      <c r="E205" s="1607"/>
      <c r="F205" s="1607"/>
      <c r="G205" s="1607"/>
      <c r="H205" s="1607"/>
      <c r="I205" s="1607"/>
      <c r="J205" s="1607"/>
      <c r="K205" s="1607"/>
      <c r="L205" s="1607"/>
      <c r="M205" s="1607"/>
      <c r="N205" s="1607"/>
      <c r="O205" s="1607"/>
      <c r="P205" s="1607"/>
      <c r="Q205" s="1607"/>
      <c r="R205" s="1607"/>
      <c r="S205" s="1607"/>
      <c r="T205" s="1607"/>
      <c r="U205" s="1607"/>
      <c r="V205" s="1607"/>
      <c r="W205" s="1607"/>
      <c r="X205" s="1607"/>
      <c r="Y205" s="1607"/>
      <c r="Z205" s="1607"/>
      <c r="AA205" s="1607"/>
      <c r="AB205" s="1607"/>
      <c r="AC205" s="1607"/>
      <c r="AD205" s="1607"/>
      <c r="AE205" s="1607"/>
      <c r="AF205" s="1607"/>
      <c r="AG205" s="1607"/>
      <c r="AH205" s="1607"/>
      <c r="AI205" s="1607"/>
      <c r="AJ205" s="1607"/>
      <c r="AK205" s="1607"/>
      <c r="AL205" s="1607"/>
      <c r="AM205" s="1607"/>
      <c r="AN205" s="1607"/>
      <c r="AO205" s="1607"/>
      <c r="AP205" s="1607"/>
      <c r="AQ205" s="1607"/>
      <c r="AR205" s="1607"/>
      <c r="AS205" s="1607"/>
      <c r="AT205" s="1607"/>
      <c r="AU205" s="1607"/>
      <c r="AV205" s="1607"/>
      <c r="AW205" s="1607"/>
      <c r="AX205" s="1607"/>
      <c r="AY205" s="1607"/>
      <c r="AZ205" s="1607"/>
      <c r="BA205" s="1607"/>
      <c r="BB205" s="1607"/>
      <c r="BC205" s="1607"/>
      <c r="BD205" s="1607"/>
      <c r="BE205" s="1607"/>
      <c r="BF205" s="1607"/>
      <c r="BG205" s="1607"/>
      <c r="BH205" s="1607"/>
      <c r="BI205" s="1607"/>
      <c r="BJ205" s="1607"/>
      <c r="BK205" s="1607"/>
      <c r="BL205" s="1607"/>
    </row>
    <row r="206">
      <c r="A206" s="1607"/>
      <c r="B206" s="1607"/>
      <c r="C206" s="1607"/>
      <c r="D206" s="1607"/>
      <c r="E206" s="1607"/>
      <c r="F206" s="1607"/>
      <c r="G206" s="1607"/>
      <c r="H206" s="1607"/>
      <c r="I206" s="1607"/>
      <c r="J206" s="1607"/>
      <c r="K206" s="1607"/>
      <c r="L206" s="1607"/>
      <c r="M206" s="1607"/>
      <c r="N206" s="1607"/>
      <c r="O206" s="1607"/>
      <c r="P206" s="1607"/>
      <c r="Q206" s="1607"/>
      <c r="R206" s="1607"/>
      <c r="S206" s="1607"/>
      <c r="T206" s="1607"/>
      <c r="U206" s="1607"/>
      <c r="V206" s="1607"/>
      <c r="W206" s="1607"/>
      <c r="X206" s="1607"/>
      <c r="Y206" s="1607"/>
      <c r="Z206" s="1607"/>
      <c r="AA206" s="1607"/>
      <c r="AB206" s="1607"/>
      <c r="AC206" s="1607"/>
      <c r="AD206" s="1607"/>
      <c r="AE206" s="1607"/>
      <c r="AF206" s="1607"/>
      <c r="AG206" s="1607"/>
      <c r="AH206" s="1607"/>
      <c r="AI206" s="1607"/>
      <c r="AJ206" s="1607"/>
      <c r="AK206" s="1607"/>
      <c r="AL206" s="1607"/>
      <c r="AM206" s="1607"/>
      <c r="AN206" s="1607"/>
      <c r="AO206" s="1607"/>
      <c r="AP206" s="1607"/>
      <c r="AQ206" s="1607"/>
      <c r="AR206" s="1607"/>
      <c r="AS206" s="1607"/>
      <c r="AT206" s="1607"/>
      <c r="AU206" s="1607"/>
      <c r="AV206" s="1607"/>
      <c r="AW206" s="1607"/>
      <c r="AX206" s="1607"/>
      <c r="AY206" s="1607"/>
      <c r="AZ206" s="1607"/>
      <c r="BA206" s="1607"/>
      <c r="BB206" s="1607"/>
      <c r="BC206" s="1607"/>
      <c r="BD206" s="1607"/>
      <c r="BE206" s="1607"/>
      <c r="BF206" s="1607"/>
      <c r="BG206" s="1607"/>
      <c r="BH206" s="1607"/>
      <c r="BI206" s="1607"/>
      <c r="BJ206" s="1607"/>
      <c r="BK206" s="1607"/>
      <c r="BL206" s="1607"/>
    </row>
    <row r="207">
      <c r="A207" s="1607"/>
      <c r="B207" s="1607"/>
      <c r="C207" s="1607"/>
      <c r="D207" s="1607"/>
      <c r="E207" s="1607"/>
      <c r="F207" s="1607"/>
      <c r="G207" s="1607"/>
      <c r="H207" s="1607"/>
      <c r="I207" s="1607"/>
      <c r="J207" s="1607"/>
      <c r="K207" s="1607"/>
      <c r="L207" s="1607"/>
      <c r="M207" s="1607"/>
      <c r="N207" s="1607"/>
      <c r="O207" s="1607"/>
      <c r="P207" s="1607"/>
      <c r="Q207" s="1607"/>
      <c r="R207" s="1607"/>
      <c r="S207" s="1607"/>
      <c r="T207" s="1607"/>
      <c r="U207" s="1607"/>
      <c r="V207" s="1607"/>
      <c r="W207" s="1607"/>
      <c r="X207" s="1607"/>
      <c r="Y207" s="1607"/>
      <c r="Z207" s="1607"/>
      <c r="AA207" s="1607"/>
      <c r="AB207" s="1607"/>
      <c r="AC207" s="1607"/>
      <c r="AD207" s="1607"/>
      <c r="AE207" s="1607"/>
      <c r="AF207" s="1607"/>
      <c r="AG207" s="1607"/>
      <c r="AH207" s="1607"/>
      <c r="AI207" s="1607"/>
      <c r="AJ207" s="1607"/>
      <c r="AK207" s="1607"/>
      <c r="AL207" s="1607"/>
      <c r="AM207" s="1607"/>
      <c r="AN207" s="1607"/>
      <c r="AO207" s="1607"/>
      <c r="AP207" s="1607"/>
      <c r="AQ207" s="1607"/>
      <c r="AR207" s="1607"/>
      <c r="AS207" s="1607"/>
      <c r="AT207" s="1607"/>
      <c r="AU207" s="1607"/>
      <c r="AV207" s="1607"/>
      <c r="AW207" s="1607"/>
      <c r="AX207" s="1607"/>
      <c r="AY207" s="1607"/>
      <c r="AZ207" s="1607"/>
      <c r="BA207" s="1607"/>
      <c r="BB207" s="1607"/>
      <c r="BC207" s="1607"/>
      <c r="BD207" s="1607"/>
      <c r="BE207" s="1607"/>
      <c r="BF207" s="1607"/>
      <c r="BG207" s="1607"/>
      <c r="BH207" s="1607"/>
      <c r="BI207" s="1607"/>
      <c r="BJ207" s="1607"/>
      <c r="BK207" s="1607"/>
      <c r="BL207" s="1607"/>
    </row>
    <row r="208">
      <c r="A208" s="1607"/>
      <c r="B208" s="1607"/>
      <c r="C208" s="1607"/>
      <c r="D208" s="1607"/>
      <c r="E208" s="1607"/>
      <c r="F208" s="1607"/>
      <c r="G208" s="1607"/>
      <c r="H208" s="1607"/>
      <c r="I208" s="1607"/>
      <c r="J208" s="1607"/>
      <c r="K208" s="1607"/>
      <c r="L208" s="1607"/>
      <c r="M208" s="1607"/>
      <c r="N208" s="1607"/>
      <c r="O208" s="1607"/>
      <c r="P208" s="1607"/>
      <c r="Q208" s="1607"/>
      <c r="R208" s="1607"/>
      <c r="S208" s="1607"/>
      <c r="T208" s="1607"/>
      <c r="U208" s="1607"/>
      <c r="V208" s="1607"/>
      <c r="W208" s="1607"/>
      <c r="X208" s="1607"/>
      <c r="Y208" s="1607"/>
      <c r="Z208" s="1607"/>
      <c r="AA208" s="1607"/>
      <c r="AB208" s="1607"/>
      <c r="AC208" s="1607"/>
      <c r="AD208" s="1607"/>
      <c r="AE208" s="1607"/>
      <c r="AF208" s="1607"/>
      <c r="AG208" s="1607"/>
      <c r="AH208" s="1607"/>
      <c r="AI208" s="1607"/>
      <c r="AJ208" s="1607"/>
      <c r="AK208" s="1607"/>
      <c r="AL208" s="1607"/>
      <c r="AM208" s="1607"/>
      <c r="AN208" s="1607"/>
      <c r="AO208" s="1607"/>
      <c r="AP208" s="1607"/>
      <c r="AQ208" s="1607"/>
      <c r="AR208" s="1607"/>
      <c r="AS208" s="1607"/>
      <c r="AT208" s="1607"/>
      <c r="AU208" s="1607"/>
      <c r="AV208" s="1607"/>
      <c r="AW208" s="1607"/>
      <c r="AX208" s="1607"/>
      <c r="AY208" s="1607"/>
      <c r="AZ208" s="1607"/>
      <c r="BA208" s="1607"/>
      <c r="BB208" s="1607"/>
      <c r="BC208" s="1607"/>
      <c r="BD208" s="1607"/>
      <c r="BE208" s="1607"/>
      <c r="BF208" s="1607"/>
      <c r="BG208" s="1607"/>
      <c r="BH208" s="1607"/>
      <c r="BI208" s="1607"/>
      <c r="BJ208" s="1607"/>
      <c r="BK208" s="1607"/>
      <c r="BL208" s="1607"/>
    </row>
    <row r="209">
      <c r="A209" s="1607"/>
      <c r="B209" s="1607"/>
      <c r="C209" s="1607"/>
      <c r="D209" s="1607"/>
      <c r="E209" s="1607"/>
      <c r="F209" s="1607"/>
      <c r="G209" s="1607"/>
      <c r="H209" s="1607"/>
      <c r="I209" s="1607"/>
      <c r="J209" s="1607"/>
      <c r="K209" s="1607"/>
      <c r="L209" s="1607"/>
      <c r="M209" s="1607"/>
      <c r="N209" s="1607"/>
      <c r="O209" s="1607"/>
      <c r="P209" s="1607"/>
      <c r="Q209" s="1607"/>
      <c r="R209" s="1607"/>
      <c r="S209" s="1607"/>
      <c r="T209" s="1607"/>
      <c r="U209" s="1607"/>
      <c r="V209" s="1607"/>
      <c r="W209" s="1607"/>
      <c r="X209" s="1607"/>
      <c r="Y209" s="1607"/>
      <c r="Z209" s="1607"/>
      <c r="AA209" s="1607"/>
      <c r="AB209" s="1607"/>
      <c r="AC209" s="1607"/>
      <c r="AD209" s="1607"/>
      <c r="AE209" s="1607"/>
      <c r="AF209" s="1607"/>
      <c r="AG209" s="1607"/>
      <c r="AH209" s="1607"/>
      <c r="AI209" s="1607"/>
      <c r="AJ209" s="1607"/>
      <c r="AK209" s="1607"/>
      <c r="AL209" s="1607"/>
      <c r="AM209" s="1607"/>
      <c r="AN209" s="1607"/>
      <c r="AO209" s="1607"/>
      <c r="AP209" s="1607"/>
      <c r="AQ209" s="1607"/>
      <c r="AR209" s="1607"/>
      <c r="AS209" s="1607"/>
      <c r="AT209" s="1607"/>
      <c r="AU209" s="1607"/>
      <c r="AV209" s="1607"/>
      <c r="AW209" s="1607"/>
      <c r="AX209" s="1607"/>
      <c r="AY209" s="1607"/>
      <c r="AZ209" s="1607"/>
      <c r="BA209" s="1607"/>
      <c r="BB209" s="1607"/>
      <c r="BC209" s="1607"/>
      <c r="BD209" s="1607"/>
      <c r="BE209" s="1607"/>
      <c r="BF209" s="1607"/>
      <c r="BG209" s="1607"/>
      <c r="BH209" s="1607"/>
      <c r="BI209" s="1607"/>
      <c r="BJ209" s="1607"/>
      <c r="BK209" s="1607"/>
      <c r="BL209" s="1607"/>
    </row>
    <row r="210">
      <c r="A210" s="1607"/>
      <c r="B210" s="1607"/>
      <c r="C210" s="1607"/>
      <c r="D210" s="1607"/>
      <c r="E210" s="1607"/>
      <c r="F210" s="1607"/>
      <c r="G210" s="1607"/>
      <c r="H210" s="1607"/>
      <c r="I210" s="1607"/>
      <c r="J210" s="1607"/>
      <c r="K210" s="1607"/>
      <c r="L210" s="1607"/>
      <c r="M210" s="1607"/>
      <c r="N210" s="1607"/>
      <c r="O210" s="1607"/>
      <c r="P210" s="1607"/>
      <c r="Q210" s="1607"/>
      <c r="R210" s="1607"/>
      <c r="S210" s="1607"/>
      <c r="T210" s="1607"/>
      <c r="U210" s="1607"/>
      <c r="V210" s="1607"/>
      <c r="W210" s="1607"/>
      <c r="X210" s="1607"/>
      <c r="Y210" s="1607"/>
      <c r="Z210" s="1607"/>
      <c r="AA210" s="1607"/>
      <c r="AB210" s="1607"/>
      <c r="AC210" s="1607"/>
      <c r="AD210" s="1607"/>
      <c r="AE210" s="1607"/>
      <c r="AF210" s="1607"/>
      <c r="AG210" s="1607"/>
      <c r="AH210" s="1607"/>
      <c r="AI210" s="1607"/>
      <c r="AJ210" s="1607"/>
      <c r="AK210" s="1607"/>
      <c r="AL210" s="1607"/>
      <c r="AM210" s="1607"/>
      <c r="AN210" s="1607"/>
      <c r="AO210" s="1607"/>
      <c r="AP210" s="1607"/>
      <c r="AQ210" s="1607"/>
      <c r="AR210" s="1607"/>
      <c r="AS210" s="1607"/>
      <c r="AT210" s="1607"/>
      <c r="AU210" s="1607"/>
      <c r="AV210" s="1607"/>
      <c r="AW210" s="1607"/>
      <c r="AX210" s="1607"/>
      <c r="AY210" s="1607"/>
      <c r="AZ210" s="1607"/>
      <c r="BA210" s="1607"/>
      <c r="BB210" s="1607"/>
      <c r="BC210" s="1607"/>
      <c r="BD210" s="1607"/>
      <c r="BE210" s="1607"/>
      <c r="BF210" s="1607"/>
      <c r="BG210" s="1607"/>
      <c r="BH210" s="1607"/>
      <c r="BI210" s="1607"/>
      <c r="BJ210" s="1607"/>
      <c r="BK210" s="1607"/>
      <c r="BL210" s="1607"/>
    </row>
    <row r="211">
      <c r="A211" s="1607"/>
      <c r="B211" s="1607"/>
      <c r="C211" s="1607"/>
      <c r="D211" s="1607"/>
      <c r="E211" s="1607"/>
      <c r="F211" s="1607"/>
      <c r="G211" s="1607"/>
      <c r="H211" s="1607"/>
      <c r="I211" s="1607"/>
      <c r="J211" s="1607"/>
      <c r="K211" s="1607"/>
      <c r="L211" s="1607"/>
      <c r="M211" s="1607"/>
      <c r="N211" s="1607"/>
      <c r="O211" s="1607"/>
      <c r="P211" s="1607"/>
      <c r="Q211" s="1607"/>
      <c r="R211" s="1607"/>
      <c r="S211" s="1607"/>
      <c r="T211" s="1607"/>
      <c r="U211" s="1607"/>
      <c r="V211" s="1607"/>
      <c r="W211" s="1607"/>
      <c r="X211" s="1607"/>
      <c r="Y211" s="1607"/>
      <c r="Z211" s="1607"/>
      <c r="AA211" s="1607"/>
      <c r="AB211" s="1607"/>
      <c r="AC211" s="1607"/>
      <c r="AD211" s="1607"/>
      <c r="AE211" s="1607"/>
      <c r="AF211" s="1607"/>
      <c r="AG211" s="1607"/>
      <c r="AH211" s="1607"/>
      <c r="AI211" s="1607"/>
      <c r="AJ211" s="1607"/>
      <c r="AK211" s="1607"/>
      <c r="AL211" s="1607"/>
      <c r="AM211" s="1607"/>
      <c r="AN211" s="1607"/>
      <c r="AO211" s="1607"/>
      <c r="AP211" s="1607"/>
      <c r="AQ211" s="1607"/>
      <c r="AR211" s="1607"/>
      <c r="AS211" s="1607"/>
      <c r="AT211" s="1607"/>
      <c r="AU211" s="1607"/>
      <c r="AV211" s="1607"/>
      <c r="AW211" s="1607"/>
      <c r="AX211" s="1607"/>
      <c r="AY211" s="1607"/>
      <c r="AZ211" s="1607"/>
      <c r="BA211" s="1607"/>
      <c r="BB211" s="1607"/>
      <c r="BC211" s="1607"/>
      <c r="BD211" s="1607"/>
      <c r="BE211" s="1607"/>
      <c r="BF211" s="1607"/>
      <c r="BG211" s="1607"/>
      <c r="BH211" s="1607"/>
      <c r="BI211" s="1607"/>
      <c r="BJ211" s="1607"/>
      <c r="BK211" s="1607"/>
      <c r="BL211" s="1607"/>
    </row>
    <row r="212">
      <c r="A212" s="1607"/>
      <c r="B212" s="1607"/>
      <c r="C212" s="1607"/>
      <c r="D212" s="1607"/>
      <c r="E212" s="1607"/>
      <c r="F212" s="1607"/>
      <c r="G212" s="1607"/>
      <c r="H212" s="1607"/>
      <c r="I212" s="1607"/>
      <c r="J212" s="1607"/>
      <c r="K212" s="1607"/>
      <c r="L212" s="1607"/>
      <c r="M212" s="1607"/>
      <c r="N212" s="1607"/>
      <c r="O212" s="1607"/>
      <c r="P212" s="1607"/>
      <c r="Q212" s="1607"/>
      <c r="R212" s="1607"/>
      <c r="S212" s="1607"/>
      <c r="T212" s="1607"/>
      <c r="U212" s="1607"/>
      <c r="V212" s="1607"/>
      <c r="W212" s="1607"/>
      <c r="X212" s="1607"/>
      <c r="Y212" s="1607"/>
      <c r="Z212" s="1607"/>
      <c r="AA212" s="1607"/>
      <c r="AB212" s="1607"/>
      <c r="AC212" s="1607"/>
      <c r="AD212" s="1607"/>
      <c r="AE212" s="1607"/>
      <c r="AF212" s="1607"/>
      <c r="AG212" s="1607"/>
      <c r="AH212" s="1607"/>
      <c r="AI212" s="1607"/>
      <c r="AJ212" s="1607"/>
      <c r="AK212" s="1607"/>
      <c r="AL212" s="1607"/>
      <c r="AM212" s="1607"/>
      <c r="AN212" s="1607"/>
      <c r="AO212" s="1607"/>
      <c r="AP212" s="1607"/>
      <c r="AQ212" s="1607"/>
      <c r="AR212" s="1607"/>
      <c r="AS212" s="1607"/>
      <c r="AT212" s="1607"/>
      <c r="AU212" s="1607"/>
      <c r="AV212" s="1607"/>
      <c r="AW212" s="1607"/>
      <c r="AX212" s="1607"/>
      <c r="AY212" s="1607"/>
      <c r="AZ212" s="1607"/>
      <c r="BA212" s="1607"/>
      <c r="BB212" s="1607"/>
      <c r="BC212" s="1607"/>
      <c r="BD212" s="1607"/>
      <c r="BE212" s="1607"/>
      <c r="BF212" s="1607"/>
      <c r="BG212" s="1607"/>
      <c r="BH212" s="1607"/>
      <c r="BI212" s="1607"/>
      <c r="BJ212" s="1607"/>
      <c r="BK212" s="1607"/>
      <c r="BL212" s="1607"/>
    </row>
    <row r="213">
      <c r="A213" s="1607"/>
      <c r="B213" s="1607"/>
      <c r="C213" s="1607"/>
      <c r="D213" s="1607"/>
      <c r="E213" s="1607"/>
      <c r="F213" s="1607"/>
      <c r="G213" s="1607"/>
      <c r="H213" s="1607"/>
      <c r="I213" s="1607"/>
      <c r="J213" s="1607"/>
      <c r="K213" s="1607"/>
      <c r="L213" s="1607"/>
      <c r="M213" s="1607"/>
      <c r="N213" s="1607"/>
      <c r="O213" s="1607"/>
      <c r="P213" s="1607"/>
      <c r="Q213" s="1607"/>
      <c r="R213" s="1607"/>
      <c r="S213" s="1607"/>
      <c r="T213" s="1607"/>
      <c r="U213" s="1607"/>
      <c r="V213" s="1607"/>
      <c r="W213" s="1607"/>
      <c r="X213" s="1607"/>
      <c r="Y213" s="1607"/>
      <c r="Z213" s="1607"/>
      <c r="AA213" s="1607"/>
      <c r="AB213" s="1607"/>
      <c r="AC213" s="1607"/>
      <c r="AD213" s="1607"/>
      <c r="AE213" s="1607"/>
      <c r="AF213" s="1607"/>
      <c r="AG213" s="1607"/>
      <c r="AH213" s="1607"/>
      <c r="AI213" s="1607"/>
      <c r="AJ213" s="1607"/>
      <c r="AK213" s="1607"/>
      <c r="AL213" s="1607"/>
      <c r="AM213" s="1607"/>
      <c r="AN213" s="1607"/>
      <c r="AO213" s="1607"/>
      <c r="AP213" s="1607"/>
      <c r="AQ213" s="1607"/>
      <c r="AR213" s="1607"/>
      <c r="AS213" s="1607"/>
      <c r="AT213" s="1607"/>
      <c r="AU213" s="1607"/>
      <c r="AV213" s="1607"/>
      <c r="AW213" s="1607"/>
      <c r="AX213" s="1607"/>
      <c r="AY213" s="1607"/>
      <c r="AZ213" s="1607"/>
      <c r="BA213" s="1607"/>
      <c r="BB213" s="1607"/>
      <c r="BC213" s="1607"/>
      <c r="BD213" s="1607"/>
      <c r="BE213" s="1607"/>
      <c r="BF213" s="1607"/>
      <c r="BG213" s="1607"/>
      <c r="BH213" s="1607"/>
      <c r="BI213" s="1607"/>
      <c r="BJ213" s="1607"/>
      <c r="BK213" s="1607"/>
      <c r="BL213" s="1607"/>
    </row>
    <row r="214">
      <c r="A214" s="1607"/>
      <c r="B214" s="1607"/>
      <c r="C214" s="1607"/>
      <c r="D214" s="1607"/>
      <c r="E214" s="1607"/>
      <c r="F214" s="1607"/>
      <c r="G214" s="1607"/>
      <c r="H214" s="1607"/>
      <c r="I214" s="1607"/>
      <c r="J214" s="1607"/>
      <c r="K214" s="1607"/>
      <c r="L214" s="1607"/>
      <c r="M214" s="1607"/>
      <c r="N214" s="1607"/>
      <c r="O214" s="1607"/>
      <c r="P214" s="1607"/>
      <c r="Q214" s="1607"/>
      <c r="R214" s="1607"/>
      <c r="S214" s="1607"/>
      <c r="T214" s="1607"/>
      <c r="U214" s="1607"/>
      <c r="V214" s="1607"/>
      <c r="W214" s="1607"/>
      <c r="X214" s="1607"/>
      <c r="Y214" s="1607"/>
      <c r="Z214" s="1607"/>
      <c r="AA214" s="1607"/>
      <c r="AB214" s="1607"/>
      <c r="AC214" s="1607"/>
      <c r="AD214" s="1607"/>
      <c r="AE214" s="1607"/>
      <c r="AF214" s="1607"/>
      <c r="AG214" s="1607"/>
      <c r="AH214" s="1607"/>
      <c r="AI214" s="1607"/>
      <c r="AJ214" s="1607"/>
      <c r="AK214" s="1607"/>
      <c r="AL214" s="1607"/>
      <c r="AM214" s="1607"/>
      <c r="AN214" s="1607"/>
      <c r="AO214" s="1607"/>
      <c r="AP214" s="1607"/>
      <c r="AQ214" s="1607"/>
      <c r="AR214" s="1607"/>
      <c r="AS214" s="1607"/>
      <c r="AT214" s="1607"/>
      <c r="AU214" s="1607"/>
      <c r="AV214" s="1607"/>
      <c r="AW214" s="1607"/>
      <c r="AX214" s="1607"/>
      <c r="AY214" s="1607"/>
      <c r="AZ214" s="1607"/>
      <c r="BA214" s="1607"/>
      <c r="BB214" s="1607"/>
      <c r="BC214" s="1607"/>
      <c r="BD214" s="1607"/>
      <c r="BE214" s="1607"/>
      <c r="BF214" s="1607"/>
      <c r="BG214" s="1607"/>
      <c r="BH214" s="1607"/>
      <c r="BI214" s="1607"/>
      <c r="BJ214" s="1607"/>
      <c r="BK214" s="1607"/>
      <c r="BL214" s="1607"/>
    </row>
    <row r="215">
      <c r="A215" s="1607"/>
      <c r="B215" s="1607"/>
      <c r="C215" s="1607"/>
      <c r="D215" s="1607"/>
      <c r="E215" s="1607"/>
      <c r="F215" s="1607"/>
      <c r="G215" s="1607"/>
      <c r="H215" s="1607"/>
      <c r="I215" s="1607"/>
      <c r="J215" s="1607"/>
      <c r="K215" s="1607"/>
      <c r="L215" s="1607"/>
      <c r="M215" s="1607"/>
      <c r="N215" s="1607"/>
      <c r="O215" s="1607"/>
      <c r="P215" s="1607"/>
      <c r="Q215" s="1607"/>
      <c r="R215" s="1607"/>
      <c r="S215" s="1607"/>
      <c r="T215" s="1607"/>
      <c r="U215" s="1607"/>
      <c r="V215" s="1607"/>
      <c r="W215" s="1607"/>
      <c r="X215" s="1607"/>
      <c r="Y215" s="1607"/>
      <c r="Z215" s="1607"/>
      <c r="AA215" s="1607"/>
      <c r="AB215" s="1607"/>
      <c r="AC215" s="1607"/>
      <c r="AD215" s="1607"/>
      <c r="AE215" s="1607"/>
      <c r="AF215" s="1607"/>
      <c r="AG215" s="1607"/>
      <c r="AH215" s="1607"/>
      <c r="AI215" s="1607"/>
      <c r="AJ215" s="1607"/>
      <c r="AK215" s="1607"/>
      <c r="AL215" s="1607"/>
      <c r="AM215" s="1607"/>
      <c r="AN215" s="1607"/>
      <c r="AO215" s="1607"/>
      <c r="AP215" s="1607"/>
      <c r="AQ215" s="1607"/>
      <c r="AR215" s="1607"/>
      <c r="AS215" s="1607"/>
      <c r="AT215" s="1607"/>
      <c r="AU215" s="1607"/>
      <c r="AV215" s="1607"/>
      <c r="AW215" s="1607"/>
      <c r="AX215" s="1607"/>
      <c r="AY215" s="1607"/>
      <c r="AZ215" s="1607"/>
      <c r="BA215" s="1607"/>
      <c r="BB215" s="1607"/>
      <c r="BC215" s="1607"/>
      <c r="BD215" s="1607"/>
      <c r="BE215" s="1607"/>
      <c r="BF215" s="1607"/>
      <c r="BG215" s="1607"/>
      <c r="BH215" s="1607"/>
      <c r="BI215" s="1607"/>
      <c r="BJ215" s="1607"/>
      <c r="BK215" s="1607"/>
      <c r="BL215" s="1607"/>
    </row>
    <row r="216">
      <c r="A216" s="1607"/>
      <c r="B216" s="1607"/>
      <c r="C216" s="1607"/>
      <c r="D216" s="1607"/>
      <c r="E216" s="1607"/>
      <c r="F216" s="1607"/>
      <c r="G216" s="1607"/>
      <c r="H216" s="1607"/>
      <c r="I216" s="1607"/>
      <c r="J216" s="1607"/>
      <c r="K216" s="1607"/>
      <c r="L216" s="1607"/>
      <c r="M216" s="1607"/>
      <c r="N216" s="1607"/>
      <c r="O216" s="1607"/>
      <c r="P216" s="1607"/>
      <c r="Q216" s="1607"/>
      <c r="R216" s="1607"/>
      <c r="S216" s="1607"/>
      <c r="T216" s="1607"/>
      <c r="U216" s="1607"/>
      <c r="V216" s="1607"/>
      <c r="W216" s="1607"/>
      <c r="X216" s="1607"/>
      <c r="Y216" s="1607"/>
      <c r="Z216" s="1607"/>
      <c r="AA216" s="1607"/>
      <c r="AB216" s="1607"/>
      <c r="AC216" s="1607"/>
      <c r="AD216" s="1607"/>
      <c r="AE216" s="1607"/>
      <c r="AF216" s="1607"/>
      <c r="AG216" s="1607"/>
      <c r="AH216" s="1607"/>
      <c r="AI216" s="1607"/>
      <c r="AJ216" s="1607"/>
      <c r="AK216" s="1607"/>
      <c r="AL216" s="1607"/>
      <c r="AM216" s="1607"/>
      <c r="AN216" s="1607"/>
      <c r="AO216" s="1607"/>
      <c r="AP216" s="1607"/>
      <c r="AQ216" s="1607"/>
      <c r="AR216" s="1607"/>
      <c r="AS216" s="1607"/>
      <c r="AT216" s="1607"/>
      <c r="AU216" s="1607"/>
      <c r="AV216" s="1607"/>
      <c r="AW216" s="1607"/>
      <c r="AX216" s="1607"/>
      <c r="AY216" s="1607"/>
      <c r="AZ216" s="1607"/>
      <c r="BA216" s="1607"/>
      <c r="BB216" s="1607"/>
      <c r="BC216" s="1607"/>
      <c r="BD216" s="1607"/>
      <c r="BE216" s="1607"/>
      <c r="BF216" s="1607"/>
      <c r="BG216" s="1607"/>
      <c r="BH216" s="1607"/>
      <c r="BI216" s="1607"/>
      <c r="BJ216" s="1607"/>
      <c r="BK216" s="1607"/>
      <c r="BL216" s="1607"/>
    </row>
    <row r="217">
      <c r="A217" s="1607"/>
      <c r="B217" s="1607"/>
      <c r="C217" s="1607"/>
      <c r="D217" s="1607"/>
      <c r="E217" s="1607"/>
      <c r="F217" s="1607"/>
      <c r="G217" s="1607"/>
      <c r="H217" s="1607"/>
      <c r="I217" s="1607"/>
      <c r="J217" s="1607"/>
      <c r="K217" s="1607"/>
      <c r="L217" s="1607"/>
      <c r="M217" s="1607"/>
      <c r="N217" s="1607"/>
      <c r="O217" s="1607"/>
      <c r="P217" s="1607"/>
      <c r="Q217" s="1607"/>
      <c r="R217" s="1607"/>
      <c r="S217" s="1607"/>
      <c r="T217" s="1607"/>
      <c r="U217" s="1607"/>
      <c r="V217" s="1607"/>
      <c r="W217" s="1607"/>
      <c r="X217" s="1607"/>
      <c r="Y217" s="1607"/>
      <c r="Z217" s="1607"/>
      <c r="AA217" s="1607"/>
      <c r="AB217" s="1607"/>
      <c r="AC217" s="1607"/>
      <c r="AD217" s="1607"/>
      <c r="AE217" s="1607"/>
      <c r="AF217" s="1607"/>
      <c r="AG217" s="1607"/>
      <c r="AH217" s="1607"/>
      <c r="AI217" s="1607"/>
      <c r="AJ217" s="1607"/>
      <c r="AK217" s="1607"/>
      <c r="AL217" s="1607"/>
      <c r="AM217" s="1607"/>
      <c r="AN217" s="1607"/>
      <c r="AO217" s="1607"/>
      <c r="AP217" s="1607"/>
      <c r="AQ217" s="1607"/>
      <c r="AR217" s="1607"/>
      <c r="AS217" s="1607"/>
      <c r="AT217" s="1607"/>
      <c r="AU217" s="1607"/>
      <c r="AV217" s="1607"/>
      <c r="AW217" s="1607"/>
      <c r="AX217" s="1607"/>
      <c r="AY217" s="1607"/>
      <c r="AZ217" s="1607"/>
      <c r="BA217" s="1607"/>
      <c r="BB217" s="1607"/>
      <c r="BC217" s="1607"/>
      <c r="BD217" s="1607"/>
      <c r="BE217" s="1607"/>
      <c r="BF217" s="1607"/>
      <c r="BG217" s="1607"/>
      <c r="BH217" s="1607"/>
      <c r="BI217" s="1607"/>
      <c r="BJ217" s="1607"/>
      <c r="BK217" s="1607"/>
      <c r="BL217" s="1607"/>
    </row>
    <row r="218">
      <c r="A218" s="1607"/>
      <c r="B218" s="1607"/>
      <c r="C218" s="1607"/>
      <c r="D218" s="1607"/>
      <c r="E218" s="1607"/>
      <c r="F218" s="1607"/>
      <c r="G218" s="1607"/>
      <c r="H218" s="1607"/>
      <c r="I218" s="1607"/>
      <c r="J218" s="1607"/>
      <c r="K218" s="1607"/>
      <c r="L218" s="1607"/>
      <c r="M218" s="1607"/>
      <c r="N218" s="1607"/>
      <c r="O218" s="1607"/>
      <c r="P218" s="1607"/>
      <c r="Q218" s="1607"/>
      <c r="R218" s="1607"/>
      <c r="S218" s="1607"/>
      <c r="T218" s="1607"/>
      <c r="U218" s="1607"/>
      <c r="V218" s="1607"/>
      <c r="W218" s="1607"/>
      <c r="X218" s="1607"/>
      <c r="Y218" s="1607"/>
      <c r="Z218" s="1607"/>
      <c r="AA218" s="1607"/>
      <c r="AB218" s="1607"/>
      <c r="AC218" s="1607"/>
      <c r="AD218" s="1607"/>
      <c r="AE218" s="1607"/>
      <c r="AF218" s="1607"/>
      <c r="AG218" s="1607"/>
      <c r="AH218" s="1607"/>
      <c r="AI218" s="1607"/>
      <c r="AJ218" s="1607"/>
      <c r="AK218" s="1607"/>
      <c r="AL218" s="1607"/>
      <c r="AM218" s="1607"/>
      <c r="AN218" s="1607"/>
      <c r="AO218" s="1607"/>
      <c r="AP218" s="1607"/>
      <c r="AQ218" s="1607"/>
      <c r="AR218" s="1607"/>
      <c r="AS218" s="1607"/>
      <c r="AT218" s="1607"/>
      <c r="AU218" s="1607"/>
      <c r="AV218" s="1607"/>
      <c r="AW218" s="1607"/>
      <c r="AX218" s="1607"/>
      <c r="AY218" s="1607"/>
      <c r="AZ218" s="1607"/>
      <c r="BA218" s="1607"/>
      <c r="BB218" s="1607"/>
      <c r="BC218" s="1607"/>
      <c r="BD218" s="1607"/>
      <c r="BE218" s="1607"/>
      <c r="BF218" s="1607"/>
      <c r="BG218" s="1607"/>
      <c r="BH218" s="1607"/>
      <c r="BI218" s="1607"/>
      <c r="BJ218" s="1607"/>
      <c r="BK218" s="1607"/>
      <c r="BL218" s="1607"/>
    </row>
    <row r="219">
      <c r="A219" s="1607"/>
      <c r="B219" s="1607"/>
      <c r="C219" s="1607"/>
      <c r="D219" s="1607"/>
      <c r="E219" s="1607"/>
      <c r="F219" s="1607"/>
      <c r="G219" s="1607"/>
      <c r="H219" s="1607"/>
      <c r="I219" s="1607"/>
      <c r="J219" s="1607"/>
      <c r="K219" s="1607"/>
      <c r="L219" s="1607"/>
      <c r="M219" s="1607"/>
      <c r="N219" s="1607"/>
      <c r="O219" s="1607"/>
      <c r="P219" s="1607"/>
      <c r="Q219" s="1607"/>
      <c r="R219" s="1607"/>
      <c r="S219" s="1607"/>
      <c r="T219" s="1607"/>
      <c r="U219" s="1607"/>
      <c r="V219" s="1607"/>
      <c r="W219" s="1607"/>
      <c r="X219" s="1607"/>
      <c r="Y219" s="1607"/>
      <c r="Z219" s="1607"/>
      <c r="AA219" s="1607"/>
      <c r="AB219" s="1607"/>
      <c r="AC219" s="1607"/>
      <c r="AD219" s="1607"/>
      <c r="AE219" s="1607"/>
      <c r="AF219" s="1607"/>
      <c r="AG219" s="1607"/>
      <c r="AH219" s="1607"/>
      <c r="AI219" s="1607"/>
      <c r="AJ219" s="1607"/>
      <c r="AK219" s="1607"/>
      <c r="AL219" s="1607"/>
      <c r="AM219" s="1607"/>
      <c r="AN219" s="1607"/>
      <c r="AO219" s="1607"/>
      <c r="AP219" s="1607"/>
      <c r="AQ219" s="1607"/>
      <c r="AR219" s="1607"/>
      <c r="AS219" s="1607"/>
      <c r="AT219" s="1607"/>
      <c r="AU219" s="1607"/>
      <c r="AV219" s="1607"/>
      <c r="AW219" s="1607"/>
      <c r="AX219" s="1607"/>
      <c r="AY219" s="1607"/>
      <c r="AZ219" s="1607"/>
      <c r="BA219" s="1607"/>
      <c r="BB219" s="1607"/>
      <c r="BC219" s="1607"/>
      <c r="BD219" s="1607"/>
      <c r="BE219" s="1607"/>
      <c r="BF219" s="1607"/>
      <c r="BG219" s="1607"/>
      <c r="BH219" s="1607"/>
      <c r="BI219" s="1607"/>
      <c r="BJ219" s="1607"/>
      <c r="BK219" s="1607"/>
      <c r="BL219" s="1607"/>
    </row>
    <row r="220">
      <c r="A220" s="1607"/>
      <c r="B220" s="1607"/>
      <c r="C220" s="1607"/>
      <c r="D220" s="1607"/>
      <c r="E220" s="1607"/>
      <c r="F220" s="1607"/>
      <c r="G220" s="1607"/>
      <c r="H220" s="1607"/>
      <c r="I220" s="1607"/>
      <c r="J220" s="1607"/>
      <c r="K220" s="1607"/>
      <c r="L220" s="1607"/>
      <c r="M220" s="1607"/>
      <c r="N220" s="1607"/>
      <c r="O220" s="1607"/>
      <c r="P220" s="1607"/>
      <c r="Q220" s="1607"/>
      <c r="R220" s="1607"/>
      <c r="S220" s="1607"/>
      <c r="T220" s="1607"/>
      <c r="U220" s="1607"/>
      <c r="V220" s="1607"/>
      <c r="W220" s="1607"/>
      <c r="X220" s="1607"/>
      <c r="Y220" s="1607"/>
      <c r="Z220" s="1607"/>
      <c r="AA220" s="1607"/>
      <c r="AB220" s="1607"/>
      <c r="AC220" s="1607"/>
      <c r="AD220" s="1607"/>
      <c r="AE220" s="1607"/>
      <c r="AF220" s="1607"/>
      <c r="AG220" s="1607"/>
      <c r="AH220" s="1607"/>
      <c r="AI220" s="1607"/>
      <c r="AJ220" s="1607"/>
      <c r="AK220" s="1607"/>
      <c r="AL220" s="1607"/>
      <c r="AM220" s="1607"/>
      <c r="AN220" s="1607"/>
      <c r="AO220" s="1607"/>
      <c r="AP220" s="1607"/>
      <c r="AQ220" s="1607"/>
      <c r="AR220" s="1607"/>
      <c r="AS220" s="1607"/>
      <c r="AT220" s="1607"/>
      <c r="AU220" s="1607"/>
      <c r="AV220" s="1607"/>
      <c r="AW220" s="1607"/>
      <c r="AX220" s="1607"/>
      <c r="AY220" s="1607"/>
      <c r="AZ220" s="1607"/>
      <c r="BA220" s="1607"/>
      <c r="BB220" s="1607"/>
      <c r="BC220" s="1607"/>
      <c r="BD220" s="1607"/>
      <c r="BE220" s="1607"/>
      <c r="BF220" s="1607"/>
      <c r="BG220" s="1607"/>
      <c r="BH220" s="1607"/>
      <c r="BI220" s="1607"/>
      <c r="BJ220" s="1607"/>
      <c r="BK220" s="1607"/>
      <c r="BL220" s="1607"/>
    </row>
    <row r="221">
      <c r="A221" s="1607"/>
      <c r="B221" s="1607"/>
      <c r="C221" s="1607"/>
      <c r="D221" s="1607"/>
      <c r="E221" s="1607"/>
      <c r="F221" s="1607"/>
      <c r="G221" s="1607"/>
      <c r="H221" s="1607"/>
      <c r="I221" s="1607"/>
      <c r="J221" s="1607"/>
      <c r="K221" s="1607"/>
      <c r="L221" s="1607"/>
      <c r="M221" s="1607"/>
      <c r="N221" s="1607"/>
      <c r="O221" s="1607"/>
      <c r="P221" s="1607"/>
      <c r="Q221" s="1607"/>
      <c r="R221" s="1607"/>
      <c r="S221" s="1607"/>
      <c r="T221" s="1607"/>
      <c r="U221" s="1607"/>
      <c r="V221" s="1607"/>
      <c r="W221" s="1607"/>
      <c r="X221" s="1607"/>
      <c r="Y221" s="1607"/>
      <c r="Z221" s="1607"/>
      <c r="AA221" s="1607"/>
      <c r="AB221" s="1607"/>
      <c r="AC221" s="1607"/>
      <c r="AD221" s="1607"/>
      <c r="AE221" s="1607"/>
      <c r="AF221" s="1607"/>
      <c r="AG221" s="1607"/>
      <c r="AH221" s="1607"/>
      <c r="AI221" s="1607"/>
      <c r="AJ221" s="1607"/>
      <c r="AK221" s="1607"/>
      <c r="AL221" s="1607"/>
      <c r="AM221" s="1607"/>
      <c r="AN221" s="1607"/>
      <c r="AO221" s="1607"/>
      <c r="AP221" s="1607"/>
      <c r="AQ221" s="1607"/>
      <c r="AR221" s="1607"/>
      <c r="AS221" s="1607"/>
      <c r="AT221" s="1607"/>
      <c r="AU221" s="1607"/>
      <c r="AV221" s="1607"/>
      <c r="AW221" s="1607"/>
      <c r="AX221" s="1607"/>
      <c r="AY221" s="1607"/>
      <c r="AZ221" s="1607"/>
      <c r="BA221" s="1607"/>
      <c r="BB221" s="1607"/>
      <c r="BC221" s="1607"/>
      <c r="BD221" s="1607"/>
      <c r="BE221" s="1607"/>
      <c r="BF221" s="1607"/>
      <c r="BG221" s="1607"/>
      <c r="BH221" s="1607"/>
      <c r="BI221" s="1607"/>
      <c r="BJ221" s="1607"/>
      <c r="BK221" s="1607"/>
      <c r="BL221" s="1607"/>
    </row>
    <row r="222">
      <c r="A222" s="1607"/>
      <c r="B222" s="1607"/>
      <c r="C222" s="1607"/>
      <c r="D222" s="1607"/>
      <c r="E222" s="1607"/>
      <c r="F222" s="1607"/>
      <c r="G222" s="1607"/>
      <c r="H222" s="1607"/>
      <c r="I222" s="1607"/>
      <c r="J222" s="1607"/>
      <c r="K222" s="1607"/>
      <c r="L222" s="1607"/>
      <c r="M222" s="1607"/>
      <c r="N222" s="1607"/>
      <c r="O222" s="1607"/>
      <c r="P222" s="1607"/>
      <c r="Q222" s="1607"/>
      <c r="R222" s="1607"/>
      <c r="S222" s="1607"/>
      <c r="T222" s="1607"/>
      <c r="U222" s="1607"/>
      <c r="V222" s="1607"/>
      <c r="W222" s="1607"/>
      <c r="X222" s="1607"/>
      <c r="Y222" s="1607"/>
      <c r="Z222" s="1607"/>
      <c r="AA222" s="1607"/>
      <c r="AB222" s="1607"/>
      <c r="AC222" s="1607"/>
      <c r="AD222" s="1607"/>
      <c r="AE222" s="1607"/>
      <c r="AF222" s="1607"/>
      <c r="AG222" s="1607"/>
      <c r="AH222" s="1607"/>
      <c r="AI222" s="1607"/>
      <c r="AJ222" s="1607"/>
      <c r="AK222" s="1607"/>
      <c r="AL222" s="1607"/>
      <c r="AM222" s="1607"/>
      <c r="AN222" s="1607"/>
      <c r="AO222" s="1607"/>
      <c r="AP222" s="1607"/>
      <c r="AQ222" s="1607"/>
      <c r="AR222" s="1607"/>
      <c r="AS222" s="1607"/>
      <c r="AT222" s="1607"/>
      <c r="AU222" s="1607"/>
      <c r="AV222" s="1607"/>
      <c r="AW222" s="1607"/>
      <c r="AX222" s="1607"/>
      <c r="AY222" s="1607"/>
      <c r="AZ222" s="1607"/>
      <c r="BA222" s="1607"/>
      <c r="BB222" s="1607"/>
      <c r="BC222" s="1607"/>
      <c r="BD222" s="1607"/>
      <c r="BE222" s="1607"/>
      <c r="BF222" s="1607"/>
      <c r="BG222" s="1607"/>
      <c r="BH222" s="1607"/>
      <c r="BI222" s="1607"/>
      <c r="BJ222" s="1607"/>
      <c r="BK222" s="1607"/>
      <c r="BL222" s="1607"/>
    </row>
    <row r="223">
      <c r="A223" s="1607"/>
      <c r="B223" s="1607"/>
      <c r="C223" s="1607"/>
      <c r="D223" s="1607"/>
      <c r="E223" s="1607"/>
      <c r="F223" s="1607"/>
      <c r="G223" s="1607"/>
      <c r="H223" s="1607"/>
      <c r="I223" s="1607"/>
      <c r="J223" s="1607"/>
      <c r="K223" s="1607"/>
      <c r="L223" s="1607"/>
      <c r="M223" s="1607"/>
      <c r="N223" s="1607"/>
      <c r="O223" s="1607"/>
      <c r="P223" s="1607"/>
      <c r="Q223" s="1607"/>
      <c r="R223" s="1607"/>
      <c r="S223" s="1607"/>
      <c r="T223" s="1607"/>
      <c r="U223" s="1607"/>
      <c r="V223" s="1607"/>
      <c r="W223" s="1607"/>
      <c r="X223" s="1607"/>
      <c r="Y223" s="1607"/>
      <c r="Z223" s="1607"/>
      <c r="AA223" s="1607"/>
      <c r="AB223" s="1607"/>
      <c r="AC223" s="1607"/>
      <c r="AD223" s="1607"/>
      <c r="AE223" s="1607"/>
      <c r="AF223" s="1607"/>
      <c r="AG223" s="1607"/>
      <c r="AH223" s="1607"/>
      <c r="AI223" s="1607"/>
      <c r="AJ223" s="1607"/>
      <c r="AK223" s="1607"/>
      <c r="AL223" s="1607"/>
      <c r="AM223" s="1607"/>
      <c r="AN223" s="1607"/>
      <c r="AO223" s="1607"/>
      <c r="AP223" s="1607"/>
      <c r="AQ223" s="1607"/>
      <c r="AR223" s="1607"/>
      <c r="AS223" s="1607"/>
      <c r="AT223" s="1607"/>
      <c r="AU223" s="1607"/>
      <c r="AV223" s="1607"/>
      <c r="AW223" s="1607"/>
      <c r="AX223" s="1607"/>
      <c r="AY223" s="1607"/>
      <c r="AZ223" s="1607"/>
      <c r="BA223" s="1607"/>
      <c r="BB223" s="1607"/>
      <c r="BC223" s="1607"/>
      <c r="BD223" s="1607"/>
      <c r="BE223" s="1607"/>
      <c r="BF223" s="1607"/>
      <c r="BG223" s="1607"/>
      <c r="BH223" s="1607"/>
      <c r="BI223" s="1607"/>
      <c r="BJ223" s="1607"/>
      <c r="BK223" s="1607"/>
      <c r="BL223" s="1607"/>
    </row>
    <row r="224">
      <c r="A224" s="1607"/>
      <c r="B224" s="1607"/>
      <c r="C224" s="1607"/>
      <c r="D224" s="1607"/>
      <c r="E224" s="1607"/>
      <c r="F224" s="1607"/>
      <c r="G224" s="1607"/>
      <c r="H224" s="1607"/>
      <c r="I224" s="1607"/>
      <c r="J224" s="1607"/>
      <c r="K224" s="1607"/>
      <c r="L224" s="1607"/>
      <c r="M224" s="1607"/>
      <c r="N224" s="1607"/>
      <c r="O224" s="1607"/>
      <c r="P224" s="1607"/>
      <c r="Q224" s="1607"/>
      <c r="R224" s="1607"/>
      <c r="S224" s="1607"/>
      <c r="T224" s="1607"/>
      <c r="U224" s="1607"/>
      <c r="V224" s="1607"/>
      <c r="W224" s="1607"/>
      <c r="X224" s="1607"/>
      <c r="Y224" s="1607"/>
      <c r="Z224" s="1607"/>
      <c r="AA224" s="1607"/>
      <c r="AB224" s="1607"/>
      <c r="AC224" s="1607"/>
      <c r="AD224" s="1607"/>
      <c r="AE224" s="1607"/>
      <c r="AF224" s="1607"/>
      <c r="AG224" s="1607"/>
      <c r="AH224" s="1607"/>
      <c r="AI224" s="1607"/>
      <c r="AJ224" s="1607"/>
      <c r="AK224" s="1607"/>
      <c r="AL224" s="1607"/>
      <c r="AM224" s="1607"/>
      <c r="AN224" s="1607"/>
      <c r="AO224" s="1607"/>
      <c r="AP224" s="1607"/>
      <c r="AQ224" s="1607"/>
      <c r="AR224" s="1607"/>
      <c r="AS224" s="1607"/>
      <c r="AT224" s="1607"/>
      <c r="AU224" s="1607"/>
      <c r="AV224" s="1607"/>
      <c r="AW224" s="1607"/>
      <c r="AX224" s="1607"/>
      <c r="AY224" s="1607"/>
      <c r="AZ224" s="1607"/>
      <c r="BA224" s="1607"/>
      <c r="BB224" s="1607"/>
      <c r="BC224" s="1607"/>
      <c r="BD224" s="1607"/>
      <c r="BE224" s="1607"/>
      <c r="BF224" s="1607"/>
      <c r="BG224" s="1607"/>
      <c r="BH224" s="1607"/>
      <c r="BI224" s="1607"/>
      <c r="BJ224" s="1607"/>
      <c r="BK224" s="1607"/>
      <c r="BL224" s="1607"/>
    </row>
    <row r="225">
      <c r="A225" s="1607"/>
      <c r="B225" s="1607"/>
      <c r="C225" s="1607"/>
      <c r="D225" s="1607"/>
      <c r="E225" s="1607"/>
      <c r="F225" s="1607"/>
      <c r="G225" s="1607"/>
      <c r="H225" s="1607"/>
      <c r="I225" s="1607"/>
      <c r="J225" s="1607"/>
      <c r="K225" s="1607"/>
      <c r="L225" s="1607"/>
      <c r="M225" s="1607"/>
      <c r="N225" s="1607"/>
      <c r="O225" s="1607"/>
      <c r="P225" s="1607"/>
      <c r="Q225" s="1607"/>
      <c r="R225" s="1607"/>
      <c r="S225" s="1607"/>
      <c r="T225" s="1607"/>
      <c r="U225" s="1607"/>
      <c r="V225" s="1607"/>
      <c r="W225" s="1607"/>
      <c r="X225" s="1607"/>
      <c r="Y225" s="1607"/>
      <c r="Z225" s="1607"/>
      <c r="AA225" s="1607"/>
      <c r="AB225" s="1607"/>
      <c r="AC225" s="1607"/>
      <c r="AD225" s="1607"/>
      <c r="AE225" s="1607"/>
      <c r="AF225" s="1607"/>
      <c r="AG225" s="1607"/>
      <c r="AH225" s="1607"/>
      <c r="AI225" s="1607"/>
      <c r="AJ225" s="1607"/>
      <c r="AK225" s="1607"/>
      <c r="AL225" s="1607"/>
      <c r="AM225" s="1607"/>
      <c r="AN225" s="1607"/>
      <c r="AO225" s="1607"/>
      <c r="AP225" s="1607"/>
      <c r="AQ225" s="1607"/>
      <c r="AR225" s="1607"/>
      <c r="AS225" s="1607"/>
      <c r="AT225" s="1607"/>
      <c r="AU225" s="1607"/>
      <c r="AV225" s="1607"/>
      <c r="AW225" s="1607"/>
      <c r="AX225" s="1607"/>
      <c r="AY225" s="1607"/>
      <c r="AZ225" s="1607"/>
      <c r="BA225" s="1607"/>
      <c r="BB225" s="1607"/>
      <c r="BC225" s="1607"/>
      <c r="BD225" s="1607"/>
      <c r="BE225" s="1607"/>
      <c r="BF225" s="1607"/>
      <c r="BG225" s="1607"/>
      <c r="BH225" s="1607"/>
      <c r="BI225" s="1607"/>
      <c r="BJ225" s="1607"/>
      <c r="BK225" s="1607"/>
      <c r="BL225" s="1607"/>
    </row>
    <row r="226">
      <c r="A226" s="1607"/>
      <c r="B226" s="1607"/>
      <c r="C226" s="1607"/>
      <c r="D226" s="1607"/>
      <c r="E226" s="1607"/>
      <c r="F226" s="1607"/>
      <c r="G226" s="1607"/>
      <c r="H226" s="1607"/>
      <c r="I226" s="1607"/>
      <c r="J226" s="1607"/>
      <c r="K226" s="1607"/>
      <c r="L226" s="1607"/>
      <c r="M226" s="1607"/>
      <c r="N226" s="1607"/>
      <c r="O226" s="1607"/>
      <c r="P226" s="1607"/>
      <c r="Q226" s="1607"/>
      <c r="R226" s="1607"/>
      <c r="S226" s="1607"/>
      <c r="T226" s="1607"/>
      <c r="U226" s="1607"/>
      <c r="V226" s="1607"/>
      <c r="W226" s="1607"/>
      <c r="X226" s="1607"/>
      <c r="Y226" s="1607"/>
      <c r="Z226" s="1607"/>
      <c r="AA226" s="1607"/>
      <c r="AB226" s="1607"/>
      <c r="AC226" s="1607"/>
      <c r="AD226" s="1607"/>
      <c r="AE226" s="1607"/>
      <c r="AF226" s="1607"/>
      <c r="AG226" s="1607"/>
      <c r="AH226" s="1607"/>
      <c r="AI226" s="1607"/>
      <c r="AJ226" s="1607"/>
      <c r="AK226" s="1607"/>
      <c r="AL226" s="1607"/>
      <c r="AM226" s="1607"/>
      <c r="AN226" s="1607"/>
      <c r="AO226" s="1607"/>
      <c r="AP226" s="1607"/>
      <c r="AQ226" s="1607"/>
      <c r="AR226" s="1607"/>
      <c r="AS226" s="1607"/>
      <c r="AT226" s="1607"/>
      <c r="AU226" s="1607"/>
      <c r="AV226" s="1607"/>
      <c r="AW226" s="1607"/>
      <c r="AX226" s="1607"/>
      <c r="AY226" s="1607"/>
      <c r="AZ226" s="1607"/>
      <c r="BA226" s="1607"/>
      <c r="BB226" s="1607"/>
      <c r="BC226" s="1607"/>
      <c r="BD226" s="1607"/>
      <c r="BE226" s="1607"/>
      <c r="BF226" s="1607"/>
      <c r="BG226" s="1607"/>
      <c r="BH226" s="1607"/>
      <c r="BI226" s="1607"/>
      <c r="BJ226" s="1607"/>
      <c r="BK226" s="1607"/>
      <c r="BL226" s="1607"/>
    </row>
    <row r="227">
      <c r="A227" s="1607"/>
      <c r="B227" s="1607"/>
      <c r="C227" s="1607"/>
      <c r="D227" s="1607"/>
      <c r="E227" s="1607"/>
      <c r="F227" s="1607"/>
      <c r="G227" s="1607"/>
      <c r="H227" s="1607"/>
      <c r="I227" s="1607"/>
      <c r="J227" s="1607"/>
      <c r="K227" s="1607"/>
      <c r="L227" s="1607"/>
      <c r="M227" s="1607"/>
      <c r="N227" s="1607"/>
      <c r="O227" s="1607"/>
      <c r="P227" s="1607"/>
      <c r="Q227" s="1607"/>
      <c r="R227" s="1607"/>
      <c r="S227" s="1607"/>
      <c r="T227" s="1607"/>
      <c r="U227" s="1607"/>
      <c r="V227" s="1607"/>
      <c r="W227" s="1607"/>
      <c r="X227" s="1607"/>
      <c r="Y227" s="1607"/>
      <c r="Z227" s="1607"/>
      <c r="AA227" s="1607"/>
      <c r="AB227" s="1607"/>
      <c r="AC227" s="1607"/>
      <c r="AD227" s="1607"/>
      <c r="AE227" s="1607"/>
      <c r="AF227" s="1607"/>
      <c r="AG227" s="1607"/>
      <c r="AH227" s="1607"/>
      <c r="AI227" s="1607"/>
      <c r="AJ227" s="1607"/>
      <c r="AK227" s="1607"/>
      <c r="AL227" s="1607"/>
      <c r="AM227" s="1607"/>
      <c r="AN227" s="1607"/>
      <c r="AO227" s="1607"/>
      <c r="AP227" s="1607"/>
      <c r="AQ227" s="1607"/>
      <c r="AR227" s="1607"/>
      <c r="AS227" s="1607"/>
      <c r="AT227" s="1607"/>
      <c r="AU227" s="1607"/>
      <c r="AV227" s="1607"/>
      <c r="AW227" s="1607"/>
      <c r="AX227" s="1607"/>
      <c r="AY227" s="1607"/>
      <c r="AZ227" s="1607"/>
      <c r="BA227" s="1607"/>
      <c r="BB227" s="1607"/>
      <c r="BC227" s="1607"/>
      <c r="BD227" s="1607"/>
      <c r="BE227" s="1607"/>
      <c r="BF227" s="1607"/>
      <c r="BG227" s="1607"/>
      <c r="BH227" s="1607"/>
      <c r="BI227" s="1607"/>
      <c r="BJ227" s="1607"/>
      <c r="BK227" s="1607"/>
      <c r="BL227" s="1607"/>
    </row>
    <row r="228">
      <c r="A228" s="1607"/>
      <c r="B228" s="1607"/>
      <c r="C228" s="1607"/>
      <c r="D228" s="1607"/>
      <c r="E228" s="1607"/>
      <c r="F228" s="1607"/>
      <c r="G228" s="1607"/>
      <c r="H228" s="1607"/>
      <c r="I228" s="1607"/>
      <c r="J228" s="1607"/>
      <c r="K228" s="1607"/>
      <c r="L228" s="1607"/>
      <c r="M228" s="1607"/>
      <c r="N228" s="1607"/>
      <c r="O228" s="1607"/>
      <c r="P228" s="1607"/>
      <c r="Q228" s="1607"/>
      <c r="R228" s="1607"/>
      <c r="S228" s="1607"/>
      <c r="T228" s="1607"/>
      <c r="U228" s="1607"/>
      <c r="V228" s="1607"/>
      <c r="W228" s="1607"/>
      <c r="X228" s="1607"/>
      <c r="Y228" s="1607"/>
      <c r="Z228" s="1607"/>
      <c r="AA228" s="1607"/>
      <c r="AB228" s="1607"/>
      <c r="AC228" s="1607"/>
      <c r="AD228" s="1607"/>
      <c r="AE228" s="1607"/>
      <c r="AF228" s="1607"/>
      <c r="AG228" s="1607"/>
      <c r="AH228" s="1607"/>
      <c r="AI228" s="1607"/>
      <c r="AJ228" s="1607"/>
      <c r="AK228" s="1607"/>
      <c r="AL228" s="1607"/>
      <c r="AM228" s="1607"/>
      <c r="AN228" s="1607"/>
      <c r="AO228" s="1607"/>
      <c r="AP228" s="1607"/>
      <c r="AQ228" s="1607"/>
      <c r="AR228" s="1607"/>
      <c r="AS228" s="1607"/>
      <c r="AT228" s="1607"/>
      <c r="AU228" s="1607"/>
      <c r="AV228" s="1607"/>
      <c r="AW228" s="1607"/>
      <c r="AX228" s="1607"/>
      <c r="AY228" s="1607"/>
      <c r="AZ228" s="1607"/>
      <c r="BA228" s="1607"/>
      <c r="BB228" s="1607"/>
      <c r="BC228" s="1607"/>
      <c r="BD228" s="1607"/>
      <c r="BE228" s="1607"/>
      <c r="BF228" s="1607"/>
      <c r="BG228" s="1607"/>
      <c r="BH228" s="1607"/>
      <c r="BI228" s="1607"/>
      <c r="BJ228" s="1607"/>
      <c r="BK228" s="1607"/>
      <c r="BL228" s="1607"/>
    </row>
    <row r="229">
      <c r="A229" s="1607"/>
      <c r="B229" s="1607"/>
      <c r="C229" s="1607"/>
      <c r="D229" s="1607"/>
      <c r="E229" s="1607"/>
      <c r="F229" s="1607"/>
      <c r="G229" s="1607"/>
      <c r="H229" s="1607"/>
      <c r="I229" s="1607"/>
      <c r="J229" s="1607"/>
      <c r="K229" s="1607"/>
      <c r="L229" s="1607"/>
      <c r="M229" s="1607"/>
      <c r="N229" s="1607"/>
      <c r="O229" s="1607"/>
      <c r="P229" s="1607"/>
      <c r="Q229" s="1607"/>
      <c r="R229" s="1607"/>
      <c r="S229" s="1607"/>
      <c r="T229" s="1607"/>
      <c r="U229" s="1607"/>
      <c r="V229" s="1607"/>
      <c r="W229" s="1607"/>
      <c r="X229" s="1607"/>
      <c r="Y229" s="1607"/>
      <c r="Z229" s="1607"/>
      <c r="AA229" s="1607"/>
      <c r="AB229" s="1607"/>
      <c r="AC229" s="1607"/>
      <c r="AD229" s="1607"/>
      <c r="AE229" s="1607"/>
      <c r="AF229" s="1607"/>
      <c r="AG229" s="1607"/>
      <c r="AH229" s="1607"/>
      <c r="AI229" s="1607"/>
      <c r="AJ229" s="1607"/>
      <c r="AK229" s="1607"/>
      <c r="AL229" s="1607"/>
      <c r="AM229" s="1607"/>
      <c r="AN229" s="1607"/>
      <c r="AO229" s="1607"/>
      <c r="AP229" s="1607"/>
      <c r="AQ229" s="1607"/>
      <c r="AR229" s="1607"/>
      <c r="AS229" s="1607"/>
      <c r="AT229" s="1607"/>
      <c r="AU229" s="1607"/>
      <c r="AV229" s="1607"/>
      <c r="AW229" s="1607"/>
      <c r="AX229" s="1607"/>
      <c r="AY229" s="1607"/>
      <c r="AZ229" s="1607"/>
      <c r="BA229" s="1607"/>
      <c r="BB229" s="1607"/>
      <c r="BC229" s="1607"/>
      <c r="BD229" s="1607"/>
      <c r="BE229" s="1607"/>
      <c r="BF229" s="1607"/>
      <c r="BG229" s="1607"/>
      <c r="BH229" s="1607"/>
      <c r="BI229" s="1607"/>
      <c r="BJ229" s="1607"/>
      <c r="BK229" s="1607"/>
      <c r="BL229" s="1607"/>
    </row>
    <row r="230">
      <c r="A230" s="1607"/>
      <c r="B230" s="1607"/>
      <c r="C230" s="1607"/>
      <c r="D230" s="1607"/>
      <c r="E230" s="1607"/>
      <c r="F230" s="1607"/>
      <c r="G230" s="1607"/>
      <c r="H230" s="1607"/>
      <c r="I230" s="1607"/>
      <c r="J230" s="1607"/>
      <c r="K230" s="1607"/>
      <c r="L230" s="1607"/>
      <c r="M230" s="1607"/>
      <c r="N230" s="1607"/>
      <c r="O230" s="1607"/>
      <c r="P230" s="1607"/>
      <c r="Q230" s="1607"/>
      <c r="R230" s="1607"/>
      <c r="S230" s="1607"/>
      <c r="T230" s="1607"/>
      <c r="U230" s="1607"/>
      <c r="V230" s="1607"/>
      <c r="W230" s="1607"/>
      <c r="X230" s="1607"/>
      <c r="Y230" s="1607"/>
      <c r="Z230" s="1607"/>
      <c r="AA230" s="1607"/>
      <c r="AB230" s="1607"/>
      <c r="AC230" s="1607"/>
      <c r="AD230" s="1607"/>
      <c r="AE230" s="1607"/>
      <c r="AF230" s="1607"/>
      <c r="AG230" s="1607"/>
      <c r="AH230" s="1607"/>
      <c r="AI230" s="1607"/>
      <c r="AJ230" s="1607"/>
      <c r="AK230" s="1607"/>
      <c r="AL230" s="1607"/>
      <c r="AM230" s="1607"/>
      <c r="AN230" s="1607"/>
      <c r="AO230" s="1607"/>
      <c r="AP230" s="1607"/>
      <c r="AQ230" s="1607"/>
      <c r="AR230" s="1607"/>
      <c r="AS230" s="1607"/>
      <c r="AT230" s="1607"/>
      <c r="AU230" s="1607"/>
      <c r="AV230" s="1607"/>
      <c r="AW230" s="1607"/>
      <c r="AX230" s="1607"/>
      <c r="AY230" s="1607"/>
      <c r="AZ230" s="1607"/>
      <c r="BA230" s="1607"/>
      <c r="BB230" s="1607"/>
      <c r="BC230" s="1607"/>
      <c r="BD230" s="1607"/>
      <c r="BE230" s="1607"/>
      <c r="BF230" s="1607"/>
      <c r="BG230" s="1607"/>
      <c r="BH230" s="1607"/>
      <c r="BI230" s="1607"/>
      <c r="BJ230" s="1607"/>
      <c r="BK230" s="1607"/>
      <c r="BL230" s="1607"/>
    </row>
    <row r="231">
      <c r="A231" s="1607"/>
      <c r="B231" s="1607"/>
      <c r="C231" s="1607"/>
      <c r="D231" s="1607"/>
      <c r="E231" s="1607"/>
      <c r="F231" s="1607"/>
      <c r="G231" s="1607"/>
      <c r="H231" s="1607"/>
      <c r="I231" s="1607"/>
      <c r="J231" s="1607"/>
      <c r="K231" s="1607"/>
      <c r="L231" s="1607"/>
      <c r="M231" s="1607"/>
      <c r="N231" s="1607"/>
      <c r="O231" s="1607"/>
      <c r="P231" s="1607"/>
      <c r="Q231" s="1607"/>
      <c r="R231" s="1607"/>
      <c r="S231" s="1607"/>
      <c r="T231" s="1607"/>
      <c r="U231" s="1607"/>
      <c r="V231" s="1607"/>
      <c r="W231" s="1607"/>
      <c r="X231" s="1607"/>
      <c r="Y231" s="1607"/>
      <c r="Z231" s="1607"/>
      <c r="AA231" s="1607"/>
      <c r="AB231" s="1607"/>
      <c r="AC231" s="1607"/>
      <c r="AD231" s="1607"/>
      <c r="AE231" s="1607"/>
      <c r="AF231" s="1607"/>
      <c r="AG231" s="1607"/>
      <c r="AH231" s="1607"/>
      <c r="AI231" s="1607"/>
      <c r="AJ231" s="1607"/>
      <c r="AK231" s="1607"/>
      <c r="AL231" s="1607"/>
      <c r="AM231" s="1607"/>
      <c r="AN231" s="1607"/>
      <c r="AO231" s="1607"/>
      <c r="AP231" s="1607"/>
      <c r="AQ231" s="1607"/>
      <c r="AR231" s="1607"/>
      <c r="AS231" s="1607"/>
      <c r="AT231" s="1607"/>
      <c r="AU231" s="1607"/>
      <c r="AV231" s="1607"/>
      <c r="AW231" s="1607"/>
      <c r="AX231" s="1607"/>
      <c r="AY231" s="1607"/>
      <c r="AZ231" s="1607"/>
      <c r="BA231" s="1607"/>
      <c r="BB231" s="1607"/>
      <c r="BC231" s="1607"/>
      <c r="BD231" s="1607"/>
      <c r="BE231" s="1607"/>
      <c r="BF231" s="1607"/>
      <c r="BG231" s="1607"/>
      <c r="BH231" s="1607"/>
      <c r="BI231" s="1607"/>
      <c r="BJ231" s="1607"/>
      <c r="BK231" s="1607"/>
      <c r="BL231" s="1607"/>
    </row>
    <row r="232">
      <c r="A232" s="1607"/>
      <c r="B232" s="1607"/>
      <c r="C232" s="1607"/>
      <c r="D232" s="1607"/>
      <c r="E232" s="1607"/>
      <c r="F232" s="1607"/>
      <c r="G232" s="1607"/>
      <c r="H232" s="1607"/>
      <c r="I232" s="1607"/>
      <c r="J232" s="1607"/>
      <c r="K232" s="1607"/>
      <c r="L232" s="1607"/>
      <c r="M232" s="1607"/>
      <c r="N232" s="1607"/>
      <c r="O232" s="1607"/>
      <c r="P232" s="1607"/>
      <c r="Q232" s="1607"/>
      <c r="R232" s="1607"/>
      <c r="S232" s="1607"/>
      <c r="T232" s="1607"/>
      <c r="U232" s="1607"/>
      <c r="V232" s="1607"/>
      <c r="W232" s="1607"/>
      <c r="X232" s="1607"/>
      <c r="Y232" s="1607"/>
      <c r="Z232" s="1607"/>
      <c r="AA232" s="1607"/>
      <c r="AB232" s="1607"/>
      <c r="AC232" s="1607"/>
      <c r="AD232" s="1607"/>
      <c r="AE232" s="1607"/>
      <c r="AF232" s="1607"/>
      <c r="AG232" s="1607"/>
      <c r="AH232" s="1607"/>
      <c r="AI232" s="1607"/>
      <c r="AJ232" s="1607"/>
      <c r="AK232" s="1607"/>
      <c r="AL232" s="1607"/>
      <c r="AM232" s="1607"/>
      <c r="AN232" s="1607"/>
      <c r="AO232" s="1607"/>
      <c r="AP232" s="1607"/>
      <c r="AQ232" s="1607"/>
      <c r="AR232" s="1607"/>
      <c r="AS232" s="1607"/>
      <c r="AT232" s="1607"/>
      <c r="AU232" s="1607"/>
      <c r="AV232" s="1607"/>
      <c r="AW232" s="1607"/>
      <c r="AX232" s="1607"/>
      <c r="AY232" s="1607"/>
      <c r="AZ232" s="1607"/>
      <c r="BA232" s="1607"/>
      <c r="BB232" s="1607"/>
      <c r="BC232" s="1607"/>
      <c r="BD232" s="1607"/>
      <c r="BE232" s="1607"/>
      <c r="BF232" s="1607"/>
      <c r="BG232" s="1607"/>
      <c r="BH232" s="1607"/>
      <c r="BI232" s="1607"/>
      <c r="BJ232" s="1607"/>
      <c r="BK232" s="1607"/>
      <c r="BL232" s="1607"/>
    </row>
    <row r="233">
      <c r="A233" s="1607"/>
      <c r="B233" s="1607"/>
      <c r="C233" s="1607"/>
      <c r="D233" s="1607"/>
      <c r="E233" s="1607"/>
      <c r="F233" s="1607"/>
      <c r="G233" s="1607"/>
      <c r="H233" s="1607"/>
      <c r="I233" s="1607"/>
      <c r="J233" s="1607"/>
      <c r="K233" s="1607"/>
      <c r="L233" s="1607"/>
      <c r="M233" s="1607"/>
      <c r="N233" s="1607"/>
      <c r="O233" s="1607"/>
      <c r="P233" s="1607"/>
      <c r="Q233" s="1607"/>
      <c r="R233" s="1607"/>
      <c r="S233" s="1607"/>
      <c r="T233" s="1607"/>
      <c r="U233" s="1607"/>
      <c r="V233" s="1607"/>
      <c r="W233" s="1607"/>
      <c r="X233" s="1607"/>
      <c r="Y233" s="1607"/>
      <c r="Z233" s="1607"/>
      <c r="AA233" s="1607"/>
      <c r="AB233" s="1607"/>
      <c r="AC233" s="1607"/>
      <c r="AD233" s="1607"/>
      <c r="AE233" s="1607"/>
      <c r="AF233" s="1607"/>
      <c r="AG233" s="1607"/>
      <c r="AH233" s="1607"/>
      <c r="AI233" s="1607"/>
      <c r="AJ233" s="1607"/>
      <c r="AK233" s="1607"/>
      <c r="AL233" s="1607"/>
      <c r="AM233" s="1607"/>
      <c r="AN233" s="1607"/>
      <c r="AO233" s="1607"/>
      <c r="AP233" s="1607"/>
      <c r="AQ233" s="1607"/>
      <c r="AR233" s="1607"/>
      <c r="AS233" s="1607"/>
      <c r="AT233" s="1607"/>
      <c r="AU233" s="1607"/>
      <c r="AV233" s="1607"/>
      <c r="AW233" s="1607"/>
      <c r="AX233" s="1607"/>
      <c r="AY233" s="1607"/>
      <c r="AZ233" s="1607"/>
      <c r="BA233" s="1607"/>
      <c r="BB233" s="1607"/>
      <c r="BC233" s="1607"/>
      <c r="BD233" s="1607"/>
      <c r="BE233" s="1607"/>
      <c r="BF233" s="1607"/>
      <c r="BG233" s="1607"/>
      <c r="BH233" s="1607"/>
      <c r="BI233" s="1607"/>
      <c r="BJ233" s="1607"/>
      <c r="BK233" s="1607"/>
      <c r="BL233" s="1607"/>
    </row>
    <row r="234">
      <c r="A234" s="1607"/>
      <c r="B234" s="1607"/>
      <c r="C234" s="1607"/>
      <c r="D234" s="1607"/>
      <c r="E234" s="1607"/>
      <c r="F234" s="1607"/>
      <c r="G234" s="1607"/>
      <c r="H234" s="1607"/>
      <c r="I234" s="1607"/>
      <c r="J234" s="1607"/>
      <c r="K234" s="1607"/>
      <c r="L234" s="1607"/>
      <c r="M234" s="1607"/>
      <c r="N234" s="1607"/>
      <c r="O234" s="1607"/>
      <c r="P234" s="1607"/>
      <c r="Q234" s="1607"/>
      <c r="R234" s="1607"/>
      <c r="S234" s="1607"/>
      <c r="T234" s="1607"/>
      <c r="U234" s="1607"/>
      <c r="V234" s="1607"/>
      <c r="W234" s="1607"/>
      <c r="X234" s="1607"/>
      <c r="Y234" s="1607"/>
      <c r="Z234" s="1607"/>
      <c r="AA234" s="1607"/>
      <c r="AB234" s="1607"/>
      <c r="AC234" s="1607"/>
      <c r="AD234" s="1607"/>
      <c r="AE234" s="1607"/>
      <c r="AF234" s="1607"/>
      <c r="AG234" s="1607"/>
      <c r="AH234" s="1607"/>
      <c r="AI234" s="1607"/>
      <c r="AJ234" s="1607"/>
      <c r="AK234" s="1607"/>
      <c r="AL234" s="1607"/>
      <c r="AM234" s="1607"/>
      <c r="AN234" s="1607"/>
      <c r="AO234" s="1607"/>
      <c r="AP234" s="1607"/>
      <c r="AQ234" s="1607"/>
      <c r="AR234" s="1607"/>
      <c r="AS234" s="1607"/>
      <c r="AT234" s="1607"/>
      <c r="AU234" s="1607"/>
      <c r="AV234" s="1607"/>
      <c r="AW234" s="1607"/>
      <c r="AX234" s="1607"/>
      <c r="AY234" s="1607"/>
      <c r="AZ234" s="1607"/>
      <c r="BA234" s="1607"/>
      <c r="BB234" s="1607"/>
      <c r="BC234" s="1607"/>
      <c r="BD234" s="1607"/>
      <c r="BE234" s="1607"/>
      <c r="BF234" s="1607"/>
      <c r="BG234" s="1607"/>
      <c r="BH234" s="1607"/>
      <c r="BI234" s="1607"/>
      <c r="BJ234" s="1607"/>
      <c r="BK234" s="1607"/>
      <c r="BL234" s="1607"/>
    </row>
    <row r="235">
      <c r="A235" s="1607"/>
      <c r="B235" s="1607"/>
      <c r="C235" s="1607"/>
      <c r="D235" s="1607"/>
      <c r="E235" s="1607"/>
      <c r="F235" s="1607"/>
      <c r="G235" s="1607"/>
      <c r="H235" s="1607"/>
      <c r="I235" s="1607"/>
      <c r="J235" s="1607"/>
      <c r="K235" s="1607"/>
      <c r="L235" s="1607"/>
      <c r="M235" s="1607"/>
      <c r="N235" s="1607"/>
      <c r="O235" s="1607"/>
      <c r="P235" s="1607"/>
      <c r="Q235" s="1607"/>
      <c r="R235" s="1607"/>
      <c r="S235" s="1607"/>
      <c r="T235" s="1607"/>
      <c r="U235" s="1607"/>
      <c r="V235" s="1607"/>
      <c r="W235" s="1607"/>
      <c r="X235" s="1607"/>
      <c r="Y235" s="1607"/>
      <c r="Z235" s="1607"/>
      <c r="AA235" s="1607"/>
      <c r="AB235" s="1607"/>
      <c r="AC235" s="1607"/>
      <c r="AD235" s="1607"/>
      <c r="AE235" s="1607"/>
      <c r="AF235" s="1607"/>
      <c r="AG235" s="1607"/>
      <c r="AH235" s="1607"/>
      <c r="AI235" s="1607"/>
      <c r="AJ235" s="1607"/>
      <c r="AK235" s="1607"/>
      <c r="AL235" s="1607"/>
      <c r="AM235" s="1607"/>
      <c r="AN235" s="1607"/>
      <c r="AO235" s="1607"/>
      <c r="AP235" s="1607"/>
      <c r="AQ235" s="1607"/>
      <c r="AR235" s="1607"/>
      <c r="AS235" s="1607"/>
      <c r="AT235" s="1607"/>
      <c r="AU235" s="1607"/>
      <c r="AV235" s="1607"/>
      <c r="AW235" s="1607"/>
      <c r="AX235" s="1607"/>
      <c r="AY235" s="1607"/>
      <c r="AZ235" s="1607"/>
      <c r="BA235" s="1607"/>
      <c r="BB235" s="1607"/>
      <c r="BC235" s="1607"/>
      <c r="BD235" s="1607"/>
      <c r="BE235" s="1607"/>
      <c r="BF235" s="1607"/>
      <c r="BG235" s="1607"/>
      <c r="BH235" s="1607"/>
      <c r="BI235" s="1607"/>
      <c r="BJ235" s="1607"/>
      <c r="BK235" s="1607"/>
      <c r="BL235" s="1607"/>
    </row>
    <row r="236">
      <c r="A236" s="1607"/>
      <c r="B236" s="1607"/>
      <c r="C236" s="1607"/>
      <c r="D236" s="1607"/>
      <c r="E236" s="1607"/>
      <c r="F236" s="1607"/>
      <c r="G236" s="1607"/>
      <c r="H236" s="1607"/>
      <c r="I236" s="1607"/>
      <c r="J236" s="1607"/>
      <c r="K236" s="1607"/>
      <c r="L236" s="1607"/>
      <c r="M236" s="1607"/>
      <c r="N236" s="1607"/>
      <c r="O236" s="1607"/>
      <c r="P236" s="1607"/>
      <c r="Q236" s="1607"/>
      <c r="R236" s="1607"/>
      <c r="S236" s="1607"/>
      <c r="T236" s="1607"/>
      <c r="U236" s="1607"/>
      <c r="V236" s="1607"/>
      <c r="W236" s="1607"/>
      <c r="X236" s="1607"/>
      <c r="Y236" s="1607"/>
      <c r="Z236" s="1607"/>
      <c r="AA236" s="1607"/>
      <c r="AB236" s="1607"/>
      <c r="AC236" s="1607"/>
      <c r="AD236" s="1607"/>
      <c r="AE236" s="1607"/>
      <c r="AF236" s="1607"/>
      <c r="AG236" s="1607"/>
      <c r="AH236" s="1607"/>
      <c r="AI236" s="1607"/>
      <c r="AJ236" s="1607"/>
      <c r="AK236" s="1607"/>
      <c r="AL236" s="1607"/>
      <c r="AM236" s="1607"/>
      <c r="AN236" s="1607"/>
      <c r="AO236" s="1607"/>
      <c r="AP236" s="1607"/>
      <c r="AQ236" s="1607"/>
      <c r="AR236" s="1607"/>
      <c r="AS236" s="1607"/>
      <c r="AT236" s="1607"/>
      <c r="AU236" s="1607"/>
      <c r="AV236" s="1607"/>
      <c r="AW236" s="1607"/>
      <c r="AX236" s="1607"/>
      <c r="AY236" s="1607"/>
      <c r="AZ236" s="1607"/>
      <c r="BA236" s="1607"/>
      <c r="BB236" s="1607"/>
      <c r="BC236" s="1607"/>
      <c r="BD236" s="1607"/>
      <c r="BE236" s="1607"/>
      <c r="BF236" s="1607"/>
      <c r="BG236" s="1607"/>
      <c r="BH236" s="1607"/>
      <c r="BI236" s="1607"/>
      <c r="BJ236" s="1607"/>
      <c r="BK236" s="1607"/>
      <c r="BL236" s="1607"/>
    </row>
    <row r="237">
      <c r="A237" s="1607"/>
      <c r="B237" s="1607"/>
      <c r="C237" s="1607"/>
      <c r="D237" s="1607"/>
      <c r="E237" s="1607"/>
      <c r="F237" s="1607"/>
      <c r="G237" s="1607"/>
      <c r="H237" s="1607"/>
      <c r="I237" s="1607"/>
      <c r="J237" s="1607"/>
      <c r="K237" s="1607"/>
      <c r="L237" s="1607"/>
      <c r="M237" s="1607"/>
      <c r="N237" s="1607"/>
      <c r="O237" s="1607"/>
      <c r="P237" s="1607"/>
      <c r="Q237" s="1607"/>
      <c r="R237" s="1607"/>
      <c r="S237" s="1607"/>
      <c r="T237" s="1607"/>
      <c r="U237" s="1607"/>
      <c r="V237" s="1607"/>
      <c r="W237" s="1607"/>
      <c r="X237" s="1607"/>
      <c r="Y237" s="1607"/>
      <c r="Z237" s="1607"/>
      <c r="AA237" s="1607"/>
      <c r="AB237" s="1607"/>
      <c r="AC237" s="1607"/>
      <c r="AD237" s="1607"/>
      <c r="AE237" s="1607"/>
      <c r="AF237" s="1607"/>
      <c r="AG237" s="1607"/>
      <c r="AH237" s="1607"/>
      <c r="AI237" s="1607"/>
      <c r="AJ237" s="1607"/>
      <c r="AK237" s="1607"/>
      <c r="AL237" s="1607"/>
      <c r="AM237" s="1607"/>
      <c r="AN237" s="1607"/>
      <c r="AO237" s="1607"/>
      <c r="AP237" s="1607"/>
      <c r="AQ237" s="1607"/>
      <c r="AR237" s="1607"/>
      <c r="AS237" s="1607"/>
      <c r="AT237" s="1607"/>
      <c r="AU237" s="1607"/>
      <c r="AV237" s="1607"/>
      <c r="AW237" s="1607"/>
      <c r="AX237" s="1607"/>
      <c r="AY237" s="1607"/>
      <c r="AZ237" s="1607"/>
      <c r="BA237" s="1607"/>
      <c r="BB237" s="1607"/>
      <c r="BC237" s="1607"/>
      <c r="BD237" s="1607"/>
      <c r="BE237" s="1607"/>
      <c r="BF237" s="1607"/>
      <c r="BG237" s="1607"/>
      <c r="BH237" s="1607"/>
      <c r="BI237" s="1607"/>
      <c r="BJ237" s="1607"/>
      <c r="BK237" s="1607"/>
      <c r="BL237" s="1607"/>
    </row>
    <row r="238">
      <c r="A238" s="1607"/>
      <c r="B238" s="1607"/>
      <c r="C238" s="1607"/>
      <c r="D238" s="1607"/>
      <c r="E238" s="1607"/>
      <c r="F238" s="1607"/>
      <c r="G238" s="1607"/>
      <c r="H238" s="1607"/>
      <c r="I238" s="1607"/>
      <c r="J238" s="1607"/>
      <c r="K238" s="1607"/>
      <c r="L238" s="1607"/>
      <c r="M238" s="1607"/>
      <c r="N238" s="1607"/>
      <c r="O238" s="1607"/>
      <c r="P238" s="1607"/>
      <c r="Q238" s="1607"/>
      <c r="R238" s="1607"/>
      <c r="S238" s="1607"/>
      <c r="T238" s="1607"/>
      <c r="U238" s="1607"/>
      <c r="V238" s="1607"/>
      <c r="W238" s="1607"/>
      <c r="X238" s="1607"/>
      <c r="Y238" s="1607"/>
      <c r="Z238" s="1607"/>
      <c r="AA238" s="1607"/>
      <c r="AB238" s="1607"/>
      <c r="AC238" s="1607"/>
      <c r="AD238" s="1607"/>
      <c r="AE238" s="1607"/>
      <c r="AF238" s="1607"/>
      <c r="AG238" s="1607"/>
      <c r="AH238" s="1607"/>
      <c r="AI238" s="1607"/>
      <c r="AJ238" s="1607"/>
      <c r="AK238" s="1607"/>
      <c r="AL238" s="1607"/>
      <c r="AM238" s="1607"/>
      <c r="AN238" s="1607"/>
      <c r="AO238" s="1607"/>
      <c r="AP238" s="1607"/>
      <c r="AQ238" s="1607"/>
      <c r="AR238" s="1607"/>
      <c r="AS238" s="1607"/>
      <c r="AT238" s="1607"/>
      <c r="AU238" s="1607"/>
      <c r="AV238" s="1607"/>
      <c r="AW238" s="1607"/>
      <c r="AX238" s="1607"/>
      <c r="AY238" s="1607"/>
      <c r="AZ238" s="1607"/>
      <c r="BA238" s="1607"/>
      <c r="BB238" s="1607"/>
      <c r="BC238" s="1607"/>
      <c r="BD238" s="1607"/>
      <c r="BE238" s="1607"/>
      <c r="BF238" s="1607"/>
      <c r="BG238" s="1607"/>
      <c r="BH238" s="1607"/>
      <c r="BI238" s="1607"/>
      <c r="BJ238" s="1607"/>
      <c r="BK238" s="1607"/>
      <c r="BL238" s="1607"/>
    </row>
    <row r="239">
      <c r="A239" s="1607"/>
      <c r="B239" s="1607"/>
      <c r="C239" s="1607"/>
      <c r="D239" s="1607"/>
      <c r="E239" s="1607"/>
      <c r="F239" s="1607"/>
      <c r="G239" s="1607"/>
      <c r="H239" s="1607"/>
      <c r="I239" s="1607"/>
      <c r="J239" s="1607"/>
      <c r="K239" s="1607"/>
      <c r="L239" s="1607"/>
      <c r="M239" s="1607"/>
      <c r="N239" s="1607"/>
      <c r="O239" s="1607"/>
      <c r="P239" s="1607"/>
      <c r="Q239" s="1607"/>
      <c r="R239" s="1607"/>
      <c r="S239" s="1607"/>
      <c r="T239" s="1607"/>
      <c r="U239" s="1607"/>
      <c r="V239" s="1607"/>
      <c r="W239" s="1607"/>
      <c r="X239" s="1607"/>
      <c r="Y239" s="1607"/>
      <c r="Z239" s="1607"/>
      <c r="AA239" s="1607"/>
      <c r="AB239" s="1607"/>
      <c r="AC239" s="1607"/>
      <c r="AD239" s="1607"/>
      <c r="AE239" s="1607"/>
      <c r="AF239" s="1607"/>
      <c r="AG239" s="1607"/>
      <c r="AH239" s="1607"/>
      <c r="AI239" s="1607"/>
      <c r="AJ239" s="1607"/>
      <c r="AK239" s="1607"/>
      <c r="AL239" s="1607"/>
      <c r="AM239" s="1607"/>
      <c r="AN239" s="1607"/>
      <c r="AO239" s="1607"/>
      <c r="AP239" s="1607"/>
      <c r="AQ239" s="1607"/>
      <c r="AR239" s="1607"/>
      <c r="AS239" s="1607"/>
      <c r="AT239" s="1607"/>
      <c r="AU239" s="1607"/>
      <c r="AV239" s="1607"/>
      <c r="AW239" s="1607"/>
      <c r="AX239" s="1607"/>
      <c r="AY239" s="1607"/>
      <c r="AZ239" s="1607"/>
      <c r="BA239" s="1607"/>
      <c r="BB239" s="1607"/>
      <c r="BC239" s="1607"/>
      <c r="BD239" s="1607"/>
      <c r="BE239" s="1607"/>
      <c r="BF239" s="1607"/>
      <c r="BG239" s="1607"/>
      <c r="BH239" s="1607"/>
      <c r="BI239" s="1607"/>
      <c r="BJ239" s="1607"/>
      <c r="BK239" s="1607"/>
      <c r="BL239" s="1607"/>
    </row>
    <row r="240">
      <c r="A240" s="1607"/>
      <c r="B240" s="1607"/>
      <c r="C240" s="1607"/>
      <c r="D240" s="1607"/>
      <c r="E240" s="1607"/>
      <c r="F240" s="1607"/>
      <c r="G240" s="1607"/>
      <c r="H240" s="1607"/>
      <c r="I240" s="1607"/>
      <c r="J240" s="1607"/>
      <c r="K240" s="1607"/>
      <c r="L240" s="1607"/>
      <c r="M240" s="1607"/>
      <c r="N240" s="1607"/>
      <c r="O240" s="1607"/>
      <c r="P240" s="1607"/>
      <c r="Q240" s="1607"/>
      <c r="R240" s="1607"/>
      <c r="S240" s="1607"/>
      <c r="T240" s="1607"/>
      <c r="U240" s="1607"/>
      <c r="V240" s="1607"/>
      <c r="W240" s="1607"/>
      <c r="X240" s="1607"/>
      <c r="Y240" s="1607"/>
      <c r="Z240" s="1607"/>
      <c r="AA240" s="1607"/>
      <c r="AB240" s="1607"/>
      <c r="AC240" s="1607"/>
      <c r="AD240" s="1607"/>
      <c r="AE240" s="1607"/>
      <c r="AF240" s="1607"/>
      <c r="AG240" s="1607"/>
      <c r="AH240" s="1607"/>
      <c r="AI240" s="1607"/>
      <c r="AJ240" s="1607"/>
      <c r="AK240" s="1607"/>
      <c r="AL240" s="1607"/>
      <c r="AM240" s="1607"/>
      <c r="AN240" s="1607"/>
      <c r="AO240" s="1607"/>
      <c r="AP240" s="1607"/>
      <c r="AQ240" s="1607"/>
      <c r="AR240" s="1607"/>
      <c r="AS240" s="1607"/>
      <c r="AT240" s="1607"/>
      <c r="AU240" s="1607"/>
      <c r="AV240" s="1607"/>
      <c r="AW240" s="1607"/>
      <c r="AX240" s="1607"/>
      <c r="AY240" s="1607"/>
      <c r="AZ240" s="1607"/>
      <c r="BA240" s="1607"/>
      <c r="BB240" s="1607"/>
      <c r="BC240" s="1607"/>
      <c r="BD240" s="1607"/>
      <c r="BE240" s="1607"/>
      <c r="BF240" s="1607"/>
      <c r="BG240" s="1607"/>
      <c r="BH240" s="1607"/>
      <c r="BI240" s="1607"/>
      <c r="BJ240" s="1607"/>
      <c r="BK240" s="1607"/>
      <c r="BL240" s="1607"/>
    </row>
    <row r="241">
      <c r="A241" s="1607"/>
      <c r="B241" s="1607"/>
      <c r="C241" s="1607"/>
      <c r="D241" s="1607"/>
      <c r="E241" s="1607"/>
      <c r="F241" s="1607"/>
      <c r="G241" s="1607"/>
      <c r="H241" s="1607"/>
      <c r="I241" s="1607"/>
      <c r="J241" s="1607"/>
      <c r="K241" s="1607"/>
      <c r="L241" s="1607"/>
      <c r="M241" s="1607"/>
      <c r="N241" s="1607"/>
      <c r="O241" s="1607"/>
      <c r="P241" s="1607"/>
      <c r="Q241" s="1607"/>
      <c r="R241" s="1607"/>
      <c r="S241" s="1607"/>
      <c r="T241" s="1607"/>
      <c r="U241" s="1607"/>
      <c r="V241" s="1607"/>
      <c r="W241" s="1607"/>
      <c r="X241" s="1607"/>
      <c r="Y241" s="1607"/>
      <c r="Z241" s="1607"/>
      <c r="AA241" s="1607"/>
      <c r="AB241" s="1607"/>
      <c r="AC241" s="1607"/>
      <c r="AD241" s="1607"/>
      <c r="AE241" s="1607"/>
      <c r="AF241" s="1607"/>
      <c r="AG241" s="1607"/>
      <c r="AH241" s="1607"/>
      <c r="AI241" s="1607"/>
      <c r="AJ241" s="1607"/>
      <c r="AK241" s="1607"/>
      <c r="AL241" s="1607"/>
      <c r="AM241" s="1607"/>
      <c r="AN241" s="1607"/>
      <c r="AO241" s="1607"/>
      <c r="AP241" s="1607"/>
      <c r="AQ241" s="1607"/>
      <c r="AR241" s="1607"/>
      <c r="AS241" s="1607"/>
      <c r="AT241" s="1607"/>
      <c r="AU241" s="1607"/>
      <c r="AV241" s="1607"/>
      <c r="AW241" s="1607"/>
      <c r="AX241" s="1607"/>
      <c r="AY241" s="1607"/>
      <c r="AZ241" s="1607"/>
      <c r="BA241" s="1607"/>
      <c r="BB241" s="1607"/>
      <c r="BC241" s="1607"/>
      <c r="BD241" s="1607"/>
      <c r="BE241" s="1607"/>
      <c r="BF241" s="1607"/>
      <c r="BG241" s="1607"/>
      <c r="BH241" s="1607"/>
      <c r="BI241" s="1607"/>
      <c r="BJ241" s="1607"/>
      <c r="BK241" s="1607"/>
      <c r="BL241" s="1607"/>
    </row>
    <row r="242">
      <c r="A242" s="1607"/>
      <c r="B242" s="1607"/>
      <c r="C242" s="1607"/>
      <c r="D242" s="1607"/>
      <c r="E242" s="1607"/>
      <c r="F242" s="1607"/>
      <c r="G242" s="1607"/>
      <c r="H242" s="1607"/>
      <c r="I242" s="1607"/>
      <c r="J242" s="1607"/>
      <c r="K242" s="1607"/>
      <c r="L242" s="1607"/>
      <c r="M242" s="1607"/>
      <c r="N242" s="1607"/>
      <c r="O242" s="1607"/>
      <c r="P242" s="1607"/>
      <c r="Q242" s="1607"/>
      <c r="R242" s="1607"/>
      <c r="S242" s="1607"/>
      <c r="T242" s="1607"/>
      <c r="U242" s="1607"/>
      <c r="V242" s="1607"/>
      <c r="W242" s="1607"/>
      <c r="X242" s="1607"/>
      <c r="Y242" s="1607"/>
      <c r="Z242" s="1607"/>
      <c r="AA242" s="1607"/>
      <c r="AB242" s="1607"/>
      <c r="AC242" s="1607"/>
      <c r="AD242" s="1607"/>
      <c r="AE242" s="1607"/>
      <c r="AF242" s="1607"/>
      <c r="AG242" s="1607"/>
      <c r="AH242" s="1607"/>
      <c r="AI242" s="1607"/>
      <c r="AJ242" s="1607"/>
      <c r="AK242" s="1607"/>
      <c r="AL242" s="1607"/>
      <c r="AM242" s="1607"/>
      <c r="AN242" s="1607"/>
      <c r="AO242" s="1607"/>
      <c r="AP242" s="1607"/>
      <c r="AQ242" s="1607"/>
      <c r="AR242" s="1607"/>
      <c r="AS242" s="1607"/>
      <c r="AT242" s="1607"/>
      <c r="AU242" s="1607"/>
      <c r="AV242" s="1607"/>
      <c r="AW242" s="1607"/>
      <c r="AX242" s="1607"/>
      <c r="AY242" s="1607"/>
      <c r="AZ242" s="1607"/>
      <c r="BA242" s="1607"/>
      <c r="BB242" s="1607"/>
      <c r="BC242" s="1607"/>
      <c r="BD242" s="1607"/>
      <c r="BE242" s="1607"/>
      <c r="BF242" s="1607"/>
      <c r="BG242" s="1607"/>
      <c r="BH242" s="1607"/>
      <c r="BI242" s="1607"/>
      <c r="BJ242" s="1607"/>
      <c r="BK242" s="1607"/>
      <c r="BL242" s="1607"/>
    </row>
    <row r="243">
      <c r="A243" s="1607"/>
      <c r="B243" s="1607"/>
      <c r="C243" s="1607"/>
      <c r="D243" s="1607"/>
      <c r="E243" s="1607"/>
      <c r="F243" s="1607"/>
      <c r="G243" s="1607"/>
      <c r="H243" s="1607"/>
      <c r="I243" s="1607"/>
      <c r="J243" s="1607"/>
      <c r="K243" s="1607"/>
      <c r="L243" s="1607"/>
      <c r="M243" s="1607"/>
      <c r="N243" s="1607"/>
      <c r="O243" s="1607"/>
      <c r="P243" s="1607"/>
      <c r="Q243" s="1607"/>
      <c r="R243" s="1607"/>
      <c r="S243" s="1607"/>
      <c r="T243" s="1607"/>
      <c r="U243" s="1607"/>
      <c r="V243" s="1607"/>
      <c r="W243" s="1607"/>
      <c r="X243" s="1607"/>
      <c r="Y243" s="1607"/>
      <c r="Z243" s="1607"/>
      <c r="AA243" s="1607"/>
      <c r="AB243" s="1607"/>
      <c r="AC243" s="1607"/>
      <c r="AD243" s="1607"/>
      <c r="AE243" s="1607"/>
      <c r="AF243" s="1607"/>
      <c r="AG243" s="1607"/>
      <c r="AH243" s="1607"/>
      <c r="AI243" s="1607"/>
      <c r="AJ243" s="1607"/>
      <c r="AK243" s="1607"/>
      <c r="AL243" s="1607"/>
      <c r="AM243" s="1607"/>
      <c r="AN243" s="1607"/>
      <c r="AO243" s="1607"/>
      <c r="AP243" s="1607"/>
      <c r="AQ243" s="1607"/>
      <c r="AR243" s="1607"/>
      <c r="AS243" s="1607"/>
      <c r="AT243" s="1607"/>
      <c r="AU243" s="1607"/>
      <c r="AV243" s="1607"/>
      <c r="AW243" s="1607"/>
      <c r="AX243" s="1607"/>
      <c r="AY243" s="1607"/>
      <c r="AZ243" s="1607"/>
      <c r="BA243" s="1607"/>
      <c r="BB243" s="1607"/>
      <c r="BC243" s="1607"/>
      <c r="BD243" s="1607"/>
      <c r="BE243" s="1607"/>
      <c r="BF243" s="1607"/>
      <c r="BG243" s="1607"/>
      <c r="BH243" s="1607"/>
      <c r="BI243" s="1607"/>
      <c r="BJ243" s="1607"/>
      <c r="BK243" s="1607"/>
      <c r="BL243" s="1607"/>
    </row>
    <row r="244">
      <c r="A244" s="1607"/>
      <c r="B244" s="1607"/>
      <c r="C244" s="1607"/>
      <c r="D244" s="1607"/>
      <c r="E244" s="1607"/>
      <c r="F244" s="1607"/>
      <c r="G244" s="1607"/>
      <c r="H244" s="1607"/>
      <c r="I244" s="1607"/>
      <c r="J244" s="1607"/>
      <c r="K244" s="1607"/>
      <c r="L244" s="1607"/>
      <c r="M244" s="1607"/>
      <c r="N244" s="1607"/>
      <c r="O244" s="1607"/>
      <c r="P244" s="1607"/>
      <c r="Q244" s="1607"/>
      <c r="R244" s="1607"/>
      <c r="S244" s="1607"/>
      <c r="T244" s="1607"/>
      <c r="U244" s="1607"/>
      <c r="V244" s="1607"/>
      <c r="W244" s="1607"/>
      <c r="X244" s="1607"/>
      <c r="Y244" s="1607"/>
      <c r="Z244" s="1607"/>
      <c r="AA244" s="1607"/>
      <c r="AB244" s="1607"/>
      <c r="AC244" s="1607"/>
      <c r="AD244" s="1607"/>
      <c r="AE244" s="1607"/>
      <c r="AF244" s="1607"/>
      <c r="AG244" s="1607"/>
      <c r="AH244" s="1607"/>
      <c r="AI244" s="1607"/>
      <c r="AJ244" s="1607"/>
      <c r="AK244" s="1607"/>
      <c r="AL244" s="1607"/>
      <c r="AM244" s="1607"/>
      <c r="AN244" s="1607"/>
      <c r="AO244" s="1607"/>
      <c r="AP244" s="1607"/>
      <c r="AQ244" s="1607"/>
      <c r="AR244" s="1607"/>
      <c r="AS244" s="1607"/>
      <c r="AT244" s="1607"/>
      <c r="AU244" s="1607"/>
      <c r="AV244" s="1607"/>
      <c r="AW244" s="1607"/>
      <c r="AX244" s="1607"/>
      <c r="AY244" s="1607"/>
      <c r="AZ244" s="1607"/>
      <c r="BA244" s="1607"/>
      <c r="BB244" s="1607"/>
      <c r="BC244" s="1607"/>
      <c r="BD244" s="1607"/>
      <c r="BE244" s="1607"/>
      <c r="BF244" s="1607"/>
      <c r="BG244" s="1607"/>
      <c r="BH244" s="1607"/>
      <c r="BI244" s="1607"/>
      <c r="BJ244" s="1607"/>
      <c r="BK244" s="1607"/>
      <c r="BL244" s="1607"/>
    </row>
    <row r="245">
      <c r="A245" s="1607"/>
      <c r="B245" s="1607"/>
      <c r="C245" s="1607"/>
      <c r="D245" s="1607"/>
      <c r="E245" s="1607"/>
      <c r="F245" s="1607"/>
      <c r="G245" s="1607"/>
      <c r="H245" s="1607"/>
      <c r="I245" s="1607"/>
      <c r="J245" s="1607"/>
      <c r="K245" s="1607"/>
      <c r="L245" s="1607"/>
      <c r="M245" s="1607"/>
      <c r="N245" s="1607"/>
      <c r="O245" s="1607"/>
      <c r="P245" s="1607"/>
      <c r="Q245" s="1607"/>
      <c r="R245" s="1607"/>
      <c r="S245" s="1607"/>
      <c r="T245" s="1607"/>
      <c r="U245" s="1607"/>
      <c r="V245" s="1607"/>
      <c r="W245" s="1607"/>
      <c r="X245" s="1607"/>
      <c r="Y245" s="1607"/>
      <c r="Z245" s="1607"/>
      <c r="AA245" s="1607"/>
      <c r="AB245" s="1607"/>
      <c r="AC245" s="1607"/>
      <c r="AD245" s="1607"/>
      <c r="AE245" s="1607"/>
      <c r="AF245" s="1607"/>
      <c r="AG245" s="1607"/>
      <c r="AH245" s="1607"/>
      <c r="AI245" s="1607"/>
      <c r="AJ245" s="1607"/>
      <c r="AK245" s="1607"/>
      <c r="AL245" s="1607"/>
      <c r="AM245" s="1607"/>
      <c r="AN245" s="1607"/>
      <c r="AO245" s="1607"/>
      <c r="AP245" s="1607"/>
      <c r="AQ245" s="1607"/>
      <c r="AR245" s="1607"/>
      <c r="AS245" s="1607"/>
      <c r="AT245" s="1607"/>
      <c r="AU245" s="1607"/>
      <c r="AV245" s="1607"/>
      <c r="AW245" s="1607"/>
      <c r="AX245" s="1607"/>
      <c r="AY245" s="1607"/>
      <c r="AZ245" s="1607"/>
      <c r="BA245" s="1607"/>
      <c r="BB245" s="1607"/>
      <c r="BC245" s="1607"/>
      <c r="BD245" s="1607"/>
      <c r="BE245" s="1607"/>
      <c r="BF245" s="1607"/>
      <c r="BG245" s="1607"/>
      <c r="BH245" s="1607"/>
      <c r="BI245" s="1607"/>
      <c r="BJ245" s="1607"/>
      <c r="BK245" s="1607"/>
      <c r="BL245" s="1607"/>
    </row>
    <row r="246">
      <c r="A246" s="1607"/>
      <c r="B246" s="1607"/>
      <c r="C246" s="1607"/>
      <c r="D246" s="1607"/>
      <c r="E246" s="1607"/>
      <c r="F246" s="1607"/>
      <c r="G246" s="1607"/>
      <c r="H246" s="1607"/>
      <c r="I246" s="1607"/>
      <c r="J246" s="1607"/>
      <c r="K246" s="1607"/>
      <c r="L246" s="1607"/>
      <c r="M246" s="1607"/>
      <c r="N246" s="1607"/>
      <c r="O246" s="1607"/>
      <c r="P246" s="1607"/>
      <c r="Q246" s="1607"/>
      <c r="R246" s="1607"/>
      <c r="S246" s="1607"/>
      <c r="T246" s="1607"/>
      <c r="U246" s="1607"/>
      <c r="V246" s="1607"/>
      <c r="W246" s="1607"/>
      <c r="X246" s="1607"/>
      <c r="Y246" s="1607"/>
      <c r="Z246" s="1607"/>
      <c r="AA246" s="1607"/>
      <c r="AB246" s="1607"/>
      <c r="AC246" s="1607"/>
      <c r="AD246" s="1607"/>
      <c r="AE246" s="1607"/>
      <c r="AF246" s="1607"/>
      <c r="AG246" s="1607"/>
      <c r="AH246" s="1607"/>
      <c r="AI246" s="1607"/>
      <c r="AJ246" s="1607"/>
      <c r="AK246" s="1607"/>
      <c r="AL246" s="1607"/>
      <c r="AM246" s="1607"/>
      <c r="AN246" s="1607"/>
      <c r="AO246" s="1607"/>
      <c r="AP246" s="1607"/>
      <c r="AQ246" s="1607"/>
      <c r="AR246" s="1607"/>
      <c r="AS246" s="1607"/>
      <c r="AT246" s="1607"/>
      <c r="AU246" s="1607"/>
      <c r="AV246" s="1607"/>
      <c r="AW246" s="1607"/>
      <c r="AX246" s="1607"/>
      <c r="AY246" s="1607"/>
      <c r="AZ246" s="1607"/>
      <c r="BA246" s="1607"/>
      <c r="BB246" s="1607"/>
      <c r="BC246" s="1607"/>
      <c r="BD246" s="1607"/>
      <c r="BE246" s="1607"/>
      <c r="BF246" s="1607"/>
      <c r="BG246" s="1607"/>
      <c r="BH246" s="1607"/>
      <c r="BI246" s="1607"/>
      <c r="BJ246" s="1607"/>
      <c r="BK246" s="1607"/>
      <c r="BL246" s="1607"/>
    </row>
    <row r="247">
      <c r="A247" s="1607"/>
      <c r="B247" s="1607"/>
      <c r="C247" s="1607"/>
      <c r="D247" s="1607"/>
      <c r="E247" s="1607"/>
      <c r="F247" s="1607"/>
      <c r="G247" s="1607"/>
      <c r="H247" s="1607"/>
      <c r="I247" s="1607"/>
      <c r="J247" s="1607"/>
      <c r="K247" s="1607"/>
      <c r="L247" s="1607"/>
      <c r="M247" s="1607"/>
      <c r="N247" s="1607"/>
      <c r="O247" s="1607"/>
      <c r="P247" s="1607"/>
      <c r="Q247" s="1607"/>
      <c r="R247" s="1607"/>
      <c r="S247" s="1607"/>
      <c r="T247" s="1607"/>
      <c r="U247" s="1607"/>
      <c r="V247" s="1607"/>
      <c r="W247" s="1607"/>
      <c r="X247" s="1607"/>
      <c r="Y247" s="1607"/>
      <c r="Z247" s="1607"/>
      <c r="AA247" s="1607"/>
      <c r="AB247" s="1607"/>
      <c r="AC247" s="1607"/>
      <c r="AD247" s="1607"/>
      <c r="AE247" s="1607"/>
      <c r="AF247" s="1607"/>
      <c r="AG247" s="1607"/>
      <c r="AH247" s="1607"/>
      <c r="AI247" s="1607"/>
      <c r="AJ247" s="1607"/>
      <c r="AK247" s="1607"/>
      <c r="AL247" s="1607"/>
      <c r="AM247" s="1607"/>
      <c r="AN247" s="1607"/>
      <c r="AO247" s="1607"/>
      <c r="AP247" s="1607"/>
      <c r="AQ247" s="1607"/>
      <c r="AR247" s="1607"/>
      <c r="AS247" s="1607"/>
      <c r="AT247" s="1607"/>
      <c r="AU247" s="1607"/>
      <c r="AV247" s="1607"/>
      <c r="AW247" s="1607"/>
      <c r="AX247" s="1607"/>
      <c r="AY247" s="1607"/>
      <c r="AZ247" s="1607"/>
      <c r="BA247" s="1607"/>
      <c r="BB247" s="1607"/>
      <c r="BC247" s="1607"/>
      <c r="BD247" s="1607"/>
      <c r="BE247" s="1607"/>
      <c r="BF247" s="1607"/>
      <c r="BG247" s="1607"/>
      <c r="BH247" s="1607"/>
      <c r="BI247" s="1607"/>
      <c r="BJ247" s="1607"/>
      <c r="BK247" s="1607"/>
      <c r="BL247" s="1607"/>
    </row>
    <row r="248">
      <c r="A248" s="1607"/>
      <c r="B248" s="1607"/>
      <c r="C248" s="1607"/>
      <c r="D248" s="1607"/>
      <c r="E248" s="1607"/>
      <c r="F248" s="1607"/>
      <c r="G248" s="1607"/>
      <c r="H248" s="1607"/>
      <c r="I248" s="1607"/>
      <c r="J248" s="1607"/>
      <c r="K248" s="1607"/>
      <c r="L248" s="1607"/>
      <c r="M248" s="1607"/>
      <c r="N248" s="1607"/>
      <c r="O248" s="1607"/>
      <c r="P248" s="1607"/>
      <c r="Q248" s="1607"/>
      <c r="R248" s="1607"/>
      <c r="S248" s="1607"/>
      <c r="T248" s="1607"/>
      <c r="U248" s="1607"/>
      <c r="V248" s="1607"/>
      <c r="W248" s="1607"/>
      <c r="X248" s="1607"/>
      <c r="Y248" s="1607"/>
      <c r="Z248" s="1607"/>
      <c r="AA248" s="1607"/>
      <c r="AB248" s="1607"/>
      <c r="AC248" s="1607"/>
      <c r="AD248" s="1607"/>
      <c r="AE248" s="1607"/>
      <c r="AF248" s="1607"/>
      <c r="AG248" s="1607"/>
      <c r="AH248" s="1607"/>
      <c r="AI248" s="1607"/>
      <c r="AJ248" s="1607"/>
      <c r="AK248" s="1607"/>
      <c r="AL248" s="1607"/>
      <c r="AM248" s="1607"/>
      <c r="AN248" s="1607"/>
      <c r="AO248" s="1607"/>
      <c r="AP248" s="1607"/>
      <c r="AQ248" s="1607"/>
      <c r="AR248" s="1607"/>
      <c r="AS248" s="1607"/>
      <c r="AT248" s="1607"/>
      <c r="AU248" s="1607"/>
      <c r="AV248" s="1607"/>
      <c r="AW248" s="1607"/>
      <c r="AX248" s="1607"/>
      <c r="AY248" s="1607"/>
      <c r="AZ248" s="1607"/>
      <c r="BA248" s="1607"/>
      <c r="BB248" s="1607"/>
      <c r="BC248" s="1607"/>
      <c r="BD248" s="1607"/>
      <c r="BE248" s="1607"/>
      <c r="BF248" s="1607"/>
      <c r="BG248" s="1607"/>
      <c r="BH248" s="1607"/>
      <c r="BI248" s="1607"/>
      <c r="BJ248" s="1607"/>
      <c r="BK248" s="1607"/>
      <c r="BL248" s="1607"/>
    </row>
    <row r="249">
      <c r="A249" s="1607"/>
      <c r="B249" s="1607"/>
      <c r="C249" s="1607"/>
      <c r="D249" s="1607"/>
      <c r="E249" s="1607"/>
      <c r="F249" s="1607"/>
      <c r="G249" s="1607"/>
      <c r="H249" s="1607"/>
      <c r="I249" s="1607"/>
      <c r="J249" s="1607"/>
      <c r="K249" s="1607"/>
      <c r="L249" s="1607"/>
      <c r="M249" s="1607"/>
      <c r="N249" s="1607"/>
      <c r="O249" s="1607"/>
      <c r="P249" s="1607"/>
      <c r="Q249" s="1607"/>
      <c r="R249" s="1607"/>
      <c r="S249" s="1607"/>
      <c r="T249" s="1607"/>
      <c r="U249" s="1607"/>
      <c r="V249" s="1607"/>
      <c r="W249" s="1607"/>
      <c r="X249" s="1607"/>
      <c r="Y249" s="1607"/>
      <c r="Z249" s="1607"/>
      <c r="AA249" s="1607"/>
      <c r="AB249" s="1607"/>
      <c r="AC249" s="1607"/>
      <c r="AD249" s="1607"/>
      <c r="AE249" s="1607"/>
      <c r="AF249" s="1607"/>
      <c r="AG249" s="1607"/>
      <c r="AH249" s="1607"/>
      <c r="AI249" s="1607"/>
      <c r="AJ249" s="1607"/>
      <c r="AK249" s="1607"/>
      <c r="AL249" s="1607"/>
      <c r="AM249" s="1607"/>
      <c r="AN249" s="1607"/>
      <c r="AO249" s="1607"/>
      <c r="AP249" s="1607"/>
      <c r="AQ249" s="1607"/>
      <c r="AR249" s="1607"/>
      <c r="AS249" s="1607"/>
      <c r="AT249" s="1607"/>
      <c r="AU249" s="1607"/>
      <c r="AV249" s="1607"/>
      <c r="AW249" s="1607"/>
      <c r="AX249" s="1607"/>
      <c r="AY249" s="1607"/>
      <c r="AZ249" s="1607"/>
      <c r="BA249" s="1607"/>
      <c r="BB249" s="1607"/>
      <c r="BC249" s="1607"/>
      <c r="BD249" s="1607"/>
      <c r="BE249" s="1607"/>
      <c r="BF249" s="1607"/>
      <c r="BG249" s="1607"/>
      <c r="BH249" s="1607"/>
      <c r="BI249" s="1607"/>
      <c r="BJ249" s="1607"/>
      <c r="BK249" s="1607"/>
      <c r="BL249" s="1607"/>
    </row>
    <row r="250">
      <c r="A250" s="1607"/>
      <c r="B250" s="1607"/>
      <c r="C250" s="1607"/>
      <c r="D250" s="1607"/>
      <c r="E250" s="1607"/>
      <c r="F250" s="1607"/>
      <c r="G250" s="1607"/>
      <c r="H250" s="1607"/>
      <c r="I250" s="1607"/>
      <c r="J250" s="1607"/>
      <c r="K250" s="1607"/>
      <c r="L250" s="1607"/>
      <c r="M250" s="1607"/>
      <c r="N250" s="1607"/>
      <c r="O250" s="1607"/>
      <c r="P250" s="1607"/>
      <c r="Q250" s="1607"/>
      <c r="R250" s="1607"/>
      <c r="S250" s="1607"/>
      <c r="T250" s="1607"/>
      <c r="U250" s="1607"/>
      <c r="V250" s="1607"/>
      <c r="W250" s="1607"/>
      <c r="X250" s="1607"/>
      <c r="Y250" s="1607"/>
      <c r="Z250" s="1607"/>
      <c r="AA250" s="1607"/>
      <c r="AB250" s="1607"/>
      <c r="AC250" s="1607"/>
      <c r="AD250" s="1607"/>
      <c r="AE250" s="1607"/>
      <c r="AF250" s="1607"/>
      <c r="AG250" s="1607"/>
      <c r="AH250" s="1607"/>
      <c r="AI250" s="1607"/>
      <c r="AJ250" s="1607"/>
      <c r="AK250" s="1607"/>
      <c r="AL250" s="1607"/>
      <c r="AM250" s="1607"/>
      <c r="AN250" s="1607"/>
      <c r="AO250" s="1607"/>
      <c r="AP250" s="1607"/>
      <c r="AQ250" s="1607"/>
      <c r="AR250" s="1607"/>
      <c r="AS250" s="1607"/>
      <c r="AT250" s="1607"/>
      <c r="AU250" s="1607"/>
      <c r="AV250" s="1607"/>
      <c r="AW250" s="1607"/>
      <c r="AX250" s="1607"/>
      <c r="AY250" s="1607"/>
      <c r="AZ250" s="1607"/>
      <c r="BA250" s="1607"/>
      <c r="BB250" s="1607"/>
      <c r="BC250" s="1607"/>
      <c r="BD250" s="1607"/>
      <c r="BE250" s="1607"/>
      <c r="BF250" s="1607"/>
      <c r="BG250" s="1607"/>
      <c r="BH250" s="1607"/>
      <c r="BI250" s="1607"/>
      <c r="BJ250" s="1607"/>
      <c r="BK250" s="1607"/>
      <c r="BL250" s="1607"/>
    </row>
    <row r="251">
      <c r="A251" s="1607"/>
      <c r="B251" s="1607"/>
      <c r="C251" s="1607"/>
      <c r="D251" s="1607"/>
      <c r="E251" s="1607"/>
      <c r="F251" s="1607"/>
      <c r="G251" s="1607"/>
      <c r="H251" s="1607"/>
      <c r="I251" s="1607"/>
      <c r="J251" s="1607"/>
      <c r="K251" s="1607"/>
      <c r="L251" s="1607"/>
      <c r="M251" s="1607"/>
      <c r="N251" s="1607"/>
      <c r="O251" s="1607"/>
      <c r="P251" s="1607"/>
      <c r="Q251" s="1607"/>
      <c r="R251" s="1607"/>
      <c r="S251" s="1607"/>
      <c r="T251" s="1607"/>
      <c r="U251" s="1607"/>
      <c r="V251" s="1607"/>
      <c r="W251" s="1607"/>
      <c r="X251" s="1607"/>
      <c r="Y251" s="1607"/>
      <c r="Z251" s="1607"/>
      <c r="AA251" s="1607"/>
      <c r="AB251" s="1607"/>
      <c r="AC251" s="1607"/>
      <c r="AD251" s="1607"/>
      <c r="AE251" s="1607"/>
      <c r="AF251" s="1607"/>
      <c r="AG251" s="1607"/>
      <c r="AH251" s="1607"/>
      <c r="AI251" s="1607"/>
      <c r="AJ251" s="1607"/>
      <c r="AK251" s="1607"/>
      <c r="AL251" s="1607"/>
      <c r="AM251" s="1607"/>
      <c r="AN251" s="1607"/>
      <c r="AO251" s="1607"/>
      <c r="AP251" s="1607"/>
      <c r="AQ251" s="1607"/>
      <c r="AR251" s="1607"/>
      <c r="AS251" s="1607"/>
      <c r="AT251" s="1607"/>
      <c r="AU251" s="1607"/>
      <c r="AV251" s="1607"/>
      <c r="AW251" s="1607"/>
      <c r="AX251" s="1607"/>
      <c r="AY251" s="1607"/>
      <c r="AZ251" s="1607"/>
      <c r="BA251" s="1607"/>
      <c r="BB251" s="1607"/>
      <c r="BC251" s="1607"/>
      <c r="BD251" s="1607"/>
      <c r="BE251" s="1607"/>
      <c r="BF251" s="1607"/>
      <c r="BG251" s="1607"/>
      <c r="BH251" s="1607"/>
      <c r="BI251" s="1607"/>
      <c r="BJ251" s="1607"/>
      <c r="BK251" s="1607"/>
      <c r="BL251" s="1607"/>
    </row>
    <row r="252">
      <c r="A252" s="1607"/>
      <c r="B252" s="1607"/>
      <c r="C252" s="1607"/>
      <c r="D252" s="1607"/>
      <c r="E252" s="1607"/>
      <c r="F252" s="1607"/>
      <c r="G252" s="1607"/>
      <c r="H252" s="1607"/>
      <c r="I252" s="1607"/>
      <c r="J252" s="1607"/>
      <c r="K252" s="1607"/>
      <c r="L252" s="1607"/>
      <c r="M252" s="1607"/>
      <c r="N252" s="1607"/>
      <c r="O252" s="1607"/>
      <c r="P252" s="1607"/>
      <c r="Q252" s="1607"/>
      <c r="R252" s="1607"/>
      <c r="S252" s="1607"/>
      <c r="T252" s="1607"/>
      <c r="U252" s="1607"/>
      <c r="V252" s="1607"/>
      <c r="W252" s="1607"/>
      <c r="X252" s="1607"/>
      <c r="Y252" s="1607"/>
      <c r="Z252" s="1607"/>
      <c r="AA252" s="1607"/>
      <c r="AB252" s="1607"/>
      <c r="AC252" s="1607"/>
      <c r="AD252" s="1607"/>
      <c r="AE252" s="1607"/>
      <c r="AF252" s="1607"/>
      <c r="AG252" s="1607"/>
      <c r="AH252" s="1607"/>
      <c r="AI252" s="1607"/>
      <c r="AJ252" s="1607"/>
      <c r="AK252" s="1607"/>
      <c r="AL252" s="1607"/>
      <c r="AM252" s="1607"/>
      <c r="AN252" s="1607"/>
      <c r="AO252" s="1607"/>
      <c r="AP252" s="1607"/>
      <c r="AQ252" s="1607"/>
      <c r="AR252" s="1607"/>
      <c r="AS252" s="1607"/>
      <c r="AT252" s="1607"/>
      <c r="AU252" s="1607"/>
      <c r="AV252" s="1607"/>
      <c r="AW252" s="1607"/>
      <c r="AX252" s="1607"/>
      <c r="AY252" s="1607"/>
      <c r="AZ252" s="1607"/>
      <c r="BA252" s="1607"/>
      <c r="BB252" s="1607"/>
      <c r="BC252" s="1607"/>
      <c r="BD252" s="1607"/>
      <c r="BE252" s="1607"/>
      <c r="BF252" s="1607"/>
      <c r="BG252" s="1607"/>
      <c r="BH252" s="1607"/>
      <c r="BI252" s="1607"/>
      <c r="BJ252" s="1607"/>
      <c r="BK252" s="1607"/>
      <c r="BL252" s="1607"/>
    </row>
    <row r="253">
      <c r="A253" s="1607"/>
      <c r="B253" s="1607"/>
      <c r="C253" s="1607"/>
      <c r="D253" s="1607"/>
      <c r="E253" s="1607"/>
      <c r="F253" s="1607"/>
      <c r="G253" s="1607"/>
      <c r="H253" s="1607"/>
      <c r="I253" s="1607"/>
      <c r="J253" s="1607"/>
      <c r="K253" s="1607"/>
      <c r="L253" s="1607"/>
      <c r="M253" s="1607"/>
      <c r="N253" s="1607"/>
      <c r="O253" s="1607"/>
      <c r="P253" s="1607"/>
      <c r="Q253" s="1607"/>
      <c r="R253" s="1607"/>
      <c r="S253" s="1607"/>
      <c r="T253" s="1607"/>
      <c r="U253" s="1607"/>
      <c r="V253" s="1607"/>
      <c r="W253" s="1607"/>
      <c r="X253" s="1607"/>
      <c r="Y253" s="1607"/>
      <c r="Z253" s="1607"/>
      <c r="AA253" s="1607"/>
      <c r="AB253" s="1607"/>
      <c r="AC253" s="1607"/>
      <c r="AD253" s="1607"/>
      <c r="AE253" s="1607"/>
      <c r="AF253" s="1607"/>
      <c r="AG253" s="1607"/>
      <c r="AH253" s="1607"/>
      <c r="AI253" s="1607"/>
      <c r="AJ253" s="1607"/>
      <c r="AK253" s="1607"/>
      <c r="AL253" s="1607"/>
      <c r="AM253" s="1607"/>
      <c r="AN253" s="1607"/>
      <c r="AO253" s="1607"/>
      <c r="AP253" s="1607"/>
      <c r="AQ253" s="1607"/>
      <c r="AR253" s="1607"/>
      <c r="AS253" s="1607"/>
      <c r="AT253" s="1607"/>
      <c r="AU253" s="1607"/>
      <c r="AV253" s="1607"/>
      <c r="AW253" s="1607"/>
      <c r="AX253" s="1607"/>
      <c r="AY253" s="1607"/>
      <c r="AZ253" s="1607"/>
      <c r="BA253" s="1607"/>
      <c r="BB253" s="1607"/>
      <c r="BC253" s="1607"/>
      <c r="BD253" s="1607"/>
      <c r="BE253" s="1607"/>
      <c r="BF253" s="1607"/>
      <c r="BG253" s="1607"/>
      <c r="BH253" s="1607"/>
      <c r="BI253" s="1607"/>
      <c r="BJ253" s="1607"/>
      <c r="BK253" s="1607"/>
      <c r="BL253" s="1607"/>
    </row>
    <row r="254">
      <c r="A254" s="1607"/>
      <c r="B254" s="1607"/>
      <c r="C254" s="1607"/>
      <c r="D254" s="1607"/>
      <c r="E254" s="1607"/>
      <c r="F254" s="1607"/>
      <c r="G254" s="1607"/>
      <c r="H254" s="1607"/>
      <c r="I254" s="1607"/>
      <c r="J254" s="1607"/>
      <c r="K254" s="1607"/>
      <c r="L254" s="1607"/>
      <c r="M254" s="1607"/>
      <c r="N254" s="1607"/>
      <c r="O254" s="1607"/>
      <c r="P254" s="1607"/>
      <c r="Q254" s="1607"/>
      <c r="R254" s="1607"/>
      <c r="S254" s="1607"/>
      <c r="T254" s="1607"/>
      <c r="U254" s="1607"/>
      <c r="V254" s="1607"/>
      <c r="W254" s="1607"/>
      <c r="X254" s="1607"/>
      <c r="Y254" s="1607"/>
      <c r="Z254" s="1607"/>
      <c r="AA254" s="1607"/>
      <c r="AB254" s="1607"/>
      <c r="AC254" s="1607"/>
      <c r="AD254" s="1607"/>
      <c r="AE254" s="1607"/>
      <c r="AF254" s="1607"/>
      <c r="AG254" s="1607"/>
      <c r="AH254" s="1607"/>
      <c r="AI254" s="1607"/>
      <c r="AJ254" s="1607"/>
      <c r="AK254" s="1607"/>
      <c r="AL254" s="1607"/>
      <c r="AM254" s="1607"/>
      <c r="AN254" s="1607"/>
      <c r="AO254" s="1607"/>
      <c r="AP254" s="1607"/>
      <c r="AQ254" s="1607"/>
      <c r="AR254" s="1607"/>
      <c r="AS254" s="1607"/>
      <c r="AT254" s="1607"/>
      <c r="AU254" s="1607"/>
      <c r="AV254" s="1607"/>
      <c r="AW254" s="1607"/>
      <c r="AX254" s="1607"/>
      <c r="AY254" s="1607"/>
      <c r="AZ254" s="1607"/>
      <c r="BA254" s="1607"/>
      <c r="BB254" s="1607"/>
      <c r="BC254" s="1607"/>
      <c r="BD254" s="1607"/>
      <c r="BE254" s="1607"/>
      <c r="BF254" s="1607"/>
      <c r="BG254" s="1607"/>
      <c r="BH254" s="1607"/>
      <c r="BI254" s="1607"/>
      <c r="BJ254" s="1607"/>
      <c r="BK254" s="1607"/>
      <c r="BL254" s="1607"/>
    </row>
    <row r="255">
      <c r="A255" s="1607"/>
      <c r="B255" s="1607"/>
      <c r="C255" s="1607"/>
      <c r="D255" s="1607"/>
      <c r="E255" s="1607"/>
      <c r="F255" s="1607"/>
      <c r="G255" s="1607"/>
      <c r="H255" s="1607"/>
      <c r="I255" s="1607"/>
      <c r="J255" s="1607"/>
      <c r="K255" s="1607"/>
      <c r="L255" s="1607"/>
      <c r="M255" s="1607"/>
      <c r="N255" s="1607"/>
      <c r="O255" s="1607"/>
      <c r="P255" s="1607"/>
      <c r="Q255" s="1607"/>
      <c r="R255" s="1607"/>
      <c r="S255" s="1607"/>
      <c r="T255" s="1607"/>
      <c r="U255" s="1607"/>
      <c r="V255" s="1607"/>
      <c r="W255" s="1607"/>
      <c r="X255" s="1607"/>
      <c r="Y255" s="1607"/>
      <c r="Z255" s="1607"/>
      <c r="AA255" s="1607"/>
      <c r="AB255" s="1607"/>
      <c r="AC255" s="1607"/>
      <c r="AD255" s="1607"/>
      <c r="AE255" s="1607"/>
      <c r="AF255" s="1607"/>
      <c r="AG255" s="1607"/>
      <c r="AH255" s="1607"/>
      <c r="AI255" s="1607"/>
      <c r="AJ255" s="1607"/>
      <c r="AK255" s="1607"/>
      <c r="AL255" s="1607"/>
      <c r="AM255" s="1607"/>
      <c r="AN255" s="1607"/>
      <c r="AO255" s="1607"/>
      <c r="AP255" s="1607"/>
      <c r="AQ255" s="1607"/>
      <c r="AR255" s="1607"/>
      <c r="AS255" s="1607"/>
      <c r="AT255" s="1607"/>
      <c r="AU255" s="1607"/>
      <c r="AV255" s="1607"/>
      <c r="AW255" s="1607"/>
      <c r="AX255" s="1607"/>
      <c r="AY255" s="1607"/>
      <c r="AZ255" s="1607"/>
      <c r="BA255" s="1607"/>
      <c r="BB255" s="1607"/>
      <c r="BC255" s="1607"/>
      <c r="BD255" s="1607"/>
      <c r="BE255" s="1607"/>
      <c r="BF255" s="1607"/>
      <c r="BG255" s="1607"/>
      <c r="BH255" s="1607"/>
      <c r="BI255" s="1607"/>
      <c r="BJ255" s="1607"/>
      <c r="BK255" s="1607"/>
      <c r="BL255" s="1607"/>
    </row>
    <row r="256">
      <c r="A256" s="1607"/>
      <c r="B256" s="1607"/>
      <c r="C256" s="1607"/>
      <c r="D256" s="1607"/>
      <c r="E256" s="1607"/>
      <c r="F256" s="1607"/>
      <c r="G256" s="1607"/>
      <c r="H256" s="1607"/>
      <c r="I256" s="1607"/>
      <c r="J256" s="1607"/>
      <c r="K256" s="1607"/>
      <c r="L256" s="1607"/>
      <c r="M256" s="1607"/>
      <c r="N256" s="1607"/>
      <c r="O256" s="1607"/>
      <c r="P256" s="1607"/>
      <c r="Q256" s="1607"/>
      <c r="R256" s="1607"/>
      <c r="S256" s="1607"/>
      <c r="T256" s="1607"/>
      <c r="U256" s="1607"/>
      <c r="V256" s="1607"/>
      <c r="W256" s="1607"/>
      <c r="X256" s="1607"/>
      <c r="Y256" s="1607"/>
      <c r="Z256" s="1607"/>
      <c r="AA256" s="1607"/>
      <c r="AB256" s="1607"/>
      <c r="AC256" s="1607"/>
      <c r="AD256" s="1607"/>
      <c r="AE256" s="1607"/>
      <c r="AF256" s="1607"/>
      <c r="AG256" s="1607"/>
      <c r="AH256" s="1607"/>
      <c r="AI256" s="1607"/>
      <c r="AJ256" s="1607"/>
      <c r="AK256" s="1607"/>
      <c r="AL256" s="1607"/>
      <c r="AM256" s="1607"/>
      <c r="AN256" s="1607"/>
      <c r="AO256" s="1607"/>
      <c r="AP256" s="1607"/>
      <c r="AQ256" s="1607"/>
      <c r="AR256" s="1607"/>
      <c r="AS256" s="1607"/>
      <c r="AT256" s="1607"/>
      <c r="AU256" s="1607"/>
      <c r="AV256" s="1607"/>
      <c r="AW256" s="1607"/>
      <c r="AX256" s="1607"/>
      <c r="AY256" s="1607"/>
      <c r="AZ256" s="1607"/>
      <c r="BA256" s="1607"/>
      <c r="BB256" s="1607"/>
      <c r="BC256" s="1607"/>
      <c r="BD256" s="1607"/>
      <c r="BE256" s="1607"/>
      <c r="BF256" s="1607"/>
      <c r="BG256" s="1607"/>
      <c r="BH256" s="1607"/>
      <c r="BI256" s="1607"/>
      <c r="BJ256" s="1607"/>
      <c r="BK256" s="1607"/>
      <c r="BL256" s="1607"/>
    </row>
    <row r="257">
      <c r="A257" s="1607"/>
      <c r="B257" s="1607"/>
      <c r="C257" s="1607"/>
      <c r="D257" s="1607"/>
      <c r="E257" s="1607"/>
      <c r="F257" s="1607"/>
      <c r="G257" s="1607"/>
      <c r="H257" s="1607"/>
      <c r="I257" s="1607"/>
      <c r="J257" s="1607"/>
      <c r="K257" s="1607"/>
      <c r="L257" s="1607"/>
      <c r="M257" s="1607"/>
      <c r="N257" s="1607"/>
      <c r="O257" s="1607"/>
      <c r="P257" s="1607"/>
      <c r="Q257" s="1607"/>
      <c r="R257" s="1607"/>
      <c r="S257" s="1607"/>
      <c r="T257" s="1607"/>
      <c r="U257" s="1607"/>
      <c r="V257" s="1607"/>
      <c r="W257" s="1607"/>
      <c r="X257" s="1607"/>
      <c r="Y257" s="1607"/>
      <c r="Z257" s="1607"/>
      <c r="AA257" s="1607"/>
      <c r="AB257" s="1607"/>
      <c r="AC257" s="1607"/>
      <c r="AD257" s="1607"/>
      <c r="AE257" s="1607"/>
      <c r="AF257" s="1607"/>
      <c r="AG257" s="1607"/>
      <c r="AH257" s="1607"/>
      <c r="AI257" s="1607"/>
      <c r="AJ257" s="1607"/>
      <c r="AK257" s="1607"/>
      <c r="AL257" s="1607"/>
      <c r="AM257" s="1607"/>
      <c r="AN257" s="1607"/>
      <c r="AO257" s="1607"/>
      <c r="AP257" s="1607"/>
      <c r="AQ257" s="1607"/>
      <c r="AR257" s="1607"/>
      <c r="AS257" s="1607"/>
      <c r="AT257" s="1607"/>
      <c r="AU257" s="1607"/>
      <c r="AV257" s="1607"/>
      <c r="AW257" s="1607"/>
      <c r="AX257" s="1607"/>
      <c r="AY257" s="1607"/>
      <c r="AZ257" s="1607"/>
      <c r="BA257" s="1607"/>
      <c r="BB257" s="1607"/>
      <c r="BC257" s="1607"/>
      <c r="BD257" s="1607"/>
      <c r="BE257" s="1607"/>
      <c r="BF257" s="1607"/>
      <c r="BG257" s="1607"/>
      <c r="BH257" s="1607"/>
      <c r="BI257" s="1607"/>
      <c r="BJ257" s="1607"/>
      <c r="BK257" s="1607"/>
      <c r="BL257" s="1607"/>
    </row>
    <row r="258">
      <c r="A258" s="1607"/>
      <c r="B258" s="1607"/>
      <c r="C258" s="1607"/>
      <c r="D258" s="1607"/>
      <c r="E258" s="1607"/>
      <c r="F258" s="1607"/>
      <c r="G258" s="1607"/>
      <c r="H258" s="1607"/>
      <c r="I258" s="1607"/>
      <c r="J258" s="1607"/>
      <c r="K258" s="1607"/>
      <c r="L258" s="1607"/>
      <c r="M258" s="1607"/>
      <c r="N258" s="1607"/>
      <c r="O258" s="1607"/>
      <c r="P258" s="1607"/>
      <c r="Q258" s="1607"/>
      <c r="R258" s="1607"/>
      <c r="S258" s="1607"/>
      <c r="T258" s="1607"/>
      <c r="U258" s="1607"/>
      <c r="V258" s="1607"/>
      <c r="W258" s="1607"/>
      <c r="X258" s="1607"/>
      <c r="Y258" s="1607"/>
      <c r="Z258" s="1607"/>
      <c r="AA258" s="1607"/>
      <c r="AB258" s="1607"/>
      <c r="AC258" s="1607"/>
      <c r="AD258" s="1607"/>
      <c r="AE258" s="1607"/>
      <c r="AF258" s="1607"/>
      <c r="AG258" s="1607"/>
      <c r="AH258" s="1607"/>
      <c r="AI258" s="1607"/>
      <c r="AJ258" s="1607"/>
      <c r="AK258" s="1607"/>
      <c r="AL258" s="1607"/>
      <c r="AM258" s="1607"/>
      <c r="AN258" s="1607"/>
      <c r="AO258" s="1607"/>
      <c r="AP258" s="1607"/>
      <c r="AQ258" s="1607"/>
      <c r="AR258" s="1607"/>
      <c r="AS258" s="1607"/>
      <c r="AT258" s="1607"/>
      <c r="AU258" s="1607"/>
      <c r="AV258" s="1607"/>
      <c r="AW258" s="1607"/>
      <c r="AX258" s="1607"/>
      <c r="AY258" s="1607"/>
      <c r="AZ258" s="1607"/>
      <c r="BA258" s="1607"/>
      <c r="BB258" s="1607"/>
      <c r="BC258" s="1607"/>
      <c r="BD258" s="1607"/>
      <c r="BE258" s="1607"/>
      <c r="BF258" s="1607"/>
      <c r="BG258" s="1607"/>
      <c r="BH258" s="1607"/>
      <c r="BI258" s="1607"/>
      <c r="BJ258" s="1607"/>
      <c r="BK258" s="1607"/>
      <c r="BL258" s="1607"/>
    </row>
    <row r="259">
      <c r="A259" s="1607"/>
      <c r="B259" s="1607"/>
      <c r="C259" s="1607"/>
      <c r="D259" s="1607"/>
      <c r="E259" s="1607"/>
      <c r="F259" s="1607"/>
      <c r="G259" s="1607"/>
      <c r="H259" s="1607"/>
      <c r="I259" s="1607"/>
      <c r="J259" s="1607"/>
      <c r="K259" s="1607"/>
      <c r="L259" s="1607"/>
      <c r="M259" s="1607"/>
      <c r="N259" s="1607"/>
      <c r="O259" s="1607"/>
      <c r="P259" s="1607"/>
      <c r="Q259" s="1607"/>
      <c r="R259" s="1607"/>
      <c r="S259" s="1607"/>
      <c r="T259" s="1607"/>
      <c r="U259" s="1607"/>
      <c r="V259" s="1607"/>
      <c r="W259" s="1607"/>
      <c r="X259" s="1607"/>
      <c r="Y259" s="1607"/>
      <c r="Z259" s="1607"/>
      <c r="AA259" s="1607"/>
      <c r="AB259" s="1607"/>
      <c r="AC259" s="1607"/>
      <c r="AD259" s="1607"/>
      <c r="AE259" s="1607"/>
      <c r="AF259" s="1607"/>
      <c r="AG259" s="1607"/>
      <c r="AH259" s="1607"/>
      <c r="AI259" s="1607"/>
      <c r="AJ259" s="1607"/>
      <c r="AK259" s="1607"/>
      <c r="AL259" s="1607"/>
      <c r="AM259" s="1607"/>
      <c r="AN259" s="1607"/>
      <c r="AO259" s="1607"/>
      <c r="AP259" s="1607"/>
      <c r="AQ259" s="1607"/>
      <c r="AR259" s="1607"/>
      <c r="AS259" s="1607"/>
      <c r="AT259" s="1607"/>
      <c r="AU259" s="1607"/>
      <c r="AV259" s="1607"/>
      <c r="AW259" s="1607"/>
      <c r="AX259" s="1607"/>
      <c r="AY259" s="1607"/>
      <c r="AZ259" s="1607"/>
      <c r="BA259" s="1607"/>
      <c r="BB259" s="1607"/>
      <c r="BC259" s="1607"/>
      <c r="BD259" s="1607"/>
      <c r="BE259" s="1607"/>
      <c r="BF259" s="1607"/>
      <c r="BG259" s="1607"/>
      <c r="BH259" s="1607"/>
      <c r="BI259" s="1607"/>
      <c r="BJ259" s="1607"/>
      <c r="BK259" s="1607"/>
      <c r="BL259" s="1607"/>
    </row>
    <row r="260">
      <c r="A260" s="1607"/>
      <c r="B260" s="1607"/>
      <c r="C260" s="1607"/>
      <c r="D260" s="1607"/>
      <c r="E260" s="1607"/>
      <c r="F260" s="1607"/>
      <c r="G260" s="1607"/>
      <c r="H260" s="1607"/>
      <c r="I260" s="1607"/>
      <c r="J260" s="1607"/>
      <c r="K260" s="1607"/>
      <c r="L260" s="1607"/>
      <c r="M260" s="1607"/>
      <c r="N260" s="1607"/>
      <c r="O260" s="1607"/>
      <c r="P260" s="1607"/>
      <c r="Q260" s="1607"/>
      <c r="R260" s="1607"/>
      <c r="S260" s="1607"/>
      <c r="T260" s="1607"/>
      <c r="U260" s="1607"/>
      <c r="V260" s="1607"/>
      <c r="W260" s="1607"/>
      <c r="X260" s="1607"/>
      <c r="Y260" s="1607"/>
      <c r="Z260" s="1607"/>
      <c r="AA260" s="1607"/>
      <c r="AB260" s="1607"/>
      <c r="AC260" s="1607"/>
      <c r="AD260" s="1607"/>
      <c r="AE260" s="1607"/>
      <c r="AF260" s="1607"/>
      <c r="AG260" s="1607"/>
      <c r="AH260" s="1607"/>
      <c r="AI260" s="1607"/>
      <c r="AJ260" s="1607"/>
      <c r="AK260" s="1607"/>
      <c r="AL260" s="1607"/>
      <c r="AM260" s="1607"/>
      <c r="AN260" s="1607"/>
      <c r="AO260" s="1607"/>
      <c r="AP260" s="1607"/>
      <c r="AQ260" s="1607"/>
      <c r="AR260" s="1607"/>
      <c r="AS260" s="1607"/>
      <c r="AT260" s="1607"/>
      <c r="AU260" s="1607"/>
      <c r="AV260" s="1607"/>
      <c r="AW260" s="1607"/>
      <c r="AX260" s="1607"/>
      <c r="AY260" s="1607"/>
      <c r="AZ260" s="1607"/>
      <c r="BA260" s="1607"/>
      <c r="BB260" s="1607"/>
      <c r="BC260" s="1607"/>
      <c r="BD260" s="1607"/>
      <c r="BE260" s="1607"/>
      <c r="BF260" s="1607"/>
      <c r="BG260" s="1607"/>
      <c r="BH260" s="1607"/>
      <c r="BI260" s="1607"/>
      <c r="BJ260" s="1607"/>
      <c r="BK260" s="1607"/>
      <c r="BL260" s="1607"/>
    </row>
    <row r="261">
      <c r="A261" s="1607"/>
      <c r="B261" s="1607"/>
      <c r="C261" s="1607"/>
      <c r="D261" s="1607"/>
      <c r="E261" s="1607"/>
      <c r="F261" s="1607"/>
      <c r="G261" s="1607"/>
      <c r="H261" s="1607"/>
      <c r="I261" s="1607"/>
      <c r="J261" s="1607"/>
      <c r="K261" s="1607"/>
      <c r="L261" s="1607"/>
      <c r="M261" s="1607"/>
      <c r="N261" s="1607"/>
      <c r="O261" s="1607"/>
      <c r="P261" s="1607"/>
      <c r="Q261" s="1607"/>
      <c r="R261" s="1607"/>
      <c r="S261" s="1607"/>
      <c r="T261" s="1607"/>
      <c r="U261" s="1607"/>
      <c r="V261" s="1607"/>
      <c r="W261" s="1607"/>
      <c r="X261" s="1607"/>
      <c r="Y261" s="1607"/>
      <c r="Z261" s="1607"/>
      <c r="AA261" s="1607"/>
      <c r="AB261" s="1607"/>
      <c r="AC261" s="1607"/>
      <c r="AD261" s="1607"/>
      <c r="AE261" s="1607"/>
      <c r="AF261" s="1607"/>
      <c r="AG261" s="1607"/>
      <c r="AH261" s="1607"/>
      <c r="AI261" s="1607"/>
      <c r="AJ261" s="1607"/>
      <c r="AK261" s="1607"/>
      <c r="AL261" s="1607"/>
      <c r="AM261" s="1607"/>
      <c r="AN261" s="1607"/>
      <c r="AO261" s="1607"/>
      <c r="AP261" s="1607"/>
      <c r="AQ261" s="1607"/>
      <c r="AR261" s="1607"/>
      <c r="AS261" s="1607"/>
      <c r="AT261" s="1607"/>
      <c r="AU261" s="1607"/>
      <c r="AV261" s="1607"/>
      <c r="AW261" s="1607"/>
      <c r="AX261" s="1607"/>
      <c r="AY261" s="1607"/>
      <c r="AZ261" s="1607"/>
      <c r="BA261" s="1607"/>
      <c r="BB261" s="1607"/>
      <c r="BC261" s="1607"/>
      <c r="BD261" s="1607"/>
      <c r="BE261" s="1607"/>
      <c r="BF261" s="1607"/>
      <c r="BG261" s="1607"/>
      <c r="BH261" s="1607"/>
      <c r="BI261" s="1607"/>
      <c r="BJ261" s="1607"/>
      <c r="BK261" s="1607"/>
      <c r="BL261" s="1607"/>
    </row>
    <row r="262">
      <c r="A262" s="1607"/>
      <c r="B262" s="1607"/>
      <c r="C262" s="1607"/>
      <c r="D262" s="1607"/>
      <c r="E262" s="1607"/>
      <c r="F262" s="1607"/>
      <c r="G262" s="1607"/>
      <c r="H262" s="1607"/>
      <c r="I262" s="1607"/>
      <c r="J262" s="1607"/>
      <c r="K262" s="1607"/>
      <c r="L262" s="1607"/>
      <c r="M262" s="1607"/>
      <c r="N262" s="1607"/>
      <c r="O262" s="1607"/>
      <c r="P262" s="1607"/>
      <c r="Q262" s="1607"/>
      <c r="R262" s="1607"/>
      <c r="S262" s="1607"/>
      <c r="T262" s="1607"/>
      <c r="U262" s="1607"/>
      <c r="V262" s="1607"/>
      <c r="W262" s="1607"/>
      <c r="X262" s="1607"/>
      <c r="Y262" s="1607"/>
      <c r="Z262" s="1607"/>
      <c r="AA262" s="1607"/>
      <c r="AB262" s="1607"/>
      <c r="AC262" s="1607"/>
      <c r="AD262" s="1607"/>
      <c r="AE262" s="1607"/>
      <c r="AF262" s="1607"/>
      <c r="AG262" s="1607"/>
      <c r="AH262" s="1607"/>
      <c r="AI262" s="1607"/>
      <c r="AJ262" s="1607"/>
      <c r="AK262" s="1607"/>
      <c r="AL262" s="1607"/>
      <c r="AM262" s="1607"/>
      <c r="AN262" s="1607"/>
      <c r="AO262" s="1607"/>
      <c r="AP262" s="1607"/>
      <c r="AQ262" s="1607"/>
      <c r="AR262" s="1607"/>
      <c r="AS262" s="1607"/>
      <c r="AT262" s="1607"/>
      <c r="AU262" s="1607"/>
      <c r="AV262" s="1607"/>
      <c r="AW262" s="1607"/>
      <c r="AX262" s="1607"/>
      <c r="AY262" s="1607"/>
      <c r="AZ262" s="1607"/>
      <c r="BA262" s="1607"/>
      <c r="BB262" s="1607"/>
      <c r="BC262" s="1607"/>
      <c r="BD262" s="1607"/>
      <c r="BE262" s="1607"/>
      <c r="BF262" s="1607"/>
      <c r="BG262" s="1607"/>
      <c r="BH262" s="1607"/>
      <c r="BI262" s="1607"/>
      <c r="BJ262" s="1607"/>
      <c r="BK262" s="1607"/>
      <c r="BL262" s="1607"/>
    </row>
    <row r="263">
      <c r="A263" s="1607"/>
      <c r="B263" s="1607"/>
      <c r="C263" s="1607"/>
      <c r="D263" s="1607"/>
      <c r="E263" s="1607"/>
      <c r="F263" s="1607"/>
      <c r="G263" s="1607"/>
      <c r="H263" s="1607"/>
      <c r="I263" s="1607"/>
      <c r="J263" s="1607"/>
      <c r="K263" s="1607"/>
      <c r="L263" s="1607"/>
      <c r="M263" s="1607"/>
      <c r="N263" s="1607"/>
      <c r="O263" s="1607"/>
      <c r="P263" s="1607"/>
      <c r="Q263" s="1607"/>
      <c r="R263" s="1607"/>
      <c r="S263" s="1607"/>
      <c r="T263" s="1607"/>
      <c r="U263" s="1607"/>
      <c r="V263" s="1607"/>
      <c r="W263" s="1607"/>
      <c r="X263" s="1607"/>
      <c r="Y263" s="1607"/>
      <c r="Z263" s="1607"/>
      <c r="AA263" s="1607"/>
      <c r="AB263" s="1607"/>
      <c r="AC263" s="1607"/>
      <c r="AD263" s="1607"/>
      <c r="AE263" s="1607"/>
      <c r="AF263" s="1607"/>
      <c r="AG263" s="1607"/>
      <c r="AH263" s="1607"/>
      <c r="AI263" s="1607"/>
      <c r="AJ263" s="1607"/>
      <c r="AK263" s="1607"/>
      <c r="AL263" s="1607"/>
      <c r="AM263" s="1607"/>
      <c r="AN263" s="1607"/>
      <c r="AO263" s="1607"/>
      <c r="AP263" s="1607"/>
      <c r="AQ263" s="1607"/>
      <c r="AR263" s="1607"/>
      <c r="AS263" s="1607"/>
      <c r="AT263" s="1607"/>
      <c r="AU263" s="1607"/>
      <c r="AV263" s="1607"/>
      <c r="AW263" s="1607"/>
      <c r="AX263" s="1607"/>
      <c r="AY263" s="1607"/>
      <c r="AZ263" s="1607"/>
      <c r="BA263" s="1607"/>
      <c r="BB263" s="1607"/>
      <c r="BC263" s="1607"/>
      <c r="BD263" s="1607"/>
      <c r="BE263" s="1607"/>
      <c r="BF263" s="1607"/>
      <c r="BG263" s="1607"/>
      <c r="BH263" s="1607"/>
      <c r="BI263" s="1607"/>
      <c r="BJ263" s="1607"/>
      <c r="BK263" s="1607"/>
      <c r="BL263" s="1607"/>
    </row>
    <row r="264">
      <c r="A264" s="1607"/>
      <c r="B264" s="1607"/>
      <c r="C264" s="1607"/>
      <c r="D264" s="1607"/>
      <c r="E264" s="1607"/>
      <c r="F264" s="1607"/>
      <c r="G264" s="1607"/>
      <c r="H264" s="1607"/>
      <c r="I264" s="1607"/>
      <c r="J264" s="1607"/>
      <c r="K264" s="1607"/>
      <c r="L264" s="1607"/>
      <c r="M264" s="1607"/>
      <c r="N264" s="1607"/>
      <c r="O264" s="1607"/>
      <c r="P264" s="1607"/>
      <c r="Q264" s="1607"/>
      <c r="R264" s="1607"/>
      <c r="S264" s="1607"/>
      <c r="T264" s="1607"/>
      <c r="U264" s="1607"/>
      <c r="V264" s="1607"/>
      <c r="W264" s="1607"/>
      <c r="X264" s="1607"/>
      <c r="Y264" s="1607"/>
      <c r="Z264" s="1607"/>
      <c r="AA264" s="1607"/>
      <c r="AB264" s="1607"/>
      <c r="AC264" s="1607"/>
      <c r="AD264" s="1607"/>
      <c r="AE264" s="1607"/>
      <c r="AF264" s="1607"/>
      <c r="AG264" s="1607"/>
      <c r="AH264" s="1607"/>
      <c r="AI264" s="1607"/>
      <c r="AJ264" s="1607"/>
      <c r="AK264" s="1607"/>
      <c r="AL264" s="1607"/>
      <c r="AM264" s="1607"/>
      <c r="AN264" s="1607"/>
      <c r="AO264" s="1607"/>
      <c r="AP264" s="1607"/>
      <c r="AQ264" s="1607"/>
      <c r="AR264" s="1607"/>
      <c r="AS264" s="1607"/>
      <c r="AT264" s="1607"/>
      <c r="AU264" s="1607"/>
      <c r="AV264" s="1607"/>
      <c r="AW264" s="1607"/>
      <c r="AX264" s="1607"/>
      <c r="AY264" s="1607"/>
      <c r="AZ264" s="1607"/>
      <c r="BA264" s="1607"/>
      <c r="BB264" s="1607"/>
      <c r="BC264" s="1607"/>
      <c r="BD264" s="1607"/>
      <c r="BE264" s="1607"/>
      <c r="BF264" s="1607"/>
      <c r="BG264" s="1607"/>
      <c r="BH264" s="1607"/>
      <c r="BI264" s="1607"/>
      <c r="BJ264" s="1607"/>
      <c r="BK264" s="1607"/>
      <c r="BL264" s="1607"/>
    </row>
    <row r="265">
      <c r="A265" s="1607"/>
      <c r="B265" s="1607"/>
      <c r="C265" s="1607"/>
      <c r="D265" s="1607"/>
      <c r="E265" s="1607"/>
      <c r="F265" s="1607"/>
      <c r="G265" s="1607"/>
      <c r="H265" s="1607"/>
      <c r="I265" s="1607"/>
      <c r="J265" s="1607"/>
      <c r="K265" s="1607"/>
      <c r="L265" s="1607"/>
      <c r="M265" s="1607"/>
      <c r="N265" s="1607"/>
      <c r="O265" s="1607"/>
      <c r="P265" s="1607"/>
      <c r="Q265" s="1607"/>
      <c r="R265" s="1607"/>
      <c r="S265" s="1607"/>
      <c r="T265" s="1607"/>
      <c r="U265" s="1607"/>
      <c r="V265" s="1607"/>
      <c r="W265" s="1607"/>
      <c r="X265" s="1607"/>
      <c r="Y265" s="1607"/>
      <c r="Z265" s="1607"/>
      <c r="AA265" s="1607"/>
      <c r="AB265" s="1607"/>
      <c r="AC265" s="1607"/>
      <c r="AD265" s="1607"/>
      <c r="AE265" s="1607"/>
      <c r="AF265" s="1607"/>
      <c r="AG265" s="1607"/>
      <c r="AH265" s="1607"/>
      <c r="AI265" s="1607"/>
      <c r="AJ265" s="1607"/>
      <c r="AK265" s="1607"/>
      <c r="AL265" s="1607"/>
      <c r="AM265" s="1607"/>
      <c r="AN265" s="1607"/>
      <c r="AO265" s="1607"/>
      <c r="AP265" s="1607"/>
      <c r="AQ265" s="1607"/>
      <c r="AR265" s="1607"/>
      <c r="AS265" s="1607"/>
      <c r="AT265" s="1607"/>
      <c r="AU265" s="1607"/>
      <c r="AV265" s="1607"/>
      <c r="AW265" s="1607"/>
      <c r="AX265" s="1607"/>
      <c r="AY265" s="1607"/>
      <c r="AZ265" s="1607"/>
      <c r="BA265" s="1607"/>
      <c r="BB265" s="1607"/>
      <c r="BC265" s="1607"/>
      <c r="BD265" s="1607"/>
      <c r="BE265" s="1607"/>
      <c r="BF265" s="1607"/>
      <c r="BG265" s="1607"/>
      <c r="BH265" s="1607"/>
      <c r="BI265" s="1607"/>
      <c r="BJ265" s="1607"/>
      <c r="BK265" s="1607"/>
      <c r="BL265" s="1607"/>
    </row>
    <row r="266">
      <c r="A266" s="1607"/>
      <c r="B266" s="1607"/>
      <c r="C266" s="1607"/>
      <c r="D266" s="1607"/>
      <c r="E266" s="1607"/>
      <c r="F266" s="1607"/>
      <c r="G266" s="1607"/>
      <c r="H266" s="1607"/>
      <c r="I266" s="1607"/>
      <c r="J266" s="1607"/>
      <c r="K266" s="1607"/>
      <c r="L266" s="1607"/>
      <c r="M266" s="1607"/>
      <c r="N266" s="1607"/>
      <c r="O266" s="1607"/>
      <c r="P266" s="1607"/>
      <c r="Q266" s="1607"/>
      <c r="R266" s="1607"/>
      <c r="S266" s="1607"/>
      <c r="T266" s="1607"/>
      <c r="U266" s="1607"/>
      <c r="V266" s="1607"/>
      <c r="W266" s="1607"/>
      <c r="X266" s="1607"/>
      <c r="Y266" s="1607"/>
      <c r="Z266" s="1607"/>
      <c r="AA266" s="1607"/>
      <c r="AB266" s="1607"/>
      <c r="AC266" s="1607"/>
      <c r="AD266" s="1607"/>
      <c r="AE266" s="1607"/>
      <c r="AF266" s="1607"/>
      <c r="AG266" s="1607"/>
      <c r="AH266" s="1607"/>
      <c r="AI266" s="1607"/>
      <c r="AJ266" s="1607"/>
      <c r="AK266" s="1607"/>
      <c r="AL266" s="1607"/>
      <c r="AM266" s="1607"/>
      <c r="AN266" s="1607"/>
      <c r="AO266" s="1607"/>
      <c r="AP266" s="1607"/>
      <c r="AQ266" s="1607"/>
      <c r="AR266" s="1607"/>
      <c r="AS266" s="1607"/>
      <c r="AT266" s="1607"/>
      <c r="AU266" s="1607"/>
      <c r="AV266" s="1607"/>
      <c r="AW266" s="1607"/>
      <c r="AX266" s="1607"/>
      <c r="AY266" s="1607"/>
      <c r="AZ266" s="1607"/>
      <c r="BA266" s="1607"/>
      <c r="BB266" s="1607"/>
      <c r="BC266" s="1607"/>
      <c r="BD266" s="1607"/>
      <c r="BE266" s="1607"/>
      <c r="BF266" s="1607"/>
      <c r="BG266" s="1607"/>
      <c r="BH266" s="1607"/>
      <c r="BI266" s="1607"/>
      <c r="BJ266" s="1607"/>
      <c r="BK266" s="1607"/>
      <c r="BL266" s="1607"/>
    </row>
    <row r="267">
      <c r="A267" s="1607"/>
      <c r="B267" s="1607"/>
      <c r="C267" s="1607"/>
      <c r="D267" s="1607"/>
      <c r="E267" s="1607"/>
      <c r="F267" s="1607"/>
      <c r="G267" s="1607"/>
      <c r="H267" s="1607"/>
      <c r="I267" s="1607"/>
      <c r="J267" s="1607"/>
      <c r="K267" s="1607"/>
      <c r="L267" s="1607"/>
      <c r="M267" s="1607"/>
      <c r="N267" s="1607"/>
      <c r="O267" s="1607"/>
      <c r="P267" s="1607"/>
      <c r="Q267" s="1607"/>
      <c r="R267" s="1607"/>
      <c r="S267" s="1607"/>
      <c r="T267" s="1607"/>
      <c r="U267" s="1607"/>
      <c r="V267" s="1607"/>
      <c r="W267" s="1607"/>
      <c r="X267" s="1607"/>
      <c r="Y267" s="1607"/>
      <c r="Z267" s="1607"/>
      <c r="AA267" s="1607"/>
      <c r="AB267" s="1607"/>
      <c r="AC267" s="1607"/>
      <c r="AD267" s="1607"/>
      <c r="AE267" s="1607"/>
      <c r="AF267" s="1607"/>
      <c r="AG267" s="1607"/>
      <c r="AH267" s="1607"/>
      <c r="AI267" s="1607"/>
      <c r="AJ267" s="1607"/>
      <c r="AK267" s="1607"/>
      <c r="AL267" s="1607"/>
      <c r="AM267" s="1607"/>
      <c r="AN267" s="1607"/>
      <c r="AO267" s="1607"/>
      <c r="AP267" s="1607"/>
      <c r="AQ267" s="1607"/>
      <c r="AR267" s="1607"/>
      <c r="AS267" s="1607"/>
      <c r="AT267" s="1607"/>
      <c r="AU267" s="1607"/>
      <c r="AV267" s="1607"/>
      <c r="AW267" s="1607"/>
      <c r="AX267" s="1607"/>
      <c r="AY267" s="1607"/>
      <c r="AZ267" s="1607"/>
      <c r="BA267" s="1607"/>
      <c r="BB267" s="1607"/>
      <c r="BC267" s="1607"/>
      <c r="BD267" s="1607"/>
      <c r="BE267" s="1607"/>
      <c r="BF267" s="1607"/>
      <c r="BG267" s="1607"/>
      <c r="BH267" s="1607"/>
      <c r="BI267" s="1607"/>
      <c r="BJ267" s="1607"/>
      <c r="BK267" s="1607"/>
      <c r="BL267" s="1607"/>
    </row>
    <row r="268">
      <c r="A268" s="1607"/>
      <c r="B268" s="1607"/>
      <c r="C268" s="1607"/>
      <c r="D268" s="1607"/>
      <c r="E268" s="1607"/>
      <c r="F268" s="1607"/>
      <c r="G268" s="1607"/>
      <c r="H268" s="1607"/>
      <c r="I268" s="1607"/>
      <c r="J268" s="1607"/>
      <c r="K268" s="1607"/>
      <c r="L268" s="1607"/>
      <c r="M268" s="1607"/>
      <c r="N268" s="1607"/>
      <c r="O268" s="1607"/>
      <c r="P268" s="1607"/>
      <c r="Q268" s="1607"/>
      <c r="R268" s="1607"/>
      <c r="S268" s="1607"/>
      <c r="T268" s="1607"/>
      <c r="U268" s="1607"/>
      <c r="V268" s="1607"/>
      <c r="W268" s="1607"/>
      <c r="X268" s="1607"/>
      <c r="Y268" s="1607"/>
      <c r="Z268" s="1607"/>
      <c r="AA268" s="1607"/>
      <c r="AB268" s="1607"/>
      <c r="AC268" s="1607"/>
      <c r="AD268" s="1607"/>
      <c r="AE268" s="1607"/>
      <c r="AF268" s="1607"/>
      <c r="AG268" s="1607"/>
      <c r="AH268" s="1607"/>
      <c r="AI268" s="1607"/>
      <c r="AJ268" s="1607"/>
      <c r="AK268" s="1607"/>
      <c r="AL268" s="1607"/>
      <c r="AM268" s="1607"/>
      <c r="AN268" s="1607"/>
      <c r="AO268" s="1607"/>
      <c r="AP268" s="1607"/>
      <c r="AQ268" s="1607"/>
      <c r="AR268" s="1607"/>
      <c r="AS268" s="1607"/>
      <c r="AT268" s="1607"/>
      <c r="AU268" s="1607"/>
      <c r="AV268" s="1607"/>
      <c r="AW268" s="1607"/>
      <c r="AX268" s="1607"/>
      <c r="AY268" s="1607"/>
      <c r="AZ268" s="1607"/>
      <c r="BA268" s="1607"/>
      <c r="BB268" s="1607"/>
      <c r="BC268" s="1607"/>
      <c r="BD268" s="1607"/>
      <c r="BE268" s="1607"/>
      <c r="BF268" s="1607"/>
      <c r="BG268" s="1607"/>
      <c r="BH268" s="1607"/>
      <c r="BI268" s="1607"/>
      <c r="BJ268" s="1607"/>
      <c r="BK268" s="1607"/>
      <c r="BL268" s="1607"/>
    </row>
    <row r="269">
      <c r="A269" s="1607"/>
      <c r="B269" s="1607"/>
      <c r="C269" s="1607"/>
      <c r="D269" s="1607"/>
      <c r="E269" s="1607"/>
      <c r="F269" s="1607"/>
      <c r="G269" s="1607"/>
      <c r="H269" s="1607"/>
      <c r="I269" s="1607"/>
      <c r="J269" s="1607"/>
      <c r="K269" s="1607"/>
      <c r="L269" s="1607"/>
      <c r="M269" s="1607"/>
      <c r="N269" s="1607"/>
      <c r="O269" s="1607"/>
      <c r="P269" s="1607"/>
      <c r="Q269" s="1607"/>
      <c r="R269" s="1607"/>
      <c r="S269" s="1607"/>
      <c r="T269" s="1607"/>
      <c r="U269" s="1607"/>
      <c r="V269" s="1607"/>
      <c r="W269" s="1607"/>
      <c r="X269" s="1607"/>
      <c r="Y269" s="1607"/>
      <c r="Z269" s="1607"/>
      <c r="AA269" s="1607"/>
      <c r="AB269" s="1607"/>
      <c r="AC269" s="1607"/>
      <c r="AD269" s="1607"/>
      <c r="AE269" s="1607"/>
      <c r="AF269" s="1607"/>
      <c r="AG269" s="1607"/>
      <c r="AH269" s="1607"/>
      <c r="AI269" s="1607"/>
      <c r="AJ269" s="1607"/>
      <c r="AK269" s="1607"/>
      <c r="AL269" s="1607"/>
      <c r="AM269" s="1607"/>
      <c r="AN269" s="1607"/>
      <c r="AO269" s="1607"/>
      <c r="AP269" s="1607"/>
      <c r="AQ269" s="1607"/>
      <c r="AR269" s="1607"/>
      <c r="AS269" s="1607"/>
      <c r="AT269" s="1607"/>
      <c r="AU269" s="1607"/>
      <c r="AV269" s="1607"/>
      <c r="AW269" s="1607"/>
      <c r="AX269" s="1607"/>
      <c r="AY269" s="1607"/>
      <c r="AZ269" s="1607"/>
      <c r="BA269" s="1607"/>
      <c r="BB269" s="1607"/>
      <c r="BC269" s="1607"/>
      <c r="BD269" s="1607"/>
      <c r="BE269" s="1607"/>
      <c r="BF269" s="1607"/>
      <c r="BG269" s="1607"/>
      <c r="BH269" s="1607"/>
      <c r="BI269" s="1607"/>
      <c r="BJ269" s="1607"/>
      <c r="BK269" s="1607"/>
      <c r="BL269" s="1607"/>
    </row>
    <row r="270">
      <c r="A270" s="1607"/>
      <c r="B270" s="1607"/>
      <c r="C270" s="1607"/>
      <c r="D270" s="1607"/>
      <c r="E270" s="1607"/>
      <c r="F270" s="1607"/>
      <c r="G270" s="1607"/>
      <c r="H270" s="1607"/>
      <c r="I270" s="1607"/>
      <c r="J270" s="1607"/>
      <c r="K270" s="1607"/>
      <c r="L270" s="1607"/>
      <c r="M270" s="1607"/>
      <c r="N270" s="1607"/>
      <c r="O270" s="1607"/>
      <c r="P270" s="1607"/>
      <c r="Q270" s="1607"/>
      <c r="R270" s="1607"/>
      <c r="S270" s="1607"/>
      <c r="T270" s="1607"/>
      <c r="U270" s="1607"/>
      <c r="V270" s="1607"/>
      <c r="W270" s="1607"/>
      <c r="X270" s="1607"/>
      <c r="Y270" s="1607"/>
      <c r="Z270" s="1607"/>
      <c r="AA270" s="1607"/>
      <c r="AB270" s="1607"/>
      <c r="AC270" s="1607"/>
      <c r="AD270" s="1607"/>
      <c r="AE270" s="1607"/>
      <c r="AF270" s="1607"/>
      <c r="AG270" s="1607"/>
      <c r="AH270" s="1607"/>
      <c r="AI270" s="1607"/>
      <c r="AJ270" s="1607"/>
      <c r="AK270" s="1607"/>
      <c r="AL270" s="1607"/>
      <c r="AM270" s="1607"/>
      <c r="AN270" s="1607"/>
      <c r="AO270" s="1607"/>
      <c r="AP270" s="1607"/>
      <c r="AQ270" s="1607"/>
      <c r="AR270" s="1607"/>
      <c r="AS270" s="1607"/>
      <c r="AT270" s="1607"/>
      <c r="AU270" s="1607"/>
      <c r="AV270" s="1607"/>
      <c r="AW270" s="1607"/>
      <c r="AX270" s="1607"/>
      <c r="AY270" s="1607"/>
      <c r="AZ270" s="1607"/>
      <c r="BA270" s="1607"/>
      <c r="BB270" s="1607"/>
      <c r="BC270" s="1607"/>
      <c r="BD270" s="1607"/>
      <c r="BE270" s="1607"/>
      <c r="BF270" s="1607"/>
      <c r="BG270" s="1607"/>
      <c r="BH270" s="1607"/>
      <c r="BI270" s="1607"/>
      <c r="BJ270" s="1607"/>
      <c r="BK270" s="1607"/>
      <c r="BL270" s="1607"/>
    </row>
    <row r="271">
      <c r="A271" s="1607"/>
      <c r="B271" s="1607"/>
      <c r="C271" s="1607"/>
      <c r="D271" s="1607"/>
      <c r="E271" s="1607"/>
      <c r="F271" s="1607"/>
      <c r="G271" s="1607"/>
      <c r="H271" s="1607"/>
      <c r="I271" s="1607"/>
      <c r="J271" s="1607"/>
      <c r="K271" s="1607"/>
      <c r="L271" s="1607"/>
      <c r="M271" s="1607"/>
      <c r="N271" s="1607"/>
      <c r="O271" s="1607"/>
      <c r="P271" s="1607"/>
      <c r="Q271" s="1607"/>
      <c r="R271" s="1607"/>
      <c r="S271" s="1607"/>
      <c r="T271" s="1607"/>
      <c r="U271" s="1607"/>
      <c r="V271" s="1607"/>
      <c r="W271" s="1607"/>
      <c r="X271" s="1607"/>
      <c r="Y271" s="1607"/>
      <c r="Z271" s="1607"/>
      <c r="AA271" s="1607"/>
      <c r="AB271" s="1607"/>
      <c r="AC271" s="1607"/>
      <c r="AD271" s="1607"/>
      <c r="AE271" s="1607"/>
      <c r="AF271" s="1607"/>
      <c r="AG271" s="1607"/>
      <c r="AH271" s="1607"/>
      <c r="AI271" s="1607"/>
      <c r="AJ271" s="1607"/>
      <c r="AK271" s="1607"/>
      <c r="AL271" s="1607"/>
      <c r="AM271" s="1607"/>
      <c r="AN271" s="1607"/>
      <c r="AO271" s="1607"/>
      <c r="AP271" s="1607"/>
      <c r="AQ271" s="1607"/>
      <c r="AR271" s="1607"/>
      <c r="AS271" s="1607"/>
      <c r="AT271" s="1607"/>
      <c r="AU271" s="1607"/>
      <c r="AV271" s="1607"/>
      <c r="AW271" s="1607"/>
      <c r="AX271" s="1607"/>
      <c r="AY271" s="1607"/>
      <c r="AZ271" s="1607"/>
      <c r="BA271" s="1607"/>
      <c r="BB271" s="1607"/>
      <c r="BC271" s="1607"/>
      <c r="BD271" s="1607"/>
      <c r="BE271" s="1607"/>
      <c r="BF271" s="1607"/>
      <c r="BG271" s="1607"/>
      <c r="BH271" s="1607"/>
      <c r="BI271" s="1607"/>
      <c r="BJ271" s="1607"/>
      <c r="BK271" s="1607"/>
      <c r="BL271" s="1607"/>
    </row>
    <row r="272">
      <c r="A272" s="1607"/>
      <c r="B272" s="1607"/>
      <c r="C272" s="1607"/>
      <c r="D272" s="1607"/>
      <c r="E272" s="1607"/>
      <c r="F272" s="1607"/>
      <c r="G272" s="1607"/>
      <c r="H272" s="1607"/>
      <c r="I272" s="1607"/>
      <c r="J272" s="1607"/>
      <c r="K272" s="1607"/>
      <c r="L272" s="1607"/>
      <c r="M272" s="1607"/>
      <c r="N272" s="1607"/>
      <c r="O272" s="1607"/>
      <c r="P272" s="1607"/>
      <c r="Q272" s="1607"/>
      <c r="R272" s="1607"/>
      <c r="S272" s="1607"/>
      <c r="T272" s="1607"/>
      <c r="U272" s="1607"/>
      <c r="V272" s="1607"/>
      <c r="W272" s="1607"/>
      <c r="X272" s="1607"/>
      <c r="Y272" s="1607"/>
      <c r="Z272" s="1607"/>
      <c r="AA272" s="1607"/>
      <c r="AB272" s="1607"/>
      <c r="AC272" s="1607"/>
      <c r="AD272" s="1607"/>
      <c r="AE272" s="1607"/>
      <c r="AF272" s="1607"/>
      <c r="AG272" s="1607"/>
      <c r="AH272" s="1607"/>
      <c r="AI272" s="1607"/>
      <c r="AJ272" s="1607"/>
      <c r="AK272" s="1607"/>
      <c r="AL272" s="1607"/>
      <c r="AM272" s="1607"/>
      <c r="AN272" s="1607"/>
      <c r="AO272" s="1607"/>
      <c r="AP272" s="1607"/>
      <c r="AQ272" s="1607"/>
      <c r="AR272" s="1607"/>
      <c r="AS272" s="1607"/>
      <c r="AT272" s="1607"/>
      <c r="AU272" s="1607"/>
      <c r="AV272" s="1607"/>
      <c r="AW272" s="1607"/>
      <c r="AX272" s="1607"/>
      <c r="AY272" s="1607"/>
      <c r="AZ272" s="1607"/>
      <c r="BA272" s="1607"/>
      <c r="BB272" s="1607"/>
      <c r="BC272" s="1607"/>
      <c r="BD272" s="1607"/>
      <c r="BE272" s="1607"/>
      <c r="BF272" s="1607"/>
      <c r="BG272" s="1607"/>
      <c r="BH272" s="1607"/>
      <c r="BI272" s="1607"/>
      <c r="BJ272" s="1607"/>
      <c r="BK272" s="1607"/>
      <c r="BL272" s="1607"/>
    </row>
    <row r="273">
      <c r="A273" s="1607"/>
      <c r="B273" s="1607"/>
      <c r="C273" s="1607"/>
      <c r="D273" s="1607"/>
      <c r="E273" s="1607"/>
      <c r="F273" s="1607"/>
      <c r="G273" s="1607"/>
      <c r="H273" s="1607"/>
      <c r="I273" s="1607"/>
      <c r="J273" s="1607"/>
      <c r="K273" s="1607"/>
      <c r="L273" s="1607"/>
      <c r="M273" s="1607"/>
      <c r="N273" s="1607"/>
      <c r="O273" s="1607"/>
      <c r="P273" s="1607"/>
      <c r="Q273" s="1607"/>
      <c r="R273" s="1607"/>
      <c r="S273" s="1607"/>
      <c r="T273" s="1607"/>
      <c r="U273" s="1607"/>
      <c r="V273" s="1607"/>
      <c r="W273" s="1607"/>
      <c r="X273" s="1607"/>
      <c r="Y273" s="1607"/>
      <c r="Z273" s="1607"/>
      <c r="AA273" s="1607"/>
      <c r="AB273" s="1607"/>
      <c r="AC273" s="1607"/>
      <c r="AD273" s="1607"/>
      <c r="AE273" s="1607"/>
      <c r="AF273" s="1607"/>
      <c r="AG273" s="1607"/>
      <c r="AH273" s="1607"/>
      <c r="AI273" s="1607"/>
      <c r="AJ273" s="1607"/>
      <c r="AK273" s="1607"/>
      <c r="AL273" s="1607"/>
      <c r="AM273" s="1607"/>
      <c r="AN273" s="1607"/>
      <c r="AO273" s="1607"/>
      <c r="AP273" s="1607"/>
      <c r="AQ273" s="1607"/>
      <c r="AR273" s="1607"/>
      <c r="AS273" s="1607"/>
      <c r="AT273" s="1607"/>
      <c r="AU273" s="1607"/>
      <c r="AV273" s="1607"/>
      <c r="AW273" s="1607"/>
      <c r="AX273" s="1607"/>
      <c r="AY273" s="1607"/>
      <c r="AZ273" s="1607"/>
      <c r="BA273" s="1607"/>
      <c r="BB273" s="1607"/>
      <c r="BC273" s="1607"/>
      <c r="BD273" s="1607"/>
      <c r="BE273" s="1607"/>
      <c r="BF273" s="1607"/>
      <c r="BG273" s="1607"/>
      <c r="BH273" s="1607"/>
      <c r="BI273" s="1607"/>
      <c r="BJ273" s="1607"/>
      <c r="BK273" s="1607"/>
      <c r="BL273" s="1607"/>
    </row>
    <row r="274">
      <c r="A274" s="1607"/>
      <c r="B274" s="1607"/>
      <c r="C274" s="1607"/>
      <c r="D274" s="1607"/>
      <c r="E274" s="1607"/>
      <c r="F274" s="1607"/>
      <c r="G274" s="1607"/>
      <c r="H274" s="1607"/>
      <c r="I274" s="1607"/>
      <c r="J274" s="1607"/>
      <c r="K274" s="1607"/>
      <c r="L274" s="1607"/>
      <c r="M274" s="1607"/>
      <c r="N274" s="1607"/>
      <c r="O274" s="1607"/>
      <c r="P274" s="1607"/>
      <c r="Q274" s="1607"/>
      <c r="R274" s="1607"/>
      <c r="S274" s="1607"/>
      <c r="T274" s="1607"/>
      <c r="U274" s="1607"/>
      <c r="V274" s="1607"/>
      <c r="W274" s="1607"/>
      <c r="X274" s="1607"/>
      <c r="Y274" s="1607"/>
      <c r="Z274" s="1607"/>
      <c r="AA274" s="1607"/>
      <c r="AB274" s="1607"/>
      <c r="AC274" s="1607"/>
      <c r="AD274" s="1607"/>
      <c r="AE274" s="1607"/>
      <c r="AF274" s="1607"/>
      <c r="AG274" s="1607"/>
      <c r="AH274" s="1607"/>
      <c r="AI274" s="1607"/>
      <c r="AJ274" s="1607"/>
      <c r="AK274" s="1607"/>
      <c r="AL274" s="1607"/>
      <c r="AM274" s="1607"/>
      <c r="AN274" s="1607"/>
      <c r="AO274" s="1607"/>
      <c r="AP274" s="1607"/>
      <c r="AQ274" s="1607"/>
      <c r="AR274" s="1607"/>
      <c r="AS274" s="1607"/>
      <c r="AT274" s="1607"/>
      <c r="AU274" s="1607"/>
      <c r="AV274" s="1607"/>
      <c r="AW274" s="1607"/>
      <c r="AX274" s="1607"/>
      <c r="AY274" s="1607"/>
      <c r="AZ274" s="1607"/>
      <c r="BA274" s="1607"/>
      <c r="BB274" s="1607"/>
      <c r="BC274" s="1607"/>
      <c r="BD274" s="1607"/>
      <c r="BE274" s="1607"/>
      <c r="BF274" s="1607"/>
      <c r="BG274" s="1607"/>
      <c r="BH274" s="1607"/>
      <c r="BI274" s="1607"/>
      <c r="BJ274" s="1607"/>
      <c r="BK274" s="1607"/>
      <c r="BL274" s="1607"/>
    </row>
    <row r="275">
      <c r="A275" s="1607"/>
      <c r="B275" s="1607"/>
      <c r="C275" s="1607"/>
      <c r="D275" s="1607"/>
      <c r="E275" s="1607"/>
      <c r="F275" s="1607"/>
      <c r="G275" s="1607"/>
      <c r="H275" s="1607"/>
      <c r="I275" s="1607"/>
      <c r="J275" s="1607"/>
      <c r="K275" s="1607"/>
      <c r="L275" s="1607"/>
      <c r="M275" s="1607"/>
      <c r="N275" s="1607"/>
      <c r="O275" s="1607"/>
      <c r="P275" s="1607"/>
      <c r="Q275" s="1607"/>
      <c r="R275" s="1607"/>
      <c r="S275" s="1607"/>
      <c r="T275" s="1607"/>
      <c r="U275" s="1607"/>
      <c r="V275" s="1607"/>
      <c r="W275" s="1607"/>
      <c r="X275" s="1607"/>
      <c r="Y275" s="1607"/>
      <c r="Z275" s="1607"/>
      <c r="AA275" s="1607"/>
      <c r="AB275" s="1607"/>
      <c r="AC275" s="1607"/>
      <c r="AD275" s="1607"/>
      <c r="AE275" s="1607"/>
      <c r="AF275" s="1607"/>
      <c r="AG275" s="1607"/>
      <c r="AH275" s="1607"/>
      <c r="AI275" s="1607"/>
      <c r="AJ275" s="1607"/>
      <c r="AK275" s="1607"/>
      <c r="AL275" s="1607"/>
      <c r="AM275" s="1607"/>
      <c r="AN275" s="1607"/>
      <c r="AO275" s="1607"/>
      <c r="AP275" s="1607"/>
      <c r="AQ275" s="1607"/>
      <c r="AR275" s="1607"/>
      <c r="AS275" s="1607"/>
      <c r="AT275" s="1607"/>
      <c r="AU275" s="1607"/>
      <c r="AV275" s="1607"/>
      <c r="AW275" s="1607"/>
      <c r="AX275" s="1607"/>
      <c r="AY275" s="1607"/>
      <c r="AZ275" s="1607"/>
      <c r="BA275" s="1607"/>
      <c r="BB275" s="1607"/>
      <c r="BC275" s="1607"/>
      <c r="BD275" s="1607"/>
      <c r="BE275" s="1607"/>
      <c r="BF275" s="1607"/>
      <c r="BG275" s="1607"/>
      <c r="BH275" s="1607"/>
      <c r="BI275" s="1607"/>
      <c r="BJ275" s="1607"/>
      <c r="BK275" s="1607"/>
      <c r="BL275" s="1607"/>
    </row>
    <row r="276">
      <c r="A276" s="1607"/>
      <c r="B276" s="1607"/>
      <c r="C276" s="1607"/>
      <c r="D276" s="1607"/>
      <c r="E276" s="1607"/>
      <c r="F276" s="1607"/>
      <c r="G276" s="1607"/>
      <c r="H276" s="1607"/>
      <c r="I276" s="1607"/>
      <c r="J276" s="1607"/>
      <c r="K276" s="1607"/>
      <c r="L276" s="1607"/>
      <c r="M276" s="1607"/>
      <c r="N276" s="1607"/>
      <c r="O276" s="1607"/>
      <c r="P276" s="1607"/>
      <c r="Q276" s="1607"/>
      <c r="R276" s="1607"/>
      <c r="S276" s="1607"/>
      <c r="T276" s="1607"/>
      <c r="U276" s="1607"/>
      <c r="V276" s="1607"/>
      <c r="W276" s="1607"/>
      <c r="X276" s="1607"/>
      <c r="Y276" s="1607"/>
      <c r="Z276" s="1607"/>
      <c r="AA276" s="1607"/>
      <c r="AB276" s="1607"/>
      <c r="AC276" s="1607"/>
      <c r="AD276" s="1607"/>
      <c r="AE276" s="1607"/>
      <c r="AF276" s="1607"/>
      <c r="AG276" s="1607"/>
      <c r="AH276" s="1607"/>
      <c r="AI276" s="1607"/>
      <c r="AJ276" s="1607"/>
      <c r="AK276" s="1607"/>
      <c r="AL276" s="1607"/>
      <c r="AM276" s="1607"/>
      <c r="AN276" s="1607"/>
      <c r="AO276" s="1607"/>
      <c r="AP276" s="1607"/>
      <c r="AQ276" s="1607"/>
      <c r="AR276" s="1607"/>
      <c r="AS276" s="1607"/>
      <c r="AT276" s="1607"/>
      <c r="AU276" s="1607"/>
      <c r="AV276" s="1607"/>
      <c r="AW276" s="1607"/>
      <c r="AX276" s="1607"/>
      <c r="AY276" s="1607"/>
      <c r="AZ276" s="1607"/>
      <c r="BA276" s="1607"/>
      <c r="BB276" s="1607"/>
      <c r="BC276" s="1607"/>
      <c r="BD276" s="1607"/>
      <c r="BE276" s="1607"/>
      <c r="BF276" s="1607"/>
      <c r="BG276" s="1607"/>
      <c r="BH276" s="1607"/>
      <c r="BI276" s="1607"/>
      <c r="BJ276" s="1607"/>
      <c r="BK276" s="1607"/>
      <c r="BL276" s="1607"/>
    </row>
    <row r="277">
      <c r="A277" s="1607"/>
      <c r="B277" s="1607"/>
      <c r="C277" s="1607"/>
      <c r="D277" s="1607"/>
      <c r="E277" s="1607"/>
      <c r="F277" s="1607"/>
      <c r="G277" s="1607"/>
      <c r="H277" s="1607"/>
      <c r="I277" s="1607"/>
      <c r="J277" s="1607"/>
      <c r="K277" s="1607"/>
      <c r="L277" s="1607"/>
      <c r="M277" s="1607"/>
      <c r="N277" s="1607"/>
      <c r="O277" s="1607"/>
      <c r="P277" s="1607"/>
      <c r="Q277" s="1607"/>
      <c r="R277" s="1607"/>
      <c r="S277" s="1607"/>
      <c r="T277" s="1607"/>
      <c r="U277" s="1607"/>
      <c r="V277" s="1607"/>
      <c r="W277" s="1607"/>
      <c r="X277" s="1607"/>
      <c r="Y277" s="1607"/>
      <c r="Z277" s="1607"/>
      <c r="AA277" s="1607"/>
      <c r="AB277" s="1607"/>
      <c r="AC277" s="1607"/>
      <c r="AD277" s="1607"/>
      <c r="AE277" s="1607"/>
      <c r="AF277" s="1607"/>
      <c r="AG277" s="1607"/>
      <c r="AH277" s="1607"/>
      <c r="AI277" s="1607"/>
      <c r="AJ277" s="1607"/>
      <c r="AK277" s="1607"/>
      <c r="AL277" s="1607"/>
      <c r="AM277" s="1607"/>
      <c r="AN277" s="1607"/>
      <c r="AO277" s="1607"/>
      <c r="AP277" s="1607"/>
      <c r="AQ277" s="1607"/>
      <c r="AR277" s="1607"/>
      <c r="AS277" s="1607"/>
      <c r="AT277" s="1607"/>
      <c r="AU277" s="1607"/>
      <c r="AV277" s="1607"/>
      <c r="AW277" s="1607"/>
      <c r="AX277" s="1607"/>
      <c r="AY277" s="1607"/>
      <c r="AZ277" s="1607"/>
      <c r="BA277" s="1607"/>
      <c r="BB277" s="1607"/>
      <c r="BC277" s="1607"/>
      <c r="BD277" s="1607"/>
      <c r="BE277" s="1607"/>
      <c r="BF277" s="1607"/>
      <c r="BG277" s="1607"/>
      <c r="BH277" s="1607"/>
      <c r="BI277" s="1607"/>
      <c r="BJ277" s="1607"/>
      <c r="BK277" s="1607"/>
      <c r="BL277" s="1607"/>
    </row>
    <row r="278">
      <c r="A278" s="1607"/>
      <c r="B278" s="1607"/>
      <c r="C278" s="1607"/>
      <c r="D278" s="1607"/>
      <c r="E278" s="1607"/>
      <c r="F278" s="1607"/>
      <c r="G278" s="1607"/>
      <c r="H278" s="1607"/>
      <c r="I278" s="1607"/>
      <c r="J278" s="1607"/>
      <c r="K278" s="1607"/>
      <c r="L278" s="1607"/>
      <c r="M278" s="1607"/>
      <c r="N278" s="1607"/>
      <c r="O278" s="1607"/>
      <c r="P278" s="1607"/>
      <c r="Q278" s="1607"/>
      <c r="R278" s="1607"/>
      <c r="S278" s="1607"/>
      <c r="T278" s="1607"/>
      <c r="U278" s="1607"/>
      <c r="V278" s="1607"/>
      <c r="W278" s="1607"/>
      <c r="X278" s="1607"/>
      <c r="Y278" s="1607"/>
      <c r="Z278" s="1607"/>
      <c r="AA278" s="1607"/>
      <c r="AB278" s="1607"/>
      <c r="AC278" s="1607"/>
      <c r="AD278" s="1607"/>
      <c r="AE278" s="1607"/>
      <c r="AF278" s="1607"/>
      <c r="AG278" s="1607"/>
      <c r="AH278" s="1607"/>
      <c r="AI278" s="1607"/>
      <c r="AJ278" s="1607"/>
      <c r="AK278" s="1607"/>
      <c r="AL278" s="1607"/>
      <c r="AM278" s="1607"/>
      <c r="AN278" s="1607"/>
      <c r="AO278" s="1607"/>
      <c r="AP278" s="1607"/>
      <c r="AQ278" s="1607"/>
      <c r="AR278" s="1607"/>
      <c r="AS278" s="1607"/>
      <c r="AT278" s="1607"/>
      <c r="AU278" s="1607"/>
      <c r="AV278" s="1607"/>
      <c r="AW278" s="1607"/>
      <c r="AX278" s="1607"/>
      <c r="AY278" s="1607"/>
      <c r="AZ278" s="1607"/>
      <c r="BA278" s="1607"/>
      <c r="BB278" s="1607"/>
      <c r="BC278" s="1607"/>
      <c r="BD278" s="1607"/>
      <c r="BE278" s="1607"/>
      <c r="BF278" s="1607"/>
      <c r="BG278" s="1607"/>
      <c r="BH278" s="1607"/>
      <c r="BI278" s="1607"/>
      <c r="BJ278" s="1607"/>
      <c r="BK278" s="1607"/>
      <c r="BL278" s="1607"/>
    </row>
    <row r="279">
      <c r="A279" s="1607"/>
      <c r="B279" s="1607"/>
      <c r="C279" s="1607"/>
      <c r="D279" s="1607"/>
      <c r="E279" s="1607"/>
      <c r="F279" s="1607"/>
      <c r="G279" s="1607"/>
      <c r="H279" s="1607"/>
      <c r="I279" s="1607"/>
      <c r="J279" s="1607"/>
      <c r="K279" s="1607"/>
      <c r="L279" s="1607"/>
      <c r="M279" s="1607"/>
      <c r="N279" s="1607"/>
      <c r="O279" s="1607"/>
      <c r="P279" s="1607"/>
      <c r="Q279" s="1607"/>
      <c r="R279" s="1607"/>
      <c r="S279" s="1607"/>
      <c r="T279" s="1607"/>
      <c r="U279" s="1607"/>
      <c r="V279" s="1607"/>
      <c r="W279" s="1607"/>
      <c r="X279" s="1607"/>
      <c r="Y279" s="1607"/>
      <c r="Z279" s="1607"/>
      <c r="AA279" s="1607"/>
      <c r="AB279" s="1607"/>
      <c r="AC279" s="1607"/>
      <c r="AD279" s="1607"/>
      <c r="AE279" s="1607"/>
      <c r="AF279" s="1607"/>
      <c r="AG279" s="1607"/>
      <c r="AH279" s="1607"/>
      <c r="AI279" s="1607"/>
      <c r="AJ279" s="1607"/>
      <c r="AK279" s="1607"/>
      <c r="AL279" s="1607"/>
      <c r="AM279" s="1607"/>
      <c r="AN279" s="1607"/>
      <c r="AO279" s="1607"/>
      <c r="AP279" s="1607"/>
      <c r="AQ279" s="1607"/>
      <c r="AR279" s="1607"/>
      <c r="AS279" s="1607"/>
      <c r="AT279" s="1607"/>
      <c r="AU279" s="1607"/>
      <c r="AV279" s="1607"/>
      <c r="AW279" s="1607"/>
      <c r="AX279" s="1607"/>
      <c r="AY279" s="1607"/>
      <c r="AZ279" s="1607"/>
      <c r="BA279" s="1607"/>
      <c r="BB279" s="1607"/>
      <c r="BC279" s="1607"/>
      <c r="BD279" s="1607"/>
      <c r="BE279" s="1607"/>
      <c r="BF279" s="1607"/>
      <c r="BG279" s="1607"/>
      <c r="BH279" s="1607"/>
      <c r="BI279" s="1607"/>
      <c r="BJ279" s="1607"/>
      <c r="BK279" s="1607"/>
      <c r="BL279" s="1607"/>
    </row>
    <row r="280">
      <c r="A280" s="1607"/>
      <c r="B280" s="1607"/>
      <c r="C280" s="1607"/>
      <c r="D280" s="1607"/>
      <c r="E280" s="1607"/>
      <c r="F280" s="1607"/>
      <c r="G280" s="1607"/>
      <c r="H280" s="1607"/>
      <c r="I280" s="1607"/>
      <c r="J280" s="1607"/>
      <c r="K280" s="1607"/>
      <c r="L280" s="1607"/>
      <c r="M280" s="1607"/>
      <c r="N280" s="1607"/>
      <c r="O280" s="1607"/>
      <c r="P280" s="1607"/>
      <c r="Q280" s="1607"/>
      <c r="R280" s="1607"/>
      <c r="S280" s="1607"/>
      <c r="T280" s="1607"/>
      <c r="U280" s="1607"/>
      <c r="V280" s="1607"/>
      <c r="W280" s="1607"/>
      <c r="X280" s="1607"/>
      <c r="Y280" s="1607"/>
      <c r="Z280" s="1607"/>
      <c r="AA280" s="1607"/>
      <c r="AB280" s="1607"/>
      <c r="AC280" s="1607"/>
      <c r="AD280" s="1607"/>
      <c r="AE280" s="1607"/>
      <c r="AF280" s="1607"/>
      <c r="AG280" s="1607"/>
      <c r="AH280" s="1607"/>
      <c r="AI280" s="1607"/>
      <c r="AJ280" s="1607"/>
      <c r="AK280" s="1607"/>
      <c r="AL280" s="1607"/>
      <c r="AM280" s="1607"/>
      <c r="AN280" s="1607"/>
      <c r="AO280" s="1607"/>
      <c r="AP280" s="1607"/>
      <c r="AQ280" s="1607"/>
      <c r="AR280" s="1607"/>
      <c r="AS280" s="1607"/>
      <c r="AT280" s="1607"/>
      <c r="AU280" s="1607"/>
      <c r="AV280" s="1607"/>
      <c r="AW280" s="1607"/>
      <c r="AX280" s="1607"/>
      <c r="AY280" s="1607"/>
      <c r="AZ280" s="1607"/>
      <c r="BA280" s="1607"/>
      <c r="BB280" s="1607"/>
      <c r="BC280" s="1607"/>
      <c r="BD280" s="1607"/>
      <c r="BE280" s="1607"/>
      <c r="BF280" s="1607"/>
      <c r="BG280" s="1607"/>
      <c r="BH280" s="1607"/>
      <c r="BI280" s="1607"/>
      <c r="BJ280" s="1607"/>
      <c r="BK280" s="1607"/>
      <c r="BL280" s="1607"/>
    </row>
    <row r="281">
      <c r="A281" s="1607"/>
      <c r="B281" s="1607"/>
      <c r="C281" s="1607"/>
      <c r="D281" s="1607"/>
      <c r="E281" s="1607"/>
      <c r="F281" s="1607"/>
      <c r="G281" s="1607"/>
      <c r="H281" s="1607"/>
      <c r="I281" s="1607"/>
      <c r="J281" s="1607"/>
      <c r="K281" s="1607"/>
      <c r="L281" s="1607"/>
      <c r="M281" s="1607"/>
      <c r="N281" s="1607"/>
      <c r="O281" s="1607"/>
      <c r="P281" s="1607"/>
      <c r="Q281" s="1607"/>
      <c r="R281" s="1607"/>
      <c r="S281" s="1607"/>
      <c r="T281" s="1607"/>
      <c r="U281" s="1607"/>
      <c r="V281" s="1607"/>
      <c r="W281" s="1607"/>
      <c r="X281" s="1607"/>
      <c r="Y281" s="1607"/>
      <c r="Z281" s="1607"/>
      <c r="AA281" s="1607"/>
      <c r="AB281" s="1607"/>
      <c r="AC281" s="1607"/>
      <c r="AD281" s="1607"/>
      <c r="AE281" s="1607"/>
      <c r="AF281" s="1607"/>
      <c r="AG281" s="1607"/>
      <c r="AH281" s="1607"/>
      <c r="AI281" s="1607"/>
      <c r="AJ281" s="1607"/>
      <c r="AK281" s="1607"/>
      <c r="AL281" s="1607"/>
      <c r="AM281" s="1607"/>
      <c r="AN281" s="1607"/>
      <c r="AO281" s="1607"/>
      <c r="AP281" s="1607"/>
      <c r="AQ281" s="1607"/>
      <c r="AR281" s="1607"/>
      <c r="AS281" s="1607"/>
      <c r="AT281" s="1607"/>
      <c r="AU281" s="1607"/>
      <c r="AV281" s="1607"/>
      <c r="AW281" s="1607"/>
      <c r="AX281" s="1607"/>
      <c r="AY281" s="1607"/>
      <c r="AZ281" s="1607"/>
      <c r="BA281" s="1607"/>
      <c r="BB281" s="1607"/>
      <c r="BC281" s="1607"/>
      <c r="BD281" s="1607"/>
      <c r="BE281" s="1607"/>
      <c r="BF281" s="1607"/>
      <c r="BG281" s="1607"/>
      <c r="BH281" s="1607"/>
      <c r="BI281" s="1607"/>
      <c r="BJ281" s="1607"/>
      <c r="BK281" s="1607"/>
      <c r="BL281" s="1607"/>
    </row>
    <row r="282">
      <c r="A282" s="1607"/>
      <c r="B282" s="1607"/>
      <c r="C282" s="1607"/>
      <c r="D282" s="1607"/>
      <c r="E282" s="1607"/>
      <c r="F282" s="1607"/>
      <c r="G282" s="1607"/>
      <c r="H282" s="1607"/>
      <c r="I282" s="1607"/>
      <c r="J282" s="1607"/>
      <c r="K282" s="1607"/>
      <c r="L282" s="1607"/>
      <c r="M282" s="1607"/>
      <c r="N282" s="1607"/>
      <c r="O282" s="1607"/>
      <c r="P282" s="1607"/>
      <c r="Q282" s="1607"/>
      <c r="R282" s="1607"/>
      <c r="S282" s="1607"/>
      <c r="T282" s="1607"/>
      <c r="U282" s="1607"/>
      <c r="V282" s="1607"/>
      <c r="W282" s="1607"/>
      <c r="X282" s="1607"/>
      <c r="Y282" s="1607"/>
      <c r="Z282" s="1607"/>
      <c r="AA282" s="1607"/>
      <c r="AB282" s="1607"/>
      <c r="AC282" s="1607"/>
      <c r="AD282" s="1607"/>
      <c r="AE282" s="1607"/>
      <c r="AF282" s="1607"/>
      <c r="AG282" s="1607"/>
      <c r="AH282" s="1607"/>
      <c r="AI282" s="1607"/>
      <c r="AJ282" s="1607"/>
      <c r="AK282" s="1607"/>
      <c r="AL282" s="1607"/>
      <c r="AM282" s="1607"/>
      <c r="AN282" s="1607"/>
      <c r="AO282" s="1607"/>
      <c r="AP282" s="1607"/>
      <c r="AQ282" s="1607"/>
      <c r="AR282" s="1607"/>
      <c r="AS282" s="1607"/>
      <c r="AT282" s="1607"/>
      <c r="AU282" s="1607"/>
      <c r="AV282" s="1607"/>
      <c r="AW282" s="1607"/>
      <c r="AX282" s="1607"/>
      <c r="AY282" s="1607"/>
      <c r="AZ282" s="1607"/>
      <c r="BA282" s="1607"/>
      <c r="BB282" s="1607"/>
      <c r="BC282" s="1607"/>
      <c r="BD282" s="1607"/>
      <c r="BE282" s="1607"/>
      <c r="BF282" s="1607"/>
      <c r="BG282" s="1607"/>
      <c r="BH282" s="1607"/>
      <c r="BI282" s="1607"/>
      <c r="BJ282" s="1607"/>
      <c r="BK282" s="1607"/>
      <c r="BL282" s="1607"/>
    </row>
    <row r="283">
      <c r="A283" s="1607"/>
      <c r="B283" s="1607"/>
      <c r="C283" s="1607"/>
      <c r="D283" s="1607"/>
      <c r="E283" s="1607"/>
      <c r="F283" s="1607"/>
      <c r="G283" s="1607"/>
      <c r="H283" s="1607"/>
      <c r="I283" s="1607"/>
      <c r="J283" s="1607"/>
      <c r="K283" s="1607"/>
      <c r="L283" s="1607"/>
      <c r="M283" s="1607"/>
      <c r="N283" s="1607"/>
      <c r="O283" s="1607"/>
      <c r="P283" s="1607"/>
      <c r="Q283" s="1607"/>
      <c r="R283" s="1607"/>
      <c r="S283" s="1607"/>
      <c r="T283" s="1607"/>
      <c r="U283" s="1607"/>
      <c r="V283" s="1607"/>
      <c r="W283" s="1607"/>
      <c r="X283" s="1607"/>
      <c r="Y283" s="1607"/>
      <c r="Z283" s="1607"/>
      <c r="AA283" s="1607"/>
      <c r="AB283" s="1607"/>
      <c r="AC283" s="1607"/>
      <c r="AD283" s="1607"/>
      <c r="AE283" s="1607"/>
      <c r="AF283" s="1607"/>
      <c r="AG283" s="1607"/>
      <c r="AH283" s="1607"/>
      <c r="AI283" s="1607"/>
      <c r="AJ283" s="1607"/>
      <c r="AK283" s="1607"/>
      <c r="AL283" s="1607"/>
      <c r="AM283" s="1607"/>
      <c r="AN283" s="1607"/>
      <c r="AO283" s="1607"/>
      <c r="AP283" s="1607"/>
      <c r="AQ283" s="1607"/>
      <c r="AR283" s="1607"/>
      <c r="AS283" s="1607"/>
      <c r="AT283" s="1607"/>
      <c r="AU283" s="1607"/>
      <c r="AV283" s="1607"/>
      <c r="AW283" s="1607"/>
      <c r="AX283" s="1607"/>
      <c r="AY283" s="1607"/>
      <c r="AZ283" s="1607"/>
      <c r="BA283" s="1607"/>
      <c r="BB283" s="1607"/>
      <c r="BC283" s="1607"/>
      <c r="BD283" s="1607"/>
      <c r="BE283" s="1607"/>
      <c r="BF283" s="1607"/>
      <c r="BG283" s="1607"/>
      <c r="BH283" s="1607"/>
      <c r="BI283" s="1607"/>
      <c r="BJ283" s="1607"/>
      <c r="BK283" s="1607"/>
      <c r="BL283" s="1607"/>
    </row>
    <row r="284">
      <c r="A284" s="1607"/>
      <c r="B284" s="1607"/>
      <c r="C284" s="1607"/>
      <c r="D284" s="1607"/>
      <c r="E284" s="1607"/>
      <c r="F284" s="1607"/>
      <c r="G284" s="1607"/>
      <c r="H284" s="1607"/>
      <c r="I284" s="1607"/>
      <c r="J284" s="1607"/>
      <c r="K284" s="1607"/>
      <c r="L284" s="1607"/>
      <c r="M284" s="1607"/>
      <c r="N284" s="1607"/>
      <c r="O284" s="1607"/>
      <c r="P284" s="1607"/>
      <c r="Q284" s="1607"/>
      <c r="R284" s="1607"/>
      <c r="S284" s="1607"/>
      <c r="T284" s="1607"/>
      <c r="U284" s="1607"/>
      <c r="V284" s="1607"/>
      <c r="W284" s="1607"/>
      <c r="X284" s="1607"/>
      <c r="Y284" s="1607"/>
      <c r="Z284" s="1607"/>
      <c r="AA284" s="1607"/>
      <c r="AB284" s="1607"/>
      <c r="AC284" s="1607"/>
      <c r="AD284" s="1607"/>
      <c r="AE284" s="1607"/>
      <c r="AF284" s="1607"/>
      <c r="AG284" s="1607"/>
      <c r="AH284" s="1607"/>
      <c r="AI284" s="1607"/>
      <c r="AJ284" s="1607"/>
      <c r="AK284" s="1607"/>
      <c r="AL284" s="1607"/>
      <c r="AM284" s="1607"/>
      <c r="AN284" s="1607"/>
      <c r="AO284" s="1607"/>
      <c r="AP284" s="1607"/>
      <c r="AQ284" s="1607"/>
      <c r="AR284" s="1607"/>
      <c r="AS284" s="1607"/>
      <c r="AT284" s="1607"/>
      <c r="AU284" s="1607"/>
      <c r="AV284" s="1607"/>
      <c r="AW284" s="1607"/>
      <c r="AX284" s="1607"/>
      <c r="AY284" s="1607"/>
      <c r="AZ284" s="1607"/>
      <c r="BA284" s="1607"/>
      <c r="BB284" s="1607"/>
      <c r="BC284" s="1607"/>
      <c r="BD284" s="1607"/>
      <c r="BE284" s="1607"/>
      <c r="BF284" s="1607"/>
      <c r="BG284" s="1607"/>
      <c r="BH284" s="1607"/>
      <c r="BI284" s="1607"/>
      <c r="BJ284" s="1607"/>
      <c r="BK284" s="1607"/>
      <c r="BL284" s="1607"/>
    </row>
    <row r="285">
      <c r="A285" s="1607"/>
      <c r="B285" s="1607"/>
      <c r="C285" s="1607"/>
      <c r="D285" s="1607"/>
      <c r="E285" s="1607"/>
      <c r="F285" s="1607"/>
      <c r="G285" s="1607"/>
      <c r="H285" s="1607"/>
      <c r="I285" s="1607"/>
      <c r="J285" s="1607"/>
      <c r="K285" s="1607"/>
      <c r="L285" s="1607"/>
      <c r="M285" s="1607"/>
      <c r="N285" s="1607"/>
      <c r="O285" s="1607"/>
      <c r="P285" s="1607"/>
      <c r="Q285" s="1607"/>
      <c r="R285" s="1607"/>
      <c r="S285" s="1607"/>
      <c r="T285" s="1607"/>
      <c r="U285" s="1607"/>
      <c r="V285" s="1607"/>
      <c r="W285" s="1607"/>
      <c r="X285" s="1607"/>
      <c r="Y285" s="1607"/>
      <c r="Z285" s="1607"/>
      <c r="AA285" s="1607"/>
      <c r="AB285" s="1607"/>
      <c r="AC285" s="1607"/>
      <c r="AD285" s="1607"/>
      <c r="AE285" s="1607"/>
      <c r="AF285" s="1607"/>
      <c r="AG285" s="1607"/>
      <c r="AH285" s="1607"/>
      <c r="AI285" s="1607"/>
      <c r="AJ285" s="1607"/>
      <c r="AK285" s="1607"/>
      <c r="AL285" s="1607"/>
      <c r="AM285" s="1607"/>
      <c r="AN285" s="1607"/>
      <c r="AO285" s="1607"/>
      <c r="AP285" s="1607"/>
      <c r="AQ285" s="1607"/>
      <c r="AR285" s="1607"/>
      <c r="AS285" s="1607"/>
      <c r="AT285" s="1607"/>
      <c r="AU285" s="1607"/>
      <c r="AV285" s="1607"/>
      <c r="AW285" s="1607"/>
      <c r="AX285" s="1607"/>
      <c r="AY285" s="1607"/>
      <c r="AZ285" s="1607"/>
      <c r="BA285" s="1607"/>
      <c r="BB285" s="1607"/>
      <c r="BC285" s="1607"/>
      <c r="BD285" s="1607"/>
      <c r="BE285" s="1607"/>
      <c r="BF285" s="1607"/>
      <c r="BG285" s="1607"/>
      <c r="BH285" s="1607"/>
      <c r="BI285" s="1607"/>
      <c r="BJ285" s="1607"/>
      <c r="BK285" s="1607"/>
      <c r="BL285" s="1607"/>
    </row>
    <row r="286">
      <c r="A286" s="1607"/>
      <c r="B286" s="1607"/>
      <c r="C286" s="1607"/>
      <c r="D286" s="1607"/>
      <c r="E286" s="1607"/>
      <c r="F286" s="1607"/>
      <c r="G286" s="1607"/>
      <c r="H286" s="1607"/>
      <c r="I286" s="1607"/>
      <c r="J286" s="1607"/>
      <c r="K286" s="1607"/>
      <c r="L286" s="1607"/>
      <c r="M286" s="1607"/>
      <c r="N286" s="1607"/>
      <c r="O286" s="1607"/>
      <c r="P286" s="1607"/>
      <c r="Q286" s="1607"/>
      <c r="R286" s="1607"/>
      <c r="S286" s="1607"/>
      <c r="T286" s="1607"/>
      <c r="U286" s="1607"/>
      <c r="V286" s="1607"/>
      <c r="W286" s="1607"/>
      <c r="X286" s="1607"/>
      <c r="Y286" s="1607"/>
      <c r="Z286" s="1607"/>
      <c r="AA286" s="1607"/>
      <c r="AB286" s="1607"/>
      <c r="AC286" s="1607"/>
      <c r="AD286" s="1607"/>
      <c r="AE286" s="1607"/>
      <c r="AF286" s="1607"/>
      <c r="AG286" s="1607"/>
      <c r="AH286" s="1607"/>
      <c r="AI286" s="1607"/>
      <c r="AJ286" s="1607"/>
      <c r="AK286" s="1607"/>
      <c r="AL286" s="1607"/>
      <c r="AM286" s="1607"/>
      <c r="AN286" s="1607"/>
      <c r="AO286" s="1607"/>
      <c r="AP286" s="1607"/>
      <c r="AQ286" s="1607"/>
      <c r="AR286" s="1607"/>
      <c r="AS286" s="1607"/>
      <c r="AT286" s="1607"/>
      <c r="AU286" s="1607"/>
      <c r="AV286" s="1607"/>
      <c r="AW286" s="1607"/>
      <c r="AX286" s="1607"/>
      <c r="AY286" s="1607"/>
      <c r="AZ286" s="1607"/>
      <c r="BA286" s="1607"/>
      <c r="BB286" s="1607"/>
      <c r="BC286" s="1607"/>
      <c r="BD286" s="1607"/>
      <c r="BE286" s="1607"/>
      <c r="BF286" s="1607"/>
      <c r="BG286" s="1607"/>
      <c r="BH286" s="1607"/>
      <c r="BI286" s="1607"/>
      <c r="BJ286" s="1607"/>
      <c r="BK286" s="1607"/>
      <c r="BL286" s="1607"/>
    </row>
    <row r="287">
      <c r="A287" s="1607"/>
      <c r="B287" s="1607"/>
      <c r="C287" s="1607"/>
      <c r="D287" s="1607"/>
      <c r="E287" s="1607"/>
      <c r="F287" s="1607"/>
      <c r="G287" s="1607"/>
      <c r="H287" s="1607"/>
      <c r="I287" s="1607"/>
      <c r="J287" s="1607"/>
      <c r="K287" s="1607"/>
      <c r="L287" s="1607"/>
      <c r="M287" s="1607"/>
      <c r="N287" s="1607"/>
      <c r="O287" s="1607"/>
      <c r="P287" s="1607"/>
      <c r="Q287" s="1607"/>
      <c r="R287" s="1607"/>
      <c r="S287" s="1607"/>
      <c r="T287" s="1607"/>
      <c r="U287" s="1607"/>
      <c r="V287" s="1607"/>
      <c r="W287" s="1607"/>
      <c r="X287" s="1607"/>
      <c r="Y287" s="1607"/>
      <c r="Z287" s="1607"/>
      <c r="AA287" s="1607"/>
      <c r="AB287" s="1607"/>
      <c r="AC287" s="1607"/>
      <c r="AD287" s="1607"/>
      <c r="AE287" s="1607"/>
      <c r="AF287" s="1607"/>
      <c r="AG287" s="1607"/>
      <c r="AH287" s="1607"/>
      <c r="AI287" s="1607"/>
      <c r="AJ287" s="1607"/>
      <c r="AK287" s="1607"/>
      <c r="AL287" s="1607"/>
      <c r="AM287" s="1607"/>
      <c r="AN287" s="1607"/>
      <c r="AO287" s="1607"/>
      <c r="AP287" s="1607"/>
      <c r="AQ287" s="1607"/>
      <c r="AR287" s="1607"/>
      <c r="AS287" s="1607"/>
      <c r="AT287" s="1607"/>
      <c r="AU287" s="1607"/>
      <c r="AV287" s="1607"/>
      <c r="AW287" s="1607"/>
      <c r="AX287" s="1607"/>
      <c r="AY287" s="1607"/>
      <c r="AZ287" s="1607"/>
      <c r="BA287" s="1607"/>
      <c r="BB287" s="1607"/>
      <c r="BC287" s="1607"/>
      <c r="BD287" s="1607"/>
      <c r="BE287" s="1607"/>
      <c r="BF287" s="1607"/>
      <c r="BG287" s="1607"/>
      <c r="BH287" s="1607"/>
      <c r="BI287" s="1607"/>
      <c r="BJ287" s="1607"/>
      <c r="BK287" s="1607"/>
      <c r="BL287" s="1607"/>
    </row>
    <row r="288">
      <c r="A288" s="1607"/>
      <c r="B288" s="1607"/>
      <c r="C288" s="1607"/>
      <c r="D288" s="1607"/>
      <c r="E288" s="1607"/>
      <c r="F288" s="1607"/>
      <c r="G288" s="1607"/>
      <c r="H288" s="1607"/>
      <c r="I288" s="1607"/>
      <c r="J288" s="1607"/>
      <c r="K288" s="1607"/>
      <c r="L288" s="1607"/>
      <c r="M288" s="1607"/>
      <c r="N288" s="1607"/>
      <c r="O288" s="1607"/>
      <c r="P288" s="1607"/>
      <c r="Q288" s="1607"/>
      <c r="R288" s="1607"/>
      <c r="S288" s="1607"/>
      <c r="T288" s="1607"/>
      <c r="U288" s="1607"/>
      <c r="V288" s="1607"/>
      <c r="W288" s="1607"/>
      <c r="X288" s="1607"/>
      <c r="Y288" s="1607"/>
      <c r="Z288" s="1607"/>
      <c r="AA288" s="1607"/>
      <c r="AB288" s="1607"/>
      <c r="AC288" s="1607"/>
      <c r="AD288" s="1607"/>
      <c r="AE288" s="1607"/>
      <c r="AF288" s="1607"/>
      <c r="AG288" s="1607"/>
      <c r="AH288" s="1607"/>
      <c r="AI288" s="1607"/>
      <c r="AJ288" s="1607"/>
      <c r="AK288" s="1607"/>
      <c r="AL288" s="1607"/>
      <c r="AM288" s="1607"/>
      <c r="AN288" s="1607"/>
      <c r="AO288" s="1607"/>
      <c r="AP288" s="1607"/>
      <c r="AQ288" s="1607"/>
      <c r="AR288" s="1607"/>
      <c r="AS288" s="1607"/>
      <c r="AT288" s="1607"/>
      <c r="AU288" s="1607"/>
      <c r="AV288" s="1607"/>
      <c r="AW288" s="1607"/>
      <c r="AX288" s="1607"/>
      <c r="AY288" s="1607"/>
      <c r="AZ288" s="1607"/>
      <c r="BA288" s="1607"/>
      <c r="BB288" s="1607"/>
      <c r="BC288" s="1607"/>
      <c r="BD288" s="1607"/>
      <c r="BE288" s="1607"/>
      <c r="BF288" s="1607"/>
      <c r="BG288" s="1607"/>
      <c r="BH288" s="1607"/>
      <c r="BI288" s="1607"/>
      <c r="BJ288" s="1607"/>
      <c r="BK288" s="1607"/>
      <c r="BL288" s="1607"/>
    </row>
    <row r="289">
      <c r="A289" s="1607"/>
      <c r="B289" s="1607"/>
      <c r="C289" s="1607"/>
      <c r="D289" s="1607"/>
      <c r="E289" s="1607"/>
      <c r="F289" s="1607"/>
      <c r="G289" s="1607"/>
      <c r="H289" s="1607"/>
      <c r="I289" s="1607"/>
      <c r="J289" s="1607"/>
      <c r="K289" s="1607"/>
      <c r="L289" s="1607"/>
      <c r="M289" s="1607"/>
      <c r="N289" s="1607"/>
      <c r="O289" s="1607"/>
      <c r="P289" s="1607"/>
      <c r="Q289" s="1607"/>
      <c r="R289" s="1607"/>
      <c r="S289" s="1607"/>
      <c r="T289" s="1607"/>
      <c r="U289" s="1607"/>
      <c r="V289" s="1607"/>
      <c r="W289" s="1607"/>
      <c r="X289" s="1607"/>
      <c r="Y289" s="1607"/>
      <c r="Z289" s="1607"/>
      <c r="AA289" s="1607"/>
      <c r="AB289" s="1607"/>
      <c r="AC289" s="1607"/>
      <c r="AD289" s="1607"/>
      <c r="AE289" s="1607"/>
      <c r="AF289" s="1607"/>
      <c r="AG289" s="1607"/>
      <c r="AH289" s="1607"/>
      <c r="AI289" s="1607"/>
      <c r="AJ289" s="1607"/>
      <c r="AK289" s="1607"/>
      <c r="AL289" s="1607"/>
      <c r="AM289" s="1607"/>
      <c r="AN289" s="1607"/>
      <c r="AO289" s="1607"/>
      <c r="AP289" s="1607"/>
      <c r="AQ289" s="1607"/>
      <c r="AR289" s="1607"/>
      <c r="AS289" s="1607"/>
      <c r="AT289" s="1607"/>
      <c r="AU289" s="1607"/>
      <c r="AV289" s="1607"/>
      <c r="AW289" s="1607"/>
      <c r="AX289" s="1607"/>
      <c r="AY289" s="1607"/>
      <c r="AZ289" s="1607"/>
      <c r="BA289" s="1607"/>
      <c r="BB289" s="1607"/>
      <c r="BC289" s="1607"/>
      <c r="BD289" s="1607"/>
      <c r="BE289" s="1607"/>
      <c r="BF289" s="1607"/>
      <c r="BG289" s="1607"/>
      <c r="BH289" s="1607"/>
      <c r="BI289" s="1607"/>
      <c r="BJ289" s="1607"/>
      <c r="BK289" s="1607"/>
      <c r="BL289" s="1607"/>
    </row>
    <row r="290">
      <c r="A290" s="1607"/>
      <c r="B290" s="1607"/>
      <c r="C290" s="1607"/>
      <c r="D290" s="1607"/>
      <c r="E290" s="1607"/>
      <c r="F290" s="1607"/>
      <c r="G290" s="1607"/>
      <c r="H290" s="1607"/>
      <c r="I290" s="1607"/>
      <c r="J290" s="1607"/>
      <c r="K290" s="1607"/>
      <c r="L290" s="1607"/>
      <c r="M290" s="1607"/>
      <c r="N290" s="1607"/>
      <c r="O290" s="1607"/>
      <c r="P290" s="1607"/>
      <c r="Q290" s="1607"/>
      <c r="R290" s="1607"/>
      <c r="S290" s="1607"/>
      <c r="T290" s="1607"/>
      <c r="U290" s="1607"/>
      <c r="V290" s="1607"/>
      <c r="W290" s="1607"/>
      <c r="X290" s="1607"/>
      <c r="Y290" s="1607"/>
      <c r="Z290" s="1607"/>
      <c r="AA290" s="1607"/>
      <c r="AB290" s="1607"/>
      <c r="AC290" s="1607"/>
      <c r="AD290" s="1607"/>
      <c r="AE290" s="1607"/>
      <c r="AF290" s="1607"/>
      <c r="AG290" s="1607"/>
      <c r="AH290" s="1607"/>
      <c r="AI290" s="1607"/>
      <c r="AJ290" s="1607"/>
      <c r="AK290" s="1607"/>
      <c r="AL290" s="1607"/>
      <c r="AM290" s="1607"/>
      <c r="AN290" s="1607"/>
      <c r="AO290" s="1607"/>
      <c r="AP290" s="1607"/>
      <c r="AQ290" s="1607"/>
      <c r="AR290" s="1607"/>
      <c r="AS290" s="1607"/>
      <c r="AT290" s="1607"/>
      <c r="AU290" s="1607"/>
      <c r="AV290" s="1607"/>
      <c r="AW290" s="1607"/>
      <c r="AX290" s="1607"/>
      <c r="AY290" s="1607"/>
      <c r="AZ290" s="1607"/>
      <c r="BA290" s="1607"/>
      <c r="BB290" s="1607"/>
      <c r="BC290" s="1607"/>
      <c r="BD290" s="1607"/>
      <c r="BE290" s="1607"/>
      <c r="BF290" s="1607"/>
      <c r="BG290" s="1607"/>
      <c r="BH290" s="1607"/>
      <c r="BI290" s="1607"/>
      <c r="BJ290" s="1607"/>
      <c r="BK290" s="1607"/>
      <c r="BL290" s="1607"/>
    </row>
    <row r="291">
      <c r="A291" s="1607"/>
      <c r="B291" s="1607"/>
      <c r="C291" s="1607"/>
      <c r="D291" s="1607"/>
      <c r="E291" s="1607"/>
      <c r="F291" s="1607"/>
      <c r="G291" s="1607"/>
      <c r="H291" s="1607"/>
      <c r="I291" s="1607"/>
      <c r="J291" s="1607"/>
      <c r="K291" s="1607"/>
      <c r="L291" s="1607"/>
      <c r="M291" s="1607"/>
      <c r="N291" s="1607"/>
      <c r="O291" s="1607"/>
      <c r="P291" s="1607"/>
      <c r="Q291" s="1607"/>
      <c r="R291" s="1607"/>
      <c r="S291" s="1607"/>
      <c r="T291" s="1607"/>
      <c r="U291" s="1607"/>
      <c r="V291" s="1607"/>
      <c r="W291" s="1607"/>
      <c r="X291" s="1607"/>
      <c r="Y291" s="1607"/>
      <c r="Z291" s="1607"/>
      <c r="AA291" s="1607"/>
      <c r="AB291" s="1607"/>
      <c r="AC291" s="1607"/>
      <c r="AD291" s="1607"/>
      <c r="AE291" s="1607"/>
      <c r="AF291" s="1607"/>
      <c r="AG291" s="1607"/>
      <c r="AH291" s="1607"/>
      <c r="AI291" s="1607"/>
      <c r="AJ291" s="1607"/>
      <c r="AK291" s="1607"/>
      <c r="AL291" s="1607"/>
      <c r="AM291" s="1607"/>
      <c r="AN291" s="1607"/>
      <c r="AO291" s="1607"/>
      <c r="AP291" s="1607"/>
      <c r="AQ291" s="1607"/>
      <c r="AR291" s="1607"/>
      <c r="AS291" s="1607"/>
      <c r="AT291" s="1607"/>
      <c r="AU291" s="1607"/>
      <c r="AV291" s="1607"/>
      <c r="AW291" s="1607"/>
      <c r="AX291" s="1607"/>
      <c r="AY291" s="1607"/>
      <c r="AZ291" s="1607"/>
      <c r="BA291" s="1607"/>
      <c r="BB291" s="1607"/>
      <c r="BC291" s="1607"/>
      <c r="BD291" s="1607"/>
      <c r="BE291" s="1607"/>
      <c r="BF291" s="1607"/>
      <c r="BG291" s="1607"/>
      <c r="BH291" s="1607"/>
      <c r="BI291" s="1607"/>
      <c r="BJ291" s="1607"/>
      <c r="BK291" s="1607"/>
      <c r="BL291" s="1607"/>
    </row>
    <row r="292">
      <c r="A292" s="1607"/>
      <c r="B292" s="1607"/>
      <c r="C292" s="1607"/>
      <c r="D292" s="1607"/>
      <c r="E292" s="1607"/>
      <c r="F292" s="1607"/>
      <c r="G292" s="1607"/>
      <c r="H292" s="1607"/>
      <c r="I292" s="1607"/>
      <c r="J292" s="1607"/>
      <c r="K292" s="1607"/>
      <c r="L292" s="1607"/>
      <c r="M292" s="1607"/>
      <c r="N292" s="1607"/>
      <c r="O292" s="1607"/>
      <c r="P292" s="1607"/>
      <c r="Q292" s="1607"/>
      <c r="R292" s="1607"/>
      <c r="S292" s="1607"/>
      <c r="T292" s="1607"/>
      <c r="U292" s="1607"/>
      <c r="V292" s="1607"/>
      <c r="W292" s="1607"/>
      <c r="X292" s="1607"/>
      <c r="Y292" s="1607"/>
      <c r="Z292" s="1607"/>
      <c r="AA292" s="1607"/>
      <c r="AB292" s="1607"/>
      <c r="AC292" s="1607"/>
      <c r="AD292" s="1607"/>
      <c r="AE292" s="1607"/>
      <c r="AF292" s="1607"/>
      <c r="AG292" s="1607"/>
      <c r="AH292" s="1607"/>
      <c r="AI292" s="1607"/>
      <c r="AJ292" s="1607"/>
      <c r="AK292" s="1607"/>
      <c r="AL292" s="1607"/>
      <c r="AM292" s="1607"/>
      <c r="AN292" s="1607"/>
      <c r="AO292" s="1607"/>
      <c r="AP292" s="1607"/>
      <c r="AQ292" s="1607"/>
      <c r="AR292" s="1607"/>
      <c r="AS292" s="1607"/>
      <c r="AT292" s="1607"/>
      <c r="AU292" s="1607"/>
      <c r="AV292" s="1607"/>
      <c r="AW292" s="1607"/>
      <c r="AX292" s="1607"/>
      <c r="AY292" s="1607"/>
      <c r="AZ292" s="1607"/>
      <c r="BA292" s="1607"/>
      <c r="BB292" s="1607"/>
      <c r="BC292" s="1607"/>
      <c r="BD292" s="1607"/>
      <c r="BE292" s="1607"/>
      <c r="BF292" s="1607"/>
      <c r="BG292" s="1607"/>
      <c r="BH292" s="1607"/>
      <c r="BI292" s="1607"/>
      <c r="BJ292" s="1607"/>
      <c r="BK292" s="1607"/>
      <c r="BL292" s="1607"/>
    </row>
    <row r="293">
      <c r="A293" s="1607"/>
      <c r="B293" s="1607"/>
      <c r="C293" s="1607"/>
      <c r="D293" s="1607"/>
      <c r="E293" s="1607"/>
      <c r="F293" s="1607"/>
      <c r="G293" s="1607"/>
      <c r="H293" s="1607"/>
      <c r="I293" s="1607"/>
      <c r="J293" s="1607"/>
      <c r="K293" s="1607"/>
      <c r="L293" s="1607"/>
      <c r="M293" s="1607"/>
      <c r="N293" s="1607"/>
      <c r="O293" s="1607"/>
      <c r="P293" s="1607"/>
      <c r="Q293" s="1607"/>
      <c r="R293" s="1607"/>
      <c r="S293" s="1607"/>
      <c r="T293" s="1607"/>
      <c r="U293" s="1607"/>
      <c r="V293" s="1607"/>
      <c r="W293" s="1607"/>
      <c r="X293" s="1607"/>
      <c r="Y293" s="1607"/>
      <c r="Z293" s="1607"/>
      <c r="AA293" s="1607"/>
      <c r="AB293" s="1607"/>
      <c r="AC293" s="1607"/>
      <c r="AD293" s="1607"/>
      <c r="AE293" s="1607"/>
      <c r="AF293" s="1607"/>
      <c r="AG293" s="1607"/>
      <c r="AH293" s="1607"/>
      <c r="AI293" s="1607"/>
      <c r="AJ293" s="1607"/>
      <c r="AK293" s="1607"/>
      <c r="AL293" s="1607"/>
      <c r="AM293" s="1607"/>
      <c r="AN293" s="1607"/>
      <c r="AO293" s="1607"/>
      <c r="AP293" s="1607"/>
      <c r="AQ293" s="1607"/>
      <c r="AR293" s="1607"/>
      <c r="AS293" s="1607"/>
      <c r="AT293" s="1607"/>
      <c r="AU293" s="1607"/>
      <c r="AV293" s="1607"/>
      <c r="AW293" s="1607"/>
      <c r="AX293" s="1607"/>
      <c r="AY293" s="1607"/>
      <c r="AZ293" s="1607"/>
      <c r="BA293" s="1607"/>
      <c r="BB293" s="1607"/>
      <c r="BC293" s="1607"/>
      <c r="BD293" s="1607"/>
      <c r="BE293" s="1607"/>
      <c r="BF293" s="1607"/>
      <c r="BG293" s="1607"/>
      <c r="BH293" s="1607"/>
      <c r="BI293" s="1607"/>
      <c r="BJ293" s="1607"/>
      <c r="BK293" s="1607"/>
      <c r="BL293" s="1607"/>
    </row>
    <row r="294">
      <c r="A294" s="1607"/>
      <c r="B294" s="1607"/>
      <c r="C294" s="1607"/>
      <c r="D294" s="1607"/>
      <c r="E294" s="1607"/>
      <c r="F294" s="1607"/>
      <c r="G294" s="1607"/>
      <c r="H294" s="1607"/>
      <c r="I294" s="1607"/>
      <c r="J294" s="1607"/>
      <c r="K294" s="1607"/>
      <c r="L294" s="1607"/>
      <c r="M294" s="1607"/>
      <c r="N294" s="1607"/>
      <c r="O294" s="1607"/>
      <c r="P294" s="1607"/>
      <c r="Q294" s="1607"/>
      <c r="R294" s="1607"/>
      <c r="S294" s="1607"/>
      <c r="T294" s="1607"/>
      <c r="U294" s="1607"/>
      <c r="V294" s="1607"/>
      <c r="W294" s="1607"/>
      <c r="X294" s="1607"/>
      <c r="Y294" s="1607"/>
      <c r="Z294" s="1607"/>
      <c r="AA294" s="1607"/>
      <c r="AB294" s="1607"/>
      <c r="AC294" s="1607"/>
      <c r="AD294" s="1607"/>
      <c r="AE294" s="1607"/>
      <c r="AF294" s="1607"/>
      <c r="AG294" s="1607"/>
      <c r="AH294" s="1607"/>
      <c r="AI294" s="1607"/>
      <c r="AJ294" s="1607"/>
      <c r="AK294" s="1607"/>
      <c r="AL294" s="1607"/>
      <c r="AM294" s="1607"/>
      <c r="AN294" s="1607"/>
      <c r="AO294" s="1607"/>
      <c r="AP294" s="1607"/>
      <c r="AQ294" s="1607"/>
      <c r="AR294" s="1607"/>
      <c r="AS294" s="1607"/>
      <c r="AT294" s="1607"/>
      <c r="AU294" s="1607"/>
      <c r="AV294" s="1607"/>
      <c r="AW294" s="1607"/>
      <c r="AX294" s="1607"/>
      <c r="AY294" s="1607"/>
      <c r="AZ294" s="1607"/>
      <c r="BA294" s="1607"/>
      <c r="BB294" s="1607"/>
      <c r="BC294" s="1607"/>
      <c r="BD294" s="1607"/>
      <c r="BE294" s="1607"/>
      <c r="BF294" s="1607"/>
      <c r="BG294" s="1607"/>
      <c r="BH294" s="1607"/>
      <c r="BI294" s="1607"/>
      <c r="BJ294" s="1607"/>
      <c r="BK294" s="1607"/>
      <c r="BL294" s="1607"/>
    </row>
    <row r="295">
      <c r="A295" s="1607"/>
      <c r="B295" s="1607"/>
      <c r="C295" s="1607"/>
      <c r="D295" s="1607"/>
      <c r="E295" s="1607"/>
      <c r="F295" s="1607"/>
      <c r="G295" s="1607"/>
      <c r="H295" s="1607"/>
      <c r="I295" s="1607"/>
      <c r="J295" s="1607"/>
      <c r="K295" s="1607"/>
      <c r="L295" s="1607"/>
      <c r="M295" s="1607"/>
      <c r="N295" s="1607"/>
      <c r="O295" s="1607"/>
      <c r="P295" s="1607"/>
      <c r="Q295" s="1607"/>
      <c r="R295" s="1607"/>
      <c r="S295" s="1607"/>
      <c r="T295" s="1607"/>
      <c r="U295" s="1607"/>
      <c r="V295" s="1607"/>
      <c r="W295" s="1607"/>
      <c r="X295" s="1607"/>
      <c r="Y295" s="1607"/>
      <c r="Z295" s="1607"/>
      <c r="AA295" s="1607"/>
      <c r="AB295" s="1607"/>
      <c r="AC295" s="1607"/>
      <c r="AD295" s="1607"/>
      <c r="AE295" s="1607"/>
      <c r="AF295" s="1607"/>
      <c r="AG295" s="1607"/>
      <c r="AH295" s="1607"/>
      <c r="AI295" s="1607"/>
      <c r="AJ295" s="1607"/>
      <c r="AK295" s="1607"/>
      <c r="AL295" s="1607"/>
      <c r="AM295" s="1607"/>
      <c r="AN295" s="1607"/>
      <c r="AO295" s="1607"/>
      <c r="AP295" s="1607"/>
      <c r="AQ295" s="1607"/>
      <c r="AR295" s="1607"/>
      <c r="AS295" s="1607"/>
      <c r="AT295" s="1607"/>
      <c r="AU295" s="1607"/>
      <c r="AV295" s="1607"/>
      <c r="AW295" s="1607"/>
      <c r="AX295" s="1607"/>
      <c r="AY295" s="1607"/>
      <c r="AZ295" s="1607"/>
      <c r="BA295" s="1607"/>
      <c r="BB295" s="1607"/>
      <c r="BC295" s="1607"/>
      <c r="BD295" s="1607"/>
      <c r="BE295" s="1607"/>
      <c r="BF295" s="1607"/>
      <c r="BG295" s="1607"/>
      <c r="BH295" s="1607"/>
      <c r="BI295" s="1607"/>
      <c r="BJ295" s="1607"/>
      <c r="BK295" s="1607"/>
      <c r="BL295" s="1607"/>
    </row>
    <row r="296">
      <c r="A296" s="1607"/>
      <c r="B296" s="1607"/>
      <c r="C296" s="1607"/>
      <c r="D296" s="1607"/>
      <c r="E296" s="1607"/>
      <c r="F296" s="1607"/>
      <c r="G296" s="1607"/>
      <c r="H296" s="1607"/>
      <c r="I296" s="1607"/>
      <c r="J296" s="1607"/>
      <c r="K296" s="1607"/>
      <c r="L296" s="1607"/>
      <c r="M296" s="1607"/>
      <c r="N296" s="1607"/>
      <c r="O296" s="1607"/>
      <c r="P296" s="1607"/>
      <c r="Q296" s="1607"/>
      <c r="R296" s="1607"/>
      <c r="S296" s="1607"/>
      <c r="T296" s="1607"/>
      <c r="U296" s="1607"/>
      <c r="V296" s="1607"/>
      <c r="W296" s="1607"/>
      <c r="X296" s="1607"/>
      <c r="Y296" s="1607"/>
      <c r="Z296" s="1607"/>
      <c r="AA296" s="1607"/>
      <c r="AB296" s="1607"/>
      <c r="AC296" s="1607"/>
      <c r="AD296" s="1607"/>
      <c r="AE296" s="1607"/>
      <c r="AF296" s="1607"/>
      <c r="AG296" s="1607"/>
      <c r="AH296" s="1607"/>
      <c r="AI296" s="1607"/>
      <c r="AJ296" s="1607"/>
      <c r="AK296" s="1607"/>
      <c r="AL296" s="1607"/>
      <c r="AM296" s="1607"/>
      <c r="AN296" s="1607"/>
      <c r="AO296" s="1607"/>
      <c r="AP296" s="1607"/>
      <c r="AQ296" s="1607"/>
      <c r="AR296" s="1607"/>
      <c r="AS296" s="1607"/>
      <c r="AT296" s="1607"/>
      <c r="AU296" s="1607"/>
      <c r="AV296" s="1607"/>
      <c r="AW296" s="1607"/>
      <c r="AX296" s="1607"/>
      <c r="AY296" s="1607"/>
      <c r="AZ296" s="1607"/>
      <c r="BA296" s="1607"/>
      <c r="BB296" s="1607"/>
      <c r="BC296" s="1607"/>
      <c r="BD296" s="1607"/>
      <c r="BE296" s="1607"/>
      <c r="BF296" s="1607"/>
      <c r="BG296" s="1607"/>
      <c r="BH296" s="1607"/>
      <c r="BI296" s="1607"/>
      <c r="BJ296" s="1607"/>
      <c r="BK296" s="1607"/>
      <c r="BL296" s="1607"/>
    </row>
    <row r="297">
      <c r="A297" s="1607"/>
      <c r="B297" s="1607"/>
      <c r="C297" s="1607"/>
      <c r="D297" s="1607"/>
      <c r="E297" s="1607"/>
      <c r="F297" s="1607"/>
      <c r="G297" s="1607"/>
      <c r="H297" s="1607"/>
      <c r="I297" s="1607"/>
      <c r="J297" s="1607"/>
      <c r="K297" s="1607"/>
      <c r="L297" s="1607"/>
      <c r="M297" s="1607"/>
      <c r="N297" s="1607"/>
      <c r="O297" s="1607"/>
      <c r="P297" s="1607"/>
      <c r="Q297" s="1607"/>
      <c r="R297" s="1607"/>
      <c r="S297" s="1607"/>
      <c r="T297" s="1607"/>
      <c r="U297" s="1607"/>
      <c r="V297" s="1607"/>
      <c r="W297" s="1607"/>
      <c r="X297" s="1607"/>
      <c r="Y297" s="1607"/>
      <c r="Z297" s="1607"/>
      <c r="AA297" s="1607"/>
      <c r="AB297" s="1607"/>
      <c r="AC297" s="1607"/>
      <c r="AD297" s="1607"/>
      <c r="AE297" s="1607"/>
      <c r="AF297" s="1607"/>
      <c r="AG297" s="1607"/>
      <c r="AH297" s="1607"/>
      <c r="AI297" s="1607"/>
      <c r="AJ297" s="1607"/>
      <c r="AK297" s="1607"/>
      <c r="AL297" s="1607"/>
      <c r="AM297" s="1607"/>
      <c r="AN297" s="1607"/>
      <c r="AO297" s="1607"/>
      <c r="AP297" s="1607"/>
      <c r="AQ297" s="1607"/>
      <c r="AR297" s="1607"/>
      <c r="AS297" s="1607"/>
      <c r="AT297" s="1607"/>
      <c r="AU297" s="1607"/>
      <c r="AV297" s="1607"/>
      <c r="AW297" s="1607"/>
      <c r="AX297" s="1607"/>
      <c r="AY297" s="1607"/>
      <c r="AZ297" s="1607"/>
      <c r="BA297" s="1607"/>
      <c r="BB297" s="1607"/>
      <c r="BC297" s="1607"/>
      <c r="BD297" s="1607"/>
      <c r="BE297" s="1607"/>
      <c r="BF297" s="1607"/>
      <c r="BG297" s="1607"/>
      <c r="BH297" s="1607"/>
      <c r="BI297" s="1607"/>
      <c r="BJ297" s="1607"/>
      <c r="BK297" s="1607"/>
      <c r="BL297" s="1607"/>
    </row>
    <row r="298">
      <c r="A298" s="1607"/>
      <c r="B298" s="1607"/>
      <c r="C298" s="1607"/>
      <c r="D298" s="1607"/>
      <c r="E298" s="1607"/>
      <c r="F298" s="1607"/>
      <c r="G298" s="1607"/>
      <c r="H298" s="1607"/>
      <c r="I298" s="1607"/>
      <c r="J298" s="1607"/>
      <c r="K298" s="1607"/>
      <c r="L298" s="1607"/>
      <c r="M298" s="1607"/>
      <c r="N298" s="1607"/>
      <c r="O298" s="1607"/>
      <c r="P298" s="1607"/>
      <c r="Q298" s="1607"/>
      <c r="R298" s="1607"/>
      <c r="S298" s="1607"/>
      <c r="T298" s="1607"/>
      <c r="U298" s="1607"/>
      <c r="V298" s="1607"/>
      <c r="W298" s="1607"/>
      <c r="X298" s="1607"/>
      <c r="Y298" s="1607"/>
      <c r="Z298" s="1607"/>
      <c r="AA298" s="1607"/>
      <c r="AB298" s="1607"/>
      <c r="AC298" s="1607"/>
      <c r="AD298" s="1607"/>
      <c r="AE298" s="1607"/>
      <c r="AF298" s="1607"/>
      <c r="AG298" s="1607"/>
      <c r="AH298" s="1607"/>
      <c r="AI298" s="1607"/>
      <c r="AJ298" s="1607"/>
      <c r="AK298" s="1607"/>
      <c r="AL298" s="1607"/>
      <c r="AM298" s="1607"/>
      <c r="AN298" s="1607"/>
      <c r="AO298" s="1607"/>
      <c r="AP298" s="1607"/>
      <c r="AQ298" s="1607"/>
      <c r="AR298" s="1607"/>
      <c r="AS298" s="1607"/>
      <c r="AT298" s="1607"/>
      <c r="AU298" s="1607"/>
      <c r="AV298" s="1607"/>
      <c r="AW298" s="1607"/>
      <c r="AX298" s="1607"/>
      <c r="AY298" s="1607"/>
      <c r="AZ298" s="1607"/>
      <c r="BA298" s="1607"/>
      <c r="BB298" s="1607"/>
      <c r="BC298" s="1607"/>
      <c r="BD298" s="1607"/>
      <c r="BE298" s="1607"/>
      <c r="BF298" s="1607"/>
      <c r="BG298" s="1607"/>
      <c r="BH298" s="1607"/>
      <c r="BI298" s="1607"/>
      <c r="BJ298" s="1607"/>
      <c r="BK298" s="1607"/>
      <c r="BL298" s="1607"/>
    </row>
    <row r="299">
      <c r="A299" s="1607"/>
      <c r="B299" s="1607"/>
      <c r="C299" s="1607"/>
      <c r="D299" s="1607"/>
      <c r="E299" s="1607"/>
      <c r="F299" s="1607"/>
      <c r="G299" s="1607"/>
      <c r="H299" s="1607"/>
      <c r="I299" s="1607"/>
      <c r="J299" s="1607"/>
      <c r="K299" s="1607"/>
      <c r="L299" s="1607"/>
      <c r="M299" s="1607"/>
      <c r="N299" s="1607"/>
      <c r="O299" s="1607"/>
      <c r="P299" s="1607"/>
      <c r="Q299" s="1607"/>
      <c r="R299" s="1607"/>
      <c r="S299" s="1607"/>
      <c r="T299" s="1607"/>
      <c r="U299" s="1607"/>
      <c r="V299" s="1607"/>
      <c r="W299" s="1607"/>
      <c r="X299" s="1607"/>
      <c r="Y299" s="1607"/>
      <c r="Z299" s="1607"/>
      <c r="AA299" s="1607"/>
      <c r="AB299" s="1607"/>
      <c r="AC299" s="1607"/>
      <c r="AD299" s="1607"/>
      <c r="AE299" s="1607"/>
      <c r="AF299" s="1607"/>
      <c r="AG299" s="1607"/>
      <c r="AH299" s="1607"/>
      <c r="AI299" s="1607"/>
      <c r="AJ299" s="1607"/>
      <c r="AK299" s="1607"/>
      <c r="AL299" s="1607"/>
      <c r="AM299" s="1607"/>
      <c r="AN299" s="1607"/>
      <c r="AO299" s="1607"/>
      <c r="AP299" s="1607"/>
      <c r="AQ299" s="1607"/>
      <c r="AR299" s="1607"/>
      <c r="AS299" s="1607"/>
      <c r="AT299" s="1607"/>
      <c r="AU299" s="1607"/>
      <c r="AV299" s="1607"/>
      <c r="AW299" s="1607"/>
      <c r="AX299" s="1607"/>
      <c r="AY299" s="1607"/>
      <c r="AZ299" s="1607"/>
      <c r="BA299" s="1607"/>
      <c r="BB299" s="1607"/>
      <c r="BC299" s="1607"/>
      <c r="BD299" s="1607"/>
      <c r="BE299" s="1607"/>
      <c r="BF299" s="1607"/>
      <c r="BG299" s="1607"/>
      <c r="BH299" s="1607"/>
      <c r="BI299" s="1607"/>
      <c r="BJ299" s="1607"/>
      <c r="BK299" s="1607"/>
      <c r="BL299" s="1607"/>
    </row>
    <row r="300">
      <c r="A300" s="1607"/>
      <c r="B300" s="1607"/>
      <c r="C300" s="1607"/>
      <c r="D300" s="1607"/>
      <c r="E300" s="1607"/>
      <c r="F300" s="1607"/>
      <c r="G300" s="1607"/>
      <c r="H300" s="1607"/>
      <c r="I300" s="1607"/>
      <c r="J300" s="1607"/>
      <c r="K300" s="1607"/>
      <c r="L300" s="1607"/>
      <c r="M300" s="1607"/>
      <c r="N300" s="1607"/>
      <c r="O300" s="1607"/>
      <c r="P300" s="1607"/>
      <c r="Q300" s="1607"/>
      <c r="R300" s="1607"/>
      <c r="S300" s="1607"/>
      <c r="T300" s="1607"/>
      <c r="U300" s="1607"/>
      <c r="V300" s="1607"/>
      <c r="W300" s="1607"/>
      <c r="X300" s="1607"/>
      <c r="Y300" s="1607"/>
      <c r="Z300" s="1607"/>
      <c r="AA300" s="1607"/>
      <c r="AB300" s="1607"/>
      <c r="AC300" s="1607"/>
      <c r="AD300" s="1607"/>
      <c r="AE300" s="1607"/>
      <c r="AF300" s="1607"/>
      <c r="AG300" s="1607"/>
      <c r="AH300" s="1607"/>
      <c r="AI300" s="1607"/>
      <c r="AJ300" s="1607"/>
      <c r="AK300" s="1607"/>
      <c r="AL300" s="1607"/>
      <c r="AM300" s="1607"/>
      <c r="AN300" s="1607"/>
      <c r="AO300" s="1607"/>
      <c r="AP300" s="1607"/>
      <c r="AQ300" s="1607"/>
      <c r="AR300" s="1607"/>
      <c r="AS300" s="1607"/>
      <c r="AT300" s="1607"/>
      <c r="AU300" s="1607"/>
      <c r="AV300" s="1607"/>
      <c r="AW300" s="1607"/>
      <c r="AX300" s="1607"/>
      <c r="AY300" s="1607"/>
      <c r="AZ300" s="1607"/>
      <c r="BA300" s="1607"/>
      <c r="BB300" s="1607"/>
      <c r="BC300" s="1607"/>
      <c r="BD300" s="1607"/>
      <c r="BE300" s="1607"/>
      <c r="BF300" s="1607"/>
      <c r="BG300" s="1607"/>
      <c r="BH300" s="1607"/>
      <c r="BI300" s="1607"/>
      <c r="BJ300" s="1607"/>
      <c r="BK300" s="1607"/>
      <c r="BL300" s="1607"/>
    </row>
    <row r="301">
      <c r="A301" s="1607"/>
      <c r="B301" s="1607"/>
      <c r="C301" s="1607"/>
      <c r="D301" s="1607"/>
      <c r="E301" s="1607"/>
      <c r="F301" s="1607"/>
      <c r="G301" s="1607"/>
      <c r="H301" s="1607"/>
      <c r="I301" s="1607"/>
      <c r="J301" s="1607"/>
      <c r="K301" s="1607"/>
      <c r="L301" s="1607"/>
      <c r="M301" s="1607"/>
      <c r="N301" s="1607"/>
      <c r="O301" s="1607"/>
      <c r="P301" s="1607"/>
      <c r="Q301" s="1607"/>
      <c r="R301" s="1607"/>
      <c r="S301" s="1607"/>
      <c r="T301" s="1607"/>
      <c r="U301" s="1607"/>
      <c r="V301" s="1607"/>
      <c r="W301" s="1607"/>
      <c r="X301" s="1607"/>
      <c r="Y301" s="1607"/>
      <c r="Z301" s="1607"/>
      <c r="AA301" s="1607"/>
      <c r="AB301" s="1607"/>
      <c r="AC301" s="1607"/>
      <c r="AD301" s="1607"/>
      <c r="AE301" s="1607"/>
      <c r="AF301" s="1607"/>
      <c r="AG301" s="1607"/>
      <c r="AH301" s="1607"/>
      <c r="AI301" s="1607"/>
      <c r="AJ301" s="1607"/>
      <c r="AK301" s="1607"/>
      <c r="AL301" s="1607"/>
      <c r="AM301" s="1607"/>
      <c r="AN301" s="1607"/>
      <c r="AO301" s="1607"/>
      <c r="AP301" s="1607"/>
      <c r="AQ301" s="1607"/>
      <c r="AR301" s="1607"/>
      <c r="AS301" s="1607"/>
      <c r="AT301" s="1607"/>
      <c r="AU301" s="1607"/>
      <c r="AV301" s="1607"/>
      <c r="AW301" s="1607"/>
      <c r="AX301" s="1607"/>
      <c r="AY301" s="1607"/>
      <c r="AZ301" s="1607"/>
      <c r="BA301" s="1607"/>
      <c r="BB301" s="1607"/>
      <c r="BC301" s="1607"/>
      <c r="BD301" s="1607"/>
      <c r="BE301" s="1607"/>
      <c r="BF301" s="1607"/>
      <c r="BG301" s="1607"/>
      <c r="BH301" s="1607"/>
      <c r="BI301" s="1607"/>
      <c r="BJ301" s="1607"/>
      <c r="BK301" s="1607"/>
      <c r="BL301" s="1607"/>
    </row>
    <row r="302">
      <c r="A302" s="1607"/>
      <c r="B302" s="1607"/>
      <c r="C302" s="1607"/>
      <c r="D302" s="1607"/>
      <c r="E302" s="1607"/>
      <c r="F302" s="1607"/>
      <c r="G302" s="1607"/>
      <c r="H302" s="1607"/>
      <c r="I302" s="1607"/>
      <c r="J302" s="1607"/>
      <c r="K302" s="1607"/>
      <c r="L302" s="1607"/>
      <c r="M302" s="1607"/>
      <c r="N302" s="1607"/>
      <c r="O302" s="1607"/>
      <c r="P302" s="1607"/>
      <c r="Q302" s="1607"/>
      <c r="R302" s="1607"/>
      <c r="S302" s="1607"/>
      <c r="T302" s="1607"/>
      <c r="U302" s="1607"/>
      <c r="V302" s="1607"/>
      <c r="W302" s="1607"/>
      <c r="X302" s="1607"/>
      <c r="Y302" s="1607"/>
      <c r="Z302" s="1607"/>
      <c r="AA302" s="1607"/>
      <c r="AB302" s="1607"/>
      <c r="AC302" s="1607"/>
      <c r="AD302" s="1607"/>
      <c r="AE302" s="1607"/>
      <c r="AF302" s="1607"/>
      <c r="AG302" s="1607"/>
      <c r="AH302" s="1607"/>
      <c r="AI302" s="1607"/>
      <c r="AJ302" s="1607"/>
      <c r="AK302" s="1607"/>
      <c r="AL302" s="1607"/>
      <c r="AM302" s="1607"/>
      <c r="AN302" s="1607"/>
      <c r="AO302" s="1607"/>
      <c r="AP302" s="1607"/>
      <c r="AQ302" s="1607"/>
      <c r="AR302" s="1607"/>
      <c r="AS302" s="1607"/>
      <c r="AT302" s="1607"/>
      <c r="AU302" s="1607"/>
      <c r="AV302" s="1607"/>
      <c r="AW302" s="1607"/>
      <c r="AX302" s="1607"/>
      <c r="AY302" s="1607"/>
      <c r="AZ302" s="1607"/>
      <c r="BA302" s="1607"/>
      <c r="BB302" s="1607"/>
      <c r="BC302" s="1607"/>
      <c r="BD302" s="1607"/>
      <c r="BE302" s="1607"/>
      <c r="BF302" s="1607"/>
      <c r="BG302" s="1607"/>
      <c r="BH302" s="1607"/>
      <c r="BI302" s="1607"/>
      <c r="BJ302" s="1607"/>
      <c r="BK302" s="1607"/>
      <c r="BL302" s="1607"/>
    </row>
    <row r="303">
      <c r="A303" s="1607"/>
      <c r="B303" s="1607"/>
      <c r="C303" s="1607"/>
      <c r="D303" s="1607"/>
      <c r="E303" s="1607"/>
      <c r="F303" s="1607"/>
      <c r="G303" s="1607"/>
      <c r="H303" s="1607"/>
      <c r="I303" s="1607"/>
      <c r="J303" s="1607"/>
      <c r="K303" s="1607"/>
      <c r="L303" s="1607"/>
      <c r="M303" s="1607"/>
      <c r="N303" s="1607"/>
      <c r="O303" s="1607"/>
      <c r="P303" s="1607"/>
      <c r="Q303" s="1607"/>
      <c r="R303" s="1607"/>
      <c r="S303" s="1607"/>
      <c r="T303" s="1607"/>
      <c r="U303" s="1607"/>
      <c r="V303" s="1607"/>
      <c r="W303" s="1607"/>
      <c r="X303" s="1607"/>
      <c r="Y303" s="1607"/>
      <c r="Z303" s="1607"/>
      <c r="AA303" s="1607"/>
      <c r="AB303" s="1607"/>
      <c r="AC303" s="1607"/>
      <c r="AD303" s="1607"/>
      <c r="AE303" s="1607"/>
      <c r="AF303" s="1607"/>
      <c r="AG303" s="1607"/>
      <c r="AH303" s="1607"/>
      <c r="AI303" s="1607"/>
      <c r="AJ303" s="1607"/>
      <c r="AK303" s="1607"/>
      <c r="AL303" s="1607"/>
      <c r="AM303" s="1607"/>
      <c r="AN303" s="1607"/>
      <c r="AO303" s="1607"/>
      <c r="AP303" s="1607"/>
      <c r="AQ303" s="1607"/>
      <c r="AR303" s="1607"/>
      <c r="AS303" s="1607"/>
      <c r="AT303" s="1607"/>
      <c r="AU303" s="1607"/>
      <c r="AV303" s="1607"/>
      <c r="AW303" s="1607"/>
      <c r="AX303" s="1607"/>
      <c r="AY303" s="1607"/>
      <c r="AZ303" s="1607"/>
      <c r="BA303" s="1607"/>
      <c r="BB303" s="1607"/>
      <c r="BC303" s="1607"/>
      <c r="BD303" s="1607"/>
      <c r="BE303" s="1607"/>
      <c r="BF303" s="1607"/>
      <c r="BG303" s="1607"/>
      <c r="BH303" s="1607"/>
      <c r="BI303" s="1607"/>
      <c r="BJ303" s="1607"/>
      <c r="BK303" s="1607"/>
      <c r="BL303" s="1607"/>
    </row>
    <row r="304">
      <c r="A304" s="1607"/>
      <c r="B304" s="1607"/>
      <c r="C304" s="1607"/>
      <c r="D304" s="1607"/>
      <c r="E304" s="1607"/>
      <c r="F304" s="1607"/>
      <c r="G304" s="1607"/>
      <c r="H304" s="1607"/>
      <c r="I304" s="1607"/>
      <c r="J304" s="1607"/>
      <c r="K304" s="1607"/>
      <c r="L304" s="1607"/>
      <c r="M304" s="1607"/>
      <c r="N304" s="1607"/>
      <c r="O304" s="1607"/>
      <c r="P304" s="1607"/>
      <c r="Q304" s="1607"/>
      <c r="R304" s="1607"/>
      <c r="S304" s="1607"/>
      <c r="T304" s="1607"/>
      <c r="U304" s="1607"/>
      <c r="V304" s="1607"/>
      <c r="W304" s="1607"/>
      <c r="X304" s="1607"/>
      <c r="Y304" s="1607"/>
      <c r="Z304" s="1607"/>
      <c r="AA304" s="1607"/>
      <c r="AB304" s="1607"/>
      <c r="AC304" s="1607"/>
      <c r="AD304" s="1607"/>
      <c r="AE304" s="1607"/>
      <c r="AF304" s="1607"/>
      <c r="AG304" s="1607"/>
      <c r="AH304" s="1607"/>
      <c r="AI304" s="1607"/>
      <c r="AJ304" s="1607"/>
      <c r="AK304" s="1607"/>
      <c r="AL304" s="1607"/>
      <c r="AM304" s="1607"/>
      <c r="AN304" s="1607"/>
      <c r="AO304" s="1607"/>
      <c r="AP304" s="1607"/>
      <c r="AQ304" s="1607"/>
      <c r="AR304" s="1607"/>
      <c r="AS304" s="1607"/>
      <c r="AT304" s="1607"/>
      <c r="AU304" s="1607"/>
      <c r="AV304" s="1607"/>
      <c r="AW304" s="1607"/>
      <c r="AX304" s="1607"/>
      <c r="AY304" s="1607"/>
      <c r="AZ304" s="1607"/>
      <c r="BA304" s="1607"/>
      <c r="BB304" s="1607"/>
      <c r="BC304" s="1607"/>
      <c r="BD304" s="1607"/>
      <c r="BE304" s="1607"/>
      <c r="BF304" s="1607"/>
      <c r="BG304" s="1607"/>
      <c r="BH304" s="1607"/>
      <c r="BI304" s="1607"/>
      <c r="BJ304" s="1607"/>
      <c r="BK304" s="1607"/>
      <c r="BL304" s="1607"/>
    </row>
    <row r="305">
      <c r="A305" s="1607"/>
      <c r="B305" s="1607"/>
      <c r="C305" s="1607"/>
      <c r="D305" s="1607"/>
      <c r="E305" s="1607"/>
      <c r="F305" s="1607"/>
      <c r="G305" s="1607"/>
      <c r="H305" s="1607"/>
      <c r="I305" s="1607"/>
      <c r="J305" s="1607"/>
      <c r="K305" s="1607"/>
      <c r="L305" s="1607"/>
      <c r="M305" s="1607"/>
      <c r="N305" s="1607"/>
      <c r="O305" s="1607"/>
      <c r="P305" s="1607"/>
      <c r="Q305" s="1607"/>
      <c r="R305" s="1607"/>
      <c r="S305" s="1607"/>
      <c r="T305" s="1607"/>
      <c r="U305" s="1607"/>
      <c r="V305" s="1607"/>
      <c r="W305" s="1607"/>
      <c r="X305" s="1607"/>
      <c r="Y305" s="1607"/>
      <c r="Z305" s="1607"/>
      <c r="AA305" s="1607"/>
      <c r="AB305" s="1607"/>
      <c r="AC305" s="1607"/>
      <c r="AD305" s="1607"/>
      <c r="AE305" s="1607"/>
      <c r="AF305" s="1607"/>
      <c r="AG305" s="1607"/>
      <c r="AH305" s="1607"/>
      <c r="AI305" s="1607"/>
      <c r="AJ305" s="1607"/>
      <c r="AK305" s="1607"/>
      <c r="AL305" s="1607"/>
      <c r="AM305" s="1607"/>
      <c r="AN305" s="1607"/>
      <c r="AO305" s="1607"/>
      <c r="AP305" s="1607"/>
      <c r="AQ305" s="1607"/>
      <c r="AR305" s="1607"/>
      <c r="AS305" s="1607"/>
      <c r="AT305" s="1607"/>
      <c r="AU305" s="1607"/>
      <c r="AV305" s="1607"/>
      <c r="AW305" s="1607"/>
      <c r="AX305" s="1607"/>
      <c r="AY305" s="1607"/>
      <c r="AZ305" s="1607"/>
      <c r="BA305" s="1607"/>
      <c r="BB305" s="1607"/>
      <c r="BC305" s="1607"/>
      <c r="BD305" s="1607"/>
      <c r="BE305" s="1607"/>
      <c r="BF305" s="1607"/>
      <c r="BG305" s="1607"/>
      <c r="BH305" s="1607"/>
      <c r="BI305" s="1607"/>
      <c r="BJ305" s="1607"/>
      <c r="BK305" s="1607"/>
      <c r="BL305" s="1607"/>
    </row>
    <row r="306">
      <c r="A306" s="1607"/>
      <c r="B306" s="1607"/>
      <c r="C306" s="1607"/>
      <c r="D306" s="1607"/>
      <c r="E306" s="1607"/>
      <c r="F306" s="1607"/>
      <c r="G306" s="1607"/>
      <c r="H306" s="1607"/>
      <c r="I306" s="1607"/>
      <c r="J306" s="1607"/>
      <c r="K306" s="1607"/>
      <c r="L306" s="1607"/>
      <c r="M306" s="1607"/>
      <c r="N306" s="1607"/>
      <c r="O306" s="1607"/>
      <c r="P306" s="1607"/>
      <c r="Q306" s="1607"/>
      <c r="R306" s="1607"/>
      <c r="S306" s="1607"/>
      <c r="T306" s="1607"/>
      <c r="U306" s="1607"/>
      <c r="V306" s="1607"/>
      <c r="W306" s="1607"/>
      <c r="X306" s="1607"/>
      <c r="Y306" s="1607"/>
      <c r="Z306" s="1607"/>
      <c r="AA306" s="1607"/>
      <c r="AB306" s="1607"/>
      <c r="AC306" s="1607"/>
      <c r="AD306" s="1607"/>
      <c r="AE306" s="1607"/>
      <c r="AF306" s="1607"/>
      <c r="AG306" s="1607"/>
      <c r="AH306" s="1607"/>
      <c r="AI306" s="1607"/>
      <c r="AJ306" s="1607"/>
      <c r="AK306" s="1607"/>
      <c r="AL306" s="1607"/>
      <c r="AM306" s="1607"/>
      <c r="AN306" s="1607"/>
      <c r="AO306" s="1607"/>
      <c r="AP306" s="1607"/>
      <c r="AQ306" s="1607"/>
      <c r="AR306" s="1607"/>
      <c r="AS306" s="1607"/>
      <c r="AT306" s="1607"/>
      <c r="AU306" s="1607"/>
      <c r="AV306" s="1607"/>
      <c r="AW306" s="1607"/>
      <c r="AX306" s="1607"/>
      <c r="AY306" s="1607"/>
      <c r="AZ306" s="1607"/>
      <c r="BA306" s="1607"/>
      <c r="BB306" s="1607"/>
      <c r="BC306" s="1607"/>
      <c r="BD306" s="1607"/>
      <c r="BE306" s="1607"/>
      <c r="BF306" s="1607"/>
      <c r="BG306" s="1607"/>
      <c r="BH306" s="1607"/>
      <c r="BI306" s="1607"/>
      <c r="BJ306" s="1607"/>
      <c r="BK306" s="1607"/>
      <c r="BL306" s="1607"/>
    </row>
    <row r="307">
      <c r="A307" s="1607"/>
      <c r="B307" s="1607"/>
      <c r="C307" s="1607"/>
      <c r="D307" s="1607"/>
      <c r="E307" s="1607"/>
      <c r="F307" s="1607"/>
      <c r="G307" s="1607"/>
      <c r="H307" s="1607"/>
      <c r="I307" s="1607"/>
      <c r="J307" s="1607"/>
      <c r="K307" s="1607"/>
      <c r="L307" s="1607"/>
      <c r="M307" s="1607"/>
      <c r="N307" s="1607"/>
      <c r="O307" s="1607"/>
      <c r="P307" s="1607"/>
      <c r="Q307" s="1607"/>
      <c r="R307" s="1607"/>
      <c r="S307" s="1607"/>
      <c r="T307" s="1607"/>
      <c r="U307" s="1607"/>
      <c r="V307" s="1607"/>
      <c r="W307" s="1607"/>
      <c r="X307" s="1607"/>
      <c r="Y307" s="1607"/>
      <c r="Z307" s="1607"/>
      <c r="AA307" s="1607"/>
      <c r="AB307" s="1607"/>
      <c r="AC307" s="1607"/>
      <c r="AD307" s="1607"/>
      <c r="AE307" s="1607"/>
      <c r="AF307" s="1607"/>
      <c r="AG307" s="1607"/>
      <c r="AH307" s="1607"/>
      <c r="AI307" s="1607"/>
      <c r="AJ307" s="1607"/>
      <c r="AK307" s="1607"/>
      <c r="AL307" s="1607"/>
      <c r="AM307" s="1607"/>
      <c r="AN307" s="1607"/>
      <c r="AO307" s="1607"/>
      <c r="AP307" s="1607"/>
      <c r="AQ307" s="1607"/>
      <c r="AR307" s="1607"/>
      <c r="AS307" s="1607"/>
      <c r="AT307" s="1607"/>
      <c r="AU307" s="1607"/>
      <c r="AV307" s="1607"/>
      <c r="AW307" s="1607"/>
      <c r="AX307" s="1607"/>
      <c r="AY307" s="1607"/>
      <c r="AZ307" s="1607"/>
      <c r="BA307" s="1607"/>
      <c r="BB307" s="1607"/>
      <c r="BC307" s="1607"/>
      <c r="BD307" s="1607"/>
      <c r="BE307" s="1607"/>
      <c r="BF307" s="1607"/>
      <c r="BG307" s="1607"/>
      <c r="BH307" s="1607"/>
      <c r="BI307" s="1607"/>
      <c r="BJ307" s="1607"/>
      <c r="BK307" s="1607"/>
      <c r="BL307" s="1607"/>
    </row>
    <row r="308">
      <c r="A308" s="1607"/>
      <c r="B308" s="1607"/>
      <c r="C308" s="1607"/>
      <c r="D308" s="1607"/>
      <c r="E308" s="1607"/>
      <c r="F308" s="1607"/>
      <c r="G308" s="1607"/>
      <c r="H308" s="1607"/>
      <c r="I308" s="1607"/>
      <c r="J308" s="1607"/>
      <c r="K308" s="1607"/>
      <c r="L308" s="1607"/>
      <c r="M308" s="1607"/>
      <c r="N308" s="1607"/>
      <c r="O308" s="1607"/>
      <c r="P308" s="1607"/>
      <c r="Q308" s="1607"/>
      <c r="R308" s="1607"/>
      <c r="S308" s="1607"/>
      <c r="T308" s="1607"/>
      <c r="U308" s="1607"/>
      <c r="V308" s="1607"/>
      <c r="W308" s="1607"/>
      <c r="X308" s="1607"/>
      <c r="Y308" s="1607"/>
      <c r="Z308" s="1607"/>
      <c r="AA308" s="1607"/>
      <c r="AB308" s="1607"/>
      <c r="AC308" s="1607"/>
      <c r="AD308" s="1607"/>
      <c r="AE308" s="1607"/>
      <c r="AF308" s="1607"/>
      <c r="AG308" s="1607"/>
      <c r="AH308" s="1607"/>
      <c r="AI308" s="1607"/>
      <c r="AJ308" s="1607"/>
      <c r="AK308" s="1607"/>
      <c r="AL308" s="1607"/>
      <c r="AM308" s="1607"/>
      <c r="AN308" s="1607"/>
      <c r="AO308" s="1607"/>
      <c r="AP308" s="1607"/>
      <c r="AQ308" s="1607"/>
      <c r="AR308" s="1607"/>
      <c r="AS308" s="1607"/>
      <c r="AT308" s="1607"/>
      <c r="AU308" s="1607"/>
      <c r="AV308" s="1607"/>
      <c r="AW308" s="1607"/>
      <c r="AX308" s="1607"/>
      <c r="AY308" s="1607"/>
      <c r="AZ308" s="1607"/>
      <c r="BA308" s="1607"/>
      <c r="BB308" s="1607"/>
      <c r="BC308" s="1607"/>
      <c r="BD308" s="1607"/>
      <c r="BE308" s="1607"/>
      <c r="BF308" s="1607"/>
      <c r="BG308" s="1607"/>
      <c r="BH308" s="1607"/>
      <c r="BI308" s="1607"/>
      <c r="BJ308" s="1607"/>
      <c r="BK308" s="1607"/>
      <c r="BL308" s="1607"/>
    </row>
    <row r="309">
      <c r="A309" s="1607"/>
      <c r="B309" s="1607"/>
      <c r="C309" s="1607"/>
      <c r="D309" s="1607"/>
      <c r="E309" s="1607"/>
      <c r="F309" s="1607"/>
      <c r="G309" s="1607"/>
      <c r="H309" s="1607"/>
      <c r="I309" s="1607"/>
      <c r="J309" s="1607"/>
      <c r="K309" s="1607"/>
      <c r="L309" s="1607"/>
      <c r="M309" s="1607"/>
      <c r="N309" s="1607"/>
      <c r="O309" s="1607"/>
      <c r="P309" s="1607"/>
      <c r="Q309" s="1607"/>
      <c r="R309" s="1607"/>
      <c r="S309" s="1607"/>
      <c r="T309" s="1607"/>
      <c r="U309" s="1607"/>
      <c r="V309" s="1607"/>
      <c r="W309" s="1607"/>
      <c r="X309" s="1607"/>
      <c r="Y309" s="1607"/>
      <c r="Z309" s="1607"/>
      <c r="AA309" s="1607"/>
      <c r="AB309" s="1607"/>
      <c r="AC309" s="1607"/>
      <c r="AD309" s="1607"/>
      <c r="AE309" s="1607"/>
      <c r="AF309" s="1607"/>
      <c r="AG309" s="1607"/>
      <c r="AH309" s="1607"/>
      <c r="AI309" s="1607"/>
      <c r="AJ309" s="1607"/>
      <c r="AK309" s="1607"/>
      <c r="AL309" s="1607"/>
      <c r="AM309" s="1607"/>
      <c r="AN309" s="1607"/>
      <c r="AO309" s="1607"/>
      <c r="AP309" s="1607"/>
      <c r="AQ309" s="1607"/>
      <c r="AR309" s="1607"/>
      <c r="AS309" s="1607"/>
      <c r="AT309" s="1607"/>
      <c r="AU309" s="1607"/>
      <c r="AV309" s="1607"/>
      <c r="AW309" s="1607"/>
      <c r="AX309" s="1607"/>
      <c r="AY309" s="1607"/>
      <c r="AZ309" s="1607"/>
      <c r="BA309" s="1607"/>
      <c r="BB309" s="1607"/>
      <c r="BC309" s="1607"/>
      <c r="BD309" s="1607"/>
      <c r="BE309" s="1607"/>
      <c r="BF309" s="1607"/>
      <c r="BG309" s="1607"/>
      <c r="BH309" s="1607"/>
      <c r="BI309" s="1607"/>
      <c r="BJ309" s="1607"/>
      <c r="BK309" s="1607"/>
      <c r="BL309" s="1607"/>
    </row>
    <row r="310">
      <c r="A310" s="1607"/>
      <c r="B310" s="1607"/>
      <c r="C310" s="1607"/>
      <c r="D310" s="1607"/>
      <c r="E310" s="1607"/>
      <c r="F310" s="1607"/>
      <c r="G310" s="1607"/>
      <c r="H310" s="1607"/>
      <c r="I310" s="1607"/>
      <c r="J310" s="1607"/>
      <c r="K310" s="1607"/>
      <c r="L310" s="1607"/>
      <c r="M310" s="1607"/>
      <c r="N310" s="1607"/>
      <c r="O310" s="1607"/>
      <c r="P310" s="1607"/>
      <c r="Q310" s="1607"/>
      <c r="R310" s="1607"/>
      <c r="S310" s="1607"/>
      <c r="T310" s="1607"/>
      <c r="U310" s="1607"/>
      <c r="V310" s="1607"/>
      <c r="W310" s="1607"/>
      <c r="X310" s="1607"/>
      <c r="Y310" s="1607"/>
      <c r="Z310" s="1607"/>
      <c r="AA310" s="1607"/>
      <c r="AB310" s="1607"/>
      <c r="AC310" s="1607"/>
      <c r="AD310" s="1607"/>
      <c r="AE310" s="1607"/>
      <c r="AF310" s="1607"/>
      <c r="AG310" s="1607"/>
      <c r="AH310" s="1607"/>
      <c r="AI310" s="1607"/>
      <c r="AJ310" s="1607"/>
      <c r="AK310" s="1607"/>
      <c r="AL310" s="1607"/>
      <c r="AM310" s="1607"/>
      <c r="AN310" s="1607"/>
      <c r="AO310" s="1607"/>
      <c r="AP310" s="1607"/>
      <c r="AQ310" s="1607"/>
      <c r="AR310" s="1607"/>
      <c r="AS310" s="1607"/>
      <c r="AT310" s="1607"/>
      <c r="AU310" s="1607"/>
      <c r="AV310" s="1607"/>
      <c r="AW310" s="1607"/>
      <c r="AX310" s="1607"/>
      <c r="AY310" s="1607"/>
      <c r="AZ310" s="1607"/>
      <c r="BA310" s="1607"/>
      <c r="BB310" s="1607"/>
      <c r="BC310" s="1607"/>
      <c r="BD310" s="1607"/>
      <c r="BE310" s="1607"/>
      <c r="BF310" s="1607"/>
      <c r="BG310" s="1607"/>
      <c r="BH310" s="1607"/>
      <c r="BI310" s="1607"/>
      <c r="BJ310" s="1607"/>
      <c r="BK310" s="1607"/>
      <c r="BL310" s="1607"/>
    </row>
    <row r="311">
      <c r="A311" s="1607"/>
      <c r="B311" s="1607"/>
      <c r="C311" s="1607"/>
      <c r="D311" s="1607"/>
      <c r="E311" s="1607"/>
      <c r="F311" s="1607"/>
      <c r="G311" s="1607"/>
      <c r="H311" s="1607"/>
      <c r="I311" s="1607"/>
      <c r="J311" s="1607"/>
      <c r="K311" s="1607"/>
      <c r="L311" s="1607"/>
      <c r="M311" s="1607"/>
      <c r="N311" s="1607"/>
      <c r="O311" s="1607"/>
      <c r="P311" s="1607"/>
      <c r="Q311" s="1607"/>
      <c r="R311" s="1607"/>
      <c r="S311" s="1607"/>
      <c r="T311" s="1607"/>
      <c r="U311" s="1607"/>
      <c r="V311" s="1607"/>
      <c r="W311" s="1607"/>
      <c r="X311" s="1607"/>
      <c r="Y311" s="1607"/>
      <c r="Z311" s="1607"/>
      <c r="AA311" s="1607"/>
      <c r="AB311" s="1607"/>
      <c r="AC311" s="1607"/>
      <c r="AD311" s="1607"/>
      <c r="AE311" s="1607"/>
      <c r="AF311" s="1607"/>
      <c r="AG311" s="1607"/>
      <c r="AH311" s="1607"/>
      <c r="AI311" s="1607"/>
      <c r="AJ311" s="1607"/>
      <c r="AK311" s="1607"/>
      <c r="AL311" s="1607"/>
      <c r="AM311" s="1607"/>
      <c r="AN311" s="1607"/>
      <c r="AO311" s="1607"/>
      <c r="AP311" s="1607"/>
      <c r="AQ311" s="1607"/>
      <c r="AR311" s="1607"/>
      <c r="AS311" s="1607"/>
      <c r="AT311" s="1607"/>
      <c r="AU311" s="1607"/>
      <c r="AV311" s="1607"/>
      <c r="AW311" s="1607"/>
      <c r="AX311" s="1607"/>
      <c r="AY311" s="1607"/>
      <c r="AZ311" s="1607"/>
      <c r="BA311" s="1607"/>
      <c r="BB311" s="1607"/>
      <c r="BC311" s="1607"/>
      <c r="BD311" s="1607"/>
      <c r="BE311" s="1607"/>
      <c r="BF311" s="1607"/>
      <c r="BG311" s="1607"/>
      <c r="BH311" s="1607"/>
      <c r="BI311" s="1607"/>
      <c r="BJ311" s="1607"/>
      <c r="BK311" s="1607"/>
      <c r="BL311" s="1607"/>
    </row>
    <row r="312">
      <c r="A312" s="1607"/>
      <c r="B312" s="1607"/>
      <c r="C312" s="1607"/>
      <c r="D312" s="1607"/>
      <c r="E312" s="1607"/>
      <c r="F312" s="1607"/>
      <c r="G312" s="1607"/>
      <c r="H312" s="1607"/>
      <c r="I312" s="1607"/>
      <c r="J312" s="1607"/>
      <c r="K312" s="1607"/>
      <c r="L312" s="1607"/>
      <c r="M312" s="1607"/>
      <c r="N312" s="1607"/>
      <c r="O312" s="1607"/>
      <c r="P312" s="1607"/>
      <c r="Q312" s="1607"/>
      <c r="R312" s="1607"/>
      <c r="S312" s="1607"/>
      <c r="T312" s="1607"/>
      <c r="U312" s="1607"/>
      <c r="V312" s="1607"/>
      <c r="W312" s="1607"/>
      <c r="X312" s="1607"/>
      <c r="Y312" s="1607"/>
      <c r="Z312" s="1607"/>
      <c r="AA312" s="1607"/>
      <c r="AB312" s="1607"/>
      <c r="AC312" s="1607"/>
      <c r="AD312" s="1607"/>
      <c r="AE312" s="1607"/>
      <c r="AF312" s="1607"/>
      <c r="AG312" s="1607"/>
      <c r="AH312" s="1607"/>
      <c r="AI312" s="1607"/>
      <c r="AJ312" s="1607"/>
      <c r="AK312" s="1607"/>
      <c r="AL312" s="1607"/>
      <c r="AM312" s="1607"/>
      <c r="AN312" s="1607"/>
      <c r="AO312" s="1607"/>
      <c r="AP312" s="1607"/>
      <c r="AQ312" s="1607"/>
      <c r="AR312" s="1607"/>
      <c r="AS312" s="1607"/>
      <c r="AT312" s="1607"/>
      <c r="AU312" s="1607"/>
      <c r="AV312" s="1607"/>
      <c r="AW312" s="1607"/>
      <c r="AX312" s="1607"/>
      <c r="AY312" s="1607"/>
      <c r="AZ312" s="1607"/>
      <c r="BA312" s="1607"/>
      <c r="BB312" s="1607"/>
      <c r="BC312" s="1607"/>
      <c r="BD312" s="1607"/>
      <c r="BE312" s="1607"/>
      <c r="BF312" s="1607"/>
      <c r="BG312" s="1607"/>
      <c r="BH312" s="1607"/>
      <c r="BI312" s="1607"/>
      <c r="BJ312" s="1607"/>
      <c r="BK312" s="1607"/>
      <c r="BL312" s="1607"/>
    </row>
    <row r="313">
      <c r="A313" s="1607"/>
      <c r="B313" s="1607"/>
      <c r="C313" s="1607"/>
      <c r="D313" s="1607"/>
      <c r="E313" s="1607"/>
      <c r="F313" s="1607"/>
      <c r="G313" s="1607"/>
      <c r="H313" s="1607"/>
      <c r="I313" s="1607"/>
      <c r="J313" s="1607"/>
      <c r="K313" s="1607"/>
      <c r="L313" s="1607"/>
      <c r="M313" s="1607"/>
      <c r="N313" s="1607"/>
      <c r="O313" s="1607"/>
      <c r="P313" s="1607"/>
      <c r="Q313" s="1607"/>
      <c r="R313" s="1607"/>
      <c r="S313" s="1607"/>
      <c r="T313" s="1607"/>
      <c r="U313" s="1607"/>
      <c r="V313" s="1607"/>
      <c r="W313" s="1607"/>
      <c r="X313" s="1607"/>
      <c r="Y313" s="1607"/>
      <c r="Z313" s="1607"/>
      <c r="AA313" s="1607"/>
      <c r="AB313" s="1607"/>
      <c r="AC313" s="1607"/>
      <c r="AD313" s="1607"/>
      <c r="AE313" s="1607"/>
      <c r="AF313" s="1607"/>
      <c r="AG313" s="1607"/>
      <c r="AH313" s="1607"/>
      <c r="AI313" s="1607"/>
      <c r="AJ313" s="1607"/>
      <c r="AK313" s="1607"/>
      <c r="AL313" s="1607"/>
      <c r="AM313" s="1607"/>
      <c r="AN313" s="1607"/>
      <c r="AO313" s="1607"/>
      <c r="AP313" s="1607"/>
      <c r="AQ313" s="1607"/>
      <c r="AR313" s="1607"/>
      <c r="AS313" s="1607"/>
      <c r="AT313" s="1607"/>
      <c r="AU313" s="1607"/>
      <c r="AV313" s="1607"/>
      <c r="AW313" s="1607"/>
      <c r="AX313" s="1607"/>
      <c r="AY313" s="1607"/>
      <c r="AZ313" s="1607"/>
      <c r="BA313" s="1607"/>
      <c r="BB313" s="1607"/>
      <c r="BC313" s="1607"/>
      <c r="BD313" s="1607"/>
      <c r="BE313" s="1607"/>
      <c r="BF313" s="1607"/>
      <c r="BG313" s="1607"/>
      <c r="BH313" s="1607"/>
      <c r="BI313" s="1607"/>
      <c r="BJ313" s="1607"/>
      <c r="BK313" s="1607"/>
      <c r="BL313" s="1607"/>
    </row>
    <row r="314">
      <c r="A314" s="1607"/>
      <c r="B314" s="1607"/>
      <c r="C314" s="1607"/>
      <c r="D314" s="1607"/>
      <c r="E314" s="1607"/>
      <c r="F314" s="1607"/>
      <c r="G314" s="1607"/>
      <c r="H314" s="1607"/>
      <c r="I314" s="1607"/>
      <c r="J314" s="1607"/>
      <c r="K314" s="1607"/>
      <c r="L314" s="1607"/>
      <c r="M314" s="1607"/>
      <c r="N314" s="1607"/>
      <c r="O314" s="1607"/>
      <c r="P314" s="1607"/>
      <c r="Q314" s="1607"/>
      <c r="R314" s="1607"/>
      <c r="S314" s="1607"/>
      <c r="T314" s="1607"/>
      <c r="U314" s="1607"/>
      <c r="V314" s="1607"/>
      <c r="W314" s="1607"/>
      <c r="X314" s="1607"/>
      <c r="Y314" s="1607"/>
      <c r="Z314" s="1607"/>
      <c r="AA314" s="1607"/>
      <c r="AB314" s="1607"/>
      <c r="AC314" s="1607"/>
      <c r="AD314" s="1607"/>
      <c r="AE314" s="1607"/>
      <c r="AF314" s="1607"/>
      <c r="AG314" s="1607"/>
      <c r="AH314" s="1607"/>
      <c r="AI314" s="1607"/>
      <c r="AJ314" s="1607"/>
      <c r="AK314" s="1607"/>
      <c r="AL314" s="1607"/>
      <c r="AM314" s="1607"/>
      <c r="AN314" s="1607"/>
      <c r="AO314" s="1607"/>
      <c r="AP314" s="1607"/>
      <c r="AQ314" s="1607"/>
      <c r="AR314" s="1607"/>
      <c r="AS314" s="1607"/>
      <c r="AT314" s="1607"/>
      <c r="AU314" s="1607"/>
      <c r="AV314" s="1607"/>
      <c r="AW314" s="1607"/>
      <c r="AX314" s="1607"/>
      <c r="AY314" s="1607"/>
      <c r="AZ314" s="1607"/>
      <c r="BA314" s="1607"/>
      <c r="BB314" s="1607"/>
      <c r="BC314" s="1607"/>
      <c r="BD314" s="1607"/>
      <c r="BE314" s="1607"/>
      <c r="BF314" s="1607"/>
      <c r="BG314" s="1607"/>
      <c r="BH314" s="1607"/>
      <c r="BI314" s="1607"/>
      <c r="BJ314" s="1607"/>
      <c r="BK314" s="1607"/>
      <c r="BL314" s="1607"/>
    </row>
    <row r="315">
      <c r="A315" s="1607"/>
      <c r="B315" s="1607"/>
      <c r="C315" s="1607"/>
      <c r="D315" s="1607"/>
      <c r="E315" s="1607"/>
      <c r="F315" s="1607"/>
      <c r="G315" s="1607"/>
      <c r="H315" s="1607"/>
      <c r="I315" s="1607"/>
      <c r="J315" s="1607"/>
      <c r="K315" s="1607"/>
      <c r="L315" s="1607"/>
      <c r="M315" s="1607"/>
      <c r="N315" s="1607"/>
      <c r="O315" s="1607"/>
      <c r="P315" s="1607"/>
      <c r="Q315" s="1607"/>
      <c r="R315" s="1607"/>
      <c r="S315" s="1607"/>
      <c r="T315" s="1607"/>
      <c r="U315" s="1607"/>
      <c r="V315" s="1607"/>
      <c r="W315" s="1607"/>
      <c r="X315" s="1607"/>
      <c r="Y315" s="1607"/>
      <c r="Z315" s="1607"/>
      <c r="AA315" s="1607"/>
      <c r="AB315" s="1607"/>
      <c r="AC315" s="1607"/>
      <c r="AD315" s="1607"/>
      <c r="AE315" s="1607"/>
      <c r="AF315" s="1607"/>
      <c r="AG315" s="1607"/>
      <c r="AH315" s="1607"/>
      <c r="AI315" s="1607"/>
      <c r="AJ315" s="1607"/>
      <c r="AK315" s="1607"/>
      <c r="AL315" s="1607"/>
      <c r="AM315" s="1607"/>
      <c r="AN315" s="1607"/>
      <c r="AO315" s="1607"/>
      <c r="AP315" s="1607"/>
      <c r="AQ315" s="1607"/>
      <c r="AR315" s="1607"/>
      <c r="AS315" s="1607"/>
      <c r="AT315" s="1607"/>
      <c r="AU315" s="1607"/>
      <c r="AV315" s="1607"/>
      <c r="AW315" s="1607"/>
      <c r="AX315" s="1607"/>
      <c r="AY315" s="1607"/>
      <c r="AZ315" s="1607"/>
      <c r="BA315" s="1607"/>
      <c r="BB315" s="1607"/>
      <c r="BC315" s="1607"/>
      <c r="BD315" s="1607"/>
      <c r="BE315" s="1607"/>
      <c r="BF315" s="1607"/>
      <c r="BG315" s="1607"/>
      <c r="BH315" s="1607"/>
      <c r="BI315" s="1607"/>
      <c r="BJ315" s="1607"/>
      <c r="BK315" s="1607"/>
      <c r="BL315" s="1607"/>
    </row>
    <row r="316">
      <c r="A316" s="1607"/>
      <c r="B316" s="1607"/>
      <c r="C316" s="1607"/>
      <c r="D316" s="1607"/>
      <c r="E316" s="1607"/>
      <c r="F316" s="1607"/>
      <c r="G316" s="1607"/>
      <c r="H316" s="1607"/>
      <c r="I316" s="1607"/>
      <c r="J316" s="1607"/>
      <c r="K316" s="1607"/>
      <c r="L316" s="1607"/>
      <c r="M316" s="1607"/>
      <c r="N316" s="1607"/>
      <c r="O316" s="1607"/>
      <c r="P316" s="1607"/>
      <c r="Q316" s="1607"/>
      <c r="R316" s="1607"/>
      <c r="S316" s="1607"/>
      <c r="T316" s="1607"/>
      <c r="U316" s="1607"/>
      <c r="V316" s="1607"/>
      <c r="W316" s="1607"/>
      <c r="X316" s="1607"/>
      <c r="Y316" s="1607"/>
      <c r="Z316" s="1607"/>
      <c r="AA316" s="1607"/>
      <c r="AB316" s="1607"/>
      <c r="AC316" s="1607"/>
      <c r="AD316" s="1607"/>
      <c r="AE316" s="1607"/>
      <c r="AF316" s="1607"/>
      <c r="AG316" s="1607"/>
      <c r="AH316" s="1607"/>
      <c r="AI316" s="1607"/>
      <c r="AJ316" s="1607"/>
      <c r="AK316" s="1607"/>
      <c r="AL316" s="1607"/>
      <c r="AM316" s="1607"/>
      <c r="AN316" s="1607"/>
      <c r="AO316" s="1607"/>
      <c r="AP316" s="1607"/>
      <c r="AQ316" s="1607"/>
      <c r="AR316" s="1607"/>
      <c r="AS316" s="1607"/>
      <c r="AT316" s="1607"/>
      <c r="AU316" s="1607"/>
      <c r="AV316" s="1607"/>
      <c r="AW316" s="1607"/>
      <c r="AX316" s="1607"/>
      <c r="AY316" s="1607"/>
      <c r="AZ316" s="1607"/>
      <c r="BA316" s="1607"/>
      <c r="BB316" s="1607"/>
      <c r="BC316" s="1607"/>
      <c r="BD316" s="1607"/>
      <c r="BE316" s="1607"/>
      <c r="BF316" s="1607"/>
      <c r="BG316" s="1607"/>
      <c r="BH316" s="1607"/>
      <c r="BI316" s="1607"/>
      <c r="BJ316" s="1607"/>
      <c r="BK316" s="1607"/>
      <c r="BL316" s="1607"/>
    </row>
    <row r="317">
      <c r="A317" s="1607"/>
      <c r="B317" s="1607"/>
      <c r="C317" s="1607"/>
      <c r="D317" s="1607"/>
      <c r="E317" s="1607"/>
      <c r="F317" s="1607"/>
      <c r="G317" s="1607"/>
      <c r="H317" s="1607"/>
      <c r="I317" s="1607"/>
      <c r="J317" s="1607"/>
      <c r="K317" s="1607"/>
      <c r="L317" s="1607"/>
      <c r="M317" s="1607"/>
      <c r="N317" s="1607"/>
      <c r="O317" s="1607"/>
      <c r="P317" s="1607"/>
      <c r="Q317" s="1607"/>
      <c r="R317" s="1607"/>
      <c r="S317" s="1607"/>
      <c r="T317" s="1607"/>
      <c r="U317" s="1607"/>
      <c r="V317" s="1607"/>
      <c r="W317" s="1607"/>
      <c r="X317" s="1607"/>
      <c r="Y317" s="1607"/>
      <c r="Z317" s="1607"/>
      <c r="AA317" s="1607"/>
      <c r="AB317" s="1607"/>
      <c r="AC317" s="1607"/>
      <c r="AD317" s="1607"/>
      <c r="AE317" s="1607"/>
      <c r="AF317" s="1607"/>
      <c r="AG317" s="1607"/>
      <c r="AH317" s="1607"/>
      <c r="AI317" s="1607"/>
      <c r="AJ317" s="1607"/>
      <c r="AK317" s="1607"/>
      <c r="AL317" s="1607"/>
      <c r="AM317" s="1607"/>
      <c r="AN317" s="1607"/>
      <c r="AO317" s="1607"/>
      <c r="AP317" s="1607"/>
      <c r="AQ317" s="1607"/>
      <c r="AR317" s="1607"/>
      <c r="AS317" s="1607"/>
      <c r="AT317" s="1607"/>
      <c r="AU317" s="1607"/>
      <c r="AV317" s="1607"/>
      <c r="AW317" s="1607"/>
      <c r="AX317" s="1607"/>
      <c r="AY317" s="1607"/>
      <c r="AZ317" s="1607"/>
      <c r="BA317" s="1607"/>
      <c r="BB317" s="1607"/>
      <c r="BC317" s="1607"/>
      <c r="BD317" s="1607"/>
      <c r="BE317" s="1607"/>
      <c r="BF317" s="1607"/>
      <c r="BG317" s="1607"/>
      <c r="BH317" s="1607"/>
      <c r="BI317" s="1607"/>
      <c r="BJ317" s="1607"/>
      <c r="BK317" s="1607"/>
      <c r="BL317" s="1607"/>
    </row>
    <row r="318">
      <c r="A318" s="1607"/>
      <c r="B318" s="1607"/>
      <c r="C318" s="1607"/>
      <c r="D318" s="1607"/>
      <c r="E318" s="1607"/>
      <c r="F318" s="1607"/>
      <c r="G318" s="1607"/>
      <c r="H318" s="1607"/>
      <c r="I318" s="1607"/>
      <c r="J318" s="1607"/>
      <c r="K318" s="1607"/>
      <c r="L318" s="1607"/>
      <c r="M318" s="1607"/>
      <c r="N318" s="1607"/>
      <c r="O318" s="1607"/>
      <c r="P318" s="1607"/>
      <c r="Q318" s="1607"/>
      <c r="R318" s="1607"/>
      <c r="S318" s="1607"/>
      <c r="T318" s="1607"/>
      <c r="U318" s="1607"/>
      <c r="V318" s="1607"/>
      <c r="W318" s="1607"/>
      <c r="X318" s="1607"/>
      <c r="Y318" s="1607"/>
      <c r="Z318" s="1607"/>
      <c r="AA318" s="1607"/>
      <c r="AB318" s="1607"/>
      <c r="AC318" s="1607"/>
      <c r="AD318" s="1607"/>
      <c r="AE318" s="1607"/>
      <c r="AF318" s="1607"/>
      <c r="AG318" s="1607"/>
      <c r="AH318" s="1607"/>
      <c r="AI318" s="1607"/>
      <c r="AJ318" s="1607"/>
      <c r="AK318" s="1607"/>
      <c r="AL318" s="1607"/>
      <c r="AM318" s="1607"/>
      <c r="AN318" s="1607"/>
      <c r="AO318" s="1607"/>
      <c r="AP318" s="1607"/>
      <c r="AQ318" s="1607"/>
      <c r="AR318" s="1607"/>
      <c r="AS318" s="1607"/>
      <c r="AT318" s="1607"/>
      <c r="AU318" s="1607"/>
      <c r="AV318" s="1607"/>
      <c r="AW318" s="1607"/>
      <c r="AX318" s="1607"/>
      <c r="AY318" s="1607"/>
      <c r="AZ318" s="1607"/>
      <c r="BA318" s="1607"/>
      <c r="BB318" s="1607"/>
      <c r="BC318" s="1607"/>
      <c r="BD318" s="1607"/>
      <c r="BE318" s="1607"/>
      <c r="BF318" s="1607"/>
      <c r="BG318" s="1607"/>
      <c r="BH318" s="1607"/>
      <c r="BI318" s="1607"/>
      <c r="BJ318" s="1607"/>
      <c r="BK318" s="1607"/>
      <c r="BL318" s="1607"/>
    </row>
    <row r="319">
      <c r="A319" s="1607"/>
      <c r="B319" s="1607"/>
      <c r="C319" s="1607"/>
      <c r="D319" s="1607"/>
      <c r="E319" s="1607"/>
      <c r="F319" s="1607"/>
      <c r="G319" s="1607"/>
      <c r="H319" s="1607"/>
      <c r="I319" s="1607"/>
      <c r="J319" s="1607"/>
      <c r="K319" s="1607"/>
      <c r="L319" s="1607"/>
      <c r="M319" s="1607"/>
      <c r="N319" s="1607"/>
      <c r="O319" s="1607"/>
      <c r="P319" s="1607"/>
      <c r="Q319" s="1607"/>
      <c r="R319" s="1607"/>
      <c r="S319" s="1607"/>
      <c r="T319" s="1607"/>
      <c r="U319" s="1607"/>
      <c r="V319" s="1607"/>
      <c r="W319" s="1607"/>
      <c r="X319" s="1607"/>
      <c r="Y319" s="1607"/>
      <c r="Z319" s="1607"/>
      <c r="AA319" s="1607"/>
      <c r="AB319" s="1607"/>
      <c r="AC319" s="1607"/>
      <c r="AD319" s="1607"/>
      <c r="AE319" s="1607"/>
      <c r="AF319" s="1607"/>
      <c r="AG319" s="1607"/>
      <c r="AH319" s="1607"/>
      <c r="AI319" s="1607"/>
      <c r="AJ319" s="1607"/>
      <c r="AK319" s="1607"/>
      <c r="AL319" s="1607"/>
      <c r="AM319" s="1607"/>
      <c r="AN319" s="1607"/>
      <c r="AO319" s="1607"/>
      <c r="AP319" s="1607"/>
      <c r="AQ319" s="1607"/>
      <c r="AR319" s="1607"/>
      <c r="AS319" s="1607"/>
      <c r="AT319" s="1607"/>
      <c r="AU319" s="1607"/>
      <c r="AV319" s="1607"/>
      <c r="AW319" s="1607"/>
      <c r="AX319" s="1607"/>
      <c r="AY319" s="1607"/>
      <c r="AZ319" s="1607"/>
      <c r="BA319" s="1607"/>
      <c r="BB319" s="1607"/>
      <c r="BC319" s="1607"/>
      <c r="BD319" s="1607"/>
      <c r="BE319" s="1607"/>
      <c r="BF319" s="1607"/>
      <c r="BG319" s="1607"/>
      <c r="BH319" s="1607"/>
      <c r="BI319" s="1607"/>
      <c r="BJ319" s="1607"/>
      <c r="BK319" s="1607"/>
      <c r="BL319" s="1607"/>
    </row>
    <row r="320">
      <c r="A320" s="1607"/>
      <c r="B320" s="1607"/>
      <c r="C320" s="1607"/>
      <c r="D320" s="1607"/>
      <c r="E320" s="1607"/>
      <c r="F320" s="1607"/>
      <c r="G320" s="1607"/>
      <c r="H320" s="1607"/>
      <c r="I320" s="1607"/>
      <c r="J320" s="1607"/>
      <c r="K320" s="1607"/>
      <c r="L320" s="1607"/>
      <c r="M320" s="1607"/>
      <c r="N320" s="1607"/>
      <c r="O320" s="1607"/>
      <c r="P320" s="1607"/>
      <c r="Q320" s="1607"/>
      <c r="R320" s="1607"/>
      <c r="S320" s="1607"/>
      <c r="T320" s="1607"/>
      <c r="U320" s="1607"/>
      <c r="V320" s="1607"/>
      <c r="W320" s="1607"/>
      <c r="X320" s="1607"/>
      <c r="Y320" s="1607"/>
      <c r="Z320" s="1607"/>
      <c r="AA320" s="1607"/>
      <c r="AB320" s="1607"/>
      <c r="AC320" s="1607"/>
      <c r="AD320" s="1607"/>
      <c r="AE320" s="1607"/>
      <c r="AF320" s="1607"/>
      <c r="AG320" s="1607"/>
      <c r="AH320" s="1607"/>
      <c r="AI320" s="1607"/>
      <c r="AJ320" s="1607"/>
      <c r="AK320" s="1607"/>
      <c r="AL320" s="1607"/>
      <c r="AM320" s="1607"/>
      <c r="AN320" s="1607"/>
      <c r="AO320" s="1607"/>
      <c r="AP320" s="1607"/>
      <c r="AQ320" s="1607"/>
      <c r="AR320" s="1607"/>
      <c r="AS320" s="1607"/>
      <c r="AT320" s="1607"/>
      <c r="AU320" s="1607"/>
      <c r="AV320" s="1607"/>
      <c r="AW320" s="1607"/>
      <c r="AX320" s="1607"/>
      <c r="AY320" s="1607"/>
      <c r="AZ320" s="1607"/>
      <c r="BA320" s="1607"/>
      <c r="BB320" s="1607"/>
      <c r="BC320" s="1607"/>
      <c r="BD320" s="1607"/>
      <c r="BE320" s="1607"/>
      <c r="BF320" s="1607"/>
      <c r="BG320" s="1607"/>
      <c r="BH320" s="1607"/>
      <c r="BI320" s="1607"/>
      <c r="BJ320" s="1607"/>
      <c r="BK320" s="1607"/>
      <c r="BL320" s="1607"/>
    </row>
    <row r="321">
      <c r="A321" s="1607"/>
      <c r="B321" s="1607"/>
      <c r="C321" s="1607"/>
      <c r="D321" s="1607"/>
      <c r="E321" s="1607"/>
      <c r="F321" s="1607"/>
      <c r="G321" s="1607"/>
      <c r="H321" s="1607"/>
      <c r="I321" s="1607"/>
      <c r="J321" s="1607"/>
      <c r="K321" s="1607"/>
      <c r="L321" s="1607"/>
      <c r="M321" s="1607"/>
      <c r="N321" s="1607"/>
      <c r="O321" s="1607"/>
      <c r="P321" s="1607"/>
      <c r="Q321" s="1607"/>
      <c r="R321" s="1607"/>
      <c r="S321" s="1607"/>
      <c r="T321" s="1607"/>
      <c r="U321" s="1607"/>
      <c r="V321" s="1607"/>
      <c r="W321" s="1607"/>
      <c r="X321" s="1607"/>
      <c r="Y321" s="1607"/>
      <c r="Z321" s="1607"/>
      <c r="AA321" s="1607"/>
      <c r="AB321" s="1607"/>
      <c r="AC321" s="1607"/>
      <c r="AD321" s="1607"/>
      <c r="AE321" s="1607"/>
      <c r="AF321" s="1607"/>
      <c r="AG321" s="1607"/>
      <c r="AH321" s="1607"/>
      <c r="AI321" s="1607"/>
      <c r="AJ321" s="1607"/>
      <c r="AK321" s="1607"/>
      <c r="AL321" s="1607"/>
      <c r="AM321" s="1607"/>
      <c r="AN321" s="1607"/>
      <c r="AO321" s="1607"/>
      <c r="AP321" s="1607"/>
      <c r="AQ321" s="1607"/>
      <c r="AR321" s="1607"/>
      <c r="AS321" s="1607"/>
      <c r="AT321" s="1607"/>
      <c r="AU321" s="1607"/>
      <c r="AV321" s="1607"/>
      <c r="AW321" s="1607"/>
      <c r="AX321" s="1607"/>
      <c r="AY321" s="1607"/>
      <c r="AZ321" s="1607"/>
      <c r="BA321" s="1607"/>
      <c r="BB321" s="1607"/>
      <c r="BC321" s="1607"/>
      <c r="BD321" s="1607"/>
      <c r="BE321" s="1607"/>
      <c r="BF321" s="1607"/>
      <c r="BG321" s="1607"/>
      <c r="BH321" s="1607"/>
      <c r="BI321" s="1607"/>
      <c r="BJ321" s="1607"/>
      <c r="BK321" s="1607"/>
      <c r="BL321" s="1607"/>
    </row>
    <row r="322">
      <c r="A322" s="1607"/>
      <c r="B322" s="1607"/>
      <c r="C322" s="1607"/>
      <c r="D322" s="1607"/>
      <c r="E322" s="1607"/>
      <c r="F322" s="1607"/>
      <c r="G322" s="1607"/>
      <c r="H322" s="1607"/>
      <c r="I322" s="1607"/>
      <c r="J322" s="1607"/>
      <c r="K322" s="1607"/>
      <c r="L322" s="1607"/>
      <c r="M322" s="1607"/>
      <c r="N322" s="1607"/>
      <c r="O322" s="1607"/>
      <c r="P322" s="1607"/>
      <c r="Q322" s="1607"/>
      <c r="R322" s="1607"/>
      <c r="S322" s="1607"/>
      <c r="T322" s="1607"/>
      <c r="U322" s="1607"/>
      <c r="V322" s="1607"/>
      <c r="W322" s="1607"/>
      <c r="X322" s="1607"/>
      <c r="Y322" s="1607"/>
      <c r="Z322" s="1607"/>
      <c r="AA322" s="1607"/>
      <c r="AB322" s="1607"/>
      <c r="AC322" s="1607"/>
      <c r="AD322" s="1607"/>
      <c r="AE322" s="1607"/>
      <c r="AF322" s="1607"/>
      <c r="AG322" s="1607"/>
      <c r="AH322" s="1607"/>
      <c r="AI322" s="1607"/>
      <c r="AJ322" s="1607"/>
      <c r="AK322" s="1607"/>
      <c r="AL322" s="1607"/>
      <c r="AM322" s="1607"/>
      <c r="AN322" s="1607"/>
      <c r="AO322" s="1607"/>
      <c r="AP322" s="1607"/>
      <c r="AQ322" s="1607"/>
      <c r="AR322" s="1607"/>
      <c r="AS322" s="1607"/>
      <c r="AT322" s="1607"/>
      <c r="AU322" s="1607"/>
      <c r="AV322" s="1607"/>
      <c r="AW322" s="1607"/>
      <c r="AX322" s="1607"/>
      <c r="AY322" s="1607"/>
      <c r="AZ322" s="1607"/>
      <c r="BA322" s="1607"/>
      <c r="BB322" s="1607"/>
      <c r="BC322" s="1607"/>
      <c r="BD322" s="1607"/>
      <c r="BE322" s="1607"/>
      <c r="BF322" s="1607"/>
      <c r="BG322" s="1607"/>
      <c r="BH322" s="1607"/>
      <c r="BI322" s="1607"/>
      <c r="BJ322" s="1607"/>
      <c r="BK322" s="1607"/>
      <c r="BL322" s="1607"/>
    </row>
    <row r="323">
      <c r="A323" s="1607"/>
      <c r="B323" s="1607"/>
      <c r="C323" s="1607"/>
      <c r="D323" s="1607"/>
      <c r="E323" s="1607"/>
      <c r="F323" s="1607"/>
      <c r="G323" s="1607"/>
      <c r="H323" s="1607"/>
      <c r="I323" s="1607"/>
      <c r="J323" s="1607"/>
      <c r="K323" s="1607"/>
      <c r="L323" s="1607"/>
      <c r="M323" s="1607"/>
      <c r="N323" s="1607"/>
      <c r="O323" s="1607"/>
      <c r="P323" s="1607"/>
      <c r="Q323" s="1607"/>
      <c r="R323" s="1607"/>
      <c r="S323" s="1607"/>
      <c r="T323" s="1607"/>
      <c r="U323" s="1607"/>
      <c r="V323" s="1607"/>
      <c r="W323" s="1607"/>
      <c r="X323" s="1607"/>
      <c r="Y323" s="1607"/>
      <c r="Z323" s="1607"/>
      <c r="AA323" s="1607"/>
      <c r="AB323" s="1607"/>
      <c r="AC323" s="1607"/>
      <c r="AD323" s="1607"/>
      <c r="AE323" s="1607"/>
      <c r="AF323" s="1607"/>
      <c r="AG323" s="1607"/>
      <c r="AH323" s="1607"/>
      <c r="AI323" s="1607"/>
      <c r="AJ323" s="1607"/>
      <c r="AK323" s="1607"/>
      <c r="AL323" s="1607"/>
      <c r="AM323" s="1607"/>
      <c r="AN323" s="1607"/>
      <c r="AO323" s="1607"/>
      <c r="AP323" s="1607"/>
      <c r="AQ323" s="1607"/>
      <c r="AR323" s="1607"/>
      <c r="AS323" s="1607"/>
      <c r="AT323" s="1607"/>
      <c r="AU323" s="1607"/>
      <c r="AV323" s="1607"/>
      <c r="AW323" s="1607"/>
      <c r="AX323" s="1607"/>
      <c r="AY323" s="1607"/>
      <c r="AZ323" s="1607"/>
      <c r="BA323" s="1607"/>
      <c r="BB323" s="1607"/>
      <c r="BC323" s="1607"/>
      <c r="BD323" s="1607"/>
      <c r="BE323" s="1607"/>
      <c r="BF323" s="1607"/>
      <c r="BG323" s="1607"/>
      <c r="BH323" s="1607"/>
      <c r="BI323" s="1607"/>
      <c r="BJ323" s="1607"/>
      <c r="BK323" s="1607"/>
      <c r="BL323" s="1607"/>
    </row>
    <row r="324">
      <c r="A324" s="1607"/>
      <c r="B324" s="1607"/>
      <c r="C324" s="1607"/>
      <c r="D324" s="1607"/>
      <c r="E324" s="1607"/>
      <c r="F324" s="1607"/>
      <c r="G324" s="1607"/>
      <c r="H324" s="1607"/>
      <c r="I324" s="1607"/>
      <c r="J324" s="1607"/>
      <c r="K324" s="1607"/>
      <c r="L324" s="1607"/>
      <c r="M324" s="1607"/>
      <c r="N324" s="1607"/>
      <c r="O324" s="1607"/>
      <c r="P324" s="1607"/>
      <c r="Q324" s="1607"/>
      <c r="R324" s="1607"/>
      <c r="S324" s="1607"/>
      <c r="T324" s="1607"/>
      <c r="U324" s="1607"/>
      <c r="V324" s="1607"/>
      <c r="W324" s="1607"/>
      <c r="X324" s="1607"/>
      <c r="Y324" s="1607"/>
      <c r="Z324" s="1607"/>
      <c r="AA324" s="1607"/>
      <c r="AB324" s="1607"/>
      <c r="AC324" s="1607"/>
      <c r="AD324" s="1607"/>
      <c r="AE324" s="1607"/>
      <c r="AF324" s="1607"/>
      <c r="AG324" s="1607"/>
      <c r="AH324" s="1607"/>
      <c r="AI324" s="1607"/>
      <c r="AJ324" s="1607"/>
      <c r="AK324" s="1607"/>
      <c r="AL324" s="1607"/>
      <c r="AM324" s="1607"/>
      <c r="AN324" s="1607"/>
      <c r="AO324" s="1607"/>
      <c r="AP324" s="1607"/>
      <c r="AQ324" s="1607"/>
      <c r="AR324" s="1607"/>
      <c r="AS324" s="1607"/>
      <c r="AT324" s="1607"/>
      <c r="AU324" s="1607"/>
      <c r="AV324" s="1607"/>
      <c r="AW324" s="1607"/>
      <c r="AX324" s="1607"/>
      <c r="AY324" s="1607"/>
      <c r="AZ324" s="1607"/>
      <c r="BA324" s="1607"/>
      <c r="BB324" s="1607"/>
      <c r="BC324" s="1607"/>
      <c r="BD324" s="1607"/>
      <c r="BE324" s="1607"/>
      <c r="BF324" s="1607"/>
      <c r="BG324" s="1607"/>
      <c r="BH324" s="1607"/>
      <c r="BI324" s="1607"/>
      <c r="BJ324" s="1607"/>
      <c r="BK324" s="1607"/>
      <c r="BL324" s="1607"/>
    </row>
    <row r="325">
      <c r="A325" s="1607"/>
      <c r="B325" s="1607"/>
      <c r="C325" s="1607"/>
      <c r="D325" s="1607"/>
      <c r="E325" s="1607"/>
      <c r="F325" s="1607"/>
      <c r="G325" s="1607"/>
      <c r="H325" s="1607"/>
      <c r="I325" s="1607"/>
      <c r="J325" s="1607"/>
      <c r="K325" s="1607"/>
      <c r="L325" s="1607"/>
      <c r="M325" s="1607"/>
      <c r="N325" s="1607"/>
      <c r="O325" s="1607"/>
      <c r="P325" s="1607"/>
      <c r="Q325" s="1607"/>
      <c r="R325" s="1607"/>
      <c r="S325" s="1607"/>
      <c r="T325" s="1607"/>
      <c r="U325" s="1607"/>
      <c r="V325" s="1607"/>
      <c r="W325" s="1607"/>
      <c r="X325" s="1607"/>
      <c r="Y325" s="1607"/>
      <c r="Z325" s="1607"/>
      <c r="AA325" s="1607"/>
      <c r="AB325" s="1607"/>
      <c r="AC325" s="1607"/>
      <c r="AD325" s="1607"/>
      <c r="AE325" s="1607"/>
      <c r="AF325" s="1607"/>
      <c r="AG325" s="1607"/>
      <c r="AH325" s="1607"/>
      <c r="AI325" s="1607"/>
      <c r="AJ325" s="1607"/>
      <c r="AK325" s="1607"/>
      <c r="AL325" s="1607"/>
      <c r="AM325" s="1607"/>
      <c r="AN325" s="1607"/>
      <c r="AO325" s="1607"/>
      <c r="AP325" s="1607"/>
      <c r="AQ325" s="1607"/>
      <c r="AR325" s="1607"/>
      <c r="AS325" s="1607"/>
      <c r="AT325" s="1607"/>
      <c r="AU325" s="1607"/>
      <c r="AV325" s="1607"/>
      <c r="AW325" s="1607"/>
      <c r="AX325" s="1607"/>
      <c r="AY325" s="1607"/>
      <c r="AZ325" s="1607"/>
      <c r="BA325" s="1607"/>
      <c r="BB325" s="1607"/>
      <c r="BC325" s="1607"/>
      <c r="BD325" s="1607"/>
      <c r="BE325" s="1607"/>
      <c r="BF325" s="1607"/>
      <c r="BG325" s="1607"/>
      <c r="BH325" s="1607"/>
      <c r="BI325" s="1607"/>
      <c r="BJ325" s="1607"/>
      <c r="BK325" s="1607"/>
      <c r="BL325" s="1607"/>
    </row>
    <row r="326">
      <c r="A326" s="1607"/>
      <c r="B326" s="1607"/>
      <c r="C326" s="1607"/>
      <c r="D326" s="1607"/>
      <c r="E326" s="1607"/>
      <c r="F326" s="1607"/>
      <c r="G326" s="1607"/>
      <c r="H326" s="1607"/>
      <c r="I326" s="1607"/>
      <c r="J326" s="1607"/>
      <c r="K326" s="1607"/>
      <c r="L326" s="1607"/>
      <c r="M326" s="1607"/>
      <c r="N326" s="1607"/>
      <c r="O326" s="1607"/>
      <c r="P326" s="1607"/>
      <c r="Q326" s="1607"/>
      <c r="R326" s="1607"/>
      <c r="S326" s="1607"/>
      <c r="T326" s="1607"/>
      <c r="U326" s="1607"/>
      <c r="V326" s="1607"/>
      <c r="W326" s="1607"/>
      <c r="X326" s="1607"/>
      <c r="Y326" s="1607"/>
      <c r="Z326" s="1607"/>
      <c r="AA326" s="1607"/>
      <c r="AB326" s="1607"/>
      <c r="AC326" s="1607"/>
      <c r="AD326" s="1607"/>
      <c r="AE326" s="1607"/>
      <c r="AF326" s="1607"/>
      <c r="AG326" s="1607"/>
      <c r="AH326" s="1607"/>
      <c r="AI326" s="1607"/>
      <c r="AJ326" s="1607"/>
      <c r="AK326" s="1607"/>
      <c r="AL326" s="1607"/>
      <c r="AM326" s="1607"/>
      <c r="AN326" s="1607"/>
      <c r="AO326" s="1607"/>
      <c r="AP326" s="1607"/>
      <c r="AQ326" s="1607"/>
      <c r="AR326" s="1607"/>
      <c r="AS326" s="1607"/>
      <c r="AT326" s="1607"/>
      <c r="AU326" s="1607"/>
      <c r="AV326" s="1607"/>
      <c r="AW326" s="1607"/>
      <c r="AX326" s="1607"/>
      <c r="AY326" s="1607"/>
      <c r="AZ326" s="1607"/>
      <c r="BA326" s="1607"/>
      <c r="BB326" s="1607"/>
      <c r="BC326" s="1607"/>
      <c r="BD326" s="1607"/>
      <c r="BE326" s="1607"/>
      <c r="BF326" s="1607"/>
      <c r="BG326" s="1607"/>
      <c r="BH326" s="1607"/>
      <c r="BI326" s="1607"/>
      <c r="BJ326" s="1607"/>
      <c r="BK326" s="1607"/>
      <c r="BL326" s="1607"/>
    </row>
    <row r="327">
      <c r="A327" s="1607"/>
      <c r="B327" s="1607"/>
      <c r="C327" s="1607"/>
      <c r="D327" s="1607"/>
      <c r="E327" s="1607"/>
      <c r="F327" s="1607"/>
      <c r="G327" s="1607"/>
      <c r="H327" s="1607"/>
      <c r="I327" s="1607"/>
      <c r="J327" s="1607"/>
      <c r="K327" s="1607"/>
      <c r="L327" s="1607"/>
      <c r="M327" s="1607"/>
      <c r="N327" s="1607"/>
      <c r="O327" s="1607"/>
      <c r="P327" s="1607"/>
      <c r="Q327" s="1607"/>
      <c r="R327" s="1607"/>
      <c r="S327" s="1607"/>
      <c r="T327" s="1607"/>
      <c r="U327" s="1607"/>
      <c r="V327" s="1607"/>
      <c r="W327" s="1607"/>
      <c r="X327" s="1607"/>
      <c r="Y327" s="1607"/>
      <c r="Z327" s="1607"/>
      <c r="AA327" s="1607"/>
      <c r="AB327" s="1607"/>
      <c r="AC327" s="1607"/>
      <c r="AD327" s="1607"/>
      <c r="AE327" s="1607"/>
      <c r="AF327" s="1607"/>
      <c r="AG327" s="1607"/>
      <c r="AH327" s="1607"/>
      <c r="AI327" s="1607"/>
      <c r="AJ327" s="1607"/>
      <c r="AK327" s="1607"/>
      <c r="AL327" s="1607"/>
      <c r="AM327" s="1607"/>
      <c r="AN327" s="1607"/>
      <c r="AO327" s="1607"/>
      <c r="AP327" s="1607"/>
      <c r="AQ327" s="1607"/>
      <c r="AR327" s="1607"/>
      <c r="AS327" s="1607"/>
      <c r="AT327" s="1607"/>
      <c r="AU327" s="1607"/>
      <c r="AV327" s="1607"/>
      <c r="AW327" s="1607"/>
      <c r="AX327" s="1607"/>
      <c r="AY327" s="1607"/>
      <c r="AZ327" s="1607"/>
      <c r="BA327" s="1607"/>
      <c r="BB327" s="1607"/>
      <c r="BC327" s="1607"/>
      <c r="BD327" s="1607"/>
      <c r="BE327" s="1607"/>
      <c r="BF327" s="1607"/>
      <c r="BG327" s="1607"/>
      <c r="BH327" s="1607"/>
      <c r="BI327" s="1607"/>
      <c r="BJ327" s="1607"/>
      <c r="BK327" s="1607"/>
      <c r="BL327" s="1607"/>
    </row>
    <row r="328">
      <c r="A328" s="1607"/>
      <c r="B328" s="1607"/>
      <c r="C328" s="1607"/>
      <c r="D328" s="1607"/>
      <c r="E328" s="1607"/>
      <c r="F328" s="1607"/>
      <c r="G328" s="1607"/>
      <c r="H328" s="1607"/>
      <c r="I328" s="1607"/>
      <c r="J328" s="1607"/>
      <c r="K328" s="1607"/>
      <c r="L328" s="1607"/>
      <c r="M328" s="1607"/>
      <c r="N328" s="1607"/>
      <c r="O328" s="1607"/>
      <c r="P328" s="1607"/>
      <c r="Q328" s="1607"/>
      <c r="R328" s="1607"/>
      <c r="S328" s="1607"/>
      <c r="T328" s="1607"/>
      <c r="U328" s="1607"/>
      <c r="V328" s="1607"/>
      <c r="W328" s="1607"/>
      <c r="X328" s="1607"/>
      <c r="Y328" s="1607"/>
      <c r="Z328" s="1607"/>
      <c r="AA328" s="1607"/>
      <c r="AB328" s="1607"/>
      <c r="AC328" s="1607"/>
      <c r="AD328" s="1607"/>
      <c r="AE328" s="1607"/>
      <c r="AF328" s="1607"/>
      <c r="AG328" s="1607"/>
      <c r="AH328" s="1607"/>
      <c r="AI328" s="1607"/>
      <c r="AJ328" s="1607"/>
      <c r="AK328" s="1607"/>
      <c r="AL328" s="1607"/>
      <c r="AM328" s="1607"/>
      <c r="AN328" s="1607"/>
      <c r="AO328" s="1607"/>
      <c r="AP328" s="1607"/>
      <c r="AQ328" s="1607"/>
      <c r="AR328" s="1607"/>
      <c r="AS328" s="1607"/>
      <c r="AT328" s="1607"/>
      <c r="AU328" s="1607"/>
      <c r="AV328" s="1607"/>
      <c r="AW328" s="1607"/>
      <c r="AX328" s="1607"/>
      <c r="AY328" s="1607"/>
      <c r="AZ328" s="1607"/>
      <c r="BA328" s="1607"/>
      <c r="BB328" s="1607"/>
      <c r="BC328" s="1607"/>
      <c r="BD328" s="1607"/>
      <c r="BE328" s="1607"/>
      <c r="BF328" s="1607"/>
      <c r="BG328" s="1607"/>
      <c r="BH328" s="1607"/>
      <c r="BI328" s="1607"/>
      <c r="BJ328" s="1607"/>
      <c r="BK328" s="1607"/>
      <c r="BL328" s="1607"/>
    </row>
    <row r="329">
      <c r="A329" s="1607"/>
      <c r="B329" s="1607"/>
      <c r="C329" s="1607"/>
      <c r="D329" s="1607"/>
      <c r="E329" s="1607"/>
      <c r="F329" s="1607"/>
      <c r="G329" s="1607"/>
      <c r="H329" s="1607"/>
      <c r="I329" s="1607"/>
      <c r="J329" s="1607"/>
      <c r="K329" s="1607"/>
      <c r="L329" s="1607"/>
      <c r="M329" s="1607"/>
      <c r="N329" s="1607"/>
      <c r="O329" s="1607"/>
      <c r="P329" s="1607"/>
      <c r="Q329" s="1607"/>
      <c r="R329" s="1607"/>
      <c r="S329" s="1607"/>
      <c r="T329" s="1607"/>
      <c r="U329" s="1607"/>
      <c r="V329" s="1607"/>
      <c r="W329" s="1607"/>
      <c r="X329" s="1607"/>
      <c r="Y329" s="1607"/>
      <c r="Z329" s="1607"/>
      <c r="AA329" s="1607"/>
      <c r="AB329" s="1607"/>
      <c r="AC329" s="1607"/>
      <c r="AD329" s="1607"/>
      <c r="AE329" s="1607"/>
      <c r="AF329" s="1607"/>
      <c r="AG329" s="1607"/>
      <c r="AH329" s="1607"/>
      <c r="AI329" s="1607"/>
      <c r="AJ329" s="1607"/>
      <c r="AK329" s="1607"/>
      <c r="AL329" s="1607"/>
      <c r="AM329" s="1607"/>
      <c r="AN329" s="1607"/>
      <c r="AO329" s="1607"/>
      <c r="AP329" s="1607"/>
      <c r="AQ329" s="1607"/>
      <c r="AR329" s="1607"/>
      <c r="AS329" s="1607"/>
      <c r="AT329" s="1607"/>
      <c r="AU329" s="1607"/>
      <c r="AV329" s="1607"/>
      <c r="AW329" s="1607"/>
      <c r="AX329" s="1607"/>
      <c r="AY329" s="1607"/>
      <c r="AZ329" s="1607"/>
      <c r="BA329" s="1607"/>
      <c r="BB329" s="1607"/>
      <c r="BC329" s="1607"/>
      <c r="BD329" s="1607"/>
      <c r="BE329" s="1607"/>
      <c r="BF329" s="1607"/>
      <c r="BG329" s="1607"/>
      <c r="BH329" s="1607"/>
      <c r="BI329" s="1607"/>
      <c r="BJ329" s="1607"/>
      <c r="BK329" s="1607"/>
      <c r="BL329" s="1607"/>
    </row>
    <row r="330">
      <c r="A330" s="1607"/>
      <c r="B330" s="1607"/>
      <c r="C330" s="1607"/>
      <c r="D330" s="1607"/>
      <c r="E330" s="1607"/>
      <c r="F330" s="1607"/>
      <c r="G330" s="1607"/>
      <c r="H330" s="1607"/>
      <c r="I330" s="1607"/>
      <c r="J330" s="1607"/>
      <c r="K330" s="1607"/>
      <c r="L330" s="1607"/>
      <c r="M330" s="1607"/>
      <c r="N330" s="1607"/>
      <c r="O330" s="1607"/>
      <c r="P330" s="1607"/>
      <c r="Q330" s="1607"/>
      <c r="R330" s="1607"/>
      <c r="S330" s="1607"/>
      <c r="T330" s="1607"/>
      <c r="U330" s="1607"/>
      <c r="V330" s="1607"/>
      <c r="W330" s="1607"/>
      <c r="X330" s="1607"/>
      <c r="Y330" s="1607"/>
      <c r="Z330" s="1607"/>
      <c r="AA330" s="1607"/>
      <c r="AB330" s="1607"/>
      <c r="AC330" s="1607"/>
      <c r="AD330" s="1607"/>
      <c r="AE330" s="1607"/>
      <c r="AF330" s="1607"/>
      <c r="AG330" s="1607"/>
      <c r="AH330" s="1607"/>
      <c r="AI330" s="1607"/>
      <c r="AJ330" s="1607"/>
      <c r="AK330" s="1607"/>
      <c r="AL330" s="1607"/>
      <c r="AM330" s="1607"/>
      <c r="AN330" s="1607"/>
      <c r="AO330" s="1607"/>
      <c r="AP330" s="1607"/>
      <c r="AQ330" s="1607"/>
      <c r="AR330" s="1607"/>
      <c r="AS330" s="1607"/>
      <c r="AT330" s="1607"/>
      <c r="AU330" s="1607"/>
      <c r="AV330" s="1607"/>
      <c r="AW330" s="1607"/>
      <c r="AX330" s="1607"/>
      <c r="AY330" s="1607"/>
      <c r="AZ330" s="1607"/>
      <c r="BA330" s="1607"/>
      <c r="BB330" s="1607"/>
      <c r="BC330" s="1607"/>
      <c r="BD330" s="1607"/>
      <c r="BE330" s="1607"/>
      <c r="BF330" s="1607"/>
      <c r="BG330" s="1607"/>
      <c r="BH330" s="1607"/>
      <c r="BI330" s="1607"/>
      <c r="BJ330" s="1607"/>
      <c r="BK330" s="1607"/>
      <c r="BL330" s="1607"/>
    </row>
    <row r="331">
      <c r="A331" s="1607"/>
      <c r="B331" s="1607"/>
      <c r="C331" s="1607"/>
      <c r="D331" s="1607"/>
      <c r="E331" s="1607"/>
      <c r="F331" s="1607"/>
      <c r="G331" s="1607"/>
      <c r="H331" s="1607"/>
      <c r="I331" s="1607"/>
      <c r="J331" s="1607"/>
      <c r="K331" s="1607"/>
      <c r="L331" s="1607"/>
      <c r="M331" s="1607"/>
      <c r="N331" s="1607"/>
      <c r="O331" s="1607"/>
      <c r="P331" s="1607"/>
      <c r="Q331" s="1607"/>
      <c r="R331" s="1607"/>
      <c r="S331" s="1607"/>
      <c r="T331" s="1607"/>
      <c r="U331" s="1607"/>
      <c r="V331" s="1607"/>
      <c r="W331" s="1607"/>
      <c r="X331" s="1607"/>
      <c r="Y331" s="1607"/>
      <c r="Z331" s="1607"/>
      <c r="AA331" s="1607"/>
      <c r="AB331" s="1607"/>
      <c r="AC331" s="1607"/>
      <c r="AD331" s="1607"/>
      <c r="AE331" s="1607"/>
      <c r="AF331" s="1607"/>
      <c r="AG331" s="1607"/>
      <c r="AH331" s="1607"/>
      <c r="AI331" s="1607"/>
      <c r="AJ331" s="1607"/>
      <c r="AK331" s="1607"/>
      <c r="AL331" s="1607"/>
      <c r="AM331" s="1607"/>
      <c r="AN331" s="1607"/>
      <c r="AO331" s="1607"/>
      <c r="AP331" s="1607"/>
      <c r="AQ331" s="1607"/>
      <c r="AR331" s="1607"/>
      <c r="AS331" s="1607"/>
      <c r="AT331" s="1607"/>
      <c r="AU331" s="1607"/>
      <c r="AV331" s="1607"/>
      <c r="AW331" s="1607"/>
      <c r="AX331" s="1607"/>
      <c r="AY331" s="1607"/>
      <c r="AZ331" s="1607"/>
      <c r="BA331" s="1607"/>
      <c r="BB331" s="1607"/>
      <c r="BC331" s="1607"/>
      <c r="BD331" s="1607"/>
      <c r="BE331" s="1607"/>
      <c r="BF331" s="1607"/>
      <c r="BG331" s="1607"/>
      <c r="BH331" s="1607"/>
      <c r="BI331" s="1607"/>
      <c r="BJ331" s="1607"/>
      <c r="BK331" s="1607"/>
      <c r="BL331" s="1607"/>
    </row>
    <row r="332">
      <c r="A332" s="1607"/>
      <c r="B332" s="1607"/>
      <c r="C332" s="1607"/>
      <c r="D332" s="1607"/>
      <c r="E332" s="1607"/>
      <c r="F332" s="1607"/>
      <c r="G332" s="1607"/>
      <c r="H332" s="1607"/>
      <c r="I332" s="1607"/>
      <c r="J332" s="1607"/>
      <c r="K332" s="1607"/>
      <c r="L332" s="1607"/>
      <c r="M332" s="1607"/>
      <c r="N332" s="1607"/>
      <c r="O332" s="1607"/>
      <c r="P332" s="1607"/>
      <c r="Q332" s="1607"/>
      <c r="R332" s="1607"/>
      <c r="S332" s="1607"/>
      <c r="T332" s="1607"/>
      <c r="U332" s="1607"/>
      <c r="V332" s="1607"/>
      <c r="W332" s="1607"/>
      <c r="X332" s="1607"/>
      <c r="Y332" s="1607"/>
      <c r="Z332" s="1607"/>
      <c r="AA332" s="1607"/>
      <c r="AB332" s="1607"/>
      <c r="AC332" s="1607"/>
      <c r="AD332" s="1607"/>
      <c r="AE332" s="1607"/>
      <c r="AF332" s="1607"/>
      <c r="AG332" s="1607"/>
      <c r="AH332" s="1607"/>
      <c r="AI332" s="1607"/>
      <c r="AJ332" s="1607"/>
      <c r="AK332" s="1607"/>
      <c r="AL332" s="1607"/>
      <c r="AM332" s="1607"/>
      <c r="AN332" s="1607"/>
      <c r="AO332" s="1607"/>
      <c r="AP332" s="1607"/>
      <c r="AQ332" s="1607"/>
      <c r="AR332" s="1607"/>
      <c r="AS332" s="1607"/>
      <c r="AT332" s="1607"/>
      <c r="AU332" s="1607"/>
      <c r="AV332" s="1607"/>
      <c r="AW332" s="1607"/>
      <c r="AX332" s="1607"/>
      <c r="AY332" s="1607"/>
      <c r="AZ332" s="1607"/>
      <c r="BA332" s="1607"/>
      <c r="BB332" s="1607"/>
      <c r="BC332" s="1607"/>
      <c r="BD332" s="1607"/>
      <c r="BE332" s="1607"/>
      <c r="BF332" s="1607"/>
      <c r="BG332" s="1607"/>
      <c r="BH332" s="1607"/>
      <c r="BI332" s="1607"/>
      <c r="BJ332" s="1607"/>
      <c r="BK332" s="1607"/>
      <c r="BL332" s="1607"/>
    </row>
    <row r="333">
      <c r="A333" s="1607"/>
      <c r="B333" s="1607"/>
      <c r="C333" s="1607"/>
      <c r="D333" s="1607"/>
      <c r="E333" s="1607"/>
      <c r="F333" s="1607"/>
      <c r="G333" s="1607"/>
      <c r="H333" s="1607"/>
      <c r="I333" s="1607"/>
      <c r="J333" s="1607"/>
      <c r="K333" s="1607"/>
      <c r="L333" s="1607"/>
      <c r="M333" s="1607"/>
      <c r="N333" s="1607"/>
      <c r="O333" s="1607"/>
      <c r="P333" s="1607"/>
      <c r="Q333" s="1607"/>
      <c r="R333" s="1607"/>
      <c r="S333" s="1607"/>
      <c r="T333" s="1607"/>
      <c r="U333" s="1607"/>
      <c r="V333" s="1607"/>
      <c r="W333" s="1607"/>
      <c r="X333" s="1607"/>
      <c r="Y333" s="1607"/>
      <c r="Z333" s="1607"/>
      <c r="AA333" s="1607"/>
      <c r="AB333" s="1607"/>
      <c r="AC333" s="1607"/>
      <c r="AD333" s="1607"/>
      <c r="AE333" s="1607"/>
      <c r="AF333" s="1607"/>
      <c r="AG333" s="1607"/>
      <c r="AH333" s="1607"/>
      <c r="AI333" s="1607"/>
      <c r="AJ333" s="1607"/>
      <c r="AK333" s="1607"/>
      <c r="AL333" s="1607"/>
      <c r="AM333" s="1607"/>
      <c r="AN333" s="1607"/>
      <c r="AO333" s="1607"/>
      <c r="AP333" s="1607"/>
      <c r="AQ333" s="1607"/>
      <c r="AR333" s="1607"/>
      <c r="AS333" s="1607"/>
      <c r="AT333" s="1607"/>
      <c r="AU333" s="1607"/>
      <c r="AV333" s="1607"/>
      <c r="AW333" s="1607"/>
      <c r="AX333" s="1607"/>
      <c r="AY333" s="1607"/>
      <c r="AZ333" s="1607"/>
      <c r="BA333" s="1607"/>
      <c r="BB333" s="1607"/>
      <c r="BC333" s="1607"/>
      <c r="BD333" s="1607"/>
      <c r="BE333" s="1607"/>
      <c r="BF333" s="1607"/>
      <c r="BG333" s="1607"/>
      <c r="BH333" s="1607"/>
      <c r="BI333" s="1607"/>
      <c r="BJ333" s="1607"/>
      <c r="BK333" s="1607"/>
      <c r="BL333" s="1607"/>
    </row>
    <row r="334">
      <c r="A334" s="1607"/>
      <c r="B334" s="1607"/>
      <c r="C334" s="1607"/>
      <c r="D334" s="1607"/>
      <c r="E334" s="1607"/>
      <c r="F334" s="1607"/>
      <c r="G334" s="1607"/>
      <c r="H334" s="1607"/>
      <c r="I334" s="1607"/>
      <c r="J334" s="1607"/>
      <c r="K334" s="1607"/>
      <c r="L334" s="1607"/>
      <c r="M334" s="1607"/>
      <c r="N334" s="1607"/>
      <c r="O334" s="1607"/>
      <c r="P334" s="1607"/>
      <c r="Q334" s="1607"/>
      <c r="R334" s="1607"/>
      <c r="S334" s="1607"/>
      <c r="T334" s="1607"/>
      <c r="U334" s="1607"/>
      <c r="V334" s="1607"/>
      <c r="W334" s="1607"/>
      <c r="X334" s="1607"/>
      <c r="Y334" s="1607"/>
      <c r="Z334" s="1607"/>
      <c r="AA334" s="1607"/>
      <c r="AB334" s="1607"/>
      <c r="AC334" s="1607"/>
      <c r="AD334" s="1607"/>
      <c r="AE334" s="1607"/>
      <c r="AF334" s="1607"/>
      <c r="AG334" s="1607"/>
      <c r="AH334" s="1607"/>
      <c r="AI334" s="1607"/>
      <c r="AJ334" s="1607"/>
      <c r="AK334" s="1607"/>
      <c r="AL334" s="1607"/>
      <c r="AM334" s="1607"/>
      <c r="AN334" s="1607"/>
      <c r="AO334" s="1607"/>
      <c r="AP334" s="1607"/>
      <c r="AQ334" s="1607"/>
      <c r="AR334" s="1607"/>
      <c r="AS334" s="1607"/>
      <c r="AT334" s="1607"/>
      <c r="AU334" s="1607"/>
      <c r="AV334" s="1607"/>
      <c r="AW334" s="1607"/>
      <c r="AX334" s="1607"/>
      <c r="AY334" s="1607"/>
      <c r="AZ334" s="1607"/>
      <c r="BA334" s="1607"/>
      <c r="BB334" s="1607"/>
      <c r="BC334" s="1607"/>
      <c r="BD334" s="1607"/>
      <c r="BE334" s="1607"/>
      <c r="BF334" s="1607"/>
      <c r="BG334" s="1607"/>
      <c r="BH334" s="1607"/>
      <c r="BI334" s="1607"/>
      <c r="BJ334" s="1607"/>
      <c r="BK334" s="1607"/>
      <c r="BL334" s="1607"/>
    </row>
    <row r="335">
      <c r="A335" s="1607"/>
      <c r="B335" s="1607"/>
      <c r="C335" s="1607"/>
      <c r="D335" s="1607"/>
      <c r="E335" s="1607"/>
      <c r="F335" s="1607"/>
      <c r="G335" s="1607"/>
      <c r="H335" s="1607"/>
      <c r="I335" s="1607"/>
      <c r="J335" s="1607"/>
      <c r="K335" s="1607"/>
      <c r="L335" s="1607"/>
      <c r="M335" s="1607"/>
      <c r="N335" s="1607"/>
      <c r="O335" s="1607"/>
      <c r="P335" s="1607"/>
      <c r="Q335" s="1607"/>
      <c r="R335" s="1607"/>
      <c r="S335" s="1607"/>
      <c r="T335" s="1607"/>
      <c r="U335" s="1607"/>
      <c r="V335" s="1607"/>
      <c r="W335" s="1607"/>
      <c r="X335" s="1607"/>
      <c r="Y335" s="1607"/>
      <c r="Z335" s="1607"/>
      <c r="AA335" s="1607"/>
      <c r="AB335" s="1607"/>
      <c r="AC335" s="1607"/>
      <c r="AD335" s="1607"/>
      <c r="AE335" s="1607"/>
      <c r="AF335" s="1607"/>
      <c r="AG335" s="1607"/>
      <c r="AH335" s="1607"/>
      <c r="AI335" s="1607"/>
      <c r="AJ335" s="1607"/>
      <c r="AK335" s="1607"/>
      <c r="AL335" s="1607"/>
      <c r="AM335" s="1607"/>
      <c r="AN335" s="1607"/>
      <c r="AO335" s="1607"/>
      <c r="AP335" s="1607"/>
      <c r="AQ335" s="1607"/>
      <c r="AR335" s="1607"/>
      <c r="AS335" s="1607"/>
      <c r="AT335" s="1607"/>
      <c r="AU335" s="1607"/>
      <c r="AV335" s="1607"/>
      <c r="AW335" s="1607"/>
      <c r="AX335" s="1607"/>
      <c r="AY335" s="1607"/>
      <c r="AZ335" s="1607"/>
      <c r="BA335" s="1607"/>
      <c r="BB335" s="1607"/>
      <c r="BC335" s="1607"/>
      <c r="BD335" s="1607"/>
      <c r="BE335" s="1607"/>
      <c r="BF335" s="1607"/>
      <c r="BG335" s="1607"/>
      <c r="BH335" s="1607"/>
      <c r="BI335" s="1607"/>
      <c r="BJ335" s="1607"/>
      <c r="BK335" s="1607"/>
      <c r="BL335" s="1607"/>
    </row>
    <row r="336">
      <c r="A336" s="1607"/>
      <c r="B336" s="1607"/>
      <c r="C336" s="1607"/>
      <c r="D336" s="1607"/>
      <c r="E336" s="1607"/>
      <c r="F336" s="1607"/>
      <c r="G336" s="1607"/>
      <c r="H336" s="1607"/>
      <c r="I336" s="1607"/>
      <c r="J336" s="1607"/>
      <c r="K336" s="1607"/>
      <c r="L336" s="1607"/>
      <c r="M336" s="1607"/>
      <c r="N336" s="1607"/>
      <c r="O336" s="1607"/>
      <c r="P336" s="1607"/>
      <c r="Q336" s="1607"/>
      <c r="R336" s="1607"/>
      <c r="S336" s="1607"/>
      <c r="T336" s="1607"/>
      <c r="U336" s="1607"/>
      <c r="V336" s="1607"/>
      <c r="W336" s="1607"/>
      <c r="X336" s="1607"/>
      <c r="Y336" s="1607"/>
      <c r="Z336" s="1607"/>
      <c r="AA336" s="1607"/>
      <c r="AB336" s="1607"/>
      <c r="AC336" s="1607"/>
      <c r="AD336" s="1607"/>
      <c r="AE336" s="1607"/>
      <c r="AF336" s="1607"/>
      <c r="AG336" s="1607"/>
      <c r="AH336" s="1607"/>
      <c r="AI336" s="1607"/>
      <c r="AJ336" s="1607"/>
      <c r="AK336" s="1607"/>
      <c r="AL336" s="1607"/>
      <c r="AM336" s="1607"/>
      <c r="AN336" s="1607"/>
      <c r="AO336" s="1607"/>
      <c r="AP336" s="1607"/>
      <c r="AQ336" s="1607"/>
      <c r="AR336" s="1607"/>
      <c r="AS336" s="1607"/>
      <c r="AT336" s="1607"/>
      <c r="AU336" s="1607"/>
      <c r="AV336" s="1607"/>
      <c r="AW336" s="1607"/>
      <c r="AX336" s="1607"/>
      <c r="AY336" s="1607"/>
      <c r="AZ336" s="1607"/>
      <c r="BA336" s="1607"/>
      <c r="BB336" s="1607"/>
      <c r="BC336" s="1607"/>
      <c r="BD336" s="1607"/>
      <c r="BE336" s="1607"/>
      <c r="BF336" s="1607"/>
      <c r="BG336" s="1607"/>
      <c r="BH336" s="1607"/>
      <c r="BI336" s="1607"/>
      <c r="BJ336" s="1607"/>
      <c r="BK336" s="1607"/>
      <c r="BL336" s="1607"/>
    </row>
    <row r="337">
      <c r="A337" s="1607"/>
      <c r="B337" s="1607"/>
      <c r="C337" s="1607"/>
      <c r="D337" s="1607"/>
      <c r="E337" s="1607"/>
      <c r="F337" s="1607"/>
      <c r="G337" s="1607"/>
      <c r="H337" s="1607"/>
      <c r="I337" s="1607"/>
      <c r="J337" s="1607"/>
      <c r="K337" s="1607"/>
      <c r="L337" s="1607"/>
      <c r="M337" s="1607"/>
      <c r="N337" s="1607"/>
      <c r="O337" s="1607"/>
      <c r="P337" s="1607"/>
      <c r="Q337" s="1607"/>
      <c r="R337" s="1607"/>
      <c r="S337" s="1607"/>
      <c r="T337" s="1607"/>
      <c r="U337" s="1607"/>
      <c r="V337" s="1607"/>
      <c r="W337" s="1607"/>
      <c r="X337" s="1607"/>
      <c r="Y337" s="1607"/>
      <c r="Z337" s="1607"/>
      <c r="AA337" s="1607"/>
      <c r="AB337" s="1607"/>
      <c r="AC337" s="1607"/>
      <c r="AD337" s="1607"/>
      <c r="AE337" s="1607"/>
      <c r="AF337" s="1607"/>
      <c r="AG337" s="1607"/>
      <c r="AH337" s="1607"/>
      <c r="AI337" s="1607"/>
      <c r="AJ337" s="1607"/>
      <c r="AK337" s="1607"/>
      <c r="AL337" s="1607"/>
      <c r="AM337" s="1607"/>
      <c r="AN337" s="1607"/>
      <c r="AO337" s="1607"/>
      <c r="AP337" s="1607"/>
      <c r="AQ337" s="1607"/>
      <c r="AR337" s="1607"/>
      <c r="AS337" s="1607"/>
      <c r="AT337" s="1607"/>
      <c r="AU337" s="1607"/>
      <c r="AV337" s="1607"/>
      <c r="AW337" s="1607"/>
      <c r="AX337" s="1607"/>
      <c r="AY337" s="1607"/>
      <c r="AZ337" s="1607"/>
      <c r="BA337" s="1607"/>
      <c r="BB337" s="1607"/>
      <c r="BC337" s="1607"/>
      <c r="BD337" s="1607"/>
      <c r="BE337" s="1607"/>
      <c r="BF337" s="1607"/>
      <c r="BG337" s="1607"/>
      <c r="BH337" s="1607"/>
      <c r="BI337" s="1607"/>
      <c r="BJ337" s="1607"/>
      <c r="BK337" s="1607"/>
      <c r="BL337" s="1607"/>
    </row>
    <row r="338">
      <c r="A338" s="1607"/>
      <c r="B338" s="1607"/>
      <c r="C338" s="1607"/>
      <c r="D338" s="1607"/>
      <c r="E338" s="1607"/>
      <c r="F338" s="1607"/>
      <c r="G338" s="1607"/>
      <c r="H338" s="1607"/>
      <c r="I338" s="1607"/>
      <c r="J338" s="1607"/>
      <c r="K338" s="1607"/>
      <c r="L338" s="1607"/>
      <c r="M338" s="1607"/>
      <c r="N338" s="1607"/>
      <c r="O338" s="1607"/>
      <c r="P338" s="1607"/>
      <c r="Q338" s="1607"/>
      <c r="R338" s="1607"/>
      <c r="S338" s="1607"/>
      <c r="T338" s="1607"/>
      <c r="U338" s="1607"/>
      <c r="V338" s="1607"/>
      <c r="W338" s="1607"/>
      <c r="X338" s="1607"/>
      <c r="Y338" s="1607"/>
      <c r="Z338" s="1607"/>
      <c r="AA338" s="1607"/>
      <c r="AB338" s="1607"/>
      <c r="AC338" s="1607"/>
      <c r="AD338" s="1607"/>
      <c r="AE338" s="1607"/>
      <c r="AF338" s="1607"/>
      <c r="AG338" s="1607"/>
      <c r="AH338" s="1607"/>
      <c r="AI338" s="1607"/>
      <c r="AJ338" s="1607"/>
      <c r="AK338" s="1607"/>
      <c r="AL338" s="1607"/>
      <c r="AM338" s="1607"/>
      <c r="AN338" s="1607"/>
      <c r="AO338" s="1607"/>
      <c r="AP338" s="1607"/>
      <c r="AQ338" s="1607"/>
      <c r="AR338" s="1607"/>
      <c r="AS338" s="1607"/>
      <c r="AT338" s="1607"/>
      <c r="AU338" s="1607"/>
      <c r="AV338" s="1607"/>
      <c r="AW338" s="1607"/>
      <c r="AX338" s="1607"/>
      <c r="AY338" s="1607"/>
      <c r="AZ338" s="1607"/>
      <c r="BA338" s="1607"/>
      <c r="BB338" s="1607"/>
      <c r="BC338" s="1607"/>
      <c r="BD338" s="1607"/>
      <c r="BE338" s="1607"/>
      <c r="BF338" s="1607"/>
      <c r="BG338" s="1607"/>
      <c r="BH338" s="1607"/>
      <c r="BI338" s="1607"/>
      <c r="BJ338" s="1607"/>
      <c r="BK338" s="1607"/>
      <c r="BL338" s="1607"/>
    </row>
    <row r="339">
      <c r="A339" s="1607"/>
      <c r="B339" s="1607"/>
      <c r="C339" s="1607"/>
      <c r="D339" s="1607"/>
      <c r="E339" s="1607"/>
      <c r="F339" s="1607"/>
      <c r="G339" s="1607"/>
      <c r="H339" s="1607"/>
      <c r="I339" s="1607"/>
      <c r="J339" s="1607"/>
      <c r="K339" s="1607"/>
      <c r="L339" s="1607"/>
      <c r="M339" s="1607"/>
      <c r="N339" s="1607"/>
      <c r="O339" s="1607"/>
      <c r="P339" s="1607"/>
      <c r="Q339" s="1607"/>
      <c r="R339" s="1607"/>
      <c r="S339" s="1607"/>
      <c r="T339" s="1607"/>
      <c r="U339" s="1607"/>
      <c r="V339" s="1607"/>
      <c r="W339" s="1607"/>
      <c r="X339" s="1607"/>
      <c r="Y339" s="1607"/>
      <c r="Z339" s="1607"/>
      <c r="AA339" s="1607"/>
      <c r="AB339" s="1607"/>
      <c r="AC339" s="1607"/>
      <c r="AD339" s="1607"/>
      <c r="AE339" s="1607"/>
      <c r="AF339" s="1607"/>
      <c r="AG339" s="1607"/>
      <c r="AH339" s="1607"/>
      <c r="AI339" s="1607"/>
      <c r="AJ339" s="1607"/>
      <c r="AK339" s="1607"/>
      <c r="AL339" s="1607"/>
      <c r="AM339" s="1607"/>
      <c r="AN339" s="1607"/>
      <c r="AO339" s="1607"/>
      <c r="AP339" s="1607"/>
      <c r="AQ339" s="1607"/>
      <c r="AR339" s="1607"/>
      <c r="AS339" s="1607"/>
      <c r="AT339" s="1607"/>
      <c r="AU339" s="1607"/>
      <c r="AV339" s="1607"/>
      <c r="AW339" s="1607"/>
      <c r="AX339" s="1607"/>
      <c r="AY339" s="1607"/>
      <c r="AZ339" s="1607"/>
      <c r="BA339" s="1607"/>
      <c r="BB339" s="1607"/>
      <c r="BC339" s="1607"/>
      <c r="BD339" s="1607"/>
      <c r="BE339" s="1607"/>
      <c r="BF339" s="1607"/>
      <c r="BG339" s="1607"/>
      <c r="BH339" s="1607"/>
      <c r="BI339" s="1607"/>
      <c r="BJ339" s="1607"/>
      <c r="BK339" s="1607"/>
      <c r="BL339" s="1607"/>
    </row>
    <row r="340">
      <c r="A340" s="1607"/>
      <c r="B340" s="1607"/>
      <c r="C340" s="1607"/>
      <c r="D340" s="1607"/>
      <c r="E340" s="1607"/>
      <c r="F340" s="1607"/>
      <c r="G340" s="1607"/>
      <c r="H340" s="1607"/>
      <c r="I340" s="1607"/>
      <c r="J340" s="1607"/>
      <c r="K340" s="1607"/>
      <c r="L340" s="1607"/>
      <c r="M340" s="1607"/>
      <c r="N340" s="1607"/>
      <c r="O340" s="1607"/>
      <c r="P340" s="1607"/>
      <c r="Q340" s="1607"/>
      <c r="R340" s="1607"/>
      <c r="S340" s="1607"/>
      <c r="T340" s="1607"/>
      <c r="U340" s="1607"/>
      <c r="V340" s="1607"/>
      <c r="W340" s="1607"/>
      <c r="X340" s="1607"/>
      <c r="Y340" s="1607"/>
      <c r="Z340" s="1607"/>
      <c r="AA340" s="1607"/>
      <c r="AB340" s="1607"/>
      <c r="AC340" s="1607"/>
      <c r="AD340" s="1607"/>
      <c r="AE340" s="1607"/>
      <c r="AF340" s="1607"/>
      <c r="AG340" s="1607"/>
      <c r="AH340" s="1607"/>
      <c r="AI340" s="1607"/>
      <c r="AJ340" s="1607"/>
      <c r="AK340" s="1607"/>
      <c r="AL340" s="1607"/>
      <c r="AM340" s="1607"/>
      <c r="AN340" s="1607"/>
      <c r="AO340" s="1607"/>
      <c r="AP340" s="1607"/>
      <c r="AQ340" s="1607"/>
      <c r="AR340" s="1607"/>
      <c r="AS340" s="1607"/>
      <c r="AT340" s="1607"/>
      <c r="AU340" s="1607"/>
      <c r="AV340" s="1607"/>
      <c r="AW340" s="1607"/>
      <c r="AX340" s="1607"/>
      <c r="AY340" s="1607"/>
      <c r="AZ340" s="1607"/>
      <c r="BA340" s="1607"/>
      <c r="BB340" s="1607"/>
      <c r="BC340" s="1607"/>
      <c r="BD340" s="1607"/>
      <c r="BE340" s="1607"/>
      <c r="BF340" s="1607"/>
      <c r="BG340" s="1607"/>
      <c r="BH340" s="1607"/>
      <c r="BI340" s="1607"/>
      <c r="BJ340" s="1607"/>
      <c r="BK340" s="1607"/>
      <c r="BL340" s="1607"/>
    </row>
    <row r="341">
      <c r="A341" s="1607"/>
      <c r="B341" s="1607"/>
      <c r="C341" s="1607"/>
      <c r="D341" s="1607"/>
      <c r="E341" s="1607"/>
      <c r="F341" s="1607"/>
      <c r="G341" s="1607"/>
      <c r="H341" s="1607"/>
      <c r="I341" s="1607"/>
      <c r="J341" s="1607"/>
      <c r="K341" s="1607"/>
      <c r="L341" s="1607"/>
      <c r="M341" s="1607"/>
      <c r="N341" s="1607"/>
      <c r="O341" s="1607"/>
      <c r="P341" s="1607"/>
      <c r="Q341" s="1607"/>
      <c r="R341" s="1607"/>
      <c r="S341" s="1607"/>
      <c r="T341" s="1607"/>
      <c r="U341" s="1607"/>
      <c r="V341" s="1607"/>
      <c r="W341" s="1607"/>
      <c r="X341" s="1607"/>
      <c r="Y341" s="1607"/>
      <c r="Z341" s="1607"/>
      <c r="AA341" s="1607"/>
      <c r="AB341" s="1607"/>
      <c r="AC341" s="1607"/>
      <c r="AD341" s="1607"/>
      <c r="AE341" s="1607"/>
      <c r="AF341" s="1607"/>
      <c r="AG341" s="1607"/>
      <c r="AH341" s="1607"/>
      <c r="AI341" s="1607"/>
      <c r="AJ341" s="1607"/>
      <c r="AK341" s="1607"/>
      <c r="AL341" s="1607"/>
      <c r="AM341" s="1607"/>
      <c r="AN341" s="1607"/>
      <c r="AO341" s="1607"/>
      <c r="AP341" s="1607"/>
      <c r="AQ341" s="1607"/>
      <c r="AR341" s="1607"/>
      <c r="AS341" s="1607"/>
      <c r="AT341" s="1607"/>
      <c r="AU341" s="1607"/>
      <c r="AV341" s="1607"/>
      <c r="AW341" s="1607"/>
      <c r="AX341" s="1607"/>
      <c r="AY341" s="1607"/>
      <c r="AZ341" s="1607"/>
      <c r="BA341" s="1607"/>
      <c r="BB341" s="1607"/>
      <c r="BC341" s="1607"/>
      <c r="BD341" s="1607"/>
      <c r="BE341" s="1607"/>
      <c r="BF341" s="1607"/>
      <c r="BG341" s="1607"/>
      <c r="BH341" s="1607"/>
      <c r="BI341" s="1607"/>
      <c r="BJ341" s="1607"/>
      <c r="BK341" s="1607"/>
      <c r="BL341" s="1607"/>
    </row>
    <row r="342">
      <c r="A342" s="1607"/>
      <c r="B342" s="1607"/>
      <c r="C342" s="1607"/>
      <c r="D342" s="1607"/>
      <c r="E342" s="1607"/>
      <c r="F342" s="1607"/>
      <c r="G342" s="1607"/>
      <c r="H342" s="1607"/>
      <c r="I342" s="1607"/>
      <c r="J342" s="1607"/>
      <c r="K342" s="1607"/>
      <c r="L342" s="1607"/>
      <c r="M342" s="1607"/>
      <c r="N342" s="1607"/>
      <c r="O342" s="1607"/>
      <c r="P342" s="1607"/>
      <c r="Q342" s="1607"/>
      <c r="R342" s="1607"/>
      <c r="S342" s="1607"/>
      <c r="T342" s="1607"/>
      <c r="U342" s="1607"/>
      <c r="V342" s="1607"/>
      <c r="W342" s="1607"/>
      <c r="X342" s="1607"/>
      <c r="Y342" s="1607"/>
      <c r="Z342" s="1607"/>
      <c r="AA342" s="1607"/>
      <c r="AB342" s="1607"/>
      <c r="AC342" s="1607"/>
      <c r="AD342" s="1607"/>
      <c r="AE342" s="1607"/>
      <c r="AF342" s="1607"/>
      <c r="AG342" s="1607"/>
      <c r="AH342" s="1607"/>
      <c r="AI342" s="1607"/>
      <c r="AJ342" s="1607"/>
      <c r="AK342" s="1607"/>
      <c r="AL342" s="1607"/>
      <c r="AM342" s="1607"/>
      <c r="AN342" s="1607"/>
      <c r="AO342" s="1607"/>
      <c r="AP342" s="1607"/>
      <c r="AQ342" s="1607"/>
      <c r="AR342" s="1607"/>
      <c r="AS342" s="1607"/>
      <c r="AT342" s="1607"/>
      <c r="AU342" s="1607"/>
      <c r="AV342" s="1607"/>
      <c r="AW342" s="1607"/>
      <c r="AX342" s="1607"/>
      <c r="AY342" s="1607"/>
      <c r="AZ342" s="1607"/>
      <c r="BA342" s="1607"/>
      <c r="BB342" s="1607"/>
      <c r="BC342" s="1607"/>
      <c r="BD342" s="1607"/>
      <c r="BE342" s="1607"/>
      <c r="BF342" s="1607"/>
      <c r="BG342" s="1607"/>
      <c r="BH342" s="1607"/>
      <c r="BI342" s="1607"/>
      <c r="BJ342" s="1607"/>
      <c r="BK342" s="1607"/>
      <c r="BL342" s="1607"/>
    </row>
    <row r="343">
      <c r="A343" s="1607"/>
      <c r="B343" s="1607"/>
      <c r="C343" s="1607"/>
      <c r="D343" s="1607"/>
      <c r="E343" s="1607"/>
      <c r="F343" s="1607"/>
      <c r="G343" s="1607"/>
      <c r="H343" s="1607"/>
      <c r="I343" s="1607"/>
      <c r="J343" s="1607"/>
      <c r="K343" s="1607"/>
      <c r="L343" s="1607"/>
      <c r="M343" s="1607"/>
      <c r="N343" s="1607"/>
      <c r="O343" s="1607"/>
      <c r="P343" s="1607"/>
      <c r="Q343" s="1607"/>
      <c r="R343" s="1607"/>
      <c r="S343" s="1607"/>
      <c r="T343" s="1607"/>
      <c r="U343" s="1607"/>
      <c r="V343" s="1607"/>
      <c r="W343" s="1607"/>
      <c r="X343" s="1607"/>
      <c r="Y343" s="1607"/>
      <c r="Z343" s="1607"/>
      <c r="AA343" s="1607"/>
      <c r="AB343" s="1607"/>
      <c r="AC343" s="1607"/>
      <c r="AD343" s="1607"/>
      <c r="AE343" s="1607"/>
      <c r="AF343" s="1607"/>
      <c r="AG343" s="1607"/>
      <c r="AH343" s="1607"/>
      <c r="AI343" s="1607"/>
      <c r="AJ343" s="1607"/>
      <c r="AK343" s="1607"/>
      <c r="AL343" s="1607"/>
      <c r="AM343" s="1607"/>
      <c r="AN343" s="1607"/>
      <c r="AO343" s="1607"/>
      <c r="AP343" s="1607"/>
      <c r="AQ343" s="1607"/>
      <c r="AR343" s="1607"/>
      <c r="AS343" s="1607"/>
      <c r="AT343" s="1607"/>
      <c r="AU343" s="1607"/>
      <c r="AV343" s="1607"/>
      <c r="AW343" s="1607"/>
      <c r="AX343" s="1607"/>
      <c r="AY343" s="1607"/>
      <c r="AZ343" s="1607"/>
      <c r="BA343" s="1607"/>
      <c r="BB343" s="1607"/>
      <c r="BC343" s="1607"/>
      <c r="BD343" s="1607"/>
      <c r="BE343" s="1607"/>
      <c r="BF343" s="1607"/>
      <c r="BG343" s="1607"/>
      <c r="BH343" s="1607"/>
      <c r="BI343" s="1607"/>
      <c r="BJ343" s="1607"/>
      <c r="BK343" s="1607"/>
      <c r="BL343" s="1607"/>
    </row>
    <row r="344">
      <c r="A344" s="1607"/>
      <c r="B344" s="1607"/>
      <c r="C344" s="1607"/>
      <c r="D344" s="1607"/>
      <c r="E344" s="1607"/>
      <c r="F344" s="1607"/>
      <c r="G344" s="1607"/>
      <c r="H344" s="1607"/>
      <c r="I344" s="1607"/>
      <c r="J344" s="1607"/>
      <c r="K344" s="1607"/>
      <c r="L344" s="1607"/>
      <c r="M344" s="1607"/>
      <c r="N344" s="1607"/>
      <c r="O344" s="1607"/>
      <c r="P344" s="1607"/>
      <c r="Q344" s="1607"/>
      <c r="R344" s="1607"/>
      <c r="S344" s="1607"/>
      <c r="T344" s="1607"/>
      <c r="U344" s="1607"/>
      <c r="V344" s="1607"/>
      <c r="W344" s="1607"/>
      <c r="X344" s="1607"/>
      <c r="Y344" s="1607"/>
      <c r="Z344" s="1607"/>
      <c r="AA344" s="1607"/>
      <c r="AB344" s="1607"/>
      <c r="AC344" s="1607"/>
      <c r="AD344" s="1607"/>
      <c r="AE344" s="1607"/>
      <c r="AF344" s="1607"/>
      <c r="AG344" s="1607"/>
      <c r="AH344" s="1607"/>
      <c r="AI344" s="1607"/>
      <c r="AJ344" s="1607"/>
      <c r="AK344" s="1607"/>
      <c r="AL344" s="1607"/>
      <c r="AM344" s="1607"/>
      <c r="AN344" s="1607"/>
      <c r="AO344" s="1607"/>
      <c r="AP344" s="1607"/>
      <c r="AQ344" s="1607"/>
      <c r="AR344" s="1607"/>
      <c r="AS344" s="1607"/>
      <c r="AT344" s="1607"/>
      <c r="AU344" s="1607"/>
      <c r="AV344" s="1607"/>
      <c r="AW344" s="1607"/>
      <c r="AX344" s="1607"/>
      <c r="AY344" s="1607"/>
      <c r="AZ344" s="1607"/>
      <c r="BA344" s="1607"/>
      <c r="BB344" s="1607"/>
      <c r="BC344" s="1607"/>
      <c r="BD344" s="1607"/>
      <c r="BE344" s="1607"/>
      <c r="BF344" s="1607"/>
      <c r="BG344" s="1607"/>
      <c r="BH344" s="1607"/>
      <c r="BI344" s="1607"/>
      <c r="BJ344" s="1607"/>
      <c r="BK344" s="1607"/>
      <c r="BL344" s="1607"/>
    </row>
    <row r="345">
      <c r="A345" s="1607"/>
      <c r="B345" s="1607"/>
      <c r="C345" s="1607"/>
      <c r="D345" s="1607"/>
      <c r="E345" s="1607"/>
      <c r="F345" s="1607"/>
      <c r="G345" s="1607"/>
      <c r="H345" s="1607"/>
      <c r="I345" s="1607"/>
      <c r="J345" s="1607"/>
      <c r="K345" s="1607"/>
      <c r="L345" s="1607"/>
      <c r="M345" s="1607"/>
      <c r="N345" s="1607"/>
      <c r="O345" s="1607"/>
      <c r="P345" s="1607"/>
      <c r="Q345" s="1607"/>
      <c r="R345" s="1607"/>
      <c r="S345" s="1607"/>
      <c r="T345" s="1607"/>
      <c r="U345" s="1607"/>
      <c r="V345" s="1607"/>
      <c r="W345" s="1607"/>
      <c r="X345" s="1607"/>
      <c r="Y345" s="1607"/>
      <c r="Z345" s="1607"/>
      <c r="AA345" s="1607"/>
      <c r="AB345" s="1607"/>
      <c r="AC345" s="1607"/>
      <c r="AD345" s="1607"/>
      <c r="AE345" s="1607"/>
      <c r="AF345" s="1607"/>
      <c r="AG345" s="1607"/>
      <c r="AH345" s="1607"/>
      <c r="AI345" s="1607"/>
      <c r="AJ345" s="1607"/>
      <c r="AK345" s="1607"/>
      <c r="AL345" s="1607"/>
      <c r="AM345" s="1607"/>
      <c r="AN345" s="1607"/>
      <c r="AO345" s="1607"/>
      <c r="AP345" s="1607"/>
      <c r="AQ345" s="1607"/>
      <c r="AR345" s="1607"/>
      <c r="AS345" s="1607"/>
      <c r="AT345" s="1607"/>
      <c r="AU345" s="1607"/>
      <c r="AV345" s="1607"/>
      <c r="AW345" s="1607"/>
      <c r="AX345" s="1607"/>
      <c r="AY345" s="1607"/>
      <c r="AZ345" s="1607"/>
      <c r="BA345" s="1607"/>
      <c r="BB345" s="1607"/>
      <c r="BC345" s="1607"/>
      <c r="BD345" s="1607"/>
      <c r="BE345" s="1607"/>
      <c r="BF345" s="1607"/>
      <c r="BG345" s="1607"/>
      <c r="BH345" s="1607"/>
      <c r="BI345" s="1607"/>
      <c r="BJ345" s="1607"/>
      <c r="BK345" s="1607"/>
      <c r="BL345" s="1607"/>
    </row>
    <row r="346">
      <c r="A346" s="1607"/>
      <c r="B346" s="1607"/>
      <c r="C346" s="1607"/>
      <c r="D346" s="1607"/>
      <c r="E346" s="1607"/>
      <c r="F346" s="1607"/>
      <c r="G346" s="1607"/>
      <c r="H346" s="1607"/>
      <c r="I346" s="1607"/>
      <c r="J346" s="1607"/>
      <c r="K346" s="1607"/>
      <c r="L346" s="1607"/>
      <c r="M346" s="1607"/>
      <c r="N346" s="1607"/>
      <c r="O346" s="1607"/>
      <c r="P346" s="1607"/>
      <c r="Q346" s="1607"/>
      <c r="R346" s="1607"/>
      <c r="S346" s="1607"/>
      <c r="T346" s="1607"/>
      <c r="U346" s="1607"/>
      <c r="V346" s="1607"/>
      <c r="W346" s="1607"/>
      <c r="X346" s="1607"/>
      <c r="Y346" s="1607"/>
      <c r="Z346" s="1607"/>
      <c r="AA346" s="1607"/>
      <c r="AB346" s="1607"/>
      <c r="AC346" s="1607"/>
      <c r="AD346" s="1607"/>
      <c r="AE346" s="1607"/>
      <c r="AF346" s="1607"/>
      <c r="AG346" s="1607"/>
      <c r="AH346" s="1607"/>
      <c r="AI346" s="1607"/>
      <c r="AJ346" s="1607"/>
      <c r="AK346" s="1607"/>
      <c r="AL346" s="1607"/>
      <c r="AM346" s="1607"/>
      <c r="AN346" s="1607"/>
      <c r="AO346" s="1607"/>
      <c r="AP346" s="1607"/>
      <c r="AQ346" s="1607"/>
      <c r="AR346" s="1607"/>
      <c r="AS346" s="1607"/>
      <c r="AT346" s="1607"/>
      <c r="AU346" s="1607"/>
      <c r="AV346" s="1607"/>
      <c r="AW346" s="1607"/>
      <c r="AX346" s="1607"/>
      <c r="AY346" s="1607"/>
      <c r="AZ346" s="1607"/>
      <c r="BA346" s="1607"/>
      <c r="BB346" s="1607"/>
      <c r="BC346" s="1607"/>
      <c r="BD346" s="1607"/>
      <c r="BE346" s="1607"/>
      <c r="BF346" s="1607"/>
      <c r="BG346" s="1607"/>
      <c r="BH346" s="1607"/>
      <c r="BI346" s="1607"/>
      <c r="BJ346" s="1607"/>
      <c r="BK346" s="1607"/>
      <c r="BL346" s="1607"/>
    </row>
    <row r="347">
      <c r="A347" s="1607"/>
      <c r="B347" s="1607"/>
      <c r="C347" s="1607"/>
      <c r="D347" s="1607"/>
      <c r="E347" s="1607"/>
      <c r="F347" s="1607"/>
      <c r="G347" s="1607"/>
      <c r="H347" s="1607"/>
      <c r="I347" s="1607"/>
      <c r="J347" s="1607"/>
      <c r="K347" s="1607"/>
      <c r="L347" s="1607"/>
      <c r="M347" s="1607"/>
      <c r="N347" s="1607"/>
      <c r="O347" s="1607"/>
      <c r="P347" s="1607"/>
      <c r="Q347" s="1607"/>
      <c r="R347" s="1607"/>
      <c r="S347" s="1607"/>
      <c r="T347" s="1607"/>
      <c r="U347" s="1607"/>
      <c r="V347" s="1607"/>
      <c r="W347" s="1607"/>
      <c r="X347" s="1607"/>
      <c r="Y347" s="1607"/>
      <c r="Z347" s="1607"/>
      <c r="AA347" s="1607"/>
      <c r="AB347" s="1607"/>
      <c r="AC347" s="1607"/>
      <c r="AD347" s="1607"/>
      <c r="AE347" s="1607"/>
      <c r="AF347" s="1607"/>
      <c r="AG347" s="1607"/>
      <c r="AH347" s="1607"/>
      <c r="AI347" s="1607"/>
      <c r="AJ347" s="1607"/>
      <c r="AK347" s="1607"/>
      <c r="AL347" s="1607"/>
      <c r="AM347" s="1607"/>
      <c r="AN347" s="1607"/>
      <c r="AO347" s="1607"/>
      <c r="AP347" s="1607"/>
      <c r="AQ347" s="1607"/>
      <c r="AR347" s="1607"/>
      <c r="AS347" s="1607"/>
      <c r="AT347" s="1607"/>
      <c r="AU347" s="1607"/>
      <c r="AV347" s="1607"/>
      <c r="AW347" s="1607"/>
      <c r="AX347" s="1607"/>
      <c r="AY347" s="1607"/>
      <c r="AZ347" s="1607"/>
      <c r="BA347" s="1607"/>
      <c r="BB347" s="1607"/>
      <c r="BC347" s="1607"/>
      <c r="BD347" s="1607"/>
      <c r="BE347" s="1607"/>
      <c r="BF347" s="1607"/>
      <c r="BG347" s="1607"/>
      <c r="BH347" s="1607"/>
      <c r="BI347" s="1607"/>
      <c r="BJ347" s="1607"/>
      <c r="BK347" s="1607"/>
      <c r="BL347" s="1607"/>
    </row>
    <row r="348">
      <c r="A348" s="1607"/>
      <c r="B348" s="1607"/>
      <c r="C348" s="1607"/>
      <c r="D348" s="1607"/>
      <c r="E348" s="1607"/>
      <c r="F348" s="1607"/>
      <c r="G348" s="1607"/>
      <c r="H348" s="1607"/>
      <c r="I348" s="1607"/>
      <c r="J348" s="1607"/>
      <c r="K348" s="1607"/>
      <c r="L348" s="1607"/>
      <c r="M348" s="1607"/>
      <c r="N348" s="1607"/>
      <c r="O348" s="1607"/>
      <c r="P348" s="1607"/>
      <c r="Q348" s="1607"/>
      <c r="R348" s="1607"/>
      <c r="S348" s="1607"/>
      <c r="T348" s="1607"/>
      <c r="U348" s="1607"/>
      <c r="V348" s="1607"/>
      <c r="W348" s="1607"/>
      <c r="X348" s="1607"/>
      <c r="Y348" s="1607"/>
      <c r="Z348" s="1607"/>
      <c r="AA348" s="1607"/>
      <c r="AB348" s="1607"/>
      <c r="AC348" s="1607"/>
      <c r="AD348" s="1607"/>
      <c r="AE348" s="1607"/>
      <c r="AF348" s="1607"/>
      <c r="AG348" s="1607"/>
      <c r="AH348" s="1607"/>
      <c r="AI348" s="1607"/>
      <c r="AJ348" s="1607"/>
      <c r="AK348" s="1607"/>
      <c r="AL348" s="1607"/>
      <c r="AM348" s="1607"/>
      <c r="AN348" s="1607"/>
      <c r="AO348" s="1607"/>
      <c r="AP348" s="1607"/>
      <c r="AQ348" s="1607"/>
      <c r="AR348" s="1607"/>
      <c r="AS348" s="1607"/>
      <c r="AT348" s="1607"/>
      <c r="AU348" s="1607"/>
      <c r="AV348" s="1607"/>
      <c r="AW348" s="1607"/>
      <c r="AX348" s="1607"/>
      <c r="AY348" s="1607"/>
      <c r="AZ348" s="1607"/>
      <c r="BA348" s="1607"/>
      <c r="BB348" s="1607"/>
      <c r="BC348" s="1607"/>
      <c r="BD348" s="1607"/>
      <c r="BE348" s="1607"/>
      <c r="BF348" s="1607"/>
      <c r="BG348" s="1607"/>
      <c r="BH348" s="1607"/>
      <c r="BI348" s="1607"/>
      <c r="BJ348" s="1607"/>
      <c r="BK348" s="1607"/>
      <c r="BL348" s="1607"/>
    </row>
    <row r="349">
      <c r="A349" s="1607"/>
      <c r="B349" s="1607"/>
      <c r="C349" s="1607"/>
      <c r="D349" s="1607"/>
      <c r="E349" s="1607"/>
      <c r="F349" s="1607"/>
      <c r="G349" s="1607"/>
      <c r="H349" s="1607"/>
      <c r="I349" s="1607"/>
      <c r="J349" s="1607"/>
      <c r="K349" s="1607"/>
      <c r="L349" s="1607"/>
      <c r="M349" s="1607"/>
      <c r="N349" s="1607"/>
      <c r="O349" s="1607"/>
      <c r="P349" s="1607"/>
      <c r="Q349" s="1607"/>
      <c r="R349" s="1607"/>
      <c r="S349" s="1607"/>
      <c r="T349" s="1607"/>
      <c r="U349" s="1607"/>
      <c r="V349" s="1607"/>
      <c r="W349" s="1607"/>
      <c r="X349" s="1607"/>
      <c r="Y349" s="1607"/>
      <c r="Z349" s="1607"/>
      <c r="AA349" s="1607"/>
      <c r="AB349" s="1607"/>
      <c r="AC349" s="1607"/>
      <c r="AD349" s="1607"/>
      <c r="AE349" s="1607"/>
      <c r="AF349" s="1607"/>
      <c r="AG349" s="1607"/>
      <c r="AH349" s="1607"/>
      <c r="AI349" s="1607"/>
      <c r="AJ349" s="1607"/>
      <c r="AK349" s="1607"/>
      <c r="AL349" s="1607"/>
      <c r="AM349" s="1607"/>
      <c r="AN349" s="1607"/>
      <c r="AO349" s="1607"/>
      <c r="AP349" s="1607"/>
      <c r="AQ349" s="1607"/>
      <c r="AR349" s="1607"/>
      <c r="AS349" s="1607"/>
      <c r="AT349" s="1607"/>
      <c r="AU349" s="1607"/>
      <c r="AV349" s="1607"/>
      <c r="AW349" s="1607"/>
      <c r="AX349" s="1607"/>
      <c r="AY349" s="1607"/>
      <c r="AZ349" s="1607"/>
      <c r="BA349" s="1607"/>
      <c r="BB349" s="1607"/>
      <c r="BC349" s="1607"/>
      <c r="BD349" s="1607"/>
      <c r="BE349" s="1607"/>
      <c r="BF349" s="1607"/>
      <c r="BG349" s="1607"/>
      <c r="BH349" s="1607"/>
      <c r="BI349" s="1607"/>
      <c r="BJ349" s="1607"/>
      <c r="BK349" s="1607"/>
      <c r="BL349" s="1607"/>
    </row>
    <row r="350">
      <c r="A350" s="1607"/>
      <c r="B350" s="1607"/>
      <c r="C350" s="1607"/>
      <c r="D350" s="1607"/>
      <c r="E350" s="1607"/>
      <c r="F350" s="1607"/>
      <c r="G350" s="1607"/>
      <c r="H350" s="1607"/>
      <c r="I350" s="1607"/>
      <c r="J350" s="1607"/>
      <c r="K350" s="1607"/>
      <c r="L350" s="1607"/>
      <c r="M350" s="1607"/>
      <c r="N350" s="1607"/>
      <c r="O350" s="1607"/>
      <c r="P350" s="1607"/>
      <c r="Q350" s="1607"/>
      <c r="R350" s="1607"/>
      <c r="S350" s="1607"/>
      <c r="T350" s="1607"/>
      <c r="U350" s="1607"/>
      <c r="V350" s="1607"/>
      <c r="W350" s="1607"/>
      <c r="X350" s="1607"/>
      <c r="Y350" s="1607"/>
      <c r="Z350" s="1607"/>
      <c r="AA350" s="1607"/>
      <c r="AB350" s="1607"/>
      <c r="AC350" s="1607"/>
      <c r="AD350" s="1607"/>
      <c r="AE350" s="1607"/>
      <c r="AF350" s="1607"/>
      <c r="AG350" s="1607"/>
      <c r="AH350" s="1607"/>
      <c r="AI350" s="1607"/>
      <c r="AJ350" s="1607"/>
      <c r="AK350" s="1607"/>
      <c r="AL350" s="1607"/>
      <c r="AM350" s="1607"/>
      <c r="AN350" s="1607"/>
      <c r="AO350" s="1607"/>
      <c r="AP350" s="1607"/>
      <c r="AQ350" s="1607"/>
      <c r="AR350" s="1607"/>
      <c r="AS350" s="1607"/>
      <c r="AT350" s="1607"/>
      <c r="AU350" s="1607"/>
      <c r="AV350" s="1607"/>
      <c r="AW350" s="1607"/>
      <c r="AX350" s="1607"/>
      <c r="AY350" s="1607"/>
      <c r="AZ350" s="1607"/>
      <c r="BA350" s="1607"/>
      <c r="BB350" s="1607"/>
      <c r="BC350" s="1607"/>
      <c r="BD350" s="1607"/>
      <c r="BE350" s="1607"/>
      <c r="BF350" s="1607"/>
      <c r="BG350" s="1607"/>
      <c r="BH350" s="1607"/>
      <c r="BI350" s="1607"/>
      <c r="BJ350" s="1607"/>
      <c r="BK350" s="1607"/>
      <c r="BL350" s="1607"/>
    </row>
    <row r="351">
      <c r="A351" s="1607"/>
      <c r="B351" s="1607"/>
      <c r="C351" s="1607"/>
      <c r="D351" s="1607"/>
      <c r="E351" s="1607"/>
      <c r="F351" s="1607"/>
      <c r="G351" s="1607"/>
      <c r="H351" s="1607"/>
      <c r="I351" s="1607"/>
      <c r="J351" s="1607"/>
      <c r="K351" s="1607"/>
      <c r="L351" s="1607"/>
      <c r="M351" s="1607"/>
      <c r="N351" s="1607"/>
      <c r="O351" s="1607"/>
      <c r="P351" s="1607"/>
      <c r="Q351" s="1607"/>
      <c r="R351" s="1607"/>
      <c r="S351" s="1607"/>
      <c r="T351" s="1607"/>
      <c r="U351" s="1607"/>
      <c r="V351" s="1607"/>
      <c r="W351" s="1607"/>
      <c r="X351" s="1607"/>
      <c r="Y351" s="1607"/>
      <c r="Z351" s="1607"/>
      <c r="AA351" s="1607"/>
      <c r="AB351" s="1607"/>
      <c r="AC351" s="1607"/>
      <c r="AD351" s="1607"/>
      <c r="AE351" s="1607"/>
      <c r="AF351" s="1607"/>
      <c r="AG351" s="1607"/>
      <c r="AH351" s="1607"/>
      <c r="AI351" s="1607"/>
      <c r="AJ351" s="1607"/>
      <c r="AK351" s="1607"/>
      <c r="AL351" s="1607"/>
      <c r="AM351" s="1607"/>
      <c r="AN351" s="1607"/>
      <c r="AO351" s="1607"/>
      <c r="AP351" s="1607"/>
      <c r="AQ351" s="1607"/>
      <c r="AR351" s="1607"/>
      <c r="AS351" s="1607"/>
      <c r="AT351" s="1607"/>
      <c r="AU351" s="1607"/>
      <c r="AV351" s="1607"/>
      <c r="AW351" s="1607"/>
      <c r="AX351" s="1607"/>
      <c r="AY351" s="1607"/>
      <c r="AZ351" s="1607"/>
      <c r="BA351" s="1607"/>
      <c r="BB351" s="1607"/>
      <c r="BC351" s="1607"/>
      <c r="BD351" s="1607"/>
      <c r="BE351" s="1607"/>
      <c r="BF351" s="1607"/>
      <c r="BG351" s="1607"/>
      <c r="BH351" s="1607"/>
      <c r="BI351" s="1607"/>
      <c r="BJ351" s="1607"/>
      <c r="BK351" s="1607"/>
      <c r="BL351" s="1607"/>
    </row>
    <row r="352">
      <c r="A352" s="1607"/>
      <c r="B352" s="1607"/>
      <c r="C352" s="1607"/>
      <c r="D352" s="1607"/>
      <c r="E352" s="1607"/>
      <c r="F352" s="1607"/>
      <c r="G352" s="1607"/>
      <c r="H352" s="1607"/>
      <c r="I352" s="1607"/>
      <c r="J352" s="1607"/>
      <c r="K352" s="1607"/>
      <c r="L352" s="1607"/>
      <c r="M352" s="1607"/>
      <c r="N352" s="1607"/>
      <c r="O352" s="1607"/>
      <c r="P352" s="1607"/>
      <c r="Q352" s="1607"/>
      <c r="R352" s="1607"/>
      <c r="S352" s="1607"/>
      <c r="T352" s="1607"/>
      <c r="U352" s="1607"/>
      <c r="V352" s="1607"/>
      <c r="W352" s="1607"/>
      <c r="X352" s="1607"/>
      <c r="Y352" s="1607"/>
      <c r="Z352" s="1607"/>
      <c r="AA352" s="1607"/>
      <c r="AB352" s="1607"/>
      <c r="AC352" s="1607"/>
      <c r="AD352" s="1607"/>
      <c r="AE352" s="1607"/>
      <c r="AF352" s="1607"/>
      <c r="AG352" s="1607"/>
      <c r="AH352" s="1607"/>
      <c r="AI352" s="1607"/>
      <c r="AJ352" s="1607"/>
      <c r="AK352" s="1607"/>
      <c r="AL352" s="1607"/>
      <c r="AM352" s="1607"/>
      <c r="AN352" s="1607"/>
      <c r="AO352" s="1607"/>
      <c r="AP352" s="1607"/>
      <c r="AQ352" s="1607"/>
      <c r="AR352" s="1607"/>
      <c r="AS352" s="1607"/>
      <c r="AT352" s="1607"/>
      <c r="AU352" s="1607"/>
      <c r="AV352" s="1607"/>
      <c r="AW352" s="1607"/>
      <c r="AX352" s="1607"/>
      <c r="AY352" s="1607"/>
      <c r="AZ352" s="1607"/>
      <c r="BA352" s="1607"/>
      <c r="BB352" s="1607"/>
      <c r="BC352" s="1607"/>
      <c r="BD352" s="1607"/>
      <c r="BE352" s="1607"/>
      <c r="BF352" s="1607"/>
      <c r="BG352" s="1607"/>
      <c r="BH352" s="1607"/>
      <c r="BI352" s="1607"/>
      <c r="BJ352" s="1607"/>
      <c r="BK352" s="1607"/>
      <c r="BL352" s="1607"/>
    </row>
    <row r="353">
      <c r="A353" s="1607"/>
      <c r="B353" s="1607"/>
      <c r="C353" s="1607"/>
      <c r="D353" s="1607"/>
      <c r="E353" s="1607"/>
      <c r="F353" s="1607"/>
      <c r="G353" s="1607"/>
      <c r="H353" s="1607"/>
      <c r="I353" s="1607"/>
      <c r="J353" s="1607"/>
      <c r="K353" s="1607"/>
      <c r="L353" s="1607"/>
      <c r="M353" s="1607"/>
      <c r="N353" s="1607"/>
      <c r="O353" s="1607"/>
      <c r="P353" s="1607"/>
      <c r="Q353" s="1607"/>
      <c r="R353" s="1607"/>
      <c r="S353" s="1607"/>
      <c r="T353" s="1607"/>
      <c r="U353" s="1607"/>
      <c r="V353" s="1607"/>
      <c r="W353" s="1607"/>
      <c r="X353" s="1607"/>
      <c r="Y353" s="1607"/>
      <c r="Z353" s="1607"/>
      <c r="AA353" s="1607"/>
      <c r="AB353" s="1607"/>
      <c r="AC353" s="1607"/>
      <c r="AD353" s="1607"/>
      <c r="AE353" s="1607"/>
      <c r="AF353" s="1607"/>
      <c r="AG353" s="1607"/>
      <c r="AH353" s="1607"/>
      <c r="AI353" s="1607"/>
      <c r="AJ353" s="1607"/>
      <c r="AK353" s="1607"/>
      <c r="AL353" s="1607"/>
      <c r="AM353" s="1607"/>
      <c r="AN353" s="1607"/>
      <c r="AO353" s="1607"/>
      <c r="AP353" s="1607"/>
      <c r="AQ353" s="1607"/>
      <c r="AR353" s="1607"/>
      <c r="AS353" s="1607"/>
      <c r="AT353" s="1607"/>
      <c r="AU353" s="1607"/>
      <c r="AV353" s="1607"/>
      <c r="AW353" s="1607"/>
      <c r="AX353" s="1607"/>
      <c r="AY353" s="1607"/>
      <c r="AZ353" s="1607"/>
      <c r="BA353" s="1607"/>
      <c r="BB353" s="1607"/>
      <c r="BC353" s="1607"/>
      <c r="BD353" s="1607"/>
      <c r="BE353" s="1607"/>
      <c r="BF353" s="1607"/>
      <c r="BG353" s="1607"/>
      <c r="BH353" s="1607"/>
      <c r="BI353" s="1607"/>
      <c r="BJ353" s="1607"/>
      <c r="BK353" s="1607"/>
      <c r="BL353" s="1607"/>
    </row>
    <row r="354">
      <c r="A354" s="1607"/>
      <c r="B354" s="1607"/>
      <c r="C354" s="1607"/>
      <c r="D354" s="1607"/>
      <c r="E354" s="1607"/>
      <c r="F354" s="1607"/>
      <c r="G354" s="1607"/>
      <c r="H354" s="1607"/>
      <c r="I354" s="1607"/>
      <c r="J354" s="1607"/>
      <c r="K354" s="1607"/>
      <c r="L354" s="1607"/>
      <c r="M354" s="1607"/>
      <c r="N354" s="1607"/>
      <c r="O354" s="1607"/>
      <c r="P354" s="1607"/>
      <c r="Q354" s="1607"/>
      <c r="R354" s="1607"/>
      <c r="S354" s="1607"/>
      <c r="T354" s="1607"/>
      <c r="U354" s="1607"/>
      <c r="V354" s="1607"/>
      <c r="W354" s="1607"/>
      <c r="X354" s="1607"/>
      <c r="Y354" s="1607"/>
      <c r="Z354" s="1607"/>
      <c r="AA354" s="1607"/>
      <c r="AB354" s="1607"/>
      <c r="AC354" s="1607"/>
      <c r="AD354" s="1607"/>
      <c r="AE354" s="1607"/>
      <c r="AF354" s="1607"/>
      <c r="AG354" s="1607"/>
      <c r="AH354" s="1607"/>
      <c r="AI354" s="1607"/>
      <c r="AJ354" s="1607"/>
      <c r="AK354" s="1607"/>
      <c r="AL354" s="1607"/>
      <c r="AM354" s="1607"/>
      <c r="AN354" s="1607"/>
      <c r="AO354" s="1607"/>
      <c r="AP354" s="1607"/>
      <c r="AQ354" s="1607"/>
      <c r="AR354" s="1607"/>
      <c r="AS354" s="1607"/>
      <c r="AT354" s="1607"/>
      <c r="AU354" s="1607"/>
      <c r="AV354" s="1607"/>
      <c r="AW354" s="1607"/>
      <c r="AX354" s="1607"/>
      <c r="AY354" s="1607"/>
      <c r="AZ354" s="1607"/>
      <c r="BA354" s="1607"/>
      <c r="BB354" s="1607"/>
      <c r="BC354" s="1607"/>
      <c r="BD354" s="1607"/>
      <c r="BE354" s="1607"/>
      <c r="BF354" s="1607"/>
      <c r="BG354" s="1607"/>
      <c r="BH354" s="1607"/>
      <c r="BI354" s="1607"/>
      <c r="BJ354" s="1607"/>
      <c r="BK354" s="1607"/>
      <c r="BL354" s="1607"/>
    </row>
    <row r="355">
      <c r="A355" s="1607"/>
      <c r="B355" s="1607"/>
      <c r="C355" s="1607"/>
      <c r="D355" s="1607"/>
      <c r="E355" s="1607"/>
      <c r="F355" s="1607"/>
      <c r="G355" s="1607"/>
      <c r="H355" s="1607"/>
      <c r="I355" s="1607"/>
      <c r="J355" s="1607"/>
      <c r="K355" s="1607"/>
      <c r="L355" s="1607"/>
      <c r="M355" s="1607"/>
      <c r="N355" s="1607"/>
      <c r="O355" s="1607"/>
      <c r="P355" s="1607"/>
      <c r="Q355" s="1607"/>
      <c r="R355" s="1607"/>
      <c r="S355" s="1607"/>
      <c r="T355" s="1607"/>
      <c r="U355" s="1607"/>
      <c r="V355" s="1607"/>
      <c r="W355" s="1607"/>
      <c r="X355" s="1607"/>
      <c r="Y355" s="1607"/>
      <c r="Z355" s="1607"/>
      <c r="AA355" s="1607"/>
      <c r="AB355" s="1607"/>
      <c r="AC355" s="1607"/>
      <c r="AD355" s="1607"/>
      <c r="AE355" s="1607"/>
      <c r="AF355" s="1607"/>
      <c r="AG355" s="1607"/>
      <c r="AH355" s="1607"/>
      <c r="AI355" s="1607"/>
      <c r="AJ355" s="1607"/>
      <c r="AK355" s="1607"/>
      <c r="AL355" s="1607"/>
      <c r="AM355" s="1607"/>
      <c r="AN355" s="1607"/>
      <c r="AO355" s="1607"/>
      <c r="AP355" s="1607"/>
      <c r="AQ355" s="1607"/>
      <c r="AR355" s="1607"/>
      <c r="AS355" s="1607"/>
      <c r="AT355" s="1607"/>
      <c r="AU355" s="1607"/>
      <c r="AV355" s="1607"/>
      <c r="AW355" s="1607"/>
      <c r="AX355" s="1607"/>
      <c r="AY355" s="1607"/>
      <c r="AZ355" s="1607"/>
      <c r="BA355" s="1607"/>
      <c r="BB355" s="1607"/>
      <c r="BC355" s="1607"/>
      <c r="BD355" s="1607"/>
      <c r="BE355" s="1607"/>
      <c r="BF355" s="1607"/>
      <c r="BG355" s="1607"/>
      <c r="BH355" s="1607"/>
      <c r="BI355" s="1607"/>
      <c r="BJ355" s="1607"/>
      <c r="BK355" s="1607"/>
      <c r="BL355" s="1607"/>
    </row>
    <row r="356">
      <c r="A356" s="1607"/>
      <c r="B356" s="1607"/>
      <c r="C356" s="1607"/>
      <c r="D356" s="1607"/>
      <c r="E356" s="1607"/>
      <c r="F356" s="1607"/>
      <c r="G356" s="1607"/>
      <c r="H356" s="1607"/>
      <c r="I356" s="1607"/>
      <c r="J356" s="1607"/>
      <c r="K356" s="1607"/>
      <c r="L356" s="1607"/>
      <c r="M356" s="1607"/>
      <c r="N356" s="1607"/>
      <c r="O356" s="1607"/>
      <c r="P356" s="1607"/>
      <c r="Q356" s="1607"/>
      <c r="R356" s="1607"/>
      <c r="S356" s="1607"/>
      <c r="T356" s="1607"/>
      <c r="U356" s="1607"/>
      <c r="V356" s="1607"/>
      <c r="W356" s="1607"/>
      <c r="X356" s="1607"/>
      <c r="Y356" s="1607"/>
      <c r="Z356" s="1607"/>
      <c r="AA356" s="1607"/>
      <c r="AB356" s="1607"/>
      <c r="AC356" s="1607"/>
      <c r="AD356" s="1607"/>
      <c r="AE356" s="1607"/>
      <c r="AF356" s="1607"/>
      <c r="AG356" s="1607"/>
      <c r="AH356" s="1607"/>
      <c r="AI356" s="1607"/>
      <c r="AJ356" s="1607"/>
      <c r="AK356" s="1607"/>
      <c r="AL356" s="1607"/>
      <c r="AM356" s="1607"/>
      <c r="AN356" s="1607"/>
      <c r="AO356" s="1607"/>
      <c r="AP356" s="1607"/>
      <c r="AQ356" s="1607"/>
      <c r="AR356" s="1607"/>
      <c r="AS356" s="1607"/>
      <c r="AT356" s="1607"/>
      <c r="AU356" s="1607"/>
      <c r="AV356" s="1607"/>
      <c r="AW356" s="1607"/>
      <c r="AX356" s="1607"/>
      <c r="AY356" s="1607"/>
      <c r="AZ356" s="1607"/>
      <c r="BA356" s="1607"/>
      <c r="BB356" s="1607"/>
      <c r="BC356" s="1607"/>
      <c r="BD356" s="1607"/>
      <c r="BE356" s="1607"/>
      <c r="BF356" s="1607"/>
      <c r="BG356" s="1607"/>
      <c r="BH356" s="1607"/>
      <c r="BI356" s="1607"/>
      <c r="BJ356" s="1607"/>
      <c r="BK356" s="1607"/>
      <c r="BL356" s="1607"/>
    </row>
    <row r="357">
      <c r="A357" s="1607"/>
      <c r="B357" s="1607"/>
      <c r="C357" s="1607"/>
      <c r="D357" s="1607"/>
      <c r="E357" s="1607"/>
      <c r="F357" s="1607"/>
      <c r="G357" s="1607"/>
      <c r="H357" s="1607"/>
      <c r="I357" s="1607"/>
      <c r="J357" s="1607"/>
      <c r="K357" s="1607"/>
      <c r="L357" s="1607"/>
      <c r="M357" s="1607"/>
      <c r="N357" s="1607"/>
      <c r="O357" s="1607"/>
      <c r="P357" s="1607"/>
      <c r="Q357" s="1607"/>
      <c r="R357" s="1607"/>
      <c r="S357" s="1607"/>
      <c r="T357" s="1607"/>
      <c r="U357" s="1607"/>
      <c r="V357" s="1607"/>
      <c r="W357" s="1607"/>
      <c r="X357" s="1607"/>
      <c r="Y357" s="1607"/>
      <c r="Z357" s="1607"/>
      <c r="AA357" s="1607"/>
      <c r="AB357" s="1607"/>
      <c r="AC357" s="1607"/>
      <c r="AD357" s="1607"/>
      <c r="AE357" s="1607"/>
      <c r="AF357" s="1607"/>
      <c r="AG357" s="1607"/>
      <c r="AH357" s="1607"/>
      <c r="AI357" s="1607"/>
      <c r="AJ357" s="1607"/>
      <c r="AK357" s="1607"/>
      <c r="AL357" s="1607"/>
      <c r="AM357" s="1607"/>
      <c r="AN357" s="1607"/>
      <c r="AO357" s="1607"/>
      <c r="AP357" s="1607"/>
      <c r="AQ357" s="1607"/>
      <c r="AR357" s="1607"/>
      <c r="AS357" s="1607"/>
      <c r="AT357" s="1607"/>
      <c r="AU357" s="1607"/>
      <c r="AV357" s="1607"/>
      <c r="AW357" s="1607"/>
      <c r="AX357" s="1607"/>
      <c r="AY357" s="1607"/>
      <c r="AZ357" s="1607"/>
      <c r="BA357" s="1607"/>
      <c r="BB357" s="1607"/>
      <c r="BC357" s="1607"/>
      <c r="BD357" s="1607"/>
      <c r="BE357" s="1607"/>
      <c r="BF357" s="1607"/>
      <c r="BG357" s="1607"/>
      <c r="BH357" s="1607"/>
      <c r="BI357" s="1607"/>
      <c r="BJ357" s="1607"/>
      <c r="BK357" s="1607"/>
      <c r="BL357" s="1607"/>
    </row>
    <row r="358">
      <c r="A358" s="1607"/>
      <c r="B358" s="1607"/>
      <c r="C358" s="1607"/>
      <c r="D358" s="1607"/>
      <c r="E358" s="1607"/>
      <c r="F358" s="1607"/>
      <c r="G358" s="1607"/>
      <c r="H358" s="1607"/>
      <c r="I358" s="1607"/>
      <c r="J358" s="1607"/>
      <c r="K358" s="1607"/>
      <c r="L358" s="1607"/>
      <c r="M358" s="1607"/>
      <c r="N358" s="1607"/>
      <c r="O358" s="1607"/>
      <c r="P358" s="1607"/>
      <c r="Q358" s="1607"/>
      <c r="R358" s="1607"/>
      <c r="S358" s="1607"/>
      <c r="T358" s="1607"/>
      <c r="U358" s="1607"/>
      <c r="V358" s="1607"/>
      <c r="W358" s="1607"/>
      <c r="X358" s="1607"/>
      <c r="Y358" s="1607"/>
      <c r="Z358" s="1607"/>
      <c r="AA358" s="1607"/>
      <c r="AB358" s="1607"/>
      <c r="AC358" s="1607"/>
      <c r="AD358" s="1607"/>
      <c r="AE358" s="1607"/>
      <c r="AF358" s="1607"/>
      <c r="AG358" s="1607"/>
      <c r="AH358" s="1607"/>
      <c r="AI358" s="1607"/>
      <c r="AJ358" s="1607"/>
      <c r="AK358" s="1607"/>
      <c r="AL358" s="1607"/>
      <c r="AM358" s="1607"/>
      <c r="AN358" s="1607"/>
      <c r="AO358" s="1607"/>
      <c r="AP358" s="1607"/>
      <c r="AQ358" s="1607"/>
      <c r="AR358" s="1607"/>
      <c r="AS358" s="1607"/>
      <c r="AT358" s="1607"/>
      <c r="AU358" s="1607"/>
      <c r="AV358" s="1607"/>
      <c r="AW358" s="1607"/>
      <c r="AX358" s="1607"/>
      <c r="AY358" s="1607"/>
      <c r="AZ358" s="1607"/>
      <c r="BA358" s="1607"/>
      <c r="BB358" s="1607"/>
      <c r="BC358" s="1607"/>
      <c r="BD358" s="1607"/>
      <c r="BE358" s="1607"/>
      <c r="BF358" s="1607"/>
      <c r="BG358" s="1607"/>
      <c r="BH358" s="1607"/>
      <c r="BI358" s="1607"/>
      <c r="BJ358" s="1607"/>
      <c r="BK358" s="1607"/>
      <c r="BL358" s="1607"/>
    </row>
    <row r="359">
      <c r="A359" s="1607"/>
      <c r="B359" s="1607"/>
      <c r="C359" s="1607"/>
      <c r="D359" s="1607"/>
      <c r="E359" s="1607"/>
      <c r="F359" s="1607"/>
      <c r="G359" s="1607"/>
      <c r="H359" s="1607"/>
      <c r="I359" s="1607"/>
      <c r="J359" s="1607"/>
      <c r="K359" s="1607"/>
      <c r="L359" s="1607"/>
      <c r="M359" s="1607"/>
      <c r="N359" s="1607"/>
      <c r="O359" s="1607"/>
      <c r="P359" s="1607"/>
      <c r="Q359" s="1607"/>
      <c r="R359" s="1607"/>
      <c r="S359" s="1607"/>
      <c r="T359" s="1607"/>
      <c r="U359" s="1607"/>
      <c r="V359" s="1607"/>
      <c r="W359" s="1607"/>
      <c r="X359" s="1607"/>
      <c r="Y359" s="1607"/>
      <c r="Z359" s="1607"/>
      <c r="AA359" s="1607"/>
      <c r="AB359" s="1607"/>
      <c r="AC359" s="1607"/>
      <c r="AD359" s="1607"/>
      <c r="AE359" s="1607"/>
      <c r="AF359" s="1607"/>
      <c r="AG359" s="1607"/>
      <c r="AH359" s="1607"/>
      <c r="AI359" s="1607"/>
      <c r="AJ359" s="1607"/>
      <c r="AK359" s="1607"/>
      <c r="AL359" s="1607"/>
      <c r="AM359" s="1607"/>
      <c r="AN359" s="1607"/>
      <c r="AO359" s="1607"/>
      <c r="AP359" s="1607"/>
      <c r="AQ359" s="1607"/>
      <c r="AR359" s="1607"/>
      <c r="AS359" s="1607"/>
      <c r="AT359" s="1607"/>
      <c r="AU359" s="1607"/>
      <c r="AV359" s="1607"/>
      <c r="AW359" s="1607"/>
      <c r="AX359" s="1607"/>
      <c r="AY359" s="1607"/>
      <c r="AZ359" s="1607"/>
      <c r="BA359" s="1607"/>
      <c r="BB359" s="1607"/>
      <c r="BC359" s="1607"/>
      <c r="BD359" s="1607"/>
      <c r="BE359" s="1607"/>
      <c r="BF359" s="1607"/>
      <c r="BG359" s="1607"/>
      <c r="BH359" s="1607"/>
      <c r="BI359" s="1607"/>
      <c r="BJ359" s="1607"/>
      <c r="BK359" s="1607"/>
      <c r="BL359" s="1607"/>
    </row>
    <row r="360">
      <c r="A360" s="1607"/>
      <c r="B360" s="1607"/>
      <c r="C360" s="1607"/>
      <c r="D360" s="1607"/>
      <c r="E360" s="1607"/>
      <c r="F360" s="1607"/>
      <c r="G360" s="1607"/>
      <c r="H360" s="1607"/>
      <c r="I360" s="1607"/>
      <c r="J360" s="1607"/>
      <c r="K360" s="1607"/>
      <c r="L360" s="1607"/>
      <c r="M360" s="1607"/>
      <c r="N360" s="1607"/>
      <c r="O360" s="1607"/>
      <c r="P360" s="1607"/>
      <c r="Q360" s="1607"/>
      <c r="R360" s="1607"/>
      <c r="S360" s="1607"/>
      <c r="T360" s="1607"/>
      <c r="U360" s="1607"/>
      <c r="V360" s="1607"/>
      <c r="W360" s="1607"/>
      <c r="X360" s="1607"/>
      <c r="Y360" s="1607"/>
      <c r="Z360" s="1607"/>
      <c r="AA360" s="1607"/>
      <c r="AB360" s="1607"/>
      <c r="AC360" s="1607"/>
      <c r="AD360" s="1607"/>
      <c r="AE360" s="1607"/>
      <c r="AF360" s="1607"/>
      <c r="AG360" s="1607"/>
      <c r="AH360" s="1607"/>
      <c r="AI360" s="1607"/>
      <c r="AJ360" s="1607"/>
      <c r="AK360" s="1607"/>
      <c r="AL360" s="1607"/>
      <c r="AM360" s="1607"/>
      <c r="AN360" s="1607"/>
      <c r="AO360" s="1607"/>
      <c r="AP360" s="1607"/>
      <c r="AQ360" s="1607"/>
      <c r="AR360" s="1607"/>
      <c r="AS360" s="1607"/>
      <c r="AT360" s="1607"/>
      <c r="AU360" s="1607"/>
      <c r="AV360" s="1607"/>
      <c r="AW360" s="1607"/>
      <c r="AX360" s="1607"/>
      <c r="AY360" s="1607"/>
      <c r="AZ360" s="1607"/>
      <c r="BA360" s="1607"/>
      <c r="BB360" s="1607"/>
      <c r="BC360" s="1607"/>
      <c r="BD360" s="1607"/>
      <c r="BE360" s="1607"/>
      <c r="BF360" s="1607"/>
      <c r="BG360" s="1607"/>
      <c r="BH360" s="1607"/>
      <c r="BI360" s="1607"/>
      <c r="BJ360" s="1607"/>
      <c r="BK360" s="1607"/>
      <c r="BL360" s="1607"/>
    </row>
    <row r="361">
      <c r="A361" s="1607"/>
      <c r="B361" s="1607"/>
      <c r="C361" s="1607"/>
      <c r="D361" s="1607"/>
      <c r="E361" s="1607"/>
      <c r="F361" s="1607"/>
      <c r="G361" s="1607"/>
      <c r="H361" s="1607"/>
      <c r="I361" s="1607"/>
      <c r="J361" s="1607"/>
      <c r="K361" s="1607"/>
      <c r="L361" s="1607"/>
      <c r="M361" s="1607"/>
      <c r="N361" s="1607"/>
      <c r="O361" s="1607"/>
      <c r="P361" s="1607"/>
      <c r="Q361" s="1607"/>
      <c r="R361" s="1607"/>
      <c r="S361" s="1607"/>
      <c r="T361" s="1607"/>
      <c r="U361" s="1607"/>
      <c r="V361" s="1607"/>
      <c r="W361" s="1607"/>
      <c r="X361" s="1607"/>
      <c r="Y361" s="1607"/>
      <c r="Z361" s="1607"/>
      <c r="AA361" s="1607"/>
      <c r="AB361" s="1607"/>
      <c r="AC361" s="1607"/>
      <c r="AD361" s="1607"/>
      <c r="AE361" s="1607"/>
      <c r="AF361" s="1607"/>
      <c r="AG361" s="1607"/>
      <c r="AH361" s="1607"/>
      <c r="AI361" s="1607"/>
      <c r="AJ361" s="1607"/>
      <c r="AK361" s="1607"/>
      <c r="AL361" s="1607"/>
      <c r="AM361" s="1607"/>
      <c r="AN361" s="1607"/>
      <c r="AO361" s="1607"/>
      <c r="AP361" s="1607"/>
      <c r="AQ361" s="1607"/>
      <c r="AR361" s="1607"/>
      <c r="AS361" s="1607"/>
      <c r="AT361" s="1607"/>
      <c r="AU361" s="1607"/>
      <c r="AV361" s="1607"/>
      <c r="AW361" s="1607"/>
      <c r="AX361" s="1607"/>
      <c r="AY361" s="1607"/>
      <c r="AZ361" s="1607"/>
      <c r="BA361" s="1607"/>
      <c r="BB361" s="1607"/>
      <c r="BC361" s="1607"/>
      <c r="BD361" s="1607"/>
      <c r="BE361" s="1607"/>
      <c r="BF361" s="1607"/>
      <c r="BG361" s="1607"/>
      <c r="BH361" s="1607"/>
      <c r="BI361" s="1607"/>
      <c r="BJ361" s="1607"/>
      <c r="BK361" s="1607"/>
      <c r="BL361" s="1607"/>
    </row>
    <row r="362">
      <c r="A362" s="1607"/>
      <c r="B362" s="1607"/>
      <c r="C362" s="1607"/>
      <c r="D362" s="1607"/>
      <c r="E362" s="1607"/>
      <c r="F362" s="1607"/>
      <c r="G362" s="1607"/>
      <c r="H362" s="1607"/>
      <c r="I362" s="1607"/>
      <c r="J362" s="1607"/>
      <c r="K362" s="1607"/>
      <c r="L362" s="1607"/>
      <c r="M362" s="1607"/>
      <c r="N362" s="1607"/>
      <c r="O362" s="1607"/>
      <c r="P362" s="1607"/>
      <c r="Q362" s="1607"/>
      <c r="R362" s="1607"/>
      <c r="S362" s="1607"/>
      <c r="T362" s="1607"/>
      <c r="U362" s="1607"/>
      <c r="V362" s="1607"/>
      <c r="W362" s="1607"/>
      <c r="X362" s="1607"/>
      <c r="Y362" s="1607"/>
      <c r="Z362" s="1607"/>
      <c r="AA362" s="1607"/>
      <c r="AB362" s="1607"/>
      <c r="AC362" s="1607"/>
      <c r="AD362" s="1607"/>
      <c r="AE362" s="1607"/>
      <c r="AF362" s="1607"/>
      <c r="AG362" s="1607"/>
      <c r="AH362" s="1607"/>
      <c r="AI362" s="1607"/>
      <c r="AJ362" s="1607"/>
      <c r="AK362" s="1607"/>
      <c r="AL362" s="1607"/>
      <c r="AM362" s="1607"/>
      <c r="AN362" s="1607"/>
      <c r="AO362" s="1607"/>
      <c r="AP362" s="1607"/>
      <c r="AQ362" s="1607"/>
      <c r="AR362" s="1607"/>
      <c r="AS362" s="1607"/>
      <c r="AT362" s="1607"/>
      <c r="AU362" s="1607"/>
      <c r="AV362" s="1607"/>
      <c r="AW362" s="1607"/>
      <c r="AX362" s="1607"/>
      <c r="AY362" s="1607"/>
      <c r="AZ362" s="1607"/>
      <c r="BA362" s="1607"/>
      <c r="BB362" s="1607"/>
      <c r="BC362" s="1607"/>
      <c r="BD362" s="1607"/>
      <c r="BE362" s="1607"/>
      <c r="BF362" s="1607"/>
      <c r="BG362" s="1607"/>
      <c r="BH362" s="1607"/>
      <c r="BI362" s="1607"/>
      <c r="BJ362" s="1607"/>
      <c r="BK362" s="1607"/>
      <c r="BL362" s="1607"/>
    </row>
    <row r="363">
      <c r="A363" s="1607"/>
      <c r="B363" s="1607"/>
      <c r="C363" s="1607"/>
      <c r="D363" s="1607"/>
      <c r="E363" s="1607"/>
      <c r="F363" s="1607"/>
      <c r="G363" s="1607"/>
      <c r="H363" s="1607"/>
      <c r="I363" s="1607"/>
      <c r="J363" s="1607"/>
      <c r="K363" s="1607"/>
      <c r="L363" s="1607"/>
      <c r="M363" s="1607"/>
      <c r="N363" s="1607"/>
      <c r="O363" s="1607"/>
      <c r="P363" s="1607"/>
      <c r="Q363" s="1607"/>
      <c r="R363" s="1607"/>
      <c r="S363" s="1607"/>
      <c r="T363" s="1607"/>
      <c r="U363" s="1607"/>
      <c r="V363" s="1607"/>
      <c r="W363" s="1607"/>
      <c r="X363" s="1607"/>
      <c r="Y363" s="1607"/>
      <c r="Z363" s="1607"/>
      <c r="AA363" s="1607"/>
      <c r="AB363" s="1607"/>
      <c r="AC363" s="1607"/>
      <c r="AD363" s="1607"/>
      <c r="AE363" s="1607"/>
      <c r="AF363" s="1607"/>
      <c r="AG363" s="1607"/>
      <c r="AH363" s="1607"/>
      <c r="AI363" s="1607"/>
      <c r="AJ363" s="1607"/>
      <c r="AK363" s="1607"/>
      <c r="AL363" s="1607"/>
      <c r="AM363" s="1607"/>
      <c r="AN363" s="1607"/>
      <c r="AO363" s="1607"/>
      <c r="AP363" s="1607"/>
      <c r="AQ363" s="1607"/>
      <c r="AR363" s="1607"/>
      <c r="AS363" s="1607"/>
      <c r="AT363" s="1607"/>
      <c r="AU363" s="1607"/>
      <c r="AV363" s="1607"/>
      <c r="AW363" s="1607"/>
      <c r="AX363" s="1607"/>
      <c r="AY363" s="1607"/>
      <c r="AZ363" s="1607"/>
      <c r="BA363" s="1607"/>
      <c r="BB363" s="1607"/>
      <c r="BC363" s="1607"/>
      <c r="BD363" s="1607"/>
      <c r="BE363" s="1607"/>
      <c r="BF363" s="1607"/>
      <c r="BG363" s="1607"/>
      <c r="BH363" s="1607"/>
      <c r="BI363" s="1607"/>
      <c r="BJ363" s="1607"/>
      <c r="BK363" s="1607"/>
      <c r="BL363" s="1607"/>
    </row>
    <row r="364">
      <c r="A364" s="1607"/>
      <c r="B364" s="1607"/>
      <c r="C364" s="1607"/>
      <c r="D364" s="1607"/>
      <c r="E364" s="1607"/>
      <c r="F364" s="1607"/>
      <c r="G364" s="1607"/>
      <c r="H364" s="1607"/>
      <c r="I364" s="1607"/>
      <c r="J364" s="1607"/>
      <c r="K364" s="1607"/>
      <c r="L364" s="1607"/>
      <c r="M364" s="1607"/>
      <c r="N364" s="1607"/>
      <c r="O364" s="1607"/>
      <c r="P364" s="1607"/>
      <c r="Q364" s="1607"/>
      <c r="R364" s="1607"/>
      <c r="S364" s="1607"/>
      <c r="T364" s="1607"/>
      <c r="U364" s="1607"/>
      <c r="V364" s="1607"/>
      <c r="W364" s="1607"/>
      <c r="X364" s="1607"/>
      <c r="Y364" s="1607"/>
      <c r="Z364" s="1607"/>
      <c r="AA364" s="1607"/>
      <c r="AB364" s="1607"/>
      <c r="AC364" s="1607"/>
      <c r="AD364" s="1607"/>
      <c r="AE364" s="1607"/>
      <c r="AF364" s="1607"/>
      <c r="AG364" s="1607"/>
      <c r="AH364" s="1607"/>
      <c r="AI364" s="1607"/>
      <c r="AJ364" s="1607"/>
      <c r="AK364" s="1607"/>
      <c r="AL364" s="1607"/>
      <c r="AM364" s="1607"/>
      <c r="AN364" s="1607"/>
      <c r="AO364" s="1607"/>
      <c r="AP364" s="1607"/>
      <c r="AQ364" s="1607"/>
      <c r="AR364" s="1607"/>
      <c r="AS364" s="1607"/>
      <c r="AT364" s="1607"/>
      <c r="AU364" s="1607"/>
      <c r="AV364" s="1607"/>
      <c r="AW364" s="1607"/>
      <c r="AX364" s="1607"/>
      <c r="AY364" s="1607"/>
      <c r="AZ364" s="1607"/>
      <c r="BA364" s="1607"/>
      <c r="BB364" s="1607"/>
      <c r="BC364" s="1607"/>
      <c r="BD364" s="1607"/>
      <c r="BE364" s="1607"/>
      <c r="BF364" s="1607"/>
      <c r="BG364" s="1607"/>
      <c r="BH364" s="1607"/>
      <c r="BI364" s="1607"/>
      <c r="BJ364" s="1607"/>
      <c r="BK364" s="1607"/>
      <c r="BL364" s="1607"/>
    </row>
    <row r="365">
      <c r="A365" s="1607"/>
      <c r="B365" s="1607"/>
      <c r="C365" s="1607"/>
      <c r="D365" s="1607"/>
      <c r="E365" s="1607"/>
      <c r="F365" s="1607"/>
      <c r="G365" s="1607"/>
      <c r="H365" s="1607"/>
      <c r="I365" s="1607"/>
      <c r="J365" s="1607"/>
      <c r="K365" s="1607"/>
      <c r="L365" s="1607"/>
      <c r="M365" s="1607"/>
      <c r="N365" s="1607"/>
      <c r="O365" s="1607"/>
      <c r="P365" s="1607"/>
      <c r="Q365" s="1607"/>
      <c r="R365" s="1607"/>
      <c r="S365" s="1607"/>
      <c r="T365" s="1607"/>
      <c r="U365" s="1607"/>
      <c r="V365" s="1607"/>
      <c r="W365" s="1607"/>
      <c r="X365" s="1607"/>
      <c r="Y365" s="1607"/>
      <c r="Z365" s="1607"/>
      <c r="AA365" s="1607"/>
      <c r="AB365" s="1607"/>
      <c r="AC365" s="1607"/>
      <c r="AD365" s="1607"/>
      <c r="AE365" s="1607"/>
      <c r="AF365" s="1607"/>
      <c r="AG365" s="1607"/>
      <c r="AH365" s="1607"/>
      <c r="AI365" s="1607"/>
      <c r="AJ365" s="1607"/>
      <c r="AK365" s="1607"/>
      <c r="AL365" s="1607"/>
      <c r="AM365" s="1607"/>
      <c r="AN365" s="1607"/>
      <c r="AO365" s="1607"/>
      <c r="AP365" s="1607"/>
      <c r="AQ365" s="1607"/>
      <c r="AR365" s="1607"/>
      <c r="AS365" s="1607"/>
      <c r="AT365" s="1607"/>
      <c r="AU365" s="1607"/>
      <c r="AV365" s="1607"/>
      <c r="AW365" s="1607"/>
      <c r="AX365" s="1607"/>
      <c r="AY365" s="1607"/>
      <c r="AZ365" s="1607"/>
      <c r="BA365" s="1607"/>
      <c r="BB365" s="1607"/>
      <c r="BC365" s="1607"/>
      <c r="BD365" s="1607"/>
      <c r="BE365" s="1607"/>
      <c r="BF365" s="1607"/>
      <c r="BG365" s="1607"/>
      <c r="BH365" s="1607"/>
      <c r="BI365" s="1607"/>
      <c r="BJ365" s="1607"/>
      <c r="BK365" s="1607"/>
      <c r="BL365" s="1607"/>
    </row>
    <row r="366">
      <c r="A366" s="1607"/>
      <c r="B366" s="1607"/>
      <c r="C366" s="1607"/>
      <c r="D366" s="1607"/>
      <c r="E366" s="1607"/>
      <c r="F366" s="1607"/>
      <c r="G366" s="1607"/>
      <c r="H366" s="1607"/>
      <c r="I366" s="1607"/>
      <c r="J366" s="1607"/>
      <c r="K366" s="1607"/>
      <c r="L366" s="1607"/>
      <c r="M366" s="1607"/>
      <c r="N366" s="1607"/>
      <c r="O366" s="1607"/>
      <c r="P366" s="1607"/>
      <c r="Q366" s="1607"/>
      <c r="R366" s="1607"/>
      <c r="S366" s="1607"/>
      <c r="T366" s="1607"/>
      <c r="U366" s="1607"/>
      <c r="V366" s="1607"/>
      <c r="W366" s="1607"/>
      <c r="X366" s="1607"/>
      <c r="Y366" s="1607"/>
      <c r="Z366" s="1607"/>
      <c r="AA366" s="1607"/>
      <c r="AB366" s="1607"/>
      <c r="AC366" s="1607"/>
      <c r="AD366" s="1607"/>
      <c r="AE366" s="1607"/>
      <c r="AF366" s="1607"/>
      <c r="AG366" s="1607"/>
      <c r="AH366" s="1607"/>
      <c r="AI366" s="1607"/>
      <c r="AJ366" s="1607"/>
      <c r="AK366" s="1607"/>
      <c r="AL366" s="1607"/>
      <c r="AM366" s="1607"/>
      <c r="AN366" s="1607"/>
      <c r="AO366" s="1607"/>
      <c r="AP366" s="1607"/>
      <c r="AQ366" s="1607"/>
      <c r="AR366" s="1607"/>
      <c r="AS366" s="1607"/>
      <c r="AT366" s="1607"/>
      <c r="AU366" s="1607"/>
      <c r="AV366" s="1607"/>
      <c r="AW366" s="1607"/>
      <c r="AX366" s="1607"/>
      <c r="AY366" s="1607"/>
      <c r="AZ366" s="1607"/>
      <c r="BA366" s="1607"/>
      <c r="BB366" s="1607"/>
      <c r="BC366" s="1607"/>
      <c r="BD366" s="1607"/>
      <c r="BE366" s="1607"/>
      <c r="BF366" s="1607"/>
      <c r="BG366" s="1607"/>
      <c r="BH366" s="1607"/>
      <c r="BI366" s="1607"/>
      <c r="BJ366" s="1607"/>
      <c r="BK366" s="1607"/>
      <c r="BL366" s="1607"/>
    </row>
    <row r="367">
      <c r="A367" s="1607"/>
      <c r="B367" s="1607"/>
      <c r="C367" s="1607"/>
      <c r="D367" s="1607"/>
      <c r="E367" s="1607"/>
      <c r="F367" s="1607"/>
      <c r="G367" s="1607"/>
      <c r="H367" s="1607"/>
      <c r="I367" s="1607"/>
      <c r="J367" s="1607"/>
      <c r="K367" s="1607"/>
      <c r="L367" s="1607"/>
      <c r="M367" s="1607"/>
      <c r="N367" s="1607"/>
      <c r="O367" s="1607"/>
      <c r="P367" s="1607"/>
      <c r="Q367" s="1607"/>
      <c r="R367" s="1607"/>
      <c r="S367" s="1607"/>
      <c r="T367" s="1607"/>
      <c r="U367" s="1607"/>
      <c r="V367" s="1607"/>
      <c r="W367" s="1607"/>
      <c r="X367" s="1607"/>
      <c r="Y367" s="1607"/>
      <c r="Z367" s="1607"/>
      <c r="AA367" s="1607"/>
      <c r="AB367" s="1607"/>
      <c r="AC367" s="1607"/>
      <c r="AD367" s="1607"/>
      <c r="AE367" s="1607"/>
      <c r="AF367" s="1607"/>
      <c r="AG367" s="1607"/>
      <c r="AH367" s="1607"/>
      <c r="AI367" s="1607"/>
      <c r="AJ367" s="1607"/>
      <c r="AK367" s="1607"/>
      <c r="AL367" s="1607"/>
      <c r="AM367" s="1607"/>
      <c r="AN367" s="1607"/>
      <c r="AO367" s="1607"/>
      <c r="AP367" s="1607"/>
      <c r="AQ367" s="1607"/>
      <c r="AR367" s="1607"/>
      <c r="AS367" s="1607"/>
      <c r="AT367" s="1607"/>
      <c r="AU367" s="1607"/>
      <c r="AV367" s="1607"/>
      <c r="AW367" s="1607"/>
      <c r="AX367" s="1607"/>
      <c r="AY367" s="1607"/>
      <c r="AZ367" s="1607"/>
      <c r="BA367" s="1607"/>
      <c r="BB367" s="1607"/>
      <c r="BC367" s="1607"/>
      <c r="BD367" s="1607"/>
      <c r="BE367" s="1607"/>
      <c r="BF367" s="1607"/>
      <c r="BG367" s="1607"/>
      <c r="BH367" s="1607"/>
      <c r="BI367" s="1607"/>
      <c r="BJ367" s="1607"/>
      <c r="BK367" s="1607"/>
      <c r="BL367" s="1607"/>
    </row>
    <row r="368">
      <c r="A368" s="1607"/>
      <c r="B368" s="1607"/>
      <c r="C368" s="1607"/>
      <c r="D368" s="1607"/>
      <c r="E368" s="1607"/>
      <c r="F368" s="1607"/>
      <c r="G368" s="1607"/>
      <c r="H368" s="1607"/>
      <c r="I368" s="1607"/>
      <c r="J368" s="1607"/>
      <c r="K368" s="1607"/>
      <c r="L368" s="1607"/>
      <c r="M368" s="1607"/>
      <c r="N368" s="1607"/>
      <c r="O368" s="1607"/>
      <c r="P368" s="1607"/>
      <c r="Q368" s="1607"/>
      <c r="R368" s="1607"/>
      <c r="S368" s="1607"/>
      <c r="T368" s="1607"/>
      <c r="U368" s="1607"/>
      <c r="V368" s="1607"/>
      <c r="W368" s="1607"/>
      <c r="X368" s="1607"/>
      <c r="Y368" s="1607"/>
      <c r="Z368" s="1607"/>
      <c r="AA368" s="1607"/>
      <c r="AB368" s="1607"/>
      <c r="AC368" s="1607"/>
      <c r="AD368" s="1607"/>
      <c r="AE368" s="1607"/>
      <c r="AF368" s="1607"/>
      <c r="AG368" s="1607"/>
      <c r="AH368" s="1607"/>
      <c r="AI368" s="1607"/>
      <c r="AJ368" s="1607"/>
      <c r="AK368" s="1607"/>
      <c r="AL368" s="1607"/>
      <c r="AM368" s="1607"/>
      <c r="AN368" s="1607"/>
      <c r="AO368" s="1607"/>
      <c r="AP368" s="1607"/>
      <c r="AQ368" s="1607"/>
      <c r="AR368" s="1607"/>
      <c r="AS368" s="1607"/>
      <c r="AT368" s="1607"/>
      <c r="AU368" s="1607"/>
      <c r="AV368" s="1607"/>
      <c r="AW368" s="1607"/>
      <c r="AX368" s="1607"/>
      <c r="AY368" s="1607"/>
      <c r="AZ368" s="1607"/>
      <c r="BA368" s="1607"/>
      <c r="BB368" s="1607"/>
      <c r="BC368" s="1607"/>
      <c r="BD368" s="1607"/>
      <c r="BE368" s="1607"/>
      <c r="BF368" s="1607"/>
      <c r="BG368" s="1607"/>
      <c r="BH368" s="1607"/>
      <c r="BI368" s="1607"/>
      <c r="BJ368" s="1607"/>
      <c r="BK368" s="1607"/>
      <c r="BL368" s="1607"/>
    </row>
    <row r="369">
      <c r="A369" s="1607"/>
      <c r="B369" s="1607"/>
      <c r="C369" s="1607"/>
      <c r="D369" s="1607"/>
      <c r="E369" s="1607"/>
      <c r="F369" s="1607"/>
      <c r="G369" s="1607"/>
      <c r="H369" s="1607"/>
      <c r="I369" s="1607"/>
      <c r="J369" s="1607"/>
      <c r="K369" s="1607"/>
      <c r="L369" s="1607"/>
      <c r="M369" s="1607"/>
      <c r="N369" s="1607"/>
      <c r="O369" s="1607"/>
      <c r="P369" s="1607"/>
      <c r="Q369" s="1607"/>
      <c r="R369" s="1607"/>
      <c r="S369" s="1607"/>
      <c r="T369" s="1607"/>
      <c r="U369" s="1607"/>
      <c r="V369" s="1607"/>
      <c r="W369" s="1607"/>
      <c r="X369" s="1607"/>
      <c r="Y369" s="1607"/>
      <c r="Z369" s="1607"/>
      <c r="AA369" s="1607"/>
      <c r="AB369" s="1607"/>
      <c r="AC369" s="1607"/>
      <c r="AD369" s="1607"/>
      <c r="AE369" s="1607"/>
      <c r="AF369" s="1607"/>
      <c r="AG369" s="1607"/>
      <c r="AH369" s="1607"/>
      <c r="AI369" s="1607"/>
      <c r="AJ369" s="1607"/>
      <c r="AK369" s="1607"/>
      <c r="AL369" s="1607"/>
      <c r="AM369" s="1607"/>
      <c r="AN369" s="1607"/>
      <c r="AO369" s="1607"/>
      <c r="AP369" s="1607"/>
      <c r="AQ369" s="1607"/>
      <c r="AR369" s="1607"/>
      <c r="AS369" s="1607"/>
      <c r="AT369" s="1607"/>
      <c r="AU369" s="1607"/>
      <c r="AV369" s="1607"/>
      <c r="AW369" s="1607"/>
      <c r="AX369" s="1607"/>
      <c r="AY369" s="1607"/>
      <c r="AZ369" s="1607"/>
      <c r="BA369" s="1607"/>
      <c r="BB369" s="1607"/>
      <c r="BC369" s="1607"/>
      <c r="BD369" s="1607"/>
      <c r="BE369" s="1607"/>
      <c r="BF369" s="1607"/>
      <c r="BG369" s="1607"/>
      <c r="BH369" s="1607"/>
      <c r="BI369" s="1607"/>
      <c r="BJ369" s="1607"/>
      <c r="BK369" s="1607"/>
      <c r="BL369" s="1607"/>
    </row>
    <row r="370">
      <c r="A370" s="1607"/>
      <c r="B370" s="1607"/>
      <c r="C370" s="1607"/>
      <c r="D370" s="1607"/>
      <c r="E370" s="1607"/>
      <c r="F370" s="1607"/>
      <c r="G370" s="1607"/>
      <c r="H370" s="1607"/>
      <c r="I370" s="1607"/>
      <c r="J370" s="1607"/>
      <c r="K370" s="1607"/>
      <c r="L370" s="1607"/>
      <c r="M370" s="1607"/>
      <c r="N370" s="1607"/>
      <c r="O370" s="1607"/>
      <c r="P370" s="1607"/>
      <c r="Q370" s="1607"/>
      <c r="R370" s="1607"/>
      <c r="S370" s="1607"/>
      <c r="T370" s="1607"/>
      <c r="U370" s="1607"/>
      <c r="V370" s="1607"/>
      <c r="W370" s="1607"/>
      <c r="X370" s="1607"/>
      <c r="Y370" s="1607"/>
      <c r="Z370" s="1607"/>
      <c r="AA370" s="1607"/>
      <c r="AB370" s="1607"/>
      <c r="AC370" s="1607"/>
      <c r="AD370" s="1607"/>
      <c r="AE370" s="1607"/>
      <c r="AF370" s="1607"/>
      <c r="AG370" s="1607"/>
      <c r="AH370" s="1607"/>
      <c r="AI370" s="1607"/>
      <c r="AJ370" s="1607"/>
      <c r="AK370" s="1607"/>
      <c r="AL370" s="1607"/>
      <c r="AM370" s="1607"/>
      <c r="AN370" s="1607"/>
      <c r="AO370" s="1607"/>
      <c r="AP370" s="1607"/>
      <c r="AQ370" s="1607"/>
      <c r="AR370" s="1607"/>
      <c r="AS370" s="1607"/>
      <c r="AT370" s="1607"/>
      <c r="AU370" s="1607"/>
      <c r="AV370" s="1607"/>
      <c r="AW370" s="1607"/>
      <c r="AX370" s="1607"/>
      <c r="AY370" s="1607"/>
      <c r="AZ370" s="1607"/>
      <c r="BA370" s="1607"/>
      <c r="BB370" s="1607"/>
      <c r="BC370" s="1607"/>
      <c r="BD370" s="1607"/>
      <c r="BE370" s="1607"/>
      <c r="BF370" s="1607"/>
      <c r="BG370" s="1607"/>
      <c r="BH370" s="1607"/>
      <c r="BI370" s="1607"/>
      <c r="BJ370" s="1607"/>
      <c r="BK370" s="1607"/>
      <c r="BL370" s="1607"/>
    </row>
    <row r="371">
      <c r="A371" s="1607"/>
      <c r="B371" s="1607"/>
      <c r="C371" s="1607"/>
      <c r="D371" s="1607"/>
      <c r="E371" s="1607"/>
      <c r="F371" s="1607"/>
      <c r="G371" s="1607"/>
      <c r="H371" s="1607"/>
      <c r="I371" s="1607"/>
      <c r="J371" s="1607"/>
      <c r="K371" s="1607"/>
      <c r="L371" s="1607"/>
      <c r="M371" s="1607"/>
      <c r="N371" s="1607"/>
      <c r="O371" s="1607"/>
      <c r="P371" s="1607"/>
      <c r="Q371" s="1607"/>
      <c r="R371" s="1607"/>
      <c r="S371" s="1607"/>
      <c r="T371" s="1607"/>
      <c r="U371" s="1607"/>
      <c r="V371" s="1607"/>
      <c r="W371" s="1607"/>
      <c r="X371" s="1607"/>
      <c r="Y371" s="1607"/>
      <c r="Z371" s="1607"/>
      <c r="AA371" s="1607"/>
      <c r="AB371" s="1607"/>
      <c r="AC371" s="1607"/>
      <c r="AD371" s="1607"/>
      <c r="AE371" s="1607"/>
      <c r="AF371" s="1607"/>
      <c r="AG371" s="1607"/>
      <c r="AH371" s="1607"/>
      <c r="AI371" s="1607"/>
      <c r="AJ371" s="1607"/>
      <c r="AK371" s="1607"/>
      <c r="AL371" s="1607"/>
      <c r="AM371" s="1607"/>
      <c r="AN371" s="1607"/>
      <c r="AO371" s="1607"/>
      <c r="AP371" s="1607"/>
      <c r="AQ371" s="1607"/>
      <c r="AR371" s="1607"/>
      <c r="AS371" s="1607"/>
      <c r="AT371" s="1607"/>
      <c r="AU371" s="1607"/>
      <c r="AV371" s="1607"/>
      <c r="AW371" s="1607"/>
      <c r="AX371" s="1607"/>
      <c r="AY371" s="1607"/>
      <c r="AZ371" s="1607"/>
      <c r="BA371" s="1607"/>
      <c r="BB371" s="1607"/>
      <c r="BC371" s="1607"/>
      <c r="BD371" s="1607"/>
      <c r="BE371" s="1607"/>
      <c r="BF371" s="1607"/>
      <c r="BG371" s="1607"/>
      <c r="BH371" s="1607"/>
      <c r="BI371" s="1607"/>
      <c r="BJ371" s="1607"/>
      <c r="BK371" s="1607"/>
      <c r="BL371" s="1607"/>
    </row>
    <row r="372">
      <c r="A372" s="1607"/>
      <c r="B372" s="1607"/>
      <c r="C372" s="1607"/>
      <c r="D372" s="1607"/>
      <c r="E372" s="1607"/>
      <c r="F372" s="1607"/>
      <c r="G372" s="1607"/>
      <c r="H372" s="1607"/>
      <c r="I372" s="1607"/>
      <c r="J372" s="1607"/>
      <c r="K372" s="1607"/>
      <c r="L372" s="1607"/>
      <c r="M372" s="1607"/>
      <c r="N372" s="1607"/>
      <c r="O372" s="1607"/>
      <c r="P372" s="1607"/>
      <c r="Q372" s="1607"/>
      <c r="R372" s="1607"/>
      <c r="S372" s="1607"/>
      <c r="T372" s="1607"/>
      <c r="U372" s="1607"/>
      <c r="V372" s="1607"/>
      <c r="W372" s="1607"/>
      <c r="X372" s="1607"/>
      <c r="Y372" s="1607"/>
      <c r="Z372" s="1607"/>
      <c r="AA372" s="1607"/>
      <c r="AB372" s="1607"/>
      <c r="AC372" s="1607"/>
      <c r="AD372" s="1607"/>
      <c r="AE372" s="1607"/>
      <c r="AF372" s="1607"/>
      <c r="AG372" s="1607"/>
      <c r="AH372" s="1607"/>
      <c r="AI372" s="1607"/>
      <c r="AJ372" s="1607"/>
      <c r="AK372" s="1607"/>
      <c r="AL372" s="1607"/>
      <c r="AM372" s="1607"/>
      <c r="AN372" s="1607"/>
      <c r="AO372" s="1607"/>
      <c r="AP372" s="1607"/>
      <c r="AQ372" s="1607"/>
      <c r="AR372" s="1607"/>
      <c r="AS372" s="1607"/>
      <c r="AT372" s="1607"/>
      <c r="AU372" s="1607"/>
      <c r="AV372" s="1607"/>
      <c r="AW372" s="1607"/>
      <c r="AX372" s="1607"/>
      <c r="AY372" s="1607"/>
      <c r="AZ372" s="1607"/>
      <c r="BA372" s="1607"/>
      <c r="BB372" s="1607"/>
      <c r="BC372" s="1607"/>
      <c r="BD372" s="1607"/>
      <c r="BE372" s="1607"/>
      <c r="BF372" s="1607"/>
      <c r="BG372" s="1607"/>
      <c r="BH372" s="1607"/>
      <c r="BI372" s="1607"/>
      <c r="BJ372" s="1607"/>
      <c r="BK372" s="1607"/>
      <c r="BL372" s="1607"/>
    </row>
    <row r="373">
      <c r="A373" s="1607"/>
      <c r="B373" s="1607"/>
      <c r="C373" s="1607"/>
      <c r="D373" s="1607"/>
      <c r="E373" s="1607"/>
      <c r="F373" s="1607"/>
      <c r="G373" s="1607"/>
      <c r="H373" s="1607"/>
      <c r="I373" s="1607"/>
      <c r="J373" s="1607"/>
      <c r="K373" s="1607"/>
      <c r="L373" s="1607"/>
      <c r="M373" s="1607"/>
      <c r="N373" s="1607"/>
      <c r="O373" s="1607"/>
      <c r="P373" s="1607"/>
      <c r="Q373" s="1607"/>
      <c r="R373" s="1607"/>
      <c r="S373" s="1607"/>
      <c r="T373" s="1607"/>
      <c r="U373" s="1607"/>
      <c r="V373" s="1607"/>
      <c r="W373" s="1607"/>
      <c r="X373" s="1607"/>
      <c r="Y373" s="1607"/>
      <c r="Z373" s="1607"/>
      <c r="AA373" s="1607"/>
      <c r="AB373" s="1607"/>
      <c r="AC373" s="1607"/>
      <c r="AD373" s="1607"/>
      <c r="AE373" s="1607"/>
      <c r="AF373" s="1607"/>
      <c r="AG373" s="1607"/>
      <c r="AH373" s="1607"/>
      <c r="AI373" s="1607"/>
      <c r="AJ373" s="1607"/>
      <c r="AK373" s="1607"/>
      <c r="AL373" s="1607"/>
      <c r="AM373" s="1607"/>
      <c r="AN373" s="1607"/>
      <c r="AO373" s="1607"/>
      <c r="AP373" s="1607"/>
      <c r="AQ373" s="1607"/>
      <c r="AR373" s="1607"/>
      <c r="AS373" s="1607"/>
      <c r="AT373" s="1607"/>
      <c r="AU373" s="1607"/>
      <c r="AV373" s="1607"/>
      <c r="AW373" s="1607"/>
      <c r="AX373" s="1607"/>
      <c r="AY373" s="1607"/>
      <c r="AZ373" s="1607"/>
      <c r="BA373" s="1607"/>
      <c r="BB373" s="1607"/>
      <c r="BC373" s="1607"/>
      <c r="BD373" s="1607"/>
      <c r="BE373" s="1607"/>
      <c r="BF373" s="1607"/>
      <c r="BG373" s="1607"/>
      <c r="BH373" s="1607"/>
      <c r="BI373" s="1607"/>
      <c r="BJ373" s="1607"/>
      <c r="BK373" s="1607"/>
      <c r="BL373" s="1607"/>
    </row>
    <row r="374">
      <c r="A374" s="1607"/>
      <c r="B374" s="1607"/>
      <c r="C374" s="1607"/>
      <c r="D374" s="1607"/>
      <c r="E374" s="1607"/>
      <c r="F374" s="1607"/>
      <c r="G374" s="1607"/>
      <c r="H374" s="1607"/>
      <c r="I374" s="1607"/>
      <c r="J374" s="1607"/>
      <c r="K374" s="1607"/>
      <c r="L374" s="1607"/>
      <c r="M374" s="1607"/>
      <c r="N374" s="1607"/>
      <c r="O374" s="1607"/>
      <c r="P374" s="1607"/>
      <c r="Q374" s="1607"/>
      <c r="R374" s="1607"/>
      <c r="S374" s="1607"/>
      <c r="T374" s="1607"/>
      <c r="U374" s="1607"/>
      <c r="V374" s="1607"/>
      <c r="W374" s="1607"/>
      <c r="X374" s="1607"/>
      <c r="Y374" s="1607"/>
      <c r="Z374" s="1607"/>
      <c r="AA374" s="1607"/>
      <c r="AB374" s="1607"/>
      <c r="AC374" s="1607"/>
      <c r="AD374" s="1607"/>
      <c r="AE374" s="1607"/>
      <c r="AF374" s="1607"/>
      <c r="AG374" s="1607"/>
      <c r="AH374" s="1607"/>
      <c r="AI374" s="1607"/>
      <c r="AJ374" s="1607"/>
      <c r="AK374" s="1607"/>
      <c r="AL374" s="1607"/>
      <c r="AM374" s="1607"/>
      <c r="AN374" s="1607"/>
      <c r="AO374" s="1607"/>
      <c r="AP374" s="1607"/>
      <c r="AQ374" s="1607"/>
      <c r="AR374" s="1607"/>
      <c r="AS374" s="1607"/>
      <c r="AT374" s="1607"/>
      <c r="AU374" s="1607"/>
      <c r="AV374" s="1607"/>
      <c r="AW374" s="1607"/>
      <c r="AX374" s="1607"/>
      <c r="AY374" s="1607"/>
      <c r="AZ374" s="1607"/>
      <c r="BA374" s="1607"/>
      <c r="BB374" s="1607"/>
      <c r="BC374" s="1607"/>
      <c r="BD374" s="1607"/>
      <c r="BE374" s="1607"/>
      <c r="BF374" s="1607"/>
      <c r="BG374" s="1607"/>
      <c r="BH374" s="1607"/>
      <c r="BI374" s="1607"/>
      <c r="BJ374" s="1607"/>
      <c r="BK374" s="1607"/>
      <c r="BL374" s="1607"/>
    </row>
    <row r="375">
      <c r="A375" s="1607"/>
      <c r="B375" s="1607"/>
      <c r="C375" s="1607"/>
      <c r="D375" s="1607"/>
      <c r="E375" s="1607"/>
      <c r="F375" s="1607"/>
      <c r="G375" s="1607"/>
      <c r="H375" s="1607"/>
      <c r="I375" s="1607"/>
      <c r="J375" s="1607"/>
      <c r="K375" s="1607"/>
      <c r="L375" s="1607"/>
      <c r="M375" s="1607"/>
      <c r="N375" s="1607"/>
      <c r="O375" s="1607"/>
      <c r="P375" s="1607"/>
      <c r="Q375" s="1607"/>
      <c r="R375" s="1607"/>
      <c r="S375" s="1607"/>
      <c r="T375" s="1607"/>
      <c r="U375" s="1607"/>
      <c r="V375" s="1607"/>
      <c r="W375" s="1607"/>
      <c r="X375" s="1607"/>
      <c r="Y375" s="1607"/>
      <c r="Z375" s="1607"/>
      <c r="AA375" s="1607"/>
      <c r="AB375" s="1607"/>
      <c r="AC375" s="1607"/>
      <c r="AD375" s="1607"/>
      <c r="AE375" s="1607"/>
      <c r="AF375" s="1607"/>
      <c r="AG375" s="1607"/>
      <c r="AH375" s="1607"/>
      <c r="AI375" s="1607"/>
      <c r="AJ375" s="1607"/>
      <c r="AK375" s="1607"/>
      <c r="AL375" s="1607"/>
      <c r="AM375" s="1607"/>
      <c r="AN375" s="1607"/>
      <c r="AO375" s="1607"/>
      <c r="AP375" s="1607"/>
      <c r="AQ375" s="1607"/>
      <c r="AR375" s="1607"/>
      <c r="AS375" s="1607"/>
      <c r="AT375" s="1607"/>
      <c r="AU375" s="1607"/>
      <c r="AV375" s="1607"/>
      <c r="AW375" s="1607"/>
      <c r="AX375" s="1607"/>
      <c r="AY375" s="1607"/>
      <c r="AZ375" s="1607"/>
      <c r="BA375" s="1607"/>
      <c r="BB375" s="1607"/>
      <c r="BC375" s="1607"/>
      <c r="BD375" s="1607"/>
      <c r="BE375" s="1607"/>
      <c r="BF375" s="1607"/>
      <c r="BG375" s="1607"/>
      <c r="BH375" s="1607"/>
      <c r="BI375" s="1607"/>
      <c r="BJ375" s="1607"/>
      <c r="BK375" s="1607"/>
      <c r="BL375" s="1607"/>
    </row>
    <row r="376">
      <c r="A376" s="1607"/>
      <c r="B376" s="1607"/>
      <c r="C376" s="1607"/>
      <c r="D376" s="1607"/>
      <c r="E376" s="1607"/>
      <c r="F376" s="1607"/>
      <c r="G376" s="1607"/>
      <c r="H376" s="1607"/>
      <c r="I376" s="1607"/>
      <c r="J376" s="1607"/>
      <c r="K376" s="1607"/>
      <c r="L376" s="1607"/>
      <c r="M376" s="1607"/>
      <c r="N376" s="1607"/>
      <c r="O376" s="1607"/>
      <c r="P376" s="1607"/>
      <c r="Q376" s="1607"/>
      <c r="R376" s="1607"/>
      <c r="S376" s="1607"/>
      <c r="T376" s="1607"/>
      <c r="U376" s="1607"/>
      <c r="V376" s="1607"/>
      <c r="W376" s="1607"/>
      <c r="X376" s="1607"/>
      <c r="Y376" s="1607"/>
      <c r="Z376" s="1607"/>
      <c r="AA376" s="1607"/>
      <c r="AB376" s="1607"/>
      <c r="AC376" s="1607"/>
      <c r="AD376" s="1607"/>
      <c r="AE376" s="1607"/>
      <c r="AF376" s="1607"/>
      <c r="AG376" s="1607"/>
      <c r="AH376" s="1607"/>
      <c r="AI376" s="1607"/>
      <c r="AJ376" s="1607"/>
      <c r="AK376" s="1607"/>
      <c r="AL376" s="1607"/>
      <c r="AM376" s="1607"/>
      <c r="AN376" s="1607"/>
      <c r="AO376" s="1607"/>
      <c r="AP376" s="1607"/>
      <c r="AQ376" s="1607"/>
      <c r="AR376" s="1607"/>
      <c r="AS376" s="1607"/>
      <c r="AT376" s="1607"/>
      <c r="AU376" s="1607"/>
      <c r="AV376" s="1607"/>
      <c r="AW376" s="1607"/>
      <c r="AX376" s="1607"/>
      <c r="AY376" s="1607"/>
      <c r="AZ376" s="1607"/>
      <c r="BA376" s="1607"/>
      <c r="BB376" s="1607"/>
      <c r="BC376" s="1607"/>
      <c r="BD376" s="1607"/>
      <c r="BE376" s="1607"/>
      <c r="BF376" s="1607"/>
      <c r="BG376" s="1607"/>
      <c r="BH376" s="1607"/>
      <c r="BI376" s="1607"/>
      <c r="BJ376" s="1607"/>
      <c r="BK376" s="1607"/>
      <c r="BL376" s="1607"/>
    </row>
    <row r="377">
      <c r="A377" s="1607"/>
      <c r="B377" s="1607"/>
      <c r="C377" s="1607"/>
      <c r="D377" s="1607"/>
      <c r="E377" s="1607"/>
      <c r="F377" s="1607"/>
      <c r="G377" s="1607"/>
      <c r="H377" s="1607"/>
      <c r="I377" s="1607"/>
      <c r="J377" s="1607"/>
      <c r="K377" s="1607"/>
      <c r="L377" s="1607"/>
      <c r="M377" s="1607"/>
      <c r="N377" s="1607"/>
      <c r="O377" s="1607"/>
      <c r="P377" s="1607"/>
      <c r="Q377" s="1607"/>
      <c r="R377" s="1607"/>
      <c r="S377" s="1607"/>
      <c r="T377" s="1607"/>
      <c r="U377" s="1607"/>
      <c r="V377" s="1607"/>
      <c r="W377" s="1607"/>
      <c r="X377" s="1607"/>
      <c r="Y377" s="1607"/>
      <c r="Z377" s="1607"/>
      <c r="AA377" s="1607"/>
      <c r="AB377" s="1607"/>
      <c r="AC377" s="1607"/>
      <c r="AD377" s="1607"/>
      <c r="AE377" s="1607"/>
      <c r="AF377" s="1607"/>
      <c r="AG377" s="1607"/>
      <c r="AH377" s="1607"/>
      <c r="AI377" s="1607"/>
      <c r="AJ377" s="1607"/>
      <c r="AK377" s="1607"/>
      <c r="AL377" s="1607"/>
      <c r="AM377" s="1607"/>
      <c r="AN377" s="1607"/>
      <c r="AO377" s="1607"/>
      <c r="AP377" s="1607"/>
      <c r="AQ377" s="1607"/>
      <c r="AR377" s="1607"/>
      <c r="AS377" s="1607"/>
      <c r="AT377" s="1607"/>
      <c r="AU377" s="1607"/>
      <c r="AV377" s="1607"/>
      <c r="AW377" s="1607"/>
      <c r="AX377" s="1607"/>
      <c r="AY377" s="1607"/>
      <c r="AZ377" s="1607"/>
      <c r="BA377" s="1607"/>
      <c r="BB377" s="1607"/>
      <c r="BC377" s="1607"/>
      <c r="BD377" s="1607"/>
      <c r="BE377" s="1607"/>
      <c r="BF377" s="1607"/>
      <c r="BG377" s="1607"/>
      <c r="BH377" s="1607"/>
      <c r="BI377" s="1607"/>
      <c r="BJ377" s="1607"/>
      <c r="BK377" s="1607"/>
      <c r="BL377" s="1607"/>
    </row>
    <row r="378">
      <c r="A378" s="1607"/>
      <c r="B378" s="1607"/>
      <c r="C378" s="1607"/>
      <c r="D378" s="1607"/>
      <c r="E378" s="1607"/>
      <c r="F378" s="1607"/>
      <c r="G378" s="1607"/>
      <c r="H378" s="1607"/>
      <c r="I378" s="1607"/>
      <c r="J378" s="1607"/>
      <c r="K378" s="1607"/>
      <c r="L378" s="1607"/>
      <c r="M378" s="1607"/>
      <c r="N378" s="1607"/>
      <c r="O378" s="1607"/>
      <c r="P378" s="1607"/>
      <c r="Q378" s="1607"/>
      <c r="R378" s="1607"/>
      <c r="S378" s="1607"/>
      <c r="T378" s="1607"/>
      <c r="U378" s="1607"/>
      <c r="V378" s="1607"/>
      <c r="W378" s="1607"/>
      <c r="X378" s="1607"/>
      <c r="Y378" s="1607"/>
      <c r="Z378" s="1607"/>
      <c r="AA378" s="1607"/>
      <c r="AB378" s="1607"/>
      <c r="AC378" s="1607"/>
      <c r="AD378" s="1607"/>
      <c r="AE378" s="1607"/>
      <c r="AF378" s="1607"/>
      <c r="AG378" s="1607"/>
      <c r="AH378" s="1607"/>
      <c r="AI378" s="1607"/>
      <c r="AJ378" s="1607"/>
      <c r="AK378" s="1607"/>
      <c r="AL378" s="1607"/>
      <c r="AM378" s="1607"/>
      <c r="AN378" s="1607"/>
      <c r="AO378" s="1607"/>
      <c r="AP378" s="1607"/>
      <c r="AQ378" s="1607"/>
      <c r="AR378" s="1607"/>
      <c r="AS378" s="1607"/>
      <c r="AT378" s="1607"/>
      <c r="AU378" s="1607"/>
      <c r="AV378" s="1607"/>
      <c r="AW378" s="1607"/>
      <c r="AX378" s="1607"/>
      <c r="AY378" s="1607"/>
      <c r="AZ378" s="1607"/>
      <c r="BA378" s="1607"/>
      <c r="BB378" s="1607"/>
      <c r="BC378" s="1607"/>
      <c r="BD378" s="1607"/>
      <c r="BE378" s="1607"/>
      <c r="BF378" s="1607"/>
      <c r="BG378" s="1607"/>
      <c r="BH378" s="1607"/>
      <c r="BI378" s="1607"/>
      <c r="BJ378" s="1607"/>
      <c r="BK378" s="1607"/>
      <c r="BL378" s="1607"/>
    </row>
    <row r="379">
      <c r="A379" s="1607"/>
      <c r="B379" s="1607"/>
      <c r="C379" s="1607"/>
      <c r="D379" s="1607"/>
      <c r="E379" s="1607"/>
      <c r="F379" s="1607"/>
      <c r="G379" s="1607"/>
      <c r="H379" s="1607"/>
      <c r="I379" s="1607"/>
      <c r="J379" s="1607"/>
      <c r="K379" s="1607"/>
      <c r="L379" s="1607"/>
      <c r="M379" s="1607"/>
      <c r="N379" s="1607"/>
      <c r="O379" s="1607"/>
      <c r="P379" s="1607"/>
      <c r="Q379" s="1607"/>
      <c r="R379" s="1607"/>
      <c r="S379" s="1607"/>
      <c r="T379" s="1607"/>
      <c r="U379" s="1607"/>
      <c r="V379" s="1607"/>
      <c r="W379" s="1607"/>
      <c r="X379" s="1607"/>
      <c r="Y379" s="1607"/>
      <c r="Z379" s="1607"/>
      <c r="AA379" s="1607"/>
      <c r="AB379" s="1607"/>
      <c r="AC379" s="1607"/>
      <c r="AD379" s="1607"/>
      <c r="AE379" s="1607"/>
      <c r="AF379" s="1607"/>
      <c r="AG379" s="1607"/>
      <c r="AH379" s="1607"/>
      <c r="AI379" s="1607"/>
      <c r="AJ379" s="1607"/>
      <c r="AK379" s="1607"/>
      <c r="AL379" s="1607"/>
      <c r="AM379" s="1607"/>
      <c r="AN379" s="1607"/>
      <c r="AO379" s="1607"/>
      <c r="AP379" s="1607"/>
      <c r="AQ379" s="1607"/>
      <c r="AR379" s="1607"/>
      <c r="AS379" s="1607"/>
      <c r="AT379" s="1607"/>
      <c r="AU379" s="1607"/>
      <c r="AV379" s="1607"/>
      <c r="AW379" s="1607"/>
      <c r="AX379" s="1607"/>
      <c r="AY379" s="1607"/>
      <c r="AZ379" s="1607"/>
      <c r="BA379" s="1607"/>
      <c r="BB379" s="1607"/>
      <c r="BC379" s="1607"/>
      <c r="BD379" s="1607"/>
      <c r="BE379" s="1607"/>
      <c r="BF379" s="1607"/>
      <c r="BG379" s="1607"/>
      <c r="BH379" s="1607"/>
      <c r="BI379" s="1607"/>
      <c r="BJ379" s="1607"/>
      <c r="BK379" s="1607"/>
      <c r="BL379" s="1607"/>
    </row>
    <row r="380">
      <c r="A380" s="1607"/>
      <c r="B380" s="1607"/>
      <c r="C380" s="1607"/>
      <c r="D380" s="1607"/>
      <c r="E380" s="1607"/>
      <c r="F380" s="1607"/>
      <c r="G380" s="1607"/>
      <c r="H380" s="1607"/>
      <c r="I380" s="1607"/>
      <c r="J380" s="1607"/>
      <c r="K380" s="1607"/>
      <c r="L380" s="1607"/>
      <c r="M380" s="1607"/>
      <c r="N380" s="1607"/>
      <c r="O380" s="1607"/>
      <c r="P380" s="1607"/>
      <c r="Q380" s="1607"/>
      <c r="R380" s="1607"/>
      <c r="S380" s="1607"/>
      <c r="T380" s="1607"/>
      <c r="U380" s="1607"/>
      <c r="V380" s="1607"/>
      <c r="W380" s="1607"/>
      <c r="X380" s="1607"/>
      <c r="Y380" s="1607"/>
      <c r="Z380" s="1607"/>
      <c r="AA380" s="1607"/>
      <c r="AB380" s="1607"/>
      <c r="AC380" s="1607"/>
      <c r="AD380" s="1607"/>
      <c r="AE380" s="1607"/>
      <c r="AF380" s="1607"/>
      <c r="AG380" s="1607"/>
      <c r="AH380" s="1607"/>
      <c r="AI380" s="1607"/>
      <c r="AJ380" s="1607"/>
      <c r="AK380" s="1607"/>
      <c r="AL380" s="1607"/>
      <c r="AM380" s="1607"/>
      <c r="AN380" s="1607"/>
      <c r="AO380" s="1607"/>
      <c r="AP380" s="1607"/>
      <c r="AQ380" s="1607"/>
      <c r="AR380" s="1607"/>
      <c r="AS380" s="1607"/>
      <c r="AT380" s="1607"/>
      <c r="AU380" s="1607"/>
      <c r="AV380" s="1607"/>
      <c r="AW380" s="1607"/>
      <c r="AX380" s="1607"/>
      <c r="AY380" s="1607"/>
      <c r="AZ380" s="1607"/>
      <c r="BA380" s="1607"/>
      <c r="BB380" s="1607"/>
      <c r="BC380" s="1607"/>
      <c r="BD380" s="1607"/>
      <c r="BE380" s="1607"/>
      <c r="BF380" s="1607"/>
      <c r="BG380" s="1607"/>
      <c r="BH380" s="1607"/>
      <c r="BI380" s="1607"/>
      <c r="BJ380" s="1607"/>
      <c r="BK380" s="1607"/>
      <c r="BL380" s="1607"/>
    </row>
    <row r="381">
      <c r="A381" s="1607"/>
      <c r="B381" s="1607"/>
      <c r="C381" s="1607"/>
      <c r="D381" s="1607"/>
      <c r="E381" s="1607"/>
      <c r="F381" s="1607"/>
      <c r="G381" s="1607"/>
      <c r="H381" s="1607"/>
      <c r="I381" s="1607"/>
      <c r="J381" s="1607"/>
      <c r="K381" s="1607"/>
      <c r="L381" s="1607"/>
      <c r="M381" s="1607"/>
      <c r="N381" s="1607"/>
      <c r="O381" s="1607"/>
      <c r="P381" s="1607"/>
      <c r="Q381" s="1607"/>
      <c r="R381" s="1607"/>
      <c r="S381" s="1607"/>
      <c r="T381" s="1607"/>
      <c r="U381" s="1607"/>
      <c r="V381" s="1607"/>
      <c r="W381" s="1607"/>
      <c r="X381" s="1607"/>
      <c r="Y381" s="1607"/>
      <c r="Z381" s="1607"/>
      <c r="AA381" s="1607"/>
      <c r="AB381" s="1607"/>
      <c r="AC381" s="1607"/>
      <c r="AD381" s="1607"/>
      <c r="AE381" s="1607"/>
      <c r="AF381" s="1607"/>
      <c r="AG381" s="1607"/>
      <c r="AH381" s="1607"/>
      <c r="AI381" s="1607"/>
      <c r="AJ381" s="1607"/>
      <c r="AK381" s="1607"/>
      <c r="AL381" s="1607"/>
      <c r="AM381" s="1607"/>
      <c r="AN381" s="1607"/>
      <c r="AO381" s="1607"/>
      <c r="AP381" s="1607"/>
      <c r="AQ381" s="1607"/>
      <c r="AR381" s="1607"/>
      <c r="AS381" s="1607"/>
      <c r="AT381" s="1607"/>
      <c r="AU381" s="1607"/>
      <c r="AV381" s="1607"/>
      <c r="AW381" s="1607"/>
      <c r="AX381" s="1607"/>
      <c r="AY381" s="1607"/>
      <c r="AZ381" s="1607"/>
      <c r="BA381" s="1607"/>
      <c r="BB381" s="1607"/>
      <c r="BC381" s="1607"/>
      <c r="BD381" s="1607"/>
      <c r="BE381" s="1607"/>
      <c r="BF381" s="1607"/>
      <c r="BG381" s="1607"/>
      <c r="BH381" s="1607"/>
      <c r="BI381" s="1607"/>
      <c r="BJ381" s="1607"/>
      <c r="BK381" s="1607"/>
      <c r="BL381" s="1607"/>
    </row>
    <row r="382">
      <c r="A382" s="1607"/>
      <c r="B382" s="1607"/>
      <c r="C382" s="1607"/>
      <c r="D382" s="1607"/>
      <c r="E382" s="1607"/>
      <c r="F382" s="1607"/>
      <c r="G382" s="1607"/>
      <c r="H382" s="1607"/>
      <c r="I382" s="1607"/>
      <c r="J382" s="1607"/>
      <c r="K382" s="1607"/>
      <c r="L382" s="1607"/>
      <c r="M382" s="1607"/>
      <c r="N382" s="1607"/>
      <c r="O382" s="1607"/>
      <c r="P382" s="1607"/>
      <c r="Q382" s="1607"/>
      <c r="R382" s="1607"/>
      <c r="S382" s="1607"/>
      <c r="T382" s="1607"/>
      <c r="U382" s="1607"/>
      <c r="V382" s="1607"/>
      <c r="W382" s="1607"/>
      <c r="X382" s="1607"/>
      <c r="Y382" s="1607"/>
      <c r="Z382" s="1607"/>
      <c r="AA382" s="1607"/>
      <c r="AB382" s="1607"/>
      <c r="AC382" s="1607"/>
      <c r="AD382" s="1607"/>
      <c r="AE382" s="1607"/>
      <c r="AF382" s="1607"/>
      <c r="AG382" s="1607"/>
      <c r="AH382" s="1607"/>
      <c r="AI382" s="1607"/>
      <c r="AJ382" s="1607"/>
      <c r="AK382" s="1607"/>
      <c r="AL382" s="1607"/>
      <c r="AM382" s="1607"/>
      <c r="AN382" s="1607"/>
      <c r="AO382" s="1607"/>
      <c r="AP382" s="1607"/>
      <c r="AQ382" s="1607"/>
      <c r="AR382" s="1607"/>
      <c r="AS382" s="1607"/>
      <c r="AT382" s="1607"/>
      <c r="AU382" s="1607"/>
      <c r="AV382" s="1607"/>
      <c r="AW382" s="1607"/>
      <c r="AX382" s="1607"/>
      <c r="AY382" s="1607"/>
      <c r="AZ382" s="1607"/>
      <c r="BA382" s="1607"/>
      <c r="BB382" s="1607"/>
      <c r="BC382" s="1607"/>
      <c r="BD382" s="1607"/>
      <c r="BE382" s="1607"/>
      <c r="BF382" s="1607"/>
      <c r="BG382" s="1607"/>
      <c r="BH382" s="1607"/>
      <c r="BI382" s="1607"/>
      <c r="BJ382" s="1607"/>
      <c r="BK382" s="1607"/>
      <c r="BL382" s="1607"/>
    </row>
    <row r="383">
      <c r="A383" s="1607"/>
      <c r="B383" s="1607"/>
      <c r="C383" s="1607"/>
      <c r="D383" s="1607"/>
      <c r="E383" s="1607"/>
      <c r="F383" s="1607"/>
      <c r="G383" s="1607"/>
      <c r="H383" s="1607"/>
      <c r="I383" s="1607"/>
      <c r="J383" s="1607"/>
      <c r="K383" s="1607"/>
      <c r="L383" s="1607"/>
      <c r="M383" s="1607"/>
      <c r="N383" s="1607"/>
      <c r="O383" s="1607"/>
      <c r="P383" s="1607"/>
      <c r="Q383" s="1607"/>
      <c r="R383" s="1607"/>
      <c r="S383" s="1607"/>
      <c r="T383" s="1607"/>
      <c r="U383" s="1607"/>
      <c r="V383" s="1607"/>
      <c r="W383" s="1607"/>
      <c r="X383" s="1607"/>
      <c r="Y383" s="1607"/>
      <c r="Z383" s="1607"/>
      <c r="AA383" s="1607"/>
      <c r="AB383" s="1607"/>
      <c r="AC383" s="1607"/>
      <c r="AD383" s="1607"/>
      <c r="AE383" s="1607"/>
      <c r="AF383" s="1607"/>
      <c r="AG383" s="1607"/>
      <c r="AH383" s="1607"/>
      <c r="AI383" s="1607"/>
      <c r="AJ383" s="1607"/>
      <c r="AK383" s="1607"/>
      <c r="AL383" s="1607"/>
      <c r="AM383" s="1607"/>
      <c r="AN383" s="1607"/>
      <c r="AO383" s="1607"/>
      <c r="AP383" s="1607"/>
      <c r="AQ383" s="1607"/>
      <c r="AR383" s="1607"/>
      <c r="AS383" s="1607"/>
      <c r="AT383" s="1607"/>
      <c r="AU383" s="1607"/>
      <c r="AV383" s="1607"/>
      <c r="AW383" s="1607"/>
      <c r="AX383" s="1607"/>
      <c r="AY383" s="1607"/>
      <c r="AZ383" s="1607"/>
      <c r="BA383" s="1607"/>
      <c r="BB383" s="1607"/>
      <c r="BC383" s="1607"/>
      <c r="BD383" s="1607"/>
      <c r="BE383" s="1607"/>
      <c r="BF383" s="1607"/>
      <c r="BG383" s="1607"/>
      <c r="BH383" s="1607"/>
      <c r="BI383" s="1607"/>
      <c r="BJ383" s="1607"/>
      <c r="BK383" s="1607"/>
      <c r="BL383" s="1607"/>
    </row>
    <row r="384">
      <c r="A384" s="1607"/>
      <c r="B384" s="1607"/>
      <c r="C384" s="1607"/>
      <c r="D384" s="1607"/>
      <c r="E384" s="1607"/>
      <c r="F384" s="1607"/>
      <c r="G384" s="1607"/>
      <c r="H384" s="1607"/>
      <c r="I384" s="1607"/>
      <c r="J384" s="1607"/>
      <c r="K384" s="1607"/>
      <c r="L384" s="1607"/>
      <c r="M384" s="1607"/>
      <c r="N384" s="1607"/>
      <c r="O384" s="1607"/>
      <c r="P384" s="1607"/>
      <c r="Q384" s="1607"/>
      <c r="R384" s="1607"/>
      <c r="S384" s="1607"/>
      <c r="T384" s="1607"/>
      <c r="U384" s="1607"/>
      <c r="V384" s="1607"/>
      <c r="W384" s="1607"/>
      <c r="X384" s="1607"/>
      <c r="Y384" s="1607"/>
      <c r="Z384" s="1607"/>
      <c r="AA384" s="1607"/>
      <c r="AB384" s="1607"/>
      <c r="AC384" s="1607"/>
      <c r="AD384" s="1607"/>
      <c r="AE384" s="1607"/>
      <c r="AF384" s="1607"/>
      <c r="AG384" s="1607"/>
      <c r="AH384" s="1607"/>
      <c r="AI384" s="1607"/>
      <c r="AJ384" s="1607"/>
      <c r="AK384" s="1607"/>
      <c r="AL384" s="1607"/>
      <c r="AM384" s="1607"/>
      <c r="AN384" s="1607"/>
      <c r="AO384" s="1607"/>
      <c r="AP384" s="1607"/>
      <c r="AQ384" s="1607"/>
      <c r="AR384" s="1607"/>
      <c r="AS384" s="1607"/>
      <c r="AT384" s="1607"/>
      <c r="AU384" s="1607"/>
      <c r="AV384" s="1607"/>
      <c r="AW384" s="1607"/>
      <c r="AX384" s="1607"/>
      <c r="AY384" s="1607"/>
      <c r="AZ384" s="1607"/>
      <c r="BA384" s="1607"/>
      <c r="BB384" s="1607"/>
      <c r="BC384" s="1607"/>
      <c r="BD384" s="1607"/>
      <c r="BE384" s="1607"/>
      <c r="BF384" s="1607"/>
      <c r="BG384" s="1607"/>
      <c r="BH384" s="1607"/>
      <c r="BI384" s="1607"/>
      <c r="BJ384" s="1607"/>
      <c r="BK384" s="1607"/>
      <c r="BL384" s="1607"/>
    </row>
    <row r="385">
      <c r="A385" s="1607"/>
      <c r="B385" s="1607"/>
      <c r="C385" s="1607"/>
      <c r="D385" s="1607"/>
      <c r="E385" s="1607"/>
      <c r="F385" s="1607"/>
      <c r="G385" s="1607"/>
      <c r="H385" s="1607"/>
      <c r="I385" s="1607"/>
      <c r="J385" s="1607"/>
      <c r="K385" s="1607"/>
      <c r="L385" s="1607"/>
      <c r="M385" s="1607"/>
      <c r="N385" s="1607"/>
      <c r="O385" s="1607"/>
      <c r="P385" s="1607"/>
      <c r="Q385" s="1607"/>
      <c r="R385" s="1607"/>
      <c r="S385" s="1607"/>
      <c r="T385" s="1607"/>
      <c r="U385" s="1607"/>
      <c r="V385" s="1607"/>
      <c r="W385" s="1607"/>
      <c r="X385" s="1607"/>
      <c r="Y385" s="1607"/>
      <c r="Z385" s="1607"/>
      <c r="AA385" s="1607"/>
      <c r="AB385" s="1607"/>
      <c r="AC385" s="1607"/>
      <c r="AD385" s="1607"/>
      <c r="AE385" s="1607"/>
      <c r="AF385" s="1607"/>
      <c r="AG385" s="1607"/>
      <c r="AH385" s="1607"/>
      <c r="AI385" s="1607"/>
      <c r="AJ385" s="1607"/>
      <c r="AK385" s="1607"/>
      <c r="AL385" s="1607"/>
      <c r="AM385" s="1607"/>
      <c r="AN385" s="1607"/>
      <c r="AO385" s="1607"/>
      <c r="AP385" s="1607"/>
      <c r="AQ385" s="1607"/>
      <c r="AR385" s="1607"/>
      <c r="AS385" s="1607"/>
      <c r="AT385" s="1607"/>
      <c r="AU385" s="1607"/>
      <c r="AV385" s="1607"/>
      <c r="AW385" s="1607"/>
      <c r="AX385" s="1607"/>
      <c r="AY385" s="1607"/>
      <c r="AZ385" s="1607"/>
      <c r="BA385" s="1607"/>
      <c r="BB385" s="1607"/>
      <c r="BC385" s="1607"/>
      <c r="BD385" s="1607"/>
      <c r="BE385" s="1607"/>
      <c r="BF385" s="1607"/>
      <c r="BG385" s="1607"/>
      <c r="BH385" s="1607"/>
      <c r="BI385" s="1607"/>
      <c r="BJ385" s="1607"/>
      <c r="BK385" s="1607"/>
      <c r="BL385" s="1607"/>
    </row>
    <row r="386">
      <c r="A386" s="1607"/>
      <c r="B386" s="1607"/>
      <c r="C386" s="1607"/>
      <c r="D386" s="1607"/>
      <c r="E386" s="1607"/>
      <c r="F386" s="1607"/>
      <c r="G386" s="1607"/>
      <c r="H386" s="1607"/>
      <c r="I386" s="1607"/>
      <c r="J386" s="1607"/>
      <c r="K386" s="1607"/>
      <c r="L386" s="1607"/>
      <c r="M386" s="1607"/>
      <c r="N386" s="1607"/>
      <c r="O386" s="1607"/>
      <c r="P386" s="1607"/>
      <c r="Q386" s="1607"/>
      <c r="R386" s="1607"/>
      <c r="S386" s="1607"/>
      <c r="T386" s="1607"/>
      <c r="U386" s="1607"/>
      <c r="V386" s="1607"/>
      <c r="W386" s="1607"/>
      <c r="X386" s="1607"/>
      <c r="Y386" s="1607"/>
      <c r="Z386" s="1607"/>
      <c r="AA386" s="1607"/>
      <c r="AB386" s="1607"/>
      <c r="AC386" s="1607"/>
      <c r="AD386" s="1607"/>
      <c r="AE386" s="1607"/>
      <c r="AF386" s="1607"/>
      <c r="AG386" s="1607"/>
      <c r="AH386" s="1607"/>
      <c r="AI386" s="1607"/>
      <c r="AJ386" s="1607"/>
      <c r="AK386" s="1607"/>
      <c r="AL386" s="1607"/>
      <c r="AM386" s="1607"/>
      <c r="AN386" s="1607"/>
      <c r="AO386" s="1607"/>
      <c r="AP386" s="1607"/>
      <c r="AQ386" s="1607"/>
      <c r="AR386" s="1607"/>
      <c r="AS386" s="1607"/>
      <c r="AT386" s="1607"/>
      <c r="AU386" s="1607"/>
      <c r="AV386" s="1607"/>
      <c r="AW386" s="1607"/>
      <c r="AX386" s="1607"/>
      <c r="AY386" s="1607"/>
      <c r="AZ386" s="1607"/>
      <c r="BA386" s="1607"/>
      <c r="BB386" s="1607"/>
      <c r="BC386" s="1607"/>
      <c r="BD386" s="1607"/>
      <c r="BE386" s="1607"/>
      <c r="BF386" s="1607"/>
      <c r="BG386" s="1607"/>
      <c r="BH386" s="1607"/>
      <c r="BI386" s="1607"/>
      <c r="BJ386" s="1607"/>
      <c r="BK386" s="1607"/>
      <c r="BL386" s="1607"/>
    </row>
    <row r="387">
      <c r="A387" s="1607"/>
      <c r="B387" s="1607"/>
      <c r="C387" s="1607"/>
      <c r="D387" s="1607"/>
      <c r="E387" s="1607"/>
      <c r="F387" s="1607"/>
      <c r="G387" s="1607"/>
      <c r="H387" s="1607"/>
      <c r="I387" s="1607"/>
      <c r="J387" s="1607"/>
      <c r="K387" s="1607"/>
      <c r="L387" s="1607"/>
      <c r="M387" s="1607"/>
      <c r="N387" s="1607"/>
      <c r="O387" s="1607"/>
      <c r="P387" s="1607"/>
      <c r="Q387" s="1607"/>
      <c r="R387" s="1607"/>
      <c r="S387" s="1607"/>
      <c r="T387" s="1607"/>
      <c r="U387" s="1607"/>
      <c r="V387" s="1607"/>
      <c r="W387" s="1607"/>
      <c r="X387" s="1607"/>
      <c r="Y387" s="1607"/>
      <c r="Z387" s="1607"/>
      <c r="AA387" s="1607"/>
      <c r="AB387" s="1607"/>
      <c r="AC387" s="1607"/>
      <c r="AD387" s="1607"/>
      <c r="AE387" s="1607"/>
      <c r="AF387" s="1607"/>
      <c r="AG387" s="1607"/>
      <c r="AH387" s="1607"/>
      <c r="AI387" s="1607"/>
      <c r="AJ387" s="1607"/>
      <c r="AK387" s="1607"/>
      <c r="AL387" s="1607"/>
      <c r="AM387" s="1607"/>
      <c r="AN387" s="1607"/>
      <c r="AO387" s="1607"/>
      <c r="AP387" s="1607"/>
      <c r="AQ387" s="1607"/>
      <c r="AR387" s="1607"/>
      <c r="AS387" s="1607"/>
      <c r="AT387" s="1607"/>
      <c r="AU387" s="1607"/>
      <c r="AV387" s="1607"/>
      <c r="AW387" s="1607"/>
      <c r="AX387" s="1607"/>
      <c r="AY387" s="1607"/>
      <c r="AZ387" s="1607"/>
      <c r="BA387" s="1607"/>
      <c r="BB387" s="1607"/>
      <c r="BC387" s="1607"/>
      <c r="BD387" s="1607"/>
      <c r="BE387" s="1607"/>
      <c r="BF387" s="1607"/>
      <c r="BG387" s="1607"/>
      <c r="BH387" s="1607"/>
      <c r="BI387" s="1607"/>
      <c r="BJ387" s="1607"/>
      <c r="BK387" s="1607"/>
      <c r="BL387" s="1607"/>
    </row>
    <row r="388">
      <c r="A388" s="1607"/>
      <c r="B388" s="1607"/>
      <c r="C388" s="1607"/>
      <c r="D388" s="1607"/>
      <c r="E388" s="1607"/>
      <c r="F388" s="1607"/>
      <c r="G388" s="1607"/>
      <c r="H388" s="1607"/>
      <c r="I388" s="1607"/>
      <c r="J388" s="1607"/>
      <c r="K388" s="1607"/>
      <c r="L388" s="1607"/>
      <c r="M388" s="1607"/>
      <c r="N388" s="1607"/>
      <c r="O388" s="1607"/>
      <c r="P388" s="1607"/>
      <c r="Q388" s="1607"/>
      <c r="R388" s="1607"/>
      <c r="S388" s="1607"/>
      <c r="T388" s="1607"/>
      <c r="U388" s="1607"/>
      <c r="V388" s="1607"/>
      <c r="W388" s="1607"/>
      <c r="X388" s="1607"/>
      <c r="Y388" s="1607"/>
      <c r="Z388" s="1607"/>
      <c r="AA388" s="1607"/>
      <c r="AB388" s="1607"/>
      <c r="AC388" s="1607"/>
      <c r="AD388" s="1607"/>
      <c r="AE388" s="1607"/>
      <c r="AF388" s="1607"/>
      <c r="AG388" s="1607"/>
      <c r="AH388" s="1607"/>
      <c r="AI388" s="1607"/>
      <c r="AJ388" s="1607"/>
      <c r="AK388" s="1607"/>
      <c r="AL388" s="1607"/>
      <c r="AM388" s="1607"/>
      <c r="AN388" s="1607"/>
      <c r="AO388" s="1607"/>
      <c r="AP388" s="1607"/>
      <c r="AQ388" s="1607"/>
      <c r="AR388" s="1607"/>
      <c r="AS388" s="1607"/>
      <c r="AT388" s="1607"/>
      <c r="AU388" s="1607"/>
      <c r="AV388" s="1607"/>
      <c r="AW388" s="1607"/>
      <c r="AX388" s="1607"/>
      <c r="AY388" s="1607"/>
      <c r="AZ388" s="1607"/>
      <c r="BA388" s="1607"/>
      <c r="BB388" s="1607"/>
      <c r="BC388" s="1607"/>
      <c r="BD388" s="1607"/>
      <c r="BE388" s="1607"/>
      <c r="BF388" s="1607"/>
      <c r="BG388" s="1607"/>
      <c r="BH388" s="1607"/>
      <c r="BI388" s="1607"/>
      <c r="BJ388" s="1607"/>
      <c r="BK388" s="1607"/>
      <c r="BL388" s="1607"/>
    </row>
    <row r="389">
      <c r="A389" s="1607"/>
      <c r="B389" s="1607"/>
      <c r="C389" s="1607"/>
      <c r="D389" s="1607"/>
      <c r="E389" s="1607"/>
      <c r="F389" s="1607"/>
      <c r="G389" s="1607"/>
      <c r="H389" s="1607"/>
      <c r="I389" s="1607"/>
      <c r="J389" s="1607"/>
      <c r="K389" s="1607"/>
      <c r="L389" s="1607"/>
      <c r="M389" s="1607"/>
      <c r="N389" s="1607"/>
      <c r="O389" s="1607"/>
      <c r="P389" s="1607"/>
      <c r="Q389" s="1607"/>
      <c r="R389" s="1607"/>
      <c r="S389" s="1607"/>
      <c r="T389" s="1607"/>
      <c r="U389" s="1607"/>
      <c r="V389" s="1607"/>
      <c r="W389" s="1607"/>
      <c r="X389" s="1607"/>
      <c r="Y389" s="1607"/>
      <c r="Z389" s="1607"/>
      <c r="AA389" s="1607"/>
      <c r="AB389" s="1607"/>
      <c r="AC389" s="1607"/>
      <c r="AD389" s="1607"/>
      <c r="AE389" s="1607"/>
      <c r="AF389" s="1607"/>
      <c r="AG389" s="1607"/>
      <c r="AH389" s="1607"/>
      <c r="AI389" s="1607"/>
      <c r="AJ389" s="1607"/>
      <c r="AK389" s="1607"/>
      <c r="AL389" s="1607"/>
      <c r="AM389" s="1607"/>
      <c r="AN389" s="1607"/>
      <c r="AO389" s="1607"/>
      <c r="AP389" s="1607"/>
      <c r="AQ389" s="1607"/>
      <c r="AR389" s="1607"/>
      <c r="AS389" s="1607"/>
      <c r="AT389" s="1607"/>
      <c r="AU389" s="1607"/>
      <c r="AV389" s="1607"/>
      <c r="AW389" s="1607"/>
      <c r="AX389" s="1607"/>
      <c r="AY389" s="1607"/>
      <c r="AZ389" s="1607"/>
      <c r="BA389" s="1607"/>
      <c r="BB389" s="1607"/>
      <c r="BC389" s="1607"/>
      <c r="BD389" s="1607"/>
      <c r="BE389" s="1607"/>
      <c r="BF389" s="1607"/>
      <c r="BG389" s="1607"/>
      <c r="BH389" s="1607"/>
      <c r="BI389" s="1607"/>
      <c r="BJ389" s="1607"/>
      <c r="BK389" s="1607"/>
      <c r="BL389" s="1607"/>
    </row>
    <row r="390">
      <c r="A390" s="1607"/>
      <c r="B390" s="1607"/>
      <c r="C390" s="1607"/>
      <c r="D390" s="1607"/>
      <c r="E390" s="1607"/>
      <c r="F390" s="1607"/>
      <c r="G390" s="1607"/>
      <c r="H390" s="1607"/>
      <c r="I390" s="1607"/>
      <c r="J390" s="1607"/>
      <c r="K390" s="1607"/>
      <c r="L390" s="1607"/>
      <c r="M390" s="1607"/>
      <c r="N390" s="1607"/>
      <c r="O390" s="1607"/>
      <c r="P390" s="1607"/>
      <c r="Q390" s="1607"/>
      <c r="R390" s="1607"/>
      <c r="S390" s="1607"/>
      <c r="T390" s="1607"/>
      <c r="U390" s="1607"/>
      <c r="V390" s="1607"/>
      <c r="W390" s="1607"/>
      <c r="X390" s="1607"/>
      <c r="Y390" s="1607"/>
      <c r="Z390" s="1607"/>
      <c r="AA390" s="1607"/>
      <c r="AB390" s="1607"/>
      <c r="AC390" s="1607"/>
      <c r="AD390" s="1607"/>
      <c r="AE390" s="1607"/>
      <c r="AF390" s="1607"/>
      <c r="AG390" s="1607"/>
      <c r="AH390" s="1607"/>
      <c r="AI390" s="1607"/>
      <c r="AJ390" s="1607"/>
      <c r="AK390" s="1607"/>
      <c r="AL390" s="1607"/>
      <c r="AM390" s="1607"/>
      <c r="AN390" s="1607"/>
      <c r="AO390" s="1607"/>
      <c r="AP390" s="1607"/>
      <c r="AQ390" s="1607"/>
      <c r="AR390" s="1607"/>
      <c r="AS390" s="1607"/>
      <c r="AT390" s="1607"/>
      <c r="AU390" s="1607"/>
      <c r="AV390" s="1607"/>
      <c r="AW390" s="1607"/>
      <c r="AX390" s="1607"/>
      <c r="AY390" s="1607"/>
      <c r="AZ390" s="1607"/>
      <c r="BA390" s="1607"/>
      <c r="BB390" s="1607"/>
      <c r="BC390" s="1607"/>
      <c r="BD390" s="1607"/>
      <c r="BE390" s="1607"/>
      <c r="BF390" s="1607"/>
      <c r="BG390" s="1607"/>
      <c r="BH390" s="1607"/>
      <c r="BI390" s="1607"/>
      <c r="BJ390" s="1607"/>
      <c r="BK390" s="1607"/>
      <c r="BL390" s="1607"/>
    </row>
    <row r="391">
      <c r="A391" s="1607"/>
      <c r="B391" s="1607"/>
      <c r="C391" s="1607"/>
      <c r="D391" s="1607"/>
      <c r="E391" s="1607"/>
      <c r="F391" s="1607"/>
      <c r="G391" s="1607"/>
      <c r="H391" s="1607"/>
      <c r="I391" s="1607"/>
      <c r="J391" s="1607"/>
      <c r="K391" s="1607"/>
      <c r="L391" s="1607"/>
      <c r="M391" s="1607"/>
      <c r="N391" s="1607"/>
      <c r="O391" s="1607"/>
      <c r="P391" s="1607"/>
      <c r="Q391" s="1607"/>
      <c r="R391" s="1607"/>
      <c r="S391" s="1607"/>
      <c r="T391" s="1607"/>
      <c r="U391" s="1607"/>
      <c r="V391" s="1607"/>
      <c r="W391" s="1607"/>
      <c r="X391" s="1607"/>
      <c r="Y391" s="1607"/>
      <c r="Z391" s="1607"/>
      <c r="AA391" s="1607"/>
      <c r="AB391" s="1607"/>
      <c r="AC391" s="1607"/>
      <c r="AD391" s="1607"/>
      <c r="AE391" s="1607"/>
      <c r="AF391" s="1607"/>
      <c r="AG391" s="1607"/>
      <c r="AH391" s="1607"/>
      <c r="AI391" s="1607"/>
      <c r="AJ391" s="1607"/>
      <c r="AK391" s="1607"/>
      <c r="AL391" s="1607"/>
      <c r="AM391" s="1607"/>
      <c r="AN391" s="1607"/>
      <c r="AO391" s="1607"/>
      <c r="AP391" s="1607"/>
      <c r="AQ391" s="1607"/>
      <c r="AR391" s="1607"/>
      <c r="AS391" s="1607"/>
      <c r="AT391" s="1607"/>
      <c r="AU391" s="1607"/>
      <c r="AV391" s="1607"/>
      <c r="AW391" s="1607"/>
      <c r="AX391" s="1607"/>
      <c r="AY391" s="1607"/>
      <c r="AZ391" s="1607"/>
      <c r="BA391" s="1607"/>
      <c r="BB391" s="1607"/>
      <c r="BC391" s="1607"/>
      <c r="BD391" s="1607"/>
      <c r="BE391" s="1607"/>
      <c r="BF391" s="1607"/>
      <c r="BG391" s="1607"/>
      <c r="BH391" s="1607"/>
      <c r="BI391" s="1607"/>
      <c r="BJ391" s="1607"/>
      <c r="BK391" s="1607"/>
      <c r="BL391" s="1607"/>
    </row>
    <row r="392">
      <c r="A392" s="1607"/>
      <c r="B392" s="1607"/>
      <c r="C392" s="1607"/>
      <c r="D392" s="1607"/>
      <c r="E392" s="1607"/>
      <c r="F392" s="1607"/>
      <c r="G392" s="1607"/>
      <c r="H392" s="1607"/>
      <c r="I392" s="1607"/>
      <c r="J392" s="1607"/>
      <c r="K392" s="1607"/>
      <c r="L392" s="1607"/>
      <c r="M392" s="1607"/>
      <c r="N392" s="1607"/>
      <c r="O392" s="1607"/>
      <c r="P392" s="1607"/>
      <c r="Q392" s="1607"/>
      <c r="R392" s="1607"/>
      <c r="S392" s="1607"/>
      <c r="T392" s="1607"/>
      <c r="U392" s="1607"/>
      <c r="V392" s="1607"/>
      <c r="W392" s="1607"/>
      <c r="X392" s="1607"/>
      <c r="Y392" s="1607"/>
      <c r="Z392" s="1607"/>
      <c r="AA392" s="1607"/>
      <c r="AB392" s="1607"/>
      <c r="AC392" s="1607"/>
      <c r="AD392" s="1607"/>
      <c r="AE392" s="1607"/>
      <c r="AF392" s="1607"/>
      <c r="AG392" s="1607"/>
      <c r="AH392" s="1607"/>
      <c r="AI392" s="1607"/>
      <c r="AJ392" s="1607"/>
      <c r="AK392" s="1607"/>
      <c r="AL392" s="1607"/>
      <c r="AM392" s="1607"/>
      <c r="AN392" s="1607"/>
      <c r="AO392" s="1607"/>
      <c r="AP392" s="1607"/>
      <c r="AQ392" s="1607"/>
      <c r="AR392" s="1607"/>
      <c r="AS392" s="1607"/>
      <c r="AT392" s="1607"/>
      <c r="AU392" s="1607"/>
      <c r="AV392" s="1607"/>
      <c r="AW392" s="1607"/>
      <c r="AX392" s="1607"/>
      <c r="AY392" s="1607"/>
      <c r="AZ392" s="1607"/>
      <c r="BA392" s="1607"/>
      <c r="BB392" s="1607"/>
      <c r="BC392" s="1607"/>
      <c r="BD392" s="1607"/>
      <c r="BE392" s="1607"/>
      <c r="BF392" s="1607"/>
      <c r="BG392" s="1607"/>
      <c r="BH392" s="1607"/>
      <c r="BI392" s="1607"/>
      <c r="BJ392" s="1607"/>
      <c r="BK392" s="1607"/>
      <c r="BL392" s="1607"/>
    </row>
    <row r="393">
      <c r="A393" s="1607"/>
      <c r="B393" s="1607"/>
      <c r="C393" s="1607"/>
      <c r="D393" s="1607"/>
      <c r="E393" s="1607"/>
      <c r="F393" s="1607"/>
      <c r="G393" s="1607"/>
      <c r="H393" s="1607"/>
      <c r="I393" s="1607"/>
      <c r="J393" s="1607"/>
      <c r="K393" s="1607"/>
      <c r="L393" s="1607"/>
      <c r="M393" s="1607"/>
      <c r="N393" s="1607"/>
      <c r="O393" s="1607"/>
      <c r="P393" s="1607"/>
      <c r="Q393" s="1607"/>
      <c r="R393" s="1607"/>
      <c r="S393" s="1607"/>
      <c r="T393" s="1607"/>
      <c r="U393" s="1607"/>
      <c r="V393" s="1607"/>
      <c r="W393" s="1607"/>
      <c r="X393" s="1607"/>
      <c r="Y393" s="1607"/>
      <c r="Z393" s="1607"/>
      <c r="AA393" s="1607"/>
      <c r="AB393" s="1607"/>
      <c r="AC393" s="1607"/>
      <c r="AD393" s="1607"/>
      <c r="AE393" s="1607"/>
      <c r="AF393" s="1607"/>
      <c r="AG393" s="1607"/>
      <c r="AH393" s="1607"/>
      <c r="AI393" s="1607"/>
      <c r="AJ393" s="1607"/>
      <c r="AK393" s="1607"/>
      <c r="AL393" s="1607"/>
      <c r="AM393" s="1607"/>
      <c r="AN393" s="1607"/>
      <c r="AO393" s="1607"/>
      <c r="AP393" s="1607"/>
      <c r="AQ393" s="1607"/>
      <c r="AR393" s="1607"/>
      <c r="AS393" s="1607"/>
      <c r="AT393" s="1607"/>
      <c r="AU393" s="1607"/>
      <c r="AV393" s="1607"/>
      <c r="AW393" s="1607"/>
      <c r="AX393" s="1607"/>
      <c r="AY393" s="1607"/>
      <c r="AZ393" s="1607"/>
      <c r="BA393" s="1607"/>
      <c r="BB393" s="1607"/>
      <c r="BC393" s="1607"/>
      <c r="BD393" s="1607"/>
      <c r="BE393" s="1607"/>
      <c r="BF393" s="1607"/>
      <c r="BG393" s="1607"/>
      <c r="BH393" s="1607"/>
      <c r="BI393" s="1607"/>
      <c r="BJ393" s="1607"/>
      <c r="BK393" s="1607"/>
      <c r="BL393" s="1607"/>
    </row>
    <row r="394">
      <c r="A394" s="1607"/>
      <c r="B394" s="1607"/>
      <c r="C394" s="1607"/>
      <c r="D394" s="1607"/>
      <c r="E394" s="1607"/>
      <c r="F394" s="1607"/>
      <c r="G394" s="1607"/>
      <c r="H394" s="1607"/>
      <c r="I394" s="1607"/>
      <c r="J394" s="1607"/>
      <c r="K394" s="1607"/>
      <c r="L394" s="1607"/>
      <c r="M394" s="1607"/>
      <c r="N394" s="1607"/>
      <c r="O394" s="1607"/>
      <c r="P394" s="1607"/>
      <c r="Q394" s="1607"/>
      <c r="R394" s="1607"/>
      <c r="S394" s="1607"/>
      <c r="T394" s="1607"/>
      <c r="U394" s="1607"/>
      <c r="V394" s="1607"/>
      <c r="W394" s="1607"/>
      <c r="X394" s="1607"/>
      <c r="Y394" s="1607"/>
      <c r="Z394" s="1607"/>
      <c r="AA394" s="1607"/>
      <c r="AB394" s="1607"/>
      <c r="AC394" s="1607"/>
      <c r="AD394" s="1607"/>
      <c r="AE394" s="1607"/>
      <c r="AF394" s="1607"/>
      <c r="AG394" s="1607"/>
      <c r="AH394" s="1607"/>
      <c r="AI394" s="1607"/>
      <c r="AJ394" s="1607"/>
      <c r="AK394" s="1607"/>
      <c r="AL394" s="1607"/>
      <c r="AM394" s="1607"/>
      <c r="AN394" s="1607"/>
      <c r="AO394" s="1607"/>
      <c r="AP394" s="1607"/>
      <c r="AQ394" s="1607"/>
      <c r="AR394" s="1607"/>
      <c r="AS394" s="1607"/>
      <c r="AT394" s="1607"/>
      <c r="AU394" s="1607"/>
      <c r="AV394" s="1607"/>
      <c r="AW394" s="1607"/>
      <c r="AX394" s="1607"/>
      <c r="AY394" s="1607"/>
      <c r="AZ394" s="1607"/>
      <c r="BA394" s="1607"/>
      <c r="BB394" s="1607"/>
      <c r="BC394" s="1607"/>
      <c r="BD394" s="1607"/>
      <c r="BE394" s="1607"/>
      <c r="BF394" s="1607"/>
      <c r="BG394" s="1607"/>
      <c r="BH394" s="1607"/>
      <c r="BI394" s="1607"/>
      <c r="BJ394" s="1607"/>
      <c r="BK394" s="1607"/>
      <c r="BL394" s="1607"/>
    </row>
    <row r="395">
      <c r="A395" s="1607"/>
      <c r="B395" s="1607"/>
      <c r="C395" s="1607"/>
      <c r="D395" s="1607"/>
      <c r="E395" s="1607"/>
      <c r="F395" s="1607"/>
      <c r="G395" s="1607"/>
      <c r="H395" s="1607"/>
      <c r="I395" s="1607"/>
      <c r="J395" s="1607"/>
      <c r="K395" s="1607"/>
      <c r="L395" s="1607"/>
      <c r="M395" s="1607"/>
      <c r="N395" s="1607"/>
      <c r="O395" s="1607"/>
      <c r="P395" s="1607"/>
      <c r="Q395" s="1607"/>
      <c r="R395" s="1607"/>
      <c r="S395" s="1607"/>
      <c r="T395" s="1607"/>
      <c r="U395" s="1607"/>
      <c r="V395" s="1607"/>
      <c r="W395" s="1607"/>
      <c r="X395" s="1607"/>
      <c r="Y395" s="1607"/>
      <c r="Z395" s="1607"/>
      <c r="AA395" s="1607"/>
      <c r="AB395" s="1607"/>
      <c r="AC395" s="1607"/>
      <c r="AD395" s="1607"/>
      <c r="AE395" s="1607"/>
      <c r="AF395" s="1607"/>
      <c r="AG395" s="1607"/>
      <c r="AH395" s="1607"/>
      <c r="AI395" s="1607"/>
      <c r="AJ395" s="1607"/>
      <c r="AK395" s="1607"/>
      <c r="AL395" s="1607"/>
      <c r="AM395" s="1607"/>
      <c r="AN395" s="1607"/>
      <c r="AO395" s="1607"/>
      <c r="AP395" s="1607"/>
      <c r="AQ395" s="1607"/>
      <c r="AR395" s="1607"/>
      <c r="AS395" s="1607"/>
      <c r="AT395" s="1607"/>
      <c r="AU395" s="1607"/>
      <c r="AV395" s="1607"/>
      <c r="AW395" s="1607"/>
      <c r="AX395" s="1607"/>
      <c r="AY395" s="1607"/>
      <c r="AZ395" s="1607"/>
      <c r="BA395" s="1607"/>
      <c r="BB395" s="1607"/>
      <c r="BC395" s="1607"/>
      <c r="BD395" s="1607"/>
      <c r="BE395" s="1607"/>
      <c r="BF395" s="1607"/>
      <c r="BG395" s="1607"/>
      <c r="BH395" s="1607"/>
      <c r="BI395" s="1607"/>
      <c r="BJ395" s="1607"/>
      <c r="BK395" s="1607"/>
      <c r="BL395" s="1607"/>
    </row>
    <row r="396">
      <c r="A396" s="1607"/>
      <c r="B396" s="1607"/>
      <c r="C396" s="1607"/>
      <c r="D396" s="1607"/>
      <c r="E396" s="1607"/>
      <c r="F396" s="1607"/>
      <c r="G396" s="1607"/>
      <c r="H396" s="1607"/>
      <c r="I396" s="1607"/>
      <c r="J396" s="1607"/>
      <c r="K396" s="1607"/>
      <c r="L396" s="1607"/>
      <c r="M396" s="1607"/>
      <c r="N396" s="1607"/>
      <c r="O396" s="1607"/>
      <c r="P396" s="1607"/>
      <c r="Q396" s="1607"/>
      <c r="R396" s="1607"/>
      <c r="S396" s="1607"/>
      <c r="T396" s="1607"/>
      <c r="U396" s="1607"/>
      <c r="V396" s="1607"/>
      <c r="W396" s="1607"/>
      <c r="X396" s="1607"/>
      <c r="Y396" s="1607"/>
      <c r="Z396" s="1607"/>
      <c r="AA396" s="1607"/>
      <c r="AB396" s="1607"/>
      <c r="AC396" s="1607"/>
      <c r="AD396" s="1607"/>
      <c r="AE396" s="1607"/>
      <c r="AF396" s="1607"/>
      <c r="AG396" s="1607"/>
      <c r="AH396" s="1607"/>
      <c r="AI396" s="1607"/>
      <c r="AJ396" s="1607"/>
      <c r="AK396" s="1607"/>
      <c r="AL396" s="1607"/>
      <c r="AM396" s="1607"/>
      <c r="AN396" s="1607"/>
      <c r="AO396" s="1607"/>
      <c r="AP396" s="1607"/>
      <c r="AQ396" s="1607"/>
      <c r="AR396" s="1607"/>
      <c r="AS396" s="1607"/>
      <c r="AT396" s="1607"/>
      <c r="AU396" s="1607"/>
      <c r="AV396" s="1607"/>
      <c r="AW396" s="1607"/>
      <c r="AX396" s="1607"/>
      <c r="AY396" s="1607"/>
      <c r="AZ396" s="1607"/>
      <c r="BA396" s="1607"/>
      <c r="BB396" s="1607"/>
      <c r="BC396" s="1607"/>
      <c r="BD396" s="1607"/>
      <c r="BE396" s="1607"/>
      <c r="BF396" s="1607"/>
      <c r="BG396" s="1607"/>
      <c r="BH396" s="1607"/>
      <c r="BI396" s="1607"/>
      <c r="BJ396" s="1607"/>
      <c r="BK396" s="1607"/>
      <c r="BL396" s="1607"/>
    </row>
    <row r="397">
      <c r="A397" s="1607"/>
      <c r="B397" s="1607"/>
      <c r="C397" s="1607"/>
      <c r="D397" s="1607"/>
      <c r="E397" s="1607"/>
      <c r="F397" s="1607"/>
      <c r="G397" s="1607"/>
      <c r="H397" s="1607"/>
      <c r="I397" s="1607"/>
      <c r="J397" s="1607"/>
      <c r="K397" s="1607"/>
      <c r="L397" s="1607"/>
      <c r="M397" s="1607"/>
      <c r="N397" s="1607"/>
      <c r="O397" s="1607"/>
      <c r="P397" s="1607"/>
      <c r="Q397" s="1607"/>
      <c r="R397" s="1607"/>
      <c r="S397" s="1607"/>
      <c r="T397" s="1607"/>
      <c r="U397" s="1607"/>
      <c r="V397" s="1607"/>
      <c r="W397" s="1607"/>
      <c r="X397" s="1607"/>
      <c r="Y397" s="1607"/>
      <c r="Z397" s="1607"/>
      <c r="AA397" s="1607"/>
      <c r="AB397" s="1607"/>
      <c r="AC397" s="1607"/>
      <c r="AD397" s="1607"/>
      <c r="AE397" s="1607"/>
      <c r="AF397" s="1607"/>
      <c r="AG397" s="1607"/>
      <c r="AH397" s="1607"/>
      <c r="AI397" s="1607"/>
      <c r="AJ397" s="1607"/>
      <c r="AK397" s="1607"/>
      <c r="AL397" s="1607"/>
      <c r="AM397" s="1607"/>
      <c r="AN397" s="1607"/>
      <c r="AO397" s="1607"/>
      <c r="AP397" s="1607"/>
      <c r="AQ397" s="1607"/>
      <c r="AR397" s="1607"/>
      <c r="AS397" s="1607"/>
      <c r="AT397" s="1607"/>
      <c r="AU397" s="1607"/>
      <c r="AV397" s="1607"/>
      <c r="AW397" s="1607"/>
      <c r="AX397" s="1607"/>
      <c r="AY397" s="1607"/>
      <c r="AZ397" s="1607"/>
      <c r="BA397" s="1607"/>
      <c r="BB397" s="1607"/>
      <c r="BC397" s="1607"/>
      <c r="BD397" s="1607"/>
      <c r="BE397" s="1607"/>
      <c r="BF397" s="1607"/>
      <c r="BG397" s="1607"/>
      <c r="BH397" s="1607"/>
      <c r="BI397" s="1607"/>
      <c r="BJ397" s="1607"/>
      <c r="BK397" s="1607"/>
      <c r="BL397" s="1607"/>
    </row>
    <row r="398">
      <c r="A398" s="1607"/>
      <c r="B398" s="1607"/>
      <c r="C398" s="1607"/>
      <c r="D398" s="1607"/>
      <c r="E398" s="1607"/>
      <c r="F398" s="1607"/>
      <c r="G398" s="1607"/>
      <c r="H398" s="1607"/>
      <c r="I398" s="1607"/>
      <c r="J398" s="1607"/>
      <c r="K398" s="1607"/>
      <c r="L398" s="1607"/>
      <c r="M398" s="1607"/>
      <c r="N398" s="1607"/>
      <c r="O398" s="1607"/>
      <c r="P398" s="1607"/>
      <c r="Q398" s="1607"/>
      <c r="R398" s="1607"/>
      <c r="S398" s="1607"/>
      <c r="T398" s="1607"/>
      <c r="U398" s="1607"/>
      <c r="V398" s="1607"/>
      <c r="W398" s="1607"/>
      <c r="X398" s="1607"/>
      <c r="Y398" s="1607"/>
      <c r="Z398" s="1607"/>
      <c r="AA398" s="1607"/>
      <c r="AB398" s="1607"/>
      <c r="AC398" s="1607"/>
      <c r="AD398" s="1607"/>
      <c r="AE398" s="1607"/>
      <c r="AF398" s="1607"/>
      <c r="AG398" s="1607"/>
      <c r="AH398" s="1607"/>
      <c r="AI398" s="1607"/>
      <c r="AJ398" s="1607"/>
      <c r="AK398" s="1607"/>
      <c r="AL398" s="1607"/>
      <c r="AM398" s="1607"/>
      <c r="AN398" s="1607"/>
      <c r="AO398" s="1607"/>
      <c r="AP398" s="1607"/>
      <c r="AQ398" s="1607"/>
      <c r="AR398" s="1607"/>
      <c r="AS398" s="1607"/>
      <c r="AT398" s="1607"/>
      <c r="AU398" s="1607"/>
      <c r="AV398" s="1607"/>
      <c r="AW398" s="1607"/>
      <c r="AX398" s="1607"/>
      <c r="AY398" s="1607"/>
      <c r="AZ398" s="1607"/>
      <c r="BA398" s="1607"/>
      <c r="BB398" s="1607"/>
      <c r="BC398" s="1607"/>
      <c r="BD398" s="1607"/>
      <c r="BE398" s="1607"/>
      <c r="BF398" s="1607"/>
      <c r="BG398" s="1607"/>
      <c r="BH398" s="1607"/>
      <c r="BI398" s="1607"/>
      <c r="BJ398" s="1607"/>
      <c r="BK398" s="1607"/>
      <c r="BL398" s="1607"/>
    </row>
    <row r="399">
      <c r="A399" s="1607"/>
      <c r="B399" s="1607"/>
      <c r="C399" s="1607"/>
      <c r="D399" s="1607"/>
      <c r="E399" s="1607"/>
      <c r="F399" s="1607"/>
      <c r="G399" s="1607"/>
      <c r="H399" s="1607"/>
      <c r="I399" s="1607"/>
      <c r="J399" s="1607"/>
      <c r="K399" s="1607"/>
      <c r="L399" s="1607"/>
      <c r="M399" s="1607"/>
      <c r="N399" s="1607"/>
      <c r="O399" s="1607"/>
      <c r="P399" s="1607"/>
      <c r="Q399" s="1607"/>
      <c r="R399" s="1607"/>
      <c r="S399" s="1607"/>
      <c r="T399" s="1607"/>
      <c r="U399" s="1607"/>
      <c r="V399" s="1607"/>
      <c r="W399" s="1607"/>
      <c r="X399" s="1607"/>
      <c r="Y399" s="1607"/>
      <c r="Z399" s="1607"/>
      <c r="AA399" s="1607"/>
      <c r="AB399" s="1607"/>
      <c r="AC399" s="1607"/>
      <c r="AD399" s="1607"/>
      <c r="AE399" s="1607"/>
      <c r="AF399" s="1607"/>
      <c r="AG399" s="1607"/>
      <c r="AH399" s="1607"/>
      <c r="AI399" s="1607"/>
      <c r="AJ399" s="1607"/>
      <c r="AK399" s="1607"/>
      <c r="AL399" s="1607"/>
      <c r="AM399" s="1607"/>
      <c r="AN399" s="1607"/>
      <c r="AO399" s="1607"/>
      <c r="AP399" s="1607"/>
      <c r="AQ399" s="1607"/>
      <c r="AR399" s="1607"/>
      <c r="AS399" s="1607"/>
      <c r="AT399" s="1607"/>
      <c r="AU399" s="1607"/>
      <c r="AV399" s="1607"/>
      <c r="AW399" s="1607"/>
      <c r="AX399" s="1607"/>
      <c r="AY399" s="1607"/>
      <c r="AZ399" s="1607"/>
      <c r="BA399" s="1607"/>
      <c r="BB399" s="1607"/>
      <c r="BC399" s="1607"/>
      <c r="BD399" s="1607"/>
      <c r="BE399" s="1607"/>
      <c r="BF399" s="1607"/>
      <c r="BG399" s="1607"/>
      <c r="BH399" s="1607"/>
      <c r="BI399" s="1607"/>
      <c r="BJ399" s="1607"/>
      <c r="BK399" s="1607"/>
      <c r="BL399" s="1607"/>
    </row>
    <row r="400">
      <c r="A400" s="1607"/>
      <c r="B400" s="1607"/>
      <c r="C400" s="1607"/>
      <c r="D400" s="1607"/>
      <c r="E400" s="1607"/>
      <c r="F400" s="1607"/>
      <c r="G400" s="1607"/>
      <c r="H400" s="1607"/>
      <c r="I400" s="1607"/>
      <c r="J400" s="1607"/>
      <c r="K400" s="1607"/>
      <c r="L400" s="1607"/>
      <c r="M400" s="1607"/>
      <c r="N400" s="1607"/>
      <c r="O400" s="1607"/>
      <c r="P400" s="1607"/>
      <c r="Q400" s="1607"/>
      <c r="R400" s="1607"/>
      <c r="S400" s="1607"/>
      <c r="T400" s="1607"/>
      <c r="U400" s="1607"/>
      <c r="V400" s="1607"/>
      <c r="W400" s="1607"/>
      <c r="X400" s="1607"/>
      <c r="Y400" s="1607"/>
      <c r="Z400" s="1607"/>
      <c r="AA400" s="1607"/>
      <c r="AB400" s="1607"/>
      <c r="AC400" s="1607"/>
      <c r="AD400" s="1607"/>
      <c r="AE400" s="1607"/>
      <c r="AF400" s="1607"/>
      <c r="AG400" s="1607"/>
      <c r="AH400" s="1607"/>
      <c r="AI400" s="1607"/>
      <c r="AJ400" s="1607"/>
      <c r="AK400" s="1607"/>
      <c r="AL400" s="1607"/>
      <c r="AM400" s="1607"/>
      <c r="AN400" s="1607"/>
      <c r="AO400" s="1607"/>
      <c r="AP400" s="1607"/>
      <c r="AQ400" s="1607"/>
      <c r="AR400" s="1607"/>
      <c r="AS400" s="1607"/>
      <c r="AT400" s="1607"/>
      <c r="AU400" s="1607"/>
      <c r="AV400" s="1607"/>
      <c r="AW400" s="1607"/>
      <c r="AX400" s="1607"/>
      <c r="AY400" s="1607"/>
      <c r="AZ400" s="1607"/>
      <c r="BA400" s="1607"/>
      <c r="BB400" s="1607"/>
      <c r="BC400" s="1607"/>
      <c r="BD400" s="1607"/>
      <c r="BE400" s="1607"/>
      <c r="BF400" s="1607"/>
      <c r="BG400" s="1607"/>
      <c r="BH400" s="1607"/>
      <c r="BI400" s="1607"/>
      <c r="BJ400" s="1607"/>
      <c r="BK400" s="1607"/>
      <c r="BL400" s="1607"/>
    </row>
    <row r="401">
      <c r="A401" s="1607"/>
      <c r="B401" s="1607"/>
      <c r="C401" s="1607"/>
      <c r="D401" s="1607"/>
      <c r="E401" s="1607"/>
      <c r="F401" s="1607"/>
      <c r="G401" s="1607"/>
      <c r="H401" s="1607"/>
      <c r="I401" s="1607"/>
      <c r="J401" s="1607"/>
      <c r="K401" s="1607"/>
      <c r="L401" s="1607"/>
      <c r="M401" s="1607"/>
      <c r="N401" s="1607"/>
      <c r="O401" s="1607"/>
      <c r="P401" s="1607"/>
      <c r="Q401" s="1607"/>
      <c r="R401" s="1607"/>
      <c r="S401" s="1607"/>
      <c r="T401" s="1607"/>
      <c r="U401" s="1607"/>
      <c r="V401" s="1607"/>
      <c r="W401" s="1607"/>
      <c r="X401" s="1607"/>
      <c r="Y401" s="1607"/>
      <c r="Z401" s="1607"/>
      <c r="AA401" s="1607"/>
      <c r="AB401" s="1607"/>
      <c r="AC401" s="1607"/>
      <c r="AD401" s="1607"/>
      <c r="AE401" s="1607"/>
      <c r="AF401" s="1607"/>
      <c r="AG401" s="1607"/>
      <c r="AH401" s="1607"/>
      <c r="AI401" s="1607"/>
      <c r="AJ401" s="1607"/>
      <c r="AK401" s="1607"/>
      <c r="AL401" s="1607"/>
      <c r="AM401" s="1607"/>
      <c r="AN401" s="1607"/>
      <c r="AO401" s="1607"/>
      <c r="AP401" s="1607"/>
      <c r="AQ401" s="1607"/>
      <c r="AR401" s="1607"/>
      <c r="AS401" s="1607"/>
      <c r="AT401" s="1607"/>
      <c r="AU401" s="1607"/>
      <c r="AV401" s="1607"/>
      <c r="AW401" s="1607"/>
      <c r="AX401" s="1607"/>
      <c r="AY401" s="1607"/>
      <c r="AZ401" s="1607"/>
      <c r="BA401" s="1607"/>
      <c r="BB401" s="1607"/>
      <c r="BC401" s="1607"/>
      <c r="BD401" s="1607"/>
      <c r="BE401" s="1607"/>
      <c r="BF401" s="1607"/>
      <c r="BG401" s="1607"/>
      <c r="BH401" s="1607"/>
      <c r="BI401" s="1607"/>
      <c r="BJ401" s="1607"/>
      <c r="BK401" s="1607"/>
      <c r="BL401" s="1607"/>
    </row>
    <row r="402">
      <c r="A402" s="1607"/>
      <c r="B402" s="1607"/>
      <c r="C402" s="1607"/>
      <c r="D402" s="1607"/>
      <c r="E402" s="1607"/>
      <c r="F402" s="1607"/>
      <c r="G402" s="1607"/>
      <c r="H402" s="1607"/>
      <c r="I402" s="1607"/>
      <c r="J402" s="1607"/>
      <c r="K402" s="1607"/>
      <c r="L402" s="1607"/>
      <c r="M402" s="1607"/>
      <c r="N402" s="1607"/>
      <c r="O402" s="1607"/>
      <c r="P402" s="1607"/>
      <c r="Q402" s="1607"/>
      <c r="R402" s="1607"/>
      <c r="S402" s="1607"/>
      <c r="T402" s="1607"/>
      <c r="U402" s="1607"/>
      <c r="V402" s="1607"/>
      <c r="W402" s="1607"/>
      <c r="X402" s="1607"/>
      <c r="Y402" s="1607"/>
      <c r="Z402" s="1607"/>
      <c r="AA402" s="1607"/>
      <c r="AB402" s="1607"/>
      <c r="AC402" s="1607"/>
      <c r="AD402" s="1607"/>
      <c r="AE402" s="1607"/>
      <c r="AF402" s="1607"/>
      <c r="AG402" s="1607"/>
      <c r="AH402" s="1607"/>
      <c r="AI402" s="1607"/>
      <c r="AJ402" s="1607"/>
      <c r="AK402" s="1607"/>
      <c r="AL402" s="1607"/>
      <c r="AM402" s="1607"/>
      <c r="AN402" s="1607"/>
      <c r="AO402" s="1607"/>
      <c r="AP402" s="1607"/>
      <c r="AQ402" s="1607"/>
      <c r="AR402" s="1607"/>
      <c r="AS402" s="1607"/>
      <c r="AT402" s="1607"/>
      <c r="AU402" s="1607"/>
      <c r="AV402" s="1607"/>
      <c r="AW402" s="1607"/>
      <c r="AX402" s="1607"/>
      <c r="AY402" s="1607"/>
      <c r="AZ402" s="1607"/>
      <c r="BA402" s="1607"/>
      <c r="BB402" s="1607"/>
      <c r="BC402" s="1607"/>
      <c r="BD402" s="1607"/>
      <c r="BE402" s="1607"/>
      <c r="BF402" s="1607"/>
      <c r="BG402" s="1607"/>
      <c r="BH402" s="1607"/>
      <c r="BI402" s="1607"/>
      <c r="BJ402" s="1607"/>
      <c r="BK402" s="1607"/>
      <c r="BL402" s="1607"/>
    </row>
    <row r="403">
      <c r="A403" s="1607"/>
      <c r="B403" s="1607"/>
      <c r="C403" s="1607"/>
      <c r="D403" s="1607"/>
      <c r="E403" s="1607"/>
      <c r="F403" s="1607"/>
      <c r="G403" s="1607"/>
      <c r="H403" s="1607"/>
      <c r="I403" s="1607"/>
      <c r="J403" s="1607"/>
      <c r="K403" s="1607"/>
      <c r="L403" s="1607"/>
      <c r="M403" s="1607"/>
      <c r="N403" s="1607"/>
      <c r="O403" s="1607"/>
      <c r="P403" s="1607"/>
      <c r="Q403" s="1607"/>
      <c r="R403" s="1607"/>
      <c r="S403" s="1607"/>
      <c r="T403" s="1607"/>
      <c r="U403" s="1607"/>
      <c r="V403" s="1607"/>
      <c r="W403" s="1607"/>
      <c r="X403" s="1607"/>
      <c r="Y403" s="1607"/>
      <c r="Z403" s="1607"/>
      <c r="AA403" s="1607"/>
      <c r="AB403" s="1607"/>
      <c r="AC403" s="1607"/>
      <c r="AD403" s="1607"/>
      <c r="AE403" s="1607"/>
      <c r="AF403" s="1607"/>
      <c r="AG403" s="1607"/>
      <c r="AH403" s="1607"/>
      <c r="AI403" s="1607"/>
      <c r="AJ403" s="1607"/>
      <c r="AK403" s="1607"/>
      <c r="AL403" s="1607"/>
      <c r="AM403" s="1607"/>
      <c r="AN403" s="1607"/>
      <c r="AO403" s="1607"/>
      <c r="AP403" s="1607"/>
      <c r="AQ403" s="1607"/>
      <c r="AR403" s="1607"/>
      <c r="AS403" s="1607"/>
      <c r="AT403" s="1607"/>
      <c r="AU403" s="1607"/>
      <c r="AV403" s="1607"/>
      <c r="AW403" s="1607"/>
      <c r="AX403" s="1607"/>
      <c r="AY403" s="1607"/>
      <c r="AZ403" s="1607"/>
      <c r="BA403" s="1607"/>
      <c r="BB403" s="1607"/>
      <c r="BC403" s="1607"/>
      <c r="BD403" s="1607"/>
      <c r="BE403" s="1607"/>
      <c r="BF403" s="1607"/>
      <c r="BG403" s="1607"/>
      <c r="BH403" s="1607"/>
      <c r="BI403" s="1607"/>
      <c r="BJ403" s="1607"/>
      <c r="BK403" s="1607"/>
      <c r="BL403" s="1607"/>
    </row>
    <row r="404">
      <c r="A404" s="1607"/>
      <c r="B404" s="1607"/>
      <c r="C404" s="1607"/>
      <c r="D404" s="1607"/>
      <c r="E404" s="1607"/>
      <c r="F404" s="1607"/>
      <c r="G404" s="1607"/>
      <c r="H404" s="1607"/>
      <c r="I404" s="1607"/>
      <c r="J404" s="1607"/>
      <c r="K404" s="1607"/>
      <c r="L404" s="1607"/>
      <c r="M404" s="1607"/>
      <c r="N404" s="1607"/>
      <c r="O404" s="1607"/>
      <c r="P404" s="1607"/>
      <c r="Q404" s="1607"/>
      <c r="R404" s="1607"/>
      <c r="S404" s="1607"/>
      <c r="T404" s="1607"/>
      <c r="U404" s="1607"/>
      <c r="V404" s="1607"/>
      <c r="W404" s="1607"/>
      <c r="X404" s="1607"/>
      <c r="Y404" s="1607"/>
      <c r="Z404" s="1607"/>
      <c r="AA404" s="1607"/>
      <c r="AB404" s="1607"/>
      <c r="AC404" s="1607"/>
      <c r="AD404" s="1607"/>
      <c r="AE404" s="1607"/>
      <c r="AF404" s="1607"/>
      <c r="AG404" s="1607"/>
      <c r="AH404" s="1607"/>
      <c r="AI404" s="1607"/>
      <c r="AJ404" s="1607"/>
      <c r="AK404" s="1607"/>
      <c r="AL404" s="1607"/>
      <c r="AM404" s="1607"/>
      <c r="AN404" s="1607"/>
      <c r="AO404" s="1607"/>
      <c r="AP404" s="1607"/>
      <c r="AQ404" s="1607"/>
      <c r="AR404" s="1607"/>
      <c r="AS404" s="1607"/>
      <c r="AT404" s="1607"/>
      <c r="AU404" s="1607"/>
      <c r="AV404" s="1607"/>
      <c r="AW404" s="1607"/>
      <c r="AX404" s="1607"/>
      <c r="AY404" s="1607"/>
      <c r="AZ404" s="1607"/>
      <c r="BA404" s="1607"/>
      <c r="BB404" s="1607"/>
      <c r="BC404" s="1607"/>
      <c r="BD404" s="1607"/>
      <c r="BE404" s="1607"/>
      <c r="BF404" s="1607"/>
      <c r="BG404" s="1607"/>
      <c r="BH404" s="1607"/>
      <c r="BI404" s="1607"/>
      <c r="BJ404" s="1607"/>
      <c r="BK404" s="1607"/>
      <c r="BL404" s="1607"/>
    </row>
    <row r="405">
      <c r="A405" s="1607"/>
      <c r="B405" s="1607"/>
      <c r="C405" s="1607"/>
      <c r="D405" s="1607"/>
      <c r="E405" s="1607"/>
      <c r="F405" s="1607"/>
      <c r="G405" s="1607"/>
      <c r="H405" s="1607"/>
      <c r="I405" s="1607"/>
      <c r="J405" s="1607"/>
      <c r="K405" s="1607"/>
      <c r="L405" s="1607"/>
      <c r="M405" s="1607"/>
      <c r="N405" s="1607"/>
      <c r="O405" s="1607"/>
      <c r="P405" s="1607"/>
      <c r="Q405" s="1607"/>
      <c r="R405" s="1607"/>
      <c r="S405" s="1607"/>
      <c r="T405" s="1607"/>
      <c r="U405" s="1607"/>
      <c r="V405" s="1607"/>
      <c r="W405" s="1607"/>
      <c r="X405" s="1607"/>
      <c r="Y405" s="1607"/>
      <c r="Z405" s="1607"/>
      <c r="AA405" s="1607"/>
      <c r="AB405" s="1607"/>
      <c r="AC405" s="1607"/>
      <c r="AD405" s="1607"/>
      <c r="AE405" s="1607"/>
      <c r="AF405" s="1607"/>
      <c r="AG405" s="1607"/>
      <c r="AH405" s="1607"/>
      <c r="AI405" s="1607"/>
      <c r="AJ405" s="1607"/>
      <c r="AK405" s="1607"/>
      <c r="AL405" s="1607"/>
      <c r="AM405" s="1607"/>
      <c r="AN405" s="1607"/>
      <c r="AO405" s="1607"/>
      <c r="AP405" s="1607"/>
      <c r="AQ405" s="1607"/>
      <c r="AR405" s="1607"/>
      <c r="AS405" s="1607"/>
      <c r="AT405" s="1607"/>
      <c r="AU405" s="1607"/>
      <c r="AV405" s="1607"/>
      <c r="AW405" s="1607"/>
      <c r="AX405" s="1607"/>
      <c r="AY405" s="1607"/>
      <c r="AZ405" s="1607"/>
      <c r="BA405" s="1607"/>
      <c r="BB405" s="1607"/>
      <c r="BC405" s="1607"/>
      <c r="BD405" s="1607"/>
      <c r="BE405" s="1607"/>
      <c r="BF405" s="1607"/>
      <c r="BG405" s="1607"/>
      <c r="BH405" s="1607"/>
      <c r="BI405" s="1607"/>
      <c r="BJ405" s="1607"/>
      <c r="BK405" s="1607"/>
      <c r="BL405" s="1607"/>
    </row>
    <row r="406">
      <c r="A406" s="1607"/>
      <c r="B406" s="1607"/>
      <c r="C406" s="1607"/>
      <c r="D406" s="1607"/>
      <c r="E406" s="1607"/>
      <c r="F406" s="1607"/>
      <c r="G406" s="1607"/>
      <c r="H406" s="1607"/>
      <c r="I406" s="1607"/>
      <c r="J406" s="1607"/>
      <c r="K406" s="1607"/>
      <c r="L406" s="1607"/>
      <c r="M406" s="1607"/>
      <c r="N406" s="1607"/>
      <c r="O406" s="1607"/>
      <c r="P406" s="1607"/>
      <c r="Q406" s="1607"/>
      <c r="R406" s="1607"/>
      <c r="S406" s="1607"/>
      <c r="T406" s="1607"/>
      <c r="U406" s="1607"/>
      <c r="V406" s="1607"/>
      <c r="W406" s="1607"/>
      <c r="X406" s="1607"/>
      <c r="Y406" s="1607"/>
      <c r="Z406" s="1607"/>
      <c r="AA406" s="1607"/>
      <c r="AB406" s="1607"/>
      <c r="AC406" s="1607"/>
      <c r="AD406" s="1607"/>
      <c r="AE406" s="1607"/>
      <c r="AF406" s="1607"/>
      <c r="AG406" s="1607"/>
      <c r="AH406" s="1607"/>
      <c r="AI406" s="1607"/>
      <c r="AJ406" s="1607"/>
      <c r="AK406" s="1607"/>
      <c r="AL406" s="1607"/>
      <c r="AM406" s="1607"/>
      <c r="AN406" s="1607"/>
      <c r="AO406" s="1607"/>
      <c r="AP406" s="1607"/>
      <c r="AQ406" s="1607"/>
      <c r="AR406" s="1607"/>
      <c r="AS406" s="1607"/>
      <c r="AT406" s="1607"/>
      <c r="AU406" s="1607"/>
      <c r="AV406" s="1607"/>
      <c r="AW406" s="1607"/>
      <c r="AX406" s="1607"/>
      <c r="AY406" s="1607"/>
      <c r="AZ406" s="1607"/>
      <c r="BA406" s="1607"/>
      <c r="BB406" s="1607"/>
      <c r="BC406" s="1607"/>
      <c r="BD406" s="1607"/>
      <c r="BE406" s="1607"/>
      <c r="BF406" s="1607"/>
      <c r="BG406" s="1607"/>
      <c r="BH406" s="1607"/>
      <c r="BI406" s="1607"/>
      <c r="BJ406" s="1607"/>
      <c r="BK406" s="1607"/>
      <c r="BL406" s="1607"/>
    </row>
    <row r="407">
      <c r="A407" s="1607"/>
      <c r="B407" s="1607"/>
      <c r="C407" s="1607"/>
      <c r="D407" s="1607"/>
      <c r="E407" s="1607"/>
      <c r="F407" s="1607"/>
      <c r="G407" s="1607"/>
      <c r="H407" s="1607"/>
      <c r="I407" s="1607"/>
      <c r="J407" s="1607"/>
      <c r="K407" s="1607"/>
      <c r="L407" s="1607"/>
      <c r="M407" s="1607"/>
      <c r="N407" s="1607"/>
      <c r="O407" s="1607"/>
      <c r="P407" s="1607"/>
      <c r="Q407" s="1607"/>
      <c r="R407" s="1607"/>
      <c r="S407" s="1607"/>
      <c r="T407" s="1607"/>
      <c r="U407" s="1607"/>
      <c r="V407" s="1607"/>
      <c r="W407" s="1607"/>
      <c r="X407" s="1607"/>
      <c r="Y407" s="1607"/>
      <c r="Z407" s="1607"/>
      <c r="AA407" s="1607"/>
      <c r="AB407" s="1607"/>
      <c r="AC407" s="1607"/>
      <c r="AD407" s="1607"/>
      <c r="AE407" s="1607"/>
      <c r="AF407" s="1607"/>
      <c r="AG407" s="1607"/>
      <c r="AH407" s="1607"/>
      <c r="AI407" s="1607"/>
      <c r="AJ407" s="1607"/>
      <c r="AK407" s="1607"/>
      <c r="AL407" s="1607"/>
      <c r="AM407" s="1607"/>
      <c r="AN407" s="1607"/>
      <c r="AO407" s="1607"/>
      <c r="AP407" s="1607"/>
      <c r="AQ407" s="1607"/>
      <c r="AR407" s="1607"/>
      <c r="AS407" s="1607"/>
      <c r="AT407" s="1607"/>
      <c r="AU407" s="1607"/>
      <c r="AV407" s="1607"/>
      <c r="AW407" s="1607"/>
      <c r="AX407" s="1607"/>
      <c r="AY407" s="1607"/>
      <c r="AZ407" s="1607"/>
      <c r="BA407" s="1607"/>
      <c r="BB407" s="1607"/>
      <c r="BC407" s="1607"/>
      <c r="BD407" s="1607"/>
      <c r="BE407" s="1607"/>
      <c r="BF407" s="1607"/>
      <c r="BG407" s="1607"/>
      <c r="BH407" s="1607"/>
      <c r="BI407" s="1607"/>
      <c r="BJ407" s="1607"/>
      <c r="BK407" s="1607"/>
      <c r="BL407" s="1607"/>
    </row>
    <row r="408">
      <c r="A408" s="1607"/>
      <c r="B408" s="1607"/>
      <c r="C408" s="1607"/>
      <c r="D408" s="1607"/>
      <c r="E408" s="1607"/>
      <c r="F408" s="1607"/>
      <c r="G408" s="1607"/>
      <c r="H408" s="1607"/>
      <c r="I408" s="1607"/>
      <c r="J408" s="1607"/>
      <c r="K408" s="1607"/>
      <c r="L408" s="1607"/>
      <c r="M408" s="1607"/>
      <c r="N408" s="1607"/>
      <c r="O408" s="1607"/>
      <c r="P408" s="1607"/>
      <c r="Q408" s="1607"/>
      <c r="R408" s="1607"/>
      <c r="S408" s="1607"/>
      <c r="T408" s="1607"/>
      <c r="U408" s="1607"/>
      <c r="V408" s="1607"/>
      <c r="W408" s="1607"/>
      <c r="X408" s="1607"/>
      <c r="Y408" s="1607"/>
      <c r="Z408" s="1607"/>
      <c r="AA408" s="1607"/>
      <c r="AB408" s="1607"/>
      <c r="AC408" s="1607"/>
      <c r="AD408" s="1607"/>
      <c r="AE408" s="1607"/>
      <c r="AF408" s="1607"/>
      <c r="AG408" s="1607"/>
      <c r="AH408" s="1607"/>
      <c r="AI408" s="1607"/>
      <c r="AJ408" s="1607"/>
      <c r="AK408" s="1607"/>
      <c r="AL408" s="1607"/>
      <c r="AM408" s="1607"/>
      <c r="AN408" s="1607"/>
      <c r="AO408" s="1607"/>
      <c r="AP408" s="1607"/>
      <c r="AQ408" s="1607"/>
      <c r="AR408" s="1607"/>
      <c r="AS408" s="1607"/>
      <c r="AT408" s="1607"/>
      <c r="AU408" s="1607"/>
      <c r="AV408" s="1607"/>
      <c r="AW408" s="1607"/>
      <c r="AX408" s="1607"/>
      <c r="AY408" s="1607"/>
      <c r="AZ408" s="1607"/>
      <c r="BA408" s="1607"/>
      <c r="BB408" s="1607"/>
      <c r="BC408" s="1607"/>
      <c r="BD408" s="1607"/>
      <c r="BE408" s="1607"/>
      <c r="BF408" s="1607"/>
      <c r="BG408" s="1607"/>
      <c r="BH408" s="1607"/>
      <c r="BI408" s="1607"/>
      <c r="BJ408" s="1607"/>
      <c r="BK408" s="1607"/>
      <c r="BL408" s="1607"/>
    </row>
    <row r="409">
      <c r="A409" s="1607"/>
      <c r="B409" s="1607"/>
      <c r="C409" s="1607"/>
      <c r="D409" s="1607"/>
      <c r="E409" s="1607"/>
      <c r="F409" s="1607"/>
      <c r="G409" s="1607"/>
      <c r="H409" s="1607"/>
      <c r="I409" s="1607"/>
      <c r="J409" s="1607"/>
      <c r="K409" s="1607"/>
      <c r="L409" s="1607"/>
      <c r="M409" s="1607"/>
      <c r="N409" s="1607"/>
      <c r="O409" s="1607"/>
      <c r="P409" s="1607"/>
      <c r="Q409" s="1607"/>
      <c r="R409" s="1607"/>
      <c r="S409" s="1607"/>
      <c r="T409" s="1607"/>
      <c r="U409" s="1607"/>
      <c r="V409" s="1607"/>
      <c r="W409" s="1607"/>
      <c r="X409" s="1607"/>
      <c r="Y409" s="1607"/>
      <c r="Z409" s="1607"/>
      <c r="AA409" s="1607"/>
      <c r="AB409" s="1607"/>
      <c r="AC409" s="1607"/>
      <c r="AD409" s="1607"/>
      <c r="AE409" s="1607"/>
      <c r="AF409" s="1607"/>
      <c r="AG409" s="1607"/>
      <c r="AH409" s="1607"/>
      <c r="AI409" s="1607"/>
      <c r="AJ409" s="1607"/>
      <c r="AK409" s="1607"/>
      <c r="AL409" s="1607"/>
      <c r="AM409" s="1607"/>
      <c r="AN409" s="1607"/>
      <c r="AO409" s="1607"/>
      <c r="AP409" s="1607"/>
      <c r="AQ409" s="1607"/>
      <c r="AR409" s="1607"/>
      <c r="AS409" s="1607"/>
      <c r="AT409" s="1607"/>
      <c r="AU409" s="1607"/>
      <c r="AV409" s="1607"/>
      <c r="AW409" s="1607"/>
      <c r="AX409" s="1607"/>
      <c r="AY409" s="1607"/>
      <c r="AZ409" s="1607"/>
      <c r="BA409" s="1607"/>
      <c r="BB409" s="1607"/>
      <c r="BC409" s="1607"/>
      <c r="BD409" s="1607"/>
      <c r="BE409" s="1607"/>
      <c r="BF409" s="1607"/>
      <c r="BG409" s="1607"/>
      <c r="BH409" s="1607"/>
      <c r="BI409" s="1607"/>
      <c r="BJ409" s="1607"/>
      <c r="BK409" s="1607"/>
      <c r="BL409" s="1607"/>
    </row>
    <row r="410">
      <c r="A410" s="1607"/>
      <c r="B410" s="1607"/>
      <c r="C410" s="1607"/>
      <c r="D410" s="1607"/>
      <c r="E410" s="1607"/>
      <c r="F410" s="1607"/>
      <c r="G410" s="1607"/>
      <c r="H410" s="1607"/>
      <c r="I410" s="1607"/>
      <c r="J410" s="1607"/>
      <c r="K410" s="1607"/>
      <c r="L410" s="1607"/>
      <c r="M410" s="1607"/>
      <c r="N410" s="1607"/>
      <c r="O410" s="1607"/>
      <c r="P410" s="1607"/>
      <c r="Q410" s="1607"/>
      <c r="R410" s="1607"/>
      <c r="S410" s="1607"/>
      <c r="T410" s="1607"/>
      <c r="U410" s="1607"/>
      <c r="V410" s="1607"/>
      <c r="W410" s="1607"/>
      <c r="X410" s="1607"/>
      <c r="Y410" s="1607"/>
      <c r="Z410" s="1607"/>
      <c r="AA410" s="1607"/>
      <c r="AB410" s="1607"/>
      <c r="AC410" s="1607"/>
      <c r="AD410" s="1607"/>
      <c r="AE410" s="1607"/>
      <c r="AF410" s="1607"/>
      <c r="AG410" s="1607"/>
      <c r="AH410" s="1607"/>
      <c r="AI410" s="1607"/>
      <c r="AJ410" s="1607"/>
      <c r="AK410" s="1607"/>
      <c r="AL410" s="1607"/>
      <c r="AM410" s="1607"/>
      <c r="AN410" s="1607"/>
      <c r="AO410" s="1607"/>
      <c r="AP410" s="1607"/>
      <c r="AQ410" s="1607"/>
      <c r="AR410" s="1607"/>
      <c r="AS410" s="1607"/>
      <c r="AT410" s="1607"/>
      <c r="AU410" s="1607"/>
      <c r="AV410" s="1607"/>
      <c r="AW410" s="1607"/>
      <c r="AX410" s="1607"/>
      <c r="AY410" s="1607"/>
      <c r="AZ410" s="1607"/>
      <c r="BA410" s="1607"/>
      <c r="BB410" s="1607"/>
      <c r="BC410" s="1607"/>
      <c r="BD410" s="1607"/>
      <c r="BE410" s="1607"/>
      <c r="BF410" s="1607"/>
      <c r="BG410" s="1607"/>
      <c r="BH410" s="1607"/>
      <c r="BI410" s="1607"/>
      <c r="BJ410" s="1607"/>
      <c r="BK410" s="1607"/>
      <c r="BL410" s="1607"/>
    </row>
    <row r="411">
      <c r="A411" s="1607"/>
      <c r="B411" s="1607"/>
      <c r="C411" s="1607"/>
      <c r="D411" s="1607"/>
      <c r="E411" s="1607"/>
      <c r="F411" s="1607"/>
      <c r="G411" s="1607"/>
      <c r="H411" s="1607"/>
      <c r="I411" s="1607"/>
      <c r="J411" s="1607"/>
      <c r="K411" s="1607"/>
      <c r="L411" s="1607"/>
      <c r="M411" s="1607"/>
      <c r="N411" s="1607"/>
      <c r="O411" s="1607"/>
      <c r="P411" s="1607"/>
      <c r="Q411" s="1607"/>
      <c r="R411" s="1607"/>
      <c r="S411" s="1607"/>
      <c r="T411" s="1607"/>
      <c r="U411" s="1607"/>
      <c r="V411" s="1607"/>
      <c r="W411" s="1607"/>
      <c r="X411" s="1607"/>
      <c r="Y411" s="1607"/>
      <c r="Z411" s="1607"/>
      <c r="AA411" s="1607"/>
      <c r="AB411" s="1607"/>
      <c r="AC411" s="1607"/>
      <c r="AD411" s="1607"/>
      <c r="AE411" s="1607"/>
      <c r="AF411" s="1607"/>
      <c r="AG411" s="1607"/>
      <c r="AH411" s="1607"/>
      <c r="AI411" s="1607"/>
      <c r="AJ411" s="1607"/>
      <c r="AK411" s="1607"/>
      <c r="AL411" s="1607"/>
      <c r="AM411" s="1607"/>
      <c r="AN411" s="1607"/>
      <c r="AO411" s="1607"/>
      <c r="AP411" s="1607"/>
      <c r="AQ411" s="1607"/>
      <c r="AR411" s="1607"/>
      <c r="AS411" s="1607"/>
      <c r="AT411" s="1607"/>
      <c r="AU411" s="1607"/>
      <c r="AV411" s="1607"/>
      <c r="AW411" s="1607"/>
      <c r="AX411" s="1607"/>
      <c r="AY411" s="1607"/>
      <c r="AZ411" s="1607"/>
      <c r="BA411" s="1607"/>
      <c r="BB411" s="1607"/>
      <c r="BC411" s="1607"/>
      <c r="BD411" s="1607"/>
      <c r="BE411" s="1607"/>
      <c r="BF411" s="1607"/>
      <c r="BG411" s="1607"/>
      <c r="BH411" s="1607"/>
      <c r="BI411" s="1607"/>
      <c r="BJ411" s="1607"/>
      <c r="BK411" s="1607"/>
      <c r="BL411" s="1607"/>
    </row>
    <row r="412">
      <c r="A412" s="1607"/>
      <c r="B412" s="1607"/>
      <c r="C412" s="1607"/>
      <c r="D412" s="1607"/>
      <c r="E412" s="1607"/>
      <c r="F412" s="1607"/>
      <c r="G412" s="1607"/>
      <c r="H412" s="1607"/>
      <c r="I412" s="1607"/>
      <c r="J412" s="1607"/>
      <c r="K412" s="1607"/>
      <c r="L412" s="1607"/>
      <c r="M412" s="1607"/>
      <c r="N412" s="1607"/>
      <c r="O412" s="1607"/>
      <c r="P412" s="1607"/>
      <c r="Q412" s="1607"/>
      <c r="R412" s="1607"/>
      <c r="S412" s="1607"/>
      <c r="T412" s="1607"/>
      <c r="U412" s="1607"/>
      <c r="V412" s="1607"/>
      <c r="W412" s="1607"/>
      <c r="X412" s="1607"/>
      <c r="Y412" s="1607"/>
      <c r="Z412" s="1607"/>
      <c r="AA412" s="1607"/>
      <c r="AB412" s="1607"/>
      <c r="AC412" s="1607"/>
      <c r="AD412" s="1607"/>
      <c r="AE412" s="1607"/>
      <c r="AF412" s="1607"/>
      <c r="AG412" s="1607"/>
      <c r="AH412" s="1607"/>
      <c r="AI412" s="1607"/>
      <c r="AJ412" s="1607"/>
      <c r="AK412" s="1607"/>
      <c r="AL412" s="1607"/>
      <c r="AM412" s="1607"/>
      <c r="AN412" s="1607"/>
      <c r="AO412" s="1607"/>
      <c r="AP412" s="1607"/>
      <c r="AQ412" s="1607"/>
      <c r="AR412" s="1607"/>
      <c r="AS412" s="1607"/>
      <c r="AT412" s="1607"/>
      <c r="AU412" s="1607"/>
      <c r="AV412" s="1607"/>
      <c r="AW412" s="1607"/>
      <c r="AX412" s="1607"/>
      <c r="AY412" s="1607"/>
      <c r="AZ412" s="1607"/>
      <c r="BA412" s="1607"/>
      <c r="BB412" s="1607"/>
      <c r="BC412" s="1607"/>
      <c r="BD412" s="1607"/>
      <c r="BE412" s="1607"/>
      <c r="BF412" s="1607"/>
      <c r="BG412" s="1607"/>
      <c r="BH412" s="1607"/>
      <c r="BI412" s="1607"/>
      <c r="BJ412" s="1607"/>
      <c r="BK412" s="1607"/>
      <c r="BL412" s="1607"/>
    </row>
    <row r="413">
      <c r="A413" s="1607"/>
      <c r="B413" s="1607"/>
      <c r="C413" s="1607"/>
      <c r="D413" s="1607"/>
      <c r="E413" s="1607"/>
      <c r="F413" s="1607"/>
      <c r="G413" s="1607"/>
      <c r="H413" s="1607"/>
      <c r="I413" s="1607"/>
      <c r="J413" s="1607"/>
      <c r="K413" s="1607"/>
      <c r="L413" s="1607"/>
      <c r="M413" s="1607"/>
      <c r="N413" s="1607"/>
      <c r="O413" s="1607"/>
      <c r="P413" s="1607"/>
      <c r="Q413" s="1607"/>
      <c r="R413" s="1607"/>
      <c r="S413" s="1607"/>
      <c r="T413" s="1607"/>
      <c r="U413" s="1607"/>
      <c r="V413" s="1607"/>
      <c r="W413" s="1607"/>
      <c r="X413" s="1607"/>
      <c r="Y413" s="1607"/>
      <c r="Z413" s="1607"/>
      <c r="AA413" s="1607"/>
      <c r="AB413" s="1607"/>
      <c r="AC413" s="1607"/>
      <c r="AD413" s="1607"/>
      <c r="AE413" s="1607"/>
      <c r="AF413" s="1607"/>
      <c r="AG413" s="1607"/>
      <c r="AH413" s="1607"/>
      <c r="AI413" s="1607"/>
      <c r="AJ413" s="1607"/>
      <c r="AK413" s="1607"/>
      <c r="AL413" s="1607"/>
      <c r="AM413" s="1607"/>
      <c r="AN413" s="1607"/>
      <c r="AO413" s="1607"/>
      <c r="AP413" s="1607"/>
      <c r="AQ413" s="1607"/>
      <c r="AR413" s="1607"/>
      <c r="AS413" s="1607"/>
      <c r="AT413" s="1607"/>
      <c r="AU413" s="1607"/>
      <c r="AV413" s="1607"/>
      <c r="AW413" s="1607"/>
      <c r="AX413" s="1607"/>
      <c r="AY413" s="1607"/>
      <c r="AZ413" s="1607"/>
      <c r="BA413" s="1607"/>
      <c r="BB413" s="1607"/>
      <c r="BC413" s="1607"/>
      <c r="BD413" s="1607"/>
      <c r="BE413" s="1607"/>
      <c r="BF413" s="1607"/>
      <c r="BG413" s="1607"/>
      <c r="BH413" s="1607"/>
      <c r="BI413" s="1607"/>
      <c r="BJ413" s="1607"/>
      <c r="BK413" s="1607"/>
      <c r="BL413" s="1607"/>
    </row>
    <row r="414">
      <c r="A414" s="1607"/>
      <c r="B414" s="1607"/>
      <c r="C414" s="1607"/>
      <c r="D414" s="1607"/>
      <c r="E414" s="1607"/>
      <c r="F414" s="1607"/>
      <c r="G414" s="1607"/>
      <c r="H414" s="1607"/>
      <c r="I414" s="1607"/>
      <c r="J414" s="1607"/>
      <c r="K414" s="1607"/>
      <c r="L414" s="1607"/>
      <c r="M414" s="1607"/>
      <c r="N414" s="1607"/>
      <c r="O414" s="1607"/>
      <c r="P414" s="1607"/>
      <c r="Q414" s="1607"/>
      <c r="R414" s="1607"/>
      <c r="S414" s="1607"/>
      <c r="T414" s="1607"/>
      <c r="U414" s="1607"/>
      <c r="V414" s="1607"/>
      <c r="W414" s="1607"/>
      <c r="X414" s="1607"/>
      <c r="Y414" s="1607"/>
      <c r="Z414" s="1607"/>
      <c r="AA414" s="1607"/>
      <c r="AB414" s="1607"/>
      <c r="AC414" s="1607"/>
      <c r="AD414" s="1607"/>
      <c r="AE414" s="1607"/>
      <c r="AF414" s="1607"/>
      <c r="AG414" s="1607"/>
      <c r="AH414" s="1607"/>
      <c r="AI414" s="1607"/>
      <c r="AJ414" s="1607"/>
      <c r="AK414" s="1607"/>
      <c r="AL414" s="1607"/>
      <c r="AM414" s="1607"/>
      <c r="AN414" s="1607"/>
      <c r="AO414" s="1607"/>
      <c r="AP414" s="1607"/>
      <c r="AQ414" s="1607"/>
      <c r="AR414" s="1607"/>
      <c r="AS414" s="1607"/>
      <c r="AT414" s="1607"/>
      <c r="AU414" s="1607"/>
      <c r="AV414" s="1607"/>
      <c r="AW414" s="1607"/>
      <c r="AX414" s="1607"/>
      <c r="AY414" s="1607"/>
      <c r="AZ414" s="1607"/>
      <c r="BA414" s="1607"/>
      <c r="BB414" s="1607"/>
      <c r="BC414" s="1607"/>
      <c r="BD414" s="1607"/>
      <c r="BE414" s="1607"/>
      <c r="BF414" s="1607"/>
      <c r="BG414" s="1607"/>
      <c r="BH414" s="1607"/>
      <c r="BI414" s="1607"/>
      <c r="BJ414" s="1607"/>
      <c r="BK414" s="1607"/>
      <c r="BL414" s="1607"/>
    </row>
    <row r="415">
      <c r="A415" s="1607"/>
      <c r="B415" s="1607"/>
      <c r="C415" s="1607"/>
      <c r="D415" s="1607"/>
      <c r="E415" s="1607"/>
      <c r="F415" s="1607"/>
      <c r="G415" s="1607"/>
      <c r="H415" s="1607"/>
      <c r="I415" s="1607"/>
      <c r="J415" s="1607"/>
      <c r="K415" s="1607"/>
      <c r="L415" s="1607"/>
      <c r="M415" s="1607"/>
      <c r="N415" s="1607"/>
      <c r="O415" s="1607"/>
      <c r="P415" s="1607"/>
      <c r="Q415" s="1607"/>
      <c r="R415" s="1607"/>
      <c r="S415" s="1607"/>
      <c r="T415" s="1607"/>
      <c r="U415" s="1607"/>
      <c r="V415" s="1607"/>
      <c r="W415" s="1607"/>
      <c r="X415" s="1607"/>
      <c r="Y415" s="1607"/>
      <c r="Z415" s="1607"/>
      <c r="AA415" s="1607"/>
      <c r="AB415" s="1607"/>
      <c r="AC415" s="1607"/>
      <c r="AD415" s="1607"/>
      <c r="AE415" s="1607"/>
      <c r="AF415" s="1607"/>
      <c r="AG415" s="1607"/>
      <c r="AH415" s="1607"/>
      <c r="AI415" s="1607"/>
      <c r="AJ415" s="1607"/>
      <c r="AK415" s="1607"/>
      <c r="AL415" s="1607"/>
      <c r="AM415" s="1607"/>
      <c r="AN415" s="1607"/>
      <c r="AO415" s="1607"/>
      <c r="AP415" s="1607"/>
      <c r="AQ415" s="1607"/>
      <c r="AR415" s="1607"/>
      <c r="AS415" s="1607"/>
      <c r="AT415" s="1607"/>
      <c r="AU415" s="1607"/>
      <c r="AV415" s="1607"/>
      <c r="AW415" s="1607"/>
      <c r="AX415" s="1607"/>
      <c r="AY415" s="1607"/>
      <c r="AZ415" s="1607"/>
      <c r="BA415" s="1607"/>
      <c r="BB415" s="1607"/>
      <c r="BC415" s="1607"/>
      <c r="BD415" s="1607"/>
      <c r="BE415" s="1607"/>
      <c r="BF415" s="1607"/>
      <c r="BG415" s="1607"/>
      <c r="BH415" s="1607"/>
      <c r="BI415" s="1607"/>
      <c r="BJ415" s="1607"/>
      <c r="BK415" s="1607"/>
      <c r="BL415" s="1607"/>
    </row>
    <row r="416">
      <c r="A416" s="1607"/>
      <c r="B416" s="1607"/>
      <c r="C416" s="1607"/>
      <c r="D416" s="1607"/>
      <c r="E416" s="1607"/>
      <c r="F416" s="1607"/>
      <c r="G416" s="1607"/>
      <c r="H416" s="1607"/>
      <c r="I416" s="1607"/>
      <c r="J416" s="1607"/>
      <c r="K416" s="1607"/>
      <c r="L416" s="1607"/>
      <c r="M416" s="1607"/>
      <c r="N416" s="1607"/>
      <c r="O416" s="1607"/>
      <c r="P416" s="1607"/>
      <c r="Q416" s="1607"/>
      <c r="R416" s="1607"/>
      <c r="S416" s="1607"/>
      <c r="T416" s="1607"/>
      <c r="U416" s="1607"/>
      <c r="V416" s="1607"/>
      <c r="W416" s="1607"/>
      <c r="X416" s="1607"/>
      <c r="Y416" s="1607"/>
      <c r="Z416" s="1607"/>
      <c r="AA416" s="1607"/>
      <c r="AB416" s="1607"/>
      <c r="AC416" s="1607"/>
      <c r="AD416" s="1607"/>
      <c r="AE416" s="1607"/>
      <c r="AF416" s="1607"/>
      <c r="AG416" s="1607"/>
      <c r="AH416" s="1607"/>
      <c r="AI416" s="1607"/>
      <c r="AJ416" s="1607"/>
      <c r="AK416" s="1607"/>
      <c r="AL416" s="1607"/>
      <c r="AM416" s="1607"/>
      <c r="AN416" s="1607"/>
      <c r="AO416" s="1607"/>
      <c r="AP416" s="1607"/>
      <c r="AQ416" s="1607"/>
      <c r="AR416" s="1607"/>
      <c r="AS416" s="1607"/>
      <c r="AT416" s="1607"/>
      <c r="AU416" s="1607"/>
      <c r="AV416" s="1607"/>
      <c r="AW416" s="1607"/>
      <c r="AX416" s="1607"/>
      <c r="AY416" s="1607"/>
      <c r="AZ416" s="1607"/>
      <c r="BA416" s="1607"/>
      <c r="BB416" s="1607"/>
      <c r="BC416" s="1607"/>
      <c r="BD416" s="1607"/>
      <c r="BE416" s="1607"/>
      <c r="BF416" s="1607"/>
      <c r="BG416" s="1607"/>
      <c r="BH416" s="1607"/>
      <c r="BI416" s="1607"/>
      <c r="BJ416" s="1607"/>
      <c r="BK416" s="1607"/>
      <c r="BL416" s="1607"/>
    </row>
    <row r="417">
      <c r="A417" s="1607"/>
      <c r="B417" s="1607"/>
      <c r="C417" s="1607"/>
      <c r="D417" s="1607"/>
      <c r="E417" s="1607"/>
      <c r="F417" s="1607"/>
      <c r="G417" s="1607"/>
      <c r="H417" s="1607"/>
      <c r="I417" s="1607"/>
      <c r="J417" s="1607"/>
      <c r="K417" s="1607"/>
      <c r="L417" s="1607"/>
      <c r="M417" s="1607"/>
      <c r="N417" s="1607"/>
      <c r="O417" s="1607"/>
      <c r="P417" s="1607"/>
      <c r="Q417" s="1607"/>
      <c r="R417" s="1607"/>
      <c r="S417" s="1607"/>
      <c r="T417" s="1607"/>
      <c r="U417" s="1607"/>
      <c r="V417" s="1607"/>
      <c r="W417" s="1607"/>
      <c r="X417" s="1607"/>
      <c r="Y417" s="1607"/>
      <c r="Z417" s="1607"/>
      <c r="AA417" s="1607"/>
      <c r="AB417" s="1607"/>
      <c r="AC417" s="1607"/>
      <c r="AD417" s="1607"/>
      <c r="AE417" s="1607"/>
      <c r="AF417" s="1607"/>
      <c r="AG417" s="1607"/>
      <c r="AH417" s="1607"/>
      <c r="AI417" s="1607"/>
      <c r="AJ417" s="1607"/>
      <c r="AK417" s="1607"/>
      <c r="AL417" s="1607"/>
      <c r="AM417" s="1607"/>
      <c r="AN417" s="1607"/>
      <c r="AO417" s="1607"/>
      <c r="AP417" s="1607"/>
      <c r="AQ417" s="1607"/>
      <c r="AR417" s="1607"/>
      <c r="AS417" s="1607"/>
      <c r="AT417" s="1607"/>
      <c r="AU417" s="1607"/>
      <c r="AV417" s="1607"/>
      <c r="AW417" s="1607"/>
      <c r="AX417" s="1607"/>
      <c r="AY417" s="1607"/>
      <c r="AZ417" s="1607"/>
      <c r="BA417" s="1607"/>
      <c r="BB417" s="1607"/>
      <c r="BC417" s="1607"/>
      <c r="BD417" s="1607"/>
      <c r="BE417" s="1607"/>
      <c r="BF417" s="1607"/>
      <c r="BG417" s="1607"/>
      <c r="BH417" s="1607"/>
      <c r="BI417" s="1607"/>
      <c r="BJ417" s="1607"/>
      <c r="BK417" s="1607"/>
      <c r="BL417" s="1607"/>
    </row>
    <row r="418">
      <c r="A418" s="1607"/>
      <c r="B418" s="1607"/>
      <c r="C418" s="1607"/>
      <c r="D418" s="1607"/>
      <c r="E418" s="1607"/>
      <c r="F418" s="1607"/>
      <c r="G418" s="1607"/>
      <c r="H418" s="1607"/>
      <c r="I418" s="1607"/>
      <c r="J418" s="1607"/>
      <c r="K418" s="1607"/>
      <c r="L418" s="1607"/>
      <c r="M418" s="1607"/>
      <c r="N418" s="1607"/>
      <c r="O418" s="1607"/>
      <c r="P418" s="1607"/>
      <c r="Q418" s="1607"/>
      <c r="R418" s="1607"/>
      <c r="S418" s="1607"/>
      <c r="T418" s="1607"/>
      <c r="U418" s="1607"/>
      <c r="V418" s="1607"/>
      <c r="W418" s="1607"/>
      <c r="X418" s="1607"/>
      <c r="Y418" s="1607"/>
      <c r="Z418" s="1607"/>
      <c r="AA418" s="1607"/>
      <c r="AB418" s="1607"/>
      <c r="AC418" s="1607"/>
      <c r="AD418" s="1607"/>
      <c r="AE418" s="1607"/>
      <c r="AF418" s="1607"/>
      <c r="AG418" s="1607"/>
      <c r="AH418" s="1607"/>
      <c r="AI418" s="1607"/>
      <c r="AJ418" s="1607"/>
      <c r="AK418" s="1607"/>
      <c r="AL418" s="1607"/>
      <c r="AM418" s="1607"/>
      <c r="AN418" s="1607"/>
      <c r="AO418" s="1607"/>
      <c r="AP418" s="1607"/>
      <c r="AQ418" s="1607"/>
      <c r="AR418" s="1607"/>
      <c r="AS418" s="1607"/>
      <c r="AT418" s="1607"/>
      <c r="AU418" s="1607"/>
      <c r="AV418" s="1607"/>
      <c r="AW418" s="1607"/>
      <c r="AX418" s="1607"/>
      <c r="AY418" s="1607"/>
      <c r="AZ418" s="1607"/>
      <c r="BA418" s="1607"/>
      <c r="BB418" s="1607"/>
      <c r="BC418" s="1607"/>
      <c r="BD418" s="1607"/>
      <c r="BE418" s="1607"/>
      <c r="BF418" s="1607"/>
      <c r="BG418" s="1607"/>
      <c r="BH418" s="1607"/>
      <c r="BI418" s="1607"/>
      <c r="BJ418" s="1607"/>
      <c r="BK418" s="1607"/>
      <c r="BL418" s="1607"/>
    </row>
    <row r="419">
      <c r="A419" s="1607"/>
      <c r="B419" s="1607"/>
      <c r="C419" s="1607"/>
      <c r="D419" s="1607"/>
      <c r="E419" s="1607"/>
      <c r="F419" s="1607"/>
      <c r="G419" s="1607"/>
      <c r="H419" s="1607"/>
      <c r="I419" s="1607"/>
      <c r="J419" s="1607"/>
      <c r="K419" s="1607"/>
      <c r="L419" s="1607"/>
      <c r="M419" s="1607"/>
      <c r="N419" s="1607"/>
      <c r="O419" s="1607"/>
      <c r="P419" s="1607"/>
      <c r="Q419" s="1607"/>
      <c r="R419" s="1607"/>
      <c r="S419" s="1607"/>
      <c r="T419" s="1607"/>
      <c r="U419" s="1607"/>
      <c r="V419" s="1607"/>
      <c r="W419" s="1607"/>
      <c r="X419" s="1607"/>
      <c r="Y419" s="1607"/>
      <c r="Z419" s="1607"/>
      <c r="AA419" s="1607"/>
      <c r="AB419" s="1607"/>
      <c r="AC419" s="1607"/>
      <c r="AD419" s="1607"/>
      <c r="AE419" s="1607"/>
      <c r="AF419" s="1607"/>
      <c r="AG419" s="1607"/>
      <c r="AH419" s="1607"/>
      <c r="AI419" s="1607"/>
      <c r="AJ419" s="1607"/>
      <c r="AK419" s="1607"/>
      <c r="AL419" s="1607"/>
      <c r="AM419" s="1607"/>
      <c r="AN419" s="1607"/>
      <c r="AO419" s="1607"/>
      <c r="AP419" s="1607"/>
      <c r="AQ419" s="1607"/>
      <c r="AR419" s="1607"/>
      <c r="AS419" s="1607"/>
      <c r="AT419" s="1607"/>
      <c r="AU419" s="1607"/>
      <c r="AV419" s="1607"/>
      <c r="AW419" s="1607"/>
      <c r="AX419" s="1607"/>
      <c r="AY419" s="1607"/>
      <c r="AZ419" s="1607"/>
      <c r="BA419" s="1607"/>
      <c r="BB419" s="1607"/>
      <c r="BC419" s="1607"/>
      <c r="BD419" s="1607"/>
      <c r="BE419" s="1607"/>
      <c r="BF419" s="1607"/>
      <c r="BG419" s="1607"/>
      <c r="BH419" s="1607"/>
      <c r="BI419" s="1607"/>
      <c r="BJ419" s="1607"/>
      <c r="BK419" s="1607"/>
      <c r="BL419" s="1607"/>
    </row>
    <row r="420">
      <c r="A420" s="1607"/>
      <c r="B420" s="1607"/>
      <c r="C420" s="1607"/>
      <c r="D420" s="1607"/>
      <c r="E420" s="1607"/>
      <c r="F420" s="1607"/>
      <c r="G420" s="1607"/>
      <c r="H420" s="1607"/>
      <c r="I420" s="1607"/>
      <c r="J420" s="1607"/>
      <c r="K420" s="1607"/>
      <c r="L420" s="1607"/>
      <c r="M420" s="1607"/>
      <c r="N420" s="1607"/>
      <c r="O420" s="1607"/>
      <c r="P420" s="1607"/>
      <c r="Q420" s="1607"/>
      <c r="R420" s="1607"/>
      <c r="S420" s="1607"/>
      <c r="T420" s="1607"/>
      <c r="U420" s="1607"/>
      <c r="V420" s="1607"/>
      <c r="W420" s="1607"/>
      <c r="X420" s="1607"/>
      <c r="Y420" s="1607"/>
      <c r="Z420" s="1607"/>
      <c r="AA420" s="1607"/>
      <c r="AB420" s="1607"/>
      <c r="AC420" s="1607"/>
      <c r="AD420" s="1607"/>
      <c r="AE420" s="1607"/>
      <c r="AF420" s="1607"/>
      <c r="AG420" s="1607"/>
      <c r="AH420" s="1607"/>
      <c r="AI420" s="1607"/>
      <c r="AJ420" s="1607"/>
      <c r="AK420" s="1607"/>
      <c r="AL420" s="1607"/>
      <c r="AM420" s="1607"/>
      <c r="AN420" s="1607"/>
      <c r="AO420" s="1607"/>
      <c r="AP420" s="1607"/>
      <c r="AQ420" s="1607"/>
      <c r="AR420" s="1607"/>
      <c r="AS420" s="1607"/>
      <c r="AT420" s="1607"/>
      <c r="AU420" s="1607"/>
      <c r="AV420" s="1607"/>
      <c r="AW420" s="1607"/>
      <c r="AX420" s="1607"/>
      <c r="AY420" s="1607"/>
      <c r="AZ420" s="1607"/>
      <c r="BA420" s="1607"/>
      <c r="BB420" s="1607"/>
      <c r="BC420" s="1607"/>
      <c r="BD420" s="1607"/>
      <c r="BE420" s="1607"/>
      <c r="BF420" s="1607"/>
      <c r="BG420" s="1607"/>
      <c r="BH420" s="1607"/>
      <c r="BI420" s="1607"/>
      <c r="BJ420" s="1607"/>
      <c r="BK420" s="1607"/>
      <c r="BL420" s="1607"/>
    </row>
    <row r="421">
      <c r="A421" s="1607"/>
      <c r="B421" s="1607"/>
      <c r="C421" s="1607"/>
      <c r="D421" s="1607"/>
      <c r="E421" s="1607"/>
      <c r="F421" s="1607"/>
      <c r="G421" s="1607"/>
      <c r="H421" s="1607"/>
      <c r="I421" s="1607"/>
      <c r="J421" s="1607"/>
      <c r="K421" s="1607"/>
      <c r="L421" s="1607"/>
      <c r="M421" s="1607"/>
      <c r="N421" s="1607"/>
      <c r="O421" s="1607"/>
      <c r="P421" s="1607"/>
      <c r="Q421" s="1607"/>
      <c r="R421" s="1607"/>
      <c r="S421" s="1607"/>
      <c r="T421" s="1607"/>
      <c r="U421" s="1607"/>
      <c r="V421" s="1607"/>
      <c r="W421" s="1607"/>
      <c r="X421" s="1607"/>
      <c r="Y421" s="1607"/>
      <c r="Z421" s="1607"/>
      <c r="AA421" s="1607"/>
      <c r="AB421" s="1607"/>
      <c r="AC421" s="1607"/>
      <c r="AD421" s="1607"/>
      <c r="AE421" s="1607"/>
      <c r="AF421" s="1607"/>
      <c r="AG421" s="1607"/>
      <c r="AH421" s="1607"/>
      <c r="AI421" s="1607"/>
      <c r="AJ421" s="1607"/>
      <c r="AK421" s="1607"/>
      <c r="AL421" s="1607"/>
      <c r="AM421" s="1607"/>
      <c r="AN421" s="1607"/>
      <c r="AO421" s="1607"/>
      <c r="AP421" s="1607"/>
      <c r="AQ421" s="1607"/>
      <c r="AR421" s="1607"/>
      <c r="AS421" s="1607"/>
      <c r="AT421" s="1607"/>
      <c r="AU421" s="1607"/>
      <c r="AV421" s="1607"/>
      <c r="AW421" s="1607"/>
      <c r="AX421" s="1607"/>
      <c r="AY421" s="1607"/>
      <c r="AZ421" s="1607"/>
      <c r="BA421" s="1607"/>
      <c r="BB421" s="1607"/>
      <c r="BC421" s="1607"/>
      <c r="BD421" s="1607"/>
      <c r="BE421" s="1607"/>
      <c r="BF421" s="1607"/>
      <c r="BG421" s="1607"/>
      <c r="BH421" s="1607"/>
      <c r="BI421" s="1607"/>
      <c r="BJ421" s="1607"/>
      <c r="BK421" s="1607"/>
      <c r="BL421" s="1607"/>
    </row>
    <row r="422">
      <c r="A422" s="1607"/>
      <c r="B422" s="1607"/>
      <c r="C422" s="1607"/>
      <c r="D422" s="1607"/>
      <c r="E422" s="1607"/>
      <c r="F422" s="1607"/>
      <c r="G422" s="1607"/>
      <c r="H422" s="1607"/>
      <c r="I422" s="1607"/>
      <c r="J422" s="1607"/>
      <c r="K422" s="1607"/>
      <c r="L422" s="1607"/>
      <c r="M422" s="1607"/>
      <c r="N422" s="1607"/>
      <c r="O422" s="1607"/>
      <c r="P422" s="1607"/>
      <c r="Q422" s="1607"/>
      <c r="R422" s="1607"/>
      <c r="S422" s="1607"/>
      <c r="T422" s="1607"/>
      <c r="U422" s="1607"/>
      <c r="V422" s="1607"/>
      <c r="W422" s="1607"/>
      <c r="X422" s="1607"/>
      <c r="Y422" s="1607"/>
      <c r="Z422" s="1607"/>
      <c r="AA422" s="1607"/>
      <c r="AB422" s="1607"/>
      <c r="AC422" s="1607"/>
      <c r="AD422" s="1607"/>
      <c r="AE422" s="1607"/>
      <c r="AF422" s="1607"/>
      <c r="AG422" s="1607"/>
      <c r="AH422" s="1607"/>
      <c r="AI422" s="1607"/>
      <c r="AJ422" s="1607"/>
      <c r="AK422" s="1607"/>
      <c r="AL422" s="1607"/>
      <c r="AM422" s="1607"/>
      <c r="AN422" s="1607"/>
      <c r="AO422" s="1607"/>
      <c r="AP422" s="1607"/>
      <c r="AQ422" s="1607"/>
      <c r="AR422" s="1607"/>
      <c r="AS422" s="1607"/>
      <c r="AT422" s="1607"/>
      <c r="AU422" s="1607"/>
      <c r="AV422" s="1607"/>
      <c r="AW422" s="1607"/>
      <c r="AX422" s="1607"/>
      <c r="AY422" s="1607"/>
      <c r="AZ422" s="1607"/>
      <c r="BA422" s="1607"/>
      <c r="BB422" s="1607"/>
      <c r="BC422" s="1607"/>
      <c r="BD422" s="1607"/>
      <c r="BE422" s="1607"/>
      <c r="BF422" s="1607"/>
      <c r="BG422" s="1607"/>
      <c r="BH422" s="1607"/>
      <c r="BI422" s="1607"/>
      <c r="BJ422" s="1607"/>
      <c r="BK422" s="1607"/>
      <c r="BL422" s="1607"/>
    </row>
    <row r="423">
      <c r="A423" s="1607"/>
      <c r="B423" s="1607"/>
      <c r="C423" s="1607"/>
      <c r="D423" s="1607"/>
      <c r="E423" s="1607"/>
      <c r="F423" s="1607"/>
      <c r="G423" s="1607"/>
      <c r="H423" s="1607"/>
      <c r="I423" s="1607"/>
      <c r="J423" s="1607"/>
      <c r="K423" s="1607"/>
      <c r="L423" s="1607"/>
      <c r="M423" s="1607"/>
      <c r="N423" s="1607"/>
      <c r="O423" s="1607"/>
      <c r="P423" s="1607"/>
      <c r="Q423" s="1607"/>
      <c r="R423" s="1607"/>
      <c r="S423" s="1607"/>
      <c r="T423" s="1607"/>
      <c r="U423" s="1607"/>
      <c r="V423" s="1607"/>
      <c r="W423" s="1607"/>
      <c r="X423" s="1607"/>
      <c r="Y423" s="1607"/>
      <c r="Z423" s="1607"/>
      <c r="AA423" s="1607"/>
      <c r="AB423" s="1607"/>
      <c r="AC423" s="1607"/>
      <c r="AD423" s="1607"/>
      <c r="AE423" s="1607"/>
      <c r="AF423" s="1607"/>
      <c r="AG423" s="1607"/>
      <c r="AH423" s="1607"/>
      <c r="AI423" s="1607"/>
      <c r="AJ423" s="1607"/>
      <c r="AK423" s="1607"/>
      <c r="AL423" s="1607"/>
      <c r="AM423" s="1607"/>
      <c r="AN423" s="1607"/>
      <c r="AO423" s="1607"/>
      <c r="AP423" s="1607"/>
      <c r="AQ423" s="1607"/>
      <c r="AR423" s="1607"/>
      <c r="AS423" s="1607"/>
      <c r="AT423" s="1607"/>
      <c r="AU423" s="1607"/>
      <c r="AV423" s="1607"/>
      <c r="AW423" s="1607"/>
      <c r="AX423" s="1607"/>
      <c r="AY423" s="1607"/>
      <c r="AZ423" s="1607"/>
      <c r="BA423" s="1607"/>
      <c r="BB423" s="1607"/>
      <c r="BC423" s="1607"/>
      <c r="BD423" s="1607"/>
      <c r="BE423" s="1607"/>
      <c r="BF423" s="1607"/>
      <c r="BG423" s="1607"/>
      <c r="BH423" s="1607"/>
      <c r="BI423" s="1607"/>
      <c r="BJ423" s="1607"/>
      <c r="BK423" s="1607"/>
      <c r="BL423" s="1607"/>
    </row>
    <row r="424">
      <c r="A424" s="1607"/>
      <c r="B424" s="1607"/>
      <c r="C424" s="1607"/>
      <c r="D424" s="1607"/>
      <c r="E424" s="1607"/>
      <c r="F424" s="1607"/>
      <c r="G424" s="1607"/>
      <c r="H424" s="1607"/>
      <c r="I424" s="1607"/>
      <c r="J424" s="1607"/>
      <c r="K424" s="1607"/>
      <c r="L424" s="1607"/>
      <c r="M424" s="1607"/>
      <c r="N424" s="1607"/>
      <c r="O424" s="1607"/>
      <c r="P424" s="1607"/>
      <c r="Q424" s="1607"/>
      <c r="R424" s="1607"/>
      <c r="S424" s="1607"/>
      <c r="T424" s="1607"/>
      <c r="U424" s="1607"/>
      <c r="V424" s="1607"/>
      <c r="W424" s="1607"/>
      <c r="X424" s="1607"/>
      <c r="Y424" s="1607"/>
      <c r="Z424" s="1607"/>
      <c r="AA424" s="1607"/>
      <c r="AB424" s="1607"/>
      <c r="AC424" s="1607"/>
      <c r="AD424" s="1607"/>
      <c r="AE424" s="1607"/>
      <c r="AF424" s="1607"/>
      <c r="AG424" s="1607"/>
      <c r="AH424" s="1607"/>
      <c r="AI424" s="1607"/>
      <c r="AJ424" s="1607"/>
      <c r="AK424" s="1607"/>
      <c r="AL424" s="1607"/>
      <c r="AM424" s="1607"/>
      <c r="AN424" s="1607"/>
      <c r="AO424" s="1607"/>
      <c r="AP424" s="1607"/>
      <c r="AQ424" s="1607"/>
      <c r="AR424" s="1607"/>
      <c r="AS424" s="1607"/>
      <c r="AT424" s="1607"/>
      <c r="AU424" s="1607"/>
      <c r="AV424" s="1607"/>
      <c r="AW424" s="1607"/>
      <c r="AX424" s="1607"/>
      <c r="AY424" s="1607"/>
      <c r="AZ424" s="1607"/>
      <c r="BA424" s="1607"/>
      <c r="BB424" s="1607"/>
      <c r="BC424" s="1607"/>
      <c r="BD424" s="1607"/>
      <c r="BE424" s="1607"/>
      <c r="BF424" s="1607"/>
      <c r="BG424" s="1607"/>
      <c r="BH424" s="1607"/>
      <c r="BI424" s="1607"/>
      <c r="BJ424" s="1607"/>
      <c r="BK424" s="1607"/>
      <c r="BL424" s="1607"/>
    </row>
    <row r="425">
      <c r="A425" s="1607"/>
      <c r="B425" s="1607"/>
      <c r="C425" s="1607"/>
      <c r="D425" s="1607"/>
      <c r="E425" s="1607"/>
      <c r="F425" s="1607"/>
      <c r="G425" s="1607"/>
      <c r="H425" s="1607"/>
      <c r="I425" s="1607"/>
      <c r="J425" s="1607"/>
      <c r="K425" s="1607"/>
      <c r="L425" s="1607"/>
      <c r="M425" s="1607"/>
      <c r="N425" s="1607"/>
      <c r="O425" s="1607"/>
      <c r="P425" s="1607"/>
      <c r="Q425" s="1607"/>
      <c r="R425" s="1607"/>
      <c r="S425" s="1607"/>
      <c r="T425" s="1607"/>
      <c r="U425" s="1607"/>
      <c r="V425" s="1607"/>
      <c r="W425" s="1607"/>
      <c r="X425" s="1607"/>
      <c r="Y425" s="1607"/>
      <c r="Z425" s="1607"/>
      <c r="AA425" s="1607"/>
      <c r="AB425" s="1607"/>
      <c r="AC425" s="1607"/>
      <c r="AD425" s="1607"/>
      <c r="AE425" s="1607"/>
      <c r="AF425" s="1607"/>
      <c r="AG425" s="1607"/>
      <c r="AH425" s="1607"/>
      <c r="AI425" s="1607"/>
      <c r="AJ425" s="1607"/>
      <c r="AK425" s="1607"/>
      <c r="AL425" s="1607"/>
      <c r="AM425" s="1607"/>
      <c r="AN425" s="1607"/>
      <c r="AO425" s="1607"/>
      <c r="AP425" s="1607"/>
      <c r="AQ425" s="1607"/>
      <c r="AR425" s="1607"/>
      <c r="AS425" s="1607"/>
      <c r="AT425" s="1607"/>
      <c r="AU425" s="1607"/>
      <c r="AV425" s="1607"/>
      <c r="AW425" s="1607"/>
      <c r="AX425" s="1607"/>
      <c r="AY425" s="1607"/>
      <c r="AZ425" s="1607"/>
      <c r="BA425" s="1607"/>
      <c r="BB425" s="1607"/>
      <c r="BC425" s="1607"/>
      <c r="BD425" s="1607"/>
      <c r="BE425" s="1607"/>
      <c r="BF425" s="1607"/>
      <c r="BG425" s="1607"/>
      <c r="BH425" s="1607"/>
      <c r="BI425" s="1607"/>
      <c r="BJ425" s="1607"/>
      <c r="BK425" s="1607"/>
      <c r="BL425" s="1607"/>
    </row>
    <row r="426">
      <c r="A426" s="1607"/>
      <c r="B426" s="1607"/>
      <c r="C426" s="1607"/>
      <c r="D426" s="1607"/>
      <c r="E426" s="1607"/>
      <c r="F426" s="1607"/>
      <c r="G426" s="1607"/>
      <c r="H426" s="1607"/>
      <c r="I426" s="1607"/>
      <c r="J426" s="1607"/>
      <c r="K426" s="1607"/>
      <c r="L426" s="1607"/>
      <c r="M426" s="1607"/>
      <c r="N426" s="1607"/>
      <c r="O426" s="1607"/>
      <c r="P426" s="1607"/>
      <c r="Q426" s="1607"/>
      <c r="R426" s="1607"/>
      <c r="S426" s="1607"/>
      <c r="T426" s="1607"/>
      <c r="U426" s="1607"/>
      <c r="V426" s="1607"/>
      <c r="W426" s="1607"/>
      <c r="X426" s="1607"/>
      <c r="Y426" s="1607"/>
      <c r="Z426" s="1607"/>
      <c r="AA426" s="1607"/>
      <c r="AB426" s="1607"/>
      <c r="AC426" s="1607"/>
      <c r="AD426" s="1607"/>
      <c r="AE426" s="1607"/>
      <c r="AF426" s="1607"/>
      <c r="AG426" s="1607"/>
      <c r="AH426" s="1607"/>
      <c r="AI426" s="1607"/>
      <c r="AJ426" s="1607"/>
      <c r="AK426" s="1607"/>
      <c r="AL426" s="1607"/>
      <c r="AM426" s="1607"/>
      <c r="AN426" s="1607"/>
      <c r="AO426" s="1607"/>
      <c r="AP426" s="1607"/>
      <c r="AQ426" s="1607"/>
      <c r="AR426" s="1607"/>
      <c r="AS426" s="1607"/>
      <c r="AT426" s="1607"/>
      <c r="AU426" s="1607"/>
      <c r="AV426" s="1607"/>
      <c r="AW426" s="1607"/>
      <c r="AX426" s="1607"/>
      <c r="AY426" s="1607"/>
      <c r="AZ426" s="1607"/>
      <c r="BA426" s="1607"/>
      <c r="BB426" s="1607"/>
      <c r="BC426" s="1607"/>
      <c r="BD426" s="1607"/>
      <c r="BE426" s="1607"/>
      <c r="BF426" s="1607"/>
      <c r="BG426" s="1607"/>
      <c r="BH426" s="1607"/>
      <c r="BI426" s="1607"/>
      <c r="BJ426" s="1607"/>
      <c r="BK426" s="1607"/>
      <c r="BL426" s="1607"/>
    </row>
    <row r="427">
      <c r="A427" s="1607"/>
      <c r="B427" s="1607"/>
      <c r="C427" s="1607"/>
      <c r="D427" s="1607"/>
      <c r="E427" s="1607"/>
      <c r="F427" s="1607"/>
      <c r="G427" s="1607"/>
      <c r="H427" s="1607"/>
      <c r="I427" s="1607"/>
      <c r="J427" s="1607"/>
      <c r="K427" s="1607"/>
      <c r="L427" s="1607"/>
      <c r="M427" s="1607"/>
      <c r="N427" s="1607"/>
      <c r="O427" s="1607"/>
      <c r="P427" s="1607"/>
      <c r="Q427" s="1607"/>
      <c r="R427" s="1607"/>
      <c r="S427" s="1607"/>
      <c r="T427" s="1607"/>
      <c r="U427" s="1607"/>
      <c r="V427" s="1607"/>
      <c r="W427" s="1607"/>
      <c r="X427" s="1607"/>
      <c r="Y427" s="1607"/>
      <c r="Z427" s="1607"/>
      <c r="AA427" s="1607"/>
      <c r="AB427" s="1607"/>
      <c r="AC427" s="1607"/>
      <c r="AD427" s="1607"/>
      <c r="AE427" s="1607"/>
      <c r="AF427" s="1607"/>
      <c r="AG427" s="1607"/>
      <c r="AH427" s="1607"/>
      <c r="AI427" s="1607"/>
      <c r="AJ427" s="1607"/>
      <c r="AK427" s="1607"/>
      <c r="AL427" s="1607"/>
      <c r="AM427" s="1607"/>
      <c r="AN427" s="1607"/>
      <c r="AO427" s="1607"/>
      <c r="AP427" s="1607"/>
      <c r="AQ427" s="1607"/>
      <c r="AR427" s="1607"/>
      <c r="AS427" s="1607"/>
      <c r="AT427" s="1607"/>
      <c r="AU427" s="1607"/>
      <c r="AV427" s="1607"/>
      <c r="AW427" s="1607"/>
      <c r="AX427" s="1607"/>
      <c r="AY427" s="1607"/>
      <c r="AZ427" s="1607"/>
      <c r="BA427" s="1607"/>
      <c r="BB427" s="1607"/>
      <c r="BC427" s="1607"/>
      <c r="BD427" s="1607"/>
      <c r="BE427" s="1607"/>
      <c r="BF427" s="1607"/>
      <c r="BG427" s="1607"/>
      <c r="BH427" s="1607"/>
      <c r="BI427" s="1607"/>
      <c r="BJ427" s="1607"/>
      <c r="BK427" s="1607"/>
      <c r="BL427" s="1607"/>
    </row>
    <row r="428">
      <c r="A428" s="1607"/>
      <c r="B428" s="1607"/>
      <c r="C428" s="1607"/>
      <c r="D428" s="1607"/>
      <c r="E428" s="1607"/>
      <c r="F428" s="1607"/>
      <c r="G428" s="1607"/>
      <c r="H428" s="1607"/>
      <c r="I428" s="1607"/>
      <c r="J428" s="1607"/>
      <c r="K428" s="1607"/>
      <c r="L428" s="1607"/>
      <c r="M428" s="1607"/>
      <c r="N428" s="1607"/>
      <c r="O428" s="1607"/>
      <c r="P428" s="1607"/>
      <c r="Q428" s="1607"/>
      <c r="R428" s="1607"/>
      <c r="S428" s="1607"/>
      <c r="T428" s="1607"/>
      <c r="U428" s="1607"/>
      <c r="V428" s="1607"/>
      <c r="W428" s="1607"/>
      <c r="X428" s="1607"/>
      <c r="Y428" s="1607"/>
      <c r="Z428" s="1607"/>
      <c r="AA428" s="1607"/>
      <c r="AB428" s="1607"/>
      <c r="AC428" s="1607"/>
      <c r="AD428" s="1607"/>
      <c r="AE428" s="1607"/>
      <c r="AF428" s="1607"/>
      <c r="AG428" s="1607"/>
      <c r="AH428" s="1607"/>
      <c r="AI428" s="1607"/>
      <c r="AJ428" s="1607"/>
      <c r="AK428" s="1607"/>
      <c r="AL428" s="1607"/>
      <c r="AM428" s="1607"/>
      <c r="AN428" s="1607"/>
      <c r="AO428" s="1607"/>
      <c r="AP428" s="1607"/>
      <c r="AQ428" s="1607"/>
      <c r="AR428" s="1607"/>
      <c r="AS428" s="1607"/>
      <c r="AT428" s="1607"/>
      <c r="AU428" s="1607"/>
      <c r="AV428" s="1607"/>
      <c r="AW428" s="1607"/>
      <c r="AX428" s="1607"/>
      <c r="AY428" s="1607"/>
      <c r="AZ428" s="1607"/>
      <c r="BA428" s="1607"/>
      <c r="BB428" s="1607"/>
      <c r="BC428" s="1607"/>
      <c r="BD428" s="1607"/>
      <c r="BE428" s="1607"/>
      <c r="BF428" s="1607"/>
      <c r="BG428" s="1607"/>
      <c r="BH428" s="1607"/>
      <c r="BI428" s="1607"/>
      <c r="BJ428" s="1607"/>
      <c r="BK428" s="1607"/>
      <c r="BL428" s="1607"/>
    </row>
    <row r="429">
      <c r="A429" s="1607"/>
      <c r="B429" s="1607"/>
      <c r="C429" s="1607"/>
      <c r="D429" s="1607"/>
      <c r="E429" s="1607"/>
      <c r="F429" s="1607"/>
      <c r="G429" s="1607"/>
      <c r="H429" s="1607"/>
      <c r="I429" s="1607"/>
      <c r="J429" s="1607"/>
      <c r="K429" s="1607"/>
      <c r="L429" s="1607"/>
      <c r="M429" s="1607"/>
      <c r="N429" s="1607"/>
      <c r="O429" s="1607"/>
      <c r="P429" s="1607"/>
      <c r="Q429" s="1607"/>
      <c r="R429" s="1607"/>
      <c r="S429" s="1607"/>
      <c r="T429" s="1607"/>
      <c r="U429" s="1607"/>
      <c r="V429" s="1607"/>
      <c r="W429" s="1607"/>
      <c r="X429" s="1607"/>
      <c r="Y429" s="1607"/>
      <c r="Z429" s="1607"/>
      <c r="AA429" s="1607"/>
      <c r="AB429" s="1607"/>
      <c r="AC429" s="1607"/>
      <c r="AD429" s="1607"/>
      <c r="AE429" s="1607"/>
      <c r="AF429" s="1607"/>
      <c r="AG429" s="1607"/>
      <c r="AH429" s="1607"/>
      <c r="AI429" s="1607"/>
      <c r="AJ429" s="1607"/>
      <c r="AK429" s="1607"/>
      <c r="AL429" s="1607"/>
      <c r="AM429" s="1607"/>
      <c r="AN429" s="1607"/>
      <c r="AO429" s="1607"/>
      <c r="AP429" s="1607"/>
      <c r="AQ429" s="1607"/>
      <c r="AR429" s="1607"/>
      <c r="AS429" s="1607"/>
      <c r="AT429" s="1607"/>
      <c r="AU429" s="1607"/>
      <c r="AV429" s="1607"/>
      <c r="AW429" s="1607"/>
      <c r="AX429" s="1607"/>
      <c r="AY429" s="1607"/>
      <c r="AZ429" s="1607"/>
      <c r="BA429" s="1607"/>
      <c r="BB429" s="1607"/>
      <c r="BC429" s="1607"/>
      <c r="BD429" s="1607"/>
      <c r="BE429" s="1607"/>
      <c r="BF429" s="1607"/>
      <c r="BG429" s="1607"/>
      <c r="BH429" s="1607"/>
      <c r="BI429" s="1607"/>
      <c r="BJ429" s="1607"/>
      <c r="BK429" s="1607"/>
      <c r="BL429" s="1607"/>
    </row>
    <row r="430">
      <c r="A430" s="1607"/>
      <c r="B430" s="1607"/>
      <c r="C430" s="1607"/>
      <c r="D430" s="1607"/>
      <c r="E430" s="1607"/>
      <c r="F430" s="1607"/>
      <c r="G430" s="1607"/>
      <c r="H430" s="1607"/>
      <c r="I430" s="1607"/>
      <c r="J430" s="1607"/>
      <c r="K430" s="1607"/>
      <c r="L430" s="1607"/>
      <c r="M430" s="1607"/>
      <c r="N430" s="1607"/>
      <c r="O430" s="1607"/>
      <c r="P430" s="1607"/>
      <c r="Q430" s="1607"/>
      <c r="R430" s="1607"/>
      <c r="S430" s="1607"/>
      <c r="T430" s="1607"/>
      <c r="U430" s="1607"/>
      <c r="V430" s="1607"/>
      <c r="W430" s="1607"/>
      <c r="X430" s="1607"/>
      <c r="Y430" s="1607"/>
      <c r="Z430" s="1607"/>
      <c r="AA430" s="1607"/>
      <c r="AB430" s="1607"/>
      <c r="AC430" s="1607"/>
      <c r="AD430" s="1607"/>
      <c r="AE430" s="1607"/>
      <c r="AF430" s="1607"/>
      <c r="AG430" s="1607"/>
      <c r="AH430" s="1607"/>
      <c r="AI430" s="1607"/>
      <c r="AJ430" s="1607"/>
      <c r="AK430" s="1607"/>
      <c r="AL430" s="1607"/>
      <c r="AM430" s="1607"/>
      <c r="AN430" s="1607"/>
      <c r="AO430" s="1607"/>
      <c r="AP430" s="1607"/>
      <c r="AQ430" s="1607"/>
      <c r="AR430" s="1607"/>
      <c r="AS430" s="1607"/>
      <c r="AT430" s="1607"/>
      <c r="AU430" s="1607"/>
      <c r="AV430" s="1607"/>
      <c r="AW430" s="1607"/>
      <c r="AX430" s="1607"/>
      <c r="AY430" s="1607"/>
      <c r="AZ430" s="1607"/>
      <c r="BA430" s="1607"/>
      <c r="BB430" s="1607"/>
      <c r="BC430" s="1607"/>
      <c r="BD430" s="1607"/>
      <c r="BE430" s="1607"/>
      <c r="BF430" s="1607"/>
      <c r="BG430" s="1607"/>
      <c r="BH430" s="1607"/>
      <c r="BI430" s="1607"/>
      <c r="BJ430" s="1607"/>
      <c r="BK430" s="1607"/>
      <c r="BL430" s="1607"/>
    </row>
    <row r="431">
      <c r="A431" s="1607"/>
      <c r="B431" s="1607"/>
      <c r="C431" s="1607"/>
      <c r="D431" s="1607"/>
      <c r="E431" s="1607"/>
      <c r="F431" s="1607"/>
      <c r="G431" s="1607"/>
      <c r="H431" s="1607"/>
      <c r="I431" s="1607"/>
      <c r="J431" s="1607"/>
      <c r="K431" s="1607"/>
      <c r="L431" s="1607"/>
      <c r="M431" s="1607"/>
      <c r="N431" s="1607"/>
      <c r="O431" s="1607"/>
      <c r="P431" s="1607"/>
      <c r="Q431" s="1607"/>
      <c r="R431" s="1607"/>
      <c r="S431" s="1607"/>
      <c r="T431" s="1607"/>
      <c r="U431" s="1607"/>
      <c r="V431" s="1607"/>
      <c r="W431" s="1607"/>
      <c r="X431" s="1607"/>
      <c r="Y431" s="1607"/>
      <c r="Z431" s="1607"/>
      <c r="AA431" s="1607"/>
      <c r="AB431" s="1607"/>
      <c r="AC431" s="1607"/>
      <c r="AD431" s="1607"/>
      <c r="AE431" s="1607"/>
      <c r="AF431" s="1607"/>
      <c r="AG431" s="1607"/>
      <c r="AH431" s="1607"/>
      <c r="AI431" s="1607"/>
      <c r="AJ431" s="1607"/>
      <c r="AK431" s="1607"/>
      <c r="AL431" s="1607"/>
      <c r="AM431" s="1607"/>
      <c r="AN431" s="1607"/>
      <c r="AO431" s="1607"/>
      <c r="AP431" s="1607"/>
      <c r="AQ431" s="1607"/>
      <c r="AR431" s="1607"/>
      <c r="AS431" s="1607"/>
      <c r="AT431" s="1607"/>
      <c r="AU431" s="1607"/>
      <c r="AV431" s="1607"/>
      <c r="AW431" s="1607"/>
      <c r="AX431" s="1607"/>
      <c r="AY431" s="1607"/>
      <c r="AZ431" s="1607"/>
      <c r="BA431" s="1607"/>
      <c r="BB431" s="1607"/>
      <c r="BC431" s="1607"/>
      <c r="BD431" s="1607"/>
      <c r="BE431" s="1607"/>
      <c r="BF431" s="1607"/>
      <c r="BG431" s="1607"/>
      <c r="BH431" s="1607"/>
      <c r="BI431" s="1607"/>
      <c r="BJ431" s="1607"/>
      <c r="BK431" s="1607"/>
      <c r="BL431" s="1607"/>
    </row>
    <row r="432">
      <c r="A432" s="1607"/>
      <c r="B432" s="1607"/>
      <c r="C432" s="1607"/>
      <c r="D432" s="1607"/>
      <c r="E432" s="1607"/>
      <c r="F432" s="1607"/>
      <c r="G432" s="1607"/>
      <c r="H432" s="1607"/>
      <c r="I432" s="1607"/>
      <c r="J432" s="1607"/>
      <c r="K432" s="1607"/>
      <c r="L432" s="1607"/>
      <c r="M432" s="1607"/>
      <c r="N432" s="1607"/>
      <c r="O432" s="1607"/>
      <c r="P432" s="1607"/>
      <c r="Q432" s="1607"/>
      <c r="R432" s="1607"/>
      <c r="S432" s="1607"/>
      <c r="T432" s="1607"/>
      <c r="U432" s="1607"/>
      <c r="V432" s="1607"/>
      <c r="W432" s="1607"/>
      <c r="X432" s="1607"/>
      <c r="Y432" s="1607"/>
      <c r="Z432" s="1607"/>
      <c r="AA432" s="1607"/>
      <c r="AB432" s="1607"/>
      <c r="AC432" s="1607"/>
      <c r="AD432" s="1607"/>
      <c r="AE432" s="1607"/>
      <c r="AF432" s="1607"/>
      <c r="AG432" s="1607"/>
      <c r="AH432" s="1607"/>
      <c r="AI432" s="1607"/>
      <c r="AJ432" s="1607"/>
      <c r="AK432" s="1607"/>
      <c r="AL432" s="1607"/>
      <c r="AM432" s="1607"/>
      <c r="AN432" s="1607"/>
      <c r="AO432" s="1607"/>
      <c r="AP432" s="1607"/>
      <c r="AQ432" s="1607"/>
      <c r="AR432" s="1607"/>
      <c r="AS432" s="1607"/>
      <c r="AT432" s="1607"/>
      <c r="AU432" s="1607"/>
      <c r="AV432" s="1607"/>
      <c r="AW432" s="1607"/>
      <c r="AX432" s="1607"/>
      <c r="AY432" s="1607"/>
      <c r="AZ432" s="1607"/>
      <c r="BA432" s="1607"/>
      <c r="BB432" s="1607"/>
      <c r="BC432" s="1607"/>
      <c r="BD432" s="1607"/>
      <c r="BE432" s="1607"/>
      <c r="BF432" s="1607"/>
      <c r="BG432" s="1607"/>
      <c r="BH432" s="1607"/>
      <c r="BI432" s="1607"/>
      <c r="BJ432" s="1607"/>
      <c r="BK432" s="1607"/>
      <c r="BL432" s="1607"/>
    </row>
    <row r="433">
      <c r="A433" s="1607"/>
      <c r="B433" s="1607"/>
      <c r="C433" s="1607"/>
      <c r="D433" s="1607"/>
      <c r="E433" s="1607"/>
      <c r="F433" s="1607"/>
      <c r="G433" s="1607"/>
      <c r="H433" s="1607"/>
      <c r="I433" s="1607"/>
      <c r="J433" s="1607"/>
      <c r="K433" s="1607"/>
      <c r="L433" s="1607"/>
      <c r="M433" s="1607"/>
      <c r="N433" s="1607"/>
      <c r="O433" s="1607"/>
      <c r="P433" s="1607"/>
      <c r="Q433" s="1607"/>
      <c r="R433" s="1607"/>
      <c r="S433" s="1607"/>
      <c r="T433" s="1607"/>
      <c r="U433" s="1607"/>
      <c r="V433" s="1607"/>
      <c r="W433" s="1607"/>
      <c r="X433" s="1607"/>
      <c r="Y433" s="1607"/>
      <c r="Z433" s="1607"/>
      <c r="AA433" s="1607"/>
      <c r="AB433" s="1607"/>
      <c r="AC433" s="1607"/>
      <c r="AD433" s="1607"/>
      <c r="AE433" s="1607"/>
      <c r="AF433" s="1607"/>
      <c r="AG433" s="1607"/>
      <c r="AH433" s="1607"/>
      <c r="AI433" s="1607"/>
      <c r="AJ433" s="1607"/>
      <c r="AK433" s="1607"/>
      <c r="AL433" s="1607"/>
      <c r="AM433" s="1607"/>
      <c r="AN433" s="1607"/>
      <c r="AO433" s="1607"/>
      <c r="AP433" s="1607"/>
      <c r="AQ433" s="1607"/>
      <c r="AR433" s="1607"/>
      <c r="AS433" s="1607"/>
      <c r="AT433" s="1607"/>
      <c r="AU433" s="1607"/>
      <c r="AV433" s="1607"/>
      <c r="AW433" s="1607"/>
      <c r="AX433" s="1607"/>
      <c r="AY433" s="1607"/>
      <c r="AZ433" s="1607"/>
      <c r="BA433" s="1607"/>
      <c r="BB433" s="1607"/>
      <c r="BC433" s="1607"/>
      <c r="BD433" s="1607"/>
      <c r="BE433" s="1607"/>
      <c r="BF433" s="1607"/>
      <c r="BG433" s="1607"/>
      <c r="BH433" s="1607"/>
      <c r="BI433" s="1607"/>
      <c r="BJ433" s="1607"/>
      <c r="BK433" s="1607"/>
      <c r="BL433" s="1607"/>
    </row>
    <row r="434">
      <c r="A434" s="1607"/>
      <c r="B434" s="1607"/>
      <c r="C434" s="1607"/>
      <c r="D434" s="1607"/>
      <c r="E434" s="1607"/>
      <c r="F434" s="1607"/>
      <c r="G434" s="1607"/>
      <c r="H434" s="1607"/>
      <c r="I434" s="1607"/>
      <c r="J434" s="1607"/>
      <c r="K434" s="1607"/>
      <c r="L434" s="1607"/>
      <c r="M434" s="1607"/>
      <c r="N434" s="1607"/>
      <c r="O434" s="1607"/>
      <c r="P434" s="1607"/>
      <c r="Q434" s="1607"/>
      <c r="R434" s="1607"/>
      <c r="S434" s="1607"/>
      <c r="T434" s="1607"/>
      <c r="U434" s="1607"/>
      <c r="V434" s="1607"/>
      <c r="W434" s="1607"/>
      <c r="X434" s="1607"/>
      <c r="Y434" s="1607"/>
      <c r="Z434" s="1607"/>
      <c r="AA434" s="1607"/>
      <c r="AB434" s="1607"/>
      <c r="AC434" s="1607"/>
      <c r="AD434" s="1607"/>
      <c r="AE434" s="1607"/>
      <c r="AF434" s="1607"/>
      <c r="AG434" s="1607"/>
      <c r="AH434" s="1607"/>
      <c r="AI434" s="1607"/>
      <c r="AJ434" s="1607"/>
      <c r="AK434" s="1607"/>
      <c r="AL434" s="1607"/>
      <c r="AM434" s="1607"/>
      <c r="AN434" s="1607"/>
      <c r="AO434" s="1607"/>
      <c r="AP434" s="1607"/>
      <c r="AQ434" s="1607"/>
      <c r="AR434" s="1607"/>
      <c r="AS434" s="1607"/>
      <c r="AT434" s="1607"/>
      <c r="AU434" s="1607"/>
      <c r="AV434" s="1607"/>
      <c r="AW434" s="1607"/>
      <c r="AX434" s="1607"/>
      <c r="AY434" s="1607"/>
      <c r="AZ434" s="1607"/>
      <c r="BA434" s="1607"/>
      <c r="BB434" s="1607"/>
      <c r="BC434" s="1607"/>
      <c r="BD434" s="1607"/>
      <c r="BE434" s="1607"/>
      <c r="BF434" s="1607"/>
      <c r="BG434" s="1607"/>
      <c r="BH434" s="1607"/>
      <c r="BI434" s="1607"/>
      <c r="BJ434" s="1607"/>
      <c r="BK434" s="1607"/>
      <c r="BL434" s="1607"/>
    </row>
    <row r="435">
      <c r="A435" s="1607"/>
      <c r="B435" s="1607"/>
      <c r="C435" s="1607"/>
      <c r="D435" s="1607"/>
      <c r="E435" s="1607"/>
      <c r="F435" s="1607"/>
      <c r="G435" s="1607"/>
      <c r="H435" s="1607"/>
      <c r="I435" s="1607"/>
      <c r="J435" s="1607"/>
      <c r="K435" s="1607"/>
      <c r="L435" s="1607"/>
      <c r="M435" s="1607"/>
      <c r="N435" s="1607"/>
      <c r="O435" s="1607"/>
      <c r="P435" s="1607"/>
      <c r="Q435" s="1607"/>
      <c r="R435" s="1607"/>
      <c r="S435" s="1607"/>
      <c r="T435" s="1607"/>
      <c r="U435" s="1607"/>
      <c r="V435" s="1607"/>
      <c r="W435" s="1607"/>
      <c r="X435" s="1607"/>
      <c r="Y435" s="1607"/>
      <c r="Z435" s="1607"/>
      <c r="AA435" s="1607"/>
      <c r="AB435" s="1607"/>
      <c r="AC435" s="1607"/>
      <c r="AD435" s="1607"/>
      <c r="AE435" s="1607"/>
      <c r="AF435" s="1607"/>
      <c r="AG435" s="1607"/>
      <c r="AH435" s="1607"/>
      <c r="AI435" s="1607"/>
      <c r="AJ435" s="1607"/>
      <c r="AK435" s="1607"/>
      <c r="AL435" s="1607"/>
      <c r="AM435" s="1607"/>
      <c r="AN435" s="1607"/>
      <c r="AO435" s="1607"/>
      <c r="AP435" s="1607"/>
      <c r="AQ435" s="1607"/>
      <c r="AR435" s="1607"/>
      <c r="AS435" s="1607"/>
      <c r="AT435" s="1607"/>
      <c r="AU435" s="1607"/>
      <c r="AV435" s="1607"/>
      <c r="AW435" s="1607"/>
      <c r="AX435" s="1607"/>
      <c r="AY435" s="1607"/>
      <c r="AZ435" s="1607"/>
      <c r="BA435" s="1607"/>
      <c r="BB435" s="1607"/>
      <c r="BC435" s="1607"/>
      <c r="BD435" s="1607"/>
      <c r="BE435" s="1607"/>
      <c r="BF435" s="1607"/>
      <c r="BG435" s="1607"/>
      <c r="BH435" s="1607"/>
      <c r="BI435" s="1607"/>
      <c r="BJ435" s="1607"/>
      <c r="BK435" s="1607"/>
      <c r="BL435" s="1607"/>
    </row>
    <row r="436">
      <c r="A436" s="1607"/>
      <c r="B436" s="1607"/>
      <c r="C436" s="1607"/>
      <c r="D436" s="1607"/>
      <c r="E436" s="1607"/>
      <c r="F436" s="1607"/>
      <c r="G436" s="1607"/>
      <c r="H436" s="1607"/>
      <c r="I436" s="1607"/>
      <c r="J436" s="1607"/>
      <c r="K436" s="1607"/>
      <c r="L436" s="1607"/>
      <c r="M436" s="1607"/>
      <c r="N436" s="1607"/>
      <c r="O436" s="1607"/>
      <c r="P436" s="1607"/>
      <c r="Q436" s="1607"/>
      <c r="R436" s="1607"/>
      <c r="S436" s="1607"/>
      <c r="T436" s="1607"/>
      <c r="U436" s="1607"/>
      <c r="V436" s="1607"/>
      <c r="W436" s="1607"/>
      <c r="X436" s="1607"/>
      <c r="Y436" s="1607"/>
      <c r="Z436" s="1607"/>
      <c r="AA436" s="1607"/>
      <c r="AB436" s="1607"/>
      <c r="AC436" s="1607"/>
      <c r="AD436" s="1607"/>
      <c r="AE436" s="1607"/>
      <c r="AF436" s="1607"/>
      <c r="AG436" s="1607"/>
      <c r="AH436" s="1607"/>
      <c r="AI436" s="1607"/>
      <c r="AJ436" s="1607"/>
      <c r="AK436" s="1607"/>
      <c r="AL436" s="1607"/>
      <c r="AM436" s="1607"/>
      <c r="AN436" s="1607"/>
      <c r="AO436" s="1607"/>
      <c r="AP436" s="1607"/>
      <c r="AQ436" s="1607"/>
      <c r="AR436" s="1607"/>
      <c r="AS436" s="1607"/>
      <c r="AT436" s="1607"/>
      <c r="AU436" s="1607"/>
      <c r="AV436" s="1607"/>
      <c r="AW436" s="1607"/>
      <c r="AX436" s="1607"/>
      <c r="AY436" s="1607"/>
      <c r="AZ436" s="1607"/>
      <c r="BA436" s="1607"/>
      <c r="BB436" s="1607"/>
      <c r="BC436" s="1607"/>
      <c r="BD436" s="1607"/>
      <c r="BE436" s="1607"/>
      <c r="BF436" s="1607"/>
      <c r="BG436" s="1607"/>
      <c r="BH436" s="1607"/>
      <c r="BI436" s="1607"/>
      <c r="BJ436" s="1607"/>
      <c r="BK436" s="1607"/>
      <c r="BL436" s="1607"/>
    </row>
    <row r="437">
      <c r="A437" s="1607"/>
      <c r="B437" s="1607"/>
      <c r="C437" s="1607"/>
      <c r="D437" s="1607"/>
      <c r="E437" s="1607"/>
      <c r="F437" s="1607"/>
      <c r="G437" s="1607"/>
      <c r="H437" s="1607"/>
      <c r="I437" s="1607"/>
      <c r="J437" s="1607"/>
      <c r="K437" s="1607"/>
      <c r="L437" s="1607"/>
      <c r="M437" s="1607"/>
      <c r="N437" s="1607"/>
      <c r="O437" s="1607"/>
      <c r="P437" s="1607"/>
      <c r="Q437" s="1607"/>
      <c r="R437" s="1607"/>
      <c r="S437" s="1607"/>
      <c r="T437" s="1607"/>
      <c r="U437" s="1607"/>
      <c r="V437" s="1607"/>
      <c r="W437" s="1607"/>
      <c r="X437" s="1607"/>
      <c r="Y437" s="1607"/>
      <c r="Z437" s="1607"/>
      <c r="AA437" s="1607"/>
      <c r="AB437" s="1607"/>
      <c r="AC437" s="1607"/>
      <c r="AD437" s="1607"/>
      <c r="AE437" s="1607"/>
      <c r="AF437" s="1607"/>
      <c r="AG437" s="1607"/>
      <c r="AH437" s="1607"/>
      <c r="AI437" s="1607"/>
      <c r="AJ437" s="1607"/>
      <c r="AK437" s="1607"/>
      <c r="AL437" s="1607"/>
      <c r="AM437" s="1607"/>
      <c r="AN437" s="1607"/>
      <c r="AO437" s="1607"/>
      <c r="AP437" s="1607"/>
      <c r="AQ437" s="1607"/>
      <c r="AR437" s="1607"/>
      <c r="AS437" s="1607"/>
      <c r="AT437" s="1607"/>
      <c r="AU437" s="1607"/>
      <c r="AV437" s="1607"/>
      <c r="AW437" s="1607"/>
      <c r="AX437" s="1607"/>
      <c r="AY437" s="1607"/>
      <c r="AZ437" s="1607"/>
      <c r="BA437" s="1607"/>
      <c r="BB437" s="1607"/>
      <c r="BC437" s="1607"/>
      <c r="BD437" s="1607"/>
      <c r="BE437" s="1607"/>
      <c r="BF437" s="1607"/>
      <c r="BG437" s="1607"/>
      <c r="BH437" s="1607"/>
      <c r="BI437" s="1607"/>
      <c r="BJ437" s="1607"/>
      <c r="BK437" s="1607"/>
      <c r="BL437" s="1607"/>
    </row>
    <row r="438">
      <c r="A438" s="1607"/>
      <c r="B438" s="1607"/>
      <c r="C438" s="1607"/>
      <c r="D438" s="1607"/>
      <c r="E438" s="1607"/>
      <c r="F438" s="1607"/>
      <c r="G438" s="1607"/>
      <c r="H438" s="1607"/>
      <c r="I438" s="1607"/>
      <c r="J438" s="1607"/>
      <c r="K438" s="1607"/>
      <c r="L438" s="1607"/>
      <c r="M438" s="1607"/>
      <c r="N438" s="1607"/>
      <c r="O438" s="1607"/>
      <c r="P438" s="1607"/>
      <c r="Q438" s="1607"/>
      <c r="R438" s="1607"/>
      <c r="S438" s="1607"/>
      <c r="T438" s="1607"/>
      <c r="U438" s="1607"/>
      <c r="V438" s="1607"/>
      <c r="W438" s="1607"/>
      <c r="X438" s="1607"/>
      <c r="Y438" s="1607"/>
      <c r="Z438" s="1607"/>
      <c r="AA438" s="1607"/>
      <c r="AB438" s="1607"/>
      <c r="AC438" s="1607"/>
      <c r="AD438" s="1607"/>
      <c r="AE438" s="1607"/>
      <c r="AF438" s="1607"/>
      <c r="AG438" s="1607"/>
      <c r="AH438" s="1607"/>
      <c r="AI438" s="1607"/>
      <c r="AJ438" s="1607"/>
      <c r="AK438" s="1607"/>
      <c r="AL438" s="1607"/>
      <c r="AM438" s="1607"/>
      <c r="AN438" s="1607"/>
      <c r="AO438" s="1607"/>
      <c r="AP438" s="1607"/>
      <c r="AQ438" s="1607"/>
      <c r="AR438" s="1607"/>
      <c r="AS438" s="1607"/>
      <c r="AT438" s="1607"/>
      <c r="AU438" s="1607"/>
      <c r="AV438" s="1607"/>
      <c r="AW438" s="1607"/>
      <c r="AX438" s="1607"/>
      <c r="AY438" s="1607"/>
      <c r="AZ438" s="1607"/>
      <c r="BA438" s="1607"/>
      <c r="BB438" s="1607"/>
      <c r="BC438" s="1607"/>
      <c r="BD438" s="1607"/>
      <c r="BE438" s="1607"/>
      <c r="BF438" s="1607"/>
      <c r="BG438" s="1607"/>
      <c r="BH438" s="1607"/>
      <c r="BI438" s="1607"/>
      <c r="BJ438" s="1607"/>
      <c r="BK438" s="1607"/>
      <c r="BL438" s="1607"/>
    </row>
    <row r="439">
      <c r="A439" s="1607"/>
      <c r="B439" s="1607"/>
      <c r="C439" s="1607"/>
      <c r="D439" s="1607"/>
      <c r="E439" s="1607"/>
      <c r="F439" s="1607"/>
      <c r="G439" s="1607"/>
      <c r="H439" s="1607"/>
      <c r="I439" s="1607"/>
      <c r="J439" s="1607"/>
      <c r="K439" s="1607"/>
      <c r="L439" s="1607"/>
      <c r="M439" s="1607"/>
      <c r="N439" s="1607"/>
      <c r="O439" s="1607"/>
      <c r="P439" s="1607"/>
      <c r="Q439" s="1607"/>
      <c r="R439" s="1607"/>
      <c r="S439" s="1607"/>
      <c r="T439" s="1607"/>
      <c r="U439" s="1607"/>
      <c r="V439" s="1607"/>
      <c r="W439" s="1607"/>
      <c r="X439" s="1607"/>
      <c r="Y439" s="1607"/>
      <c r="Z439" s="1607"/>
      <c r="AA439" s="1607"/>
      <c r="AB439" s="1607"/>
      <c r="AC439" s="1607"/>
      <c r="AD439" s="1607"/>
      <c r="AE439" s="1607"/>
      <c r="AF439" s="1607"/>
      <c r="AG439" s="1607"/>
      <c r="AH439" s="1607"/>
      <c r="AI439" s="1607"/>
      <c r="AJ439" s="1607"/>
      <c r="AK439" s="1607"/>
      <c r="AL439" s="1607"/>
      <c r="AM439" s="1607"/>
      <c r="AN439" s="1607"/>
      <c r="AO439" s="1607"/>
      <c r="AP439" s="1607"/>
      <c r="AQ439" s="1607"/>
      <c r="AR439" s="1607"/>
      <c r="AS439" s="1607"/>
      <c r="AT439" s="1607"/>
      <c r="AU439" s="1607"/>
      <c r="AV439" s="1607"/>
      <c r="AW439" s="1607"/>
      <c r="AX439" s="1607"/>
      <c r="AY439" s="1607"/>
      <c r="AZ439" s="1607"/>
      <c r="BA439" s="1607"/>
      <c r="BB439" s="1607"/>
      <c r="BC439" s="1607"/>
      <c r="BD439" s="1607"/>
      <c r="BE439" s="1607"/>
      <c r="BF439" s="1607"/>
      <c r="BG439" s="1607"/>
      <c r="BH439" s="1607"/>
      <c r="BI439" s="1607"/>
      <c r="BJ439" s="1607"/>
      <c r="BK439" s="1607"/>
      <c r="BL439" s="1607"/>
    </row>
    <row r="440">
      <c r="A440" s="1607"/>
      <c r="B440" s="1607"/>
      <c r="C440" s="1607"/>
      <c r="D440" s="1607"/>
      <c r="E440" s="1607"/>
      <c r="F440" s="1607"/>
      <c r="G440" s="1607"/>
      <c r="H440" s="1607"/>
      <c r="I440" s="1607"/>
      <c r="J440" s="1607"/>
      <c r="K440" s="1607"/>
      <c r="L440" s="1607"/>
      <c r="M440" s="1607"/>
      <c r="N440" s="1607"/>
      <c r="O440" s="1607"/>
      <c r="P440" s="1607"/>
      <c r="Q440" s="1607"/>
      <c r="R440" s="1607"/>
      <c r="S440" s="1607"/>
      <c r="T440" s="1607"/>
      <c r="U440" s="1607"/>
      <c r="V440" s="1607"/>
      <c r="W440" s="1607"/>
      <c r="X440" s="1607"/>
      <c r="Y440" s="1607"/>
      <c r="Z440" s="1607"/>
      <c r="AA440" s="1607"/>
      <c r="AB440" s="1607"/>
      <c r="AC440" s="1607"/>
      <c r="AD440" s="1607"/>
      <c r="AE440" s="1607"/>
      <c r="AF440" s="1607"/>
      <c r="AG440" s="1607"/>
      <c r="AH440" s="1607"/>
      <c r="AI440" s="1607"/>
      <c r="AJ440" s="1607"/>
      <c r="AK440" s="1607"/>
      <c r="AL440" s="1607"/>
      <c r="AM440" s="1607"/>
      <c r="AN440" s="1607"/>
      <c r="AO440" s="1607"/>
      <c r="AP440" s="1607"/>
      <c r="AQ440" s="1607"/>
      <c r="AR440" s="1607"/>
      <c r="AS440" s="1607"/>
      <c r="AT440" s="1607"/>
      <c r="AU440" s="1607"/>
      <c r="AV440" s="1607"/>
      <c r="AW440" s="1607"/>
      <c r="AX440" s="1607"/>
      <c r="AY440" s="1607"/>
      <c r="AZ440" s="1607"/>
      <c r="BA440" s="1607"/>
      <c r="BB440" s="1607"/>
      <c r="BC440" s="1607"/>
      <c r="BD440" s="1607"/>
      <c r="BE440" s="1607"/>
      <c r="BF440" s="1607"/>
      <c r="BG440" s="1607"/>
      <c r="BH440" s="1607"/>
      <c r="BI440" s="1607"/>
      <c r="BJ440" s="1607"/>
      <c r="BK440" s="1607"/>
      <c r="BL440" s="1607"/>
    </row>
    <row r="441">
      <c r="A441" s="1607"/>
      <c r="B441" s="1607"/>
      <c r="C441" s="1607"/>
      <c r="D441" s="1607"/>
      <c r="E441" s="1607"/>
      <c r="F441" s="1607"/>
      <c r="G441" s="1607"/>
      <c r="H441" s="1607"/>
      <c r="I441" s="1607"/>
      <c r="J441" s="1607"/>
      <c r="K441" s="1607"/>
      <c r="L441" s="1607"/>
      <c r="M441" s="1607"/>
      <c r="N441" s="1607"/>
      <c r="O441" s="1607"/>
      <c r="P441" s="1607"/>
      <c r="Q441" s="1607"/>
      <c r="R441" s="1607"/>
      <c r="S441" s="1607"/>
      <c r="T441" s="1607"/>
      <c r="U441" s="1607"/>
      <c r="V441" s="1607"/>
      <c r="W441" s="1607"/>
      <c r="X441" s="1607"/>
      <c r="Y441" s="1607"/>
      <c r="Z441" s="1607"/>
      <c r="AA441" s="1607"/>
      <c r="AB441" s="1607"/>
      <c r="AC441" s="1607"/>
      <c r="AD441" s="1607"/>
      <c r="AE441" s="1607"/>
      <c r="AF441" s="1607"/>
      <c r="AG441" s="1607"/>
      <c r="AH441" s="1607"/>
      <c r="AI441" s="1607"/>
      <c r="AJ441" s="1607"/>
      <c r="AK441" s="1607"/>
      <c r="AL441" s="1607"/>
      <c r="AM441" s="1607"/>
      <c r="AN441" s="1607"/>
      <c r="AO441" s="1607"/>
      <c r="AP441" s="1607"/>
      <c r="AQ441" s="1607"/>
      <c r="AR441" s="1607"/>
      <c r="AS441" s="1607"/>
      <c r="AT441" s="1607"/>
      <c r="AU441" s="1607"/>
      <c r="AV441" s="1607"/>
      <c r="AW441" s="1607"/>
      <c r="AX441" s="1607"/>
      <c r="AY441" s="1607"/>
      <c r="AZ441" s="1607"/>
      <c r="BA441" s="1607"/>
      <c r="BB441" s="1607"/>
      <c r="BC441" s="1607"/>
      <c r="BD441" s="1607"/>
      <c r="BE441" s="1607"/>
      <c r="BF441" s="1607"/>
      <c r="BG441" s="1607"/>
      <c r="BH441" s="1607"/>
      <c r="BI441" s="1607"/>
      <c r="BJ441" s="1607"/>
      <c r="BK441" s="1607"/>
      <c r="BL441" s="1607"/>
    </row>
    <row r="442">
      <c r="A442" s="1607"/>
      <c r="B442" s="1607"/>
      <c r="C442" s="1607"/>
      <c r="D442" s="1607"/>
      <c r="E442" s="1607"/>
      <c r="F442" s="1607"/>
      <c r="G442" s="1607"/>
      <c r="H442" s="1607"/>
      <c r="I442" s="1607"/>
      <c r="J442" s="1607"/>
      <c r="K442" s="1607"/>
      <c r="L442" s="1607"/>
      <c r="M442" s="1607"/>
      <c r="N442" s="1607"/>
      <c r="O442" s="1607"/>
      <c r="P442" s="1607"/>
      <c r="Q442" s="1607"/>
      <c r="R442" s="1607"/>
      <c r="S442" s="1607"/>
      <c r="T442" s="1607"/>
      <c r="U442" s="1607"/>
      <c r="V442" s="1607"/>
      <c r="W442" s="1607"/>
      <c r="X442" s="1607"/>
      <c r="Y442" s="1607"/>
      <c r="Z442" s="1607"/>
      <c r="AA442" s="1607"/>
      <c r="AB442" s="1607"/>
      <c r="AC442" s="1607"/>
      <c r="AD442" s="1607"/>
      <c r="AE442" s="1607"/>
      <c r="AF442" s="1607"/>
      <c r="AG442" s="1607"/>
      <c r="AH442" s="1607"/>
      <c r="AI442" s="1607"/>
      <c r="AJ442" s="1607"/>
      <c r="AK442" s="1607"/>
      <c r="AL442" s="1607"/>
      <c r="AM442" s="1607"/>
      <c r="AN442" s="1607"/>
      <c r="AO442" s="1607"/>
      <c r="AP442" s="1607"/>
      <c r="AQ442" s="1607"/>
      <c r="AR442" s="1607"/>
      <c r="AS442" s="1607"/>
      <c r="AT442" s="1607"/>
      <c r="AU442" s="1607"/>
      <c r="AV442" s="1607"/>
      <c r="AW442" s="1607"/>
      <c r="AX442" s="1607"/>
      <c r="AY442" s="1607"/>
      <c r="AZ442" s="1607"/>
      <c r="BA442" s="1607"/>
      <c r="BB442" s="1607"/>
      <c r="BC442" s="1607"/>
      <c r="BD442" s="1607"/>
      <c r="BE442" s="1607"/>
      <c r="BF442" s="1607"/>
      <c r="BG442" s="1607"/>
      <c r="BH442" s="1607"/>
      <c r="BI442" s="1607"/>
      <c r="BJ442" s="1607"/>
      <c r="BK442" s="1607"/>
      <c r="BL442" s="1607"/>
    </row>
    <row r="443">
      <c r="A443" s="1607"/>
      <c r="B443" s="1607"/>
      <c r="C443" s="1607"/>
      <c r="D443" s="1607"/>
      <c r="E443" s="1607"/>
      <c r="F443" s="1607"/>
      <c r="G443" s="1607"/>
      <c r="H443" s="1607"/>
      <c r="I443" s="1607"/>
      <c r="J443" s="1607"/>
      <c r="K443" s="1607"/>
      <c r="L443" s="1607"/>
      <c r="M443" s="1607"/>
      <c r="N443" s="1607"/>
      <c r="O443" s="1607"/>
      <c r="P443" s="1607"/>
      <c r="Q443" s="1607"/>
      <c r="R443" s="1607"/>
      <c r="S443" s="1607"/>
      <c r="T443" s="1607"/>
      <c r="U443" s="1607"/>
      <c r="V443" s="1607"/>
      <c r="W443" s="1607"/>
      <c r="X443" s="1607"/>
      <c r="Y443" s="1607"/>
      <c r="Z443" s="1607"/>
      <c r="AA443" s="1607"/>
      <c r="AB443" s="1607"/>
      <c r="AC443" s="1607"/>
      <c r="AD443" s="1607"/>
      <c r="AE443" s="1607"/>
      <c r="AF443" s="1607"/>
      <c r="AG443" s="1607"/>
      <c r="AH443" s="1607"/>
      <c r="AI443" s="1607"/>
      <c r="AJ443" s="1607"/>
      <c r="AK443" s="1607"/>
      <c r="AL443" s="1607"/>
      <c r="AM443" s="1607"/>
      <c r="AN443" s="1607"/>
      <c r="AO443" s="1607"/>
      <c r="AP443" s="1607"/>
      <c r="AQ443" s="1607"/>
      <c r="AR443" s="1607"/>
      <c r="AS443" s="1607"/>
      <c r="AT443" s="1607"/>
      <c r="AU443" s="1607"/>
      <c r="AV443" s="1607"/>
      <c r="AW443" s="1607"/>
      <c r="AX443" s="1607"/>
      <c r="AY443" s="1607"/>
      <c r="AZ443" s="1607"/>
      <c r="BA443" s="1607"/>
      <c r="BB443" s="1607"/>
      <c r="BC443" s="1607"/>
      <c r="BD443" s="1607"/>
      <c r="BE443" s="1607"/>
      <c r="BF443" s="1607"/>
      <c r="BG443" s="1607"/>
      <c r="BH443" s="1607"/>
      <c r="BI443" s="1607"/>
      <c r="BJ443" s="1607"/>
      <c r="BK443" s="1607"/>
      <c r="BL443" s="1607"/>
    </row>
    <row r="444">
      <c r="A444" s="1607"/>
      <c r="B444" s="1607"/>
      <c r="C444" s="1607"/>
      <c r="D444" s="1607"/>
      <c r="E444" s="1607"/>
      <c r="F444" s="1607"/>
      <c r="G444" s="1607"/>
      <c r="H444" s="1607"/>
      <c r="I444" s="1607"/>
      <c r="J444" s="1607"/>
      <c r="K444" s="1607"/>
      <c r="L444" s="1607"/>
      <c r="M444" s="1607"/>
      <c r="N444" s="1607"/>
      <c r="O444" s="1607"/>
      <c r="P444" s="1607"/>
      <c r="Q444" s="1607"/>
      <c r="R444" s="1607"/>
      <c r="S444" s="1607"/>
      <c r="T444" s="1607"/>
      <c r="U444" s="1607"/>
      <c r="V444" s="1607"/>
      <c r="W444" s="1607"/>
      <c r="X444" s="1607"/>
      <c r="Y444" s="1607"/>
      <c r="Z444" s="1607"/>
      <c r="AA444" s="1607"/>
      <c r="AB444" s="1607"/>
      <c r="AC444" s="1607"/>
      <c r="AD444" s="1607"/>
      <c r="AE444" s="1607"/>
      <c r="AF444" s="1607"/>
      <c r="AG444" s="1607"/>
      <c r="AH444" s="1607"/>
      <c r="AI444" s="1607"/>
      <c r="AJ444" s="1607"/>
      <c r="AK444" s="1607"/>
      <c r="AL444" s="1607"/>
      <c r="AM444" s="1607"/>
      <c r="AN444" s="1607"/>
      <c r="AO444" s="1607"/>
      <c r="AP444" s="1607"/>
      <c r="AQ444" s="1607"/>
      <c r="AR444" s="1607"/>
      <c r="AS444" s="1607"/>
      <c r="AT444" s="1607"/>
      <c r="AU444" s="1607"/>
      <c r="AV444" s="1607"/>
      <c r="AW444" s="1607"/>
      <c r="AX444" s="1607"/>
      <c r="AY444" s="1607"/>
      <c r="AZ444" s="1607"/>
      <c r="BA444" s="1607"/>
      <c r="BB444" s="1607"/>
      <c r="BC444" s="1607"/>
      <c r="BD444" s="1607"/>
      <c r="BE444" s="1607"/>
      <c r="BF444" s="1607"/>
      <c r="BG444" s="1607"/>
      <c r="BH444" s="1607"/>
      <c r="BI444" s="1607"/>
      <c r="BJ444" s="1607"/>
      <c r="BK444" s="1607"/>
      <c r="BL444" s="1607"/>
    </row>
    <row r="445">
      <c r="A445" s="1607"/>
      <c r="B445" s="1607"/>
      <c r="C445" s="1607"/>
      <c r="D445" s="1607"/>
      <c r="E445" s="1607"/>
      <c r="F445" s="1607"/>
      <c r="G445" s="1607"/>
      <c r="H445" s="1607"/>
      <c r="I445" s="1607"/>
      <c r="J445" s="1607"/>
      <c r="K445" s="1607"/>
      <c r="L445" s="1607"/>
      <c r="M445" s="1607"/>
      <c r="N445" s="1607"/>
      <c r="O445" s="1607"/>
      <c r="P445" s="1607"/>
      <c r="Q445" s="1607"/>
      <c r="R445" s="1607"/>
      <c r="S445" s="1607"/>
      <c r="T445" s="1607"/>
      <c r="U445" s="1607"/>
      <c r="V445" s="1607"/>
      <c r="W445" s="1607"/>
      <c r="X445" s="1607"/>
      <c r="Y445" s="1607"/>
      <c r="Z445" s="1607"/>
      <c r="AA445" s="1607"/>
      <c r="AB445" s="1607"/>
      <c r="AC445" s="1607"/>
      <c r="AD445" s="1607"/>
      <c r="AE445" s="1607"/>
      <c r="AF445" s="1607"/>
      <c r="AG445" s="1607"/>
      <c r="AH445" s="1607"/>
      <c r="AI445" s="1607"/>
      <c r="AJ445" s="1607"/>
      <c r="AK445" s="1607"/>
      <c r="AL445" s="1607"/>
      <c r="AM445" s="1607"/>
      <c r="AN445" s="1607"/>
      <c r="AO445" s="1607"/>
      <c r="AP445" s="1607"/>
      <c r="AQ445" s="1607"/>
      <c r="AR445" s="1607"/>
      <c r="AS445" s="1607"/>
      <c r="AT445" s="1607"/>
      <c r="AU445" s="1607"/>
      <c r="AV445" s="1607"/>
      <c r="AW445" s="1607"/>
      <c r="AX445" s="1607"/>
      <c r="AY445" s="1607"/>
      <c r="AZ445" s="1607"/>
      <c r="BA445" s="1607"/>
      <c r="BB445" s="1607"/>
      <c r="BC445" s="1607"/>
      <c r="BD445" s="1607"/>
      <c r="BE445" s="1607"/>
      <c r="BF445" s="1607"/>
      <c r="BG445" s="1607"/>
      <c r="BH445" s="1607"/>
      <c r="BI445" s="1607"/>
      <c r="BJ445" s="1607"/>
      <c r="BK445" s="1607"/>
      <c r="BL445" s="1607"/>
    </row>
    <row r="446">
      <c r="A446" s="1607"/>
      <c r="B446" s="1607"/>
      <c r="C446" s="1607"/>
      <c r="D446" s="1607"/>
      <c r="E446" s="1607"/>
      <c r="F446" s="1607"/>
      <c r="G446" s="1607"/>
      <c r="H446" s="1607"/>
      <c r="I446" s="1607"/>
      <c r="J446" s="1607"/>
      <c r="K446" s="1607"/>
      <c r="L446" s="1607"/>
      <c r="M446" s="1607"/>
      <c r="N446" s="1607"/>
      <c r="O446" s="1607"/>
      <c r="P446" s="1607"/>
      <c r="Q446" s="1607"/>
      <c r="R446" s="1607"/>
      <c r="S446" s="1607"/>
      <c r="T446" s="1607"/>
      <c r="U446" s="1607"/>
      <c r="V446" s="1607"/>
      <c r="W446" s="1607"/>
      <c r="X446" s="1607"/>
      <c r="Y446" s="1607"/>
      <c r="Z446" s="1607"/>
      <c r="AA446" s="1607"/>
      <c r="AB446" s="1607"/>
      <c r="AC446" s="1607"/>
      <c r="AD446" s="1607"/>
      <c r="AE446" s="1607"/>
      <c r="AF446" s="1607"/>
      <c r="AG446" s="1607"/>
      <c r="AH446" s="1607"/>
      <c r="AI446" s="1607"/>
      <c r="AJ446" s="1607"/>
      <c r="AK446" s="1607"/>
      <c r="AL446" s="1607"/>
      <c r="AM446" s="1607"/>
      <c r="AN446" s="1607"/>
      <c r="AO446" s="1607"/>
      <c r="AP446" s="1607"/>
      <c r="AQ446" s="1607"/>
      <c r="AR446" s="1607"/>
      <c r="AS446" s="1607"/>
      <c r="AT446" s="1607"/>
      <c r="AU446" s="1607"/>
      <c r="AV446" s="1607"/>
      <c r="AW446" s="1607"/>
      <c r="AX446" s="1607"/>
      <c r="AY446" s="1607"/>
      <c r="AZ446" s="1607"/>
      <c r="BA446" s="1607"/>
      <c r="BB446" s="1607"/>
      <c r="BC446" s="1607"/>
      <c r="BD446" s="1607"/>
      <c r="BE446" s="1607"/>
      <c r="BF446" s="1607"/>
      <c r="BG446" s="1607"/>
      <c r="BH446" s="1607"/>
      <c r="BI446" s="1607"/>
      <c r="BJ446" s="1607"/>
      <c r="BK446" s="1607"/>
      <c r="BL446" s="1607"/>
    </row>
    <row r="447">
      <c r="A447" s="1607"/>
      <c r="B447" s="1607"/>
      <c r="C447" s="1607"/>
      <c r="D447" s="1607"/>
      <c r="E447" s="1607"/>
      <c r="F447" s="1607"/>
      <c r="G447" s="1607"/>
      <c r="H447" s="1607"/>
      <c r="I447" s="1607"/>
      <c r="J447" s="1607"/>
      <c r="K447" s="1607"/>
      <c r="L447" s="1607"/>
      <c r="M447" s="1607"/>
      <c r="N447" s="1607"/>
      <c r="O447" s="1607"/>
      <c r="P447" s="1607"/>
      <c r="Q447" s="1607"/>
      <c r="R447" s="1607"/>
      <c r="S447" s="1607"/>
      <c r="T447" s="1607"/>
      <c r="U447" s="1607"/>
      <c r="V447" s="1607"/>
      <c r="W447" s="1607"/>
      <c r="X447" s="1607"/>
      <c r="Y447" s="1607"/>
      <c r="Z447" s="1607"/>
      <c r="AA447" s="1607"/>
      <c r="AB447" s="1607"/>
      <c r="AC447" s="1607"/>
      <c r="AD447" s="1607"/>
      <c r="AE447" s="1607"/>
      <c r="AF447" s="1607"/>
      <c r="AG447" s="1607"/>
      <c r="AH447" s="1607"/>
      <c r="AI447" s="1607"/>
      <c r="AJ447" s="1607"/>
      <c r="AK447" s="1607"/>
      <c r="AL447" s="1607"/>
      <c r="AM447" s="1607"/>
      <c r="AN447" s="1607"/>
      <c r="AO447" s="1607"/>
      <c r="AP447" s="1607"/>
      <c r="AQ447" s="1607"/>
      <c r="AR447" s="1607"/>
      <c r="AS447" s="1607"/>
      <c r="AT447" s="1607"/>
      <c r="AU447" s="1607"/>
      <c r="AV447" s="1607"/>
      <c r="AW447" s="1607"/>
      <c r="AX447" s="1607"/>
      <c r="AY447" s="1607"/>
      <c r="AZ447" s="1607"/>
      <c r="BA447" s="1607"/>
      <c r="BB447" s="1607"/>
      <c r="BC447" s="1607"/>
      <c r="BD447" s="1607"/>
      <c r="BE447" s="1607"/>
      <c r="BF447" s="1607"/>
      <c r="BG447" s="1607"/>
      <c r="BH447" s="1607"/>
      <c r="BI447" s="1607"/>
      <c r="BJ447" s="1607"/>
      <c r="BK447" s="1607"/>
      <c r="BL447" s="1607"/>
    </row>
    <row r="448">
      <c r="A448" s="1607"/>
      <c r="B448" s="1607"/>
      <c r="C448" s="1607"/>
      <c r="D448" s="1607"/>
      <c r="E448" s="1607"/>
      <c r="F448" s="1607"/>
      <c r="G448" s="1607"/>
      <c r="H448" s="1607"/>
      <c r="I448" s="1607"/>
      <c r="J448" s="1607"/>
      <c r="K448" s="1607"/>
      <c r="L448" s="1607"/>
      <c r="M448" s="1607"/>
      <c r="N448" s="1607"/>
      <c r="O448" s="1607"/>
      <c r="P448" s="1607"/>
      <c r="Q448" s="1607"/>
      <c r="R448" s="1607"/>
      <c r="S448" s="1607"/>
      <c r="T448" s="1607"/>
      <c r="U448" s="1607"/>
      <c r="V448" s="1607"/>
      <c r="W448" s="1607"/>
      <c r="X448" s="1607"/>
      <c r="Y448" s="1607"/>
      <c r="Z448" s="1607"/>
      <c r="AA448" s="1607"/>
      <c r="AB448" s="1607"/>
      <c r="AC448" s="1607"/>
      <c r="AD448" s="1607"/>
      <c r="AE448" s="1607"/>
      <c r="AF448" s="1607"/>
      <c r="AG448" s="1607"/>
      <c r="AH448" s="1607"/>
      <c r="AI448" s="1607"/>
      <c r="AJ448" s="1607"/>
      <c r="AK448" s="1607"/>
      <c r="AL448" s="1607"/>
      <c r="AM448" s="1607"/>
      <c r="AN448" s="1607"/>
      <c r="AO448" s="1607"/>
      <c r="AP448" s="1607"/>
      <c r="AQ448" s="1607"/>
      <c r="AR448" s="1607"/>
      <c r="AS448" s="1607"/>
      <c r="AT448" s="1607"/>
      <c r="AU448" s="1607"/>
      <c r="AV448" s="1607"/>
      <c r="AW448" s="1607"/>
      <c r="AX448" s="1607"/>
      <c r="AY448" s="1607"/>
      <c r="AZ448" s="1607"/>
      <c r="BA448" s="1607"/>
      <c r="BB448" s="1607"/>
      <c r="BC448" s="1607"/>
      <c r="BD448" s="1607"/>
      <c r="BE448" s="1607"/>
      <c r="BF448" s="1607"/>
      <c r="BG448" s="1607"/>
      <c r="BH448" s="1607"/>
      <c r="BI448" s="1607"/>
      <c r="BJ448" s="1607"/>
      <c r="BK448" s="1607"/>
      <c r="BL448" s="1607"/>
    </row>
    <row r="449">
      <c r="A449" s="1607"/>
      <c r="B449" s="1607"/>
      <c r="C449" s="1607"/>
      <c r="D449" s="1607"/>
      <c r="E449" s="1607"/>
      <c r="F449" s="1607"/>
      <c r="G449" s="1607"/>
      <c r="H449" s="1607"/>
      <c r="I449" s="1607"/>
      <c r="J449" s="1607"/>
      <c r="K449" s="1607"/>
      <c r="L449" s="1607"/>
      <c r="M449" s="1607"/>
      <c r="N449" s="1607"/>
      <c r="O449" s="1607"/>
      <c r="P449" s="1607"/>
      <c r="Q449" s="1607"/>
      <c r="R449" s="1607"/>
      <c r="S449" s="1607"/>
      <c r="T449" s="1607"/>
      <c r="U449" s="1607"/>
      <c r="V449" s="1607"/>
      <c r="W449" s="1607"/>
      <c r="X449" s="1607"/>
      <c r="Y449" s="1607"/>
      <c r="Z449" s="1607"/>
      <c r="AA449" s="1607"/>
      <c r="AB449" s="1607"/>
      <c r="AC449" s="1607"/>
      <c r="AD449" s="1607"/>
      <c r="AE449" s="1607"/>
      <c r="AF449" s="1607"/>
      <c r="AG449" s="1607"/>
      <c r="AH449" s="1607"/>
      <c r="AI449" s="1607"/>
      <c r="AJ449" s="1607"/>
      <c r="AK449" s="1607"/>
      <c r="AL449" s="1607"/>
      <c r="AM449" s="1607"/>
      <c r="AN449" s="1607"/>
      <c r="AO449" s="1607"/>
      <c r="AP449" s="1607"/>
      <c r="AQ449" s="1607"/>
      <c r="AR449" s="1607"/>
      <c r="AS449" s="1607"/>
      <c r="AT449" s="1607"/>
      <c r="AU449" s="1607"/>
      <c r="AV449" s="1607"/>
      <c r="AW449" s="1607"/>
      <c r="AX449" s="1607"/>
      <c r="AY449" s="1607"/>
      <c r="AZ449" s="1607"/>
      <c r="BA449" s="1607"/>
      <c r="BB449" s="1607"/>
      <c r="BC449" s="1607"/>
      <c r="BD449" s="1607"/>
      <c r="BE449" s="1607"/>
      <c r="BF449" s="1607"/>
      <c r="BG449" s="1607"/>
      <c r="BH449" s="1607"/>
      <c r="BI449" s="1607"/>
      <c r="BJ449" s="1607"/>
      <c r="BK449" s="1607"/>
      <c r="BL449" s="1607"/>
    </row>
    <row r="450">
      <c r="A450" s="1607"/>
      <c r="B450" s="1607"/>
      <c r="C450" s="1607"/>
      <c r="D450" s="1607"/>
      <c r="E450" s="1607"/>
      <c r="F450" s="1607"/>
      <c r="G450" s="1607"/>
      <c r="H450" s="1607"/>
      <c r="I450" s="1607"/>
      <c r="J450" s="1607"/>
      <c r="K450" s="1607"/>
      <c r="L450" s="1607"/>
      <c r="M450" s="1607"/>
      <c r="N450" s="1607"/>
      <c r="O450" s="1607"/>
      <c r="P450" s="1607"/>
      <c r="Q450" s="1607"/>
      <c r="R450" s="1607"/>
      <c r="S450" s="1607"/>
      <c r="T450" s="1607"/>
      <c r="U450" s="1607"/>
      <c r="V450" s="1607"/>
      <c r="W450" s="1607"/>
      <c r="X450" s="1607"/>
      <c r="Y450" s="1607"/>
      <c r="Z450" s="1607"/>
      <c r="AA450" s="1607"/>
      <c r="AB450" s="1607"/>
      <c r="AC450" s="1607"/>
      <c r="AD450" s="1607"/>
      <c r="AE450" s="1607"/>
      <c r="AF450" s="1607"/>
      <c r="AG450" s="1607"/>
      <c r="AH450" s="1607"/>
      <c r="AI450" s="1607"/>
      <c r="AJ450" s="1607"/>
      <c r="AK450" s="1607"/>
      <c r="AL450" s="1607"/>
      <c r="AM450" s="1607"/>
      <c r="AN450" s="1607"/>
      <c r="AO450" s="1607"/>
      <c r="AP450" s="1607"/>
      <c r="AQ450" s="1607"/>
      <c r="AR450" s="1607"/>
      <c r="AS450" s="1607"/>
      <c r="AT450" s="1607"/>
      <c r="AU450" s="1607"/>
      <c r="AV450" s="1607"/>
      <c r="AW450" s="1607"/>
      <c r="AX450" s="1607"/>
      <c r="AY450" s="1607"/>
      <c r="AZ450" s="1607"/>
      <c r="BA450" s="1607"/>
      <c r="BB450" s="1607"/>
      <c r="BC450" s="1607"/>
      <c r="BD450" s="1607"/>
      <c r="BE450" s="1607"/>
      <c r="BF450" s="1607"/>
      <c r="BG450" s="1607"/>
      <c r="BH450" s="1607"/>
      <c r="BI450" s="1607"/>
      <c r="BJ450" s="1607"/>
      <c r="BK450" s="1607"/>
      <c r="BL450" s="1607"/>
    </row>
    <row r="451">
      <c r="A451" s="1607"/>
      <c r="B451" s="1607"/>
      <c r="C451" s="1607"/>
      <c r="D451" s="1607"/>
      <c r="E451" s="1607"/>
      <c r="F451" s="1607"/>
      <c r="G451" s="1607"/>
      <c r="H451" s="1607"/>
      <c r="I451" s="1607"/>
      <c r="J451" s="1607"/>
      <c r="K451" s="1607"/>
      <c r="L451" s="1607"/>
      <c r="M451" s="1607"/>
      <c r="N451" s="1607"/>
      <c r="O451" s="1607"/>
      <c r="P451" s="1607"/>
      <c r="Q451" s="1607"/>
      <c r="R451" s="1607"/>
      <c r="S451" s="1607"/>
      <c r="T451" s="1607"/>
      <c r="U451" s="1607"/>
      <c r="V451" s="1607"/>
      <c r="W451" s="1607"/>
      <c r="X451" s="1607"/>
      <c r="Y451" s="1607"/>
      <c r="Z451" s="1607"/>
      <c r="AA451" s="1607"/>
      <c r="AB451" s="1607"/>
      <c r="AC451" s="1607"/>
      <c r="AD451" s="1607"/>
      <c r="AE451" s="1607"/>
      <c r="AF451" s="1607"/>
      <c r="AG451" s="1607"/>
      <c r="AH451" s="1607"/>
      <c r="AI451" s="1607"/>
      <c r="AJ451" s="1607"/>
      <c r="AK451" s="1607"/>
      <c r="AL451" s="1607"/>
      <c r="AM451" s="1607"/>
      <c r="AN451" s="1607"/>
      <c r="AO451" s="1607"/>
      <c r="AP451" s="1607"/>
      <c r="AQ451" s="1607"/>
      <c r="AR451" s="1607"/>
      <c r="AS451" s="1607"/>
      <c r="AT451" s="1607"/>
      <c r="AU451" s="1607"/>
      <c r="AV451" s="1607"/>
      <c r="AW451" s="1607"/>
      <c r="AX451" s="1607"/>
      <c r="AY451" s="1607"/>
      <c r="AZ451" s="1607"/>
      <c r="BA451" s="1607"/>
      <c r="BB451" s="1607"/>
      <c r="BC451" s="1607"/>
      <c r="BD451" s="1607"/>
      <c r="BE451" s="1607"/>
      <c r="BF451" s="1607"/>
      <c r="BG451" s="1607"/>
      <c r="BH451" s="1607"/>
      <c r="BI451" s="1607"/>
      <c r="BJ451" s="1607"/>
      <c r="BK451" s="1607"/>
      <c r="BL451" s="1607"/>
    </row>
    <row r="452">
      <c r="A452" s="1607"/>
      <c r="B452" s="1607"/>
      <c r="C452" s="1607"/>
      <c r="D452" s="1607"/>
      <c r="E452" s="1607"/>
      <c r="F452" s="1607"/>
      <c r="G452" s="1607"/>
      <c r="H452" s="1607"/>
      <c r="I452" s="1607"/>
      <c r="J452" s="1607"/>
      <c r="K452" s="1607"/>
      <c r="L452" s="1607"/>
      <c r="M452" s="1607"/>
      <c r="N452" s="1607"/>
      <c r="O452" s="1607"/>
      <c r="P452" s="1607"/>
      <c r="Q452" s="1607"/>
      <c r="R452" s="1607"/>
      <c r="S452" s="1607"/>
      <c r="T452" s="1607"/>
      <c r="U452" s="1607"/>
      <c r="V452" s="1607"/>
      <c r="W452" s="1607"/>
      <c r="X452" s="1607"/>
      <c r="Y452" s="1607"/>
      <c r="Z452" s="1607"/>
      <c r="AA452" s="1607"/>
      <c r="AB452" s="1607"/>
      <c r="AC452" s="1607"/>
      <c r="AD452" s="1607"/>
      <c r="AE452" s="1607"/>
      <c r="AF452" s="1607"/>
      <c r="AG452" s="1607"/>
      <c r="AH452" s="1607"/>
      <c r="AI452" s="1607"/>
      <c r="AJ452" s="1607"/>
      <c r="AK452" s="1607"/>
      <c r="AL452" s="1607"/>
      <c r="AM452" s="1607"/>
      <c r="AN452" s="1607"/>
      <c r="AO452" s="1607"/>
      <c r="AP452" s="1607"/>
      <c r="AQ452" s="1607"/>
      <c r="AR452" s="1607"/>
      <c r="AS452" s="1607"/>
      <c r="AT452" s="1607"/>
      <c r="AU452" s="1607"/>
      <c r="AV452" s="1607"/>
      <c r="AW452" s="1607"/>
      <c r="AX452" s="1607"/>
      <c r="AY452" s="1607"/>
      <c r="AZ452" s="1607"/>
      <c r="BA452" s="1607"/>
      <c r="BB452" s="1607"/>
      <c r="BC452" s="1607"/>
      <c r="BD452" s="1607"/>
      <c r="BE452" s="1607"/>
      <c r="BF452" s="1607"/>
      <c r="BG452" s="1607"/>
      <c r="BH452" s="1607"/>
      <c r="BI452" s="1607"/>
      <c r="BJ452" s="1607"/>
      <c r="BK452" s="1607"/>
      <c r="BL452" s="1607"/>
    </row>
    <row r="453">
      <c r="A453" s="1607"/>
      <c r="B453" s="1607"/>
      <c r="C453" s="1607"/>
      <c r="D453" s="1607"/>
      <c r="E453" s="1607"/>
      <c r="F453" s="1607"/>
      <c r="G453" s="1607"/>
      <c r="H453" s="1607"/>
      <c r="I453" s="1607"/>
      <c r="J453" s="1607"/>
      <c r="K453" s="1607"/>
      <c r="L453" s="1607"/>
      <c r="M453" s="1607"/>
      <c r="N453" s="1607"/>
      <c r="O453" s="1607"/>
      <c r="P453" s="1607"/>
      <c r="Q453" s="1607"/>
      <c r="R453" s="1607"/>
      <c r="S453" s="1607"/>
      <c r="T453" s="1607"/>
      <c r="U453" s="1607"/>
      <c r="V453" s="1607"/>
      <c r="W453" s="1607"/>
      <c r="X453" s="1607"/>
      <c r="Y453" s="1607"/>
      <c r="Z453" s="1607"/>
      <c r="AA453" s="1607"/>
      <c r="AB453" s="1607"/>
      <c r="AC453" s="1607"/>
      <c r="AD453" s="1607"/>
      <c r="AE453" s="1607"/>
      <c r="AF453" s="1607"/>
      <c r="AG453" s="1607"/>
      <c r="AH453" s="1607"/>
      <c r="AI453" s="1607"/>
      <c r="AJ453" s="1607"/>
      <c r="AK453" s="1607"/>
      <c r="AL453" s="1607"/>
      <c r="AM453" s="1607"/>
      <c r="AN453" s="1607"/>
      <c r="AO453" s="1607"/>
      <c r="AP453" s="1607"/>
      <c r="AQ453" s="1607"/>
      <c r="AR453" s="1607"/>
      <c r="AS453" s="1607"/>
      <c r="AT453" s="1607"/>
      <c r="AU453" s="1607"/>
      <c r="AV453" s="1607"/>
      <c r="AW453" s="1607"/>
      <c r="AX453" s="1607"/>
      <c r="AY453" s="1607"/>
      <c r="AZ453" s="1607"/>
      <c r="BA453" s="1607"/>
      <c r="BB453" s="1607"/>
      <c r="BC453" s="1607"/>
      <c r="BD453" s="1607"/>
      <c r="BE453" s="1607"/>
      <c r="BF453" s="1607"/>
      <c r="BG453" s="1607"/>
      <c r="BH453" s="1607"/>
      <c r="BI453" s="1607"/>
      <c r="BJ453" s="1607"/>
      <c r="BK453" s="1607"/>
      <c r="BL453" s="1607"/>
    </row>
    <row r="454">
      <c r="A454" s="1607"/>
      <c r="B454" s="1607"/>
      <c r="C454" s="1607"/>
      <c r="D454" s="1607"/>
      <c r="E454" s="1607"/>
      <c r="F454" s="1607"/>
      <c r="G454" s="1607"/>
      <c r="H454" s="1607"/>
      <c r="I454" s="1607"/>
      <c r="J454" s="1607"/>
      <c r="K454" s="1607"/>
      <c r="L454" s="1607"/>
      <c r="M454" s="1607"/>
      <c r="N454" s="1607"/>
      <c r="O454" s="1607"/>
      <c r="P454" s="1607"/>
      <c r="Q454" s="1607"/>
      <c r="R454" s="1607"/>
      <c r="S454" s="1607"/>
      <c r="T454" s="1607"/>
      <c r="U454" s="1607"/>
      <c r="V454" s="1607"/>
      <c r="W454" s="1607"/>
      <c r="X454" s="1607"/>
      <c r="Y454" s="1607"/>
      <c r="Z454" s="1607"/>
      <c r="AA454" s="1607"/>
      <c r="AB454" s="1607"/>
      <c r="AC454" s="1607"/>
      <c r="AD454" s="1607"/>
      <c r="AE454" s="1607"/>
      <c r="AF454" s="1607"/>
      <c r="AG454" s="1607"/>
      <c r="AH454" s="1607"/>
      <c r="AI454" s="1607"/>
      <c r="AJ454" s="1607"/>
      <c r="AK454" s="1607"/>
      <c r="AL454" s="1607"/>
      <c r="AM454" s="1607"/>
      <c r="AN454" s="1607"/>
      <c r="AO454" s="1607"/>
      <c r="AP454" s="1607"/>
      <c r="AQ454" s="1607"/>
      <c r="AR454" s="1607"/>
      <c r="AS454" s="1607"/>
      <c r="AT454" s="1607"/>
      <c r="AU454" s="1607"/>
      <c r="AV454" s="1607"/>
      <c r="AW454" s="1607"/>
      <c r="AX454" s="1607"/>
      <c r="AY454" s="1607"/>
      <c r="AZ454" s="1607"/>
      <c r="BA454" s="1607"/>
      <c r="BB454" s="1607"/>
      <c r="BC454" s="1607"/>
      <c r="BD454" s="1607"/>
      <c r="BE454" s="1607"/>
      <c r="BF454" s="1607"/>
      <c r="BG454" s="1607"/>
      <c r="BH454" s="1607"/>
      <c r="BI454" s="1607"/>
      <c r="BJ454" s="1607"/>
      <c r="BK454" s="1607"/>
      <c r="BL454" s="1607"/>
    </row>
    <row r="455">
      <c r="A455" s="1607"/>
      <c r="B455" s="1607"/>
      <c r="C455" s="1607"/>
      <c r="D455" s="1607"/>
      <c r="E455" s="1607"/>
      <c r="F455" s="1607"/>
      <c r="G455" s="1607"/>
      <c r="H455" s="1607"/>
      <c r="I455" s="1607"/>
      <c r="J455" s="1607"/>
      <c r="K455" s="1607"/>
      <c r="L455" s="1607"/>
      <c r="M455" s="1607"/>
      <c r="N455" s="1607"/>
      <c r="O455" s="1607"/>
      <c r="P455" s="1607"/>
      <c r="Q455" s="1607"/>
      <c r="R455" s="1607"/>
      <c r="S455" s="1607"/>
      <c r="T455" s="1607"/>
      <c r="U455" s="1607"/>
      <c r="V455" s="1607"/>
      <c r="W455" s="1607"/>
      <c r="X455" s="1607"/>
      <c r="Y455" s="1607"/>
      <c r="Z455" s="1607"/>
      <c r="AA455" s="1607"/>
      <c r="AB455" s="1607"/>
      <c r="AC455" s="1607"/>
      <c r="AD455" s="1607"/>
      <c r="AE455" s="1607"/>
      <c r="AF455" s="1607"/>
      <c r="AG455" s="1607"/>
      <c r="AH455" s="1607"/>
      <c r="AI455" s="1607"/>
      <c r="AJ455" s="1607"/>
      <c r="AK455" s="1607"/>
      <c r="AL455" s="1607"/>
      <c r="AM455" s="1607"/>
      <c r="AN455" s="1607"/>
      <c r="AO455" s="1607"/>
      <c r="AP455" s="1607"/>
      <c r="AQ455" s="1607"/>
      <c r="AR455" s="1607"/>
      <c r="AS455" s="1607"/>
      <c r="AT455" s="1607"/>
      <c r="AU455" s="1607"/>
      <c r="AV455" s="1607"/>
      <c r="AW455" s="1607"/>
      <c r="AX455" s="1607"/>
      <c r="AY455" s="1607"/>
      <c r="AZ455" s="1607"/>
      <c r="BA455" s="1607"/>
      <c r="BB455" s="1607"/>
      <c r="BC455" s="1607"/>
      <c r="BD455" s="1607"/>
      <c r="BE455" s="1607"/>
      <c r="BF455" s="1607"/>
      <c r="BG455" s="1607"/>
      <c r="BH455" s="1607"/>
      <c r="BI455" s="1607"/>
      <c r="BJ455" s="1607"/>
      <c r="BK455" s="1607"/>
      <c r="BL455" s="1607"/>
    </row>
    <row r="456">
      <c r="A456" s="1607"/>
      <c r="B456" s="1607"/>
      <c r="C456" s="1607"/>
      <c r="D456" s="1607"/>
      <c r="E456" s="1607"/>
      <c r="F456" s="1607"/>
      <c r="G456" s="1607"/>
      <c r="H456" s="1607"/>
      <c r="I456" s="1607"/>
      <c r="J456" s="1607"/>
      <c r="K456" s="1607"/>
      <c r="L456" s="1607"/>
      <c r="M456" s="1607"/>
      <c r="N456" s="1607"/>
      <c r="O456" s="1607"/>
      <c r="P456" s="1607"/>
      <c r="Q456" s="1607"/>
      <c r="R456" s="1607"/>
      <c r="S456" s="1607"/>
      <c r="T456" s="1607"/>
      <c r="U456" s="1607"/>
      <c r="V456" s="1607"/>
      <c r="W456" s="1607"/>
      <c r="X456" s="1607"/>
      <c r="Y456" s="1607"/>
      <c r="Z456" s="1607"/>
      <c r="AA456" s="1607"/>
      <c r="AB456" s="1607"/>
      <c r="AC456" s="1607"/>
      <c r="AD456" s="1607"/>
      <c r="AE456" s="1607"/>
      <c r="AF456" s="1607"/>
      <c r="AG456" s="1607"/>
      <c r="AH456" s="1607"/>
      <c r="AI456" s="1607"/>
      <c r="AJ456" s="1607"/>
      <c r="AK456" s="1607"/>
      <c r="AL456" s="1607"/>
      <c r="AM456" s="1607"/>
      <c r="AN456" s="1607"/>
      <c r="AO456" s="1607"/>
      <c r="AP456" s="1607"/>
      <c r="AQ456" s="1607"/>
      <c r="AR456" s="1607"/>
      <c r="AS456" s="1607"/>
      <c r="AT456" s="1607"/>
      <c r="AU456" s="1607"/>
      <c r="AV456" s="1607"/>
      <c r="AW456" s="1607"/>
      <c r="AX456" s="1607"/>
      <c r="AY456" s="1607"/>
      <c r="AZ456" s="1607"/>
      <c r="BA456" s="1607"/>
      <c r="BB456" s="1607"/>
      <c r="BC456" s="1607"/>
      <c r="BD456" s="1607"/>
      <c r="BE456" s="1607"/>
      <c r="BF456" s="1607"/>
      <c r="BG456" s="1607"/>
      <c r="BH456" s="1607"/>
      <c r="BI456" s="1607"/>
      <c r="BJ456" s="1607"/>
      <c r="BK456" s="1607"/>
      <c r="BL456" s="1607"/>
    </row>
    <row r="457">
      <c r="A457" s="1607"/>
      <c r="B457" s="1607"/>
      <c r="C457" s="1607"/>
      <c r="D457" s="1607"/>
      <c r="E457" s="1607"/>
      <c r="F457" s="1607"/>
      <c r="G457" s="1607"/>
      <c r="H457" s="1607"/>
      <c r="I457" s="1607"/>
      <c r="J457" s="1607"/>
      <c r="K457" s="1607"/>
      <c r="L457" s="1607"/>
      <c r="M457" s="1607"/>
      <c r="N457" s="1607"/>
      <c r="O457" s="1607"/>
      <c r="P457" s="1607"/>
      <c r="Q457" s="1607"/>
      <c r="R457" s="1607"/>
      <c r="S457" s="1607"/>
      <c r="T457" s="1607"/>
      <c r="U457" s="1607"/>
      <c r="V457" s="1607"/>
      <c r="W457" s="1607"/>
      <c r="X457" s="1607"/>
      <c r="Y457" s="1607"/>
      <c r="Z457" s="1607"/>
      <c r="AA457" s="1607"/>
      <c r="AB457" s="1607"/>
      <c r="AC457" s="1607"/>
      <c r="AD457" s="1607"/>
      <c r="AE457" s="1607"/>
      <c r="AF457" s="1607"/>
      <c r="AG457" s="1607"/>
      <c r="AH457" s="1607"/>
      <c r="AI457" s="1607"/>
      <c r="AJ457" s="1607"/>
      <c r="AK457" s="1607"/>
      <c r="AL457" s="1607"/>
      <c r="AM457" s="1607"/>
      <c r="AN457" s="1607"/>
      <c r="AO457" s="1607"/>
      <c r="AP457" s="1607"/>
      <c r="AQ457" s="1607"/>
      <c r="AR457" s="1607"/>
      <c r="AS457" s="1607"/>
      <c r="AT457" s="1607"/>
      <c r="AU457" s="1607"/>
      <c r="AV457" s="1607"/>
      <c r="AW457" s="1607"/>
      <c r="AX457" s="1607"/>
      <c r="AY457" s="1607"/>
      <c r="AZ457" s="1607"/>
      <c r="BA457" s="1607"/>
      <c r="BB457" s="1607"/>
      <c r="BC457" s="1607"/>
      <c r="BD457" s="1607"/>
      <c r="BE457" s="1607"/>
      <c r="BF457" s="1607"/>
      <c r="BG457" s="1607"/>
      <c r="BH457" s="1607"/>
      <c r="BI457" s="1607"/>
      <c r="BJ457" s="1607"/>
      <c r="BK457" s="1607"/>
      <c r="BL457" s="1607"/>
    </row>
    <row r="458">
      <c r="A458" s="1607"/>
      <c r="B458" s="1607"/>
      <c r="C458" s="1607"/>
      <c r="D458" s="1607"/>
      <c r="E458" s="1607"/>
      <c r="F458" s="1607"/>
      <c r="G458" s="1607"/>
      <c r="H458" s="1607"/>
      <c r="I458" s="1607"/>
      <c r="J458" s="1607"/>
      <c r="K458" s="1607"/>
      <c r="L458" s="1607"/>
      <c r="M458" s="1607"/>
      <c r="N458" s="1607"/>
      <c r="O458" s="1607"/>
      <c r="P458" s="1607"/>
      <c r="Q458" s="1607"/>
      <c r="R458" s="1607"/>
      <c r="S458" s="1607"/>
      <c r="T458" s="1607"/>
      <c r="U458" s="1607"/>
      <c r="V458" s="1607"/>
      <c r="W458" s="1607"/>
      <c r="X458" s="1607"/>
      <c r="Y458" s="1607"/>
      <c r="Z458" s="1607"/>
      <c r="AA458" s="1607"/>
      <c r="AB458" s="1607"/>
      <c r="AC458" s="1607"/>
      <c r="AD458" s="1607"/>
      <c r="AE458" s="1607"/>
      <c r="AF458" s="1607"/>
      <c r="AG458" s="1607"/>
      <c r="AH458" s="1607"/>
      <c r="AI458" s="1607"/>
      <c r="AJ458" s="1607"/>
      <c r="AK458" s="1607"/>
      <c r="AL458" s="1607"/>
      <c r="AM458" s="1607"/>
      <c r="AN458" s="1607"/>
      <c r="AO458" s="1607"/>
      <c r="AP458" s="1607"/>
      <c r="AQ458" s="1607"/>
      <c r="AR458" s="1607"/>
      <c r="AS458" s="1607"/>
      <c r="AT458" s="1607"/>
      <c r="AU458" s="1607"/>
      <c r="AV458" s="1607"/>
      <c r="AW458" s="1607"/>
      <c r="AX458" s="1607"/>
      <c r="AY458" s="1607"/>
      <c r="AZ458" s="1607"/>
      <c r="BA458" s="1607"/>
      <c r="BB458" s="1607"/>
      <c r="BC458" s="1607"/>
      <c r="BD458" s="1607"/>
      <c r="BE458" s="1607"/>
      <c r="BF458" s="1607"/>
      <c r="BG458" s="1607"/>
      <c r="BH458" s="1607"/>
      <c r="BI458" s="1607"/>
      <c r="BJ458" s="1607"/>
      <c r="BK458" s="1607"/>
      <c r="BL458" s="1607"/>
    </row>
    <row r="459">
      <c r="A459" s="1607"/>
      <c r="B459" s="1607"/>
      <c r="C459" s="1607"/>
      <c r="D459" s="1607"/>
      <c r="E459" s="1607"/>
      <c r="F459" s="1607"/>
      <c r="G459" s="1607"/>
      <c r="H459" s="1607"/>
      <c r="I459" s="1607"/>
      <c r="J459" s="1607"/>
      <c r="K459" s="1607"/>
      <c r="L459" s="1607"/>
      <c r="M459" s="1607"/>
      <c r="N459" s="1607"/>
      <c r="O459" s="1607"/>
      <c r="P459" s="1607"/>
      <c r="Q459" s="1607"/>
      <c r="R459" s="1607"/>
      <c r="S459" s="1607"/>
      <c r="T459" s="1607"/>
      <c r="U459" s="1607"/>
      <c r="V459" s="1607"/>
      <c r="W459" s="1607"/>
      <c r="X459" s="1607"/>
      <c r="Y459" s="1607"/>
      <c r="Z459" s="1607"/>
      <c r="AA459" s="1607"/>
      <c r="AB459" s="1607"/>
      <c r="AC459" s="1607"/>
      <c r="AD459" s="1607"/>
      <c r="AE459" s="1607"/>
      <c r="AF459" s="1607"/>
      <c r="AG459" s="1607"/>
      <c r="AH459" s="1607"/>
      <c r="AI459" s="1607"/>
      <c r="AJ459" s="1607"/>
      <c r="AK459" s="1607"/>
      <c r="AL459" s="1607"/>
      <c r="AM459" s="1607"/>
      <c r="AN459" s="1607"/>
      <c r="AO459" s="1607"/>
      <c r="AP459" s="1607"/>
      <c r="AQ459" s="1607"/>
      <c r="AR459" s="1607"/>
      <c r="AS459" s="1607"/>
      <c r="AT459" s="1607"/>
      <c r="AU459" s="1607"/>
      <c r="AV459" s="1607"/>
      <c r="AW459" s="1607"/>
      <c r="AX459" s="1607"/>
      <c r="AY459" s="1607"/>
      <c r="AZ459" s="1607"/>
      <c r="BA459" s="1607"/>
      <c r="BB459" s="1607"/>
      <c r="BC459" s="1607"/>
      <c r="BD459" s="1607"/>
      <c r="BE459" s="1607"/>
      <c r="BF459" s="1607"/>
      <c r="BG459" s="1607"/>
      <c r="BH459" s="1607"/>
      <c r="BI459" s="1607"/>
      <c r="BJ459" s="1607"/>
      <c r="BK459" s="1607"/>
      <c r="BL459" s="1607"/>
    </row>
    <row r="460">
      <c r="A460" s="1607"/>
      <c r="B460" s="1607"/>
      <c r="C460" s="1607"/>
      <c r="D460" s="1607"/>
      <c r="E460" s="1607"/>
      <c r="F460" s="1607"/>
      <c r="G460" s="1607"/>
      <c r="H460" s="1607"/>
      <c r="I460" s="1607"/>
      <c r="J460" s="1607"/>
      <c r="K460" s="1607"/>
      <c r="L460" s="1607"/>
      <c r="M460" s="1607"/>
      <c r="N460" s="1607"/>
      <c r="O460" s="1607"/>
      <c r="P460" s="1607"/>
      <c r="Q460" s="1607"/>
      <c r="R460" s="1607"/>
      <c r="S460" s="1607"/>
      <c r="T460" s="1607"/>
      <c r="U460" s="1607"/>
      <c r="V460" s="1607"/>
      <c r="W460" s="1607"/>
      <c r="X460" s="1607"/>
      <c r="Y460" s="1607"/>
      <c r="Z460" s="1607"/>
      <c r="AA460" s="1607"/>
      <c r="AB460" s="1607"/>
      <c r="AC460" s="1607"/>
      <c r="AD460" s="1607"/>
      <c r="AE460" s="1607"/>
      <c r="AF460" s="1607"/>
      <c r="AG460" s="1607"/>
      <c r="AH460" s="1607"/>
      <c r="AI460" s="1607"/>
      <c r="AJ460" s="1607"/>
      <c r="AK460" s="1607"/>
      <c r="AL460" s="1607"/>
      <c r="AM460" s="1607"/>
      <c r="AN460" s="1607"/>
      <c r="AO460" s="1607"/>
      <c r="AP460" s="1607"/>
      <c r="AQ460" s="1607"/>
      <c r="AR460" s="1607"/>
      <c r="AS460" s="1607"/>
      <c r="AT460" s="1607"/>
      <c r="AU460" s="1607"/>
      <c r="AV460" s="1607"/>
      <c r="AW460" s="1607"/>
      <c r="AX460" s="1607"/>
      <c r="AY460" s="1607"/>
      <c r="AZ460" s="1607"/>
      <c r="BA460" s="1607"/>
      <c r="BB460" s="1607"/>
      <c r="BC460" s="1607"/>
      <c r="BD460" s="1607"/>
      <c r="BE460" s="1607"/>
      <c r="BF460" s="1607"/>
      <c r="BG460" s="1607"/>
      <c r="BH460" s="1607"/>
      <c r="BI460" s="1607"/>
      <c r="BJ460" s="1607"/>
      <c r="BK460" s="1607"/>
      <c r="BL460" s="1607"/>
    </row>
    <row r="461">
      <c r="A461" s="1607"/>
      <c r="B461" s="1607"/>
      <c r="C461" s="1607"/>
      <c r="D461" s="1607"/>
      <c r="E461" s="1607"/>
      <c r="F461" s="1607"/>
      <c r="G461" s="1607"/>
      <c r="H461" s="1607"/>
      <c r="I461" s="1607"/>
      <c r="J461" s="1607"/>
      <c r="K461" s="1607"/>
      <c r="L461" s="1607"/>
      <c r="M461" s="1607"/>
      <c r="N461" s="1607"/>
      <c r="O461" s="1607"/>
      <c r="P461" s="1607"/>
      <c r="Q461" s="1607"/>
      <c r="R461" s="1607"/>
      <c r="S461" s="1607"/>
      <c r="T461" s="1607"/>
      <c r="U461" s="1607"/>
      <c r="V461" s="1607"/>
      <c r="W461" s="1607"/>
      <c r="X461" s="1607"/>
      <c r="Y461" s="1607"/>
      <c r="Z461" s="1607"/>
      <c r="AA461" s="1607"/>
      <c r="AB461" s="1607"/>
      <c r="AC461" s="1607"/>
      <c r="AD461" s="1607"/>
      <c r="AE461" s="1607"/>
      <c r="AF461" s="1607"/>
      <c r="AG461" s="1607"/>
      <c r="AH461" s="1607"/>
      <c r="AI461" s="1607"/>
      <c r="AJ461" s="1607"/>
      <c r="AK461" s="1607"/>
      <c r="AL461" s="1607"/>
      <c r="AM461" s="1607"/>
      <c r="AN461" s="1607"/>
      <c r="AO461" s="1607"/>
      <c r="AP461" s="1607"/>
      <c r="AQ461" s="1607"/>
      <c r="AR461" s="1607"/>
      <c r="AS461" s="1607"/>
      <c r="AT461" s="1607"/>
      <c r="AU461" s="1607"/>
      <c r="AV461" s="1607"/>
      <c r="AW461" s="1607"/>
      <c r="AX461" s="1607"/>
      <c r="AY461" s="1607"/>
      <c r="AZ461" s="1607"/>
      <c r="BA461" s="1607"/>
      <c r="BB461" s="1607"/>
      <c r="BC461" s="1607"/>
      <c r="BD461" s="1607"/>
      <c r="BE461" s="1607"/>
      <c r="BF461" s="1607"/>
      <c r="BG461" s="1607"/>
      <c r="BH461" s="1607"/>
      <c r="BI461" s="1607"/>
      <c r="BJ461" s="1607"/>
      <c r="BK461" s="1607"/>
      <c r="BL461" s="1607"/>
    </row>
    <row r="462">
      <c r="A462" s="1607"/>
      <c r="B462" s="1607"/>
      <c r="C462" s="1607"/>
      <c r="D462" s="1607"/>
      <c r="E462" s="1607"/>
      <c r="F462" s="1607"/>
      <c r="G462" s="1607"/>
      <c r="H462" s="1607"/>
      <c r="I462" s="1607"/>
      <c r="J462" s="1607"/>
      <c r="K462" s="1607"/>
      <c r="L462" s="1607"/>
      <c r="M462" s="1607"/>
      <c r="N462" s="1607"/>
      <c r="O462" s="1607"/>
      <c r="P462" s="1607"/>
      <c r="Q462" s="1607"/>
      <c r="R462" s="1607"/>
      <c r="S462" s="1607"/>
      <c r="T462" s="1607"/>
      <c r="U462" s="1607"/>
      <c r="V462" s="1607"/>
      <c r="W462" s="1607"/>
      <c r="X462" s="1607"/>
      <c r="Y462" s="1607"/>
      <c r="Z462" s="1607"/>
      <c r="AA462" s="1607"/>
      <c r="AB462" s="1607"/>
      <c r="AC462" s="1607"/>
      <c r="AD462" s="1607"/>
      <c r="AE462" s="1607"/>
      <c r="AF462" s="1607"/>
      <c r="AG462" s="1607"/>
      <c r="AH462" s="1607"/>
      <c r="AI462" s="1607"/>
      <c r="AJ462" s="1607"/>
      <c r="AK462" s="1607"/>
      <c r="AL462" s="1607"/>
      <c r="AM462" s="1607"/>
      <c r="AN462" s="1607"/>
      <c r="AO462" s="1607"/>
      <c r="AP462" s="1607"/>
      <c r="AQ462" s="1607"/>
      <c r="AR462" s="1607"/>
      <c r="AS462" s="1607"/>
      <c r="AT462" s="1607"/>
      <c r="AU462" s="1607"/>
      <c r="AV462" s="1607"/>
      <c r="AW462" s="1607"/>
      <c r="AX462" s="1607"/>
      <c r="AY462" s="1607"/>
      <c r="AZ462" s="1607"/>
      <c r="BA462" s="1607"/>
      <c r="BB462" s="1607"/>
      <c r="BC462" s="1607"/>
      <c r="BD462" s="1607"/>
      <c r="BE462" s="1607"/>
      <c r="BF462" s="1607"/>
      <c r="BG462" s="1607"/>
      <c r="BH462" s="1607"/>
      <c r="BI462" s="1607"/>
      <c r="BJ462" s="1607"/>
      <c r="BK462" s="1607"/>
      <c r="BL462" s="1607"/>
    </row>
    <row r="463">
      <c r="A463" s="1607"/>
      <c r="B463" s="1607"/>
      <c r="C463" s="1607"/>
      <c r="D463" s="1607"/>
      <c r="E463" s="1607"/>
      <c r="F463" s="1607"/>
      <c r="G463" s="1607"/>
      <c r="H463" s="1607"/>
      <c r="I463" s="1607"/>
      <c r="J463" s="1607"/>
      <c r="K463" s="1607"/>
      <c r="L463" s="1607"/>
      <c r="M463" s="1607"/>
      <c r="N463" s="1607"/>
      <c r="O463" s="1607"/>
      <c r="P463" s="1607"/>
      <c r="Q463" s="1607"/>
      <c r="R463" s="1607"/>
      <c r="S463" s="1607"/>
      <c r="T463" s="1607"/>
      <c r="U463" s="1607"/>
      <c r="V463" s="1607"/>
      <c r="W463" s="1607"/>
      <c r="X463" s="1607"/>
      <c r="Y463" s="1607"/>
      <c r="Z463" s="1607"/>
      <c r="AA463" s="1607"/>
      <c r="AB463" s="1607"/>
      <c r="AC463" s="1607"/>
      <c r="AD463" s="1607"/>
      <c r="AE463" s="1607"/>
      <c r="AF463" s="1607"/>
      <c r="AG463" s="1607"/>
      <c r="AH463" s="1607"/>
      <c r="AI463" s="1607"/>
      <c r="AJ463" s="1607"/>
      <c r="AK463" s="1607"/>
      <c r="AL463" s="1607"/>
      <c r="AM463" s="1607"/>
      <c r="AN463" s="1607"/>
      <c r="AO463" s="1607"/>
      <c r="AP463" s="1607"/>
      <c r="AQ463" s="1607"/>
      <c r="AR463" s="1607"/>
      <c r="AS463" s="1607"/>
      <c r="AT463" s="1607"/>
      <c r="AU463" s="1607"/>
      <c r="AV463" s="1607"/>
      <c r="AW463" s="1607"/>
      <c r="AX463" s="1607"/>
      <c r="AY463" s="1607"/>
      <c r="AZ463" s="1607"/>
      <c r="BA463" s="1607"/>
      <c r="BB463" s="1607"/>
      <c r="BC463" s="1607"/>
      <c r="BD463" s="1607"/>
      <c r="BE463" s="1607"/>
      <c r="BF463" s="1607"/>
      <c r="BG463" s="1607"/>
      <c r="BH463" s="1607"/>
      <c r="BI463" s="1607"/>
      <c r="BJ463" s="1607"/>
      <c r="BK463" s="1607"/>
      <c r="BL463" s="1607"/>
    </row>
    <row r="464">
      <c r="A464" s="1607"/>
      <c r="B464" s="1607"/>
      <c r="C464" s="1607"/>
      <c r="D464" s="1607"/>
      <c r="E464" s="1607"/>
      <c r="F464" s="1607"/>
      <c r="G464" s="1607"/>
      <c r="H464" s="1607"/>
      <c r="I464" s="1607"/>
      <c r="J464" s="1607"/>
      <c r="K464" s="1607"/>
      <c r="L464" s="1607"/>
      <c r="M464" s="1607"/>
      <c r="N464" s="1607"/>
      <c r="O464" s="1607"/>
      <c r="P464" s="1607"/>
      <c r="Q464" s="1607"/>
      <c r="R464" s="1607"/>
      <c r="S464" s="1607"/>
      <c r="T464" s="1607"/>
      <c r="U464" s="1607"/>
      <c r="V464" s="1607"/>
      <c r="W464" s="1607"/>
      <c r="X464" s="1607"/>
      <c r="Y464" s="1607"/>
      <c r="Z464" s="1607"/>
      <c r="AA464" s="1607"/>
      <c r="AB464" s="1607"/>
      <c r="AC464" s="1607"/>
      <c r="AD464" s="1607"/>
      <c r="AE464" s="1607"/>
      <c r="AF464" s="1607"/>
      <c r="AG464" s="1607"/>
      <c r="AH464" s="1607"/>
      <c r="AI464" s="1607"/>
      <c r="AJ464" s="1607"/>
      <c r="AK464" s="1607"/>
      <c r="AL464" s="1607"/>
      <c r="AM464" s="1607"/>
      <c r="AN464" s="1607"/>
      <c r="AO464" s="1607"/>
      <c r="AP464" s="1607"/>
      <c r="AQ464" s="1607"/>
      <c r="AR464" s="1607"/>
      <c r="AS464" s="1607"/>
      <c r="AT464" s="1607"/>
      <c r="AU464" s="1607"/>
      <c r="AV464" s="1607"/>
      <c r="AW464" s="1607"/>
      <c r="AX464" s="1607"/>
      <c r="AY464" s="1607"/>
      <c r="AZ464" s="1607"/>
      <c r="BA464" s="1607"/>
      <c r="BB464" s="1607"/>
      <c r="BC464" s="1607"/>
      <c r="BD464" s="1607"/>
      <c r="BE464" s="1607"/>
      <c r="BF464" s="1607"/>
      <c r="BG464" s="1607"/>
      <c r="BH464" s="1607"/>
      <c r="BI464" s="1607"/>
      <c r="BJ464" s="1607"/>
      <c r="BK464" s="1607"/>
      <c r="BL464" s="1607"/>
    </row>
    <row r="465">
      <c r="A465" s="1607"/>
      <c r="B465" s="1607"/>
      <c r="C465" s="1607"/>
      <c r="D465" s="1607"/>
      <c r="E465" s="1607"/>
      <c r="F465" s="1607"/>
      <c r="G465" s="1607"/>
      <c r="H465" s="1607"/>
      <c r="I465" s="1607"/>
      <c r="J465" s="1607"/>
      <c r="K465" s="1607"/>
      <c r="L465" s="1607"/>
      <c r="M465" s="1607"/>
      <c r="N465" s="1607"/>
      <c r="O465" s="1607"/>
      <c r="P465" s="1607"/>
      <c r="Q465" s="1607"/>
      <c r="R465" s="1607"/>
      <c r="S465" s="1607"/>
      <c r="T465" s="1607"/>
      <c r="U465" s="1607"/>
      <c r="V465" s="1607"/>
      <c r="W465" s="1607"/>
      <c r="X465" s="1607"/>
      <c r="Y465" s="1607"/>
      <c r="Z465" s="1607"/>
      <c r="AA465" s="1607"/>
      <c r="AB465" s="1607"/>
      <c r="AC465" s="1607"/>
      <c r="AD465" s="1607"/>
      <c r="AE465" s="1607"/>
      <c r="AF465" s="1607"/>
      <c r="AG465" s="1607"/>
      <c r="AH465" s="1607"/>
      <c r="AI465" s="1607"/>
      <c r="AJ465" s="1607"/>
      <c r="AK465" s="1607"/>
      <c r="AL465" s="1607"/>
      <c r="AM465" s="1607"/>
      <c r="AN465" s="1607"/>
      <c r="AO465" s="1607"/>
      <c r="AP465" s="1607"/>
      <c r="AQ465" s="1607"/>
      <c r="AR465" s="1607"/>
      <c r="AS465" s="1607"/>
      <c r="AT465" s="1607"/>
      <c r="AU465" s="1607"/>
      <c r="AV465" s="1607"/>
      <c r="AW465" s="1607"/>
      <c r="AX465" s="1607"/>
      <c r="AY465" s="1607"/>
      <c r="AZ465" s="1607"/>
      <c r="BA465" s="1607"/>
      <c r="BB465" s="1607"/>
      <c r="BC465" s="1607"/>
      <c r="BD465" s="1607"/>
      <c r="BE465" s="1607"/>
      <c r="BF465" s="1607"/>
      <c r="BG465" s="1607"/>
      <c r="BH465" s="1607"/>
      <c r="BI465" s="1607"/>
      <c r="BJ465" s="1607"/>
      <c r="BK465" s="1607"/>
      <c r="BL465" s="1607"/>
    </row>
    <row r="466">
      <c r="A466" s="1607"/>
      <c r="B466" s="1607"/>
      <c r="C466" s="1607"/>
      <c r="D466" s="1607"/>
      <c r="E466" s="1607"/>
      <c r="F466" s="1607"/>
      <c r="G466" s="1607"/>
      <c r="H466" s="1607"/>
      <c r="I466" s="1607"/>
      <c r="J466" s="1607"/>
      <c r="K466" s="1607"/>
      <c r="L466" s="1607"/>
      <c r="M466" s="1607"/>
      <c r="N466" s="1607"/>
      <c r="O466" s="1607"/>
      <c r="P466" s="1607"/>
      <c r="Q466" s="1607"/>
      <c r="R466" s="1607"/>
      <c r="S466" s="1607"/>
      <c r="T466" s="1607"/>
      <c r="U466" s="1607"/>
      <c r="V466" s="1607"/>
      <c r="W466" s="1607"/>
      <c r="X466" s="1607"/>
      <c r="Y466" s="1607"/>
      <c r="Z466" s="1607"/>
      <c r="AA466" s="1607"/>
      <c r="AB466" s="1607"/>
      <c r="AC466" s="1607"/>
      <c r="AD466" s="1607"/>
      <c r="AE466" s="1607"/>
      <c r="AF466" s="1607"/>
      <c r="AG466" s="1607"/>
      <c r="AH466" s="1607"/>
      <c r="AI466" s="1607"/>
      <c r="AJ466" s="1607"/>
      <c r="AK466" s="1607"/>
      <c r="AL466" s="1607"/>
      <c r="AM466" s="1607"/>
      <c r="AN466" s="1607"/>
      <c r="AO466" s="1607"/>
      <c r="AP466" s="1607"/>
      <c r="AQ466" s="1607"/>
      <c r="AR466" s="1607"/>
      <c r="AS466" s="1607"/>
      <c r="AT466" s="1607"/>
      <c r="AU466" s="1607"/>
      <c r="AV466" s="1607"/>
      <c r="AW466" s="1607"/>
      <c r="AX466" s="1607"/>
      <c r="AY466" s="1607"/>
      <c r="AZ466" s="1607"/>
      <c r="BA466" s="1607"/>
      <c r="BB466" s="1607"/>
      <c r="BC466" s="1607"/>
      <c r="BD466" s="1607"/>
      <c r="BE466" s="1607"/>
      <c r="BF466" s="1607"/>
      <c r="BG466" s="1607"/>
      <c r="BH466" s="1607"/>
      <c r="BI466" s="1607"/>
      <c r="BJ466" s="1607"/>
      <c r="BK466" s="1607"/>
      <c r="BL466" s="1607"/>
    </row>
    <row r="467">
      <c r="A467" s="1607"/>
      <c r="B467" s="1607"/>
      <c r="C467" s="1607"/>
      <c r="D467" s="1607"/>
      <c r="E467" s="1607"/>
      <c r="F467" s="1607"/>
      <c r="G467" s="1607"/>
      <c r="H467" s="1607"/>
      <c r="I467" s="1607"/>
      <c r="J467" s="1607"/>
      <c r="K467" s="1607"/>
      <c r="L467" s="1607"/>
      <c r="M467" s="1607"/>
      <c r="N467" s="1607"/>
      <c r="O467" s="1607"/>
      <c r="P467" s="1607"/>
      <c r="Q467" s="1607"/>
      <c r="R467" s="1607"/>
      <c r="S467" s="1607"/>
      <c r="T467" s="1607"/>
      <c r="U467" s="1607"/>
      <c r="V467" s="1607"/>
      <c r="W467" s="1607"/>
      <c r="X467" s="1607"/>
      <c r="Y467" s="1607"/>
      <c r="Z467" s="1607"/>
      <c r="AA467" s="1607"/>
      <c r="AB467" s="1607"/>
      <c r="AC467" s="1607"/>
      <c r="AD467" s="1607"/>
      <c r="AE467" s="1607"/>
      <c r="AF467" s="1607"/>
      <c r="AG467" s="1607"/>
      <c r="AH467" s="1607"/>
      <c r="AI467" s="1607"/>
      <c r="AJ467" s="1607"/>
      <c r="AK467" s="1607"/>
      <c r="AL467" s="1607"/>
      <c r="AM467" s="1607"/>
      <c r="AN467" s="1607"/>
      <c r="AO467" s="1607"/>
      <c r="AP467" s="1607"/>
      <c r="AQ467" s="1607"/>
      <c r="AR467" s="1607"/>
      <c r="AS467" s="1607"/>
      <c r="AT467" s="1607"/>
      <c r="AU467" s="1607"/>
      <c r="AV467" s="1607"/>
      <c r="AW467" s="1607"/>
      <c r="AX467" s="1607"/>
      <c r="AY467" s="1607"/>
      <c r="AZ467" s="1607"/>
      <c r="BA467" s="1607"/>
      <c r="BB467" s="1607"/>
      <c r="BC467" s="1607"/>
      <c r="BD467" s="1607"/>
      <c r="BE467" s="1607"/>
      <c r="BF467" s="1607"/>
      <c r="BG467" s="1607"/>
      <c r="BH467" s="1607"/>
      <c r="BI467" s="1607"/>
      <c r="BJ467" s="1607"/>
      <c r="BK467" s="1607"/>
      <c r="BL467" s="1607"/>
    </row>
    <row r="468">
      <c r="A468" s="1607"/>
      <c r="B468" s="1607"/>
      <c r="C468" s="1607"/>
      <c r="D468" s="1607"/>
      <c r="E468" s="1607"/>
      <c r="F468" s="1607"/>
      <c r="G468" s="1607"/>
      <c r="H468" s="1607"/>
      <c r="I468" s="1607"/>
      <c r="J468" s="1607"/>
      <c r="K468" s="1607"/>
      <c r="L468" s="1607"/>
      <c r="M468" s="1607"/>
      <c r="N468" s="1607"/>
      <c r="O468" s="1607"/>
      <c r="P468" s="1607"/>
      <c r="Q468" s="1607"/>
      <c r="R468" s="1607"/>
      <c r="S468" s="1607"/>
      <c r="T468" s="1607"/>
      <c r="U468" s="1607"/>
      <c r="V468" s="1607"/>
      <c r="W468" s="1607"/>
      <c r="X468" s="1607"/>
      <c r="Y468" s="1607"/>
      <c r="Z468" s="1607"/>
      <c r="AA468" s="1607"/>
      <c r="AB468" s="1607"/>
      <c r="AC468" s="1607"/>
      <c r="AD468" s="1607"/>
      <c r="AE468" s="1607"/>
      <c r="AF468" s="1607"/>
      <c r="AG468" s="1607"/>
      <c r="AH468" s="1607"/>
      <c r="AI468" s="1607"/>
      <c r="AJ468" s="1607"/>
      <c r="AK468" s="1607"/>
      <c r="AL468" s="1607"/>
      <c r="AM468" s="1607"/>
      <c r="AN468" s="1607"/>
      <c r="AO468" s="1607"/>
      <c r="AP468" s="1607"/>
      <c r="AQ468" s="1607"/>
      <c r="AR468" s="1607"/>
      <c r="AS468" s="1607"/>
      <c r="AT468" s="1607"/>
      <c r="AU468" s="1607"/>
      <c r="AV468" s="1607"/>
      <c r="AW468" s="1607"/>
      <c r="AX468" s="1607"/>
      <c r="AY468" s="1607"/>
      <c r="AZ468" s="1607"/>
      <c r="BA468" s="1607"/>
      <c r="BB468" s="1607"/>
      <c r="BC468" s="1607"/>
      <c r="BD468" s="1607"/>
      <c r="BE468" s="1607"/>
      <c r="BF468" s="1607"/>
      <c r="BG468" s="1607"/>
      <c r="BH468" s="1607"/>
      <c r="BI468" s="1607"/>
      <c r="BJ468" s="1607"/>
      <c r="BK468" s="1607"/>
      <c r="BL468" s="1607"/>
    </row>
    <row r="469">
      <c r="A469" s="1607"/>
      <c r="B469" s="1607"/>
      <c r="C469" s="1607"/>
      <c r="D469" s="1607"/>
      <c r="E469" s="1607"/>
      <c r="F469" s="1607"/>
      <c r="G469" s="1607"/>
      <c r="H469" s="1607"/>
      <c r="I469" s="1607"/>
      <c r="J469" s="1607"/>
      <c r="K469" s="1607"/>
      <c r="L469" s="1607"/>
      <c r="M469" s="1607"/>
      <c r="N469" s="1607"/>
      <c r="O469" s="1607"/>
      <c r="P469" s="1607"/>
      <c r="Q469" s="1607"/>
      <c r="R469" s="1607"/>
      <c r="S469" s="1607"/>
      <c r="T469" s="1607"/>
      <c r="U469" s="1607"/>
      <c r="V469" s="1607"/>
      <c r="W469" s="1607"/>
      <c r="X469" s="1607"/>
      <c r="Y469" s="1607"/>
      <c r="Z469" s="1607"/>
      <c r="AA469" s="1607"/>
      <c r="AB469" s="1607"/>
      <c r="AC469" s="1607"/>
      <c r="AD469" s="1607"/>
      <c r="AE469" s="1607"/>
      <c r="AF469" s="1607"/>
      <c r="AG469" s="1607"/>
      <c r="AH469" s="1607"/>
      <c r="AI469" s="1607"/>
      <c r="AJ469" s="1607"/>
      <c r="AK469" s="1607"/>
      <c r="AL469" s="1607"/>
      <c r="AM469" s="1607"/>
      <c r="AN469" s="1607"/>
      <c r="AO469" s="1607"/>
      <c r="AP469" s="1607"/>
      <c r="AQ469" s="1607"/>
      <c r="AR469" s="1607"/>
      <c r="AS469" s="1607"/>
      <c r="AT469" s="1607"/>
      <c r="AU469" s="1607"/>
      <c r="AV469" s="1607"/>
      <c r="AW469" s="1607"/>
      <c r="AX469" s="1607"/>
      <c r="AY469" s="1607"/>
      <c r="AZ469" s="1607"/>
      <c r="BA469" s="1607"/>
      <c r="BB469" s="1607"/>
      <c r="BC469" s="1607"/>
      <c r="BD469" s="1607"/>
      <c r="BE469" s="1607"/>
      <c r="BF469" s="1607"/>
      <c r="BG469" s="1607"/>
      <c r="BH469" s="1607"/>
      <c r="BI469" s="1607"/>
      <c r="BJ469" s="1607"/>
      <c r="BK469" s="1607"/>
      <c r="BL469" s="1607"/>
    </row>
    <row r="470">
      <c r="A470" s="1607"/>
      <c r="B470" s="1607"/>
      <c r="C470" s="1607"/>
      <c r="D470" s="1607"/>
      <c r="E470" s="1607"/>
      <c r="F470" s="1607"/>
      <c r="G470" s="1607"/>
      <c r="H470" s="1607"/>
      <c r="I470" s="1607"/>
      <c r="J470" s="1607"/>
      <c r="K470" s="1607"/>
      <c r="L470" s="1607"/>
      <c r="M470" s="1607"/>
      <c r="N470" s="1607"/>
      <c r="O470" s="1607"/>
      <c r="P470" s="1607"/>
      <c r="Q470" s="1607"/>
      <c r="R470" s="1607"/>
      <c r="S470" s="1607"/>
      <c r="T470" s="1607"/>
      <c r="U470" s="1607"/>
      <c r="V470" s="1607"/>
      <c r="W470" s="1607"/>
      <c r="X470" s="1607"/>
      <c r="Y470" s="1607"/>
      <c r="Z470" s="1607"/>
      <c r="AA470" s="1607"/>
      <c r="AB470" s="1607"/>
      <c r="AC470" s="1607"/>
      <c r="AD470" s="1607"/>
      <c r="AE470" s="1607"/>
      <c r="AF470" s="1607"/>
      <c r="AG470" s="1607"/>
      <c r="AH470" s="1607"/>
      <c r="AI470" s="1607"/>
      <c r="AJ470" s="1607"/>
      <c r="AK470" s="1607"/>
      <c r="AL470" s="1607"/>
      <c r="AM470" s="1607"/>
      <c r="AN470" s="1607"/>
      <c r="AO470" s="1607"/>
      <c r="AP470" s="1607"/>
      <c r="AQ470" s="1607"/>
      <c r="AR470" s="1607"/>
      <c r="AS470" s="1607"/>
      <c r="AT470" s="1607"/>
      <c r="AU470" s="1607"/>
      <c r="AV470" s="1607"/>
      <c r="AW470" s="1607"/>
      <c r="AX470" s="1607"/>
      <c r="AY470" s="1607"/>
      <c r="AZ470" s="1607"/>
      <c r="BA470" s="1607"/>
      <c r="BB470" s="1607"/>
      <c r="BC470" s="1607"/>
      <c r="BD470" s="1607"/>
      <c r="BE470" s="1607"/>
      <c r="BF470" s="1607"/>
      <c r="BG470" s="1607"/>
      <c r="BH470" s="1607"/>
      <c r="BI470" s="1607"/>
      <c r="BJ470" s="1607"/>
      <c r="BK470" s="1607"/>
      <c r="BL470" s="1607"/>
    </row>
    <row r="471">
      <c r="A471" s="1607"/>
      <c r="B471" s="1607"/>
      <c r="C471" s="1607"/>
      <c r="D471" s="1607"/>
      <c r="E471" s="1607"/>
      <c r="F471" s="1607"/>
      <c r="G471" s="1607"/>
      <c r="H471" s="1607"/>
      <c r="I471" s="1607"/>
      <c r="J471" s="1607"/>
      <c r="K471" s="1607"/>
      <c r="L471" s="1607"/>
      <c r="M471" s="1607"/>
      <c r="N471" s="1607"/>
      <c r="O471" s="1607"/>
      <c r="P471" s="1607"/>
      <c r="Q471" s="1607"/>
      <c r="R471" s="1607"/>
      <c r="S471" s="1607"/>
      <c r="T471" s="1607"/>
      <c r="U471" s="1607"/>
      <c r="V471" s="1607"/>
      <c r="W471" s="1607"/>
      <c r="X471" s="1607"/>
      <c r="Y471" s="1607"/>
      <c r="Z471" s="1607"/>
      <c r="AA471" s="1607"/>
      <c r="AB471" s="1607"/>
      <c r="AC471" s="1607"/>
      <c r="AD471" s="1607"/>
      <c r="AE471" s="1607"/>
      <c r="AF471" s="1607"/>
      <c r="AG471" s="1607"/>
      <c r="AH471" s="1607"/>
      <c r="AI471" s="1607"/>
      <c r="AJ471" s="1607"/>
      <c r="AK471" s="1607"/>
      <c r="AL471" s="1607"/>
      <c r="AM471" s="1607"/>
      <c r="AN471" s="1607"/>
      <c r="AO471" s="1607"/>
      <c r="AP471" s="1607"/>
      <c r="AQ471" s="1607"/>
      <c r="AR471" s="1607"/>
      <c r="AS471" s="1607"/>
      <c r="AT471" s="1607"/>
      <c r="AU471" s="1607"/>
      <c r="AV471" s="1607"/>
      <c r="AW471" s="1607"/>
      <c r="AX471" s="1607"/>
      <c r="AY471" s="1607"/>
      <c r="AZ471" s="1607"/>
      <c r="BA471" s="1607"/>
      <c r="BB471" s="1607"/>
      <c r="BC471" s="1607"/>
      <c r="BD471" s="1607"/>
      <c r="BE471" s="1607"/>
      <c r="BF471" s="1607"/>
      <c r="BG471" s="1607"/>
      <c r="BH471" s="1607"/>
      <c r="BI471" s="1607"/>
      <c r="BJ471" s="1607"/>
      <c r="BK471" s="1607"/>
      <c r="BL471" s="1607"/>
    </row>
    <row r="472">
      <c r="A472" s="1607"/>
      <c r="B472" s="1607"/>
      <c r="C472" s="1607"/>
      <c r="D472" s="1607"/>
      <c r="E472" s="1607"/>
      <c r="F472" s="1607"/>
      <c r="G472" s="1607"/>
      <c r="H472" s="1607"/>
      <c r="I472" s="1607"/>
      <c r="J472" s="1607"/>
      <c r="K472" s="1607"/>
      <c r="L472" s="1607"/>
      <c r="M472" s="1607"/>
      <c r="N472" s="1607"/>
      <c r="O472" s="1607"/>
      <c r="P472" s="1607"/>
      <c r="Q472" s="1607"/>
      <c r="R472" s="1607"/>
      <c r="S472" s="1607"/>
      <c r="T472" s="1607"/>
      <c r="U472" s="1607"/>
      <c r="V472" s="1607"/>
      <c r="W472" s="1607"/>
      <c r="X472" s="1607"/>
      <c r="Y472" s="1607"/>
      <c r="Z472" s="1607"/>
      <c r="AA472" s="1607"/>
      <c r="AB472" s="1607"/>
      <c r="AC472" s="1607"/>
      <c r="AD472" s="1607"/>
      <c r="AE472" s="1607"/>
      <c r="AF472" s="1607"/>
      <c r="AG472" s="1607"/>
      <c r="AH472" s="1607"/>
      <c r="AI472" s="1607"/>
      <c r="AJ472" s="1607"/>
      <c r="AK472" s="1607"/>
      <c r="AL472" s="1607"/>
      <c r="AM472" s="1607"/>
      <c r="AN472" s="1607"/>
      <c r="AO472" s="1607"/>
      <c r="AP472" s="1607"/>
      <c r="AQ472" s="1607"/>
      <c r="AR472" s="1607"/>
      <c r="AS472" s="1607"/>
      <c r="AT472" s="1607"/>
      <c r="AU472" s="1607"/>
      <c r="AV472" s="1607"/>
      <c r="AW472" s="1607"/>
      <c r="AX472" s="1607"/>
      <c r="AY472" s="1607"/>
      <c r="AZ472" s="1607"/>
      <c r="BA472" s="1607"/>
      <c r="BB472" s="1607"/>
      <c r="BC472" s="1607"/>
      <c r="BD472" s="1607"/>
      <c r="BE472" s="1607"/>
      <c r="BF472" s="1607"/>
      <c r="BG472" s="1607"/>
      <c r="BH472" s="1607"/>
      <c r="BI472" s="1607"/>
      <c r="BJ472" s="1607"/>
      <c r="BK472" s="1607"/>
      <c r="BL472" s="1607"/>
    </row>
    <row r="473">
      <c r="A473" s="1607"/>
      <c r="B473" s="1607"/>
      <c r="C473" s="1607"/>
      <c r="D473" s="1607"/>
      <c r="E473" s="1607"/>
      <c r="F473" s="1607"/>
      <c r="G473" s="1607"/>
      <c r="H473" s="1607"/>
      <c r="I473" s="1607"/>
      <c r="J473" s="1607"/>
      <c r="K473" s="1607"/>
      <c r="L473" s="1607"/>
      <c r="M473" s="1607"/>
      <c r="N473" s="1607"/>
      <c r="O473" s="1607"/>
      <c r="P473" s="1607"/>
      <c r="Q473" s="1607"/>
      <c r="R473" s="1607"/>
      <c r="S473" s="1607"/>
      <c r="T473" s="1607"/>
      <c r="U473" s="1607"/>
      <c r="V473" s="1607"/>
      <c r="W473" s="1607"/>
      <c r="X473" s="1607"/>
      <c r="Y473" s="1607"/>
      <c r="Z473" s="1607"/>
      <c r="AA473" s="1607"/>
      <c r="AB473" s="1607"/>
      <c r="AC473" s="1607"/>
      <c r="AD473" s="1607"/>
      <c r="AE473" s="1607"/>
      <c r="AF473" s="1607"/>
      <c r="AG473" s="1607"/>
      <c r="AH473" s="1607"/>
      <c r="AI473" s="1607"/>
      <c r="AJ473" s="1607"/>
      <c r="AK473" s="1607"/>
      <c r="AL473" s="1607"/>
      <c r="AM473" s="1607"/>
      <c r="AN473" s="1607"/>
      <c r="AO473" s="1607"/>
      <c r="AP473" s="1607"/>
      <c r="AQ473" s="1607"/>
      <c r="AR473" s="1607"/>
      <c r="AS473" s="1607"/>
      <c r="AT473" s="1607"/>
      <c r="AU473" s="1607"/>
      <c r="AV473" s="1607"/>
      <c r="AW473" s="1607"/>
      <c r="AX473" s="1607"/>
      <c r="AY473" s="1607"/>
      <c r="AZ473" s="1607"/>
      <c r="BA473" s="1607"/>
      <c r="BB473" s="1607"/>
      <c r="BC473" s="1607"/>
      <c r="BD473" s="1607"/>
      <c r="BE473" s="1607"/>
      <c r="BF473" s="1607"/>
      <c r="BG473" s="1607"/>
      <c r="BH473" s="1607"/>
      <c r="BI473" s="1607"/>
      <c r="BJ473" s="1607"/>
      <c r="BK473" s="1607"/>
      <c r="BL473" s="1607"/>
    </row>
    <row r="474">
      <c r="A474" s="1607"/>
      <c r="B474" s="1607"/>
      <c r="C474" s="1607"/>
      <c r="D474" s="1607"/>
      <c r="E474" s="1607"/>
      <c r="F474" s="1607"/>
      <c r="G474" s="1607"/>
      <c r="H474" s="1607"/>
      <c r="I474" s="1607"/>
      <c r="J474" s="1607"/>
      <c r="K474" s="1607"/>
      <c r="L474" s="1607"/>
      <c r="M474" s="1607"/>
      <c r="N474" s="1607"/>
      <c r="O474" s="1607"/>
      <c r="P474" s="1607"/>
      <c r="Q474" s="1607"/>
      <c r="R474" s="1607"/>
      <c r="S474" s="1607"/>
      <c r="T474" s="1607"/>
      <c r="U474" s="1607"/>
      <c r="V474" s="1607"/>
      <c r="W474" s="1607"/>
      <c r="X474" s="1607"/>
      <c r="Y474" s="1607"/>
      <c r="Z474" s="1607"/>
      <c r="AA474" s="1607"/>
      <c r="AB474" s="1607"/>
      <c r="AC474" s="1607"/>
      <c r="AD474" s="1607"/>
      <c r="AE474" s="1607"/>
      <c r="AF474" s="1607"/>
      <c r="AG474" s="1607"/>
      <c r="AH474" s="1607"/>
      <c r="AI474" s="1607"/>
      <c r="AJ474" s="1607"/>
      <c r="AK474" s="1607"/>
      <c r="AL474" s="1607"/>
      <c r="AM474" s="1607"/>
      <c r="AN474" s="1607"/>
      <c r="AO474" s="1607"/>
      <c r="AP474" s="1607"/>
      <c r="AQ474" s="1607"/>
      <c r="AR474" s="1607"/>
      <c r="AS474" s="1607"/>
      <c r="AT474" s="1607"/>
      <c r="AU474" s="1607"/>
      <c r="AV474" s="1607"/>
      <c r="AW474" s="1607"/>
      <c r="AX474" s="1607"/>
      <c r="AY474" s="1607"/>
      <c r="AZ474" s="1607"/>
      <c r="BA474" s="1607"/>
      <c r="BB474" s="1607"/>
      <c r="BC474" s="1607"/>
      <c r="BD474" s="1607"/>
      <c r="BE474" s="1607"/>
      <c r="BF474" s="1607"/>
      <c r="BG474" s="1607"/>
      <c r="BH474" s="1607"/>
      <c r="BI474" s="1607"/>
      <c r="BJ474" s="1607"/>
      <c r="BK474" s="1607"/>
      <c r="BL474" s="1607"/>
    </row>
    <row r="475">
      <c r="A475" s="1607"/>
      <c r="B475" s="1607"/>
      <c r="C475" s="1607"/>
      <c r="D475" s="1607"/>
      <c r="E475" s="1607"/>
      <c r="F475" s="1607"/>
      <c r="G475" s="1607"/>
      <c r="H475" s="1607"/>
      <c r="I475" s="1607"/>
      <c r="J475" s="1607"/>
      <c r="K475" s="1607"/>
      <c r="L475" s="1607"/>
      <c r="M475" s="1607"/>
      <c r="N475" s="1607"/>
      <c r="O475" s="1607"/>
      <c r="P475" s="1607"/>
      <c r="Q475" s="1607"/>
      <c r="R475" s="1607"/>
      <c r="S475" s="1607"/>
      <c r="T475" s="1607"/>
      <c r="U475" s="1607"/>
      <c r="V475" s="1607"/>
      <c r="W475" s="1607"/>
      <c r="X475" s="1607"/>
      <c r="Y475" s="1607"/>
      <c r="Z475" s="1607"/>
      <c r="AA475" s="1607"/>
      <c r="AB475" s="1607"/>
      <c r="AC475" s="1607"/>
      <c r="AD475" s="1607"/>
      <c r="AE475" s="1607"/>
      <c r="AF475" s="1607"/>
      <c r="AG475" s="1607"/>
      <c r="AH475" s="1607"/>
      <c r="AI475" s="1607"/>
      <c r="AJ475" s="1607"/>
      <c r="AK475" s="1607"/>
      <c r="AL475" s="1607"/>
      <c r="AM475" s="1607"/>
      <c r="AN475" s="1607"/>
      <c r="AO475" s="1607"/>
      <c r="AP475" s="1607"/>
      <c r="AQ475" s="1607"/>
      <c r="AR475" s="1607"/>
      <c r="AS475" s="1607"/>
      <c r="AT475" s="1607"/>
      <c r="AU475" s="1607"/>
      <c r="AV475" s="1607"/>
      <c r="AW475" s="1607"/>
      <c r="AX475" s="1607"/>
      <c r="AY475" s="1607"/>
      <c r="AZ475" s="1607"/>
      <c r="BA475" s="1607"/>
      <c r="BB475" s="1607"/>
      <c r="BC475" s="1607"/>
      <c r="BD475" s="1607"/>
      <c r="BE475" s="1607"/>
      <c r="BF475" s="1607"/>
      <c r="BG475" s="1607"/>
      <c r="BH475" s="1607"/>
      <c r="BI475" s="1607"/>
      <c r="BJ475" s="1607"/>
      <c r="BK475" s="1607"/>
      <c r="BL475" s="1607"/>
    </row>
    <row r="476">
      <c r="A476" s="1607"/>
      <c r="B476" s="1607"/>
      <c r="C476" s="1607"/>
      <c r="D476" s="1607"/>
      <c r="E476" s="1607"/>
      <c r="F476" s="1607"/>
      <c r="G476" s="1607"/>
      <c r="H476" s="1607"/>
      <c r="I476" s="1607"/>
      <c r="J476" s="1607"/>
      <c r="K476" s="1607"/>
      <c r="L476" s="1607"/>
      <c r="M476" s="1607"/>
      <c r="N476" s="1607"/>
      <c r="O476" s="1607"/>
      <c r="P476" s="1607"/>
      <c r="Q476" s="1607"/>
      <c r="R476" s="1607"/>
      <c r="S476" s="1607"/>
      <c r="T476" s="1607"/>
      <c r="U476" s="1607"/>
      <c r="V476" s="1607"/>
      <c r="W476" s="1607"/>
      <c r="X476" s="1607"/>
      <c r="Y476" s="1607"/>
      <c r="Z476" s="1607"/>
      <c r="AA476" s="1607"/>
      <c r="AB476" s="1607"/>
      <c r="AC476" s="1607"/>
      <c r="AD476" s="1607"/>
      <c r="AE476" s="1607"/>
      <c r="AF476" s="1607"/>
      <c r="AG476" s="1607"/>
      <c r="AH476" s="1607"/>
      <c r="AI476" s="1607"/>
      <c r="AJ476" s="1607"/>
      <c r="AK476" s="1607"/>
      <c r="AL476" s="1607"/>
      <c r="AM476" s="1607"/>
      <c r="AN476" s="1607"/>
      <c r="AO476" s="1607"/>
      <c r="AP476" s="1607"/>
      <c r="AQ476" s="1607"/>
      <c r="AR476" s="1607"/>
      <c r="AS476" s="1607"/>
      <c r="AT476" s="1607"/>
      <c r="AU476" s="1607"/>
      <c r="AV476" s="1607"/>
      <c r="AW476" s="1607"/>
      <c r="AX476" s="1607"/>
      <c r="AY476" s="1607"/>
      <c r="AZ476" s="1607"/>
      <c r="BA476" s="1607"/>
      <c r="BB476" s="1607"/>
      <c r="BC476" s="1607"/>
      <c r="BD476" s="1607"/>
      <c r="BE476" s="1607"/>
      <c r="BF476" s="1607"/>
      <c r="BG476" s="1607"/>
      <c r="BH476" s="1607"/>
      <c r="BI476" s="1607"/>
      <c r="BJ476" s="1607"/>
      <c r="BK476" s="1607"/>
      <c r="BL476" s="1607"/>
    </row>
    <row r="477">
      <c r="A477" s="1607"/>
      <c r="B477" s="1607"/>
      <c r="C477" s="1607"/>
      <c r="D477" s="1607"/>
      <c r="E477" s="1607"/>
      <c r="F477" s="1607"/>
      <c r="G477" s="1607"/>
      <c r="H477" s="1607"/>
      <c r="I477" s="1607"/>
      <c r="J477" s="1607"/>
      <c r="K477" s="1607"/>
      <c r="L477" s="1607"/>
      <c r="M477" s="1607"/>
      <c r="N477" s="1607"/>
      <c r="O477" s="1607"/>
      <c r="P477" s="1607"/>
      <c r="Q477" s="1607"/>
      <c r="R477" s="1607"/>
      <c r="S477" s="1607"/>
      <c r="T477" s="1607"/>
      <c r="U477" s="1607"/>
      <c r="V477" s="1607"/>
      <c r="W477" s="1607"/>
      <c r="X477" s="1607"/>
      <c r="Y477" s="1607"/>
      <c r="Z477" s="1607"/>
      <c r="AA477" s="1607"/>
      <c r="AB477" s="1607"/>
      <c r="AC477" s="1607"/>
      <c r="AD477" s="1607"/>
      <c r="AE477" s="1607"/>
      <c r="AF477" s="1607"/>
      <c r="AG477" s="1607"/>
      <c r="AH477" s="1607"/>
      <c r="AI477" s="1607"/>
      <c r="AJ477" s="1607"/>
      <c r="AK477" s="1607"/>
      <c r="AL477" s="1607"/>
      <c r="AM477" s="1607"/>
      <c r="AN477" s="1607"/>
      <c r="AO477" s="1607"/>
      <c r="AP477" s="1607"/>
      <c r="AQ477" s="1607"/>
      <c r="AR477" s="1607"/>
      <c r="AS477" s="1607"/>
      <c r="AT477" s="1607"/>
      <c r="AU477" s="1607"/>
      <c r="AV477" s="1607"/>
      <c r="AW477" s="1607"/>
      <c r="AX477" s="1607"/>
      <c r="AY477" s="1607"/>
      <c r="AZ477" s="1607"/>
      <c r="BA477" s="1607"/>
      <c r="BB477" s="1607"/>
      <c r="BC477" s="1607"/>
      <c r="BD477" s="1607"/>
      <c r="BE477" s="1607"/>
      <c r="BF477" s="1607"/>
      <c r="BG477" s="1607"/>
      <c r="BH477" s="1607"/>
      <c r="BI477" s="1607"/>
      <c r="BJ477" s="1607"/>
      <c r="BK477" s="1607"/>
      <c r="BL477" s="1607"/>
    </row>
    <row r="478">
      <c r="A478" s="1607"/>
      <c r="B478" s="1607"/>
      <c r="C478" s="1607"/>
      <c r="D478" s="1607"/>
      <c r="E478" s="1607"/>
      <c r="F478" s="1607"/>
      <c r="G478" s="1607"/>
      <c r="H478" s="1607"/>
      <c r="I478" s="1607"/>
      <c r="J478" s="1607"/>
      <c r="K478" s="1607"/>
      <c r="L478" s="1607"/>
      <c r="M478" s="1607"/>
      <c r="N478" s="1607"/>
      <c r="O478" s="1607"/>
      <c r="P478" s="1607"/>
      <c r="Q478" s="1607"/>
      <c r="R478" s="1607"/>
      <c r="S478" s="1607"/>
      <c r="T478" s="1607"/>
      <c r="U478" s="1607"/>
      <c r="V478" s="1607"/>
      <c r="W478" s="1607"/>
      <c r="X478" s="1607"/>
      <c r="Y478" s="1607"/>
      <c r="Z478" s="1607"/>
      <c r="AA478" s="1607"/>
      <c r="AB478" s="1607"/>
      <c r="AC478" s="1607"/>
      <c r="AD478" s="1607"/>
      <c r="AE478" s="1607"/>
      <c r="AF478" s="1607"/>
      <c r="AG478" s="1607"/>
      <c r="AH478" s="1607"/>
      <c r="AI478" s="1607"/>
      <c r="AJ478" s="1607"/>
      <c r="AK478" s="1607"/>
      <c r="AL478" s="1607"/>
      <c r="AM478" s="1607"/>
      <c r="AN478" s="1607"/>
      <c r="AO478" s="1607"/>
      <c r="AP478" s="1607"/>
      <c r="AQ478" s="1607"/>
      <c r="AR478" s="1607"/>
      <c r="AS478" s="1607"/>
      <c r="AT478" s="1607"/>
      <c r="AU478" s="1607"/>
      <c r="AV478" s="1607"/>
      <c r="AW478" s="1607"/>
      <c r="AX478" s="1607"/>
      <c r="AY478" s="1607"/>
      <c r="AZ478" s="1607"/>
      <c r="BA478" s="1607"/>
      <c r="BB478" s="1607"/>
      <c r="BC478" s="1607"/>
      <c r="BD478" s="1607"/>
      <c r="BE478" s="1607"/>
      <c r="BF478" s="1607"/>
      <c r="BG478" s="1607"/>
      <c r="BH478" s="1607"/>
      <c r="BI478" s="1607"/>
      <c r="BJ478" s="1607"/>
      <c r="BK478" s="1607"/>
      <c r="BL478" s="1607"/>
    </row>
    <row r="479">
      <c r="A479" s="1607"/>
      <c r="B479" s="1607"/>
      <c r="C479" s="1607"/>
      <c r="D479" s="1607"/>
      <c r="E479" s="1607"/>
      <c r="F479" s="1607"/>
      <c r="G479" s="1607"/>
      <c r="H479" s="1607"/>
      <c r="I479" s="1607"/>
      <c r="J479" s="1607"/>
      <c r="K479" s="1607"/>
      <c r="L479" s="1607"/>
      <c r="M479" s="1607"/>
      <c r="N479" s="1607"/>
      <c r="O479" s="1607"/>
      <c r="P479" s="1607"/>
      <c r="Q479" s="1607"/>
      <c r="R479" s="1607"/>
      <c r="S479" s="1607"/>
      <c r="T479" s="1607"/>
      <c r="U479" s="1607"/>
      <c r="V479" s="1607"/>
      <c r="W479" s="1607"/>
      <c r="X479" s="1607"/>
      <c r="Y479" s="1607"/>
      <c r="Z479" s="1607"/>
      <c r="AA479" s="1607"/>
      <c r="AB479" s="1607"/>
      <c r="AC479" s="1607"/>
      <c r="AD479" s="1607"/>
      <c r="AE479" s="1607"/>
      <c r="AF479" s="1607"/>
      <c r="AG479" s="1607"/>
      <c r="AH479" s="1607"/>
      <c r="AI479" s="1607"/>
      <c r="AJ479" s="1607"/>
      <c r="AK479" s="1607"/>
      <c r="AL479" s="1607"/>
      <c r="AM479" s="1607"/>
      <c r="AN479" s="1607"/>
      <c r="AO479" s="1607"/>
      <c r="AP479" s="1607"/>
      <c r="AQ479" s="1607"/>
      <c r="AR479" s="1607"/>
      <c r="AS479" s="1607"/>
      <c r="AT479" s="1607"/>
      <c r="AU479" s="1607"/>
      <c r="AV479" s="1607"/>
      <c r="AW479" s="1607"/>
      <c r="AX479" s="1607"/>
      <c r="AY479" s="1607"/>
      <c r="AZ479" s="1607"/>
      <c r="BA479" s="1607"/>
      <c r="BB479" s="1607"/>
      <c r="BC479" s="1607"/>
      <c r="BD479" s="1607"/>
      <c r="BE479" s="1607"/>
      <c r="BF479" s="1607"/>
      <c r="BG479" s="1607"/>
      <c r="BH479" s="1607"/>
      <c r="BI479" s="1607"/>
      <c r="BJ479" s="1607"/>
      <c r="BK479" s="1607"/>
      <c r="BL479" s="1607"/>
    </row>
    <row r="480">
      <c r="A480" s="1607"/>
      <c r="B480" s="1607"/>
      <c r="C480" s="1607"/>
      <c r="D480" s="1607"/>
      <c r="E480" s="1607"/>
      <c r="F480" s="1607"/>
      <c r="G480" s="1607"/>
      <c r="H480" s="1607"/>
      <c r="I480" s="1607"/>
      <c r="J480" s="1607"/>
      <c r="K480" s="1607"/>
      <c r="L480" s="1607"/>
      <c r="M480" s="1607"/>
      <c r="N480" s="1607"/>
      <c r="O480" s="1607"/>
      <c r="P480" s="1607"/>
      <c r="Q480" s="1607"/>
      <c r="R480" s="1607"/>
      <c r="S480" s="1607"/>
      <c r="T480" s="1607"/>
      <c r="U480" s="1607"/>
      <c r="V480" s="1607"/>
      <c r="W480" s="1607"/>
      <c r="X480" s="1607"/>
      <c r="Y480" s="1607"/>
      <c r="Z480" s="1607"/>
      <c r="AA480" s="1607"/>
      <c r="AB480" s="1607"/>
      <c r="AC480" s="1607"/>
      <c r="AD480" s="1607"/>
      <c r="AE480" s="1607"/>
      <c r="AF480" s="1607"/>
      <c r="AG480" s="1607"/>
      <c r="AH480" s="1607"/>
      <c r="AI480" s="1607"/>
      <c r="AJ480" s="1607"/>
      <c r="AK480" s="1607"/>
      <c r="AL480" s="1607"/>
      <c r="AM480" s="1607"/>
      <c r="AN480" s="1607"/>
      <c r="AO480" s="1607"/>
      <c r="AP480" s="1607"/>
      <c r="AQ480" s="1607"/>
      <c r="AR480" s="1607"/>
      <c r="AS480" s="1607"/>
      <c r="AT480" s="1607"/>
      <c r="AU480" s="1607"/>
      <c r="AV480" s="1607"/>
      <c r="AW480" s="1607"/>
      <c r="AX480" s="1607"/>
      <c r="AY480" s="1607"/>
      <c r="AZ480" s="1607"/>
      <c r="BA480" s="1607"/>
      <c r="BB480" s="1607"/>
      <c r="BC480" s="1607"/>
      <c r="BD480" s="1607"/>
      <c r="BE480" s="1607"/>
      <c r="BF480" s="1607"/>
      <c r="BG480" s="1607"/>
      <c r="BH480" s="1607"/>
      <c r="BI480" s="1607"/>
      <c r="BJ480" s="1607"/>
      <c r="BK480" s="1607"/>
      <c r="BL480" s="1607"/>
    </row>
    <row r="481">
      <c r="A481" s="1607"/>
      <c r="B481" s="1607"/>
      <c r="C481" s="1607"/>
      <c r="D481" s="1607"/>
      <c r="E481" s="1607"/>
      <c r="F481" s="1607"/>
      <c r="G481" s="1607"/>
      <c r="H481" s="1607"/>
      <c r="I481" s="1607"/>
      <c r="J481" s="1607"/>
      <c r="K481" s="1607"/>
      <c r="L481" s="1607"/>
      <c r="M481" s="1607"/>
      <c r="N481" s="1607"/>
      <c r="O481" s="1607"/>
      <c r="P481" s="1607"/>
      <c r="Q481" s="1607"/>
      <c r="R481" s="1607"/>
      <c r="S481" s="1607"/>
      <c r="T481" s="1607"/>
      <c r="U481" s="1607"/>
      <c r="V481" s="1607"/>
      <c r="W481" s="1607"/>
      <c r="X481" s="1607"/>
      <c r="Y481" s="1607"/>
      <c r="Z481" s="1607"/>
      <c r="AA481" s="1607"/>
      <c r="AB481" s="1607"/>
      <c r="AC481" s="1607"/>
      <c r="AD481" s="1607"/>
      <c r="AE481" s="1607"/>
      <c r="AF481" s="1607"/>
      <c r="AG481" s="1607"/>
      <c r="AH481" s="1607"/>
      <c r="AI481" s="1607"/>
      <c r="AJ481" s="1607"/>
      <c r="AK481" s="1607"/>
      <c r="AL481" s="1607"/>
      <c r="AM481" s="1607"/>
      <c r="AN481" s="1607"/>
      <c r="AO481" s="1607"/>
      <c r="AP481" s="1607"/>
      <c r="AQ481" s="1607"/>
      <c r="AR481" s="1607"/>
      <c r="AS481" s="1607"/>
      <c r="AT481" s="1607"/>
      <c r="AU481" s="1607"/>
      <c r="AV481" s="1607"/>
      <c r="AW481" s="1607"/>
      <c r="AX481" s="1607"/>
      <c r="AY481" s="1607"/>
      <c r="AZ481" s="1607"/>
      <c r="BA481" s="1607"/>
      <c r="BB481" s="1607"/>
      <c r="BC481" s="1607"/>
      <c r="BD481" s="1607"/>
      <c r="BE481" s="1607"/>
      <c r="BF481" s="1607"/>
      <c r="BG481" s="1607"/>
      <c r="BH481" s="1607"/>
      <c r="BI481" s="1607"/>
      <c r="BJ481" s="1607"/>
      <c r="BK481" s="1607"/>
      <c r="BL481" s="1607"/>
    </row>
    <row r="482">
      <c r="A482" s="1607"/>
      <c r="B482" s="1607"/>
      <c r="C482" s="1607"/>
      <c r="D482" s="1607"/>
      <c r="E482" s="1607"/>
      <c r="F482" s="1607"/>
      <c r="G482" s="1607"/>
      <c r="H482" s="1607"/>
      <c r="I482" s="1607"/>
      <c r="J482" s="1607"/>
      <c r="K482" s="1607"/>
      <c r="L482" s="1607"/>
      <c r="M482" s="1607"/>
      <c r="N482" s="1607"/>
      <c r="O482" s="1607"/>
      <c r="P482" s="1607"/>
      <c r="Q482" s="1607"/>
      <c r="R482" s="1607"/>
      <c r="S482" s="1607"/>
      <c r="T482" s="1607"/>
      <c r="U482" s="1607"/>
      <c r="V482" s="1607"/>
      <c r="W482" s="1607"/>
      <c r="X482" s="1607"/>
      <c r="Y482" s="1607"/>
      <c r="Z482" s="1607"/>
      <c r="AA482" s="1607"/>
      <c r="AB482" s="1607"/>
      <c r="AC482" s="1607"/>
      <c r="AD482" s="1607"/>
      <c r="AE482" s="1607"/>
      <c r="AF482" s="1607"/>
      <c r="AG482" s="1607"/>
      <c r="AH482" s="1607"/>
      <c r="AI482" s="1607"/>
      <c r="AJ482" s="1607"/>
      <c r="AK482" s="1607"/>
      <c r="AL482" s="1607"/>
      <c r="AM482" s="1607"/>
      <c r="AN482" s="1607"/>
      <c r="AO482" s="1607"/>
      <c r="AP482" s="1607"/>
      <c r="AQ482" s="1607"/>
      <c r="AR482" s="1607"/>
      <c r="AS482" s="1607"/>
      <c r="AT482" s="1607"/>
      <c r="AU482" s="1607"/>
      <c r="AV482" s="1607"/>
      <c r="AW482" s="1607"/>
      <c r="AX482" s="1607"/>
      <c r="AY482" s="1607"/>
      <c r="AZ482" s="1607"/>
      <c r="BA482" s="1607"/>
      <c r="BB482" s="1607"/>
      <c r="BC482" s="1607"/>
      <c r="BD482" s="1607"/>
      <c r="BE482" s="1607"/>
      <c r="BF482" s="1607"/>
      <c r="BG482" s="1607"/>
      <c r="BH482" s="1607"/>
      <c r="BI482" s="1607"/>
      <c r="BJ482" s="1607"/>
      <c r="BK482" s="1607"/>
      <c r="BL482" s="1607"/>
    </row>
    <row r="483">
      <c r="A483" s="1607"/>
      <c r="B483" s="1607"/>
      <c r="C483" s="1607"/>
      <c r="D483" s="1607"/>
      <c r="E483" s="1607"/>
      <c r="F483" s="1607"/>
      <c r="G483" s="1607"/>
      <c r="H483" s="1607"/>
      <c r="I483" s="1607"/>
      <c r="J483" s="1607"/>
      <c r="K483" s="1607"/>
      <c r="L483" s="1607"/>
      <c r="M483" s="1607"/>
      <c r="N483" s="1607"/>
      <c r="O483" s="1607"/>
      <c r="P483" s="1607"/>
      <c r="Q483" s="1607"/>
      <c r="R483" s="1607"/>
      <c r="S483" s="1607"/>
      <c r="T483" s="1607"/>
      <c r="U483" s="1607"/>
      <c r="V483" s="1607"/>
      <c r="W483" s="1607"/>
      <c r="X483" s="1607"/>
      <c r="Y483" s="1607"/>
      <c r="Z483" s="1607"/>
      <c r="AA483" s="1607"/>
      <c r="AB483" s="1607"/>
      <c r="AC483" s="1607"/>
      <c r="AD483" s="1607"/>
      <c r="AE483" s="1607"/>
      <c r="AF483" s="1607"/>
      <c r="AG483" s="1607"/>
      <c r="AH483" s="1607"/>
      <c r="AI483" s="1607"/>
      <c r="AJ483" s="1607"/>
      <c r="AK483" s="1607"/>
      <c r="AL483" s="1607"/>
      <c r="AM483" s="1607"/>
      <c r="AN483" s="1607"/>
      <c r="AO483" s="1607"/>
      <c r="AP483" s="1607"/>
      <c r="AQ483" s="1607"/>
      <c r="AR483" s="1607"/>
      <c r="AS483" s="1607"/>
      <c r="AT483" s="1607"/>
      <c r="AU483" s="1607"/>
      <c r="AV483" s="1607"/>
      <c r="AW483" s="1607"/>
      <c r="AX483" s="1607"/>
      <c r="AY483" s="1607"/>
      <c r="AZ483" s="1607"/>
      <c r="BA483" s="1607"/>
      <c r="BB483" s="1607"/>
      <c r="BC483" s="1607"/>
      <c r="BD483" s="1607"/>
      <c r="BE483" s="1607"/>
      <c r="BF483" s="1607"/>
      <c r="BG483" s="1607"/>
      <c r="BH483" s="1607"/>
      <c r="BI483" s="1607"/>
      <c r="BJ483" s="1607"/>
      <c r="BK483" s="1607"/>
      <c r="BL483" s="1607"/>
    </row>
    <row r="484">
      <c r="A484" s="1607"/>
      <c r="B484" s="1607"/>
      <c r="C484" s="1607"/>
      <c r="D484" s="1607"/>
      <c r="E484" s="1607"/>
      <c r="F484" s="1607"/>
      <c r="G484" s="1607"/>
      <c r="H484" s="1607"/>
      <c r="I484" s="1607"/>
      <c r="J484" s="1607"/>
      <c r="K484" s="1607"/>
      <c r="L484" s="1607"/>
      <c r="M484" s="1607"/>
      <c r="N484" s="1607"/>
      <c r="O484" s="1607"/>
      <c r="P484" s="1607"/>
      <c r="Q484" s="1607"/>
      <c r="R484" s="1607"/>
      <c r="S484" s="1607"/>
      <c r="T484" s="1607"/>
      <c r="U484" s="1607"/>
      <c r="V484" s="1607"/>
      <c r="W484" s="1607"/>
      <c r="X484" s="1607"/>
      <c r="Y484" s="1607"/>
      <c r="Z484" s="1607"/>
      <c r="AA484" s="1607"/>
      <c r="AB484" s="1607"/>
      <c r="AC484" s="1607"/>
      <c r="AD484" s="1607"/>
      <c r="AE484" s="1607"/>
      <c r="AF484" s="1607"/>
      <c r="AG484" s="1607"/>
      <c r="AH484" s="1607"/>
      <c r="AI484" s="1607"/>
      <c r="AJ484" s="1607"/>
      <c r="AK484" s="1607"/>
      <c r="AL484" s="1607"/>
      <c r="AM484" s="1607"/>
      <c r="AN484" s="1607"/>
      <c r="AO484" s="1607"/>
      <c r="AP484" s="1607"/>
      <c r="AQ484" s="1607"/>
      <c r="AR484" s="1607"/>
      <c r="AS484" s="1607"/>
      <c r="AT484" s="1607"/>
      <c r="AU484" s="1607"/>
      <c r="AV484" s="1607"/>
      <c r="AW484" s="1607"/>
      <c r="AX484" s="1607"/>
      <c r="AY484" s="1607"/>
      <c r="AZ484" s="1607"/>
      <c r="BA484" s="1607"/>
      <c r="BB484" s="1607"/>
      <c r="BC484" s="1607"/>
      <c r="BD484" s="1607"/>
      <c r="BE484" s="1607"/>
      <c r="BF484" s="1607"/>
      <c r="BG484" s="1607"/>
      <c r="BH484" s="1607"/>
      <c r="BI484" s="1607"/>
      <c r="BJ484" s="1607"/>
      <c r="BK484" s="1607"/>
      <c r="BL484" s="1607"/>
    </row>
    <row r="485">
      <c r="A485" s="1607"/>
      <c r="B485" s="1607"/>
      <c r="C485" s="1607"/>
      <c r="D485" s="1607"/>
      <c r="E485" s="1607"/>
      <c r="F485" s="1607"/>
      <c r="G485" s="1607"/>
      <c r="H485" s="1607"/>
      <c r="I485" s="1607"/>
      <c r="J485" s="1607"/>
      <c r="K485" s="1607"/>
      <c r="L485" s="1607"/>
      <c r="M485" s="1607"/>
      <c r="N485" s="1607"/>
      <c r="O485" s="1607"/>
      <c r="P485" s="1607"/>
      <c r="Q485" s="1607"/>
      <c r="R485" s="1607"/>
      <c r="S485" s="1607"/>
      <c r="T485" s="1607"/>
      <c r="U485" s="1607"/>
      <c r="V485" s="1607"/>
      <c r="W485" s="1607"/>
      <c r="X485" s="1607"/>
      <c r="Y485" s="1607"/>
      <c r="Z485" s="1607"/>
      <c r="AA485" s="1607"/>
      <c r="AB485" s="1607"/>
      <c r="AC485" s="1607"/>
      <c r="AD485" s="1607"/>
      <c r="AE485" s="1607"/>
      <c r="AF485" s="1607"/>
      <c r="AG485" s="1607"/>
      <c r="AH485" s="1607"/>
      <c r="AI485" s="1607"/>
      <c r="AJ485" s="1607"/>
      <c r="AK485" s="1607"/>
      <c r="AL485" s="1607"/>
      <c r="AM485" s="1607"/>
      <c r="AN485" s="1607"/>
      <c r="AO485" s="1607"/>
      <c r="AP485" s="1607"/>
      <c r="AQ485" s="1607"/>
      <c r="AR485" s="1607"/>
      <c r="AS485" s="1607"/>
      <c r="AT485" s="1607"/>
      <c r="AU485" s="1607"/>
      <c r="AV485" s="1607"/>
      <c r="AW485" s="1607"/>
      <c r="AX485" s="1607"/>
      <c r="AY485" s="1607"/>
      <c r="AZ485" s="1607"/>
      <c r="BA485" s="1607"/>
      <c r="BB485" s="1607"/>
      <c r="BC485" s="1607"/>
      <c r="BD485" s="1607"/>
      <c r="BE485" s="1607"/>
      <c r="BF485" s="1607"/>
      <c r="BG485" s="1607"/>
      <c r="BH485" s="1607"/>
      <c r="BI485" s="1607"/>
      <c r="BJ485" s="1607"/>
      <c r="BK485" s="1607"/>
      <c r="BL485" s="1607"/>
    </row>
    <row r="486">
      <c r="A486" s="1607"/>
      <c r="B486" s="1607"/>
      <c r="C486" s="1607"/>
      <c r="D486" s="1607"/>
      <c r="E486" s="1607"/>
      <c r="F486" s="1607"/>
      <c r="G486" s="1607"/>
      <c r="H486" s="1607"/>
      <c r="I486" s="1607"/>
      <c r="J486" s="1607"/>
      <c r="K486" s="1607"/>
      <c r="L486" s="1607"/>
      <c r="M486" s="1607"/>
      <c r="N486" s="1607"/>
      <c r="O486" s="1607"/>
      <c r="P486" s="1607"/>
      <c r="Q486" s="1607"/>
      <c r="R486" s="1607"/>
      <c r="S486" s="1607"/>
      <c r="T486" s="1607"/>
      <c r="U486" s="1607"/>
      <c r="V486" s="1607"/>
      <c r="W486" s="1607"/>
      <c r="X486" s="1607"/>
      <c r="Y486" s="1607"/>
      <c r="Z486" s="1607"/>
      <c r="AA486" s="1607"/>
      <c r="AB486" s="1607"/>
      <c r="AC486" s="1607"/>
      <c r="AD486" s="1607"/>
      <c r="AE486" s="1607"/>
      <c r="AF486" s="1607"/>
      <c r="AG486" s="1607"/>
      <c r="AH486" s="1607"/>
      <c r="AI486" s="1607"/>
      <c r="AJ486" s="1607"/>
      <c r="AK486" s="1607"/>
      <c r="AL486" s="1607"/>
      <c r="AM486" s="1607"/>
      <c r="AN486" s="1607"/>
      <c r="AO486" s="1607"/>
      <c r="AP486" s="1607"/>
      <c r="AQ486" s="1607"/>
      <c r="AR486" s="1607"/>
      <c r="AS486" s="1607"/>
      <c r="AT486" s="1607"/>
      <c r="AU486" s="1607"/>
      <c r="AV486" s="1607"/>
      <c r="AW486" s="1607"/>
      <c r="AX486" s="1607"/>
      <c r="AY486" s="1607"/>
      <c r="AZ486" s="1607"/>
      <c r="BA486" s="1607"/>
      <c r="BB486" s="1607"/>
      <c r="BC486" s="1607"/>
      <c r="BD486" s="1607"/>
      <c r="BE486" s="1607"/>
      <c r="BF486" s="1607"/>
      <c r="BG486" s="1607"/>
      <c r="BH486" s="1607"/>
      <c r="BI486" s="1607"/>
      <c r="BJ486" s="1607"/>
      <c r="BK486" s="1607"/>
      <c r="BL486" s="1607"/>
    </row>
    <row r="487">
      <c r="A487" s="1607"/>
      <c r="B487" s="1607"/>
      <c r="C487" s="1607"/>
      <c r="D487" s="1607"/>
      <c r="E487" s="1607"/>
      <c r="F487" s="1607"/>
      <c r="G487" s="1607"/>
      <c r="H487" s="1607"/>
      <c r="I487" s="1607"/>
      <c r="J487" s="1607"/>
      <c r="K487" s="1607"/>
      <c r="L487" s="1607"/>
      <c r="M487" s="1607"/>
      <c r="N487" s="1607"/>
      <c r="O487" s="1607"/>
      <c r="P487" s="1607"/>
      <c r="Q487" s="1607"/>
      <c r="R487" s="1607"/>
      <c r="S487" s="1607"/>
      <c r="T487" s="1607"/>
      <c r="U487" s="1607"/>
      <c r="V487" s="1607"/>
      <c r="W487" s="1607"/>
      <c r="X487" s="1607"/>
      <c r="Y487" s="1607"/>
      <c r="Z487" s="1607"/>
      <c r="AA487" s="1607"/>
      <c r="AB487" s="1607"/>
      <c r="AC487" s="1607"/>
      <c r="AD487" s="1607"/>
      <c r="AE487" s="1607"/>
      <c r="AF487" s="1607"/>
      <c r="AG487" s="1607"/>
      <c r="AH487" s="1607"/>
      <c r="AI487" s="1607"/>
      <c r="AJ487" s="1607"/>
      <c r="AK487" s="1607"/>
      <c r="AL487" s="1607"/>
      <c r="AM487" s="1607"/>
      <c r="AN487" s="1607"/>
      <c r="AO487" s="1607"/>
      <c r="AP487" s="1607"/>
      <c r="AQ487" s="1607"/>
      <c r="AR487" s="1607"/>
      <c r="AS487" s="1607"/>
      <c r="AT487" s="1607"/>
      <c r="AU487" s="1607"/>
      <c r="AV487" s="1607"/>
      <c r="AW487" s="1607"/>
      <c r="AX487" s="1607"/>
      <c r="AY487" s="1607"/>
      <c r="AZ487" s="1607"/>
      <c r="BA487" s="1607"/>
      <c r="BB487" s="1607"/>
      <c r="BC487" s="1607"/>
      <c r="BD487" s="1607"/>
      <c r="BE487" s="1607"/>
      <c r="BF487" s="1607"/>
      <c r="BG487" s="1607"/>
      <c r="BH487" s="1607"/>
      <c r="BI487" s="1607"/>
      <c r="BJ487" s="1607"/>
      <c r="BK487" s="1607"/>
      <c r="BL487" s="1607"/>
    </row>
    <row r="488">
      <c r="A488" s="1607"/>
      <c r="B488" s="1607"/>
      <c r="C488" s="1607"/>
      <c r="D488" s="1607"/>
      <c r="E488" s="1607"/>
      <c r="F488" s="1607"/>
      <c r="G488" s="1607"/>
      <c r="H488" s="1607"/>
      <c r="I488" s="1607"/>
      <c r="J488" s="1607"/>
      <c r="K488" s="1607"/>
      <c r="L488" s="1607"/>
      <c r="M488" s="1607"/>
      <c r="N488" s="1607"/>
      <c r="O488" s="1607"/>
      <c r="P488" s="1607"/>
      <c r="Q488" s="1607"/>
      <c r="R488" s="1607"/>
      <c r="S488" s="1607"/>
      <c r="T488" s="1607"/>
      <c r="U488" s="1607"/>
      <c r="V488" s="1607"/>
      <c r="W488" s="1607"/>
      <c r="X488" s="1607"/>
      <c r="Y488" s="1607"/>
      <c r="Z488" s="1607"/>
      <c r="AA488" s="1607"/>
      <c r="AB488" s="1607"/>
      <c r="AC488" s="1607"/>
      <c r="AD488" s="1607"/>
      <c r="AE488" s="1607"/>
      <c r="AF488" s="1607"/>
      <c r="AG488" s="1607"/>
      <c r="AH488" s="1607"/>
      <c r="AI488" s="1607"/>
      <c r="AJ488" s="1607"/>
      <c r="AK488" s="1607"/>
      <c r="AL488" s="1607"/>
      <c r="AM488" s="1607"/>
      <c r="AN488" s="1607"/>
      <c r="AO488" s="1607"/>
      <c r="AP488" s="1607"/>
      <c r="AQ488" s="1607"/>
      <c r="AR488" s="1607"/>
      <c r="AS488" s="1607"/>
      <c r="AT488" s="1607"/>
      <c r="AU488" s="1607"/>
      <c r="AV488" s="1607"/>
      <c r="AW488" s="1607"/>
      <c r="AX488" s="1607"/>
      <c r="AY488" s="1607"/>
      <c r="AZ488" s="1607"/>
      <c r="BA488" s="1607"/>
      <c r="BB488" s="1607"/>
      <c r="BC488" s="1607"/>
      <c r="BD488" s="1607"/>
      <c r="BE488" s="1607"/>
      <c r="BF488" s="1607"/>
      <c r="BG488" s="1607"/>
      <c r="BH488" s="1607"/>
      <c r="BI488" s="1607"/>
      <c r="BJ488" s="1607"/>
      <c r="BK488" s="1607"/>
      <c r="BL488" s="1607"/>
    </row>
    <row r="489">
      <c r="A489" s="1607"/>
      <c r="B489" s="1607"/>
      <c r="C489" s="1607"/>
      <c r="D489" s="1607"/>
      <c r="E489" s="1607"/>
      <c r="F489" s="1607"/>
      <c r="G489" s="1607"/>
      <c r="H489" s="1607"/>
      <c r="I489" s="1607"/>
      <c r="J489" s="1607"/>
      <c r="K489" s="1607"/>
      <c r="L489" s="1607"/>
      <c r="M489" s="1607"/>
      <c r="N489" s="1607"/>
      <c r="O489" s="1607"/>
      <c r="P489" s="1607"/>
      <c r="Q489" s="1607"/>
      <c r="R489" s="1607"/>
      <c r="S489" s="1607"/>
      <c r="T489" s="1607"/>
      <c r="U489" s="1607"/>
      <c r="V489" s="1607"/>
      <c r="W489" s="1607"/>
      <c r="X489" s="1607"/>
      <c r="Y489" s="1607"/>
      <c r="Z489" s="1607"/>
      <c r="AA489" s="1607"/>
      <c r="AB489" s="1607"/>
      <c r="AC489" s="1607"/>
      <c r="AD489" s="1607"/>
      <c r="AE489" s="1607"/>
      <c r="AF489" s="1607"/>
      <c r="AG489" s="1607"/>
      <c r="AH489" s="1607"/>
      <c r="AI489" s="1607"/>
      <c r="AJ489" s="1607"/>
      <c r="AK489" s="1607"/>
      <c r="AL489" s="1607"/>
      <c r="AM489" s="1607"/>
      <c r="AN489" s="1607"/>
      <c r="AO489" s="1607"/>
      <c r="AP489" s="1607"/>
      <c r="AQ489" s="1607"/>
      <c r="AR489" s="1607"/>
      <c r="AS489" s="1607"/>
      <c r="AT489" s="1607"/>
      <c r="AU489" s="1607"/>
      <c r="AV489" s="1607"/>
      <c r="AW489" s="1607"/>
      <c r="AX489" s="1607"/>
      <c r="AY489" s="1607"/>
      <c r="AZ489" s="1607"/>
      <c r="BA489" s="1607"/>
      <c r="BB489" s="1607"/>
      <c r="BC489" s="1607"/>
      <c r="BD489" s="1607"/>
      <c r="BE489" s="1607"/>
      <c r="BF489" s="1607"/>
      <c r="BG489" s="1607"/>
      <c r="BH489" s="1607"/>
      <c r="BI489" s="1607"/>
      <c r="BJ489" s="1607"/>
      <c r="BK489" s="1607"/>
      <c r="BL489" s="1607"/>
    </row>
    <row r="490">
      <c r="A490" s="1607"/>
      <c r="B490" s="1607"/>
      <c r="C490" s="1607"/>
      <c r="D490" s="1607"/>
      <c r="E490" s="1607"/>
      <c r="F490" s="1607"/>
      <c r="G490" s="1607"/>
      <c r="H490" s="1607"/>
      <c r="I490" s="1607"/>
      <c r="J490" s="1607"/>
      <c r="K490" s="1607"/>
      <c r="L490" s="1607"/>
      <c r="M490" s="1607"/>
      <c r="N490" s="1607"/>
      <c r="O490" s="1607"/>
      <c r="P490" s="1607"/>
      <c r="Q490" s="1607"/>
      <c r="R490" s="1607"/>
      <c r="S490" s="1607"/>
      <c r="T490" s="1607"/>
      <c r="U490" s="1607"/>
      <c r="V490" s="1607"/>
      <c r="W490" s="1607"/>
      <c r="X490" s="1607"/>
      <c r="Y490" s="1607"/>
      <c r="Z490" s="1607"/>
      <c r="AA490" s="1607"/>
      <c r="AB490" s="1607"/>
      <c r="AC490" s="1607"/>
      <c r="AD490" s="1607"/>
      <c r="AE490" s="1607"/>
      <c r="AF490" s="1607"/>
      <c r="AG490" s="1607"/>
      <c r="AH490" s="1607"/>
      <c r="AI490" s="1607"/>
      <c r="AJ490" s="1607"/>
      <c r="AK490" s="1607"/>
      <c r="AL490" s="1607"/>
      <c r="AM490" s="1607"/>
      <c r="AN490" s="1607"/>
      <c r="AO490" s="1607"/>
      <c r="AP490" s="1607"/>
      <c r="AQ490" s="1607"/>
      <c r="AR490" s="1607"/>
      <c r="AS490" s="1607"/>
      <c r="AT490" s="1607"/>
      <c r="AU490" s="1607"/>
      <c r="AV490" s="1607"/>
      <c r="AW490" s="1607"/>
      <c r="AX490" s="1607"/>
      <c r="AY490" s="1607"/>
      <c r="AZ490" s="1607"/>
      <c r="BA490" s="1607"/>
      <c r="BB490" s="1607"/>
      <c r="BC490" s="1607"/>
      <c r="BD490" s="1607"/>
      <c r="BE490" s="1607"/>
      <c r="BF490" s="1607"/>
      <c r="BG490" s="1607"/>
      <c r="BH490" s="1607"/>
      <c r="BI490" s="1607"/>
      <c r="BJ490" s="1607"/>
      <c r="BK490" s="1607"/>
      <c r="BL490" s="1607"/>
    </row>
    <row r="491">
      <c r="A491" s="1607"/>
      <c r="B491" s="1607"/>
      <c r="C491" s="1607"/>
      <c r="D491" s="1607"/>
      <c r="E491" s="1607"/>
      <c r="F491" s="1607"/>
      <c r="G491" s="1607"/>
      <c r="H491" s="1607"/>
      <c r="I491" s="1607"/>
      <c r="J491" s="1607"/>
      <c r="K491" s="1607"/>
      <c r="L491" s="1607"/>
      <c r="M491" s="1607"/>
      <c r="N491" s="1607"/>
      <c r="O491" s="1607"/>
      <c r="P491" s="1607"/>
      <c r="Q491" s="1607"/>
      <c r="R491" s="1607"/>
      <c r="S491" s="1607"/>
      <c r="T491" s="1607"/>
      <c r="U491" s="1607"/>
      <c r="V491" s="1607"/>
      <c r="W491" s="1607"/>
      <c r="X491" s="1607"/>
      <c r="Y491" s="1607"/>
      <c r="Z491" s="1607"/>
      <c r="AA491" s="1607"/>
      <c r="AB491" s="1607"/>
      <c r="AC491" s="1607"/>
      <c r="AD491" s="1607"/>
      <c r="AE491" s="1607"/>
      <c r="AF491" s="1607"/>
      <c r="AG491" s="1607"/>
      <c r="AH491" s="1607"/>
      <c r="AI491" s="1607"/>
      <c r="AJ491" s="1607"/>
      <c r="AK491" s="1607"/>
      <c r="AL491" s="1607"/>
      <c r="AM491" s="1607"/>
      <c r="AN491" s="1607"/>
      <c r="AO491" s="1607"/>
      <c r="AP491" s="1607"/>
      <c r="AQ491" s="1607"/>
      <c r="AR491" s="1607"/>
      <c r="AS491" s="1607"/>
      <c r="AT491" s="1607"/>
      <c r="AU491" s="1607"/>
      <c r="AV491" s="1607"/>
      <c r="AW491" s="1607"/>
      <c r="AX491" s="1607"/>
      <c r="AY491" s="1607"/>
      <c r="AZ491" s="1607"/>
      <c r="BA491" s="1607"/>
      <c r="BB491" s="1607"/>
      <c r="BC491" s="1607"/>
      <c r="BD491" s="1607"/>
      <c r="BE491" s="1607"/>
      <c r="BF491" s="1607"/>
      <c r="BG491" s="1607"/>
      <c r="BH491" s="1607"/>
      <c r="BI491" s="1607"/>
      <c r="BJ491" s="1607"/>
      <c r="BK491" s="1607"/>
      <c r="BL491" s="1607"/>
    </row>
    <row r="492">
      <c r="A492" s="1607"/>
      <c r="B492" s="1607"/>
      <c r="C492" s="1607"/>
      <c r="D492" s="1607"/>
      <c r="E492" s="1607"/>
      <c r="F492" s="1607"/>
      <c r="G492" s="1607"/>
      <c r="H492" s="1607"/>
      <c r="I492" s="1607"/>
      <c r="J492" s="1607"/>
      <c r="K492" s="1607"/>
      <c r="L492" s="1607"/>
      <c r="M492" s="1607"/>
      <c r="N492" s="1607"/>
      <c r="O492" s="1607"/>
      <c r="P492" s="1607"/>
      <c r="Q492" s="1607"/>
      <c r="R492" s="1607"/>
      <c r="S492" s="1607"/>
      <c r="T492" s="1607"/>
      <c r="U492" s="1607"/>
      <c r="V492" s="1607"/>
      <c r="W492" s="1607"/>
      <c r="X492" s="1607"/>
      <c r="Y492" s="1607"/>
      <c r="Z492" s="1607"/>
      <c r="AA492" s="1607"/>
      <c r="AB492" s="1607"/>
      <c r="AC492" s="1607"/>
      <c r="AD492" s="1607"/>
      <c r="AE492" s="1607"/>
      <c r="AF492" s="1607"/>
      <c r="AG492" s="1607"/>
      <c r="AH492" s="1607"/>
      <c r="AI492" s="1607"/>
      <c r="AJ492" s="1607"/>
      <c r="AK492" s="1607"/>
      <c r="AL492" s="1607"/>
      <c r="AM492" s="1607"/>
      <c r="AN492" s="1607"/>
      <c r="AO492" s="1607"/>
      <c r="AP492" s="1607"/>
      <c r="AQ492" s="1607"/>
      <c r="AR492" s="1607"/>
      <c r="AS492" s="1607"/>
      <c r="AT492" s="1607"/>
      <c r="AU492" s="1607"/>
      <c r="AV492" s="1607"/>
      <c r="AW492" s="1607"/>
      <c r="AX492" s="1607"/>
      <c r="AY492" s="1607"/>
      <c r="AZ492" s="1607"/>
      <c r="BA492" s="1607"/>
      <c r="BB492" s="1607"/>
      <c r="BC492" s="1607"/>
      <c r="BD492" s="1607"/>
      <c r="BE492" s="1607"/>
      <c r="BF492" s="1607"/>
      <c r="BG492" s="1607"/>
      <c r="BH492" s="1607"/>
      <c r="BI492" s="1607"/>
      <c r="BJ492" s="1607"/>
      <c r="BK492" s="1607"/>
      <c r="BL492" s="1607"/>
    </row>
    <row r="493">
      <c r="A493" s="1607"/>
      <c r="B493" s="1607"/>
      <c r="C493" s="1607"/>
      <c r="D493" s="1607"/>
      <c r="E493" s="1607"/>
      <c r="F493" s="1607"/>
      <c r="G493" s="1607"/>
      <c r="H493" s="1607"/>
      <c r="I493" s="1607"/>
      <c r="J493" s="1607"/>
      <c r="K493" s="1607"/>
      <c r="L493" s="1607"/>
      <c r="M493" s="1607"/>
      <c r="N493" s="1607"/>
      <c r="O493" s="1607"/>
      <c r="P493" s="1607"/>
      <c r="Q493" s="1607"/>
      <c r="R493" s="1607"/>
      <c r="S493" s="1607"/>
      <c r="T493" s="1607"/>
      <c r="U493" s="1607"/>
      <c r="V493" s="1607"/>
      <c r="W493" s="1607"/>
      <c r="X493" s="1607"/>
      <c r="Y493" s="1607"/>
      <c r="Z493" s="1607"/>
      <c r="AA493" s="1607"/>
      <c r="AB493" s="1607"/>
      <c r="AC493" s="1607"/>
      <c r="AD493" s="1607"/>
      <c r="AE493" s="1607"/>
      <c r="AF493" s="1607"/>
      <c r="AG493" s="1607"/>
      <c r="AH493" s="1607"/>
      <c r="AI493" s="1607"/>
      <c r="AJ493" s="1607"/>
      <c r="AK493" s="1607"/>
      <c r="AL493" s="1607"/>
      <c r="AM493" s="1607"/>
      <c r="AN493" s="1607"/>
      <c r="AO493" s="1607"/>
      <c r="AP493" s="1607"/>
      <c r="AQ493" s="1607"/>
      <c r="AR493" s="1607"/>
      <c r="AS493" s="1607"/>
      <c r="AT493" s="1607"/>
      <c r="AU493" s="1607"/>
      <c r="AV493" s="1607"/>
      <c r="AW493" s="1607"/>
      <c r="AX493" s="1607"/>
      <c r="AY493" s="1607"/>
      <c r="AZ493" s="1607"/>
      <c r="BA493" s="1607"/>
      <c r="BB493" s="1607"/>
      <c r="BC493" s="1607"/>
      <c r="BD493" s="1607"/>
      <c r="BE493" s="1607"/>
      <c r="BF493" s="1607"/>
      <c r="BG493" s="1607"/>
      <c r="BH493" s="1607"/>
      <c r="BI493" s="1607"/>
      <c r="BJ493" s="1607"/>
      <c r="BK493" s="1607"/>
      <c r="BL493" s="1607"/>
    </row>
    <row r="494">
      <c r="A494" s="1607"/>
      <c r="B494" s="1607"/>
      <c r="C494" s="1607"/>
      <c r="D494" s="1607"/>
      <c r="E494" s="1607"/>
      <c r="F494" s="1607"/>
      <c r="G494" s="1607"/>
      <c r="H494" s="1607"/>
      <c r="I494" s="1607"/>
      <c r="J494" s="1607"/>
      <c r="K494" s="1607"/>
      <c r="L494" s="1607"/>
      <c r="M494" s="1607"/>
      <c r="N494" s="1607"/>
      <c r="O494" s="1607"/>
      <c r="P494" s="1607"/>
      <c r="Q494" s="1607"/>
      <c r="R494" s="1607"/>
      <c r="S494" s="1607"/>
      <c r="T494" s="1607"/>
      <c r="U494" s="1607"/>
      <c r="V494" s="1607"/>
      <c r="W494" s="1607"/>
      <c r="X494" s="1607"/>
      <c r="Y494" s="1607"/>
      <c r="Z494" s="1607"/>
      <c r="AA494" s="1607"/>
      <c r="AB494" s="1607"/>
      <c r="AC494" s="1607"/>
      <c r="AD494" s="1607"/>
      <c r="AE494" s="1607"/>
      <c r="AF494" s="1607"/>
      <c r="AG494" s="1607"/>
      <c r="AH494" s="1607"/>
      <c r="AI494" s="1607"/>
      <c r="AJ494" s="1607"/>
      <c r="AK494" s="1607"/>
      <c r="AL494" s="1607"/>
      <c r="AM494" s="1607"/>
      <c r="AN494" s="1607"/>
      <c r="AO494" s="1607"/>
      <c r="AP494" s="1607"/>
      <c r="AQ494" s="1607"/>
      <c r="AR494" s="1607"/>
      <c r="AS494" s="1607"/>
      <c r="AT494" s="1607"/>
      <c r="AU494" s="1607"/>
      <c r="AV494" s="1607"/>
      <c r="AW494" s="1607"/>
      <c r="AX494" s="1607"/>
      <c r="AY494" s="1607"/>
      <c r="AZ494" s="1607"/>
      <c r="BA494" s="1607"/>
      <c r="BB494" s="1607"/>
      <c r="BC494" s="1607"/>
      <c r="BD494" s="1607"/>
      <c r="BE494" s="1607"/>
      <c r="BF494" s="1607"/>
      <c r="BG494" s="1607"/>
      <c r="BH494" s="1607"/>
      <c r="BI494" s="1607"/>
      <c r="BJ494" s="1607"/>
      <c r="BK494" s="1607"/>
      <c r="BL494" s="1607"/>
    </row>
    <row r="495">
      <c r="A495" s="1607"/>
      <c r="B495" s="1607"/>
      <c r="C495" s="1607"/>
      <c r="D495" s="1607"/>
      <c r="E495" s="1607"/>
      <c r="F495" s="1607"/>
      <c r="G495" s="1607"/>
      <c r="H495" s="1607"/>
      <c r="I495" s="1607"/>
      <c r="J495" s="1607"/>
      <c r="K495" s="1607"/>
      <c r="L495" s="1607"/>
      <c r="M495" s="1607"/>
      <c r="N495" s="1607"/>
      <c r="O495" s="1607"/>
      <c r="P495" s="1607"/>
      <c r="Q495" s="1607"/>
      <c r="R495" s="1607"/>
      <c r="S495" s="1607"/>
      <c r="T495" s="1607"/>
      <c r="U495" s="1607"/>
      <c r="V495" s="1607"/>
      <c r="W495" s="1607"/>
      <c r="X495" s="1607"/>
      <c r="Y495" s="1607"/>
      <c r="Z495" s="1607"/>
      <c r="AA495" s="1607"/>
      <c r="AB495" s="1607"/>
      <c r="AC495" s="1607"/>
      <c r="AD495" s="1607"/>
      <c r="AE495" s="1607"/>
      <c r="AF495" s="1607"/>
      <c r="AG495" s="1607"/>
      <c r="AH495" s="1607"/>
      <c r="AI495" s="1607"/>
      <c r="AJ495" s="1607"/>
      <c r="AK495" s="1607"/>
      <c r="AL495" s="1607"/>
      <c r="AM495" s="1607"/>
      <c r="AN495" s="1607"/>
      <c r="AO495" s="1607"/>
      <c r="AP495" s="1607"/>
      <c r="AQ495" s="1607"/>
      <c r="AR495" s="1607"/>
      <c r="AS495" s="1607"/>
      <c r="AT495" s="1607"/>
      <c r="AU495" s="1607"/>
      <c r="AV495" s="1607"/>
      <c r="AW495" s="1607"/>
      <c r="AX495" s="1607"/>
      <c r="AY495" s="1607"/>
      <c r="AZ495" s="1607"/>
      <c r="BA495" s="1607"/>
      <c r="BB495" s="1607"/>
      <c r="BC495" s="1607"/>
      <c r="BD495" s="1607"/>
      <c r="BE495" s="1607"/>
      <c r="BF495" s="1607"/>
      <c r="BG495" s="1607"/>
      <c r="BH495" s="1607"/>
      <c r="BI495" s="1607"/>
      <c r="BJ495" s="1607"/>
      <c r="BK495" s="1607"/>
      <c r="BL495" s="1607"/>
    </row>
    <row r="496">
      <c r="A496" s="1607"/>
      <c r="B496" s="1607"/>
      <c r="C496" s="1607"/>
      <c r="D496" s="1607"/>
      <c r="E496" s="1607"/>
      <c r="F496" s="1607"/>
      <c r="G496" s="1607"/>
      <c r="H496" s="1607"/>
      <c r="I496" s="1607"/>
      <c r="J496" s="1607"/>
      <c r="K496" s="1607"/>
      <c r="L496" s="1607"/>
      <c r="M496" s="1607"/>
      <c r="N496" s="1607"/>
      <c r="O496" s="1607"/>
      <c r="P496" s="1607"/>
      <c r="Q496" s="1607"/>
      <c r="R496" s="1607"/>
      <c r="S496" s="1607"/>
      <c r="T496" s="1607"/>
      <c r="U496" s="1607"/>
      <c r="V496" s="1607"/>
      <c r="W496" s="1607"/>
      <c r="X496" s="1607"/>
      <c r="Y496" s="1607"/>
      <c r="Z496" s="1607"/>
      <c r="AA496" s="1607"/>
      <c r="AB496" s="1607"/>
      <c r="AC496" s="1607"/>
      <c r="AD496" s="1607"/>
      <c r="AE496" s="1607"/>
      <c r="AF496" s="1607"/>
      <c r="AG496" s="1607"/>
      <c r="AH496" s="1607"/>
      <c r="AI496" s="1607"/>
      <c r="AJ496" s="1607"/>
      <c r="AK496" s="1607"/>
      <c r="AL496" s="1607"/>
      <c r="AM496" s="1607"/>
      <c r="AN496" s="1607"/>
      <c r="AO496" s="1607"/>
      <c r="AP496" s="1607"/>
      <c r="AQ496" s="1607"/>
      <c r="AR496" s="1607"/>
      <c r="AS496" s="1607"/>
      <c r="AT496" s="1607"/>
      <c r="AU496" s="1607"/>
      <c r="AV496" s="1607"/>
      <c r="AW496" s="1607"/>
      <c r="AX496" s="1607"/>
      <c r="AY496" s="1607"/>
      <c r="AZ496" s="1607"/>
      <c r="BA496" s="1607"/>
      <c r="BB496" s="1607"/>
      <c r="BC496" s="1607"/>
      <c r="BD496" s="1607"/>
      <c r="BE496" s="1607"/>
      <c r="BF496" s="1607"/>
      <c r="BG496" s="1607"/>
      <c r="BH496" s="1607"/>
      <c r="BI496" s="1607"/>
      <c r="BJ496" s="1607"/>
      <c r="BK496" s="1607"/>
      <c r="BL496" s="1607"/>
    </row>
    <row r="497">
      <c r="A497" s="1607"/>
      <c r="B497" s="1607"/>
      <c r="C497" s="1607"/>
      <c r="D497" s="1607"/>
      <c r="E497" s="1607"/>
      <c r="F497" s="1607"/>
      <c r="G497" s="1607"/>
      <c r="H497" s="1607"/>
      <c r="I497" s="1607"/>
      <c r="J497" s="1607"/>
      <c r="K497" s="1607"/>
      <c r="L497" s="1607"/>
      <c r="M497" s="1607"/>
      <c r="N497" s="1607"/>
      <c r="O497" s="1607"/>
      <c r="P497" s="1607"/>
      <c r="Q497" s="1607"/>
      <c r="R497" s="1607"/>
      <c r="S497" s="1607"/>
      <c r="T497" s="1607"/>
      <c r="U497" s="1607"/>
      <c r="V497" s="1607"/>
      <c r="W497" s="1607"/>
      <c r="X497" s="1607"/>
      <c r="Y497" s="1607"/>
      <c r="Z497" s="1607"/>
      <c r="AA497" s="1607"/>
      <c r="AB497" s="1607"/>
      <c r="AC497" s="1607"/>
      <c r="AD497" s="1607"/>
      <c r="AE497" s="1607"/>
      <c r="AF497" s="1607"/>
      <c r="AG497" s="1607"/>
      <c r="AH497" s="1607"/>
      <c r="AI497" s="1607"/>
      <c r="AJ497" s="1607"/>
      <c r="AK497" s="1607"/>
      <c r="AL497" s="1607"/>
      <c r="AM497" s="1607"/>
      <c r="AN497" s="1607"/>
      <c r="AO497" s="1607"/>
      <c r="AP497" s="1607"/>
      <c r="AQ497" s="1607"/>
      <c r="AR497" s="1607"/>
      <c r="AS497" s="1607"/>
      <c r="AT497" s="1607"/>
      <c r="AU497" s="1607"/>
      <c r="AV497" s="1607"/>
      <c r="AW497" s="1607"/>
      <c r="AX497" s="1607"/>
      <c r="AY497" s="1607"/>
      <c r="AZ497" s="1607"/>
      <c r="BA497" s="1607"/>
      <c r="BB497" s="1607"/>
      <c r="BC497" s="1607"/>
      <c r="BD497" s="1607"/>
      <c r="BE497" s="1607"/>
      <c r="BF497" s="1607"/>
      <c r="BG497" s="1607"/>
      <c r="BH497" s="1607"/>
      <c r="BI497" s="1607"/>
      <c r="BJ497" s="1607"/>
      <c r="BK497" s="1607"/>
      <c r="BL497" s="1607"/>
    </row>
    <row r="498">
      <c r="A498" s="1607"/>
      <c r="B498" s="1607"/>
      <c r="C498" s="1607"/>
      <c r="D498" s="1607"/>
      <c r="E498" s="1607"/>
      <c r="F498" s="1607"/>
      <c r="G498" s="1607"/>
      <c r="H498" s="1607"/>
      <c r="I498" s="1607"/>
      <c r="J498" s="1607"/>
      <c r="K498" s="1607"/>
      <c r="L498" s="1607"/>
      <c r="M498" s="1607"/>
      <c r="N498" s="1607"/>
      <c r="O498" s="1607"/>
      <c r="P498" s="1607"/>
      <c r="Q498" s="1607"/>
      <c r="R498" s="1607"/>
      <c r="S498" s="1607"/>
      <c r="T498" s="1607"/>
      <c r="U498" s="1607"/>
      <c r="V498" s="1607"/>
      <c r="W498" s="1607"/>
      <c r="X498" s="1607"/>
      <c r="Y498" s="1607"/>
      <c r="Z498" s="1607"/>
      <c r="AA498" s="1607"/>
      <c r="AB498" s="1607"/>
      <c r="AC498" s="1607"/>
      <c r="AD498" s="1607"/>
      <c r="AE498" s="1607"/>
      <c r="AF498" s="1607"/>
      <c r="AG498" s="1607"/>
      <c r="AH498" s="1607"/>
      <c r="AI498" s="1607"/>
      <c r="AJ498" s="1607"/>
      <c r="AK498" s="1607"/>
      <c r="AL498" s="1607"/>
      <c r="AM498" s="1607"/>
      <c r="AN498" s="1607"/>
      <c r="AO498" s="1607"/>
      <c r="AP498" s="1607"/>
      <c r="AQ498" s="1607"/>
      <c r="AR498" s="1607"/>
      <c r="AS498" s="1607"/>
      <c r="AT498" s="1607"/>
      <c r="AU498" s="1607"/>
      <c r="AV498" s="1607"/>
      <c r="AW498" s="1607"/>
      <c r="AX498" s="1607"/>
      <c r="AY498" s="1607"/>
      <c r="AZ498" s="1607"/>
      <c r="BA498" s="1607"/>
      <c r="BB498" s="1607"/>
      <c r="BC498" s="1607"/>
      <c r="BD498" s="1607"/>
      <c r="BE498" s="1607"/>
      <c r="BF498" s="1607"/>
      <c r="BG498" s="1607"/>
      <c r="BH498" s="1607"/>
      <c r="BI498" s="1607"/>
      <c r="BJ498" s="1607"/>
      <c r="BK498" s="1607"/>
      <c r="BL498" s="1607"/>
    </row>
    <row r="499">
      <c r="A499" s="1607"/>
      <c r="B499" s="1607"/>
      <c r="C499" s="1607"/>
      <c r="D499" s="1607"/>
      <c r="E499" s="1607"/>
      <c r="F499" s="1607"/>
      <c r="G499" s="1607"/>
      <c r="H499" s="1607"/>
      <c r="I499" s="1607"/>
      <c r="J499" s="1607"/>
      <c r="K499" s="1607"/>
      <c r="L499" s="1607"/>
      <c r="M499" s="1607"/>
      <c r="N499" s="1607"/>
      <c r="O499" s="1607"/>
      <c r="P499" s="1607"/>
      <c r="Q499" s="1607"/>
      <c r="R499" s="1607"/>
      <c r="S499" s="1607"/>
      <c r="T499" s="1607"/>
      <c r="U499" s="1607"/>
      <c r="V499" s="1607"/>
      <c r="W499" s="1607"/>
      <c r="X499" s="1607"/>
      <c r="Y499" s="1607"/>
      <c r="Z499" s="1607"/>
      <c r="AA499" s="1607"/>
      <c r="AB499" s="1607"/>
      <c r="AC499" s="1607"/>
      <c r="AD499" s="1607"/>
      <c r="AE499" s="1607"/>
      <c r="AF499" s="1607"/>
      <c r="AG499" s="1607"/>
      <c r="AH499" s="1607"/>
      <c r="AI499" s="1607"/>
      <c r="AJ499" s="1607"/>
      <c r="AK499" s="1607"/>
      <c r="AL499" s="1607"/>
      <c r="AM499" s="1607"/>
      <c r="AN499" s="1607"/>
      <c r="AO499" s="1607"/>
      <c r="AP499" s="1607"/>
      <c r="AQ499" s="1607"/>
      <c r="AR499" s="1607"/>
      <c r="AS499" s="1607"/>
      <c r="AT499" s="1607"/>
      <c r="AU499" s="1607"/>
      <c r="AV499" s="1607"/>
      <c r="AW499" s="1607"/>
      <c r="AX499" s="1607"/>
      <c r="AY499" s="1607"/>
      <c r="AZ499" s="1607"/>
      <c r="BA499" s="1607"/>
      <c r="BB499" s="1607"/>
      <c r="BC499" s="1607"/>
      <c r="BD499" s="1607"/>
      <c r="BE499" s="1607"/>
      <c r="BF499" s="1607"/>
      <c r="BG499" s="1607"/>
      <c r="BH499" s="1607"/>
      <c r="BI499" s="1607"/>
      <c r="BJ499" s="1607"/>
      <c r="BK499" s="1607"/>
      <c r="BL499" s="1607"/>
    </row>
    <row r="500">
      <c r="A500" s="1607"/>
      <c r="B500" s="1607"/>
      <c r="C500" s="1607"/>
      <c r="D500" s="1607"/>
      <c r="E500" s="1607"/>
      <c r="F500" s="1607"/>
      <c r="G500" s="1607"/>
      <c r="H500" s="1607"/>
      <c r="I500" s="1607"/>
      <c r="J500" s="1607"/>
      <c r="K500" s="1607"/>
      <c r="L500" s="1607"/>
      <c r="M500" s="1607"/>
      <c r="N500" s="1607"/>
      <c r="O500" s="1607"/>
      <c r="P500" s="1607"/>
      <c r="Q500" s="1607"/>
      <c r="R500" s="1607"/>
      <c r="S500" s="1607"/>
      <c r="T500" s="1607"/>
      <c r="U500" s="1607"/>
      <c r="V500" s="1607"/>
      <c r="W500" s="1607"/>
      <c r="X500" s="1607"/>
      <c r="Y500" s="1607"/>
      <c r="Z500" s="1607"/>
      <c r="AA500" s="1607"/>
      <c r="AB500" s="1607"/>
      <c r="AC500" s="1607"/>
      <c r="AD500" s="1607"/>
      <c r="AE500" s="1607"/>
      <c r="AF500" s="1607"/>
      <c r="AG500" s="1607"/>
      <c r="AH500" s="1607"/>
      <c r="AI500" s="1607"/>
      <c r="AJ500" s="1607"/>
      <c r="AK500" s="1607"/>
      <c r="AL500" s="1607"/>
      <c r="AM500" s="1607"/>
      <c r="AN500" s="1607"/>
      <c r="AO500" s="1607"/>
      <c r="AP500" s="1607"/>
      <c r="AQ500" s="1607"/>
      <c r="AR500" s="1607"/>
      <c r="AS500" s="1607"/>
      <c r="AT500" s="1607"/>
      <c r="AU500" s="1607"/>
      <c r="AV500" s="1607"/>
      <c r="AW500" s="1607"/>
      <c r="AX500" s="1607"/>
      <c r="AY500" s="1607"/>
      <c r="AZ500" s="1607"/>
      <c r="BA500" s="1607"/>
      <c r="BB500" s="1607"/>
      <c r="BC500" s="1607"/>
      <c r="BD500" s="1607"/>
      <c r="BE500" s="1607"/>
      <c r="BF500" s="1607"/>
      <c r="BG500" s="1607"/>
      <c r="BH500" s="1607"/>
      <c r="BI500" s="1607"/>
      <c r="BJ500" s="1607"/>
      <c r="BK500" s="1607"/>
      <c r="BL500" s="1607"/>
    </row>
    <row r="501">
      <c r="A501" s="1607"/>
      <c r="B501" s="1607"/>
      <c r="C501" s="1607"/>
      <c r="D501" s="1607"/>
      <c r="E501" s="1607"/>
      <c r="F501" s="1607"/>
      <c r="G501" s="1607"/>
      <c r="H501" s="1607"/>
      <c r="I501" s="1607"/>
      <c r="J501" s="1607"/>
      <c r="K501" s="1607"/>
      <c r="L501" s="1607"/>
      <c r="M501" s="1607"/>
      <c r="N501" s="1607"/>
      <c r="O501" s="1607"/>
      <c r="P501" s="1607"/>
      <c r="Q501" s="1607"/>
      <c r="R501" s="1607"/>
      <c r="S501" s="1607"/>
      <c r="T501" s="1607"/>
      <c r="U501" s="1607"/>
      <c r="V501" s="1607"/>
      <c r="W501" s="1607"/>
      <c r="X501" s="1607"/>
      <c r="Y501" s="1607"/>
      <c r="Z501" s="1607"/>
      <c r="AA501" s="1607"/>
      <c r="AB501" s="1607"/>
      <c r="AC501" s="1607"/>
      <c r="AD501" s="1607"/>
      <c r="AE501" s="1607"/>
      <c r="AF501" s="1607"/>
      <c r="AG501" s="1607"/>
      <c r="AH501" s="1607"/>
      <c r="AI501" s="1607"/>
      <c r="AJ501" s="1607"/>
      <c r="AK501" s="1607"/>
      <c r="AL501" s="1607"/>
      <c r="AM501" s="1607"/>
      <c r="AN501" s="1607"/>
      <c r="AO501" s="1607"/>
      <c r="AP501" s="1607"/>
      <c r="AQ501" s="1607"/>
      <c r="AR501" s="1607"/>
      <c r="AS501" s="1607"/>
      <c r="AT501" s="1607"/>
      <c r="AU501" s="1607"/>
      <c r="AV501" s="1607"/>
      <c r="AW501" s="1607"/>
      <c r="AX501" s="1607"/>
      <c r="AY501" s="1607"/>
      <c r="AZ501" s="1607"/>
      <c r="BA501" s="1607"/>
      <c r="BB501" s="1607"/>
      <c r="BC501" s="1607"/>
      <c r="BD501" s="1607"/>
      <c r="BE501" s="1607"/>
      <c r="BF501" s="1607"/>
      <c r="BG501" s="1607"/>
      <c r="BH501" s="1607"/>
      <c r="BI501" s="1607"/>
      <c r="BJ501" s="1607"/>
      <c r="BK501" s="1607"/>
      <c r="BL501" s="1607"/>
    </row>
    <row r="502">
      <c r="A502" s="1607"/>
      <c r="B502" s="1607"/>
      <c r="C502" s="1607"/>
      <c r="D502" s="1607"/>
      <c r="E502" s="1607"/>
      <c r="F502" s="1607"/>
      <c r="G502" s="1607"/>
      <c r="H502" s="1607"/>
      <c r="I502" s="1607"/>
      <c r="J502" s="1607"/>
      <c r="K502" s="1607"/>
      <c r="L502" s="1607"/>
      <c r="M502" s="1607"/>
      <c r="N502" s="1607"/>
      <c r="O502" s="1607"/>
      <c r="P502" s="1607"/>
      <c r="Q502" s="1607"/>
      <c r="R502" s="1607"/>
      <c r="S502" s="1607"/>
      <c r="T502" s="1607"/>
      <c r="U502" s="1607"/>
      <c r="V502" s="1607"/>
      <c r="W502" s="1607"/>
      <c r="X502" s="1607"/>
      <c r="Y502" s="1607"/>
      <c r="Z502" s="1607"/>
      <c r="AA502" s="1607"/>
      <c r="AB502" s="1607"/>
      <c r="AC502" s="1607"/>
      <c r="AD502" s="1607"/>
      <c r="AE502" s="1607"/>
      <c r="AF502" s="1607"/>
      <c r="AG502" s="1607"/>
      <c r="AH502" s="1607"/>
      <c r="AI502" s="1607"/>
      <c r="AJ502" s="1607"/>
      <c r="AK502" s="1607"/>
      <c r="AL502" s="1607"/>
      <c r="AM502" s="1607"/>
      <c r="AN502" s="1607"/>
      <c r="AO502" s="1607"/>
      <c r="AP502" s="1607"/>
      <c r="AQ502" s="1607"/>
      <c r="AR502" s="1607"/>
      <c r="AS502" s="1607"/>
      <c r="AT502" s="1607"/>
      <c r="AU502" s="1607"/>
      <c r="AV502" s="1607"/>
      <c r="AW502" s="1607"/>
      <c r="AX502" s="1607"/>
      <c r="AY502" s="1607"/>
      <c r="AZ502" s="1607"/>
      <c r="BA502" s="1607"/>
      <c r="BB502" s="1607"/>
      <c r="BC502" s="1607"/>
      <c r="BD502" s="1607"/>
      <c r="BE502" s="1607"/>
      <c r="BF502" s="1607"/>
      <c r="BG502" s="1607"/>
      <c r="BH502" s="1607"/>
      <c r="BI502" s="1607"/>
      <c r="BJ502" s="1607"/>
      <c r="BK502" s="1607"/>
      <c r="BL502" s="1607"/>
    </row>
    <row r="503">
      <c r="A503" s="1607"/>
      <c r="B503" s="1607"/>
      <c r="C503" s="1607"/>
      <c r="D503" s="1607"/>
      <c r="E503" s="1607"/>
      <c r="F503" s="1607"/>
      <c r="G503" s="1607"/>
      <c r="H503" s="1607"/>
      <c r="I503" s="1607"/>
      <c r="J503" s="1607"/>
      <c r="K503" s="1607"/>
      <c r="L503" s="1607"/>
      <c r="M503" s="1607"/>
      <c r="N503" s="1607"/>
      <c r="O503" s="1607"/>
      <c r="P503" s="1607"/>
      <c r="Q503" s="1607"/>
      <c r="R503" s="1607"/>
      <c r="S503" s="1607"/>
      <c r="T503" s="1607"/>
      <c r="U503" s="1607"/>
      <c r="V503" s="1607"/>
      <c r="W503" s="1607"/>
      <c r="X503" s="1607"/>
      <c r="Y503" s="1607"/>
      <c r="Z503" s="1607"/>
      <c r="AA503" s="1607"/>
      <c r="AB503" s="1607"/>
      <c r="AC503" s="1607"/>
      <c r="AD503" s="1607"/>
      <c r="AE503" s="1607"/>
      <c r="AF503" s="1607"/>
      <c r="AG503" s="1607"/>
      <c r="AH503" s="1607"/>
      <c r="AI503" s="1607"/>
      <c r="AJ503" s="1607"/>
      <c r="AK503" s="1607"/>
      <c r="AL503" s="1607"/>
      <c r="AM503" s="1607"/>
      <c r="AN503" s="1607"/>
      <c r="AO503" s="1607"/>
      <c r="AP503" s="1607"/>
      <c r="AQ503" s="1607"/>
      <c r="AR503" s="1607"/>
      <c r="AS503" s="1607"/>
      <c r="AT503" s="1607"/>
      <c r="AU503" s="1607"/>
      <c r="AV503" s="1607"/>
      <c r="AW503" s="1607"/>
      <c r="AX503" s="1607"/>
      <c r="AY503" s="1607"/>
      <c r="AZ503" s="1607"/>
      <c r="BA503" s="1607"/>
      <c r="BB503" s="1607"/>
      <c r="BC503" s="1607"/>
      <c r="BD503" s="1607"/>
      <c r="BE503" s="1607"/>
      <c r="BF503" s="1607"/>
      <c r="BG503" s="1607"/>
      <c r="BH503" s="1607"/>
      <c r="BI503" s="1607"/>
      <c r="BJ503" s="1607"/>
      <c r="BK503" s="1607"/>
      <c r="BL503" s="1607"/>
    </row>
    <row r="504">
      <c r="A504" s="1607"/>
      <c r="B504" s="1607"/>
      <c r="C504" s="1607"/>
      <c r="D504" s="1607"/>
      <c r="E504" s="1607"/>
      <c r="F504" s="1607"/>
      <c r="G504" s="1607"/>
      <c r="H504" s="1607"/>
      <c r="I504" s="1607"/>
      <c r="J504" s="1607"/>
      <c r="K504" s="1607"/>
      <c r="L504" s="1607"/>
      <c r="M504" s="1607"/>
      <c r="N504" s="1607"/>
      <c r="O504" s="1607"/>
      <c r="P504" s="1607"/>
      <c r="Q504" s="1607"/>
      <c r="R504" s="1607"/>
      <c r="S504" s="1607"/>
      <c r="T504" s="1607"/>
      <c r="U504" s="1607"/>
      <c r="V504" s="1607"/>
      <c r="W504" s="1607"/>
      <c r="X504" s="1607"/>
      <c r="Y504" s="1607"/>
      <c r="Z504" s="1607"/>
      <c r="AA504" s="1607"/>
      <c r="AB504" s="1607"/>
      <c r="AC504" s="1607"/>
      <c r="AD504" s="1607"/>
      <c r="AE504" s="1607"/>
      <c r="AF504" s="1607"/>
      <c r="AG504" s="1607"/>
      <c r="AH504" s="1607"/>
      <c r="AI504" s="1607"/>
      <c r="AJ504" s="1607"/>
      <c r="AK504" s="1607"/>
      <c r="AL504" s="1607"/>
      <c r="AM504" s="1607"/>
      <c r="AN504" s="1607"/>
      <c r="AO504" s="1607"/>
      <c r="AP504" s="1607"/>
      <c r="AQ504" s="1607"/>
      <c r="AR504" s="1607"/>
      <c r="AS504" s="1607"/>
      <c r="AT504" s="1607"/>
      <c r="AU504" s="1607"/>
      <c r="AV504" s="1607"/>
      <c r="AW504" s="1607"/>
      <c r="AX504" s="1607"/>
      <c r="AY504" s="1607"/>
      <c r="AZ504" s="1607"/>
      <c r="BA504" s="1607"/>
      <c r="BB504" s="1607"/>
      <c r="BC504" s="1607"/>
      <c r="BD504" s="1607"/>
      <c r="BE504" s="1607"/>
      <c r="BF504" s="1607"/>
      <c r="BG504" s="1607"/>
      <c r="BH504" s="1607"/>
      <c r="BI504" s="1607"/>
      <c r="BJ504" s="1607"/>
      <c r="BK504" s="1607"/>
      <c r="BL504" s="1607"/>
    </row>
    <row r="505">
      <c r="A505" s="1607"/>
      <c r="B505" s="1607"/>
      <c r="C505" s="1607"/>
      <c r="D505" s="1607"/>
      <c r="E505" s="1607"/>
      <c r="F505" s="1607"/>
      <c r="G505" s="1607"/>
      <c r="H505" s="1607"/>
      <c r="I505" s="1607"/>
      <c r="J505" s="1607"/>
      <c r="K505" s="1607"/>
      <c r="L505" s="1607"/>
      <c r="M505" s="1607"/>
      <c r="N505" s="1607"/>
      <c r="O505" s="1607"/>
      <c r="P505" s="1607"/>
      <c r="Q505" s="1607"/>
      <c r="R505" s="1607"/>
      <c r="S505" s="1607"/>
      <c r="T505" s="1607"/>
      <c r="U505" s="1607"/>
      <c r="V505" s="1607"/>
      <c r="W505" s="1607"/>
      <c r="X505" s="1607"/>
      <c r="Y505" s="1607"/>
      <c r="Z505" s="1607"/>
      <c r="AA505" s="1607"/>
      <c r="AB505" s="1607"/>
      <c r="AC505" s="1607"/>
      <c r="AD505" s="1607"/>
      <c r="AE505" s="1607"/>
      <c r="AF505" s="1607"/>
      <c r="AG505" s="1607"/>
      <c r="AH505" s="1607"/>
      <c r="AI505" s="1607"/>
      <c r="AJ505" s="1607"/>
      <c r="AK505" s="1607"/>
      <c r="AL505" s="1607"/>
      <c r="AM505" s="1607"/>
      <c r="AN505" s="1607"/>
      <c r="AO505" s="1607"/>
      <c r="AP505" s="1607"/>
      <c r="AQ505" s="1607"/>
      <c r="AR505" s="1607"/>
      <c r="AS505" s="1607"/>
      <c r="AT505" s="1607"/>
      <c r="AU505" s="1607"/>
      <c r="AV505" s="1607"/>
      <c r="AW505" s="1607"/>
      <c r="AX505" s="1607"/>
      <c r="AY505" s="1607"/>
      <c r="AZ505" s="1607"/>
      <c r="BA505" s="1607"/>
      <c r="BB505" s="1607"/>
      <c r="BC505" s="1607"/>
      <c r="BD505" s="1607"/>
      <c r="BE505" s="1607"/>
      <c r="BF505" s="1607"/>
      <c r="BG505" s="1607"/>
      <c r="BH505" s="1607"/>
      <c r="BI505" s="1607"/>
      <c r="BJ505" s="1607"/>
      <c r="BK505" s="1607"/>
      <c r="BL505" s="1607"/>
    </row>
    <row r="506">
      <c r="A506" s="1607"/>
      <c r="B506" s="1607"/>
      <c r="C506" s="1607"/>
      <c r="D506" s="1607"/>
      <c r="E506" s="1607"/>
      <c r="F506" s="1607"/>
      <c r="G506" s="1607"/>
      <c r="H506" s="1607"/>
      <c r="I506" s="1607"/>
      <c r="J506" s="1607"/>
      <c r="K506" s="1607"/>
      <c r="L506" s="1607"/>
      <c r="M506" s="1607"/>
      <c r="N506" s="1607"/>
      <c r="O506" s="1607"/>
      <c r="P506" s="1607"/>
      <c r="Q506" s="1607"/>
      <c r="R506" s="1607"/>
      <c r="S506" s="1607"/>
      <c r="T506" s="1607"/>
      <c r="U506" s="1607"/>
      <c r="V506" s="1607"/>
      <c r="W506" s="1607"/>
      <c r="X506" s="1607"/>
      <c r="Y506" s="1607"/>
      <c r="Z506" s="1607"/>
      <c r="AA506" s="1607"/>
      <c r="AB506" s="1607"/>
      <c r="AC506" s="1607"/>
      <c r="AD506" s="1607"/>
      <c r="AE506" s="1607"/>
      <c r="AF506" s="1607"/>
      <c r="AG506" s="1607"/>
      <c r="AH506" s="1607"/>
      <c r="AI506" s="1607"/>
      <c r="AJ506" s="1607"/>
      <c r="AK506" s="1607"/>
      <c r="AL506" s="1607"/>
      <c r="AM506" s="1607"/>
      <c r="AN506" s="1607"/>
      <c r="AO506" s="1607"/>
      <c r="AP506" s="1607"/>
      <c r="AQ506" s="1607"/>
      <c r="AR506" s="1607"/>
      <c r="AS506" s="1607"/>
      <c r="AT506" s="1607"/>
      <c r="AU506" s="1607"/>
      <c r="AV506" s="1607"/>
      <c r="AW506" s="1607"/>
      <c r="AX506" s="1607"/>
      <c r="AY506" s="1607"/>
      <c r="AZ506" s="1607"/>
      <c r="BA506" s="1607"/>
      <c r="BB506" s="1607"/>
      <c r="BC506" s="1607"/>
      <c r="BD506" s="1607"/>
      <c r="BE506" s="1607"/>
      <c r="BF506" s="1607"/>
      <c r="BG506" s="1607"/>
      <c r="BH506" s="1607"/>
      <c r="BI506" s="1607"/>
      <c r="BJ506" s="1607"/>
      <c r="BK506" s="1607"/>
      <c r="BL506" s="1607"/>
    </row>
    <row r="507">
      <c r="A507" s="1607"/>
      <c r="B507" s="1607"/>
      <c r="C507" s="1607"/>
      <c r="D507" s="1607"/>
      <c r="E507" s="1607"/>
      <c r="F507" s="1607"/>
      <c r="G507" s="1607"/>
      <c r="H507" s="1607"/>
      <c r="I507" s="1607"/>
      <c r="J507" s="1607"/>
      <c r="K507" s="1607"/>
      <c r="L507" s="1607"/>
      <c r="M507" s="1607"/>
      <c r="N507" s="1607"/>
      <c r="O507" s="1607"/>
      <c r="P507" s="1607"/>
      <c r="Q507" s="1607"/>
      <c r="R507" s="1607"/>
      <c r="S507" s="1607"/>
      <c r="T507" s="1607"/>
      <c r="U507" s="1607"/>
      <c r="V507" s="1607"/>
      <c r="W507" s="1607"/>
      <c r="X507" s="1607"/>
      <c r="Y507" s="1607"/>
      <c r="Z507" s="1607"/>
      <c r="AA507" s="1607"/>
      <c r="AB507" s="1607"/>
      <c r="AC507" s="1607"/>
      <c r="AD507" s="1607"/>
      <c r="AE507" s="1607"/>
      <c r="AF507" s="1607"/>
      <c r="AG507" s="1607"/>
      <c r="AH507" s="1607"/>
      <c r="AI507" s="1607"/>
      <c r="AJ507" s="1607"/>
      <c r="AK507" s="1607"/>
      <c r="AL507" s="1607"/>
      <c r="AM507" s="1607"/>
      <c r="AN507" s="1607"/>
      <c r="AO507" s="1607"/>
      <c r="AP507" s="1607"/>
      <c r="AQ507" s="1607"/>
      <c r="AR507" s="1607"/>
      <c r="AS507" s="1607"/>
      <c r="AT507" s="1607"/>
      <c r="AU507" s="1607"/>
      <c r="AV507" s="1607"/>
      <c r="AW507" s="1607"/>
      <c r="AX507" s="1607"/>
      <c r="AY507" s="1607"/>
      <c r="AZ507" s="1607"/>
      <c r="BA507" s="1607"/>
      <c r="BB507" s="1607"/>
      <c r="BC507" s="1607"/>
      <c r="BD507" s="1607"/>
      <c r="BE507" s="1607"/>
      <c r="BF507" s="1607"/>
      <c r="BG507" s="1607"/>
      <c r="BH507" s="1607"/>
      <c r="BI507" s="1607"/>
      <c r="BJ507" s="1607"/>
      <c r="BK507" s="1607"/>
      <c r="BL507" s="1607"/>
    </row>
    <row r="508">
      <c r="A508" s="1607"/>
      <c r="B508" s="1607"/>
      <c r="C508" s="1607"/>
      <c r="D508" s="1607"/>
      <c r="E508" s="1607"/>
      <c r="F508" s="1607"/>
      <c r="G508" s="1607"/>
      <c r="H508" s="1607"/>
      <c r="I508" s="1607"/>
      <c r="J508" s="1607"/>
      <c r="K508" s="1607"/>
      <c r="L508" s="1607"/>
      <c r="M508" s="1607"/>
      <c r="N508" s="1607"/>
      <c r="O508" s="1607"/>
      <c r="P508" s="1607"/>
      <c r="Q508" s="1607"/>
      <c r="R508" s="1607"/>
      <c r="S508" s="1607"/>
      <c r="T508" s="1607"/>
      <c r="U508" s="1607"/>
      <c r="V508" s="1607"/>
      <c r="W508" s="1607"/>
      <c r="X508" s="1607"/>
      <c r="Y508" s="1607"/>
      <c r="Z508" s="1607"/>
      <c r="AA508" s="1607"/>
      <c r="AB508" s="1607"/>
      <c r="AC508" s="1607"/>
      <c r="AD508" s="1607"/>
      <c r="AE508" s="1607"/>
      <c r="AF508" s="1607"/>
      <c r="AG508" s="1607"/>
      <c r="AH508" s="1607"/>
      <c r="AI508" s="1607"/>
      <c r="AJ508" s="1607"/>
      <c r="AK508" s="1607"/>
      <c r="AL508" s="1607"/>
      <c r="AM508" s="1607"/>
      <c r="AN508" s="1607"/>
      <c r="AO508" s="1607"/>
      <c r="AP508" s="1607"/>
      <c r="AQ508" s="1607"/>
      <c r="AR508" s="1607"/>
      <c r="AS508" s="1607"/>
      <c r="AT508" s="1607"/>
      <c r="AU508" s="1607"/>
      <c r="AV508" s="1607"/>
      <c r="AW508" s="1607"/>
      <c r="AX508" s="1607"/>
      <c r="AY508" s="1607"/>
      <c r="AZ508" s="1607"/>
      <c r="BA508" s="1607"/>
      <c r="BB508" s="1607"/>
      <c r="BC508" s="1607"/>
      <c r="BD508" s="1607"/>
      <c r="BE508" s="1607"/>
      <c r="BF508" s="1607"/>
      <c r="BG508" s="1607"/>
      <c r="BH508" s="1607"/>
      <c r="BI508" s="1607"/>
      <c r="BJ508" s="1607"/>
      <c r="BK508" s="1607"/>
      <c r="BL508" s="1607"/>
    </row>
    <row r="509">
      <c r="A509" s="1607"/>
      <c r="B509" s="1607"/>
      <c r="C509" s="1607"/>
      <c r="D509" s="1607"/>
      <c r="E509" s="1607"/>
      <c r="F509" s="1607"/>
      <c r="G509" s="1607"/>
      <c r="H509" s="1607"/>
      <c r="I509" s="1607"/>
      <c r="J509" s="1607"/>
      <c r="K509" s="1607"/>
      <c r="L509" s="1607"/>
      <c r="M509" s="1607"/>
      <c r="N509" s="1607"/>
      <c r="O509" s="1607"/>
      <c r="P509" s="1607"/>
      <c r="Q509" s="1607"/>
      <c r="R509" s="1607"/>
      <c r="S509" s="1607"/>
      <c r="T509" s="1607"/>
      <c r="U509" s="1607"/>
      <c r="V509" s="1607"/>
      <c r="W509" s="1607"/>
      <c r="X509" s="1607"/>
      <c r="Y509" s="1607"/>
      <c r="Z509" s="1607"/>
      <c r="AA509" s="1607"/>
      <c r="AB509" s="1607"/>
      <c r="AC509" s="1607"/>
      <c r="AD509" s="1607"/>
      <c r="AE509" s="1607"/>
      <c r="AF509" s="1607"/>
      <c r="AG509" s="1607"/>
      <c r="AH509" s="1607"/>
      <c r="AI509" s="1607"/>
      <c r="AJ509" s="1607"/>
      <c r="AK509" s="1607"/>
      <c r="AL509" s="1607"/>
      <c r="AM509" s="1607"/>
      <c r="AN509" s="1607"/>
      <c r="AO509" s="1607"/>
      <c r="AP509" s="1607"/>
      <c r="AQ509" s="1607"/>
      <c r="AR509" s="1607"/>
      <c r="AS509" s="1607"/>
      <c r="AT509" s="1607"/>
      <c r="AU509" s="1607"/>
      <c r="AV509" s="1607"/>
      <c r="AW509" s="1607"/>
      <c r="AX509" s="1607"/>
      <c r="AY509" s="1607"/>
      <c r="AZ509" s="1607"/>
      <c r="BA509" s="1607"/>
      <c r="BB509" s="1607"/>
      <c r="BC509" s="1607"/>
      <c r="BD509" s="1607"/>
      <c r="BE509" s="1607"/>
      <c r="BF509" s="1607"/>
      <c r="BG509" s="1607"/>
      <c r="BH509" s="1607"/>
      <c r="BI509" s="1607"/>
      <c r="BJ509" s="1607"/>
      <c r="BK509" s="1607"/>
      <c r="BL509" s="1607"/>
    </row>
    <row r="510">
      <c r="A510" s="1607"/>
      <c r="B510" s="1607"/>
      <c r="C510" s="1607"/>
      <c r="D510" s="1607"/>
      <c r="E510" s="1607"/>
      <c r="F510" s="1607"/>
      <c r="G510" s="1607"/>
      <c r="H510" s="1607"/>
      <c r="I510" s="1607"/>
      <c r="J510" s="1607"/>
      <c r="K510" s="1607"/>
      <c r="L510" s="1607"/>
      <c r="M510" s="1607"/>
      <c r="N510" s="1607"/>
      <c r="O510" s="1607"/>
      <c r="P510" s="1607"/>
      <c r="Q510" s="1607"/>
      <c r="R510" s="1607"/>
      <c r="S510" s="1607"/>
      <c r="T510" s="1607"/>
      <c r="U510" s="1607"/>
      <c r="V510" s="1607"/>
      <c r="W510" s="1607"/>
      <c r="X510" s="1607"/>
      <c r="Y510" s="1607"/>
      <c r="Z510" s="1607"/>
      <c r="AA510" s="1607"/>
      <c r="AB510" s="1607"/>
      <c r="AC510" s="1607"/>
      <c r="AD510" s="1607"/>
      <c r="AE510" s="1607"/>
      <c r="AF510" s="1607"/>
      <c r="AG510" s="1607"/>
      <c r="AH510" s="1607"/>
      <c r="AI510" s="1607"/>
      <c r="AJ510" s="1607"/>
      <c r="AK510" s="1607"/>
      <c r="AL510" s="1607"/>
      <c r="AM510" s="1607"/>
      <c r="AN510" s="1607"/>
      <c r="AO510" s="1607"/>
      <c r="AP510" s="1607"/>
      <c r="AQ510" s="1607"/>
      <c r="AR510" s="1607"/>
      <c r="AS510" s="1607"/>
      <c r="AT510" s="1607"/>
      <c r="AU510" s="1607"/>
      <c r="AV510" s="1607"/>
      <c r="AW510" s="1607"/>
      <c r="AX510" s="1607"/>
      <c r="AY510" s="1607"/>
      <c r="AZ510" s="1607"/>
      <c r="BA510" s="1607"/>
      <c r="BB510" s="1607"/>
      <c r="BC510" s="1607"/>
      <c r="BD510" s="1607"/>
      <c r="BE510" s="1607"/>
      <c r="BF510" s="1607"/>
      <c r="BG510" s="1607"/>
      <c r="BH510" s="1607"/>
      <c r="BI510" s="1607"/>
      <c r="BJ510" s="1607"/>
      <c r="BK510" s="1607"/>
      <c r="BL510" s="1607"/>
    </row>
    <row r="511">
      <c r="A511" s="1607"/>
      <c r="B511" s="1607"/>
      <c r="C511" s="1607"/>
      <c r="D511" s="1607"/>
      <c r="E511" s="1607"/>
      <c r="F511" s="1607"/>
      <c r="G511" s="1607"/>
      <c r="H511" s="1607"/>
      <c r="I511" s="1607"/>
      <c r="J511" s="1607"/>
      <c r="K511" s="1607"/>
      <c r="L511" s="1607"/>
      <c r="M511" s="1607"/>
      <c r="N511" s="1607"/>
      <c r="O511" s="1607"/>
      <c r="P511" s="1607"/>
      <c r="Q511" s="1607"/>
      <c r="R511" s="1607"/>
      <c r="S511" s="1607"/>
      <c r="T511" s="1607"/>
      <c r="U511" s="1607"/>
      <c r="V511" s="1607"/>
      <c r="W511" s="1607"/>
      <c r="X511" s="1607"/>
      <c r="Y511" s="1607"/>
      <c r="Z511" s="1607"/>
      <c r="AA511" s="1607"/>
      <c r="AB511" s="1607"/>
      <c r="AC511" s="1607"/>
      <c r="AD511" s="1607"/>
      <c r="AE511" s="1607"/>
      <c r="AF511" s="1607"/>
      <c r="AG511" s="1607"/>
      <c r="AH511" s="1607"/>
      <c r="AI511" s="1607"/>
      <c r="AJ511" s="1607"/>
      <c r="AK511" s="1607"/>
      <c r="AL511" s="1607"/>
      <c r="AM511" s="1607"/>
      <c r="AN511" s="1607"/>
      <c r="AO511" s="1607"/>
      <c r="AP511" s="1607"/>
      <c r="AQ511" s="1607"/>
      <c r="AR511" s="1607"/>
      <c r="AS511" s="1607"/>
      <c r="AT511" s="1607"/>
      <c r="AU511" s="1607"/>
      <c r="AV511" s="1607"/>
      <c r="AW511" s="1607"/>
      <c r="AX511" s="1607"/>
      <c r="AY511" s="1607"/>
      <c r="AZ511" s="1607"/>
      <c r="BA511" s="1607"/>
      <c r="BB511" s="1607"/>
      <c r="BC511" s="1607"/>
      <c r="BD511" s="1607"/>
      <c r="BE511" s="1607"/>
      <c r="BF511" s="1607"/>
      <c r="BG511" s="1607"/>
      <c r="BH511" s="1607"/>
      <c r="BI511" s="1607"/>
      <c r="BJ511" s="1607"/>
      <c r="BK511" s="1607"/>
      <c r="BL511" s="1607"/>
    </row>
    <row r="512">
      <c r="A512" s="1607"/>
      <c r="B512" s="1607"/>
      <c r="C512" s="1607"/>
      <c r="D512" s="1607"/>
      <c r="E512" s="1607"/>
      <c r="F512" s="1607"/>
      <c r="G512" s="1607"/>
      <c r="H512" s="1607"/>
      <c r="I512" s="1607"/>
      <c r="J512" s="1607"/>
      <c r="K512" s="1607"/>
      <c r="L512" s="1607"/>
      <c r="M512" s="1607"/>
      <c r="N512" s="1607"/>
      <c r="O512" s="1607"/>
      <c r="P512" s="1607"/>
      <c r="Q512" s="1607"/>
      <c r="R512" s="1607"/>
      <c r="S512" s="1607"/>
      <c r="T512" s="1607"/>
      <c r="U512" s="1607"/>
      <c r="V512" s="1607"/>
      <c r="W512" s="1607"/>
      <c r="X512" s="1607"/>
      <c r="Y512" s="1607"/>
      <c r="Z512" s="1607"/>
      <c r="AA512" s="1607"/>
      <c r="AB512" s="1607"/>
      <c r="AC512" s="1607"/>
      <c r="AD512" s="1607"/>
      <c r="AE512" s="1607"/>
      <c r="AF512" s="1607"/>
      <c r="AG512" s="1607"/>
      <c r="AH512" s="1607"/>
      <c r="AI512" s="1607"/>
      <c r="AJ512" s="1607"/>
      <c r="AK512" s="1607"/>
      <c r="AL512" s="1607"/>
      <c r="AM512" s="1607"/>
      <c r="AN512" s="1607"/>
      <c r="AO512" s="1607"/>
      <c r="AP512" s="1607"/>
      <c r="AQ512" s="1607"/>
      <c r="AR512" s="1607"/>
      <c r="AS512" s="1607"/>
      <c r="AT512" s="1607"/>
      <c r="AU512" s="1607"/>
      <c r="AV512" s="1607"/>
      <c r="AW512" s="1607"/>
      <c r="AX512" s="1607"/>
      <c r="AY512" s="1607"/>
      <c r="AZ512" s="1607"/>
      <c r="BA512" s="1607"/>
      <c r="BB512" s="1607"/>
      <c r="BC512" s="1607"/>
      <c r="BD512" s="1607"/>
      <c r="BE512" s="1607"/>
      <c r="BF512" s="1607"/>
      <c r="BG512" s="1607"/>
      <c r="BH512" s="1607"/>
      <c r="BI512" s="1607"/>
      <c r="BJ512" s="1607"/>
      <c r="BK512" s="1607"/>
      <c r="BL512" s="1607"/>
    </row>
    <row r="513">
      <c r="A513" s="1607"/>
      <c r="B513" s="1607"/>
      <c r="C513" s="1607"/>
      <c r="D513" s="1607"/>
      <c r="E513" s="1607"/>
      <c r="F513" s="1607"/>
      <c r="G513" s="1607"/>
      <c r="H513" s="1607"/>
      <c r="I513" s="1607"/>
      <c r="J513" s="1607"/>
      <c r="K513" s="1607"/>
      <c r="L513" s="1607"/>
      <c r="M513" s="1607"/>
      <c r="N513" s="1607"/>
      <c r="O513" s="1607"/>
      <c r="P513" s="1607"/>
      <c r="Q513" s="1607"/>
      <c r="R513" s="1607"/>
      <c r="S513" s="1607"/>
      <c r="T513" s="1607"/>
      <c r="U513" s="1607"/>
      <c r="V513" s="1607"/>
      <c r="W513" s="1607"/>
      <c r="X513" s="1607"/>
      <c r="Y513" s="1607"/>
      <c r="Z513" s="1607"/>
      <c r="AA513" s="1607"/>
      <c r="AB513" s="1607"/>
      <c r="AC513" s="1607"/>
      <c r="AD513" s="1607"/>
      <c r="AE513" s="1607"/>
      <c r="AF513" s="1607"/>
      <c r="AG513" s="1607"/>
      <c r="AH513" s="1607"/>
      <c r="AI513" s="1607"/>
      <c r="AJ513" s="1607"/>
      <c r="AK513" s="1607"/>
      <c r="AL513" s="1607"/>
      <c r="AM513" s="1607"/>
      <c r="AN513" s="1607"/>
      <c r="AO513" s="1607"/>
      <c r="AP513" s="1607"/>
      <c r="AQ513" s="1607"/>
      <c r="AR513" s="1607"/>
      <c r="AS513" s="1607"/>
      <c r="AT513" s="1607"/>
      <c r="AU513" s="1607"/>
      <c r="AV513" s="1607"/>
      <c r="AW513" s="1607"/>
      <c r="AX513" s="1607"/>
      <c r="AY513" s="1607"/>
      <c r="AZ513" s="1607"/>
      <c r="BA513" s="1607"/>
      <c r="BB513" s="1607"/>
      <c r="BC513" s="1607"/>
      <c r="BD513" s="1607"/>
      <c r="BE513" s="1607"/>
      <c r="BF513" s="1607"/>
      <c r="BG513" s="1607"/>
      <c r="BH513" s="1607"/>
      <c r="BI513" s="1607"/>
      <c r="BJ513" s="1607"/>
      <c r="BK513" s="1607"/>
      <c r="BL513" s="1607"/>
    </row>
    <row r="514">
      <c r="A514" s="1607"/>
      <c r="B514" s="1607"/>
      <c r="C514" s="1607"/>
      <c r="D514" s="1607"/>
      <c r="E514" s="1607"/>
      <c r="F514" s="1607"/>
      <c r="G514" s="1607"/>
      <c r="H514" s="1607"/>
      <c r="I514" s="1607"/>
      <c r="J514" s="1607"/>
      <c r="K514" s="1607"/>
      <c r="L514" s="1607"/>
      <c r="M514" s="1607"/>
      <c r="N514" s="1607"/>
      <c r="O514" s="1607"/>
      <c r="P514" s="1607"/>
      <c r="Q514" s="1607"/>
      <c r="R514" s="1607"/>
      <c r="S514" s="1607"/>
      <c r="T514" s="1607"/>
      <c r="U514" s="1607"/>
      <c r="V514" s="1607"/>
      <c r="W514" s="1607"/>
      <c r="X514" s="1607"/>
      <c r="Y514" s="1607"/>
      <c r="Z514" s="1607"/>
      <c r="AA514" s="1607"/>
      <c r="AB514" s="1607"/>
      <c r="AC514" s="1607"/>
      <c r="AD514" s="1607"/>
      <c r="AE514" s="1607"/>
      <c r="AF514" s="1607"/>
      <c r="AG514" s="1607"/>
      <c r="AH514" s="1607"/>
      <c r="AI514" s="1607"/>
      <c r="AJ514" s="1607"/>
      <c r="AK514" s="1607"/>
      <c r="AL514" s="1607"/>
      <c r="AM514" s="1607"/>
      <c r="AN514" s="1607"/>
      <c r="AO514" s="1607"/>
      <c r="AP514" s="1607"/>
      <c r="AQ514" s="1607"/>
      <c r="AR514" s="1607"/>
      <c r="AS514" s="1607"/>
      <c r="AT514" s="1607"/>
      <c r="AU514" s="1607"/>
      <c r="AV514" s="1607"/>
      <c r="AW514" s="1607"/>
      <c r="AX514" s="1607"/>
      <c r="AY514" s="1607"/>
      <c r="AZ514" s="1607"/>
      <c r="BA514" s="1607"/>
      <c r="BB514" s="1607"/>
      <c r="BC514" s="1607"/>
      <c r="BD514" s="1607"/>
      <c r="BE514" s="1607"/>
      <c r="BF514" s="1607"/>
      <c r="BG514" s="1607"/>
      <c r="BH514" s="1607"/>
      <c r="BI514" s="1607"/>
      <c r="BJ514" s="1607"/>
      <c r="BK514" s="1607"/>
      <c r="BL514" s="1607"/>
    </row>
    <row r="515">
      <c r="A515" s="1607"/>
      <c r="B515" s="1607"/>
      <c r="C515" s="1607"/>
      <c r="D515" s="1607"/>
      <c r="E515" s="1607"/>
      <c r="F515" s="1607"/>
      <c r="G515" s="1607"/>
      <c r="H515" s="1607"/>
      <c r="I515" s="1607"/>
      <c r="J515" s="1607"/>
      <c r="K515" s="1607"/>
      <c r="L515" s="1607"/>
      <c r="M515" s="1607"/>
      <c r="N515" s="1607"/>
      <c r="O515" s="1607"/>
      <c r="P515" s="1607"/>
      <c r="Q515" s="1607"/>
      <c r="R515" s="1607"/>
      <c r="S515" s="1607"/>
      <c r="T515" s="1607"/>
      <c r="U515" s="1607"/>
      <c r="V515" s="1607"/>
      <c r="W515" s="1607"/>
      <c r="X515" s="1607"/>
      <c r="Y515" s="1607"/>
      <c r="Z515" s="1607"/>
      <c r="AA515" s="1607"/>
      <c r="AB515" s="1607"/>
      <c r="AC515" s="1607"/>
      <c r="AD515" s="1607"/>
      <c r="AE515" s="1607"/>
      <c r="AF515" s="1607"/>
      <c r="AG515" s="1607"/>
      <c r="AH515" s="1607"/>
      <c r="AI515" s="1607"/>
      <c r="AJ515" s="1607"/>
      <c r="AK515" s="1607"/>
      <c r="AL515" s="1607"/>
      <c r="AM515" s="1607"/>
      <c r="AN515" s="1607"/>
      <c r="AO515" s="1607"/>
      <c r="AP515" s="1607"/>
      <c r="AQ515" s="1607"/>
      <c r="AR515" s="1607"/>
      <c r="AS515" s="1607"/>
      <c r="AT515" s="1607"/>
      <c r="AU515" s="1607"/>
      <c r="AV515" s="1607"/>
      <c r="AW515" s="1607"/>
      <c r="AX515" s="1607"/>
      <c r="AY515" s="1607"/>
      <c r="AZ515" s="1607"/>
      <c r="BA515" s="1607"/>
      <c r="BB515" s="1607"/>
      <c r="BC515" s="1607"/>
      <c r="BD515" s="1607"/>
      <c r="BE515" s="1607"/>
      <c r="BF515" s="1607"/>
      <c r="BG515" s="1607"/>
      <c r="BH515" s="1607"/>
      <c r="BI515" s="1607"/>
      <c r="BJ515" s="1607"/>
      <c r="BK515" s="1607"/>
      <c r="BL515" s="1607"/>
    </row>
    <row r="516">
      <c r="A516" s="1607"/>
      <c r="B516" s="1607"/>
      <c r="C516" s="1607"/>
      <c r="D516" s="1607"/>
      <c r="E516" s="1607"/>
      <c r="F516" s="1607"/>
      <c r="G516" s="1607"/>
      <c r="H516" s="1607"/>
      <c r="I516" s="1607"/>
      <c r="J516" s="1607"/>
      <c r="K516" s="1607"/>
      <c r="L516" s="1607"/>
      <c r="M516" s="1607"/>
      <c r="N516" s="1607"/>
      <c r="O516" s="1607"/>
      <c r="P516" s="1607"/>
      <c r="Q516" s="1607"/>
      <c r="R516" s="1607"/>
      <c r="S516" s="1607"/>
      <c r="T516" s="1607"/>
      <c r="U516" s="1607"/>
      <c r="V516" s="1607"/>
      <c r="W516" s="1607"/>
      <c r="X516" s="1607"/>
      <c r="Y516" s="1607"/>
      <c r="Z516" s="1607"/>
      <c r="AA516" s="1607"/>
      <c r="AB516" s="1607"/>
      <c r="AC516" s="1607"/>
      <c r="AD516" s="1607"/>
      <c r="AE516" s="1607"/>
      <c r="AF516" s="1607"/>
      <c r="AG516" s="1607"/>
      <c r="AH516" s="1607"/>
      <c r="AI516" s="1607"/>
      <c r="AJ516" s="1607"/>
      <c r="AK516" s="1607"/>
      <c r="AL516" s="1607"/>
      <c r="AM516" s="1607"/>
      <c r="AN516" s="1607"/>
      <c r="AO516" s="1607"/>
      <c r="AP516" s="1607"/>
      <c r="AQ516" s="1607"/>
      <c r="AR516" s="1607"/>
      <c r="AS516" s="1607"/>
      <c r="AT516" s="1607"/>
      <c r="AU516" s="1607"/>
      <c r="AV516" s="1607"/>
      <c r="AW516" s="1607"/>
      <c r="AX516" s="1607"/>
      <c r="AY516" s="1607"/>
      <c r="AZ516" s="1607"/>
      <c r="BA516" s="1607"/>
      <c r="BB516" s="1607"/>
      <c r="BC516" s="1607"/>
      <c r="BD516" s="1607"/>
      <c r="BE516" s="1607"/>
      <c r="BF516" s="1607"/>
      <c r="BG516" s="1607"/>
      <c r="BH516" s="1607"/>
      <c r="BI516" s="1607"/>
      <c r="BJ516" s="1607"/>
      <c r="BK516" s="1607"/>
      <c r="BL516" s="1607"/>
    </row>
    <row r="517">
      <c r="A517" s="1607"/>
      <c r="B517" s="1607"/>
      <c r="C517" s="1607"/>
      <c r="D517" s="1607"/>
      <c r="E517" s="1607"/>
      <c r="F517" s="1607"/>
      <c r="G517" s="1607"/>
      <c r="H517" s="1607"/>
      <c r="I517" s="1607"/>
      <c r="J517" s="1607"/>
      <c r="K517" s="1607"/>
      <c r="L517" s="1607"/>
      <c r="M517" s="1607"/>
      <c r="N517" s="1607"/>
      <c r="O517" s="1607"/>
      <c r="P517" s="1607"/>
      <c r="Q517" s="1607"/>
      <c r="R517" s="1607"/>
      <c r="S517" s="1607"/>
      <c r="T517" s="1607"/>
      <c r="U517" s="1607"/>
      <c r="V517" s="1607"/>
      <c r="W517" s="1607"/>
      <c r="X517" s="1607"/>
      <c r="Y517" s="1607"/>
      <c r="Z517" s="1607"/>
      <c r="AA517" s="1607"/>
      <c r="AB517" s="1607"/>
      <c r="AC517" s="1607"/>
      <c r="AD517" s="1607"/>
      <c r="AE517" s="1607"/>
      <c r="AF517" s="1607"/>
      <c r="AG517" s="1607"/>
      <c r="AH517" s="1607"/>
      <c r="AI517" s="1607"/>
      <c r="AJ517" s="1607"/>
      <c r="AK517" s="1607"/>
      <c r="AL517" s="1607"/>
      <c r="AM517" s="1607"/>
      <c r="AN517" s="1607"/>
      <c r="AO517" s="1607"/>
      <c r="AP517" s="1607"/>
      <c r="AQ517" s="1607"/>
      <c r="AR517" s="1607"/>
      <c r="AS517" s="1607"/>
      <c r="AT517" s="1607"/>
      <c r="AU517" s="1607"/>
      <c r="AV517" s="1607"/>
      <c r="AW517" s="1607"/>
      <c r="AX517" s="1607"/>
      <c r="AY517" s="1607"/>
      <c r="AZ517" s="1607"/>
      <c r="BA517" s="1607"/>
      <c r="BB517" s="1607"/>
      <c r="BC517" s="1607"/>
      <c r="BD517" s="1607"/>
      <c r="BE517" s="1607"/>
      <c r="BF517" s="1607"/>
      <c r="BG517" s="1607"/>
      <c r="BH517" s="1607"/>
      <c r="BI517" s="1607"/>
      <c r="BJ517" s="1607"/>
      <c r="BK517" s="1607"/>
      <c r="BL517" s="1607"/>
    </row>
    <row r="518">
      <c r="A518" s="1607"/>
      <c r="B518" s="1607"/>
      <c r="C518" s="1607"/>
      <c r="D518" s="1607"/>
      <c r="E518" s="1607"/>
      <c r="F518" s="1607"/>
      <c r="G518" s="1607"/>
      <c r="H518" s="1607"/>
      <c r="I518" s="1607"/>
      <c r="J518" s="1607"/>
      <c r="K518" s="1607"/>
      <c r="L518" s="1607"/>
      <c r="M518" s="1607"/>
      <c r="N518" s="1607"/>
      <c r="O518" s="1607"/>
      <c r="P518" s="1607"/>
      <c r="Q518" s="1607"/>
      <c r="R518" s="1607"/>
      <c r="S518" s="1607"/>
      <c r="T518" s="1607"/>
      <c r="U518" s="1607"/>
      <c r="V518" s="1607"/>
      <c r="W518" s="1607"/>
      <c r="X518" s="1607"/>
      <c r="Y518" s="1607"/>
      <c r="Z518" s="1607"/>
      <c r="AA518" s="1607"/>
      <c r="AB518" s="1607"/>
      <c r="AC518" s="1607"/>
      <c r="AD518" s="1607"/>
      <c r="AE518" s="1607"/>
      <c r="AF518" s="1607"/>
      <c r="AG518" s="1607"/>
      <c r="AH518" s="1607"/>
      <c r="AI518" s="1607"/>
      <c r="AJ518" s="1607"/>
      <c r="AK518" s="1607"/>
      <c r="AL518" s="1607"/>
      <c r="AM518" s="1607"/>
      <c r="AN518" s="1607"/>
      <c r="AO518" s="1607"/>
      <c r="AP518" s="1607"/>
      <c r="AQ518" s="1607"/>
      <c r="AR518" s="1607"/>
      <c r="AS518" s="1607"/>
      <c r="AT518" s="1607"/>
      <c r="AU518" s="1607"/>
      <c r="AV518" s="1607"/>
      <c r="AW518" s="1607"/>
      <c r="AX518" s="1607"/>
      <c r="AY518" s="1607"/>
      <c r="AZ518" s="1607"/>
      <c r="BA518" s="1607"/>
      <c r="BB518" s="1607"/>
      <c r="BC518" s="1607"/>
      <c r="BD518" s="1607"/>
      <c r="BE518" s="1607"/>
      <c r="BF518" s="1607"/>
      <c r="BG518" s="1607"/>
      <c r="BH518" s="1607"/>
      <c r="BI518" s="1607"/>
      <c r="BJ518" s="1607"/>
      <c r="BK518" s="1607"/>
      <c r="BL518" s="1607"/>
    </row>
    <row r="519">
      <c r="A519" s="1607"/>
      <c r="B519" s="1607"/>
      <c r="C519" s="1607"/>
      <c r="D519" s="1607"/>
      <c r="E519" s="1607"/>
      <c r="F519" s="1607"/>
      <c r="G519" s="1607"/>
      <c r="H519" s="1607"/>
      <c r="I519" s="1607"/>
      <c r="J519" s="1607"/>
      <c r="K519" s="1607"/>
      <c r="L519" s="1607"/>
      <c r="M519" s="1607"/>
      <c r="N519" s="1607"/>
      <c r="O519" s="1607"/>
      <c r="P519" s="1607"/>
      <c r="Q519" s="1607"/>
      <c r="R519" s="1607"/>
      <c r="S519" s="1607"/>
      <c r="T519" s="1607"/>
      <c r="U519" s="1607"/>
      <c r="V519" s="1607"/>
      <c r="W519" s="1607"/>
      <c r="X519" s="1607"/>
      <c r="Y519" s="1607"/>
      <c r="Z519" s="1607"/>
      <c r="AA519" s="1607"/>
      <c r="AB519" s="1607"/>
      <c r="AC519" s="1607"/>
      <c r="AD519" s="1607"/>
      <c r="AE519" s="1607"/>
      <c r="AF519" s="1607"/>
      <c r="AG519" s="1607"/>
      <c r="AH519" s="1607"/>
      <c r="AI519" s="1607"/>
      <c r="AJ519" s="1607"/>
      <c r="AK519" s="1607"/>
      <c r="AL519" s="1607"/>
      <c r="AM519" s="1607"/>
      <c r="AN519" s="1607"/>
      <c r="AO519" s="1607"/>
      <c r="AP519" s="1607"/>
      <c r="AQ519" s="1607"/>
      <c r="AR519" s="1607"/>
      <c r="AS519" s="1607"/>
      <c r="AT519" s="1607"/>
      <c r="AU519" s="1607"/>
      <c r="AV519" s="1607"/>
      <c r="AW519" s="1607"/>
      <c r="AX519" s="1607"/>
      <c r="AY519" s="1607"/>
      <c r="AZ519" s="1607"/>
      <c r="BA519" s="1607"/>
      <c r="BB519" s="1607"/>
      <c r="BC519" s="1607"/>
      <c r="BD519" s="1607"/>
      <c r="BE519" s="1607"/>
      <c r="BF519" s="1607"/>
      <c r="BG519" s="1607"/>
      <c r="BH519" s="1607"/>
      <c r="BI519" s="1607"/>
      <c r="BJ519" s="1607"/>
      <c r="BK519" s="1607"/>
      <c r="BL519" s="1607"/>
    </row>
    <row r="520">
      <c r="A520" s="1607"/>
      <c r="B520" s="1607"/>
      <c r="C520" s="1607"/>
      <c r="D520" s="1607"/>
      <c r="E520" s="1607"/>
      <c r="F520" s="1607"/>
      <c r="G520" s="1607"/>
      <c r="H520" s="1607"/>
      <c r="I520" s="1607"/>
      <c r="J520" s="1607"/>
      <c r="K520" s="1607"/>
      <c r="L520" s="1607"/>
      <c r="M520" s="1607"/>
      <c r="N520" s="1607"/>
      <c r="O520" s="1607"/>
      <c r="P520" s="1607"/>
      <c r="Q520" s="1607"/>
      <c r="R520" s="1607"/>
      <c r="S520" s="1607"/>
      <c r="T520" s="1607"/>
      <c r="U520" s="1607"/>
      <c r="V520" s="1607"/>
      <c r="W520" s="1607"/>
      <c r="X520" s="1607"/>
      <c r="Y520" s="1607"/>
      <c r="Z520" s="1607"/>
      <c r="AA520" s="1607"/>
      <c r="AB520" s="1607"/>
      <c r="AC520" s="1607"/>
      <c r="AD520" s="1607"/>
      <c r="AE520" s="1607"/>
      <c r="AF520" s="1607"/>
      <c r="AG520" s="1607"/>
      <c r="AH520" s="1607"/>
      <c r="AI520" s="1607"/>
      <c r="AJ520" s="1607"/>
      <c r="AK520" s="1607"/>
      <c r="AL520" s="1607"/>
      <c r="AM520" s="1607"/>
      <c r="AN520" s="1607"/>
      <c r="AO520" s="1607"/>
      <c r="AP520" s="1607"/>
      <c r="AQ520" s="1607"/>
      <c r="AR520" s="1607"/>
      <c r="AS520" s="1607"/>
      <c r="AT520" s="1607"/>
      <c r="AU520" s="1607"/>
      <c r="AV520" s="1607"/>
      <c r="AW520" s="1607"/>
      <c r="AX520" s="1607"/>
      <c r="AY520" s="1607"/>
      <c r="AZ520" s="1607"/>
      <c r="BA520" s="1607"/>
      <c r="BB520" s="1607"/>
      <c r="BC520" s="1607"/>
      <c r="BD520" s="1607"/>
      <c r="BE520" s="1607"/>
      <c r="BF520" s="1607"/>
      <c r="BG520" s="1607"/>
      <c r="BH520" s="1607"/>
      <c r="BI520" s="1607"/>
      <c r="BJ520" s="1607"/>
      <c r="BK520" s="1607"/>
      <c r="BL520" s="1607"/>
    </row>
    <row r="521">
      <c r="A521" s="1607"/>
      <c r="B521" s="1607"/>
      <c r="C521" s="1607"/>
      <c r="D521" s="1607"/>
      <c r="E521" s="1607"/>
      <c r="F521" s="1607"/>
      <c r="G521" s="1607"/>
      <c r="H521" s="1607"/>
      <c r="I521" s="1607"/>
      <c r="J521" s="1607"/>
      <c r="K521" s="1607"/>
      <c r="L521" s="1607"/>
      <c r="M521" s="1607"/>
      <c r="N521" s="1607"/>
      <c r="O521" s="1607"/>
      <c r="P521" s="1607"/>
      <c r="Q521" s="1607"/>
      <c r="R521" s="1607"/>
      <c r="S521" s="1607"/>
      <c r="T521" s="1607"/>
      <c r="U521" s="1607"/>
      <c r="V521" s="1607"/>
      <c r="W521" s="1607"/>
      <c r="X521" s="1607"/>
      <c r="Y521" s="1607"/>
      <c r="Z521" s="1607"/>
      <c r="AA521" s="1607"/>
      <c r="AB521" s="1607"/>
      <c r="AC521" s="1607"/>
      <c r="AD521" s="1607"/>
      <c r="AE521" s="1607"/>
      <c r="AF521" s="1607"/>
      <c r="AG521" s="1607"/>
      <c r="AH521" s="1607"/>
      <c r="AI521" s="1607"/>
      <c r="AJ521" s="1607"/>
      <c r="AK521" s="1607"/>
      <c r="AL521" s="1607"/>
      <c r="AM521" s="1607"/>
      <c r="AN521" s="1607"/>
      <c r="AO521" s="1607"/>
      <c r="AP521" s="1607"/>
      <c r="AQ521" s="1607"/>
      <c r="AR521" s="1607"/>
      <c r="AS521" s="1607"/>
      <c r="AT521" s="1607"/>
      <c r="AU521" s="1607"/>
      <c r="AV521" s="1607"/>
      <c r="AW521" s="1607"/>
      <c r="AX521" s="1607"/>
      <c r="AY521" s="1607"/>
      <c r="AZ521" s="1607"/>
      <c r="BA521" s="1607"/>
      <c r="BB521" s="1607"/>
      <c r="BC521" s="1607"/>
      <c r="BD521" s="1607"/>
      <c r="BE521" s="1607"/>
      <c r="BF521" s="1607"/>
      <c r="BG521" s="1607"/>
      <c r="BH521" s="1607"/>
      <c r="BI521" s="1607"/>
      <c r="BJ521" s="1607"/>
      <c r="BK521" s="1607"/>
      <c r="BL521" s="1607"/>
    </row>
    <row r="522">
      <c r="A522" s="1607"/>
      <c r="B522" s="1607"/>
      <c r="C522" s="1607"/>
      <c r="D522" s="1607"/>
      <c r="E522" s="1607"/>
      <c r="F522" s="1607"/>
      <c r="G522" s="1607"/>
      <c r="H522" s="1607"/>
      <c r="I522" s="1607"/>
      <c r="J522" s="1607"/>
      <c r="K522" s="1607"/>
      <c r="L522" s="1607"/>
      <c r="M522" s="1607"/>
      <c r="N522" s="1607"/>
      <c r="O522" s="1607"/>
      <c r="P522" s="1607"/>
      <c r="Q522" s="1607"/>
      <c r="R522" s="1607"/>
      <c r="S522" s="1607"/>
      <c r="T522" s="1607"/>
      <c r="U522" s="1607"/>
      <c r="V522" s="1607"/>
      <c r="W522" s="1607"/>
      <c r="X522" s="1607"/>
      <c r="Y522" s="1607"/>
      <c r="Z522" s="1607"/>
      <c r="AA522" s="1607"/>
      <c r="AB522" s="1607"/>
      <c r="AC522" s="1607"/>
      <c r="AD522" s="1607"/>
      <c r="AE522" s="1607"/>
      <c r="AF522" s="1607"/>
      <c r="AG522" s="1607"/>
      <c r="AH522" s="1607"/>
      <c r="AI522" s="1607"/>
      <c r="AJ522" s="1607"/>
      <c r="AK522" s="1607"/>
      <c r="AL522" s="1607"/>
      <c r="AM522" s="1607"/>
      <c r="AN522" s="1607"/>
      <c r="AO522" s="1607"/>
      <c r="AP522" s="1607"/>
      <c r="AQ522" s="1607"/>
      <c r="AR522" s="1607"/>
      <c r="AS522" s="1607"/>
      <c r="AT522" s="1607"/>
      <c r="AU522" s="1607"/>
      <c r="AV522" s="1607"/>
      <c r="AW522" s="1607"/>
      <c r="AX522" s="1607"/>
      <c r="AY522" s="1607"/>
      <c r="AZ522" s="1607"/>
      <c r="BA522" s="1607"/>
      <c r="BB522" s="1607"/>
      <c r="BC522" s="1607"/>
      <c r="BD522" s="1607"/>
      <c r="BE522" s="1607"/>
      <c r="BF522" s="1607"/>
      <c r="BG522" s="1607"/>
      <c r="BH522" s="1607"/>
      <c r="BI522" s="1607"/>
      <c r="BJ522" s="1607"/>
      <c r="BK522" s="1607"/>
      <c r="BL522" s="1607"/>
    </row>
    <row r="523">
      <c r="A523" s="1607"/>
      <c r="B523" s="1607"/>
      <c r="C523" s="1607"/>
      <c r="D523" s="1607"/>
      <c r="E523" s="1607"/>
      <c r="F523" s="1607"/>
      <c r="G523" s="1607"/>
      <c r="H523" s="1607"/>
      <c r="I523" s="1607"/>
      <c r="J523" s="1607"/>
      <c r="K523" s="1607"/>
      <c r="L523" s="1607"/>
      <c r="M523" s="1607"/>
      <c r="N523" s="1607"/>
      <c r="O523" s="1607"/>
      <c r="P523" s="1607"/>
      <c r="Q523" s="1607"/>
      <c r="R523" s="1607"/>
      <c r="S523" s="1607"/>
      <c r="T523" s="1607"/>
      <c r="U523" s="1607"/>
      <c r="V523" s="1607"/>
      <c r="W523" s="1607"/>
      <c r="X523" s="1607"/>
      <c r="Y523" s="1607"/>
      <c r="Z523" s="1607"/>
      <c r="AA523" s="1607"/>
      <c r="AB523" s="1607"/>
      <c r="AC523" s="1607"/>
      <c r="AD523" s="1607"/>
      <c r="AE523" s="1607"/>
      <c r="AF523" s="1607"/>
      <c r="AG523" s="1607"/>
      <c r="AH523" s="1607"/>
      <c r="AI523" s="1607"/>
      <c r="AJ523" s="1607"/>
      <c r="AK523" s="1607"/>
      <c r="AL523" s="1607"/>
      <c r="AM523" s="1607"/>
      <c r="AN523" s="1607"/>
      <c r="AO523" s="1607"/>
      <c r="AP523" s="1607"/>
      <c r="AQ523" s="1607"/>
      <c r="AR523" s="1607"/>
      <c r="AS523" s="1607"/>
      <c r="AT523" s="1607"/>
      <c r="AU523" s="1607"/>
      <c r="AV523" s="1607"/>
      <c r="AW523" s="1607"/>
      <c r="AX523" s="1607"/>
      <c r="AY523" s="1607"/>
      <c r="AZ523" s="1607"/>
      <c r="BA523" s="1607"/>
      <c r="BB523" s="1607"/>
      <c r="BC523" s="1607"/>
      <c r="BD523" s="1607"/>
      <c r="BE523" s="1607"/>
      <c r="BF523" s="1607"/>
      <c r="BG523" s="1607"/>
      <c r="BH523" s="1607"/>
      <c r="BI523" s="1607"/>
      <c r="BJ523" s="1607"/>
      <c r="BK523" s="1607"/>
      <c r="BL523" s="1607"/>
    </row>
    <row r="524">
      <c r="A524" s="1607"/>
      <c r="B524" s="1607"/>
      <c r="C524" s="1607"/>
      <c r="D524" s="1607"/>
      <c r="E524" s="1607"/>
      <c r="F524" s="1607"/>
      <c r="G524" s="1607"/>
      <c r="H524" s="1607"/>
      <c r="I524" s="1607"/>
      <c r="J524" s="1607"/>
      <c r="K524" s="1607"/>
      <c r="L524" s="1607"/>
      <c r="M524" s="1607"/>
      <c r="N524" s="1607"/>
      <c r="O524" s="1607"/>
      <c r="P524" s="1607"/>
      <c r="Q524" s="1607"/>
      <c r="R524" s="1607"/>
      <c r="S524" s="1607"/>
      <c r="T524" s="1607"/>
      <c r="U524" s="1607"/>
      <c r="V524" s="1607"/>
      <c r="W524" s="1607"/>
      <c r="X524" s="1607"/>
      <c r="Y524" s="1607"/>
      <c r="Z524" s="1607"/>
      <c r="AA524" s="1607"/>
      <c r="AB524" s="1607"/>
      <c r="AC524" s="1607"/>
      <c r="AD524" s="1607"/>
      <c r="AE524" s="1607"/>
      <c r="AF524" s="1607"/>
      <c r="AG524" s="1607"/>
      <c r="AH524" s="1607"/>
      <c r="AI524" s="1607"/>
      <c r="AJ524" s="1607"/>
      <c r="AK524" s="1607"/>
      <c r="AL524" s="1607"/>
      <c r="AM524" s="1607"/>
      <c r="AN524" s="1607"/>
      <c r="AO524" s="1607"/>
      <c r="AP524" s="1607"/>
      <c r="AQ524" s="1607"/>
      <c r="AR524" s="1607"/>
      <c r="AS524" s="1607"/>
      <c r="AT524" s="1607"/>
      <c r="AU524" s="1607"/>
      <c r="AV524" s="1607"/>
      <c r="AW524" s="1607"/>
      <c r="AX524" s="1607"/>
      <c r="AY524" s="1607"/>
      <c r="AZ524" s="1607"/>
      <c r="BA524" s="1607"/>
      <c r="BB524" s="1607"/>
      <c r="BC524" s="1607"/>
      <c r="BD524" s="1607"/>
      <c r="BE524" s="1607"/>
      <c r="BF524" s="1607"/>
      <c r="BG524" s="1607"/>
      <c r="BH524" s="1607"/>
      <c r="BI524" s="1607"/>
      <c r="BJ524" s="1607"/>
      <c r="BK524" s="1607"/>
      <c r="BL524" s="1607"/>
    </row>
    <row r="525">
      <c r="A525" s="1607"/>
      <c r="B525" s="1607"/>
      <c r="C525" s="1607"/>
      <c r="D525" s="1607"/>
      <c r="E525" s="1607"/>
      <c r="F525" s="1607"/>
      <c r="G525" s="1607"/>
      <c r="H525" s="1607"/>
      <c r="I525" s="1607"/>
      <c r="J525" s="1607"/>
      <c r="K525" s="1607"/>
      <c r="L525" s="1607"/>
      <c r="M525" s="1607"/>
      <c r="N525" s="1607"/>
      <c r="O525" s="1607"/>
      <c r="P525" s="1607"/>
      <c r="Q525" s="1607"/>
      <c r="R525" s="1607"/>
      <c r="S525" s="1607"/>
      <c r="T525" s="1607"/>
      <c r="U525" s="1607"/>
      <c r="V525" s="1607"/>
      <c r="W525" s="1607"/>
      <c r="X525" s="1607"/>
      <c r="Y525" s="1607"/>
      <c r="Z525" s="1607"/>
      <c r="AA525" s="1607"/>
      <c r="AB525" s="1607"/>
      <c r="AC525" s="1607"/>
      <c r="AD525" s="1607"/>
      <c r="AE525" s="1607"/>
      <c r="AF525" s="1607"/>
      <c r="AG525" s="1607"/>
      <c r="AH525" s="1607"/>
      <c r="AI525" s="1607"/>
      <c r="AJ525" s="1607"/>
      <c r="AK525" s="1607"/>
      <c r="AL525" s="1607"/>
      <c r="AM525" s="1607"/>
      <c r="AN525" s="1607"/>
      <c r="AO525" s="1607"/>
      <c r="AP525" s="1607"/>
      <c r="AQ525" s="1607"/>
      <c r="AR525" s="1607"/>
      <c r="AS525" s="1607"/>
      <c r="AT525" s="1607"/>
      <c r="AU525" s="1607"/>
      <c r="AV525" s="1607"/>
      <c r="AW525" s="1607"/>
      <c r="AX525" s="1607"/>
      <c r="AY525" s="1607"/>
      <c r="AZ525" s="1607"/>
      <c r="BA525" s="1607"/>
      <c r="BB525" s="1607"/>
      <c r="BC525" s="1607"/>
      <c r="BD525" s="1607"/>
      <c r="BE525" s="1607"/>
      <c r="BF525" s="1607"/>
      <c r="BG525" s="1607"/>
      <c r="BH525" s="1607"/>
      <c r="BI525" s="1607"/>
      <c r="BJ525" s="1607"/>
      <c r="BK525" s="1607"/>
      <c r="BL525" s="1607"/>
    </row>
    <row r="526">
      <c r="A526" s="1607"/>
      <c r="B526" s="1607"/>
      <c r="C526" s="1607"/>
      <c r="D526" s="1607"/>
      <c r="E526" s="1607"/>
      <c r="F526" s="1607"/>
      <c r="G526" s="1607"/>
      <c r="H526" s="1607"/>
      <c r="I526" s="1607"/>
      <c r="J526" s="1607"/>
      <c r="K526" s="1607"/>
      <c r="L526" s="1607"/>
      <c r="M526" s="1607"/>
      <c r="N526" s="1607"/>
      <c r="O526" s="1607"/>
      <c r="P526" s="1607"/>
      <c r="Q526" s="1607"/>
      <c r="R526" s="1607"/>
      <c r="S526" s="1607"/>
      <c r="T526" s="1607"/>
      <c r="U526" s="1607"/>
      <c r="V526" s="1607"/>
      <c r="W526" s="1607"/>
      <c r="X526" s="1607"/>
      <c r="Y526" s="1607"/>
      <c r="Z526" s="1607"/>
      <c r="AA526" s="1607"/>
      <c r="AB526" s="1607"/>
      <c r="AC526" s="1607"/>
      <c r="AD526" s="1607"/>
      <c r="AE526" s="1607"/>
      <c r="AF526" s="1607"/>
      <c r="AG526" s="1607"/>
      <c r="AH526" s="1607"/>
      <c r="AI526" s="1607"/>
      <c r="AJ526" s="1607"/>
      <c r="AK526" s="1607"/>
      <c r="AL526" s="1607"/>
      <c r="AM526" s="1607"/>
      <c r="AN526" s="1607"/>
      <c r="AO526" s="1607"/>
      <c r="AP526" s="1607"/>
      <c r="AQ526" s="1607"/>
      <c r="AR526" s="1607"/>
      <c r="AS526" s="1607"/>
      <c r="AT526" s="1607"/>
      <c r="AU526" s="1607"/>
      <c r="AV526" s="1607"/>
      <c r="AW526" s="1607"/>
      <c r="AX526" s="1607"/>
      <c r="AY526" s="1607"/>
      <c r="AZ526" s="1607"/>
      <c r="BA526" s="1607"/>
      <c r="BB526" s="1607"/>
      <c r="BC526" s="1607"/>
      <c r="BD526" s="1607"/>
      <c r="BE526" s="1607"/>
      <c r="BF526" s="1607"/>
      <c r="BG526" s="1607"/>
      <c r="BH526" s="1607"/>
      <c r="BI526" s="1607"/>
      <c r="BJ526" s="1607"/>
      <c r="BK526" s="1607"/>
      <c r="BL526" s="1607"/>
    </row>
    <row r="527">
      <c r="A527" s="1607"/>
      <c r="B527" s="1607"/>
      <c r="C527" s="1607"/>
      <c r="D527" s="1607"/>
      <c r="E527" s="1607"/>
      <c r="F527" s="1607"/>
      <c r="G527" s="1607"/>
      <c r="H527" s="1607"/>
      <c r="I527" s="1607"/>
      <c r="J527" s="1607"/>
      <c r="K527" s="1607"/>
      <c r="L527" s="1607"/>
      <c r="M527" s="1607"/>
      <c r="N527" s="1607"/>
      <c r="O527" s="1607"/>
      <c r="P527" s="1607"/>
      <c r="Q527" s="1607"/>
      <c r="R527" s="1607"/>
      <c r="S527" s="1607"/>
      <c r="T527" s="1607"/>
      <c r="U527" s="1607"/>
      <c r="V527" s="1607"/>
      <c r="W527" s="1607"/>
      <c r="X527" s="1607"/>
      <c r="Y527" s="1607"/>
      <c r="Z527" s="1607"/>
      <c r="AA527" s="1607"/>
      <c r="AB527" s="1607"/>
      <c r="AC527" s="1607"/>
      <c r="AD527" s="1607"/>
      <c r="AE527" s="1607"/>
      <c r="AF527" s="1607"/>
      <c r="AG527" s="1607"/>
      <c r="AH527" s="1607"/>
      <c r="AI527" s="1607"/>
      <c r="AJ527" s="1607"/>
      <c r="AK527" s="1607"/>
      <c r="AL527" s="1607"/>
      <c r="AM527" s="1607"/>
      <c r="AN527" s="1607"/>
      <c r="AO527" s="1607"/>
      <c r="AP527" s="1607"/>
      <c r="AQ527" s="1607"/>
      <c r="AR527" s="1607"/>
      <c r="AS527" s="1607"/>
      <c r="AT527" s="1607"/>
      <c r="AU527" s="1607"/>
      <c r="AV527" s="1607"/>
      <c r="AW527" s="1607"/>
      <c r="AX527" s="1607"/>
      <c r="AY527" s="1607"/>
      <c r="AZ527" s="1607"/>
      <c r="BA527" s="1607"/>
      <c r="BB527" s="1607"/>
      <c r="BC527" s="1607"/>
      <c r="BD527" s="1607"/>
      <c r="BE527" s="1607"/>
      <c r="BF527" s="1607"/>
      <c r="BG527" s="1607"/>
      <c r="BH527" s="1607"/>
      <c r="BI527" s="1607"/>
      <c r="BJ527" s="1607"/>
      <c r="BK527" s="1607"/>
      <c r="BL527" s="1607"/>
    </row>
    <row r="528">
      <c r="A528" s="1607"/>
      <c r="B528" s="1607"/>
      <c r="C528" s="1607"/>
      <c r="D528" s="1607"/>
      <c r="E528" s="1607"/>
      <c r="F528" s="1607"/>
      <c r="G528" s="1607"/>
      <c r="H528" s="1607"/>
      <c r="I528" s="1607"/>
      <c r="J528" s="1607"/>
      <c r="K528" s="1607"/>
      <c r="L528" s="1607"/>
      <c r="M528" s="1607"/>
      <c r="N528" s="1607"/>
      <c r="O528" s="1607"/>
      <c r="P528" s="1607"/>
      <c r="Q528" s="1607"/>
      <c r="R528" s="1607"/>
      <c r="S528" s="1607"/>
      <c r="T528" s="1607"/>
      <c r="U528" s="1607"/>
      <c r="V528" s="1607"/>
      <c r="W528" s="1607"/>
      <c r="X528" s="1607"/>
      <c r="Y528" s="1607"/>
      <c r="Z528" s="1607"/>
      <c r="AA528" s="1607"/>
      <c r="AB528" s="1607"/>
      <c r="AC528" s="1607"/>
      <c r="AD528" s="1607"/>
      <c r="AE528" s="1607"/>
      <c r="AF528" s="1607"/>
      <c r="AG528" s="1607"/>
      <c r="AH528" s="1607"/>
      <c r="AI528" s="1607"/>
      <c r="AJ528" s="1607"/>
      <c r="AK528" s="1607"/>
      <c r="AL528" s="1607"/>
      <c r="AM528" s="1607"/>
      <c r="AN528" s="1607"/>
      <c r="AO528" s="1607"/>
      <c r="AP528" s="1607"/>
      <c r="AQ528" s="1607"/>
      <c r="AR528" s="1607"/>
      <c r="AS528" s="1607"/>
      <c r="AT528" s="1607"/>
      <c r="AU528" s="1607"/>
      <c r="AV528" s="1607"/>
      <c r="AW528" s="1607"/>
      <c r="AX528" s="1607"/>
      <c r="AY528" s="1607"/>
      <c r="AZ528" s="1607"/>
      <c r="BA528" s="1607"/>
      <c r="BB528" s="1607"/>
      <c r="BC528" s="1607"/>
      <c r="BD528" s="1607"/>
      <c r="BE528" s="1607"/>
      <c r="BF528" s="1607"/>
      <c r="BG528" s="1607"/>
      <c r="BH528" s="1607"/>
      <c r="BI528" s="1607"/>
      <c r="BJ528" s="1607"/>
      <c r="BK528" s="1607"/>
      <c r="BL528" s="1607"/>
    </row>
    <row r="529">
      <c r="A529" s="1607"/>
      <c r="B529" s="1607"/>
      <c r="C529" s="1607"/>
      <c r="D529" s="1607"/>
      <c r="E529" s="1607"/>
      <c r="F529" s="1607"/>
      <c r="G529" s="1607"/>
      <c r="H529" s="1607"/>
      <c r="I529" s="1607"/>
      <c r="J529" s="1607"/>
      <c r="K529" s="1607"/>
      <c r="L529" s="1607"/>
      <c r="M529" s="1607"/>
      <c r="N529" s="1607"/>
      <c r="O529" s="1607"/>
      <c r="P529" s="1607"/>
      <c r="Q529" s="1607"/>
      <c r="R529" s="1607"/>
      <c r="S529" s="1607"/>
      <c r="T529" s="1607"/>
      <c r="U529" s="1607"/>
      <c r="V529" s="1607"/>
      <c r="W529" s="1607"/>
      <c r="X529" s="1607"/>
      <c r="Y529" s="1607"/>
      <c r="Z529" s="1607"/>
      <c r="AA529" s="1607"/>
      <c r="AB529" s="1607"/>
      <c r="AC529" s="1607"/>
      <c r="AD529" s="1607"/>
      <c r="AE529" s="1607"/>
      <c r="AF529" s="1607"/>
      <c r="AG529" s="1607"/>
      <c r="AH529" s="1607"/>
      <c r="AI529" s="1607"/>
      <c r="AJ529" s="1607"/>
      <c r="AK529" s="1607"/>
      <c r="AL529" s="1607"/>
      <c r="AM529" s="1607"/>
      <c r="AN529" s="1607"/>
      <c r="AO529" s="1607"/>
      <c r="AP529" s="1607"/>
      <c r="AQ529" s="1607"/>
      <c r="AR529" s="1607"/>
      <c r="AS529" s="1607"/>
      <c r="AT529" s="1607"/>
      <c r="AU529" s="1607"/>
      <c r="AV529" s="1607"/>
      <c r="AW529" s="1607"/>
      <c r="AX529" s="1607"/>
      <c r="AY529" s="1607"/>
      <c r="AZ529" s="1607"/>
      <c r="BA529" s="1607"/>
      <c r="BB529" s="1607"/>
      <c r="BC529" s="1607"/>
      <c r="BD529" s="1607"/>
      <c r="BE529" s="1607"/>
      <c r="BF529" s="1607"/>
      <c r="BG529" s="1607"/>
      <c r="BH529" s="1607"/>
      <c r="BI529" s="1607"/>
      <c r="BJ529" s="1607"/>
      <c r="BK529" s="1607"/>
      <c r="BL529" s="1607"/>
    </row>
    <row r="530">
      <c r="A530" s="1607"/>
      <c r="B530" s="1607"/>
      <c r="C530" s="1607"/>
      <c r="D530" s="1607"/>
      <c r="E530" s="1607"/>
      <c r="F530" s="1607"/>
      <c r="G530" s="1607"/>
      <c r="H530" s="1607"/>
      <c r="I530" s="1607"/>
      <c r="J530" s="1607"/>
      <c r="K530" s="1607"/>
      <c r="L530" s="1607"/>
      <c r="M530" s="1607"/>
      <c r="N530" s="1607"/>
      <c r="O530" s="1607"/>
      <c r="P530" s="1607"/>
      <c r="Q530" s="1607"/>
      <c r="R530" s="1607"/>
      <c r="S530" s="1607"/>
      <c r="T530" s="1607"/>
      <c r="U530" s="1607"/>
      <c r="V530" s="1607"/>
      <c r="W530" s="1607"/>
      <c r="X530" s="1607"/>
      <c r="Y530" s="1607"/>
      <c r="Z530" s="1607"/>
      <c r="AA530" s="1607"/>
      <c r="AB530" s="1607"/>
      <c r="AC530" s="1607"/>
      <c r="AD530" s="1607"/>
      <c r="AE530" s="1607"/>
      <c r="AF530" s="1607"/>
      <c r="AG530" s="1607"/>
      <c r="AH530" s="1607"/>
      <c r="AI530" s="1607"/>
      <c r="AJ530" s="1607"/>
      <c r="AK530" s="1607"/>
      <c r="AL530" s="1607"/>
      <c r="AM530" s="1607"/>
      <c r="AN530" s="1607"/>
      <c r="AO530" s="1607"/>
      <c r="AP530" s="1607"/>
      <c r="AQ530" s="1607"/>
      <c r="AR530" s="1607"/>
      <c r="AS530" s="1607"/>
      <c r="AT530" s="1607"/>
      <c r="AU530" s="1607"/>
      <c r="AV530" s="1607"/>
      <c r="AW530" s="1607"/>
      <c r="AX530" s="1607"/>
      <c r="AY530" s="1607"/>
      <c r="AZ530" s="1607"/>
      <c r="BA530" s="1607"/>
      <c r="BB530" s="1607"/>
      <c r="BC530" s="1607"/>
      <c r="BD530" s="1607"/>
      <c r="BE530" s="1607"/>
      <c r="BF530" s="1607"/>
      <c r="BG530" s="1607"/>
      <c r="BH530" s="1607"/>
      <c r="BI530" s="1607"/>
      <c r="BJ530" s="1607"/>
      <c r="BK530" s="1607"/>
      <c r="BL530" s="1607"/>
    </row>
    <row r="531">
      <c r="A531" s="1607"/>
      <c r="B531" s="1607"/>
      <c r="C531" s="1607"/>
      <c r="D531" s="1607"/>
      <c r="E531" s="1607"/>
      <c r="F531" s="1607"/>
      <c r="G531" s="1607"/>
      <c r="H531" s="1607"/>
      <c r="I531" s="1607"/>
      <c r="J531" s="1607"/>
      <c r="K531" s="1607"/>
      <c r="L531" s="1607"/>
      <c r="M531" s="1607"/>
      <c r="N531" s="1607"/>
      <c r="O531" s="1607"/>
      <c r="P531" s="1607"/>
      <c r="Q531" s="1607"/>
      <c r="R531" s="1607"/>
      <c r="S531" s="1607"/>
      <c r="T531" s="1607"/>
      <c r="U531" s="1607"/>
      <c r="V531" s="1607"/>
      <c r="W531" s="1607"/>
      <c r="X531" s="1607"/>
      <c r="Y531" s="1607"/>
      <c r="Z531" s="1607"/>
      <c r="AA531" s="1607"/>
      <c r="AB531" s="1607"/>
      <c r="AC531" s="1607"/>
      <c r="AD531" s="1607"/>
      <c r="AE531" s="1607"/>
      <c r="AF531" s="1607"/>
      <c r="AG531" s="1607"/>
      <c r="AH531" s="1607"/>
      <c r="AI531" s="1607"/>
      <c r="AJ531" s="1607"/>
      <c r="AK531" s="1607"/>
      <c r="AL531" s="1607"/>
      <c r="AM531" s="1607"/>
      <c r="AN531" s="1607"/>
      <c r="AO531" s="1607"/>
      <c r="AP531" s="1607"/>
      <c r="AQ531" s="1607"/>
      <c r="AR531" s="1607"/>
      <c r="AS531" s="1607"/>
      <c r="AT531" s="1607"/>
      <c r="AU531" s="1607"/>
      <c r="AV531" s="1607"/>
      <c r="AW531" s="1607"/>
      <c r="AX531" s="1607"/>
      <c r="AY531" s="1607"/>
      <c r="AZ531" s="1607"/>
      <c r="BA531" s="1607"/>
      <c r="BB531" s="1607"/>
      <c r="BC531" s="1607"/>
      <c r="BD531" s="1607"/>
      <c r="BE531" s="1607"/>
      <c r="BF531" s="1607"/>
      <c r="BG531" s="1607"/>
      <c r="BH531" s="1607"/>
      <c r="BI531" s="1607"/>
      <c r="BJ531" s="1607"/>
      <c r="BK531" s="1607"/>
      <c r="BL531" s="1607"/>
    </row>
    <row r="532">
      <c r="A532" s="1607"/>
      <c r="B532" s="1607"/>
      <c r="C532" s="1607"/>
      <c r="D532" s="1607"/>
      <c r="E532" s="1607"/>
      <c r="F532" s="1607"/>
      <c r="G532" s="1607"/>
      <c r="H532" s="1607"/>
      <c r="I532" s="1607"/>
      <c r="J532" s="1607"/>
      <c r="K532" s="1607"/>
      <c r="L532" s="1607"/>
      <c r="M532" s="1607"/>
      <c r="N532" s="1607"/>
      <c r="O532" s="1607"/>
      <c r="P532" s="1607"/>
      <c r="Q532" s="1607"/>
      <c r="R532" s="1607"/>
      <c r="S532" s="1607"/>
      <c r="T532" s="1607"/>
      <c r="U532" s="1607"/>
      <c r="V532" s="1607"/>
      <c r="W532" s="1607"/>
      <c r="X532" s="1607"/>
      <c r="Y532" s="1607"/>
      <c r="Z532" s="1607"/>
      <c r="AA532" s="1607"/>
      <c r="AB532" s="1607"/>
      <c r="AC532" s="1607"/>
      <c r="AD532" s="1607"/>
      <c r="AE532" s="1607"/>
      <c r="AF532" s="1607"/>
      <c r="AG532" s="1607"/>
      <c r="AH532" s="1607"/>
      <c r="AI532" s="1607"/>
      <c r="AJ532" s="1607"/>
      <c r="AK532" s="1607"/>
      <c r="AL532" s="1607"/>
      <c r="AM532" s="1607"/>
      <c r="AN532" s="1607"/>
      <c r="AO532" s="1607"/>
      <c r="AP532" s="1607"/>
      <c r="AQ532" s="1607"/>
      <c r="AR532" s="1607"/>
      <c r="AS532" s="1607"/>
      <c r="AT532" s="1607"/>
      <c r="AU532" s="1607"/>
      <c r="AV532" s="1607"/>
      <c r="AW532" s="1607"/>
      <c r="AX532" s="1607"/>
      <c r="AY532" s="1607"/>
      <c r="AZ532" s="1607"/>
      <c r="BA532" s="1607"/>
      <c r="BB532" s="1607"/>
      <c r="BC532" s="1607"/>
      <c r="BD532" s="1607"/>
      <c r="BE532" s="1607"/>
      <c r="BF532" s="1607"/>
      <c r="BG532" s="1607"/>
      <c r="BH532" s="1607"/>
      <c r="BI532" s="1607"/>
      <c r="BJ532" s="1607"/>
      <c r="BK532" s="1607"/>
      <c r="BL532" s="1607"/>
    </row>
    <row r="533">
      <c r="A533" s="1607"/>
      <c r="B533" s="1607"/>
      <c r="C533" s="1607"/>
      <c r="D533" s="1607"/>
      <c r="E533" s="1607"/>
      <c r="F533" s="1607"/>
      <c r="G533" s="1607"/>
      <c r="H533" s="1607"/>
      <c r="I533" s="1607"/>
      <c r="J533" s="1607"/>
      <c r="K533" s="1607"/>
      <c r="L533" s="1607"/>
      <c r="M533" s="1607"/>
      <c r="N533" s="1607"/>
      <c r="O533" s="1607"/>
      <c r="P533" s="1607"/>
      <c r="Q533" s="1607"/>
      <c r="R533" s="1607"/>
      <c r="S533" s="1607"/>
      <c r="T533" s="1607"/>
      <c r="U533" s="1607"/>
      <c r="V533" s="1607"/>
      <c r="W533" s="1607"/>
      <c r="X533" s="1607"/>
      <c r="Y533" s="1607"/>
      <c r="Z533" s="1607"/>
      <c r="AA533" s="1607"/>
      <c r="AB533" s="1607"/>
      <c r="AC533" s="1607"/>
      <c r="AD533" s="1607"/>
      <c r="AE533" s="1607"/>
      <c r="AF533" s="1607"/>
      <c r="AG533" s="1607"/>
      <c r="AH533" s="1607"/>
      <c r="AI533" s="1607"/>
      <c r="AJ533" s="1607"/>
      <c r="AK533" s="1607"/>
      <c r="AL533" s="1607"/>
      <c r="AM533" s="1607"/>
      <c r="AN533" s="1607"/>
      <c r="AO533" s="1607"/>
      <c r="AP533" s="1607"/>
      <c r="AQ533" s="1607"/>
      <c r="AR533" s="1607"/>
      <c r="AS533" s="1607"/>
      <c r="AT533" s="1607"/>
      <c r="AU533" s="1607"/>
      <c r="AV533" s="1607"/>
      <c r="AW533" s="1607"/>
      <c r="AX533" s="1607"/>
      <c r="AY533" s="1607"/>
      <c r="AZ533" s="1607"/>
      <c r="BA533" s="1607"/>
      <c r="BB533" s="1607"/>
      <c r="BC533" s="1607"/>
      <c r="BD533" s="1607"/>
      <c r="BE533" s="1607"/>
      <c r="BF533" s="1607"/>
      <c r="BG533" s="1607"/>
      <c r="BH533" s="1607"/>
      <c r="BI533" s="1607"/>
      <c r="BJ533" s="1607"/>
      <c r="BK533" s="1607"/>
      <c r="BL533" s="1607"/>
    </row>
    <row r="534">
      <c r="A534" s="1607"/>
      <c r="B534" s="1607"/>
      <c r="C534" s="1607"/>
      <c r="D534" s="1607"/>
      <c r="E534" s="1607"/>
      <c r="F534" s="1607"/>
      <c r="G534" s="1607"/>
      <c r="H534" s="1607"/>
      <c r="I534" s="1607"/>
      <c r="J534" s="1607"/>
      <c r="K534" s="1607"/>
      <c r="L534" s="1607"/>
      <c r="M534" s="1607"/>
      <c r="N534" s="1607"/>
      <c r="O534" s="1607"/>
      <c r="P534" s="1607"/>
      <c r="Q534" s="1607"/>
      <c r="R534" s="1607"/>
      <c r="S534" s="1607"/>
      <c r="T534" s="1607"/>
      <c r="U534" s="1607"/>
      <c r="V534" s="1607"/>
      <c r="W534" s="1607"/>
      <c r="X534" s="1607"/>
      <c r="Y534" s="1607"/>
      <c r="Z534" s="1607"/>
      <c r="AA534" s="1607"/>
      <c r="AB534" s="1607"/>
      <c r="AC534" s="1607"/>
      <c r="AD534" s="1607"/>
      <c r="AE534" s="1607"/>
      <c r="AF534" s="1607"/>
      <c r="AG534" s="1607"/>
      <c r="AH534" s="1607"/>
      <c r="AI534" s="1607"/>
      <c r="AJ534" s="1607"/>
      <c r="AK534" s="1607"/>
      <c r="AL534" s="1607"/>
      <c r="AM534" s="1607"/>
      <c r="AN534" s="1607"/>
      <c r="AO534" s="1607"/>
      <c r="AP534" s="1607"/>
      <c r="AQ534" s="1607"/>
      <c r="AR534" s="1607"/>
      <c r="AS534" s="1607"/>
      <c r="AT534" s="1607"/>
      <c r="AU534" s="1607"/>
      <c r="AV534" s="1607"/>
      <c r="AW534" s="1607"/>
      <c r="AX534" s="1607"/>
      <c r="AY534" s="1607"/>
      <c r="AZ534" s="1607"/>
      <c r="BA534" s="1607"/>
      <c r="BB534" s="1607"/>
      <c r="BC534" s="1607"/>
      <c r="BD534" s="1607"/>
      <c r="BE534" s="1607"/>
      <c r="BF534" s="1607"/>
      <c r="BG534" s="1607"/>
      <c r="BH534" s="1607"/>
      <c r="BI534" s="1607"/>
      <c r="BJ534" s="1607"/>
      <c r="BK534" s="1607"/>
      <c r="BL534" s="1607"/>
    </row>
    <row r="535">
      <c r="A535" s="1607"/>
      <c r="B535" s="1607"/>
      <c r="C535" s="1607"/>
      <c r="D535" s="1607"/>
      <c r="E535" s="1607"/>
      <c r="F535" s="1607"/>
      <c r="G535" s="1607"/>
      <c r="H535" s="1607"/>
      <c r="I535" s="1607"/>
      <c r="J535" s="1607"/>
      <c r="K535" s="1607"/>
      <c r="L535" s="1607"/>
      <c r="M535" s="1607"/>
      <c r="N535" s="1607"/>
      <c r="O535" s="1607"/>
      <c r="P535" s="1607"/>
      <c r="Q535" s="1607"/>
      <c r="R535" s="1607"/>
      <c r="S535" s="1607"/>
      <c r="T535" s="1607"/>
      <c r="U535" s="1607"/>
      <c r="V535" s="1607"/>
      <c r="W535" s="1607"/>
      <c r="X535" s="1607"/>
      <c r="Y535" s="1607"/>
      <c r="Z535" s="1607"/>
      <c r="AA535" s="1607"/>
      <c r="AB535" s="1607"/>
      <c r="AC535" s="1607"/>
      <c r="AD535" s="1607"/>
      <c r="AE535" s="1607"/>
      <c r="AF535" s="1607"/>
      <c r="AG535" s="1607"/>
      <c r="AH535" s="1607"/>
      <c r="AI535" s="1607"/>
      <c r="AJ535" s="1607"/>
      <c r="AK535" s="1607"/>
      <c r="AL535" s="1607"/>
      <c r="AM535" s="1607"/>
      <c r="AN535" s="1607"/>
      <c r="AO535" s="1607"/>
      <c r="AP535" s="1607"/>
      <c r="AQ535" s="1607"/>
      <c r="AR535" s="1607"/>
      <c r="AS535" s="1607"/>
      <c r="AT535" s="1607"/>
      <c r="AU535" s="1607"/>
      <c r="AV535" s="1607"/>
      <c r="AW535" s="1607"/>
      <c r="AX535" s="1607"/>
      <c r="AY535" s="1607"/>
      <c r="AZ535" s="1607"/>
      <c r="BA535" s="1607"/>
      <c r="BB535" s="1607"/>
      <c r="BC535" s="1607"/>
      <c r="BD535" s="1607"/>
      <c r="BE535" s="1607"/>
      <c r="BF535" s="1607"/>
      <c r="BG535" s="1607"/>
      <c r="BH535" s="1607"/>
      <c r="BI535" s="1607"/>
      <c r="BJ535" s="1607"/>
      <c r="BK535" s="1607"/>
      <c r="BL535" s="1607"/>
    </row>
    <row r="536">
      <c r="A536" s="1607"/>
      <c r="B536" s="1607"/>
      <c r="C536" s="1607"/>
      <c r="D536" s="1607"/>
      <c r="E536" s="1607"/>
      <c r="F536" s="1607"/>
      <c r="G536" s="1607"/>
      <c r="H536" s="1607"/>
      <c r="I536" s="1607"/>
      <c r="J536" s="1607"/>
      <c r="K536" s="1607"/>
      <c r="L536" s="1607"/>
      <c r="M536" s="1607"/>
      <c r="N536" s="1607"/>
      <c r="O536" s="1607"/>
      <c r="P536" s="1607"/>
      <c r="Q536" s="1607"/>
      <c r="R536" s="1607"/>
      <c r="S536" s="1607"/>
      <c r="T536" s="1607"/>
      <c r="U536" s="1607"/>
      <c r="V536" s="1607"/>
      <c r="W536" s="1607"/>
      <c r="X536" s="1607"/>
      <c r="Y536" s="1607"/>
      <c r="Z536" s="1607"/>
      <c r="AA536" s="1607"/>
      <c r="AB536" s="1607"/>
      <c r="AC536" s="1607"/>
      <c r="AD536" s="1607"/>
      <c r="AE536" s="1607"/>
      <c r="AF536" s="1607"/>
      <c r="AG536" s="1607"/>
      <c r="AH536" s="1607"/>
      <c r="AI536" s="1607"/>
      <c r="AJ536" s="1607"/>
      <c r="AK536" s="1607"/>
      <c r="AL536" s="1607"/>
      <c r="AM536" s="1607"/>
      <c r="AN536" s="1607"/>
      <c r="AO536" s="1607"/>
      <c r="AP536" s="1607"/>
      <c r="AQ536" s="1607"/>
      <c r="AR536" s="1607"/>
      <c r="AS536" s="1607"/>
      <c r="AT536" s="1607"/>
      <c r="AU536" s="1607"/>
      <c r="AV536" s="1607"/>
      <c r="AW536" s="1607"/>
      <c r="AX536" s="1607"/>
      <c r="AY536" s="1607"/>
      <c r="AZ536" s="1607"/>
      <c r="BA536" s="1607"/>
      <c r="BB536" s="1607"/>
      <c r="BC536" s="1607"/>
      <c r="BD536" s="1607"/>
      <c r="BE536" s="1607"/>
      <c r="BF536" s="1607"/>
      <c r="BG536" s="1607"/>
      <c r="BH536" s="1607"/>
      <c r="BI536" s="1607"/>
      <c r="BJ536" s="1607"/>
      <c r="BK536" s="1607"/>
      <c r="BL536" s="1607"/>
    </row>
    <row r="537">
      <c r="A537" s="1607"/>
      <c r="B537" s="1607"/>
      <c r="C537" s="1607"/>
      <c r="D537" s="1607"/>
      <c r="E537" s="1607"/>
      <c r="F537" s="1607"/>
      <c r="G537" s="1607"/>
      <c r="H537" s="1607"/>
      <c r="I537" s="1607"/>
      <c r="J537" s="1607"/>
      <c r="K537" s="1607"/>
      <c r="L537" s="1607"/>
      <c r="M537" s="1607"/>
      <c r="N537" s="1607"/>
      <c r="O537" s="1607"/>
      <c r="P537" s="1607"/>
      <c r="Q537" s="1607"/>
      <c r="R537" s="1607"/>
      <c r="S537" s="1607"/>
      <c r="T537" s="1607"/>
      <c r="U537" s="1607"/>
      <c r="V537" s="1607"/>
      <c r="W537" s="1607"/>
      <c r="X537" s="1607"/>
      <c r="Y537" s="1607"/>
      <c r="Z537" s="1607"/>
      <c r="AA537" s="1607"/>
      <c r="AB537" s="1607"/>
      <c r="AC537" s="1607"/>
      <c r="AD537" s="1607"/>
      <c r="AE537" s="1607"/>
      <c r="AF537" s="1607"/>
      <c r="AG537" s="1607"/>
      <c r="AH537" s="1607"/>
      <c r="AI537" s="1607"/>
      <c r="AJ537" s="1607"/>
      <c r="AK537" s="1607"/>
      <c r="AL537" s="1607"/>
      <c r="AM537" s="1607"/>
      <c r="AN537" s="1607"/>
      <c r="AO537" s="1607"/>
      <c r="AP537" s="1607"/>
      <c r="AQ537" s="1607"/>
      <c r="AR537" s="1607"/>
      <c r="AS537" s="1607"/>
      <c r="AT537" s="1607"/>
      <c r="AU537" s="1607"/>
      <c r="AV537" s="1607"/>
      <c r="AW537" s="1607"/>
      <c r="AX537" s="1607"/>
      <c r="AY537" s="1607"/>
      <c r="AZ537" s="1607"/>
      <c r="BA537" s="1607"/>
      <c r="BB537" s="1607"/>
      <c r="BC537" s="1607"/>
      <c r="BD537" s="1607"/>
      <c r="BE537" s="1607"/>
      <c r="BF537" s="1607"/>
      <c r="BG537" s="1607"/>
      <c r="BH537" s="1607"/>
      <c r="BI537" s="1607"/>
      <c r="BJ537" s="1607"/>
      <c r="BK537" s="1607"/>
      <c r="BL537" s="1607"/>
    </row>
    <row r="538">
      <c r="A538" s="1607"/>
      <c r="B538" s="1607"/>
      <c r="C538" s="1607"/>
      <c r="D538" s="1607"/>
      <c r="E538" s="1607"/>
      <c r="F538" s="1607"/>
      <c r="G538" s="1607"/>
      <c r="H538" s="1607"/>
      <c r="I538" s="1607"/>
      <c r="J538" s="1607"/>
      <c r="K538" s="1607"/>
      <c r="L538" s="1607"/>
      <c r="M538" s="1607"/>
      <c r="N538" s="1607"/>
      <c r="O538" s="1607"/>
      <c r="P538" s="1607"/>
      <c r="Q538" s="1607"/>
      <c r="R538" s="1607"/>
      <c r="S538" s="1607"/>
      <c r="T538" s="1607"/>
      <c r="U538" s="1607"/>
      <c r="V538" s="1607"/>
      <c r="W538" s="1607"/>
      <c r="X538" s="1607"/>
      <c r="Y538" s="1607"/>
      <c r="Z538" s="1607"/>
      <c r="AA538" s="1607"/>
      <c r="AB538" s="1607"/>
      <c r="AC538" s="1607"/>
      <c r="AD538" s="1607"/>
      <c r="AE538" s="1607"/>
      <c r="AF538" s="1607"/>
      <c r="AG538" s="1607"/>
      <c r="AH538" s="1607"/>
      <c r="AI538" s="1607"/>
      <c r="AJ538" s="1607"/>
      <c r="AK538" s="1607"/>
      <c r="AL538" s="1607"/>
      <c r="AM538" s="1607"/>
      <c r="AN538" s="1607"/>
      <c r="AO538" s="1607"/>
      <c r="AP538" s="1607"/>
      <c r="AQ538" s="1607"/>
      <c r="AR538" s="1607"/>
      <c r="AS538" s="1607"/>
      <c r="AT538" s="1607"/>
      <c r="AU538" s="1607"/>
      <c r="AV538" s="1607"/>
      <c r="AW538" s="1607"/>
      <c r="AX538" s="1607"/>
      <c r="AY538" s="1607"/>
      <c r="AZ538" s="1607"/>
      <c r="BA538" s="1607"/>
      <c r="BB538" s="1607"/>
      <c r="BC538" s="1607"/>
      <c r="BD538" s="1607"/>
      <c r="BE538" s="1607"/>
      <c r="BF538" s="1607"/>
      <c r="BG538" s="1607"/>
      <c r="BH538" s="1607"/>
      <c r="BI538" s="1607"/>
      <c r="BJ538" s="1607"/>
      <c r="BK538" s="1607"/>
      <c r="BL538" s="1607"/>
    </row>
    <row r="539">
      <c r="A539" s="1607"/>
      <c r="B539" s="1607"/>
      <c r="C539" s="1607"/>
      <c r="D539" s="1607"/>
      <c r="E539" s="1607"/>
      <c r="F539" s="1607"/>
      <c r="G539" s="1607"/>
      <c r="H539" s="1607"/>
      <c r="I539" s="1607"/>
      <c r="J539" s="1607"/>
      <c r="K539" s="1607"/>
      <c r="L539" s="1607"/>
      <c r="M539" s="1607"/>
      <c r="N539" s="1607"/>
      <c r="O539" s="1607"/>
      <c r="P539" s="1607"/>
      <c r="Q539" s="1607"/>
      <c r="R539" s="1607"/>
      <c r="S539" s="1607"/>
      <c r="T539" s="1607"/>
      <c r="U539" s="1607"/>
      <c r="V539" s="1607"/>
      <c r="W539" s="1607"/>
      <c r="X539" s="1607"/>
      <c r="Y539" s="1607"/>
      <c r="Z539" s="1607"/>
      <c r="AA539" s="1607"/>
      <c r="AB539" s="1607"/>
      <c r="AC539" s="1607"/>
      <c r="AD539" s="1607"/>
      <c r="AE539" s="1607"/>
      <c r="AF539" s="1607"/>
      <c r="AG539" s="1607"/>
      <c r="AH539" s="1607"/>
      <c r="AI539" s="1607"/>
      <c r="AJ539" s="1607"/>
      <c r="AK539" s="1607"/>
      <c r="AL539" s="1607"/>
      <c r="AM539" s="1607"/>
      <c r="AN539" s="1607"/>
      <c r="AO539" s="1607"/>
      <c r="AP539" s="1607"/>
      <c r="AQ539" s="1607"/>
      <c r="AR539" s="1607"/>
      <c r="AS539" s="1607"/>
      <c r="AT539" s="1607"/>
      <c r="AU539" s="1607"/>
      <c r="AV539" s="1607"/>
      <c r="AW539" s="1607"/>
      <c r="AX539" s="1607"/>
      <c r="AY539" s="1607"/>
      <c r="AZ539" s="1607"/>
      <c r="BA539" s="1607"/>
      <c r="BB539" s="1607"/>
      <c r="BC539" s="1607"/>
      <c r="BD539" s="1607"/>
      <c r="BE539" s="1607"/>
      <c r="BF539" s="1607"/>
      <c r="BG539" s="1607"/>
      <c r="BH539" s="1607"/>
      <c r="BI539" s="1607"/>
      <c r="BJ539" s="1607"/>
      <c r="BK539" s="1607"/>
      <c r="BL539" s="1607"/>
    </row>
    <row r="540">
      <c r="A540" s="1607"/>
      <c r="B540" s="1607"/>
      <c r="C540" s="1607"/>
      <c r="D540" s="1607"/>
      <c r="E540" s="1607"/>
      <c r="F540" s="1607"/>
      <c r="G540" s="1607"/>
      <c r="H540" s="1607"/>
      <c r="I540" s="1607"/>
      <c r="J540" s="1607"/>
      <c r="K540" s="1607"/>
      <c r="L540" s="1607"/>
      <c r="M540" s="1607"/>
      <c r="N540" s="1607"/>
      <c r="O540" s="1607"/>
      <c r="P540" s="1607"/>
      <c r="Q540" s="1607"/>
      <c r="R540" s="1607"/>
      <c r="S540" s="1607"/>
      <c r="T540" s="1607"/>
      <c r="U540" s="1607"/>
      <c r="V540" s="1607"/>
      <c r="W540" s="1607"/>
      <c r="X540" s="1607"/>
      <c r="Y540" s="1607"/>
      <c r="Z540" s="1607"/>
      <c r="AA540" s="1607"/>
      <c r="AB540" s="1607"/>
      <c r="AC540" s="1607"/>
      <c r="AD540" s="1607"/>
      <c r="AE540" s="1607"/>
      <c r="AF540" s="1607"/>
      <c r="AG540" s="1607"/>
      <c r="AH540" s="1607"/>
      <c r="AI540" s="1607"/>
      <c r="AJ540" s="1607"/>
      <c r="AK540" s="1607"/>
      <c r="AL540" s="1607"/>
      <c r="AM540" s="1607"/>
      <c r="AN540" s="1607"/>
      <c r="AO540" s="1607"/>
      <c r="AP540" s="1607"/>
      <c r="AQ540" s="1607"/>
      <c r="AR540" s="1607"/>
      <c r="AS540" s="1607"/>
      <c r="AT540" s="1607"/>
      <c r="AU540" s="1607"/>
      <c r="AV540" s="1607"/>
      <c r="AW540" s="1607"/>
      <c r="AX540" s="1607"/>
      <c r="AY540" s="1607"/>
      <c r="AZ540" s="1607"/>
      <c r="BA540" s="1607"/>
      <c r="BB540" s="1607"/>
      <c r="BC540" s="1607"/>
      <c r="BD540" s="1607"/>
      <c r="BE540" s="1607"/>
      <c r="BF540" s="1607"/>
      <c r="BG540" s="1607"/>
      <c r="BH540" s="1607"/>
      <c r="BI540" s="1607"/>
      <c r="BJ540" s="1607"/>
      <c r="BK540" s="1607"/>
      <c r="BL540" s="1607"/>
    </row>
    <row r="541">
      <c r="A541" s="1607"/>
      <c r="B541" s="1607"/>
      <c r="C541" s="1607"/>
      <c r="D541" s="1607"/>
      <c r="E541" s="1607"/>
      <c r="F541" s="1607"/>
      <c r="G541" s="1607"/>
      <c r="H541" s="1607"/>
      <c r="I541" s="1607"/>
      <c r="J541" s="1607"/>
      <c r="K541" s="1607"/>
      <c r="L541" s="1607"/>
      <c r="M541" s="1607"/>
      <c r="N541" s="1607"/>
      <c r="O541" s="1607"/>
      <c r="P541" s="1607"/>
      <c r="Q541" s="1607"/>
      <c r="R541" s="1607"/>
      <c r="S541" s="1607"/>
      <c r="T541" s="1607"/>
      <c r="U541" s="1607"/>
      <c r="V541" s="1607"/>
      <c r="W541" s="1607"/>
      <c r="X541" s="1607"/>
      <c r="Y541" s="1607"/>
      <c r="Z541" s="1607"/>
      <c r="AA541" s="1607"/>
      <c r="AB541" s="1607"/>
      <c r="AC541" s="1607"/>
      <c r="AD541" s="1607"/>
      <c r="AE541" s="1607"/>
      <c r="AF541" s="1607"/>
      <c r="AG541" s="1607"/>
      <c r="AH541" s="1607"/>
      <c r="AI541" s="1607"/>
      <c r="AJ541" s="1607"/>
      <c r="AK541" s="1607"/>
      <c r="AL541" s="1607"/>
      <c r="AM541" s="1607"/>
      <c r="AN541" s="1607"/>
      <c r="AO541" s="1607"/>
      <c r="AP541" s="1607"/>
      <c r="AQ541" s="1607"/>
      <c r="AR541" s="1607"/>
      <c r="AS541" s="1607"/>
      <c r="AT541" s="1607"/>
      <c r="AU541" s="1607"/>
      <c r="AV541" s="1607"/>
      <c r="AW541" s="1607"/>
      <c r="AX541" s="1607"/>
      <c r="AY541" s="1607"/>
      <c r="AZ541" s="1607"/>
      <c r="BA541" s="1607"/>
      <c r="BB541" s="1607"/>
      <c r="BC541" s="1607"/>
      <c r="BD541" s="1607"/>
      <c r="BE541" s="1607"/>
      <c r="BF541" s="1607"/>
      <c r="BG541" s="1607"/>
      <c r="BH541" s="1607"/>
      <c r="BI541" s="1607"/>
      <c r="BJ541" s="1607"/>
      <c r="BK541" s="1607"/>
      <c r="BL541" s="1607"/>
    </row>
    <row r="542">
      <c r="A542" s="1607"/>
      <c r="B542" s="1607"/>
      <c r="C542" s="1607"/>
      <c r="D542" s="1607"/>
      <c r="E542" s="1607"/>
      <c r="F542" s="1607"/>
      <c r="G542" s="1607"/>
      <c r="H542" s="1607"/>
      <c r="I542" s="1607"/>
      <c r="J542" s="1607"/>
      <c r="K542" s="1607"/>
      <c r="L542" s="1607"/>
      <c r="M542" s="1607"/>
      <c r="N542" s="1607"/>
      <c r="O542" s="1607"/>
      <c r="P542" s="1607"/>
      <c r="Q542" s="1607"/>
      <c r="R542" s="1607"/>
      <c r="S542" s="1607"/>
      <c r="T542" s="1607"/>
      <c r="U542" s="1607"/>
      <c r="V542" s="1607"/>
      <c r="W542" s="1607"/>
      <c r="X542" s="1607"/>
      <c r="Y542" s="1607"/>
      <c r="Z542" s="1607"/>
      <c r="AA542" s="1607"/>
      <c r="AB542" s="1607"/>
      <c r="AC542" s="1607"/>
      <c r="AD542" s="1607"/>
      <c r="AE542" s="1607"/>
      <c r="AF542" s="1607"/>
      <c r="AG542" s="1607"/>
      <c r="AH542" s="1607"/>
      <c r="AI542" s="1607"/>
      <c r="AJ542" s="1607"/>
      <c r="AK542" s="1607"/>
      <c r="AL542" s="1607"/>
      <c r="AM542" s="1607"/>
      <c r="AN542" s="1607"/>
      <c r="AO542" s="1607"/>
      <c r="AP542" s="1607"/>
      <c r="AQ542" s="1607"/>
      <c r="AR542" s="1607"/>
      <c r="AS542" s="1607"/>
      <c r="AT542" s="1607"/>
      <c r="AU542" s="1607"/>
      <c r="AV542" s="1607"/>
      <c r="AW542" s="1607"/>
      <c r="AX542" s="1607"/>
      <c r="AY542" s="1607"/>
      <c r="AZ542" s="1607"/>
      <c r="BA542" s="1607"/>
      <c r="BB542" s="1607"/>
      <c r="BC542" s="1607"/>
      <c r="BD542" s="1607"/>
      <c r="BE542" s="1607"/>
      <c r="BF542" s="1607"/>
      <c r="BG542" s="1607"/>
      <c r="BH542" s="1607"/>
      <c r="BI542" s="1607"/>
      <c r="BJ542" s="1607"/>
      <c r="BK542" s="1607"/>
      <c r="BL542" s="1607"/>
    </row>
    <row r="543">
      <c r="A543" s="1607"/>
      <c r="B543" s="1607"/>
      <c r="C543" s="1607"/>
      <c r="D543" s="1607"/>
      <c r="E543" s="1607"/>
      <c r="F543" s="1607"/>
      <c r="G543" s="1607"/>
      <c r="H543" s="1607"/>
      <c r="I543" s="1607"/>
      <c r="J543" s="1607"/>
      <c r="K543" s="1607"/>
      <c r="L543" s="1607"/>
      <c r="M543" s="1607"/>
      <c r="N543" s="1607"/>
      <c r="O543" s="1607"/>
      <c r="P543" s="1607"/>
      <c r="Q543" s="1607"/>
      <c r="R543" s="1607"/>
      <c r="S543" s="1607"/>
      <c r="T543" s="1607"/>
      <c r="U543" s="1607"/>
      <c r="V543" s="1607"/>
      <c r="W543" s="1607"/>
      <c r="X543" s="1607"/>
      <c r="Y543" s="1607"/>
      <c r="Z543" s="1607"/>
      <c r="AA543" s="1607"/>
      <c r="AB543" s="1607"/>
      <c r="AC543" s="1607"/>
      <c r="AD543" s="1607"/>
      <c r="AE543" s="1607"/>
      <c r="AF543" s="1607"/>
      <c r="AG543" s="1607"/>
      <c r="AH543" s="1607"/>
      <c r="AI543" s="1607"/>
      <c r="AJ543" s="1607"/>
      <c r="AK543" s="1607"/>
      <c r="AL543" s="1607"/>
      <c r="AM543" s="1607"/>
      <c r="AN543" s="1607"/>
      <c r="AO543" s="1607"/>
      <c r="AP543" s="1607"/>
      <c r="AQ543" s="1607"/>
      <c r="AR543" s="1607"/>
      <c r="AS543" s="1607"/>
      <c r="AT543" s="1607"/>
      <c r="AU543" s="1607"/>
      <c r="AV543" s="1607"/>
      <c r="AW543" s="1607"/>
      <c r="AX543" s="1607"/>
      <c r="AY543" s="1607"/>
      <c r="AZ543" s="1607"/>
      <c r="BA543" s="1607"/>
      <c r="BB543" s="1607"/>
      <c r="BC543" s="1607"/>
      <c r="BD543" s="1607"/>
      <c r="BE543" s="1607"/>
      <c r="BF543" s="1607"/>
      <c r="BG543" s="1607"/>
      <c r="BH543" s="1607"/>
      <c r="BI543" s="1607"/>
      <c r="BJ543" s="1607"/>
      <c r="BK543" s="1607"/>
      <c r="BL543" s="1607"/>
    </row>
    <row r="544">
      <c r="A544" s="1607"/>
      <c r="B544" s="1607"/>
      <c r="C544" s="1607"/>
      <c r="D544" s="1607"/>
      <c r="E544" s="1607"/>
      <c r="F544" s="1607"/>
      <c r="G544" s="1607"/>
      <c r="H544" s="1607"/>
      <c r="I544" s="1607"/>
      <c r="J544" s="1607"/>
      <c r="K544" s="1607"/>
      <c r="L544" s="1607"/>
      <c r="M544" s="1607"/>
      <c r="N544" s="1607"/>
      <c r="O544" s="1607"/>
      <c r="P544" s="1607"/>
      <c r="Q544" s="1607"/>
      <c r="R544" s="1607"/>
      <c r="S544" s="1607"/>
      <c r="T544" s="1607"/>
      <c r="U544" s="1607"/>
      <c r="V544" s="1607"/>
      <c r="W544" s="1607"/>
      <c r="X544" s="1607"/>
      <c r="Y544" s="1607"/>
      <c r="Z544" s="1607"/>
      <c r="AA544" s="1607"/>
      <c r="AB544" s="1607"/>
      <c r="AC544" s="1607"/>
      <c r="AD544" s="1607"/>
      <c r="AE544" s="1607"/>
      <c r="AF544" s="1607"/>
      <c r="AG544" s="1607"/>
      <c r="AH544" s="1607"/>
      <c r="AI544" s="1607"/>
      <c r="AJ544" s="1607"/>
      <c r="AK544" s="1607"/>
      <c r="AL544" s="1607"/>
      <c r="AM544" s="1607"/>
      <c r="AN544" s="1607"/>
      <c r="AO544" s="1607"/>
      <c r="AP544" s="1607"/>
      <c r="AQ544" s="1607"/>
      <c r="AR544" s="1607"/>
      <c r="AS544" s="1607"/>
      <c r="AT544" s="1607"/>
      <c r="AU544" s="1607"/>
      <c r="AV544" s="1607"/>
      <c r="AW544" s="1607"/>
      <c r="AX544" s="1607"/>
      <c r="AY544" s="1607"/>
      <c r="AZ544" s="1607"/>
      <c r="BA544" s="1607"/>
      <c r="BB544" s="1607"/>
      <c r="BC544" s="1607"/>
      <c r="BD544" s="1607"/>
      <c r="BE544" s="1607"/>
      <c r="BF544" s="1607"/>
      <c r="BG544" s="1607"/>
      <c r="BH544" s="1607"/>
      <c r="BI544" s="1607"/>
      <c r="BJ544" s="1607"/>
      <c r="BK544" s="1607"/>
      <c r="BL544" s="1607"/>
    </row>
    <row r="545">
      <c r="A545" s="1607"/>
      <c r="B545" s="1607"/>
      <c r="C545" s="1607"/>
      <c r="D545" s="1607"/>
      <c r="E545" s="1607"/>
      <c r="F545" s="1607"/>
      <c r="G545" s="1607"/>
      <c r="H545" s="1607"/>
      <c r="I545" s="1607"/>
      <c r="J545" s="1607"/>
      <c r="K545" s="1607"/>
      <c r="L545" s="1607"/>
      <c r="M545" s="1607"/>
      <c r="N545" s="1607"/>
      <c r="O545" s="1607"/>
      <c r="P545" s="1607"/>
      <c r="Q545" s="1607"/>
      <c r="R545" s="1607"/>
      <c r="S545" s="1607"/>
      <c r="T545" s="1607"/>
      <c r="U545" s="1607"/>
      <c r="V545" s="1607"/>
      <c r="W545" s="1607"/>
      <c r="X545" s="1607"/>
      <c r="Y545" s="1607"/>
      <c r="Z545" s="1607"/>
      <c r="AA545" s="1607"/>
      <c r="AB545" s="1607"/>
      <c r="AC545" s="1607"/>
      <c r="AD545" s="1607"/>
      <c r="AE545" s="1607"/>
      <c r="AF545" s="1607"/>
      <c r="AG545" s="1607"/>
      <c r="AH545" s="1607"/>
      <c r="AI545" s="1607"/>
      <c r="AJ545" s="1607"/>
      <c r="AK545" s="1607"/>
      <c r="AL545" s="1607"/>
      <c r="AM545" s="1607"/>
      <c r="AN545" s="1607"/>
      <c r="AO545" s="1607"/>
      <c r="AP545" s="1607"/>
      <c r="AQ545" s="1607"/>
      <c r="AR545" s="1607"/>
      <c r="AS545" s="1607"/>
      <c r="AT545" s="1607"/>
      <c r="AU545" s="1607"/>
      <c r="AV545" s="1607"/>
      <c r="AW545" s="1607"/>
      <c r="AX545" s="1607"/>
      <c r="AY545" s="1607"/>
      <c r="AZ545" s="1607"/>
      <c r="BA545" s="1607"/>
      <c r="BB545" s="1607"/>
      <c r="BC545" s="1607"/>
      <c r="BD545" s="1607"/>
      <c r="BE545" s="1607"/>
      <c r="BF545" s="1607"/>
      <c r="BG545" s="1607"/>
      <c r="BH545" s="1607"/>
      <c r="BI545" s="1607"/>
      <c r="BJ545" s="1607"/>
      <c r="BK545" s="1607"/>
      <c r="BL545" s="1607"/>
    </row>
    <row r="546">
      <c r="A546" s="1607"/>
      <c r="B546" s="1607"/>
      <c r="C546" s="1607"/>
      <c r="D546" s="1607"/>
      <c r="E546" s="1607"/>
      <c r="F546" s="1607"/>
      <c r="G546" s="1607"/>
      <c r="H546" s="1607"/>
      <c r="I546" s="1607"/>
      <c r="J546" s="1607"/>
      <c r="K546" s="1607"/>
      <c r="L546" s="1607"/>
      <c r="M546" s="1607"/>
      <c r="N546" s="1607"/>
      <c r="O546" s="1607"/>
      <c r="P546" s="1607"/>
      <c r="Q546" s="1607"/>
      <c r="R546" s="1607"/>
      <c r="S546" s="1607"/>
      <c r="T546" s="1607"/>
      <c r="U546" s="1607"/>
      <c r="V546" s="1607"/>
      <c r="W546" s="1607"/>
      <c r="X546" s="1607"/>
      <c r="Y546" s="1607"/>
      <c r="Z546" s="1607"/>
      <c r="AA546" s="1607"/>
      <c r="AB546" s="1607"/>
      <c r="AC546" s="1607"/>
      <c r="AD546" s="1607"/>
      <c r="AE546" s="1607"/>
      <c r="AF546" s="1607"/>
      <c r="AG546" s="1607"/>
      <c r="AH546" s="1607"/>
      <c r="AI546" s="1607"/>
      <c r="AJ546" s="1607"/>
      <c r="AK546" s="1607"/>
      <c r="AL546" s="1607"/>
      <c r="AM546" s="1607"/>
      <c r="AN546" s="1607"/>
      <c r="AO546" s="1607"/>
      <c r="AP546" s="1607"/>
      <c r="AQ546" s="1607"/>
      <c r="AR546" s="1607"/>
      <c r="AS546" s="1607"/>
      <c r="AT546" s="1607"/>
      <c r="AU546" s="1607"/>
      <c r="AV546" s="1607"/>
      <c r="AW546" s="1607"/>
      <c r="AX546" s="1607"/>
      <c r="AY546" s="1607"/>
      <c r="AZ546" s="1607"/>
      <c r="BA546" s="1607"/>
      <c r="BB546" s="1607"/>
      <c r="BC546" s="1607"/>
      <c r="BD546" s="1607"/>
      <c r="BE546" s="1607"/>
      <c r="BF546" s="1607"/>
      <c r="BG546" s="1607"/>
      <c r="BH546" s="1607"/>
      <c r="BI546" s="1607"/>
      <c r="BJ546" s="1607"/>
      <c r="BK546" s="1607"/>
      <c r="BL546" s="1607"/>
    </row>
    <row r="547">
      <c r="A547" s="1607"/>
      <c r="B547" s="1607"/>
      <c r="C547" s="1607"/>
      <c r="D547" s="1607"/>
      <c r="E547" s="1607"/>
      <c r="F547" s="1607"/>
      <c r="G547" s="1607"/>
      <c r="H547" s="1607"/>
      <c r="I547" s="1607"/>
      <c r="J547" s="1607"/>
      <c r="K547" s="1607"/>
      <c r="L547" s="1607"/>
      <c r="M547" s="1607"/>
      <c r="N547" s="1607"/>
      <c r="O547" s="1607"/>
      <c r="P547" s="1607"/>
      <c r="Q547" s="1607"/>
      <c r="R547" s="1607"/>
      <c r="S547" s="1607"/>
      <c r="T547" s="1607"/>
      <c r="U547" s="1607"/>
      <c r="V547" s="1607"/>
      <c r="W547" s="1607"/>
      <c r="X547" s="1607"/>
      <c r="Y547" s="1607"/>
      <c r="Z547" s="1607"/>
      <c r="AA547" s="1607"/>
      <c r="AB547" s="1607"/>
      <c r="AC547" s="1607"/>
      <c r="AD547" s="1607"/>
      <c r="AE547" s="1607"/>
      <c r="AF547" s="1607"/>
      <c r="AG547" s="1607"/>
      <c r="AH547" s="1607"/>
      <c r="AI547" s="1607"/>
      <c r="AJ547" s="1607"/>
      <c r="AK547" s="1607"/>
      <c r="AL547" s="1607"/>
      <c r="AM547" s="1607"/>
      <c r="AN547" s="1607"/>
      <c r="AO547" s="1607"/>
      <c r="AP547" s="1607"/>
      <c r="AQ547" s="1607"/>
      <c r="AR547" s="1607"/>
      <c r="AS547" s="1607"/>
      <c r="AT547" s="1607"/>
      <c r="AU547" s="1607"/>
      <c r="AV547" s="1607"/>
      <c r="AW547" s="1607"/>
      <c r="AX547" s="1607"/>
      <c r="AY547" s="1607"/>
      <c r="AZ547" s="1607"/>
      <c r="BA547" s="1607"/>
      <c r="BB547" s="1607"/>
      <c r="BC547" s="1607"/>
      <c r="BD547" s="1607"/>
      <c r="BE547" s="1607"/>
      <c r="BF547" s="1607"/>
      <c r="BG547" s="1607"/>
      <c r="BH547" s="1607"/>
      <c r="BI547" s="1607"/>
      <c r="BJ547" s="1607"/>
      <c r="BK547" s="1607"/>
      <c r="BL547" s="1607"/>
    </row>
    <row r="548">
      <c r="A548" s="1607"/>
      <c r="B548" s="1607"/>
      <c r="C548" s="1607"/>
      <c r="D548" s="1607"/>
      <c r="E548" s="1607"/>
      <c r="F548" s="1607"/>
      <c r="G548" s="1607"/>
      <c r="H548" s="1607"/>
      <c r="I548" s="1607"/>
      <c r="J548" s="1607"/>
      <c r="K548" s="1607"/>
      <c r="L548" s="1607"/>
      <c r="M548" s="1607"/>
      <c r="N548" s="1607"/>
      <c r="O548" s="1607"/>
      <c r="P548" s="1607"/>
      <c r="Q548" s="1607"/>
      <c r="R548" s="1607"/>
      <c r="S548" s="1607"/>
      <c r="T548" s="1607"/>
      <c r="U548" s="1607"/>
      <c r="V548" s="1607"/>
      <c r="W548" s="1607"/>
      <c r="X548" s="1607"/>
      <c r="Y548" s="1607"/>
      <c r="Z548" s="1607"/>
      <c r="AA548" s="1607"/>
      <c r="AB548" s="1607"/>
      <c r="AC548" s="1607"/>
      <c r="AD548" s="1607"/>
      <c r="AE548" s="1607"/>
      <c r="AF548" s="1607"/>
      <c r="AG548" s="1607"/>
      <c r="AH548" s="1607"/>
      <c r="AI548" s="1607"/>
      <c r="AJ548" s="1607"/>
      <c r="AK548" s="1607"/>
      <c r="AL548" s="1607"/>
      <c r="AM548" s="1607"/>
      <c r="AN548" s="1607"/>
      <c r="AO548" s="1607"/>
      <c r="AP548" s="1607"/>
      <c r="AQ548" s="1607"/>
      <c r="AR548" s="1607"/>
      <c r="AS548" s="1607"/>
      <c r="AT548" s="1607"/>
      <c r="AU548" s="1607"/>
      <c r="AV548" s="1607"/>
      <c r="AW548" s="1607"/>
      <c r="AX548" s="1607"/>
      <c r="AY548" s="1607"/>
      <c r="AZ548" s="1607"/>
      <c r="BA548" s="1607"/>
      <c r="BB548" s="1607"/>
      <c r="BC548" s="1607"/>
      <c r="BD548" s="1607"/>
      <c r="BE548" s="1607"/>
      <c r="BF548" s="1607"/>
      <c r="BG548" s="1607"/>
      <c r="BH548" s="1607"/>
      <c r="BI548" s="1607"/>
      <c r="BJ548" s="1607"/>
      <c r="BK548" s="1607"/>
      <c r="BL548" s="1607"/>
    </row>
    <row r="549">
      <c r="A549" s="1607"/>
      <c r="B549" s="1607"/>
      <c r="C549" s="1607"/>
      <c r="D549" s="1607"/>
      <c r="E549" s="1607"/>
      <c r="F549" s="1607"/>
      <c r="G549" s="1607"/>
      <c r="H549" s="1607"/>
      <c r="I549" s="1607"/>
      <c r="J549" s="1607"/>
      <c r="K549" s="1607"/>
      <c r="L549" s="1607"/>
      <c r="M549" s="1607"/>
      <c r="N549" s="1607"/>
      <c r="O549" s="1607"/>
      <c r="P549" s="1607"/>
      <c r="Q549" s="1607"/>
      <c r="R549" s="1607"/>
      <c r="S549" s="1607"/>
      <c r="T549" s="1607"/>
      <c r="U549" s="1607"/>
      <c r="V549" s="1607"/>
      <c r="W549" s="1607"/>
      <c r="X549" s="1607"/>
      <c r="Y549" s="1607"/>
      <c r="Z549" s="1607"/>
      <c r="AA549" s="1607"/>
      <c r="AB549" s="1607"/>
      <c r="AC549" s="1607"/>
      <c r="AD549" s="1607"/>
      <c r="AE549" s="1607"/>
      <c r="AF549" s="1607"/>
      <c r="AG549" s="1607"/>
      <c r="AH549" s="1607"/>
      <c r="AI549" s="1607"/>
      <c r="AJ549" s="1607"/>
      <c r="AK549" s="1607"/>
      <c r="AL549" s="1607"/>
      <c r="AM549" s="1607"/>
      <c r="AN549" s="1607"/>
      <c r="AO549" s="1607"/>
      <c r="AP549" s="1607"/>
      <c r="AQ549" s="1607"/>
      <c r="AR549" s="1607"/>
      <c r="AS549" s="1607"/>
      <c r="AT549" s="1607"/>
      <c r="AU549" s="1607"/>
      <c r="AV549" s="1607"/>
      <c r="AW549" s="1607"/>
      <c r="AX549" s="1607"/>
      <c r="AY549" s="1607"/>
      <c r="AZ549" s="1607"/>
      <c r="BA549" s="1607"/>
      <c r="BB549" s="1607"/>
      <c r="BC549" s="1607"/>
      <c r="BD549" s="1607"/>
      <c r="BE549" s="1607"/>
      <c r="BF549" s="1607"/>
      <c r="BG549" s="1607"/>
      <c r="BH549" s="1607"/>
      <c r="BI549" s="1607"/>
      <c r="BJ549" s="1607"/>
      <c r="BK549" s="1607"/>
      <c r="BL549" s="1607"/>
    </row>
    <row r="550">
      <c r="A550" s="1607"/>
      <c r="B550" s="1607"/>
      <c r="C550" s="1607"/>
      <c r="D550" s="1607"/>
      <c r="E550" s="1607"/>
      <c r="F550" s="1607"/>
      <c r="G550" s="1607"/>
      <c r="H550" s="1607"/>
      <c r="I550" s="1607"/>
      <c r="J550" s="1607"/>
      <c r="K550" s="1607"/>
      <c r="L550" s="1607"/>
      <c r="M550" s="1607"/>
      <c r="N550" s="1607"/>
      <c r="O550" s="1607"/>
      <c r="P550" s="1607"/>
      <c r="Q550" s="1607"/>
      <c r="R550" s="1607"/>
      <c r="S550" s="1607"/>
      <c r="T550" s="1607"/>
      <c r="U550" s="1607"/>
      <c r="V550" s="1607"/>
      <c r="W550" s="1607"/>
      <c r="X550" s="1607"/>
      <c r="Y550" s="1607"/>
      <c r="Z550" s="1607"/>
      <c r="AA550" s="1607"/>
      <c r="AB550" s="1607"/>
      <c r="AC550" s="1607"/>
      <c r="AD550" s="1607"/>
      <c r="AE550" s="1607"/>
      <c r="AF550" s="1607"/>
      <c r="AG550" s="1607"/>
      <c r="AH550" s="1607"/>
      <c r="AI550" s="1607"/>
      <c r="AJ550" s="1607"/>
      <c r="AK550" s="1607"/>
      <c r="AL550" s="1607"/>
      <c r="AM550" s="1607"/>
      <c r="AN550" s="1607"/>
      <c r="AO550" s="1607"/>
      <c r="AP550" s="1607"/>
      <c r="AQ550" s="1607"/>
      <c r="AR550" s="1607"/>
      <c r="AS550" s="1607"/>
      <c r="AT550" s="1607"/>
      <c r="AU550" s="1607"/>
      <c r="AV550" s="1607"/>
      <c r="AW550" s="1607"/>
      <c r="AX550" s="1607"/>
      <c r="AY550" s="1607"/>
      <c r="AZ550" s="1607"/>
      <c r="BA550" s="1607"/>
      <c r="BB550" s="1607"/>
      <c r="BC550" s="1607"/>
      <c r="BD550" s="1607"/>
      <c r="BE550" s="1607"/>
      <c r="BF550" s="1607"/>
      <c r="BG550" s="1607"/>
      <c r="BH550" s="1607"/>
      <c r="BI550" s="1607"/>
      <c r="BJ550" s="1607"/>
      <c r="BK550" s="1607"/>
      <c r="BL550" s="1607"/>
    </row>
    <row r="551">
      <c r="A551" s="1607"/>
      <c r="B551" s="1607"/>
      <c r="C551" s="1607"/>
      <c r="D551" s="1607"/>
      <c r="E551" s="1607"/>
      <c r="F551" s="1607"/>
      <c r="G551" s="1607"/>
      <c r="H551" s="1607"/>
      <c r="I551" s="1607"/>
      <c r="J551" s="1607"/>
      <c r="K551" s="1607"/>
      <c r="L551" s="1607"/>
      <c r="M551" s="1607"/>
      <c r="N551" s="1607"/>
      <c r="O551" s="1607"/>
      <c r="P551" s="1607"/>
      <c r="Q551" s="1607"/>
      <c r="R551" s="1607"/>
      <c r="S551" s="1607"/>
      <c r="T551" s="1607"/>
      <c r="U551" s="1607"/>
      <c r="V551" s="1607"/>
      <c r="W551" s="1607"/>
      <c r="X551" s="1607"/>
      <c r="Y551" s="1607"/>
      <c r="Z551" s="1607"/>
      <c r="AA551" s="1607"/>
      <c r="AB551" s="1607"/>
      <c r="AC551" s="1607"/>
      <c r="AD551" s="1607"/>
      <c r="AE551" s="1607"/>
      <c r="AF551" s="1607"/>
      <c r="AG551" s="1607"/>
      <c r="AH551" s="1607"/>
      <c r="AI551" s="1607"/>
      <c r="AJ551" s="1607"/>
      <c r="AK551" s="1607"/>
      <c r="AL551" s="1607"/>
      <c r="AM551" s="1607"/>
      <c r="AN551" s="1607"/>
      <c r="AO551" s="1607"/>
      <c r="AP551" s="1607"/>
      <c r="AQ551" s="1607"/>
      <c r="AR551" s="1607"/>
      <c r="AS551" s="1607"/>
      <c r="AT551" s="1607"/>
      <c r="AU551" s="1607"/>
      <c r="AV551" s="1607"/>
      <c r="AW551" s="1607"/>
      <c r="AX551" s="1607"/>
      <c r="AY551" s="1607"/>
      <c r="AZ551" s="1607"/>
      <c r="BA551" s="1607"/>
      <c r="BB551" s="1607"/>
      <c r="BC551" s="1607"/>
      <c r="BD551" s="1607"/>
      <c r="BE551" s="1607"/>
      <c r="BF551" s="1607"/>
      <c r="BG551" s="1607"/>
      <c r="BH551" s="1607"/>
      <c r="BI551" s="1607"/>
      <c r="BJ551" s="1607"/>
      <c r="BK551" s="1607"/>
      <c r="BL551" s="1607"/>
    </row>
    <row r="552">
      <c r="A552" s="1607"/>
      <c r="B552" s="1607"/>
      <c r="C552" s="1607"/>
      <c r="D552" s="1607"/>
      <c r="E552" s="1607"/>
      <c r="F552" s="1607"/>
      <c r="G552" s="1607"/>
      <c r="H552" s="1607"/>
      <c r="I552" s="1607"/>
      <c r="J552" s="1607"/>
      <c r="K552" s="1607"/>
      <c r="L552" s="1607"/>
      <c r="M552" s="1607"/>
      <c r="N552" s="1607"/>
      <c r="O552" s="1607"/>
      <c r="P552" s="1607"/>
      <c r="Q552" s="1607"/>
      <c r="R552" s="1607"/>
      <c r="S552" s="1607"/>
      <c r="T552" s="1607"/>
      <c r="U552" s="1607"/>
      <c r="V552" s="1607"/>
      <c r="W552" s="1607"/>
      <c r="X552" s="1607"/>
      <c r="Y552" s="1607"/>
      <c r="Z552" s="1607"/>
      <c r="AA552" s="1607"/>
      <c r="AB552" s="1607"/>
      <c r="AC552" s="1607"/>
      <c r="AD552" s="1607"/>
      <c r="AE552" s="1607"/>
      <c r="AF552" s="1607"/>
      <c r="AG552" s="1607"/>
      <c r="AH552" s="1607"/>
      <c r="AI552" s="1607"/>
      <c r="AJ552" s="1607"/>
      <c r="AK552" s="1607"/>
      <c r="AL552" s="1607"/>
      <c r="AM552" s="1607"/>
      <c r="AN552" s="1607"/>
      <c r="AO552" s="1607"/>
      <c r="AP552" s="1607"/>
      <c r="AQ552" s="1607"/>
      <c r="AR552" s="1607"/>
      <c r="AS552" s="1607"/>
      <c r="AT552" s="1607"/>
      <c r="AU552" s="1607"/>
      <c r="AV552" s="1607"/>
      <c r="AW552" s="1607"/>
      <c r="AX552" s="1607"/>
      <c r="AY552" s="1607"/>
      <c r="AZ552" s="1607"/>
      <c r="BA552" s="1607"/>
      <c r="BB552" s="1607"/>
      <c r="BC552" s="1607"/>
      <c r="BD552" s="1607"/>
      <c r="BE552" s="1607"/>
      <c r="BF552" s="1607"/>
      <c r="BG552" s="1607"/>
      <c r="BH552" s="1607"/>
      <c r="BI552" s="1607"/>
      <c r="BJ552" s="1607"/>
      <c r="BK552" s="1607"/>
      <c r="BL552" s="1607"/>
    </row>
    <row r="553">
      <c r="A553" s="1607"/>
      <c r="B553" s="1607"/>
      <c r="C553" s="1607"/>
      <c r="D553" s="1607"/>
      <c r="E553" s="1607"/>
      <c r="F553" s="1607"/>
      <c r="G553" s="1607"/>
      <c r="H553" s="1607"/>
      <c r="I553" s="1607"/>
      <c r="J553" s="1607"/>
      <c r="K553" s="1607"/>
      <c r="L553" s="1607"/>
      <c r="M553" s="1607"/>
      <c r="N553" s="1607"/>
      <c r="O553" s="1607"/>
      <c r="P553" s="1607"/>
      <c r="Q553" s="1607"/>
      <c r="R553" s="1607"/>
      <c r="S553" s="1607"/>
      <c r="T553" s="1607"/>
      <c r="U553" s="1607"/>
      <c r="V553" s="1607"/>
      <c r="W553" s="1607"/>
      <c r="X553" s="1607"/>
      <c r="Y553" s="1607"/>
      <c r="Z553" s="1607"/>
      <c r="AA553" s="1607"/>
      <c r="AB553" s="1607"/>
      <c r="AC553" s="1607"/>
      <c r="AD553" s="1607"/>
      <c r="AE553" s="1607"/>
      <c r="AF553" s="1607"/>
      <c r="AG553" s="1607"/>
      <c r="AH553" s="1607"/>
      <c r="AI553" s="1607"/>
      <c r="AJ553" s="1607"/>
      <c r="AK553" s="1607"/>
      <c r="AL553" s="1607"/>
      <c r="AM553" s="1607"/>
      <c r="AN553" s="1607"/>
      <c r="AO553" s="1607"/>
      <c r="AP553" s="1607"/>
      <c r="AQ553" s="1607"/>
      <c r="AR553" s="1607"/>
      <c r="AS553" s="1607"/>
      <c r="AT553" s="1607"/>
      <c r="AU553" s="1607"/>
      <c r="AV553" s="1607"/>
      <c r="AW553" s="1607"/>
      <c r="AX553" s="1607"/>
      <c r="AY553" s="1607"/>
      <c r="AZ553" s="1607"/>
      <c r="BA553" s="1607"/>
      <c r="BB553" s="1607"/>
      <c r="BC553" s="1607"/>
      <c r="BD553" s="1607"/>
      <c r="BE553" s="1607"/>
      <c r="BF553" s="1607"/>
      <c r="BG553" s="1607"/>
      <c r="BH553" s="1607"/>
      <c r="BI553" s="1607"/>
      <c r="BJ553" s="1607"/>
      <c r="BK553" s="1607"/>
      <c r="BL553" s="1607"/>
    </row>
    <row r="554">
      <c r="A554" s="1607"/>
      <c r="B554" s="1607"/>
      <c r="C554" s="1607"/>
      <c r="D554" s="1607"/>
      <c r="E554" s="1607"/>
      <c r="F554" s="1607"/>
      <c r="G554" s="1607"/>
      <c r="H554" s="1607"/>
      <c r="I554" s="1607"/>
      <c r="J554" s="1607"/>
      <c r="K554" s="1607"/>
      <c r="L554" s="1607"/>
      <c r="M554" s="1607"/>
      <c r="N554" s="1607"/>
      <c r="O554" s="1607"/>
      <c r="P554" s="1607"/>
      <c r="Q554" s="1607"/>
      <c r="R554" s="1607"/>
      <c r="S554" s="1607"/>
      <c r="T554" s="1607"/>
      <c r="U554" s="1607"/>
      <c r="V554" s="1607"/>
      <c r="W554" s="1607"/>
      <c r="X554" s="1607"/>
      <c r="Y554" s="1607"/>
      <c r="Z554" s="1607"/>
      <c r="AA554" s="1607"/>
      <c r="AB554" s="1607"/>
      <c r="AC554" s="1607"/>
      <c r="AD554" s="1607"/>
      <c r="AE554" s="1607"/>
      <c r="AF554" s="1607"/>
      <c r="AG554" s="1607"/>
      <c r="AH554" s="1607"/>
      <c r="AI554" s="1607"/>
      <c r="AJ554" s="1607"/>
      <c r="AK554" s="1607"/>
      <c r="AL554" s="1607"/>
      <c r="AM554" s="1607"/>
      <c r="AN554" s="1607"/>
      <c r="AO554" s="1607"/>
      <c r="AP554" s="1607"/>
      <c r="AQ554" s="1607"/>
      <c r="AR554" s="1607"/>
      <c r="AS554" s="1607"/>
      <c r="AT554" s="1607"/>
      <c r="AU554" s="1607"/>
      <c r="AV554" s="1607"/>
      <c r="AW554" s="1607"/>
      <c r="AX554" s="1607"/>
      <c r="AY554" s="1607"/>
      <c r="AZ554" s="1607"/>
      <c r="BA554" s="1607"/>
      <c r="BB554" s="1607"/>
      <c r="BC554" s="1607"/>
      <c r="BD554" s="1607"/>
      <c r="BE554" s="1607"/>
      <c r="BF554" s="1607"/>
      <c r="BG554" s="1607"/>
      <c r="BH554" s="1607"/>
      <c r="BI554" s="1607"/>
      <c r="BJ554" s="1607"/>
      <c r="BK554" s="1607"/>
      <c r="BL554" s="1607"/>
    </row>
    <row r="555">
      <c r="A555" s="1607"/>
      <c r="B555" s="1607"/>
      <c r="C555" s="1607"/>
      <c r="D555" s="1607"/>
      <c r="E555" s="1607"/>
      <c r="F555" s="1607"/>
      <c r="G555" s="1607"/>
      <c r="H555" s="1607"/>
      <c r="I555" s="1607"/>
      <c r="J555" s="1607"/>
      <c r="K555" s="1607"/>
      <c r="L555" s="1607"/>
      <c r="M555" s="1607"/>
      <c r="N555" s="1607"/>
      <c r="O555" s="1607"/>
      <c r="P555" s="1607"/>
      <c r="Q555" s="1607"/>
      <c r="R555" s="1607"/>
      <c r="S555" s="1607"/>
      <c r="T555" s="1607"/>
      <c r="U555" s="1607"/>
      <c r="V555" s="1607"/>
      <c r="W555" s="1607"/>
      <c r="X555" s="1607"/>
      <c r="Y555" s="1607"/>
      <c r="Z555" s="1607"/>
      <c r="AA555" s="1607"/>
      <c r="AB555" s="1607"/>
      <c r="AC555" s="1607"/>
      <c r="AD555" s="1607"/>
      <c r="AE555" s="1607"/>
      <c r="AF555" s="1607"/>
      <c r="AG555" s="1607"/>
      <c r="AH555" s="1607"/>
      <c r="AI555" s="1607"/>
      <c r="AJ555" s="1607"/>
      <c r="AK555" s="1607"/>
      <c r="AL555" s="1607"/>
      <c r="AM555" s="1607"/>
      <c r="AN555" s="1607"/>
      <c r="AO555" s="1607"/>
      <c r="AP555" s="1607"/>
      <c r="AQ555" s="1607"/>
      <c r="AR555" s="1607"/>
      <c r="AS555" s="1607"/>
      <c r="AT555" s="1607"/>
      <c r="AU555" s="1607"/>
      <c r="AV555" s="1607"/>
      <c r="AW555" s="1607"/>
      <c r="AX555" s="1607"/>
      <c r="AY555" s="1607"/>
      <c r="AZ555" s="1607"/>
      <c r="BA555" s="1607"/>
      <c r="BB555" s="1607"/>
      <c r="BC555" s="1607"/>
      <c r="BD555" s="1607"/>
      <c r="BE555" s="1607"/>
      <c r="BF555" s="1607"/>
      <c r="BG555" s="1607"/>
      <c r="BH555" s="1607"/>
      <c r="BI555" s="1607"/>
      <c r="BJ555" s="1607"/>
      <c r="BK555" s="1607"/>
      <c r="BL555" s="1607"/>
    </row>
    <row r="556">
      <c r="A556" s="1607"/>
      <c r="B556" s="1607"/>
      <c r="C556" s="1607"/>
      <c r="D556" s="1607"/>
      <c r="E556" s="1607"/>
      <c r="F556" s="1607"/>
      <c r="G556" s="1607"/>
      <c r="H556" s="1607"/>
      <c r="I556" s="1607"/>
      <c r="J556" s="1607"/>
      <c r="K556" s="1607"/>
      <c r="L556" s="1607"/>
      <c r="M556" s="1607"/>
      <c r="N556" s="1607"/>
      <c r="O556" s="1607"/>
      <c r="P556" s="1607"/>
      <c r="Q556" s="1607"/>
      <c r="R556" s="1607"/>
      <c r="S556" s="1607"/>
      <c r="T556" s="1607"/>
      <c r="U556" s="1607"/>
      <c r="V556" s="1607"/>
      <c r="W556" s="1607"/>
      <c r="X556" s="1607"/>
      <c r="Y556" s="1607"/>
      <c r="Z556" s="1607"/>
      <c r="AA556" s="1607"/>
      <c r="AB556" s="1607"/>
      <c r="AC556" s="1607"/>
      <c r="AD556" s="1607"/>
      <c r="AE556" s="1607"/>
      <c r="AF556" s="1607"/>
      <c r="AG556" s="1607"/>
      <c r="AH556" s="1607"/>
      <c r="AI556" s="1607"/>
      <c r="AJ556" s="1607"/>
      <c r="AK556" s="1607"/>
      <c r="AL556" s="1607"/>
      <c r="AM556" s="1607"/>
      <c r="AN556" s="1607"/>
      <c r="AO556" s="1607"/>
      <c r="AP556" s="1607"/>
      <c r="AQ556" s="1607"/>
      <c r="AR556" s="1607"/>
      <c r="AS556" s="1607"/>
      <c r="AT556" s="1607"/>
      <c r="AU556" s="1607"/>
      <c r="AV556" s="1607"/>
      <c r="AW556" s="1607"/>
      <c r="AX556" s="1607"/>
      <c r="AY556" s="1607"/>
      <c r="AZ556" s="1607"/>
      <c r="BA556" s="1607"/>
      <c r="BB556" s="1607"/>
      <c r="BC556" s="1607"/>
      <c r="BD556" s="1607"/>
      <c r="BE556" s="1607"/>
      <c r="BF556" s="1607"/>
      <c r="BG556" s="1607"/>
      <c r="BH556" s="1607"/>
      <c r="BI556" s="1607"/>
      <c r="BJ556" s="1607"/>
      <c r="BK556" s="1607"/>
      <c r="BL556" s="1607"/>
    </row>
    <row r="557">
      <c r="A557" s="1607"/>
      <c r="B557" s="1607"/>
      <c r="C557" s="1607"/>
      <c r="D557" s="1607"/>
      <c r="E557" s="1607"/>
      <c r="F557" s="1607"/>
      <c r="G557" s="1607"/>
      <c r="H557" s="1607"/>
      <c r="I557" s="1607"/>
      <c r="J557" s="1607"/>
      <c r="K557" s="1607"/>
      <c r="L557" s="1607"/>
      <c r="M557" s="1607"/>
      <c r="N557" s="1607"/>
      <c r="O557" s="1607"/>
      <c r="P557" s="1607"/>
      <c r="Q557" s="1607"/>
      <c r="R557" s="1607"/>
      <c r="S557" s="1607"/>
      <c r="T557" s="1607"/>
      <c r="U557" s="1607"/>
      <c r="V557" s="1607"/>
      <c r="W557" s="1607"/>
      <c r="X557" s="1607"/>
      <c r="Y557" s="1607"/>
      <c r="Z557" s="1607"/>
      <c r="AA557" s="1607"/>
      <c r="AB557" s="1607"/>
      <c r="AC557" s="1607"/>
      <c r="AD557" s="1607"/>
      <c r="AE557" s="1607"/>
      <c r="AF557" s="1607"/>
      <c r="AG557" s="1607"/>
      <c r="AH557" s="1607"/>
      <c r="AI557" s="1607"/>
      <c r="AJ557" s="1607"/>
      <c r="AK557" s="1607"/>
      <c r="AL557" s="1607"/>
      <c r="AM557" s="1607"/>
      <c r="AN557" s="1607"/>
      <c r="AO557" s="1607"/>
      <c r="AP557" s="1607"/>
      <c r="AQ557" s="1607"/>
      <c r="AR557" s="1607"/>
      <c r="AS557" s="1607"/>
      <c r="AT557" s="1607"/>
      <c r="AU557" s="1607"/>
      <c r="AV557" s="1607"/>
      <c r="AW557" s="1607"/>
      <c r="AX557" s="1607"/>
      <c r="AY557" s="1607"/>
      <c r="AZ557" s="1607"/>
      <c r="BA557" s="1607"/>
      <c r="BB557" s="1607"/>
      <c r="BC557" s="1607"/>
      <c r="BD557" s="1607"/>
      <c r="BE557" s="1607"/>
      <c r="BF557" s="1607"/>
      <c r="BG557" s="1607"/>
      <c r="BH557" s="1607"/>
      <c r="BI557" s="1607"/>
      <c r="BJ557" s="1607"/>
      <c r="BK557" s="1607"/>
      <c r="BL557" s="1607"/>
    </row>
    <row r="558">
      <c r="A558" s="1607"/>
      <c r="B558" s="1607"/>
      <c r="C558" s="1607"/>
      <c r="D558" s="1607"/>
      <c r="E558" s="1607"/>
      <c r="F558" s="1607"/>
      <c r="G558" s="1607"/>
      <c r="H558" s="1607"/>
      <c r="I558" s="1607"/>
      <c r="J558" s="1607"/>
      <c r="K558" s="1607"/>
      <c r="L558" s="1607"/>
      <c r="M558" s="1607"/>
      <c r="N558" s="1607"/>
      <c r="O558" s="1607"/>
      <c r="P558" s="1607"/>
      <c r="Q558" s="1607"/>
      <c r="R558" s="1607"/>
      <c r="S558" s="1607"/>
      <c r="T558" s="1607"/>
      <c r="U558" s="1607"/>
      <c r="V558" s="1607"/>
      <c r="W558" s="1607"/>
      <c r="X558" s="1607"/>
      <c r="Y558" s="1607"/>
      <c r="Z558" s="1607"/>
      <c r="AA558" s="1607"/>
      <c r="AB558" s="1607"/>
      <c r="AC558" s="1607"/>
      <c r="AD558" s="1607"/>
      <c r="AE558" s="1607"/>
      <c r="AF558" s="1607"/>
      <c r="AG558" s="1607"/>
      <c r="AH558" s="1607"/>
      <c r="AI558" s="1607"/>
      <c r="AJ558" s="1607"/>
      <c r="AK558" s="1607"/>
      <c r="AL558" s="1607"/>
      <c r="AM558" s="1607"/>
      <c r="AN558" s="1607"/>
      <c r="AO558" s="1607"/>
      <c r="AP558" s="1607"/>
      <c r="AQ558" s="1607"/>
      <c r="AR558" s="1607"/>
      <c r="AS558" s="1607"/>
      <c r="AT558" s="1607"/>
      <c r="AU558" s="1607"/>
      <c r="AV558" s="1607"/>
      <c r="AW558" s="1607"/>
      <c r="AX558" s="1607"/>
      <c r="AY558" s="1607"/>
      <c r="AZ558" s="1607"/>
      <c r="BA558" s="1607"/>
      <c r="BB558" s="1607"/>
      <c r="BC558" s="1607"/>
      <c r="BD558" s="1607"/>
      <c r="BE558" s="1607"/>
      <c r="BF558" s="1607"/>
      <c r="BG558" s="1607"/>
      <c r="BH558" s="1607"/>
      <c r="BI558" s="1607"/>
      <c r="BJ558" s="1607"/>
      <c r="BK558" s="1607"/>
      <c r="BL558" s="1607"/>
    </row>
    <row r="559">
      <c r="A559" s="1607"/>
      <c r="B559" s="1607"/>
      <c r="C559" s="1607"/>
      <c r="D559" s="1607"/>
      <c r="E559" s="1607"/>
      <c r="F559" s="1607"/>
      <c r="G559" s="1607"/>
      <c r="H559" s="1607"/>
      <c r="I559" s="1607"/>
      <c r="J559" s="1607"/>
      <c r="K559" s="1607"/>
      <c r="L559" s="1607"/>
      <c r="M559" s="1607"/>
      <c r="N559" s="1607"/>
      <c r="O559" s="1607"/>
      <c r="P559" s="1607"/>
      <c r="Q559" s="1607"/>
      <c r="R559" s="1607"/>
      <c r="S559" s="1607"/>
      <c r="T559" s="1607"/>
      <c r="U559" s="1607"/>
      <c r="V559" s="1607"/>
      <c r="W559" s="1607"/>
      <c r="X559" s="1607"/>
      <c r="Y559" s="1607"/>
      <c r="Z559" s="1607"/>
      <c r="AA559" s="1607"/>
      <c r="AB559" s="1607"/>
      <c r="AC559" s="1607"/>
      <c r="AD559" s="1607"/>
      <c r="AE559" s="1607"/>
      <c r="AF559" s="1607"/>
      <c r="AG559" s="1607"/>
      <c r="AH559" s="1607"/>
      <c r="AI559" s="1607"/>
      <c r="AJ559" s="1607"/>
      <c r="AK559" s="1607"/>
      <c r="AL559" s="1607"/>
      <c r="AM559" s="1607"/>
      <c r="AN559" s="1607"/>
      <c r="AO559" s="1607"/>
      <c r="AP559" s="1607"/>
      <c r="AQ559" s="1607"/>
      <c r="AR559" s="1607"/>
      <c r="AS559" s="1607"/>
      <c r="AT559" s="1607"/>
      <c r="AU559" s="1607"/>
      <c r="AV559" s="1607"/>
      <c r="AW559" s="1607"/>
      <c r="AX559" s="1607"/>
      <c r="AY559" s="1607"/>
      <c r="AZ559" s="1607"/>
      <c r="BA559" s="1607"/>
      <c r="BB559" s="1607"/>
      <c r="BC559" s="1607"/>
      <c r="BD559" s="1607"/>
      <c r="BE559" s="1607"/>
      <c r="BF559" s="1607"/>
      <c r="BG559" s="1607"/>
      <c r="BH559" s="1607"/>
      <c r="BI559" s="1607"/>
      <c r="BJ559" s="1607"/>
      <c r="BK559" s="1607"/>
      <c r="BL559" s="1607"/>
    </row>
    <row r="560">
      <c r="A560" s="1607"/>
      <c r="B560" s="1607"/>
      <c r="C560" s="1607"/>
      <c r="D560" s="1607"/>
      <c r="E560" s="1607"/>
      <c r="F560" s="1607"/>
      <c r="G560" s="1607"/>
      <c r="H560" s="1607"/>
      <c r="I560" s="1607"/>
      <c r="J560" s="1607"/>
      <c r="K560" s="1607"/>
      <c r="L560" s="1607"/>
      <c r="M560" s="1607"/>
      <c r="N560" s="1607"/>
      <c r="O560" s="1607"/>
      <c r="P560" s="1607"/>
      <c r="Q560" s="1607"/>
      <c r="R560" s="1607"/>
      <c r="S560" s="1607"/>
      <c r="T560" s="1607"/>
      <c r="U560" s="1607"/>
      <c r="V560" s="1607"/>
      <c r="W560" s="1607"/>
      <c r="X560" s="1607"/>
      <c r="Y560" s="1607"/>
      <c r="Z560" s="1607"/>
      <c r="AA560" s="1607"/>
      <c r="AB560" s="1607"/>
      <c r="AC560" s="1607"/>
      <c r="AD560" s="1607"/>
      <c r="AE560" s="1607"/>
      <c r="AF560" s="1607"/>
      <c r="AG560" s="1607"/>
      <c r="AH560" s="1607"/>
      <c r="AI560" s="1607"/>
      <c r="AJ560" s="1607"/>
      <c r="AK560" s="1607"/>
      <c r="AL560" s="1607"/>
      <c r="AM560" s="1607"/>
      <c r="AN560" s="1607"/>
      <c r="AO560" s="1607"/>
      <c r="AP560" s="1607"/>
      <c r="AQ560" s="1607"/>
      <c r="AR560" s="1607"/>
      <c r="AS560" s="1607"/>
      <c r="AT560" s="1607"/>
      <c r="AU560" s="1607"/>
      <c r="AV560" s="1607"/>
      <c r="AW560" s="1607"/>
      <c r="AX560" s="1607"/>
      <c r="AY560" s="1607"/>
      <c r="AZ560" s="1607"/>
      <c r="BA560" s="1607"/>
      <c r="BB560" s="1607"/>
      <c r="BC560" s="1607"/>
      <c r="BD560" s="1607"/>
      <c r="BE560" s="1607"/>
      <c r="BF560" s="1607"/>
      <c r="BG560" s="1607"/>
      <c r="BH560" s="1607"/>
      <c r="BI560" s="1607"/>
      <c r="BJ560" s="1607"/>
      <c r="BK560" s="1607"/>
      <c r="BL560" s="1607"/>
    </row>
    <row r="561">
      <c r="A561" s="1607"/>
      <c r="B561" s="1607"/>
      <c r="C561" s="1607"/>
      <c r="D561" s="1607"/>
      <c r="E561" s="1607"/>
      <c r="F561" s="1607"/>
      <c r="G561" s="1607"/>
      <c r="H561" s="1607"/>
      <c r="I561" s="1607"/>
      <c r="J561" s="1607"/>
      <c r="K561" s="1607"/>
      <c r="L561" s="1607"/>
      <c r="M561" s="1607"/>
      <c r="N561" s="1607"/>
      <c r="O561" s="1607"/>
      <c r="P561" s="1607"/>
      <c r="Q561" s="1607"/>
      <c r="R561" s="1607"/>
      <c r="S561" s="1607"/>
      <c r="T561" s="1607"/>
      <c r="U561" s="1607"/>
      <c r="V561" s="1607"/>
      <c r="W561" s="1607"/>
      <c r="X561" s="1607"/>
      <c r="Y561" s="1607"/>
      <c r="Z561" s="1607"/>
      <c r="AA561" s="1607"/>
      <c r="AB561" s="1607"/>
      <c r="AC561" s="1607"/>
      <c r="AD561" s="1607"/>
      <c r="AE561" s="1607"/>
      <c r="AF561" s="1607"/>
      <c r="AG561" s="1607"/>
      <c r="AH561" s="1607"/>
      <c r="AI561" s="1607"/>
      <c r="AJ561" s="1607"/>
      <c r="AK561" s="1607"/>
      <c r="AL561" s="1607"/>
      <c r="AM561" s="1607"/>
      <c r="AN561" s="1607"/>
      <c r="AO561" s="1607"/>
      <c r="AP561" s="1607"/>
      <c r="AQ561" s="1607"/>
      <c r="AR561" s="1607"/>
      <c r="AS561" s="1607"/>
      <c r="AT561" s="1607"/>
      <c r="AU561" s="1607"/>
      <c r="AV561" s="1607"/>
      <c r="AW561" s="1607"/>
      <c r="AX561" s="1607"/>
      <c r="AY561" s="1607"/>
      <c r="AZ561" s="1607"/>
      <c r="BA561" s="1607"/>
      <c r="BB561" s="1607"/>
      <c r="BC561" s="1607"/>
      <c r="BD561" s="1607"/>
      <c r="BE561" s="1607"/>
      <c r="BF561" s="1607"/>
      <c r="BG561" s="1607"/>
      <c r="BH561" s="1607"/>
      <c r="BI561" s="1607"/>
      <c r="BJ561" s="1607"/>
      <c r="BK561" s="1607"/>
      <c r="BL561" s="1607"/>
    </row>
    <row r="562">
      <c r="A562" s="1607"/>
      <c r="B562" s="1607"/>
      <c r="C562" s="1607"/>
      <c r="D562" s="1607"/>
      <c r="E562" s="1607"/>
      <c r="F562" s="1607"/>
      <c r="G562" s="1607"/>
      <c r="H562" s="1607"/>
      <c r="I562" s="1607"/>
      <c r="J562" s="1607"/>
      <c r="K562" s="1607"/>
      <c r="L562" s="1607"/>
      <c r="M562" s="1607"/>
      <c r="N562" s="1607"/>
      <c r="O562" s="1607"/>
      <c r="P562" s="1607"/>
      <c r="Q562" s="1607"/>
      <c r="R562" s="1607"/>
      <c r="S562" s="1607"/>
      <c r="T562" s="1607"/>
      <c r="U562" s="1607"/>
      <c r="V562" s="1607"/>
      <c r="W562" s="1607"/>
      <c r="X562" s="1607"/>
      <c r="Y562" s="1607"/>
      <c r="Z562" s="1607"/>
      <c r="AA562" s="1607"/>
      <c r="AB562" s="1607"/>
      <c r="AC562" s="1607"/>
      <c r="AD562" s="1607"/>
      <c r="AE562" s="1607"/>
      <c r="AF562" s="1607"/>
      <c r="AG562" s="1607"/>
      <c r="AH562" s="1607"/>
      <c r="AI562" s="1607"/>
      <c r="AJ562" s="1607"/>
      <c r="AK562" s="1607"/>
      <c r="AL562" s="1607"/>
      <c r="AM562" s="1607"/>
      <c r="AN562" s="1607"/>
      <c r="AO562" s="1607"/>
      <c r="AP562" s="1607"/>
      <c r="AQ562" s="1607"/>
      <c r="AR562" s="1607"/>
      <c r="AS562" s="1607"/>
      <c r="AT562" s="1607"/>
      <c r="AU562" s="1607"/>
      <c r="AV562" s="1607"/>
      <c r="AW562" s="1607"/>
      <c r="AX562" s="1607"/>
      <c r="AY562" s="1607"/>
      <c r="AZ562" s="1607"/>
      <c r="BA562" s="1607"/>
      <c r="BB562" s="1607"/>
      <c r="BC562" s="1607"/>
      <c r="BD562" s="1607"/>
      <c r="BE562" s="1607"/>
      <c r="BF562" s="1607"/>
      <c r="BG562" s="1607"/>
      <c r="BH562" s="1607"/>
      <c r="BI562" s="1607"/>
      <c r="BJ562" s="1607"/>
      <c r="BK562" s="1607"/>
      <c r="BL562" s="1607"/>
    </row>
    <row r="563">
      <c r="A563" s="1607"/>
      <c r="B563" s="1607"/>
      <c r="C563" s="1607"/>
      <c r="D563" s="1607"/>
      <c r="E563" s="1607"/>
      <c r="F563" s="1607"/>
      <c r="G563" s="1607"/>
      <c r="H563" s="1607"/>
      <c r="I563" s="1607"/>
      <c r="J563" s="1607"/>
      <c r="K563" s="1607"/>
      <c r="L563" s="1607"/>
      <c r="M563" s="1607"/>
      <c r="N563" s="1607"/>
      <c r="O563" s="1607"/>
      <c r="P563" s="1607"/>
      <c r="Q563" s="1607"/>
      <c r="R563" s="1607"/>
      <c r="S563" s="1607"/>
      <c r="T563" s="1607"/>
      <c r="U563" s="1607"/>
      <c r="V563" s="1607"/>
      <c r="W563" s="1607"/>
      <c r="X563" s="1607"/>
      <c r="Y563" s="1607"/>
      <c r="Z563" s="1607"/>
      <c r="AA563" s="1607"/>
      <c r="AB563" s="1607"/>
      <c r="AC563" s="1607"/>
      <c r="AD563" s="1607"/>
      <c r="AE563" s="1607"/>
      <c r="AF563" s="1607"/>
      <c r="AG563" s="1607"/>
      <c r="AH563" s="1607"/>
      <c r="AI563" s="1607"/>
      <c r="AJ563" s="1607"/>
      <c r="AK563" s="1607"/>
      <c r="AL563" s="1607"/>
      <c r="AM563" s="1607"/>
      <c r="AN563" s="1607"/>
      <c r="AO563" s="1607"/>
      <c r="AP563" s="1607"/>
      <c r="AQ563" s="1607"/>
      <c r="AR563" s="1607"/>
      <c r="AS563" s="1607"/>
      <c r="AT563" s="1607"/>
      <c r="AU563" s="1607"/>
      <c r="AV563" s="1607"/>
      <c r="AW563" s="1607"/>
      <c r="AX563" s="1607"/>
      <c r="AY563" s="1607"/>
      <c r="AZ563" s="1607"/>
      <c r="BA563" s="1607"/>
      <c r="BB563" s="1607"/>
      <c r="BC563" s="1607"/>
      <c r="BD563" s="1607"/>
      <c r="BE563" s="1607"/>
      <c r="BF563" s="1607"/>
      <c r="BG563" s="1607"/>
      <c r="BH563" s="1607"/>
      <c r="BI563" s="1607"/>
      <c r="BJ563" s="1607"/>
      <c r="BK563" s="1607"/>
      <c r="BL563" s="1607"/>
    </row>
    <row r="564">
      <c r="A564" s="1607"/>
      <c r="B564" s="1607"/>
      <c r="C564" s="1607"/>
      <c r="D564" s="1607"/>
      <c r="E564" s="1607"/>
      <c r="F564" s="1607"/>
      <c r="G564" s="1607"/>
      <c r="H564" s="1607"/>
      <c r="I564" s="1607"/>
      <c r="J564" s="1607"/>
      <c r="K564" s="1607"/>
      <c r="L564" s="1607"/>
      <c r="M564" s="1607"/>
      <c r="N564" s="1607"/>
      <c r="O564" s="1607"/>
      <c r="P564" s="1607"/>
      <c r="Q564" s="1607"/>
      <c r="R564" s="1607"/>
      <c r="S564" s="1607"/>
      <c r="T564" s="1607"/>
      <c r="U564" s="1607"/>
      <c r="V564" s="1607"/>
      <c r="W564" s="1607"/>
      <c r="X564" s="1607"/>
      <c r="Y564" s="1607"/>
      <c r="Z564" s="1607"/>
      <c r="AA564" s="1607"/>
      <c r="AB564" s="1607"/>
      <c r="AC564" s="1607"/>
      <c r="AD564" s="1607"/>
      <c r="AE564" s="1607"/>
      <c r="AF564" s="1607"/>
      <c r="AG564" s="1607"/>
      <c r="AH564" s="1607"/>
      <c r="AI564" s="1607"/>
      <c r="AJ564" s="1607"/>
      <c r="AK564" s="1607"/>
      <c r="AL564" s="1607"/>
      <c r="AM564" s="1607"/>
      <c r="AN564" s="1607"/>
      <c r="AO564" s="1607"/>
      <c r="AP564" s="1607"/>
      <c r="AQ564" s="1607"/>
      <c r="AR564" s="1607"/>
      <c r="AS564" s="1607"/>
      <c r="AT564" s="1607"/>
      <c r="AU564" s="1607"/>
      <c r="AV564" s="1607"/>
      <c r="AW564" s="1607"/>
      <c r="AX564" s="1607"/>
      <c r="AY564" s="1607"/>
      <c r="AZ564" s="1607"/>
      <c r="BA564" s="1607"/>
      <c r="BB564" s="1607"/>
      <c r="BC564" s="1607"/>
      <c r="BD564" s="1607"/>
      <c r="BE564" s="1607"/>
      <c r="BF564" s="1607"/>
      <c r="BG564" s="1607"/>
      <c r="BH564" s="1607"/>
      <c r="BI564" s="1607"/>
      <c r="BJ564" s="1607"/>
      <c r="BK564" s="1607"/>
      <c r="BL564" s="1607"/>
    </row>
    <row r="565">
      <c r="A565" s="1607"/>
      <c r="B565" s="1607"/>
      <c r="C565" s="1607"/>
      <c r="D565" s="1607"/>
      <c r="E565" s="1607"/>
      <c r="F565" s="1607"/>
      <c r="G565" s="1607"/>
      <c r="H565" s="1607"/>
      <c r="I565" s="1607"/>
      <c r="J565" s="1607"/>
      <c r="K565" s="1607"/>
      <c r="L565" s="1607"/>
      <c r="M565" s="1607"/>
      <c r="N565" s="1607"/>
      <c r="O565" s="1607"/>
      <c r="P565" s="1607"/>
      <c r="Q565" s="1607"/>
      <c r="R565" s="1607"/>
      <c r="S565" s="1607"/>
      <c r="T565" s="1607"/>
      <c r="U565" s="1607"/>
      <c r="V565" s="1607"/>
      <c r="W565" s="1607"/>
      <c r="X565" s="1607"/>
      <c r="Y565" s="1607"/>
      <c r="Z565" s="1607"/>
      <c r="AA565" s="1607"/>
      <c r="AB565" s="1607"/>
      <c r="AC565" s="1607"/>
      <c r="AD565" s="1607"/>
      <c r="AE565" s="1607"/>
      <c r="AF565" s="1607"/>
      <c r="AG565" s="1607"/>
      <c r="AH565" s="1607"/>
      <c r="AI565" s="1607"/>
      <c r="AJ565" s="1607"/>
      <c r="AK565" s="1607"/>
      <c r="AL565" s="1607"/>
      <c r="AM565" s="1607"/>
      <c r="AN565" s="1607"/>
      <c r="AO565" s="1607"/>
      <c r="AP565" s="1607"/>
      <c r="AQ565" s="1607"/>
      <c r="AR565" s="1607"/>
      <c r="AS565" s="1607"/>
      <c r="AT565" s="1607"/>
      <c r="AU565" s="1607"/>
      <c r="AV565" s="1607"/>
      <c r="AW565" s="1607"/>
      <c r="AX565" s="1607"/>
      <c r="AY565" s="1607"/>
      <c r="AZ565" s="1607"/>
      <c r="BA565" s="1607"/>
      <c r="BB565" s="1607"/>
      <c r="BC565" s="1607"/>
      <c r="BD565" s="1607"/>
      <c r="BE565" s="1607"/>
      <c r="BF565" s="1607"/>
      <c r="BG565" s="1607"/>
      <c r="BH565" s="1607"/>
      <c r="BI565" s="1607"/>
      <c r="BJ565" s="1607"/>
      <c r="BK565" s="1607"/>
      <c r="BL565" s="1607"/>
    </row>
    <row r="566">
      <c r="A566" s="1607"/>
      <c r="B566" s="1607"/>
      <c r="C566" s="1607"/>
      <c r="D566" s="1607"/>
      <c r="E566" s="1607"/>
      <c r="F566" s="1607"/>
      <c r="G566" s="1607"/>
      <c r="H566" s="1607"/>
      <c r="I566" s="1607"/>
      <c r="J566" s="1607"/>
      <c r="K566" s="1607"/>
      <c r="L566" s="1607"/>
      <c r="M566" s="1607"/>
      <c r="N566" s="1607"/>
      <c r="O566" s="1607"/>
      <c r="P566" s="1607"/>
      <c r="Q566" s="1607"/>
      <c r="R566" s="1607"/>
      <c r="S566" s="1607"/>
      <c r="T566" s="1607"/>
      <c r="U566" s="1607"/>
      <c r="V566" s="1607"/>
      <c r="W566" s="1607"/>
      <c r="X566" s="1607"/>
      <c r="Y566" s="1607"/>
      <c r="Z566" s="1607"/>
      <c r="AA566" s="1607"/>
      <c r="AB566" s="1607"/>
      <c r="AC566" s="1607"/>
      <c r="AD566" s="1607"/>
      <c r="AE566" s="1607"/>
      <c r="AF566" s="1607"/>
      <c r="AG566" s="1607"/>
      <c r="AH566" s="1607"/>
      <c r="AI566" s="1607"/>
      <c r="AJ566" s="1607"/>
      <c r="AK566" s="1607"/>
      <c r="AL566" s="1607"/>
      <c r="AM566" s="1607"/>
      <c r="AN566" s="1607"/>
      <c r="AO566" s="1607"/>
      <c r="AP566" s="1607"/>
      <c r="AQ566" s="1607"/>
      <c r="AR566" s="1607"/>
      <c r="AS566" s="1607"/>
      <c r="AT566" s="1607"/>
      <c r="AU566" s="1607"/>
      <c r="AV566" s="1607"/>
      <c r="AW566" s="1607"/>
      <c r="AX566" s="1607"/>
      <c r="AY566" s="1607"/>
      <c r="AZ566" s="1607"/>
      <c r="BA566" s="1607"/>
      <c r="BB566" s="1607"/>
      <c r="BC566" s="1607"/>
      <c r="BD566" s="1607"/>
      <c r="BE566" s="1607"/>
      <c r="BF566" s="1607"/>
      <c r="BG566" s="1607"/>
      <c r="BH566" s="1607"/>
      <c r="BI566" s="1607"/>
      <c r="BJ566" s="1607"/>
      <c r="BK566" s="1607"/>
      <c r="BL566" s="1607"/>
    </row>
    <row r="567">
      <c r="A567" s="1607"/>
      <c r="B567" s="1607"/>
      <c r="C567" s="1607"/>
      <c r="D567" s="1607"/>
      <c r="E567" s="1607"/>
      <c r="F567" s="1607"/>
      <c r="G567" s="1607"/>
      <c r="H567" s="1607"/>
      <c r="I567" s="1607"/>
      <c r="J567" s="1607"/>
      <c r="K567" s="1607"/>
      <c r="L567" s="1607"/>
      <c r="M567" s="1607"/>
      <c r="N567" s="1607"/>
      <c r="O567" s="1607"/>
      <c r="P567" s="1607"/>
      <c r="Q567" s="1607"/>
      <c r="R567" s="1607"/>
      <c r="S567" s="1607"/>
      <c r="T567" s="1607"/>
      <c r="U567" s="1607"/>
      <c r="V567" s="1607"/>
      <c r="W567" s="1607"/>
      <c r="X567" s="1607"/>
      <c r="Y567" s="1607"/>
      <c r="Z567" s="1607"/>
      <c r="AA567" s="1607"/>
      <c r="AB567" s="1607"/>
      <c r="AC567" s="1607"/>
      <c r="AD567" s="1607"/>
      <c r="AE567" s="1607"/>
      <c r="AF567" s="1607"/>
      <c r="AG567" s="1607"/>
      <c r="AH567" s="1607"/>
      <c r="AI567" s="1607"/>
      <c r="AJ567" s="1607"/>
      <c r="AK567" s="1607"/>
      <c r="AL567" s="1607"/>
      <c r="AM567" s="1607"/>
      <c r="AN567" s="1607"/>
      <c r="AO567" s="1607"/>
      <c r="AP567" s="1607"/>
      <c r="AQ567" s="1607"/>
      <c r="AR567" s="1607"/>
      <c r="AS567" s="1607"/>
      <c r="AT567" s="1607"/>
      <c r="AU567" s="1607"/>
      <c r="AV567" s="1607"/>
      <c r="AW567" s="1607"/>
      <c r="AX567" s="1607"/>
      <c r="AY567" s="1607"/>
      <c r="AZ567" s="1607"/>
      <c r="BA567" s="1607"/>
      <c r="BB567" s="1607"/>
      <c r="BC567" s="1607"/>
      <c r="BD567" s="1607"/>
      <c r="BE567" s="1607"/>
      <c r="BF567" s="1607"/>
      <c r="BG567" s="1607"/>
      <c r="BH567" s="1607"/>
      <c r="BI567" s="1607"/>
      <c r="BJ567" s="1607"/>
      <c r="BK567" s="1607"/>
      <c r="BL567" s="1607"/>
    </row>
    <row r="568">
      <c r="A568" s="1607"/>
      <c r="B568" s="1607"/>
      <c r="C568" s="1607"/>
      <c r="D568" s="1607"/>
      <c r="E568" s="1607"/>
      <c r="F568" s="1607"/>
      <c r="G568" s="1607"/>
      <c r="H568" s="1607"/>
      <c r="I568" s="1607"/>
      <c r="J568" s="1607"/>
      <c r="K568" s="1607"/>
      <c r="L568" s="1607"/>
      <c r="M568" s="1607"/>
      <c r="N568" s="1607"/>
      <c r="O568" s="1607"/>
      <c r="P568" s="1607"/>
      <c r="Q568" s="1607"/>
      <c r="R568" s="1607"/>
      <c r="S568" s="1607"/>
      <c r="T568" s="1607"/>
      <c r="U568" s="1607"/>
      <c r="V568" s="1607"/>
      <c r="W568" s="1607"/>
      <c r="X568" s="1607"/>
      <c r="Y568" s="1607"/>
      <c r="Z568" s="1607"/>
      <c r="AA568" s="1607"/>
      <c r="AB568" s="1607"/>
      <c r="AC568" s="1607"/>
      <c r="AD568" s="1607"/>
      <c r="AE568" s="1607"/>
      <c r="AF568" s="1607"/>
      <c r="AG568" s="1607"/>
      <c r="AH568" s="1607"/>
      <c r="AI568" s="1607"/>
      <c r="AJ568" s="1607"/>
      <c r="AK568" s="1607"/>
      <c r="AL568" s="1607"/>
      <c r="AM568" s="1607"/>
      <c r="AN568" s="1607"/>
      <c r="AO568" s="1607"/>
      <c r="AP568" s="1607"/>
      <c r="AQ568" s="1607"/>
      <c r="AR568" s="1607"/>
      <c r="AS568" s="1607"/>
      <c r="AT568" s="1607"/>
      <c r="AU568" s="1607"/>
      <c r="AV568" s="1607"/>
      <c r="AW568" s="1607"/>
      <c r="AX568" s="1607"/>
      <c r="AY568" s="1607"/>
      <c r="AZ568" s="1607"/>
      <c r="BA568" s="1607"/>
      <c r="BB568" s="1607"/>
      <c r="BC568" s="1607"/>
      <c r="BD568" s="1607"/>
      <c r="BE568" s="1607"/>
      <c r="BF568" s="1607"/>
      <c r="BG568" s="1607"/>
      <c r="BH568" s="1607"/>
      <c r="BI568" s="1607"/>
      <c r="BJ568" s="1607"/>
      <c r="BK568" s="1607"/>
      <c r="BL568" s="1607"/>
    </row>
    <row r="569">
      <c r="A569" s="1607"/>
      <c r="B569" s="1607"/>
      <c r="C569" s="1607"/>
      <c r="D569" s="1607"/>
      <c r="E569" s="1607"/>
      <c r="F569" s="1607"/>
      <c r="G569" s="1607"/>
      <c r="H569" s="1607"/>
      <c r="I569" s="1607"/>
      <c r="J569" s="1607"/>
      <c r="K569" s="1607"/>
      <c r="L569" s="1607"/>
      <c r="M569" s="1607"/>
      <c r="N569" s="1607"/>
      <c r="O569" s="1607"/>
      <c r="P569" s="1607"/>
      <c r="Q569" s="1607"/>
      <c r="R569" s="1607"/>
      <c r="S569" s="1607"/>
      <c r="T569" s="1607"/>
      <c r="U569" s="1607"/>
      <c r="V569" s="1607"/>
      <c r="W569" s="1607"/>
      <c r="X569" s="1607"/>
      <c r="Y569" s="1607"/>
      <c r="Z569" s="1607"/>
      <c r="AA569" s="1607"/>
      <c r="AB569" s="1607"/>
      <c r="AC569" s="1607"/>
      <c r="AD569" s="1607"/>
      <c r="AE569" s="1607"/>
      <c r="AF569" s="1607"/>
      <c r="AG569" s="1607"/>
      <c r="AH569" s="1607"/>
      <c r="AI569" s="1607"/>
      <c r="AJ569" s="1607"/>
      <c r="AK569" s="1607"/>
      <c r="AL569" s="1607"/>
      <c r="AM569" s="1607"/>
      <c r="AN569" s="1607"/>
      <c r="AO569" s="1607"/>
      <c r="AP569" s="1607"/>
      <c r="AQ569" s="1607"/>
      <c r="AR569" s="1607"/>
      <c r="AS569" s="1607"/>
      <c r="AT569" s="1607"/>
      <c r="AU569" s="1607"/>
      <c r="AV569" s="1607"/>
      <c r="AW569" s="1607"/>
      <c r="AX569" s="1607"/>
      <c r="AY569" s="1607"/>
      <c r="AZ569" s="1607"/>
      <c r="BA569" s="1607"/>
      <c r="BB569" s="1607"/>
      <c r="BC569" s="1607"/>
      <c r="BD569" s="1607"/>
      <c r="BE569" s="1607"/>
      <c r="BF569" s="1607"/>
      <c r="BG569" s="1607"/>
      <c r="BH569" s="1607"/>
      <c r="BI569" s="1607"/>
      <c r="BJ569" s="1607"/>
      <c r="BK569" s="1607"/>
      <c r="BL569" s="1607"/>
    </row>
    <row r="570">
      <c r="A570" s="1607"/>
      <c r="B570" s="1607"/>
      <c r="C570" s="1607"/>
      <c r="D570" s="1607"/>
      <c r="E570" s="1607"/>
      <c r="F570" s="1607"/>
      <c r="G570" s="1607"/>
      <c r="H570" s="1607"/>
      <c r="I570" s="1607"/>
      <c r="J570" s="1607"/>
      <c r="K570" s="1607"/>
      <c r="L570" s="1607"/>
      <c r="M570" s="1607"/>
      <c r="N570" s="1607"/>
      <c r="O570" s="1607"/>
      <c r="P570" s="1607"/>
      <c r="Q570" s="1607"/>
      <c r="R570" s="1607"/>
      <c r="S570" s="1607"/>
      <c r="T570" s="1607"/>
      <c r="U570" s="1607"/>
      <c r="V570" s="1607"/>
      <c r="W570" s="1607"/>
      <c r="X570" s="1607"/>
      <c r="Y570" s="1607"/>
      <c r="Z570" s="1607"/>
      <c r="AA570" s="1607"/>
      <c r="AB570" s="1607"/>
      <c r="AC570" s="1607"/>
      <c r="AD570" s="1607"/>
      <c r="AE570" s="1607"/>
      <c r="AF570" s="1607"/>
      <c r="AG570" s="1607"/>
      <c r="AH570" s="1607"/>
      <c r="AI570" s="1607"/>
      <c r="AJ570" s="1607"/>
      <c r="AK570" s="1607"/>
      <c r="AL570" s="1607"/>
      <c r="AM570" s="1607"/>
      <c r="AN570" s="1607"/>
      <c r="AO570" s="1607"/>
      <c r="AP570" s="1607"/>
      <c r="AQ570" s="1607"/>
      <c r="AR570" s="1607"/>
      <c r="AS570" s="1607"/>
      <c r="AT570" s="1607"/>
      <c r="AU570" s="1607"/>
      <c r="AV570" s="1607"/>
      <c r="AW570" s="1607"/>
      <c r="AX570" s="1607"/>
      <c r="AY570" s="1607"/>
      <c r="AZ570" s="1607"/>
      <c r="BA570" s="1607"/>
      <c r="BB570" s="1607"/>
      <c r="BC570" s="1607"/>
      <c r="BD570" s="1607"/>
      <c r="BE570" s="1607"/>
      <c r="BF570" s="1607"/>
      <c r="BG570" s="1607"/>
      <c r="BH570" s="1607"/>
      <c r="BI570" s="1607"/>
      <c r="BJ570" s="1607"/>
      <c r="BK570" s="1607"/>
      <c r="BL570" s="1607"/>
    </row>
    <row r="571">
      <c r="A571" s="1607"/>
      <c r="B571" s="1607"/>
      <c r="C571" s="1607"/>
      <c r="D571" s="1607"/>
      <c r="E571" s="1607"/>
      <c r="F571" s="1607"/>
      <c r="G571" s="1607"/>
      <c r="H571" s="1607"/>
      <c r="I571" s="1607"/>
      <c r="J571" s="1607"/>
      <c r="K571" s="1607"/>
      <c r="L571" s="1607"/>
      <c r="M571" s="1607"/>
      <c r="N571" s="1607"/>
      <c r="O571" s="1607"/>
      <c r="P571" s="1607"/>
      <c r="Q571" s="1607"/>
      <c r="R571" s="1607"/>
      <c r="S571" s="1607"/>
      <c r="T571" s="1607"/>
      <c r="U571" s="1607"/>
      <c r="V571" s="1607"/>
      <c r="W571" s="1607"/>
      <c r="X571" s="1607"/>
      <c r="Y571" s="1607"/>
      <c r="Z571" s="1607"/>
      <c r="AA571" s="1607"/>
      <c r="AB571" s="1607"/>
      <c r="AC571" s="1607"/>
      <c r="AD571" s="1607"/>
      <c r="AE571" s="1607"/>
      <c r="AF571" s="1607"/>
      <c r="AG571" s="1607"/>
      <c r="AH571" s="1607"/>
      <c r="AI571" s="1607"/>
      <c r="AJ571" s="1607"/>
      <c r="AK571" s="1607"/>
      <c r="AL571" s="1607"/>
      <c r="AM571" s="1607"/>
      <c r="AN571" s="1607"/>
      <c r="AO571" s="1607"/>
      <c r="AP571" s="1607"/>
      <c r="AQ571" s="1607"/>
      <c r="AR571" s="1607"/>
      <c r="AS571" s="1607"/>
      <c r="AT571" s="1607"/>
      <c r="AU571" s="1607"/>
      <c r="AV571" s="1607"/>
      <c r="AW571" s="1607"/>
      <c r="AX571" s="1607"/>
      <c r="AY571" s="1607"/>
      <c r="AZ571" s="1607"/>
      <c r="BA571" s="1607"/>
      <c r="BB571" s="1607"/>
      <c r="BC571" s="1607"/>
      <c r="BD571" s="1607"/>
      <c r="BE571" s="1607"/>
      <c r="BF571" s="1607"/>
      <c r="BG571" s="1607"/>
      <c r="BH571" s="1607"/>
      <c r="BI571" s="1607"/>
      <c r="BJ571" s="1607"/>
      <c r="BK571" s="1607"/>
      <c r="BL571" s="1607"/>
    </row>
    <row r="572">
      <c r="A572" s="1607"/>
      <c r="B572" s="1607"/>
      <c r="C572" s="1607"/>
      <c r="D572" s="1607"/>
      <c r="E572" s="1607"/>
      <c r="F572" s="1607"/>
      <c r="G572" s="1607"/>
      <c r="H572" s="1607"/>
      <c r="I572" s="1607"/>
      <c r="J572" s="1607"/>
      <c r="K572" s="1607"/>
      <c r="L572" s="1607"/>
      <c r="M572" s="1607"/>
      <c r="N572" s="1607"/>
      <c r="O572" s="1607"/>
      <c r="P572" s="1607"/>
      <c r="Q572" s="1607"/>
      <c r="R572" s="1607"/>
      <c r="S572" s="1607"/>
      <c r="T572" s="1607"/>
      <c r="U572" s="1607"/>
      <c r="V572" s="1607"/>
      <c r="W572" s="1607"/>
      <c r="X572" s="1607"/>
      <c r="Y572" s="1607"/>
      <c r="Z572" s="1607"/>
      <c r="AA572" s="1607"/>
      <c r="AB572" s="1607"/>
      <c r="AC572" s="1607"/>
      <c r="AD572" s="1607"/>
      <c r="AE572" s="1607"/>
      <c r="AF572" s="1607"/>
      <c r="AG572" s="1607"/>
      <c r="AH572" s="1607"/>
      <c r="AI572" s="1607"/>
      <c r="AJ572" s="1607"/>
      <c r="AK572" s="1607"/>
      <c r="AL572" s="1607"/>
      <c r="AM572" s="1607"/>
      <c r="AN572" s="1607"/>
      <c r="AO572" s="1607"/>
      <c r="AP572" s="1607"/>
      <c r="AQ572" s="1607"/>
      <c r="AR572" s="1607"/>
      <c r="AS572" s="1607"/>
      <c r="AT572" s="1607"/>
      <c r="AU572" s="1607"/>
      <c r="AV572" s="1607"/>
      <c r="AW572" s="1607"/>
      <c r="AX572" s="1607"/>
      <c r="AY572" s="1607"/>
      <c r="AZ572" s="1607"/>
      <c r="BA572" s="1607"/>
      <c r="BB572" s="1607"/>
      <c r="BC572" s="1607"/>
      <c r="BD572" s="1607"/>
      <c r="BE572" s="1607"/>
      <c r="BF572" s="1607"/>
      <c r="BG572" s="1607"/>
      <c r="BH572" s="1607"/>
      <c r="BI572" s="1607"/>
      <c r="BJ572" s="1607"/>
      <c r="BK572" s="1607"/>
      <c r="BL572" s="1607"/>
    </row>
    <row r="573">
      <c r="A573" s="1607"/>
      <c r="B573" s="1607"/>
      <c r="C573" s="1607"/>
      <c r="D573" s="1607"/>
      <c r="E573" s="1607"/>
      <c r="F573" s="1607"/>
      <c r="G573" s="1607"/>
      <c r="H573" s="1607"/>
      <c r="I573" s="1607"/>
      <c r="J573" s="1607"/>
      <c r="K573" s="1607"/>
      <c r="L573" s="1607"/>
      <c r="M573" s="1607"/>
      <c r="N573" s="1607"/>
      <c r="O573" s="1607"/>
      <c r="P573" s="1607"/>
      <c r="Q573" s="1607"/>
      <c r="R573" s="1607"/>
      <c r="S573" s="1607"/>
      <c r="T573" s="1607"/>
      <c r="U573" s="1607"/>
      <c r="V573" s="1607"/>
      <c r="W573" s="1607"/>
      <c r="X573" s="1607"/>
      <c r="Y573" s="1607"/>
      <c r="Z573" s="1607"/>
      <c r="AA573" s="1607"/>
      <c r="AB573" s="1607"/>
      <c r="AC573" s="1607"/>
      <c r="AD573" s="1607"/>
      <c r="AE573" s="1607"/>
      <c r="AF573" s="1607"/>
      <c r="AG573" s="1607"/>
      <c r="AH573" s="1607"/>
      <c r="AI573" s="1607"/>
      <c r="AJ573" s="1607"/>
      <c r="AK573" s="1607"/>
      <c r="AL573" s="1607"/>
      <c r="AM573" s="1607"/>
      <c r="AN573" s="1607"/>
      <c r="AO573" s="1607"/>
      <c r="AP573" s="1607"/>
      <c r="AQ573" s="1607"/>
      <c r="AR573" s="1607"/>
      <c r="AS573" s="1607"/>
      <c r="AT573" s="1607"/>
      <c r="AU573" s="1607"/>
      <c r="AV573" s="1607"/>
      <c r="AW573" s="1607"/>
      <c r="AX573" s="1607"/>
      <c r="AY573" s="1607"/>
      <c r="AZ573" s="1607"/>
      <c r="BA573" s="1607"/>
      <c r="BB573" s="1607"/>
      <c r="BC573" s="1607"/>
      <c r="BD573" s="1607"/>
      <c r="BE573" s="1607"/>
      <c r="BF573" s="1607"/>
      <c r="BG573" s="1607"/>
      <c r="BH573" s="1607"/>
      <c r="BI573" s="1607"/>
      <c r="BJ573" s="1607"/>
      <c r="BK573" s="1607"/>
      <c r="BL573" s="1607"/>
    </row>
    <row r="574">
      <c r="A574" s="1607"/>
      <c r="B574" s="1607"/>
      <c r="C574" s="1607"/>
      <c r="D574" s="1607"/>
      <c r="E574" s="1607"/>
      <c r="F574" s="1607"/>
      <c r="G574" s="1607"/>
      <c r="H574" s="1607"/>
      <c r="I574" s="1607"/>
      <c r="J574" s="1607"/>
      <c r="K574" s="1607"/>
      <c r="L574" s="1607"/>
      <c r="M574" s="1607"/>
      <c r="N574" s="1607"/>
      <c r="O574" s="1607"/>
      <c r="P574" s="1607"/>
      <c r="Q574" s="1607"/>
      <c r="R574" s="1607"/>
      <c r="S574" s="1607"/>
      <c r="T574" s="1607"/>
      <c r="U574" s="1607"/>
      <c r="V574" s="1607"/>
      <c r="W574" s="1607"/>
      <c r="X574" s="1607"/>
      <c r="Y574" s="1607"/>
      <c r="Z574" s="1607"/>
      <c r="AA574" s="1607"/>
      <c r="AB574" s="1607"/>
      <c r="AC574" s="1607"/>
      <c r="AD574" s="1607"/>
      <c r="AE574" s="1607"/>
      <c r="AF574" s="1607"/>
      <c r="AG574" s="1607"/>
      <c r="AH574" s="1607"/>
      <c r="AI574" s="1607"/>
      <c r="AJ574" s="1607"/>
      <c r="AK574" s="1607"/>
      <c r="AL574" s="1607"/>
      <c r="AM574" s="1607"/>
      <c r="AN574" s="1607"/>
      <c r="AO574" s="1607"/>
      <c r="AP574" s="1607"/>
      <c r="AQ574" s="1607"/>
      <c r="AR574" s="1607"/>
      <c r="AS574" s="1607"/>
      <c r="AT574" s="1607"/>
      <c r="AU574" s="1607"/>
      <c r="AV574" s="1607"/>
      <c r="AW574" s="1607"/>
      <c r="AX574" s="1607"/>
      <c r="AY574" s="1607"/>
      <c r="AZ574" s="1607"/>
      <c r="BA574" s="1607"/>
      <c r="BB574" s="1607"/>
      <c r="BC574" s="1607"/>
      <c r="BD574" s="1607"/>
      <c r="BE574" s="1607"/>
      <c r="BF574" s="1607"/>
      <c r="BG574" s="1607"/>
      <c r="BH574" s="1607"/>
      <c r="BI574" s="1607"/>
      <c r="BJ574" s="1607"/>
      <c r="BK574" s="1607"/>
      <c r="BL574" s="1607"/>
    </row>
    <row r="575">
      <c r="A575" s="1607"/>
      <c r="B575" s="1607"/>
      <c r="C575" s="1607"/>
      <c r="D575" s="1607"/>
      <c r="E575" s="1607"/>
      <c r="F575" s="1607"/>
      <c r="G575" s="1607"/>
      <c r="H575" s="1607"/>
      <c r="I575" s="1607"/>
      <c r="J575" s="1607"/>
      <c r="K575" s="1607"/>
      <c r="L575" s="1607"/>
      <c r="M575" s="1607"/>
      <c r="N575" s="1607"/>
      <c r="O575" s="1607"/>
      <c r="P575" s="1607"/>
      <c r="Q575" s="1607"/>
      <c r="R575" s="1607"/>
      <c r="S575" s="1607"/>
      <c r="T575" s="1607"/>
      <c r="U575" s="1607"/>
      <c r="V575" s="1607"/>
      <c r="W575" s="1607"/>
      <c r="X575" s="1607"/>
      <c r="Y575" s="1607"/>
      <c r="Z575" s="1607"/>
      <c r="AA575" s="1607"/>
      <c r="AB575" s="1607"/>
      <c r="AC575" s="1607"/>
      <c r="AD575" s="1607"/>
      <c r="AE575" s="1607"/>
      <c r="AF575" s="1607"/>
      <c r="AG575" s="1607"/>
      <c r="AH575" s="1607"/>
      <c r="AI575" s="1607"/>
      <c r="AJ575" s="1607"/>
      <c r="AK575" s="1607"/>
      <c r="AL575" s="1607"/>
      <c r="AM575" s="1607"/>
      <c r="AN575" s="1607"/>
      <c r="AO575" s="1607"/>
      <c r="AP575" s="1607"/>
      <c r="AQ575" s="1607"/>
      <c r="AR575" s="1607"/>
      <c r="AS575" s="1607"/>
      <c r="AT575" s="1607"/>
      <c r="AU575" s="1607"/>
      <c r="AV575" s="1607"/>
      <c r="AW575" s="1607"/>
      <c r="AX575" s="1607"/>
      <c r="AY575" s="1607"/>
      <c r="AZ575" s="1607"/>
      <c r="BA575" s="1607"/>
      <c r="BB575" s="1607"/>
      <c r="BC575" s="1607"/>
      <c r="BD575" s="1607"/>
      <c r="BE575" s="1607"/>
      <c r="BF575" s="1607"/>
      <c r="BG575" s="1607"/>
      <c r="BH575" s="1607"/>
      <c r="BI575" s="1607"/>
      <c r="BJ575" s="1607"/>
      <c r="BK575" s="1607"/>
      <c r="BL575" s="1607"/>
    </row>
    <row r="576">
      <c r="A576" s="1607"/>
      <c r="B576" s="1607"/>
      <c r="C576" s="1607"/>
      <c r="D576" s="1607"/>
      <c r="E576" s="1607"/>
      <c r="F576" s="1607"/>
      <c r="G576" s="1607"/>
      <c r="H576" s="1607"/>
      <c r="I576" s="1607"/>
      <c r="J576" s="1607"/>
      <c r="K576" s="1607"/>
      <c r="L576" s="1607"/>
      <c r="M576" s="1607"/>
      <c r="N576" s="1607"/>
      <c r="O576" s="1607"/>
      <c r="P576" s="1607"/>
      <c r="Q576" s="1607"/>
      <c r="R576" s="1607"/>
      <c r="S576" s="1607"/>
      <c r="T576" s="1607"/>
      <c r="U576" s="1607"/>
      <c r="V576" s="1607"/>
      <c r="W576" s="1607"/>
      <c r="X576" s="1607"/>
      <c r="Y576" s="1607"/>
      <c r="Z576" s="1607"/>
      <c r="AA576" s="1607"/>
      <c r="AB576" s="1607"/>
      <c r="AC576" s="1607"/>
      <c r="AD576" s="1607"/>
      <c r="AE576" s="1607"/>
      <c r="AF576" s="1607"/>
      <c r="AG576" s="1607"/>
      <c r="AH576" s="1607"/>
      <c r="AI576" s="1607"/>
      <c r="AJ576" s="1607"/>
      <c r="AK576" s="1607"/>
      <c r="AL576" s="1607"/>
      <c r="AM576" s="1607"/>
      <c r="AN576" s="1607"/>
      <c r="AO576" s="1607"/>
      <c r="AP576" s="1607"/>
      <c r="AQ576" s="1607"/>
      <c r="AR576" s="1607"/>
      <c r="AS576" s="1607"/>
      <c r="AT576" s="1607"/>
      <c r="AU576" s="1607"/>
      <c r="AV576" s="1607"/>
      <c r="AW576" s="1607"/>
      <c r="AX576" s="1607"/>
      <c r="AY576" s="1607"/>
      <c r="AZ576" s="1607"/>
      <c r="BA576" s="1607"/>
      <c r="BB576" s="1607"/>
      <c r="BC576" s="1607"/>
      <c r="BD576" s="1607"/>
      <c r="BE576" s="1607"/>
      <c r="BF576" s="1607"/>
      <c r="BG576" s="1607"/>
      <c r="BH576" s="1607"/>
      <c r="BI576" s="1607"/>
      <c r="BJ576" s="1607"/>
      <c r="BK576" s="1607"/>
      <c r="BL576" s="1607"/>
    </row>
    <row r="577">
      <c r="A577" s="1607"/>
      <c r="B577" s="1607"/>
      <c r="C577" s="1607"/>
      <c r="D577" s="1607"/>
      <c r="E577" s="1607"/>
      <c r="F577" s="1607"/>
      <c r="G577" s="1607"/>
      <c r="H577" s="1607"/>
      <c r="I577" s="1607"/>
      <c r="J577" s="1607"/>
      <c r="K577" s="1607"/>
      <c r="L577" s="1607"/>
      <c r="M577" s="1607"/>
      <c r="N577" s="1607"/>
      <c r="O577" s="1607"/>
      <c r="P577" s="1607"/>
      <c r="Q577" s="1607"/>
      <c r="R577" s="1607"/>
      <c r="S577" s="1607"/>
      <c r="T577" s="1607"/>
      <c r="U577" s="1607"/>
      <c r="V577" s="1607"/>
      <c r="W577" s="1607"/>
      <c r="X577" s="1607"/>
      <c r="Y577" s="1607"/>
      <c r="Z577" s="1607"/>
      <c r="AA577" s="1607"/>
      <c r="AB577" s="1607"/>
      <c r="AC577" s="1607"/>
      <c r="AD577" s="1607"/>
      <c r="AE577" s="1607"/>
      <c r="AF577" s="1607"/>
      <c r="AG577" s="1607"/>
      <c r="AH577" s="1607"/>
      <c r="AI577" s="1607"/>
      <c r="AJ577" s="1607"/>
      <c r="AK577" s="1607"/>
      <c r="AL577" s="1607"/>
      <c r="AM577" s="1607"/>
      <c r="AN577" s="1607"/>
      <c r="AO577" s="1607"/>
      <c r="AP577" s="1607"/>
      <c r="AQ577" s="1607"/>
      <c r="AR577" s="1607"/>
      <c r="AS577" s="1607"/>
      <c r="AT577" s="1607"/>
      <c r="AU577" s="1607"/>
      <c r="AV577" s="1607"/>
      <c r="AW577" s="1607"/>
      <c r="AX577" s="1607"/>
      <c r="AY577" s="1607"/>
      <c r="AZ577" s="1607"/>
      <c r="BA577" s="1607"/>
      <c r="BB577" s="1607"/>
      <c r="BC577" s="1607"/>
      <c r="BD577" s="1607"/>
      <c r="BE577" s="1607"/>
      <c r="BF577" s="1607"/>
      <c r="BG577" s="1607"/>
      <c r="BH577" s="1607"/>
      <c r="BI577" s="1607"/>
      <c r="BJ577" s="1607"/>
      <c r="BK577" s="1607"/>
      <c r="BL577" s="1607"/>
    </row>
    <row r="578">
      <c r="A578" s="1607"/>
      <c r="B578" s="1607"/>
      <c r="C578" s="1607"/>
      <c r="D578" s="1607"/>
      <c r="E578" s="1607"/>
      <c r="F578" s="1607"/>
      <c r="G578" s="1607"/>
      <c r="H578" s="1607"/>
      <c r="I578" s="1607"/>
      <c r="J578" s="1607"/>
      <c r="K578" s="1607"/>
      <c r="L578" s="1607"/>
      <c r="M578" s="1607"/>
      <c r="N578" s="1607"/>
      <c r="O578" s="1607"/>
      <c r="P578" s="1607"/>
      <c r="Q578" s="1607"/>
      <c r="R578" s="1607"/>
      <c r="S578" s="1607"/>
      <c r="T578" s="1607"/>
      <c r="U578" s="1607"/>
      <c r="V578" s="1607"/>
      <c r="W578" s="1607"/>
      <c r="X578" s="1607"/>
      <c r="Y578" s="1607"/>
      <c r="Z578" s="1607"/>
      <c r="AA578" s="1607"/>
      <c r="AB578" s="1607"/>
      <c r="AC578" s="1607"/>
      <c r="AD578" s="1607"/>
      <c r="AE578" s="1607"/>
      <c r="AF578" s="1607"/>
      <c r="AG578" s="1607"/>
      <c r="AH578" s="1607"/>
      <c r="AI578" s="1607"/>
      <c r="AJ578" s="1607"/>
      <c r="AK578" s="1607"/>
      <c r="AL578" s="1607"/>
      <c r="AM578" s="1607"/>
      <c r="AN578" s="1607"/>
      <c r="AO578" s="1607"/>
      <c r="AP578" s="1607"/>
      <c r="AQ578" s="1607"/>
      <c r="AR578" s="1607"/>
      <c r="AS578" s="1607"/>
      <c r="AT578" s="1607"/>
      <c r="AU578" s="1607"/>
      <c r="AV578" s="1607"/>
      <c r="AW578" s="1607"/>
      <c r="AX578" s="1607"/>
      <c r="AY578" s="1607"/>
      <c r="AZ578" s="1607"/>
      <c r="BA578" s="1607"/>
      <c r="BB578" s="1607"/>
      <c r="BC578" s="1607"/>
      <c r="BD578" s="1607"/>
      <c r="BE578" s="1607"/>
      <c r="BF578" s="1607"/>
      <c r="BG578" s="1607"/>
      <c r="BH578" s="1607"/>
      <c r="BI578" s="1607"/>
      <c r="BJ578" s="1607"/>
      <c r="BK578" s="1607"/>
      <c r="BL578" s="1607"/>
    </row>
    <row r="579">
      <c r="A579" s="1607"/>
      <c r="B579" s="1607"/>
      <c r="C579" s="1607"/>
      <c r="D579" s="1607"/>
      <c r="E579" s="1607"/>
      <c r="F579" s="1607"/>
      <c r="G579" s="1607"/>
      <c r="H579" s="1607"/>
      <c r="I579" s="1607"/>
      <c r="J579" s="1607"/>
      <c r="K579" s="1607"/>
      <c r="L579" s="1607"/>
      <c r="M579" s="1607"/>
      <c r="N579" s="1607"/>
      <c r="O579" s="1607"/>
      <c r="P579" s="1607"/>
      <c r="Q579" s="1607"/>
      <c r="R579" s="1607"/>
      <c r="S579" s="1607"/>
      <c r="T579" s="1607"/>
      <c r="U579" s="1607"/>
      <c r="V579" s="1607"/>
      <c r="W579" s="1607"/>
      <c r="X579" s="1607"/>
      <c r="Y579" s="1607"/>
      <c r="Z579" s="1607"/>
      <c r="AA579" s="1607"/>
      <c r="AB579" s="1607"/>
      <c r="AC579" s="1607"/>
      <c r="AD579" s="1607"/>
      <c r="AE579" s="1607"/>
      <c r="AF579" s="1607"/>
      <c r="AG579" s="1607"/>
      <c r="AH579" s="1607"/>
      <c r="AI579" s="1607"/>
      <c r="AJ579" s="1607"/>
      <c r="AK579" s="1607"/>
      <c r="AL579" s="1607"/>
      <c r="AM579" s="1607"/>
      <c r="AN579" s="1607"/>
      <c r="AO579" s="1607"/>
      <c r="AP579" s="1607"/>
      <c r="AQ579" s="1607"/>
      <c r="AR579" s="1607"/>
      <c r="AS579" s="1607"/>
      <c r="AT579" s="1607"/>
      <c r="AU579" s="1607"/>
      <c r="AV579" s="1607"/>
      <c r="AW579" s="1607"/>
      <c r="AX579" s="1607"/>
      <c r="AY579" s="1607"/>
      <c r="AZ579" s="1607"/>
      <c r="BA579" s="1607"/>
      <c r="BB579" s="1607"/>
      <c r="BC579" s="1607"/>
      <c r="BD579" s="1607"/>
      <c r="BE579" s="1607"/>
      <c r="BF579" s="1607"/>
      <c r="BG579" s="1607"/>
      <c r="BH579" s="1607"/>
      <c r="BI579" s="1607"/>
      <c r="BJ579" s="1607"/>
      <c r="BK579" s="1607"/>
      <c r="BL579" s="1607"/>
    </row>
    <row r="580">
      <c r="A580" s="1607"/>
      <c r="B580" s="1607"/>
      <c r="C580" s="1607"/>
      <c r="D580" s="1607"/>
      <c r="E580" s="1607"/>
      <c r="F580" s="1607"/>
      <c r="G580" s="1607"/>
      <c r="H580" s="1607"/>
      <c r="I580" s="1607"/>
      <c r="J580" s="1607"/>
      <c r="K580" s="1607"/>
      <c r="L580" s="1607"/>
      <c r="M580" s="1607"/>
      <c r="N580" s="1607"/>
      <c r="O580" s="1607"/>
      <c r="P580" s="1607"/>
      <c r="Q580" s="1607"/>
      <c r="R580" s="1607"/>
      <c r="S580" s="1607"/>
      <c r="T580" s="1607"/>
      <c r="U580" s="1607"/>
      <c r="V580" s="1607"/>
      <c r="W580" s="1607"/>
      <c r="X580" s="1607"/>
      <c r="Y580" s="1607"/>
      <c r="Z580" s="1607"/>
      <c r="AA580" s="1607"/>
      <c r="AB580" s="1607"/>
      <c r="AC580" s="1607"/>
      <c r="AD580" s="1607"/>
      <c r="AE580" s="1607"/>
      <c r="AF580" s="1607"/>
      <c r="AG580" s="1607"/>
      <c r="AH580" s="1607"/>
      <c r="AI580" s="1607"/>
      <c r="AJ580" s="1607"/>
      <c r="AK580" s="1607"/>
      <c r="AL580" s="1607"/>
      <c r="AM580" s="1607"/>
      <c r="AN580" s="1607"/>
      <c r="AO580" s="1607"/>
      <c r="AP580" s="1607"/>
      <c r="AQ580" s="1607"/>
      <c r="AR580" s="1607"/>
      <c r="AS580" s="1607"/>
      <c r="AT580" s="1607"/>
      <c r="AU580" s="1607"/>
      <c r="AV580" s="1607"/>
      <c r="AW580" s="1607"/>
      <c r="AX580" s="1607"/>
      <c r="AY580" s="1607"/>
      <c r="AZ580" s="1607"/>
      <c r="BA580" s="1607"/>
      <c r="BB580" s="1607"/>
      <c r="BC580" s="1607"/>
      <c r="BD580" s="1607"/>
      <c r="BE580" s="1607"/>
      <c r="BF580" s="1607"/>
      <c r="BG580" s="1607"/>
      <c r="BH580" s="1607"/>
      <c r="BI580" s="1607"/>
      <c r="BJ580" s="1607"/>
      <c r="BK580" s="1607"/>
      <c r="BL580" s="1607"/>
    </row>
    <row r="581">
      <c r="A581" s="1607"/>
      <c r="B581" s="1607"/>
      <c r="C581" s="1607"/>
      <c r="D581" s="1607"/>
      <c r="E581" s="1607"/>
      <c r="F581" s="1607"/>
      <c r="G581" s="1607"/>
      <c r="H581" s="1607"/>
      <c r="I581" s="1607"/>
      <c r="J581" s="1607"/>
      <c r="K581" s="1607"/>
      <c r="L581" s="1607"/>
      <c r="M581" s="1607"/>
      <c r="N581" s="1607"/>
      <c r="O581" s="1607"/>
      <c r="P581" s="1607"/>
      <c r="Q581" s="1607"/>
      <c r="R581" s="1607"/>
      <c r="S581" s="1607"/>
      <c r="T581" s="1607"/>
      <c r="U581" s="1607"/>
      <c r="V581" s="1607"/>
      <c r="W581" s="1607"/>
      <c r="X581" s="1607"/>
      <c r="Y581" s="1607"/>
      <c r="Z581" s="1607"/>
      <c r="AA581" s="1607"/>
      <c r="AB581" s="1607"/>
      <c r="AC581" s="1607"/>
      <c r="AD581" s="1607"/>
      <c r="AE581" s="1607"/>
      <c r="AF581" s="1607"/>
      <c r="AG581" s="1607"/>
      <c r="AH581" s="1607"/>
      <c r="AI581" s="1607"/>
      <c r="AJ581" s="1607"/>
      <c r="AK581" s="1607"/>
      <c r="AL581" s="1607"/>
      <c r="AM581" s="1607"/>
      <c r="AN581" s="1607"/>
      <c r="AO581" s="1607"/>
      <c r="AP581" s="1607"/>
      <c r="AQ581" s="1607"/>
      <c r="AR581" s="1607"/>
      <c r="AS581" s="1607"/>
      <c r="AT581" s="1607"/>
      <c r="AU581" s="1607"/>
      <c r="AV581" s="1607"/>
      <c r="AW581" s="1607"/>
      <c r="AX581" s="1607"/>
      <c r="AY581" s="1607"/>
      <c r="AZ581" s="1607"/>
      <c r="BA581" s="1607"/>
      <c r="BB581" s="1607"/>
      <c r="BC581" s="1607"/>
      <c r="BD581" s="1607"/>
      <c r="BE581" s="1607"/>
      <c r="BF581" s="1607"/>
      <c r="BG581" s="1607"/>
      <c r="BH581" s="1607"/>
      <c r="BI581" s="1607"/>
      <c r="BJ581" s="1607"/>
      <c r="BK581" s="1607"/>
      <c r="BL581" s="1607"/>
    </row>
    <row r="582">
      <c r="A582" s="1607"/>
      <c r="B582" s="1607"/>
      <c r="C582" s="1607"/>
      <c r="D582" s="1607"/>
      <c r="E582" s="1607"/>
      <c r="F582" s="1607"/>
      <c r="G582" s="1607"/>
      <c r="H582" s="1607"/>
      <c r="I582" s="1607"/>
      <c r="J582" s="1607"/>
      <c r="K582" s="1607"/>
      <c r="L582" s="1607"/>
      <c r="M582" s="1607"/>
      <c r="N582" s="1607"/>
      <c r="O582" s="1607"/>
      <c r="P582" s="1607"/>
      <c r="Q582" s="1607"/>
      <c r="R582" s="1607"/>
      <c r="S582" s="1607"/>
      <c r="T582" s="1607"/>
      <c r="U582" s="1607"/>
      <c r="V582" s="1607"/>
      <c r="W582" s="1607"/>
      <c r="X582" s="1607"/>
      <c r="Y582" s="1607"/>
      <c r="Z582" s="1607"/>
      <c r="AA582" s="1607"/>
      <c r="AB582" s="1607"/>
      <c r="AC582" s="1607"/>
      <c r="AD582" s="1607"/>
      <c r="AE582" s="1607"/>
      <c r="AF582" s="1607"/>
      <c r="AG582" s="1607"/>
      <c r="AH582" s="1607"/>
      <c r="AI582" s="1607"/>
      <c r="AJ582" s="1607"/>
      <c r="AK582" s="1607"/>
      <c r="AL582" s="1607"/>
      <c r="AM582" s="1607"/>
      <c r="AN582" s="1607"/>
      <c r="AO582" s="1607"/>
      <c r="AP582" s="1607"/>
      <c r="AQ582" s="1607"/>
      <c r="AR582" s="1607"/>
      <c r="AS582" s="1607"/>
      <c r="AT582" s="1607"/>
      <c r="AU582" s="1607"/>
      <c r="AV582" s="1607"/>
      <c r="AW582" s="1607"/>
      <c r="AX582" s="1607"/>
      <c r="AY582" s="1607"/>
      <c r="AZ582" s="1607"/>
      <c r="BA582" s="1607"/>
      <c r="BB582" s="1607"/>
      <c r="BC582" s="1607"/>
      <c r="BD582" s="1607"/>
      <c r="BE582" s="1607"/>
      <c r="BF582" s="1607"/>
      <c r="BG582" s="1607"/>
      <c r="BH582" s="1607"/>
      <c r="BI582" s="1607"/>
      <c r="BJ582" s="1607"/>
      <c r="BK582" s="1607"/>
      <c r="BL582" s="1607"/>
    </row>
    <row r="583">
      <c r="A583" s="1607"/>
      <c r="B583" s="1607"/>
      <c r="C583" s="1607"/>
      <c r="D583" s="1607"/>
      <c r="E583" s="1607"/>
      <c r="F583" s="1607"/>
      <c r="G583" s="1607"/>
      <c r="H583" s="1607"/>
      <c r="I583" s="1607"/>
      <c r="J583" s="1607"/>
      <c r="K583" s="1607"/>
      <c r="L583" s="1607"/>
      <c r="M583" s="1607"/>
      <c r="N583" s="1607"/>
      <c r="O583" s="1607"/>
      <c r="P583" s="1607"/>
      <c r="Q583" s="1607"/>
      <c r="R583" s="1607"/>
      <c r="S583" s="1607"/>
      <c r="T583" s="1607"/>
      <c r="U583" s="1607"/>
      <c r="V583" s="1607"/>
      <c r="W583" s="1607"/>
      <c r="X583" s="1607"/>
      <c r="Y583" s="1607"/>
      <c r="Z583" s="1607"/>
      <c r="AA583" s="1607"/>
      <c r="AB583" s="1607"/>
      <c r="AC583" s="1607"/>
      <c r="AD583" s="1607"/>
      <c r="AE583" s="1607"/>
      <c r="AF583" s="1607"/>
      <c r="AG583" s="1607"/>
      <c r="AH583" s="1607"/>
      <c r="AI583" s="1607"/>
      <c r="AJ583" s="1607"/>
      <c r="AK583" s="1607"/>
      <c r="AL583" s="1607"/>
      <c r="AM583" s="1607"/>
      <c r="AN583" s="1607"/>
      <c r="AO583" s="1607"/>
      <c r="AP583" s="1607"/>
      <c r="AQ583" s="1607"/>
      <c r="AR583" s="1607"/>
      <c r="AS583" s="1607"/>
      <c r="AT583" s="1607"/>
      <c r="AU583" s="1607"/>
      <c r="AV583" s="1607"/>
      <c r="AW583" s="1607"/>
      <c r="AX583" s="1607"/>
      <c r="AY583" s="1607"/>
      <c r="AZ583" s="1607"/>
      <c r="BA583" s="1607"/>
      <c r="BB583" s="1607"/>
      <c r="BC583" s="1607"/>
      <c r="BD583" s="1607"/>
      <c r="BE583" s="1607"/>
      <c r="BF583" s="1607"/>
      <c r="BG583" s="1607"/>
      <c r="BH583" s="1607"/>
      <c r="BI583" s="1607"/>
      <c r="BJ583" s="1607"/>
      <c r="BK583" s="1607"/>
      <c r="BL583" s="1607"/>
    </row>
    <row r="584">
      <c r="A584" s="1607"/>
      <c r="B584" s="1607"/>
      <c r="C584" s="1607"/>
      <c r="D584" s="1607"/>
      <c r="E584" s="1607"/>
      <c r="F584" s="1607"/>
      <c r="G584" s="1607"/>
      <c r="H584" s="1607"/>
      <c r="I584" s="1607"/>
      <c r="J584" s="1607"/>
      <c r="K584" s="1607"/>
      <c r="L584" s="1607"/>
      <c r="M584" s="1607"/>
      <c r="N584" s="1607"/>
      <c r="O584" s="1607"/>
      <c r="P584" s="1607"/>
      <c r="Q584" s="1607"/>
      <c r="R584" s="1607"/>
      <c r="S584" s="1607"/>
      <c r="T584" s="1607"/>
      <c r="U584" s="1607"/>
      <c r="V584" s="1607"/>
      <c r="W584" s="1607"/>
      <c r="X584" s="1607"/>
      <c r="Y584" s="1607"/>
      <c r="Z584" s="1607"/>
      <c r="AA584" s="1607"/>
      <c r="AB584" s="1607"/>
      <c r="AC584" s="1607"/>
      <c r="AD584" s="1607"/>
      <c r="AE584" s="1607"/>
      <c r="AF584" s="1607"/>
      <c r="AG584" s="1607"/>
      <c r="AH584" s="1607"/>
      <c r="AI584" s="1607"/>
      <c r="AJ584" s="1607"/>
      <c r="AK584" s="1607"/>
      <c r="AL584" s="1607"/>
      <c r="AM584" s="1607"/>
      <c r="AN584" s="1607"/>
      <c r="AO584" s="1607"/>
      <c r="AP584" s="1607"/>
      <c r="AQ584" s="1607"/>
      <c r="AR584" s="1607"/>
      <c r="AS584" s="1607"/>
      <c r="AT584" s="1607"/>
      <c r="AU584" s="1607"/>
      <c r="AV584" s="1607"/>
      <c r="AW584" s="1607"/>
      <c r="AX584" s="1607"/>
      <c r="AY584" s="1607"/>
      <c r="AZ584" s="1607"/>
      <c r="BA584" s="1607"/>
      <c r="BB584" s="1607"/>
      <c r="BC584" s="1607"/>
      <c r="BD584" s="1607"/>
      <c r="BE584" s="1607"/>
      <c r="BF584" s="1607"/>
      <c r="BG584" s="1607"/>
      <c r="BH584" s="1607"/>
      <c r="BI584" s="1607"/>
      <c r="BJ584" s="1607"/>
      <c r="BK584" s="1607"/>
      <c r="BL584" s="1607"/>
    </row>
    <row r="585">
      <c r="A585" s="1607"/>
      <c r="B585" s="1607"/>
      <c r="C585" s="1607"/>
      <c r="D585" s="1607"/>
      <c r="E585" s="1607"/>
      <c r="F585" s="1607"/>
      <c r="G585" s="1607"/>
      <c r="H585" s="1607"/>
      <c r="I585" s="1607"/>
      <c r="J585" s="1607"/>
      <c r="K585" s="1607"/>
      <c r="L585" s="1607"/>
      <c r="M585" s="1607"/>
      <c r="N585" s="1607"/>
      <c r="O585" s="1607"/>
      <c r="P585" s="1607"/>
      <c r="Q585" s="1607"/>
      <c r="R585" s="1607"/>
      <c r="S585" s="1607"/>
      <c r="T585" s="1607"/>
      <c r="U585" s="1607"/>
      <c r="V585" s="1607"/>
      <c r="W585" s="1607"/>
      <c r="X585" s="1607"/>
      <c r="Y585" s="1607"/>
      <c r="Z585" s="1607"/>
      <c r="AA585" s="1607"/>
      <c r="AB585" s="1607"/>
      <c r="AC585" s="1607"/>
      <c r="AD585" s="1607"/>
      <c r="AE585" s="1607"/>
      <c r="AF585" s="1607"/>
      <c r="AG585" s="1607"/>
      <c r="AH585" s="1607"/>
      <c r="AI585" s="1607"/>
      <c r="AJ585" s="1607"/>
      <c r="AK585" s="1607"/>
      <c r="AL585" s="1607"/>
      <c r="AM585" s="1607"/>
      <c r="AN585" s="1607"/>
      <c r="AO585" s="1607"/>
      <c r="AP585" s="1607"/>
      <c r="AQ585" s="1607"/>
      <c r="AR585" s="1607"/>
      <c r="AS585" s="1607"/>
      <c r="AT585" s="1607"/>
      <c r="AU585" s="1607"/>
      <c r="AV585" s="1607"/>
      <c r="AW585" s="1607"/>
      <c r="AX585" s="1607"/>
      <c r="AY585" s="1607"/>
      <c r="AZ585" s="1607"/>
      <c r="BA585" s="1607"/>
      <c r="BB585" s="1607"/>
      <c r="BC585" s="1607"/>
      <c r="BD585" s="1607"/>
      <c r="BE585" s="1607"/>
      <c r="BF585" s="1607"/>
      <c r="BG585" s="1607"/>
      <c r="BH585" s="1607"/>
      <c r="BI585" s="1607"/>
      <c r="BJ585" s="1607"/>
      <c r="BK585" s="1607"/>
      <c r="BL585" s="1607"/>
    </row>
    <row r="586">
      <c r="A586" s="1607"/>
      <c r="B586" s="1607"/>
      <c r="C586" s="1607"/>
      <c r="D586" s="1607"/>
      <c r="E586" s="1607"/>
      <c r="F586" s="1607"/>
      <c r="G586" s="1607"/>
      <c r="H586" s="1607"/>
      <c r="I586" s="1607"/>
      <c r="J586" s="1607"/>
      <c r="K586" s="1607"/>
      <c r="L586" s="1607"/>
      <c r="M586" s="1607"/>
      <c r="N586" s="1607"/>
      <c r="O586" s="1607"/>
      <c r="P586" s="1607"/>
      <c r="Q586" s="1607"/>
      <c r="R586" s="1607"/>
      <c r="S586" s="1607"/>
      <c r="T586" s="1607"/>
      <c r="U586" s="1607"/>
      <c r="V586" s="1607"/>
      <c r="W586" s="1607"/>
      <c r="X586" s="1607"/>
      <c r="Y586" s="1607"/>
      <c r="Z586" s="1607"/>
      <c r="AA586" s="1607"/>
      <c r="AB586" s="1607"/>
      <c r="AC586" s="1607"/>
      <c r="AD586" s="1607"/>
      <c r="AE586" s="1607"/>
      <c r="AF586" s="1607"/>
      <c r="AG586" s="1607"/>
      <c r="AH586" s="1607"/>
      <c r="AI586" s="1607"/>
      <c r="AJ586" s="1607"/>
      <c r="AK586" s="1607"/>
      <c r="AL586" s="1607"/>
      <c r="AM586" s="1607"/>
      <c r="AN586" s="1607"/>
      <c r="AO586" s="1607"/>
      <c r="AP586" s="1607"/>
      <c r="AQ586" s="1607"/>
      <c r="AR586" s="1607"/>
      <c r="AS586" s="1607"/>
      <c r="AT586" s="1607"/>
      <c r="AU586" s="1607"/>
      <c r="AV586" s="1607"/>
      <c r="AW586" s="1607"/>
      <c r="AX586" s="1607"/>
      <c r="AY586" s="1607"/>
      <c r="AZ586" s="1607"/>
      <c r="BA586" s="1607"/>
      <c r="BB586" s="1607"/>
      <c r="BC586" s="1607"/>
      <c r="BD586" s="1607"/>
      <c r="BE586" s="1607"/>
      <c r="BF586" s="1607"/>
      <c r="BG586" s="1607"/>
      <c r="BH586" s="1607"/>
      <c r="BI586" s="1607"/>
      <c r="BJ586" s="1607"/>
      <c r="BK586" s="1607"/>
      <c r="BL586" s="1607"/>
    </row>
    <row r="587">
      <c r="A587" s="1607"/>
      <c r="B587" s="1607"/>
      <c r="C587" s="1607"/>
      <c r="D587" s="1607"/>
      <c r="E587" s="1607"/>
      <c r="F587" s="1607"/>
      <c r="G587" s="1607"/>
      <c r="H587" s="1607"/>
      <c r="I587" s="1607"/>
      <c r="J587" s="1607"/>
      <c r="K587" s="1607"/>
      <c r="L587" s="1607"/>
      <c r="M587" s="1607"/>
      <c r="N587" s="1607"/>
      <c r="O587" s="1607"/>
      <c r="P587" s="1607"/>
      <c r="Q587" s="1607"/>
      <c r="R587" s="1607"/>
      <c r="S587" s="1607"/>
      <c r="T587" s="1607"/>
      <c r="U587" s="1607"/>
      <c r="V587" s="1607"/>
      <c r="W587" s="1607"/>
      <c r="X587" s="1607"/>
      <c r="Y587" s="1607"/>
      <c r="Z587" s="1607"/>
      <c r="AA587" s="1607"/>
      <c r="AB587" s="1607"/>
      <c r="AC587" s="1607"/>
      <c r="AD587" s="1607"/>
      <c r="AE587" s="1607"/>
      <c r="AF587" s="1607"/>
      <c r="AG587" s="1607"/>
      <c r="AH587" s="1607"/>
      <c r="AI587" s="1607"/>
      <c r="AJ587" s="1607"/>
      <c r="AK587" s="1607"/>
      <c r="AL587" s="1607"/>
      <c r="AM587" s="1607"/>
      <c r="AN587" s="1607"/>
      <c r="AO587" s="1607"/>
      <c r="AP587" s="1607"/>
      <c r="AQ587" s="1607"/>
      <c r="AR587" s="1607"/>
      <c r="AS587" s="1607"/>
      <c r="AT587" s="1607"/>
      <c r="AU587" s="1607"/>
      <c r="AV587" s="1607"/>
      <c r="AW587" s="1607"/>
      <c r="AX587" s="1607"/>
      <c r="AY587" s="1607"/>
      <c r="AZ587" s="1607"/>
      <c r="BA587" s="1607"/>
      <c r="BB587" s="1607"/>
      <c r="BC587" s="1607"/>
      <c r="BD587" s="1607"/>
      <c r="BE587" s="1607"/>
      <c r="BF587" s="1607"/>
      <c r="BG587" s="1607"/>
      <c r="BH587" s="1607"/>
      <c r="BI587" s="1607"/>
      <c r="BJ587" s="1607"/>
      <c r="BK587" s="1607"/>
      <c r="BL587" s="1607"/>
    </row>
    <row r="588">
      <c r="A588" s="1607"/>
      <c r="B588" s="1607"/>
      <c r="C588" s="1607"/>
      <c r="D588" s="1607"/>
      <c r="E588" s="1607"/>
      <c r="F588" s="1607"/>
      <c r="G588" s="1607"/>
      <c r="H588" s="1607"/>
      <c r="I588" s="1607"/>
      <c r="J588" s="1607"/>
      <c r="K588" s="1607"/>
      <c r="L588" s="1607"/>
      <c r="M588" s="1607"/>
      <c r="N588" s="1607"/>
      <c r="O588" s="1607"/>
      <c r="P588" s="1607"/>
      <c r="Q588" s="1607"/>
      <c r="R588" s="1607"/>
      <c r="S588" s="1607"/>
      <c r="T588" s="1607"/>
      <c r="U588" s="1607"/>
      <c r="V588" s="1607"/>
      <c r="W588" s="1607"/>
      <c r="X588" s="1607"/>
      <c r="Y588" s="1607"/>
      <c r="Z588" s="1607"/>
      <c r="AA588" s="1607"/>
      <c r="AB588" s="1607"/>
      <c r="AC588" s="1607"/>
      <c r="AD588" s="1607"/>
      <c r="AE588" s="1607"/>
      <c r="AF588" s="1607"/>
      <c r="AG588" s="1607"/>
      <c r="AH588" s="1607"/>
      <c r="AI588" s="1607"/>
      <c r="AJ588" s="1607"/>
      <c r="AK588" s="1607"/>
      <c r="AL588" s="1607"/>
      <c r="AM588" s="1607"/>
      <c r="AN588" s="1607"/>
      <c r="AO588" s="1607"/>
      <c r="AP588" s="1607"/>
      <c r="AQ588" s="1607"/>
      <c r="AR588" s="1607"/>
      <c r="AS588" s="1607"/>
      <c r="AT588" s="1607"/>
      <c r="AU588" s="1607"/>
      <c r="AV588" s="1607"/>
      <c r="AW588" s="1607"/>
      <c r="AX588" s="1607"/>
      <c r="AY588" s="1607"/>
      <c r="AZ588" s="1607"/>
      <c r="BA588" s="1607"/>
      <c r="BB588" s="1607"/>
      <c r="BC588" s="1607"/>
      <c r="BD588" s="1607"/>
      <c r="BE588" s="1607"/>
      <c r="BF588" s="1607"/>
      <c r="BG588" s="1607"/>
      <c r="BH588" s="1607"/>
      <c r="BI588" s="1607"/>
      <c r="BJ588" s="1607"/>
      <c r="BK588" s="1607"/>
      <c r="BL588" s="1607"/>
    </row>
    <row r="589">
      <c r="A589" s="1607"/>
      <c r="B589" s="1607"/>
      <c r="C589" s="1607"/>
      <c r="D589" s="1607"/>
      <c r="E589" s="1607"/>
      <c r="F589" s="1607"/>
      <c r="G589" s="1607"/>
      <c r="H589" s="1607"/>
      <c r="I589" s="1607"/>
      <c r="J589" s="1607"/>
      <c r="K589" s="1607"/>
      <c r="L589" s="1607"/>
      <c r="M589" s="1607"/>
      <c r="N589" s="1607"/>
      <c r="O589" s="1607"/>
      <c r="P589" s="1607"/>
      <c r="Q589" s="1607"/>
      <c r="R589" s="1607"/>
      <c r="S589" s="1607"/>
      <c r="T589" s="1607"/>
      <c r="U589" s="1607"/>
      <c r="V589" s="1607"/>
      <c r="W589" s="1607"/>
      <c r="X589" s="1607"/>
      <c r="Y589" s="1607"/>
      <c r="Z589" s="1607"/>
      <c r="AA589" s="1607"/>
      <c r="AB589" s="1607"/>
      <c r="AC589" s="1607"/>
      <c r="AD589" s="1607"/>
      <c r="AE589" s="1607"/>
      <c r="AF589" s="1607"/>
      <c r="AG589" s="1607"/>
      <c r="AH589" s="1607"/>
      <c r="AI589" s="1607"/>
      <c r="AJ589" s="1607"/>
      <c r="AK589" s="1607"/>
      <c r="AL589" s="1607"/>
      <c r="AM589" s="1607"/>
      <c r="AN589" s="1607"/>
      <c r="AO589" s="1607"/>
      <c r="AP589" s="1607"/>
      <c r="AQ589" s="1607"/>
      <c r="AR589" s="1607"/>
      <c r="AS589" s="1607"/>
      <c r="AT589" s="1607"/>
      <c r="AU589" s="1607"/>
      <c r="AV589" s="1607"/>
      <c r="AW589" s="1607"/>
      <c r="AX589" s="1607"/>
      <c r="AY589" s="1607"/>
      <c r="AZ589" s="1607"/>
      <c r="BA589" s="1607"/>
      <c r="BB589" s="1607"/>
      <c r="BC589" s="1607"/>
      <c r="BD589" s="1607"/>
      <c r="BE589" s="1607"/>
      <c r="BF589" s="1607"/>
      <c r="BG589" s="1607"/>
      <c r="BH589" s="1607"/>
      <c r="BI589" s="1607"/>
      <c r="BJ589" s="1607"/>
      <c r="BK589" s="1607"/>
      <c r="BL589" s="1607"/>
    </row>
    <row r="590">
      <c r="A590" s="1607"/>
      <c r="B590" s="1607"/>
      <c r="C590" s="1607"/>
      <c r="D590" s="1607"/>
      <c r="E590" s="1607"/>
      <c r="F590" s="1607"/>
      <c r="G590" s="1607"/>
      <c r="H590" s="1607"/>
      <c r="I590" s="1607"/>
      <c r="J590" s="1607"/>
      <c r="K590" s="1607"/>
      <c r="L590" s="1607"/>
      <c r="M590" s="1607"/>
      <c r="N590" s="1607"/>
      <c r="O590" s="1607"/>
      <c r="P590" s="1607"/>
      <c r="Q590" s="1607"/>
      <c r="R590" s="1607"/>
      <c r="S590" s="1607"/>
      <c r="T590" s="1607"/>
      <c r="U590" s="1607"/>
      <c r="V590" s="1607"/>
      <c r="W590" s="1607"/>
      <c r="X590" s="1607"/>
      <c r="Y590" s="1607"/>
      <c r="Z590" s="1607"/>
      <c r="AA590" s="1607"/>
      <c r="AB590" s="1607"/>
      <c r="AC590" s="1607"/>
      <c r="AD590" s="1607"/>
      <c r="AE590" s="1607"/>
      <c r="AF590" s="1607"/>
      <c r="AG590" s="1607"/>
      <c r="AH590" s="1607"/>
      <c r="AI590" s="1607"/>
      <c r="AJ590" s="1607"/>
      <c r="AK590" s="1607"/>
      <c r="AL590" s="1607"/>
      <c r="AM590" s="1607"/>
      <c r="AN590" s="1607"/>
      <c r="AO590" s="1607"/>
      <c r="AP590" s="1607"/>
      <c r="AQ590" s="1607"/>
      <c r="AR590" s="1607"/>
      <c r="AS590" s="1607"/>
      <c r="AT590" s="1607"/>
      <c r="AU590" s="1607"/>
      <c r="AV590" s="1607"/>
      <c r="AW590" s="1607"/>
      <c r="AX590" s="1607"/>
      <c r="AY590" s="1607"/>
      <c r="AZ590" s="1607"/>
      <c r="BA590" s="1607"/>
      <c r="BB590" s="1607"/>
      <c r="BC590" s="1607"/>
      <c r="BD590" s="1607"/>
      <c r="BE590" s="1607"/>
      <c r="BF590" s="1607"/>
      <c r="BG590" s="1607"/>
      <c r="BH590" s="1607"/>
      <c r="BI590" s="1607"/>
      <c r="BJ590" s="1607"/>
      <c r="BK590" s="1607"/>
      <c r="BL590" s="1607"/>
    </row>
    <row r="591">
      <c r="A591" s="1607"/>
      <c r="B591" s="1607"/>
      <c r="C591" s="1607"/>
      <c r="D591" s="1607"/>
      <c r="E591" s="1607"/>
      <c r="F591" s="1607"/>
      <c r="G591" s="1607"/>
      <c r="H591" s="1607"/>
      <c r="I591" s="1607"/>
      <c r="J591" s="1607"/>
      <c r="K591" s="1607"/>
      <c r="L591" s="1607"/>
      <c r="M591" s="1607"/>
      <c r="N591" s="1607"/>
      <c r="O591" s="1607"/>
      <c r="P591" s="1607"/>
      <c r="Q591" s="1607"/>
      <c r="R591" s="1607"/>
      <c r="S591" s="1607"/>
      <c r="T591" s="1607"/>
      <c r="U591" s="1607"/>
      <c r="V591" s="1607"/>
      <c r="W591" s="1607"/>
      <c r="X591" s="1607"/>
      <c r="Y591" s="1607"/>
      <c r="Z591" s="1607"/>
      <c r="AA591" s="1607"/>
      <c r="AB591" s="1607"/>
      <c r="AC591" s="1607"/>
      <c r="AD591" s="1607"/>
      <c r="AE591" s="1607"/>
      <c r="AF591" s="1607"/>
      <c r="AG591" s="1607"/>
      <c r="AH591" s="1607"/>
      <c r="AI591" s="1607"/>
      <c r="AJ591" s="1607"/>
      <c r="AK591" s="1607"/>
      <c r="AL591" s="1607"/>
      <c r="AM591" s="1607"/>
      <c r="AN591" s="1607"/>
      <c r="AO591" s="1607"/>
      <c r="AP591" s="1607"/>
      <c r="AQ591" s="1607"/>
      <c r="AR591" s="1607"/>
      <c r="AS591" s="1607"/>
      <c r="AT591" s="1607"/>
      <c r="AU591" s="1607"/>
      <c r="AV591" s="1607"/>
      <c r="AW591" s="1607"/>
      <c r="AX591" s="1607"/>
      <c r="AY591" s="1607"/>
      <c r="AZ591" s="1607"/>
      <c r="BA591" s="1607"/>
      <c r="BB591" s="1607"/>
      <c r="BC591" s="1607"/>
      <c r="BD591" s="1607"/>
      <c r="BE591" s="1607"/>
      <c r="BF591" s="1607"/>
      <c r="BG591" s="1607"/>
      <c r="BH591" s="1607"/>
      <c r="BI591" s="1607"/>
      <c r="BJ591" s="1607"/>
      <c r="BK591" s="1607"/>
      <c r="BL591" s="1607"/>
    </row>
    <row r="592">
      <c r="A592" s="1607"/>
      <c r="B592" s="1607"/>
      <c r="C592" s="1607"/>
      <c r="D592" s="1607"/>
      <c r="E592" s="1607"/>
      <c r="F592" s="1607"/>
      <c r="G592" s="1607"/>
      <c r="H592" s="1607"/>
      <c r="I592" s="1607"/>
      <c r="J592" s="1607"/>
      <c r="K592" s="1607"/>
      <c r="L592" s="1607"/>
      <c r="M592" s="1607"/>
      <c r="N592" s="1607"/>
      <c r="O592" s="1607"/>
      <c r="P592" s="1607"/>
      <c r="Q592" s="1607"/>
      <c r="R592" s="1607"/>
      <c r="S592" s="1607"/>
      <c r="T592" s="1607"/>
      <c r="U592" s="1607"/>
      <c r="V592" s="1607"/>
      <c r="W592" s="1607"/>
      <c r="X592" s="1607"/>
      <c r="Y592" s="1607"/>
      <c r="Z592" s="1607"/>
      <c r="AA592" s="1607"/>
      <c r="AB592" s="1607"/>
      <c r="AC592" s="1607"/>
      <c r="AD592" s="1607"/>
      <c r="AE592" s="1607"/>
      <c r="AF592" s="1607"/>
      <c r="AG592" s="1607"/>
      <c r="AH592" s="1607"/>
      <c r="AI592" s="1607"/>
      <c r="AJ592" s="1607"/>
      <c r="AK592" s="1607"/>
      <c r="AL592" s="1607"/>
      <c r="AM592" s="1607"/>
      <c r="AN592" s="1607"/>
      <c r="AO592" s="1607"/>
      <c r="AP592" s="1607"/>
      <c r="AQ592" s="1607"/>
      <c r="AR592" s="1607"/>
      <c r="AS592" s="1607"/>
      <c r="AT592" s="1607"/>
      <c r="AU592" s="1607"/>
      <c r="AV592" s="1607"/>
      <c r="AW592" s="1607"/>
      <c r="AX592" s="1607"/>
      <c r="AY592" s="1607"/>
      <c r="AZ592" s="1607"/>
      <c r="BA592" s="1607"/>
      <c r="BB592" s="1607"/>
      <c r="BC592" s="1607"/>
      <c r="BD592" s="1607"/>
      <c r="BE592" s="1607"/>
      <c r="BF592" s="1607"/>
      <c r="BG592" s="1607"/>
      <c r="BH592" s="1607"/>
      <c r="BI592" s="1607"/>
      <c r="BJ592" s="1607"/>
      <c r="BK592" s="1607"/>
      <c r="BL592" s="1607"/>
    </row>
    <row r="593">
      <c r="A593" s="1607"/>
      <c r="B593" s="1607"/>
      <c r="C593" s="1607"/>
      <c r="D593" s="1607"/>
      <c r="E593" s="1607"/>
      <c r="F593" s="1607"/>
      <c r="G593" s="1607"/>
      <c r="H593" s="1607"/>
      <c r="I593" s="1607"/>
      <c r="J593" s="1607"/>
      <c r="K593" s="1607"/>
      <c r="L593" s="1607"/>
      <c r="M593" s="1607"/>
      <c r="N593" s="1607"/>
      <c r="O593" s="1607"/>
      <c r="P593" s="1607"/>
      <c r="Q593" s="1607"/>
      <c r="R593" s="1607"/>
      <c r="S593" s="1607"/>
      <c r="T593" s="1607"/>
      <c r="U593" s="1607"/>
      <c r="V593" s="1607"/>
      <c r="W593" s="1607"/>
      <c r="X593" s="1607"/>
      <c r="Y593" s="1607"/>
      <c r="Z593" s="1607"/>
      <c r="AA593" s="1607"/>
      <c r="AB593" s="1607"/>
      <c r="AC593" s="1607"/>
      <c r="AD593" s="1607"/>
      <c r="AE593" s="1607"/>
      <c r="AF593" s="1607"/>
      <c r="AG593" s="1607"/>
      <c r="AH593" s="1607"/>
      <c r="AI593" s="1607"/>
      <c r="AJ593" s="1607"/>
      <c r="AK593" s="1607"/>
      <c r="AL593" s="1607"/>
      <c r="AM593" s="1607"/>
      <c r="AN593" s="1607"/>
      <c r="AO593" s="1607"/>
      <c r="AP593" s="1607"/>
      <c r="AQ593" s="1607"/>
      <c r="AR593" s="1607"/>
      <c r="AS593" s="1607"/>
      <c r="AT593" s="1607"/>
      <c r="AU593" s="1607"/>
      <c r="AV593" s="1607"/>
      <c r="AW593" s="1607"/>
      <c r="AX593" s="1607"/>
      <c r="AY593" s="1607"/>
      <c r="AZ593" s="1607"/>
      <c r="BA593" s="1607"/>
      <c r="BB593" s="1607"/>
      <c r="BC593" s="1607"/>
      <c r="BD593" s="1607"/>
      <c r="BE593" s="1607"/>
      <c r="BF593" s="1607"/>
      <c r="BG593" s="1607"/>
      <c r="BH593" s="1607"/>
      <c r="BI593" s="1607"/>
      <c r="BJ593" s="1607"/>
      <c r="BK593" s="1607"/>
      <c r="BL593" s="1607"/>
    </row>
    <row r="594">
      <c r="A594" s="1607"/>
      <c r="B594" s="1607"/>
      <c r="C594" s="1607"/>
      <c r="D594" s="1607"/>
      <c r="E594" s="1607"/>
      <c r="F594" s="1607"/>
      <c r="G594" s="1607"/>
      <c r="H594" s="1607"/>
      <c r="I594" s="1607"/>
      <c r="J594" s="1607"/>
      <c r="K594" s="1607"/>
      <c r="L594" s="1607"/>
      <c r="M594" s="1607"/>
      <c r="N594" s="1607"/>
      <c r="O594" s="1607"/>
      <c r="P594" s="1607"/>
      <c r="Q594" s="1607"/>
      <c r="R594" s="1607"/>
      <c r="S594" s="1607"/>
      <c r="T594" s="1607"/>
      <c r="U594" s="1607"/>
      <c r="V594" s="1607"/>
      <c r="W594" s="1607"/>
      <c r="X594" s="1607"/>
      <c r="Y594" s="1607"/>
      <c r="Z594" s="1607"/>
      <c r="AA594" s="1607"/>
      <c r="AB594" s="1607"/>
      <c r="AC594" s="1607"/>
      <c r="AD594" s="1607"/>
      <c r="AE594" s="1607"/>
      <c r="AF594" s="1607"/>
      <c r="AG594" s="1607"/>
      <c r="AH594" s="1607"/>
      <c r="AI594" s="1607"/>
      <c r="AJ594" s="1607"/>
      <c r="AK594" s="1607"/>
      <c r="AL594" s="1607"/>
      <c r="AM594" s="1607"/>
      <c r="AN594" s="1607"/>
      <c r="AO594" s="1607"/>
      <c r="AP594" s="1607"/>
      <c r="AQ594" s="1607"/>
      <c r="AR594" s="1607"/>
      <c r="AS594" s="1607"/>
      <c r="AT594" s="1607"/>
      <c r="AU594" s="1607"/>
      <c r="AV594" s="1607"/>
      <c r="AW594" s="1607"/>
      <c r="AX594" s="1607"/>
      <c r="AY594" s="1607"/>
      <c r="AZ594" s="1607"/>
      <c r="BA594" s="1607"/>
      <c r="BB594" s="1607"/>
      <c r="BC594" s="1607"/>
      <c r="BD594" s="1607"/>
      <c r="BE594" s="1607"/>
      <c r="BF594" s="1607"/>
      <c r="BG594" s="1607"/>
      <c r="BH594" s="1607"/>
      <c r="BI594" s="1607"/>
      <c r="BJ594" s="1607"/>
      <c r="BK594" s="1607"/>
      <c r="BL594" s="1607"/>
    </row>
    <row r="595">
      <c r="A595" s="1607"/>
      <c r="B595" s="1607"/>
      <c r="C595" s="1607"/>
      <c r="D595" s="1607"/>
      <c r="E595" s="1607"/>
      <c r="F595" s="1607"/>
      <c r="G595" s="1607"/>
      <c r="H595" s="1607"/>
      <c r="I595" s="1607"/>
      <c r="J595" s="1607"/>
      <c r="K595" s="1607"/>
      <c r="L595" s="1607"/>
      <c r="M595" s="1607"/>
      <c r="N595" s="1607"/>
      <c r="O595" s="1607"/>
      <c r="P595" s="1607"/>
      <c r="Q595" s="1607"/>
      <c r="R595" s="1607"/>
      <c r="S595" s="1607"/>
      <c r="T595" s="1607"/>
      <c r="U595" s="1607"/>
      <c r="V595" s="1607"/>
      <c r="W595" s="1607"/>
      <c r="X595" s="1607"/>
      <c r="Y595" s="1607"/>
      <c r="Z595" s="1607"/>
      <c r="AA595" s="1607"/>
      <c r="AB595" s="1607"/>
      <c r="AC595" s="1607"/>
      <c r="AD595" s="1607"/>
      <c r="AE595" s="1607"/>
      <c r="AF595" s="1607"/>
      <c r="AG595" s="1607"/>
      <c r="AH595" s="1607"/>
      <c r="AI595" s="1607"/>
      <c r="AJ595" s="1607"/>
      <c r="AK595" s="1607"/>
      <c r="AL595" s="1607"/>
      <c r="AM595" s="1607"/>
      <c r="AN595" s="1607"/>
      <c r="AO595" s="1607"/>
      <c r="AP595" s="1607"/>
      <c r="AQ595" s="1607"/>
      <c r="AR595" s="1607"/>
      <c r="AS595" s="1607"/>
      <c r="AT595" s="1607"/>
      <c r="AU595" s="1607"/>
      <c r="AV595" s="1607"/>
      <c r="AW595" s="1607"/>
      <c r="AX595" s="1607"/>
      <c r="AY595" s="1607"/>
      <c r="AZ595" s="1607"/>
      <c r="BA595" s="1607"/>
      <c r="BB595" s="1607"/>
      <c r="BC595" s="1607"/>
      <c r="BD595" s="1607"/>
      <c r="BE595" s="1607"/>
      <c r="BF595" s="1607"/>
      <c r="BG595" s="1607"/>
      <c r="BH595" s="1607"/>
      <c r="BI595" s="1607"/>
      <c r="BJ595" s="1607"/>
      <c r="BK595" s="1607"/>
      <c r="BL595" s="1607"/>
    </row>
    <row r="596">
      <c r="A596" s="1607"/>
      <c r="B596" s="1607"/>
      <c r="C596" s="1607"/>
      <c r="D596" s="1607"/>
      <c r="E596" s="1607"/>
      <c r="F596" s="1607"/>
      <c r="G596" s="1607"/>
      <c r="H596" s="1607"/>
      <c r="I596" s="1607"/>
      <c r="J596" s="1607"/>
      <c r="K596" s="1607"/>
      <c r="L596" s="1607"/>
      <c r="M596" s="1607"/>
      <c r="N596" s="1607"/>
      <c r="O596" s="1607"/>
      <c r="P596" s="1607"/>
      <c r="Q596" s="1607"/>
      <c r="R596" s="1607"/>
      <c r="S596" s="1607"/>
      <c r="T596" s="1607"/>
      <c r="U596" s="1607"/>
      <c r="V596" s="1607"/>
      <c r="W596" s="1607"/>
      <c r="X596" s="1607"/>
      <c r="Y596" s="1607"/>
      <c r="Z596" s="1607"/>
      <c r="AA596" s="1607"/>
      <c r="AB596" s="1607"/>
      <c r="AC596" s="1607"/>
      <c r="AD596" s="1607"/>
      <c r="AE596" s="1607"/>
      <c r="AF596" s="1607"/>
      <c r="AG596" s="1607"/>
      <c r="AH596" s="1607"/>
      <c r="AI596" s="1607"/>
      <c r="AJ596" s="1607"/>
      <c r="AK596" s="1607"/>
      <c r="AL596" s="1607"/>
      <c r="AM596" s="1607"/>
      <c r="AN596" s="1607"/>
      <c r="AO596" s="1607"/>
      <c r="AP596" s="1607"/>
      <c r="AQ596" s="1607"/>
      <c r="AR596" s="1607"/>
      <c r="AS596" s="1607"/>
      <c r="AT596" s="1607"/>
      <c r="AU596" s="1607"/>
      <c r="AV596" s="1607"/>
      <c r="AW596" s="1607"/>
      <c r="AX596" s="1607"/>
      <c r="AY596" s="1607"/>
      <c r="AZ596" s="1607"/>
      <c r="BA596" s="1607"/>
      <c r="BB596" s="1607"/>
      <c r="BC596" s="1607"/>
      <c r="BD596" s="1607"/>
      <c r="BE596" s="1607"/>
      <c r="BF596" s="1607"/>
      <c r="BG596" s="1607"/>
      <c r="BH596" s="1607"/>
      <c r="BI596" s="1607"/>
      <c r="BJ596" s="1607"/>
      <c r="BK596" s="1607"/>
      <c r="BL596" s="1607"/>
    </row>
    <row r="597">
      <c r="A597" s="1607"/>
      <c r="B597" s="1607"/>
      <c r="C597" s="1607"/>
      <c r="D597" s="1607"/>
      <c r="E597" s="1607"/>
      <c r="F597" s="1607"/>
      <c r="G597" s="1607"/>
      <c r="H597" s="1607"/>
      <c r="I597" s="1607"/>
      <c r="J597" s="1607"/>
      <c r="K597" s="1607"/>
      <c r="L597" s="1607"/>
      <c r="M597" s="1607"/>
      <c r="N597" s="1607"/>
      <c r="O597" s="1607"/>
      <c r="P597" s="1607"/>
      <c r="Q597" s="1607"/>
      <c r="R597" s="1607"/>
      <c r="S597" s="1607"/>
      <c r="T597" s="1607"/>
      <c r="U597" s="1607"/>
      <c r="V597" s="1607"/>
      <c r="W597" s="1607"/>
      <c r="X597" s="1607"/>
      <c r="Y597" s="1607"/>
      <c r="Z597" s="1607"/>
      <c r="AA597" s="1607"/>
      <c r="AB597" s="1607"/>
      <c r="AC597" s="1607"/>
      <c r="AD597" s="1607"/>
      <c r="AE597" s="1607"/>
      <c r="AF597" s="1607"/>
      <c r="AG597" s="1607"/>
      <c r="AH597" s="1607"/>
      <c r="AI597" s="1607"/>
      <c r="AJ597" s="1607"/>
      <c r="AK597" s="1607"/>
      <c r="AL597" s="1607"/>
      <c r="AM597" s="1607"/>
      <c r="AN597" s="1607"/>
      <c r="AO597" s="1607"/>
      <c r="AP597" s="1607"/>
      <c r="AQ597" s="1607"/>
      <c r="AR597" s="1607"/>
      <c r="AS597" s="1607"/>
      <c r="AT597" s="1607"/>
      <c r="AU597" s="1607"/>
      <c r="AV597" s="1607"/>
      <c r="AW597" s="1607"/>
      <c r="AX597" s="1607"/>
      <c r="AY597" s="1607"/>
      <c r="AZ597" s="1607"/>
      <c r="BA597" s="1607"/>
      <c r="BB597" s="1607"/>
      <c r="BC597" s="1607"/>
      <c r="BD597" s="1607"/>
      <c r="BE597" s="1607"/>
      <c r="BF597" s="1607"/>
      <c r="BG597" s="1607"/>
      <c r="BH597" s="1607"/>
      <c r="BI597" s="1607"/>
      <c r="BJ597" s="1607"/>
      <c r="BK597" s="1607"/>
      <c r="BL597" s="1607"/>
    </row>
    <row r="598">
      <c r="A598" s="1607"/>
      <c r="B598" s="1607"/>
      <c r="C598" s="1607"/>
      <c r="D598" s="1607"/>
      <c r="E598" s="1607"/>
      <c r="F598" s="1607"/>
      <c r="G598" s="1607"/>
      <c r="H598" s="1607"/>
      <c r="I598" s="1607"/>
      <c r="J598" s="1607"/>
      <c r="K598" s="1607"/>
      <c r="L598" s="1607"/>
      <c r="M598" s="1607"/>
      <c r="N598" s="1607"/>
      <c r="O598" s="1607"/>
      <c r="P598" s="1607"/>
      <c r="Q598" s="1607"/>
      <c r="R598" s="1607"/>
      <c r="S598" s="1607"/>
      <c r="T598" s="1607"/>
      <c r="U598" s="1607"/>
      <c r="V598" s="1607"/>
      <c r="W598" s="1607"/>
      <c r="X598" s="1607"/>
      <c r="Y598" s="1607"/>
      <c r="Z598" s="1607"/>
      <c r="AA598" s="1607"/>
      <c r="AB598" s="1607"/>
      <c r="AC598" s="1607"/>
      <c r="AD598" s="1607"/>
      <c r="AE598" s="1607"/>
      <c r="AF598" s="1607"/>
      <c r="AG598" s="1607"/>
      <c r="AH598" s="1607"/>
      <c r="AI598" s="1607"/>
      <c r="AJ598" s="1607"/>
      <c r="AK598" s="1607"/>
      <c r="AL598" s="1607"/>
      <c r="AM598" s="1607"/>
      <c r="AN598" s="1607"/>
      <c r="AO598" s="1607"/>
      <c r="AP598" s="1607"/>
      <c r="AQ598" s="1607"/>
      <c r="AR598" s="1607"/>
      <c r="AS598" s="1607"/>
      <c r="AT598" s="1607"/>
      <c r="AU598" s="1607"/>
      <c r="AV598" s="1607"/>
      <c r="AW598" s="1607"/>
      <c r="AX598" s="1607"/>
      <c r="AY598" s="1607"/>
      <c r="AZ598" s="1607"/>
      <c r="BA598" s="1607"/>
      <c r="BB598" s="1607"/>
      <c r="BC598" s="1607"/>
      <c r="BD598" s="1607"/>
      <c r="BE598" s="1607"/>
      <c r="BF598" s="1607"/>
      <c r="BG598" s="1607"/>
      <c r="BH598" s="1607"/>
      <c r="BI598" s="1607"/>
      <c r="BJ598" s="1607"/>
      <c r="BK598" s="1607"/>
      <c r="BL598" s="1607"/>
    </row>
    <row r="599">
      <c r="A599" s="1607"/>
      <c r="B599" s="1607"/>
      <c r="C599" s="1607"/>
      <c r="D599" s="1607"/>
      <c r="E599" s="1607"/>
      <c r="F599" s="1607"/>
      <c r="G599" s="1607"/>
      <c r="H599" s="1607"/>
      <c r="I599" s="1607"/>
      <c r="J599" s="1607"/>
      <c r="K599" s="1607"/>
      <c r="L599" s="1607"/>
      <c r="M599" s="1607"/>
      <c r="N599" s="1607"/>
      <c r="O599" s="1607"/>
      <c r="P599" s="1607"/>
      <c r="Q599" s="1607"/>
      <c r="R599" s="1607"/>
      <c r="S599" s="1607"/>
      <c r="T599" s="1607"/>
      <c r="U599" s="1607"/>
      <c r="V599" s="1607"/>
      <c r="W599" s="1607"/>
      <c r="X599" s="1607"/>
      <c r="Y599" s="1607"/>
      <c r="Z599" s="1607"/>
      <c r="AA599" s="1607"/>
      <c r="AB599" s="1607"/>
      <c r="AC599" s="1607"/>
      <c r="AD599" s="1607"/>
      <c r="AE599" s="1607"/>
      <c r="AF599" s="1607"/>
      <c r="AG599" s="1607"/>
      <c r="AH599" s="1607"/>
      <c r="AI599" s="1607"/>
      <c r="AJ599" s="1607"/>
      <c r="AK599" s="1607"/>
      <c r="AL599" s="1607"/>
      <c r="AM599" s="1607"/>
      <c r="AN599" s="1607"/>
      <c r="AO599" s="1607"/>
      <c r="AP599" s="1607"/>
      <c r="AQ599" s="1607"/>
      <c r="AR599" s="1607"/>
      <c r="AS599" s="1607"/>
      <c r="AT599" s="1607"/>
      <c r="AU599" s="1607"/>
      <c r="AV599" s="1607"/>
      <c r="AW599" s="1607"/>
      <c r="AX599" s="1607"/>
      <c r="AY599" s="1607"/>
      <c r="AZ599" s="1607"/>
      <c r="BA599" s="1607"/>
      <c r="BB599" s="1607"/>
      <c r="BC599" s="1607"/>
      <c r="BD599" s="1607"/>
      <c r="BE599" s="1607"/>
      <c r="BF599" s="1607"/>
      <c r="BG599" s="1607"/>
      <c r="BH599" s="1607"/>
      <c r="BI599" s="1607"/>
      <c r="BJ599" s="1607"/>
      <c r="BK599" s="1607"/>
      <c r="BL599" s="1607"/>
    </row>
    <row r="600">
      <c r="A600" s="1607"/>
      <c r="B600" s="1607"/>
      <c r="C600" s="1607"/>
      <c r="D600" s="1607"/>
      <c r="E600" s="1607"/>
      <c r="F600" s="1607"/>
      <c r="G600" s="1607"/>
      <c r="H600" s="1607"/>
      <c r="I600" s="1607"/>
      <c r="J600" s="1607"/>
      <c r="K600" s="1607"/>
      <c r="L600" s="1607"/>
      <c r="M600" s="1607"/>
      <c r="N600" s="1607"/>
      <c r="O600" s="1607"/>
      <c r="P600" s="1607"/>
      <c r="Q600" s="1607"/>
      <c r="R600" s="1607"/>
      <c r="S600" s="1607"/>
      <c r="T600" s="1607"/>
      <c r="U600" s="1607"/>
      <c r="V600" s="1607"/>
      <c r="W600" s="1607"/>
      <c r="X600" s="1607"/>
      <c r="Y600" s="1607"/>
      <c r="Z600" s="1607"/>
      <c r="AA600" s="1607"/>
      <c r="AB600" s="1607"/>
      <c r="AC600" s="1607"/>
      <c r="AD600" s="1607"/>
      <c r="AE600" s="1607"/>
      <c r="AF600" s="1607"/>
      <c r="AG600" s="1607"/>
      <c r="AH600" s="1607"/>
      <c r="AI600" s="1607"/>
      <c r="AJ600" s="1607"/>
      <c r="AK600" s="1607"/>
      <c r="AL600" s="1607"/>
      <c r="AM600" s="1607"/>
      <c r="AN600" s="1607"/>
      <c r="AO600" s="1607"/>
      <c r="AP600" s="1607"/>
      <c r="AQ600" s="1607"/>
      <c r="AR600" s="1607"/>
      <c r="AS600" s="1607"/>
      <c r="AT600" s="1607"/>
      <c r="AU600" s="1607"/>
      <c r="AV600" s="1607"/>
      <c r="AW600" s="1607"/>
      <c r="AX600" s="1607"/>
      <c r="AY600" s="1607"/>
      <c r="AZ600" s="1607"/>
      <c r="BA600" s="1607"/>
      <c r="BB600" s="1607"/>
      <c r="BC600" s="1607"/>
      <c r="BD600" s="1607"/>
      <c r="BE600" s="1607"/>
      <c r="BF600" s="1607"/>
      <c r="BG600" s="1607"/>
      <c r="BH600" s="1607"/>
      <c r="BI600" s="1607"/>
      <c r="BJ600" s="1607"/>
      <c r="BK600" s="1607"/>
      <c r="BL600" s="1607"/>
    </row>
    <row r="601">
      <c r="A601" s="1607"/>
      <c r="B601" s="1607"/>
      <c r="C601" s="1607"/>
      <c r="D601" s="1607"/>
      <c r="E601" s="1607"/>
      <c r="F601" s="1607"/>
      <c r="G601" s="1607"/>
      <c r="H601" s="1607"/>
      <c r="I601" s="1607"/>
      <c r="J601" s="1607"/>
      <c r="K601" s="1607"/>
      <c r="L601" s="1607"/>
      <c r="M601" s="1607"/>
      <c r="N601" s="1607"/>
      <c r="O601" s="1607"/>
      <c r="P601" s="1607"/>
      <c r="Q601" s="1607"/>
      <c r="R601" s="1607"/>
      <c r="S601" s="1607"/>
      <c r="T601" s="1607"/>
      <c r="U601" s="1607"/>
      <c r="V601" s="1607"/>
      <c r="W601" s="1607"/>
      <c r="X601" s="1607"/>
      <c r="Y601" s="1607"/>
      <c r="Z601" s="1607"/>
      <c r="AA601" s="1607"/>
      <c r="AB601" s="1607"/>
      <c r="AC601" s="1607"/>
      <c r="AD601" s="1607"/>
      <c r="AE601" s="1607"/>
      <c r="AF601" s="1607"/>
      <c r="AG601" s="1607"/>
      <c r="AH601" s="1607"/>
      <c r="AI601" s="1607"/>
      <c r="AJ601" s="1607"/>
      <c r="AK601" s="1607"/>
      <c r="AL601" s="1607"/>
      <c r="AM601" s="1607"/>
      <c r="AN601" s="1607"/>
      <c r="AO601" s="1607"/>
      <c r="AP601" s="1607"/>
      <c r="AQ601" s="1607"/>
      <c r="AR601" s="1607"/>
      <c r="AS601" s="1607"/>
      <c r="AT601" s="1607"/>
      <c r="AU601" s="1607"/>
      <c r="AV601" s="1607"/>
      <c r="AW601" s="1607"/>
      <c r="AX601" s="1607"/>
      <c r="AY601" s="1607"/>
      <c r="AZ601" s="1607"/>
      <c r="BA601" s="1607"/>
      <c r="BB601" s="1607"/>
      <c r="BC601" s="1607"/>
      <c r="BD601" s="1607"/>
      <c r="BE601" s="1607"/>
      <c r="BF601" s="1607"/>
      <c r="BG601" s="1607"/>
      <c r="BH601" s="1607"/>
      <c r="BI601" s="1607"/>
      <c r="BJ601" s="1607"/>
      <c r="BK601" s="1607"/>
      <c r="BL601" s="1607"/>
    </row>
    <row r="602">
      <c r="A602" s="1607"/>
      <c r="B602" s="1607"/>
      <c r="C602" s="1607"/>
      <c r="D602" s="1607"/>
      <c r="E602" s="1607"/>
      <c r="F602" s="1607"/>
      <c r="G602" s="1607"/>
      <c r="H602" s="1607"/>
      <c r="I602" s="1607"/>
      <c r="J602" s="1607"/>
      <c r="K602" s="1607"/>
      <c r="L602" s="1607"/>
      <c r="M602" s="1607"/>
      <c r="N602" s="1607"/>
      <c r="O602" s="1607"/>
      <c r="P602" s="1607"/>
      <c r="Q602" s="1607"/>
      <c r="R602" s="1607"/>
      <c r="S602" s="1607"/>
      <c r="T602" s="1607"/>
      <c r="U602" s="1607"/>
      <c r="V602" s="1607"/>
      <c r="W602" s="1607"/>
      <c r="X602" s="1607"/>
      <c r="Y602" s="1607"/>
      <c r="Z602" s="1607"/>
      <c r="AA602" s="1607"/>
      <c r="AB602" s="1607"/>
      <c r="AC602" s="1607"/>
      <c r="AD602" s="1607"/>
      <c r="AE602" s="1607"/>
      <c r="AF602" s="1607"/>
      <c r="AG602" s="1607"/>
      <c r="AH602" s="1607"/>
      <c r="AI602" s="1607"/>
      <c r="AJ602" s="1607"/>
      <c r="AK602" s="1607"/>
      <c r="AL602" s="1607"/>
      <c r="AM602" s="1607"/>
      <c r="AN602" s="1607"/>
      <c r="AO602" s="1607"/>
      <c r="AP602" s="1607"/>
      <c r="AQ602" s="1607"/>
      <c r="AR602" s="1607"/>
      <c r="AS602" s="1607"/>
      <c r="AT602" s="1607"/>
      <c r="AU602" s="1607"/>
      <c r="AV602" s="1607"/>
      <c r="AW602" s="1607"/>
      <c r="AX602" s="1607"/>
      <c r="AY602" s="1607"/>
      <c r="AZ602" s="1607"/>
      <c r="BA602" s="1607"/>
      <c r="BB602" s="1607"/>
      <c r="BC602" s="1607"/>
      <c r="BD602" s="1607"/>
      <c r="BE602" s="1607"/>
      <c r="BF602" s="1607"/>
      <c r="BG602" s="1607"/>
      <c r="BH602" s="1607"/>
      <c r="BI602" s="1607"/>
      <c r="BJ602" s="1607"/>
      <c r="BK602" s="1607"/>
      <c r="BL602" s="1607"/>
    </row>
    <row r="603">
      <c r="A603" s="1607"/>
      <c r="B603" s="1607"/>
      <c r="C603" s="1607"/>
      <c r="D603" s="1607"/>
      <c r="E603" s="1607"/>
      <c r="F603" s="1607"/>
      <c r="G603" s="1607"/>
      <c r="H603" s="1607"/>
      <c r="I603" s="1607"/>
      <c r="J603" s="1607"/>
      <c r="K603" s="1607"/>
      <c r="L603" s="1607"/>
      <c r="M603" s="1607"/>
      <c r="N603" s="1607"/>
      <c r="O603" s="1607"/>
      <c r="P603" s="1607"/>
      <c r="Q603" s="1607"/>
      <c r="R603" s="1607"/>
      <c r="S603" s="1607"/>
      <c r="T603" s="1607"/>
      <c r="U603" s="1607"/>
      <c r="V603" s="1607"/>
      <c r="W603" s="1607"/>
      <c r="X603" s="1607"/>
      <c r="Y603" s="1607"/>
      <c r="Z603" s="1607"/>
      <c r="AA603" s="1607"/>
      <c r="AB603" s="1607"/>
      <c r="AC603" s="1607"/>
      <c r="AD603" s="1607"/>
      <c r="AE603" s="1607"/>
      <c r="AF603" s="1607"/>
      <c r="AG603" s="1607"/>
      <c r="AH603" s="1607"/>
      <c r="AI603" s="1607"/>
      <c r="AJ603" s="1607"/>
      <c r="AK603" s="1607"/>
      <c r="AL603" s="1607"/>
      <c r="AM603" s="1607"/>
      <c r="AN603" s="1607"/>
      <c r="AO603" s="1607"/>
      <c r="AP603" s="1607"/>
      <c r="AQ603" s="1607"/>
      <c r="AR603" s="1607"/>
      <c r="AS603" s="1607"/>
      <c r="AT603" s="1607"/>
      <c r="AU603" s="1607"/>
      <c r="AV603" s="1607"/>
      <c r="AW603" s="1607"/>
      <c r="AX603" s="1607"/>
      <c r="AY603" s="1607"/>
      <c r="AZ603" s="1607"/>
      <c r="BA603" s="1607"/>
      <c r="BB603" s="1607"/>
      <c r="BC603" s="1607"/>
      <c r="BD603" s="1607"/>
      <c r="BE603" s="1607"/>
      <c r="BF603" s="1607"/>
      <c r="BG603" s="1607"/>
      <c r="BH603" s="1607"/>
      <c r="BI603" s="1607"/>
      <c r="BJ603" s="1607"/>
      <c r="BK603" s="1607"/>
      <c r="BL603" s="1607"/>
    </row>
    <row r="604">
      <c r="A604" s="1607"/>
      <c r="B604" s="1607"/>
      <c r="C604" s="1607"/>
      <c r="D604" s="1607"/>
      <c r="E604" s="1607"/>
      <c r="F604" s="1607"/>
      <c r="G604" s="1607"/>
      <c r="H604" s="1607"/>
      <c r="I604" s="1607"/>
      <c r="J604" s="1607"/>
      <c r="K604" s="1607"/>
      <c r="L604" s="1607"/>
      <c r="M604" s="1607"/>
      <c r="N604" s="1607"/>
      <c r="O604" s="1607"/>
      <c r="P604" s="1607"/>
      <c r="Q604" s="1607"/>
      <c r="R604" s="1607"/>
      <c r="S604" s="1607"/>
      <c r="T604" s="1607"/>
      <c r="U604" s="1607"/>
      <c r="V604" s="1607"/>
      <c r="W604" s="1607"/>
      <c r="X604" s="1607"/>
      <c r="Y604" s="1607"/>
      <c r="Z604" s="1607"/>
      <c r="AA604" s="1607"/>
      <c r="AB604" s="1607"/>
      <c r="AC604" s="1607"/>
      <c r="AD604" s="1607"/>
      <c r="AE604" s="1607"/>
      <c r="AF604" s="1607"/>
      <c r="AG604" s="1607"/>
      <c r="AH604" s="1607"/>
      <c r="AI604" s="1607"/>
      <c r="AJ604" s="1607"/>
      <c r="AK604" s="1607"/>
      <c r="AL604" s="1607"/>
      <c r="AM604" s="1607"/>
      <c r="AN604" s="1607"/>
      <c r="AO604" s="1607"/>
      <c r="AP604" s="1607"/>
      <c r="AQ604" s="1607"/>
      <c r="AR604" s="1607"/>
      <c r="AS604" s="1607"/>
      <c r="AT604" s="1607"/>
      <c r="AU604" s="1607"/>
      <c r="AV604" s="1607"/>
      <c r="AW604" s="1607"/>
      <c r="AX604" s="1607"/>
      <c r="AY604" s="1607"/>
      <c r="AZ604" s="1607"/>
      <c r="BA604" s="1607"/>
      <c r="BB604" s="1607"/>
      <c r="BC604" s="1607"/>
      <c r="BD604" s="1607"/>
      <c r="BE604" s="1607"/>
      <c r="BF604" s="1607"/>
      <c r="BG604" s="1607"/>
      <c r="BH604" s="1607"/>
      <c r="BI604" s="1607"/>
      <c r="BJ604" s="1607"/>
      <c r="BK604" s="1607"/>
      <c r="BL604" s="1607"/>
    </row>
    <row r="605">
      <c r="A605" s="1607"/>
      <c r="B605" s="1607"/>
      <c r="C605" s="1607"/>
      <c r="D605" s="1607"/>
      <c r="E605" s="1607"/>
      <c r="F605" s="1607"/>
      <c r="G605" s="1607"/>
      <c r="H605" s="1607"/>
      <c r="I605" s="1607"/>
      <c r="J605" s="1607"/>
      <c r="K605" s="1607"/>
      <c r="L605" s="1607"/>
      <c r="M605" s="1607"/>
      <c r="N605" s="1607"/>
      <c r="O605" s="1607"/>
      <c r="P605" s="1607"/>
      <c r="Q605" s="1607"/>
      <c r="R605" s="1607"/>
      <c r="S605" s="1607"/>
      <c r="T605" s="1607"/>
      <c r="U605" s="1607"/>
      <c r="V605" s="1607"/>
      <c r="W605" s="1607"/>
      <c r="X605" s="1607"/>
      <c r="Y605" s="1607"/>
      <c r="Z605" s="1607"/>
      <c r="AA605" s="1607"/>
      <c r="AB605" s="1607"/>
      <c r="AC605" s="1607"/>
      <c r="AD605" s="1607"/>
      <c r="AE605" s="1607"/>
      <c r="AF605" s="1607"/>
      <c r="AG605" s="1607"/>
      <c r="AH605" s="1607"/>
      <c r="AI605" s="1607"/>
      <c r="AJ605" s="1607"/>
      <c r="AK605" s="1607"/>
      <c r="AL605" s="1607"/>
      <c r="AM605" s="1607"/>
      <c r="AN605" s="1607"/>
      <c r="AO605" s="1607"/>
      <c r="AP605" s="1607"/>
      <c r="AQ605" s="1607"/>
      <c r="AR605" s="1607"/>
      <c r="AS605" s="1607"/>
      <c r="AT605" s="1607"/>
      <c r="AU605" s="1607"/>
      <c r="AV605" s="1607"/>
      <c r="AW605" s="1607"/>
      <c r="AX605" s="1607"/>
      <c r="AY605" s="1607"/>
      <c r="AZ605" s="1607"/>
      <c r="BA605" s="1607"/>
      <c r="BB605" s="1607"/>
      <c r="BC605" s="1607"/>
      <c r="BD605" s="1607"/>
      <c r="BE605" s="1607"/>
      <c r="BF605" s="1607"/>
      <c r="BG605" s="1607"/>
      <c r="BH605" s="1607"/>
      <c r="BI605" s="1607"/>
      <c r="BJ605" s="1607"/>
      <c r="BK605" s="1607"/>
      <c r="BL605" s="1607"/>
    </row>
    <row r="606">
      <c r="A606" s="1607"/>
      <c r="B606" s="1607"/>
      <c r="C606" s="1607"/>
      <c r="D606" s="1607"/>
      <c r="E606" s="1607"/>
      <c r="F606" s="1607"/>
      <c r="G606" s="1607"/>
      <c r="H606" s="1607"/>
      <c r="I606" s="1607"/>
      <c r="J606" s="1607"/>
      <c r="K606" s="1607"/>
      <c r="L606" s="1607"/>
      <c r="M606" s="1607"/>
      <c r="N606" s="1607"/>
      <c r="O606" s="1607"/>
      <c r="P606" s="1607"/>
      <c r="Q606" s="1607"/>
      <c r="R606" s="1607"/>
      <c r="S606" s="1607"/>
      <c r="T606" s="1607"/>
      <c r="U606" s="1607"/>
      <c r="V606" s="1607"/>
      <c r="W606" s="1607"/>
      <c r="X606" s="1607"/>
      <c r="Y606" s="1607"/>
      <c r="Z606" s="1607"/>
      <c r="AA606" s="1607"/>
      <c r="AB606" s="1607"/>
      <c r="AC606" s="1607"/>
      <c r="AD606" s="1607"/>
      <c r="AE606" s="1607"/>
      <c r="AF606" s="1607"/>
      <c r="AG606" s="1607"/>
      <c r="AH606" s="1607"/>
      <c r="AI606" s="1607"/>
      <c r="AJ606" s="1607"/>
      <c r="AK606" s="1607"/>
      <c r="AL606" s="1607"/>
      <c r="AM606" s="1607"/>
      <c r="AN606" s="1607"/>
      <c r="AO606" s="1607"/>
      <c r="AP606" s="1607"/>
      <c r="AQ606" s="1607"/>
      <c r="AR606" s="1607"/>
      <c r="AS606" s="1607"/>
      <c r="AT606" s="1607"/>
      <c r="AU606" s="1607"/>
      <c r="AV606" s="1607"/>
      <c r="AW606" s="1607"/>
      <c r="AX606" s="1607"/>
      <c r="AY606" s="1607"/>
      <c r="AZ606" s="1607"/>
      <c r="BA606" s="1607"/>
      <c r="BB606" s="1607"/>
      <c r="BC606" s="1607"/>
      <c r="BD606" s="1607"/>
      <c r="BE606" s="1607"/>
      <c r="BF606" s="1607"/>
      <c r="BG606" s="1607"/>
      <c r="BH606" s="1607"/>
      <c r="BI606" s="1607"/>
      <c r="BJ606" s="1607"/>
      <c r="BK606" s="1607"/>
      <c r="BL606" s="1607"/>
    </row>
    <row r="607">
      <c r="A607" s="1607"/>
      <c r="B607" s="1607"/>
      <c r="C607" s="1607"/>
      <c r="D607" s="1607"/>
      <c r="E607" s="1607"/>
      <c r="F607" s="1607"/>
      <c r="G607" s="1607"/>
      <c r="H607" s="1607"/>
      <c r="I607" s="1607"/>
      <c r="J607" s="1607"/>
      <c r="K607" s="1607"/>
      <c r="L607" s="1607"/>
      <c r="M607" s="1607"/>
      <c r="N607" s="1607"/>
      <c r="O607" s="1607"/>
      <c r="P607" s="1607"/>
      <c r="Q607" s="1607"/>
      <c r="R607" s="1607"/>
      <c r="S607" s="1607"/>
      <c r="T607" s="1607"/>
      <c r="U607" s="1607"/>
      <c r="V607" s="1607"/>
      <c r="W607" s="1607"/>
      <c r="X607" s="1607"/>
      <c r="Y607" s="1607"/>
      <c r="Z607" s="1607"/>
      <c r="AA607" s="1607"/>
      <c r="AB607" s="1607"/>
      <c r="AC607" s="1607"/>
      <c r="AD607" s="1607"/>
      <c r="AE607" s="1607"/>
      <c r="AF607" s="1607"/>
      <c r="AG607" s="1607"/>
      <c r="AH607" s="1607"/>
      <c r="AI607" s="1607"/>
      <c r="AJ607" s="1607"/>
      <c r="AK607" s="1607"/>
      <c r="AL607" s="1607"/>
      <c r="AM607" s="1607"/>
      <c r="AN607" s="1607"/>
      <c r="AO607" s="1607"/>
      <c r="AP607" s="1607"/>
      <c r="AQ607" s="1607"/>
      <c r="AR607" s="1607"/>
      <c r="AS607" s="1607"/>
      <c r="AT607" s="1607"/>
      <c r="AU607" s="1607"/>
      <c r="AV607" s="1607"/>
      <c r="AW607" s="1607"/>
      <c r="AX607" s="1607"/>
      <c r="AY607" s="1607"/>
      <c r="AZ607" s="1607"/>
      <c r="BA607" s="1607"/>
      <c r="BB607" s="1607"/>
      <c r="BC607" s="1607"/>
      <c r="BD607" s="1607"/>
      <c r="BE607" s="1607"/>
      <c r="BF607" s="1607"/>
      <c r="BG607" s="1607"/>
      <c r="BH607" s="1607"/>
      <c r="BI607" s="1607"/>
      <c r="BJ607" s="1607"/>
      <c r="BK607" s="1607"/>
      <c r="BL607" s="1607"/>
    </row>
    <row r="608">
      <c r="A608" s="1607"/>
      <c r="B608" s="1607"/>
      <c r="C608" s="1607"/>
      <c r="D608" s="1607"/>
      <c r="E608" s="1607"/>
      <c r="F608" s="1607"/>
      <c r="G608" s="1607"/>
      <c r="H608" s="1607"/>
      <c r="I608" s="1607"/>
      <c r="J608" s="1607"/>
      <c r="K608" s="1607"/>
      <c r="L608" s="1607"/>
      <c r="M608" s="1607"/>
      <c r="N608" s="1607"/>
      <c r="O608" s="1607"/>
      <c r="P608" s="1607"/>
      <c r="Q608" s="1607"/>
      <c r="R608" s="1607"/>
      <c r="S608" s="1607"/>
      <c r="T608" s="1607"/>
      <c r="U608" s="1607"/>
      <c r="V608" s="1607"/>
      <c r="W608" s="1607"/>
      <c r="X608" s="1607"/>
      <c r="Y608" s="1607"/>
      <c r="Z608" s="1607"/>
      <c r="AA608" s="1607"/>
      <c r="AB608" s="1607"/>
      <c r="AC608" s="1607"/>
      <c r="AD608" s="1607"/>
      <c r="AE608" s="1607"/>
      <c r="AF608" s="1607"/>
      <c r="AG608" s="1607"/>
      <c r="AH608" s="1607"/>
      <c r="AI608" s="1607"/>
      <c r="AJ608" s="1607"/>
      <c r="AK608" s="1607"/>
      <c r="AL608" s="1607"/>
      <c r="AM608" s="1607"/>
      <c r="AN608" s="1607"/>
      <c r="AO608" s="1607"/>
      <c r="AP608" s="1607"/>
      <c r="AQ608" s="1607"/>
      <c r="AR608" s="1607"/>
      <c r="AS608" s="1607"/>
      <c r="AT608" s="1607"/>
      <c r="AU608" s="1607"/>
      <c r="AV608" s="1607"/>
      <c r="AW608" s="1607"/>
      <c r="AX608" s="1607"/>
      <c r="AY608" s="1607"/>
      <c r="AZ608" s="1607"/>
      <c r="BA608" s="1607"/>
      <c r="BB608" s="1607"/>
      <c r="BC608" s="1607"/>
      <c r="BD608" s="1607"/>
      <c r="BE608" s="1607"/>
      <c r="BF608" s="1607"/>
      <c r="BG608" s="1607"/>
      <c r="BH608" s="1607"/>
      <c r="BI608" s="1607"/>
      <c r="BJ608" s="1607"/>
      <c r="BK608" s="1607"/>
      <c r="BL608" s="1607"/>
    </row>
    <row r="609">
      <c r="A609" s="1607"/>
      <c r="B609" s="1607"/>
      <c r="C609" s="1607"/>
      <c r="D609" s="1607"/>
      <c r="E609" s="1607"/>
      <c r="F609" s="1607"/>
      <c r="G609" s="1607"/>
      <c r="H609" s="1607"/>
      <c r="I609" s="1607"/>
      <c r="J609" s="1607"/>
      <c r="K609" s="1607"/>
      <c r="L609" s="1607"/>
      <c r="M609" s="1607"/>
      <c r="N609" s="1607"/>
      <c r="O609" s="1607"/>
      <c r="P609" s="1607"/>
      <c r="Q609" s="1607"/>
      <c r="R609" s="1607"/>
      <c r="S609" s="1607"/>
      <c r="T609" s="1607"/>
      <c r="U609" s="1607"/>
      <c r="V609" s="1607"/>
      <c r="W609" s="1607"/>
      <c r="X609" s="1607"/>
      <c r="Y609" s="1607"/>
      <c r="Z609" s="1607"/>
      <c r="AA609" s="1607"/>
      <c r="AB609" s="1607"/>
      <c r="AC609" s="1607"/>
      <c r="AD609" s="1607"/>
      <c r="AE609" s="1607"/>
      <c r="AF609" s="1607"/>
      <c r="AG609" s="1607"/>
      <c r="AH609" s="1607"/>
      <c r="AI609" s="1607"/>
      <c r="AJ609" s="1607"/>
      <c r="AK609" s="1607"/>
      <c r="AL609" s="1607"/>
      <c r="AM609" s="1607"/>
      <c r="AN609" s="1607"/>
      <c r="AO609" s="1607"/>
      <c r="AP609" s="1607"/>
      <c r="AQ609" s="1607"/>
      <c r="AR609" s="1607"/>
      <c r="AS609" s="1607"/>
      <c r="AT609" s="1607"/>
      <c r="AU609" s="1607"/>
      <c r="AV609" s="1607"/>
      <c r="AW609" s="1607"/>
      <c r="AX609" s="1607"/>
      <c r="AY609" s="1607"/>
      <c r="AZ609" s="1607"/>
      <c r="BA609" s="1607"/>
      <c r="BB609" s="1607"/>
      <c r="BC609" s="1607"/>
      <c r="BD609" s="1607"/>
      <c r="BE609" s="1607"/>
      <c r="BF609" s="1607"/>
      <c r="BG609" s="1607"/>
      <c r="BH609" s="1607"/>
      <c r="BI609" s="1607"/>
      <c r="BJ609" s="1607"/>
      <c r="BK609" s="1607"/>
      <c r="BL609" s="1607"/>
    </row>
    <row r="610">
      <c r="A610" s="1607"/>
      <c r="B610" s="1607"/>
      <c r="C610" s="1607"/>
      <c r="D610" s="1607"/>
      <c r="E610" s="1607"/>
      <c r="F610" s="1607"/>
      <c r="G610" s="1607"/>
      <c r="H610" s="1607"/>
      <c r="I610" s="1607"/>
      <c r="J610" s="1607"/>
      <c r="K610" s="1607"/>
      <c r="L610" s="1607"/>
      <c r="M610" s="1607"/>
      <c r="N610" s="1607"/>
      <c r="O610" s="1607"/>
      <c r="P610" s="1607"/>
      <c r="Q610" s="1607"/>
      <c r="R610" s="1607"/>
      <c r="S610" s="1607"/>
      <c r="T610" s="1607"/>
      <c r="U610" s="1607"/>
      <c r="V610" s="1607"/>
      <c r="W610" s="1607"/>
      <c r="X610" s="1607"/>
      <c r="Y610" s="1607"/>
      <c r="Z610" s="1607"/>
      <c r="AA610" s="1607"/>
      <c r="AB610" s="1607"/>
      <c r="AC610" s="1607"/>
      <c r="AD610" s="1607"/>
      <c r="AE610" s="1607"/>
      <c r="AF610" s="1607"/>
      <c r="AG610" s="1607"/>
      <c r="AH610" s="1607"/>
      <c r="AI610" s="1607"/>
      <c r="AJ610" s="1607"/>
      <c r="AK610" s="1607"/>
      <c r="AL610" s="1607"/>
      <c r="AM610" s="1607"/>
      <c r="AN610" s="1607"/>
      <c r="AO610" s="1607"/>
      <c r="AP610" s="1607"/>
      <c r="AQ610" s="1607"/>
      <c r="AR610" s="1607"/>
      <c r="AS610" s="1607"/>
      <c r="AT610" s="1607"/>
      <c r="AU610" s="1607"/>
      <c r="AV610" s="1607"/>
      <c r="AW610" s="1607"/>
      <c r="AX610" s="1607"/>
      <c r="AY610" s="1607"/>
      <c r="AZ610" s="1607"/>
      <c r="BA610" s="1607"/>
      <c r="BB610" s="1607"/>
      <c r="BC610" s="1607"/>
      <c r="BD610" s="1607"/>
      <c r="BE610" s="1607"/>
      <c r="BF610" s="1607"/>
      <c r="BG610" s="1607"/>
      <c r="BH610" s="1607"/>
      <c r="BI610" s="1607"/>
      <c r="BJ610" s="1607"/>
      <c r="BK610" s="1607"/>
      <c r="BL610" s="1607"/>
    </row>
    <row r="611">
      <c r="A611" s="1607"/>
      <c r="B611" s="1607"/>
      <c r="C611" s="1607"/>
      <c r="D611" s="1607"/>
      <c r="E611" s="1607"/>
      <c r="F611" s="1607"/>
      <c r="G611" s="1607"/>
      <c r="H611" s="1607"/>
      <c r="I611" s="1607"/>
      <c r="J611" s="1607"/>
      <c r="K611" s="1607"/>
      <c r="L611" s="1607"/>
      <c r="M611" s="1607"/>
      <c r="N611" s="1607"/>
      <c r="O611" s="1607"/>
      <c r="P611" s="1607"/>
      <c r="Q611" s="1607"/>
      <c r="R611" s="1607"/>
      <c r="S611" s="1607"/>
      <c r="T611" s="1607"/>
      <c r="U611" s="1607"/>
      <c r="V611" s="1607"/>
      <c r="W611" s="1607"/>
      <c r="X611" s="1607"/>
      <c r="Y611" s="1607"/>
      <c r="Z611" s="1607"/>
      <c r="AA611" s="1607"/>
      <c r="AB611" s="1607"/>
      <c r="AC611" s="1607"/>
      <c r="AD611" s="1607"/>
      <c r="AE611" s="1607"/>
      <c r="AF611" s="1607"/>
      <c r="AG611" s="1607"/>
      <c r="AH611" s="1607"/>
      <c r="AI611" s="1607"/>
      <c r="AJ611" s="1607"/>
      <c r="AK611" s="1607"/>
      <c r="AL611" s="1607"/>
      <c r="AM611" s="1607"/>
      <c r="AN611" s="1607"/>
      <c r="AO611" s="1607"/>
      <c r="AP611" s="1607"/>
      <c r="AQ611" s="1607"/>
      <c r="AR611" s="1607"/>
      <c r="AS611" s="1607"/>
      <c r="AT611" s="1607"/>
      <c r="AU611" s="1607"/>
      <c r="AV611" s="1607"/>
      <c r="AW611" s="1607"/>
      <c r="AX611" s="1607"/>
      <c r="AY611" s="1607"/>
      <c r="AZ611" s="1607"/>
      <c r="BA611" s="1607"/>
      <c r="BB611" s="1607"/>
      <c r="BC611" s="1607"/>
      <c r="BD611" s="1607"/>
      <c r="BE611" s="1607"/>
      <c r="BF611" s="1607"/>
      <c r="BG611" s="1607"/>
      <c r="BH611" s="1607"/>
      <c r="BI611" s="1607"/>
      <c r="BJ611" s="1607"/>
      <c r="BK611" s="1607"/>
      <c r="BL611" s="1607"/>
    </row>
    <row r="612">
      <c r="A612" s="1607"/>
      <c r="B612" s="1607"/>
      <c r="C612" s="1607"/>
      <c r="D612" s="1607"/>
      <c r="E612" s="1607"/>
      <c r="F612" s="1607"/>
      <c r="G612" s="1607"/>
      <c r="H612" s="1607"/>
      <c r="I612" s="1607"/>
      <c r="J612" s="1607"/>
      <c r="K612" s="1607"/>
      <c r="L612" s="1607"/>
      <c r="M612" s="1607"/>
      <c r="N612" s="1607"/>
      <c r="O612" s="1607"/>
      <c r="P612" s="1607"/>
      <c r="Q612" s="1607"/>
      <c r="R612" s="1607"/>
      <c r="S612" s="1607"/>
      <c r="T612" s="1607"/>
      <c r="U612" s="1607"/>
      <c r="V612" s="1607"/>
      <c r="W612" s="1607"/>
      <c r="X612" s="1607"/>
      <c r="Y612" s="1607"/>
      <c r="Z612" s="1607"/>
      <c r="AA612" s="1607"/>
      <c r="AB612" s="1607"/>
      <c r="AC612" s="1607"/>
      <c r="AD612" s="1607"/>
      <c r="AE612" s="1607"/>
      <c r="AF612" s="1607"/>
      <c r="AG612" s="1607"/>
      <c r="AH612" s="1607"/>
      <c r="AI612" s="1607"/>
      <c r="AJ612" s="1607"/>
      <c r="AK612" s="1607"/>
      <c r="AL612" s="1607"/>
      <c r="AM612" s="1607"/>
      <c r="AN612" s="1607"/>
      <c r="AO612" s="1607"/>
      <c r="AP612" s="1607"/>
      <c r="AQ612" s="1607"/>
      <c r="AR612" s="1607"/>
      <c r="AS612" s="1607"/>
      <c r="AT612" s="1607"/>
      <c r="AU612" s="1607"/>
      <c r="AV612" s="1607"/>
      <c r="AW612" s="1607"/>
      <c r="AX612" s="1607"/>
      <c r="AY612" s="1607"/>
      <c r="AZ612" s="1607"/>
      <c r="BA612" s="1607"/>
      <c r="BB612" s="1607"/>
      <c r="BC612" s="1607"/>
      <c r="BD612" s="1607"/>
      <c r="BE612" s="1607"/>
      <c r="BF612" s="1607"/>
      <c r="BG612" s="1607"/>
      <c r="BH612" s="1607"/>
      <c r="BI612" s="1607"/>
      <c r="BJ612" s="1607"/>
      <c r="BK612" s="1607"/>
      <c r="BL612" s="1607"/>
    </row>
    <row r="613">
      <c r="A613" s="1607"/>
      <c r="B613" s="1607"/>
      <c r="C613" s="1607"/>
      <c r="D613" s="1607"/>
      <c r="E613" s="1607"/>
      <c r="F613" s="1607"/>
      <c r="G613" s="1607"/>
      <c r="H613" s="1607"/>
      <c r="I613" s="1607"/>
      <c r="J613" s="1607"/>
      <c r="K613" s="1607"/>
      <c r="L613" s="1607"/>
      <c r="M613" s="1607"/>
      <c r="N613" s="1607"/>
      <c r="O613" s="1607"/>
      <c r="P613" s="1607"/>
      <c r="Q613" s="1607"/>
      <c r="R613" s="1607"/>
      <c r="S613" s="1607"/>
      <c r="T613" s="1607"/>
      <c r="U613" s="1607"/>
      <c r="V613" s="1607"/>
      <c r="W613" s="1607"/>
      <c r="X613" s="1607"/>
      <c r="Y613" s="1607"/>
      <c r="Z613" s="1607"/>
      <c r="AA613" s="1607"/>
      <c r="AB613" s="1607"/>
      <c r="AC613" s="1607"/>
      <c r="AD613" s="1607"/>
      <c r="AE613" s="1607"/>
      <c r="AF613" s="1607"/>
      <c r="AG613" s="1607"/>
      <c r="AH613" s="1607"/>
      <c r="AI613" s="1607"/>
      <c r="AJ613" s="1607"/>
      <c r="AK613" s="1607"/>
      <c r="AL613" s="1607"/>
      <c r="AM613" s="1607"/>
      <c r="AN613" s="1607"/>
      <c r="AO613" s="1607"/>
      <c r="AP613" s="1607"/>
      <c r="AQ613" s="1607"/>
      <c r="AR613" s="1607"/>
      <c r="AS613" s="1607"/>
      <c r="AT613" s="1607"/>
      <c r="AU613" s="1607"/>
      <c r="AV613" s="1607"/>
      <c r="AW613" s="1607"/>
      <c r="AX613" s="1607"/>
      <c r="AY613" s="1607"/>
      <c r="AZ613" s="1607"/>
      <c r="BA613" s="1607"/>
      <c r="BB613" s="1607"/>
      <c r="BC613" s="1607"/>
      <c r="BD613" s="1607"/>
      <c r="BE613" s="1607"/>
      <c r="BF613" s="1607"/>
      <c r="BG613" s="1607"/>
      <c r="BH613" s="1607"/>
      <c r="BI613" s="1607"/>
      <c r="BJ613" s="1607"/>
      <c r="BK613" s="1607"/>
      <c r="BL613" s="1607"/>
    </row>
    <row r="614">
      <c r="A614" s="1607"/>
      <c r="B614" s="1607"/>
      <c r="C614" s="1607"/>
      <c r="D614" s="1607"/>
      <c r="E614" s="1607"/>
      <c r="F614" s="1607"/>
      <c r="G614" s="1607"/>
      <c r="H614" s="1607"/>
      <c r="I614" s="1607"/>
      <c r="J614" s="1607"/>
      <c r="K614" s="1607"/>
      <c r="L614" s="1607"/>
      <c r="M614" s="1607"/>
      <c r="N614" s="1607"/>
      <c r="O614" s="1607"/>
      <c r="P614" s="1607"/>
      <c r="Q614" s="1607"/>
      <c r="R614" s="1607"/>
      <c r="S614" s="1607"/>
      <c r="T614" s="1607"/>
      <c r="U614" s="1607"/>
      <c r="V614" s="1607"/>
      <c r="W614" s="1607"/>
      <c r="X614" s="1607"/>
      <c r="Y614" s="1607"/>
      <c r="Z614" s="1607"/>
      <c r="AA614" s="1607"/>
      <c r="AB614" s="1607"/>
      <c r="AC614" s="1607"/>
      <c r="AD614" s="1607"/>
      <c r="AE614" s="1607"/>
      <c r="AF614" s="1607"/>
      <c r="AG614" s="1607"/>
      <c r="AH614" s="1607"/>
      <c r="AI614" s="1607"/>
      <c r="AJ614" s="1607"/>
      <c r="AK614" s="1607"/>
      <c r="AL614" s="1607"/>
      <c r="AM614" s="1607"/>
      <c r="AN614" s="1607"/>
      <c r="AO614" s="1607"/>
      <c r="AP614" s="1607"/>
      <c r="AQ614" s="1607"/>
      <c r="AR614" s="1607"/>
      <c r="AS614" s="1607"/>
      <c r="AT614" s="1607"/>
      <c r="AU614" s="1607"/>
      <c r="AV614" s="1607"/>
      <c r="AW614" s="1607"/>
      <c r="AX614" s="1607"/>
      <c r="AY614" s="1607"/>
      <c r="AZ614" s="1607"/>
      <c r="BA614" s="1607"/>
      <c r="BB614" s="1607"/>
      <c r="BC614" s="1607"/>
      <c r="BD614" s="1607"/>
      <c r="BE614" s="1607"/>
      <c r="BF614" s="1607"/>
      <c r="BG614" s="1607"/>
      <c r="BH614" s="1607"/>
      <c r="BI614" s="1607"/>
      <c r="BJ614" s="1607"/>
      <c r="BK614" s="1607"/>
      <c r="BL614" s="1607"/>
    </row>
    <row r="615">
      <c r="A615" s="1607"/>
      <c r="B615" s="1607"/>
      <c r="C615" s="1607"/>
      <c r="D615" s="1607"/>
      <c r="E615" s="1607"/>
      <c r="F615" s="1607"/>
      <c r="G615" s="1607"/>
      <c r="H615" s="1607"/>
      <c r="I615" s="1607"/>
      <c r="J615" s="1607"/>
      <c r="K615" s="1607"/>
      <c r="L615" s="1607"/>
      <c r="M615" s="1607"/>
      <c r="N615" s="1607"/>
      <c r="O615" s="1607"/>
      <c r="P615" s="1607"/>
      <c r="Q615" s="1607"/>
      <c r="R615" s="1607"/>
      <c r="S615" s="1607"/>
      <c r="T615" s="1607"/>
      <c r="U615" s="1607"/>
      <c r="V615" s="1607"/>
      <c r="W615" s="1607"/>
      <c r="X615" s="1607"/>
      <c r="Y615" s="1607"/>
      <c r="Z615" s="1607"/>
      <c r="AA615" s="1607"/>
      <c r="AB615" s="1607"/>
      <c r="AC615" s="1607"/>
      <c r="AD615" s="1607"/>
      <c r="AE615" s="1607"/>
      <c r="AF615" s="1607"/>
      <c r="AG615" s="1607"/>
      <c r="AH615" s="1607"/>
      <c r="AI615" s="1607"/>
      <c r="AJ615" s="1607"/>
      <c r="AK615" s="1607"/>
      <c r="AL615" s="1607"/>
      <c r="AM615" s="1607"/>
      <c r="AN615" s="1607"/>
      <c r="AO615" s="1607"/>
      <c r="AP615" s="1607"/>
      <c r="AQ615" s="1607"/>
      <c r="AR615" s="1607"/>
      <c r="AS615" s="1607"/>
      <c r="AT615" s="1607"/>
      <c r="AU615" s="1607"/>
      <c r="AV615" s="1607"/>
      <c r="AW615" s="1607"/>
      <c r="AX615" s="1607"/>
      <c r="AY615" s="1607"/>
      <c r="AZ615" s="1607"/>
      <c r="BA615" s="1607"/>
      <c r="BB615" s="1607"/>
      <c r="BC615" s="1607"/>
      <c r="BD615" s="1607"/>
      <c r="BE615" s="1607"/>
      <c r="BF615" s="1607"/>
      <c r="BG615" s="1607"/>
      <c r="BH615" s="1607"/>
      <c r="BI615" s="1607"/>
      <c r="BJ615" s="1607"/>
      <c r="BK615" s="1607"/>
      <c r="BL615" s="1607"/>
    </row>
    <row r="616">
      <c r="A616" s="1607"/>
      <c r="B616" s="1607"/>
      <c r="C616" s="1607"/>
      <c r="D616" s="1607"/>
      <c r="E616" s="1607"/>
      <c r="F616" s="1607"/>
      <c r="G616" s="1607"/>
      <c r="H616" s="1607"/>
      <c r="I616" s="1607"/>
      <c r="J616" s="1607"/>
      <c r="K616" s="1607"/>
      <c r="L616" s="1607"/>
      <c r="M616" s="1607"/>
      <c r="N616" s="1607"/>
      <c r="O616" s="1607"/>
      <c r="P616" s="1607"/>
      <c r="Q616" s="1607"/>
      <c r="R616" s="1607"/>
      <c r="S616" s="1607"/>
      <c r="T616" s="1607"/>
      <c r="U616" s="1607"/>
      <c r="V616" s="1607"/>
      <c r="W616" s="1607"/>
      <c r="X616" s="1607"/>
      <c r="Y616" s="1607"/>
      <c r="Z616" s="1607"/>
      <c r="AA616" s="1607"/>
      <c r="AB616" s="1607"/>
      <c r="AC616" s="1607"/>
      <c r="AD616" s="1607"/>
      <c r="AE616" s="1607"/>
      <c r="AF616" s="1607"/>
      <c r="AG616" s="1607"/>
      <c r="AH616" s="1607"/>
      <c r="AI616" s="1607"/>
      <c r="AJ616" s="1607"/>
      <c r="AK616" s="1607"/>
      <c r="AL616" s="1607"/>
      <c r="AM616" s="1607"/>
      <c r="AN616" s="1607"/>
      <c r="AO616" s="1607"/>
      <c r="AP616" s="1607"/>
      <c r="AQ616" s="1607"/>
      <c r="AR616" s="1607"/>
      <c r="AS616" s="1607"/>
      <c r="AT616" s="1607"/>
      <c r="AU616" s="1607"/>
      <c r="AV616" s="1607"/>
      <c r="AW616" s="1607"/>
      <c r="AX616" s="1607"/>
      <c r="AY616" s="1607"/>
      <c r="AZ616" s="1607"/>
      <c r="BA616" s="1607"/>
      <c r="BB616" s="1607"/>
      <c r="BC616" s="1607"/>
      <c r="BD616" s="1607"/>
      <c r="BE616" s="1607"/>
      <c r="BF616" s="1607"/>
      <c r="BG616" s="1607"/>
      <c r="BH616" s="1607"/>
      <c r="BI616" s="1607"/>
      <c r="BJ616" s="1607"/>
      <c r="BK616" s="1607"/>
      <c r="BL616" s="1607"/>
    </row>
    <row r="617">
      <c r="A617" s="1607"/>
      <c r="B617" s="1607"/>
      <c r="C617" s="1607"/>
      <c r="D617" s="1607"/>
      <c r="E617" s="1607"/>
      <c r="F617" s="1607"/>
      <c r="G617" s="1607"/>
      <c r="H617" s="1607"/>
      <c r="I617" s="1607"/>
      <c r="J617" s="1607"/>
      <c r="K617" s="1607"/>
      <c r="L617" s="1607"/>
      <c r="M617" s="1607"/>
      <c r="N617" s="1607"/>
      <c r="O617" s="1607"/>
      <c r="P617" s="1607"/>
      <c r="Q617" s="1607"/>
      <c r="R617" s="1607"/>
      <c r="S617" s="1607"/>
      <c r="T617" s="1607"/>
      <c r="U617" s="1607"/>
      <c r="V617" s="1607"/>
      <c r="W617" s="1607"/>
      <c r="X617" s="1607"/>
      <c r="Y617" s="1607"/>
      <c r="Z617" s="1607"/>
      <c r="AA617" s="1607"/>
      <c r="AB617" s="1607"/>
      <c r="AC617" s="1607"/>
      <c r="AD617" s="1607"/>
      <c r="AE617" s="1607"/>
      <c r="AF617" s="1607"/>
      <c r="AG617" s="1607"/>
      <c r="AH617" s="1607"/>
      <c r="AI617" s="1607"/>
      <c r="AJ617" s="1607"/>
      <c r="AK617" s="1607"/>
      <c r="AL617" s="1607"/>
      <c r="AM617" s="1607"/>
      <c r="AN617" s="1607"/>
      <c r="AO617" s="1607"/>
      <c r="AP617" s="1607"/>
      <c r="AQ617" s="1607"/>
      <c r="AR617" s="1607"/>
      <c r="AS617" s="1607"/>
      <c r="AT617" s="1607"/>
      <c r="AU617" s="1607"/>
      <c r="AV617" s="1607"/>
      <c r="AW617" s="1607"/>
      <c r="AX617" s="1607"/>
      <c r="AY617" s="1607"/>
      <c r="AZ617" s="1607"/>
      <c r="BA617" s="1607"/>
      <c r="BB617" s="1607"/>
      <c r="BC617" s="1607"/>
      <c r="BD617" s="1607"/>
      <c r="BE617" s="1607"/>
      <c r="BF617" s="1607"/>
      <c r="BG617" s="1607"/>
      <c r="BH617" s="1607"/>
      <c r="BI617" s="1607"/>
      <c r="BJ617" s="1607"/>
      <c r="BK617" s="1607"/>
      <c r="BL617" s="1607"/>
    </row>
    <row r="618">
      <c r="A618" s="1607"/>
      <c r="B618" s="1607"/>
      <c r="C618" s="1607"/>
      <c r="D618" s="1607"/>
      <c r="E618" s="1607"/>
      <c r="F618" s="1607"/>
      <c r="G618" s="1607"/>
      <c r="H618" s="1607"/>
      <c r="I618" s="1607"/>
      <c r="J618" s="1607"/>
      <c r="K618" s="1607"/>
      <c r="L618" s="1607"/>
      <c r="M618" s="1607"/>
      <c r="N618" s="1607"/>
      <c r="O618" s="1607"/>
      <c r="P618" s="1607"/>
      <c r="Q618" s="1607"/>
      <c r="R618" s="1607"/>
      <c r="S618" s="1607"/>
      <c r="T618" s="1607"/>
      <c r="U618" s="1607"/>
      <c r="V618" s="1607"/>
      <c r="W618" s="1607"/>
      <c r="X618" s="1607"/>
      <c r="Y618" s="1607"/>
      <c r="Z618" s="1607"/>
      <c r="AA618" s="1607"/>
      <c r="AB618" s="1607"/>
      <c r="AC618" s="1607"/>
      <c r="AD618" s="1607"/>
      <c r="AE618" s="1607"/>
      <c r="AF618" s="1607"/>
      <c r="AG618" s="1607"/>
      <c r="AH618" s="1607"/>
      <c r="AI618" s="1607"/>
      <c r="AJ618" s="1607"/>
      <c r="AK618" s="1607"/>
      <c r="AL618" s="1607"/>
      <c r="AM618" s="1607"/>
      <c r="AN618" s="1607"/>
      <c r="AO618" s="1607"/>
      <c r="AP618" s="1607"/>
      <c r="AQ618" s="1607"/>
      <c r="AR618" s="1607"/>
      <c r="AS618" s="1607"/>
      <c r="AT618" s="1607"/>
      <c r="AU618" s="1607"/>
      <c r="AV618" s="1607"/>
      <c r="AW618" s="1607"/>
      <c r="AX618" s="1607"/>
      <c r="AY618" s="1607"/>
      <c r="AZ618" s="1607"/>
      <c r="BA618" s="1607"/>
      <c r="BB618" s="1607"/>
      <c r="BC618" s="1607"/>
      <c r="BD618" s="1607"/>
      <c r="BE618" s="1607"/>
      <c r="BF618" s="1607"/>
      <c r="BG618" s="1607"/>
      <c r="BH618" s="1607"/>
      <c r="BI618" s="1607"/>
      <c r="BJ618" s="1607"/>
      <c r="BK618" s="1607"/>
      <c r="BL618" s="1607"/>
    </row>
    <row r="619">
      <c r="A619" s="1607"/>
      <c r="B619" s="1607"/>
      <c r="C619" s="1607"/>
      <c r="D619" s="1607"/>
      <c r="E619" s="1607"/>
      <c r="F619" s="1607"/>
      <c r="G619" s="1607"/>
      <c r="H619" s="1607"/>
      <c r="I619" s="1607"/>
      <c r="J619" s="1607"/>
      <c r="K619" s="1607"/>
      <c r="L619" s="1607"/>
      <c r="M619" s="1607"/>
      <c r="N619" s="1607"/>
      <c r="O619" s="1607"/>
      <c r="P619" s="1607"/>
      <c r="Q619" s="1607"/>
      <c r="R619" s="1607"/>
      <c r="S619" s="1607"/>
      <c r="T619" s="1607"/>
      <c r="U619" s="1607"/>
      <c r="V619" s="1607"/>
      <c r="W619" s="1607"/>
      <c r="X619" s="1607"/>
      <c r="Y619" s="1607"/>
      <c r="Z619" s="1607"/>
      <c r="AA619" s="1607"/>
      <c r="AB619" s="1607"/>
      <c r="AC619" s="1607"/>
      <c r="AD619" s="1607"/>
      <c r="AE619" s="1607"/>
      <c r="AF619" s="1607"/>
      <c r="AG619" s="1607"/>
      <c r="AH619" s="1607"/>
      <c r="AI619" s="1607"/>
      <c r="AJ619" s="1607"/>
      <c r="AK619" s="1607"/>
      <c r="AL619" s="1607"/>
      <c r="AM619" s="1607"/>
      <c r="AN619" s="1607"/>
      <c r="AO619" s="1607"/>
      <c r="AP619" s="1607"/>
      <c r="AQ619" s="1607"/>
      <c r="AR619" s="1607"/>
      <c r="AS619" s="1607"/>
      <c r="AT619" s="1607"/>
      <c r="AU619" s="1607"/>
      <c r="AV619" s="1607"/>
      <c r="AW619" s="1607"/>
      <c r="AX619" s="1607"/>
      <c r="AY619" s="1607"/>
      <c r="AZ619" s="1607"/>
      <c r="BA619" s="1607"/>
      <c r="BB619" s="1607"/>
      <c r="BC619" s="1607"/>
      <c r="BD619" s="1607"/>
      <c r="BE619" s="1607"/>
      <c r="BF619" s="1607"/>
      <c r="BG619" s="1607"/>
      <c r="BH619" s="1607"/>
      <c r="BI619" s="1607"/>
      <c r="BJ619" s="1607"/>
      <c r="BK619" s="1607"/>
      <c r="BL619" s="1607"/>
    </row>
    <row r="620">
      <c r="A620" s="1607"/>
      <c r="B620" s="1607"/>
      <c r="C620" s="1607"/>
      <c r="D620" s="1607"/>
      <c r="E620" s="1607"/>
      <c r="F620" s="1607"/>
      <c r="G620" s="1607"/>
      <c r="H620" s="1607"/>
      <c r="I620" s="1607"/>
      <c r="J620" s="1607"/>
      <c r="K620" s="1607"/>
      <c r="L620" s="1607"/>
      <c r="M620" s="1607"/>
      <c r="N620" s="1607"/>
      <c r="O620" s="1607"/>
      <c r="P620" s="1607"/>
      <c r="Q620" s="1607"/>
      <c r="R620" s="1607"/>
      <c r="S620" s="1607"/>
      <c r="T620" s="1607"/>
      <c r="U620" s="1607"/>
      <c r="V620" s="1607"/>
      <c r="W620" s="1607"/>
      <c r="X620" s="1607"/>
      <c r="Y620" s="1607"/>
      <c r="Z620" s="1607"/>
      <c r="AA620" s="1607"/>
      <c r="AB620" s="1607"/>
      <c r="AC620" s="1607"/>
      <c r="AD620" s="1607"/>
      <c r="AE620" s="1607"/>
      <c r="AF620" s="1607"/>
      <c r="AG620" s="1607"/>
      <c r="AH620" s="1607"/>
      <c r="AI620" s="1607"/>
      <c r="AJ620" s="1607"/>
      <c r="AK620" s="1607"/>
      <c r="AL620" s="1607"/>
      <c r="AM620" s="1607"/>
      <c r="AN620" s="1607"/>
      <c r="AO620" s="1607"/>
      <c r="AP620" s="1607"/>
      <c r="AQ620" s="1607"/>
      <c r="AR620" s="1607"/>
      <c r="AS620" s="1607"/>
      <c r="AT620" s="1607"/>
      <c r="AU620" s="1607"/>
      <c r="AV620" s="1607"/>
      <c r="AW620" s="1607"/>
      <c r="AX620" s="1607"/>
      <c r="AY620" s="1607"/>
      <c r="AZ620" s="1607"/>
      <c r="BA620" s="1607"/>
      <c r="BB620" s="1607"/>
      <c r="BC620" s="1607"/>
      <c r="BD620" s="1607"/>
      <c r="BE620" s="1607"/>
      <c r="BF620" s="1607"/>
      <c r="BG620" s="1607"/>
      <c r="BH620" s="1607"/>
      <c r="BI620" s="1607"/>
      <c r="BJ620" s="1607"/>
      <c r="BK620" s="1607"/>
      <c r="BL620" s="1607"/>
    </row>
    <row r="621">
      <c r="A621" s="1607"/>
      <c r="B621" s="1607"/>
      <c r="C621" s="1607"/>
      <c r="D621" s="1607"/>
      <c r="E621" s="1607"/>
      <c r="F621" s="1607"/>
      <c r="G621" s="1607"/>
      <c r="H621" s="1607"/>
      <c r="I621" s="1607"/>
      <c r="J621" s="1607"/>
      <c r="K621" s="1607"/>
      <c r="L621" s="1607"/>
      <c r="M621" s="1607"/>
      <c r="N621" s="1607"/>
      <c r="O621" s="1607"/>
      <c r="P621" s="1607"/>
      <c r="Q621" s="1607"/>
      <c r="R621" s="1607"/>
      <c r="S621" s="1607"/>
      <c r="T621" s="1607"/>
      <c r="U621" s="1607"/>
      <c r="V621" s="1607"/>
      <c r="W621" s="1607"/>
      <c r="X621" s="1607"/>
      <c r="Y621" s="1607"/>
      <c r="Z621" s="1607"/>
      <c r="AA621" s="1607"/>
      <c r="AB621" s="1607"/>
      <c r="AC621" s="1607"/>
      <c r="AD621" s="1607"/>
      <c r="AE621" s="1607"/>
      <c r="AF621" s="1607"/>
      <c r="AG621" s="1607"/>
      <c r="AH621" s="1607"/>
      <c r="AI621" s="1607"/>
      <c r="AJ621" s="1607"/>
      <c r="AK621" s="1607"/>
      <c r="AL621" s="1607"/>
      <c r="AM621" s="1607"/>
      <c r="AN621" s="1607"/>
      <c r="AO621" s="1607"/>
      <c r="AP621" s="1607"/>
      <c r="AQ621" s="1607"/>
      <c r="AR621" s="1607"/>
      <c r="AS621" s="1607"/>
      <c r="AT621" s="1607"/>
      <c r="AU621" s="1607"/>
      <c r="AV621" s="1607"/>
      <c r="AW621" s="1607"/>
      <c r="AX621" s="1607"/>
      <c r="AY621" s="1607"/>
      <c r="AZ621" s="1607"/>
      <c r="BA621" s="1607"/>
      <c r="BB621" s="1607"/>
      <c r="BC621" s="1607"/>
      <c r="BD621" s="1607"/>
      <c r="BE621" s="1607"/>
      <c r="BF621" s="1607"/>
      <c r="BG621" s="1607"/>
      <c r="BH621" s="1607"/>
      <c r="BI621" s="1607"/>
      <c r="BJ621" s="1607"/>
      <c r="BK621" s="1607"/>
      <c r="BL621" s="1607"/>
    </row>
    <row r="622">
      <c r="A622" s="1607"/>
      <c r="B622" s="1607"/>
      <c r="C622" s="1607"/>
      <c r="D622" s="1607"/>
      <c r="E622" s="1607"/>
      <c r="F622" s="1607"/>
      <c r="G622" s="1607"/>
      <c r="H622" s="1607"/>
      <c r="I622" s="1607"/>
      <c r="J622" s="1607"/>
      <c r="K622" s="1607"/>
      <c r="L622" s="1607"/>
      <c r="M622" s="1607"/>
      <c r="N622" s="1607"/>
      <c r="O622" s="1607"/>
      <c r="P622" s="1607"/>
      <c r="Q622" s="1607"/>
      <c r="R622" s="1607"/>
      <c r="S622" s="1607"/>
      <c r="T622" s="1607"/>
      <c r="U622" s="1607"/>
      <c r="V622" s="1607"/>
      <c r="W622" s="1607"/>
      <c r="X622" s="1607"/>
      <c r="Y622" s="1607"/>
      <c r="Z622" s="1607"/>
      <c r="AA622" s="1607"/>
      <c r="AB622" s="1607"/>
      <c r="AC622" s="1607"/>
      <c r="AD622" s="1607"/>
      <c r="AE622" s="1607"/>
      <c r="AF622" s="1607"/>
      <c r="AG622" s="1607"/>
      <c r="AH622" s="1607"/>
      <c r="AI622" s="1607"/>
      <c r="AJ622" s="1607"/>
      <c r="AK622" s="1607"/>
      <c r="AL622" s="1607"/>
      <c r="AM622" s="1607"/>
      <c r="AN622" s="1607"/>
      <c r="AO622" s="1607"/>
      <c r="AP622" s="1607"/>
      <c r="AQ622" s="1607"/>
      <c r="AR622" s="1607"/>
      <c r="AS622" s="1607"/>
      <c r="AT622" s="1607"/>
      <c r="AU622" s="1607"/>
      <c r="AV622" s="1607"/>
      <c r="AW622" s="1607"/>
      <c r="AX622" s="1607"/>
      <c r="AY622" s="1607"/>
      <c r="AZ622" s="1607"/>
      <c r="BA622" s="1607"/>
      <c r="BB622" s="1607"/>
      <c r="BC622" s="1607"/>
      <c r="BD622" s="1607"/>
      <c r="BE622" s="1607"/>
      <c r="BF622" s="1607"/>
      <c r="BG622" s="1607"/>
      <c r="BH622" s="1607"/>
      <c r="BI622" s="1607"/>
      <c r="BJ622" s="1607"/>
      <c r="BK622" s="1607"/>
      <c r="BL622" s="1607"/>
    </row>
    <row r="623">
      <c r="A623" s="1607"/>
      <c r="B623" s="1607"/>
      <c r="C623" s="1607"/>
      <c r="D623" s="1607"/>
      <c r="E623" s="1607"/>
      <c r="F623" s="1607"/>
      <c r="G623" s="1607"/>
      <c r="H623" s="1607"/>
      <c r="I623" s="1607"/>
      <c r="J623" s="1607"/>
      <c r="K623" s="1607"/>
      <c r="L623" s="1607"/>
      <c r="M623" s="1607"/>
      <c r="N623" s="1607"/>
      <c r="O623" s="1607"/>
      <c r="P623" s="1607"/>
      <c r="Q623" s="1607"/>
      <c r="R623" s="1607"/>
      <c r="S623" s="1607"/>
      <c r="T623" s="1607"/>
      <c r="U623" s="1607"/>
      <c r="V623" s="1607"/>
      <c r="W623" s="1607"/>
      <c r="X623" s="1607"/>
      <c r="Y623" s="1607"/>
      <c r="Z623" s="1607"/>
      <c r="AA623" s="1607"/>
      <c r="AB623" s="1607"/>
      <c r="AC623" s="1607"/>
      <c r="AD623" s="1607"/>
      <c r="AE623" s="1607"/>
      <c r="AF623" s="1607"/>
      <c r="AG623" s="1607"/>
      <c r="AH623" s="1607"/>
      <c r="AI623" s="1607"/>
      <c r="AJ623" s="1607"/>
      <c r="AK623" s="1607"/>
      <c r="AL623" s="1607"/>
      <c r="AM623" s="1607"/>
      <c r="AN623" s="1607"/>
      <c r="AO623" s="1607"/>
      <c r="AP623" s="1607"/>
      <c r="AQ623" s="1607"/>
      <c r="AR623" s="1607"/>
      <c r="AS623" s="1607"/>
      <c r="AT623" s="1607"/>
      <c r="AU623" s="1607"/>
      <c r="AV623" s="1607"/>
      <c r="AW623" s="1607"/>
      <c r="AX623" s="1607"/>
      <c r="AY623" s="1607"/>
      <c r="AZ623" s="1607"/>
      <c r="BA623" s="1607"/>
      <c r="BB623" s="1607"/>
      <c r="BC623" s="1607"/>
      <c r="BD623" s="1607"/>
      <c r="BE623" s="1607"/>
      <c r="BF623" s="1607"/>
      <c r="BG623" s="1607"/>
      <c r="BH623" s="1607"/>
      <c r="BI623" s="1607"/>
      <c r="BJ623" s="1607"/>
      <c r="BK623" s="1607"/>
      <c r="BL623" s="1607"/>
    </row>
    <row r="624">
      <c r="A624" s="1607"/>
      <c r="B624" s="1607"/>
      <c r="C624" s="1607"/>
      <c r="D624" s="1607"/>
      <c r="E624" s="1607"/>
      <c r="F624" s="1607"/>
      <c r="G624" s="1607"/>
      <c r="H624" s="1607"/>
      <c r="I624" s="1607"/>
      <c r="J624" s="1607"/>
      <c r="K624" s="1607"/>
      <c r="L624" s="1607"/>
      <c r="M624" s="1607"/>
      <c r="N624" s="1607"/>
      <c r="O624" s="1607"/>
      <c r="P624" s="1607"/>
      <c r="Q624" s="1607"/>
      <c r="R624" s="1607"/>
      <c r="S624" s="1607"/>
      <c r="T624" s="1607"/>
      <c r="U624" s="1607"/>
      <c r="V624" s="1607"/>
      <c r="W624" s="1607"/>
      <c r="X624" s="1607"/>
      <c r="Y624" s="1607"/>
      <c r="Z624" s="1607"/>
      <c r="AA624" s="1607"/>
      <c r="AB624" s="1607"/>
      <c r="AC624" s="1607"/>
      <c r="AD624" s="1607"/>
      <c r="AE624" s="1607"/>
      <c r="AF624" s="1607"/>
      <c r="AG624" s="1607"/>
      <c r="AH624" s="1607"/>
      <c r="AI624" s="1607"/>
      <c r="AJ624" s="1607"/>
      <c r="AK624" s="1607"/>
      <c r="AL624" s="1607"/>
      <c r="AM624" s="1607"/>
      <c r="AN624" s="1607"/>
      <c r="AO624" s="1607"/>
      <c r="AP624" s="1607"/>
      <c r="AQ624" s="1607"/>
      <c r="AR624" s="1607"/>
      <c r="AS624" s="1607"/>
      <c r="AT624" s="1607"/>
      <c r="AU624" s="1607"/>
      <c r="AV624" s="1607"/>
      <c r="AW624" s="1607"/>
      <c r="AX624" s="1607"/>
      <c r="AY624" s="1607"/>
      <c r="AZ624" s="1607"/>
      <c r="BA624" s="1607"/>
      <c r="BB624" s="1607"/>
      <c r="BC624" s="1607"/>
      <c r="BD624" s="1607"/>
      <c r="BE624" s="1607"/>
      <c r="BF624" s="1607"/>
      <c r="BG624" s="1607"/>
      <c r="BH624" s="1607"/>
      <c r="BI624" s="1607"/>
      <c r="BJ624" s="1607"/>
      <c r="BK624" s="1607"/>
      <c r="BL624" s="1607"/>
    </row>
    <row r="625">
      <c r="A625" s="1607"/>
      <c r="B625" s="1607"/>
      <c r="C625" s="1607"/>
      <c r="D625" s="1607"/>
      <c r="E625" s="1607"/>
      <c r="F625" s="1607"/>
      <c r="G625" s="1607"/>
      <c r="H625" s="1607"/>
      <c r="I625" s="1607"/>
      <c r="J625" s="1607"/>
      <c r="K625" s="1607"/>
      <c r="L625" s="1607"/>
      <c r="M625" s="1607"/>
      <c r="N625" s="1607"/>
      <c r="O625" s="1607"/>
      <c r="P625" s="1607"/>
      <c r="Q625" s="1607"/>
      <c r="R625" s="1607"/>
      <c r="S625" s="1607"/>
      <c r="T625" s="1607"/>
      <c r="U625" s="1607"/>
      <c r="V625" s="1607"/>
      <c r="W625" s="1607"/>
      <c r="X625" s="1607"/>
      <c r="Y625" s="1607"/>
      <c r="Z625" s="1607"/>
      <c r="AA625" s="1607"/>
      <c r="AB625" s="1607"/>
      <c r="AC625" s="1607"/>
      <c r="AD625" s="1607"/>
      <c r="AE625" s="1607"/>
      <c r="AF625" s="1607"/>
      <c r="AG625" s="1607"/>
      <c r="AH625" s="1607"/>
      <c r="AI625" s="1607"/>
      <c r="AJ625" s="1607"/>
      <c r="AK625" s="1607"/>
      <c r="AL625" s="1607"/>
      <c r="AM625" s="1607"/>
      <c r="AN625" s="1607"/>
      <c r="AO625" s="1607"/>
      <c r="AP625" s="1607"/>
      <c r="AQ625" s="1607"/>
      <c r="AR625" s="1607"/>
      <c r="AS625" s="1607"/>
      <c r="AT625" s="1607"/>
      <c r="AU625" s="1607"/>
      <c r="AV625" s="1607"/>
      <c r="AW625" s="1607"/>
      <c r="AX625" s="1607"/>
      <c r="AY625" s="1607"/>
      <c r="AZ625" s="1607"/>
      <c r="BA625" s="1607"/>
      <c r="BB625" s="1607"/>
      <c r="BC625" s="1607"/>
      <c r="BD625" s="1607"/>
      <c r="BE625" s="1607"/>
      <c r="BF625" s="1607"/>
      <c r="BG625" s="1607"/>
      <c r="BH625" s="1607"/>
      <c r="BI625" s="1607"/>
      <c r="BJ625" s="1607"/>
      <c r="BK625" s="1607"/>
      <c r="BL625" s="1607"/>
    </row>
    <row r="626">
      <c r="A626" s="1607"/>
      <c r="B626" s="1607"/>
      <c r="C626" s="1607"/>
      <c r="D626" s="1607"/>
      <c r="E626" s="1607"/>
      <c r="F626" s="1607"/>
      <c r="G626" s="1607"/>
      <c r="H626" s="1607"/>
      <c r="I626" s="1607"/>
      <c r="J626" s="1607"/>
      <c r="K626" s="1607"/>
      <c r="L626" s="1607"/>
      <c r="M626" s="1607"/>
      <c r="N626" s="1607"/>
      <c r="O626" s="1607"/>
      <c r="P626" s="1607"/>
      <c r="Q626" s="1607"/>
      <c r="R626" s="1607"/>
      <c r="S626" s="1607"/>
      <c r="T626" s="1607"/>
      <c r="U626" s="1607"/>
      <c r="V626" s="1607"/>
      <c r="W626" s="1607"/>
      <c r="X626" s="1607"/>
      <c r="Y626" s="1607"/>
      <c r="Z626" s="1607"/>
      <c r="AA626" s="1607"/>
      <c r="AB626" s="1607"/>
      <c r="AC626" s="1607"/>
      <c r="AD626" s="1607"/>
      <c r="AE626" s="1607"/>
      <c r="AF626" s="1607"/>
      <c r="AG626" s="1607"/>
      <c r="AH626" s="1607"/>
      <c r="AI626" s="1607"/>
      <c r="AJ626" s="1607"/>
      <c r="AK626" s="1607"/>
      <c r="AL626" s="1607"/>
      <c r="AM626" s="1607"/>
      <c r="AN626" s="1607"/>
      <c r="AO626" s="1607"/>
      <c r="AP626" s="1607"/>
      <c r="AQ626" s="1607"/>
      <c r="AR626" s="1607"/>
      <c r="AS626" s="1607"/>
      <c r="AT626" s="1607"/>
      <c r="AU626" s="1607"/>
      <c r="AV626" s="1607"/>
      <c r="AW626" s="1607"/>
      <c r="AX626" s="1607"/>
      <c r="AY626" s="1607"/>
      <c r="AZ626" s="1607"/>
      <c r="BA626" s="1607"/>
      <c r="BB626" s="1607"/>
      <c r="BC626" s="1607"/>
      <c r="BD626" s="1607"/>
      <c r="BE626" s="1607"/>
      <c r="BF626" s="1607"/>
      <c r="BG626" s="1607"/>
      <c r="BH626" s="1607"/>
      <c r="BI626" s="1607"/>
      <c r="BJ626" s="1607"/>
      <c r="BK626" s="1607"/>
      <c r="BL626" s="1607"/>
    </row>
    <row r="627">
      <c r="A627" s="1607"/>
      <c r="B627" s="1607"/>
      <c r="C627" s="1607"/>
      <c r="D627" s="1607"/>
      <c r="E627" s="1607"/>
      <c r="F627" s="1607"/>
      <c r="G627" s="1607"/>
      <c r="H627" s="1607"/>
      <c r="I627" s="1607"/>
      <c r="J627" s="1607"/>
      <c r="K627" s="1607"/>
      <c r="L627" s="1607"/>
      <c r="M627" s="1607"/>
      <c r="N627" s="1607"/>
      <c r="O627" s="1607"/>
      <c r="P627" s="1607"/>
      <c r="Q627" s="1607"/>
      <c r="R627" s="1607"/>
      <c r="S627" s="1607"/>
      <c r="T627" s="1607"/>
      <c r="U627" s="1607"/>
      <c r="V627" s="1607"/>
      <c r="W627" s="1607"/>
      <c r="X627" s="1607"/>
      <c r="Y627" s="1607"/>
      <c r="Z627" s="1607"/>
      <c r="AA627" s="1607"/>
      <c r="AB627" s="1607"/>
      <c r="AC627" s="1607"/>
      <c r="AD627" s="1607"/>
      <c r="AE627" s="1607"/>
      <c r="AF627" s="1607"/>
      <c r="AG627" s="1607"/>
      <c r="AH627" s="1607"/>
      <c r="AI627" s="1607"/>
      <c r="AJ627" s="1607"/>
      <c r="AK627" s="1607"/>
      <c r="AL627" s="1607"/>
      <c r="AM627" s="1607"/>
      <c r="AN627" s="1607"/>
      <c r="AO627" s="1607"/>
      <c r="AP627" s="1607"/>
      <c r="AQ627" s="1607"/>
      <c r="AR627" s="1607"/>
      <c r="AS627" s="1607"/>
      <c r="AT627" s="1607"/>
      <c r="AU627" s="1607"/>
      <c r="AV627" s="1607"/>
      <c r="AW627" s="1607"/>
      <c r="AX627" s="1607"/>
      <c r="AY627" s="1607"/>
      <c r="AZ627" s="1607"/>
      <c r="BA627" s="1607"/>
      <c r="BB627" s="1607"/>
      <c r="BC627" s="1607"/>
      <c r="BD627" s="1607"/>
      <c r="BE627" s="1607"/>
      <c r="BF627" s="1607"/>
      <c r="BG627" s="1607"/>
      <c r="BH627" s="1607"/>
      <c r="BI627" s="1607"/>
      <c r="BJ627" s="1607"/>
      <c r="BK627" s="1607"/>
      <c r="BL627" s="1607"/>
    </row>
    <row r="628">
      <c r="A628" s="1607"/>
      <c r="B628" s="1607"/>
      <c r="C628" s="1607"/>
      <c r="D628" s="1607"/>
      <c r="E628" s="1607"/>
      <c r="F628" s="1607"/>
      <c r="G628" s="1607"/>
      <c r="H628" s="1607"/>
      <c r="I628" s="1607"/>
      <c r="J628" s="1607"/>
      <c r="K628" s="1607"/>
      <c r="L628" s="1607"/>
      <c r="M628" s="1607"/>
      <c r="N628" s="1607"/>
      <c r="O628" s="1607"/>
      <c r="P628" s="1607"/>
      <c r="Q628" s="1607"/>
      <c r="R628" s="1607"/>
      <c r="S628" s="1607"/>
      <c r="T628" s="1607"/>
      <c r="U628" s="1607"/>
      <c r="V628" s="1607"/>
      <c r="W628" s="1607"/>
      <c r="X628" s="1607"/>
      <c r="Y628" s="1607"/>
      <c r="Z628" s="1607"/>
      <c r="AA628" s="1607"/>
      <c r="AB628" s="1607"/>
      <c r="AC628" s="1607"/>
      <c r="AD628" s="1607"/>
      <c r="AE628" s="1607"/>
      <c r="AF628" s="1607"/>
      <c r="AG628" s="1607"/>
      <c r="AH628" s="1607"/>
      <c r="AI628" s="1607"/>
      <c r="AJ628" s="1607"/>
      <c r="AK628" s="1607"/>
      <c r="AL628" s="1607"/>
      <c r="AM628" s="1607"/>
      <c r="AN628" s="1607"/>
      <c r="AO628" s="1607"/>
      <c r="AP628" s="1607"/>
      <c r="AQ628" s="1607"/>
      <c r="AR628" s="1607"/>
      <c r="AS628" s="1607"/>
      <c r="AT628" s="1607"/>
      <c r="AU628" s="1607"/>
      <c r="AV628" s="1607"/>
      <c r="AW628" s="1607"/>
      <c r="AX628" s="1607"/>
      <c r="AY628" s="1607"/>
      <c r="AZ628" s="1607"/>
      <c r="BA628" s="1607"/>
      <c r="BB628" s="1607"/>
      <c r="BC628" s="1607"/>
      <c r="BD628" s="1607"/>
      <c r="BE628" s="1607"/>
      <c r="BF628" s="1607"/>
      <c r="BG628" s="1607"/>
      <c r="BH628" s="1607"/>
      <c r="BI628" s="1607"/>
      <c r="BJ628" s="1607"/>
      <c r="BK628" s="1607"/>
      <c r="BL628" s="1607"/>
    </row>
    <row r="629">
      <c r="A629" s="1607"/>
      <c r="B629" s="1607"/>
      <c r="C629" s="1607"/>
      <c r="D629" s="1607"/>
      <c r="E629" s="1607"/>
      <c r="F629" s="1607"/>
      <c r="G629" s="1607"/>
      <c r="H629" s="1607"/>
      <c r="I629" s="1607"/>
      <c r="J629" s="1607"/>
      <c r="K629" s="1607"/>
      <c r="L629" s="1607"/>
      <c r="M629" s="1607"/>
      <c r="N629" s="1607"/>
      <c r="O629" s="1607"/>
      <c r="P629" s="1607"/>
      <c r="Q629" s="1607"/>
      <c r="R629" s="1607"/>
      <c r="S629" s="1607"/>
      <c r="T629" s="1607"/>
      <c r="U629" s="1607"/>
      <c r="V629" s="1607"/>
      <c r="W629" s="1607"/>
      <c r="X629" s="1607"/>
      <c r="Y629" s="1607"/>
      <c r="Z629" s="1607"/>
      <c r="AA629" s="1607"/>
      <c r="AB629" s="1607"/>
      <c r="AC629" s="1607"/>
      <c r="AD629" s="1607"/>
      <c r="AE629" s="1607"/>
      <c r="AF629" s="1607"/>
      <c r="AG629" s="1607"/>
      <c r="AH629" s="1607"/>
      <c r="AI629" s="1607"/>
      <c r="AJ629" s="1607"/>
      <c r="AK629" s="1607"/>
      <c r="AL629" s="1607"/>
      <c r="AM629" s="1607"/>
      <c r="AN629" s="1607"/>
      <c r="AO629" s="1607"/>
      <c r="AP629" s="1607"/>
      <c r="AQ629" s="1607"/>
      <c r="AR629" s="1607"/>
      <c r="AS629" s="1607"/>
      <c r="AT629" s="1607"/>
      <c r="AU629" s="1607"/>
      <c r="AV629" s="1607"/>
      <c r="AW629" s="1607"/>
      <c r="AX629" s="1607"/>
      <c r="AY629" s="1607"/>
      <c r="AZ629" s="1607"/>
      <c r="BA629" s="1607"/>
      <c r="BB629" s="1607"/>
      <c r="BC629" s="1607"/>
      <c r="BD629" s="1607"/>
      <c r="BE629" s="1607"/>
      <c r="BF629" s="1607"/>
      <c r="BG629" s="1607"/>
      <c r="BH629" s="1607"/>
      <c r="BI629" s="1607"/>
      <c r="BJ629" s="1607"/>
      <c r="BK629" s="1607"/>
      <c r="BL629" s="1607"/>
    </row>
    <row r="630">
      <c r="A630" s="1607"/>
      <c r="B630" s="1607"/>
      <c r="C630" s="1607"/>
      <c r="D630" s="1607"/>
      <c r="E630" s="1607"/>
      <c r="F630" s="1607"/>
      <c r="G630" s="1607"/>
      <c r="H630" s="1607"/>
      <c r="I630" s="1607"/>
      <c r="J630" s="1607"/>
      <c r="K630" s="1607"/>
      <c r="L630" s="1607"/>
      <c r="M630" s="1607"/>
      <c r="N630" s="1607"/>
      <c r="O630" s="1607"/>
      <c r="P630" s="1607"/>
      <c r="Q630" s="1607"/>
      <c r="R630" s="1607"/>
      <c r="S630" s="1607"/>
      <c r="T630" s="1607"/>
      <c r="U630" s="1607"/>
      <c r="V630" s="1607"/>
      <c r="W630" s="1607"/>
      <c r="X630" s="1607"/>
      <c r="Y630" s="1607"/>
      <c r="Z630" s="1607"/>
      <c r="AA630" s="1607"/>
      <c r="AB630" s="1607"/>
      <c r="AC630" s="1607"/>
      <c r="AD630" s="1607"/>
      <c r="AE630" s="1607"/>
      <c r="AF630" s="1607"/>
      <c r="AG630" s="1607"/>
      <c r="AH630" s="1607"/>
      <c r="AI630" s="1607"/>
      <c r="AJ630" s="1607"/>
      <c r="AK630" s="1607"/>
      <c r="AL630" s="1607"/>
      <c r="AM630" s="1607"/>
      <c r="AN630" s="1607"/>
      <c r="AO630" s="1607"/>
      <c r="AP630" s="1607"/>
      <c r="AQ630" s="1607"/>
      <c r="AR630" s="1607"/>
      <c r="AS630" s="1607"/>
      <c r="AT630" s="1607"/>
      <c r="AU630" s="1607"/>
      <c r="AV630" s="1607"/>
      <c r="AW630" s="1607"/>
      <c r="AX630" s="1607"/>
      <c r="AY630" s="1607"/>
      <c r="AZ630" s="1607"/>
      <c r="BA630" s="1607"/>
      <c r="BB630" s="1607"/>
      <c r="BC630" s="1607"/>
      <c r="BD630" s="1607"/>
      <c r="BE630" s="1607"/>
      <c r="BF630" s="1607"/>
      <c r="BG630" s="1607"/>
      <c r="BH630" s="1607"/>
      <c r="BI630" s="1607"/>
      <c r="BJ630" s="1607"/>
      <c r="BK630" s="1607"/>
      <c r="BL630" s="1607"/>
    </row>
    <row r="631">
      <c r="A631" s="1607"/>
      <c r="B631" s="1607"/>
      <c r="C631" s="1607"/>
      <c r="D631" s="1607"/>
      <c r="E631" s="1607"/>
      <c r="F631" s="1607"/>
      <c r="G631" s="1607"/>
      <c r="H631" s="1607"/>
      <c r="I631" s="1607"/>
      <c r="J631" s="1607"/>
      <c r="K631" s="1607"/>
      <c r="L631" s="1607"/>
      <c r="M631" s="1607"/>
      <c r="N631" s="1607"/>
      <c r="O631" s="1607"/>
      <c r="P631" s="1607"/>
      <c r="Q631" s="1607"/>
      <c r="R631" s="1607"/>
      <c r="S631" s="1607"/>
      <c r="T631" s="1607"/>
      <c r="U631" s="1607"/>
      <c r="V631" s="1607"/>
      <c r="W631" s="1607"/>
      <c r="X631" s="1607"/>
      <c r="Y631" s="1607"/>
      <c r="Z631" s="1607"/>
      <c r="AA631" s="1607"/>
      <c r="AB631" s="1607"/>
      <c r="AC631" s="1607"/>
      <c r="AD631" s="1607"/>
      <c r="AE631" s="1607"/>
      <c r="AF631" s="1607"/>
      <c r="AG631" s="1607"/>
      <c r="AH631" s="1607"/>
      <c r="AI631" s="1607"/>
      <c r="AJ631" s="1607"/>
      <c r="AK631" s="1607"/>
      <c r="AL631" s="1607"/>
      <c r="AM631" s="1607"/>
      <c r="AN631" s="1607"/>
      <c r="AO631" s="1607"/>
      <c r="AP631" s="1607"/>
      <c r="AQ631" s="1607"/>
      <c r="AR631" s="1607"/>
      <c r="AS631" s="1607"/>
      <c r="AT631" s="1607"/>
      <c r="AU631" s="1607"/>
      <c r="AV631" s="1607"/>
      <c r="AW631" s="1607"/>
      <c r="AX631" s="1607"/>
      <c r="AY631" s="1607"/>
      <c r="AZ631" s="1607"/>
      <c r="BA631" s="1607"/>
      <c r="BB631" s="1607"/>
      <c r="BC631" s="1607"/>
      <c r="BD631" s="1607"/>
      <c r="BE631" s="1607"/>
      <c r="BF631" s="1607"/>
      <c r="BG631" s="1607"/>
      <c r="BH631" s="1607"/>
      <c r="BI631" s="1607"/>
      <c r="BJ631" s="1607"/>
      <c r="BK631" s="1607"/>
      <c r="BL631" s="1607"/>
    </row>
    <row r="632">
      <c r="A632" s="1607"/>
      <c r="B632" s="1607"/>
      <c r="C632" s="1607"/>
      <c r="D632" s="1607"/>
      <c r="E632" s="1607"/>
      <c r="F632" s="1607"/>
      <c r="G632" s="1607"/>
      <c r="H632" s="1607"/>
      <c r="I632" s="1607"/>
      <c r="J632" s="1607"/>
      <c r="K632" s="1607"/>
      <c r="L632" s="1607"/>
      <c r="M632" s="1607"/>
      <c r="N632" s="1607"/>
      <c r="O632" s="1607"/>
      <c r="P632" s="1607"/>
      <c r="Q632" s="1607"/>
      <c r="R632" s="1607"/>
      <c r="S632" s="1607"/>
      <c r="T632" s="1607"/>
      <c r="U632" s="1607"/>
      <c r="V632" s="1607"/>
      <c r="W632" s="1607"/>
      <c r="X632" s="1607"/>
      <c r="Y632" s="1607"/>
      <c r="Z632" s="1607"/>
      <c r="AA632" s="1607"/>
      <c r="AB632" s="1607"/>
      <c r="AC632" s="1607"/>
      <c r="AD632" s="1607"/>
      <c r="AE632" s="1607"/>
      <c r="AF632" s="1607"/>
      <c r="AG632" s="1607"/>
      <c r="AH632" s="1607"/>
      <c r="AI632" s="1607"/>
      <c r="AJ632" s="1607"/>
      <c r="AK632" s="1607"/>
      <c r="AL632" s="1607"/>
      <c r="AM632" s="1607"/>
      <c r="AN632" s="1607"/>
      <c r="AO632" s="1607"/>
      <c r="AP632" s="1607"/>
      <c r="AQ632" s="1607"/>
      <c r="AR632" s="1607"/>
      <c r="AS632" s="1607"/>
      <c r="AT632" s="1607"/>
      <c r="AU632" s="1607"/>
      <c r="AV632" s="1607"/>
      <c r="AW632" s="1607"/>
      <c r="AX632" s="1607"/>
      <c r="AY632" s="1607"/>
      <c r="AZ632" s="1607"/>
      <c r="BA632" s="1607"/>
      <c r="BB632" s="1607"/>
      <c r="BC632" s="1607"/>
      <c r="BD632" s="1607"/>
      <c r="BE632" s="1607"/>
      <c r="BF632" s="1607"/>
      <c r="BG632" s="1607"/>
      <c r="BH632" s="1607"/>
      <c r="BI632" s="1607"/>
      <c r="BJ632" s="1607"/>
      <c r="BK632" s="1607"/>
      <c r="BL632" s="1607"/>
    </row>
    <row r="633">
      <c r="A633" s="1607"/>
      <c r="B633" s="1607"/>
      <c r="C633" s="1607"/>
      <c r="D633" s="1607"/>
      <c r="E633" s="1607"/>
      <c r="F633" s="1607"/>
      <c r="G633" s="1607"/>
      <c r="H633" s="1607"/>
      <c r="I633" s="1607"/>
      <c r="J633" s="1607"/>
      <c r="K633" s="1607"/>
      <c r="L633" s="1607"/>
      <c r="M633" s="1607"/>
      <c r="N633" s="1607"/>
      <c r="O633" s="1607"/>
      <c r="P633" s="1607"/>
      <c r="Q633" s="1607"/>
      <c r="R633" s="1607"/>
      <c r="S633" s="1607"/>
      <c r="T633" s="1607"/>
      <c r="U633" s="1607"/>
      <c r="V633" s="1607"/>
      <c r="W633" s="1607"/>
      <c r="X633" s="1607"/>
      <c r="Y633" s="1607"/>
      <c r="Z633" s="1607"/>
      <c r="AA633" s="1607"/>
      <c r="AB633" s="1607"/>
      <c r="AC633" s="1607"/>
      <c r="AD633" s="1607"/>
      <c r="AE633" s="1607"/>
      <c r="AF633" s="1607"/>
      <c r="AG633" s="1607"/>
      <c r="AH633" s="1607"/>
      <c r="AI633" s="1607"/>
      <c r="AJ633" s="1607"/>
      <c r="AK633" s="1607"/>
      <c r="AL633" s="1607"/>
      <c r="AM633" s="1607"/>
      <c r="AN633" s="1607"/>
      <c r="AO633" s="1607"/>
      <c r="AP633" s="1607"/>
      <c r="AQ633" s="1607"/>
      <c r="AR633" s="1607"/>
      <c r="AS633" s="1607"/>
      <c r="AT633" s="1607"/>
      <c r="AU633" s="1607"/>
      <c r="AV633" s="1607"/>
      <c r="AW633" s="1607"/>
      <c r="AX633" s="1607"/>
      <c r="AY633" s="1607"/>
      <c r="AZ633" s="1607"/>
      <c r="BA633" s="1607"/>
      <c r="BB633" s="1607"/>
      <c r="BC633" s="1607"/>
      <c r="BD633" s="1607"/>
      <c r="BE633" s="1607"/>
      <c r="BF633" s="1607"/>
      <c r="BG633" s="1607"/>
      <c r="BH633" s="1607"/>
      <c r="BI633" s="1607"/>
      <c r="BJ633" s="1607"/>
      <c r="BK633" s="1607"/>
      <c r="BL633" s="1607"/>
    </row>
    <row r="634">
      <c r="A634" s="1607"/>
      <c r="B634" s="1607"/>
      <c r="C634" s="1607"/>
      <c r="D634" s="1607"/>
      <c r="E634" s="1607"/>
      <c r="F634" s="1607"/>
      <c r="G634" s="1607"/>
      <c r="H634" s="1607"/>
      <c r="I634" s="1607"/>
      <c r="J634" s="1607"/>
      <c r="K634" s="1607"/>
      <c r="L634" s="1607"/>
      <c r="M634" s="1607"/>
      <c r="N634" s="1607"/>
      <c r="O634" s="1607"/>
      <c r="P634" s="1607"/>
      <c r="Q634" s="1607"/>
      <c r="R634" s="1607"/>
      <c r="S634" s="1607"/>
      <c r="T634" s="1607"/>
      <c r="U634" s="1607"/>
      <c r="V634" s="1607"/>
      <c r="W634" s="1607"/>
      <c r="X634" s="1607"/>
      <c r="Y634" s="1607"/>
      <c r="Z634" s="1607"/>
      <c r="AA634" s="1607"/>
      <c r="AB634" s="1607"/>
      <c r="AC634" s="1607"/>
      <c r="AD634" s="1607"/>
      <c r="AE634" s="1607"/>
      <c r="AF634" s="1607"/>
      <c r="AG634" s="1607"/>
      <c r="AH634" s="1607"/>
      <c r="AI634" s="1607"/>
      <c r="AJ634" s="1607"/>
      <c r="AK634" s="1607"/>
      <c r="AL634" s="1607"/>
      <c r="AM634" s="1607"/>
      <c r="AN634" s="1607"/>
      <c r="AO634" s="1607"/>
      <c r="AP634" s="1607"/>
      <c r="AQ634" s="1607"/>
      <c r="AR634" s="1607"/>
      <c r="AS634" s="1607"/>
      <c r="AT634" s="1607"/>
      <c r="AU634" s="1607"/>
      <c r="AV634" s="1607"/>
      <c r="AW634" s="1607"/>
      <c r="AX634" s="1607"/>
      <c r="AY634" s="1607"/>
      <c r="AZ634" s="1607"/>
      <c r="BA634" s="1607"/>
      <c r="BB634" s="1607"/>
      <c r="BC634" s="1607"/>
      <c r="BD634" s="1607"/>
      <c r="BE634" s="1607"/>
      <c r="BF634" s="1607"/>
      <c r="BG634" s="1607"/>
      <c r="BH634" s="1607"/>
      <c r="BI634" s="1607"/>
      <c r="BJ634" s="1607"/>
      <c r="BK634" s="1607"/>
      <c r="BL634" s="1607"/>
    </row>
    <row r="635">
      <c r="A635" s="1607"/>
      <c r="B635" s="1607"/>
      <c r="C635" s="1607"/>
      <c r="D635" s="1607"/>
      <c r="E635" s="1607"/>
      <c r="F635" s="1607"/>
      <c r="G635" s="1607"/>
      <c r="H635" s="1607"/>
      <c r="I635" s="1607"/>
      <c r="J635" s="1607"/>
      <c r="K635" s="1607"/>
      <c r="L635" s="1607"/>
      <c r="M635" s="1607"/>
      <c r="N635" s="1607"/>
      <c r="O635" s="1607"/>
      <c r="P635" s="1607"/>
      <c r="Q635" s="1607"/>
      <c r="R635" s="1607"/>
      <c r="S635" s="1607"/>
      <c r="T635" s="1607"/>
      <c r="U635" s="1607"/>
      <c r="V635" s="1607"/>
      <c r="W635" s="1607"/>
      <c r="X635" s="1607"/>
      <c r="Y635" s="1607"/>
      <c r="Z635" s="1607"/>
      <c r="AA635" s="1607"/>
      <c r="AB635" s="1607"/>
      <c r="AC635" s="1607"/>
      <c r="AD635" s="1607"/>
      <c r="AE635" s="1607"/>
      <c r="AF635" s="1607"/>
      <c r="AG635" s="1607"/>
      <c r="AH635" s="1607"/>
      <c r="AI635" s="1607"/>
      <c r="AJ635" s="1607"/>
      <c r="AK635" s="1607"/>
      <c r="AL635" s="1607"/>
      <c r="AM635" s="1607"/>
      <c r="AN635" s="1607"/>
      <c r="AO635" s="1607"/>
      <c r="AP635" s="1607"/>
      <c r="AQ635" s="1607"/>
      <c r="AR635" s="1607"/>
      <c r="AS635" s="1607"/>
      <c r="AT635" s="1607"/>
      <c r="AU635" s="1607"/>
      <c r="AV635" s="1607"/>
      <c r="AW635" s="1607"/>
      <c r="AX635" s="1607"/>
      <c r="AY635" s="1607"/>
      <c r="AZ635" s="1607"/>
      <c r="BA635" s="1607"/>
      <c r="BB635" s="1607"/>
      <c r="BC635" s="1607"/>
      <c r="BD635" s="1607"/>
      <c r="BE635" s="1607"/>
      <c r="BF635" s="1607"/>
      <c r="BG635" s="1607"/>
      <c r="BH635" s="1607"/>
      <c r="BI635" s="1607"/>
      <c r="BJ635" s="1607"/>
      <c r="BK635" s="1607"/>
      <c r="BL635" s="1607"/>
    </row>
    <row r="636">
      <c r="A636" s="1607"/>
      <c r="B636" s="1607"/>
      <c r="C636" s="1607"/>
      <c r="D636" s="1607"/>
      <c r="E636" s="1607"/>
      <c r="F636" s="1607"/>
      <c r="G636" s="1607"/>
      <c r="H636" s="1607"/>
      <c r="I636" s="1607"/>
      <c r="J636" s="1607"/>
      <c r="K636" s="1607"/>
      <c r="L636" s="1607"/>
      <c r="M636" s="1607"/>
      <c r="N636" s="1607"/>
      <c r="O636" s="1607"/>
      <c r="P636" s="1607"/>
      <c r="Q636" s="1607"/>
      <c r="R636" s="1607"/>
      <c r="S636" s="1607"/>
      <c r="T636" s="1607"/>
      <c r="U636" s="1607"/>
      <c r="V636" s="1607"/>
      <c r="W636" s="1607"/>
      <c r="X636" s="1607"/>
      <c r="Y636" s="1607"/>
      <c r="Z636" s="1607"/>
      <c r="AA636" s="1607"/>
      <c r="AB636" s="1607"/>
      <c r="AC636" s="1607"/>
      <c r="AD636" s="1607"/>
      <c r="AE636" s="1607"/>
      <c r="AF636" s="1607"/>
      <c r="AG636" s="1607"/>
      <c r="AH636" s="1607"/>
      <c r="AI636" s="1607"/>
      <c r="AJ636" s="1607"/>
      <c r="AK636" s="1607"/>
      <c r="AL636" s="1607"/>
      <c r="AM636" s="1607"/>
      <c r="AN636" s="1607"/>
      <c r="AO636" s="1607"/>
      <c r="AP636" s="1607"/>
      <c r="AQ636" s="1607"/>
      <c r="AR636" s="1607"/>
      <c r="AS636" s="1607"/>
      <c r="AT636" s="1607"/>
      <c r="AU636" s="1607"/>
      <c r="AV636" s="1607"/>
      <c r="AW636" s="1607"/>
      <c r="AX636" s="1607"/>
      <c r="AY636" s="1607"/>
      <c r="AZ636" s="1607"/>
      <c r="BA636" s="1607"/>
      <c r="BB636" s="1607"/>
      <c r="BC636" s="1607"/>
      <c r="BD636" s="1607"/>
      <c r="BE636" s="1607"/>
      <c r="BF636" s="1607"/>
      <c r="BG636" s="1607"/>
      <c r="BH636" s="1607"/>
      <c r="BI636" s="1607"/>
      <c r="BJ636" s="1607"/>
      <c r="BK636" s="1607"/>
      <c r="BL636" s="1607"/>
    </row>
    <row r="637">
      <c r="A637" s="1607"/>
      <c r="B637" s="1607"/>
      <c r="C637" s="1607"/>
      <c r="D637" s="1607"/>
      <c r="E637" s="1607"/>
      <c r="F637" s="1607"/>
      <c r="G637" s="1607"/>
      <c r="H637" s="1607"/>
      <c r="I637" s="1607"/>
      <c r="J637" s="1607"/>
      <c r="K637" s="1607"/>
      <c r="L637" s="1607"/>
      <c r="M637" s="1607"/>
      <c r="N637" s="1607"/>
      <c r="O637" s="1607"/>
      <c r="P637" s="1607"/>
      <c r="Q637" s="1607"/>
      <c r="R637" s="1607"/>
      <c r="S637" s="1607"/>
      <c r="T637" s="1607"/>
      <c r="U637" s="1607"/>
      <c r="V637" s="1607"/>
      <c r="W637" s="1607"/>
      <c r="X637" s="1607"/>
      <c r="Y637" s="1607"/>
      <c r="Z637" s="1607"/>
      <c r="AA637" s="1607"/>
      <c r="AB637" s="1607"/>
      <c r="AC637" s="1607"/>
      <c r="AD637" s="1607"/>
      <c r="AE637" s="1607"/>
      <c r="AF637" s="1607"/>
      <c r="AG637" s="1607"/>
      <c r="AH637" s="1607"/>
      <c r="AI637" s="1607"/>
      <c r="AJ637" s="1607"/>
      <c r="AK637" s="1607"/>
      <c r="AL637" s="1607"/>
      <c r="AM637" s="1607"/>
      <c r="AN637" s="1607"/>
      <c r="AO637" s="1607"/>
      <c r="AP637" s="1607"/>
      <c r="AQ637" s="1607"/>
      <c r="AR637" s="1607"/>
      <c r="AS637" s="1607"/>
      <c r="AT637" s="1607"/>
      <c r="AU637" s="1607"/>
      <c r="AV637" s="1607"/>
      <c r="AW637" s="1607"/>
      <c r="AX637" s="1607"/>
      <c r="AY637" s="1607"/>
      <c r="AZ637" s="1607"/>
      <c r="BA637" s="1607"/>
      <c r="BB637" s="1607"/>
      <c r="BC637" s="1607"/>
      <c r="BD637" s="1607"/>
      <c r="BE637" s="1607"/>
      <c r="BF637" s="1607"/>
      <c r="BG637" s="1607"/>
      <c r="BH637" s="1607"/>
      <c r="BI637" s="1607"/>
      <c r="BJ637" s="1607"/>
      <c r="BK637" s="1607"/>
      <c r="BL637" s="1607"/>
    </row>
    <row r="638">
      <c r="A638" s="1607"/>
      <c r="B638" s="1607"/>
      <c r="C638" s="1607"/>
      <c r="D638" s="1607"/>
      <c r="E638" s="1607"/>
      <c r="F638" s="1607"/>
      <c r="G638" s="1607"/>
      <c r="H638" s="1607"/>
      <c r="I638" s="1607"/>
      <c r="J638" s="1607"/>
      <c r="K638" s="1607"/>
      <c r="L638" s="1607"/>
      <c r="M638" s="1607"/>
      <c r="N638" s="1607"/>
      <c r="O638" s="1607"/>
      <c r="P638" s="1607"/>
      <c r="Q638" s="1607"/>
      <c r="R638" s="1607"/>
      <c r="S638" s="1607"/>
      <c r="T638" s="1607"/>
      <c r="U638" s="1607"/>
      <c r="V638" s="1607"/>
      <c r="W638" s="1607"/>
      <c r="X638" s="1607"/>
      <c r="Y638" s="1607"/>
      <c r="Z638" s="1607"/>
      <c r="AA638" s="1607"/>
      <c r="AB638" s="1607"/>
      <c r="AC638" s="1607"/>
      <c r="AD638" s="1607"/>
      <c r="AE638" s="1607"/>
      <c r="AF638" s="1607"/>
      <c r="AG638" s="1607"/>
      <c r="AH638" s="1607"/>
      <c r="AI638" s="1607"/>
      <c r="AJ638" s="1607"/>
      <c r="AK638" s="1607"/>
      <c r="AL638" s="1607"/>
      <c r="AM638" s="1607"/>
      <c r="AN638" s="1607"/>
      <c r="AO638" s="1607"/>
      <c r="AP638" s="1607"/>
      <c r="AQ638" s="1607"/>
      <c r="AR638" s="1607"/>
      <c r="AS638" s="1607"/>
      <c r="AT638" s="1607"/>
      <c r="AU638" s="1607"/>
      <c r="AV638" s="1607"/>
      <c r="AW638" s="1607"/>
      <c r="AX638" s="1607"/>
      <c r="AY638" s="1607"/>
      <c r="AZ638" s="1607"/>
      <c r="BA638" s="1607"/>
      <c r="BB638" s="1607"/>
      <c r="BC638" s="1607"/>
      <c r="BD638" s="1607"/>
      <c r="BE638" s="1607"/>
      <c r="BF638" s="1607"/>
      <c r="BG638" s="1607"/>
      <c r="BH638" s="1607"/>
      <c r="BI638" s="1607"/>
      <c r="BJ638" s="1607"/>
      <c r="BK638" s="1607"/>
      <c r="BL638" s="1607"/>
    </row>
    <row r="639">
      <c r="A639" s="1607"/>
      <c r="B639" s="1607"/>
      <c r="C639" s="1607"/>
      <c r="D639" s="1607"/>
      <c r="E639" s="1607"/>
      <c r="F639" s="1607"/>
      <c r="G639" s="1607"/>
      <c r="H639" s="1607"/>
      <c r="I639" s="1607"/>
      <c r="J639" s="1607"/>
      <c r="K639" s="1607"/>
      <c r="L639" s="1607"/>
      <c r="M639" s="1607"/>
      <c r="N639" s="1607"/>
      <c r="O639" s="1607"/>
      <c r="P639" s="1607"/>
      <c r="Q639" s="1607"/>
      <c r="R639" s="1607"/>
      <c r="S639" s="1607"/>
      <c r="T639" s="1607"/>
      <c r="U639" s="1607"/>
      <c r="V639" s="1607"/>
      <c r="W639" s="1607"/>
      <c r="X639" s="1607"/>
      <c r="Y639" s="1607"/>
      <c r="Z639" s="1607"/>
      <c r="AA639" s="1607"/>
      <c r="AB639" s="1607"/>
      <c r="AC639" s="1607"/>
      <c r="AD639" s="1607"/>
      <c r="AE639" s="1607"/>
      <c r="AF639" s="1607"/>
      <c r="AG639" s="1607"/>
      <c r="AH639" s="1607"/>
      <c r="AI639" s="1607"/>
      <c r="AJ639" s="1607"/>
      <c r="AK639" s="1607"/>
      <c r="AL639" s="1607"/>
      <c r="AM639" s="1607"/>
      <c r="AN639" s="1607"/>
      <c r="AO639" s="1607"/>
      <c r="AP639" s="1607"/>
      <c r="AQ639" s="1607"/>
      <c r="AR639" s="1607"/>
      <c r="AS639" s="1607"/>
      <c r="AT639" s="1607"/>
      <c r="AU639" s="1607"/>
      <c r="AV639" s="1607"/>
      <c r="AW639" s="1607"/>
      <c r="AX639" s="1607"/>
      <c r="AY639" s="1607"/>
      <c r="AZ639" s="1607"/>
      <c r="BA639" s="1607"/>
      <c r="BB639" s="1607"/>
      <c r="BC639" s="1607"/>
      <c r="BD639" s="1607"/>
      <c r="BE639" s="1607"/>
      <c r="BF639" s="1607"/>
      <c r="BG639" s="1607"/>
      <c r="BH639" s="1607"/>
      <c r="BI639" s="1607"/>
      <c r="BJ639" s="1607"/>
      <c r="BK639" s="1607"/>
      <c r="BL639" s="1607"/>
    </row>
    <row r="640">
      <c r="A640" s="1607"/>
      <c r="B640" s="1607"/>
      <c r="C640" s="1607"/>
      <c r="D640" s="1607"/>
      <c r="E640" s="1607"/>
      <c r="F640" s="1607"/>
      <c r="G640" s="1607"/>
      <c r="H640" s="1607"/>
      <c r="I640" s="1607"/>
      <c r="J640" s="1607"/>
      <c r="K640" s="1607"/>
      <c r="L640" s="1607"/>
      <c r="M640" s="1607"/>
      <c r="N640" s="1607"/>
      <c r="O640" s="1607"/>
      <c r="P640" s="1607"/>
      <c r="Q640" s="1607"/>
      <c r="R640" s="1607"/>
      <c r="S640" s="1607"/>
      <c r="T640" s="1607"/>
      <c r="U640" s="1607"/>
      <c r="V640" s="1607"/>
      <c r="W640" s="1607"/>
      <c r="X640" s="1607"/>
      <c r="Y640" s="1607"/>
      <c r="Z640" s="1607"/>
      <c r="AA640" s="1607"/>
      <c r="AB640" s="1607"/>
      <c r="AC640" s="1607"/>
      <c r="AD640" s="1607"/>
      <c r="AE640" s="1607"/>
      <c r="AF640" s="1607"/>
      <c r="AG640" s="1607"/>
      <c r="AH640" s="1607"/>
      <c r="AI640" s="1607"/>
      <c r="AJ640" s="1607"/>
      <c r="AK640" s="1607"/>
      <c r="AL640" s="1607"/>
      <c r="AM640" s="1607"/>
      <c r="AN640" s="1607"/>
      <c r="AO640" s="1607"/>
      <c r="AP640" s="1607"/>
      <c r="AQ640" s="1607"/>
      <c r="AR640" s="1607"/>
      <c r="AS640" s="1607"/>
      <c r="AT640" s="1607"/>
      <c r="AU640" s="1607"/>
      <c r="AV640" s="1607"/>
      <c r="AW640" s="1607"/>
      <c r="AX640" s="1607"/>
      <c r="AY640" s="1607"/>
      <c r="AZ640" s="1607"/>
      <c r="BA640" s="1607"/>
      <c r="BB640" s="1607"/>
      <c r="BC640" s="1607"/>
      <c r="BD640" s="1607"/>
      <c r="BE640" s="1607"/>
      <c r="BF640" s="1607"/>
      <c r="BG640" s="1607"/>
      <c r="BH640" s="1607"/>
      <c r="BI640" s="1607"/>
      <c r="BJ640" s="1607"/>
      <c r="BK640" s="1607"/>
      <c r="BL640" s="1607"/>
    </row>
    <row r="641">
      <c r="A641" s="1607"/>
      <c r="B641" s="1607"/>
      <c r="C641" s="1607"/>
      <c r="D641" s="1607"/>
      <c r="E641" s="1607"/>
      <c r="F641" s="1607"/>
      <c r="G641" s="1607"/>
      <c r="H641" s="1607"/>
      <c r="I641" s="1607"/>
      <c r="J641" s="1607"/>
      <c r="K641" s="1607"/>
      <c r="L641" s="1607"/>
      <c r="M641" s="1607"/>
      <c r="N641" s="1607"/>
      <c r="O641" s="1607"/>
      <c r="P641" s="1607"/>
      <c r="Q641" s="1607"/>
      <c r="R641" s="1607"/>
      <c r="S641" s="1607"/>
      <c r="T641" s="1607"/>
      <c r="U641" s="1607"/>
      <c r="V641" s="1607"/>
      <c r="W641" s="1607"/>
      <c r="X641" s="1607"/>
      <c r="Y641" s="1607"/>
      <c r="Z641" s="1607"/>
      <c r="AA641" s="1607"/>
      <c r="AB641" s="1607"/>
      <c r="AC641" s="1607"/>
      <c r="AD641" s="1607"/>
      <c r="AE641" s="1607"/>
      <c r="AF641" s="1607"/>
      <c r="AG641" s="1607"/>
      <c r="AH641" s="1607"/>
      <c r="AI641" s="1607"/>
      <c r="AJ641" s="1607"/>
      <c r="AK641" s="1607"/>
      <c r="AL641" s="1607"/>
      <c r="AM641" s="1607"/>
      <c r="AN641" s="1607"/>
      <c r="AO641" s="1607"/>
      <c r="AP641" s="1607"/>
      <c r="AQ641" s="1607"/>
      <c r="AR641" s="1607"/>
      <c r="AS641" s="1607"/>
      <c r="AT641" s="1607"/>
      <c r="AU641" s="1607"/>
      <c r="AV641" s="1607"/>
      <c r="AW641" s="1607"/>
      <c r="AX641" s="1607"/>
      <c r="AY641" s="1607"/>
      <c r="AZ641" s="1607"/>
      <c r="BA641" s="1607"/>
      <c r="BB641" s="1607"/>
      <c r="BC641" s="1607"/>
      <c r="BD641" s="1607"/>
      <c r="BE641" s="1607"/>
      <c r="BF641" s="1607"/>
      <c r="BG641" s="1607"/>
      <c r="BH641" s="1607"/>
      <c r="BI641" s="1607"/>
      <c r="BJ641" s="1607"/>
      <c r="BK641" s="1607"/>
      <c r="BL641" s="1607"/>
    </row>
    <row r="642">
      <c r="A642" s="1607"/>
      <c r="B642" s="1607"/>
      <c r="C642" s="1607"/>
      <c r="D642" s="1607"/>
      <c r="E642" s="1607"/>
      <c r="F642" s="1607"/>
      <c r="G642" s="1607"/>
      <c r="H642" s="1607"/>
      <c r="I642" s="1607"/>
      <c r="J642" s="1607"/>
      <c r="K642" s="1607"/>
      <c r="L642" s="1607"/>
      <c r="M642" s="1607"/>
      <c r="N642" s="1607"/>
      <c r="O642" s="1607"/>
      <c r="P642" s="1607"/>
      <c r="Q642" s="1607"/>
      <c r="R642" s="1607"/>
      <c r="S642" s="1607"/>
      <c r="T642" s="1607"/>
      <c r="U642" s="1607"/>
      <c r="V642" s="1607"/>
      <c r="W642" s="1607"/>
      <c r="X642" s="1607"/>
      <c r="Y642" s="1607"/>
      <c r="Z642" s="1607"/>
      <c r="AA642" s="1607"/>
      <c r="AB642" s="1607"/>
      <c r="AC642" s="1607"/>
      <c r="AD642" s="1607"/>
      <c r="AE642" s="1607"/>
      <c r="AF642" s="1607"/>
      <c r="AG642" s="1607"/>
      <c r="AH642" s="1607"/>
      <c r="AI642" s="1607"/>
      <c r="AJ642" s="1607"/>
      <c r="AK642" s="1607"/>
      <c r="AL642" s="1607"/>
      <c r="AM642" s="1607"/>
      <c r="AN642" s="1607"/>
      <c r="AO642" s="1607"/>
      <c r="AP642" s="1607"/>
      <c r="AQ642" s="1607"/>
      <c r="AR642" s="1607"/>
      <c r="AS642" s="1607"/>
      <c r="AT642" s="1607"/>
      <c r="AU642" s="1607"/>
      <c r="AV642" s="1607"/>
      <c r="AW642" s="1607"/>
      <c r="AX642" s="1607"/>
      <c r="AY642" s="1607"/>
      <c r="AZ642" s="1607"/>
      <c r="BA642" s="1607"/>
      <c r="BB642" s="1607"/>
      <c r="BC642" s="1607"/>
      <c r="BD642" s="1607"/>
      <c r="BE642" s="1607"/>
      <c r="BF642" s="1607"/>
      <c r="BG642" s="1607"/>
      <c r="BH642" s="1607"/>
      <c r="BI642" s="1607"/>
      <c r="BJ642" s="1607"/>
      <c r="BK642" s="1607"/>
      <c r="BL642" s="1607"/>
    </row>
    <row r="643">
      <c r="A643" s="1607"/>
      <c r="B643" s="1607"/>
      <c r="C643" s="1607"/>
      <c r="D643" s="1607"/>
      <c r="E643" s="1607"/>
      <c r="F643" s="1607"/>
      <c r="G643" s="1607"/>
      <c r="H643" s="1607"/>
      <c r="I643" s="1607"/>
      <c r="J643" s="1607"/>
      <c r="K643" s="1607"/>
      <c r="L643" s="1607"/>
      <c r="M643" s="1607"/>
      <c r="N643" s="1607"/>
      <c r="O643" s="1607"/>
      <c r="P643" s="1607"/>
      <c r="Q643" s="1607"/>
      <c r="R643" s="1607"/>
      <c r="S643" s="1607"/>
      <c r="T643" s="1607"/>
      <c r="U643" s="1607"/>
      <c r="V643" s="1607"/>
      <c r="W643" s="1607"/>
      <c r="X643" s="1607"/>
      <c r="Y643" s="1607"/>
      <c r="Z643" s="1607"/>
      <c r="AA643" s="1607"/>
      <c r="AB643" s="1607"/>
      <c r="AC643" s="1607"/>
      <c r="AD643" s="1607"/>
      <c r="AE643" s="1607"/>
      <c r="AF643" s="1607"/>
      <c r="AG643" s="1607"/>
      <c r="AH643" s="1607"/>
      <c r="AI643" s="1607"/>
      <c r="AJ643" s="1607"/>
      <c r="AK643" s="1607"/>
      <c r="AL643" s="1607"/>
      <c r="AM643" s="1607"/>
      <c r="AN643" s="1607"/>
      <c r="AO643" s="1607"/>
      <c r="AP643" s="1607"/>
      <c r="AQ643" s="1607"/>
      <c r="AR643" s="1607"/>
      <c r="AS643" s="1607"/>
      <c r="AT643" s="1607"/>
      <c r="AU643" s="1607"/>
      <c r="AV643" s="1607"/>
      <c r="AW643" s="1607"/>
      <c r="AX643" s="1607"/>
      <c r="AY643" s="1607"/>
      <c r="AZ643" s="1607"/>
      <c r="BA643" s="1607"/>
      <c r="BB643" s="1607"/>
      <c r="BC643" s="1607"/>
      <c r="BD643" s="1607"/>
      <c r="BE643" s="1607"/>
      <c r="BF643" s="1607"/>
      <c r="BG643" s="1607"/>
      <c r="BH643" s="1607"/>
      <c r="BI643" s="1607"/>
      <c r="BJ643" s="1607"/>
      <c r="BK643" s="1607"/>
      <c r="BL643" s="1607"/>
    </row>
    <row r="644">
      <c r="A644" s="1607"/>
      <c r="B644" s="1607"/>
      <c r="C644" s="1607"/>
      <c r="D644" s="1607"/>
      <c r="E644" s="1607"/>
      <c r="F644" s="1607"/>
      <c r="G644" s="1607"/>
      <c r="H644" s="1607"/>
      <c r="I644" s="1607"/>
      <c r="J644" s="1607"/>
      <c r="K644" s="1607"/>
      <c r="L644" s="1607"/>
      <c r="M644" s="1607"/>
      <c r="N644" s="1607"/>
      <c r="O644" s="1607"/>
      <c r="P644" s="1607"/>
      <c r="Q644" s="1607"/>
      <c r="R644" s="1607"/>
      <c r="S644" s="1607"/>
      <c r="T644" s="1607"/>
      <c r="U644" s="1607"/>
      <c r="V644" s="1607"/>
      <c r="W644" s="1607"/>
      <c r="X644" s="1607"/>
      <c r="Y644" s="1607"/>
      <c r="Z644" s="1607"/>
      <c r="AA644" s="1607"/>
      <c r="AB644" s="1607"/>
      <c r="AC644" s="1607"/>
      <c r="AD644" s="1607"/>
      <c r="AE644" s="1607"/>
      <c r="AF644" s="1607"/>
      <c r="AG644" s="1607"/>
      <c r="AH644" s="1607"/>
      <c r="AI644" s="1607"/>
      <c r="AJ644" s="1607"/>
      <c r="AK644" s="1607"/>
      <c r="AL644" s="1607"/>
      <c r="AM644" s="1607"/>
      <c r="AN644" s="1607"/>
      <c r="AO644" s="1607"/>
      <c r="AP644" s="1607"/>
      <c r="AQ644" s="1607"/>
      <c r="AR644" s="1607"/>
      <c r="AS644" s="1607"/>
      <c r="AT644" s="1607"/>
      <c r="AU644" s="1607"/>
      <c r="AV644" s="1607"/>
      <c r="AW644" s="1607"/>
      <c r="AX644" s="1607"/>
      <c r="AY644" s="1607"/>
      <c r="AZ644" s="1607"/>
      <c r="BA644" s="1607"/>
      <c r="BB644" s="1607"/>
      <c r="BC644" s="1607"/>
      <c r="BD644" s="1607"/>
      <c r="BE644" s="1607"/>
      <c r="BF644" s="1607"/>
      <c r="BG644" s="1607"/>
      <c r="BH644" s="1607"/>
      <c r="BI644" s="1607"/>
      <c r="BJ644" s="1607"/>
      <c r="BK644" s="1607"/>
      <c r="BL644" s="1607"/>
    </row>
    <row r="645">
      <c r="A645" s="1607"/>
      <c r="B645" s="1607"/>
      <c r="C645" s="1607"/>
      <c r="D645" s="1607"/>
      <c r="E645" s="1607"/>
      <c r="F645" s="1607"/>
      <c r="G645" s="1607"/>
      <c r="H645" s="1607"/>
      <c r="I645" s="1607"/>
      <c r="J645" s="1607"/>
      <c r="K645" s="1607"/>
      <c r="L645" s="1607"/>
      <c r="M645" s="1607"/>
      <c r="N645" s="1607"/>
      <c r="O645" s="1607"/>
      <c r="P645" s="1607"/>
      <c r="Q645" s="1607"/>
      <c r="R645" s="1607"/>
      <c r="S645" s="1607"/>
      <c r="T645" s="1607"/>
      <c r="U645" s="1607"/>
      <c r="V645" s="1607"/>
      <c r="W645" s="1607"/>
      <c r="X645" s="1607"/>
      <c r="Y645" s="1607"/>
      <c r="Z645" s="1607"/>
      <c r="AA645" s="1607"/>
      <c r="AB645" s="1607"/>
      <c r="AC645" s="1607"/>
      <c r="AD645" s="1607"/>
      <c r="AE645" s="1607"/>
      <c r="AF645" s="1607"/>
      <c r="AG645" s="1607"/>
      <c r="AH645" s="1607"/>
      <c r="AI645" s="1607"/>
      <c r="AJ645" s="1607"/>
      <c r="AK645" s="1607"/>
      <c r="AL645" s="1607"/>
      <c r="AM645" s="1607"/>
      <c r="AN645" s="1607"/>
      <c r="AO645" s="1607"/>
      <c r="AP645" s="1607"/>
      <c r="AQ645" s="1607"/>
      <c r="AR645" s="1607"/>
      <c r="AS645" s="1607"/>
      <c r="AT645" s="1607"/>
      <c r="AU645" s="1607"/>
      <c r="AV645" s="1607"/>
      <c r="AW645" s="1607"/>
      <c r="AX645" s="1607"/>
      <c r="AY645" s="1607"/>
      <c r="AZ645" s="1607"/>
      <c r="BA645" s="1607"/>
      <c r="BB645" s="1607"/>
      <c r="BC645" s="1607"/>
      <c r="BD645" s="1607"/>
      <c r="BE645" s="1607"/>
      <c r="BF645" s="1607"/>
      <c r="BG645" s="1607"/>
      <c r="BH645" s="1607"/>
      <c r="BI645" s="1607"/>
      <c r="BJ645" s="1607"/>
      <c r="BK645" s="1607"/>
      <c r="BL645" s="1607"/>
    </row>
    <row r="646">
      <c r="A646" s="1607"/>
      <c r="B646" s="1607"/>
      <c r="C646" s="1607"/>
      <c r="D646" s="1607"/>
      <c r="E646" s="1607"/>
      <c r="F646" s="1607"/>
      <c r="G646" s="1607"/>
      <c r="H646" s="1607"/>
      <c r="I646" s="1607"/>
      <c r="J646" s="1607"/>
      <c r="K646" s="1607"/>
      <c r="L646" s="1607"/>
      <c r="M646" s="1607"/>
      <c r="N646" s="1607"/>
      <c r="O646" s="1607"/>
      <c r="P646" s="1607"/>
      <c r="Q646" s="1607"/>
      <c r="R646" s="1607"/>
      <c r="S646" s="1607"/>
      <c r="T646" s="1607"/>
      <c r="U646" s="1607"/>
      <c r="V646" s="1607"/>
      <c r="W646" s="1607"/>
      <c r="X646" s="1607"/>
      <c r="Y646" s="1607"/>
      <c r="Z646" s="1607"/>
      <c r="AA646" s="1607"/>
      <c r="AB646" s="1607"/>
      <c r="AC646" s="1607"/>
      <c r="AD646" s="1607"/>
      <c r="AE646" s="1607"/>
      <c r="AF646" s="1607"/>
      <c r="AG646" s="1607"/>
      <c r="AH646" s="1607"/>
      <c r="AI646" s="1607"/>
      <c r="AJ646" s="1607"/>
      <c r="AK646" s="1607"/>
      <c r="AL646" s="1607"/>
      <c r="AM646" s="1607"/>
      <c r="AN646" s="1607"/>
      <c r="AO646" s="1607"/>
      <c r="AP646" s="1607"/>
      <c r="AQ646" s="1607"/>
      <c r="AR646" s="1607"/>
      <c r="AS646" s="1607"/>
      <c r="AT646" s="1607"/>
      <c r="AU646" s="1607"/>
      <c r="AV646" s="1607"/>
      <c r="AW646" s="1607"/>
      <c r="AX646" s="1607"/>
      <c r="AY646" s="1607"/>
      <c r="AZ646" s="1607"/>
      <c r="BA646" s="1607"/>
      <c r="BB646" s="1607"/>
      <c r="BC646" s="1607"/>
      <c r="BD646" s="1607"/>
      <c r="BE646" s="1607"/>
      <c r="BF646" s="1607"/>
      <c r="BG646" s="1607"/>
      <c r="BH646" s="1607"/>
      <c r="BI646" s="1607"/>
      <c r="BJ646" s="1607"/>
      <c r="BK646" s="1607"/>
      <c r="BL646" s="1607"/>
    </row>
    <row r="647">
      <c r="A647" s="1607"/>
      <c r="B647" s="1607"/>
      <c r="C647" s="1607"/>
      <c r="D647" s="1607"/>
      <c r="E647" s="1607"/>
      <c r="F647" s="1607"/>
      <c r="G647" s="1607"/>
      <c r="H647" s="1607"/>
      <c r="I647" s="1607"/>
      <c r="J647" s="1607"/>
      <c r="K647" s="1607"/>
      <c r="L647" s="1607"/>
      <c r="M647" s="1607"/>
      <c r="N647" s="1607"/>
      <c r="O647" s="1607"/>
      <c r="P647" s="1607"/>
      <c r="Q647" s="1607"/>
      <c r="R647" s="1607"/>
      <c r="S647" s="1607"/>
      <c r="T647" s="1607"/>
      <c r="U647" s="1607"/>
      <c r="V647" s="1607"/>
      <c r="W647" s="1607"/>
      <c r="X647" s="1607"/>
      <c r="Y647" s="1607"/>
      <c r="Z647" s="1607"/>
      <c r="AA647" s="1607"/>
      <c r="AB647" s="1607"/>
      <c r="AC647" s="1607"/>
      <c r="AD647" s="1607"/>
      <c r="AE647" s="1607"/>
      <c r="AF647" s="1607"/>
      <c r="AG647" s="1607"/>
      <c r="AH647" s="1607"/>
      <c r="AI647" s="1607"/>
      <c r="AJ647" s="1607"/>
      <c r="AK647" s="1607"/>
      <c r="AL647" s="1607"/>
      <c r="AM647" s="1607"/>
      <c r="AN647" s="1607"/>
      <c r="AO647" s="1607"/>
      <c r="AP647" s="1607"/>
      <c r="AQ647" s="1607"/>
      <c r="AR647" s="1607"/>
      <c r="AS647" s="1607"/>
      <c r="AT647" s="1607"/>
      <c r="AU647" s="1607"/>
      <c r="AV647" s="1607"/>
      <c r="AW647" s="1607"/>
      <c r="AX647" s="1607"/>
      <c r="AY647" s="1607"/>
      <c r="AZ647" s="1607"/>
      <c r="BA647" s="1607"/>
      <c r="BB647" s="1607"/>
      <c r="BC647" s="1607"/>
      <c r="BD647" s="1607"/>
      <c r="BE647" s="1607"/>
      <c r="BF647" s="1607"/>
      <c r="BG647" s="1607"/>
      <c r="BH647" s="1607"/>
      <c r="BI647" s="1607"/>
      <c r="BJ647" s="1607"/>
      <c r="BK647" s="1607"/>
      <c r="BL647" s="1607"/>
    </row>
    <row r="648">
      <c r="A648" s="1607"/>
      <c r="B648" s="1607"/>
      <c r="C648" s="1607"/>
      <c r="D648" s="1607"/>
      <c r="E648" s="1607"/>
      <c r="F648" s="1607"/>
      <c r="G648" s="1607"/>
      <c r="H648" s="1607"/>
      <c r="I648" s="1607"/>
      <c r="J648" s="1607"/>
      <c r="K648" s="1607"/>
      <c r="L648" s="1607"/>
      <c r="M648" s="1607"/>
      <c r="N648" s="1607"/>
      <c r="O648" s="1607"/>
      <c r="P648" s="1607"/>
      <c r="Q648" s="1607"/>
      <c r="R648" s="1607"/>
      <c r="S648" s="1607"/>
      <c r="T648" s="1607"/>
      <c r="U648" s="1607"/>
      <c r="V648" s="1607"/>
      <c r="W648" s="1607"/>
      <c r="X648" s="1607"/>
      <c r="Y648" s="1607"/>
      <c r="Z648" s="1607"/>
      <c r="AA648" s="1607"/>
      <c r="AB648" s="1607"/>
      <c r="AC648" s="1607"/>
      <c r="AD648" s="1607"/>
      <c r="AE648" s="1607"/>
      <c r="AF648" s="1607"/>
      <c r="AG648" s="1607"/>
      <c r="AH648" s="1607"/>
      <c r="AI648" s="1607"/>
      <c r="AJ648" s="1607"/>
      <c r="AK648" s="1607"/>
      <c r="AL648" s="1607"/>
      <c r="AM648" s="1607"/>
      <c r="AN648" s="1607"/>
      <c r="AO648" s="1607"/>
      <c r="AP648" s="1607"/>
      <c r="AQ648" s="1607"/>
      <c r="AR648" s="1607"/>
      <c r="AS648" s="1607"/>
      <c r="AT648" s="1607"/>
      <c r="AU648" s="1607"/>
      <c r="AV648" s="1607"/>
      <c r="AW648" s="1607"/>
      <c r="AX648" s="1607"/>
      <c r="AY648" s="1607"/>
      <c r="AZ648" s="1607"/>
      <c r="BA648" s="1607"/>
      <c r="BB648" s="1607"/>
      <c r="BC648" s="1607"/>
      <c r="BD648" s="1607"/>
      <c r="BE648" s="1607"/>
      <c r="BF648" s="1607"/>
      <c r="BG648" s="1607"/>
      <c r="BH648" s="1607"/>
      <c r="BI648" s="1607"/>
      <c r="BJ648" s="1607"/>
      <c r="BK648" s="1607"/>
      <c r="BL648" s="1607"/>
    </row>
    <row r="649">
      <c r="A649" s="1607"/>
      <c r="B649" s="1607"/>
      <c r="C649" s="1607"/>
      <c r="D649" s="1607"/>
      <c r="E649" s="1607"/>
      <c r="F649" s="1607"/>
      <c r="G649" s="1607"/>
      <c r="H649" s="1607"/>
      <c r="I649" s="1607"/>
      <c r="J649" s="1607"/>
      <c r="K649" s="1607"/>
      <c r="L649" s="1607"/>
      <c r="M649" s="1607"/>
      <c r="N649" s="1607"/>
      <c r="O649" s="1607"/>
      <c r="P649" s="1607"/>
      <c r="Q649" s="1607"/>
      <c r="R649" s="1607"/>
      <c r="S649" s="1607"/>
      <c r="T649" s="1607"/>
      <c r="U649" s="1607"/>
      <c r="V649" s="1607"/>
      <c r="W649" s="1607"/>
      <c r="X649" s="1607"/>
      <c r="Y649" s="1607"/>
      <c r="Z649" s="1607"/>
      <c r="AA649" s="1607"/>
      <c r="AB649" s="1607"/>
      <c r="AC649" s="1607"/>
      <c r="AD649" s="1607"/>
      <c r="AE649" s="1607"/>
      <c r="AF649" s="1607"/>
      <c r="AG649" s="1607"/>
      <c r="AH649" s="1607"/>
      <c r="AI649" s="1607"/>
      <c r="AJ649" s="1607"/>
      <c r="AK649" s="1607"/>
      <c r="AL649" s="1607"/>
      <c r="AM649" s="1607"/>
      <c r="AN649" s="1607"/>
      <c r="AO649" s="1607"/>
      <c r="AP649" s="1607"/>
      <c r="AQ649" s="1607"/>
      <c r="AR649" s="1607"/>
      <c r="AS649" s="1607"/>
      <c r="AT649" s="1607"/>
      <c r="AU649" s="1607"/>
      <c r="AV649" s="1607"/>
      <c r="AW649" s="1607"/>
      <c r="AX649" s="1607"/>
      <c r="AY649" s="1607"/>
      <c r="AZ649" s="1607"/>
      <c r="BA649" s="1607"/>
      <c r="BB649" s="1607"/>
      <c r="BC649" s="1607"/>
      <c r="BD649" s="1607"/>
      <c r="BE649" s="1607"/>
      <c r="BF649" s="1607"/>
      <c r="BG649" s="1607"/>
      <c r="BH649" s="1607"/>
      <c r="BI649" s="1607"/>
      <c r="BJ649" s="1607"/>
      <c r="BK649" s="1607"/>
      <c r="BL649" s="1607"/>
    </row>
    <row r="650">
      <c r="A650" s="1607"/>
      <c r="B650" s="1607"/>
      <c r="C650" s="1607"/>
      <c r="D650" s="1607"/>
      <c r="E650" s="1607"/>
      <c r="F650" s="1607"/>
      <c r="G650" s="1607"/>
      <c r="H650" s="1607"/>
      <c r="I650" s="1607"/>
      <c r="J650" s="1607"/>
      <c r="K650" s="1607"/>
      <c r="L650" s="1607"/>
      <c r="M650" s="1607"/>
      <c r="N650" s="1607"/>
      <c r="O650" s="1607"/>
      <c r="P650" s="1607"/>
      <c r="Q650" s="1607"/>
      <c r="R650" s="1607"/>
      <c r="S650" s="1607"/>
      <c r="T650" s="1607"/>
      <c r="U650" s="1607"/>
      <c r="V650" s="1607"/>
      <c r="W650" s="1607"/>
      <c r="X650" s="1607"/>
      <c r="Y650" s="1607"/>
      <c r="Z650" s="1607"/>
      <c r="AA650" s="1607"/>
      <c r="AB650" s="1607"/>
      <c r="AC650" s="1607"/>
      <c r="AD650" s="1607"/>
      <c r="AE650" s="1607"/>
      <c r="AF650" s="1607"/>
      <c r="AG650" s="1607"/>
      <c r="AH650" s="1607"/>
      <c r="AI650" s="1607"/>
      <c r="AJ650" s="1607"/>
      <c r="AK650" s="1607"/>
      <c r="AL650" s="1607"/>
      <c r="AM650" s="1607"/>
      <c r="AN650" s="1607"/>
      <c r="AO650" s="1607"/>
      <c r="AP650" s="1607"/>
      <c r="AQ650" s="1607"/>
      <c r="AR650" s="1607"/>
      <c r="AS650" s="1607"/>
      <c r="AT650" s="1607"/>
      <c r="AU650" s="1607"/>
      <c r="AV650" s="1607"/>
      <c r="AW650" s="1607"/>
      <c r="AX650" s="1607"/>
      <c r="AY650" s="1607"/>
      <c r="AZ650" s="1607"/>
      <c r="BA650" s="1607"/>
      <c r="BB650" s="1607"/>
      <c r="BC650" s="1607"/>
      <c r="BD650" s="1607"/>
      <c r="BE650" s="1607"/>
      <c r="BF650" s="1607"/>
      <c r="BG650" s="1607"/>
      <c r="BH650" s="1607"/>
      <c r="BI650" s="1607"/>
      <c r="BJ650" s="1607"/>
      <c r="BK650" s="1607"/>
      <c r="BL650" s="1607"/>
    </row>
    <row r="651">
      <c r="A651" s="1607"/>
      <c r="B651" s="1607"/>
      <c r="C651" s="1607"/>
      <c r="D651" s="1607"/>
      <c r="E651" s="1607"/>
      <c r="F651" s="1607"/>
      <c r="G651" s="1607"/>
      <c r="H651" s="1607"/>
      <c r="I651" s="1607"/>
      <c r="J651" s="1607"/>
      <c r="K651" s="1607"/>
      <c r="L651" s="1607"/>
      <c r="M651" s="1607"/>
      <c r="N651" s="1607"/>
      <c r="O651" s="1607"/>
      <c r="P651" s="1607"/>
      <c r="Q651" s="1607"/>
      <c r="R651" s="1607"/>
      <c r="S651" s="1607"/>
      <c r="T651" s="1607"/>
      <c r="U651" s="1607"/>
      <c r="V651" s="1607"/>
      <c r="W651" s="1607"/>
      <c r="X651" s="1607"/>
      <c r="Y651" s="1607"/>
      <c r="Z651" s="1607"/>
      <c r="AA651" s="1607"/>
      <c r="AB651" s="1607"/>
      <c r="AC651" s="1607"/>
      <c r="AD651" s="1607"/>
      <c r="AE651" s="1607"/>
      <c r="AF651" s="1607"/>
      <c r="AG651" s="1607"/>
      <c r="AH651" s="1607"/>
      <c r="AI651" s="1607"/>
      <c r="AJ651" s="1607"/>
      <c r="AK651" s="1607"/>
      <c r="AL651" s="1607"/>
      <c r="AM651" s="1607"/>
      <c r="AN651" s="1607"/>
      <c r="AO651" s="1607"/>
      <c r="AP651" s="1607"/>
      <c r="AQ651" s="1607"/>
      <c r="AR651" s="1607"/>
      <c r="AS651" s="1607"/>
      <c r="AT651" s="1607"/>
      <c r="AU651" s="1607"/>
      <c r="AV651" s="1607"/>
      <c r="AW651" s="1607"/>
      <c r="AX651" s="1607"/>
      <c r="AY651" s="1607"/>
      <c r="AZ651" s="1607"/>
      <c r="BA651" s="1607"/>
      <c r="BB651" s="1607"/>
      <c r="BC651" s="1607"/>
      <c r="BD651" s="1607"/>
      <c r="BE651" s="1607"/>
      <c r="BF651" s="1607"/>
      <c r="BG651" s="1607"/>
      <c r="BH651" s="1607"/>
      <c r="BI651" s="1607"/>
      <c r="BJ651" s="1607"/>
      <c r="BK651" s="1607"/>
      <c r="BL651" s="1607"/>
    </row>
    <row r="652">
      <c r="A652" s="1607"/>
      <c r="B652" s="1607"/>
      <c r="C652" s="1607"/>
      <c r="D652" s="1607"/>
      <c r="E652" s="1607"/>
      <c r="F652" s="1607"/>
      <c r="G652" s="1607"/>
      <c r="H652" s="1607"/>
      <c r="I652" s="1607"/>
      <c r="J652" s="1607"/>
      <c r="K652" s="1607"/>
      <c r="L652" s="1607"/>
      <c r="M652" s="1607"/>
      <c r="N652" s="1607"/>
      <c r="O652" s="1607"/>
      <c r="P652" s="1607"/>
      <c r="Q652" s="1607"/>
      <c r="R652" s="1607"/>
      <c r="S652" s="1607"/>
      <c r="T652" s="1607"/>
      <c r="U652" s="1607"/>
      <c r="V652" s="1607"/>
      <c r="W652" s="1607"/>
      <c r="X652" s="1607"/>
      <c r="Y652" s="1607"/>
      <c r="Z652" s="1607"/>
      <c r="AA652" s="1607"/>
      <c r="AB652" s="1607"/>
      <c r="AC652" s="1607"/>
      <c r="AD652" s="1607"/>
      <c r="AE652" s="1607"/>
      <c r="AF652" s="1607"/>
      <c r="AG652" s="1607"/>
      <c r="AH652" s="1607"/>
      <c r="AI652" s="1607"/>
      <c r="AJ652" s="1607"/>
      <c r="AK652" s="1607"/>
      <c r="AL652" s="1607"/>
      <c r="AM652" s="1607"/>
      <c r="AN652" s="1607"/>
      <c r="AO652" s="1607"/>
      <c r="AP652" s="1607"/>
      <c r="AQ652" s="1607"/>
      <c r="AR652" s="1607"/>
      <c r="AS652" s="1607"/>
      <c r="AT652" s="1607"/>
      <c r="AU652" s="1607"/>
      <c r="AV652" s="1607"/>
      <c r="AW652" s="1607"/>
      <c r="AX652" s="1607"/>
      <c r="AY652" s="1607"/>
      <c r="AZ652" s="1607"/>
      <c r="BA652" s="1607"/>
      <c r="BB652" s="1607"/>
      <c r="BC652" s="1607"/>
      <c r="BD652" s="1607"/>
      <c r="BE652" s="1607"/>
      <c r="BF652" s="1607"/>
      <c r="BG652" s="1607"/>
      <c r="BH652" s="1607"/>
      <c r="BI652" s="1607"/>
      <c r="BJ652" s="1607"/>
      <c r="BK652" s="1607"/>
      <c r="BL652" s="1607"/>
    </row>
    <row r="653">
      <c r="A653" s="1607"/>
      <c r="B653" s="1607"/>
      <c r="C653" s="1607"/>
      <c r="D653" s="1607"/>
      <c r="E653" s="1607"/>
      <c r="F653" s="1607"/>
      <c r="G653" s="1607"/>
      <c r="H653" s="1607"/>
      <c r="I653" s="1607"/>
      <c r="J653" s="1607"/>
      <c r="K653" s="1607"/>
      <c r="L653" s="1607"/>
      <c r="M653" s="1607"/>
      <c r="N653" s="1607"/>
      <c r="O653" s="1607"/>
      <c r="P653" s="1607"/>
      <c r="Q653" s="1607"/>
      <c r="R653" s="1607"/>
      <c r="S653" s="1607"/>
      <c r="T653" s="1607"/>
      <c r="U653" s="1607"/>
      <c r="V653" s="1607"/>
      <c r="W653" s="1607"/>
      <c r="X653" s="1607"/>
      <c r="Y653" s="1607"/>
      <c r="Z653" s="1607"/>
      <c r="AA653" s="1607"/>
      <c r="AB653" s="1607"/>
      <c r="AC653" s="1607"/>
      <c r="AD653" s="1607"/>
      <c r="AE653" s="1607"/>
      <c r="AF653" s="1607"/>
      <c r="AG653" s="1607"/>
      <c r="AH653" s="1607"/>
      <c r="AI653" s="1607"/>
      <c r="AJ653" s="1607"/>
      <c r="AK653" s="1607"/>
      <c r="AL653" s="1607"/>
      <c r="AM653" s="1607"/>
      <c r="AN653" s="1607"/>
      <c r="AO653" s="1607"/>
      <c r="AP653" s="1607"/>
      <c r="AQ653" s="1607"/>
      <c r="AR653" s="1607"/>
      <c r="AS653" s="1607"/>
      <c r="AT653" s="1607"/>
      <c r="AU653" s="1607"/>
      <c r="AV653" s="1607"/>
      <c r="AW653" s="1607"/>
      <c r="AX653" s="1607"/>
      <c r="AY653" s="1607"/>
      <c r="AZ653" s="1607"/>
      <c r="BA653" s="1607"/>
      <c r="BB653" s="1607"/>
      <c r="BC653" s="1607"/>
      <c r="BD653" s="1607"/>
      <c r="BE653" s="1607"/>
      <c r="BF653" s="1607"/>
      <c r="BG653" s="1607"/>
      <c r="BH653" s="1607"/>
      <c r="BI653" s="1607"/>
      <c r="BJ653" s="1607"/>
      <c r="BK653" s="1607"/>
      <c r="BL653" s="1607"/>
    </row>
    <row r="654">
      <c r="A654" s="1607"/>
      <c r="B654" s="1607"/>
      <c r="C654" s="1607"/>
      <c r="D654" s="1607"/>
      <c r="E654" s="1607"/>
      <c r="F654" s="1607"/>
      <c r="G654" s="1607"/>
      <c r="H654" s="1607"/>
      <c r="I654" s="1607"/>
      <c r="J654" s="1607"/>
      <c r="K654" s="1607"/>
      <c r="L654" s="1607"/>
      <c r="M654" s="1607"/>
      <c r="N654" s="1607"/>
      <c r="O654" s="1607"/>
      <c r="P654" s="1607"/>
      <c r="Q654" s="1607"/>
      <c r="R654" s="1607"/>
      <c r="S654" s="1607"/>
      <c r="T654" s="1607"/>
      <c r="U654" s="1607"/>
      <c r="V654" s="1607"/>
      <c r="W654" s="1607"/>
      <c r="X654" s="1607"/>
      <c r="Y654" s="1607"/>
      <c r="Z654" s="1607"/>
      <c r="AA654" s="1607"/>
      <c r="AB654" s="1607"/>
      <c r="AC654" s="1607"/>
      <c r="AD654" s="1607"/>
      <c r="AE654" s="1607"/>
      <c r="AF654" s="1607"/>
      <c r="AG654" s="1607"/>
      <c r="AH654" s="1607"/>
      <c r="AI654" s="1607"/>
      <c r="AJ654" s="1607"/>
      <c r="AK654" s="1607"/>
      <c r="AL654" s="1607"/>
      <c r="AM654" s="1607"/>
      <c r="AN654" s="1607"/>
      <c r="AO654" s="1607"/>
      <c r="AP654" s="1607"/>
      <c r="AQ654" s="1607"/>
      <c r="AR654" s="1607"/>
      <c r="AS654" s="1607"/>
      <c r="AT654" s="1607"/>
      <c r="AU654" s="1607"/>
      <c r="AV654" s="1607"/>
      <c r="AW654" s="1607"/>
      <c r="AX654" s="1607"/>
      <c r="AY654" s="1607"/>
      <c r="AZ654" s="1607"/>
      <c r="BA654" s="1607"/>
      <c r="BB654" s="1607"/>
      <c r="BC654" s="1607"/>
      <c r="BD654" s="1607"/>
      <c r="BE654" s="1607"/>
      <c r="BF654" s="1607"/>
      <c r="BG654" s="1607"/>
      <c r="BH654" s="1607"/>
      <c r="BI654" s="1607"/>
      <c r="BJ654" s="1607"/>
      <c r="BK654" s="1607"/>
      <c r="BL654" s="1607"/>
    </row>
    <row r="655">
      <c r="A655" s="1607"/>
      <c r="B655" s="1607"/>
      <c r="C655" s="1607"/>
      <c r="D655" s="1607"/>
      <c r="E655" s="1607"/>
      <c r="F655" s="1607"/>
      <c r="G655" s="1607"/>
      <c r="H655" s="1607"/>
      <c r="I655" s="1607"/>
      <c r="J655" s="1607"/>
      <c r="K655" s="1607"/>
      <c r="L655" s="1607"/>
      <c r="M655" s="1607"/>
      <c r="N655" s="1607"/>
      <c r="O655" s="1607"/>
      <c r="P655" s="1607"/>
      <c r="Q655" s="1607"/>
      <c r="R655" s="1607"/>
      <c r="S655" s="1607"/>
      <c r="T655" s="1607"/>
      <c r="U655" s="1607"/>
      <c r="V655" s="1607"/>
      <c r="W655" s="1607"/>
      <c r="X655" s="1607"/>
      <c r="Y655" s="1607"/>
      <c r="Z655" s="1607"/>
      <c r="AA655" s="1607"/>
      <c r="AB655" s="1607"/>
      <c r="AC655" s="1607"/>
      <c r="AD655" s="1607"/>
      <c r="AE655" s="1607"/>
      <c r="AF655" s="1607"/>
      <c r="AG655" s="1607"/>
      <c r="AH655" s="1607"/>
      <c r="AI655" s="1607"/>
      <c r="AJ655" s="1607"/>
      <c r="AK655" s="1607"/>
      <c r="AL655" s="1607"/>
      <c r="AM655" s="1607"/>
      <c r="AN655" s="1607"/>
      <c r="AO655" s="1607"/>
      <c r="AP655" s="1607"/>
      <c r="AQ655" s="1607"/>
      <c r="AR655" s="1607"/>
      <c r="AS655" s="1607"/>
      <c r="AT655" s="1607"/>
      <c r="AU655" s="1607"/>
      <c r="AV655" s="1607"/>
      <c r="AW655" s="1607"/>
      <c r="AX655" s="1607"/>
      <c r="AY655" s="1607"/>
      <c r="AZ655" s="1607"/>
      <c r="BA655" s="1607"/>
      <c r="BB655" s="1607"/>
      <c r="BC655" s="1607"/>
      <c r="BD655" s="1607"/>
      <c r="BE655" s="1607"/>
      <c r="BF655" s="1607"/>
      <c r="BG655" s="1607"/>
      <c r="BH655" s="1607"/>
      <c r="BI655" s="1607"/>
      <c r="BJ655" s="1607"/>
      <c r="BK655" s="1607"/>
      <c r="BL655" s="1607"/>
    </row>
    <row r="656">
      <c r="A656" s="1607"/>
      <c r="B656" s="1607"/>
      <c r="C656" s="1607"/>
      <c r="D656" s="1607"/>
      <c r="E656" s="1607"/>
      <c r="F656" s="1607"/>
      <c r="G656" s="1607"/>
      <c r="H656" s="1607"/>
      <c r="I656" s="1607"/>
      <c r="J656" s="1607"/>
      <c r="K656" s="1607"/>
      <c r="L656" s="1607"/>
      <c r="M656" s="1607"/>
      <c r="N656" s="1607"/>
      <c r="O656" s="1607"/>
      <c r="P656" s="1607"/>
      <c r="Q656" s="1607"/>
      <c r="R656" s="1607"/>
      <c r="S656" s="1607"/>
      <c r="T656" s="1607"/>
      <c r="U656" s="1607"/>
      <c r="V656" s="1607"/>
      <c r="W656" s="1607"/>
      <c r="X656" s="1607"/>
      <c r="Y656" s="1607"/>
      <c r="Z656" s="1607"/>
      <c r="AA656" s="1607"/>
      <c r="AB656" s="1607"/>
      <c r="AC656" s="1607"/>
      <c r="AD656" s="1607"/>
      <c r="AE656" s="1607"/>
      <c r="AF656" s="1607"/>
      <c r="AG656" s="1607"/>
      <c r="AH656" s="1607"/>
      <c r="AI656" s="1607"/>
      <c r="AJ656" s="1607"/>
      <c r="AK656" s="1607"/>
      <c r="AL656" s="1607"/>
      <c r="AM656" s="1607"/>
      <c r="AN656" s="1607"/>
      <c r="AO656" s="1607"/>
      <c r="AP656" s="1607"/>
      <c r="AQ656" s="1607"/>
      <c r="AR656" s="1607"/>
      <c r="AS656" s="1607"/>
      <c r="AT656" s="1607"/>
      <c r="AU656" s="1607"/>
      <c r="AV656" s="1607"/>
      <c r="AW656" s="1607"/>
      <c r="AX656" s="1607"/>
      <c r="AY656" s="1607"/>
      <c r="AZ656" s="1607"/>
      <c r="BA656" s="1607"/>
      <c r="BB656" s="1607"/>
      <c r="BC656" s="1607"/>
      <c r="BD656" s="1607"/>
      <c r="BE656" s="1607"/>
      <c r="BF656" s="1607"/>
      <c r="BG656" s="1607"/>
      <c r="BH656" s="1607"/>
      <c r="BI656" s="1607"/>
      <c r="BJ656" s="1607"/>
      <c r="BK656" s="1607"/>
      <c r="BL656" s="1607"/>
    </row>
    <row r="657">
      <c r="A657" s="1607"/>
      <c r="B657" s="1607"/>
      <c r="C657" s="1607"/>
      <c r="D657" s="1607"/>
      <c r="E657" s="1607"/>
      <c r="F657" s="1607"/>
      <c r="G657" s="1607"/>
      <c r="H657" s="1607"/>
      <c r="I657" s="1607"/>
      <c r="J657" s="1607"/>
      <c r="K657" s="1607"/>
      <c r="L657" s="1607"/>
      <c r="M657" s="1607"/>
      <c r="N657" s="1607"/>
      <c r="O657" s="1607"/>
      <c r="P657" s="1607"/>
      <c r="Q657" s="1607"/>
      <c r="R657" s="1607"/>
      <c r="S657" s="1607"/>
      <c r="T657" s="1607"/>
      <c r="U657" s="1607"/>
      <c r="V657" s="1607"/>
      <c r="W657" s="1607"/>
      <c r="X657" s="1607"/>
      <c r="Y657" s="1607"/>
      <c r="Z657" s="1607"/>
      <c r="AA657" s="1607"/>
      <c r="AB657" s="1607"/>
      <c r="AC657" s="1607"/>
      <c r="AD657" s="1607"/>
      <c r="AE657" s="1607"/>
      <c r="AF657" s="1607"/>
      <c r="AG657" s="1607"/>
      <c r="AH657" s="1607"/>
      <c r="AI657" s="1607"/>
      <c r="AJ657" s="1607"/>
      <c r="AK657" s="1607"/>
      <c r="AL657" s="1607"/>
      <c r="AM657" s="1607"/>
      <c r="AN657" s="1607"/>
      <c r="AO657" s="1607"/>
      <c r="AP657" s="1607"/>
      <c r="AQ657" s="1607"/>
      <c r="AR657" s="1607"/>
      <c r="AS657" s="1607"/>
      <c r="AT657" s="1607"/>
      <c r="AU657" s="1607"/>
      <c r="AV657" s="1607"/>
      <c r="AW657" s="1607"/>
      <c r="AX657" s="1607"/>
      <c r="AY657" s="1607"/>
      <c r="AZ657" s="1607"/>
      <c r="BA657" s="1607"/>
      <c r="BB657" s="1607"/>
      <c r="BC657" s="1607"/>
      <c r="BD657" s="1607"/>
      <c r="BE657" s="1607"/>
      <c r="BF657" s="1607"/>
      <c r="BG657" s="1607"/>
      <c r="BH657" s="1607"/>
      <c r="BI657" s="1607"/>
      <c r="BJ657" s="1607"/>
      <c r="BK657" s="1607"/>
      <c r="BL657" s="1607"/>
    </row>
    <row r="658">
      <c r="A658" s="1607"/>
      <c r="B658" s="1607"/>
      <c r="C658" s="1607"/>
      <c r="D658" s="1607"/>
      <c r="E658" s="1607"/>
      <c r="F658" s="1607"/>
      <c r="G658" s="1607"/>
      <c r="H658" s="1607"/>
      <c r="I658" s="1607"/>
      <c r="J658" s="1607"/>
      <c r="K658" s="1607"/>
      <c r="L658" s="1607"/>
      <c r="M658" s="1607"/>
      <c r="N658" s="1607"/>
      <c r="O658" s="1607"/>
      <c r="P658" s="1607"/>
      <c r="Q658" s="1607"/>
      <c r="R658" s="1607"/>
      <c r="S658" s="1607"/>
      <c r="T658" s="1607"/>
      <c r="U658" s="1607"/>
      <c r="V658" s="1607"/>
      <c r="W658" s="1607"/>
      <c r="X658" s="1607"/>
      <c r="Y658" s="1607"/>
      <c r="Z658" s="1607"/>
      <c r="AA658" s="1607"/>
      <c r="AB658" s="1607"/>
      <c r="AC658" s="1607"/>
      <c r="AD658" s="1607"/>
      <c r="AE658" s="1607"/>
      <c r="AF658" s="1607"/>
      <c r="AG658" s="1607"/>
      <c r="AH658" s="1607"/>
      <c r="AI658" s="1607"/>
      <c r="AJ658" s="1607"/>
      <c r="AK658" s="1607"/>
      <c r="AL658" s="1607"/>
      <c r="AM658" s="1607"/>
      <c r="AN658" s="1607"/>
      <c r="AO658" s="1607"/>
      <c r="AP658" s="1607"/>
      <c r="AQ658" s="1607"/>
      <c r="AR658" s="1607"/>
      <c r="AS658" s="1607"/>
      <c r="AT658" s="1607"/>
      <c r="AU658" s="1607"/>
      <c r="AV658" s="1607"/>
      <c r="AW658" s="1607"/>
      <c r="AX658" s="1607"/>
      <c r="AY658" s="1607"/>
      <c r="AZ658" s="1607"/>
      <c r="BA658" s="1607"/>
      <c r="BB658" s="1607"/>
      <c r="BC658" s="1607"/>
      <c r="BD658" s="1607"/>
      <c r="BE658" s="1607"/>
      <c r="BF658" s="1607"/>
      <c r="BG658" s="1607"/>
      <c r="BH658" s="1607"/>
      <c r="BI658" s="1607"/>
      <c r="BJ658" s="1607"/>
      <c r="BK658" s="1607"/>
      <c r="BL658" s="1607"/>
    </row>
    <row r="659">
      <c r="A659" s="1607"/>
      <c r="B659" s="1607"/>
      <c r="C659" s="1607"/>
      <c r="D659" s="1607"/>
      <c r="E659" s="1607"/>
      <c r="F659" s="1607"/>
      <c r="G659" s="1607"/>
      <c r="H659" s="1607"/>
      <c r="I659" s="1607"/>
      <c r="J659" s="1607"/>
      <c r="K659" s="1607"/>
      <c r="L659" s="1607"/>
      <c r="M659" s="1607"/>
      <c r="N659" s="1607"/>
      <c r="O659" s="1607"/>
      <c r="P659" s="1607"/>
      <c r="Q659" s="1607"/>
      <c r="R659" s="1607"/>
      <c r="S659" s="1607"/>
      <c r="T659" s="1607"/>
      <c r="U659" s="1607"/>
      <c r="V659" s="1607"/>
      <c r="W659" s="1607"/>
      <c r="X659" s="1607"/>
      <c r="Y659" s="1607"/>
      <c r="Z659" s="1607"/>
      <c r="AA659" s="1607"/>
      <c r="AB659" s="1607"/>
      <c r="AC659" s="1607"/>
      <c r="AD659" s="1607"/>
      <c r="AE659" s="1607"/>
      <c r="AF659" s="1607"/>
      <c r="AG659" s="1607"/>
      <c r="AH659" s="1607"/>
      <c r="AI659" s="1607"/>
      <c r="AJ659" s="1607"/>
      <c r="AK659" s="1607"/>
      <c r="AL659" s="1607"/>
      <c r="AM659" s="1607"/>
      <c r="AN659" s="1607"/>
      <c r="AO659" s="1607"/>
      <c r="AP659" s="1607"/>
      <c r="AQ659" s="1607"/>
      <c r="AR659" s="1607"/>
      <c r="AS659" s="1607"/>
      <c r="AT659" s="1607"/>
      <c r="AU659" s="1607"/>
      <c r="AV659" s="1607"/>
      <c r="AW659" s="1607"/>
      <c r="AX659" s="1607"/>
      <c r="AY659" s="1607"/>
      <c r="AZ659" s="1607"/>
      <c r="BA659" s="1607"/>
      <c r="BB659" s="1607"/>
      <c r="BC659" s="1607"/>
      <c r="BD659" s="1607"/>
      <c r="BE659" s="1607"/>
      <c r="BF659" s="1607"/>
      <c r="BG659" s="1607"/>
      <c r="BH659" s="1607"/>
      <c r="BI659" s="1607"/>
      <c r="BJ659" s="1607"/>
      <c r="BK659" s="1607"/>
      <c r="BL659" s="1607"/>
    </row>
    <row r="660">
      <c r="A660" s="1607"/>
      <c r="B660" s="1607"/>
      <c r="C660" s="1607"/>
      <c r="D660" s="1607"/>
      <c r="E660" s="1607"/>
      <c r="F660" s="1607"/>
      <c r="G660" s="1607"/>
      <c r="H660" s="1607"/>
      <c r="I660" s="1607"/>
      <c r="J660" s="1607"/>
      <c r="K660" s="1607"/>
      <c r="L660" s="1607"/>
      <c r="M660" s="1607"/>
      <c r="N660" s="1607"/>
      <c r="O660" s="1607"/>
      <c r="P660" s="1607"/>
      <c r="Q660" s="1607"/>
      <c r="R660" s="1607"/>
      <c r="S660" s="1607"/>
      <c r="T660" s="1607"/>
      <c r="U660" s="1607"/>
      <c r="V660" s="1607"/>
      <c r="W660" s="1607"/>
      <c r="X660" s="1607"/>
      <c r="Y660" s="1607"/>
      <c r="Z660" s="1607"/>
      <c r="AA660" s="1607"/>
      <c r="AB660" s="1607"/>
      <c r="AC660" s="1607"/>
      <c r="AD660" s="1607"/>
      <c r="AE660" s="1607"/>
      <c r="AF660" s="1607"/>
      <c r="AG660" s="1607"/>
      <c r="AH660" s="1607"/>
      <c r="AI660" s="1607"/>
      <c r="AJ660" s="1607"/>
      <c r="AK660" s="1607"/>
      <c r="AL660" s="1607"/>
      <c r="AM660" s="1607"/>
      <c r="AN660" s="1607"/>
      <c r="AO660" s="1607"/>
      <c r="AP660" s="1607"/>
      <c r="AQ660" s="1607"/>
      <c r="AR660" s="1607"/>
      <c r="AS660" s="1607"/>
      <c r="AT660" s="1607"/>
      <c r="AU660" s="1607"/>
      <c r="AV660" s="1607"/>
      <c r="AW660" s="1607"/>
      <c r="AX660" s="1607"/>
      <c r="AY660" s="1607"/>
      <c r="AZ660" s="1607"/>
      <c r="BA660" s="1607"/>
      <c r="BB660" s="1607"/>
      <c r="BC660" s="1607"/>
      <c r="BD660" s="1607"/>
      <c r="BE660" s="1607"/>
      <c r="BF660" s="1607"/>
      <c r="BG660" s="1607"/>
      <c r="BH660" s="1607"/>
      <c r="BI660" s="1607"/>
      <c r="BJ660" s="1607"/>
      <c r="BK660" s="1607"/>
      <c r="BL660" s="1607"/>
    </row>
    <row r="661">
      <c r="A661" s="1607"/>
      <c r="B661" s="1607"/>
      <c r="C661" s="1607"/>
      <c r="D661" s="1607"/>
      <c r="E661" s="1607"/>
      <c r="F661" s="1607"/>
      <c r="G661" s="1607"/>
      <c r="H661" s="1607"/>
      <c r="I661" s="1607"/>
      <c r="J661" s="1607"/>
      <c r="K661" s="1607"/>
      <c r="L661" s="1607"/>
      <c r="M661" s="1607"/>
      <c r="N661" s="1607"/>
      <c r="O661" s="1607"/>
      <c r="P661" s="1607"/>
      <c r="Q661" s="1607"/>
      <c r="R661" s="1607"/>
      <c r="S661" s="1607"/>
      <c r="T661" s="1607"/>
      <c r="U661" s="1607"/>
      <c r="V661" s="1607"/>
      <c r="W661" s="1607"/>
      <c r="X661" s="1607"/>
      <c r="Y661" s="1607"/>
      <c r="Z661" s="1607"/>
      <c r="AA661" s="1607"/>
      <c r="AB661" s="1607"/>
      <c r="AC661" s="1607"/>
      <c r="AD661" s="1607"/>
      <c r="AE661" s="1607"/>
      <c r="AF661" s="1607"/>
      <c r="AG661" s="1607"/>
      <c r="AH661" s="1607"/>
      <c r="AI661" s="1607"/>
      <c r="AJ661" s="1607"/>
      <c r="AK661" s="1607"/>
      <c r="AL661" s="1607"/>
      <c r="AM661" s="1607"/>
      <c r="AN661" s="1607"/>
      <c r="AO661" s="1607"/>
      <c r="AP661" s="1607"/>
      <c r="AQ661" s="1607"/>
      <c r="AR661" s="1607"/>
      <c r="AS661" s="1607"/>
      <c r="AT661" s="1607"/>
      <c r="AU661" s="1607"/>
      <c r="AV661" s="1607"/>
      <c r="AW661" s="1607"/>
      <c r="AX661" s="1607"/>
      <c r="AY661" s="1607"/>
      <c r="AZ661" s="1607"/>
      <c r="BA661" s="1607"/>
      <c r="BB661" s="1607"/>
      <c r="BC661" s="1607"/>
      <c r="BD661" s="1607"/>
      <c r="BE661" s="1607"/>
      <c r="BF661" s="1607"/>
      <c r="BG661" s="1607"/>
      <c r="BH661" s="1607"/>
      <c r="BI661" s="1607"/>
      <c r="BJ661" s="1607"/>
      <c r="BK661" s="1607"/>
      <c r="BL661" s="1607"/>
    </row>
    <row r="662">
      <c r="A662" s="1607"/>
      <c r="B662" s="1607"/>
      <c r="C662" s="1607"/>
      <c r="D662" s="1607"/>
      <c r="E662" s="1607"/>
      <c r="F662" s="1607"/>
      <c r="G662" s="1607"/>
      <c r="H662" s="1607"/>
      <c r="I662" s="1607"/>
      <c r="J662" s="1607"/>
      <c r="K662" s="1607"/>
      <c r="L662" s="1607"/>
      <c r="M662" s="1607"/>
      <c r="N662" s="1607"/>
      <c r="O662" s="1607"/>
      <c r="P662" s="1607"/>
      <c r="Q662" s="1607"/>
      <c r="R662" s="1607"/>
      <c r="S662" s="1607"/>
      <c r="T662" s="1607"/>
      <c r="U662" s="1607"/>
      <c r="V662" s="1607"/>
      <c r="W662" s="1607"/>
      <c r="X662" s="1607"/>
      <c r="Y662" s="1607"/>
      <c r="Z662" s="1607"/>
      <c r="AA662" s="1607"/>
      <c r="AB662" s="1607"/>
      <c r="AC662" s="1607"/>
      <c r="AD662" s="1607"/>
      <c r="AE662" s="1607"/>
      <c r="AF662" s="1607"/>
      <c r="AG662" s="1607"/>
      <c r="AH662" s="1607"/>
      <c r="AI662" s="1607"/>
      <c r="AJ662" s="1607"/>
      <c r="AK662" s="1607"/>
      <c r="AL662" s="1607"/>
      <c r="AM662" s="1607"/>
      <c r="AN662" s="1607"/>
      <c r="AO662" s="1607"/>
      <c r="AP662" s="1607"/>
      <c r="AQ662" s="1607"/>
      <c r="AR662" s="1607"/>
      <c r="AS662" s="1607"/>
      <c r="AT662" s="1607"/>
      <c r="AU662" s="1607"/>
      <c r="AV662" s="1607"/>
      <c r="AW662" s="1607"/>
      <c r="AX662" s="1607"/>
      <c r="AY662" s="1607"/>
      <c r="AZ662" s="1607"/>
      <c r="BA662" s="1607"/>
      <c r="BB662" s="1607"/>
      <c r="BC662" s="1607"/>
      <c r="BD662" s="1607"/>
      <c r="BE662" s="1607"/>
      <c r="BF662" s="1607"/>
      <c r="BG662" s="1607"/>
      <c r="BH662" s="1607"/>
      <c r="BI662" s="1607"/>
      <c r="BJ662" s="1607"/>
      <c r="BK662" s="1607"/>
      <c r="BL662" s="1607"/>
    </row>
    <row r="663">
      <c r="A663" s="1607"/>
      <c r="B663" s="1607"/>
      <c r="C663" s="1607"/>
      <c r="D663" s="1607"/>
      <c r="E663" s="1607"/>
      <c r="F663" s="1607"/>
      <c r="G663" s="1607"/>
      <c r="H663" s="1607"/>
      <c r="I663" s="1607"/>
      <c r="J663" s="1607"/>
      <c r="K663" s="1607"/>
      <c r="L663" s="1607"/>
      <c r="M663" s="1607"/>
      <c r="N663" s="1607"/>
      <c r="O663" s="1607"/>
      <c r="P663" s="1607"/>
      <c r="Q663" s="1607"/>
      <c r="R663" s="1607"/>
      <c r="S663" s="1607"/>
      <c r="T663" s="1607"/>
      <c r="U663" s="1607"/>
      <c r="V663" s="1607"/>
      <c r="W663" s="1607"/>
      <c r="X663" s="1607"/>
      <c r="Y663" s="1607"/>
      <c r="Z663" s="1607"/>
      <c r="AA663" s="1607"/>
      <c r="AB663" s="1607"/>
      <c r="AC663" s="1607"/>
      <c r="AD663" s="1607"/>
      <c r="AE663" s="1607"/>
      <c r="AF663" s="1607"/>
      <c r="AG663" s="1607"/>
      <c r="AH663" s="1607"/>
      <c r="AI663" s="1607"/>
      <c r="AJ663" s="1607"/>
      <c r="AK663" s="1607"/>
      <c r="AL663" s="1607"/>
      <c r="AM663" s="1607"/>
      <c r="AN663" s="1607"/>
      <c r="AO663" s="1607"/>
      <c r="AP663" s="1607"/>
      <c r="AQ663" s="1607"/>
      <c r="AR663" s="1607"/>
      <c r="AS663" s="1607"/>
      <c r="AT663" s="1607"/>
      <c r="AU663" s="1607"/>
      <c r="AV663" s="1607"/>
      <c r="AW663" s="1607"/>
      <c r="AX663" s="1607"/>
      <c r="AY663" s="1607"/>
      <c r="AZ663" s="1607"/>
      <c r="BA663" s="1607"/>
      <c r="BB663" s="1607"/>
      <c r="BC663" s="1607"/>
      <c r="BD663" s="1607"/>
      <c r="BE663" s="1607"/>
      <c r="BF663" s="1607"/>
      <c r="BG663" s="1607"/>
      <c r="BH663" s="1607"/>
      <c r="BI663" s="1607"/>
      <c r="BJ663" s="1607"/>
      <c r="BK663" s="1607"/>
      <c r="BL663" s="1607"/>
    </row>
    <row r="664">
      <c r="A664" s="1607"/>
      <c r="B664" s="1607"/>
      <c r="C664" s="1607"/>
      <c r="D664" s="1607"/>
      <c r="E664" s="1607"/>
      <c r="F664" s="1607"/>
      <c r="G664" s="1607"/>
      <c r="H664" s="1607"/>
      <c r="I664" s="1607"/>
      <c r="J664" s="1607"/>
      <c r="K664" s="1607"/>
      <c r="L664" s="1607"/>
      <c r="M664" s="1607"/>
      <c r="N664" s="1607"/>
      <c r="O664" s="1607"/>
      <c r="P664" s="1607"/>
      <c r="Q664" s="1607"/>
      <c r="R664" s="1607"/>
      <c r="S664" s="1607"/>
      <c r="T664" s="1607"/>
      <c r="U664" s="1607"/>
      <c r="V664" s="1607"/>
      <c r="W664" s="1607"/>
      <c r="X664" s="1607"/>
      <c r="Y664" s="1607"/>
      <c r="Z664" s="1607"/>
      <c r="AA664" s="1607"/>
      <c r="AB664" s="1607"/>
      <c r="AC664" s="1607"/>
      <c r="AD664" s="1607"/>
      <c r="AE664" s="1607"/>
      <c r="AF664" s="1607"/>
      <c r="AG664" s="1607"/>
      <c r="AH664" s="1607"/>
      <c r="AI664" s="1607"/>
      <c r="AJ664" s="1607"/>
      <c r="AK664" s="1607"/>
      <c r="AL664" s="1607"/>
      <c r="AM664" s="1607"/>
      <c r="AN664" s="1607"/>
      <c r="AO664" s="1607"/>
      <c r="AP664" s="1607"/>
      <c r="AQ664" s="1607"/>
      <c r="AR664" s="1607"/>
      <c r="AS664" s="1607"/>
      <c r="AT664" s="1607"/>
      <c r="AU664" s="1607"/>
      <c r="AV664" s="1607"/>
      <c r="AW664" s="1607"/>
      <c r="AX664" s="1607"/>
      <c r="AY664" s="1607"/>
      <c r="AZ664" s="1607"/>
      <c r="BA664" s="1607"/>
      <c r="BB664" s="1607"/>
      <c r="BC664" s="1607"/>
      <c r="BD664" s="1607"/>
      <c r="BE664" s="1607"/>
      <c r="BF664" s="1607"/>
      <c r="BG664" s="1607"/>
      <c r="BH664" s="1607"/>
      <c r="BI664" s="1607"/>
      <c r="BJ664" s="1607"/>
      <c r="BK664" s="1607"/>
      <c r="BL664" s="1607"/>
    </row>
    <row r="665">
      <c r="A665" s="1607"/>
      <c r="B665" s="1607"/>
      <c r="C665" s="1607"/>
      <c r="D665" s="1607"/>
      <c r="E665" s="1607"/>
      <c r="F665" s="1607"/>
      <c r="G665" s="1607"/>
      <c r="H665" s="1607"/>
      <c r="I665" s="1607"/>
      <c r="J665" s="1607"/>
      <c r="K665" s="1607"/>
      <c r="L665" s="1607"/>
      <c r="M665" s="1607"/>
      <c r="N665" s="1607"/>
      <c r="O665" s="1607"/>
      <c r="P665" s="1607"/>
      <c r="Q665" s="1607"/>
      <c r="R665" s="1607"/>
      <c r="S665" s="1607"/>
      <c r="T665" s="1607"/>
      <c r="U665" s="1607"/>
      <c r="V665" s="1607"/>
      <c r="W665" s="1607"/>
      <c r="X665" s="1607"/>
      <c r="Y665" s="1607"/>
      <c r="Z665" s="1607"/>
      <c r="AA665" s="1607"/>
      <c r="AB665" s="1607"/>
      <c r="AC665" s="1607"/>
      <c r="AD665" s="1607"/>
      <c r="AE665" s="1607"/>
      <c r="AF665" s="1607"/>
      <c r="AG665" s="1607"/>
      <c r="AH665" s="1607"/>
      <c r="AI665" s="1607"/>
      <c r="AJ665" s="1607"/>
      <c r="AK665" s="1607"/>
      <c r="AL665" s="1607"/>
      <c r="AM665" s="1607"/>
      <c r="AN665" s="1607"/>
      <c r="AO665" s="1607"/>
      <c r="AP665" s="1607"/>
      <c r="AQ665" s="1607"/>
      <c r="AR665" s="1607"/>
      <c r="AS665" s="1607"/>
      <c r="AT665" s="1607"/>
      <c r="AU665" s="1607"/>
      <c r="AV665" s="1607"/>
      <c r="AW665" s="1607"/>
      <c r="AX665" s="1607"/>
      <c r="AY665" s="1607"/>
      <c r="AZ665" s="1607"/>
      <c r="BA665" s="1607"/>
      <c r="BB665" s="1607"/>
      <c r="BC665" s="1607"/>
      <c r="BD665" s="1607"/>
      <c r="BE665" s="1607"/>
      <c r="BF665" s="1607"/>
      <c r="BG665" s="1607"/>
      <c r="BH665" s="1607"/>
      <c r="BI665" s="1607"/>
      <c r="BJ665" s="1607"/>
      <c r="BK665" s="1607"/>
      <c r="BL665" s="1607"/>
    </row>
    <row r="666">
      <c r="A666" s="1607"/>
      <c r="B666" s="1607"/>
      <c r="C666" s="1607"/>
      <c r="D666" s="1607"/>
      <c r="E666" s="1607"/>
      <c r="F666" s="1607"/>
      <c r="G666" s="1607"/>
      <c r="H666" s="1607"/>
      <c r="I666" s="1607"/>
      <c r="J666" s="1607"/>
      <c r="K666" s="1607"/>
      <c r="L666" s="1607"/>
      <c r="M666" s="1607"/>
      <c r="N666" s="1607"/>
      <c r="O666" s="1607"/>
      <c r="P666" s="1607"/>
      <c r="Q666" s="1607"/>
      <c r="R666" s="1607"/>
      <c r="S666" s="1607"/>
      <c r="T666" s="1607"/>
      <c r="U666" s="1607"/>
      <c r="V666" s="1607"/>
      <c r="W666" s="1607"/>
      <c r="X666" s="1607"/>
      <c r="Y666" s="1607"/>
      <c r="Z666" s="1607"/>
      <c r="AA666" s="1607"/>
      <c r="AB666" s="1607"/>
      <c r="AC666" s="1607"/>
      <c r="AD666" s="1607"/>
      <c r="AE666" s="1607"/>
      <c r="AF666" s="1607"/>
      <c r="AG666" s="1607"/>
      <c r="AH666" s="1607"/>
      <c r="AI666" s="1607"/>
      <c r="AJ666" s="1607"/>
      <c r="AK666" s="1607"/>
      <c r="AL666" s="1607"/>
      <c r="AM666" s="1607"/>
      <c r="AN666" s="1607"/>
      <c r="AO666" s="1607"/>
      <c r="AP666" s="1607"/>
      <c r="AQ666" s="1607"/>
      <c r="AR666" s="1607"/>
      <c r="AS666" s="1607"/>
      <c r="AT666" s="1607"/>
      <c r="AU666" s="1607"/>
      <c r="AV666" s="1607"/>
      <c r="AW666" s="1607"/>
      <c r="AX666" s="1607"/>
      <c r="AY666" s="1607"/>
      <c r="AZ666" s="1607"/>
      <c r="BA666" s="1607"/>
      <c r="BB666" s="1607"/>
      <c r="BC666" s="1607"/>
      <c r="BD666" s="1607"/>
      <c r="BE666" s="1607"/>
      <c r="BF666" s="1607"/>
      <c r="BG666" s="1607"/>
      <c r="BH666" s="1607"/>
      <c r="BI666" s="1607"/>
      <c r="BJ666" s="1607"/>
      <c r="BK666" s="1607"/>
      <c r="BL666" s="1607"/>
    </row>
    <row r="667">
      <c r="A667" s="1607"/>
      <c r="B667" s="1607"/>
      <c r="C667" s="1607"/>
      <c r="D667" s="1607"/>
      <c r="E667" s="1607"/>
      <c r="F667" s="1607"/>
      <c r="G667" s="1607"/>
      <c r="H667" s="1607"/>
      <c r="I667" s="1607"/>
      <c r="J667" s="1607"/>
      <c r="K667" s="1607"/>
      <c r="L667" s="1607"/>
      <c r="M667" s="1607"/>
      <c r="N667" s="1607"/>
      <c r="O667" s="1607"/>
      <c r="P667" s="1607"/>
      <c r="Q667" s="1607"/>
      <c r="R667" s="1607"/>
      <c r="S667" s="1607"/>
      <c r="T667" s="1607"/>
      <c r="U667" s="1607"/>
      <c r="V667" s="1607"/>
      <c r="W667" s="1607"/>
      <c r="X667" s="1607"/>
      <c r="Y667" s="1607"/>
      <c r="Z667" s="1607"/>
      <c r="AA667" s="1607"/>
      <c r="AB667" s="1607"/>
      <c r="AC667" s="1607"/>
      <c r="AD667" s="1607"/>
      <c r="AE667" s="1607"/>
      <c r="AF667" s="1607"/>
      <c r="AG667" s="1607"/>
      <c r="AH667" s="1607"/>
      <c r="AI667" s="1607"/>
      <c r="AJ667" s="1607"/>
      <c r="AK667" s="1607"/>
      <c r="AL667" s="1607"/>
      <c r="AM667" s="1607"/>
      <c r="AN667" s="1607"/>
      <c r="AO667" s="1607"/>
      <c r="AP667" s="1607"/>
      <c r="AQ667" s="1607"/>
      <c r="AR667" s="1607"/>
      <c r="AS667" s="1607"/>
      <c r="AT667" s="1607"/>
      <c r="AU667" s="1607"/>
      <c r="AV667" s="1607"/>
      <c r="AW667" s="1607"/>
      <c r="AX667" s="1607"/>
      <c r="AY667" s="1607"/>
      <c r="AZ667" s="1607"/>
      <c r="BA667" s="1607"/>
      <c r="BB667" s="1607"/>
      <c r="BC667" s="1607"/>
      <c r="BD667" s="1607"/>
      <c r="BE667" s="1607"/>
      <c r="BF667" s="1607"/>
      <c r="BG667" s="1607"/>
      <c r="BH667" s="1607"/>
      <c r="BI667" s="1607"/>
      <c r="BJ667" s="1607"/>
      <c r="BK667" s="1607"/>
      <c r="BL667" s="1607"/>
    </row>
    <row r="668">
      <c r="A668" s="1607"/>
      <c r="B668" s="1607"/>
      <c r="C668" s="1607"/>
      <c r="D668" s="1607"/>
      <c r="E668" s="1607"/>
      <c r="F668" s="1607"/>
      <c r="G668" s="1607"/>
      <c r="H668" s="1607"/>
      <c r="I668" s="1607"/>
      <c r="J668" s="1607"/>
      <c r="K668" s="1607"/>
      <c r="L668" s="1607"/>
      <c r="M668" s="1607"/>
      <c r="N668" s="1607"/>
      <c r="O668" s="1607"/>
      <c r="P668" s="1607"/>
      <c r="Q668" s="1607"/>
      <c r="R668" s="1607"/>
      <c r="S668" s="1607"/>
      <c r="T668" s="1607"/>
      <c r="U668" s="1607"/>
      <c r="V668" s="1607"/>
      <c r="W668" s="1607"/>
      <c r="X668" s="1607"/>
      <c r="Y668" s="1607"/>
      <c r="Z668" s="1607"/>
      <c r="AA668" s="1607"/>
      <c r="AB668" s="1607"/>
      <c r="AC668" s="1607"/>
      <c r="AD668" s="1607"/>
      <c r="AE668" s="1607"/>
      <c r="AF668" s="1607"/>
      <c r="AG668" s="1607"/>
      <c r="AH668" s="1607"/>
      <c r="AI668" s="1607"/>
      <c r="AJ668" s="1607"/>
      <c r="AK668" s="1607"/>
      <c r="AL668" s="1607"/>
      <c r="AM668" s="1607"/>
      <c r="AN668" s="1607"/>
      <c r="AO668" s="1607"/>
      <c r="AP668" s="1607"/>
      <c r="AQ668" s="1607"/>
      <c r="AR668" s="1607"/>
      <c r="AS668" s="1607"/>
      <c r="AT668" s="1607"/>
      <c r="AU668" s="1607"/>
      <c r="AV668" s="1607"/>
      <c r="AW668" s="1607"/>
      <c r="AX668" s="1607"/>
      <c r="AY668" s="1607"/>
      <c r="AZ668" s="1607"/>
      <c r="BA668" s="1607"/>
      <c r="BB668" s="1607"/>
      <c r="BC668" s="1607"/>
      <c r="BD668" s="1607"/>
      <c r="BE668" s="1607"/>
      <c r="BF668" s="1607"/>
      <c r="BG668" s="1607"/>
      <c r="BH668" s="1607"/>
      <c r="BI668" s="1607"/>
      <c r="BJ668" s="1607"/>
      <c r="BK668" s="1607"/>
      <c r="BL668" s="1607"/>
    </row>
    <row r="669">
      <c r="A669" s="1607"/>
      <c r="B669" s="1607"/>
      <c r="C669" s="1607"/>
      <c r="D669" s="1607"/>
      <c r="E669" s="1607"/>
      <c r="F669" s="1607"/>
      <c r="G669" s="1607"/>
      <c r="H669" s="1607"/>
      <c r="I669" s="1607"/>
      <c r="J669" s="1607"/>
      <c r="K669" s="1607"/>
      <c r="L669" s="1607"/>
      <c r="M669" s="1607"/>
      <c r="N669" s="1607"/>
      <c r="O669" s="1607"/>
      <c r="P669" s="1607"/>
      <c r="Q669" s="1607"/>
      <c r="R669" s="1607"/>
      <c r="S669" s="1607"/>
      <c r="T669" s="1607"/>
      <c r="U669" s="1607"/>
      <c r="V669" s="1607"/>
      <c r="W669" s="1607"/>
      <c r="X669" s="1607"/>
      <c r="Y669" s="1607"/>
      <c r="Z669" s="1607"/>
      <c r="AA669" s="1607"/>
      <c r="AB669" s="1607"/>
      <c r="AC669" s="1607"/>
      <c r="AD669" s="1607"/>
      <c r="AE669" s="1607"/>
      <c r="AF669" s="1607"/>
      <c r="AG669" s="1607"/>
      <c r="AH669" s="1607"/>
      <c r="AI669" s="1607"/>
      <c r="AJ669" s="1607"/>
      <c r="AK669" s="1607"/>
      <c r="AL669" s="1607"/>
      <c r="AM669" s="1607"/>
      <c r="AN669" s="1607"/>
      <c r="AO669" s="1607"/>
      <c r="AP669" s="1607"/>
      <c r="AQ669" s="1607"/>
      <c r="AR669" s="1607"/>
      <c r="AS669" s="1607"/>
      <c r="AT669" s="1607"/>
      <c r="AU669" s="1607"/>
      <c r="AV669" s="1607"/>
      <c r="AW669" s="1607"/>
      <c r="AX669" s="1607"/>
      <c r="AY669" s="1607"/>
      <c r="AZ669" s="1607"/>
      <c r="BA669" s="1607"/>
      <c r="BB669" s="1607"/>
      <c r="BC669" s="1607"/>
      <c r="BD669" s="1607"/>
      <c r="BE669" s="1607"/>
      <c r="BF669" s="1607"/>
      <c r="BG669" s="1607"/>
      <c r="BH669" s="1607"/>
      <c r="BI669" s="1607"/>
      <c r="BJ669" s="1607"/>
      <c r="BK669" s="1607"/>
      <c r="BL669" s="1607"/>
    </row>
    <row r="670">
      <c r="A670" s="1607"/>
      <c r="B670" s="1607"/>
      <c r="C670" s="1607"/>
      <c r="D670" s="1607"/>
      <c r="E670" s="1607"/>
      <c r="F670" s="1607"/>
      <c r="G670" s="1607"/>
      <c r="H670" s="1607"/>
      <c r="I670" s="1607"/>
      <c r="J670" s="1607"/>
      <c r="K670" s="1607"/>
      <c r="L670" s="1607"/>
      <c r="M670" s="1607"/>
      <c r="N670" s="1607"/>
      <c r="O670" s="1607"/>
      <c r="P670" s="1607"/>
      <c r="Q670" s="1607"/>
      <c r="R670" s="1607"/>
      <c r="S670" s="1607"/>
      <c r="T670" s="1607"/>
      <c r="U670" s="1607"/>
      <c r="V670" s="1607"/>
      <c r="W670" s="1607"/>
      <c r="X670" s="1607"/>
      <c r="Y670" s="1607"/>
      <c r="Z670" s="1607"/>
      <c r="AA670" s="1607"/>
      <c r="AB670" s="1607"/>
      <c r="AC670" s="1607"/>
      <c r="AD670" s="1607"/>
      <c r="AE670" s="1607"/>
      <c r="AF670" s="1607"/>
      <c r="AG670" s="1607"/>
      <c r="AH670" s="1607"/>
      <c r="AI670" s="1607"/>
      <c r="AJ670" s="1607"/>
      <c r="AK670" s="1607"/>
      <c r="AL670" s="1607"/>
      <c r="AM670" s="1607"/>
      <c r="AN670" s="1607"/>
      <c r="AO670" s="1607"/>
      <c r="AP670" s="1607"/>
      <c r="AQ670" s="1607"/>
      <c r="AR670" s="1607"/>
      <c r="AS670" s="1607"/>
      <c r="AT670" s="1607"/>
      <c r="AU670" s="1607"/>
      <c r="AV670" s="1607"/>
      <c r="AW670" s="1607"/>
      <c r="AX670" s="1607"/>
      <c r="AY670" s="1607"/>
      <c r="AZ670" s="1607"/>
      <c r="BA670" s="1607"/>
      <c r="BB670" s="1607"/>
      <c r="BC670" s="1607"/>
      <c r="BD670" s="1607"/>
      <c r="BE670" s="1607"/>
      <c r="BF670" s="1607"/>
      <c r="BG670" s="1607"/>
      <c r="BH670" s="1607"/>
      <c r="BI670" s="1607"/>
      <c r="BJ670" s="1607"/>
      <c r="BK670" s="1607"/>
      <c r="BL670" s="1607"/>
    </row>
    <row r="671">
      <c r="A671" s="1607"/>
      <c r="B671" s="1607"/>
      <c r="C671" s="1607"/>
      <c r="D671" s="1607"/>
      <c r="E671" s="1607"/>
      <c r="F671" s="1607"/>
      <c r="G671" s="1607"/>
      <c r="H671" s="1607"/>
      <c r="I671" s="1607"/>
      <c r="J671" s="1607"/>
      <c r="K671" s="1607"/>
      <c r="L671" s="1607"/>
      <c r="M671" s="1607"/>
      <c r="N671" s="1607"/>
      <c r="O671" s="1607"/>
      <c r="P671" s="1607"/>
      <c r="Q671" s="1607"/>
      <c r="R671" s="1607"/>
      <c r="S671" s="1607"/>
      <c r="T671" s="1607"/>
      <c r="U671" s="1607"/>
      <c r="V671" s="1607"/>
      <c r="W671" s="1607"/>
      <c r="X671" s="1607"/>
      <c r="Y671" s="1607"/>
      <c r="Z671" s="1607"/>
      <c r="AA671" s="1607"/>
      <c r="AB671" s="1607"/>
      <c r="AC671" s="1607"/>
      <c r="AD671" s="1607"/>
      <c r="AE671" s="1607"/>
      <c r="AF671" s="1607"/>
      <c r="AG671" s="1607"/>
      <c r="AH671" s="1607"/>
      <c r="AI671" s="1607"/>
      <c r="AJ671" s="1607"/>
      <c r="AK671" s="1607"/>
      <c r="AL671" s="1607"/>
      <c r="AM671" s="1607"/>
      <c r="AN671" s="1607"/>
      <c r="AO671" s="1607"/>
      <c r="AP671" s="1607"/>
      <c r="AQ671" s="1607"/>
      <c r="AR671" s="1607"/>
      <c r="AS671" s="1607"/>
      <c r="AT671" s="1607"/>
      <c r="AU671" s="1607"/>
      <c r="AV671" s="1607"/>
      <c r="AW671" s="1607"/>
      <c r="AX671" s="1607"/>
      <c r="AY671" s="1607"/>
      <c r="AZ671" s="1607"/>
      <c r="BA671" s="1607"/>
      <c r="BB671" s="1607"/>
      <c r="BC671" s="1607"/>
      <c r="BD671" s="1607"/>
      <c r="BE671" s="1607"/>
      <c r="BF671" s="1607"/>
      <c r="BG671" s="1607"/>
      <c r="BH671" s="1607"/>
      <c r="BI671" s="1607"/>
      <c r="BJ671" s="1607"/>
      <c r="BK671" s="1607"/>
      <c r="BL671" s="1607"/>
    </row>
    <row r="672">
      <c r="A672" s="1607"/>
      <c r="B672" s="1607"/>
      <c r="C672" s="1607"/>
      <c r="D672" s="1607"/>
      <c r="E672" s="1607"/>
      <c r="F672" s="1607"/>
      <c r="G672" s="1607"/>
      <c r="H672" s="1607"/>
      <c r="I672" s="1607"/>
      <c r="J672" s="1607"/>
      <c r="K672" s="1607"/>
      <c r="L672" s="1607"/>
      <c r="M672" s="1607"/>
      <c r="N672" s="1607"/>
      <c r="O672" s="1607"/>
      <c r="P672" s="1607"/>
      <c r="Q672" s="1607"/>
      <c r="R672" s="1607"/>
      <c r="S672" s="1607"/>
      <c r="T672" s="1607"/>
      <c r="U672" s="1607"/>
      <c r="V672" s="1607"/>
      <c r="W672" s="1607"/>
      <c r="X672" s="1607"/>
      <c r="Y672" s="1607"/>
      <c r="Z672" s="1607"/>
      <c r="AA672" s="1607"/>
      <c r="AB672" s="1607"/>
      <c r="AC672" s="1607"/>
      <c r="AD672" s="1607"/>
      <c r="AE672" s="1607"/>
      <c r="AF672" s="1607"/>
      <c r="AG672" s="1607"/>
      <c r="AH672" s="1607"/>
      <c r="AI672" s="1607"/>
      <c r="AJ672" s="1607"/>
      <c r="AK672" s="1607"/>
      <c r="AL672" s="1607"/>
      <c r="AM672" s="1607"/>
      <c r="AN672" s="1607"/>
      <c r="AO672" s="1607"/>
      <c r="AP672" s="1607"/>
      <c r="AQ672" s="1607"/>
      <c r="AR672" s="1607"/>
      <c r="AS672" s="1607"/>
      <c r="AT672" s="1607"/>
      <c r="AU672" s="1607"/>
      <c r="AV672" s="1607"/>
      <c r="AW672" s="1607"/>
      <c r="AX672" s="1607"/>
      <c r="AY672" s="1607"/>
      <c r="AZ672" s="1607"/>
      <c r="BA672" s="1607"/>
      <c r="BB672" s="1607"/>
      <c r="BC672" s="1607"/>
      <c r="BD672" s="1607"/>
      <c r="BE672" s="1607"/>
      <c r="BF672" s="1607"/>
      <c r="BG672" s="1607"/>
      <c r="BH672" s="1607"/>
      <c r="BI672" s="1607"/>
      <c r="BJ672" s="1607"/>
      <c r="BK672" s="1607"/>
      <c r="BL672" s="1607"/>
    </row>
    <row r="673">
      <c r="A673" s="1607"/>
      <c r="B673" s="1607"/>
      <c r="C673" s="1607"/>
      <c r="D673" s="1607"/>
      <c r="E673" s="1607"/>
      <c r="F673" s="1607"/>
      <c r="G673" s="1607"/>
      <c r="H673" s="1607"/>
      <c r="I673" s="1607"/>
      <c r="J673" s="1607"/>
      <c r="K673" s="1607"/>
      <c r="L673" s="1607"/>
      <c r="M673" s="1607"/>
      <c r="N673" s="1607"/>
      <c r="O673" s="1607"/>
      <c r="P673" s="1607"/>
      <c r="Q673" s="1607"/>
      <c r="R673" s="1607"/>
      <c r="S673" s="1607"/>
      <c r="T673" s="1607"/>
      <c r="U673" s="1607"/>
      <c r="V673" s="1607"/>
      <c r="W673" s="1607"/>
      <c r="X673" s="1607"/>
      <c r="Y673" s="1607"/>
      <c r="Z673" s="1607"/>
      <c r="AA673" s="1607"/>
      <c r="AB673" s="1607"/>
      <c r="AC673" s="1607"/>
      <c r="AD673" s="1607"/>
      <c r="AE673" s="1607"/>
      <c r="AF673" s="1607"/>
      <c r="AG673" s="1607"/>
      <c r="AH673" s="1607"/>
      <c r="AI673" s="1607"/>
      <c r="AJ673" s="1607"/>
      <c r="AK673" s="1607"/>
      <c r="AL673" s="1607"/>
      <c r="AM673" s="1607"/>
      <c r="AN673" s="1607"/>
      <c r="AO673" s="1607"/>
      <c r="AP673" s="1607"/>
      <c r="AQ673" s="1607"/>
      <c r="AR673" s="1607"/>
      <c r="AS673" s="1607"/>
      <c r="AT673" s="1607"/>
      <c r="AU673" s="1607"/>
      <c r="AV673" s="1607"/>
      <c r="AW673" s="1607"/>
      <c r="AX673" s="1607"/>
      <c r="AY673" s="1607"/>
      <c r="AZ673" s="1607"/>
      <c r="BA673" s="1607"/>
      <c r="BB673" s="1607"/>
      <c r="BC673" s="1607"/>
      <c r="BD673" s="1607"/>
      <c r="BE673" s="1607"/>
      <c r="BF673" s="1607"/>
      <c r="BG673" s="1607"/>
      <c r="BH673" s="1607"/>
      <c r="BI673" s="1607"/>
      <c r="BJ673" s="1607"/>
      <c r="BK673" s="1607"/>
      <c r="BL673" s="1607"/>
    </row>
    <row r="674">
      <c r="A674" s="1607"/>
      <c r="B674" s="1607"/>
      <c r="C674" s="1607"/>
      <c r="D674" s="1607"/>
      <c r="E674" s="1607"/>
      <c r="F674" s="1607"/>
      <c r="G674" s="1607"/>
      <c r="H674" s="1607"/>
      <c r="I674" s="1607"/>
      <c r="J674" s="1607"/>
      <c r="K674" s="1607"/>
      <c r="L674" s="1607"/>
      <c r="M674" s="1607"/>
      <c r="N674" s="1607"/>
      <c r="O674" s="1607"/>
      <c r="P674" s="1607"/>
      <c r="Q674" s="1607"/>
      <c r="R674" s="1607"/>
      <c r="S674" s="1607"/>
      <c r="T674" s="1607"/>
      <c r="U674" s="1607"/>
      <c r="V674" s="1607"/>
      <c r="W674" s="1607"/>
      <c r="X674" s="1607"/>
      <c r="Y674" s="1607"/>
      <c r="Z674" s="1607"/>
      <c r="AA674" s="1607"/>
      <c r="AB674" s="1607"/>
      <c r="AC674" s="1607"/>
      <c r="AD674" s="1607"/>
      <c r="AE674" s="1607"/>
      <c r="AF674" s="1607"/>
      <c r="AG674" s="1607"/>
      <c r="AH674" s="1607"/>
      <c r="AI674" s="1607"/>
      <c r="AJ674" s="1607"/>
      <c r="AK674" s="1607"/>
      <c r="AL674" s="1607"/>
      <c r="AM674" s="1607"/>
      <c r="AN674" s="1607"/>
      <c r="AO674" s="1607"/>
      <c r="AP674" s="1607"/>
      <c r="AQ674" s="1607"/>
      <c r="AR674" s="1607"/>
      <c r="AS674" s="1607"/>
      <c r="AT674" s="1607"/>
      <c r="AU674" s="1607"/>
      <c r="AV674" s="1607"/>
      <c r="AW674" s="1607"/>
      <c r="AX674" s="1607"/>
      <c r="AY674" s="1607"/>
      <c r="AZ674" s="1607"/>
      <c r="BA674" s="1607"/>
      <c r="BB674" s="1607"/>
      <c r="BC674" s="1607"/>
      <c r="BD674" s="1607"/>
      <c r="BE674" s="1607"/>
      <c r="BF674" s="1607"/>
      <c r="BG674" s="1607"/>
      <c r="BH674" s="1607"/>
      <c r="BI674" s="1607"/>
      <c r="BJ674" s="1607"/>
      <c r="BK674" s="1607"/>
      <c r="BL674" s="1607"/>
    </row>
    <row r="675">
      <c r="A675" s="1607"/>
      <c r="B675" s="1607"/>
      <c r="C675" s="1607"/>
      <c r="D675" s="1607"/>
      <c r="E675" s="1607"/>
      <c r="F675" s="1607"/>
      <c r="G675" s="1607"/>
      <c r="H675" s="1607"/>
      <c r="I675" s="1607"/>
      <c r="J675" s="1607"/>
      <c r="K675" s="1607"/>
      <c r="L675" s="1607"/>
      <c r="M675" s="1607"/>
      <c r="N675" s="1607"/>
      <c r="O675" s="1607"/>
      <c r="P675" s="1607"/>
      <c r="Q675" s="1607"/>
      <c r="R675" s="1607"/>
      <c r="S675" s="1607"/>
      <c r="T675" s="1607"/>
      <c r="U675" s="1607"/>
      <c r="V675" s="1607"/>
      <c r="W675" s="1607"/>
      <c r="X675" s="1607"/>
      <c r="Y675" s="1607"/>
      <c r="Z675" s="1607"/>
      <c r="AA675" s="1607"/>
      <c r="AB675" s="1607"/>
      <c r="AC675" s="1607"/>
      <c r="AD675" s="1607"/>
      <c r="AE675" s="1607"/>
      <c r="AF675" s="1607"/>
      <c r="AG675" s="1607"/>
      <c r="AH675" s="1607"/>
      <c r="AI675" s="1607"/>
      <c r="AJ675" s="1607"/>
      <c r="AK675" s="1607"/>
      <c r="AL675" s="1607"/>
      <c r="AM675" s="1607"/>
      <c r="AN675" s="1607"/>
      <c r="AO675" s="1607"/>
      <c r="AP675" s="1607"/>
      <c r="AQ675" s="1607"/>
      <c r="AR675" s="1607"/>
      <c r="AS675" s="1607"/>
      <c r="AT675" s="1607"/>
      <c r="AU675" s="1607"/>
      <c r="AV675" s="1607"/>
      <c r="AW675" s="1607"/>
      <c r="AX675" s="1607"/>
      <c r="AY675" s="1607"/>
      <c r="AZ675" s="1607"/>
      <c r="BA675" s="1607"/>
      <c r="BB675" s="1607"/>
      <c r="BC675" s="1607"/>
      <c r="BD675" s="1607"/>
      <c r="BE675" s="1607"/>
      <c r="BF675" s="1607"/>
      <c r="BG675" s="1607"/>
      <c r="BH675" s="1607"/>
      <c r="BI675" s="1607"/>
      <c r="BJ675" s="1607"/>
      <c r="BK675" s="1607"/>
      <c r="BL675" s="1607"/>
    </row>
    <row r="676">
      <c r="A676" s="1607"/>
      <c r="B676" s="1607"/>
      <c r="C676" s="1607"/>
      <c r="D676" s="1607"/>
      <c r="E676" s="1607"/>
      <c r="F676" s="1607"/>
      <c r="G676" s="1607"/>
      <c r="H676" s="1607"/>
      <c r="I676" s="1607"/>
      <c r="J676" s="1607"/>
      <c r="K676" s="1607"/>
      <c r="L676" s="1607"/>
      <c r="M676" s="1607"/>
      <c r="N676" s="1607"/>
      <c r="O676" s="1607"/>
      <c r="P676" s="1607"/>
      <c r="Q676" s="1607"/>
      <c r="R676" s="1607"/>
      <c r="S676" s="1607"/>
      <c r="T676" s="1607"/>
      <c r="U676" s="1607"/>
      <c r="V676" s="1607"/>
      <c r="W676" s="1607"/>
      <c r="X676" s="1607"/>
      <c r="Y676" s="1607"/>
      <c r="Z676" s="1607"/>
      <c r="AA676" s="1607"/>
      <c r="AB676" s="1607"/>
      <c r="AC676" s="1607"/>
      <c r="AD676" s="1607"/>
      <c r="AE676" s="1607"/>
      <c r="AF676" s="1607"/>
      <c r="AG676" s="1607"/>
      <c r="AH676" s="1607"/>
      <c r="AI676" s="1607"/>
      <c r="AJ676" s="1607"/>
      <c r="AK676" s="1607"/>
      <c r="AL676" s="1607"/>
      <c r="AM676" s="1607"/>
      <c r="AN676" s="1607"/>
      <c r="AO676" s="1607"/>
      <c r="AP676" s="1607"/>
      <c r="AQ676" s="1607"/>
      <c r="AR676" s="1607"/>
      <c r="AS676" s="1607"/>
      <c r="AT676" s="1607"/>
      <c r="AU676" s="1607"/>
      <c r="AV676" s="1607"/>
      <c r="AW676" s="1607"/>
      <c r="AX676" s="1607"/>
      <c r="AY676" s="1607"/>
      <c r="AZ676" s="1607"/>
      <c r="BA676" s="1607"/>
      <c r="BB676" s="1607"/>
      <c r="BC676" s="1607"/>
      <c r="BD676" s="1607"/>
      <c r="BE676" s="1607"/>
      <c r="BF676" s="1607"/>
      <c r="BG676" s="1607"/>
      <c r="BH676" s="1607"/>
      <c r="BI676" s="1607"/>
      <c r="BJ676" s="1607"/>
      <c r="BK676" s="1607"/>
      <c r="BL676" s="1607"/>
    </row>
    <row r="677">
      <c r="A677" s="1607"/>
      <c r="B677" s="1607"/>
      <c r="C677" s="1607"/>
      <c r="D677" s="1607"/>
      <c r="E677" s="1607"/>
      <c r="F677" s="1607"/>
      <c r="G677" s="1607"/>
      <c r="H677" s="1607"/>
      <c r="I677" s="1607"/>
      <c r="J677" s="1607"/>
      <c r="K677" s="1607"/>
      <c r="L677" s="1607"/>
      <c r="M677" s="1607"/>
      <c r="N677" s="1607"/>
      <c r="O677" s="1607"/>
      <c r="P677" s="1607"/>
      <c r="Q677" s="1607"/>
      <c r="R677" s="1607"/>
      <c r="S677" s="1607"/>
      <c r="T677" s="1607"/>
      <c r="U677" s="1607"/>
      <c r="V677" s="1607"/>
      <c r="W677" s="1607"/>
      <c r="X677" s="1607"/>
      <c r="Y677" s="1607"/>
      <c r="Z677" s="1607"/>
      <c r="AA677" s="1607"/>
      <c r="AB677" s="1607"/>
      <c r="AC677" s="1607"/>
      <c r="AD677" s="1607"/>
      <c r="AE677" s="1607"/>
      <c r="AF677" s="1607"/>
      <c r="AG677" s="1607"/>
      <c r="AH677" s="1607"/>
      <c r="AI677" s="1607"/>
      <c r="AJ677" s="1607"/>
      <c r="AK677" s="1607"/>
      <c r="AL677" s="1607"/>
      <c r="AM677" s="1607"/>
      <c r="AN677" s="1607"/>
      <c r="AO677" s="1607"/>
      <c r="AP677" s="1607"/>
      <c r="AQ677" s="1607"/>
      <c r="AR677" s="1607"/>
      <c r="AS677" s="1607"/>
      <c r="AT677" s="1607"/>
      <c r="AU677" s="1607"/>
      <c r="AV677" s="1607"/>
      <c r="AW677" s="1607"/>
      <c r="AX677" s="1607"/>
      <c r="AY677" s="1607"/>
      <c r="AZ677" s="1607"/>
      <c r="BA677" s="1607"/>
      <c r="BB677" s="1607"/>
      <c r="BC677" s="1607"/>
      <c r="BD677" s="1607"/>
      <c r="BE677" s="1607"/>
      <c r="BF677" s="1607"/>
      <c r="BG677" s="1607"/>
      <c r="BH677" s="1607"/>
      <c r="BI677" s="1607"/>
      <c r="BJ677" s="1607"/>
      <c r="BK677" s="1607"/>
      <c r="BL677" s="1607"/>
    </row>
    <row r="678">
      <c r="A678" s="1607"/>
      <c r="B678" s="1607"/>
      <c r="C678" s="1607"/>
      <c r="D678" s="1607"/>
      <c r="E678" s="1607"/>
      <c r="F678" s="1607"/>
      <c r="G678" s="1607"/>
      <c r="H678" s="1607"/>
      <c r="I678" s="1607"/>
      <c r="J678" s="1607"/>
      <c r="K678" s="1607"/>
      <c r="L678" s="1607"/>
      <c r="M678" s="1607"/>
      <c r="N678" s="1607"/>
      <c r="O678" s="1607"/>
      <c r="P678" s="1607"/>
      <c r="Q678" s="1607"/>
      <c r="R678" s="1607"/>
      <c r="S678" s="1607"/>
      <c r="T678" s="1607"/>
      <c r="U678" s="1607"/>
      <c r="V678" s="1607"/>
      <c r="W678" s="1607"/>
      <c r="X678" s="1607"/>
      <c r="Y678" s="1607"/>
      <c r="Z678" s="1607"/>
      <c r="AA678" s="1607"/>
      <c r="AB678" s="1607"/>
      <c r="AC678" s="1607"/>
      <c r="AD678" s="1607"/>
      <c r="AE678" s="1607"/>
      <c r="AF678" s="1607"/>
      <c r="AG678" s="1607"/>
      <c r="AH678" s="1607"/>
      <c r="AI678" s="1607"/>
      <c r="AJ678" s="1607"/>
      <c r="AK678" s="1607"/>
      <c r="AL678" s="1607"/>
      <c r="AM678" s="1607"/>
      <c r="AN678" s="1607"/>
      <c r="AO678" s="1607"/>
      <c r="AP678" s="1607"/>
      <c r="AQ678" s="1607"/>
      <c r="AR678" s="1607"/>
      <c r="AS678" s="1607"/>
      <c r="AT678" s="1607"/>
      <c r="AU678" s="1607"/>
      <c r="AV678" s="1607"/>
      <c r="AW678" s="1607"/>
      <c r="AX678" s="1607"/>
      <c r="AY678" s="1607"/>
      <c r="AZ678" s="1607"/>
      <c r="BA678" s="1607"/>
      <c r="BB678" s="1607"/>
      <c r="BC678" s="1607"/>
      <c r="BD678" s="1607"/>
      <c r="BE678" s="1607"/>
      <c r="BF678" s="1607"/>
      <c r="BG678" s="1607"/>
      <c r="BH678" s="1607"/>
      <c r="BI678" s="1607"/>
      <c r="BJ678" s="1607"/>
      <c r="BK678" s="1607"/>
      <c r="BL678" s="1607"/>
    </row>
    <row r="679">
      <c r="A679" s="1607"/>
      <c r="B679" s="1607"/>
      <c r="C679" s="1607"/>
      <c r="D679" s="1607"/>
      <c r="E679" s="1607"/>
      <c r="F679" s="1607"/>
      <c r="G679" s="1607"/>
      <c r="H679" s="1607"/>
      <c r="I679" s="1607"/>
      <c r="J679" s="1607"/>
      <c r="K679" s="1607"/>
      <c r="L679" s="1607"/>
      <c r="M679" s="1607"/>
      <c r="N679" s="1607"/>
      <c r="O679" s="1607"/>
      <c r="P679" s="1607"/>
      <c r="Q679" s="1607"/>
      <c r="R679" s="1607"/>
      <c r="S679" s="1607"/>
      <c r="T679" s="1607"/>
      <c r="U679" s="1607"/>
      <c r="V679" s="1607"/>
      <c r="W679" s="1607"/>
      <c r="X679" s="1607"/>
      <c r="Y679" s="1607"/>
      <c r="Z679" s="1607"/>
      <c r="AA679" s="1607"/>
      <c r="AB679" s="1607"/>
      <c r="AC679" s="1607"/>
      <c r="AD679" s="1607"/>
      <c r="AE679" s="1607"/>
      <c r="AF679" s="1607"/>
      <c r="AG679" s="1607"/>
      <c r="AH679" s="1607"/>
      <c r="AI679" s="1607"/>
      <c r="AJ679" s="1607"/>
      <c r="AK679" s="1607"/>
      <c r="AL679" s="1607"/>
      <c r="AM679" s="1607"/>
      <c r="AN679" s="1607"/>
      <c r="AO679" s="1607"/>
      <c r="AP679" s="1607"/>
      <c r="AQ679" s="1607"/>
      <c r="AR679" s="1607"/>
      <c r="AS679" s="1607"/>
      <c r="AT679" s="1607"/>
      <c r="AU679" s="1607"/>
      <c r="AV679" s="1607"/>
      <c r="AW679" s="1607"/>
      <c r="AX679" s="1607"/>
      <c r="AY679" s="1607"/>
      <c r="AZ679" s="1607"/>
      <c r="BA679" s="1607"/>
      <c r="BB679" s="1607"/>
      <c r="BC679" s="1607"/>
      <c r="BD679" s="1607"/>
      <c r="BE679" s="1607"/>
      <c r="BF679" s="1607"/>
      <c r="BG679" s="1607"/>
      <c r="BH679" s="1607"/>
      <c r="BI679" s="1607"/>
      <c r="BJ679" s="1607"/>
      <c r="BK679" s="1607"/>
      <c r="BL679" s="1607"/>
    </row>
    <row r="680">
      <c r="A680" s="1607"/>
      <c r="B680" s="1607"/>
      <c r="C680" s="1607"/>
      <c r="D680" s="1607"/>
      <c r="E680" s="1607"/>
      <c r="F680" s="1607"/>
      <c r="G680" s="1607"/>
      <c r="H680" s="1607"/>
      <c r="I680" s="1607"/>
      <c r="J680" s="1607"/>
      <c r="K680" s="1607"/>
      <c r="L680" s="1607"/>
      <c r="M680" s="1607"/>
      <c r="N680" s="1607"/>
      <c r="O680" s="1607"/>
      <c r="P680" s="1607"/>
      <c r="Q680" s="1607"/>
      <c r="R680" s="1607"/>
      <c r="S680" s="1607"/>
      <c r="T680" s="1607"/>
      <c r="U680" s="1607"/>
      <c r="V680" s="1607"/>
      <c r="W680" s="1607"/>
      <c r="X680" s="1607"/>
      <c r="Y680" s="1607"/>
      <c r="Z680" s="1607"/>
      <c r="AA680" s="1607"/>
      <c r="AB680" s="1607"/>
      <c r="AC680" s="1607"/>
      <c r="AD680" s="1607"/>
      <c r="AE680" s="1607"/>
      <c r="AF680" s="1607"/>
      <c r="AG680" s="1607"/>
      <c r="AH680" s="1607"/>
      <c r="AI680" s="1607"/>
      <c r="AJ680" s="1607"/>
      <c r="AK680" s="1607"/>
      <c r="AL680" s="1607"/>
      <c r="AM680" s="1607"/>
      <c r="AN680" s="1607"/>
      <c r="AO680" s="1607"/>
      <c r="AP680" s="1607"/>
      <c r="AQ680" s="1607"/>
      <c r="AR680" s="1607"/>
      <c r="AS680" s="1607"/>
      <c r="AT680" s="1607"/>
      <c r="AU680" s="1607"/>
      <c r="AV680" s="1607"/>
      <c r="AW680" s="1607"/>
      <c r="AX680" s="1607"/>
      <c r="AY680" s="1607"/>
      <c r="AZ680" s="1607"/>
      <c r="BA680" s="1607"/>
      <c r="BB680" s="1607"/>
      <c r="BC680" s="1607"/>
      <c r="BD680" s="1607"/>
      <c r="BE680" s="1607"/>
      <c r="BF680" s="1607"/>
      <c r="BG680" s="1607"/>
      <c r="BH680" s="1607"/>
      <c r="BI680" s="1607"/>
      <c r="BJ680" s="1607"/>
      <c r="BK680" s="1607"/>
      <c r="BL680" s="1607"/>
    </row>
    <row r="681">
      <c r="A681" s="1607"/>
      <c r="B681" s="1607"/>
      <c r="C681" s="1607"/>
      <c r="D681" s="1607"/>
      <c r="E681" s="1607"/>
      <c r="F681" s="1607"/>
      <c r="G681" s="1607"/>
      <c r="H681" s="1607"/>
      <c r="I681" s="1607"/>
      <c r="J681" s="1607"/>
      <c r="K681" s="1607"/>
      <c r="L681" s="1607"/>
      <c r="M681" s="1607"/>
      <c r="N681" s="1607"/>
      <c r="O681" s="1607"/>
      <c r="P681" s="1607"/>
      <c r="Q681" s="1607"/>
      <c r="R681" s="1607"/>
      <c r="S681" s="1607"/>
      <c r="T681" s="1607"/>
      <c r="U681" s="1607"/>
      <c r="V681" s="1607"/>
      <c r="W681" s="1607"/>
      <c r="X681" s="1607"/>
      <c r="Y681" s="1607"/>
      <c r="Z681" s="1607"/>
      <c r="AA681" s="1607"/>
      <c r="AB681" s="1607"/>
      <c r="AC681" s="1607"/>
      <c r="AD681" s="1607"/>
      <c r="AE681" s="1607"/>
      <c r="AF681" s="1607"/>
      <c r="AG681" s="1607"/>
      <c r="AH681" s="1607"/>
      <c r="AI681" s="1607"/>
      <c r="AJ681" s="1607"/>
      <c r="AK681" s="1607"/>
      <c r="AL681" s="1607"/>
      <c r="AM681" s="1607"/>
      <c r="AN681" s="1607"/>
      <c r="AO681" s="1607"/>
      <c r="AP681" s="1607"/>
      <c r="AQ681" s="1607"/>
      <c r="AR681" s="1607"/>
      <c r="AS681" s="1607"/>
      <c r="AT681" s="1607"/>
      <c r="AU681" s="1607"/>
      <c r="AV681" s="1607"/>
      <c r="AW681" s="1607"/>
      <c r="AX681" s="1607"/>
      <c r="AY681" s="1607"/>
      <c r="AZ681" s="1607"/>
      <c r="BA681" s="1607"/>
      <c r="BB681" s="1607"/>
      <c r="BC681" s="1607"/>
      <c r="BD681" s="1607"/>
      <c r="BE681" s="1607"/>
      <c r="BF681" s="1607"/>
      <c r="BG681" s="1607"/>
      <c r="BH681" s="1607"/>
      <c r="BI681" s="1607"/>
      <c r="BJ681" s="1607"/>
      <c r="BK681" s="1607"/>
      <c r="BL681" s="1607"/>
    </row>
    <row r="682">
      <c r="A682" s="1607"/>
      <c r="B682" s="1607"/>
      <c r="C682" s="1607"/>
      <c r="D682" s="1607"/>
      <c r="E682" s="1607"/>
      <c r="F682" s="1607"/>
      <c r="G682" s="1607"/>
      <c r="H682" s="1607"/>
      <c r="I682" s="1607"/>
      <c r="J682" s="1607"/>
      <c r="K682" s="1607"/>
      <c r="L682" s="1607"/>
      <c r="M682" s="1607"/>
      <c r="N682" s="1607"/>
      <c r="O682" s="1607"/>
      <c r="P682" s="1607"/>
      <c r="Q682" s="1607"/>
      <c r="R682" s="1607"/>
      <c r="S682" s="1607"/>
      <c r="T682" s="1607"/>
      <c r="U682" s="1607"/>
      <c r="V682" s="1607"/>
      <c r="W682" s="1607"/>
      <c r="X682" s="1607"/>
      <c r="Y682" s="1607"/>
      <c r="Z682" s="1607"/>
      <c r="AA682" s="1607"/>
      <c r="AB682" s="1607"/>
      <c r="AC682" s="1607"/>
      <c r="AD682" s="1607"/>
      <c r="AE682" s="1607"/>
      <c r="AF682" s="1607"/>
      <c r="AG682" s="1607"/>
      <c r="AH682" s="1607"/>
      <c r="AI682" s="1607"/>
      <c r="AJ682" s="1607"/>
      <c r="AK682" s="1607"/>
      <c r="AL682" s="1607"/>
      <c r="AM682" s="1607"/>
      <c r="AN682" s="1607"/>
      <c r="AO682" s="1607"/>
      <c r="AP682" s="1607"/>
      <c r="AQ682" s="1607"/>
      <c r="AR682" s="1607"/>
      <c r="AS682" s="1607"/>
      <c r="AT682" s="1607"/>
      <c r="AU682" s="1607"/>
      <c r="AV682" s="1607"/>
      <c r="AW682" s="1607"/>
      <c r="AX682" s="1607"/>
      <c r="AY682" s="1607"/>
      <c r="AZ682" s="1607"/>
      <c r="BA682" s="1607"/>
      <c r="BB682" s="1607"/>
      <c r="BC682" s="1607"/>
      <c r="BD682" s="1607"/>
      <c r="BE682" s="1607"/>
      <c r="BF682" s="1607"/>
      <c r="BG682" s="1607"/>
      <c r="BH682" s="1607"/>
      <c r="BI682" s="1607"/>
      <c r="BJ682" s="1607"/>
      <c r="BK682" s="1607"/>
      <c r="BL682" s="1607"/>
    </row>
    <row r="683">
      <c r="A683" s="1607"/>
      <c r="B683" s="1607"/>
      <c r="C683" s="1607"/>
      <c r="D683" s="1607"/>
      <c r="E683" s="1607"/>
      <c r="F683" s="1607"/>
      <c r="G683" s="1607"/>
      <c r="H683" s="1607"/>
      <c r="I683" s="1607"/>
      <c r="J683" s="1607"/>
      <c r="K683" s="1607"/>
      <c r="L683" s="1607"/>
      <c r="M683" s="1607"/>
      <c r="N683" s="1607"/>
      <c r="O683" s="1607"/>
      <c r="P683" s="1607"/>
      <c r="Q683" s="1607"/>
      <c r="R683" s="1607"/>
      <c r="S683" s="1607"/>
      <c r="T683" s="1607"/>
      <c r="U683" s="1607"/>
      <c r="V683" s="1607"/>
      <c r="W683" s="1607"/>
      <c r="X683" s="1607"/>
      <c r="Y683" s="1607"/>
      <c r="Z683" s="1607"/>
      <c r="AA683" s="1607"/>
      <c r="AB683" s="1607"/>
      <c r="AC683" s="1607"/>
      <c r="AD683" s="1607"/>
      <c r="AE683" s="1607"/>
      <c r="AF683" s="1607"/>
      <c r="AG683" s="1607"/>
      <c r="AH683" s="1607"/>
      <c r="AI683" s="1607"/>
      <c r="AJ683" s="1607"/>
      <c r="AK683" s="1607"/>
      <c r="AL683" s="1607"/>
      <c r="AM683" s="1607"/>
      <c r="AN683" s="1607"/>
      <c r="AO683" s="1607"/>
      <c r="AP683" s="1607"/>
      <c r="AQ683" s="1607"/>
      <c r="AR683" s="1607"/>
      <c r="AS683" s="1607"/>
      <c r="AT683" s="1607"/>
      <c r="AU683" s="1607"/>
      <c r="AV683" s="1607"/>
      <c r="AW683" s="1607"/>
      <c r="AX683" s="1607"/>
      <c r="AY683" s="1607"/>
      <c r="AZ683" s="1607"/>
      <c r="BA683" s="1607"/>
      <c r="BB683" s="1607"/>
      <c r="BC683" s="1607"/>
      <c r="BD683" s="1607"/>
      <c r="BE683" s="1607"/>
      <c r="BF683" s="1607"/>
      <c r="BG683" s="1607"/>
      <c r="BH683" s="1607"/>
      <c r="BI683" s="1607"/>
      <c r="BJ683" s="1607"/>
      <c r="BK683" s="1607"/>
      <c r="BL683" s="1607"/>
    </row>
    <row r="684">
      <c r="A684" s="1607"/>
      <c r="B684" s="1607"/>
      <c r="C684" s="1607"/>
      <c r="D684" s="1607"/>
      <c r="E684" s="1607"/>
      <c r="F684" s="1607"/>
      <c r="G684" s="1607"/>
      <c r="H684" s="1607"/>
      <c r="I684" s="1607"/>
      <c r="J684" s="1607"/>
      <c r="K684" s="1607"/>
      <c r="L684" s="1607"/>
      <c r="M684" s="1607"/>
      <c r="N684" s="1607"/>
      <c r="O684" s="1607"/>
      <c r="P684" s="1607"/>
      <c r="Q684" s="1607"/>
      <c r="R684" s="1607"/>
      <c r="S684" s="1607"/>
      <c r="T684" s="1607"/>
      <c r="U684" s="1607"/>
      <c r="V684" s="1607"/>
      <c r="W684" s="1607"/>
      <c r="X684" s="1607"/>
      <c r="Y684" s="1607"/>
      <c r="Z684" s="1607"/>
      <c r="AA684" s="1607"/>
      <c r="AB684" s="1607"/>
      <c r="AC684" s="1607"/>
      <c r="AD684" s="1607"/>
      <c r="AE684" s="1607"/>
      <c r="AF684" s="1607"/>
      <c r="AG684" s="1607"/>
      <c r="AH684" s="1607"/>
      <c r="AI684" s="1607"/>
      <c r="AJ684" s="1607"/>
      <c r="AK684" s="1607"/>
      <c r="AL684" s="1607"/>
      <c r="AM684" s="1607"/>
      <c r="AN684" s="1607"/>
      <c r="AO684" s="1607"/>
      <c r="AP684" s="1607"/>
      <c r="AQ684" s="1607"/>
      <c r="AR684" s="1607"/>
      <c r="AS684" s="1607"/>
      <c r="AT684" s="1607"/>
      <c r="AU684" s="1607"/>
      <c r="AV684" s="1607"/>
      <c r="AW684" s="1607"/>
      <c r="AX684" s="1607"/>
      <c r="AY684" s="1607"/>
      <c r="AZ684" s="1607"/>
      <c r="BA684" s="1607"/>
      <c r="BB684" s="1607"/>
      <c r="BC684" s="1607"/>
      <c r="BD684" s="1607"/>
      <c r="BE684" s="1607"/>
      <c r="BF684" s="1607"/>
      <c r="BG684" s="1607"/>
      <c r="BH684" s="1607"/>
      <c r="BI684" s="1607"/>
      <c r="BJ684" s="1607"/>
      <c r="BK684" s="1607"/>
      <c r="BL684" s="1607"/>
    </row>
    <row r="685">
      <c r="A685" s="1607"/>
      <c r="B685" s="1607"/>
      <c r="C685" s="1607"/>
      <c r="D685" s="1607"/>
      <c r="E685" s="1607"/>
      <c r="F685" s="1607"/>
      <c r="G685" s="1607"/>
      <c r="H685" s="1607"/>
      <c r="I685" s="1607"/>
      <c r="J685" s="1607"/>
      <c r="K685" s="1607"/>
      <c r="L685" s="1607"/>
      <c r="M685" s="1607"/>
      <c r="N685" s="1607"/>
      <c r="O685" s="1607"/>
      <c r="P685" s="1607"/>
      <c r="Q685" s="1607"/>
      <c r="R685" s="1607"/>
      <c r="S685" s="1607"/>
      <c r="T685" s="1607"/>
      <c r="U685" s="1607"/>
      <c r="V685" s="1607"/>
      <c r="W685" s="1607"/>
      <c r="X685" s="1607"/>
      <c r="Y685" s="1607"/>
      <c r="Z685" s="1607"/>
      <c r="AA685" s="1607"/>
      <c r="AB685" s="1607"/>
      <c r="AC685" s="1607"/>
      <c r="AD685" s="1607"/>
      <c r="AE685" s="1607"/>
      <c r="AF685" s="1607"/>
      <c r="AG685" s="1607"/>
      <c r="AH685" s="1607"/>
      <c r="AI685" s="1607"/>
      <c r="AJ685" s="1607"/>
      <c r="AK685" s="1607"/>
      <c r="AL685" s="1607"/>
      <c r="AM685" s="1607"/>
      <c r="AN685" s="1607"/>
      <c r="AO685" s="1607"/>
      <c r="AP685" s="1607"/>
      <c r="AQ685" s="1607"/>
      <c r="AR685" s="1607"/>
      <c r="AS685" s="1607"/>
      <c r="AT685" s="1607"/>
      <c r="AU685" s="1607"/>
      <c r="AV685" s="1607"/>
      <c r="AW685" s="1607"/>
      <c r="AX685" s="1607"/>
      <c r="AY685" s="1607"/>
      <c r="AZ685" s="1607"/>
      <c r="BA685" s="1607"/>
      <c r="BB685" s="1607"/>
      <c r="BC685" s="1607"/>
      <c r="BD685" s="1607"/>
      <c r="BE685" s="1607"/>
      <c r="BF685" s="1607"/>
      <c r="BG685" s="1607"/>
      <c r="BH685" s="1607"/>
      <c r="BI685" s="1607"/>
      <c r="BJ685" s="1607"/>
      <c r="BK685" s="1607"/>
      <c r="BL685" s="1607"/>
    </row>
    <row r="686">
      <c r="A686" s="1607"/>
      <c r="B686" s="1607"/>
      <c r="C686" s="1607"/>
      <c r="D686" s="1607"/>
      <c r="E686" s="1607"/>
      <c r="F686" s="1607"/>
      <c r="G686" s="1607"/>
      <c r="H686" s="1607"/>
      <c r="I686" s="1607"/>
      <c r="J686" s="1607"/>
      <c r="K686" s="1607"/>
      <c r="L686" s="1607"/>
      <c r="M686" s="1607"/>
      <c r="N686" s="1607"/>
      <c r="O686" s="1607"/>
      <c r="P686" s="1607"/>
      <c r="Q686" s="1607"/>
      <c r="R686" s="1607"/>
      <c r="S686" s="1607"/>
      <c r="T686" s="1607"/>
      <c r="U686" s="1607"/>
      <c r="V686" s="1607"/>
      <c r="W686" s="1607"/>
      <c r="X686" s="1607"/>
      <c r="Y686" s="1607"/>
      <c r="Z686" s="1607"/>
      <c r="AA686" s="1607"/>
      <c r="AB686" s="1607"/>
      <c r="AC686" s="1607"/>
      <c r="AD686" s="1607"/>
      <c r="AE686" s="1607"/>
      <c r="AF686" s="1607"/>
      <c r="AG686" s="1607"/>
      <c r="AH686" s="1607"/>
      <c r="AI686" s="1607"/>
      <c r="AJ686" s="1607"/>
      <c r="AK686" s="1607"/>
      <c r="AL686" s="1607"/>
      <c r="AM686" s="1607"/>
      <c r="AN686" s="1607"/>
      <c r="AO686" s="1607"/>
      <c r="AP686" s="1607"/>
      <c r="AQ686" s="1607"/>
      <c r="AR686" s="1607"/>
      <c r="AS686" s="1607"/>
      <c r="AT686" s="1607"/>
      <c r="AU686" s="1607"/>
      <c r="AV686" s="1607"/>
      <c r="AW686" s="1607"/>
      <c r="AX686" s="1607"/>
      <c r="AY686" s="1607"/>
      <c r="AZ686" s="1607"/>
      <c r="BA686" s="1607"/>
      <c r="BB686" s="1607"/>
      <c r="BC686" s="1607"/>
      <c r="BD686" s="1607"/>
      <c r="BE686" s="1607"/>
      <c r="BF686" s="1607"/>
      <c r="BG686" s="1607"/>
      <c r="BH686" s="1607"/>
      <c r="BI686" s="1607"/>
      <c r="BJ686" s="1607"/>
      <c r="BK686" s="1607"/>
      <c r="BL686" s="1607"/>
    </row>
    <row r="687">
      <c r="A687" s="1607"/>
      <c r="B687" s="1607"/>
      <c r="C687" s="1607"/>
      <c r="D687" s="1607"/>
      <c r="E687" s="1607"/>
      <c r="F687" s="1607"/>
      <c r="G687" s="1607"/>
      <c r="H687" s="1607"/>
      <c r="I687" s="1607"/>
      <c r="J687" s="1607"/>
      <c r="K687" s="1607"/>
      <c r="L687" s="1607"/>
      <c r="M687" s="1607"/>
      <c r="N687" s="1607"/>
      <c r="O687" s="1607"/>
      <c r="P687" s="1607"/>
      <c r="Q687" s="1607"/>
      <c r="R687" s="1607"/>
      <c r="S687" s="1607"/>
      <c r="T687" s="1607"/>
      <c r="U687" s="1607"/>
      <c r="V687" s="1607"/>
      <c r="W687" s="1607"/>
      <c r="X687" s="1607"/>
      <c r="Y687" s="1607"/>
      <c r="Z687" s="1607"/>
      <c r="AA687" s="1607"/>
      <c r="AB687" s="1607"/>
      <c r="AC687" s="1607"/>
      <c r="AD687" s="1607"/>
      <c r="AE687" s="1607"/>
      <c r="AF687" s="1607"/>
      <c r="AG687" s="1607"/>
      <c r="AH687" s="1607"/>
      <c r="AI687" s="1607"/>
      <c r="AJ687" s="1607"/>
      <c r="AK687" s="1607"/>
      <c r="AL687" s="1607"/>
      <c r="AM687" s="1607"/>
      <c r="AN687" s="1607"/>
      <c r="AO687" s="1607"/>
      <c r="AP687" s="1607"/>
      <c r="AQ687" s="1607"/>
      <c r="AR687" s="1607"/>
      <c r="AS687" s="1607"/>
      <c r="AT687" s="1607"/>
      <c r="AU687" s="1607"/>
      <c r="AV687" s="1607"/>
      <c r="AW687" s="1607"/>
      <c r="AX687" s="1607"/>
      <c r="AY687" s="1607"/>
      <c r="AZ687" s="1607"/>
      <c r="BA687" s="1607"/>
      <c r="BB687" s="1607"/>
      <c r="BC687" s="1607"/>
      <c r="BD687" s="1607"/>
      <c r="BE687" s="1607"/>
      <c r="BF687" s="1607"/>
      <c r="BG687" s="1607"/>
      <c r="BH687" s="1607"/>
      <c r="BI687" s="1607"/>
      <c r="BJ687" s="1607"/>
      <c r="BK687" s="1607"/>
      <c r="BL687" s="1607"/>
    </row>
    <row r="688">
      <c r="A688" s="1607"/>
      <c r="B688" s="1607"/>
      <c r="C688" s="1607"/>
      <c r="D688" s="1607"/>
      <c r="E688" s="1607"/>
      <c r="F688" s="1607"/>
      <c r="G688" s="1607"/>
      <c r="H688" s="1607"/>
      <c r="I688" s="1607"/>
      <c r="J688" s="1607"/>
      <c r="K688" s="1607"/>
      <c r="L688" s="1607"/>
      <c r="M688" s="1607"/>
      <c r="N688" s="1607"/>
      <c r="O688" s="1607"/>
      <c r="P688" s="1607"/>
      <c r="Q688" s="1607"/>
      <c r="R688" s="1607"/>
      <c r="S688" s="1607"/>
      <c r="T688" s="1607"/>
      <c r="U688" s="1607"/>
      <c r="V688" s="1607"/>
      <c r="W688" s="1607"/>
      <c r="X688" s="1607"/>
      <c r="Y688" s="1607"/>
      <c r="Z688" s="1607"/>
      <c r="AA688" s="1607"/>
      <c r="AB688" s="1607"/>
      <c r="AC688" s="1607"/>
      <c r="AD688" s="1607"/>
      <c r="AE688" s="1607"/>
      <c r="AF688" s="1607"/>
      <c r="AG688" s="1607"/>
      <c r="AH688" s="1607"/>
      <c r="AI688" s="1607"/>
      <c r="AJ688" s="1607"/>
      <c r="AK688" s="1607"/>
      <c r="AL688" s="1607"/>
      <c r="AM688" s="1607"/>
      <c r="AN688" s="1607"/>
      <c r="AO688" s="1607"/>
      <c r="AP688" s="1607"/>
      <c r="AQ688" s="1607"/>
      <c r="AR688" s="1607"/>
      <c r="AS688" s="1607"/>
      <c r="AT688" s="1607"/>
      <c r="AU688" s="1607"/>
      <c r="AV688" s="1607"/>
      <c r="AW688" s="1607"/>
      <c r="AX688" s="1607"/>
      <c r="AY688" s="1607"/>
      <c r="AZ688" s="1607"/>
      <c r="BA688" s="1607"/>
      <c r="BB688" s="1607"/>
      <c r="BC688" s="1607"/>
      <c r="BD688" s="1607"/>
      <c r="BE688" s="1607"/>
      <c r="BF688" s="1607"/>
      <c r="BG688" s="1607"/>
      <c r="BH688" s="1607"/>
      <c r="BI688" s="1607"/>
      <c r="BJ688" s="1607"/>
      <c r="BK688" s="1607"/>
      <c r="BL688" s="1607"/>
    </row>
    <row r="689">
      <c r="A689" s="1607"/>
      <c r="B689" s="1607"/>
      <c r="C689" s="1607"/>
      <c r="D689" s="1607"/>
      <c r="E689" s="1607"/>
      <c r="F689" s="1607"/>
      <c r="G689" s="1607"/>
      <c r="H689" s="1607"/>
      <c r="I689" s="1607"/>
      <c r="J689" s="1607"/>
      <c r="K689" s="1607"/>
      <c r="L689" s="1607"/>
      <c r="M689" s="1607"/>
      <c r="N689" s="1607"/>
      <c r="O689" s="1607"/>
      <c r="P689" s="1607"/>
      <c r="Q689" s="1607"/>
      <c r="R689" s="1607"/>
      <c r="S689" s="1607"/>
      <c r="T689" s="1607"/>
      <c r="U689" s="1607"/>
      <c r="V689" s="1607"/>
      <c r="W689" s="1607"/>
      <c r="X689" s="1607"/>
      <c r="Y689" s="1607"/>
      <c r="Z689" s="1607"/>
      <c r="AA689" s="1607"/>
      <c r="AB689" s="1607"/>
      <c r="AC689" s="1607"/>
      <c r="AD689" s="1607"/>
      <c r="AE689" s="1607"/>
      <c r="AF689" s="1607"/>
      <c r="AG689" s="1607"/>
      <c r="AH689" s="1607"/>
      <c r="AI689" s="1607"/>
      <c r="AJ689" s="1607"/>
      <c r="AK689" s="1607"/>
      <c r="AL689" s="1607"/>
      <c r="AM689" s="1607"/>
      <c r="AN689" s="1607"/>
      <c r="AO689" s="1607"/>
      <c r="AP689" s="1607"/>
      <c r="AQ689" s="1607"/>
      <c r="AR689" s="1607"/>
      <c r="AS689" s="1607"/>
      <c r="AT689" s="1607"/>
      <c r="AU689" s="1607"/>
      <c r="AV689" s="1607"/>
      <c r="AW689" s="1607"/>
      <c r="AX689" s="1607"/>
      <c r="AY689" s="1607"/>
      <c r="AZ689" s="1607"/>
      <c r="BA689" s="1607"/>
      <c r="BB689" s="1607"/>
      <c r="BC689" s="1607"/>
      <c r="BD689" s="1607"/>
      <c r="BE689" s="1607"/>
      <c r="BF689" s="1607"/>
      <c r="BG689" s="1607"/>
      <c r="BH689" s="1607"/>
      <c r="BI689" s="1607"/>
      <c r="BJ689" s="1607"/>
      <c r="BK689" s="1607"/>
      <c r="BL689" s="1607"/>
    </row>
    <row r="690">
      <c r="A690" s="1607"/>
      <c r="B690" s="1607"/>
      <c r="C690" s="1607"/>
      <c r="D690" s="1607"/>
      <c r="E690" s="1607"/>
      <c r="F690" s="1607"/>
      <c r="G690" s="1607"/>
      <c r="H690" s="1607"/>
      <c r="I690" s="1607"/>
      <c r="J690" s="1607"/>
      <c r="K690" s="1607"/>
      <c r="L690" s="1607"/>
      <c r="M690" s="1607"/>
      <c r="N690" s="1607"/>
      <c r="O690" s="1607"/>
      <c r="P690" s="1607"/>
      <c r="Q690" s="1607"/>
      <c r="R690" s="1607"/>
      <c r="S690" s="1607"/>
      <c r="T690" s="1607"/>
      <c r="U690" s="1607"/>
      <c r="V690" s="1607"/>
      <c r="W690" s="1607"/>
      <c r="X690" s="1607"/>
      <c r="Y690" s="1607"/>
      <c r="Z690" s="1607"/>
      <c r="AA690" s="1607"/>
      <c r="AB690" s="1607"/>
      <c r="AC690" s="1607"/>
      <c r="AD690" s="1607"/>
      <c r="AE690" s="1607"/>
      <c r="AF690" s="1607"/>
      <c r="AG690" s="1607"/>
      <c r="AH690" s="1607"/>
      <c r="AI690" s="1607"/>
      <c r="AJ690" s="1607"/>
      <c r="AK690" s="1607"/>
      <c r="AL690" s="1607"/>
      <c r="AM690" s="1607"/>
      <c r="AN690" s="1607"/>
      <c r="AO690" s="1607"/>
      <c r="AP690" s="1607"/>
      <c r="AQ690" s="1607"/>
      <c r="AR690" s="1607"/>
      <c r="AS690" s="1607"/>
      <c r="AT690" s="1607"/>
      <c r="AU690" s="1607"/>
      <c r="AV690" s="1607"/>
      <c r="AW690" s="1607"/>
      <c r="AX690" s="1607"/>
      <c r="AY690" s="1607"/>
      <c r="AZ690" s="1607"/>
      <c r="BA690" s="1607"/>
      <c r="BB690" s="1607"/>
      <c r="BC690" s="1607"/>
      <c r="BD690" s="1607"/>
      <c r="BE690" s="1607"/>
      <c r="BF690" s="1607"/>
      <c r="BG690" s="1607"/>
      <c r="BH690" s="1607"/>
      <c r="BI690" s="1607"/>
      <c r="BJ690" s="1607"/>
      <c r="BK690" s="1607"/>
      <c r="BL690" s="1607"/>
    </row>
    <row r="691">
      <c r="A691" s="1607"/>
      <c r="B691" s="1607"/>
      <c r="C691" s="1607"/>
      <c r="D691" s="1607"/>
      <c r="E691" s="1607"/>
      <c r="F691" s="1607"/>
      <c r="G691" s="1607"/>
      <c r="H691" s="1607"/>
      <c r="I691" s="1607"/>
      <c r="J691" s="1607"/>
      <c r="K691" s="1607"/>
      <c r="L691" s="1607"/>
      <c r="M691" s="1607"/>
      <c r="N691" s="1607"/>
      <c r="O691" s="1607"/>
      <c r="P691" s="1607"/>
      <c r="Q691" s="1607"/>
      <c r="R691" s="1607"/>
      <c r="S691" s="1607"/>
      <c r="T691" s="1607"/>
      <c r="U691" s="1607"/>
      <c r="V691" s="1607"/>
      <c r="W691" s="1607"/>
      <c r="X691" s="1607"/>
      <c r="Y691" s="1607"/>
      <c r="Z691" s="1607"/>
      <c r="AA691" s="1607"/>
      <c r="AB691" s="1607"/>
      <c r="AC691" s="1607"/>
      <c r="AD691" s="1607"/>
      <c r="AE691" s="1607"/>
      <c r="AF691" s="1607"/>
      <c r="AG691" s="1607"/>
      <c r="AH691" s="1607"/>
      <c r="AI691" s="1607"/>
      <c r="AJ691" s="1607"/>
      <c r="AK691" s="1607"/>
      <c r="AL691" s="1607"/>
      <c r="AM691" s="1607"/>
      <c r="AN691" s="1607"/>
      <c r="AO691" s="1607"/>
      <c r="AP691" s="1607"/>
      <c r="AQ691" s="1607"/>
      <c r="AR691" s="1607"/>
      <c r="AS691" s="1607"/>
      <c r="AT691" s="1607"/>
      <c r="AU691" s="1607"/>
      <c r="AV691" s="1607"/>
      <c r="AW691" s="1607"/>
      <c r="AX691" s="1607"/>
      <c r="AY691" s="1607"/>
      <c r="AZ691" s="1607"/>
      <c r="BA691" s="1607"/>
      <c r="BB691" s="1607"/>
      <c r="BC691" s="1607"/>
      <c r="BD691" s="1607"/>
      <c r="BE691" s="1607"/>
      <c r="BF691" s="1607"/>
      <c r="BG691" s="1607"/>
      <c r="BH691" s="1607"/>
      <c r="BI691" s="1607"/>
      <c r="BJ691" s="1607"/>
      <c r="BK691" s="1607"/>
      <c r="BL691" s="1607"/>
    </row>
    <row r="692">
      <c r="A692" s="1607"/>
      <c r="B692" s="1607"/>
      <c r="C692" s="1607"/>
      <c r="D692" s="1607"/>
      <c r="E692" s="1607"/>
      <c r="F692" s="1607"/>
      <c r="G692" s="1607"/>
      <c r="H692" s="1607"/>
      <c r="I692" s="1607"/>
      <c r="J692" s="1607"/>
      <c r="K692" s="1607"/>
      <c r="L692" s="1607"/>
      <c r="M692" s="1607"/>
      <c r="N692" s="1607"/>
      <c r="O692" s="1607"/>
      <c r="P692" s="1607"/>
      <c r="Q692" s="1607"/>
      <c r="R692" s="1607"/>
      <c r="S692" s="1607"/>
      <c r="T692" s="1607"/>
      <c r="U692" s="1607"/>
      <c r="V692" s="1607"/>
      <c r="W692" s="1607"/>
      <c r="X692" s="1607"/>
      <c r="Y692" s="1607"/>
      <c r="Z692" s="1607"/>
      <c r="AA692" s="1607"/>
      <c r="AB692" s="1607"/>
      <c r="AC692" s="1607"/>
      <c r="AD692" s="1607"/>
      <c r="AE692" s="1607"/>
      <c r="AF692" s="1607"/>
      <c r="AG692" s="1607"/>
      <c r="AH692" s="1607"/>
      <c r="AI692" s="1607"/>
      <c r="AJ692" s="1607"/>
      <c r="AK692" s="1607"/>
      <c r="AL692" s="1607"/>
      <c r="AM692" s="1607"/>
      <c r="AN692" s="1607"/>
      <c r="AO692" s="1607"/>
      <c r="AP692" s="1607"/>
      <c r="AQ692" s="1607"/>
      <c r="AR692" s="1607"/>
      <c r="AS692" s="1607"/>
      <c r="AT692" s="1607"/>
      <c r="AU692" s="1607"/>
      <c r="AV692" s="1607"/>
      <c r="AW692" s="1607"/>
      <c r="AX692" s="1607"/>
      <c r="AY692" s="1607"/>
      <c r="AZ692" s="1607"/>
      <c r="BA692" s="1607"/>
      <c r="BB692" s="1607"/>
      <c r="BC692" s="1607"/>
      <c r="BD692" s="1607"/>
      <c r="BE692" s="1607"/>
      <c r="BF692" s="1607"/>
      <c r="BG692" s="1607"/>
      <c r="BH692" s="1607"/>
      <c r="BI692" s="1607"/>
      <c r="BJ692" s="1607"/>
      <c r="BK692" s="1607"/>
      <c r="BL692" s="1607"/>
    </row>
    <row r="693">
      <c r="A693" s="1607"/>
      <c r="B693" s="1607"/>
      <c r="C693" s="1607"/>
      <c r="D693" s="1607"/>
      <c r="E693" s="1607"/>
      <c r="F693" s="1607"/>
      <c r="G693" s="1607"/>
      <c r="H693" s="1607"/>
      <c r="I693" s="1607"/>
      <c r="J693" s="1607"/>
      <c r="K693" s="1607"/>
      <c r="L693" s="1607"/>
      <c r="M693" s="1607"/>
      <c r="N693" s="1607"/>
      <c r="O693" s="1607"/>
      <c r="P693" s="1607"/>
      <c r="Q693" s="1607"/>
      <c r="R693" s="1607"/>
      <c r="S693" s="1607"/>
      <c r="T693" s="1607"/>
      <c r="U693" s="1607"/>
      <c r="V693" s="1607"/>
      <c r="W693" s="1607"/>
      <c r="X693" s="1607"/>
      <c r="Y693" s="1607"/>
      <c r="Z693" s="1607"/>
      <c r="AA693" s="1607"/>
      <c r="AB693" s="1607"/>
      <c r="AC693" s="1607"/>
      <c r="AD693" s="1607"/>
      <c r="AE693" s="1607"/>
      <c r="AF693" s="1607"/>
      <c r="AG693" s="1607"/>
      <c r="AH693" s="1607"/>
      <c r="AI693" s="1607"/>
      <c r="AJ693" s="1607"/>
      <c r="AK693" s="1607"/>
      <c r="AL693" s="1607"/>
      <c r="AM693" s="1607"/>
      <c r="AN693" s="1607"/>
      <c r="AO693" s="1607"/>
      <c r="AP693" s="1607"/>
      <c r="AQ693" s="1607"/>
      <c r="AR693" s="1607"/>
      <c r="AS693" s="1607"/>
      <c r="AT693" s="1607"/>
      <c r="AU693" s="1607"/>
      <c r="AV693" s="1607"/>
      <c r="AW693" s="1607"/>
      <c r="AX693" s="1607"/>
      <c r="AY693" s="1607"/>
      <c r="AZ693" s="1607"/>
      <c r="BA693" s="1607"/>
      <c r="BB693" s="1607"/>
      <c r="BC693" s="1607"/>
      <c r="BD693" s="1607"/>
      <c r="BE693" s="1607"/>
      <c r="BF693" s="1607"/>
      <c r="BG693" s="1607"/>
      <c r="BH693" s="1607"/>
      <c r="BI693" s="1607"/>
      <c r="BJ693" s="1607"/>
      <c r="BK693" s="1607"/>
      <c r="BL693" s="1607"/>
    </row>
    <row r="694">
      <c r="A694" s="1607"/>
      <c r="B694" s="1607"/>
      <c r="C694" s="1607"/>
      <c r="D694" s="1607"/>
      <c r="E694" s="1607"/>
      <c r="F694" s="1607"/>
      <c r="G694" s="1607"/>
      <c r="H694" s="1607"/>
      <c r="I694" s="1607"/>
      <c r="J694" s="1607"/>
      <c r="K694" s="1607"/>
      <c r="L694" s="1607"/>
      <c r="M694" s="1607"/>
      <c r="N694" s="1607"/>
      <c r="O694" s="1607"/>
      <c r="P694" s="1607"/>
      <c r="Q694" s="1607"/>
      <c r="R694" s="1607"/>
      <c r="S694" s="1607"/>
      <c r="T694" s="1607"/>
      <c r="U694" s="1607"/>
      <c r="V694" s="1607"/>
      <c r="W694" s="1607"/>
      <c r="X694" s="1607"/>
      <c r="Y694" s="1607"/>
      <c r="Z694" s="1607"/>
      <c r="AA694" s="1607"/>
      <c r="AB694" s="1607"/>
      <c r="AC694" s="1607"/>
      <c r="AD694" s="1607"/>
      <c r="AE694" s="1607"/>
      <c r="AF694" s="1607"/>
      <c r="AG694" s="1607"/>
      <c r="AH694" s="1607"/>
      <c r="AI694" s="1607"/>
      <c r="AJ694" s="1607"/>
      <c r="AK694" s="1607"/>
      <c r="AL694" s="1607"/>
      <c r="AM694" s="1607"/>
      <c r="AN694" s="1607"/>
      <c r="AO694" s="1607"/>
      <c r="AP694" s="1607"/>
      <c r="AQ694" s="1607"/>
      <c r="AR694" s="1607"/>
      <c r="AS694" s="1607"/>
      <c r="AT694" s="1607"/>
      <c r="AU694" s="1607"/>
      <c r="AV694" s="1607"/>
      <c r="AW694" s="1607"/>
      <c r="AX694" s="1607"/>
      <c r="AY694" s="1607"/>
      <c r="AZ694" s="1607"/>
      <c r="BA694" s="1607"/>
      <c r="BB694" s="1607"/>
      <c r="BC694" s="1607"/>
      <c r="BD694" s="1607"/>
      <c r="BE694" s="1607"/>
      <c r="BF694" s="1607"/>
      <c r="BG694" s="1607"/>
      <c r="BH694" s="1607"/>
      <c r="BI694" s="1607"/>
      <c r="BJ694" s="1607"/>
      <c r="BK694" s="1607"/>
      <c r="BL694" s="1607"/>
    </row>
    <row r="695">
      <c r="A695" s="1607"/>
      <c r="B695" s="1607"/>
      <c r="C695" s="1607"/>
      <c r="D695" s="1607"/>
      <c r="E695" s="1607"/>
      <c r="F695" s="1607"/>
      <c r="G695" s="1607"/>
      <c r="H695" s="1607"/>
      <c r="I695" s="1607"/>
      <c r="J695" s="1607"/>
      <c r="K695" s="1607"/>
      <c r="L695" s="1607"/>
      <c r="M695" s="1607"/>
      <c r="N695" s="1607"/>
      <c r="O695" s="1607"/>
      <c r="P695" s="1607"/>
      <c r="Q695" s="1607"/>
      <c r="R695" s="1607"/>
      <c r="S695" s="1607"/>
      <c r="T695" s="1607"/>
      <c r="U695" s="1607"/>
      <c r="V695" s="1607"/>
      <c r="W695" s="1607"/>
      <c r="X695" s="1607"/>
      <c r="Y695" s="1607"/>
      <c r="Z695" s="1607"/>
      <c r="AA695" s="1607"/>
      <c r="AB695" s="1607"/>
      <c r="AC695" s="1607"/>
      <c r="AD695" s="1607"/>
      <c r="AE695" s="1607"/>
      <c r="AF695" s="1607"/>
      <c r="AG695" s="1607"/>
      <c r="AH695" s="1607"/>
      <c r="AI695" s="1607"/>
      <c r="AJ695" s="1607"/>
      <c r="AK695" s="1607"/>
      <c r="AL695" s="1607"/>
      <c r="AM695" s="1607"/>
      <c r="AN695" s="1607"/>
      <c r="AO695" s="1607"/>
      <c r="AP695" s="1607"/>
      <c r="AQ695" s="1607"/>
      <c r="AR695" s="1607"/>
      <c r="AS695" s="1607"/>
      <c r="AT695" s="1607"/>
      <c r="AU695" s="1607"/>
      <c r="AV695" s="1607"/>
      <c r="AW695" s="1607"/>
      <c r="AX695" s="1607"/>
      <c r="AY695" s="1607"/>
      <c r="AZ695" s="1607"/>
      <c r="BA695" s="1607"/>
      <c r="BB695" s="1607"/>
      <c r="BC695" s="1607"/>
      <c r="BD695" s="1607"/>
      <c r="BE695" s="1607"/>
      <c r="BF695" s="1607"/>
      <c r="BG695" s="1607"/>
      <c r="BH695" s="1607"/>
      <c r="BI695" s="1607"/>
      <c r="BJ695" s="1607"/>
      <c r="BK695" s="1607"/>
      <c r="BL695" s="1607"/>
    </row>
    <row r="696">
      <c r="A696" s="1607"/>
      <c r="B696" s="1607"/>
      <c r="C696" s="1607"/>
      <c r="D696" s="1607"/>
      <c r="E696" s="1607"/>
      <c r="F696" s="1607"/>
      <c r="G696" s="1607"/>
      <c r="H696" s="1607"/>
      <c r="I696" s="1607"/>
      <c r="J696" s="1607"/>
      <c r="K696" s="1607"/>
      <c r="L696" s="1607"/>
      <c r="M696" s="1607"/>
      <c r="N696" s="1607"/>
      <c r="O696" s="1607"/>
      <c r="P696" s="1607"/>
      <c r="Q696" s="1607"/>
      <c r="R696" s="1607"/>
      <c r="S696" s="1607"/>
      <c r="T696" s="1607"/>
      <c r="U696" s="1607"/>
      <c r="V696" s="1607"/>
      <c r="W696" s="1607"/>
      <c r="X696" s="1607"/>
      <c r="Y696" s="1607"/>
      <c r="Z696" s="1607"/>
      <c r="AA696" s="1607"/>
      <c r="AB696" s="1607"/>
      <c r="AC696" s="1607"/>
      <c r="AD696" s="1607"/>
      <c r="AE696" s="1607"/>
      <c r="AF696" s="1607"/>
      <c r="AG696" s="1607"/>
      <c r="AH696" s="1607"/>
      <c r="AI696" s="1607"/>
      <c r="AJ696" s="1607"/>
      <c r="AK696" s="1607"/>
      <c r="AL696" s="1607"/>
      <c r="AM696" s="1607"/>
      <c r="AN696" s="1607"/>
      <c r="AO696" s="1607"/>
      <c r="AP696" s="1607"/>
      <c r="AQ696" s="1607"/>
      <c r="AR696" s="1607"/>
      <c r="AS696" s="1607"/>
      <c r="AT696" s="1607"/>
      <c r="AU696" s="1607"/>
      <c r="AV696" s="1607"/>
      <c r="AW696" s="1607"/>
      <c r="AX696" s="1607"/>
      <c r="AY696" s="1607"/>
      <c r="AZ696" s="1607"/>
      <c r="BA696" s="1607"/>
      <c r="BB696" s="1607"/>
      <c r="BC696" s="1607"/>
      <c r="BD696" s="1607"/>
      <c r="BE696" s="1607"/>
      <c r="BF696" s="1607"/>
      <c r="BG696" s="1607"/>
      <c r="BH696" s="1607"/>
      <c r="BI696" s="1607"/>
      <c r="BJ696" s="1607"/>
      <c r="BK696" s="1607"/>
      <c r="BL696" s="1607"/>
    </row>
    <row r="697">
      <c r="A697" s="1607"/>
      <c r="B697" s="1607"/>
      <c r="C697" s="1607"/>
      <c r="D697" s="1607"/>
      <c r="E697" s="1607"/>
      <c r="F697" s="1607"/>
      <c r="G697" s="1607"/>
      <c r="H697" s="1607"/>
      <c r="I697" s="1607"/>
      <c r="J697" s="1607"/>
      <c r="K697" s="1607"/>
      <c r="L697" s="1607"/>
      <c r="M697" s="1607"/>
      <c r="N697" s="1607"/>
      <c r="O697" s="1607"/>
      <c r="P697" s="1607"/>
      <c r="Q697" s="1607"/>
      <c r="R697" s="1607"/>
      <c r="S697" s="1607"/>
      <c r="T697" s="1607"/>
      <c r="U697" s="1607"/>
      <c r="V697" s="1607"/>
      <c r="W697" s="1607"/>
      <c r="X697" s="1607"/>
      <c r="Y697" s="1607"/>
      <c r="Z697" s="1607"/>
      <c r="AA697" s="1607"/>
      <c r="AB697" s="1607"/>
      <c r="AC697" s="1607"/>
      <c r="AD697" s="1607"/>
      <c r="AE697" s="1607"/>
      <c r="AF697" s="1607"/>
      <c r="AG697" s="1607"/>
      <c r="AH697" s="1607"/>
      <c r="AI697" s="1607"/>
      <c r="AJ697" s="1607"/>
      <c r="AK697" s="1607"/>
      <c r="AL697" s="1607"/>
      <c r="AM697" s="1607"/>
      <c r="AN697" s="1607"/>
      <c r="AO697" s="1607"/>
      <c r="AP697" s="1607"/>
      <c r="AQ697" s="1607"/>
      <c r="AR697" s="1607"/>
      <c r="AS697" s="1607"/>
      <c r="AT697" s="1607"/>
      <c r="AU697" s="1607"/>
      <c r="AV697" s="1607"/>
      <c r="AW697" s="1607"/>
      <c r="AX697" s="1607"/>
      <c r="AY697" s="1607"/>
      <c r="AZ697" s="1607"/>
      <c r="BA697" s="1607"/>
      <c r="BB697" s="1607"/>
      <c r="BC697" s="1607"/>
      <c r="BD697" s="1607"/>
      <c r="BE697" s="1607"/>
      <c r="BF697" s="1607"/>
      <c r="BG697" s="1607"/>
      <c r="BH697" s="1607"/>
      <c r="BI697" s="1607"/>
      <c r="BJ697" s="1607"/>
      <c r="BK697" s="1607"/>
      <c r="BL697" s="1607"/>
    </row>
    <row r="698">
      <c r="A698" s="1607"/>
      <c r="B698" s="1607"/>
      <c r="C698" s="1607"/>
      <c r="D698" s="1607"/>
      <c r="E698" s="1607"/>
      <c r="F698" s="1607"/>
      <c r="G698" s="1607"/>
      <c r="H698" s="1607"/>
      <c r="I698" s="1607"/>
      <c r="J698" s="1607"/>
      <c r="K698" s="1607"/>
      <c r="L698" s="1607"/>
      <c r="M698" s="1607"/>
      <c r="N698" s="1607"/>
      <c r="O698" s="1607"/>
      <c r="P698" s="1607"/>
      <c r="Q698" s="1607"/>
      <c r="R698" s="1607"/>
      <c r="S698" s="1607"/>
      <c r="T698" s="1607"/>
      <c r="U698" s="1607"/>
      <c r="V698" s="1607"/>
      <c r="W698" s="1607"/>
      <c r="X698" s="1607"/>
      <c r="Y698" s="1607"/>
      <c r="Z698" s="1607"/>
      <c r="AA698" s="1607"/>
      <c r="AB698" s="1607"/>
      <c r="AC698" s="1607"/>
      <c r="AD698" s="1607"/>
      <c r="AE698" s="1607"/>
      <c r="AF698" s="1607"/>
      <c r="AG698" s="1607"/>
      <c r="AH698" s="1607"/>
      <c r="AI698" s="1607"/>
      <c r="AJ698" s="1607"/>
      <c r="AK698" s="1607"/>
      <c r="AL698" s="1607"/>
      <c r="AM698" s="1607"/>
      <c r="AN698" s="1607"/>
      <c r="AO698" s="1607"/>
      <c r="AP698" s="1607"/>
      <c r="AQ698" s="1607"/>
      <c r="AR698" s="1607"/>
      <c r="AS698" s="1607"/>
      <c r="AT698" s="1607"/>
      <c r="AU698" s="1607"/>
      <c r="AV698" s="1607"/>
      <c r="AW698" s="1607"/>
      <c r="AX698" s="1607"/>
      <c r="AY698" s="1607"/>
      <c r="AZ698" s="1607"/>
      <c r="BA698" s="1607"/>
      <c r="BB698" s="1607"/>
      <c r="BC698" s="1607"/>
      <c r="BD698" s="1607"/>
      <c r="BE698" s="1607"/>
      <c r="BF698" s="1607"/>
      <c r="BG698" s="1607"/>
      <c r="BH698" s="1607"/>
      <c r="BI698" s="1607"/>
      <c r="BJ698" s="1607"/>
      <c r="BK698" s="1607"/>
      <c r="BL698" s="1607"/>
    </row>
    <row r="699">
      <c r="A699" s="1607"/>
      <c r="B699" s="1607"/>
      <c r="C699" s="1607"/>
      <c r="D699" s="1607"/>
      <c r="E699" s="1607"/>
      <c r="F699" s="1607"/>
      <c r="G699" s="1607"/>
      <c r="H699" s="1607"/>
      <c r="I699" s="1607"/>
      <c r="J699" s="1607"/>
      <c r="K699" s="1607"/>
      <c r="L699" s="1607"/>
      <c r="M699" s="1607"/>
      <c r="N699" s="1607"/>
      <c r="O699" s="1607"/>
      <c r="P699" s="1607"/>
      <c r="Q699" s="1607"/>
      <c r="R699" s="1607"/>
      <c r="S699" s="1607"/>
      <c r="T699" s="1607"/>
      <c r="U699" s="1607"/>
      <c r="V699" s="1607"/>
      <c r="W699" s="1607"/>
      <c r="X699" s="1607"/>
      <c r="Y699" s="1607"/>
      <c r="Z699" s="1607"/>
      <c r="AA699" s="1607"/>
      <c r="AB699" s="1607"/>
      <c r="AC699" s="1607"/>
      <c r="AD699" s="1607"/>
      <c r="AE699" s="1607"/>
      <c r="AF699" s="1607"/>
      <c r="AG699" s="1607"/>
      <c r="AH699" s="1607"/>
      <c r="AI699" s="1607"/>
      <c r="AJ699" s="1607"/>
      <c r="AK699" s="1607"/>
      <c r="AL699" s="1607"/>
      <c r="AM699" s="1607"/>
      <c r="AN699" s="1607"/>
      <c r="AO699" s="1607"/>
      <c r="AP699" s="1607"/>
      <c r="AQ699" s="1607"/>
      <c r="AR699" s="1607"/>
      <c r="AS699" s="1607"/>
      <c r="AT699" s="1607"/>
      <c r="AU699" s="1607"/>
      <c r="AV699" s="1607"/>
      <c r="AW699" s="1607"/>
      <c r="AX699" s="1607"/>
      <c r="AY699" s="1607"/>
      <c r="AZ699" s="1607"/>
      <c r="BA699" s="1607"/>
      <c r="BB699" s="1607"/>
      <c r="BC699" s="1607"/>
      <c r="BD699" s="1607"/>
      <c r="BE699" s="1607"/>
      <c r="BF699" s="1607"/>
      <c r="BG699" s="1607"/>
      <c r="BH699" s="1607"/>
      <c r="BI699" s="1607"/>
      <c r="BJ699" s="1607"/>
      <c r="BK699" s="1607"/>
      <c r="BL699" s="1607"/>
    </row>
    <row r="700">
      <c r="A700" s="1607"/>
      <c r="B700" s="1607"/>
      <c r="C700" s="1607"/>
      <c r="D700" s="1607"/>
      <c r="E700" s="1607"/>
      <c r="F700" s="1607"/>
      <c r="G700" s="1607"/>
      <c r="H700" s="1607"/>
      <c r="I700" s="1607"/>
      <c r="J700" s="1607"/>
      <c r="K700" s="1607"/>
      <c r="L700" s="1607"/>
      <c r="M700" s="1607"/>
      <c r="N700" s="1607"/>
      <c r="O700" s="1607"/>
      <c r="P700" s="1607"/>
      <c r="Q700" s="1607"/>
      <c r="R700" s="1607"/>
      <c r="S700" s="1607"/>
      <c r="T700" s="1607"/>
      <c r="U700" s="1607"/>
      <c r="V700" s="1607"/>
      <c r="W700" s="1607"/>
      <c r="X700" s="1607"/>
      <c r="Y700" s="1607"/>
      <c r="Z700" s="1607"/>
      <c r="AA700" s="1607"/>
      <c r="AB700" s="1607"/>
      <c r="AC700" s="1607"/>
      <c r="AD700" s="1607"/>
      <c r="AE700" s="1607"/>
      <c r="AF700" s="1607"/>
      <c r="AG700" s="1607"/>
      <c r="AH700" s="1607"/>
      <c r="AI700" s="1607"/>
      <c r="AJ700" s="1607"/>
      <c r="AK700" s="1607"/>
      <c r="AL700" s="1607"/>
      <c r="AM700" s="1607"/>
      <c r="AN700" s="1607"/>
      <c r="AO700" s="1607"/>
      <c r="AP700" s="1607"/>
      <c r="AQ700" s="1607"/>
      <c r="AR700" s="1607"/>
      <c r="AS700" s="1607"/>
      <c r="AT700" s="1607"/>
      <c r="AU700" s="1607"/>
      <c r="AV700" s="1607"/>
      <c r="AW700" s="1607"/>
      <c r="AX700" s="1607"/>
      <c r="AY700" s="1607"/>
      <c r="AZ700" s="1607"/>
      <c r="BA700" s="1607"/>
      <c r="BB700" s="1607"/>
      <c r="BC700" s="1607"/>
      <c r="BD700" s="1607"/>
      <c r="BE700" s="1607"/>
      <c r="BF700" s="1607"/>
      <c r="BG700" s="1607"/>
      <c r="BH700" s="1607"/>
      <c r="BI700" s="1607"/>
      <c r="BJ700" s="1607"/>
      <c r="BK700" s="1607"/>
      <c r="BL700" s="1607"/>
    </row>
    <row r="701">
      <c r="A701" s="1607"/>
      <c r="B701" s="1607"/>
      <c r="C701" s="1607"/>
      <c r="D701" s="1607"/>
      <c r="E701" s="1607"/>
      <c r="F701" s="1607"/>
      <c r="G701" s="1607"/>
      <c r="H701" s="1607"/>
      <c r="I701" s="1607"/>
      <c r="J701" s="1607"/>
      <c r="K701" s="1607"/>
      <c r="L701" s="1607"/>
      <c r="M701" s="1607"/>
      <c r="N701" s="1607"/>
      <c r="O701" s="1607"/>
      <c r="P701" s="1607"/>
      <c r="Q701" s="1607"/>
      <c r="R701" s="1607"/>
      <c r="S701" s="1607"/>
      <c r="T701" s="1607"/>
      <c r="U701" s="1607"/>
      <c r="V701" s="1607"/>
      <c r="W701" s="1607"/>
      <c r="X701" s="1607"/>
      <c r="Y701" s="1607"/>
      <c r="Z701" s="1607"/>
      <c r="AA701" s="1607"/>
      <c r="AB701" s="1607"/>
      <c r="AC701" s="1607"/>
      <c r="AD701" s="1607"/>
      <c r="AE701" s="1607"/>
      <c r="AF701" s="1607"/>
      <c r="AG701" s="1607"/>
      <c r="AH701" s="1607"/>
      <c r="AI701" s="1607"/>
      <c r="AJ701" s="1607"/>
      <c r="AK701" s="1607"/>
      <c r="AL701" s="1607"/>
      <c r="AM701" s="1607"/>
      <c r="AN701" s="1607"/>
      <c r="AO701" s="1607"/>
      <c r="AP701" s="1607"/>
      <c r="AQ701" s="1607"/>
      <c r="AR701" s="1607"/>
      <c r="AS701" s="1607"/>
      <c r="AT701" s="1607"/>
      <c r="AU701" s="1607"/>
      <c r="AV701" s="1607"/>
      <c r="AW701" s="1607"/>
      <c r="AX701" s="1607"/>
      <c r="AY701" s="1607"/>
      <c r="AZ701" s="1607"/>
      <c r="BA701" s="1607"/>
      <c r="BB701" s="1607"/>
      <c r="BC701" s="1607"/>
      <c r="BD701" s="1607"/>
      <c r="BE701" s="1607"/>
      <c r="BF701" s="1607"/>
      <c r="BG701" s="1607"/>
      <c r="BH701" s="1607"/>
      <c r="BI701" s="1607"/>
      <c r="BJ701" s="1607"/>
      <c r="BK701" s="1607"/>
      <c r="BL701" s="1607"/>
    </row>
    <row r="702">
      <c r="A702" s="1607"/>
      <c r="B702" s="1607"/>
      <c r="C702" s="1607"/>
      <c r="D702" s="1607"/>
      <c r="E702" s="1607"/>
      <c r="F702" s="1607"/>
      <c r="G702" s="1607"/>
      <c r="H702" s="1607"/>
      <c r="I702" s="1607"/>
      <c r="J702" s="1607"/>
      <c r="K702" s="1607"/>
      <c r="L702" s="1607"/>
      <c r="M702" s="1607"/>
      <c r="N702" s="1607"/>
      <c r="O702" s="1607"/>
      <c r="P702" s="1607"/>
      <c r="Q702" s="1607"/>
      <c r="R702" s="1607"/>
      <c r="S702" s="1607"/>
      <c r="T702" s="1607"/>
      <c r="U702" s="1607"/>
      <c r="V702" s="1607"/>
      <c r="W702" s="1607"/>
      <c r="X702" s="1607"/>
      <c r="Y702" s="1607"/>
      <c r="Z702" s="1607"/>
      <c r="AA702" s="1607"/>
      <c r="AB702" s="1607"/>
      <c r="AC702" s="1607"/>
      <c r="AD702" s="1607"/>
      <c r="AE702" s="1607"/>
      <c r="AF702" s="1607"/>
      <c r="AG702" s="1607"/>
      <c r="AH702" s="1607"/>
      <c r="AI702" s="1607"/>
      <c r="AJ702" s="1607"/>
      <c r="AK702" s="1607"/>
      <c r="AL702" s="1607"/>
      <c r="AM702" s="1607"/>
      <c r="AN702" s="1607"/>
      <c r="AO702" s="1607"/>
      <c r="AP702" s="1607"/>
      <c r="AQ702" s="1607"/>
      <c r="AR702" s="1607"/>
      <c r="AS702" s="1607"/>
      <c r="AT702" s="1607"/>
      <c r="AU702" s="1607"/>
      <c r="AV702" s="1607"/>
      <c r="AW702" s="1607"/>
      <c r="AX702" s="1607"/>
      <c r="AY702" s="1607"/>
      <c r="AZ702" s="1607"/>
      <c r="BA702" s="1607"/>
      <c r="BB702" s="1607"/>
      <c r="BC702" s="1607"/>
      <c r="BD702" s="1607"/>
      <c r="BE702" s="1607"/>
      <c r="BF702" s="1607"/>
      <c r="BG702" s="1607"/>
      <c r="BH702" s="1607"/>
      <c r="BI702" s="1607"/>
      <c r="BJ702" s="1607"/>
      <c r="BK702" s="1607"/>
      <c r="BL702" s="1607"/>
    </row>
    <row r="703">
      <c r="A703" s="1607"/>
      <c r="B703" s="1607"/>
      <c r="C703" s="1607"/>
      <c r="D703" s="1607"/>
      <c r="E703" s="1607"/>
      <c r="F703" s="1607"/>
      <c r="G703" s="1607"/>
      <c r="H703" s="1607"/>
      <c r="I703" s="1607"/>
      <c r="J703" s="1607"/>
      <c r="K703" s="1607"/>
      <c r="L703" s="1607"/>
      <c r="M703" s="1607"/>
      <c r="N703" s="1607"/>
      <c r="O703" s="1607"/>
      <c r="P703" s="1607"/>
      <c r="Q703" s="1607"/>
      <c r="R703" s="1607"/>
      <c r="S703" s="1607"/>
      <c r="T703" s="1607"/>
      <c r="U703" s="1607"/>
      <c r="V703" s="1607"/>
      <c r="W703" s="1607"/>
      <c r="X703" s="1607"/>
      <c r="Y703" s="1607"/>
      <c r="Z703" s="1607"/>
      <c r="AA703" s="1607"/>
      <c r="AB703" s="1607"/>
      <c r="AC703" s="1607"/>
      <c r="AD703" s="1607"/>
      <c r="AE703" s="1607"/>
      <c r="AF703" s="1607"/>
      <c r="AG703" s="1607"/>
      <c r="AH703" s="1607"/>
      <c r="AI703" s="1607"/>
      <c r="AJ703" s="1607"/>
      <c r="AK703" s="1607"/>
      <c r="AL703" s="1607"/>
      <c r="AM703" s="1607"/>
      <c r="AN703" s="1607"/>
      <c r="AO703" s="1607"/>
      <c r="AP703" s="1607"/>
      <c r="AQ703" s="1607"/>
      <c r="AR703" s="1607"/>
      <c r="AS703" s="1607"/>
      <c r="AT703" s="1607"/>
      <c r="AU703" s="1607"/>
      <c r="AV703" s="1607"/>
      <c r="AW703" s="1607"/>
      <c r="AX703" s="1607"/>
      <c r="AY703" s="1607"/>
      <c r="AZ703" s="1607"/>
      <c r="BA703" s="1607"/>
      <c r="BB703" s="1607"/>
      <c r="BC703" s="1607"/>
      <c r="BD703" s="1607"/>
      <c r="BE703" s="1607"/>
      <c r="BF703" s="1607"/>
      <c r="BG703" s="1607"/>
      <c r="BH703" s="1607"/>
      <c r="BI703" s="1607"/>
      <c r="BJ703" s="1607"/>
      <c r="BK703" s="1607"/>
      <c r="BL703" s="1607"/>
    </row>
    <row r="704">
      <c r="A704" s="1607"/>
      <c r="B704" s="1607"/>
      <c r="C704" s="1607"/>
      <c r="D704" s="1607"/>
      <c r="E704" s="1607"/>
      <c r="F704" s="1607"/>
      <c r="G704" s="1607"/>
      <c r="H704" s="1607"/>
      <c r="I704" s="1607"/>
      <c r="J704" s="1607"/>
      <c r="K704" s="1607"/>
      <c r="L704" s="1607"/>
      <c r="M704" s="1607"/>
      <c r="N704" s="1607"/>
      <c r="O704" s="1607"/>
      <c r="P704" s="1607"/>
      <c r="Q704" s="1607"/>
      <c r="R704" s="1607"/>
      <c r="S704" s="1607"/>
      <c r="T704" s="1607"/>
      <c r="U704" s="1607"/>
      <c r="V704" s="1607"/>
      <c r="W704" s="1607"/>
      <c r="X704" s="1607"/>
      <c r="Y704" s="1607"/>
      <c r="Z704" s="1607"/>
      <c r="AA704" s="1607"/>
      <c r="AB704" s="1607"/>
      <c r="AC704" s="1607"/>
      <c r="AD704" s="1607"/>
      <c r="AE704" s="1607"/>
      <c r="AF704" s="1607"/>
      <c r="AG704" s="1607"/>
      <c r="AH704" s="1607"/>
      <c r="AI704" s="1607"/>
      <c r="AJ704" s="1607"/>
      <c r="AK704" s="1607"/>
      <c r="AL704" s="1607"/>
      <c r="AM704" s="1607"/>
      <c r="AN704" s="1607"/>
      <c r="AO704" s="1607"/>
      <c r="AP704" s="1607"/>
      <c r="AQ704" s="1607"/>
      <c r="AR704" s="1607"/>
      <c r="AS704" s="1607"/>
      <c r="AT704" s="1607"/>
      <c r="AU704" s="1607"/>
      <c r="AV704" s="1607"/>
      <c r="AW704" s="1607"/>
      <c r="AX704" s="1607"/>
      <c r="AY704" s="1607"/>
      <c r="AZ704" s="1607"/>
      <c r="BA704" s="1607"/>
      <c r="BB704" s="1607"/>
      <c r="BC704" s="1607"/>
      <c r="BD704" s="1607"/>
      <c r="BE704" s="1607"/>
      <c r="BF704" s="1607"/>
      <c r="BG704" s="1607"/>
      <c r="BH704" s="1607"/>
      <c r="BI704" s="1607"/>
      <c r="BJ704" s="1607"/>
      <c r="BK704" s="1607"/>
      <c r="BL704" s="1607"/>
    </row>
    <row r="705">
      <c r="A705" s="1607"/>
      <c r="B705" s="1607"/>
      <c r="C705" s="1607"/>
      <c r="D705" s="1607"/>
      <c r="E705" s="1607"/>
      <c r="F705" s="1607"/>
      <c r="G705" s="1607"/>
      <c r="H705" s="1607"/>
      <c r="I705" s="1607"/>
      <c r="J705" s="1607"/>
      <c r="K705" s="1607"/>
      <c r="L705" s="1607"/>
      <c r="M705" s="1607"/>
      <c r="N705" s="1607"/>
      <c r="O705" s="1607"/>
      <c r="P705" s="1607"/>
      <c r="Q705" s="1607"/>
      <c r="R705" s="1607"/>
      <c r="S705" s="1607"/>
      <c r="T705" s="1607"/>
      <c r="U705" s="1607"/>
      <c r="V705" s="1607"/>
      <c r="W705" s="1607"/>
      <c r="X705" s="1607"/>
      <c r="Y705" s="1607"/>
      <c r="Z705" s="1607"/>
      <c r="AA705" s="1607"/>
      <c r="AB705" s="1607"/>
      <c r="AC705" s="1607"/>
      <c r="AD705" s="1607"/>
      <c r="AE705" s="1607"/>
      <c r="AF705" s="1607"/>
      <c r="AG705" s="1607"/>
      <c r="AH705" s="1607"/>
      <c r="AI705" s="1607"/>
      <c r="AJ705" s="1607"/>
      <c r="AK705" s="1607"/>
      <c r="AL705" s="1607"/>
      <c r="AM705" s="1607"/>
      <c r="AN705" s="1607"/>
      <c r="AO705" s="1607"/>
      <c r="AP705" s="1607"/>
      <c r="AQ705" s="1607"/>
      <c r="AR705" s="1607"/>
      <c r="AS705" s="1607"/>
      <c r="AT705" s="1607"/>
      <c r="AU705" s="1607"/>
      <c r="AV705" s="1607"/>
      <c r="AW705" s="1607"/>
      <c r="AX705" s="1607"/>
      <c r="AY705" s="1607"/>
      <c r="AZ705" s="1607"/>
      <c r="BA705" s="1607"/>
      <c r="BB705" s="1607"/>
      <c r="BC705" s="1607"/>
      <c r="BD705" s="1607"/>
      <c r="BE705" s="1607"/>
      <c r="BF705" s="1607"/>
      <c r="BG705" s="1607"/>
      <c r="BH705" s="1607"/>
      <c r="BI705" s="1607"/>
      <c r="BJ705" s="1607"/>
      <c r="BK705" s="1607"/>
      <c r="BL705" s="1607"/>
    </row>
    <row r="706">
      <c r="A706" s="1607"/>
      <c r="B706" s="1607"/>
      <c r="C706" s="1607"/>
      <c r="D706" s="1607"/>
      <c r="E706" s="1607"/>
      <c r="F706" s="1607"/>
      <c r="G706" s="1607"/>
      <c r="H706" s="1607"/>
      <c r="I706" s="1607"/>
      <c r="J706" s="1607"/>
      <c r="K706" s="1607"/>
      <c r="L706" s="1607"/>
      <c r="M706" s="1607"/>
      <c r="N706" s="1607"/>
      <c r="O706" s="1607"/>
      <c r="P706" s="1607"/>
      <c r="Q706" s="1607"/>
      <c r="R706" s="1607"/>
      <c r="S706" s="1607"/>
      <c r="T706" s="1607"/>
      <c r="U706" s="1607"/>
      <c r="V706" s="1607"/>
      <c r="W706" s="1607"/>
      <c r="X706" s="1607"/>
      <c r="Y706" s="1607"/>
      <c r="Z706" s="1607"/>
      <c r="AA706" s="1607"/>
      <c r="AB706" s="1607"/>
      <c r="AC706" s="1607"/>
      <c r="AD706" s="1607"/>
      <c r="AE706" s="1607"/>
      <c r="AF706" s="1607"/>
      <c r="AG706" s="1607"/>
      <c r="AH706" s="1607"/>
      <c r="AI706" s="1607"/>
      <c r="AJ706" s="1607"/>
      <c r="AK706" s="1607"/>
      <c r="AL706" s="1607"/>
      <c r="AM706" s="1607"/>
      <c r="AN706" s="1607"/>
      <c r="AO706" s="1607"/>
      <c r="AP706" s="1607"/>
      <c r="AQ706" s="1607"/>
      <c r="AR706" s="1607"/>
      <c r="AS706" s="1607"/>
      <c r="AT706" s="1607"/>
      <c r="AU706" s="1607"/>
      <c r="AV706" s="1607"/>
      <c r="AW706" s="1607"/>
      <c r="AX706" s="1607"/>
      <c r="AY706" s="1607"/>
      <c r="AZ706" s="1607"/>
      <c r="BA706" s="1607"/>
      <c r="BB706" s="1607"/>
      <c r="BC706" s="1607"/>
      <c r="BD706" s="1607"/>
      <c r="BE706" s="1607"/>
      <c r="BF706" s="1607"/>
      <c r="BG706" s="1607"/>
      <c r="BH706" s="1607"/>
      <c r="BI706" s="1607"/>
      <c r="BJ706" s="1607"/>
      <c r="BK706" s="1607"/>
      <c r="BL706" s="1607"/>
    </row>
    <row r="707">
      <c r="A707" s="1607"/>
      <c r="B707" s="1607"/>
      <c r="C707" s="1607"/>
      <c r="D707" s="1607"/>
      <c r="E707" s="1607"/>
      <c r="F707" s="1607"/>
      <c r="G707" s="1607"/>
      <c r="H707" s="1607"/>
      <c r="I707" s="1607"/>
      <c r="J707" s="1607"/>
      <c r="K707" s="1607"/>
      <c r="L707" s="1607"/>
      <c r="M707" s="1607"/>
      <c r="N707" s="1607"/>
      <c r="O707" s="1607"/>
      <c r="P707" s="1607"/>
      <c r="Q707" s="1607"/>
      <c r="R707" s="1607"/>
      <c r="S707" s="1607"/>
      <c r="T707" s="1607"/>
      <c r="U707" s="1607"/>
      <c r="V707" s="1607"/>
      <c r="W707" s="1607"/>
      <c r="X707" s="1607"/>
      <c r="Y707" s="1607"/>
      <c r="Z707" s="1607"/>
      <c r="AA707" s="1607"/>
      <c r="AB707" s="1607"/>
      <c r="AC707" s="1607"/>
      <c r="AD707" s="1607"/>
      <c r="AE707" s="1607"/>
      <c r="AF707" s="1607"/>
      <c r="AG707" s="1607"/>
      <c r="AH707" s="1607"/>
      <c r="AI707" s="1607"/>
      <c r="AJ707" s="1607"/>
      <c r="AK707" s="1607"/>
      <c r="AL707" s="1607"/>
      <c r="AM707" s="1607"/>
      <c r="AN707" s="1607"/>
      <c r="AO707" s="1607"/>
      <c r="AP707" s="1607"/>
      <c r="AQ707" s="1607"/>
      <c r="AR707" s="1607"/>
      <c r="AS707" s="1607"/>
      <c r="AT707" s="1607"/>
      <c r="AU707" s="1607"/>
      <c r="AV707" s="1607"/>
      <c r="AW707" s="1607"/>
      <c r="AX707" s="1607"/>
      <c r="AY707" s="1607"/>
      <c r="AZ707" s="1607"/>
      <c r="BA707" s="1607"/>
      <c r="BB707" s="1607"/>
      <c r="BC707" s="1607"/>
      <c r="BD707" s="1607"/>
      <c r="BE707" s="1607"/>
      <c r="BF707" s="1607"/>
      <c r="BG707" s="1607"/>
      <c r="BH707" s="1607"/>
      <c r="BI707" s="1607"/>
      <c r="BJ707" s="1607"/>
      <c r="BK707" s="1607"/>
      <c r="BL707" s="1607"/>
    </row>
    <row r="708">
      <c r="A708" s="1607"/>
      <c r="B708" s="1607"/>
      <c r="C708" s="1607"/>
      <c r="D708" s="1607"/>
      <c r="E708" s="1607"/>
      <c r="F708" s="1607"/>
      <c r="G708" s="1607"/>
      <c r="H708" s="1607"/>
      <c r="I708" s="1607"/>
      <c r="J708" s="1607"/>
      <c r="K708" s="1607"/>
      <c r="L708" s="1607"/>
      <c r="M708" s="1607"/>
      <c r="N708" s="1607"/>
      <c r="O708" s="1607"/>
      <c r="P708" s="1607"/>
      <c r="Q708" s="1607"/>
      <c r="R708" s="1607"/>
      <c r="S708" s="1607"/>
      <c r="T708" s="1607"/>
      <c r="U708" s="1607"/>
      <c r="V708" s="1607"/>
      <c r="W708" s="1607"/>
      <c r="X708" s="1607"/>
      <c r="Y708" s="1607"/>
      <c r="Z708" s="1607"/>
      <c r="AA708" s="1607"/>
      <c r="AB708" s="1607"/>
      <c r="AC708" s="1607"/>
      <c r="AD708" s="1607"/>
      <c r="AE708" s="1607"/>
      <c r="AF708" s="1607"/>
      <c r="AG708" s="1607"/>
      <c r="AH708" s="1607"/>
      <c r="AI708" s="1607"/>
      <c r="AJ708" s="1607"/>
      <c r="AK708" s="1607"/>
      <c r="AL708" s="1607"/>
      <c r="AM708" s="1607"/>
      <c r="AN708" s="1607"/>
      <c r="AO708" s="1607"/>
      <c r="AP708" s="1607"/>
      <c r="AQ708" s="1607"/>
      <c r="AR708" s="1607"/>
      <c r="AS708" s="1607"/>
      <c r="AT708" s="1607"/>
      <c r="AU708" s="1607"/>
      <c r="AV708" s="1607"/>
      <c r="AW708" s="1607"/>
      <c r="AX708" s="1607"/>
      <c r="AY708" s="1607"/>
      <c r="AZ708" s="1607"/>
      <c r="BA708" s="1607"/>
      <c r="BB708" s="1607"/>
      <c r="BC708" s="1607"/>
      <c r="BD708" s="1607"/>
      <c r="BE708" s="1607"/>
      <c r="BF708" s="1607"/>
      <c r="BG708" s="1607"/>
      <c r="BH708" s="1607"/>
      <c r="BI708" s="1607"/>
      <c r="BJ708" s="1607"/>
      <c r="BK708" s="1607"/>
      <c r="BL708" s="1607"/>
    </row>
    <row r="709">
      <c r="A709" s="1607"/>
      <c r="B709" s="1607"/>
      <c r="C709" s="1607"/>
      <c r="D709" s="1607"/>
      <c r="E709" s="1607"/>
      <c r="F709" s="1607"/>
      <c r="G709" s="1607"/>
      <c r="H709" s="1607"/>
      <c r="I709" s="1607"/>
      <c r="J709" s="1607"/>
      <c r="K709" s="1607"/>
      <c r="L709" s="1607"/>
      <c r="M709" s="1607"/>
      <c r="N709" s="1607"/>
      <c r="O709" s="1607"/>
      <c r="P709" s="1607"/>
      <c r="Q709" s="1607"/>
      <c r="R709" s="1607"/>
      <c r="S709" s="1607"/>
      <c r="T709" s="1607"/>
      <c r="U709" s="1607"/>
      <c r="V709" s="1607"/>
      <c r="W709" s="1607"/>
      <c r="X709" s="1607"/>
      <c r="Y709" s="1607"/>
      <c r="Z709" s="1607"/>
      <c r="AA709" s="1607"/>
      <c r="AB709" s="1607"/>
      <c r="AC709" s="1607"/>
      <c r="AD709" s="1607"/>
      <c r="AE709" s="1607"/>
      <c r="AF709" s="1607"/>
      <c r="AG709" s="1607"/>
      <c r="AH709" s="1607"/>
      <c r="AI709" s="1607"/>
      <c r="AJ709" s="1607"/>
      <c r="AK709" s="1607"/>
      <c r="AL709" s="1607"/>
      <c r="AM709" s="1607"/>
      <c r="AN709" s="1607"/>
      <c r="AO709" s="1607"/>
      <c r="AP709" s="1607"/>
      <c r="AQ709" s="1607"/>
      <c r="AR709" s="1607"/>
      <c r="AS709" s="1607"/>
      <c r="AT709" s="1607"/>
      <c r="AU709" s="1607"/>
      <c r="AV709" s="1607"/>
      <c r="AW709" s="1607"/>
      <c r="AX709" s="1607"/>
      <c r="AY709" s="1607"/>
      <c r="AZ709" s="1607"/>
      <c r="BA709" s="1607"/>
      <c r="BB709" s="1607"/>
      <c r="BC709" s="1607"/>
      <c r="BD709" s="1607"/>
      <c r="BE709" s="1607"/>
      <c r="BF709" s="1607"/>
      <c r="BG709" s="1607"/>
      <c r="BH709" s="1607"/>
      <c r="BI709" s="1607"/>
      <c r="BJ709" s="1607"/>
      <c r="BK709" s="1607"/>
      <c r="BL709" s="1607"/>
    </row>
    <row r="710">
      <c r="A710" s="1607"/>
      <c r="B710" s="1607"/>
      <c r="C710" s="1607"/>
      <c r="D710" s="1607"/>
      <c r="E710" s="1607"/>
      <c r="F710" s="1607"/>
      <c r="G710" s="1607"/>
      <c r="H710" s="1607"/>
      <c r="I710" s="1607"/>
      <c r="J710" s="1607"/>
      <c r="K710" s="1607"/>
      <c r="L710" s="1607"/>
      <c r="M710" s="1607"/>
      <c r="N710" s="1607"/>
      <c r="O710" s="1607"/>
      <c r="P710" s="1607"/>
      <c r="Q710" s="1607"/>
      <c r="R710" s="1607"/>
      <c r="S710" s="1607"/>
      <c r="T710" s="1607"/>
      <c r="U710" s="1607"/>
      <c r="V710" s="1607"/>
      <c r="W710" s="1607"/>
      <c r="X710" s="1607"/>
      <c r="Y710" s="1607"/>
      <c r="Z710" s="1607"/>
      <c r="AA710" s="1607"/>
      <c r="AB710" s="1607"/>
      <c r="AC710" s="1607"/>
      <c r="AD710" s="1607"/>
      <c r="AE710" s="1607"/>
      <c r="AF710" s="1607"/>
      <c r="AG710" s="1607"/>
      <c r="AH710" s="1607"/>
      <c r="AI710" s="1607"/>
      <c r="AJ710" s="1607"/>
      <c r="AK710" s="1607"/>
      <c r="AL710" s="1607"/>
      <c r="AM710" s="1607"/>
      <c r="AN710" s="1607"/>
      <c r="AO710" s="1607"/>
      <c r="AP710" s="1607"/>
      <c r="AQ710" s="1607"/>
      <c r="AR710" s="1607"/>
      <c r="AS710" s="1607"/>
      <c r="AT710" s="1607"/>
      <c r="AU710" s="1607"/>
      <c r="AV710" s="1607"/>
      <c r="AW710" s="1607"/>
      <c r="AX710" s="1607"/>
      <c r="AY710" s="1607"/>
      <c r="AZ710" s="1607"/>
      <c r="BA710" s="1607"/>
      <c r="BB710" s="1607"/>
      <c r="BC710" s="1607"/>
      <c r="BD710" s="1607"/>
      <c r="BE710" s="1607"/>
      <c r="BF710" s="1607"/>
      <c r="BG710" s="1607"/>
      <c r="BH710" s="1607"/>
      <c r="BI710" s="1607"/>
      <c r="BJ710" s="1607"/>
      <c r="BK710" s="1607"/>
      <c r="BL710" s="1607"/>
    </row>
    <row r="711">
      <c r="A711" s="1607"/>
      <c r="B711" s="1607"/>
      <c r="C711" s="1607"/>
      <c r="D711" s="1607"/>
      <c r="E711" s="1607"/>
      <c r="F711" s="1607"/>
      <c r="G711" s="1607"/>
      <c r="H711" s="1607"/>
      <c r="I711" s="1607"/>
      <c r="J711" s="1607"/>
      <c r="K711" s="1607"/>
      <c r="L711" s="1607"/>
      <c r="M711" s="1607"/>
      <c r="N711" s="1607"/>
      <c r="O711" s="1607"/>
      <c r="P711" s="1607"/>
      <c r="Q711" s="1607"/>
      <c r="R711" s="1607"/>
      <c r="S711" s="1607"/>
      <c r="T711" s="1607"/>
      <c r="U711" s="1607"/>
      <c r="V711" s="1607"/>
      <c r="W711" s="1607"/>
      <c r="X711" s="1607"/>
      <c r="Y711" s="1607"/>
      <c r="Z711" s="1607"/>
      <c r="AA711" s="1607"/>
      <c r="AB711" s="1607"/>
      <c r="AC711" s="1607"/>
      <c r="AD711" s="1607"/>
      <c r="AE711" s="1607"/>
      <c r="AF711" s="1607"/>
      <c r="AG711" s="1607"/>
      <c r="AH711" s="1607"/>
      <c r="AI711" s="1607"/>
      <c r="AJ711" s="1607"/>
      <c r="AK711" s="1607"/>
      <c r="AL711" s="1607"/>
      <c r="AM711" s="1607"/>
      <c r="AN711" s="1607"/>
      <c r="AO711" s="1607"/>
      <c r="AP711" s="1607"/>
      <c r="AQ711" s="1607"/>
      <c r="AR711" s="1607"/>
      <c r="AS711" s="1607"/>
      <c r="AT711" s="1607"/>
      <c r="AU711" s="1607"/>
      <c r="AV711" s="1607"/>
      <c r="AW711" s="1607"/>
      <c r="AX711" s="1607"/>
      <c r="AY711" s="1607"/>
      <c r="AZ711" s="1607"/>
      <c r="BA711" s="1607"/>
      <c r="BB711" s="1607"/>
      <c r="BC711" s="1607"/>
      <c r="BD711" s="1607"/>
      <c r="BE711" s="1607"/>
      <c r="BF711" s="1607"/>
      <c r="BG711" s="1607"/>
      <c r="BH711" s="1607"/>
      <c r="BI711" s="1607"/>
      <c r="BJ711" s="1607"/>
      <c r="BK711" s="1607"/>
      <c r="BL711" s="1607"/>
    </row>
    <row r="712">
      <c r="A712" s="1607"/>
      <c r="B712" s="1607"/>
      <c r="C712" s="1607"/>
      <c r="D712" s="1607"/>
      <c r="E712" s="1607"/>
      <c r="F712" s="1607"/>
      <c r="G712" s="1607"/>
      <c r="H712" s="1607"/>
      <c r="I712" s="1607"/>
      <c r="J712" s="1607"/>
      <c r="K712" s="1607"/>
      <c r="L712" s="1607"/>
      <c r="M712" s="1607"/>
      <c r="N712" s="1607"/>
      <c r="O712" s="1607"/>
      <c r="P712" s="1607"/>
      <c r="Q712" s="1607"/>
      <c r="R712" s="1607"/>
      <c r="S712" s="1607"/>
      <c r="T712" s="1607"/>
      <c r="U712" s="1607"/>
      <c r="V712" s="1607"/>
      <c r="W712" s="1607"/>
      <c r="X712" s="1607"/>
      <c r="Y712" s="1607"/>
      <c r="Z712" s="1607"/>
      <c r="AA712" s="1607"/>
      <c r="AB712" s="1607"/>
      <c r="AC712" s="1607"/>
      <c r="AD712" s="1607"/>
      <c r="AE712" s="1607"/>
      <c r="AF712" s="1607"/>
      <c r="AG712" s="1607"/>
      <c r="AH712" s="1607"/>
      <c r="AI712" s="1607"/>
      <c r="AJ712" s="1607"/>
      <c r="AK712" s="1607"/>
      <c r="AL712" s="1607"/>
      <c r="AM712" s="1607"/>
      <c r="AN712" s="1607"/>
      <c r="AO712" s="1607"/>
      <c r="AP712" s="1607"/>
      <c r="AQ712" s="1607"/>
      <c r="AR712" s="1607"/>
      <c r="AS712" s="1607"/>
      <c r="AT712" s="1607"/>
      <c r="AU712" s="1607"/>
      <c r="AV712" s="1607"/>
      <c r="AW712" s="1607"/>
      <c r="AX712" s="1607"/>
      <c r="AY712" s="1607"/>
      <c r="AZ712" s="1607"/>
      <c r="BA712" s="1607"/>
      <c r="BB712" s="1607"/>
      <c r="BC712" s="1607"/>
      <c r="BD712" s="1607"/>
      <c r="BE712" s="1607"/>
      <c r="BF712" s="1607"/>
      <c r="BG712" s="1607"/>
      <c r="BH712" s="1607"/>
      <c r="BI712" s="1607"/>
      <c r="BJ712" s="1607"/>
      <c r="BK712" s="1607"/>
      <c r="BL712" s="1607"/>
    </row>
    <row r="713">
      <c r="A713" s="1607"/>
      <c r="B713" s="1607"/>
      <c r="C713" s="1607"/>
      <c r="D713" s="1607"/>
      <c r="E713" s="1607"/>
      <c r="F713" s="1607"/>
      <c r="G713" s="1607"/>
      <c r="H713" s="1607"/>
      <c r="I713" s="1607"/>
      <c r="J713" s="1607"/>
      <c r="K713" s="1607"/>
      <c r="L713" s="1607"/>
      <c r="M713" s="1607"/>
      <c r="N713" s="1607"/>
      <c r="O713" s="1607"/>
      <c r="P713" s="1607"/>
      <c r="Q713" s="1607"/>
      <c r="R713" s="1607"/>
      <c r="S713" s="1607"/>
      <c r="T713" s="1607"/>
      <c r="U713" s="1607"/>
      <c r="V713" s="1607"/>
      <c r="W713" s="1607"/>
      <c r="X713" s="1607"/>
      <c r="Y713" s="1607"/>
      <c r="Z713" s="1607"/>
      <c r="AA713" s="1607"/>
      <c r="AB713" s="1607"/>
      <c r="AC713" s="1607"/>
      <c r="AD713" s="1607"/>
      <c r="AE713" s="1607"/>
      <c r="AF713" s="1607"/>
      <c r="AG713" s="1607"/>
      <c r="AH713" s="1607"/>
      <c r="AI713" s="1607"/>
      <c r="AJ713" s="1607"/>
      <c r="AK713" s="1607"/>
      <c r="AL713" s="1607"/>
      <c r="AM713" s="1607"/>
      <c r="AN713" s="1607"/>
      <c r="AO713" s="1607"/>
      <c r="AP713" s="1607"/>
      <c r="AQ713" s="1607"/>
      <c r="AR713" s="1607"/>
      <c r="AS713" s="1607"/>
      <c r="AT713" s="1607"/>
      <c r="AU713" s="1607"/>
      <c r="AV713" s="1607"/>
      <c r="AW713" s="1607"/>
      <c r="AX713" s="1607"/>
      <c r="AY713" s="1607"/>
      <c r="AZ713" s="1607"/>
      <c r="BA713" s="1607"/>
      <c r="BB713" s="1607"/>
      <c r="BC713" s="1607"/>
      <c r="BD713" s="1607"/>
      <c r="BE713" s="1607"/>
      <c r="BF713" s="1607"/>
      <c r="BG713" s="1607"/>
      <c r="BH713" s="1607"/>
      <c r="BI713" s="1607"/>
      <c r="BJ713" s="1607"/>
      <c r="BK713" s="1607"/>
      <c r="BL713" s="1607"/>
    </row>
    <row r="714">
      <c r="A714" s="1607"/>
      <c r="B714" s="1607"/>
      <c r="C714" s="1607"/>
      <c r="D714" s="1607"/>
      <c r="E714" s="1607"/>
      <c r="F714" s="1607"/>
      <c r="G714" s="1607"/>
      <c r="H714" s="1607"/>
      <c r="I714" s="1607"/>
      <c r="J714" s="1607"/>
      <c r="K714" s="1607"/>
      <c r="L714" s="1607"/>
      <c r="M714" s="1607"/>
      <c r="N714" s="1607"/>
      <c r="O714" s="1607"/>
      <c r="P714" s="1607"/>
      <c r="Q714" s="1607"/>
      <c r="R714" s="1607"/>
      <c r="S714" s="1607"/>
      <c r="T714" s="1607"/>
      <c r="U714" s="1607"/>
      <c r="V714" s="1607"/>
      <c r="W714" s="1607"/>
      <c r="X714" s="1607"/>
      <c r="Y714" s="1607"/>
      <c r="Z714" s="1607"/>
      <c r="AA714" s="1607"/>
      <c r="AB714" s="1607"/>
      <c r="AC714" s="1607"/>
      <c r="AD714" s="1607"/>
      <c r="AE714" s="1607"/>
      <c r="AF714" s="1607"/>
      <c r="AG714" s="1607"/>
      <c r="AH714" s="1607"/>
      <c r="AI714" s="1607"/>
      <c r="AJ714" s="1607"/>
      <c r="AK714" s="1607"/>
      <c r="AL714" s="1607"/>
      <c r="AM714" s="1607"/>
      <c r="AN714" s="1607"/>
      <c r="AO714" s="1607"/>
      <c r="AP714" s="1607"/>
      <c r="AQ714" s="1607"/>
      <c r="AR714" s="1607"/>
      <c r="AS714" s="1607"/>
      <c r="AT714" s="1607"/>
      <c r="AU714" s="1607"/>
      <c r="AV714" s="1607"/>
      <c r="AW714" s="1607"/>
      <c r="AX714" s="1607"/>
      <c r="AY714" s="1607"/>
      <c r="AZ714" s="1607"/>
      <c r="BA714" s="1607"/>
      <c r="BB714" s="1607"/>
      <c r="BC714" s="1607"/>
      <c r="BD714" s="1607"/>
      <c r="BE714" s="1607"/>
      <c r="BF714" s="1607"/>
      <c r="BG714" s="1607"/>
      <c r="BH714" s="1607"/>
      <c r="BI714" s="1607"/>
      <c r="BJ714" s="1607"/>
      <c r="BK714" s="1607"/>
      <c r="BL714" s="1607"/>
    </row>
    <row r="715">
      <c r="A715" s="1607"/>
      <c r="B715" s="1607"/>
      <c r="C715" s="1607"/>
      <c r="D715" s="1607"/>
      <c r="E715" s="1607"/>
      <c r="F715" s="1607"/>
      <c r="G715" s="1607"/>
      <c r="H715" s="1607"/>
      <c r="I715" s="1607"/>
      <c r="J715" s="1607"/>
      <c r="K715" s="1607"/>
      <c r="L715" s="1607"/>
      <c r="M715" s="1607"/>
      <c r="N715" s="1607"/>
      <c r="O715" s="1607"/>
      <c r="P715" s="1607"/>
      <c r="Q715" s="1607"/>
      <c r="R715" s="1607"/>
      <c r="S715" s="1607"/>
      <c r="T715" s="1607"/>
      <c r="U715" s="1607"/>
      <c r="V715" s="1607"/>
      <c r="W715" s="1607"/>
      <c r="X715" s="1607"/>
      <c r="Y715" s="1607"/>
      <c r="Z715" s="1607"/>
      <c r="AA715" s="1607"/>
      <c r="AB715" s="1607"/>
      <c r="AC715" s="1607"/>
      <c r="AD715" s="1607"/>
      <c r="AE715" s="1607"/>
      <c r="AF715" s="1607"/>
      <c r="AG715" s="1607"/>
      <c r="AH715" s="1607"/>
      <c r="AI715" s="1607"/>
      <c r="AJ715" s="1607"/>
      <c r="AK715" s="1607"/>
      <c r="AL715" s="1607"/>
      <c r="AM715" s="1607"/>
      <c r="AN715" s="1607"/>
      <c r="AO715" s="1607"/>
      <c r="AP715" s="1607"/>
      <c r="AQ715" s="1607"/>
      <c r="AR715" s="1607"/>
      <c r="AS715" s="1607"/>
      <c r="AT715" s="1607"/>
      <c r="AU715" s="1607"/>
      <c r="AV715" s="1607"/>
      <c r="AW715" s="1607"/>
      <c r="AX715" s="1607"/>
      <c r="AY715" s="1607"/>
      <c r="AZ715" s="1607"/>
      <c r="BA715" s="1607"/>
      <c r="BB715" s="1607"/>
      <c r="BC715" s="1607"/>
      <c r="BD715" s="1607"/>
      <c r="BE715" s="1607"/>
      <c r="BF715" s="1607"/>
      <c r="BG715" s="1607"/>
      <c r="BH715" s="1607"/>
      <c r="BI715" s="1607"/>
      <c r="BJ715" s="1607"/>
      <c r="BK715" s="1607"/>
      <c r="BL715" s="1607"/>
    </row>
    <row r="716">
      <c r="A716" s="1607"/>
      <c r="B716" s="1607"/>
      <c r="C716" s="1607"/>
      <c r="D716" s="1607"/>
      <c r="E716" s="1607"/>
      <c r="F716" s="1607"/>
      <c r="G716" s="1607"/>
      <c r="H716" s="1607"/>
      <c r="I716" s="1607"/>
      <c r="J716" s="1607"/>
      <c r="K716" s="1607"/>
      <c r="L716" s="1607"/>
      <c r="M716" s="1607"/>
      <c r="N716" s="1607"/>
      <c r="O716" s="1607"/>
      <c r="P716" s="1607"/>
      <c r="Q716" s="1607"/>
      <c r="R716" s="1607"/>
      <c r="S716" s="1607"/>
      <c r="T716" s="1607"/>
      <c r="U716" s="1607"/>
      <c r="V716" s="1607"/>
      <c r="W716" s="1607"/>
      <c r="X716" s="1607"/>
      <c r="Y716" s="1607"/>
      <c r="Z716" s="1607"/>
      <c r="AA716" s="1607"/>
      <c r="AB716" s="1607"/>
      <c r="AC716" s="1607"/>
      <c r="AD716" s="1607"/>
      <c r="AE716" s="1607"/>
      <c r="AF716" s="1607"/>
      <c r="AG716" s="1607"/>
      <c r="AH716" s="1607"/>
      <c r="AI716" s="1607"/>
      <c r="AJ716" s="1607"/>
      <c r="AK716" s="1607"/>
      <c r="AL716" s="1607"/>
      <c r="AM716" s="1607"/>
      <c r="AN716" s="1607"/>
      <c r="AO716" s="1607"/>
      <c r="AP716" s="1607"/>
      <c r="AQ716" s="1607"/>
      <c r="AR716" s="1607"/>
      <c r="AS716" s="1607"/>
      <c r="AT716" s="1607"/>
      <c r="AU716" s="1607"/>
      <c r="AV716" s="1607"/>
      <c r="AW716" s="1607"/>
      <c r="AX716" s="1607"/>
      <c r="AY716" s="1607"/>
      <c r="AZ716" s="1607"/>
      <c r="BA716" s="1607"/>
      <c r="BB716" s="1607"/>
      <c r="BC716" s="1607"/>
      <c r="BD716" s="1607"/>
      <c r="BE716" s="1607"/>
      <c r="BF716" s="1607"/>
      <c r="BG716" s="1607"/>
      <c r="BH716" s="1607"/>
      <c r="BI716" s="1607"/>
      <c r="BJ716" s="1607"/>
      <c r="BK716" s="1607"/>
      <c r="BL716" s="1607"/>
    </row>
    <row r="717">
      <c r="A717" s="1607"/>
      <c r="B717" s="1607"/>
      <c r="C717" s="1607"/>
      <c r="D717" s="1607"/>
      <c r="E717" s="1607"/>
      <c r="F717" s="1607"/>
      <c r="G717" s="1607"/>
      <c r="H717" s="1607"/>
      <c r="I717" s="1607"/>
      <c r="J717" s="1607"/>
      <c r="K717" s="1607"/>
      <c r="L717" s="1607"/>
      <c r="M717" s="1607"/>
      <c r="N717" s="1607"/>
      <c r="O717" s="1607"/>
      <c r="P717" s="1607"/>
      <c r="Q717" s="1607"/>
      <c r="R717" s="1607"/>
      <c r="S717" s="1607"/>
      <c r="T717" s="1607"/>
      <c r="U717" s="1607"/>
      <c r="V717" s="1607"/>
      <c r="W717" s="1607"/>
      <c r="X717" s="1607"/>
      <c r="Y717" s="1607"/>
      <c r="Z717" s="1607"/>
      <c r="AA717" s="1607"/>
      <c r="AB717" s="1607"/>
      <c r="AC717" s="1607"/>
      <c r="AD717" s="1607"/>
      <c r="AE717" s="1607"/>
      <c r="AF717" s="1607"/>
      <c r="AG717" s="1607"/>
      <c r="AH717" s="1607"/>
      <c r="AI717" s="1607"/>
      <c r="AJ717" s="1607"/>
      <c r="AK717" s="1607"/>
      <c r="AL717" s="1607"/>
      <c r="AM717" s="1607"/>
      <c r="AN717" s="1607"/>
      <c r="AO717" s="1607"/>
      <c r="AP717" s="1607"/>
      <c r="AQ717" s="1607"/>
      <c r="AR717" s="1607"/>
      <c r="AS717" s="1607"/>
      <c r="AT717" s="1607"/>
      <c r="AU717" s="1607"/>
      <c r="AV717" s="1607"/>
      <c r="AW717" s="1607"/>
      <c r="AX717" s="1607"/>
      <c r="AY717" s="1607"/>
      <c r="AZ717" s="1607"/>
      <c r="BA717" s="1607"/>
      <c r="BB717" s="1607"/>
      <c r="BC717" s="1607"/>
      <c r="BD717" s="1607"/>
      <c r="BE717" s="1607"/>
      <c r="BF717" s="1607"/>
      <c r="BG717" s="1607"/>
      <c r="BH717" s="1607"/>
      <c r="BI717" s="1607"/>
      <c r="BJ717" s="1607"/>
      <c r="BK717" s="1607"/>
      <c r="BL717" s="1607"/>
    </row>
    <row r="718">
      <c r="A718" s="1607"/>
      <c r="B718" s="1607"/>
      <c r="C718" s="1607"/>
      <c r="D718" s="1607"/>
      <c r="E718" s="1607"/>
      <c r="F718" s="1607"/>
      <c r="G718" s="1607"/>
      <c r="H718" s="1607"/>
      <c r="I718" s="1607"/>
      <c r="J718" s="1607"/>
      <c r="K718" s="1607"/>
      <c r="L718" s="1607"/>
      <c r="M718" s="1607"/>
      <c r="N718" s="1607"/>
      <c r="O718" s="1607"/>
      <c r="P718" s="1607"/>
      <c r="Q718" s="1607"/>
      <c r="R718" s="1607"/>
      <c r="S718" s="1607"/>
      <c r="T718" s="1607"/>
      <c r="U718" s="1607"/>
      <c r="V718" s="1607"/>
      <c r="W718" s="1607"/>
      <c r="X718" s="1607"/>
      <c r="Y718" s="1607"/>
      <c r="Z718" s="1607"/>
      <c r="AA718" s="1607"/>
      <c r="AB718" s="1607"/>
      <c r="AC718" s="1607"/>
      <c r="AD718" s="1607"/>
      <c r="AE718" s="1607"/>
      <c r="AF718" s="1607"/>
      <c r="AG718" s="1607"/>
      <c r="AH718" s="1607"/>
      <c r="AI718" s="1607"/>
      <c r="AJ718" s="1607"/>
      <c r="AK718" s="1607"/>
      <c r="AL718" s="1607"/>
      <c r="AM718" s="1607"/>
      <c r="AN718" s="1607"/>
      <c r="AO718" s="1607"/>
      <c r="AP718" s="1607"/>
      <c r="AQ718" s="1607"/>
      <c r="AR718" s="1607"/>
      <c r="AS718" s="1607"/>
      <c r="AT718" s="1607"/>
      <c r="AU718" s="1607"/>
      <c r="AV718" s="1607"/>
      <c r="AW718" s="1607"/>
      <c r="AX718" s="1607"/>
      <c r="AY718" s="1607"/>
      <c r="AZ718" s="1607"/>
      <c r="BA718" s="1607"/>
      <c r="BB718" s="1607"/>
      <c r="BC718" s="1607"/>
      <c r="BD718" s="1607"/>
      <c r="BE718" s="1607"/>
      <c r="BF718" s="1607"/>
      <c r="BG718" s="1607"/>
      <c r="BH718" s="1607"/>
      <c r="BI718" s="1607"/>
      <c r="BJ718" s="1607"/>
      <c r="BK718" s="1607"/>
      <c r="BL718" s="1607"/>
    </row>
    <row r="719">
      <c r="A719" s="1607"/>
      <c r="B719" s="1607"/>
      <c r="C719" s="1607"/>
      <c r="D719" s="1607"/>
      <c r="E719" s="1607"/>
      <c r="F719" s="1607"/>
      <c r="G719" s="1607"/>
      <c r="H719" s="1607"/>
      <c r="I719" s="1607"/>
      <c r="J719" s="1607"/>
      <c r="K719" s="1607"/>
      <c r="L719" s="1607"/>
      <c r="M719" s="1607"/>
      <c r="N719" s="1607"/>
      <c r="O719" s="1607"/>
      <c r="P719" s="1607"/>
      <c r="Q719" s="1607"/>
      <c r="R719" s="1607"/>
      <c r="S719" s="1607"/>
      <c r="T719" s="1607"/>
      <c r="U719" s="1607"/>
      <c r="V719" s="1607"/>
      <c r="W719" s="1607"/>
      <c r="X719" s="1607"/>
      <c r="Y719" s="1607"/>
      <c r="Z719" s="1607"/>
      <c r="AA719" s="1607"/>
      <c r="AB719" s="1607"/>
      <c r="AC719" s="1607"/>
      <c r="AD719" s="1607"/>
      <c r="AE719" s="1607"/>
      <c r="AF719" s="1607"/>
      <c r="AG719" s="1607"/>
      <c r="AH719" s="1607"/>
      <c r="AI719" s="1607"/>
      <c r="AJ719" s="1607"/>
      <c r="AK719" s="1607"/>
      <c r="AL719" s="1607"/>
      <c r="AM719" s="1607"/>
      <c r="AN719" s="1607"/>
      <c r="AO719" s="1607"/>
      <c r="AP719" s="1607"/>
      <c r="AQ719" s="1607"/>
      <c r="AR719" s="1607"/>
      <c r="AS719" s="1607"/>
      <c r="AT719" s="1607"/>
      <c r="AU719" s="1607"/>
      <c r="AV719" s="1607"/>
      <c r="AW719" s="1607"/>
      <c r="AX719" s="1607"/>
      <c r="AY719" s="1607"/>
      <c r="AZ719" s="1607"/>
      <c r="BA719" s="1607"/>
      <c r="BB719" s="1607"/>
      <c r="BC719" s="1607"/>
      <c r="BD719" s="1607"/>
      <c r="BE719" s="1607"/>
      <c r="BF719" s="1607"/>
      <c r="BG719" s="1607"/>
      <c r="BH719" s="1607"/>
      <c r="BI719" s="1607"/>
      <c r="BJ719" s="1607"/>
      <c r="BK719" s="1607"/>
      <c r="BL719" s="1607"/>
    </row>
    <row r="720">
      <c r="A720" s="1607"/>
      <c r="B720" s="1607"/>
      <c r="C720" s="1607"/>
      <c r="D720" s="1607"/>
      <c r="E720" s="1607"/>
      <c r="F720" s="1607"/>
      <c r="G720" s="1607"/>
      <c r="H720" s="1607"/>
      <c r="I720" s="1607"/>
      <c r="J720" s="1607"/>
      <c r="K720" s="1607"/>
      <c r="L720" s="1607"/>
      <c r="M720" s="1607"/>
      <c r="N720" s="1607"/>
      <c r="O720" s="1607"/>
      <c r="P720" s="1607"/>
      <c r="Q720" s="1607"/>
      <c r="R720" s="1607"/>
      <c r="S720" s="1607"/>
      <c r="T720" s="1607"/>
      <c r="U720" s="1607"/>
      <c r="V720" s="1607"/>
      <c r="W720" s="1607"/>
      <c r="X720" s="1607"/>
      <c r="Y720" s="1607"/>
      <c r="Z720" s="1607"/>
      <c r="AA720" s="1607"/>
      <c r="AB720" s="1607"/>
      <c r="AC720" s="1607"/>
      <c r="AD720" s="1607"/>
      <c r="AE720" s="1607"/>
      <c r="AF720" s="1607"/>
      <c r="AG720" s="1607"/>
      <c r="AH720" s="1607"/>
      <c r="AI720" s="1607"/>
      <c r="AJ720" s="1607"/>
      <c r="AK720" s="1607"/>
      <c r="AL720" s="1607"/>
      <c r="AM720" s="1607"/>
      <c r="AN720" s="1607"/>
      <c r="AO720" s="1607"/>
      <c r="AP720" s="1607"/>
      <c r="AQ720" s="1607"/>
      <c r="AR720" s="1607"/>
      <c r="AS720" s="1607"/>
      <c r="AT720" s="1607"/>
      <c r="AU720" s="1607"/>
      <c r="AV720" s="1607"/>
      <c r="AW720" s="1607"/>
      <c r="AX720" s="1607"/>
      <c r="AY720" s="1607"/>
      <c r="AZ720" s="1607"/>
      <c r="BA720" s="1607"/>
      <c r="BB720" s="1607"/>
      <c r="BC720" s="1607"/>
      <c r="BD720" s="1607"/>
      <c r="BE720" s="1607"/>
      <c r="BF720" s="1607"/>
      <c r="BG720" s="1607"/>
      <c r="BH720" s="1607"/>
      <c r="BI720" s="1607"/>
      <c r="BJ720" s="1607"/>
      <c r="BK720" s="1607"/>
      <c r="BL720" s="1607"/>
    </row>
    <row r="721">
      <c r="A721" s="1607"/>
      <c r="B721" s="1607"/>
      <c r="C721" s="1607"/>
      <c r="D721" s="1607"/>
      <c r="E721" s="1607"/>
      <c r="F721" s="1607"/>
      <c r="G721" s="1607"/>
      <c r="H721" s="1607"/>
      <c r="I721" s="1607"/>
      <c r="J721" s="1607"/>
      <c r="K721" s="1607"/>
      <c r="L721" s="1607"/>
      <c r="M721" s="1607"/>
      <c r="N721" s="1607"/>
      <c r="O721" s="1607"/>
      <c r="P721" s="1607"/>
      <c r="Q721" s="1607"/>
      <c r="R721" s="1607"/>
      <c r="S721" s="1607"/>
      <c r="T721" s="1607"/>
      <c r="U721" s="1607"/>
      <c r="V721" s="1607"/>
      <c r="W721" s="1607"/>
      <c r="X721" s="1607"/>
      <c r="Y721" s="1607"/>
      <c r="Z721" s="1607"/>
      <c r="AA721" s="1607"/>
      <c r="AB721" s="1607"/>
      <c r="AC721" s="1607"/>
      <c r="AD721" s="1607"/>
      <c r="AE721" s="1607"/>
      <c r="AF721" s="1607"/>
      <c r="AG721" s="1607"/>
      <c r="AH721" s="1607"/>
      <c r="AI721" s="1607"/>
      <c r="AJ721" s="1607"/>
      <c r="AK721" s="1607"/>
      <c r="AL721" s="1607"/>
      <c r="AM721" s="1607"/>
      <c r="AN721" s="1607"/>
      <c r="AO721" s="1607"/>
      <c r="AP721" s="1607"/>
      <c r="AQ721" s="1607"/>
      <c r="AR721" s="1607"/>
      <c r="AS721" s="1607"/>
      <c r="AT721" s="1607"/>
      <c r="AU721" s="1607"/>
      <c r="AV721" s="1607"/>
      <c r="AW721" s="1607"/>
      <c r="AX721" s="1607"/>
      <c r="AY721" s="1607"/>
      <c r="AZ721" s="1607"/>
      <c r="BA721" s="1607"/>
      <c r="BB721" s="1607"/>
      <c r="BC721" s="1607"/>
      <c r="BD721" s="1607"/>
      <c r="BE721" s="1607"/>
      <c r="BF721" s="1607"/>
      <c r="BG721" s="1607"/>
      <c r="BH721" s="1607"/>
      <c r="BI721" s="1607"/>
      <c r="BJ721" s="1607"/>
      <c r="BK721" s="1607"/>
      <c r="BL721" s="1607"/>
    </row>
    <row r="722">
      <c r="A722" s="1607"/>
      <c r="B722" s="1607"/>
      <c r="C722" s="1607"/>
      <c r="D722" s="1607"/>
      <c r="E722" s="1607"/>
      <c r="F722" s="1607"/>
      <c r="G722" s="1607"/>
      <c r="H722" s="1607"/>
      <c r="I722" s="1607"/>
      <c r="J722" s="1607"/>
      <c r="K722" s="1607"/>
      <c r="L722" s="1607"/>
      <c r="M722" s="1607"/>
      <c r="N722" s="1607"/>
      <c r="O722" s="1607"/>
      <c r="P722" s="1607"/>
      <c r="Q722" s="1607"/>
      <c r="R722" s="1607"/>
      <c r="S722" s="1607"/>
      <c r="T722" s="1607"/>
      <c r="U722" s="1607"/>
      <c r="V722" s="1607"/>
      <c r="W722" s="1607"/>
      <c r="X722" s="1607"/>
      <c r="Y722" s="1607"/>
      <c r="Z722" s="1607"/>
      <c r="AA722" s="1607"/>
      <c r="AB722" s="1607"/>
      <c r="AC722" s="1607"/>
      <c r="AD722" s="1607"/>
      <c r="AE722" s="1607"/>
      <c r="AF722" s="1607"/>
      <c r="AG722" s="1607"/>
      <c r="AH722" s="1607"/>
      <c r="AI722" s="1607"/>
      <c r="AJ722" s="1607"/>
      <c r="AK722" s="1607"/>
      <c r="AL722" s="1607"/>
      <c r="AM722" s="1607"/>
      <c r="AN722" s="1607"/>
      <c r="AO722" s="1607"/>
      <c r="AP722" s="1607"/>
      <c r="AQ722" s="1607"/>
      <c r="AR722" s="1607"/>
      <c r="AS722" s="1607"/>
      <c r="AT722" s="1607"/>
      <c r="AU722" s="1607"/>
      <c r="AV722" s="1607"/>
      <c r="AW722" s="1607"/>
      <c r="AX722" s="1607"/>
      <c r="AY722" s="1607"/>
      <c r="AZ722" s="1607"/>
      <c r="BA722" s="1607"/>
      <c r="BB722" s="1607"/>
      <c r="BC722" s="1607"/>
      <c r="BD722" s="1607"/>
      <c r="BE722" s="1607"/>
      <c r="BF722" s="1607"/>
      <c r="BG722" s="1607"/>
      <c r="BH722" s="1607"/>
      <c r="BI722" s="1607"/>
      <c r="BJ722" s="1607"/>
      <c r="BK722" s="1607"/>
      <c r="BL722" s="1607"/>
    </row>
    <row r="723">
      <c r="A723" s="1607"/>
      <c r="B723" s="1607"/>
      <c r="C723" s="1607"/>
      <c r="D723" s="1607"/>
      <c r="E723" s="1607"/>
      <c r="F723" s="1607"/>
      <c r="G723" s="1607"/>
      <c r="H723" s="1607"/>
      <c r="I723" s="1607"/>
      <c r="J723" s="1607"/>
      <c r="K723" s="1607"/>
      <c r="L723" s="1607"/>
      <c r="M723" s="1607"/>
      <c r="N723" s="1607"/>
      <c r="O723" s="1607"/>
      <c r="P723" s="1607"/>
      <c r="Q723" s="1607"/>
      <c r="R723" s="1607"/>
      <c r="S723" s="1607"/>
      <c r="T723" s="1607"/>
      <c r="U723" s="1607"/>
      <c r="V723" s="1607"/>
      <c r="W723" s="1607"/>
      <c r="X723" s="1607"/>
      <c r="Y723" s="1607"/>
      <c r="Z723" s="1607"/>
      <c r="AA723" s="1607"/>
      <c r="AB723" s="1607"/>
      <c r="AC723" s="1607"/>
      <c r="AD723" s="1607"/>
      <c r="AE723" s="1607"/>
      <c r="AF723" s="1607"/>
      <c r="AG723" s="1607"/>
      <c r="AH723" s="1607"/>
      <c r="AI723" s="1607"/>
      <c r="AJ723" s="1607"/>
      <c r="AK723" s="1607"/>
      <c r="AL723" s="1607"/>
      <c r="AM723" s="1607"/>
      <c r="AN723" s="1607"/>
      <c r="AO723" s="1607"/>
      <c r="AP723" s="1607"/>
      <c r="AQ723" s="1607"/>
      <c r="AR723" s="1607"/>
      <c r="AS723" s="1607"/>
      <c r="AT723" s="1607"/>
      <c r="AU723" s="1607"/>
      <c r="AV723" s="1607"/>
      <c r="AW723" s="1607"/>
      <c r="AX723" s="1607"/>
      <c r="AY723" s="1607"/>
      <c r="AZ723" s="1607"/>
      <c r="BA723" s="1607"/>
      <c r="BB723" s="1607"/>
      <c r="BC723" s="1607"/>
      <c r="BD723" s="1607"/>
      <c r="BE723" s="1607"/>
      <c r="BF723" s="1607"/>
      <c r="BG723" s="1607"/>
      <c r="BH723" s="1607"/>
      <c r="BI723" s="1607"/>
      <c r="BJ723" s="1607"/>
      <c r="BK723" s="1607"/>
      <c r="BL723" s="1607"/>
    </row>
    <row r="724">
      <c r="A724" s="1607"/>
      <c r="B724" s="1607"/>
      <c r="C724" s="1607"/>
      <c r="D724" s="1607"/>
      <c r="E724" s="1607"/>
      <c r="F724" s="1607"/>
      <c r="G724" s="1607"/>
      <c r="H724" s="1607"/>
      <c r="I724" s="1607"/>
      <c r="J724" s="1607"/>
      <c r="K724" s="1607"/>
      <c r="L724" s="1607"/>
      <c r="M724" s="1607"/>
      <c r="N724" s="1607"/>
      <c r="O724" s="1607"/>
      <c r="P724" s="1607"/>
      <c r="Q724" s="1607"/>
      <c r="R724" s="1607"/>
      <c r="S724" s="1607"/>
      <c r="T724" s="1607"/>
      <c r="U724" s="1607"/>
      <c r="V724" s="1607"/>
      <c r="W724" s="1607"/>
      <c r="X724" s="1607"/>
      <c r="Y724" s="1607"/>
      <c r="Z724" s="1607"/>
      <c r="AA724" s="1607"/>
      <c r="AB724" s="1607"/>
      <c r="AC724" s="1607"/>
      <c r="AD724" s="1607"/>
      <c r="AE724" s="1607"/>
      <c r="AF724" s="1607"/>
      <c r="AG724" s="1607"/>
      <c r="AH724" s="1607"/>
      <c r="AI724" s="1607"/>
      <c r="AJ724" s="1607"/>
      <c r="AK724" s="1607"/>
      <c r="AL724" s="1607"/>
      <c r="AM724" s="1607"/>
      <c r="AN724" s="1607"/>
      <c r="AO724" s="1607"/>
      <c r="AP724" s="1607"/>
      <c r="AQ724" s="1607"/>
      <c r="AR724" s="1607"/>
      <c r="AS724" s="1607"/>
      <c r="AT724" s="1607"/>
      <c r="AU724" s="1607"/>
      <c r="AV724" s="1607"/>
      <c r="AW724" s="1607"/>
      <c r="AX724" s="1607"/>
      <c r="AY724" s="1607"/>
      <c r="AZ724" s="1607"/>
      <c r="BA724" s="1607"/>
      <c r="BB724" s="1607"/>
      <c r="BC724" s="1607"/>
      <c r="BD724" s="1607"/>
      <c r="BE724" s="1607"/>
      <c r="BF724" s="1607"/>
      <c r="BG724" s="1607"/>
      <c r="BH724" s="1607"/>
      <c r="BI724" s="1607"/>
      <c r="BJ724" s="1607"/>
      <c r="BK724" s="1607"/>
      <c r="BL724" s="1607"/>
    </row>
    <row r="725">
      <c r="A725" s="1607"/>
      <c r="B725" s="1607"/>
      <c r="C725" s="1607"/>
      <c r="D725" s="1607"/>
      <c r="E725" s="1607"/>
      <c r="F725" s="1607"/>
      <c r="G725" s="1607"/>
      <c r="H725" s="1607"/>
      <c r="I725" s="1607"/>
      <c r="J725" s="1607"/>
      <c r="K725" s="1607"/>
      <c r="L725" s="1607"/>
      <c r="M725" s="1607"/>
      <c r="N725" s="1607"/>
      <c r="O725" s="1607"/>
      <c r="P725" s="1607"/>
      <c r="Q725" s="1607"/>
      <c r="R725" s="1607"/>
      <c r="S725" s="1607"/>
      <c r="T725" s="1607"/>
      <c r="U725" s="1607"/>
      <c r="V725" s="1607"/>
      <c r="W725" s="1607"/>
      <c r="X725" s="1607"/>
      <c r="Y725" s="1607"/>
      <c r="Z725" s="1607"/>
      <c r="AA725" s="1607"/>
      <c r="AB725" s="1607"/>
      <c r="AC725" s="1607"/>
      <c r="AD725" s="1607"/>
      <c r="AE725" s="1607"/>
      <c r="AF725" s="1607"/>
      <c r="AG725" s="1607"/>
      <c r="AH725" s="1607"/>
      <c r="AI725" s="1607"/>
      <c r="AJ725" s="1607"/>
      <c r="AK725" s="1607"/>
      <c r="AL725" s="1607"/>
      <c r="AM725" s="1607"/>
      <c r="AN725" s="1607"/>
      <c r="AO725" s="1607"/>
      <c r="AP725" s="1607"/>
      <c r="AQ725" s="1607"/>
      <c r="AR725" s="1607"/>
      <c r="AS725" s="1607"/>
      <c r="AT725" s="1607"/>
      <c r="AU725" s="1607"/>
      <c r="AV725" s="1607"/>
      <c r="AW725" s="1607"/>
      <c r="AX725" s="1607"/>
      <c r="AY725" s="1607"/>
      <c r="AZ725" s="1607"/>
      <c r="BA725" s="1607"/>
      <c r="BB725" s="1607"/>
      <c r="BC725" s="1607"/>
      <c r="BD725" s="1607"/>
      <c r="BE725" s="1607"/>
      <c r="BF725" s="1607"/>
      <c r="BG725" s="1607"/>
      <c r="BH725" s="1607"/>
      <c r="BI725" s="1607"/>
      <c r="BJ725" s="1607"/>
      <c r="BK725" s="1607"/>
      <c r="BL725" s="1607"/>
    </row>
    <row r="726">
      <c r="A726" s="1607"/>
      <c r="B726" s="1607"/>
      <c r="C726" s="1607"/>
      <c r="D726" s="1607"/>
      <c r="E726" s="1607"/>
      <c r="F726" s="1607"/>
      <c r="G726" s="1607"/>
      <c r="H726" s="1607"/>
      <c r="I726" s="1607"/>
      <c r="J726" s="1607"/>
      <c r="K726" s="1607"/>
      <c r="L726" s="1607"/>
      <c r="M726" s="1607"/>
      <c r="N726" s="1607"/>
      <c r="O726" s="1607"/>
      <c r="P726" s="1607"/>
      <c r="Q726" s="1607"/>
      <c r="R726" s="1607"/>
      <c r="S726" s="1607"/>
      <c r="T726" s="1607"/>
      <c r="U726" s="1607"/>
      <c r="V726" s="1607"/>
      <c r="W726" s="1607"/>
      <c r="X726" s="1607"/>
      <c r="Y726" s="1607"/>
      <c r="Z726" s="1607"/>
      <c r="AA726" s="1607"/>
      <c r="AB726" s="1607"/>
      <c r="AC726" s="1607"/>
      <c r="AD726" s="1607"/>
      <c r="AE726" s="1607"/>
      <c r="AF726" s="1607"/>
      <c r="AG726" s="1607"/>
      <c r="AH726" s="1607"/>
      <c r="AI726" s="1607"/>
      <c r="AJ726" s="1607"/>
      <c r="AK726" s="1607"/>
      <c r="AL726" s="1607"/>
      <c r="AM726" s="1607"/>
      <c r="AN726" s="1607"/>
      <c r="AO726" s="1607"/>
      <c r="AP726" s="1607"/>
      <c r="AQ726" s="1607"/>
      <c r="AR726" s="1607"/>
      <c r="AS726" s="1607"/>
      <c r="AT726" s="1607"/>
      <c r="AU726" s="1607"/>
      <c r="AV726" s="1607"/>
      <c r="AW726" s="1607"/>
      <c r="AX726" s="1607"/>
      <c r="AY726" s="1607"/>
      <c r="AZ726" s="1607"/>
      <c r="BA726" s="1607"/>
      <c r="BB726" s="1607"/>
      <c r="BC726" s="1607"/>
      <c r="BD726" s="1607"/>
      <c r="BE726" s="1607"/>
      <c r="BF726" s="1607"/>
      <c r="BG726" s="1607"/>
      <c r="BH726" s="1607"/>
      <c r="BI726" s="1607"/>
      <c r="BJ726" s="1607"/>
      <c r="BK726" s="1607"/>
      <c r="BL726" s="1607"/>
    </row>
    <row r="727">
      <c r="A727" s="1607"/>
      <c r="B727" s="1607"/>
      <c r="C727" s="1607"/>
      <c r="D727" s="1607"/>
      <c r="E727" s="1607"/>
      <c r="F727" s="1607"/>
      <c r="G727" s="1607"/>
      <c r="H727" s="1607"/>
      <c r="I727" s="1607"/>
      <c r="J727" s="1607"/>
      <c r="K727" s="1607"/>
      <c r="L727" s="1607"/>
      <c r="M727" s="1607"/>
      <c r="N727" s="1607"/>
      <c r="O727" s="1607"/>
      <c r="P727" s="1607"/>
      <c r="Q727" s="1607"/>
      <c r="R727" s="1607"/>
      <c r="S727" s="1607"/>
      <c r="T727" s="1607"/>
      <c r="U727" s="1607"/>
      <c r="V727" s="1607"/>
      <c r="W727" s="1607"/>
      <c r="X727" s="1607"/>
      <c r="Y727" s="1607"/>
      <c r="Z727" s="1607"/>
      <c r="AA727" s="1607"/>
      <c r="AB727" s="1607"/>
      <c r="AC727" s="1607"/>
      <c r="AD727" s="1607"/>
      <c r="AE727" s="1607"/>
      <c r="AF727" s="1607"/>
      <c r="AG727" s="1607"/>
      <c r="AH727" s="1607"/>
      <c r="AI727" s="1607"/>
      <c r="AJ727" s="1607"/>
      <c r="AK727" s="1607"/>
      <c r="AL727" s="1607"/>
      <c r="AM727" s="1607"/>
      <c r="AN727" s="1607"/>
      <c r="AO727" s="1607"/>
      <c r="AP727" s="1607"/>
      <c r="AQ727" s="1607"/>
      <c r="AR727" s="1607"/>
      <c r="AS727" s="1607"/>
      <c r="AT727" s="1607"/>
      <c r="AU727" s="1607"/>
      <c r="AV727" s="1607"/>
      <c r="AW727" s="1607"/>
      <c r="AX727" s="1607"/>
      <c r="AY727" s="1607"/>
      <c r="AZ727" s="1607"/>
      <c r="BA727" s="1607"/>
      <c r="BB727" s="1607"/>
      <c r="BC727" s="1607"/>
      <c r="BD727" s="1607"/>
      <c r="BE727" s="1607"/>
      <c r="BF727" s="1607"/>
      <c r="BG727" s="1607"/>
      <c r="BH727" s="1607"/>
      <c r="BI727" s="1607"/>
      <c r="BJ727" s="1607"/>
      <c r="BK727" s="1607"/>
      <c r="BL727" s="1607"/>
    </row>
    <row r="728">
      <c r="A728" s="1607"/>
      <c r="B728" s="1607"/>
      <c r="C728" s="1607"/>
      <c r="D728" s="1607"/>
      <c r="E728" s="1607"/>
      <c r="F728" s="1607"/>
      <c r="G728" s="1607"/>
      <c r="H728" s="1607"/>
      <c r="I728" s="1607"/>
      <c r="J728" s="1607"/>
      <c r="K728" s="1607"/>
      <c r="L728" s="1607"/>
      <c r="M728" s="1607"/>
      <c r="N728" s="1607"/>
      <c r="O728" s="1607"/>
      <c r="P728" s="1607"/>
      <c r="Q728" s="1607"/>
      <c r="R728" s="1607"/>
      <c r="S728" s="1607"/>
      <c r="T728" s="1607"/>
      <c r="U728" s="1607"/>
      <c r="V728" s="1607"/>
      <c r="W728" s="1607"/>
      <c r="X728" s="1607"/>
      <c r="Y728" s="1607"/>
      <c r="Z728" s="1607"/>
      <c r="AA728" s="1607"/>
      <c r="AB728" s="1607"/>
      <c r="AC728" s="1607"/>
      <c r="AD728" s="1607"/>
      <c r="AE728" s="1607"/>
      <c r="AF728" s="1607"/>
      <c r="AG728" s="1607"/>
      <c r="AH728" s="1607"/>
      <c r="AI728" s="1607"/>
      <c r="AJ728" s="1607"/>
      <c r="AK728" s="1607"/>
      <c r="AL728" s="1607"/>
      <c r="AM728" s="1607"/>
      <c r="AN728" s="1607"/>
      <c r="AO728" s="1607"/>
      <c r="AP728" s="1607"/>
      <c r="AQ728" s="1607"/>
      <c r="AR728" s="1607"/>
      <c r="AS728" s="1607"/>
      <c r="AT728" s="1607"/>
      <c r="AU728" s="1607"/>
      <c r="AV728" s="1607"/>
      <c r="AW728" s="1607"/>
      <c r="AX728" s="1607"/>
      <c r="AY728" s="1607"/>
      <c r="AZ728" s="1607"/>
      <c r="BA728" s="1607"/>
      <c r="BB728" s="1607"/>
      <c r="BC728" s="1607"/>
      <c r="BD728" s="1607"/>
      <c r="BE728" s="1607"/>
      <c r="BF728" s="1607"/>
      <c r="BG728" s="1607"/>
      <c r="BH728" s="1607"/>
      <c r="BI728" s="1607"/>
      <c r="BJ728" s="1607"/>
      <c r="BK728" s="1607"/>
      <c r="BL728" s="1607"/>
    </row>
    <row r="729">
      <c r="A729" s="1607"/>
      <c r="B729" s="1607"/>
      <c r="C729" s="1607"/>
      <c r="D729" s="1607"/>
      <c r="E729" s="1607"/>
      <c r="F729" s="1607"/>
      <c r="G729" s="1607"/>
      <c r="H729" s="1607"/>
      <c r="I729" s="1607"/>
      <c r="J729" s="1607"/>
      <c r="K729" s="1607"/>
      <c r="L729" s="1607"/>
      <c r="M729" s="1607"/>
      <c r="N729" s="1607"/>
      <c r="O729" s="1607"/>
      <c r="P729" s="1607"/>
      <c r="Q729" s="1607"/>
      <c r="R729" s="1607"/>
      <c r="S729" s="1607"/>
      <c r="T729" s="1607"/>
      <c r="U729" s="1607"/>
      <c r="V729" s="1607"/>
      <c r="W729" s="1607"/>
      <c r="X729" s="1607"/>
      <c r="Y729" s="1607"/>
      <c r="Z729" s="1607"/>
      <c r="AA729" s="1607"/>
      <c r="AB729" s="1607"/>
      <c r="AC729" s="1607"/>
      <c r="AD729" s="1607"/>
      <c r="AE729" s="1607"/>
      <c r="AF729" s="1607"/>
      <c r="AG729" s="1607"/>
      <c r="AH729" s="1607"/>
      <c r="AI729" s="1607"/>
      <c r="AJ729" s="1607"/>
      <c r="AK729" s="1607"/>
      <c r="AL729" s="1607"/>
      <c r="AM729" s="1607"/>
      <c r="AN729" s="1607"/>
      <c r="AO729" s="1607"/>
      <c r="AP729" s="1607"/>
      <c r="AQ729" s="1607"/>
      <c r="AR729" s="1607"/>
      <c r="AS729" s="1607"/>
      <c r="AT729" s="1607"/>
      <c r="AU729" s="1607"/>
      <c r="AV729" s="1607"/>
      <c r="AW729" s="1607"/>
      <c r="AX729" s="1607"/>
      <c r="AY729" s="1607"/>
      <c r="AZ729" s="1607"/>
      <c r="BA729" s="1607"/>
      <c r="BB729" s="1607"/>
      <c r="BC729" s="1607"/>
      <c r="BD729" s="1607"/>
      <c r="BE729" s="1607"/>
      <c r="BF729" s="1607"/>
      <c r="BG729" s="1607"/>
      <c r="BH729" s="1607"/>
      <c r="BI729" s="1607"/>
      <c r="BJ729" s="1607"/>
      <c r="BK729" s="1607"/>
      <c r="BL729" s="1607"/>
    </row>
    <row r="730">
      <c r="A730" s="1607"/>
      <c r="B730" s="1607"/>
      <c r="C730" s="1607"/>
      <c r="D730" s="1607"/>
      <c r="E730" s="1607"/>
      <c r="F730" s="1607"/>
      <c r="G730" s="1607"/>
      <c r="H730" s="1607"/>
      <c r="I730" s="1607"/>
      <c r="J730" s="1607"/>
      <c r="K730" s="1607"/>
      <c r="L730" s="1607"/>
      <c r="M730" s="1607"/>
      <c r="N730" s="1607"/>
      <c r="O730" s="1607"/>
      <c r="P730" s="1607"/>
      <c r="Q730" s="1607"/>
      <c r="R730" s="1607"/>
      <c r="S730" s="1607"/>
      <c r="T730" s="1607"/>
      <c r="U730" s="1607"/>
      <c r="V730" s="1607"/>
      <c r="W730" s="1607"/>
      <c r="X730" s="1607"/>
      <c r="Y730" s="1607"/>
      <c r="Z730" s="1607"/>
      <c r="AA730" s="1607"/>
      <c r="AB730" s="1607"/>
      <c r="AC730" s="1607"/>
      <c r="AD730" s="1607"/>
      <c r="AE730" s="1607"/>
      <c r="AF730" s="1607"/>
      <c r="AG730" s="1607"/>
      <c r="AH730" s="1607"/>
      <c r="AI730" s="1607"/>
      <c r="AJ730" s="1607"/>
      <c r="AK730" s="1607"/>
      <c r="AL730" s="1607"/>
      <c r="AM730" s="1607"/>
      <c r="AN730" s="1607"/>
      <c r="AO730" s="1607"/>
      <c r="AP730" s="1607"/>
      <c r="AQ730" s="1607"/>
      <c r="AR730" s="1607"/>
      <c r="AS730" s="1607"/>
      <c r="AT730" s="1607"/>
      <c r="AU730" s="1607"/>
      <c r="AV730" s="1607"/>
      <c r="AW730" s="1607"/>
      <c r="AX730" s="1607"/>
      <c r="AY730" s="1607"/>
      <c r="AZ730" s="1607"/>
      <c r="BA730" s="1607"/>
      <c r="BB730" s="1607"/>
      <c r="BC730" s="1607"/>
      <c r="BD730" s="1607"/>
      <c r="BE730" s="1607"/>
      <c r="BF730" s="1607"/>
      <c r="BG730" s="1607"/>
      <c r="BH730" s="1607"/>
      <c r="BI730" s="1607"/>
      <c r="BJ730" s="1607"/>
      <c r="BK730" s="1607"/>
      <c r="BL730" s="1607"/>
    </row>
    <row r="731">
      <c r="A731" s="1607"/>
      <c r="B731" s="1607"/>
      <c r="C731" s="1607"/>
      <c r="D731" s="1607"/>
      <c r="E731" s="1607"/>
      <c r="F731" s="1607"/>
      <c r="G731" s="1607"/>
      <c r="H731" s="1607"/>
      <c r="I731" s="1607"/>
      <c r="J731" s="1607"/>
      <c r="K731" s="1607"/>
      <c r="L731" s="1607"/>
      <c r="M731" s="1607"/>
      <c r="N731" s="1607"/>
      <c r="O731" s="1607"/>
      <c r="P731" s="1607"/>
      <c r="Q731" s="1607"/>
      <c r="R731" s="1607"/>
      <c r="S731" s="1607"/>
      <c r="T731" s="1607"/>
      <c r="U731" s="1607"/>
      <c r="V731" s="1607"/>
      <c r="W731" s="1607"/>
      <c r="X731" s="1607"/>
      <c r="Y731" s="1607"/>
      <c r="Z731" s="1607"/>
      <c r="AA731" s="1607"/>
      <c r="AB731" s="1607"/>
      <c r="AC731" s="1607"/>
      <c r="AD731" s="1607"/>
      <c r="AE731" s="1607"/>
      <c r="AF731" s="1607"/>
      <c r="AG731" s="1607"/>
      <c r="AH731" s="1607"/>
      <c r="AI731" s="1607"/>
      <c r="AJ731" s="1607"/>
      <c r="AK731" s="1607"/>
      <c r="AL731" s="1607"/>
      <c r="AM731" s="1607"/>
      <c r="AN731" s="1607"/>
      <c r="AO731" s="1607"/>
      <c r="AP731" s="1607"/>
      <c r="AQ731" s="1607"/>
      <c r="AR731" s="1607"/>
      <c r="AS731" s="1607"/>
      <c r="AT731" s="1607"/>
      <c r="AU731" s="1607"/>
      <c r="AV731" s="1607"/>
      <c r="AW731" s="1607"/>
      <c r="AX731" s="1607"/>
      <c r="AY731" s="1607"/>
      <c r="AZ731" s="1607"/>
      <c r="BA731" s="1607"/>
      <c r="BB731" s="1607"/>
      <c r="BC731" s="1607"/>
      <c r="BD731" s="1607"/>
      <c r="BE731" s="1607"/>
      <c r="BF731" s="1607"/>
      <c r="BG731" s="1607"/>
      <c r="BH731" s="1607"/>
      <c r="BI731" s="1607"/>
      <c r="BJ731" s="1607"/>
      <c r="BK731" s="1607"/>
      <c r="BL731" s="1607"/>
    </row>
    <row r="732">
      <c r="A732" s="1607"/>
      <c r="B732" s="1607"/>
      <c r="C732" s="1607"/>
      <c r="D732" s="1607"/>
      <c r="E732" s="1607"/>
      <c r="F732" s="1607"/>
      <c r="G732" s="1607"/>
      <c r="H732" s="1607"/>
      <c r="I732" s="1607"/>
      <c r="J732" s="1607"/>
      <c r="K732" s="1607"/>
      <c r="L732" s="1607"/>
      <c r="M732" s="1607"/>
      <c r="N732" s="1607"/>
      <c r="O732" s="1607"/>
      <c r="P732" s="1607"/>
      <c r="Q732" s="1607"/>
      <c r="R732" s="1607"/>
      <c r="S732" s="1607"/>
      <c r="T732" s="1607"/>
      <c r="U732" s="1607"/>
      <c r="V732" s="1607"/>
      <c r="W732" s="1607"/>
      <c r="X732" s="1607"/>
      <c r="Y732" s="1607"/>
      <c r="Z732" s="1607"/>
      <c r="AA732" s="1607"/>
      <c r="AB732" s="1607"/>
      <c r="AC732" s="1607"/>
      <c r="AD732" s="1607"/>
      <c r="AE732" s="1607"/>
      <c r="AF732" s="1607"/>
      <c r="AG732" s="1607"/>
      <c r="AH732" s="1607"/>
      <c r="AI732" s="1607"/>
      <c r="AJ732" s="1607"/>
      <c r="AK732" s="1607"/>
      <c r="AL732" s="1607"/>
      <c r="AM732" s="1607"/>
      <c r="AN732" s="1607"/>
      <c r="AO732" s="1607"/>
      <c r="AP732" s="1607"/>
      <c r="AQ732" s="1607"/>
      <c r="AR732" s="1607"/>
      <c r="AS732" s="1607"/>
      <c r="AT732" s="1607"/>
      <c r="AU732" s="1607"/>
      <c r="AV732" s="1607"/>
      <c r="AW732" s="1607"/>
      <c r="AX732" s="1607"/>
      <c r="AY732" s="1607"/>
      <c r="AZ732" s="1607"/>
      <c r="BA732" s="1607"/>
      <c r="BB732" s="1607"/>
      <c r="BC732" s="1607"/>
      <c r="BD732" s="1607"/>
      <c r="BE732" s="1607"/>
      <c r="BF732" s="1607"/>
      <c r="BG732" s="1607"/>
      <c r="BH732" s="1607"/>
      <c r="BI732" s="1607"/>
      <c r="BJ732" s="1607"/>
      <c r="BK732" s="1607"/>
      <c r="BL732" s="1607"/>
    </row>
    <row r="733">
      <c r="A733" s="1607"/>
      <c r="B733" s="1607"/>
      <c r="C733" s="1607"/>
      <c r="D733" s="1607"/>
      <c r="E733" s="1607"/>
      <c r="F733" s="1607"/>
      <c r="G733" s="1607"/>
      <c r="H733" s="1607"/>
      <c r="I733" s="1607"/>
      <c r="J733" s="1607"/>
      <c r="K733" s="1607"/>
      <c r="L733" s="1607"/>
      <c r="M733" s="1607"/>
      <c r="N733" s="1607"/>
      <c r="O733" s="1607"/>
      <c r="P733" s="1607"/>
      <c r="Q733" s="1607"/>
      <c r="R733" s="1607"/>
      <c r="S733" s="1607"/>
      <c r="T733" s="1607"/>
      <c r="U733" s="1607"/>
      <c r="V733" s="1607"/>
      <c r="W733" s="1607"/>
      <c r="X733" s="1607"/>
      <c r="Y733" s="1607"/>
      <c r="Z733" s="1607"/>
      <c r="AA733" s="1607"/>
      <c r="AB733" s="1607"/>
      <c r="AC733" s="1607"/>
      <c r="AD733" s="1607"/>
      <c r="AE733" s="1607"/>
      <c r="AF733" s="1607"/>
      <c r="AG733" s="1607"/>
      <c r="AH733" s="1607"/>
      <c r="AI733" s="1607"/>
      <c r="AJ733" s="1607"/>
      <c r="AK733" s="1607"/>
      <c r="AL733" s="1607"/>
      <c r="AM733" s="1607"/>
      <c r="AN733" s="1607"/>
      <c r="AO733" s="1607"/>
      <c r="AP733" s="1607"/>
      <c r="AQ733" s="1607"/>
      <c r="AR733" s="1607"/>
      <c r="AS733" s="1607"/>
      <c r="AT733" s="1607"/>
      <c r="AU733" s="1607"/>
      <c r="AV733" s="1607"/>
      <c r="AW733" s="1607"/>
      <c r="AX733" s="1607"/>
      <c r="AY733" s="1607"/>
      <c r="AZ733" s="1607"/>
      <c r="BA733" s="1607"/>
      <c r="BB733" s="1607"/>
      <c r="BC733" s="1607"/>
      <c r="BD733" s="1607"/>
      <c r="BE733" s="1607"/>
      <c r="BF733" s="1607"/>
      <c r="BG733" s="1607"/>
      <c r="BH733" s="1607"/>
      <c r="BI733" s="1607"/>
      <c r="BJ733" s="1607"/>
      <c r="BK733" s="1607"/>
      <c r="BL733" s="1607"/>
    </row>
    <row r="734">
      <c r="A734" s="1607"/>
      <c r="B734" s="1607"/>
      <c r="C734" s="1607"/>
      <c r="D734" s="1607"/>
      <c r="E734" s="1607"/>
      <c r="F734" s="1607"/>
      <c r="G734" s="1607"/>
      <c r="H734" s="1607"/>
      <c r="I734" s="1607"/>
      <c r="J734" s="1607"/>
      <c r="K734" s="1607"/>
      <c r="L734" s="1607"/>
      <c r="M734" s="1607"/>
      <c r="N734" s="1607"/>
      <c r="O734" s="1607"/>
      <c r="P734" s="1607"/>
      <c r="Q734" s="1607"/>
      <c r="R734" s="1607"/>
      <c r="S734" s="1607"/>
      <c r="T734" s="1607"/>
      <c r="U734" s="1607"/>
      <c r="V734" s="1607"/>
      <c r="W734" s="1607"/>
      <c r="X734" s="1607"/>
      <c r="Y734" s="1607"/>
      <c r="Z734" s="1607"/>
      <c r="AA734" s="1607"/>
      <c r="AB734" s="1607"/>
      <c r="AC734" s="1607"/>
      <c r="AD734" s="1607"/>
      <c r="AE734" s="1607"/>
      <c r="AF734" s="1607"/>
      <c r="AG734" s="1607"/>
      <c r="AH734" s="1607"/>
      <c r="AI734" s="1607"/>
      <c r="AJ734" s="1607"/>
      <c r="AK734" s="1607"/>
      <c r="AL734" s="1607"/>
      <c r="AM734" s="1607"/>
      <c r="AN734" s="1607"/>
      <c r="AO734" s="1607"/>
      <c r="AP734" s="1607"/>
      <c r="AQ734" s="1607"/>
      <c r="AR734" s="1607"/>
      <c r="AS734" s="1607"/>
      <c r="AT734" s="1607"/>
      <c r="AU734" s="1607"/>
      <c r="AV734" s="1607"/>
      <c r="AW734" s="1607"/>
      <c r="AX734" s="1607"/>
      <c r="AY734" s="1607"/>
      <c r="AZ734" s="1607"/>
      <c r="BA734" s="1607"/>
      <c r="BB734" s="1607"/>
      <c r="BC734" s="1607"/>
      <c r="BD734" s="1607"/>
      <c r="BE734" s="1607"/>
      <c r="BF734" s="1607"/>
      <c r="BG734" s="1607"/>
      <c r="BH734" s="1607"/>
      <c r="BI734" s="1607"/>
      <c r="BJ734" s="1607"/>
      <c r="BK734" s="1607"/>
      <c r="BL734" s="1607"/>
    </row>
    <row r="735">
      <c r="A735" s="1607"/>
      <c r="B735" s="1607"/>
      <c r="C735" s="1607"/>
      <c r="D735" s="1607"/>
      <c r="E735" s="1607"/>
      <c r="F735" s="1607"/>
      <c r="G735" s="1607"/>
      <c r="H735" s="1607"/>
      <c r="I735" s="1607"/>
      <c r="J735" s="1607"/>
      <c r="K735" s="1607"/>
      <c r="L735" s="1607"/>
      <c r="M735" s="1607"/>
      <c r="N735" s="1607"/>
      <c r="O735" s="1607"/>
      <c r="P735" s="1607"/>
      <c r="Q735" s="1607"/>
      <c r="R735" s="1607"/>
      <c r="S735" s="1607"/>
      <c r="T735" s="1607"/>
      <c r="U735" s="1607"/>
      <c r="V735" s="1607"/>
      <c r="W735" s="1607"/>
      <c r="X735" s="1607"/>
      <c r="Y735" s="1607"/>
      <c r="Z735" s="1607"/>
      <c r="AA735" s="1607"/>
      <c r="AB735" s="1607"/>
      <c r="AC735" s="1607"/>
      <c r="AD735" s="1607"/>
      <c r="AE735" s="1607"/>
      <c r="AF735" s="1607"/>
      <c r="AG735" s="1607"/>
      <c r="AH735" s="1607"/>
      <c r="AI735" s="1607"/>
      <c r="AJ735" s="1607"/>
      <c r="AK735" s="1607"/>
      <c r="AL735" s="1607"/>
      <c r="AM735" s="1607"/>
      <c r="AN735" s="1607"/>
      <c r="AO735" s="1607"/>
      <c r="AP735" s="1607"/>
      <c r="AQ735" s="1607"/>
      <c r="AR735" s="1607"/>
      <c r="AS735" s="1607"/>
      <c r="AT735" s="1607"/>
      <c r="AU735" s="1607"/>
      <c r="AV735" s="1607"/>
      <c r="AW735" s="1607"/>
      <c r="AX735" s="1607"/>
      <c r="AY735" s="1607"/>
      <c r="AZ735" s="1607"/>
      <c r="BA735" s="1607"/>
      <c r="BB735" s="1607"/>
      <c r="BC735" s="1607"/>
      <c r="BD735" s="1607"/>
      <c r="BE735" s="1607"/>
      <c r="BF735" s="1607"/>
      <c r="BG735" s="1607"/>
      <c r="BH735" s="1607"/>
      <c r="BI735" s="1607"/>
      <c r="BJ735" s="1607"/>
      <c r="BK735" s="1607"/>
      <c r="BL735" s="1607"/>
    </row>
    <row r="736">
      <c r="A736" s="1607"/>
      <c r="B736" s="1607"/>
      <c r="C736" s="1607"/>
      <c r="D736" s="1607"/>
      <c r="E736" s="1607"/>
      <c r="F736" s="1607"/>
      <c r="G736" s="1607"/>
      <c r="H736" s="1607"/>
      <c r="I736" s="1607"/>
      <c r="J736" s="1607"/>
      <c r="K736" s="1607"/>
      <c r="L736" s="1607"/>
      <c r="M736" s="1607"/>
      <c r="N736" s="1607"/>
      <c r="O736" s="1607"/>
      <c r="P736" s="1607"/>
      <c r="Q736" s="1607"/>
      <c r="R736" s="1607"/>
      <c r="S736" s="1607"/>
      <c r="T736" s="1607"/>
      <c r="U736" s="1607"/>
      <c r="V736" s="1607"/>
      <c r="W736" s="1607"/>
      <c r="X736" s="1607"/>
      <c r="Y736" s="1607"/>
      <c r="Z736" s="1607"/>
      <c r="AA736" s="1607"/>
      <c r="AB736" s="1607"/>
      <c r="AC736" s="1607"/>
      <c r="AD736" s="1607"/>
      <c r="AE736" s="1607"/>
      <c r="AF736" s="1607"/>
      <c r="AG736" s="1607"/>
      <c r="AH736" s="1607"/>
      <c r="AI736" s="1607"/>
      <c r="AJ736" s="1607"/>
      <c r="AK736" s="1607"/>
      <c r="AL736" s="1607"/>
      <c r="AM736" s="1607"/>
      <c r="AN736" s="1607"/>
      <c r="AO736" s="1607"/>
      <c r="AP736" s="1607"/>
      <c r="AQ736" s="1607"/>
      <c r="AR736" s="1607"/>
      <c r="AS736" s="1607"/>
      <c r="AT736" s="1607"/>
      <c r="AU736" s="1607"/>
      <c r="AV736" s="1607"/>
      <c r="AW736" s="1607"/>
      <c r="AX736" s="1607"/>
      <c r="AY736" s="1607"/>
      <c r="AZ736" s="1607"/>
      <c r="BA736" s="1607"/>
      <c r="BB736" s="1607"/>
      <c r="BC736" s="1607"/>
      <c r="BD736" s="1607"/>
      <c r="BE736" s="1607"/>
      <c r="BF736" s="1607"/>
      <c r="BG736" s="1607"/>
      <c r="BH736" s="1607"/>
      <c r="BI736" s="1607"/>
      <c r="BJ736" s="1607"/>
      <c r="BK736" s="1607"/>
      <c r="BL736" s="1607"/>
    </row>
    <row r="737">
      <c r="A737" s="1607"/>
      <c r="B737" s="1607"/>
      <c r="C737" s="1607"/>
      <c r="D737" s="1607"/>
      <c r="E737" s="1607"/>
      <c r="F737" s="1607"/>
      <c r="G737" s="1607"/>
      <c r="H737" s="1607"/>
      <c r="I737" s="1607"/>
      <c r="J737" s="1607"/>
      <c r="K737" s="1607"/>
      <c r="L737" s="1607"/>
      <c r="M737" s="1607"/>
      <c r="N737" s="1607"/>
      <c r="O737" s="1607"/>
      <c r="P737" s="1607"/>
      <c r="Q737" s="1607"/>
      <c r="R737" s="1607"/>
      <c r="S737" s="1607"/>
      <c r="T737" s="1607"/>
      <c r="U737" s="1607"/>
      <c r="V737" s="1607"/>
      <c r="W737" s="1607"/>
      <c r="X737" s="1607"/>
      <c r="Y737" s="1607"/>
      <c r="Z737" s="1607"/>
      <c r="AA737" s="1607"/>
      <c r="AB737" s="1607"/>
      <c r="AC737" s="1607"/>
      <c r="AD737" s="1607"/>
      <c r="AE737" s="1607"/>
      <c r="AF737" s="1607"/>
      <c r="AG737" s="1607"/>
      <c r="AH737" s="1607"/>
      <c r="AI737" s="1607"/>
      <c r="AJ737" s="1607"/>
      <c r="AK737" s="1607"/>
      <c r="AL737" s="1607"/>
      <c r="AM737" s="1607"/>
      <c r="AN737" s="1607"/>
      <c r="AO737" s="1607"/>
      <c r="AP737" s="1607"/>
      <c r="AQ737" s="1607"/>
      <c r="AR737" s="1607"/>
      <c r="AS737" s="1607"/>
      <c r="AT737" s="1607"/>
      <c r="AU737" s="1607"/>
      <c r="AV737" s="1607"/>
      <c r="AW737" s="1607"/>
      <c r="AX737" s="1607"/>
      <c r="AY737" s="1607"/>
      <c r="AZ737" s="1607"/>
      <c r="BA737" s="1607"/>
      <c r="BB737" s="1607"/>
      <c r="BC737" s="1607"/>
      <c r="BD737" s="1607"/>
      <c r="BE737" s="1607"/>
      <c r="BF737" s="1607"/>
      <c r="BG737" s="1607"/>
      <c r="BH737" s="1607"/>
      <c r="BI737" s="1607"/>
      <c r="BJ737" s="1607"/>
      <c r="BK737" s="1607"/>
      <c r="BL737" s="1607"/>
    </row>
    <row r="738">
      <c r="A738" s="1607"/>
      <c r="B738" s="1607"/>
      <c r="C738" s="1607"/>
      <c r="D738" s="1607"/>
      <c r="E738" s="1607"/>
      <c r="F738" s="1607"/>
      <c r="G738" s="1607"/>
      <c r="H738" s="1607"/>
      <c r="I738" s="1607"/>
      <c r="J738" s="1607"/>
      <c r="K738" s="1607"/>
      <c r="L738" s="1607"/>
      <c r="M738" s="1607"/>
      <c r="N738" s="1607"/>
      <c r="O738" s="1607"/>
      <c r="P738" s="1607"/>
      <c r="Q738" s="1607"/>
      <c r="R738" s="1607"/>
      <c r="S738" s="1607"/>
      <c r="T738" s="1607"/>
      <c r="U738" s="1607"/>
      <c r="V738" s="1607"/>
      <c r="W738" s="1607"/>
      <c r="X738" s="1607"/>
      <c r="Y738" s="1607"/>
      <c r="Z738" s="1607"/>
      <c r="AA738" s="1607"/>
      <c r="AB738" s="1607"/>
      <c r="AC738" s="1607"/>
      <c r="AD738" s="1607"/>
      <c r="AE738" s="1607"/>
      <c r="AF738" s="1607"/>
      <c r="AG738" s="1607"/>
      <c r="AH738" s="1607"/>
      <c r="AI738" s="1607"/>
      <c r="AJ738" s="1607"/>
      <c r="AK738" s="1607"/>
      <c r="AL738" s="1607"/>
      <c r="AM738" s="1607"/>
      <c r="AN738" s="1607"/>
      <c r="AO738" s="1607"/>
      <c r="AP738" s="1607"/>
      <c r="AQ738" s="1607"/>
      <c r="AR738" s="1607"/>
      <c r="AS738" s="1607"/>
      <c r="AT738" s="1607"/>
      <c r="AU738" s="1607"/>
      <c r="AV738" s="1607"/>
      <c r="AW738" s="1607"/>
      <c r="AX738" s="1607"/>
      <c r="AY738" s="1607"/>
      <c r="AZ738" s="1607"/>
      <c r="BA738" s="1607"/>
      <c r="BB738" s="1607"/>
      <c r="BC738" s="1607"/>
      <c r="BD738" s="1607"/>
      <c r="BE738" s="1607"/>
      <c r="BF738" s="1607"/>
      <c r="BG738" s="1607"/>
      <c r="BH738" s="1607"/>
      <c r="BI738" s="1607"/>
      <c r="BJ738" s="1607"/>
      <c r="BK738" s="1607"/>
      <c r="BL738" s="1607"/>
    </row>
    <row r="739">
      <c r="A739" s="1607"/>
      <c r="B739" s="1607"/>
      <c r="C739" s="1607"/>
      <c r="D739" s="1607"/>
      <c r="E739" s="1607"/>
      <c r="F739" s="1607"/>
      <c r="G739" s="1607"/>
      <c r="H739" s="1607"/>
      <c r="I739" s="1607"/>
      <c r="J739" s="1607"/>
      <c r="K739" s="1607"/>
      <c r="L739" s="1607"/>
      <c r="M739" s="1607"/>
      <c r="N739" s="1607"/>
      <c r="O739" s="1607"/>
      <c r="P739" s="1607"/>
      <c r="Q739" s="1607"/>
      <c r="R739" s="1607"/>
      <c r="S739" s="1607"/>
      <c r="T739" s="1607"/>
      <c r="U739" s="1607"/>
      <c r="V739" s="1607"/>
      <c r="W739" s="1607"/>
      <c r="X739" s="1607"/>
      <c r="Y739" s="1607"/>
      <c r="Z739" s="1607"/>
      <c r="AA739" s="1607"/>
      <c r="AB739" s="1607"/>
      <c r="AC739" s="1607"/>
      <c r="AD739" s="1607"/>
      <c r="AE739" s="1607"/>
      <c r="AF739" s="1607"/>
      <c r="AG739" s="1607"/>
      <c r="AH739" s="1607"/>
      <c r="AI739" s="1607"/>
      <c r="AJ739" s="1607"/>
      <c r="AK739" s="1607"/>
      <c r="AL739" s="1607"/>
      <c r="AM739" s="1607"/>
      <c r="AN739" s="1607"/>
      <c r="AO739" s="1607"/>
      <c r="AP739" s="1607"/>
      <c r="AQ739" s="1607"/>
      <c r="AR739" s="1607"/>
      <c r="AS739" s="1607"/>
      <c r="AT739" s="1607"/>
      <c r="AU739" s="1607"/>
      <c r="AV739" s="1607"/>
      <c r="AW739" s="1607"/>
      <c r="AX739" s="1607"/>
      <c r="AY739" s="1607"/>
      <c r="AZ739" s="1607"/>
      <c r="BA739" s="1607"/>
      <c r="BB739" s="1607"/>
      <c r="BC739" s="1607"/>
      <c r="BD739" s="1607"/>
      <c r="BE739" s="1607"/>
      <c r="BF739" s="1607"/>
      <c r="BG739" s="1607"/>
      <c r="BH739" s="1607"/>
      <c r="BI739" s="1607"/>
      <c r="BJ739" s="1607"/>
      <c r="BK739" s="1607"/>
      <c r="BL739" s="1607"/>
    </row>
    <row r="740">
      <c r="A740" s="1607"/>
      <c r="B740" s="1607"/>
      <c r="C740" s="1607"/>
      <c r="D740" s="1607"/>
      <c r="E740" s="1607"/>
      <c r="F740" s="1607"/>
      <c r="G740" s="1607"/>
      <c r="H740" s="1607"/>
      <c r="I740" s="1607"/>
      <c r="J740" s="1607"/>
      <c r="K740" s="1607"/>
      <c r="L740" s="1607"/>
      <c r="M740" s="1607"/>
      <c r="N740" s="1607"/>
      <c r="O740" s="1607"/>
      <c r="P740" s="1607"/>
      <c r="Q740" s="1607"/>
      <c r="R740" s="1607"/>
      <c r="S740" s="1607"/>
      <c r="T740" s="1607"/>
      <c r="U740" s="1607"/>
      <c r="V740" s="1607"/>
      <c r="W740" s="1607"/>
      <c r="X740" s="1607"/>
      <c r="Y740" s="1607"/>
      <c r="Z740" s="1607"/>
      <c r="AA740" s="1607"/>
      <c r="AB740" s="1607"/>
      <c r="AC740" s="1607"/>
      <c r="AD740" s="1607"/>
      <c r="AE740" s="1607"/>
      <c r="AF740" s="1607"/>
      <c r="AG740" s="1607"/>
      <c r="AH740" s="1607"/>
      <c r="AI740" s="1607"/>
      <c r="AJ740" s="1607"/>
      <c r="AK740" s="1607"/>
      <c r="AL740" s="1607"/>
      <c r="AM740" s="1607"/>
      <c r="AN740" s="1607"/>
      <c r="AO740" s="1607"/>
      <c r="AP740" s="1607"/>
      <c r="AQ740" s="1607"/>
      <c r="AR740" s="1607"/>
      <c r="AS740" s="1607"/>
      <c r="AT740" s="1607"/>
      <c r="AU740" s="1607"/>
      <c r="AV740" s="1607"/>
      <c r="AW740" s="1607"/>
      <c r="AX740" s="1607"/>
      <c r="AY740" s="1607"/>
      <c r="AZ740" s="1607"/>
      <c r="BA740" s="1607"/>
      <c r="BB740" s="1607"/>
      <c r="BC740" s="1607"/>
      <c r="BD740" s="1607"/>
      <c r="BE740" s="1607"/>
      <c r="BF740" s="1607"/>
      <c r="BG740" s="1607"/>
      <c r="BH740" s="1607"/>
      <c r="BI740" s="1607"/>
      <c r="BJ740" s="1607"/>
      <c r="BK740" s="1607"/>
      <c r="BL740" s="1607"/>
    </row>
    <row r="741">
      <c r="A741" s="1607"/>
      <c r="B741" s="1607"/>
      <c r="C741" s="1607"/>
      <c r="D741" s="1607"/>
      <c r="E741" s="1607"/>
      <c r="F741" s="1607"/>
      <c r="G741" s="1607"/>
      <c r="H741" s="1607"/>
      <c r="I741" s="1607"/>
      <c r="J741" s="1607"/>
      <c r="K741" s="1607"/>
      <c r="L741" s="1607"/>
      <c r="M741" s="1607"/>
      <c r="N741" s="1607"/>
      <c r="O741" s="1607"/>
      <c r="P741" s="1607"/>
      <c r="Q741" s="1607"/>
      <c r="R741" s="1607"/>
      <c r="S741" s="1607"/>
      <c r="T741" s="1607"/>
      <c r="U741" s="1607"/>
      <c r="V741" s="1607"/>
      <c r="W741" s="1607"/>
      <c r="X741" s="1607"/>
      <c r="Y741" s="1607"/>
      <c r="Z741" s="1607"/>
      <c r="AA741" s="1607"/>
      <c r="AB741" s="1607"/>
      <c r="AC741" s="1607"/>
      <c r="AD741" s="1607"/>
      <c r="AE741" s="1607"/>
      <c r="AF741" s="1607"/>
      <c r="AG741" s="1607"/>
      <c r="AH741" s="1607"/>
      <c r="AI741" s="1607"/>
      <c r="AJ741" s="1607"/>
      <c r="AK741" s="1607"/>
      <c r="AL741" s="1607"/>
      <c r="AM741" s="1607"/>
      <c r="AN741" s="1607"/>
      <c r="AO741" s="1607"/>
      <c r="AP741" s="1607"/>
      <c r="AQ741" s="1607"/>
      <c r="AR741" s="1607"/>
      <c r="AS741" s="1607"/>
      <c r="AT741" s="1607"/>
      <c r="AU741" s="1607"/>
      <c r="AV741" s="1607"/>
      <c r="AW741" s="1607"/>
      <c r="AX741" s="1607"/>
      <c r="AY741" s="1607"/>
      <c r="AZ741" s="1607"/>
      <c r="BA741" s="1607"/>
      <c r="BB741" s="1607"/>
      <c r="BC741" s="1607"/>
      <c r="BD741" s="1607"/>
      <c r="BE741" s="1607"/>
      <c r="BF741" s="1607"/>
      <c r="BG741" s="1607"/>
      <c r="BH741" s="1607"/>
      <c r="BI741" s="1607"/>
      <c r="BJ741" s="1607"/>
      <c r="BK741" s="1607"/>
      <c r="BL741" s="1607"/>
    </row>
    <row r="742">
      <c r="A742" s="1607"/>
      <c r="B742" s="1607"/>
      <c r="C742" s="1607"/>
      <c r="D742" s="1607"/>
      <c r="E742" s="1607"/>
      <c r="F742" s="1607"/>
      <c r="G742" s="1607"/>
      <c r="H742" s="1607"/>
      <c r="I742" s="1607"/>
      <c r="J742" s="1607"/>
      <c r="K742" s="1607"/>
      <c r="L742" s="1607"/>
      <c r="M742" s="1607"/>
      <c r="N742" s="1607"/>
      <c r="O742" s="1607"/>
      <c r="P742" s="1607"/>
      <c r="Q742" s="1607"/>
      <c r="R742" s="1607"/>
      <c r="S742" s="1607"/>
      <c r="T742" s="1607"/>
      <c r="U742" s="1607"/>
      <c r="V742" s="1607"/>
      <c r="W742" s="1607"/>
      <c r="X742" s="1607"/>
      <c r="Y742" s="1607"/>
      <c r="Z742" s="1607"/>
      <c r="AA742" s="1607"/>
      <c r="AB742" s="1607"/>
      <c r="AC742" s="1607"/>
      <c r="AD742" s="1607"/>
      <c r="AE742" s="1607"/>
      <c r="AF742" s="1607"/>
      <c r="AG742" s="1607"/>
      <c r="AH742" s="1607"/>
      <c r="AI742" s="1607"/>
      <c r="AJ742" s="1607"/>
      <c r="AK742" s="1607"/>
      <c r="AL742" s="1607"/>
      <c r="AM742" s="1607"/>
      <c r="AN742" s="1607"/>
      <c r="AO742" s="1607"/>
      <c r="AP742" s="1607"/>
      <c r="AQ742" s="1607"/>
      <c r="AR742" s="1607"/>
      <c r="AS742" s="1607"/>
      <c r="AT742" s="1607"/>
      <c r="AU742" s="1607"/>
      <c r="AV742" s="1607"/>
      <c r="AW742" s="1607"/>
      <c r="AX742" s="1607"/>
      <c r="AY742" s="1607"/>
      <c r="AZ742" s="1607"/>
      <c r="BA742" s="1607"/>
      <c r="BB742" s="1607"/>
      <c r="BC742" s="1607"/>
      <c r="BD742" s="1607"/>
      <c r="BE742" s="1607"/>
      <c r="BF742" s="1607"/>
      <c r="BG742" s="1607"/>
      <c r="BH742" s="1607"/>
      <c r="BI742" s="1607"/>
      <c r="BJ742" s="1607"/>
      <c r="BK742" s="1607"/>
      <c r="BL742" s="1607"/>
    </row>
    <row r="743">
      <c r="A743" s="1607"/>
      <c r="B743" s="1607"/>
      <c r="C743" s="1607"/>
      <c r="D743" s="1607"/>
      <c r="E743" s="1607"/>
      <c r="F743" s="1607"/>
      <c r="G743" s="1607"/>
      <c r="H743" s="1607"/>
      <c r="I743" s="1607"/>
      <c r="J743" s="1607"/>
      <c r="K743" s="1607"/>
      <c r="L743" s="1607"/>
      <c r="M743" s="1607"/>
      <c r="N743" s="1607"/>
      <c r="O743" s="1607"/>
      <c r="P743" s="1607"/>
      <c r="Q743" s="1607"/>
      <c r="R743" s="1607"/>
      <c r="S743" s="1607"/>
      <c r="T743" s="1607"/>
      <c r="U743" s="1607"/>
      <c r="V743" s="1607"/>
      <c r="W743" s="1607"/>
      <c r="X743" s="1607"/>
      <c r="Y743" s="1607"/>
      <c r="Z743" s="1607"/>
      <c r="AA743" s="1607"/>
      <c r="AB743" s="1607"/>
      <c r="AC743" s="1607"/>
      <c r="AD743" s="1607"/>
      <c r="AE743" s="1607"/>
      <c r="AF743" s="1607"/>
      <c r="AG743" s="1607"/>
      <c r="AH743" s="1607"/>
      <c r="AI743" s="1607"/>
      <c r="AJ743" s="1607"/>
      <c r="AK743" s="1607"/>
      <c r="AL743" s="1607"/>
      <c r="AM743" s="1607"/>
      <c r="AN743" s="1607"/>
      <c r="AO743" s="1607"/>
      <c r="AP743" s="1607"/>
      <c r="AQ743" s="1607"/>
      <c r="AR743" s="1607"/>
      <c r="AS743" s="1607"/>
      <c r="AT743" s="1607"/>
      <c r="AU743" s="1607"/>
      <c r="AV743" s="1607"/>
      <c r="AW743" s="1607"/>
      <c r="AX743" s="1607"/>
      <c r="AY743" s="1607"/>
      <c r="AZ743" s="1607"/>
      <c r="BA743" s="1607"/>
      <c r="BB743" s="1607"/>
      <c r="BC743" s="1607"/>
      <c r="BD743" s="1607"/>
      <c r="BE743" s="1607"/>
      <c r="BF743" s="1607"/>
      <c r="BG743" s="1607"/>
      <c r="BH743" s="1607"/>
      <c r="BI743" s="1607"/>
      <c r="BJ743" s="1607"/>
      <c r="BK743" s="1607"/>
      <c r="BL743" s="1607"/>
    </row>
    <row r="744">
      <c r="A744" s="1607"/>
      <c r="B744" s="1607"/>
      <c r="C744" s="1607"/>
      <c r="D744" s="1607"/>
      <c r="E744" s="1607"/>
      <c r="F744" s="1607"/>
      <c r="G744" s="1607"/>
      <c r="H744" s="1607"/>
      <c r="I744" s="1607"/>
      <c r="J744" s="1607"/>
      <c r="K744" s="1607"/>
      <c r="L744" s="1607"/>
      <c r="M744" s="1607"/>
      <c r="N744" s="1607"/>
      <c r="O744" s="1607"/>
      <c r="P744" s="1607"/>
      <c r="Q744" s="1607"/>
      <c r="R744" s="1607"/>
      <c r="S744" s="1607"/>
      <c r="T744" s="1607"/>
      <c r="U744" s="1607"/>
      <c r="V744" s="1607"/>
      <c r="W744" s="1607"/>
      <c r="X744" s="1607"/>
      <c r="Y744" s="1607"/>
      <c r="Z744" s="1607"/>
      <c r="AA744" s="1607"/>
      <c r="AB744" s="1607"/>
      <c r="AC744" s="1607"/>
      <c r="AD744" s="1607"/>
      <c r="AE744" s="1607"/>
      <c r="AF744" s="1607"/>
      <c r="AG744" s="1607"/>
      <c r="AH744" s="1607"/>
      <c r="AI744" s="1607"/>
      <c r="AJ744" s="1607"/>
      <c r="AK744" s="1607"/>
      <c r="AL744" s="1607"/>
      <c r="AM744" s="1607"/>
      <c r="AN744" s="1607"/>
      <c r="AO744" s="1607"/>
      <c r="AP744" s="1607"/>
      <c r="AQ744" s="1607"/>
      <c r="AR744" s="1607"/>
      <c r="AS744" s="1607"/>
      <c r="AT744" s="1607"/>
      <c r="AU744" s="1607"/>
      <c r="AV744" s="1607"/>
      <c r="AW744" s="1607"/>
      <c r="AX744" s="1607"/>
      <c r="AY744" s="1607"/>
      <c r="AZ744" s="1607"/>
      <c r="BA744" s="1607"/>
      <c r="BB744" s="1607"/>
      <c r="BC744" s="1607"/>
      <c r="BD744" s="1607"/>
      <c r="BE744" s="1607"/>
      <c r="BF744" s="1607"/>
      <c r="BG744" s="1607"/>
      <c r="BH744" s="1607"/>
      <c r="BI744" s="1607"/>
      <c r="BJ744" s="1607"/>
      <c r="BK744" s="1607"/>
      <c r="BL744" s="1607"/>
    </row>
    <row r="745">
      <c r="A745" s="1607"/>
      <c r="B745" s="1607"/>
      <c r="C745" s="1607"/>
      <c r="D745" s="1607"/>
      <c r="E745" s="1607"/>
      <c r="F745" s="1607"/>
      <c r="G745" s="1607"/>
      <c r="H745" s="1607"/>
      <c r="I745" s="1607"/>
      <c r="J745" s="1607"/>
      <c r="K745" s="1607"/>
      <c r="L745" s="1607"/>
      <c r="M745" s="1607"/>
      <c r="N745" s="1607"/>
      <c r="O745" s="1607"/>
      <c r="P745" s="1607"/>
      <c r="Q745" s="1607"/>
      <c r="R745" s="1607"/>
      <c r="S745" s="1607"/>
      <c r="T745" s="1607"/>
      <c r="U745" s="1607"/>
      <c r="V745" s="1607"/>
      <c r="W745" s="1607"/>
      <c r="X745" s="1607"/>
      <c r="Y745" s="1607"/>
      <c r="Z745" s="1607"/>
      <c r="AA745" s="1607"/>
      <c r="AB745" s="1607"/>
      <c r="AC745" s="1607"/>
      <c r="AD745" s="1607"/>
      <c r="AE745" s="1607"/>
      <c r="AF745" s="1607"/>
      <c r="AG745" s="1607"/>
      <c r="AH745" s="1607"/>
      <c r="AI745" s="1607"/>
      <c r="AJ745" s="1607"/>
      <c r="AK745" s="1607"/>
      <c r="AL745" s="1607"/>
      <c r="AM745" s="1607"/>
      <c r="AN745" s="1607"/>
      <c r="AO745" s="1607"/>
      <c r="AP745" s="1607"/>
      <c r="AQ745" s="1607"/>
      <c r="AR745" s="1607"/>
      <c r="AS745" s="1607"/>
      <c r="AT745" s="1607"/>
      <c r="AU745" s="1607"/>
      <c r="AV745" s="1607"/>
      <c r="AW745" s="1607"/>
      <c r="AX745" s="1607"/>
      <c r="AY745" s="1607"/>
      <c r="AZ745" s="1607"/>
      <c r="BA745" s="1607"/>
      <c r="BB745" s="1607"/>
      <c r="BC745" s="1607"/>
      <c r="BD745" s="1607"/>
      <c r="BE745" s="1607"/>
      <c r="BF745" s="1607"/>
      <c r="BG745" s="1607"/>
      <c r="BH745" s="1607"/>
      <c r="BI745" s="1607"/>
      <c r="BJ745" s="1607"/>
      <c r="BK745" s="1607"/>
      <c r="BL745" s="1607"/>
    </row>
    <row r="746">
      <c r="A746" s="1607"/>
      <c r="B746" s="1607"/>
      <c r="C746" s="1607"/>
      <c r="D746" s="1607"/>
      <c r="E746" s="1607"/>
      <c r="F746" s="1607"/>
      <c r="G746" s="1607"/>
      <c r="H746" s="1607"/>
      <c r="I746" s="1607"/>
      <c r="J746" s="1607"/>
      <c r="K746" s="1607"/>
      <c r="L746" s="1607"/>
      <c r="M746" s="1607"/>
      <c r="N746" s="1607"/>
      <c r="O746" s="1607"/>
      <c r="P746" s="1607"/>
      <c r="Q746" s="1607"/>
      <c r="R746" s="1607"/>
      <c r="S746" s="1607"/>
      <c r="T746" s="1607"/>
      <c r="U746" s="1607"/>
      <c r="V746" s="1607"/>
      <c r="W746" s="1607"/>
      <c r="X746" s="1607"/>
      <c r="Y746" s="1607"/>
      <c r="Z746" s="1607"/>
      <c r="AA746" s="1607"/>
      <c r="AB746" s="1607"/>
      <c r="AC746" s="1607"/>
      <c r="AD746" s="1607"/>
      <c r="AE746" s="1607"/>
      <c r="AF746" s="1607"/>
      <c r="AG746" s="1607"/>
      <c r="AH746" s="1607"/>
      <c r="AI746" s="1607"/>
      <c r="AJ746" s="1607"/>
      <c r="AK746" s="1607"/>
      <c r="AL746" s="1607"/>
      <c r="AM746" s="1607"/>
      <c r="AN746" s="1607"/>
      <c r="AO746" s="1607"/>
      <c r="AP746" s="1607"/>
      <c r="AQ746" s="1607"/>
      <c r="AR746" s="1607"/>
      <c r="AS746" s="1607"/>
      <c r="AT746" s="1607"/>
      <c r="AU746" s="1607"/>
      <c r="AV746" s="1607"/>
      <c r="AW746" s="1607"/>
      <c r="AX746" s="1607"/>
      <c r="AY746" s="1607"/>
      <c r="AZ746" s="1607"/>
      <c r="BA746" s="1607"/>
      <c r="BB746" s="1607"/>
      <c r="BC746" s="1607"/>
      <c r="BD746" s="1607"/>
      <c r="BE746" s="1607"/>
      <c r="BF746" s="1607"/>
      <c r="BG746" s="1607"/>
      <c r="BH746" s="1607"/>
      <c r="BI746" s="1607"/>
      <c r="BJ746" s="1607"/>
      <c r="BK746" s="1607"/>
      <c r="BL746" s="1607"/>
    </row>
    <row r="747">
      <c r="A747" s="1607"/>
      <c r="B747" s="1607"/>
      <c r="C747" s="1607"/>
      <c r="D747" s="1607"/>
      <c r="E747" s="1607"/>
      <c r="F747" s="1607"/>
      <c r="G747" s="1607"/>
      <c r="H747" s="1607"/>
      <c r="I747" s="1607"/>
      <c r="J747" s="1607"/>
      <c r="K747" s="1607"/>
      <c r="L747" s="1607"/>
      <c r="M747" s="1607"/>
      <c r="N747" s="1607"/>
      <c r="O747" s="1607"/>
      <c r="P747" s="1607"/>
      <c r="Q747" s="1607"/>
      <c r="R747" s="1607"/>
      <c r="S747" s="1607"/>
      <c r="T747" s="1607"/>
      <c r="U747" s="1607"/>
      <c r="V747" s="1607"/>
      <c r="W747" s="1607"/>
      <c r="X747" s="1607"/>
      <c r="Y747" s="1607"/>
      <c r="Z747" s="1607"/>
      <c r="AA747" s="1607"/>
      <c r="AB747" s="1607"/>
      <c r="AC747" s="1607"/>
      <c r="AD747" s="1607"/>
      <c r="AE747" s="1607"/>
      <c r="AF747" s="1607"/>
      <c r="AG747" s="1607"/>
      <c r="AH747" s="1607"/>
      <c r="AI747" s="1607"/>
      <c r="AJ747" s="1607"/>
      <c r="AK747" s="1607"/>
      <c r="AL747" s="1607"/>
      <c r="AM747" s="1607"/>
      <c r="AN747" s="1607"/>
      <c r="AO747" s="1607"/>
      <c r="AP747" s="1607"/>
      <c r="AQ747" s="1607"/>
      <c r="AR747" s="1607"/>
      <c r="AS747" s="1607"/>
      <c r="AT747" s="1607"/>
      <c r="AU747" s="1607"/>
      <c r="AV747" s="1607"/>
      <c r="AW747" s="1607"/>
      <c r="AX747" s="1607"/>
      <c r="AY747" s="1607"/>
      <c r="AZ747" s="1607"/>
      <c r="BA747" s="1607"/>
      <c r="BB747" s="1607"/>
      <c r="BC747" s="1607"/>
      <c r="BD747" s="1607"/>
      <c r="BE747" s="1607"/>
      <c r="BF747" s="1607"/>
      <c r="BG747" s="1607"/>
      <c r="BH747" s="1607"/>
      <c r="BI747" s="1607"/>
      <c r="BJ747" s="1607"/>
      <c r="BK747" s="1607"/>
      <c r="BL747" s="1607"/>
    </row>
    <row r="748">
      <c r="A748" s="1607"/>
      <c r="B748" s="1607"/>
      <c r="C748" s="1607"/>
      <c r="D748" s="1607"/>
      <c r="E748" s="1607"/>
      <c r="F748" s="1607"/>
      <c r="G748" s="1607"/>
      <c r="H748" s="1607"/>
      <c r="I748" s="1607"/>
      <c r="J748" s="1607"/>
      <c r="K748" s="1607"/>
      <c r="L748" s="1607"/>
      <c r="M748" s="1607"/>
      <c r="N748" s="1607"/>
      <c r="O748" s="1607"/>
      <c r="P748" s="1607"/>
      <c r="Q748" s="1607"/>
      <c r="R748" s="1607"/>
      <c r="S748" s="1607"/>
      <c r="T748" s="1607"/>
      <c r="U748" s="1607"/>
      <c r="V748" s="1607"/>
      <c r="W748" s="1607"/>
      <c r="X748" s="1607"/>
      <c r="Y748" s="1607"/>
      <c r="Z748" s="1607"/>
      <c r="AA748" s="1607"/>
      <c r="AB748" s="1607"/>
      <c r="AC748" s="1607"/>
      <c r="AD748" s="1607"/>
      <c r="AE748" s="1607"/>
      <c r="AF748" s="1607"/>
      <c r="AG748" s="1607"/>
      <c r="AH748" s="1607"/>
      <c r="AI748" s="1607"/>
      <c r="AJ748" s="1607"/>
      <c r="AK748" s="1607"/>
      <c r="AL748" s="1607"/>
      <c r="AM748" s="1607"/>
      <c r="AN748" s="1607"/>
      <c r="AO748" s="1607"/>
      <c r="AP748" s="1607"/>
      <c r="AQ748" s="1607"/>
      <c r="AR748" s="1607"/>
      <c r="AS748" s="1607"/>
      <c r="AT748" s="1607"/>
      <c r="AU748" s="1607"/>
      <c r="AV748" s="1607"/>
      <c r="AW748" s="1607"/>
      <c r="AX748" s="1607"/>
      <c r="AY748" s="1607"/>
      <c r="AZ748" s="1607"/>
      <c r="BA748" s="1607"/>
      <c r="BB748" s="1607"/>
      <c r="BC748" s="1607"/>
      <c r="BD748" s="1607"/>
      <c r="BE748" s="1607"/>
      <c r="BF748" s="1607"/>
      <c r="BG748" s="1607"/>
      <c r="BH748" s="1607"/>
      <c r="BI748" s="1607"/>
      <c r="BJ748" s="1607"/>
      <c r="BK748" s="1607"/>
      <c r="BL748" s="1607"/>
    </row>
    <row r="749">
      <c r="A749" s="1607"/>
      <c r="B749" s="1607"/>
      <c r="C749" s="1607"/>
      <c r="D749" s="1607"/>
      <c r="E749" s="1607"/>
      <c r="F749" s="1607"/>
      <c r="G749" s="1607"/>
      <c r="H749" s="1607"/>
      <c r="I749" s="1607"/>
      <c r="J749" s="1607"/>
      <c r="K749" s="1607"/>
      <c r="L749" s="1607"/>
      <c r="M749" s="1607"/>
      <c r="N749" s="1607"/>
      <c r="O749" s="1607"/>
      <c r="P749" s="1607"/>
      <c r="Q749" s="1607"/>
      <c r="R749" s="1607"/>
      <c r="S749" s="1607"/>
      <c r="T749" s="1607"/>
      <c r="U749" s="1607"/>
      <c r="V749" s="1607"/>
      <c r="W749" s="1607"/>
      <c r="X749" s="1607"/>
      <c r="Y749" s="1607"/>
      <c r="Z749" s="1607"/>
      <c r="AA749" s="1607"/>
      <c r="AB749" s="1607"/>
      <c r="AC749" s="1607"/>
      <c r="AD749" s="1607"/>
      <c r="AE749" s="1607"/>
      <c r="AF749" s="1607"/>
      <c r="AG749" s="1607"/>
      <c r="AH749" s="1607"/>
      <c r="AI749" s="1607"/>
      <c r="AJ749" s="1607"/>
      <c r="AK749" s="1607"/>
      <c r="AL749" s="1607"/>
      <c r="AM749" s="1607"/>
      <c r="AN749" s="1607"/>
      <c r="AO749" s="1607"/>
      <c r="AP749" s="1607"/>
      <c r="AQ749" s="1607"/>
      <c r="AR749" s="1607"/>
      <c r="AS749" s="1607"/>
      <c r="AT749" s="1607"/>
      <c r="AU749" s="1607"/>
      <c r="AV749" s="1607"/>
      <c r="AW749" s="1607"/>
      <c r="AX749" s="1607"/>
      <c r="AY749" s="1607"/>
      <c r="AZ749" s="1607"/>
      <c r="BA749" s="1607"/>
      <c r="BB749" s="1607"/>
      <c r="BC749" s="1607"/>
      <c r="BD749" s="1607"/>
      <c r="BE749" s="1607"/>
      <c r="BF749" s="1607"/>
      <c r="BG749" s="1607"/>
      <c r="BH749" s="1607"/>
      <c r="BI749" s="1607"/>
      <c r="BJ749" s="1607"/>
      <c r="BK749" s="1607"/>
      <c r="BL749" s="1607"/>
    </row>
    <row r="750">
      <c r="A750" s="1607"/>
      <c r="B750" s="1607"/>
      <c r="C750" s="1607"/>
      <c r="D750" s="1607"/>
      <c r="E750" s="1607"/>
      <c r="F750" s="1607"/>
      <c r="G750" s="1607"/>
      <c r="H750" s="1607"/>
      <c r="I750" s="1607"/>
      <c r="J750" s="1607"/>
      <c r="K750" s="1607"/>
      <c r="L750" s="1607"/>
      <c r="M750" s="1607"/>
      <c r="N750" s="1607"/>
      <c r="O750" s="1607"/>
      <c r="P750" s="1607"/>
      <c r="Q750" s="1607"/>
      <c r="R750" s="1607"/>
      <c r="S750" s="1607"/>
      <c r="T750" s="1607"/>
      <c r="U750" s="1607"/>
      <c r="V750" s="1607"/>
      <c r="W750" s="1607"/>
      <c r="X750" s="1607"/>
      <c r="Y750" s="1607"/>
      <c r="Z750" s="1607"/>
      <c r="AA750" s="1607"/>
      <c r="AB750" s="1607"/>
      <c r="AC750" s="1607"/>
      <c r="AD750" s="1607"/>
      <c r="AE750" s="1607"/>
      <c r="AF750" s="1607"/>
      <c r="AG750" s="1607"/>
      <c r="AH750" s="1607"/>
      <c r="AI750" s="1607"/>
      <c r="AJ750" s="1607"/>
      <c r="AK750" s="1607"/>
      <c r="AL750" s="1607"/>
      <c r="AM750" s="1607"/>
      <c r="AN750" s="1607"/>
      <c r="AO750" s="1607"/>
      <c r="AP750" s="1607"/>
      <c r="AQ750" s="1607"/>
      <c r="AR750" s="1607"/>
      <c r="AS750" s="1607"/>
      <c r="AT750" s="1607"/>
      <c r="AU750" s="1607"/>
      <c r="AV750" s="1607"/>
      <c r="AW750" s="1607"/>
      <c r="AX750" s="1607"/>
      <c r="AY750" s="1607"/>
      <c r="AZ750" s="1607"/>
      <c r="BA750" s="1607"/>
      <c r="BB750" s="1607"/>
      <c r="BC750" s="1607"/>
      <c r="BD750" s="1607"/>
      <c r="BE750" s="1607"/>
      <c r="BF750" s="1607"/>
      <c r="BG750" s="1607"/>
      <c r="BH750" s="1607"/>
      <c r="BI750" s="1607"/>
      <c r="BJ750" s="1607"/>
      <c r="BK750" s="1607"/>
      <c r="BL750" s="1607"/>
    </row>
    <row r="751">
      <c r="A751" s="1607"/>
      <c r="B751" s="1607"/>
      <c r="C751" s="1607"/>
      <c r="D751" s="1607"/>
      <c r="E751" s="1607"/>
      <c r="F751" s="1607"/>
      <c r="G751" s="1607"/>
      <c r="H751" s="1607"/>
      <c r="I751" s="1607"/>
      <c r="J751" s="1607"/>
      <c r="K751" s="1607"/>
      <c r="L751" s="1607"/>
      <c r="M751" s="1607"/>
      <c r="N751" s="1607"/>
      <c r="O751" s="1607"/>
      <c r="P751" s="1607"/>
      <c r="Q751" s="1607"/>
      <c r="R751" s="1607"/>
      <c r="S751" s="1607"/>
      <c r="T751" s="1607"/>
      <c r="U751" s="1607"/>
      <c r="V751" s="1607"/>
      <c r="W751" s="1607"/>
      <c r="X751" s="1607"/>
      <c r="Y751" s="1607"/>
      <c r="Z751" s="1607"/>
      <c r="AA751" s="1607"/>
      <c r="AB751" s="1607"/>
      <c r="AC751" s="1607"/>
      <c r="AD751" s="1607"/>
      <c r="AE751" s="1607"/>
      <c r="AF751" s="1607"/>
      <c r="AG751" s="1607"/>
      <c r="AH751" s="1607"/>
      <c r="AI751" s="1607"/>
      <c r="AJ751" s="1607"/>
      <c r="AK751" s="1607"/>
      <c r="AL751" s="1607"/>
      <c r="AM751" s="1607"/>
      <c r="AN751" s="1607"/>
      <c r="AO751" s="1607"/>
      <c r="AP751" s="1607"/>
      <c r="AQ751" s="1607"/>
      <c r="AR751" s="1607"/>
      <c r="AS751" s="1607"/>
      <c r="AT751" s="1607"/>
      <c r="AU751" s="1607"/>
      <c r="AV751" s="1607"/>
      <c r="AW751" s="1607"/>
      <c r="AX751" s="1607"/>
      <c r="AY751" s="1607"/>
      <c r="AZ751" s="1607"/>
      <c r="BA751" s="1607"/>
      <c r="BB751" s="1607"/>
      <c r="BC751" s="1607"/>
      <c r="BD751" s="1607"/>
      <c r="BE751" s="1607"/>
      <c r="BF751" s="1607"/>
      <c r="BG751" s="1607"/>
      <c r="BH751" s="1607"/>
      <c r="BI751" s="1607"/>
      <c r="BJ751" s="1607"/>
      <c r="BK751" s="1607"/>
      <c r="BL751" s="1607"/>
    </row>
    <row r="752">
      <c r="A752" s="1607"/>
      <c r="B752" s="1607"/>
      <c r="C752" s="1607"/>
      <c r="D752" s="1607"/>
      <c r="E752" s="1607"/>
      <c r="F752" s="1607"/>
      <c r="G752" s="1607"/>
      <c r="H752" s="1607"/>
      <c r="I752" s="1607"/>
      <c r="J752" s="1607"/>
      <c r="K752" s="1607"/>
      <c r="L752" s="1607"/>
      <c r="M752" s="1607"/>
      <c r="N752" s="1607"/>
      <c r="O752" s="1607"/>
      <c r="P752" s="1607"/>
      <c r="Q752" s="1607"/>
      <c r="R752" s="1607"/>
      <c r="S752" s="1607"/>
      <c r="T752" s="1607"/>
      <c r="U752" s="1607"/>
      <c r="V752" s="1607"/>
      <c r="W752" s="1607"/>
      <c r="X752" s="1607"/>
      <c r="Y752" s="1607"/>
      <c r="Z752" s="1607"/>
      <c r="AA752" s="1607"/>
      <c r="AB752" s="1607"/>
      <c r="AC752" s="1607"/>
      <c r="AD752" s="1607"/>
      <c r="AE752" s="1607"/>
      <c r="AF752" s="1607"/>
      <c r="AG752" s="1607"/>
      <c r="AH752" s="1607"/>
      <c r="AI752" s="1607"/>
      <c r="AJ752" s="1607"/>
      <c r="AK752" s="1607"/>
      <c r="AL752" s="1607"/>
      <c r="AM752" s="1607"/>
      <c r="AN752" s="1607"/>
      <c r="AO752" s="1607"/>
      <c r="AP752" s="1607"/>
      <c r="AQ752" s="1607"/>
      <c r="AR752" s="1607"/>
      <c r="AS752" s="1607"/>
      <c r="AT752" s="1607"/>
      <c r="AU752" s="1607"/>
      <c r="AV752" s="1607"/>
      <c r="AW752" s="1607"/>
      <c r="AX752" s="1607"/>
      <c r="AY752" s="1607"/>
      <c r="AZ752" s="1607"/>
      <c r="BA752" s="1607"/>
      <c r="BB752" s="1607"/>
      <c r="BC752" s="1607"/>
      <c r="BD752" s="1607"/>
      <c r="BE752" s="1607"/>
      <c r="BF752" s="1607"/>
      <c r="BG752" s="1607"/>
      <c r="BH752" s="1607"/>
      <c r="BI752" s="1607"/>
      <c r="BJ752" s="1607"/>
      <c r="BK752" s="1607"/>
      <c r="BL752" s="1607"/>
    </row>
    <row r="753">
      <c r="A753" s="1607"/>
      <c r="B753" s="1607"/>
      <c r="C753" s="1607"/>
      <c r="D753" s="1607"/>
      <c r="E753" s="1607"/>
      <c r="F753" s="1607"/>
      <c r="G753" s="1607"/>
      <c r="H753" s="1607"/>
      <c r="I753" s="1607"/>
      <c r="J753" s="1607"/>
      <c r="K753" s="1607"/>
      <c r="L753" s="1607"/>
      <c r="M753" s="1607"/>
      <c r="N753" s="1607"/>
      <c r="O753" s="1607"/>
      <c r="P753" s="1607"/>
      <c r="Q753" s="1607"/>
      <c r="R753" s="1607"/>
      <c r="S753" s="1607"/>
      <c r="T753" s="1607"/>
      <c r="U753" s="1607"/>
      <c r="V753" s="1607"/>
      <c r="W753" s="1607"/>
      <c r="X753" s="1607"/>
      <c r="Y753" s="1607"/>
      <c r="Z753" s="1607"/>
      <c r="AA753" s="1607"/>
      <c r="AB753" s="1607"/>
      <c r="AC753" s="1607"/>
      <c r="AD753" s="1607"/>
      <c r="AE753" s="1607"/>
      <c r="AF753" s="1607"/>
      <c r="AG753" s="1607"/>
      <c r="AH753" s="1607"/>
      <c r="AI753" s="1607"/>
      <c r="AJ753" s="1607"/>
      <c r="AK753" s="1607"/>
      <c r="AL753" s="1607"/>
      <c r="AM753" s="1607"/>
      <c r="AN753" s="1607"/>
      <c r="AO753" s="1607"/>
      <c r="AP753" s="1607"/>
      <c r="AQ753" s="1607"/>
      <c r="AR753" s="1607"/>
      <c r="AS753" s="1607"/>
      <c r="AT753" s="1607"/>
      <c r="AU753" s="1607"/>
      <c r="AV753" s="1607"/>
      <c r="AW753" s="1607"/>
      <c r="AX753" s="1607"/>
      <c r="AY753" s="1607"/>
      <c r="AZ753" s="1607"/>
      <c r="BA753" s="1607"/>
      <c r="BB753" s="1607"/>
      <c r="BC753" s="1607"/>
      <c r="BD753" s="1607"/>
      <c r="BE753" s="1607"/>
      <c r="BF753" s="1607"/>
      <c r="BG753" s="1607"/>
      <c r="BH753" s="1607"/>
      <c r="BI753" s="1607"/>
      <c r="BJ753" s="1607"/>
      <c r="BK753" s="1607"/>
      <c r="BL753" s="1607"/>
    </row>
    <row r="754">
      <c r="A754" s="1607"/>
      <c r="B754" s="1607"/>
      <c r="C754" s="1607"/>
      <c r="D754" s="1607"/>
      <c r="E754" s="1607"/>
      <c r="F754" s="1607"/>
      <c r="G754" s="1607"/>
      <c r="H754" s="1607"/>
      <c r="I754" s="1607"/>
      <c r="J754" s="1607"/>
      <c r="K754" s="1607"/>
      <c r="L754" s="1607"/>
      <c r="M754" s="1607"/>
      <c r="N754" s="1607"/>
      <c r="O754" s="1607"/>
      <c r="P754" s="1607"/>
      <c r="Q754" s="1607"/>
      <c r="R754" s="1607"/>
      <c r="S754" s="1607"/>
      <c r="T754" s="1607"/>
      <c r="U754" s="1607"/>
      <c r="V754" s="1607"/>
      <c r="W754" s="1607"/>
      <c r="X754" s="1607"/>
      <c r="Y754" s="1607"/>
      <c r="Z754" s="1607"/>
      <c r="AA754" s="1607"/>
      <c r="AB754" s="1607"/>
      <c r="AC754" s="1607"/>
      <c r="AD754" s="1607"/>
      <c r="AE754" s="1607"/>
      <c r="AF754" s="1607"/>
      <c r="AG754" s="1607"/>
      <c r="AH754" s="1607"/>
      <c r="AI754" s="1607"/>
      <c r="AJ754" s="1607"/>
      <c r="AK754" s="1607"/>
      <c r="AL754" s="1607"/>
      <c r="AM754" s="1607"/>
      <c r="AN754" s="1607"/>
      <c r="AO754" s="1607"/>
      <c r="AP754" s="1607"/>
      <c r="AQ754" s="1607"/>
      <c r="AR754" s="1607"/>
      <c r="AS754" s="1607"/>
      <c r="AT754" s="1607"/>
      <c r="AU754" s="1607"/>
      <c r="AV754" s="1607"/>
      <c r="AW754" s="1607"/>
      <c r="AX754" s="1607"/>
      <c r="AY754" s="1607"/>
      <c r="AZ754" s="1607"/>
      <c r="BA754" s="1607"/>
      <c r="BB754" s="1607"/>
      <c r="BC754" s="1607"/>
      <c r="BD754" s="1607"/>
      <c r="BE754" s="1607"/>
      <c r="BF754" s="1607"/>
      <c r="BG754" s="1607"/>
      <c r="BH754" s="1607"/>
      <c r="BI754" s="1607"/>
      <c r="BJ754" s="1607"/>
      <c r="BK754" s="1607"/>
      <c r="BL754" s="1607"/>
    </row>
    <row r="755">
      <c r="A755" s="1607"/>
      <c r="B755" s="1607"/>
      <c r="C755" s="1607"/>
      <c r="D755" s="1607"/>
      <c r="E755" s="1607"/>
      <c r="F755" s="1607"/>
      <c r="G755" s="1607"/>
      <c r="H755" s="1607"/>
      <c r="I755" s="1607"/>
      <c r="J755" s="1607"/>
      <c r="K755" s="1607"/>
      <c r="L755" s="1607"/>
      <c r="M755" s="1607"/>
      <c r="N755" s="1607"/>
      <c r="O755" s="1607"/>
      <c r="P755" s="1607"/>
      <c r="Q755" s="1607"/>
      <c r="R755" s="1607"/>
      <c r="S755" s="1607"/>
      <c r="T755" s="1607"/>
      <c r="U755" s="1607"/>
      <c r="V755" s="1607"/>
      <c r="W755" s="1607"/>
      <c r="X755" s="1607"/>
      <c r="Y755" s="1607"/>
      <c r="Z755" s="1607"/>
      <c r="AA755" s="1607"/>
      <c r="AB755" s="1607"/>
      <c r="AC755" s="1607"/>
      <c r="AD755" s="1607"/>
      <c r="AE755" s="1607"/>
      <c r="AF755" s="1607"/>
      <c r="AG755" s="1607"/>
      <c r="AH755" s="1607"/>
      <c r="AI755" s="1607"/>
      <c r="AJ755" s="1607"/>
      <c r="AK755" s="1607"/>
      <c r="AL755" s="1607"/>
      <c r="AM755" s="1607"/>
      <c r="AN755" s="1607"/>
      <c r="AO755" s="1607"/>
      <c r="AP755" s="1607"/>
      <c r="AQ755" s="1607"/>
      <c r="AR755" s="1607"/>
      <c r="AS755" s="1607"/>
      <c r="AT755" s="1607"/>
      <c r="AU755" s="1607"/>
      <c r="AV755" s="1607"/>
      <c r="AW755" s="1607"/>
      <c r="AX755" s="1607"/>
      <c r="AY755" s="1607"/>
      <c r="AZ755" s="1607"/>
      <c r="BA755" s="1607"/>
      <c r="BB755" s="1607"/>
      <c r="BC755" s="1607"/>
      <c r="BD755" s="1607"/>
      <c r="BE755" s="1607"/>
      <c r="BF755" s="1607"/>
      <c r="BG755" s="1607"/>
      <c r="BH755" s="1607"/>
      <c r="BI755" s="1607"/>
      <c r="BJ755" s="1607"/>
      <c r="BK755" s="1607"/>
      <c r="BL755" s="1607"/>
    </row>
    <row r="756">
      <c r="A756" s="1607"/>
      <c r="B756" s="1607"/>
      <c r="C756" s="1607"/>
      <c r="D756" s="1607"/>
      <c r="E756" s="1607"/>
      <c r="F756" s="1607"/>
      <c r="G756" s="1607"/>
      <c r="H756" s="1607"/>
      <c r="I756" s="1607"/>
      <c r="J756" s="1607"/>
      <c r="K756" s="1607"/>
      <c r="L756" s="1607"/>
      <c r="M756" s="1607"/>
      <c r="N756" s="1607"/>
      <c r="O756" s="1607"/>
      <c r="P756" s="1607"/>
      <c r="Q756" s="1607"/>
      <c r="R756" s="1607"/>
      <c r="S756" s="1607"/>
      <c r="T756" s="1607"/>
      <c r="U756" s="1607"/>
      <c r="V756" s="1607"/>
      <c r="W756" s="1607"/>
      <c r="X756" s="1607"/>
      <c r="Y756" s="1607"/>
      <c r="Z756" s="1607"/>
      <c r="AA756" s="1607"/>
      <c r="AB756" s="1607"/>
      <c r="AC756" s="1607"/>
      <c r="AD756" s="1607"/>
      <c r="AE756" s="1607"/>
      <c r="AF756" s="1607"/>
      <c r="AG756" s="1607"/>
      <c r="AH756" s="1607"/>
      <c r="AI756" s="1607"/>
      <c r="AJ756" s="1607"/>
      <c r="AK756" s="1607"/>
      <c r="AL756" s="1607"/>
      <c r="AM756" s="1607"/>
      <c r="AN756" s="1607"/>
      <c r="AO756" s="1607"/>
      <c r="AP756" s="1607"/>
      <c r="AQ756" s="1607"/>
      <c r="AR756" s="1607"/>
      <c r="AS756" s="1607"/>
      <c r="AT756" s="1607"/>
      <c r="AU756" s="1607"/>
      <c r="AV756" s="1607"/>
      <c r="AW756" s="1607"/>
      <c r="AX756" s="1607"/>
      <c r="AY756" s="1607"/>
      <c r="AZ756" s="1607"/>
      <c r="BA756" s="1607"/>
      <c r="BB756" s="1607"/>
      <c r="BC756" s="1607"/>
      <c r="BD756" s="1607"/>
      <c r="BE756" s="1607"/>
      <c r="BF756" s="1607"/>
      <c r="BG756" s="1607"/>
      <c r="BH756" s="1607"/>
      <c r="BI756" s="1607"/>
      <c r="BJ756" s="1607"/>
      <c r="BK756" s="1607"/>
      <c r="BL756" s="1607"/>
    </row>
    <row r="757">
      <c r="A757" s="1607"/>
      <c r="B757" s="1607"/>
      <c r="C757" s="1607"/>
      <c r="D757" s="1607"/>
      <c r="E757" s="1607"/>
      <c r="F757" s="1607"/>
      <c r="G757" s="1607"/>
      <c r="H757" s="1607"/>
      <c r="I757" s="1607"/>
      <c r="J757" s="1607"/>
      <c r="K757" s="1607"/>
      <c r="L757" s="1607"/>
      <c r="M757" s="1607"/>
      <c r="N757" s="1607"/>
      <c r="O757" s="1607"/>
      <c r="P757" s="1607"/>
      <c r="Q757" s="1607"/>
      <c r="R757" s="1607"/>
      <c r="S757" s="1607"/>
      <c r="T757" s="1607"/>
      <c r="U757" s="1607"/>
      <c r="V757" s="1607"/>
      <c r="W757" s="1607"/>
      <c r="X757" s="1607"/>
      <c r="Y757" s="1607"/>
      <c r="Z757" s="1607"/>
      <c r="AA757" s="1607"/>
      <c r="AB757" s="1607"/>
      <c r="AC757" s="1607"/>
      <c r="AD757" s="1607"/>
      <c r="AE757" s="1607"/>
      <c r="AF757" s="1607"/>
      <c r="AG757" s="1607"/>
      <c r="AH757" s="1607"/>
      <c r="AI757" s="1607"/>
      <c r="AJ757" s="1607"/>
      <c r="AK757" s="1607"/>
      <c r="AL757" s="1607"/>
      <c r="AM757" s="1607"/>
      <c r="AN757" s="1607"/>
      <c r="AO757" s="1607"/>
      <c r="AP757" s="1607"/>
      <c r="AQ757" s="1607"/>
      <c r="AR757" s="1607"/>
      <c r="AS757" s="1607"/>
      <c r="AT757" s="1607"/>
      <c r="AU757" s="1607"/>
      <c r="AV757" s="1607"/>
      <c r="AW757" s="1607"/>
      <c r="AX757" s="1607"/>
      <c r="AY757" s="1607"/>
      <c r="AZ757" s="1607"/>
      <c r="BA757" s="1607"/>
      <c r="BB757" s="1607"/>
      <c r="BC757" s="1607"/>
      <c r="BD757" s="1607"/>
      <c r="BE757" s="1607"/>
      <c r="BF757" s="1607"/>
      <c r="BG757" s="1607"/>
      <c r="BH757" s="1607"/>
      <c r="BI757" s="1607"/>
      <c r="BJ757" s="1607"/>
      <c r="BK757" s="1607"/>
      <c r="BL757" s="1607"/>
    </row>
    <row r="758">
      <c r="A758" s="1607"/>
      <c r="B758" s="1607"/>
      <c r="C758" s="1607"/>
      <c r="D758" s="1607"/>
      <c r="E758" s="1607"/>
      <c r="F758" s="1607"/>
      <c r="G758" s="1607"/>
      <c r="H758" s="1607"/>
      <c r="I758" s="1607"/>
      <c r="J758" s="1607"/>
      <c r="K758" s="1607"/>
      <c r="L758" s="1607"/>
      <c r="M758" s="1607"/>
      <c r="N758" s="1607"/>
      <c r="O758" s="1607"/>
      <c r="P758" s="1607"/>
      <c r="Q758" s="1607"/>
      <c r="R758" s="1607"/>
      <c r="S758" s="1607"/>
      <c r="T758" s="1607"/>
      <c r="U758" s="1607"/>
      <c r="V758" s="1607"/>
      <c r="W758" s="1607"/>
      <c r="X758" s="1607"/>
      <c r="Y758" s="1607"/>
      <c r="Z758" s="1607"/>
      <c r="AA758" s="1607"/>
      <c r="AB758" s="1607"/>
      <c r="AC758" s="1607"/>
      <c r="AD758" s="1607"/>
      <c r="AE758" s="1607"/>
      <c r="AF758" s="1607"/>
      <c r="AG758" s="1607"/>
      <c r="AH758" s="1607"/>
      <c r="AI758" s="1607"/>
      <c r="AJ758" s="1607"/>
      <c r="AK758" s="1607"/>
      <c r="AL758" s="1607"/>
      <c r="AM758" s="1607"/>
      <c r="AN758" s="1607"/>
      <c r="AO758" s="1607"/>
      <c r="AP758" s="1607"/>
      <c r="AQ758" s="1607"/>
      <c r="AR758" s="1607"/>
      <c r="AS758" s="1607"/>
      <c r="AT758" s="1607"/>
      <c r="AU758" s="1607"/>
      <c r="AV758" s="1607"/>
      <c r="AW758" s="1607"/>
      <c r="AX758" s="1607"/>
      <c r="AY758" s="1607"/>
      <c r="AZ758" s="1607"/>
      <c r="BA758" s="1607"/>
      <c r="BB758" s="1607"/>
      <c r="BC758" s="1607"/>
      <c r="BD758" s="1607"/>
      <c r="BE758" s="1607"/>
      <c r="BF758" s="1607"/>
      <c r="BG758" s="1607"/>
      <c r="BH758" s="1607"/>
      <c r="BI758" s="1607"/>
      <c r="BJ758" s="1607"/>
      <c r="BK758" s="1607"/>
      <c r="BL758" s="1607"/>
    </row>
    <row r="759">
      <c r="A759" s="1607"/>
      <c r="B759" s="1607"/>
      <c r="C759" s="1607"/>
      <c r="D759" s="1607"/>
      <c r="E759" s="1607"/>
      <c r="F759" s="1607"/>
      <c r="G759" s="1607"/>
      <c r="H759" s="1607"/>
      <c r="I759" s="1607"/>
      <c r="J759" s="1607"/>
      <c r="K759" s="1607"/>
      <c r="L759" s="1607"/>
      <c r="M759" s="1607"/>
      <c r="N759" s="1607"/>
      <c r="O759" s="1607"/>
      <c r="P759" s="1607"/>
      <c r="Q759" s="1607"/>
      <c r="R759" s="1607"/>
      <c r="S759" s="1607"/>
      <c r="T759" s="1607"/>
      <c r="U759" s="1607"/>
      <c r="V759" s="1607"/>
      <c r="W759" s="1607"/>
      <c r="X759" s="1607"/>
      <c r="Y759" s="1607"/>
      <c r="Z759" s="1607"/>
      <c r="AA759" s="1607"/>
      <c r="AB759" s="1607"/>
      <c r="AC759" s="1607"/>
      <c r="AD759" s="1607"/>
      <c r="AE759" s="1607"/>
      <c r="AF759" s="1607"/>
      <c r="AG759" s="1607"/>
      <c r="AH759" s="1607"/>
      <c r="AI759" s="1607"/>
      <c r="AJ759" s="1607"/>
      <c r="AK759" s="1607"/>
      <c r="AL759" s="1607"/>
      <c r="AM759" s="1607"/>
      <c r="AN759" s="1607"/>
      <c r="AO759" s="1607"/>
      <c r="AP759" s="1607"/>
      <c r="AQ759" s="1607"/>
      <c r="AR759" s="1607"/>
      <c r="AS759" s="1607"/>
      <c r="AT759" s="1607"/>
      <c r="AU759" s="1607"/>
      <c r="AV759" s="1607"/>
      <c r="AW759" s="1607"/>
      <c r="AX759" s="1607"/>
      <c r="AY759" s="1607"/>
      <c r="AZ759" s="1607"/>
      <c r="BA759" s="1607"/>
      <c r="BB759" s="1607"/>
      <c r="BC759" s="1607"/>
      <c r="BD759" s="1607"/>
      <c r="BE759" s="1607"/>
      <c r="BF759" s="1607"/>
      <c r="BG759" s="1607"/>
      <c r="BH759" s="1607"/>
      <c r="BI759" s="1607"/>
      <c r="BJ759" s="1607"/>
      <c r="BK759" s="1607"/>
      <c r="BL759" s="1607"/>
    </row>
    <row r="760">
      <c r="A760" s="1607"/>
      <c r="B760" s="1607"/>
      <c r="C760" s="1607"/>
      <c r="D760" s="1607"/>
      <c r="E760" s="1607"/>
      <c r="F760" s="1607"/>
      <c r="G760" s="1607"/>
      <c r="H760" s="1607"/>
      <c r="I760" s="1607"/>
      <c r="J760" s="1607"/>
      <c r="K760" s="1607"/>
      <c r="L760" s="1607"/>
      <c r="M760" s="1607"/>
      <c r="N760" s="1607"/>
      <c r="O760" s="1607"/>
      <c r="P760" s="1607"/>
      <c r="Q760" s="1607"/>
      <c r="R760" s="1607"/>
      <c r="S760" s="1607"/>
      <c r="T760" s="1607"/>
      <c r="U760" s="1607"/>
      <c r="V760" s="1607"/>
      <c r="W760" s="1607"/>
      <c r="X760" s="1607"/>
      <c r="Y760" s="1607"/>
      <c r="Z760" s="1607"/>
      <c r="AA760" s="1607"/>
      <c r="AB760" s="1607"/>
      <c r="AC760" s="1607"/>
      <c r="AD760" s="1607"/>
      <c r="AE760" s="1607"/>
      <c r="AF760" s="1607"/>
      <c r="AG760" s="1607"/>
      <c r="AH760" s="1607"/>
      <c r="AI760" s="1607"/>
      <c r="AJ760" s="1607"/>
      <c r="AK760" s="1607"/>
      <c r="AL760" s="1607"/>
      <c r="AM760" s="1607"/>
      <c r="AN760" s="1607"/>
      <c r="AO760" s="1607"/>
      <c r="AP760" s="1607"/>
      <c r="AQ760" s="1607"/>
      <c r="AR760" s="1607"/>
      <c r="AS760" s="1607"/>
      <c r="AT760" s="1607"/>
      <c r="AU760" s="1607"/>
      <c r="AV760" s="1607"/>
      <c r="AW760" s="1607"/>
      <c r="AX760" s="1607"/>
      <c r="AY760" s="1607"/>
      <c r="AZ760" s="1607"/>
      <c r="BA760" s="1607"/>
      <c r="BB760" s="1607"/>
      <c r="BC760" s="1607"/>
      <c r="BD760" s="1607"/>
      <c r="BE760" s="1607"/>
      <c r="BF760" s="1607"/>
      <c r="BG760" s="1607"/>
      <c r="BH760" s="1607"/>
      <c r="BI760" s="1607"/>
      <c r="BJ760" s="1607"/>
      <c r="BK760" s="1607"/>
      <c r="BL760" s="1607"/>
    </row>
    <row r="761">
      <c r="A761" s="1607"/>
      <c r="B761" s="1607"/>
      <c r="C761" s="1607"/>
      <c r="D761" s="1607"/>
      <c r="E761" s="1607"/>
      <c r="F761" s="1607"/>
      <c r="G761" s="1607"/>
      <c r="H761" s="1607"/>
      <c r="I761" s="1607"/>
      <c r="J761" s="1607"/>
      <c r="K761" s="1607"/>
      <c r="L761" s="1607"/>
      <c r="M761" s="1607"/>
      <c r="N761" s="1607"/>
      <c r="O761" s="1607"/>
      <c r="P761" s="1607"/>
      <c r="Q761" s="1607"/>
      <c r="R761" s="1607"/>
      <c r="S761" s="1607"/>
      <c r="T761" s="1607"/>
      <c r="U761" s="1607"/>
      <c r="V761" s="1607"/>
      <c r="W761" s="1607"/>
      <c r="X761" s="1607"/>
      <c r="Y761" s="1607"/>
      <c r="Z761" s="1607"/>
      <c r="AA761" s="1607"/>
      <c r="AB761" s="1607"/>
      <c r="AC761" s="1607"/>
      <c r="AD761" s="1607"/>
      <c r="AE761" s="1607"/>
      <c r="AF761" s="1607"/>
      <c r="AG761" s="1607"/>
      <c r="AH761" s="1607"/>
      <c r="AI761" s="1607"/>
      <c r="AJ761" s="1607"/>
      <c r="AK761" s="1607"/>
      <c r="AL761" s="1607"/>
      <c r="AM761" s="1607"/>
      <c r="AN761" s="1607"/>
      <c r="AO761" s="1607"/>
      <c r="AP761" s="1607"/>
      <c r="AQ761" s="1607"/>
      <c r="AR761" s="1607"/>
      <c r="AS761" s="1607"/>
      <c r="AT761" s="1607"/>
      <c r="AU761" s="1607"/>
      <c r="AV761" s="1607"/>
      <c r="AW761" s="1607"/>
      <c r="AX761" s="1607"/>
      <c r="AY761" s="1607"/>
      <c r="AZ761" s="1607"/>
      <c r="BA761" s="1607"/>
      <c r="BB761" s="1607"/>
      <c r="BC761" s="1607"/>
      <c r="BD761" s="1607"/>
      <c r="BE761" s="1607"/>
      <c r="BF761" s="1607"/>
      <c r="BG761" s="1607"/>
      <c r="BH761" s="1607"/>
      <c r="BI761" s="1607"/>
      <c r="BJ761" s="1607"/>
      <c r="BK761" s="1607"/>
      <c r="BL761" s="1607"/>
    </row>
    <row r="762">
      <c r="A762" s="1607"/>
      <c r="B762" s="1607"/>
      <c r="C762" s="1607"/>
      <c r="D762" s="1607"/>
      <c r="E762" s="1607"/>
      <c r="F762" s="1607"/>
      <c r="G762" s="1607"/>
      <c r="H762" s="1607"/>
      <c r="I762" s="1607"/>
      <c r="J762" s="1607"/>
      <c r="K762" s="1607"/>
      <c r="L762" s="1607"/>
      <c r="M762" s="1607"/>
      <c r="N762" s="1607"/>
      <c r="O762" s="1607"/>
      <c r="P762" s="1607"/>
      <c r="Q762" s="1607"/>
      <c r="R762" s="1607"/>
      <c r="S762" s="1607"/>
      <c r="T762" s="1607"/>
      <c r="U762" s="1607"/>
      <c r="V762" s="1607"/>
      <c r="W762" s="1607"/>
      <c r="X762" s="1607"/>
      <c r="Y762" s="1607"/>
      <c r="Z762" s="1607"/>
      <c r="AA762" s="1607"/>
      <c r="AB762" s="1607"/>
      <c r="AC762" s="1607"/>
      <c r="AD762" s="1607"/>
      <c r="AE762" s="1607"/>
      <c r="AF762" s="1607"/>
      <c r="AG762" s="1607"/>
      <c r="AH762" s="1607"/>
      <c r="AI762" s="1607"/>
      <c r="AJ762" s="1607"/>
      <c r="AK762" s="1607"/>
      <c r="AL762" s="1607"/>
      <c r="AM762" s="1607"/>
      <c r="AN762" s="1607"/>
      <c r="AO762" s="1607"/>
      <c r="AP762" s="1607"/>
      <c r="AQ762" s="1607"/>
      <c r="AR762" s="1607"/>
      <c r="AS762" s="1607"/>
      <c r="AT762" s="1607"/>
      <c r="AU762" s="1607"/>
      <c r="AV762" s="1607"/>
      <c r="AW762" s="1607"/>
      <c r="AX762" s="1607"/>
      <c r="AY762" s="1607"/>
      <c r="AZ762" s="1607"/>
      <c r="BA762" s="1607"/>
      <c r="BB762" s="1607"/>
      <c r="BC762" s="1607"/>
      <c r="BD762" s="1607"/>
      <c r="BE762" s="1607"/>
      <c r="BF762" s="1607"/>
      <c r="BG762" s="1607"/>
      <c r="BH762" s="1607"/>
      <c r="BI762" s="1607"/>
      <c r="BJ762" s="1607"/>
      <c r="BK762" s="1607"/>
      <c r="BL762" s="1607"/>
    </row>
    <row r="763">
      <c r="A763" s="1607"/>
      <c r="B763" s="1607"/>
      <c r="C763" s="1607"/>
      <c r="D763" s="1607"/>
      <c r="E763" s="1607"/>
      <c r="F763" s="1607"/>
      <c r="G763" s="1607"/>
      <c r="H763" s="1607"/>
      <c r="I763" s="1607"/>
      <c r="J763" s="1607"/>
      <c r="K763" s="1607"/>
      <c r="L763" s="1607"/>
      <c r="M763" s="1607"/>
      <c r="N763" s="1607"/>
      <c r="O763" s="1607"/>
      <c r="P763" s="1607"/>
      <c r="Q763" s="1607"/>
      <c r="R763" s="1607"/>
      <c r="S763" s="1607"/>
      <c r="T763" s="1607"/>
      <c r="U763" s="1607"/>
      <c r="V763" s="1607"/>
      <c r="W763" s="1607"/>
      <c r="X763" s="1607"/>
      <c r="Y763" s="1607"/>
      <c r="Z763" s="1607"/>
      <c r="AA763" s="1607"/>
      <c r="AB763" s="1607"/>
      <c r="AC763" s="1607"/>
      <c r="AD763" s="1607"/>
      <c r="AE763" s="1607"/>
      <c r="AF763" s="1607"/>
      <c r="AG763" s="1607"/>
      <c r="AH763" s="1607"/>
      <c r="AI763" s="1607"/>
      <c r="AJ763" s="1607"/>
      <c r="AK763" s="1607"/>
      <c r="AL763" s="1607"/>
      <c r="AM763" s="1607"/>
      <c r="AN763" s="1607"/>
      <c r="AO763" s="1607"/>
      <c r="AP763" s="1607"/>
      <c r="AQ763" s="1607"/>
      <c r="AR763" s="1607"/>
      <c r="AS763" s="1607"/>
      <c r="AT763" s="1607"/>
      <c r="AU763" s="1607"/>
      <c r="AV763" s="1607"/>
      <c r="AW763" s="1607"/>
      <c r="AX763" s="1607"/>
      <c r="AY763" s="1607"/>
      <c r="AZ763" s="1607"/>
      <c r="BA763" s="1607"/>
      <c r="BB763" s="1607"/>
      <c r="BC763" s="1607"/>
      <c r="BD763" s="1607"/>
      <c r="BE763" s="1607"/>
      <c r="BF763" s="1607"/>
      <c r="BG763" s="1607"/>
      <c r="BH763" s="1607"/>
      <c r="BI763" s="1607"/>
      <c r="BJ763" s="1607"/>
      <c r="BK763" s="1607"/>
      <c r="BL763" s="1607"/>
    </row>
    <row r="764">
      <c r="A764" s="1607"/>
      <c r="B764" s="1607"/>
      <c r="C764" s="1607"/>
      <c r="D764" s="1607"/>
      <c r="E764" s="1607"/>
      <c r="F764" s="1607"/>
      <c r="G764" s="1607"/>
      <c r="H764" s="1607"/>
      <c r="I764" s="1607"/>
      <c r="J764" s="1607"/>
      <c r="K764" s="1607"/>
      <c r="L764" s="1607"/>
      <c r="M764" s="1607"/>
      <c r="N764" s="1607"/>
      <c r="O764" s="1607"/>
      <c r="P764" s="1607"/>
      <c r="Q764" s="1607"/>
      <c r="R764" s="1607"/>
      <c r="S764" s="1607"/>
      <c r="T764" s="1607"/>
      <c r="U764" s="1607"/>
      <c r="V764" s="1607"/>
      <c r="W764" s="1607"/>
      <c r="X764" s="1607"/>
      <c r="Y764" s="1607"/>
      <c r="Z764" s="1607"/>
      <c r="AA764" s="1607"/>
      <c r="AB764" s="1607"/>
      <c r="AC764" s="1607"/>
      <c r="AD764" s="1607"/>
      <c r="AE764" s="1607"/>
      <c r="AF764" s="1607"/>
      <c r="AG764" s="1607"/>
      <c r="AH764" s="1607"/>
      <c r="AI764" s="1607"/>
      <c r="AJ764" s="1607"/>
      <c r="AK764" s="1607"/>
      <c r="AL764" s="1607"/>
      <c r="AM764" s="1607"/>
      <c r="AN764" s="1607"/>
      <c r="AO764" s="1607"/>
      <c r="AP764" s="1607"/>
      <c r="AQ764" s="1607"/>
      <c r="AR764" s="1607"/>
      <c r="AS764" s="1607"/>
      <c r="AT764" s="1607"/>
      <c r="AU764" s="1607"/>
      <c r="AV764" s="1607"/>
      <c r="AW764" s="1607"/>
      <c r="AX764" s="1607"/>
      <c r="AY764" s="1607"/>
      <c r="AZ764" s="1607"/>
      <c r="BA764" s="1607"/>
      <c r="BB764" s="1607"/>
      <c r="BC764" s="1607"/>
      <c r="BD764" s="1607"/>
      <c r="BE764" s="1607"/>
      <c r="BF764" s="1607"/>
      <c r="BG764" s="1607"/>
      <c r="BH764" s="1607"/>
      <c r="BI764" s="1607"/>
      <c r="BJ764" s="1607"/>
      <c r="BK764" s="1607"/>
      <c r="BL764" s="1607"/>
    </row>
    <row r="765">
      <c r="A765" s="1607"/>
      <c r="B765" s="1607"/>
      <c r="C765" s="1607"/>
      <c r="D765" s="1607"/>
      <c r="E765" s="1607"/>
      <c r="F765" s="1607"/>
      <c r="G765" s="1607"/>
      <c r="H765" s="1607"/>
      <c r="I765" s="1607"/>
      <c r="J765" s="1607"/>
      <c r="K765" s="1607"/>
      <c r="L765" s="1607"/>
      <c r="M765" s="1607"/>
      <c r="N765" s="1607"/>
      <c r="O765" s="1607"/>
      <c r="P765" s="1607"/>
      <c r="Q765" s="1607"/>
      <c r="R765" s="1607"/>
      <c r="S765" s="1607"/>
      <c r="T765" s="1607"/>
      <c r="U765" s="1607"/>
      <c r="V765" s="1607"/>
      <c r="W765" s="1607"/>
      <c r="X765" s="1607"/>
      <c r="Y765" s="1607"/>
      <c r="Z765" s="1607"/>
      <c r="AA765" s="1607"/>
      <c r="AB765" s="1607"/>
      <c r="AC765" s="1607"/>
      <c r="AD765" s="1607"/>
      <c r="AE765" s="1607"/>
      <c r="AF765" s="1607"/>
      <c r="AG765" s="1607"/>
      <c r="AH765" s="1607"/>
      <c r="AI765" s="1607"/>
      <c r="AJ765" s="1607"/>
      <c r="AK765" s="1607"/>
      <c r="AL765" s="1607"/>
      <c r="AM765" s="1607"/>
      <c r="AN765" s="1607"/>
      <c r="AO765" s="1607"/>
      <c r="AP765" s="1607"/>
      <c r="AQ765" s="1607"/>
      <c r="AR765" s="1607"/>
      <c r="AS765" s="1607"/>
      <c r="AT765" s="1607"/>
      <c r="AU765" s="1607"/>
      <c r="AV765" s="1607"/>
      <c r="AW765" s="1607"/>
      <c r="AX765" s="1607"/>
      <c r="AY765" s="1607"/>
      <c r="AZ765" s="1607"/>
      <c r="BA765" s="1607"/>
      <c r="BB765" s="1607"/>
      <c r="BC765" s="1607"/>
      <c r="BD765" s="1607"/>
      <c r="BE765" s="1607"/>
      <c r="BF765" s="1607"/>
      <c r="BG765" s="1607"/>
      <c r="BH765" s="1607"/>
      <c r="BI765" s="1607"/>
      <c r="BJ765" s="1607"/>
      <c r="BK765" s="1607"/>
      <c r="BL765" s="1607"/>
    </row>
    <row r="766">
      <c r="A766" s="1607"/>
      <c r="B766" s="1607"/>
      <c r="C766" s="1607"/>
      <c r="D766" s="1607"/>
      <c r="E766" s="1607"/>
      <c r="F766" s="1607"/>
      <c r="G766" s="1607"/>
      <c r="H766" s="1607"/>
      <c r="I766" s="1607"/>
      <c r="J766" s="1607"/>
      <c r="K766" s="1607"/>
      <c r="L766" s="1607"/>
      <c r="M766" s="1607"/>
      <c r="N766" s="1607"/>
      <c r="O766" s="1607"/>
      <c r="P766" s="1607"/>
      <c r="Q766" s="1607"/>
      <c r="R766" s="1607"/>
      <c r="S766" s="1607"/>
      <c r="T766" s="1607"/>
      <c r="U766" s="1607"/>
      <c r="V766" s="1607"/>
      <c r="W766" s="1607"/>
      <c r="X766" s="1607"/>
      <c r="Y766" s="1607"/>
      <c r="Z766" s="1607"/>
      <c r="AA766" s="1607"/>
      <c r="AB766" s="1607"/>
      <c r="AC766" s="1607"/>
      <c r="AD766" s="1607"/>
      <c r="AE766" s="1607"/>
      <c r="AF766" s="1607"/>
      <c r="AG766" s="1607"/>
      <c r="AH766" s="1607"/>
      <c r="AI766" s="1607"/>
      <c r="AJ766" s="1607"/>
      <c r="AK766" s="1607"/>
      <c r="AL766" s="1607"/>
      <c r="AM766" s="1607"/>
      <c r="AN766" s="1607"/>
      <c r="AO766" s="1607"/>
      <c r="AP766" s="1607"/>
      <c r="AQ766" s="1607"/>
      <c r="AR766" s="1607"/>
      <c r="AS766" s="1607"/>
      <c r="AT766" s="1607"/>
      <c r="AU766" s="1607"/>
      <c r="AV766" s="1607"/>
      <c r="AW766" s="1607"/>
      <c r="AX766" s="1607"/>
      <c r="AY766" s="1607"/>
      <c r="AZ766" s="1607"/>
      <c r="BA766" s="1607"/>
      <c r="BB766" s="1607"/>
      <c r="BC766" s="1607"/>
      <c r="BD766" s="1607"/>
      <c r="BE766" s="1607"/>
      <c r="BF766" s="1607"/>
      <c r="BG766" s="1607"/>
      <c r="BH766" s="1607"/>
      <c r="BI766" s="1607"/>
      <c r="BJ766" s="1607"/>
      <c r="BK766" s="1607"/>
      <c r="BL766" s="1607"/>
    </row>
    <row r="767">
      <c r="A767" s="1607"/>
      <c r="B767" s="1607"/>
      <c r="C767" s="1607"/>
      <c r="D767" s="1607"/>
      <c r="E767" s="1607"/>
      <c r="F767" s="1607"/>
      <c r="G767" s="1607"/>
      <c r="H767" s="1607"/>
      <c r="I767" s="1607"/>
      <c r="J767" s="1607"/>
      <c r="K767" s="1607"/>
      <c r="L767" s="1607"/>
      <c r="M767" s="1607"/>
      <c r="N767" s="1607"/>
      <c r="O767" s="1607"/>
      <c r="P767" s="1607"/>
      <c r="Q767" s="1607"/>
      <c r="R767" s="1607"/>
      <c r="S767" s="1607"/>
      <c r="T767" s="1607"/>
      <c r="U767" s="1607"/>
      <c r="V767" s="1607"/>
      <c r="W767" s="1607"/>
      <c r="X767" s="1607"/>
      <c r="Y767" s="1607"/>
      <c r="Z767" s="1607"/>
      <c r="AA767" s="1607"/>
      <c r="AB767" s="1607"/>
      <c r="AC767" s="1607"/>
      <c r="AD767" s="1607"/>
      <c r="AE767" s="1607"/>
      <c r="AF767" s="1607"/>
      <c r="AG767" s="1607"/>
      <c r="AH767" s="1607"/>
      <c r="AI767" s="1607"/>
      <c r="AJ767" s="1607"/>
      <c r="AK767" s="1607"/>
      <c r="AL767" s="1607"/>
      <c r="AM767" s="1607"/>
      <c r="AN767" s="1607"/>
      <c r="AO767" s="1607"/>
      <c r="AP767" s="1607"/>
      <c r="AQ767" s="1607"/>
      <c r="AR767" s="1607"/>
      <c r="AS767" s="1607"/>
      <c r="AT767" s="1607"/>
      <c r="AU767" s="1607"/>
      <c r="AV767" s="1607"/>
      <c r="AW767" s="1607"/>
      <c r="AX767" s="1607"/>
      <c r="AY767" s="1607"/>
      <c r="AZ767" s="1607"/>
      <c r="BA767" s="1607"/>
      <c r="BB767" s="1607"/>
      <c r="BC767" s="1607"/>
      <c r="BD767" s="1607"/>
      <c r="BE767" s="1607"/>
      <c r="BF767" s="1607"/>
      <c r="BG767" s="1607"/>
      <c r="BH767" s="1607"/>
      <c r="BI767" s="1607"/>
      <c r="BJ767" s="1607"/>
      <c r="BK767" s="1607"/>
      <c r="BL767" s="1607"/>
    </row>
    <row r="768">
      <c r="A768" s="1607"/>
      <c r="B768" s="1607"/>
      <c r="C768" s="1607"/>
      <c r="D768" s="1607"/>
      <c r="E768" s="1607"/>
      <c r="F768" s="1607"/>
      <c r="G768" s="1607"/>
      <c r="H768" s="1607"/>
      <c r="I768" s="1607"/>
      <c r="J768" s="1607"/>
      <c r="K768" s="1607"/>
      <c r="L768" s="1607"/>
      <c r="M768" s="1607"/>
      <c r="N768" s="1607"/>
      <c r="O768" s="1607"/>
      <c r="P768" s="1607"/>
      <c r="Q768" s="1607"/>
      <c r="R768" s="1607"/>
      <c r="S768" s="1607"/>
      <c r="T768" s="1607"/>
      <c r="U768" s="1607"/>
      <c r="V768" s="1607"/>
      <c r="W768" s="1607"/>
      <c r="X768" s="1607"/>
      <c r="Y768" s="1607"/>
      <c r="Z768" s="1607"/>
      <c r="AA768" s="1607"/>
      <c r="AB768" s="1607"/>
      <c r="AC768" s="1607"/>
      <c r="AD768" s="1607"/>
      <c r="AE768" s="1607"/>
      <c r="AF768" s="1607"/>
      <c r="AG768" s="1607"/>
      <c r="AH768" s="1607"/>
      <c r="AI768" s="1607"/>
      <c r="AJ768" s="1607"/>
      <c r="AK768" s="1607"/>
      <c r="AL768" s="1607"/>
      <c r="AM768" s="1607"/>
      <c r="AN768" s="1607"/>
      <c r="AO768" s="1607"/>
      <c r="AP768" s="1607"/>
      <c r="AQ768" s="1607"/>
      <c r="AR768" s="1607"/>
      <c r="AS768" s="1607"/>
      <c r="AT768" s="1607"/>
      <c r="AU768" s="1607"/>
      <c r="AV768" s="1607"/>
      <c r="AW768" s="1607"/>
      <c r="AX768" s="1607"/>
      <c r="AY768" s="1607"/>
      <c r="AZ768" s="1607"/>
      <c r="BA768" s="1607"/>
      <c r="BB768" s="1607"/>
      <c r="BC768" s="1607"/>
      <c r="BD768" s="1607"/>
      <c r="BE768" s="1607"/>
      <c r="BF768" s="1607"/>
      <c r="BG768" s="1607"/>
      <c r="BH768" s="1607"/>
      <c r="BI768" s="1607"/>
      <c r="BJ768" s="1607"/>
      <c r="BK768" s="1607"/>
      <c r="BL768" s="1607"/>
    </row>
    <row r="769">
      <c r="A769" s="1607"/>
      <c r="B769" s="1607"/>
      <c r="C769" s="1607"/>
      <c r="D769" s="1607"/>
      <c r="E769" s="1607"/>
      <c r="F769" s="1607"/>
      <c r="G769" s="1607"/>
      <c r="H769" s="1607"/>
      <c r="I769" s="1607"/>
      <c r="J769" s="1607"/>
      <c r="K769" s="1607"/>
      <c r="L769" s="1607"/>
      <c r="M769" s="1607"/>
      <c r="N769" s="1607"/>
      <c r="O769" s="1607"/>
      <c r="P769" s="1607"/>
      <c r="Q769" s="1607"/>
      <c r="R769" s="1607"/>
      <c r="S769" s="1607"/>
      <c r="T769" s="1607"/>
      <c r="U769" s="1607"/>
      <c r="V769" s="1607"/>
      <c r="W769" s="1607"/>
      <c r="X769" s="1607"/>
      <c r="Y769" s="1607"/>
      <c r="Z769" s="1607"/>
      <c r="AA769" s="1607"/>
      <c r="AB769" s="1607"/>
      <c r="AC769" s="1607"/>
      <c r="AD769" s="1607"/>
      <c r="AE769" s="1607"/>
      <c r="AF769" s="1607"/>
      <c r="AG769" s="1607"/>
      <c r="AH769" s="1607"/>
      <c r="AI769" s="1607"/>
      <c r="AJ769" s="1607"/>
      <c r="AK769" s="1607"/>
      <c r="AL769" s="1607"/>
      <c r="AM769" s="1607"/>
      <c r="AN769" s="1607"/>
      <c r="AO769" s="1607"/>
      <c r="AP769" s="1607"/>
      <c r="AQ769" s="1607"/>
      <c r="AR769" s="1607"/>
      <c r="AS769" s="1607"/>
      <c r="AT769" s="1607"/>
      <c r="AU769" s="1607"/>
      <c r="AV769" s="1607"/>
      <c r="AW769" s="1607"/>
      <c r="AX769" s="1607"/>
      <c r="AY769" s="1607"/>
      <c r="AZ769" s="1607"/>
      <c r="BA769" s="1607"/>
      <c r="BB769" s="1607"/>
      <c r="BC769" s="1607"/>
      <c r="BD769" s="1607"/>
      <c r="BE769" s="1607"/>
      <c r="BF769" s="1607"/>
      <c r="BG769" s="1607"/>
      <c r="BH769" s="1607"/>
      <c r="BI769" s="1607"/>
      <c r="BJ769" s="1607"/>
      <c r="BK769" s="1607"/>
      <c r="BL769" s="1607"/>
    </row>
    <row r="770">
      <c r="A770" s="1607"/>
      <c r="B770" s="1607"/>
      <c r="C770" s="1607"/>
      <c r="D770" s="1607"/>
      <c r="E770" s="1607"/>
      <c r="F770" s="1607"/>
      <c r="G770" s="1607"/>
      <c r="H770" s="1607"/>
      <c r="I770" s="1607"/>
      <c r="J770" s="1607"/>
      <c r="K770" s="1607"/>
      <c r="L770" s="1607"/>
      <c r="M770" s="1607"/>
      <c r="N770" s="1607"/>
      <c r="O770" s="1607"/>
      <c r="P770" s="1607"/>
      <c r="Q770" s="1607"/>
      <c r="R770" s="1607"/>
      <c r="S770" s="1607"/>
      <c r="T770" s="1607"/>
      <c r="U770" s="1607"/>
      <c r="V770" s="1607"/>
      <c r="W770" s="1607"/>
      <c r="X770" s="1607"/>
      <c r="Y770" s="1607"/>
      <c r="Z770" s="1607"/>
      <c r="AA770" s="1607"/>
      <c r="AB770" s="1607"/>
      <c r="AC770" s="1607"/>
      <c r="AD770" s="1607"/>
      <c r="AE770" s="1607"/>
      <c r="AF770" s="1607"/>
      <c r="AG770" s="1607"/>
      <c r="AH770" s="1607"/>
      <c r="AI770" s="1607"/>
      <c r="AJ770" s="1607"/>
      <c r="AK770" s="1607"/>
      <c r="AL770" s="1607"/>
      <c r="AM770" s="1607"/>
      <c r="AN770" s="1607"/>
      <c r="AO770" s="1607"/>
      <c r="AP770" s="1607"/>
      <c r="AQ770" s="1607"/>
      <c r="AR770" s="1607"/>
      <c r="AS770" s="1607"/>
      <c r="AT770" s="1607"/>
      <c r="AU770" s="1607"/>
      <c r="AV770" s="1607"/>
      <c r="AW770" s="1607"/>
      <c r="AX770" s="1607"/>
      <c r="AY770" s="1607"/>
      <c r="AZ770" s="1607"/>
      <c r="BA770" s="1607"/>
      <c r="BB770" s="1607"/>
      <c r="BC770" s="1607"/>
      <c r="BD770" s="1607"/>
      <c r="BE770" s="1607"/>
      <c r="BF770" s="1607"/>
      <c r="BG770" s="1607"/>
      <c r="BH770" s="1607"/>
      <c r="BI770" s="1607"/>
      <c r="BJ770" s="1607"/>
      <c r="BK770" s="1607"/>
      <c r="BL770" s="1607"/>
    </row>
    <row r="771">
      <c r="A771" s="1607"/>
      <c r="B771" s="1607"/>
      <c r="C771" s="1607"/>
      <c r="D771" s="1607"/>
      <c r="E771" s="1607"/>
      <c r="F771" s="1607"/>
      <c r="G771" s="1607"/>
      <c r="H771" s="1607"/>
      <c r="I771" s="1607"/>
      <c r="J771" s="1607"/>
      <c r="K771" s="1607"/>
      <c r="L771" s="1607"/>
      <c r="M771" s="1607"/>
      <c r="N771" s="1607"/>
      <c r="O771" s="1607"/>
      <c r="P771" s="1607"/>
      <c r="Q771" s="1607"/>
      <c r="R771" s="1607"/>
      <c r="S771" s="1607"/>
      <c r="T771" s="1607"/>
      <c r="U771" s="1607"/>
      <c r="V771" s="1607"/>
      <c r="W771" s="1607"/>
      <c r="X771" s="1607"/>
      <c r="Y771" s="1607"/>
      <c r="Z771" s="1607"/>
      <c r="AA771" s="1607"/>
      <c r="AB771" s="1607"/>
      <c r="AC771" s="1607"/>
      <c r="AD771" s="1607"/>
      <c r="AE771" s="1607"/>
      <c r="AF771" s="1607"/>
      <c r="AG771" s="1607"/>
      <c r="AH771" s="1607"/>
      <c r="AI771" s="1607"/>
      <c r="AJ771" s="1607"/>
      <c r="AK771" s="1607"/>
      <c r="AL771" s="1607"/>
      <c r="AM771" s="1607"/>
      <c r="AN771" s="1607"/>
      <c r="AO771" s="1607"/>
      <c r="AP771" s="1607"/>
      <c r="AQ771" s="1607"/>
      <c r="AR771" s="1607"/>
      <c r="AS771" s="1607"/>
      <c r="AT771" s="1607"/>
      <c r="AU771" s="1607"/>
      <c r="AV771" s="1607"/>
      <c r="AW771" s="1607"/>
      <c r="AX771" s="1607"/>
      <c r="AY771" s="1607"/>
      <c r="AZ771" s="1607"/>
      <c r="BA771" s="1607"/>
      <c r="BB771" s="1607"/>
      <c r="BC771" s="1607"/>
      <c r="BD771" s="1607"/>
      <c r="BE771" s="1607"/>
      <c r="BF771" s="1607"/>
      <c r="BG771" s="1607"/>
      <c r="BH771" s="1607"/>
      <c r="BI771" s="1607"/>
      <c r="BJ771" s="1607"/>
      <c r="BK771" s="1607"/>
      <c r="BL771" s="1607"/>
    </row>
    <row r="772">
      <c r="A772" s="1607"/>
      <c r="B772" s="1607"/>
      <c r="C772" s="1607"/>
      <c r="D772" s="1607"/>
      <c r="E772" s="1607"/>
      <c r="F772" s="1607"/>
      <c r="G772" s="1607"/>
      <c r="H772" s="1607"/>
      <c r="I772" s="1607"/>
      <c r="J772" s="1607"/>
      <c r="K772" s="1607"/>
      <c r="L772" s="1607"/>
      <c r="M772" s="1607"/>
      <c r="N772" s="1607"/>
      <c r="O772" s="1607"/>
      <c r="P772" s="1607"/>
      <c r="Q772" s="1607"/>
      <c r="R772" s="1607"/>
      <c r="S772" s="1607"/>
      <c r="T772" s="1607"/>
      <c r="U772" s="1607"/>
      <c r="V772" s="1607"/>
      <c r="W772" s="1607"/>
      <c r="X772" s="1607"/>
      <c r="Y772" s="1607"/>
      <c r="Z772" s="1607"/>
      <c r="AA772" s="1607"/>
      <c r="AB772" s="1607"/>
      <c r="AC772" s="1607"/>
      <c r="AD772" s="1607"/>
      <c r="AE772" s="1607"/>
      <c r="AF772" s="1607"/>
      <c r="AG772" s="1607"/>
      <c r="AH772" s="1607"/>
      <c r="AI772" s="1607"/>
      <c r="AJ772" s="1607"/>
      <c r="AK772" s="1607"/>
      <c r="AL772" s="1607"/>
      <c r="AM772" s="1607"/>
      <c r="AN772" s="1607"/>
      <c r="AO772" s="1607"/>
      <c r="AP772" s="1607"/>
      <c r="AQ772" s="1607"/>
      <c r="AR772" s="1607"/>
      <c r="AS772" s="1607"/>
      <c r="AT772" s="1607"/>
      <c r="AU772" s="1607"/>
      <c r="AV772" s="1607"/>
      <c r="AW772" s="1607"/>
      <c r="AX772" s="1607"/>
      <c r="AY772" s="1607"/>
      <c r="AZ772" s="1607"/>
      <c r="BA772" s="1607"/>
      <c r="BB772" s="1607"/>
      <c r="BC772" s="1607"/>
      <c r="BD772" s="1607"/>
      <c r="BE772" s="1607"/>
      <c r="BF772" s="1607"/>
      <c r="BG772" s="1607"/>
      <c r="BH772" s="1607"/>
      <c r="BI772" s="1607"/>
      <c r="BJ772" s="1607"/>
      <c r="BK772" s="1607"/>
      <c r="BL772" s="1607"/>
    </row>
    <row r="773">
      <c r="A773" s="1607"/>
      <c r="B773" s="1607"/>
      <c r="C773" s="1607"/>
      <c r="D773" s="1607"/>
      <c r="E773" s="1607"/>
      <c r="F773" s="1607"/>
      <c r="G773" s="1607"/>
      <c r="H773" s="1607"/>
      <c r="I773" s="1607"/>
      <c r="J773" s="1607"/>
      <c r="K773" s="1607"/>
      <c r="L773" s="1607"/>
      <c r="M773" s="1607"/>
      <c r="N773" s="1607"/>
      <c r="O773" s="1607"/>
      <c r="P773" s="1607"/>
      <c r="Q773" s="1607"/>
      <c r="R773" s="1607"/>
      <c r="S773" s="1607"/>
      <c r="T773" s="1607"/>
      <c r="U773" s="1607"/>
      <c r="V773" s="1607"/>
      <c r="W773" s="1607"/>
      <c r="X773" s="1607"/>
      <c r="Y773" s="1607"/>
      <c r="Z773" s="1607"/>
      <c r="AA773" s="1607"/>
      <c r="AB773" s="1607"/>
      <c r="AC773" s="1607"/>
      <c r="AD773" s="1607"/>
      <c r="AE773" s="1607"/>
      <c r="AF773" s="1607"/>
      <c r="AG773" s="1607"/>
      <c r="AH773" s="1607"/>
      <c r="AI773" s="1607"/>
      <c r="AJ773" s="1607"/>
      <c r="AK773" s="1607"/>
      <c r="AL773" s="1607"/>
      <c r="AM773" s="1607"/>
      <c r="AN773" s="1607"/>
      <c r="AO773" s="1607"/>
      <c r="AP773" s="1607"/>
      <c r="AQ773" s="1607"/>
      <c r="AR773" s="1607"/>
      <c r="AS773" s="1607"/>
      <c r="AT773" s="1607"/>
      <c r="AU773" s="1607"/>
      <c r="AV773" s="1607"/>
      <c r="AW773" s="1607"/>
      <c r="AX773" s="1607"/>
      <c r="AY773" s="1607"/>
      <c r="AZ773" s="1607"/>
      <c r="BA773" s="1607"/>
      <c r="BB773" s="1607"/>
      <c r="BC773" s="1607"/>
      <c r="BD773" s="1607"/>
      <c r="BE773" s="1607"/>
      <c r="BF773" s="1607"/>
      <c r="BG773" s="1607"/>
      <c r="BH773" s="1607"/>
      <c r="BI773" s="1607"/>
      <c r="BJ773" s="1607"/>
      <c r="BK773" s="1607"/>
      <c r="BL773" s="1607"/>
    </row>
    <row r="774">
      <c r="A774" s="1607"/>
      <c r="B774" s="1607"/>
      <c r="C774" s="1607"/>
      <c r="D774" s="1607"/>
      <c r="E774" s="1607"/>
      <c r="F774" s="1607"/>
      <c r="G774" s="1607"/>
      <c r="H774" s="1607"/>
      <c r="I774" s="1607"/>
      <c r="J774" s="1607"/>
      <c r="K774" s="1607"/>
      <c r="L774" s="1607"/>
      <c r="M774" s="1607"/>
      <c r="N774" s="1607"/>
      <c r="O774" s="1607"/>
      <c r="P774" s="1607"/>
      <c r="Q774" s="1607"/>
      <c r="R774" s="1607"/>
      <c r="S774" s="1607"/>
      <c r="T774" s="1607"/>
      <c r="U774" s="1607"/>
      <c r="V774" s="1607"/>
      <c r="W774" s="1607"/>
      <c r="X774" s="1607"/>
      <c r="Y774" s="1607"/>
      <c r="Z774" s="1607"/>
      <c r="AA774" s="1607"/>
      <c r="AB774" s="1607"/>
      <c r="AC774" s="1607"/>
      <c r="AD774" s="1607"/>
      <c r="AE774" s="1607"/>
      <c r="AF774" s="1607"/>
      <c r="AG774" s="1607"/>
      <c r="AH774" s="1607"/>
      <c r="AI774" s="1607"/>
      <c r="AJ774" s="1607"/>
      <c r="AK774" s="1607"/>
      <c r="AL774" s="1607"/>
      <c r="AM774" s="1607"/>
      <c r="AN774" s="1607"/>
      <c r="AO774" s="1607"/>
      <c r="AP774" s="1607"/>
      <c r="AQ774" s="1607"/>
      <c r="AR774" s="1607"/>
      <c r="AS774" s="1607"/>
      <c r="AT774" s="1607"/>
      <c r="AU774" s="1607"/>
      <c r="AV774" s="1607"/>
      <c r="AW774" s="1607"/>
      <c r="AX774" s="1607"/>
      <c r="AY774" s="1607"/>
      <c r="AZ774" s="1607"/>
      <c r="BA774" s="1607"/>
      <c r="BB774" s="1607"/>
      <c r="BC774" s="1607"/>
      <c r="BD774" s="1607"/>
      <c r="BE774" s="1607"/>
      <c r="BF774" s="1607"/>
      <c r="BG774" s="1607"/>
      <c r="BH774" s="1607"/>
      <c r="BI774" s="1607"/>
      <c r="BJ774" s="1607"/>
      <c r="BK774" s="1607"/>
      <c r="BL774" s="1607"/>
    </row>
    <row r="775">
      <c r="A775" s="1607"/>
      <c r="B775" s="1607"/>
      <c r="C775" s="1607"/>
      <c r="D775" s="1607"/>
      <c r="E775" s="1607"/>
      <c r="F775" s="1607"/>
      <c r="G775" s="1607"/>
      <c r="H775" s="1607"/>
      <c r="I775" s="1607"/>
      <c r="J775" s="1607"/>
      <c r="K775" s="1607"/>
      <c r="L775" s="1607"/>
      <c r="M775" s="1607"/>
      <c r="N775" s="1607"/>
      <c r="O775" s="1607"/>
      <c r="P775" s="1607"/>
      <c r="Q775" s="1607"/>
      <c r="R775" s="1607"/>
      <c r="S775" s="1607"/>
      <c r="T775" s="1607"/>
      <c r="U775" s="1607"/>
      <c r="V775" s="1607"/>
      <c r="W775" s="1607"/>
      <c r="X775" s="1607"/>
      <c r="Y775" s="1607"/>
      <c r="Z775" s="1607"/>
      <c r="AA775" s="1607"/>
      <c r="AB775" s="1607"/>
      <c r="AC775" s="1607"/>
      <c r="AD775" s="1607"/>
      <c r="AE775" s="1607"/>
      <c r="AF775" s="1607"/>
      <c r="AG775" s="1607"/>
      <c r="AH775" s="1607"/>
      <c r="AI775" s="1607"/>
      <c r="AJ775" s="1607"/>
      <c r="AK775" s="1607"/>
      <c r="AL775" s="1607"/>
      <c r="AM775" s="1607"/>
      <c r="AN775" s="1607"/>
      <c r="AO775" s="1607"/>
      <c r="AP775" s="1607"/>
      <c r="AQ775" s="1607"/>
      <c r="AR775" s="1607"/>
      <c r="AS775" s="1607"/>
      <c r="AT775" s="1607"/>
      <c r="AU775" s="1607"/>
      <c r="AV775" s="1607"/>
      <c r="AW775" s="1607"/>
      <c r="AX775" s="1607"/>
      <c r="AY775" s="1607"/>
      <c r="AZ775" s="1607"/>
      <c r="BA775" s="1607"/>
      <c r="BB775" s="1607"/>
      <c r="BC775" s="1607"/>
      <c r="BD775" s="1607"/>
      <c r="BE775" s="1607"/>
      <c r="BF775" s="1607"/>
      <c r="BG775" s="1607"/>
      <c r="BH775" s="1607"/>
      <c r="BI775" s="1607"/>
      <c r="BJ775" s="1607"/>
      <c r="BK775" s="1607"/>
      <c r="BL775" s="1607"/>
    </row>
    <row r="776">
      <c r="A776" s="1607"/>
      <c r="B776" s="1607"/>
      <c r="C776" s="1607"/>
      <c r="D776" s="1607"/>
      <c r="E776" s="1607"/>
      <c r="F776" s="1607"/>
      <c r="G776" s="1607"/>
      <c r="H776" s="1607"/>
      <c r="I776" s="1607"/>
      <c r="J776" s="1607"/>
      <c r="K776" s="1607"/>
      <c r="L776" s="1607"/>
      <c r="M776" s="1607"/>
      <c r="N776" s="1607"/>
      <c r="O776" s="1607"/>
      <c r="P776" s="1607"/>
      <c r="Q776" s="1607"/>
      <c r="R776" s="1607"/>
      <c r="S776" s="1607"/>
      <c r="T776" s="1607"/>
      <c r="U776" s="1607"/>
      <c r="V776" s="1607"/>
      <c r="W776" s="1607"/>
      <c r="X776" s="1607"/>
      <c r="Y776" s="1607"/>
      <c r="Z776" s="1607"/>
      <c r="AA776" s="1607"/>
      <c r="AB776" s="1607"/>
      <c r="AC776" s="1607"/>
      <c r="AD776" s="1607"/>
      <c r="AE776" s="1607"/>
      <c r="AF776" s="1607"/>
      <c r="AG776" s="1607"/>
      <c r="AH776" s="1607"/>
      <c r="AI776" s="1607"/>
      <c r="AJ776" s="1607"/>
      <c r="AK776" s="1607"/>
      <c r="AL776" s="1607"/>
      <c r="AM776" s="1607"/>
      <c r="AN776" s="1607"/>
      <c r="AO776" s="1607"/>
      <c r="AP776" s="1607"/>
      <c r="AQ776" s="1607"/>
      <c r="AR776" s="1607"/>
      <c r="AS776" s="1607"/>
      <c r="AT776" s="1607"/>
      <c r="AU776" s="1607"/>
      <c r="AV776" s="1607"/>
      <c r="AW776" s="1607"/>
      <c r="AX776" s="1607"/>
      <c r="AY776" s="1607"/>
      <c r="AZ776" s="1607"/>
      <c r="BA776" s="1607"/>
      <c r="BB776" s="1607"/>
      <c r="BC776" s="1607"/>
      <c r="BD776" s="1607"/>
      <c r="BE776" s="1607"/>
      <c r="BF776" s="1607"/>
      <c r="BG776" s="1607"/>
      <c r="BH776" s="1607"/>
      <c r="BI776" s="1607"/>
      <c r="BJ776" s="1607"/>
      <c r="BK776" s="1607"/>
      <c r="BL776" s="1607"/>
    </row>
    <row r="777">
      <c r="A777" s="1607"/>
      <c r="B777" s="1607"/>
      <c r="C777" s="1607"/>
      <c r="D777" s="1607"/>
      <c r="E777" s="1607"/>
      <c r="F777" s="1607"/>
      <c r="G777" s="1607"/>
      <c r="H777" s="1607"/>
      <c r="I777" s="1607"/>
      <c r="J777" s="1607"/>
      <c r="K777" s="1607"/>
      <c r="L777" s="1607"/>
      <c r="M777" s="1607"/>
      <c r="N777" s="1607"/>
      <c r="O777" s="1607"/>
      <c r="P777" s="1607"/>
      <c r="Q777" s="1607"/>
      <c r="R777" s="1607"/>
      <c r="S777" s="1607"/>
      <c r="T777" s="1607"/>
      <c r="U777" s="1607"/>
      <c r="V777" s="1607"/>
      <c r="W777" s="1607"/>
      <c r="X777" s="1607"/>
      <c r="Y777" s="1607"/>
      <c r="Z777" s="1607"/>
      <c r="AA777" s="1607"/>
      <c r="AB777" s="1607"/>
      <c r="AC777" s="1607"/>
      <c r="AD777" s="1607"/>
      <c r="AE777" s="1607"/>
      <c r="AF777" s="1607"/>
      <c r="AG777" s="1607"/>
      <c r="AH777" s="1607"/>
      <c r="AI777" s="1607"/>
      <c r="AJ777" s="1607"/>
      <c r="AK777" s="1607"/>
      <c r="AL777" s="1607"/>
      <c r="AM777" s="1607"/>
      <c r="AN777" s="1607"/>
      <c r="AO777" s="1607"/>
      <c r="AP777" s="1607"/>
      <c r="AQ777" s="1607"/>
      <c r="AR777" s="1607"/>
      <c r="AS777" s="1607"/>
      <c r="AT777" s="1607"/>
      <c r="AU777" s="1607"/>
      <c r="AV777" s="1607"/>
      <c r="AW777" s="1607"/>
      <c r="AX777" s="1607"/>
      <c r="AY777" s="1607"/>
      <c r="AZ777" s="1607"/>
      <c r="BA777" s="1607"/>
      <c r="BB777" s="1607"/>
      <c r="BC777" s="1607"/>
      <c r="BD777" s="1607"/>
      <c r="BE777" s="1607"/>
      <c r="BF777" s="1607"/>
      <c r="BG777" s="1607"/>
      <c r="BH777" s="1607"/>
      <c r="BI777" s="1607"/>
      <c r="BJ777" s="1607"/>
      <c r="BK777" s="1607"/>
      <c r="BL777" s="1607"/>
    </row>
    <row r="778">
      <c r="A778" s="1607"/>
      <c r="B778" s="1607"/>
      <c r="C778" s="1607"/>
      <c r="D778" s="1607"/>
      <c r="E778" s="1607"/>
      <c r="F778" s="1607"/>
      <c r="G778" s="1607"/>
      <c r="H778" s="1607"/>
      <c r="I778" s="1607"/>
      <c r="J778" s="1607"/>
      <c r="K778" s="1607"/>
      <c r="L778" s="1607"/>
      <c r="M778" s="1607"/>
      <c r="N778" s="1607"/>
      <c r="O778" s="1607"/>
      <c r="P778" s="1607"/>
      <c r="Q778" s="1607"/>
      <c r="R778" s="1607"/>
      <c r="S778" s="1607"/>
      <c r="T778" s="1607"/>
      <c r="U778" s="1607"/>
      <c r="V778" s="1607"/>
      <c r="W778" s="1607"/>
      <c r="X778" s="1607"/>
      <c r="Y778" s="1607"/>
      <c r="Z778" s="1607"/>
      <c r="AA778" s="1607"/>
      <c r="AB778" s="1607"/>
      <c r="AC778" s="1607"/>
      <c r="AD778" s="1607"/>
      <c r="AE778" s="1607"/>
      <c r="AF778" s="1607"/>
      <c r="AG778" s="1607"/>
      <c r="AH778" s="1607"/>
      <c r="AI778" s="1607"/>
      <c r="AJ778" s="1607"/>
      <c r="AK778" s="1607"/>
      <c r="AL778" s="1607"/>
      <c r="AM778" s="1607"/>
      <c r="AN778" s="1607"/>
      <c r="AO778" s="1607"/>
      <c r="AP778" s="1607"/>
      <c r="AQ778" s="1607"/>
      <c r="AR778" s="1607"/>
      <c r="AS778" s="1607"/>
      <c r="AT778" s="1607"/>
      <c r="AU778" s="1607"/>
      <c r="AV778" s="1607"/>
      <c r="AW778" s="1607"/>
      <c r="AX778" s="1607"/>
      <c r="AY778" s="1607"/>
      <c r="AZ778" s="1607"/>
      <c r="BA778" s="1607"/>
      <c r="BB778" s="1607"/>
      <c r="BC778" s="1607"/>
      <c r="BD778" s="1607"/>
      <c r="BE778" s="1607"/>
      <c r="BF778" s="1607"/>
      <c r="BG778" s="1607"/>
      <c r="BH778" s="1607"/>
      <c r="BI778" s="1607"/>
      <c r="BJ778" s="1607"/>
      <c r="BK778" s="1607"/>
      <c r="BL778" s="1607"/>
    </row>
    <row r="779">
      <c r="A779" s="1607"/>
      <c r="B779" s="1607"/>
      <c r="C779" s="1607"/>
      <c r="D779" s="1607"/>
      <c r="E779" s="1607"/>
      <c r="F779" s="1607"/>
      <c r="G779" s="1607"/>
      <c r="H779" s="1607"/>
      <c r="I779" s="1607"/>
      <c r="J779" s="1607"/>
      <c r="K779" s="1607"/>
      <c r="L779" s="1607"/>
      <c r="M779" s="1607"/>
      <c r="N779" s="1607"/>
      <c r="O779" s="1607"/>
      <c r="P779" s="1607"/>
      <c r="Q779" s="1607"/>
      <c r="R779" s="1607"/>
      <c r="S779" s="1607"/>
      <c r="T779" s="1607"/>
      <c r="U779" s="1607"/>
      <c r="V779" s="1607"/>
      <c r="W779" s="1607"/>
      <c r="X779" s="1607"/>
      <c r="Y779" s="1607"/>
      <c r="Z779" s="1607"/>
      <c r="AA779" s="1607"/>
      <c r="AB779" s="1607"/>
      <c r="AC779" s="1607"/>
      <c r="AD779" s="1607"/>
      <c r="AE779" s="1607"/>
      <c r="AF779" s="1607"/>
      <c r="AG779" s="1607"/>
      <c r="AH779" s="1607"/>
      <c r="AI779" s="1607"/>
      <c r="AJ779" s="1607"/>
      <c r="AK779" s="1607"/>
      <c r="AL779" s="1607"/>
      <c r="AM779" s="1607"/>
      <c r="AN779" s="1607"/>
      <c r="AO779" s="1607"/>
      <c r="AP779" s="1607"/>
      <c r="AQ779" s="1607"/>
      <c r="AR779" s="1607"/>
      <c r="AS779" s="1607"/>
      <c r="AT779" s="1607"/>
      <c r="AU779" s="1607"/>
      <c r="AV779" s="1607"/>
      <c r="AW779" s="1607"/>
      <c r="AX779" s="1607"/>
      <c r="AY779" s="1607"/>
      <c r="AZ779" s="1607"/>
      <c r="BA779" s="1607"/>
      <c r="BB779" s="1607"/>
      <c r="BC779" s="1607"/>
      <c r="BD779" s="1607"/>
      <c r="BE779" s="1607"/>
      <c r="BF779" s="1607"/>
      <c r="BG779" s="1607"/>
      <c r="BH779" s="1607"/>
      <c r="BI779" s="1607"/>
      <c r="BJ779" s="1607"/>
      <c r="BK779" s="1607"/>
      <c r="BL779" s="1607"/>
    </row>
    <row r="780">
      <c r="A780" s="1607"/>
      <c r="B780" s="1607"/>
      <c r="C780" s="1607"/>
      <c r="D780" s="1607"/>
      <c r="E780" s="1607"/>
      <c r="F780" s="1607"/>
      <c r="G780" s="1607"/>
      <c r="H780" s="1607"/>
      <c r="I780" s="1607"/>
      <c r="J780" s="1607"/>
      <c r="K780" s="1607"/>
      <c r="L780" s="1607"/>
      <c r="M780" s="1607"/>
      <c r="N780" s="1607"/>
      <c r="O780" s="1607"/>
      <c r="P780" s="1607"/>
      <c r="Q780" s="1607"/>
      <c r="R780" s="1607"/>
      <c r="S780" s="1607"/>
      <c r="T780" s="1607"/>
      <c r="U780" s="1607"/>
      <c r="V780" s="1607"/>
      <c r="W780" s="1607"/>
      <c r="X780" s="1607"/>
      <c r="Y780" s="1607"/>
      <c r="Z780" s="1607"/>
      <c r="AA780" s="1607"/>
      <c r="AB780" s="1607"/>
      <c r="AC780" s="1607"/>
      <c r="AD780" s="1607"/>
      <c r="AE780" s="1607"/>
      <c r="AF780" s="1607"/>
      <c r="AG780" s="1607"/>
      <c r="AH780" s="1607"/>
      <c r="AI780" s="1607"/>
      <c r="AJ780" s="1607"/>
      <c r="AK780" s="1607"/>
      <c r="AL780" s="1607"/>
      <c r="AM780" s="1607"/>
      <c r="AN780" s="1607"/>
      <c r="AO780" s="1607"/>
      <c r="AP780" s="1607"/>
      <c r="AQ780" s="1607"/>
      <c r="AR780" s="1607"/>
      <c r="AS780" s="1607"/>
      <c r="AT780" s="1607"/>
      <c r="AU780" s="1607"/>
      <c r="AV780" s="1607"/>
      <c r="AW780" s="1607"/>
      <c r="AX780" s="1607"/>
      <c r="AY780" s="1607"/>
      <c r="AZ780" s="1607"/>
      <c r="BA780" s="1607"/>
      <c r="BB780" s="1607"/>
      <c r="BC780" s="1607"/>
      <c r="BD780" s="1607"/>
      <c r="BE780" s="1607"/>
      <c r="BF780" s="1607"/>
      <c r="BG780" s="1607"/>
      <c r="BH780" s="1607"/>
      <c r="BI780" s="1607"/>
      <c r="BJ780" s="1607"/>
      <c r="BK780" s="1607"/>
      <c r="BL780" s="1607"/>
    </row>
    <row r="781">
      <c r="A781" s="1607"/>
      <c r="B781" s="1607"/>
      <c r="C781" s="1607"/>
      <c r="D781" s="1607"/>
      <c r="E781" s="1607"/>
      <c r="F781" s="1607"/>
      <c r="G781" s="1607"/>
      <c r="H781" s="1607"/>
      <c r="I781" s="1607"/>
      <c r="J781" s="1607"/>
      <c r="K781" s="1607"/>
      <c r="L781" s="1607"/>
      <c r="M781" s="1607"/>
      <c r="N781" s="1607"/>
      <c r="O781" s="1607"/>
      <c r="P781" s="1607"/>
      <c r="Q781" s="1607"/>
      <c r="R781" s="1607"/>
      <c r="S781" s="1607"/>
      <c r="T781" s="1607"/>
      <c r="U781" s="1607"/>
      <c r="V781" s="1607"/>
      <c r="W781" s="1607"/>
      <c r="X781" s="1607"/>
      <c r="Y781" s="1607"/>
      <c r="Z781" s="1607"/>
      <c r="AA781" s="1607"/>
      <c r="AB781" s="1607"/>
      <c r="AC781" s="1607"/>
      <c r="AD781" s="1607"/>
      <c r="AE781" s="1607"/>
      <c r="AF781" s="1607"/>
      <c r="AG781" s="1607"/>
      <c r="AH781" s="1607"/>
      <c r="AI781" s="1607"/>
      <c r="AJ781" s="1607"/>
      <c r="AK781" s="1607"/>
      <c r="AL781" s="1607"/>
      <c r="AM781" s="1607"/>
      <c r="AN781" s="1607"/>
      <c r="AO781" s="1607"/>
      <c r="AP781" s="1607"/>
      <c r="AQ781" s="1607"/>
      <c r="AR781" s="1607"/>
      <c r="AS781" s="1607"/>
      <c r="AT781" s="1607"/>
      <c r="AU781" s="1607"/>
      <c r="AV781" s="1607"/>
      <c r="AW781" s="1607"/>
      <c r="AX781" s="1607"/>
      <c r="AY781" s="1607"/>
      <c r="AZ781" s="1607"/>
      <c r="BA781" s="1607"/>
      <c r="BB781" s="1607"/>
      <c r="BC781" s="1607"/>
      <c r="BD781" s="1607"/>
      <c r="BE781" s="1607"/>
      <c r="BF781" s="1607"/>
      <c r="BG781" s="1607"/>
      <c r="BH781" s="1607"/>
      <c r="BI781" s="1607"/>
      <c r="BJ781" s="1607"/>
      <c r="BK781" s="1607"/>
      <c r="BL781" s="1607"/>
    </row>
    <row r="782">
      <c r="A782" s="1607"/>
      <c r="B782" s="1607"/>
      <c r="C782" s="1607"/>
      <c r="D782" s="1607"/>
      <c r="E782" s="1607"/>
      <c r="F782" s="1607"/>
      <c r="G782" s="1607"/>
      <c r="H782" s="1607"/>
      <c r="I782" s="1607"/>
      <c r="J782" s="1607"/>
      <c r="K782" s="1607"/>
      <c r="L782" s="1607"/>
      <c r="M782" s="1607"/>
      <c r="N782" s="1607"/>
      <c r="O782" s="1607"/>
      <c r="P782" s="1607"/>
      <c r="Q782" s="1607"/>
      <c r="R782" s="1607"/>
      <c r="S782" s="1607"/>
      <c r="T782" s="1607"/>
      <c r="U782" s="1607"/>
      <c r="V782" s="1607"/>
      <c r="W782" s="1607"/>
      <c r="X782" s="1607"/>
      <c r="Y782" s="1607"/>
      <c r="Z782" s="1607"/>
      <c r="AA782" s="1607"/>
      <c r="AB782" s="1607"/>
      <c r="AC782" s="1607"/>
      <c r="AD782" s="1607"/>
      <c r="AE782" s="1607"/>
      <c r="AF782" s="1607"/>
      <c r="AG782" s="1607"/>
      <c r="AH782" s="1607"/>
      <c r="AI782" s="1607"/>
      <c r="AJ782" s="1607"/>
      <c r="AK782" s="1607"/>
      <c r="AL782" s="1607"/>
      <c r="AM782" s="1607"/>
      <c r="AN782" s="1607"/>
      <c r="AO782" s="1607"/>
      <c r="AP782" s="1607"/>
      <c r="AQ782" s="1607"/>
      <c r="AR782" s="1607"/>
      <c r="AS782" s="1607"/>
      <c r="AT782" s="1607"/>
      <c r="AU782" s="1607"/>
      <c r="AV782" s="1607"/>
      <c r="AW782" s="1607"/>
      <c r="AX782" s="1607"/>
      <c r="AY782" s="1607"/>
      <c r="AZ782" s="1607"/>
      <c r="BA782" s="1607"/>
      <c r="BB782" s="1607"/>
      <c r="BC782" s="1607"/>
      <c r="BD782" s="1607"/>
      <c r="BE782" s="1607"/>
      <c r="BF782" s="1607"/>
      <c r="BG782" s="1607"/>
      <c r="BH782" s="1607"/>
      <c r="BI782" s="1607"/>
      <c r="BJ782" s="1607"/>
      <c r="BK782" s="1607"/>
      <c r="BL782" s="1607"/>
    </row>
    <row r="783">
      <c r="A783" s="1607"/>
      <c r="B783" s="1607"/>
      <c r="C783" s="1607"/>
      <c r="D783" s="1607"/>
      <c r="E783" s="1607"/>
      <c r="F783" s="1607"/>
      <c r="G783" s="1607"/>
      <c r="H783" s="1607"/>
      <c r="I783" s="1607"/>
      <c r="J783" s="1607"/>
      <c r="K783" s="1607"/>
      <c r="L783" s="1607"/>
      <c r="M783" s="1607"/>
      <c r="N783" s="1607"/>
      <c r="O783" s="1607"/>
      <c r="P783" s="1607"/>
      <c r="Q783" s="1607"/>
      <c r="R783" s="1607"/>
      <c r="S783" s="1607"/>
      <c r="T783" s="1607"/>
      <c r="U783" s="1607"/>
      <c r="V783" s="1607"/>
      <c r="W783" s="1607"/>
      <c r="X783" s="1607"/>
      <c r="Y783" s="1607"/>
      <c r="Z783" s="1607"/>
      <c r="AA783" s="1607"/>
      <c r="AB783" s="1607"/>
      <c r="AC783" s="1607"/>
      <c r="AD783" s="1607"/>
      <c r="AE783" s="1607"/>
      <c r="AF783" s="1607"/>
      <c r="AG783" s="1607"/>
      <c r="AH783" s="1607"/>
      <c r="AI783" s="1607"/>
      <c r="AJ783" s="1607"/>
      <c r="AK783" s="1607"/>
      <c r="AL783" s="1607"/>
      <c r="AM783" s="1607"/>
      <c r="AN783" s="1607"/>
      <c r="AO783" s="1607"/>
      <c r="AP783" s="1607"/>
      <c r="AQ783" s="1607"/>
      <c r="AR783" s="1607"/>
      <c r="AS783" s="1607"/>
      <c r="AT783" s="1607"/>
      <c r="AU783" s="1607"/>
      <c r="AV783" s="1607"/>
      <c r="AW783" s="1607"/>
      <c r="AX783" s="1607"/>
      <c r="AY783" s="1607"/>
      <c r="AZ783" s="1607"/>
      <c r="BA783" s="1607"/>
      <c r="BB783" s="1607"/>
      <c r="BC783" s="1607"/>
      <c r="BD783" s="1607"/>
      <c r="BE783" s="1607"/>
      <c r="BF783" s="1607"/>
      <c r="BG783" s="1607"/>
      <c r="BH783" s="1607"/>
      <c r="BI783" s="1607"/>
      <c r="BJ783" s="1607"/>
      <c r="BK783" s="1607"/>
      <c r="BL783" s="1607"/>
    </row>
    <row r="784">
      <c r="A784" s="1607"/>
      <c r="B784" s="1607"/>
      <c r="C784" s="1607"/>
      <c r="D784" s="1607"/>
      <c r="E784" s="1607"/>
      <c r="F784" s="1607"/>
      <c r="G784" s="1607"/>
      <c r="H784" s="1607"/>
      <c r="I784" s="1607"/>
      <c r="J784" s="1607"/>
      <c r="K784" s="1607"/>
      <c r="L784" s="1607"/>
      <c r="M784" s="1607"/>
      <c r="N784" s="1607"/>
      <c r="O784" s="1607"/>
      <c r="P784" s="1607"/>
      <c r="Q784" s="1607"/>
      <c r="R784" s="1607"/>
      <c r="S784" s="1607"/>
      <c r="T784" s="1607"/>
      <c r="U784" s="1607"/>
      <c r="V784" s="1607"/>
      <c r="W784" s="1607"/>
      <c r="X784" s="1607"/>
      <c r="Y784" s="1607"/>
      <c r="Z784" s="1607"/>
      <c r="AA784" s="1607"/>
      <c r="AB784" s="1607"/>
      <c r="AC784" s="1607"/>
      <c r="AD784" s="1607"/>
      <c r="AE784" s="1607"/>
      <c r="AF784" s="1607"/>
      <c r="AG784" s="1607"/>
      <c r="AH784" s="1607"/>
      <c r="AI784" s="1607"/>
      <c r="AJ784" s="1607"/>
      <c r="AK784" s="1607"/>
      <c r="AL784" s="1607"/>
      <c r="AM784" s="1607"/>
      <c r="AN784" s="1607"/>
      <c r="AO784" s="1607"/>
      <c r="AP784" s="1607"/>
      <c r="AQ784" s="1607"/>
      <c r="AR784" s="1607"/>
      <c r="AS784" s="1607"/>
      <c r="AT784" s="1607"/>
      <c r="AU784" s="1607"/>
      <c r="AV784" s="1607"/>
      <c r="AW784" s="1607"/>
      <c r="AX784" s="1607"/>
      <c r="AY784" s="1607"/>
      <c r="AZ784" s="1607"/>
      <c r="BA784" s="1607"/>
      <c r="BB784" s="1607"/>
      <c r="BC784" s="1607"/>
      <c r="BD784" s="1607"/>
      <c r="BE784" s="1607"/>
      <c r="BF784" s="1607"/>
      <c r="BG784" s="1607"/>
      <c r="BH784" s="1607"/>
      <c r="BI784" s="1607"/>
      <c r="BJ784" s="1607"/>
      <c r="BK784" s="1607"/>
      <c r="BL784" s="1607"/>
    </row>
    <row r="785">
      <c r="A785" s="1607"/>
      <c r="B785" s="1607"/>
      <c r="C785" s="1607"/>
      <c r="D785" s="1607"/>
      <c r="E785" s="1607"/>
      <c r="F785" s="1607"/>
      <c r="G785" s="1607"/>
      <c r="H785" s="1607"/>
      <c r="I785" s="1607"/>
      <c r="J785" s="1607"/>
      <c r="K785" s="1607"/>
      <c r="L785" s="1607"/>
      <c r="M785" s="1607"/>
      <c r="N785" s="1607"/>
      <c r="O785" s="1607"/>
      <c r="P785" s="1607"/>
      <c r="Q785" s="1607"/>
      <c r="R785" s="1607"/>
      <c r="S785" s="1607"/>
      <c r="T785" s="1607"/>
      <c r="U785" s="1607"/>
      <c r="V785" s="1607"/>
      <c r="W785" s="1607"/>
      <c r="X785" s="1607"/>
      <c r="Y785" s="1607"/>
      <c r="Z785" s="1607"/>
      <c r="AA785" s="1607"/>
      <c r="AB785" s="1607"/>
      <c r="AC785" s="1607"/>
      <c r="AD785" s="1607"/>
      <c r="AE785" s="1607"/>
      <c r="AF785" s="1607"/>
      <c r="AG785" s="1607"/>
      <c r="AH785" s="1607"/>
      <c r="AI785" s="1607"/>
      <c r="AJ785" s="1607"/>
      <c r="AK785" s="1607"/>
      <c r="AL785" s="1607"/>
      <c r="AM785" s="1607"/>
      <c r="AN785" s="1607"/>
      <c r="AO785" s="1607"/>
      <c r="AP785" s="1607"/>
      <c r="AQ785" s="1607"/>
      <c r="AR785" s="1607"/>
      <c r="AS785" s="1607"/>
      <c r="AT785" s="1607"/>
      <c r="AU785" s="1607"/>
      <c r="AV785" s="1607"/>
      <c r="AW785" s="1607"/>
      <c r="AX785" s="1607"/>
      <c r="AY785" s="1607"/>
      <c r="AZ785" s="1607"/>
      <c r="BA785" s="1607"/>
      <c r="BB785" s="1607"/>
      <c r="BC785" s="1607"/>
      <c r="BD785" s="1607"/>
      <c r="BE785" s="1607"/>
      <c r="BF785" s="1607"/>
      <c r="BG785" s="1607"/>
      <c r="BH785" s="1607"/>
      <c r="BI785" s="1607"/>
      <c r="BJ785" s="1607"/>
      <c r="BK785" s="1607"/>
      <c r="BL785" s="1607"/>
    </row>
    <row r="786">
      <c r="A786" s="1607"/>
      <c r="B786" s="1607"/>
      <c r="C786" s="1607"/>
      <c r="D786" s="1607"/>
      <c r="E786" s="1607"/>
      <c r="F786" s="1607"/>
      <c r="G786" s="1607"/>
      <c r="H786" s="1607"/>
      <c r="I786" s="1607"/>
      <c r="J786" s="1607"/>
      <c r="K786" s="1607"/>
      <c r="L786" s="1607"/>
      <c r="M786" s="1607"/>
      <c r="N786" s="1607"/>
      <c r="O786" s="1607"/>
      <c r="P786" s="1607"/>
      <c r="Q786" s="1607"/>
      <c r="R786" s="1607"/>
      <c r="S786" s="1607"/>
      <c r="T786" s="1607"/>
      <c r="U786" s="1607"/>
      <c r="V786" s="1607"/>
      <c r="W786" s="1607"/>
      <c r="X786" s="1607"/>
      <c r="Y786" s="1607"/>
      <c r="Z786" s="1607"/>
      <c r="AA786" s="1607"/>
      <c r="AB786" s="1607"/>
      <c r="AC786" s="1607"/>
      <c r="AD786" s="1607"/>
      <c r="AE786" s="1607"/>
      <c r="AF786" s="1607"/>
      <c r="AG786" s="1607"/>
      <c r="AH786" s="1607"/>
      <c r="AI786" s="1607"/>
      <c r="AJ786" s="1607"/>
      <c r="AK786" s="1607"/>
      <c r="AL786" s="1607"/>
      <c r="AM786" s="1607"/>
      <c r="AN786" s="1607"/>
      <c r="AO786" s="1607"/>
      <c r="AP786" s="1607"/>
      <c r="AQ786" s="1607"/>
      <c r="AR786" s="1607"/>
      <c r="AS786" s="1607"/>
      <c r="AT786" s="1607"/>
      <c r="AU786" s="1607"/>
      <c r="AV786" s="1607"/>
      <c r="AW786" s="1607"/>
      <c r="AX786" s="1607"/>
      <c r="AY786" s="1607"/>
      <c r="AZ786" s="1607"/>
      <c r="BA786" s="1607"/>
      <c r="BB786" s="1607"/>
      <c r="BC786" s="1607"/>
      <c r="BD786" s="1607"/>
      <c r="BE786" s="1607"/>
      <c r="BF786" s="1607"/>
      <c r="BG786" s="1607"/>
      <c r="BH786" s="1607"/>
      <c r="BI786" s="1607"/>
      <c r="BJ786" s="1607"/>
      <c r="BK786" s="1607"/>
      <c r="BL786" s="1607"/>
    </row>
    <row r="787">
      <c r="A787" s="1607"/>
      <c r="B787" s="1607"/>
      <c r="C787" s="1607"/>
      <c r="D787" s="1607"/>
      <c r="E787" s="1607"/>
      <c r="F787" s="1607"/>
      <c r="G787" s="1607"/>
      <c r="H787" s="1607"/>
      <c r="I787" s="1607"/>
      <c r="J787" s="1607"/>
      <c r="K787" s="1607"/>
      <c r="L787" s="1607"/>
      <c r="M787" s="1607"/>
      <c r="N787" s="1607"/>
      <c r="O787" s="1607"/>
      <c r="P787" s="1607"/>
      <c r="Q787" s="1607"/>
      <c r="R787" s="1607"/>
      <c r="S787" s="1607"/>
      <c r="T787" s="1607"/>
      <c r="U787" s="1607"/>
      <c r="V787" s="1607"/>
      <c r="W787" s="1607"/>
      <c r="X787" s="1607"/>
      <c r="Y787" s="1607"/>
      <c r="Z787" s="1607"/>
      <c r="AA787" s="1607"/>
      <c r="AB787" s="1607"/>
      <c r="AC787" s="1607"/>
      <c r="AD787" s="1607"/>
      <c r="AE787" s="1607"/>
      <c r="AF787" s="1607"/>
      <c r="AG787" s="1607"/>
      <c r="AH787" s="1607"/>
      <c r="AI787" s="1607"/>
      <c r="AJ787" s="1607"/>
      <c r="AK787" s="1607"/>
      <c r="AL787" s="1607"/>
      <c r="AM787" s="1607"/>
      <c r="AN787" s="1607"/>
      <c r="AO787" s="1607"/>
      <c r="AP787" s="1607"/>
      <c r="AQ787" s="1607"/>
      <c r="AR787" s="1607"/>
      <c r="AS787" s="1607"/>
      <c r="AT787" s="1607"/>
      <c r="AU787" s="1607"/>
      <c r="AV787" s="1607"/>
      <c r="AW787" s="1607"/>
      <c r="AX787" s="1607"/>
      <c r="AY787" s="1607"/>
      <c r="AZ787" s="1607"/>
      <c r="BA787" s="1607"/>
      <c r="BB787" s="1607"/>
      <c r="BC787" s="1607"/>
      <c r="BD787" s="1607"/>
      <c r="BE787" s="1607"/>
      <c r="BF787" s="1607"/>
      <c r="BG787" s="1607"/>
      <c r="BH787" s="1607"/>
      <c r="BI787" s="1607"/>
      <c r="BJ787" s="1607"/>
      <c r="BK787" s="1607"/>
      <c r="BL787" s="1607"/>
    </row>
    <row r="788">
      <c r="A788" s="1607"/>
      <c r="B788" s="1607"/>
      <c r="C788" s="1607"/>
      <c r="D788" s="1607"/>
      <c r="E788" s="1607"/>
      <c r="F788" s="1607"/>
      <c r="G788" s="1607"/>
      <c r="H788" s="1607"/>
      <c r="I788" s="1607"/>
      <c r="J788" s="1607"/>
      <c r="K788" s="1607"/>
      <c r="L788" s="1607"/>
      <c r="M788" s="1607"/>
      <c r="N788" s="1607"/>
      <c r="O788" s="1607"/>
      <c r="P788" s="1607"/>
      <c r="Q788" s="1607"/>
      <c r="R788" s="1607"/>
      <c r="S788" s="1607"/>
      <c r="T788" s="1607"/>
      <c r="U788" s="1607"/>
      <c r="V788" s="1607"/>
      <c r="W788" s="1607"/>
      <c r="X788" s="1607"/>
      <c r="Y788" s="1607"/>
      <c r="Z788" s="1607"/>
      <c r="AA788" s="1607"/>
      <c r="AB788" s="1607"/>
      <c r="AC788" s="1607"/>
      <c r="AD788" s="1607"/>
      <c r="AE788" s="1607"/>
      <c r="AF788" s="1607"/>
      <c r="AG788" s="1607"/>
      <c r="AH788" s="1607"/>
      <c r="AI788" s="1607"/>
      <c r="AJ788" s="1607"/>
      <c r="AK788" s="1607"/>
      <c r="AL788" s="1607"/>
      <c r="AM788" s="1607"/>
      <c r="AN788" s="1607"/>
      <c r="AO788" s="1607"/>
      <c r="AP788" s="1607"/>
      <c r="AQ788" s="1607"/>
      <c r="AR788" s="1607"/>
      <c r="AS788" s="1607"/>
      <c r="AT788" s="1607"/>
      <c r="AU788" s="1607"/>
      <c r="AV788" s="1607"/>
      <c r="AW788" s="1607"/>
      <c r="AX788" s="1607"/>
      <c r="AY788" s="1607"/>
      <c r="AZ788" s="1607"/>
      <c r="BA788" s="1607"/>
      <c r="BB788" s="1607"/>
      <c r="BC788" s="1607"/>
      <c r="BD788" s="1607"/>
      <c r="BE788" s="1607"/>
      <c r="BF788" s="1607"/>
      <c r="BG788" s="1607"/>
      <c r="BH788" s="1607"/>
      <c r="BI788" s="1607"/>
      <c r="BJ788" s="1607"/>
      <c r="BK788" s="1607"/>
      <c r="BL788" s="1607"/>
    </row>
    <row r="789">
      <c r="A789" s="1607"/>
      <c r="B789" s="1607"/>
      <c r="C789" s="1607"/>
      <c r="D789" s="1607"/>
      <c r="E789" s="1607"/>
      <c r="F789" s="1607"/>
      <c r="G789" s="1607"/>
      <c r="H789" s="1607"/>
      <c r="I789" s="1607"/>
      <c r="J789" s="1607"/>
      <c r="K789" s="1607"/>
      <c r="L789" s="1607"/>
      <c r="M789" s="1607"/>
      <c r="N789" s="1607"/>
      <c r="O789" s="1607"/>
      <c r="P789" s="1607"/>
      <c r="Q789" s="1607"/>
      <c r="R789" s="1607"/>
      <c r="S789" s="1607"/>
      <c r="T789" s="1607"/>
      <c r="U789" s="1607"/>
      <c r="V789" s="1607"/>
      <c r="W789" s="1607"/>
      <c r="X789" s="1607"/>
      <c r="Y789" s="1607"/>
      <c r="Z789" s="1607"/>
      <c r="AA789" s="1607"/>
      <c r="AB789" s="1607"/>
      <c r="AC789" s="1607"/>
      <c r="AD789" s="1607"/>
      <c r="AE789" s="1607"/>
      <c r="AF789" s="1607"/>
      <c r="AG789" s="1607"/>
      <c r="AH789" s="1607"/>
      <c r="AI789" s="1607"/>
      <c r="AJ789" s="1607"/>
      <c r="AK789" s="1607"/>
      <c r="AL789" s="1607"/>
      <c r="AM789" s="1607"/>
      <c r="AN789" s="1607"/>
      <c r="AO789" s="1607"/>
      <c r="AP789" s="1607"/>
      <c r="AQ789" s="1607"/>
      <c r="AR789" s="1607"/>
      <c r="AS789" s="1607"/>
      <c r="AT789" s="1607"/>
      <c r="AU789" s="1607"/>
      <c r="AV789" s="1607"/>
      <c r="AW789" s="1607"/>
      <c r="AX789" s="1607"/>
      <c r="AY789" s="1607"/>
      <c r="AZ789" s="1607"/>
      <c r="BA789" s="1607"/>
      <c r="BB789" s="1607"/>
      <c r="BC789" s="1607"/>
      <c r="BD789" s="1607"/>
      <c r="BE789" s="1607"/>
      <c r="BF789" s="1607"/>
      <c r="BG789" s="1607"/>
      <c r="BH789" s="1607"/>
      <c r="BI789" s="1607"/>
      <c r="BJ789" s="1607"/>
      <c r="BK789" s="1607"/>
      <c r="BL789" s="1607"/>
    </row>
    <row r="790">
      <c r="A790" s="1607"/>
      <c r="B790" s="1607"/>
      <c r="C790" s="1607"/>
      <c r="D790" s="1607"/>
      <c r="E790" s="1607"/>
      <c r="F790" s="1607"/>
      <c r="G790" s="1607"/>
      <c r="H790" s="1607"/>
      <c r="I790" s="1607"/>
      <c r="J790" s="1607"/>
      <c r="K790" s="1607"/>
      <c r="L790" s="1607"/>
      <c r="M790" s="1607"/>
      <c r="N790" s="1607"/>
      <c r="O790" s="1607"/>
      <c r="P790" s="1607"/>
      <c r="Q790" s="1607"/>
      <c r="R790" s="1607"/>
      <c r="S790" s="1607"/>
      <c r="T790" s="1607"/>
      <c r="U790" s="1607"/>
      <c r="V790" s="1607"/>
      <c r="W790" s="1607"/>
      <c r="X790" s="1607"/>
      <c r="Y790" s="1607"/>
      <c r="Z790" s="1607"/>
      <c r="AA790" s="1607"/>
      <c r="AB790" s="1607"/>
      <c r="AC790" s="1607"/>
      <c r="AD790" s="1607"/>
      <c r="AE790" s="1607"/>
      <c r="AF790" s="1607"/>
      <c r="AG790" s="1607"/>
      <c r="AH790" s="1607"/>
      <c r="AI790" s="1607"/>
      <c r="AJ790" s="1607"/>
      <c r="AK790" s="1607"/>
      <c r="AL790" s="1607"/>
      <c r="AM790" s="1607"/>
      <c r="AN790" s="1607"/>
      <c r="AO790" s="1607"/>
      <c r="AP790" s="1607"/>
      <c r="AQ790" s="1607"/>
      <c r="AR790" s="1607"/>
      <c r="AS790" s="1607"/>
      <c r="AT790" s="1607"/>
      <c r="AU790" s="1607"/>
      <c r="AV790" s="1607"/>
      <c r="AW790" s="1607"/>
      <c r="AX790" s="1607"/>
      <c r="AY790" s="1607"/>
      <c r="AZ790" s="1607"/>
      <c r="BA790" s="1607"/>
      <c r="BB790" s="1607"/>
      <c r="BC790" s="1607"/>
      <c r="BD790" s="1607"/>
      <c r="BE790" s="1607"/>
      <c r="BF790" s="1607"/>
      <c r="BG790" s="1607"/>
      <c r="BH790" s="1607"/>
      <c r="BI790" s="1607"/>
      <c r="BJ790" s="1607"/>
      <c r="BK790" s="1607"/>
      <c r="BL790" s="1607"/>
    </row>
    <row r="791">
      <c r="A791" s="1607"/>
      <c r="B791" s="1607"/>
      <c r="C791" s="1607"/>
      <c r="D791" s="1607"/>
      <c r="E791" s="1607"/>
      <c r="F791" s="1607"/>
      <c r="G791" s="1607"/>
      <c r="H791" s="1607"/>
      <c r="I791" s="1607"/>
      <c r="J791" s="1607"/>
      <c r="K791" s="1607"/>
      <c r="L791" s="1607"/>
      <c r="M791" s="1607"/>
      <c r="N791" s="1607"/>
      <c r="O791" s="1607"/>
      <c r="P791" s="1607"/>
      <c r="Q791" s="1607"/>
      <c r="R791" s="1607"/>
      <c r="S791" s="1607"/>
      <c r="T791" s="1607"/>
      <c r="U791" s="1607"/>
      <c r="V791" s="1607"/>
      <c r="W791" s="1607"/>
      <c r="X791" s="1607"/>
      <c r="Y791" s="1607"/>
      <c r="Z791" s="1607"/>
      <c r="AA791" s="1607"/>
      <c r="AB791" s="1607"/>
      <c r="AC791" s="1607"/>
      <c r="AD791" s="1607"/>
      <c r="AE791" s="1607"/>
      <c r="AF791" s="1607"/>
      <c r="AG791" s="1607"/>
      <c r="AH791" s="1607"/>
      <c r="AI791" s="1607"/>
      <c r="AJ791" s="1607"/>
      <c r="AK791" s="1607"/>
      <c r="AL791" s="1607"/>
      <c r="AM791" s="1607"/>
      <c r="AN791" s="1607"/>
      <c r="AO791" s="1607"/>
      <c r="AP791" s="1607"/>
      <c r="AQ791" s="1607"/>
      <c r="AR791" s="1607"/>
      <c r="AS791" s="1607"/>
      <c r="AT791" s="1607"/>
      <c r="AU791" s="1607"/>
      <c r="AV791" s="1607"/>
      <c r="AW791" s="1607"/>
      <c r="AX791" s="1607"/>
      <c r="AY791" s="1607"/>
      <c r="AZ791" s="1607"/>
      <c r="BA791" s="1607"/>
      <c r="BB791" s="1607"/>
      <c r="BC791" s="1607"/>
      <c r="BD791" s="1607"/>
      <c r="BE791" s="1607"/>
      <c r="BF791" s="1607"/>
      <c r="BG791" s="1607"/>
      <c r="BH791" s="1607"/>
      <c r="BI791" s="1607"/>
      <c r="BJ791" s="1607"/>
      <c r="BK791" s="1607"/>
      <c r="BL791" s="1607"/>
    </row>
    <row r="792">
      <c r="A792" s="1607"/>
      <c r="B792" s="1607"/>
      <c r="C792" s="1607"/>
      <c r="D792" s="1607"/>
      <c r="E792" s="1607"/>
      <c r="F792" s="1607"/>
      <c r="G792" s="1607"/>
      <c r="H792" s="1607"/>
      <c r="I792" s="1607"/>
      <c r="J792" s="1607"/>
      <c r="K792" s="1607"/>
      <c r="L792" s="1607"/>
      <c r="M792" s="1607"/>
      <c r="N792" s="1607"/>
      <c r="O792" s="1607"/>
      <c r="P792" s="1607"/>
      <c r="Q792" s="1607"/>
      <c r="R792" s="1607"/>
      <c r="S792" s="1607"/>
      <c r="T792" s="1607"/>
      <c r="U792" s="1607"/>
      <c r="V792" s="1607"/>
      <c r="W792" s="1607"/>
      <c r="X792" s="1607"/>
      <c r="Y792" s="1607"/>
      <c r="Z792" s="1607"/>
      <c r="AA792" s="1607"/>
      <c r="AB792" s="1607"/>
      <c r="AC792" s="1607"/>
      <c r="AD792" s="1607"/>
      <c r="AE792" s="1607"/>
      <c r="AF792" s="1607"/>
      <c r="AG792" s="1607"/>
      <c r="AH792" s="1607"/>
      <c r="AI792" s="1607"/>
      <c r="AJ792" s="1607"/>
      <c r="AK792" s="1607"/>
      <c r="AL792" s="1607"/>
      <c r="AM792" s="1607"/>
      <c r="AN792" s="1607"/>
      <c r="AO792" s="1607"/>
      <c r="AP792" s="1607"/>
      <c r="AQ792" s="1607"/>
      <c r="AR792" s="1607"/>
      <c r="AS792" s="1607"/>
      <c r="AT792" s="1607"/>
      <c r="AU792" s="1607"/>
      <c r="AV792" s="1607"/>
      <c r="AW792" s="1607"/>
      <c r="AX792" s="1607"/>
      <c r="AY792" s="1607"/>
      <c r="AZ792" s="1607"/>
      <c r="BA792" s="1607"/>
      <c r="BB792" s="1607"/>
      <c r="BC792" s="1607"/>
      <c r="BD792" s="1607"/>
      <c r="BE792" s="1607"/>
      <c r="BF792" s="1607"/>
      <c r="BG792" s="1607"/>
      <c r="BH792" s="1607"/>
      <c r="BI792" s="1607"/>
      <c r="BJ792" s="1607"/>
      <c r="BK792" s="1607"/>
      <c r="BL792" s="1607"/>
    </row>
    <row r="793">
      <c r="A793" s="1607"/>
      <c r="B793" s="1607"/>
      <c r="C793" s="1607"/>
      <c r="D793" s="1607"/>
      <c r="E793" s="1607"/>
      <c r="F793" s="1607"/>
      <c r="G793" s="1607"/>
      <c r="H793" s="1607"/>
      <c r="I793" s="1607"/>
      <c r="J793" s="1607"/>
      <c r="K793" s="1607"/>
      <c r="L793" s="1607"/>
      <c r="M793" s="1607"/>
      <c r="N793" s="1607"/>
      <c r="O793" s="1607"/>
      <c r="P793" s="1607"/>
      <c r="Q793" s="1607"/>
      <c r="R793" s="1607"/>
      <c r="S793" s="1607"/>
      <c r="T793" s="1607"/>
      <c r="U793" s="1607"/>
      <c r="V793" s="1607"/>
      <c r="W793" s="1607"/>
      <c r="X793" s="1607"/>
      <c r="Y793" s="1607"/>
      <c r="Z793" s="1607"/>
      <c r="AA793" s="1607"/>
      <c r="AB793" s="1607"/>
      <c r="AC793" s="1607"/>
      <c r="AD793" s="1607"/>
      <c r="AE793" s="1607"/>
      <c r="AF793" s="1607"/>
      <c r="AG793" s="1607"/>
      <c r="AH793" s="1607"/>
      <c r="AI793" s="1607"/>
      <c r="AJ793" s="1607"/>
      <c r="AK793" s="1607"/>
      <c r="AL793" s="1607"/>
      <c r="AM793" s="1607"/>
      <c r="AN793" s="1607"/>
      <c r="AO793" s="1607"/>
      <c r="AP793" s="1607"/>
      <c r="AQ793" s="1607"/>
      <c r="AR793" s="1607"/>
      <c r="AS793" s="1607"/>
      <c r="AT793" s="1607"/>
      <c r="AU793" s="1607"/>
      <c r="AV793" s="1607"/>
      <c r="AW793" s="1607"/>
      <c r="AX793" s="1607"/>
      <c r="AY793" s="1607"/>
      <c r="AZ793" s="1607"/>
      <c r="BA793" s="1607"/>
      <c r="BB793" s="1607"/>
      <c r="BC793" s="1607"/>
      <c r="BD793" s="1607"/>
      <c r="BE793" s="1607"/>
      <c r="BF793" s="1607"/>
      <c r="BG793" s="1607"/>
      <c r="BH793" s="1607"/>
      <c r="BI793" s="1607"/>
      <c r="BJ793" s="1607"/>
      <c r="BK793" s="1607"/>
      <c r="BL793" s="1607"/>
    </row>
    <row r="794">
      <c r="A794" s="1607"/>
      <c r="B794" s="1607"/>
      <c r="C794" s="1607"/>
      <c r="D794" s="1607"/>
      <c r="E794" s="1607"/>
      <c r="F794" s="1607"/>
      <c r="G794" s="1607"/>
      <c r="H794" s="1607"/>
      <c r="I794" s="1607"/>
      <c r="J794" s="1607"/>
      <c r="K794" s="1607"/>
      <c r="L794" s="1607"/>
      <c r="M794" s="1607"/>
      <c r="N794" s="1607"/>
      <c r="O794" s="1607"/>
      <c r="P794" s="1607"/>
      <c r="Q794" s="1607"/>
      <c r="R794" s="1607"/>
      <c r="S794" s="1607"/>
      <c r="T794" s="1607"/>
      <c r="U794" s="1607"/>
      <c r="V794" s="1607"/>
      <c r="W794" s="1607"/>
      <c r="X794" s="1607"/>
      <c r="Y794" s="1607"/>
      <c r="Z794" s="1607"/>
      <c r="AA794" s="1607"/>
      <c r="AB794" s="1607"/>
      <c r="AC794" s="1607"/>
      <c r="AD794" s="1607"/>
      <c r="AE794" s="1607"/>
      <c r="AF794" s="1607"/>
      <c r="AG794" s="1607"/>
      <c r="AH794" s="1607"/>
      <c r="AI794" s="1607"/>
      <c r="AJ794" s="1607"/>
      <c r="AK794" s="1607"/>
      <c r="AL794" s="1607"/>
      <c r="AM794" s="1607"/>
      <c r="AN794" s="1607"/>
      <c r="AO794" s="1607"/>
      <c r="AP794" s="1607"/>
      <c r="AQ794" s="1607"/>
      <c r="AR794" s="1607"/>
      <c r="AS794" s="1607"/>
      <c r="AT794" s="1607"/>
      <c r="AU794" s="1607"/>
      <c r="AV794" s="1607"/>
      <c r="AW794" s="1607"/>
      <c r="AX794" s="1607"/>
      <c r="AY794" s="1607"/>
      <c r="AZ794" s="1607"/>
      <c r="BA794" s="1607"/>
      <c r="BB794" s="1607"/>
      <c r="BC794" s="1607"/>
      <c r="BD794" s="1607"/>
      <c r="BE794" s="1607"/>
      <c r="BF794" s="1607"/>
      <c r="BG794" s="1607"/>
      <c r="BH794" s="1607"/>
      <c r="BI794" s="1607"/>
      <c r="BJ794" s="1607"/>
      <c r="BK794" s="1607"/>
      <c r="BL794" s="1607"/>
    </row>
    <row r="795">
      <c r="A795" s="1607"/>
      <c r="B795" s="1607"/>
      <c r="C795" s="1607"/>
      <c r="D795" s="1607"/>
      <c r="E795" s="1607"/>
      <c r="F795" s="1607"/>
      <c r="G795" s="1607"/>
      <c r="H795" s="1607"/>
      <c r="I795" s="1607"/>
      <c r="J795" s="1607"/>
      <c r="K795" s="1607"/>
      <c r="L795" s="1607"/>
      <c r="M795" s="1607"/>
      <c r="N795" s="1607"/>
      <c r="O795" s="1607"/>
      <c r="P795" s="1607"/>
      <c r="Q795" s="1607"/>
      <c r="R795" s="1607"/>
      <c r="S795" s="1607"/>
      <c r="T795" s="1607"/>
      <c r="U795" s="1607"/>
      <c r="V795" s="1607"/>
      <c r="W795" s="1607"/>
      <c r="X795" s="1607"/>
      <c r="Y795" s="1607"/>
      <c r="Z795" s="1607"/>
      <c r="AA795" s="1607"/>
      <c r="AB795" s="1607"/>
      <c r="AC795" s="1607"/>
      <c r="AD795" s="1607"/>
      <c r="AE795" s="1607"/>
      <c r="AF795" s="1607"/>
      <c r="AG795" s="1607"/>
      <c r="AH795" s="1607"/>
      <c r="AI795" s="1607"/>
      <c r="AJ795" s="1607"/>
      <c r="AK795" s="1607"/>
      <c r="AL795" s="1607"/>
      <c r="AM795" s="1607"/>
      <c r="AN795" s="1607"/>
      <c r="AO795" s="1607"/>
      <c r="AP795" s="1607"/>
      <c r="AQ795" s="1607"/>
      <c r="AR795" s="1607"/>
      <c r="AS795" s="1607"/>
      <c r="AT795" s="1607"/>
      <c r="AU795" s="1607"/>
      <c r="AV795" s="1607"/>
      <c r="AW795" s="1607"/>
      <c r="AX795" s="1607"/>
      <c r="AY795" s="1607"/>
      <c r="AZ795" s="1607"/>
      <c r="BA795" s="1607"/>
      <c r="BB795" s="1607"/>
      <c r="BC795" s="1607"/>
      <c r="BD795" s="1607"/>
      <c r="BE795" s="1607"/>
      <c r="BF795" s="1607"/>
      <c r="BG795" s="1607"/>
      <c r="BH795" s="1607"/>
      <c r="BI795" s="1607"/>
      <c r="BJ795" s="1607"/>
      <c r="BK795" s="1607"/>
      <c r="BL795" s="1607"/>
    </row>
    <row r="796">
      <c r="A796" s="1607"/>
      <c r="B796" s="1607"/>
      <c r="C796" s="1607"/>
      <c r="D796" s="1607"/>
      <c r="E796" s="1607"/>
      <c r="F796" s="1607"/>
      <c r="G796" s="1607"/>
      <c r="H796" s="1607"/>
      <c r="I796" s="1607"/>
      <c r="J796" s="1607"/>
      <c r="K796" s="1607"/>
      <c r="L796" s="1607"/>
      <c r="M796" s="1607"/>
      <c r="N796" s="1607"/>
      <c r="O796" s="1607"/>
      <c r="P796" s="1607"/>
      <c r="Q796" s="1607"/>
      <c r="R796" s="1607"/>
      <c r="S796" s="1607"/>
      <c r="T796" s="1607"/>
      <c r="U796" s="1607"/>
      <c r="V796" s="1607"/>
      <c r="W796" s="1607"/>
      <c r="X796" s="1607"/>
      <c r="Y796" s="1607"/>
      <c r="Z796" s="1607"/>
      <c r="AA796" s="1607"/>
      <c r="AB796" s="1607"/>
      <c r="AC796" s="1607"/>
      <c r="AD796" s="1607"/>
      <c r="AE796" s="1607"/>
      <c r="AF796" s="1607"/>
      <c r="AG796" s="1607"/>
      <c r="AH796" s="1607"/>
      <c r="AI796" s="1607"/>
      <c r="AJ796" s="1607"/>
      <c r="AK796" s="1607"/>
      <c r="AL796" s="1607"/>
      <c r="AM796" s="1607"/>
      <c r="AN796" s="1607"/>
      <c r="AO796" s="1607"/>
      <c r="AP796" s="1607"/>
      <c r="AQ796" s="1607"/>
      <c r="AR796" s="1607"/>
      <c r="AS796" s="1607"/>
      <c r="AT796" s="1607"/>
      <c r="AU796" s="1607"/>
      <c r="AV796" s="1607"/>
      <c r="AW796" s="1607"/>
      <c r="AX796" s="1607"/>
      <c r="AY796" s="1607"/>
      <c r="AZ796" s="1607"/>
      <c r="BA796" s="1607"/>
      <c r="BB796" s="1607"/>
      <c r="BC796" s="1607"/>
      <c r="BD796" s="1607"/>
      <c r="BE796" s="1607"/>
      <c r="BF796" s="1607"/>
      <c r="BG796" s="1607"/>
      <c r="BH796" s="1607"/>
      <c r="BI796" s="1607"/>
      <c r="BJ796" s="1607"/>
      <c r="BK796" s="1607"/>
      <c r="BL796" s="1607"/>
    </row>
    <row r="797">
      <c r="A797" s="1607"/>
      <c r="B797" s="1607"/>
      <c r="C797" s="1607"/>
      <c r="D797" s="1607"/>
      <c r="E797" s="1607"/>
      <c r="F797" s="1607"/>
      <c r="G797" s="1607"/>
      <c r="H797" s="1607"/>
      <c r="I797" s="1607"/>
      <c r="J797" s="1607"/>
      <c r="K797" s="1607"/>
      <c r="L797" s="1607"/>
      <c r="M797" s="1607"/>
      <c r="N797" s="1607"/>
      <c r="O797" s="1607"/>
      <c r="P797" s="1607"/>
      <c r="Q797" s="1607"/>
      <c r="R797" s="1607"/>
      <c r="S797" s="1607"/>
      <c r="T797" s="1607"/>
      <c r="U797" s="1607"/>
      <c r="V797" s="1607"/>
      <c r="W797" s="1607"/>
      <c r="X797" s="1607"/>
      <c r="Y797" s="1607"/>
      <c r="Z797" s="1607"/>
      <c r="AA797" s="1607"/>
      <c r="AB797" s="1607"/>
      <c r="AC797" s="1607"/>
      <c r="AD797" s="1607"/>
      <c r="AE797" s="1607"/>
      <c r="AF797" s="1607"/>
      <c r="AG797" s="1607"/>
      <c r="AH797" s="1607"/>
      <c r="AI797" s="1607"/>
      <c r="AJ797" s="1607"/>
      <c r="AK797" s="1607"/>
      <c r="AL797" s="1607"/>
      <c r="AM797" s="1607"/>
      <c r="AN797" s="1607"/>
      <c r="AO797" s="1607"/>
      <c r="AP797" s="1607"/>
      <c r="AQ797" s="1607"/>
      <c r="AR797" s="1607"/>
      <c r="AS797" s="1607"/>
      <c r="AT797" s="1607"/>
      <c r="AU797" s="1607"/>
      <c r="AV797" s="1607"/>
      <c r="AW797" s="1607"/>
      <c r="AX797" s="1607"/>
      <c r="AY797" s="1607"/>
      <c r="AZ797" s="1607"/>
      <c r="BA797" s="1607"/>
      <c r="BB797" s="1607"/>
      <c r="BC797" s="1607"/>
      <c r="BD797" s="1607"/>
      <c r="BE797" s="1607"/>
      <c r="BF797" s="1607"/>
      <c r="BG797" s="1607"/>
      <c r="BH797" s="1607"/>
      <c r="BI797" s="1607"/>
      <c r="BJ797" s="1607"/>
      <c r="BK797" s="1607"/>
      <c r="BL797" s="1607"/>
    </row>
    <row r="798">
      <c r="A798" s="1607"/>
      <c r="B798" s="1607"/>
      <c r="C798" s="1607"/>
      <c r="D798" s="1607"/>
      <c r="E798" s="1607"/>
      <c r="F798" s="1607"/>
      <c r="G798" s="1607"/>
      <c r="H798" s="1607"/>
      <c r="I798" s="1607"/>
      <c r="J798" s="1607"/>
      <c r="K798" s="1607"/>
      <c r="L798" s="1607"/>
      <c r="M798" s="1607"/>
      <c r="N798" s="1607"/>
      <c r="O798" s="1607"/>
      <c r="P798" s="1607"/>
      <c r="Q798" s="1607"/>
      <c r="R798" s="1607"/>
      <c r="S798" s="1607"/>
      <c r="T798" s="1607"/>
      <c r="U798" s="1607"/>
      <c r="V798" s="1607"/>
      <c r="W798" s="1607"/>
      <c r="X798" s="1607"/>
      <c r="Y798" s="1607"/>
      <c r="Z798" s="1607"/>
      <c r="AA798" s="1607"/>
      <c r="AB798" s="1607"/>
      <c r="AC798" s="1607"/>
      <c r="AD798" s="1607"/>
      <c r="AE798" s="1607"/>
      <c r="AF798" s="1607"/>
      <c r="AG798" s="1607"/>
      <c r="AH798" s="1607"/>
      <c r="AI798" s="1607"/>
      <c r="AJ798" s="1607"/>
      <c r="AK798" s="1607"/>
      <c r="AL798" s="1607"/>
      <c r="AM798" s="1607"/>
      <c r="AN798" s="1607"/>
      <c r="AO798" s="1607"/>
      <c r="AP798" s="1607"/>
      <c r="AQ798" s="1607"/>
      <c r="AR798" s="1607"/>
      <c r="AS798" s="1607"/>
      <c r="AT798" s="1607"/>
      <c r="AU798" s="1607"/>
      <c r="AV798" s="1607"/>
      <c r="AW798" s="1607"/>
      <c r="AX798" s="1607"/>
      <c r="AY798" s="1607"/>
      <c r="AZ798" s="1607"/>
      <c r="BA798" s="1607"/>
      <c r="BB798" s="1607"/>
      <c r="BC798" s="1607"/>
      <c r="BD798" s="1607"/>
      <c r="BE798" s="1607"/>
      <c r="BF798" s="1607"/>
      <c r="BG798" s="1607"/>
      <c r="BH798" s="1607"/>
      <c r="BI798" s="1607"/>
      <c r="BJ798" s="1607"/>
      <c r="BK798" s="1607"/>
      <c r="BL798" s="1607"/>
    </row>
    <row r="799">
      <c r="A799" s="1607"/>
      <c r="B799" s="1607"/>
      <c r="C799" s="1607"/>
      <c r="D799" s="1607"/>
      <c r="E799" s="1607"/>
      <c r="F799" s="1607"/>
      <c r="G799" s="1607"/>
      <c r="H799" s="1607"/>
      <c r="I799" s="1607"/>
      <c r="J799" s="1607"/>
      <c r="K799" s="1607"/>
      <c r="L799" s="1607"/>
      <c r="M799" s="1607"/>
      <c r="N799" s="1607"/>
      <c r="O799" s="1607"/>
      <c r="P799" s="1607"/>
      <c r="Q799" s="1607"/>
      <c r="R799" s="1607"/>
      <c r="S799" s="1607"/>
      <c r="T799" s="1607"/>
      <c r="U799" s="1607"/>
      <c r="V799" s="1607"/>
      <c r="W799" s="1607"/>
      <c r="X799" s="1607"/>
      <c r="Y799" s="1607"/>
      <c r="Z799" s="1607"/>
      <c r="AA799" s="1607"/>
      <c r="AB799" s="1607"/>
      <c r="AC799" s="1607"/>
      <c r="AD799" s="1607"/>
      <c r="AE799" s="1607"/>
      <c r="AF799" s="1607"/>
      <c r="AG799" s="1607"/>
      <c r="AH799" s="1607"/>
      <c r="AI799" s="1607"/>
      <c r="AJ799" s="1607"/>
      <c r="AK799" s="1607"/>
      <c r="AL799" s="1607"/>
      <c r="AM799" s="1607"/>
      <c r="AN799" s="1607"/>
      <c r="AO799" s="1607"/>
      <c r="AP799" s="1607"/>
      <c r="AQ799" s="1607"/>
      <c r="AR799" s="1607"/>
      <c r="AS799" s="1607"/>
      <c r="AT799" s="1607"/>
      <c r="AU799" s="1607"/>
      <c r="AV799" s="1607"/>
      <c r="AW799" s="1607"/>
      <c r="AX799" s="1607"/>
      <c r="AY799" s="1607"/>
      <c r="AZ799" s="1607"/>
      <c r="BA799" s="1607"/>
      <c r="BB799" s="1607"/>
      <c r="BC799" s="1607"/>
      <c r="BD799" s="1607"/>
      <c r="BE799" s="1607"/>
      <c r="BF799" s="1607"/>
      <c r="BG799" s="1607"/>
      <c r="BH799" s="1607"/>
      <c r="BI799" s="1607"/>
      <c r="BJ799" s="1607"/>
      <c r="BK799" s="1607"/>
      <c r="BL799" s="1607"/>
    </row>
    <row r="800">
      <c r="A800" s="1607"/>
      <c r="B800" s="1607"/>
      <c r="C800" s="1607"/>
      <c r="D800" s="1607"/>
      <c r="E800" s="1607"/>
      <c r="F800" s="1607"/>
      <c r="G800" s="1607"/>
      <c r="H800" s="1607"/>
      <c r="I800" s="1607"/>
      <c r="J800" s="1607"/>
      <c r="K800" s="1607"/>
      <c r="L800" s="1607"/>
      <c r="M800" s="1607"/>
      <c r="N800" s="1607"/>
      <c r="O800" s="1607"/>
      <c r="P800" s="1607"/>
      <c r="Q800" s="1607"/>
      <c r="R800" s="1607"/>
      <c r="S800" s="1607"/>
      <c r="T800" s="1607"/>
      <c r="U800" s="1607"/>
      <c r="V800" s="1607"/>
      <c r="W800" s="1607"/>
      <c r="X800" s="1607"/>
      <c r="Y800" s="1607"/>
      <c r="Z800" s="1607"/>
      <c r="AA800" s="1607"/>
      <c r="AB800" s="1607"/>
      <c r="AC800" s="1607"/>
      <c r="AD800" s="1607"/>
      <c r="AE800" s="1607"/>
      <c r="AF800" s="1607"/>
      <c r="AG800" s="1607"/>
      <c r="AH800" s="1607"/>
      <c r="AI800" s="1607"/>
      <c r="AJ800" s="1607"/>
      <c r="AK800" s="1607"/>
      <c r="AL800" s="1607"/>
      <c r="AM800" s="1607"/>
      <c r="AN800" s="1607"/>
      <c r="AO800" s="1607"/>
      <c r="AP800" s="1607"/>
      <c r="AQ800" s="1607"/>
      <c r="AR800" s="1607"/>
      <c r="AS800" s="1607"/>
      <c r="AT800" s="1607"/>
      <c r="AU800" s="1607"/>
      <c r="AV800" s="1607"/>
      <c r="AW800" s="1607"/>
      <c r="AX800" s="1607"/>
      <c r="AY800" s="1607"/>
      <c r="AZ800" s="1607"/>
      <c r="BA800" s="1607"/>
      <c r="BB800" s="1607"/>
      <c r="BC800" s="1607"/>
      <c r="BD800" s="1607"/>
      <c r="BE800" s="1607"/>
      <c r="BF800" s="1607"/>
      <c r="BG800" s="1607"/>
      <c r="BH800" s="1607"/>
      <c r="BI800" s="1607"/>
      <c r="BJ800" s="1607"/>
      <c r="BK800" s="1607"/>
      <c r="BL800" s="1607"/>
    </row>
    <row r="801">
      <c r="A801" s="1607"/>
      <c r="B801" s="1607"/>
      <c r="C801" s="1607"/>
      <c r="D801" s="1607"/>
      <c r="E801" s="1607"/>
      <c r="F801" s="1607"/>
      <c r="G801" s="1607"/>
      <c r="H801" s="1607"/>
      <c r="I801" s="1607"/>
      <c r="J801" s="1607"/>
      <c r="K801" s="1607"/>
      <c r="L801" s="1607"/>
      <c r="M801" s="1607"/>
      <c r="N801" s="1607"/>
      <c r="O801" s="1607"/>
      <c r="P801" s="1607"/>
      <c r="Q801" s="1607"/>
      <c r="R801" s="1607"/>
      <c r="S801" s="1607"/>
      <c r="T801" s="1607"/>
      <c r="U801" s="1607"/>
      <c r="V801" s="1607"/>
      <c r="W801" s="1607"/>
      <c r="X801" s="1607"/>
      <c r="Y801" s="1607"/>
      <c r="Z801" s="1607"/>
      <c r="AA801" s="1607"/>
      <c r="AB801" s="1607"/>
      <c r="AC801" s="1607"/>
      <c r="AD801" s="1607"/>
      <c r="AE801" s="1607"/>
      <c r="AF801" s="1607"/>
      <c r="AG801" s="1607"/>
      <c r="AH801" s="1607"/>
      <c r="AI801" s="1607"/>
      <c r="AJ801" s="1607"/>
      <c r="AK801" s="1607"/>
      <c r="AL801" s="1607"/>
      <c r="AM801" s="1607"/>
      <c r="AN801" s="1607"/>
      <c r="AO801" s="1607"/>
      <c r="AP801" s="1607"/>
      <c r="AQ801" s="1607"/>
      <c r="AR801" s="1607"/>
      <c r="AS801" s="1607"/>
      <c r="AT801" s="1607"/>
      <c r="AU801" s="1607"/>
      <c r="AV801" s="1607"/>
      <c r="AW801" s="1607"/>
      <c r="AX801" s="1607"/>
      <c r="AY801" s="1607"/>
      <c r="AZ801" s="1607"/>
      <c r="BA801" s="1607"/>
      <c r="BB801" s="1607"/>
      <c r="BC801" s="1607"/>
      <c r="BD801" s="1607"/>
      <c r="BE801" s="1607"/>
      <c r="BF801" s="1607"/>
      <c r="BG801" s="1607"/>
      <c r="BH801" s="1607"/>
      <c r="BI801" s="1607"/>
      <c r="BJ801" s="1607"/>
      <c r="BK801" s="1607"/>
      <c r="BL801" s="1607"/>
    </row>
    <row r="802">
      <c r="A802" s="1607"/>
      <c r="B802" s="1607"/>
      <c r="C802" s="1607"/>
      <c r="D802" s="1607"/>
      <c r="E802" s="1607"/>
      <c r="F802" s="1607"/>
      <c r="G802" s="1607"/>
      <c r="H802" s="1607"/>
      <c r="I802" s="1607"/>
      <c r="J802" s="1607"/>
      <c r="K802" s="1607"/>
      <c r="L802" s="1607"/>
      <c r="M802" s="1607"/>
      <c r="N802" s="1607"/>
      <c r="O802" s="1607"/>
      <c r="P802" s="1607"/>
      <c r="Q802" s="1607"/>
      <c r="R802" s="1607"/>
      <c r="S802" s="1607"/>
      <c r="T802" s="1607"/>
      <c r="U802" s="1607"/>
      <c r="V802" s="1607"/>
      <c r="W802" s="1607"/>
      <c r="X802" s="1607"/>
      <c r="Y802" s="1607"/>
      <c r="Z802" s="1607"/>
      <c r="AA802" s="1607"/>
      <c r="AB802" s="1607"/>
      <c r="AC802" s="1607"/>
      <c r="AD802" s="1607"/>
      <c r="AE802" s="1607"/>
      <c r="AF802" s="1607"/>
      <c r="AG802" s="1607"/>
      <c r="AH802" s="1607"/>
      <c r="AI802" s="1607"/>
      <c r="AJ802" s="1607"/>
      <c r="AK802" s="1607"/>
      <c r="AL802" s="1607"/>
      <c r="AM802" s="1607"/>
      <c r="AN802" s="1607"/>
      <c r="AO802" s="1607"/>
      <c r="AP802" s="1607"/>
      <c r="AQ802" s="1607"/>
      <c r="AR802" s="1607"/>
      <c r="AS802" s="1607"/>
      <c r="AT802" s="1607"/>
      <c r="AU802" s="1607"/>
      <c r="AV802" s="1607"/>
      <c r="AW802" s="1607"/>
      <c r="AX802" s="1607"/>
      <c r="AY802" s="1607"/>
      <c r="AZ802" s="1607"/>
      <c r="BA802" s="1607"/>
      <c r="BB802" s="1607"/>
      <c r="BC802" s="1607"/>
      <c r="BD802" s="1607"/>
      <c r="BE802" s="1607"/>
      <c r="BF802" s="1607"/>
      <c r="BG802" s="1607"/>
      <c r="BH802" s="1607"/>
      <c r="BI802" s="1607"/>
      <c r="BJ802" s="1607"/>
      <c r="BK802" s="1607"/>
      <c r="BL802" s="1607"/>
    </row>
    <row r="803">
      <c r="A803" s="1607"/>
      <c r="B803" s="1607"/>
      <c r="C803" s="1607"/>
      <c r="D803" s="1607"/>
      <c r="E803" s="1607"/>
      <c r="F803" s="1607"/>
      <c r="G803" s="1607"/>
      <c r="H803" s="1607"/>
      <c r="I803" s="1607"/>
      <c r="J803" s="1607"/>
      <c r="K803" s="1607"/>
      <c r="L803" s="1607"/>
      <c r="M803" s="1607"/>
      <c r="N803" s="1607"/>
      <c r="O803" s="1607"/>
      <c r="P803" s="1607"/>
      <c r="Q803" s="1607"/>
      <c r="R803" s="1607"/>
      <c r="S803" s="1607"/>
      <c r="T803" s="1607"/>
      <c r="U803" s="1607"/>
      <c r="V803" s="1607"/>
      <c r="W803" s="1607"/>
      <c r="X803" s="1607"/>
      <c r="Y803" s="1607"/>
      <c r="Z803" s="1607"/>
      <c r="AA803" s="1607"/>
      <c r="AB803" s="1607"/>
      <c r="AC803" s="1607"/>
      <c r="AD803" s="1607"/>
      <c r="AE803" s="1607"/>
      <c r="AF803" s="1607"/>
      <c r="AG803" s="1607"/>
      <c r="AH803" s="1607"/>
      <c r="AI803" s="1607"/>
      <c r="AJ803" s="1607"/>
      <c r="AK803" s="1607"/>
      <c r="AL803" s="1607"/>
      <c r="AM803" s="1607"/>
      <c r="AN803" s="1607"/>
      <c r="AO803" s="1607"/>
      <c r="AP803" s="1607"/>
      <c r="AQ803" s="1607"/>
      <c r="AR803" s="1607"/>
      <c r="AS803" s="1607"/>
      <c r="AT803" s="1607"/>
      <c r="AU803" s="1607"/>
      <c r="AV803" s="1607"/>
      <c r="AW803" s="1607"/>
      <c r="AX803" s="1607"/>
      <c r="AY803" s="1607"/>
      <c r="AZ803" s="1607"/>
      <c r="BA803" s="1607"/>
      <c r="BB803" s="1607"/>
      <c r="BC803" s="1607"/>
      <c r="BD803" s="1607"/>
      <c r="BE803" s="1607"/>
      <c r="BF803" s="1607"/>
      <c r="BG803" s="1607"/>
      <c r="BH803" s="1607"/>
      <c r="BI803" s="1607"/>
      <c r="BJ803" s="1607"/>
      <c r="BK803" s="1607"/>
      <c r="BL803" s="1607"/>
    </row>
    <row r="804">
      <c r="A804" s="1607"/>
      <c r="B804" s="1607"/>
      <c r="C804" s="1607"/>
      <c r="D804" s="1607"/>
      <c r="E804" s="1607"/>
      <c r="F804" s="1607"/>
      <c r="G804" s="1607"/>
      <c r="H804" s="1607"/>
      <c r="I804" s="1607"/>
      <c r="J804" s="1607"/>
      <c r="K804" s="1607"/>
      <c r="L804" s="1607"/>
      <c r="M804" s="1607"/>
      <c r="N804" s="1607"/>
      <c r="O804" s="1607"/>
      <c r="P804" s="1607"/>
      <c r="Q804" s="1607"/>
      <c r="R804" s="1607"/>
      <c r="S804" s="1607"/>
      <c r="T804" s="1607"/>
      <c r="U804" s="1607"/>
      <c r="V804" s="1607"/>
      <c r="W804" s="1607"/>
      <c r="X804" s="1607"/>
      <c r="Y804" s="1607"/>
      <c r="Z804" s="1607"/>
      <c r="AA804" s="1607"/>
      <c r="AB804" s="1607"/>
      <c r="AC804" s="1607"/>
      <c r="AD804" s="1607"/>
      <c r="AE804" s="1607"/>
      <c r="AF804" s="1607"/>
      <c r="AG804" s="1607"/>
      <c r="AH804" s="1607"/>
      <c r="AI804" s="1607"/>
      <c r="AJ804" s="1607"/>
      <c r="AK804" s="1607"/>
      <c r="AL804" s="1607"/>
      <c r="AM804" s="1607"/>
      <c r="AN804" s="1607"/>
      <c r="AO804" s="1607"/>
      <c r="AP804" s="1607"/>
      <c r="AQ804" s="1607"/>
      <c r="AR804" s="1607"/>
      <c r="AS804" s="1607"/>
      <c r="AT804" s="1607"/>
      <c r="AU804" s="1607"/>
      <c r="AV804" s="1607"/>
      <c r="AW804" s="1607"/>
      <c r="AX804" s="1607"/>
      <c r="AY804" s="1607"/>
      <c r="AZ804" s="1607"/>
      <c r="BA804" s="1607"/>
      <c r="BB804" s="1607"/>
      <c r="BC804" s="1607"/>
      <c r="BD804" s="1607"/>
      <c r="BE804" s="1607"/>
      <c r="BF804" s="1607"/>
      <c r="BG804" s="1607"/>
      <c r="BH804" s="1607"/>
      <c r="BI804" s="1607"/>
      <c r="BJ804" s="1607"/>
      <c r="BK804" s="1607"/>
      <c r="BL804" s="1607"/>
    </row>
    <row r="805">
      <c r="A805" s="1607"/>
      <c r="B805" s="1607"/>
      <c r="C805" s="1607"/>
      <c r="D805" s="1607"/>
      <c r="E805" s="1607"/>
      <c r="F805" s="1607"/>
      <c r="G805" s="1607"/>
      <c r="H805" s="1607"/>
      <c r="I805" s="1607"/>
      <c r="J805" s="1607"/>
      <c r="K805" s="1607"/>
      <c r="L805" s="1607"/>
      <c r="M805" s="1607"/>
      <c r="N805" s="1607"/>
      <c r="O805" s="1607"/>
      <c r="P805" s="1607"/>
      <c r="Q805" s="1607"/>
      <c r="R805" s="1607"/>
      <c r="S805" s="1607"/>
      <c r="T805" s="1607"/>
      <c r="U805" s="1607"/>
      <c r="V805" s="1607"/>
      <c r="W805" s="1607"/>
      <c r="X805" s="1607"/>
      <c r="Y805" s="1607"/>
      <c r="Z805" s="1607"/>
      <c r="AA805" s="1607"/>
      <c r="AB805" s="1607"/>
      <c r="AC805" s="1607"/>
      <c r="AD805" s="1607"/>
      <c r="AE805" s="1607"/>
      <c r="AF805" s="1607"/>
      <c r="AG805" s="1607"/>
      <c r="AH805" s="1607"/>
      <c r="AI805" s="1607"/>
      <c r="AJ805" s="1607"/>
      <c r="AK805" s="1607"/>
      <c r="AL805" s="1607"/>
      <c r="AM805" s="1607"/>
      <c r="AN805" s="1607"/>
      <c r="AO805" s="1607"/>
      <c r="AP805" s="1607"/>
      <c r="AQ805" s="1607"/>
      <c r="AR805" s="1607"/>
      <c r="AS805" s="1607"/>
      <c r="AT805" s="1607"/>
      <c r="AU805" s="1607"/>
      <c r="AV805" s="1607"/>
      <c r="AW805" s="1607"/>
      <c r="AX805" s="1607"/>
      <c r="AY805" s="1607"/>
      <c r="AZ805" s="1607"/>
      <c r="BA805" s="1607"/>
      <c r="BB805" s="1607"/>
      <c r="BC805" s="1607"/>
      <c r="BD805" s="1607"/>
      <c r="BE805" s="1607"/>
      <c r="BF805" s="1607"/>
      <c r="BG805" s="1607"/>
      <c r="BH805" s="1607"/>
      <c r="BI805" s="1607"/>
      <c r="BJ805" s="1607"/>
      <c r="BK805" s="1607"/>
      <c r="BL805" s="1607"/>
    </row>
    <row r="806">
      <c r="A806" s="1607"/>
      <c r="B806" s="1607"/>
      <c r="C806" s="1607"/>
      <c r="D806" s="1607"/>
      <c r="E806" s="1607"/>
      <c r="F806" s="1607"/>
      <c r="G806" s="1607"/>
      <c r="H806" s="1607"/>
      <c r="I806" s="1607"/>
      <c r="J806" s="1607"/>
      <c r="K806" s="1607"/>
      <c r="L806" s="1607"/>
      <c r="M806" s="1607"/>
      <c r="N806" s="1607"/>
      <c r="O806" s="1607"/>
      <c r="P806" s="1607"/>
      <c r="Q806" s="1607"/>
      <c r="R806" s="1607"/>
      <c r="S806" s="1607"/>
      <c r="T806" s="1607"/>
      <c r="U806" s="1607"/>
      <c r="V806" s="1607"/>
      <c r="W806" s="1607"/>
      <c r="X806" s="1607"/>
      <c r="Y806" s="1607"/>
      <c r="Z806" s="1607"/>
      <c r="AA806" s="1607"/>
      <c r="AB806" s="1607"/>
      <c r="AC806" s="1607"/>
      <c r="AD806" s="1607"/>
      <c r="AE806" s="1607"/>
      <c r="AF806" s="1607"/>
      <c r="AG806" s="1607"/>
      <c r="AH806" s="1607"/>
      <c r="AI806" s="1607"/>
      <c r="AJ806" s="1607"/>
      <c r="AK806" s="1607"/>
      <c r="AL806" s="1607"/>
      <c r="AM806" s="1607"/>
      <c r="AN806" s="1607"/>
      <c r="AO806" s="1607"/>
      <c r="AP806" s="1607"/>
      <c r="AQ806" s="1607"/>
      <c r="AR806" s="1607"/>
      <c r="AS806" s="1607"/>
      <c r="AT806" s="1607"/>
      <c r="AU806" s="1607"/>
      <c r="AV806" s="1607"/>
      <c r="AW806" s="1607"/>
      <c r="AX806" s="1607"/>
      <c r="AY806" s="1607"/>
      <c r="AZ806" s="1607"/>
      <c r="BA806" s="1607"/>
      <c r="BB806" s="1607"/>
      <c r="BC806" s="1607"/>
      <c r="BD806" s="1607"/>
      <c r="BE806" s="1607"/>
      <c r="BF806" s="1607"/>
      <c r="BG806" s="1607"/>
      <c r="BH806" s="1607"/>
      <c r="BI806" s="1607"/>
      <c r="BJ806" s="1607"/>
      <c r="BK806" s="1607"/>
      <c r="BL806" s="1607"/>
    </row>
    <row r="807">
      <c r="A807" s="1607"/>
      <c r="B807" s="1607"/>
      <c r="C807" s="1607"/>
      <c r="D807" s="1607"/>
      <c r="E807" s="1607"/>
      <c r="F807" s="1607"/>
      <c r="G807" s="1607"/>
      <c r="H807" s="1607"/>
      <c r="I807" s="1607"/>
      <c r="J807" s="1607"/>
      <c r="K807" s="1607"/>
      <c r="L807" s="1607"/>
      <c r="M807" s="1607"/>
      <c r="N807" s="1607"/>
      <c r="O807" s="1607"/>
      <c r="P807" s="1607"/>
      <c r="Q807" s="1607"/>
      <c r="R807" s="1607"/>
      <c r="S807" s="1607"/>
      <c r="T807" s="1607"/>
      <c r="U807" s="1607"/>
      <c r="V807" s="1607"/>
      <c r="W807" s="1607"/>
      <c r="X807" s="1607"/>
      <c r="Y807" s="1607"/>
      <c r="Z807" s="1607"/>
      <c r="AA807" s="1607"/>
      <c r="AB807" s="1607"/>
      <c r="AC807" s="1607"/>
      <c r="AD807" s="1607"/>
      <c r="AE807" s="1607"/>
      <c r="AF807" s="1607"/>
      <c r="AG807" s="1607"/>
      <c r="AH807" s="1607"/>
      <c r="AI807" s="1607"/>
      <c r="AJ807" s="1607"/>
      <c r="AK807" s="1607"/>
      <c r="AL807" s="1607"/>
      <c r="AM807" s="1607"/>
      <c r="AN807" s="1607"/>
      <c r="AO807" s="1607"/>
      <c r="AP807" s="1607"/>
      <c r="AQ807" s="1607"/>
      <c r="AR807" s="1607"/>
      <c r="AS807" s="1607"/>
      <c r="AT807" s="1607"/>
      <c r="AU807" s="1607"/>
      <c r="AV807" s="1607"/>
      <c r="AW807" s="1607"/>
      <c r="AX807" s="1607"/>
      <c r="AY807" s="1607"/>
      <c r="AZ807" s="1607"/>
      <c r="BA807" s="1607"/>
      <c r="BB807" s="1607"/>
      <c r="BC807" s="1607"/>
      <c r="BD807" s="1607"/>
      <c r="BE807" s="1607"/>
      <c r="BF807" s="1607"/>
      <c r="BG807" s="1607"/>
      <c r="BH807" s="1607"/>
      <c r="BI807" s="1607"/>
      <c r="BJ807" s="1607"/>
      <c r="BK807" s="1607"/>
      <c r="BL807" s="1607"/>
    </row>
    <row r="808">
      <c r="A808" s="1607"/>
      <c r="B808" s="1607"/>
      <c r="C808" s="1607"/>
      <c r="D808" s="1607"/>
      <c r="E808" s="1607"/>
      <c r="F808" s="1607"/>
      <c r="G808" s="1607"/>
      <c r="H808" s="1607"/>
      <c r="I808" s="1607"/>
      <c r="J808" s="1607"/>
      <c r="K808" s="1607"/>
      <c r="L808" s="1607"/>
      <c r="M808" s="1607"/>
      <c r="N808" s="1607"/>
      <c r="O808" s="1607"/>
      <c r="P808" s="1607"/>
      <c r="Q808" s="1607"/>
      <c r="R808" s="1607"/>
      <c r="S808" s="1607"/>
      <c r="T808" s="1607"/>
      <c r="U808" s="1607"/>
      <c r="V808" s="1607"/>
      <c r="W808" s="1607"/>
      <c r="X808" s="1607"/>
      <c r="Y808" s="1607"/>
      <c r="Z808" s="1607"/>
      <c r="AA808" s="1607"/>
      <c r="AB808" s="1607"/>
      <c r="AC808" s="1607"/>
      <c r="AD808" s="1607"/>
      <c r="AE808" s="1607"/>
      <c r="AF808" s="1607"/>
      <c r="AG808" s="1607"/>
      <c r="AH808" s="1607"/>
      <c r="AI808" s="1607"/>
      <c r="AJ808" s="1607"/>
      <c r="AK808" s="1607"/>
      <c r="AL808" s="1607"/>
      <c r="AM808" s="1607"/>
      <c r="AN808" s="1607"/>
      <c r="AO808" s="1607"/>
      <c r="AP808" s="1607"/>
      <c r="AQ808" s="1607"/>
      <c r="AR808" s="1607"/>
      <c r="AS808" s="1607"/>
      <c r="AT808" s="1607"/>
      <c r="AU808" s="1607"/>
      <c r="AV808" s="1607"/>
      <c r="AW808" s="1607"/>
      <c r="AX808" s="1607"/>
      <c r="AY808" s="1607"/>
      <c r="AZ808" s="1607"/>
      <c r="BA808" s="1607"/>
      <c r="BB808" s="1607"/>
      <c r="BC808" s="1607"/>
      <c r="BD808" s="1607"/>
      <c r="BE808" s="1607"/>
      <c r="BF808" s="1607"/>
      <c r="BG808" s="1607"/>
      <c r="BH808" s="1607"/>
      <c r="BI808" s="1607"/>
      <c r="BJ808" s="1607"/>
      <c r="BK808" s="1607"/>
      <c r="BL808" s="1607"/>
    </row>
    <row r="809">
      <c r="A809" s="1607"/>
      <c r="B809" s="1607"/>
      <c r="C809" s="1607"/>
      <c r="D809" s="1607"/>
      <c r="E809" s="1607"/>
      <c r="F809" s="1607"/>
      <c r="G809" s="1607"/>
      <c r="H809" s="1607"/>
      <c r="I809" s="1607"/>
      <c r="J809" s="1607"/>
      <c r="K809" s="1607"/>
      <c r="L809" s="1607"/>
      <c r="M809" s="1607"/>
      <c r="N809" s="1607"/>
      <c r="O809" s="1607"/>
      <c r="P809" s="1607"/>
      <c r="Q809" s="1607"/>
      <c r="R809" s="1607"/>
      <c r="S809" s="1607"/>
      <c r="T809" s="1607"/>
      <c r="U809" s="1607"/>
      <c r="V809" s="1607"/>
      <c r="W809" s="1607"/>
      <c r="X809" s="1607"/>
      <c r="Y809" s="1607"/>
      <c r="Z809" s="1607"/>
      <c r="AA809" s="1607"/>
      <c r="AB809" s="1607"/>
      <c r="AC809" s="1607"/>
      <c r="AD809" s="1607"/>
      <c r="AE809" s="1607"/>
      <c r="AF809" s="1607"/>
      <c r="AG809" s="1607"/>
      <c r="AH809" s="1607"/>
      <c r="AI809" s="1607"/>
      <c r="AJ809" s="1607"/>
      <c r="AK809" s="1607"/>
      <c r="AL809" s="1607"/>
      <c r="AM809" s="1607"/>
      <c r="AN809" s="1607"/>
      <c r="AO809" s="1607"/>
      <c r="AP809" s="1607"/>
      <c r="AQ809" s="1607"/>
      <c r="AR809" s="1607"/>
      <c r="AS809" s="1607"/>
      <c r="AT809" s="1607"/>
      <c r="AU809" s="1607"/>
      <c r="AV809" s="1607"/>
      <c r="AW809" s="1607"/>
      <c r="AX809" s="1607"/>
      <c r="AY809" s="1607"/>
      <c r="AZ809" s="1607"/>
      <c r="BA809" s="1607"/>
      <c r="BB809" s="1607"/>
      <c r="BC809" s="1607"/>
      <c r="BD809" s="1607"/>
      <c r="BE809" s="1607"/>
      <c r="BF809" s="1607"/>
      <c r="BG809" s="1607"/>
      <c r="BH809" s="1607"/>
      <c r="BI809" s="1607"/>
      <c r="BJ809" s="1607"/>
      <c r="BK809" s="1607"/>
      <c r="BL809" s="1607"/>
    </row>
    <row r="810">
      <c r="A810" s="1607"/>
      <c r="B810" s="1607"/>
      <c r="C810" s="1607"/>
      <c r="D810" s="1607"/>
      <c r="E810" s="1607"/>
      <c r="F810" s="1607"/>
      <c r="G810" s="1607"/>
      <c r="H810" s="1607"/>
      <c r="I810" s="1607"/>
      <c r="J810" s="1607"/>
      <c r="K810" s="1607"/>
      <c r="L810" s="1607"/>
      <c r="M810" s="1607"/>
      <c r="N810" s="1607"/>
      <c r="O810" s="1607"/>
      <c r="P810" s="1607"/>
      <c r="Q810" s="1607"/>
      <c r="R810" s="1607"/>
      <c r="S810" s="1607"/>
      <c r="T810" s="1607"/>
      <c r="U810" s="1607"/>
      <c r="V810" s="1607"/>
      <c r="W810" s="1607"/>
      <c r="X810" s="1607"/>
      <c r="Y810" s="1607"/>
      <c r="Z810" s="1607"/>
      <c r="AA810" s="1607"/>
      <c r="AB810" s="1607"/>
      <c r="AC810" s="1607"/>
      <c r="AD810" s="1607"/>
      <c r="AE810" s="1607"/>
      <c r="AF810" s="1607"/>
      <c r="AG810" s="1607"/>
      <c r="AH810" s="1607"/>
      <c r="AI810" s="1607"/>
      <c r="AJ810" s="1607"/>
      <c r="AK810" s="1607"/>
      <c r="AL810" s="1607"/>
      <c r="AM810" s="1607"/>
      <c r="AN810" s="1607"/>
      <c r="AO810" s="1607"/>
      <c r="AP810" s="1607"/>
      <c r="AQ810" s="1607"/>
      <c r="AR810" s="1607"/>
      <c r="AS810" s="1607"/>
      <c r="AT810" s="1607"/>
      <c r="AU810" s="1607"/>
      <c r="AV810" s="1607"/>
      <c r="AW810" s="1607"/>
      <c r="AX810" s="1607"/>
      <c r="AY810" s="1607"/>
      <c r="AZ810" s="1607"/>
      <c r="BA810" s="1607"/>
      <c r="BB810" s="1607"/>
      <c r="BC810" s="1607"/>
      <c r="BD810" s="1607"/>
      <c r="BE810" s="1607"/>
      <c r="BF810" s="1607"/>
      <c r="BG810" s="1607"/>
      <c r="BH810" s="1607"/>
      <c r="BI810" s="1607"/>
      <c r="BJ810" s="1607"/>
      <c r="BK810" s="1607"/>
      <c r="BL810" s="1607"/>
    </row>
    <row r="811">
      <c r="A811" s="1607"/>
      <c r="B811" s="1607"/>
      <c r="C811" s="1607"/>
      <c r="D811" s="1607"/>
      <c r="E811" s="1607"/>
      <c r="F811" s="1607"/>
      <c r="G811" s="1607"/>
      <c r="H811" s="1607"/>
      <c r="I811" s="1607"/>
      <c r="J811" s="1607"/>
      <c r="K811" s="1607"/>
      <c r="L811" s="1607"/>
      <c r="M811" s="1607"/>
      <c r="N811" s="1607"/>
      <c r="O811" s="1607"/>
      <c r="P811" s="1607"/>
      <c r="Q811" s="1607"/>
      <c r="R811" s="1607"/>
      <c r="S811" s="1607"/>
      <c r="T811" s="1607"/>
      <c r="U811" s="1607"/>
      <c r="V811" s="1607"/>
      <c r="W811" s="1607"/>
      <c r="X811" s="1607"/>
      <c r="Y811" s="1607"/>
      <c r="Z811" s="1607"/>
      <c r="AA811" s="1607"/>
      <c r="AB811" s="1607"/>
      <c r="AC811" s="1607"/>
      <c r="AD811" s="1607"/>
      <c r="AE811" s="1607"/>
      <c r="AF811" s="1607"/>
      <c r="AG811" s="1607"/>
      <c r="AH811" s="1607"/>
      <c r="AI811" s="1607"/>
      <c r="AJ811" s="1607"/>
      <c r="AK811" s="1607"/>
      <c r="AL811" s="1607"/>
      <c r="AM811" s="1607"/>
      <c r="AN811" s="1607"/>
      <c r="AO811" s="1607"/>
      <c r="AP811" s="1607"/>
      <c r="AQ811" s="1607"/>
      <c r="AR811" s="1607"/>
      <c r="AS811" s="1607"/>
      <c r="AT811" s="1607"/>
      <c r="AU811" s="1607"/>
      <c r="AV811" s="1607"/>
      <c r="AW811" s="1607"/>
      <c r="AX811" s="1607"/>
      <c r="AY811" s="1607"/>
      <c r="AZ811" s="1607"/>
      <c r="BA811" s="1607"/>
      <c r="BB811" s="1607"/>
      <c r="BC811" s="1607"/>
      <c r="BD811" s="1607"/>
      <c r="BE811" s="1607"/>
      <c r="BF811" s="1607"/>
      <c r="BG811" s="1607"/>
      <c r="BH811" s="1607"/>
      <c r="BI811" s="1607"/>
      <c r="BJ811" s="1607"/>
      <c r="BK811" s="1607"/>
      <c r="BL811" s="1607"/>
    </row>
    <row r="812">
      <c r="A812" s="1607"/>
      <c r="B812" s="1607"/>
      <c r="C812" s="1607"/>
      <c r="D812" s="1607"/>
      <c r="E812" s="1607"/>
      <c r="F812" s="1607"/>
      <c r="G812" s="1607"/>
      <c r="H812" s="1607"/>
      <c r="I812" s="1607"/>
      <c r="J812" s="1607"/>
      <c r="K812" s="1607"/>
      <c r="L812" s="1607"/>
      <c r="M812" s="1607"/>
      <c r="N812" s="1607"/>
      <c r="O812" s="1607"/>
      <c r="P812" s="1607"/>
      <c r="Q812" s="1607"/>
      <c r="R812" s="1607"/>
      <c r="S812" s="1607"/>
      <c r="T812" s="1607"/>
      <c r="U812" s="1607"/>
      <c r="V812" s="1607"/>
      <c r="W812" s="1607"/>
      <c r="X812" s="1607"/>
      <c r="Y812" s="1607"/>
      <c r="Z812" s="1607"/>
      <c r="AA812" s="1607"/>
      <c r="AB812" s="1607"/>
      <c r="AC812" s="1607"/>
      <c r="AD812" s="1607"/>
      <c r="AE812" s="1607"/>
      <c r="AF812" s="1607"/>
      <c r="AG812" s="1607"/>
      <c r="AH812" s="1607"/>
      <c r="AI812" s="1607"/>
      <c r="AJ812" s="1607"/>
      <c r="AK812" s="1607"/>
      <c r="AL812" s="1607"/>
      <c r="AM812" s="1607"/>
      <c r="AN812" s="1607"/>
      <c r="AO812" s="1607"/>
      <c r="AP812" s="1607"/>
      <c r="AQ812" s="1607"/>
      <c r="AR812" s="1607"/>
      <c r="AS812" s="1607"/>
      <c r="AT812" s="1607"/>
      <c r="AU812" s="1607"/>
      <c r="AV812" s="1607"/>
      <c r="AW812" s="1607"/>
      <c r="AX812" s="1607"/>
      <c r="AY812" s="1607"/>
      <c r="AZ812" s="1607"/>
      <c r="BA812" s="1607"/>
      <c r="BB812" s="1607"/>
      <c r="BC812" s="1607"/>
      <c r="BD812" s="1607"/>
      <c r="BE812" s="1607"/>
      <c r="BF812" s="1607"/>
      <c r="BG812" s="1607"/>
      <c r="BH812" s="1607"/>
      <c r="BI812" s="1607"/>
      <c r="BJ812" s="1607"/>
      <c r="BK812" s="1607"/>
      <c r="BL812" s="1607"/>
    </row>
    <row r="813">
      <c r="A813" s="1607"/>
      <c r="B813" s="1607"/>
      <c r="C813" s="1607"/>
      <c r="D813" s="1607"/>
      <c r="E813" s="1607"/>
      <c r="F813" s="1607"/>
      <c r="G813" s="1607"/>
      <c r="H813" s="1607"/>
      <c r="I813" s="1607"/>
      <c r="J813" s="1607"/>
      <c r="K813" s="1607"/>
      <c r="L813" s="1607"/>
      <c r="M813" s="1607"/>
      <c r="N813" s="1607"/>
      <c r="O813" s="1607"/>
      <c r="P813" s="1607"/>
      <c r="Q813" s="1607"/>
      <c r="R813" s="1607"/>
      <c r="S813" s="1607"/>
      <c r="T813" s="1607"/>
      <c r="U813" s="1607"/>
      <c r="V813" s="1607"/>
      <c r="W813" s="1607"/>
      <c r="X813" s="1607"/>
      <c r="Y813" s="1607"/>
      <c r="Z813" s="1607"/>
      <c r="AA813" s="1607"/>
      <c r="AB813" s="1607"/>
      <c r="AC813" s="1607"/>
      <c r="AD813" s="1607"/>
      <c r="AE813" s="1607"/>
      <c r="AF813" s="1607"/>
      <c r="AG813" s="1607"/>
      <c r="AH813" s="1607"/>
      <c r="AI813" s="1607"/>
      <c r="AJ813" s="1607"/>
      <c r="AK813" s="1607"/>
      <c r="AL813" s="1607"/>
      <c r="AM813" s="1607"/>
      <c r="AN813" s="1607"/>
      <c r="AO813" s="1607"/>
      <c r="AP813" s="1607"/>
      <c r="AQ813" s="1607"/>
      <c r="AR813" s="1607"/>
      <c r="AS813" s="1607"/>
      <c r="AT813" s="1607"/>
      <c r="AU813" s="1607"/>
      <c r="AV813" s="1607"/>
      <c r="AW813" s="1607"/>
      <c r="AX813" s="1607"/>
      <c r="AY813" s="1607"/>
      <c r="AZ813" s="1607"/>
      <c r="BA813" s="1607"/>
      <c r="BB813" s="1607"/>
      <c r="BC813" s="1607"/>
      <c r="BD813" s="1607"/>
      <c r="BE813" s="1607"/>
      <c r="BF813" s="1607"/>
      <c r="BG813" s="1607"/>
      <c r="BH813" s="1607"/>
      <c r="BI813" s="1607"/>
      <c r="BJ813" s="1607"/>
      <c r="BK813" s="1607"/>
      <c r="BL813" s="1607"/>
    </row>
    <row r="814">
      <c r="A814" s="1607"/>
      <c r="B814" s="1607"/>
      <c r="C814" s="1607"/>
      <c r="D814" s="1607"/>
      <c r="E814" s="1607"/>
      <c r="F814" s="1607"/>
      <c r="G814" s="1607"/>
      <c r="H814" s="1607"/>
      <c r="I814" s="1607"/>
      <c r="J814" s="1607"/>
      <c r="K814" s="1607"/>
      <c r="L814" s="1607"/>
      <c r="M814" s="1607"/>
      <c r="N814" s="1607"/>
      <c r="O814" s="1607"/>
      <c r="P814" s="1607"/>
      <c r="Q814" s="1607"/>
      <c r="R814" s="1607"/>
      <c r="S814" s="1607"/>
      <c r="T814" s="1607"/>
      <c r="U814" s="1607"/>
      <c r="V814" s="1607"/>
      <c r="W814" s="1607"/>
      <c r="X814" s="1607"/>
      <c r="Y814" s="1607"/>
      <c r="Z814" s="1607"/>
      <c r="AA814" s="1607"/>
      <c r="AB814" s="1607"/>
      <c r="AC814" s="1607"/>
      <c r="AD814" s="1607"/>
      <c r="AE814" s="1607"/>
      <c r="AF814" s="1607"/>
      <c r="AG814" s="1607"/>
      <c r="AH814" s="1607"/>
      <c r="AI814" s="1607"/>
      <c r="AJ814" s="1607"/>
      <c r="AK814" s="1607"/>
      <c r="AL814" s="1607"/>
      <c r="AM814" s="1607"/>
      <c r="AN814" s="1607"/>
      <c r="AO814" s="1607"/>
      <c r="AP814" s="1607"/>
      <c r="AQ814" s="1607"/>
      <c r="AR814" s="1607"/>
      <c r="AS814" s="1607"/>
      <c r="AT814" s="1607"/>
      <c r="AU814" s="1607"/>
      <c r="AV814" s="1607"/>
      <c r="AW814" s="1607"/>
      <c r="AX814" s="1607"/>
      <c r="AY814" s="1607"/>
      <c r="AZ814" s="1607"/>
      <c r="BA814" s="1607"/>
      <c r="BB814" s="1607"/>
      <c r="BC814" s="1607"/>
      <c r="BD814" s="1607"/>
      <c r="BE814" s="1607"/>
      <c r="BF814" s="1607"/>
      <c r="BG814" s="1607"/>
      <c r="BH814" s="1607"/>
      <c r="BI814" s="1607"/>
      <c r="BJ814" s="1607"/>
      <c r="BK814" s="1607"/>
      <c r="BL814" s="1607"/>
    </row>
    <row r="815">
      <c r="A815" s="1607"/>
      <c r="B815" s="1607"/>
      <c r="C815" s="1607"/>
      <c r="D815" s="1607"/>
      <c r="E815" s="1607"/>
      <c r="F815" s="1607"/>
      <c r="G815" s="1607"/>
      <c r="H815" s="1607"/>
      <c r="I815" s="1607"/>
      <c r="J815" s="1607"/>
      <c r="K815" s="1607"/>
      <c r="L815" s="1607"/>
      <c r="M815" s="1607"/>
      <c r="N815" s="1607"/>
      <c r="O815" s="1607"/>
      <c r="P815" s="1607"/>
      <c r="Q815" s="1607"/>
      <c r="R815" s="1607"/>
      <c r="S815" s="1607"/>
      <c r="T815" s="1607"/>
      <c r="U815" s="1607"/>
      <c r="V815" s="1607"/>
      <c r="W815" s="1607"/>
      <c r="X815" s="1607"/>
      <c r="Y815" s="1607"/>
      <c r="Z815" s="1607"/>
      <c r="AA815" s="1607"/>
      <c r="AB815" s="1607"/>
      <c r="AC815" s="1607"/>
      <c r="AD815" s="1607"/>
      <c r="AE815" s="1607"/>
      <c r="AF815" s="1607"/>
      <c r="AG815" s="1607"/>
      <c r="AH815" s="1607"/>
      <c r="AI815" s="1607"/>
      <c r="AJ815" s="1607"/>
      <c r="AK815" s="1607"/>
      <c r="AL815" s="1607"/>
      <c r="AM815" s="1607"/>
      <c r="AN815" s="1607"/>
      <c r="AO815" s="1607"/>
      <c r="AP815" s="1607"/>
      <c r="AQ815" s="1607"/>
      <c r="AR815" s="1607"/>
      <c r="AS815" s="1607"/>
      <c r="AT815" s="1607"/>
      <c r="AU815" s="1607"/>
      <c r="AV815" s="1607"/>
      <c r="AW815" s="1607"/>
      <c r="AX815" s="1607"/>
      <c r="AY815" s="1607"/>
      <c r="AZ815" s="1607"/>
      <c r="BA815" s="1607"/>
      <c r="BB815" s="1607"/>
      <c r="BC815" s="1607"/>
      <c r="BD815" s="1607"/>
      <c r="BE815" s="1607"/>
      <c r="BF815" s="1607"/>
      <c r="BG815" s="1607"/>
      <c r="BH815" s="1607"/>
      <c r="BI815" s="1607"/>
      <c r="BJ815" s="1607"/>
      <c r="BK815" s="1607"/>
      <c r="BL815" s="1607"/>
    </row>
    <row r="816">
      <c r="A816" s="1607"/>
      <c r="B816" s="1607"/>
      <c r="C816" s="1607"/>
      <c r="D816" s="1607"/>
      <c r="E816" s="1607"/>
      <c r="F816" s="1607"/>
      <c r="G816" s="1607"/>
      <c r="H816" s="1607"/>
      <c r="I816" s="1607"/>
      <c r="J816" s="1607"/>
      <c r="K816" s="1607"/>
      <c r="L816" s="1607"/>
      <c r="M816" s="1607"/>
      <c r="N816" s="1607"/>
      <c r="O816" s="1607"/>
      <c r="P816" s="1607"/>
      <c r="Q816" s="1607"/>
      <c r="R816" s="1607"/>
      <c r="S816" s="1607"/>
      <c r="T816" s="1607"/>
      <c r="U816" s="1607"/>
      <c r="V816" s="1607"/>
      <c r="W816" s="1607"/>
      <c r="X816" s="1607"/>
      <c r="Y816" s="1607"/>
      <c r="Z816" s="1607"/>
      <c r="AA816" s="1607"/>
      <c r="AB816" s="1607"/>
      <c r="AC816" s="1607"/>
      <c r="AD816" s="1607"/>
      <c r="AE816" s="1607"/>
      <c r="AF816" s="1607"/>
      <c r="AG816" s="1607"/>
      <c r="AH816" s="1607"/>
      <c r="AI816" s="1607"/>
      <c r="AJ816" s="1607"/>
      <c r="AK816" s="1607"/>
      <c r="AL816" s="1607"/>
      <c r="AM816" s="1607"/>
      <c r="AN816" s="1607"/>
      <c r="AO816" s="1607"/>
      <c r="AP816" s="1607"/>
      <c r="AQ816" s="1607"/>
      <c r="AR816" s="1607"/>
      <c r="AS816" s="1607"/>
      <c r="AT816" s="1607"/>
      <c r="AU816" s="1607"/>
      <c r="AV816" s="1607"/>
      <c r="AW816" s="1607"/>
      <c r="AX816" s="1607"/>
      <c r="AY816" s="1607"/>
      <c r="AZ816" s="1607"/>
      <c r="BA816" s="1607"/>
      <c r="BB816" s="1607"/>
      <c r="BC816" s="1607"/>
      <c r="BD816" s="1607"/>
      <c r="BE816" s="1607"/>
      <c r="BF816" s="1607"/>
      <c r="BG816" s="1607"/>
      <c r="BH816" s="1607"/>
      <c r="BI816" s="1607"/>
      <c r="BJ816" s="1607"/>
      <c r="BK816" s="1607"/>
      <c r="BL816" s="1607"/>
    </row>
    <row r="817">
      <c r="A817" s="1607"/>
      <c r="B817" s="1607"/>
      <c r="C817" s="1607"/>
      <c r="D817" s="1607"/>
      <c r="E817" s="1607"/>
      <c r="F817" s="1607"/>
      <c r="G817" s="1607"/>
      <c r="H817" s="1607"/>
      <c r="I817" s="1607"/>
      <c r="J817" s="1607"/>
      <c r="K817" s="1607"/>
      <c r="L817" s="1607"/>
      <c r="M817" s="1607"/>
      <c r="N817" s="1607"/>
      <c r="O817" s="1607"/>
      <c r="P817" s="1607"/>
      <c r="Q817" s="1607"/>
      <c r="R817" s="1607"/>
      <c r="S817" s="1607"/>
      <c r="T817" s="1607"/>
      <c r="U817" s="1607"/>
      <c r="V817" s="1607"/>
      <c r="W817" s="1607"/>
      <c r="X817" s="1607"/>
      <c r="Y817" s="1607"/>
      <c r="Z817" s="1607"/>
      <c r="AA817" s="1607"/>
      <c r="AB817" s="1607"/>
      <c r="AC817" s="1607"/>
      <c r="AD817" s="1607"/>
      <c r="AE817" s="1607"/>
      <c r="AF817" s="1607"/>
      <c r="AG817" s="1607"/>
      <c r="AH817" s="1607"/>
      <c r="AI817" s="1607"/>
      <c r="AJ817" s="1607"/>
      <c r="AK817" s="1607"/>
      <c r="AL817" s="1607"/>
      <c r="AM817" s="1607"/>
      <c r="AN817" s="1607"/>
      <c r="AO817" s="1607"/>
      <c r="AP817" s="1607"/>
      <c r="AQ817" s="1607"/>
      <c r="AR817" s="1607"/>
      <c r="AS817" s="1607"/>
      <c r="AT817" s="1607"/>
      <c r="AU817" s="1607"/>
      <c r="AV817" s="1607"/>
      <c r="AW817" s="1607"/>
      <c r="AX817" s="1607"/>
      <c r="AY817" s="1607"/>
      <c r="AZ817" s="1607"/>
      <c r="BA817" s="1607"/>
      <c r="BB817" s="1607"/>
      <c r="BC817" s="1607"/>
      <c r="BD817" s="1607"/>
      <c r="BE817" s="1607"/>
      <c r="BF817" s="1607"/>
      <c r="BG817" s="1607"/>
      <c r="BH817" s="1607"/>
      <c r="BI817" s="1607"/>
      <c r="BJ817" s="1607"/>
      <c r="BK817" s="1607"/>
      <c r="BL817" s="1607"/>
    </row>
    <row r="818">
      <c r="A818" s="1607"/>
      <c r="B818" s="1607"/>
      <c r="C818" s="1607"/>
      <c r="D818" s="1607"/>
      <c r="E818" s="1607"/>
      <c r="F818" s="1607"/>
      <c r="G818" s="1607"/>
      <c r="H818" s="1607"/>
      <c r="I818" s="1607"/>
      <c r="J818" s="1607"/>
      <c r="K818" s="1607"/>
      <c r="L818" s="1607"/>
      <c r="M818" s="1607"/>
      <c r="N818" s="1607"/>
      <c r="O818" s="1607"/>
      <c r="P818" s="1607"/>
      <c r="Q818" s="1607"/>
      <c r="R818" s="1607"/>
      <c r="S818" s="1607"/>
      <c r="T818" s="1607"/>
      <c r="U818" s="1607"/>
      <c r="V818" s="1607"/>
      <c r="W818" s="1607"/>
      <c r="X818" s="1607"/>
      <c r="Y818" s="1607"/>
      <c r="Z818" s="1607"/>
      <c r="AA818" s="1607"/>
      <c r="AB818" s="1607"/>
      <c r="AC818" s="1607"/>
      <c r="AD818" s="1607"/>
      <c r="AE818" s="1607"/>
      <c r="AF818" s="1607"/>
      <c r="AG818" s="1607"/>
      <c r="AH818" s="1607"/>
      <c r="AI818" s="1607"/>
      <c r="AJ818" s="1607"/>
      <c r="AK818" s="1607"/>
      <c r="AL818" s="1607"/>
      <c r="AM818" s="1607"/>
      <c r="AN818" s="1607"/>
      <c r="AO818" s="1607"/>
      <c r="AP818" s="1607"/>
      <c r="AQ818" s="1607"/>
      <c r="AR818" s="1607"/>
      <c r="AS818" s="1607"/>
      <c r="AT818" s="1607"/>
      <c r="AU818" s="1607"/>
      <c r="AV818" s="1607"/>
      <c r="AW818" s="1607"/>
      <c r="AX818" s="1607"/>
      <c r="AY818" s="1607"/>
      <c r="AZ818" s="1607"/>
      <c r="BA818" s="1607"/>
      <c r="BB818" s="1607"/>
      <c r="BC818" s="1607"/>
      <c r="BD818" s="1607"/>
      <c r="BE818" s="1607"/>
      <c r="BF818" s="1607"/>
      <c r="BG818" s="1607"/>
      <c r="BH818" s="1607"/>
      <c r="BI818" s="1607"/>
      <c r="BJ818" s="1607"/>
      <c r="BK818" s="1607"/>
      <c r="BL818" s="1607"/>
    </row>
    <row r="819">
      <c r="A819" s="1607"/>
      <c r="B819" s="1607"/>
      <c r="C819" s="1607"/>
      <c r="D819" s="1607"/>
      <c r="E819" s="1607"/>
      <c r="F819" s="1607"/>
      <c r="G819" s="1607"/>
      <c r="H819" s="1607"/>
      <c r="I819" s="1607"/>
      <c r="J819" s="1607"/>
      <c r="K819" s="1607"/>
      <c r="L819" s="1607"/>
      <c r="M819" s="1607"/>
      <c r="N819" s="1607"/>
      <c r="O819" s="1607"/>
      <c r="P819" s="1607"/>
      <c r="Q819" s="1607"/>
      <c r="R819" s="1607"/>
      <c r="S819" s="1607"/>
      <c r="T819" s="1607"/>
      <c r="U819" s="1607"/>
      <c r="V819" s="1607"/>
      <c r="W819" s="1607"/>
      <c r="X819" s="1607"/>
      <c r="Y819" s="1607"/>
      <c r="Z819" s="1607"/>
      <c r="AA819" s="1607"/>
      <c r="AB819" s="1607"/>
      <c r="AC819" s="1607"/>
      <c r="AD819" s="1607"/>
      <c r="AE819" s="1607"/>
      <c r="AF819" s="1607"/>
      <c r="AG819" s="1607"/>
      <c r="AH819" s="1607"/>
      <c r="AI819" s="1607"/>
      <c r="AJ819" s="1607"/>
      <c r="AK819" s="1607"/>
      <c r="AL819" s="1607"/>
      <c r="AM819" s="1607"/>
      <c r="AN819" s="1607"/>
      <c r="AO819" s="1607"/>
      <c r="AP819" s="1607"/>
      <c r="AQ819" s="1607"/>
      <c r="AR819" s="1607"/>
      <c r="AS819" s="1607"/>
      <c r="AT819" s="1607"/>
      <c r="AU819" s="1607"/>
      <c r="AV819" s="1607"/>
      <c r="AW819" s="1607"/>
      <c r="AX819" s="1607"/>
      <c r="AY819" s="1607"/>
      <c r="AZ819" s="1607"/>
      <c r="BA819" s="1607"/>
      <c r="BB819" s="1607"/>
      <c r="BC819" s="1607"/>
      <c r="BD819" s="1607"/>
      <c r="BE819" s="1607"/>
      <c r="BF819" s="1607"/>
      <c r="BG819" s="1607"/>
      <c r="BH819" s="1607"/>
      <c r="BI819" s="1607"/>
      <c r="BJ819" s="1607"/>
      <c r="BK819" s="1607"/>
      <c r="BL819" s="1607"/>
    </row>
    <row r="820">
      <c r="A820" s="1607"/>
      <c r="B820" s="1607"/>
      <c r="C820" s="1607"/>
      <c r="D820" s="1607"/>
      <c r="E820" s="1607"/>
      <c r="F820" s="1607"/>
      <c r="G820" s="1607"/>
      <c r="H820" s="1607"/>
      <c r="I820" s="1607"/>
      <c r="J820" s="1607"/>
      <c r="K820" s="1607"/>
      <c r="L820" s="1607"/>
      <c r="M820" s="1607"/>
      <c r="N820" s="1607"/>
      <c r="O820" s="1607"/>
      <c r="P820" s="1607"/>
      <c r="Q820" s="1607"/>
      <c r="R820" s="1607"/>
      <c r="S820" s="1607"/>
      <c r="T820" s="1607"/>
      <c r="U820" s="1607"/>
      <c r="V820" s="1607"/>
      <c r="W820" s="1607"/>
      <c r="X820" s="1607"/>
      <c r="Y820" s="1607"/>
      <c r="Z820" s="1607"/>
      <c r="AA820" s="1607"/>
      <c r="AB820" s="1607"/>
      <c r="AC820" s="1607"/>
      <c r="AD820" s="1607"/>
      <c r="AE820" s="1607"/>
      <c r="AF820" s="1607"/>
      <c r="AG820" s="1607"/>
      <c r="AH820" s="1607"/>
      <c r="AI820" s="1607"/>
      <c r="AJ820" s="1607"/>
      <c r="AK820" s="1607"/>
      <c r="AL820" s="1607"/>
      <c r="AM820" s="1607"/>
      <c r="AN820" s="1607"/>
      <c r="AO820" s="1607"/>
      <c r="AP820" s="1607"/>
      <c r="AQ820" s="1607"/>
      <c r="AR820" s="1607"/>
      <c r="AS820" s="1607"/>
      <c r="AT820" s="1607"/>
      <c r="AU820" s="1607"/>
      <c r="AV820" s="1607"/>
      <c r="AW820" s="1607"/>
      <c r="AX820" s="1607"/>
      <c r="AY820" s="1607"/>
      <c r="AZ820" s="1607"/>
      <c r="BA820" s="1607"/>
      <c r="BB820" s="1607"/>
      <c r="BC820" s="1607"/>
      <c r="BD820" s="1607"/>
      <c r="BE820" s="1607"/>
      <c r="BF820" s="1607"/>
      <c r="BG820" s="1607"/>
      <c r="BH820" s="1607"/>
      <c r="BI820" s="1607"/>
      <c r="BJ820" s="1607"/>
      <c r="BK820" s="1607"/>
      <c r="BL820" s="1607"/>
    </row>
    <row r="821">
      <c r="A821" s="1607"/>
      <c r="B821" s="1607"/>
      <c r="C821" s="1607"/>
      <c r="D821" s="1607"/>
      <c r="E821" s="1607"/>
      <c r="F821" s="1607"/>
      <c r="G821" s="1607"/>
      <c r="H821" s="1607"/>
      <c r="I821" s="1607"/>
      <c r="J821" s="1607"/>
      <c r="K821" s="1607"/>
      <c r="L821" s="1607"/>
      <c r="M821" s="1607"/>
      <c r="N821" s="1607"/>
      <c r="O821" s="1607"/>
      <c r="P821" s="1607"/>
      <c r="Q821" s="1607"/>
      <c r="R821" s="1607"/>
      <c r="S821" s="1607"/>
      <c r="T821" s="1607"/>
      <c r="U821" s="1607"/>
      <c r="V821" s="1607"/>
      <c r="W821" s="1607"/>
      <c r="X821" s="1607"/>
      <c r="Y821" s="1607"/>
      <c r="Z821" s="1607"/>
      <c r="AA821" s="1607"/>
      <c r="AB821" s="1607"/>
      <c r="AC821" s="1607"/>
      <c r="AD821" s="1607"/>
      <c r="AE821" s="1607"/>
      <c r="AF821" s="1607"/>
      <c r="AG821" s="1607"/>
      <c r="AH821" s="1607"/>
      <c r="AI821" s="1607"/>
      <c r="AJ821" s="1607"/>
      <c r="AK821" s="1607"/>
      <c r="AL821" s="1607"/>
      <c r="AM821" s="1607"/>
      <c r="AN821" s="1607"/>
      <c r="AO821" s="1607"/>
      <c r="AP821" s="1607"/>
      <c r="AQ821" s="1607"/>
      <c r="AR821" s="1607"/>
      <c r="AS821" s="1607"/>
      <c r="AT821" s="1607"/>
      <c r="AU821" s="1607"/>
      <c r="AV821" s="1607"/>
      <c r="AW821" s="1607"/>
      <c r="AX821" s="1607"/>
      <c r="AY821" s="1607"/>
      <c r="AZ821" s="1607"/>
      <c r="BA821" s="1607"/>
      <c r="BB821" s="1607"/>
      <c r="BC821" s="1607"/>
      <c r="BD821" s="1607"/>
      <c r="BE821" s="1607"/>
      <c r="BF821" s="1607"/>
      <c r="BG821" s="1607"/>
      <c r="BH821" s="1607"/>
      <c r="BI821" s="1607"/>
      <c r="BJ821" s="1607"/>
      <c r="BK821" s="1607"/>
      <c r="BL821" s="1607"/>
    </row>
    <row r="822">
      <c r="A822" s="1607"/>
      <c r="B822" s="1607"/>
      <c r="C822" s="1607"/>
      <c r="D822" s="1607"/>
      <c r="E822" s="1607"/>
      <c r="F822" s="1607"/>
      <c r="G822" s="1607"/>
      <c r="H822" s="1607"/>
      <c r="I822" s="1607"/>
      <c r="J822" s="1607"/>
      <c r="K822" s="1607"/>
      <c r="L822" s="1607"/>
      <c r="M822" s="1607"/>
      <c r="N822" s="1607"/>
      <c r="O822" s="1607"/>
      <c r="P822" s="1607"/>
      <c r="Q822" s="1607"/>
      <c r="R822" s="1607"/>
      <c r="S822" s="1607"/>
      <c r="T822" s="1607"/>
      <c r="U822" s="1607"/>
      <c r="V822" s="1607"/>
      <c r="W822" s="1607"/>
      <c r="X822" s="1607"/>
      <c r="Y822" s="1607"/>
      <c r="Z822" s="1607"/>
      <c r="AA822" s="1607"/>
      <c r="AB822" s="1607"/>
      <c r="AC822" s="1607"/>
      <c r="AD822" s="1607"/>
      <c r="AE822" s="1607"/>
      <c r="AF822" s="1607"/>
      <c r="AG822" s="1607"/>
      <c r="AH822" s="1607"/>
      <c r="AI822" s="1607"/>
      <c r="AJ822" s="1607"/>
      <c r="AK822" s="1607"/>
      <c r="AL822" s="1607"/>
      <c r="AM822" s="1607"/>
      <c r="AN822" s="1607"/>
      <c r="AO822" s="1607"/>
      <c r="AP822" s="1607"/>
      <c r="AQ822" s="1607"/>
      <c r="AR822" s="1607"/>
      <c r="AS822" s="1607"/>
      <c r="AT822" s="1607"/>
      <c r="AU822" s="1607"/>
      <c r="AV822" s="1607"/>
      <c r="AW822" s="1607"/>
      <c r="AX822" s="1607"/>
      <c r="AY822" s="1607"/>
      <c r="AZ822" s="1607"/>
      <c r="BA822" s="1607"/>
      <c r="BB822" s="1607"/>
      <c r="BC822" s="1607"/>
      <c r="BD822" s="1607"/>
      <c r="BE822" s="1607"/>
      <c r="BF822" s="1607"/>
      <c r="BG822" s="1607"/>
      <c r="BH822" s="1607"/>
      <c r="BI822" s="1607"/>
      <c r="BJ822" s="1607"/>
      <c r="BK822" s="1607"/>
      <c r="BL822" s="1607"/>
    </row>
    <row r="823">
      <c r="A823" s="1607"/>
      <c r="B823" s="1607"/>
      <c r="C823" s="1607"/>
      <c r="D823" s="1607"/>
      <c r="E823" s="1607"/>
      <c r="F823" s="1607"/>
      <c r="G823" s="1607"/>
      <c r="H823" s="1607"/>
      <c r="I823" s="1607"/>
      <c r="J823" s="1607"/>
      <c r="K823" s="1607"/>
      <c r="L823" s="1607"/>
      <c r="M823" s="1607"/>
      <c r="N823" s="1607"/>
      <c r="O823" s="1607"/>
      <c r="P823" s="1607"/>
      <c r="Q823" s="1607"/>
      <c r="R823" s="1607"/>
      <c r="S823" s="1607"/>
      <c r="T823" s="1607"/>
      <c r="U823" s="1607"/>
      <c r="V823" s="1607"/>
      <c r="W823" s="1607"/>
      <c r="X823" s="1607"/>
      <c r="Y823" s="1607"/>
      <c r="Z823" s="1607"/>
      <c r="AA823" s="1607"/>
      <c r="AB823" s="1607"/>
      <c r="AC823" s="1607"/>
      <c r="AD823" s="1607"/>
      <c r="AE823" s="1607"/>
      <c r="AF823" s="1607"/>
      <c r="AG823" s="1607"/>
      <c r="AH823" s="1607"/>
      <c r="AI823" s="1607"/>
      <c r="AJ823" s="1607"/>
      <c r="AK823" s="1607"/>
      <c r="AL823" s="1607"/>
      <c r="AM823" s="1607"/>
      <c r="AN823" s="1607"/>
      <c r="AO823" s="1607"/>
      <c r="AP823" s="1607"/>
      <c r="AQ823" s="1607"/>
      <c r="AR823" s="1607"/>
      <c r="AS823" s="1607"/>
      <c r="AT823" s="1607"/>
      <c r="AU823" s="1607"/>
      <c r="AV823" s="1607"/>
      <c r="AW823" s="1607"/>
      <c r="AX823" s="1607"/>
      <c r="AY823" s="1607"/>
      <c r="AZ823" s="1607"/>
      <c r="BA823" s="1607"/>
      <c r="BB823" s="1607"/>
      <c r="BC823" s="1607"/>
      <c r="BD823" s="1607"/>
      <c r="BE823" s="1607"/>
      <c r="BF823" s="1607"/>
      <c r="BG823" s="1607"/>
      <c r="BH823" s="1607"/>
      <c r="BI823" s="1607"/>
      <c r="BJ823" s="1607"/>
      <c r="BK823" s="1607"/>
      <c r="BL823" s="1607"/>
    </row>
    <row r="824">
      <c r="A824" s="1607"/>
      <c r="B824" s="1607"/>
      <c r="C824" s="1607"/>
      <c r="D824" s="1607"/>
      <c r="E824" s="1607"/>
      <c r="F824" s="1607"/>
      <c r="G824" s="1607"/>
      <c r="H824" s="1607"/>
      <c r="I824" s="1607"/>
      <c r="J824" s="1607"/>
      <c r="K824" s="1607"/>
      <c r="L824" s="1607"/>
      <c r="M824" s="1607"/>
      <c r="N824" s="1607"/>
      <c r="O824" s="1607"/>
      <c r="P824" s="1607"/>
      <c r="Q824" s="1607"/>
      <c r="R824" s="1607"/>
      <c r="S824" s="1607"/>
      <c r="T824" s="1607"/>
      <c r="U824" s="1607"/>
      <c r="V824" s="1607"/>
      <c r="W824" s="1607"/>
      <c r="X824" s="1607"/>
      <c r="Y824" s="1607"/>
      <c r="Z824" s="1607"/>
      <c r="AA824" s="1607"/>
      <c r="AB824" s="1607"/>
      <c r="AC824" s="1607"/>
      <c r="AD824" s="1607"/>
      <c r="AE824" s="1607"/>
      <c r="AF824" s="1607"/>
      <c r="AG824" s="1607"/>
      <c r="AH824" s="1607"/>
      <c r="AI824" s="1607"/>
      <c r="AJ824" s="1607"/>
      <c r="AK824" s="1607"/>
      <c r="AL824" s="1607"/>
      <c r="AM824" s="1607"/>
      <c r="AN824" s="1607"/>
      <c r="AO824" s="1607"/>
      <c r="AP824" s="1607"/>
      <c r="AQ824" s="1607"/>
      <c r="AR824" s="1607"/>
      <c r="AS824" s="1607"/>
      <c r="AT824" s="1607"/>
      <c r="AU824" s="1607"/>
      <c r="AV824" s="1607"/>
      <c r="AW824" s="1607"/>
      <c r="AX824" s="1607"/>
      <c r="AY824" s="1607"/>
      <c r="AZ824" s="1607"/>
      <c r="BA824" s="1607"/>
      <c r="BB824" s="1607"/>
      <c r="BC824" s="1607"/>
      <c r="BD824" s="1607"/>
      <c r="BE824" s="1607"/>
      <c r="BF824" s="1607"/>
      <c r="BG824" s="1607"/>
      <c r="BH824" s="1607"/>
      <c r="BI824" s="1607"/>
      <c r="BJ824" s="1607"/>
      <c r="BK824" s="1607"/>
      <c r="BL824" s="1607"/>
    </row>
    <row r="825">
      <c r="A825" s="1607"/>
      <c r="B825" s="1607"/>
      <c r="C825" s="1607"/>
      <c r="D825" s="1607"/>
      <c r="E825" s="1607"/>
      <c r="F825" s="1607"/>
      <c r="G825" s="1607"/>
      <c r="H825" s="1607"/>
      <c r="I825" s="1607"/>
      <c r="J825" s="1607"/>
      <c r="K825" s="1607"/>
      <c r="L825" s="1607"/>
      <c r="M825" s="1607"/>
      <c r="N825" s="1607"/>
      <c r="O825" s="1607"/>
      <c r="P825" s="1607"/>
      <c r="Q825" s="1607"/>
      <c r="R825" s="1607"/>
      <c r="S825" s="1607"/>
      <c r="T825" s="1607"/>
      <c r="U825" s="1607"/>
      <c r="V825" s="1607"/>
      <c r="W825" s="1607"/>
      <c r="X825" s="1607"/>
      <c r="Y825" s="1607"/>
      <c r="Z825" s="1607"/>
      <c r="AA825" s="1607"/>
      <c r="AB825" s="1607"/>
      <c r="AC825" s="1607"/>
      <c r="AD825" s="1607"/>
      <c r="AE825" s="1607"/>
      <c r="AF825" s="1607"/>
      <c r="AG825" s="1607"/>
      <c r="AH825" s="1607"/>
      <c r="AI825" s="1607"/>
      <c r="AJ825" s="1607"/>
      <c r="AK825" s="1607"/>
      <c r="AL825" s="1607"/>
      <c r="AM825" s="1607"/>
      <c r="AN825" s="1607"/>
      <c r="AO825" s="1607"/>
      <c r="AP825" s="1607"/>
      <c r="AQ825" s="1607"/>
      <c r="AR825" s="1607"/>
      <c r="AS825" s="1607"/>
      <c r="AT825" s="1607"/>
      <c r="AU825" s="1607"/>
      <c r="AV825" s="1607"/>
      <c r="AW825" s="1607"/>
      <c r="AX825" s="1607"/>
      <c r="AY825" s="1607"/>
      <c r="AZ825" s="1607"/>
      <c r="BA825" s="1607"/>
      <c r="BB825" s="1607"/>
      <c r="BC825" s="1607"/>
      <c r="BD825" s="1607"/>
      <c r="BE825" s="1607"/>
      <c r="BF825" s="1607"/>
      <c r="BG825" s="1607"/>
      <c r="BH825" s="1607"/>
      <c r="BI825" s="1607"/>
      <c r="BJ825" s="1607"/>
      <c r="BK825" s="1607"/>
      <c r="BL825" s="1607"/>
    </row>
    <row r="826">
      <c r="A826" s="1607"/>
      <c r="B826" s="1607"/>
      <c r="C826" s="1607"/>
      <c r="D826" s="1607"/>
      <c r="E826" s="1607"/>
      <c r="F826" s="1607"/>
      <c r="G826" s="1607"/>
      <c r="H826" s="1607"/>
      <c r="I826" s="1607"/>
      <c r="J826" s="1607"/>
      <c r="K826" s="1607"/>
      <c r="L826" s="1607"/>
      <c r="M826" s="1607"/>
      <c r="N826" s="1607"/>
      <c r="O826" s="1607"/>
      <c r="P826" s="1607"/>
      <c r="Q826" s="1607"/>
      <c r="R826" s="1607"/>
      <c r="S826" s="1607"/>
      <c r="T826" s="1607"/>
      <c r="U826" s="1607"/>
      <c r="V826" s="1607"/>
      <c r="W826" s="1607"/>
      <c r="X826" s="1607"/>
      <c r="Y826" s="1607"/>
      <c r="Z826" s="1607"/>
      <c r="AA826" s="1607"/>
      <c r="AB826" s="1607"/>
      <c r="AC826" s="1607"/>
      <c r="AD826" s="1607"/>
      <c r="AE826" s="1607"/>
      <c r="AF826" s="1607"/>
      <c r="AG826" s="1607"/>
      <c r="AH826" s="1607"/>
      <c r="AI826" s="1607"/>
      <c r="AJ826" s="1607"/>
      <c r="AK826" s="1607"/>
      <c r="AL826" s="1607"/>
      <c r="AM826" s="1607"/>
      <c r="AN826" s="1607"/>
      <c r="AO826" s="1607"/>
      <c r="AP826" s="1607"/>
      <c r="AQ826" s="1607"/>
      <c r="AR826" s="1607"/>
      <c r="AS826" s="1607"/>
      <c r="AT826" s="1607"/>
      <c r="AU826" s="1607"/>
      <c r="AV826" s="1607"/>
      <c r="AW826" s="1607"/>
      <c r="AX826" s="1607"/>
      <c r="AY826" s="1607"/>
      <c r="AZ826" s="1607"/>
      <c r="BA826" s="1607"/>
      <c r="BB826" s="1607"/>
      <c r="BC826" s="1607"/>
      <c r="BD826" s="1607"/>
      <c r="BE826" s="1607"/>
      <c r="BF826" s="1607"/>
      <c r="BG826" s="1607"/>
      <c r="BH826" s="1607"/>
      <c r="BI826" s="1607"/>
      <c r="BJ826" s="1607"/>
      <c r="BK826" s="1607"/>
      <c r="BL826" s="1607"/>
    </row>
    <row r="827">
      <c r="A827" s="1607"/>
      <c r="B827" s="1607"/>
      <c r="C827" s="1607"/>
      <c r="D827" s="1607"/>
      <c r="E827" s="1607"/>
      <c r="F827" s="1607"/>
      <c r="G827" s="1607"/>
      <c r="H827" s="1607"/>
      <c r="I827" s="1607"/>
      <c r="J827" s="1607"/>
      <c r="K827" s="1607"/>
      <c r="L827" s="1607"/>
      <c r="M827" s="1607"/>
      <c r="N827" s="1607"/>
      <c r="O827" s="1607"/>
      <c r="P827" s="1607"/>
      <c r="Q827" s="1607"/>
      <c r="R827" s="1607"/>
      <c r="S827" s="1607"/>
      <c r="T827" s="1607"/>
      <c r="U827" s="1607"/>
      <c r="V827" s="1607"/>
      <c r="W827" s="1607"/>
      <c r="X827" s="1607"/>
      <c r="Y827" s="1607"/>
      <c r="Z827" s="1607"/>
      <c r="AA827" s="1607"/>
      <c r="AB827" s="1607"/>
      <c r="AC827" s="1607"/>
      <c r="AD827" s="1607"/>
      <c r="AE827" s="1607"/>
      <c r="AF827" s="1607"/>
      <c r="AG827" s="1607"/>
      <c r="AH827" s="1607"/>
      <c r="AI827" s="1607"/>
      <c r="AJ827" s="1607"/>
      <c r="AK827" s="1607"/>
      <c r="AL827" s="1607"/>
      <c r="AM827" s="1607"/>
      <c r="AN827" s="1607"/>
      <c r="AO827" s="1607"/>
      <c r="AP827" s="1607"/>
      <c r="AQ827" s="1607"/>
      <c r="AR827" s="1607"/>
      <c r="AS827" s="1607"/>
      <c r="AT827" s="1607"/>
      <c r="AU827" s="1607"/>
      <c r="AV827" s="1607"/>
      <c r="AW827" s="1607"/>
      <c r="AX827" s="1607"/>
      <c r="AY827" s="1607"/>
      <c r="AZ827" s="1607"/>
      <c r="BA827" s="1607"/>
      <c r="BB827" s="1607"/>
      <c r="BC827" s="1607"/>
      <c r="BD827" s="1607"/>
      <c r="BE827" s="1607"/>
      <c r="BF827" s="1607"/>
      <c r="BG827" s="1607"/>
      <c r="BH827" s="1607"/>
      <c r="BI827" s="1607"/>
      <c r="BJ827" s="1607"/>
      <c r="BK827" s="1607"/>
      <c r="BL827" s="1607"/>
    </row>
    <row r="828">
      <c r="A828" s="1607"/>
      <c r="B828" s="1607"/>
      <c r="C828" s="1607"/>
      <c r="D828" s="1607"/>
      <c r="E828" s="1607"/>
      <c r="F828" s="1607"/>
      <c r="G828" s="1607"/>
      <c r="H828" s="1607"/>
      <c r="I828" s="1607"/>
      <c r="J828" s="1607"/>
      <c r="K828" s="1607"/>
      <c r="L828" s="1607"/>
      <c r="M828" s="1607"/>
      <c r="N828" s="1607"/>
      <c r="O828" s="1607"/>
      <c r="P828" s="1607"/>
      <c r="Q828" s="1607"/>
      <c r="R828" s="1607"/>
      <c r="S828" s="1607"/>
      <c r="T828" s="1607"/>
      <c r="U828" s="1607"/>
      <c r="V828" s="1607"/>
      <c r="W828" s="1607"/>
      <c r="X828" s="1607"/>
      <c r="Y828" s="1607"/>
      <c r="Z828" s="1607"/>
      <c r="AA828" s="1607"/>
      <c r="AB828" s="1607"/>
      <c r="AC828" s="1607"/>
      <c r="AD828" s="1607"/>
      <c r="AE828" s="1607"/>
      <c r="AF828" s="1607"/>
      <c r="AG828" s="1607"/>
      <c r="AH828" s="1607"/>
      <c r="AI828" s="1607"/>
      <c r="AJ828" s="1607"/>
      <c r="AK828" s="1607"/>
      <c r="AL828" s="1607"/>
      <c r="AM828" s="1607"/>
      <c r="AN828" s="1607"/>
      <c r="AO828" s="1607"/>
      <c r="AP828" s="1607"/>
      <c r="AQ828" s="1607"/>
      <c r="AR828" s="1607"/>
      <c r="AS828" s="1607"/>
      <c r="AT828" s="1607"/>
      <c r="AU828" s="1607"/>
      <c r="AV828" s="1607"/>
      <c r="AW828" s="1607"/>
      <c r="AX828" s="1607"/>
      <c r="AY828" s="1607"/>
      <c r="AZ828" s="1607"/>
      <c r="BA828" s="1607"/>
      <c r="BB828" s="1607"/>
      <c r="BC828" s="1607"/>
      <c r="BD828" s="1607"/>
      <c r="BE828" s="1607"/>
      <c r="BF828" s="1607"/>
      <c r="BG828" s="1607"/>
      <c r="BH828" s="1607"/>
      <c r="BI828" s="1607"/>
      <c r="BJ828" s="1607"/>
      <c r="BK828" s="1607"/>
      <c r="BL828" s="1607"/>
    </row>
    <row r="829">
      <c r="A829" s="1607"/>
      <c r="B829" s="1607"/>
      <c r="C829" s="1607"/>
      <c r="D829" s="1607"/>
      <c r="E829" s="1607"/>
      <c r="F829" s="1607"/>
      <c r="G829" s="1607"/>
      <c r="H829" s="1607"/>
      <c r="I829" s="1607"/>
      <c r="J829" s="1607"/>
      <c r="K829" s="1607"/>
      <c r="L829" s="1607"/>
      <c r="M829" s="1607"/>
      <c r="N829" s="1607"/>
      <c r="O829" s="1607"/>
      <c r="P829" s="1607"/>
      <c r="Q829" s="1607"/>
      <c r="R829" s="1607"/>
      <c r="S829" s="1607"/>
      <c r="T829" s="1607"/>
      <c r="U829" s="1607"/>
      <c r="V829" s="1607"/>
      <c r="W829" s="1607"/>
      <c r="X829" s="1607"/>
      <c r="Y829" s="1607"/>
      <c r="Z829" s="1607"/>
      <c r="AA829" s="1607"/>
      <c r="AB829" s="1607"/>
      <c r="AC829" s="1607"/>
      <c r="AD829" s="1607"/>
      <c r="AE829" s="1607"/>
      <c r="AF829" s="1607"/>
      <c r="AG829" s="1607"/>
      <c r="AH829" s="1607"/>
      <c r="AI829" s="1607"/>
      <c r="AJ829" s="1607"/>
      <c r="AK829" s="1607"/>
      <c r="AL829" s="1607"/>
      <c r="AM829" s="1607"/>
      <c r="AN829" s="1607"/>
      <c r="AO829" s="1607"/>
      <c r="AP829" s="1607"/>
      <c r="AQ829" s="1607"/>
      <c r="AR829" s="1607"/>
      <c r="AS829" s="1607"/>
      <c r="AT829" s="1607"/>
      <c r="AU829" s="1607"/>
      <c r="AV829" s="1607"/>
      <c r="AW829" s="1607"/>
      <c r="AX829" s="1607"/>
      <c r="AY829" s="1607"/>
      <c r="AZ829" s="1607"/>
      <c r="BA829" s="1607"/>
      <c r="BB829" s="1607"/>
      <c r="BC829" s="1607"/>
      <c r="BD829" s="1607"/>
      <c r="BE829" s="1607"/>
      <c r="BF829" s="1607"/>
      <c r="BG829" s="1607"/>
      <c r="BH829" s="1607"/>
      <c r="BI829" s="1607"/>
      <c r="BJ829" s="1607"/>
      <c r="BK829" s="1607"/>
      <c r="BL829" s="1607"/>
    </row>
    <row r="830">
      <c r="A830" s="1607"/>
      <c r="B830" s="1607"/>
      <c r="C830" s="1607"/>
      <c r="D830" s="1607"/>
      <c r="E830" s="1607"/>
      <c r="F830" s="1607"/>
      <c r="G830" s="1607"/>
      <c r="H830" s="1607"/>
      <c r="I830" s="1607"/>
      <c r="J830" s="1607"/>
      <c r="K830" s="1607"/>
      <c r="L830" s="1607"/>
      <c r="M830" s="1607"/>
      <c r="N830" s="1607"/>
      <c r="O830" s="1607"/>
      <c r="P830" s="1607"/>
      <c r="Q830" s="1607"/>
      <c r="R830" s="1607"/>
      <c r="S830" s="1607"/>
      <c r="T830" s="1607"/>
      <c r="U830" s="1607"/>
      <c r="V830" s="1607"/>
      <c r="W830" s="1607"/>
      <c r="X830" s="1607"/>
      <c r="Y830" s="1607"/>
      <c r="Z830" s="1607"/>
      <c r="AA830" s="1607"/>
      <c r="AB830" s="1607"/>
      <c r="AC830" s="1607"/>
      <c r="AD830" s="1607"/>
      <c r="AE830" s="1607"/>
      <c r="AF830" s="1607"/>
      <c r="AG830" s="1607"/>
      <c r="AH830" s="1607"/>
      <c r="AI830" s="1607"/>
      <c r="AJ830" s="1607"/>
      <c r="AK830" s="1607"/>
      <c r="AL830" s="1607"/>
      <c r="AM830" s="1607"/>
      <c r="AN830" s="1607"/>
      <c r="AO830" s="1607"/>
      <c r="AP830" s="1607"/>
      <c r="AQ830" s="1607"/>
      <c r="AR830" s="1607"/>
      <c r="AS830" s="1607"/>
      <c r="AT830" s="1607"/>
      <c r="AU830" s="1607"/>
      <c r="AV830" s="1607"/>
      <c r="AW830" s="1607"/>
      <c r="AX830" s="1607"/>
      <c r="AY830" s="1607"/>
      <c r="AZ830" s="1607"/>
      <c r="BA830" s="1607"/>
      <c r="BB830" s="1607"/>
      <c r="BC830" s="1607"/>
      <c r="BD830" s="1607"/>
      <c r="BE830" s="1607"/>
      <c r="BF830" s="1607"/>
      <c r="BG830" s="1607"/>
      <c r="BH830" s="1607"/>
      <c r="BI830" s="1607"/>
      <c r="BJ830" s="1607"/>
      <c r="BK830" s="1607"/>
      <c r="BL830" s="1607"/>
    </row>
    <row r="831">
      <c r="A831" s="1607"/>
      <c r="B831" s="1607"/>
      <c r="C831" s="1607"/>
      <c r="D831" s="1607"/>
      <c r="E831" s="1607"/>
      <c r="F831" s="1607"/>
      <c r="G831" s="1607"/>
      <c r="H831" s="1607"/>
      <c r="I831" s="1607"/>
      <c r="J831" s="1607"/>
      <c r="K831" s="1607"/>
      <c r="L831" s="1607"/>
      <c r="M831" s="1607"/>
      <c r="N831" s="1607"/>
      <c r="O831" s="1607"/>
      <c r="P831" s="1607"/>
      <c r="Q831" s="1607"/>
      <c r="R831" s="1607"/>
      <c r="S831" s="1607"/>
      <c r="T831" s="1607"/>
      <c r="U831" s="1607"/>
      <c r="V831" s="1607"/>
      <c r="W831" s="1607"/>
      <c r="X831" s="1607"/>
      <c r="Y831" s="1607"/>
      <c r="Z831" s="1607"/>
      <c r="AA831" s="1607"/>
      <c r="AB831" s="1607"/>
      <c r="AC831" s="1607"/>
      <c r="AD831" s="1607"/>
      <c r="AE831" s="1607"/>
      <c r="AF831" s="1607"/>
      <c r="AG831" s="1607"/>
      <c r="AH831" s="1607"/>
      <c r="AI831" s="1607"/>
      <c r="AJ831" s="1607"/>
      <c r="AK831" s="1607"/>
      <c r="AL831" s="1607"/>
      <c r="AM831" s="1607"/>
      <c r="AN831" s="1607"/>
      <c r="AO831" s="1607"/>
      <c r="AP831" s="1607"/>
      <c r="AQ831" s="1607"/>
      <c r="AR831" s="1607"/>
      <c r="AS831" s="1607"/>
      <c r="AT831" s="1607"/>
      <c r="AU831" s="1607"/>
      <c r="AV831" s="1607"/>
      <c r="AW831" s="1607"/>
      <c r="AX831" s="1607"/>
      <c r="AY831" s="1607"/>
      <c r="AZ831" s="1607"/>
      <c r="BA831" s="1607"/>
      <c r="BB831" s="1607"/>
      <c r="BC831" s="1607"/>
      <c r="BD831" s="1607"/>
      <c r="BE831" s="1607"/>
      <c r="BF831" s="1607"/>
      <c r="BG831" s="1607"/>
      <c r="BH831" s="1607"/>
      <c r="BI831" s="1607"/>
      <c r="BJ831" s="1607"/>
      <c r="BK831" s="1607"/>
      <c r="BL831" s="1607"/>
    </row>
    <row r="832">
      <c r="A832" s="1607"/>
      <c r="B832" s="1607"/>
      <c r="C832" s="1607"/>
      <c r="D832" s="1607"/>
      <c r="E832" s="1607"/>
      <c r="F832" s="1607"/>
      <c r="G832" s="1607"/>
      <c r="H832" s="1607"/>
      <c r="I832" s="1607"/>
      <c r="J832" s="1607"/>
      <c r="K832" s="1607"/>
      <c r="L832" s="1607"/>
      <c r="M832" s="1607"/>
      <c r="N832" s="1607"/>
      <c r="O832" s="1607"/>
      <c r="P832" s="1607"/>
      <c r="Q832" s="1607"/>
      <c r="R832" s="1607"/>
      <c r="S832" s="1607"/>
      <c r="T832" s="1607"/>
      <c r="U832" s="1607"/>
      <c r="V832" s="1607"/>
      <c r="W832" s="1607"/>
      <c r="X832" s="1607"/>
      <c r="Y832" s="1607"/>
      <c r="Z832" s="1607"/>
      <c r="AA832" s="1607"/>
      <c r="AB832" s="1607"/>
      <c r="AC832" s="1607"/>
      <c r="AD832" s="1607"/>
      <c r="AE832" s="1607"/>
      <c r="AF832" s="1607"/>
      <c r="AG832" s="1607"/>
      <c r="AH832" s="1607"/>
      <c r="AI832" s="1607"/>
      <c r="AJ832" s="1607"/>
      <c r="AK832" s="1607"/>
      <c r="AL832" s="1607"/>
      <c r="AM832" s="1607"/>
      <c r="AN832" s="1607"/>
      <c r="AO832" s="1607"/>
      <c r="AP832" s="1607"/>
      <c r="AQ832" s="1607"/>
      <c r="AR832" s="1607"/>
      <c r="AS832" s="1607"/>
      <c r="AT832" s="1607"/>
      <c r="AU832" s="1607"/>
      <c r="AV832" s="1607"/>
      <c r="AW832" s="1607"/>
      <c r="AX832" s="1607"/>
      <c r="AY832" s="1607"/>
      <c r="AZ832" s="1607"/>
      <c r="BA832" s="1607"/>
      <c r="BB832" s="1607"/>
      <c r="BC832" s="1607"/>
      <c r="BD832" s="1607"/>
      <c r="BE832" s="1607"/>
      <c r="BF832" s="1607"/>
      <c r="BG832" s="1607"/>
      <c r="BH832" s="1607"/>
      <c r="BI832" s="1607"/>
      <c r="BJ832" s="1607"/>
      <c r="BK832" s="1607"/>
      <c r="BL832" s="1607"/>
    </row>
    <row r="833">
      <c r="A833" s="1607"/>
      <c r="B833" s="1607"/>
      <c r="C833" s="1607"/>
      <c r="D833" s="1607"/>
      <c r="E833" s="1607"/>
      <c r="F833" s="1607"/>
      <c r="G833" s="1607"/>
      <c r="H833" s="1607"/>
      <c r="I833" s="1607"/>
      <c r="J833" s="1607"/>
      <c r="K833" s="1607"/>
      <c r="L833" s="1607"/>
      <c r="M833" s="1607"/>
      <c r="N833" s="1607"/>
      <c r="O833" s="1607"/>
      <c r="P833" s="1607"/>
      <c r="Q833" s="1607"/>
      <c r="R833" s="1607"/>
      <c r="S833" s="1607"/>
      <c r="T833" s="1607"/>
      <c r="U833" s="1607"/>
      <c r="V833" s="1607"/>
      <c r="W833" s="1607"/>
      <c r="X833" s="1607"/>
      <c r="Y833" s="1607"/>
      <c r="Z833" s="1607"/>
      <c r="AA833" s="1607"/>
      <c r="AB833" s="1607"/>
      <c r="AC833" s="1607"/>
      <c r="AD833" s="1607"/>
      <c r="AE833" s="1607"/>
      <c r="AF833" s="1607"/>
      <c r="AG833" s="1607"/>
      <c r="AH833" s="1607"/>
      <c r="AI833" s="1607"/>
      <c r="AJ833" s="1607"/>
      <c r="AK833" s="1607"/>
      <c r="AL833" s="1607"/>
      <c r="AM833" s="1607"/>
      <c r="AN833" s="1607"/>
      <c r="AO833" s="1607"/>
      <c r="AP833" s="1607"/>
      <c r="AQ833" s="1607"/>
      <c r="AR833" s="1607"/>
      <c r="AS833" s="1607"/>
      <c r="AT833" s="1607"/>
      <c r="AU833" s="1607"/>
      <c r="AV833" s="1607"/>
      <c r="AW833" s="1607"/>
      <c r="AX833" s="1607"/>
      <c r="AY833" s="1607"/>
      <c r="AZ833" s="1607"/>
      <c r="BA833" s="1607"/>
      <c r="BB833" s="1607"/>
      <c r="BC833" s="1607"/>
      <c r="BD833" s="1607"/>
      <c r="BE833" s="1607"/>
      <c r="BF833" s="1607"/>
      <c r="BG833" s="1607"/>
      <c r="BH833" s="1607"/>
      <c r="BI833" s="1607"/>
      <c r="BJ833" s="1607"/>
      <c r="BK833" s="1607"/>
      <c r="BL833" s="1607"/>
    </row>
    <row r="834">
      <c r="A834" s="1607"/>
      <c r="B834" s="1607"/>
      <c r="C834" s="1607"/>
      <c r="D834" s="1607"/>
      <c r="E834" s="1607"/>
      <c r="F834" s="1607"/>
      <c r="G834" s="1607"/>
      <c r="H834" s="1607"/>
      <c r="I834" s="1607"/>
      <c r="J834" s="1607"/>
      <c r="K834" s="1607"/>
      <c r="L834" s="1607"/>
      <c r="M834" s="1607"/>
      <c r="N834" s="1607"/>
      <c r="O834" s="1607"/>
      <c r="P834" s="1607"/>
      <c r="Q834" s="1607"/>
      <c r="R834" s="1607"/>
      <c r="S834" s="1607"/>
      <c r="T834" s="1607"/>
      <c r="U834" s="1607"/>
      <c r="V834" s="1607"/>
      <c r="W834" s="1607"/>
      <c r="X834" s="1607"/>
      <c r="Y834" s="1607"/>
      <c r="Z834" s="1607"/>
      <c r="AA834" s="1607"/>
      <c r="AB834" s="1607"/>
      <c r="AC834" s="1607"/>
      <c r="AD834" s="1607"/>
      <c r="AE834" s="1607"/>
      <c r="AF834" s="1607"/>
      <c r="AG834" s="1607"/>
      <c r="AH834" s="1607"/>
      <c r="AI834" s="1607"/>
      <c r="AJ834" s="1607"/>
      <c r="AK834" s="1607"/>
      <c r="AL834" s="1607"/>
      <c r="AM834" s="1607"/>
      <c r="AN834" s="1607"/>
      <c r="AO834" s="1607"/>
      <c r="AP834" s="1607"/>
      <c r="AQ834" s="1607"/>
      <c r="AR834" s="1607"/>
      <c r="AS834" s="1607"/>
      <c r="AT834" s="1607"/>
      <c r="AU834" s="1607"/>
      <c r="AV834" s="1607"/>
      <c r="AW834" s="1607"/>
      <c r="AX834" s="1607"/>
      <c r="AY834" s="1607"/>
      <c r="AZ834" s="1607"/>
      <c r="BA834" s="1607"/>
      <c r="BB834" s="1607"/>
      <c r="BC834" s="1607"/>
      <c r="BD834" s="1607"/>
      <c r="BE834" s="1607"/>
      <c r="BF834" s="1607"/>
      <c r="BG834" s="1607"/>
      <c r="BH834" s="1607"/>
      <c r="BI834" s="1607"/>
      <c r="BJ834" s="1607"/>
      <c r="BK834" s="1607"/>
      <c r="BL834" s="1607"/>
    </row>
    <row r="835">
      <c r="A835" s="1607"/>
      <c r="B835" s="1607"/>
      <c r="C835" s="1607"/>
      <c r="D835" s="1607"/>
      <c r="E835" s="1607"/>
      <c r="F835" s="1607"/>
      <c r="G835" s="1607"/>
      <c r="H835" s="1607"/>
      <c r="I835" s="1607"/>
      <c r="J835" s="1607"/>
      <c r="K835" s="1607"/>
      <c r="L835" s="1607"/>
      <c r="M835" s="1607"/>
      <c r="N835" s="1607"/>
      <c r="O835" s="1607"/>
      <c r="P835" s="1607"/>
      <c r="Q835" s="1607"/>
      <c r="R835" s="1607"/>
      <c r="S835" s="1607"/>
      <c r="T835" s="1607"/>
      <c r="U835" s="1607"/>
      <c r="V835" s="1607"/>
      <c r="W835" s="1607"/>
      <c r="X835" s="1607"/>
      <c r="Y835" s="1607"/>
      <c r="Z835" s="1607"/>
      <c r="AA835" s="1607"/>
      <c r="AB835" s="1607"/>
      <c r="AC835" s="1607"/>
      <c r="AD835" s="1607"/>
      <c r="AE835" s="1607"/>
      <c r="AF835" s="1607"/>
      <c r="AG835" s="1607"/>
      <c r="AH835" s="1607"/>
      <c r="AI835" s="1607"/>
      <c r="AJ835" s="1607"/>
      <c r="AK835" s="1607"/>
      <c r="AL835" s="1607"/>
      <c r="AM835" s="1607"/>
      <c r="AN835" s="1607"/>
      <c r="AO835" s="1607"/>
      <c r="AP835" s="1607"/>
      <c r="AQ835" s="1607"/>
      <c r="AR835" s="1607"/>
      <c r="AS835" s="1607"/>
      <c r="AT835" s="1607"/>
      <c r="AU835" s="1607"/>
      <c r="AV835" s="1607"/>
      <c r="AW835" s="1607"/>
      <c r="AX835" s="1607"/>
      <c r="AY835" s="1607"/>
      <c r="AZ835" s="1607"/>
      <c r="BA835" s="1607"/>
      <c r="BB835" s="1607"/>
      <c r="BC835" s="1607"/>
      <c r="BD835" s="1607"/>
      <c r="BE835" s="1607"/>
      <c r="BF835" s="1607"/>
      <c r="BG835" s="1607"/>
      <c r="BH835" s="1607"/>
      <c r="BI835" s="1607"/>
      <c r="BJ835" s="1607"/>
      <c r="BK835" s="1607"/>
      <c r="BL835" s="1607"/>
    </row>
    <row r="836">
      <c r="A836" s="1607"/>
      <c r="B836" s="1607"/>
      <c r="C836" s="1607"/>
      <c r="D836" s="1607"/>
      <c r="E836" s="1607"/>
      <c r="F836" s="1607"/>
      <c r="G836" s="1607"/>
      <c r="H836" s="1607"/>
      <c r="I836" s="1607"/>
      <c r="J836" s="1607"/>
      <c r="K836" s="1607"/>
      <c r="L836" s="1607"/>
      <c r="M836" s="1607"/>
      <c r="N836" s="1607"/>
      <c r="O836" s="1607"/>
      <c r="P836" s="1607"/>
      <c r="Q836" s="1607"/>
      <c r="R836" s="1607"/>
      <c r="S836" s="1607"/>
      <c r="T836" s="1607"/>
      <c r="U836" s="1607"/>
      <c r="V836" s="1607"/>
      <c r="W836" s="1607"/>
      <c r="X836" s="1607"/>
      <c r="Y836" s="1607"/>
      <c r="Z836" s="1607"/>
      <c r="AA836" s="1607"/>
      <c r="AB836" s="1607"/>
      <c r="AC836" s="1607"/>
      <c r="AD836" s="1607"/>
      <c r="AE836" s="1607"/>
      <c r="AF836" s="1607"/>
      <c r="AG836" s="1607"/>
      <c r="AH836" s="1607"/>
      <c r="AI836" s="1607"/>
      <c r="AJ836" s="1607"/>
      <c r="AK836" s="1607"/>
      <c r="AL836" s="1607"/>
      <c r="AM836" s="1607"/>
      <c r="AN836" s="1607"/>
      <c r="AO836" s="1607"/>
      <c r="AP836" s="1607"/>
      <c r="AQ836" s="1607"/>
      <c r="AR836" s="1607"/>
      <c r="AS836" s="1607"/>
      <c r="AT836" s="1607"/>
      <c r="AU836" s="1607"/>
      <c r="AV836" s="1607"/>
      <c r="AW836" s="1607"/>
      <c r="AX836" s="1607"/>
      <c r="AY836" s="1607"/>
      <c r="AZ836" s="1607"/>
      <c r="BA836" s="1607"/>
      <c r="BB836" s="1607"/>
      <c r="BC836" s="1607"/>
      <c r="BD836" s="1607"/>
      <c r="BE836" s="1607"/>
      <c r="BF836" s="1607"/>
      <c r="BG836" s="1607"/>
      <c r="BH836" s="1607"/>
      <c r="BI836" s="1607"/>
      <c r="BJ836" s="1607"/>
      <c r="BK836" s="1607"/>
      <c r="BL836" s="1607"/>
    </row>
    <row r="837">
      <c r="A837" s="1607"/>
      <c r="B837" s="1607"/>
      <c r="C837" s="1607"/>
      <c r="D837" s="1607"/>
      <c r="E837" s="1607"/>
      <c r="F837" s="1607"/>
      <c r="G837" s="1607"/>
      <c r="H837" s="1607"/>
      <c r="I837" s="1607"/>
      <c r="J837" s="1607"/>
      <c r="K837" s="1607"/>
      <c r="L837" s="1607"/>
      <c r="M837" s="1607"/>
      <c r="N837" s="1607"/>
      <c r="O837" s="1607"/>
      <c r="P837" s="1607"/>
      <c r="Q837" s="1607"/>
      <c r="R837" s="1607"/>
      <c r="S837" s="1607"/>
      <c r="T837" s="1607"/>
      <c r="U837" s="1607"/>
      <c r="V837" s="1607"/>
      <c r="W837" s="1607"/>
      <c r="X837" s="1607"/>
      <c r="Y837" s="1607"/>
      <c r="Z837" s="1607"/>
      <c r="AA837" s="1607"/>
      <c r="AB837" s="1607"/>
      <c r="AC837" s="1607"/>
      <c r="AD837" s="1607"/>
      <c r="AE837" s="1607"/>
      <c r="AF837" s="1607"/>
      <c r="AG837" s="1607"/>
      <c r="AH837" s="1607"/>
      <c r="AI837" s="1607"/>
      <c r="AJ837" s="1607"/>
      <c r="AK837" s="1607"/>
      <c r="AL837" s="1607"/>
      <c r="AM837" s="1607"/>
      <c r="AN837" s="1607"/>
      <c r="AO837" s="1607"/>
      <c r="AP837" s="1607"/>
      <c r="AQ837" s="1607"/>
      <c r="AR837" s="1607"/>
      <c r="AS837" s="1607"/>
      <c r="AT837" s="1607"/>
      <c r="AU837" s="1607"/>
      <c r="AV837" s="1607"/>
      <c r="AW837" s="1607"/>
      <c r="AX837" s="1607"/>
      <c r="AY837" s="1607"/>
      <c r="AZ837" s="1607"/>
      <c r="BA837" s="1607"/>
      <c r="BB837" s="1607"/>
      <c r="BC837" s="1607"/>
      <c r="BD837" s="1607"/>
      <c r="BE837" s="1607"/>
      <c r="BF837" s="1607"/>
      <c r="BG837" s="1607"/>
      <c r="BH837" s="1607"/>
      <c r="BI837" s="1607"/>
      <c r="BJ837" s="1607"/>
      <c r="BK837" s="1607"/>
      <c r="BL837" s="1607"/>
    </row>
    <row r="838">
      <c r="A838" s="1607"/>
      <c r="B838" s="1607"/>
      <c r="C838" s="1607"/>
      <c r="D838" s="1607"/>
      <c r="E838" s="1607"/>
      <c r="F838" s="1607"/>
      <c r="G838" s="1607"/>
      <c r="H838" s="1607"/>
      <c r="I838" s="1607"/>
      <c r="J838" s="1607"/>
      <c r="K838" s="1607"/>
      <c r="L838" s="1607"/>
      <c r="M838" s="1607"/>
      <c r="N838" s="1607"/>
      <c r="O838" s="1607"/>
      <c r="P838" s="1607"/>
      <c r="Q838" s="1607"/>
      <c r="R838" s="1607"/>
      <c r="S838" s="1607"/>
      <c r="T838" s="1607"/>
      <c r="U838" s="1607"/>
      <c r="V838" s="1607"/>
      <c r="W838" s="1607"/>
      <c r="X838" s="1607"/>
      <c r="Y838" s="1607"/>
      <c r="Z838" s="1607"/>
      <c r="AA838" s="1607"/>
      <c r="AB838" s="1607"/>
      <c r="AC838" s="1607"/>
      <c r="AD838" s="1607"/>
      <c r="AE838" s="1607"/>
      <c r="AF838" s="1607"/>
      <c r="AG838" s="1607"/>
      <c r="AH838" s="1607"/>
      <c r="AI838" s="1607"/>
      <c r="AJ838" s="1607"/>
      <c r="AK838" s="1607"/>
      <c r="AL838" s="1607"/>
      <c r="AM838" s="1607"/>
      <c r="AN838" s="1607"/>
      <c r="AO838" s="1607"/>
      <c r="AP838" s="1607"/>
      <c r="AQ838" s="1607"/>
      <c r="AR838" s="1607"/>
      <c r="AS838" s="1607"/>
      <c r="AT838" s="1607"/>
      <c r="AU838" s="1607"/>
      <c r="AV838" s="1607"/>
      <c r="AW838" s="1607"/>
      <c r="AX838" s="1607"/>
      <c r="AY838" s="1607"/>
      <c r="AZ838" s="1607"/>
      <c r="BA838" s="1607"/>
      <c r="BB838" s="1607"/>
      <c r="BC838" s="1607"/>
      <c r="BD838" s="1607"/>
      <c r="BE838" s="1607"/>
      <c r="BF838" s="1607"/>
      <c r="BG838" s="1607"/>
      <c r="BH838" s="1607"/>
      <c r="BI838" s="1607"/>
      <c r="BJ838" s="1607"/>
      <c r="BK838" s="1607"/>
      <c r="BL838" s="1607"/>
    </row>
    <row r="839">
      <c r="A839" s="1607"/>
      <c r="B839" s="1607"/>
      <c r="C839" s="1607"/>
      <c r="D839" s="1607"/>
      <c r="E839" s="1607"/>
      <c r="F839" s="1607"/>
      <c r="G839" s="1607"/>
      <c r="H839" s="1607"/>
      <c r="I839" s="1607"/>
      <c r="J839" s="1607"/>
      <c r="K839" s="1607"/>
      <c r="L839" s="1607"/>
      <c r="M839" s="1607"/>
      <c r="N839" s="1607"/>
      <c r="O839" s="1607"/>
      <c r="P839" s="1607"/>
      <c r="Q839" s="1607"/>
      <c r="R839" s="1607"/>
      <c r="S839" s="1607"/>
      <c r="T839" s="1607"/>
      <c r="U839" s="1607"/>
      <c r="V839" s="1607"/>
      <c r="W839" s="1607"/>
      <c r="X839" s="1607"/>
      <c r="Y839" s="1607"/>
      <c r="Z839" s="1607"/>
      <c r="AA839" s="1607"/>
      <c r="AB839" s="1607"/>
      <c r="AC839" s="1607"/>
      <c r="AD839" s="1607"/>
      <c r="AE839" s="1607"/>
      <c r="AF839" s="1607"/>
      <c r="AG839" s="1607"/>
      <c r="AH839" s="1607"/>
      <c r="AI839" s="1607"/>
      <c r="AJ839" s="1607"/>
      <c r="AK839" s="1607"/>
      <c r="AL839" s="1607"/>
      <c r="AM839" s="1607"/>
      <c r="AN839" s="1607"/>
      <c r="AO839" s="1607"/>
      <c r="AP839" s="1607"/>
      <c r="AQ839" s="1607"/>
      <c r="AR839" s="1607"/>
      <c r="AS839" s="1607"/>
      <c r="AT839" s="1607"/>
      <c r="AU839" s="1607"/>
      <c r="AV839" s="1607"/>
      <c r="AW839" s="1607"/>
      <c r="AX839" s="1607"/>
      <c r="AY839" s="1607"/>
      <c r="AZ839" s="1607"/>
      <c r="BA839" s="1607"/>
      <c r="BB839" s="1607"/>
      <c r="BC839" s="1607"/>
      <c r="BD839" s="1607"/>
      <c r="BE839" s="1607"/>
      <c r="BF839" s="1607"/>
      <c r="BG839" s="1607"/>
      <c r="BH839" s="1607"/>
      <c r="BI839" s="1607"/>
      <c r="BJ839" s="1607"/>
      <c r="BK839" s="1607"/>
      <c r="BL839" s="1607"/>
    </row>
    <row r="840">
      <c r="A840" s="1607"/>
      <c r="B840" s="1607"/>
      <c r="C840" s="1607"/>
      <c r="D840" s="1607"/>
      <c r="E840" s="1607"/>
      <c r="F840" s="1607"/>
      <c r="G840" s="1607"/>
      <c r="H840" s="1607"/>
      <c r="I840" s="1607"/>
      <c r="J840" s="1607"/>
      <c r="K840" s="1607"/>
      <c r="L840" s="1607"/>
      <c r="M840" s="1607"/>
      <c r="N840" s="1607"/>
      <c r="O840" s="1607"/>
      <c r="P840" s="1607"/>
      <c r="Q840" s="1607"/>
      <c r="R840" s="1607"/>
      <c r="S840" s="1607"/>
      <c r="T840" s="1607"/>
      <c r="U840" s="1607"/>
      <c r="V840" s="1607"/>
      <c r="W840" s="1607"/>
      <c r="X840" s="1607"/>
      <c r="Y840" s="1607"/>
      <c r="Z840" s="1607"/>
      <c r="AA840" s="1607"/>
      <c r="AB840" s="1607"/>
      <c r="AC840" s="1607"/>
      <c r="AD840" s="1607"/>
      <c r="AE840" s="1607"/>
      <c r="AF840" s="1607"/>
      <c r="AG840" s="1607"/>
      <c r="AH840" s="1607"/>
      <c r="AI840" s="1607"/>
      <c r="AJ840" s="1607"/>
      <c r="AK840" s="1607"/>
      <c r="AL840" s="1607"/>
      <c r="AM840" s="1607"/>
      <c r="AN840" s="1607"/>
      <c r="AO840" s="1607"/>
      <c r="AP840" s="1607"/>
      <c r="AQ840" s="1607"/>
      <c r="AR840" s="1607"/>
      <c r="AS840" s="1607"/>
      <c r="AT840" s="1607"/>
      <c r="AU840" s="1607"/>
      <c r="AV840" s="1607"/>
      <c r="AW840" s="1607"/>
      <c r="AX840" s="1607"/>
      <c r="AY840" s="1607"/>
      <c r="AZ840" s="1607"/>
      <c r="BA840" s="1607"/>
      <c r="BB840" s="1607"/>
      <c r="BC840" s="1607"/>
      <c r="BD840" s="1607"/>
      <c r="BE840" s="1607"/>
      <c r="BF840" s="1607"/>
      <c r="BG840" s="1607"/>
      <c r="BH840" s="1607"/>
      <c r="BI840" s="1607"/>
      <c r="BJ840" s="1607"/>
      <c r="BK840" s="1607"/>
      <c r="BL840" s="1607"/>
    </row>
    <row r="841">
      <c r="A841" s="1607"/>
      <c r="B841" s="1607"/>
      <c r="C841" s="1607"/>
      <c r="D841" s="1607"/>
      <c r="E841" s="1607"/>
      <c r="F841" s="1607"/>
      <c r="G841" s="1607"/>
      <c r="H841" s="1607"/>
      <c r="I841" s="1607"/>
      <c r="J841" s="1607"/>
      <c r="K841" s="1607"/>
      <c r="L841" s="1607"/>
      <c r="M841" s="1607"/>
      <c r="N841" s="1607"/>
      <c r="O841" s="1607"/>
      <c r="P841" s="1607"/>
      <c r="Q841" s="1607"/>
      <c r="R841" s="1607"/>
      <c r="S841" s="1607"/>
      <c r="T841" s="1607"/>
      <c r="U841" s="1607"/>
      <c r="V841" s="1607"/>
      <c r="W841" s="1607"/>
      <c r="X841" s="1607"/>
      <c r="Y841" s="1607"/>
      <c r="Z841" s="1607"/>
      <c r="AA841" s="1607"/>
      <c r="AB841" s="1607"/>
      <c r="AC841" s="1607"/>
      <c r="AD841" s="1607"/>
      <c r="AE841" s="1607"/>
      <c r="AF841" s="1607"/>
      <c r="AG841" s="1607"/>
      <c r="AH841" s="1607"/>
      <c r="AI841" s="1607"/>
      <c r="AJ841" s="1607"/>
      <c r="AK841" s="1607"/>
      <c r="AL841" s="1607"/>
      <c r="AM841" s="1607"/>
      <c r="AN841" s="1607"/>
      <c r="AO841" s="1607"/>
      <c r="AP841" s="1607"/>
      <c r="AQ841" s="1607"/>
      <c r="AR841" s="1607"/>
      <c r="AS841" s="1607"/>
      <c r="AT841" s="1607"/>
      <c r="AU841" s="1607"/>
      <c r="AV841" s="1607"/>
      <c r="AW841" s="1607"/>
      <c r="AX841" s="1607"/>
      <c r="AY841" s="1607"/>
      <c r="AZ841" s="1607"/>
      <c r="BA841" s="1607"/>
      <c r="BB841" s="1607"/>
      <c r="BC841" s="1607"/>
      <c r="BD841" s="1607"/>
      <c r="BE841" s="1607"/>
      <c r="BF841" s="1607"/>
      <c r="BG841" s="1607"/>
      <c r="BH841" s="1607"/>
      <c r="BI841" s="1607"/>
      <c r="BJ841" s="1607"/>
      <c r="BK841" s="1607"/>
      <c r="BL841" s="1607"/>
    </row>
    <row r="842">
      <c r="A842" s="1607"/>
      <c r="B842" s="1607"/>
      <c r="C842" s="1607"/>
      <c r="D842" s="1607"/>
      <c r="E842" s="1607"/>
      <c r="F842" s="1607"/>
      <c r="G842" s="1607"/>
      <c r="H842" s="1607"/>
      <c r="I842" s="1607"/>
      <c r="J842" s="1607"/>
      <c r="K842" s="1607"/>
      <c r="L842" s="1607"/>
      <c r="M842" s="1607"/>
      <c r="N842" s="1607"/>
      <c r="O842" s="1607"/>
      <c r="P842" s="1607"/>
      <c r="Q842" s="1607"/>
      <c r="R842" s="1607"/>
      <c r="S842" s="1607"/>
      <c r="T842" s="1607"/>
      <c r="U842" s="1607"/>
      <c r="V842" s="1607"/>
      <c r="W842" s="1607"/>
      <c r="X842" s="1607"/>
      <c r="Y842" s="1607"/>
      <c r="Z842" s="1607"/>
      <c r="AA842" s="1607"/>
      <c r="AB842" s="1607"/>
      <c r="AC842" s="1607"/>
      <c r="AD842" s="1607"/>
      <c r="AE842" s="1607"/>
      <c r="AF842" s="1607"/>
      <c r="AG842" s="1607"/>
      <c r="AH842" s="1607"/>
      <c r="AI842" s="1607"/>
      <c r="AJ842" s="1607"/>
      <c r="AK842" s="1607"/>
      <c r="AL842" s="1607"/>
      <c r="AM842" s="1607"/>
      <c r="AN842" s="1607"/>
      <c r="AO842" s="1607"/>
      <c r="AP842" s="1607"/>
      <c r="AQ842" s="1607"/>
      <c r="AR842" s="1607"/>
      <c r="AS842" s="1607"/>
      <c r="AT842" s="1607"/>
      <c r="AU842" s="1607"/>
      <c r="AV842" s="1607"/>
      <c r="AW842" s="1607"/>
      <c r="AX842" s="1607"/>
      <c r="AY842" s="1607"/>
      <c r="AZ842" s="1607"/>
      <c r="BA842" s="1607"/>
      <c r="BB842" s="1607"/>
      <c r="BC842" s="1607"/>
      <c r="BD842" s="1607"/>
      <c r="BE842" s="1607"/>
      <c r="BF842" s="1607"/>
      <c r="BG842" s="1607"/>
      <c r="BH842" s="1607"/>
      <c r="BI842" s="1607"/>
      <c r="BJ842" s="1607"/>
      <c r="BK842" s="1607"/>
      <c r="BL842" s="1607"/>
    </row>
    <row r="843">
      <c r="A843" s="1607"/>
      <c r="B843" s="1607"/>
      <c r="C843" s="1607"/>
      <c r="D843" s="1607"/>
      <c r="E843" s="1607"/>
      <c r="F843" s="1607"/>
      <c r="G843" s="1607"/>
      <c r="H843" s="1607"/>
      <c r="I843" s="1607"/>
      <c r="J843" s="1607"/>
      <c r="K843" s="1607"/>
      <c r="L843" s="1607"/>
      <c r="M843" s="1607"/>
      <c r="N843" s="1607"/>
      <c r="O843" s="1607"/>
      <c r="P843" s="1607"/>
      <c r="Q843" s="1607"/>
      <c r="R843" s="1607"/>
      <c r="S843" s="1607"/>
      <c r="T843" s="1607"/>
      <c r="U843" s="1607"/>
      <c r="V843" s="1607"/>
      <c r="W843" s="1607"/>
      <c r="X843" s="1607"/>
      <c r="Y843" s="1607"/>
      <c r="Z843" s="1607"/>
      <c r="AA843" s="1607"/>
      <c r="AB843" s="1607"/>
      <c r="AC843" s="1607"/>
      <c r="AD843" s="1607"/>
      <c r="AE843" s="1607"/>
      <c r="AF843" s="1607"/>
      <c r="AG843" s="1607"/>
      <c r="AH843" s="1607"/>
      <c r="AI843" s="1607"/>
      <c r="AJ843" s="1607"/>
      <c r="AK843" s="1607"/>
      <c r="AL843" s="1607"/>
      <c r="AM843" s="1607"/>
      <c r="AN843" s="1607"/>
      <c r="AO843" s="1607"/>
      <c r="AP843" s="1607"/>
      <c r="AQ843" s="1607"/>
      <c r="AR843" s="1607"/>
      <c r="AS843" s="1607"/>
      <c r="AT843" s="1607"/>
      <c r="AU843" s="1607"/>
      <c r="AV843" s="1607"/>
      <c r="AW843" s="1607"/>
      <c r="AX843" s="1607"/>
      <c r="AY843" s="1607"/>
      <c r="AZ843" s="1607"/>
      <c r="BA843" s="1607"/>
      <c r="BB843" s="1607"/>
      <c r="BC843" s="1607"/>
      <c r="BD843" s="1607"/>
      <c r="BE843" s="1607"/>
      <c r="BF843" s="1607"/>
      <c r="BG843" s="1607"/>
      <c r="BH843" s="1607"/>
      <c r="BI843" s="1607"/>
      <c r="BJ843" s="1607"/>
      <c r="BK843" s="1607"/>
      <c r="BL843" s="1607"/>
    </row>
    <row r="844">
      <c r="A844" s="1607"/>
      <c r="B844" s="1607"/>
      <c r="C844" s="1607"/>
      <c r="D844" s="1607"/>
      <c r="E844" s="1607"/>
      <c r="F844" s="1607"/>
      <c r="G844" s="1607"/>
      <c r="H844" s="1607"/>
      <c r="I844" s="1607"/>
      <c r="J844" s="1607"/>
      <c r="K844" s="1607"/>
      <c r="L844" s="1607"/>
      <c r="M844" s="1607"/>
      <c r="N844" s="1607"/>
      <c r="O844" s="1607"/>
      <c r="P844" s="1607"/>
      <c r="Q844" s="1607"/>
      <c r="R844" s="1607"/>
      <c r="S844" s="1607"/>
      <c r="T844" s="1607"/>
      <c r="U844" s="1607"/>
      <c r="V844" s="1607"/>
      <c r="W844" s="1607"/>
      <c r="X844" s="1607"/>
      <c r="Y844" s="1607"/>
      <c r="Z844" s="1607"/>
      <c r="AA844" s="1607"/>
      <c r="AB844" s="1607"/>
      <c r="AC844" s="1607"/>
      <c r="AD844" s="1607"/>
      <c r="AE844" s="1607"/>
      <c r="AF844" s="1607"/>
      <c r="AG844" s="1607"/>
      <c r="AH844" s="1607"/>
      <c r="AI844" s="1607"/>
      <c r="AJ844" s="1607"/>
      <c r="AK844" s="1607"/>
      <c r="AL844" s="1607"/>
      <c r="AM844" s="1607"/>
      <c r="AN844" s="1607"/>
      <c r="AO844" s="1607"/>
      <c r="AP844" s="1607"/>
      <c r="AQ844" s="1607"/>
      <c r="AR844" s="1607"/>
      <c r="AS844" s="1607"/>
      <c r="AT844" s="1607"/>
      <c r="AU844" s="1607"/>
      <c r="AV844" s="1607"/>
      <c r="AW844" s="1607"/>
      <c r="AX844" s="1607"/>
      <c r="AY844" s="1607"/>
      <c r="AZ844" s="1607"/>
      <c r="BA844" s="1607"/>
      <c r="BB844" s="1607"/>
      <c r="BC844" s="1607"/>
      <c r="BD844" s="1607"/>
      <c r="BE844" s="1607"/>
      <c r="BF844" s="1607"/>
      <c r="BG844" s="1607"/>
      <c r="BH844" s="1607"/>
      <c r="BI844" s="1607"/>
      <c r="BJ844" s="1607"/>
      <c r="BK844" s="1607"/>
      <c r="BL844" s="1607"/>
    </row>
    <row r="845">
      <c r="A845" s="1607"/>
      <c r="B845" s="1607"/>
      <c r="C845" s="1607"/>
      <c r="D845" s="1607"/>
      <c r="E845" s="1607"/>
      <c r="F845" s="1607"/>
      <c r="G845" s="1607"/>
      <c r="H845" s="1607"/>
      <c r="I845" s="1607"/>
      <c r="J845" s="1607"/>
      <c r="K845" s="1607"/>
      <c r="L845" s="1607"/>
      <c r="M845" s="1607"/>
      <c r="N845" s="1607"/>
      <c r="O845" s="1607"/>
      <c r="P845" s="1607"/>
      <c r="Q845" s="1607"/>
      <c r="R845" s="1607"/>
      <c r="S845" s="1607"/>
      <c r="T845" s="1607"/>
      <c r="U845" s="1607"/>
      <c r="V845" s="1607"/>
      <c r="W845" s="1607"/>
      <c r="X845" s="1607"/>
      <c r="Y845" s="1607"/>
      <c r="Z845" s="1607"/>
      <c r="AA845" s="1607"/>
      <c r="AB845" s="1607"/>
      <c r="AC845" s="1607"/>
      <c r="AD845" s="1607"/>
      <c r="AE845" s="1607"/>
      <c r="AF845" s="1607"/>
      <c r="AG845" s="1607"/>
      <c r="AH845" s="1607"/>
      <c r="AI845" s="1607"/>
      <c r="AJ845" s="1607"/>
      <c r="AK845" s="1607"/>
      <c r="AL845" s="1607"/>
      <c r="AM845" s="1607"/>
      <c r="AN845" s="1607"/>
      <c r="AO845" s="1607"/>
      <c r="AP845" s="1607"/>
      <c r="AQ845" s="1607"/>
      <c r="AR845" s="1607"/>
      <c r="AS845" s="1607"/>
      <c r="AT845" s="1607"/>
      <c r="AU845" s="1607"/>
      <c r="AV845" s="1607"/>
      <c r="AW845" s="1607"/>
      <c r="AX845" s="1607"/>
      <c r="AY845" s="1607"/>
      <c r="AZ845" s="1607"/>
      <c r="BA845" s="1607"/>
      <c r="BB845" s="1607"/>
      <c r="BC845" s="1607"/>
      <c r="BD845" s="1607"/>
      <c r="BE845" s="1607"/>
      <c r="BF845" s="1607"/>
      <c r="BG845" s="1607"/>
      <c r="BH845" s="1607"/>
      <c r="BI845" s="1607"/>
      <c r="BJ845" s="1607"/>
      <c r="BK845" s="1607"/>
      <c r="BL845" s="1607"/>
    </row>
    <row r="846">
      <c r="A846" s="1607"/>
      <c r="B846" s="1607"/>
      <c r="C846" s="1607"/>
      <c r="D846" s="1607"/>
      <c r="E846" s="1607"/>
      <c r="F846" s="1607"/>
      <c r="G846" s="1607"/>
      <c r="H846" s="1607"/>
      <c r="I846" s="1607"/>
      <c r="J846" s="1607"/>
      <c r="K846" s="1607"/>
      <c r="L846" s="1607"/>
      <c r="M846" s="1607"/>
      <c r="N846" s="1607"/>
      <c r="O846" s="1607"/>
      <c r="P846" s="1607"/>
      <c r="Q846" s="1607"/>
      <c r="R846" s="1607"/>
      <c r="S846" s="1607"/>
      <c r="T846" s="1607"/>
      <c r="U846" s="1607"/>
      <c r="V846" s="1607"/>
      <c r="W846" s="1607"/>
      <c r="X846" s="1607"/>
      <c r="Y846" s="1607"/>
      <c r="Z846" s="1607"/>
      <c r="AA846" s="1607"/>
      <c r="AB846" s="1607"/>
      <c r="AC846" s="1607"/>
      <c r="AD846" s="1607"/>
      <c r="AE846" s="1607"/>
      <c r="AF846" s="1607"/>
      <c r="AG846" s="1607"/>
      <c r="AH846" s="1607"/>
      <c r="AI846" s="1607"/>
      <c r="AJ846" s="1607"/>
      <c r="AK846" s="1607"/>
      <c r="AL846" s="1607"/>
      <c r="AM846" s="1607"/>
      <c r="AN846" s="1607"/>
      <c r="AO846" s="1607"/>
      <c r="AP846" s="1607"/>
      <c r="AQ846" s="1607"/>
      <c r="AR846" s="1607"/>
      <c r="AS846" s="1607"/>
      <c r="AT846" s="1607"/>
      <c r="AU846" s="1607"/>
      <c r="AV846" s="1607"/>
      <c r="AW846" s="1607"/>
      <c r="AX846" s="1607"/>
      <c r="AY846" s="1607"/>
      <c r="AZ846" s="1607"/>
      <c r="BA846" s="1607"/>
      <c r="BB846" s="1607"/>
      <c r="BC846" s="1607"/>
      <c r="BD846" s="1607"/>
      <c r="BE846" s="1607"/>
      <c r="BF846" s="1607"/>
      <c r="BG846" s="1607"/>
      <c r="BH846" s="1607"/>
      <c r="BI846" s="1607"/>
      <c r="BJ846" s="1607"/>
      <c r="BK846" s="1607"/>
      <c r="BL846" s="1607"/>
    </row>
    <row r="847">
      <c r="A847" s="1607"/>
      <c r="B847" s="1607"/>
      <c r="C847" s="1607"/>
      <c r="D847" s="1607"/>
      <c r="E847" s="1607"/>
      <c r="F847" s="1607"/>
      <c r="G847" s="1607"/>
      <c r="H847" s="1607"/>
      <c r="I847" s="1607"/>
      <c r="J847" s="1607"/>
      <c r="K847" s="1607"/>
      <c r="L847" s="1607"/>
      <c r="M847" s="1607"/>
      <c r="N847" s="1607"/>
      <c r="O847" s="1607"/>
      <c r="P847" s="1607"/>
      <c r="Q847" s="1607"/>
      <c r="R847" s="1607"/>
      <c r="S847" s="1607"/>
      <c r="T847" s="1607"/>
      <c r="U847" s="1607"/>
      <c r="V847" s="1607"/>
      <c r="W847" s="1607"/>
      <c r="X847" s="1607"/>
      <c r="Y847" s="1607"/>
      <c r="Z847" s="1607"/>
      <c r="AA847" s="1607"/>
      <c r="AB847" s="1607"/>
      <c r="AC847" s="1607"/>
      <c r="AD847" s="1607"/>
      <c r="AE847" s="1607"/>
      <c r="AF847" s="1607"/>
      <c r="AG847" s="1607"/>
      <c r="AH847" s="1607"/>
      <c r="AI847" s="1607"/>
      <c r="AJ847" s="1607"/>
      <c r="AK847" s="1607"/>
      <c r="AL847" s="1607"/>
      <c r="AM847" s="1607"/>
      <c r="AN847" s="1607"/>
      <c r="AO847" s="1607"/>
      <c r="AP847" s="1607"/>
      <c r="AQ847" s="1607"/>
      <c r="AR847" s="1607"/>
      <c r="AS847" s="1607"/>
      <c r="AT847" s="1607"/>
      <c r="AU847" s="1607"/>
      <c r="AV847" s="1607"/>
      <c r="AW847" s="1607"/>
      <c r="AX847" s="1607"/>
      <c r="AY847" s="1607"/>
      <c r="AZ847" s="1607"/>
      <c r="BA847" s="1607"/>
      <c r="BB847" s="1607"/>
      <c r="BC847" s="1607"/>
      <c r="BD847" s="1607"/>
      <c r="BE847" s="1607"/>
      <c r="BF847" s="1607"/>
      <c r="BG847" s="1607"/>
      <c r="BH847" s="1607"/>
      <c r="BI847" s="1607"/>
      <c r="BJ847" s="1607"/>
      <c r="BK847" s="1607"/>
      <c r="BL847" s="1607"/>
    </row>
    <row r="848">
      <c r="A848" s="1607"/>
      <c r="B848" s="1607"/>
      <c r="C848" s="1607"/>
      <c r="D848" s="1607"/>
      <c r="E848" s="1607"/>
      <c r="F848" s="1607"/>
      <c r="G848" s="1607"/>
      <c r="H848" s="1607"/>
      <c r="I848" s="1607"/>
      <c r="J848" s="1607"/>
      <c r="K848" s="1607"/>
      <c r="L848" s="1607"/>
      <c r="M848" s="1607"/>
      <c r="N848" s="1607"/>
      <c r="O848" s="1607"/>
      <c r="P848" s="1607"/>
      <c r="Q848" s="1607"/>
      <c r="R848" s="1607"/>
      <c r="S848" s="1607"/>
      <c r="T848" s="1607"/>
      <c r="U848" s="1607"/>
      <c r="V848" s="1607"/>
      <c r="W848" s="1607"/>
      <c r="X848" s="1607"/>
      <c r="Y848" s="1607"/>
      <c r="Z848" s="1607"/>
      <c r="AA848" s="1607"/>
      <c r="AB848" s="1607"/>
      <c r="AC848" s="1607"/>
      <c r="AD848" s="1607"/>
      <c r="AE848" s="1607"/>
      <c r="AF848" s="1607"/>
      <c r="AG848" s="1607"/>
      <c r="AH848" s="1607"/>
      <c r="AI848" s="1607"/>
      <c r="AJ848" s="1607"/>
      <c r="AK848" s="1607"/>
      <c r="AL848" s="1607"/>
      <c r="AM848" s="1607"/>
      <c r="AN848" s="1607"/>
      <c r="AO848" s="1607"/>
      <c r="AP848" s="1607"/>
      <c r="AQ848" s="1607"/>
      <c r="AR848" s="1607"/>
      <c r="AS848" s="1607"/>
      <c r="AT848" s="1607"/>
      <c r="AU848" s="1607"/>
      <c r="AV848" s="1607"/>
      <c r="AW848" s="1607"/>
      <c r="AX848" s="1607"/>
      <c r="AY848" s="1607"/>
      <c r="AZ848" s="1607"/>
      <c r="BA848" s="1607"/>
      <c r="BB848" s="1607"/>
      <c r="BC848" s="1607"/>
      <c r="BD848" s="1607"/>
      <c r="BE848" s="1607"/>
      <c r="BF848" s="1607"/>
      <c r="BG848" s="1607"/>
      <c r="BH848" s="1607"/>
      <c r="BI848" s="1607"/>
      <c r="BJ848" s="1607"/>
      <c r="BK848" s="1607"/>
      <c r="BL848" s="1607"/>
    </row>
    <row r="849">
      <c r="A849" s="1607"/>
      <c r="B849" s="1607"/>
      <c r="C849" s="1607"/>
      <c r="D849" s="1607"/>
      <c r="E849" s="1607"/>
      <c r="F849" s="1607"/>
      <c r="G849" s="1607"/>
      <c r="H849" s="1607"/>
      <c r="I849" s="1607"/>
      <c r="J849" s="1607"/>
      <c r="K849" s="1607"/>
      <c r="L849" s="1607"/>
      <c r="M849" s="1607"/>
      <c r="N849" s="1607"/>
      <c r="O849" s="1607"/>
      <c r="P849" s="1607"/>
      <c r="Q849" s="1607"/>
      <c r="R849" s="1607"/>
      <c r="S849" s="1607"/>
      <c r="T849" s="1607"/>
      <c r="U849" s="1607"/>
      <c r="V849" s="1607"/>
      <c r="W849" s="1607"/>
      <c r="X849" s="1607"/>
      <c r="Y849" s="1607"/>
      <c r="Z849" s="1607"/>
      <c r="AA849" s="1607"/>
      <c r="AB849" s="1607"/>
      <c r="AC849" s="1607"/>
      <c r="AD849" s="1607"/>
      <c r="AE849" s="1607"/>
      <c r="AF849" s="1607"/>
      <c r="AG849" s="1607"/>
      <c r="AH849" s="1607"/>
      <c r="AI849" s="1607"/>
      <c r="AJ849" s="1607"/>
      <c r="AK849" s="1607"/>
      <c r="AL849" s="1607"/>
      <c r="AM849" s="1607"/>
      <c r="AN849" s="1607"/>
      <c r="AO849" s="1607"/>
      <c r="AP849" s="1607"/>
      <c r="AQ849" s="1607"/>
      <c r="AR849" s="1607"/>
      <c r="AS849" s="1607"/>
      <c r="AT849" s="1607"/>
      <c r="AU849" s="1607"/>
      <c r="AV849" s="1607"/>
      <c r="AW849" s="1607"/>
      <c r="AX849" s="1607"/>
      <c r="AY849" s="1607"/>
      <c r="AZ849" s="1607"/>
      <c r="BA849" s="1607"/>
      <c r="BB849" s="1607"/>
      <c r="BC849" s="1607"/>
      <c r="BD849" s="1607"/>
      <c r="BE849" s="1607"/>
      <c r="BF849" s="1607"/>
      <c r="BG849" s="1607"/>
      <c r="BH849" s="1607"/>
      <c r="BI849" s="1607"/>
      <c r="BJ849" s="1607"/>
      <c r="BK849" s="1607"/>
      <c r="BL849" s="1607"/>
    </row>
    <row r="850">
      <c r="A850" s="1607"/>
      <c r="B850" s="1607"/>
      <c r="C850" s="1607"/>
      <c r="D850" s="1607"/>
      <c r="E850" s="1607"/>
      <c r="F850" s="1607"/>
      <c r="G850" s="1607"/>
      <c r="H850" s="1607"/>
      <c r="I850" s="1607"/>
      <c r="J850" s="1607"/>
      <c r="K850" s="1607"/>
      <c r="L850" s="1607"/>
      <c r="M850" s="1607"/>
      <c r="N850" s="1607"/>
      <c r="O850" s="1607"/>
      <c r="P850" s="1607"/>
      <c r="Q850" s="1607"/>
      <c r="R850" s="1607"/>
      <c r="S850" s="1607"/>
      <c r="T850" s="1607"/>
      <c r="U850" s="1607"/>
      <c r="V850" s="1607"/>
      <c r="W850" s="1607"/>
      <c r="X850" s="1607"/>
      <c r="Y850" s="1607"/>
      <c r="Z850" s="1607"/>
      <c r="AA850" s="1607"/>
      <c r="AB850" s="1607"/>
      <c r="AC850" s="1607"/>
      <c r="AD850" s="1607"/>
      <c r="AE850" s="1607"/>
      <c r="AF850" s="1607"/>
      <c r="AG850" s="1607"/>
      <c r="AH850" s="1607"/>
      <c r="AI850" s="1607"/>
      <c r="AJ850" s="1607"/>
      <c r="AK850" s="1607"/>
      <c r="AL850" s="1607"/>
      <c r="AM850" s="1607"/>
      <c r="AN850" s="1607"/>
      <c r="AO850" s="1607"/>
      <c r="AP850" s="1607"/>
      <c r="AQ850" s="1607"/>
      <c r="AR850" s="1607"/>
      <c r="AS850" s="1607"/>
      <c r="AT850" s="1607"/>
      <c r="AU850" s="1607"/>
      <c r="AV850" s="1607"/>
      <c r="AW850" s="1607"/>
      <c r="AX850" s="1607"/>
      <c r="AY850" s="1607"/>
      <c r="AZ850" s="1607"/>
      <c r="BA850" s="1607"/>
      <c r="BB850" s="1607"/>
      <c r="BC850" s="1607"/>
      <c r="BD850" s="1607"/>
      <c r="BE850" s="1607"/>
      <c r="BF850" s="1607"/>
      <c r="BG850" s="1607"/>
      <c r="BH850" s="1607"/>
      <c r="BI850" s="1607"/>
      <c r="BJ850" s="1607"/>
      <c r="BK850" s="1607"/>
      <c r="BL850" s="1607"/>
    </row>
    <row r="851">
      <c r="A851" s="1607"/>
      <c r="B851" s="1607"/>
      <c r="C851" s="1607"/>
      <c r="D851" s="1607"/>
      <c r="E851" s="1607"/>
      <c r="F851" s="1607"/>
      <c r="G851" s="1607"/>
      <c r="H851" s="1607"/>
      <c r="I851" s="1607"/>
      <c r="J851" s="1607"/>
      <c r="K851" s="1607"/>
      <c r="L851" s="1607"/>
      <c r="M851" s="1607"/>
      <c r="N851" s="1607"/>
      <c r="O851" s="1607"/>
      <c r="P851" s="1607"/>
      <c r="Q851" s="1607"/>
      <c r="R851" s="1607"/>
      <c r="S851" s="1607"/>
      <c r="T851" s="1607"/>
      <c r="U851" s="1607"/>
      <c r="V851" s="1607"/>
      <c r="W851" s="1607"/>
      <c r="X851" s="1607"/>
      <c r="Y851" s="1607"/>
      <c r="Z851" s="1607"/>
      <c r="AA851" s="1607"/>
      <c r="AB851" s="1607"/>
      <c r="AC851" s="1607"/>
      <c r="AD851" s="1607"/>
      <c r="AE851" s="1607"/>
      <c r="AF851" s="1607"/>
      <c r="AG851" s="1607"/>
      <c r="AH851" s="1607"/>
      <c r="AI851" s="1607"/>
      <c r="AJ851" s="1607"/>
      <c r="AK851" s="1607"/>
      <c r="AL851" s="1607"/>
      <c r="AM851" s="1607"/>
      <c r="AN851" s="1607"/>
      <c r="AO851" s="1607"/>
      <c r="AP851" s="1607"/>
      <c r="AQ851" s="1607"/>
      <c r="AR851" s="1607"/>
      <c r="AS851" s="1607"/>
      <c r="AT851" s="1607"/>
      <c r="AU851" s="1607"/>
      <c r="AV851" s="1607"/>
      <c r="AW851" s="1607"/>
      <c r="AX851" s="1607"/>
      <c r="AY851" s="1607"/>
      <c r="AZ851" s="1607"/>
      <c r="BA851" s="1607"/>
      <c r="BB851" s="1607"/>
      <c r="BC851" s="1607"/>
      <c r="BD851" s="1607"/>
      <c r="BE851" s="1607"/>
      <c r="BF851" s="1607"/>
      <c r="BG851" s="1607"/>
      <c r="BH851" s="1607"/>
      <c r="BI851" s="1607"/>
      <c r="BJ851" s="1607"/>
      <c r="BK851" s="1607"/>
      <c r="BL851" s="1607"/>
    </row>
    <row r="852">
      <c r="A852" s="1607"/>
      <c r="B852" s="1607"/>
      <c r="C852" s="1607"/>
      <c r="D852" s="1607"/>
      <c r="E852" s="1607"/>
      <c r="F852" s="1607"/>
      <c r="G852" s="1607"/>
      <c r="H852" s="1607"/>
      <c r="I852" s="1607"/>
      <c r="J852" s="1607"/>
      <c r="K852" s="1607"/>
      <c r="L852" s="1607"/>
      <c r="M852" s="1607"/>
      <c r="N852" s="1607"/>
      <c r="O852" s="1607"/>
      <c r="P852" s="1607"/>
      <c r="Q852" s="1607"/>
      <c r="R852" s="1607"/>
      <c r="S852" s="1607"/>
      <c r="T852" s="1607"/>
      <c r="U852" s="1607"/>
      <c r="V852" s="1607"/>
      <c r="W852" s="1607"/>
      <c r="X852" s="1607"/>
      <c r="Y852" s="1607"/>
      <c r="Z852" s="1607"/>
      <c r="AA852" s="1607"/>
      <c r="AB852" s="1607"/>
      <c r="AC852" s="1607"/>
      <c r="AD852" s="1607"/>
      <c r="AE852" s="1607"/>
      <c r="AF852" s="1607"/>
      <c r="AG852" s="1607"/>
      <c r="AH852" s="1607"/>
      <c r="AI852" s="1607"/>
      <c r="AJ852" s="1607"/>
      <c r="AK852" s="1607"/>
      <c r="AL852" s="1607"/>
      <c r="AM852" s="1607"/>
      <c r="AN852" s="1607"/>
      <c r="AO852" s="1607"/>
      <c r="AP852" s="1607"/>
      <c r="AQ852" s="1607"/>
      <c r="AR852" s="1607"/>
      <c r="AS852" s="1607"/>
      <c r="AT852" s="1607"/>
      <c r="AU852" s="1607"/>
      <c r="AV852" s="1607"/>
      <c r="AW852" s="1607"/>
      <c r="AX852" s="1607"/>
      <c r="AY852" s="1607"/>
      <c r="AZ852" s="1607"/>
      <c r="BA852" s="1607"/>
      <c r="BB852" s="1607"/>
      <c r="BC852" s="1607"/>
      <c r="BD852" s="1607"/>
      <c r="BE852" s="1607"/>
      <c r="BF852" s="1607"/>
      <c r="BG852" s="1607"/>
      <c r="BH852" s="1607"/>
      <c r="BI852" s="1607"/>
      <c r="BJ852" s="1607"/>
      <c r="BK852" s="1607"/>
      <c r="BL852" s="1607"/>
    </row>
    <row r="853">
      <c r="A853" s="1607"/>
      <c r="B853" s="1607"/>
      <c r="C853" s="1607"/>
      <c r="D853" s="1607"/>
      <c r="E853" s="1607"/>
      <c r="F853" s="1607"/>
      <c r="G853" s="1607"/>
      <c r="H853" s="1607"/>
      <c r="I853" s="1607"/>
      <c r="J853" s="1607"/>
      <c r="K853" s="1607"/>
      <c r="L853" s="1607"/>
      <c r="M853" s="1607"/>
      <c r="N853" s="1607"/>
      <c r="O853" s="1607"/>
      <c r="P853" s="1607"/>
      <c r="Q853" s="1607"/>
      <c r="R853" s="1607"/>
      <c r="S853" s="1607"/>
      <c r="T853" s="1607"/>
      <c r="U853" s="1607"/>
      <c r="V853" s="1607"/>
      <c r="W853" s="1607"/>
      <c r="X853" s="1607"/>
      <c r="Y853" s="1607"/>
      <c r="Z853" s="1607"/>
      <c r="AA853" s="1607"/>
      <c r="AB853" s="1607"/>
      <c r="AC853" s="1607"/>
      <c r="AD853" s="1607"/>
      <c r="AE853" s="1607"/>
      <c r="AF853" s="1607"/>
      <c r="AG853" s="1607"/>
      <c r="AH853" s="1607"/>
      <c r="AI853" s="1607"/>
      <c r="AJ853" s="1607"/>
      <c r="AK853" s="1607"/>
      <c r="AL853" s="1607"/>
      <c r="AM853" s="1607"/>
      <c r="AN853" s="1607"/>
      <c r="AO853" s="1607"/>
      <c r="AP853" s="1607"/>
      <c r="AQ853" s="1607"/>
      <c r="AR853" s="1607"/>
      <c r="AS853" s="1607"/>
      <c r="AT853" s="1607"/>
      <c r="AU853" s="1607"/>
      <c r="AV853" s="1607"/>
      <c r="AW853" s="1607"/>
      <c r="AX853" s="1607"/>
      <c r="AY853" s="1607"/>
      <c r="AZ853" s="1607"/>
      <c r="BA853" s="1607"/>
      <c r="BB853" s="1607"/>
      <c r="BC853" s="1607"/>
      <c r="BD853" s="1607"/>
      <c r="BE853" s="1607"/>
      <c r="BF853" s="1607"/>
      <c r="BG853" s="1607"/>
      <c r="BH853" s="1607"/>
      <c r="BI853" s="1607"/>
      <c r="BJ853" s="1607"/>
      <c r="BK853" s="1607"/>
      <c r="BL853" s="1607"/>
    </row>
    <row r="854">
      <c r="A854" s="1607"/>
      <c r="B854" s="1607"/>
      <c r="C854" s="1607"/>
      <c r="D854" s="1607"/>
      <c r="E854" s="1607"/>
      <c r="F854" s="1607"/>
      <c r="G854" s="1607"/>
      <c r="H854" s="1607"/>
      <c r="I854" s="1607"/>
      <c r="J854" s="1607"/>
      <c r="K854" s="1607"/>
      <c r="L854" s="1607"/>
      <c r="M854" s="1607"/>
      <c r="N854" s="1607"/>
      <c r="O854" s="1607"/>
      <c r="P854" s="1607"/>
      <c r="Q854" s="1607"/>
      <c r="R854" s="1607"/>
      <c r="S854" s="1607"/>
      <c r="T854" s="1607"/>
      <c r="U854" s="1607"/>
      <c r="V854" s="1607"/>
      <c r="W854" s="1607"/>
      <c r="X854" s="1607"/>
      <c r="Y854" s="1607"/>
      <c r="Z854" s="1607"/>
      <c r="AA854" s="1607"/>
      <c r="AB854" s="1607"/>
      <c r="AC854" s="1607"/>
      <c r="AD854" s="1607"/>
      <c r="AE854" s="1607"/>
      <c r="AF854" s="1607"/>
      <c r="AG854" s="1607"/>
      <c r="AH854" s="1607"/>
      <c r="AI854" s="1607"/>
      <c r="AJ854" s="1607"/>
      <c r="AK854" s="1607"/>
      <c r="AL854" s="1607"/>
      <c r="AM854" s="1607"/>
      <c r="AN854" s="1607"/>
      <c r="AO854" s="1607"/>
      <c r="AP854" s="1607"/>
      <c r="AQ854" s="1607"/>
      <c r="AR854" s="1607"/>
      <c r="AS854" s="1607"/>
      <c r="AT854" s="1607"/>
      <c r="AU854" s="1607"/>
      <c r="AV854" s="1607"/>
      <c r="AW854" s="1607"/>
      <c r="AX854" s="1607"/>
      <c r="AY854" s="1607"/>
      <c r="AZ854" s="1607"/>
      <c r="BA854" s="1607"/>
      <c r="BB854" s="1607"/>
      <c r="BC854" s="1607"/>
      <c r="BD854" s="1607"/>
      <c r="BE854" s="1607"/>
      <c r="BF854" s="1607"/>
      <c r="BG854" s="1607"/>
      <c r="BH854" s="1607"/>
      <c r="BI854" s="1607"/>
      <c r="BJ854" s="1607"/>
      <c r="BK854" s="1607"/>
      <c r="BL854" s="1607"/>
    </row>
    <row r="855">
      <c r="A855" s="1607"/>
      <c r="B855" s="1607"/>
      <c r="C855" s="1607"/>
      <c r="D855" s="1607"/>
      <c r="E855" s="1607"/>
      <c r="F855" s="1607"/>
      <c r="G855" s="1607"/>
      <c r="H855" s="1607"/>
      <c r="I855" s="1607"/>
      <c r="J855" s="1607"/>
      <c r="K855" s="1607"/>
      <c r="L855" s="1607"/>
      <c r="M855" s="1607"/>
      <c r="N855" s="1607"/>
      <c r="O855" s="1607"/>
      <c r="P855" s="1607"/>
      <c r="Q855" s="1607"/>
      <c r="R855" s="1607"/>
      <c r="S855" s="1607"/>
      <c r="T855" s="1607"/>
      <c r="U855" s="1607"/>
      <c r="V855" s="1607"/>
      <c r="W855" s="1607"/>
      <c r="X855" s="1607"/>
      <c r="Y855" s="1607"/>
      <c r="Z855" s="1607"/>
      <c r="AA855" s="1607"/>
      <c r="AB855" s="1607"/>
      <c r="AC855" s="1607"/>
      <c r="AD855" s="1607"/>
      <c r="AE855" s="1607"/>
      <c r="AF855" s="1607"/>
      <c r="AG855" s="1607"/>
      <c r="AH855" s="1607"/>
      <c r="AI855" s="1607"/>
      <c r="AJ855" s="1607"/>
      <c r="AK855" s="1607"/>
      <c r="AL855" s="1607"/>
      <c r="AM855" s="1607"/>
      <c r="AN855" s="1607"/>
      <c r="AO855" s="1607"/>
      <c r="AP855" s="1607"/>
      <c r="AQ855" s="1607"/>
      <c r="AR855" s="1607"/>
      <c r="AS855" s="1607"/>
      <c r="AT855" s="1607"/>
      <c r="AU855" s="1607"/>
      <c r="AV855" s="1607"/>
      <c r="AW855" s="1607"/>
      <c r="AX855" s="1607"/>
      <c r="AY855" s="1607"/>
      <c r="AZ855" s="1607"/>
      <c r="BA855" s="1607"/>
      <c r="BB855" s="1607"/>
      <c r="BC855" s="1607"/>
      <c r="BD855" s="1607"/>
      <c r="BE855" s="1607"/>
      <c r="BF855" s="1607"/>
      <c r="BG855" s="1607"/>
      <c r="BH855" s="1607"/>
      <c r="BI855" s="1607"/>
      <c r="BJ855" s="1607"/>
      <c r="BK855" s="1607"/>
      <c r="BL855" s="1607"/>
    </row>
    <row r="856">
      <c r="A856" s="1607"/>
      <c r="B856" s="1607"/>
      <c r="C856" s="1607"/>
      <c r="D856" s="1607"/>
      <c r="E856" s="1607"/>
      <c r="F856" s="1607"/>
      <c r="G856" s="1607"/>
      <c r="H856" s="1607"/>
      <c r="I856" s="1607"/>
      <c r="J856" s="1607"/>
      <c r="K856" s="1607"/>
      <c r="L856" s="1607"/>
      <c r="M856" s="1607"/>
      <c r="N856" s="1607"/>
      <c r="O856" s="1607"/>
      <c r="P856" s="1607"/>
      <c r="Q856" s="1607"/>
      <c r="R856" s="1607"/>
      <c r="S856" s="1607"/>
      <c r="T856" s="1607"/>
      <c r="U856" s="1607"/>
      <c r="V856" s="1607"/>
      <c r="W856" s="1607"/>
      <c r="X856" s="1607"/>
      <c r="Y856" s="1607"/>
      <c r="Z856" s="1607"/>
      <c r="AA856" s="1607"/>
      <c r="AB856" s="1607"/>
      <c r="AC856" s="1607"/>
      <c r="AD856" s="1607"/>
      <c r="AE856" s="1607"/>
      <c r="AF856" s="1607"/>
      <c r="AG856" s="1607"/>
      <c r="AH856" s="1607"/>
      <c r="AI856" s="1607"/>
      <c r="AJ856" s="1607"/>
      <c r="AK856" s="1607"/>
      <c r="AL856" s="1607"/>
      <c r="AM856" s="1607"/>
      <c r="AN856" s="1607"/>
      <c r="AO856" s="1607"/>
      <c r="AP856" s="1607"/>
      <c r="AQ856" s="1607"/>
      <c r="AR856" s="1607"/>
      <c r="AS856" s="1607"/>
      <c r="AT856" s="1607"/>
      <c r="AU856" s="1607"/>
      <c r="AV856" s="1607"/>
      <c r="AW856" s="1607"/>
      <c r="AX856" s="1607"/>
      <c r="AY856" s="1607"/>
      <c r="AZ856" s="1607"/>
      <c r="BA856" s="1607"/>
      <c r="BB856" s="1607"/>
      <c r="BC856" s="1607"/>
      <c r="BD856" s="1607"/>
      <c r="BE856" s="1607"/>
      <c r="BF856" s="1607"/>
      <c r="BG856" s="1607"/>
      <c r="BH856" s="1607"/>
      <c r="BI856" s="1607"/>
      <c r="BJ856" s="1607"/>
      <c r="BK856" s="1607"/>
      <c r="BL856" s="1607"/>
    </row>
    <row r="857">
      <c r="A857" s="1607"/>
      <c r="B857" s="1607"/>
      <c r="C857" s="1607"/>
      <c r="D857" s="1607"/>
      <c r="E857" s="1607"/>
      <c r="F857" s="1607"/>
      <c r="G857" s="1607"/>
      <c r="H857" s="1607"/>
      <c r="I857" s="1607"/>
      <c r="J857" s="1607"/>
      <c r="K857" s="1607"/>
      <c r="L857" s="1607"/>
      <c r="M857" s="1607"/>
      <c r="N857" s="1607"/>
      <c r="O857" s="1607"/>
      <c r="P857" s="1607"/>
      <c r="Q857" s="1607"/>
      <c r="R857" s="1607"/>
      <c r="S857" s="1607"/>
      <c r="T857" s="1607"/>
      <c r="U857" s="1607"/>
      <c r="V857" s="1607"/>
      <c r="W857" s="1607"/>
      <c r="X857" s="1607"/>
      <c r="Y857" s="1607"/>
      <c r="Z857" s="1607"/>
      <c r="AA857" s="1607"/>
      <c r="AB857" s="1607"/>
      <c r="AC857" s="1607"/>
      <c r="AD857" s="1607"/>
      <c r="AE857" s="1607"/>
      <c r="AF857" s="1607"/>
      <c r="AG857" s="1607"/>
      <c r="AH857" s="1607"/>
      <c r="AI857" s="1607"/>
      <c r="AJ857" s="1607"/>
      <c r="AK857" s="1607"/>
      <c r="AL857" s="1607"/>
      <c r="AM857" s="1607"/>
      <c r="AN857" s="1607"/>
      <c r="AO857" s="1607"/>
      <c r="AP857" s="1607"/>
      <c r="AQ857" s="1607"/>
      <c r="AR857" s="1607"/>
      <c r="AS857" s="1607"/>
      <c r="AT857" s="1607"/>
      <c r="AU857" s="1607"/>
      <c r="AV857" s="1607"/>
      <c r="AW857" s="1607"/>
      <c r="AX857" s="1607"/>
      <c r="AY857" s="1607"/>
      <c r="AZ857" s="1607"/>
      <c r="BA857" s="1607"/>
      <c r="BB857" s="1607"/>
      <c r="BC857" s="1607"/>
      <c r="BD857" s="1607"/>
      <c r="BE857" s="1607"/>
      <c r="BF857" s="1607"/>
      <c r="BG857" s="1607"/>
      <c r="BH857" s="1607"/>
      <c r="BI857" s="1607"/>
      <c r="BJ857" s="1607"/>
      <c r="BK857" s="1607"/>
      <c r="BL857" s="1607"/>
    </row>
    <row r="858">
      <c r="A858" s="1607"/>
      <c r="B858" s="1607"/>
      <c r="C858" s="1607"/>
      <c r="D858" s="1607"/>
      <c r="E858" s="1607"/>
      <c r="F858" s="1607"/>
      <c r="G858" s="1607"/>
      <c r="H858" s="1607"/>
      <c r="I858" s="1607"/>
      <c r="J858" s="1607"/>
      <c r="K858" s="1607"/>
      <c r="L858" s="1607"/>
      <c r="M858" s="1607"/>
      <c r="N858" s="1607"/>
      <c r="O858" s="1607"/>
      <c r="P858" s="1607"/>
      <c r="Q858" s="1607"/>
      <c r="R858" s="1607"/>
      <c r="S858" s="1607"/>
      <c r="T858" s="1607"/>
      <c r="U858" s="1607"/>
      <c r="V858" s="1607"/>
      <c r="W858" s="1607"/>
      <c r="X858" s="1607"/>
      <c r="Y858" s="1607"/>
      <c r="Z858" s="1607"/>
      <c r="AA858" s="1607"/>
      <c r="AB858" s="1607"/>
      <c r="AC858" s="1607"/>
      <c r="AD858" s="1607"/>
      <c r="AE858" s="1607"/>
      <c r="AF858" s="1607"/>
      <c r="AG858" s="1607"/>
      <c r="AH858" s="1607"/>
      <c r="AI858" s="1607"/>
      <c r="AJ858" s="1607"/>
      <c r="AK858" s="1607"/>
      <c r="AL858" s="1607"/>
      <c r="AM858" s="1607"/>
      <c r="AN858" s="1607"/>
      <c r="AO858" s="1607"/>
      <c r="AP858" s="1607"/>
      <c r="AQ858" s="1607"/>
      <c r="AR858" s="1607"/>
      <c r="AS858" s="1607"/>
      <c r="AT858" s="1607"/>
      <c r="AU858" s="1607"/>
      <c r="AV858" s="1607"/>
      <c r="AW858" s="1607"/>
      <c r="AX858" s="1607"/>
      <c r="AY858" s="1607"/>
      <c r="AZ858" s="1607"/>
      <c r="BA858" s="1607"/>
      <c r="BB858" s="1607"/>
      <c r="BC858" s="1607"/>
      <c r="BD858" s="1607"/>
      <c r="BE858" s="1607"/>
      <c r="BF858" s="1607"/>
      <c r="BG858" s="1607"/>
      <c r="BH858" s="1607"/>
      <c r="BI858" s="1607"/>
      <c r="BJ858" s="1607"/>
      <c r="BK858" s="1607"/>
      <c r="BL858" s="1607"/>
    </row>
    <row r="859">
      <c r="A859" s="1607"/>
      <c r="B859" s="1607"/>
      <c r="C859" s="1607"/>
      <c r="D859" s="1607"/>
      <c r="E859" s="1607"/>
      <c r="F859" s="1607"/>
      <c r="G859" s="1607"/>
      <c r="H859" s="1607"/>
      <c r="I859" s="1607"/>
      <c r="J859" s="1607"/>
      <c r="K859" s="1607"/>
      <c r="L859" s="1607"/>
      <c r="M859" s="1607"/>
      <c r="N859" s="1607"/>
      <c r="O859" s="1607"/>
      <c r="P859" s="1607"/>
      <c r="Q859" s="1607"/>
      <c r="R859" s="1607"/>
      <c r="S859" s="1607"/>
      <c r="T859" s="1607"/>
      <c r="U859" s="1607"/>
      <c r="V859" s="1607"/>
      <c r="W859" s="1607"/>
      <c r="X859" s="1607"/>
      <c r="Y859" s="1607"/>
      <c r="Z859" s="1607"/>
      <c r="AA859" s="1607"/>
      <c r="AB859" s="1607"/>
      <c r="AC859" s="1607"/>
      <c r="AD859" s="1607"/>
      <c r="AE859" s="1607"/>
      <c r="AF859" s="1607"/>
      <c r="AG859" s="1607"/>
      <c r="AH859" s="1607"/>
      <c r="AI859" s="1607"/>
      <c r="AJ859" s="1607"/>
      <c r="AK859" s="1607"/>
      <c r="AL859" s="1607"/>
      <c r="AM859" s="1607"/>
      <c r="AN859" s="1607"/>
      <c r="AO859" s="1607"/>
      <c r="AP859" s="1607"/>
      <c r="AQ859" s="1607"/>
      <c r="AR859" s="1607"/>
      <c r="AS859" s="1607"/>
      <c r="AT859" s="1607"/>
      <c r="AU859" s="1607"/>
      <c r="AV859" s="1607"/>
      <c r="AW859" s="1607"/>
      <c r="AX859" s="1607"/>
      <c r="AY859" s="1607"/>
      <c r="AZ859" s="1607"/>
      <c r="BA859" s="1607"/>
      <c r="BB859" s="1607"/>
      <c r="BC859" s="1607"/>
      <c r="BD859" s="1607"/>
      <c r="BE859" s="1607"/>
      <c r="BF859" s="1607"/>
      <c r="BG859" s="1607"/>
      <c r="BH859" s="1607"/>
      <c r="BI859" s="1607"/>
      <c r="BJ859" s="1607"/>
      <c r="BK859" s="1607"/>
      <c r="BL859" s="1607"/>
    </row>
    <row r="860">
      <c r="A860" s="1607"/>
      <c r="B860" s="1607"/>
      <c r="C860" s="1607"/>
      <c r="D860" s="1607"/>
      <c r="E860" s="1607"/>
      <c r="F860" s="1607"/>
      <c r="G860" s="1607"/>
      <c r="H860" s="1607"/>
      <c r="I860" s="1607"/>
      <c r="J860" s="1607"/>
      <c r="K860" s="1607"/>
      <c r="L860" s="1607"/>
      <c r="M860" s="1607"/>
      <c r="N860" s="1607"/>
      <c r="O860" s="1607"/>
      <c r="P860" s="1607"/>
      <c r="Q860" s="1607"/>
      <c r="R860" s="1607"/>
      <c r="S860" s="1607"/>
      <c r="T860" s="1607"/>
      <c r="U860" s="1607"/>
      <c r="V860" s="1607"/>
      <c r="W860" s="1607"/>
      <c r="X860" s="1607"/>
      <c r="Y860" s="1607"/>
      <c r="Z860" s="1607"/>
      <c r="AA860" s="1607"/>
      <c r="AB860" s="1607"/>
      <c r="AC860" s="1607"/>
      <c r="AD860" s="1607"/>
      <c r="AE860" s="1607"/>
      <c r="AF860" s="1607"/>
      <c r="AG860" s="1607"/>
      <c r="AH860" s="1607"/>
      <c r="AI860" s="1607"/>
      <c r="AJ860" s="1607"/>
      <c r="AK860" s="1607"/>
      <c r="AL860" s="1607"/>
      <c r="AM860" s="1607"/>
      <c r="AN860" s="1607"/>
      <c r="AO860" s="1607"/>
      <c r="AP860" s="1607"/>
      <c r="AQ860" s="1607"/>
      <c r="AR860" s="1607"/>
      <c r="AS860" s="1607"/>
      <c r="AT860" s="1607"/>
      <c r="AU860" s="1607"/>
      <c r="AV860" s="1607"/>
      <c r="AW860" s="1607"/>
      <c r="AX860" s="1607"/>
      <c r="AY860" s="1607"/>
      <c r="AZ860" s="1607"/>
      <c r="BA860" s="1607"/>
      <c r="BB860" s="1607"/>
      <c r="BC860" s="1607"/>
      <c r="BD860" s="1607"/>
      <c r="BE860" s="1607"/>
      <c r="BF860" s="1607"/>
      <c r="BG860" s="1607"/>
      <c r="BH860" s="1607"/>
      <c r="BI860" s="1607"/>
      <c r="BJ860" s="1607"/>
      <c r="BK860" s="1607"/>
      <c r="BL860" s="1607"/>
    </row>
    <row r="861">
      <c r="A861" s="1607"/>
      <c r="B861" s="1607"/>
      <c r="C861" s="1607"/>
      <c r="D861" s="1607"/>
      <c r="E861" s="1607"/>
      <c r="F861" s="1607"/>
      <c r="G861" s="1607"/>
      <c r="H861" s="1607"/>
      <c r="I861" s="1607"/>
      <c r="J861" s="1607"/>
      <c r="K861" s="1607"/>
      <c r="L861" s="1607"/>
      <c r="M861" s="1607"/>
      <c r="N861" s="1607"/>
      <c r="O861" s="1607"/>
      <c r="P861" s="1607"/>
      <c r="Q861" s="1607"/>
      <c r="R861" s="1607"/>
      <c r="S861" s="1607"/>
      <c r="T861" s="1607"/>
      <c r="U861" s="1607"/>
      <c r="V861" s="1607"/>
      <c r="W861" s="1607"/>
      <c r="X861" s="1607"/>
      <c r="Y861" s="1607"/>
      <c r="Z861" s="1607"/>
      <c r="AA861" s="1607"/>
      <c r="AB861" s="1607"/>
      <c r="AC861" s="1607"/>
      <c r="AD861" s="1607"/>
      <c r="AE861" s="1607"/>
      <c r="AF861" s="1607"/>
      <c r="AG861" s="1607"/>
      <c r="AH861" s="1607"/>
      <c r="AI861" s="1607"/>
      <c r="AJ861" s="1607"/>
      <c r="AK861" s="1607"/>
      <c r="AL861" s="1607"/>
      <c r="AM861" s="1607"/>
      <c r="AN861" s="1607"/>
      <c r="AO861" s="1607"/>
      <c r="AP861" s="1607"/>
      <c r="AQ861" s="1607"/>
      <c r="AR861" s="1607"/>
      <c r="AS861" s="1607"/>
      <c r="AT861" s="1607"/>
      <c r="AU861" s="1607"/>
      <c r="AV861" s="1607"/>
      <c r="AW861" s="1607"/>
      <c r="AX861" s="1607"/>
      <c r="AY861" s="1607"/>
      <c r="AZ861" s="1607"/>
      <c r="BA861" s="1607"/>
      <c r="BB861" s="1607"/>
      <c r="BC861" s="1607"/>
      <c r="BD861" s="1607"/>
      <c r="BE861" s="1607"/>
      <c r="BF861" s="1607"/>
      <c r="BG861" s="1607"/>
      <c r="BH861" s="1607"/>
      <c r="BI861" s="1607"/>
      <c r="BJ861" s="1607"/>
      <c r="BK861" s="1607"/>
      <c r="BL861" s="1607"/>
    </row>
    <row r="862">
      <c r="A862" s="1607"/>
      <c r="B862" s="1607"/>
      <c r="C862" s="1607"/>
      <c r="D862" s="1607"/>
      <c r="E862" s="1607"/>
      <c r="F862" s="1607"/>
      <c r="G862" s="1607"/>
      <c r="H862" s="1607"/>
      <c r="I862" s="1607"/>
      <c r="J862" s="1607"/>
      <c r="K862" s="1607"/>
      <c r="L862" s="1607"/>
      <c r="M862" s="1607"/>
      <c r="N862" s="1607"/>
      <c r="O862" s="1607"/>
      <c r="P862" s="1607"/>
      <c r="Q862" s="1607"/>
      <c r="R862" s="1607"/>
      <c r="S862" s="1607"/>
      <c r="T862" s="1607"/>
      <c r="U862" s="1607"/>
      <c r="V862" s="1607"/>
      <c r="W862" s="1607"/>
      <c r="X862" s="1607"/>
      <c r="Y862" s="1607"/>
      <c r="Z862" s="1607"/>
      <c r="AA862" s="1607"/>
      <c r="AB862" s="1607"/>
      <c r="AC862" s="1607"/>
      <c r="AD862" s="1607"/>
      <c r="AE862" s="1607"/>
      <c r="AF862" s="1607"/>
      <c r="AG862" s="1607"/>
      <c r="AH862" s="1607"/>
      <c r="AI862" s="1607"/>
      <c r="AJ862" s="1607"/>
      <c r="AK862" s="1607"/>
      <c r="AL862" s="1607"/>
      <c r="AM862" s="1607"/>
      <c r="AN862" s="1607"/>
      <c r="AO862" s="1607"/>
      <c r="AP862" s="1607"/>
      <c r="AQ862" s="1607"/>
      <c r="AR862" s="1607"/>
      <c r="AS862" s="1607"/>
      <c r="AT862" s="1607"/>
      <c r="AU862" s="1607"/>
      <c r="AV862" s="1607"/>
      <c r="AW862" s="1607"/>
      <c r="AX862" s="1607"/>
      <c r="AY862" s="1607"/>
      <c r="AZ862" s="1607"/>
      <c r="BA862" s="1607"/>
      <c r="BB862" s="1607"/>
      <c r="BC862" s="1607"/>
      <c r="BD862" s="1607"/>
      <c r="BE862" s="1607"/>
      <c r="BF862" s="1607"/>
      <c r="BG862" s="1607"/>
      <c r="BH862" s="1607"/>
      <c r="BI862" s="1607"/>
      <c r="BJ862" s="1607"/>
      <c r="BK862" s="1607"/>
      <c r="BL862" s="1607"/>
    </row>
    <row r="863">
      <c r="A863" s="1607"/>
      <c r="B863" s="1607"/>
      <c r="C863" s="1607"/>
      <c r="D863" s="1607"/>
      <c r="E863" s="1607"/>
      <c r="F863" s="1607"/>
      <c r="G863" s="1607"/>
      <c r="H863" s="1607"/>
      <c r="I863" s="1607"/>
      <c r="J863" s="1607"/>
      <c r="K863" s="1607"/>
      <c r="L863" s="1607"/>
      <c r="M863" s="1607"/>
      <c r="N863" s="1607"/>
      <c r="O863" s="1607"/>
      <c r="P863" s="1607"/>
      <c r="Q863" s="1607"/>
      <c r="R863" s="1607"/>
      <c r="S863" s="1607"/>
      <c r="T863" s="1607"/>
      <c r="U863" s="1607"/>
      <c r="V863" s="1607"/>
      <c r="W863" s="1607"/>
      <c r="X863" s="1607"/>
      <c r="Y863" s="1607"/>
      <c r="Z863" s="1607"/>
      <c r="AA863" s="1607"/>
      <c r="AB863" s="1607"/>
      <c r="AC863" s="1607"/>
      <c r="AD863" s="1607"/>
      <c r="AE863" s="1607"/>
      <c r="AF863" s="1607"/>
      <c r="AG863" s="1607"/>
      <c r="AH863" s="1607"/>
      <c r="AI863" s="1607"/>
      <c r="AJ863" s="1607"/>
      <c r="AK863" s="1607"/>
      <c r="AL863" s="1607"/>
      <c r="AM863" s="1607"/>
      <c r="AN863" s="1607"/>
      <c r="AO863" s="1607"/>
      <c r="AP863" s="1607"/>
      <c r="AQ863" s="1607"/>
      <c r="AR863" s="1607"/>
      <c r="AS863" s="1607"/>
      <c r="AT863" s="1607"/>
      <c r="AU863" s="1607"/>
      <c r="AV863" s="1607"/>
      <c r="AW863" s="1607"/>
      <c r="AX863" s="1607"/>
      <c r="AY863" s="1607"/>
      <c r="AZ863" s="1607"/>
      <c r="BA863" s="1607"/>
      <c r="BB863" s="1607"/>
      <c r="BC863" s="1607"/>
      <c r="BD863" s="1607"/>
      <c r="BE863" s="1607"/>
      <c r="BF863" s="1607"/>
      <c r="BG863" s="1607"/>
      <c r="BH863" s="1607"/>
      <c r="BI863" s="1607"/>
      <c r="BJ863" s="1607"/>
      <c r="BK863" s="1607"/>
      <c r="BL863" s="1607"/>
    </row>
    <row r="864">
      <c r="A864" s="1607"/>
      <c r="B864" s="1607"/>
      <c r="C864" s="1607"/>
      <c r="D864" s="1607"/>
      <c r="E864" s="1607"/>
      <c r="F864" s="1607"/>
      <c r="G864" s="1607"/>
      <c r="H864" s="1607"/>
      <c r="I864" s="1607"/>
      <c r="J864" s="1607"/>
      <c r="K864" s="1607"/>
      <c r="L864" s="1607"/>
      <c r="M864" s="1607"/>
      <c r="N864" s="1607"/>
      <c r="O864" s="1607"/>
      <c r="P864" s="1607"/>
      <c r="Q864" s="1607"/>
      <c r="R864" s="1607"/>
      <c r="S864" s="1607"/>
      <c r="T864" s="1607"/>
      <c r="U864" s="1607"/>
      <c r="V864" s="1607"/>
      <c r="W864" s="1607"/>
      <c r="X864" s="1607"/>
      <c r="Y864" s="1607"/>
      <c r="Z864" s="1607"/>
      <c r="AA864" s="1607"/>
      <c r="AB864" s="1607"/>
      <c r="AC864" s="1607"/>
      <c r="AD864" s="1607"/>
      <c r="AE864" s="1607"/>
      <c r="AF864" s="1607"/>
      <c r="AG864" s="1607"/>
      <c r="AH864" s="1607"/>
      <c r="AI864" s="1607"/>
      <c r="AJ864" s="1607"/>
      <c r="AK864" s="1607"/>
      <c r="AL864" s="1607"/>
      <c r="AM864" s="1607"/>
      <c r="AN864" s="1607"/>
      <c r="AO864" s="1607"/>
      <c r="AP864" s="1607"/>
      <c r="AQ864" s="1607"/>
      <c r="AR864" s="1607"/>
      <c r="AS864" s="1607"/>
      <c r="AT864" s="1607"/>
      <c r="AU864" s="1607"/>
      <c r="AV864" s="1607"/>
      <c r="AW864" s="1607"/>
      <c r="AX864" s="1607"/>
      <c r="AY864" s="1607"/>
      <c r="AZ864" s="1607"/>
      <c r="BA864" s="1607"/>
      <c r="BB864" s="1607"/>
      <c r="BC864" s="1607"/>
      <c r="BD864" s="1607"/>
      <c r="BE864" s="1607"/>
      <c r="BF864" s="1607"/>
      <c r="BG864" s="1607"/>
      <c r="BH864" s="1607"/>
      <c r="BI864" s="1607"/>
      <c r="BJ864" s="1607"/>
      <c r="BK864" s="1607"/>
      <c r="BL864" s="1607"/>
    </row>
    <row r="865">
      <c r="A865" s="1607"/>
      <c r="B865" s="1607"/>
      <c r="C865" s="1607"/>
      <c r="D865" s="1607"/>
      <c r="E865" s="1607"/>
      <c r="F865" s="1607"/>
      <c r="G865" s="1607"/>
      <c r="H865" s="1607"/>
      <c r="I865" s="1607"/>
      <c r="J865" s="1607"/>
      <c r="K865" s="1607"/>
      <c r="L865" s="1607"/>
      <c r="M865" s="1607"/>
      <c r="N865" s="1607"/>
      <c r="O865" s="1607"/>
      <c r="P865" s="1607"/>
      <c r="Q865" s="1607"/>
      <c r="R865" s="1607"/>
      <c r="S865" s="1607"/>
      <c r="T865" s="1607"/>
      <c r="U865" s="1607"/>
      <c r="V865" s="1607"/>
      <c r="W865" s="1607"/>
      <c r="X865" s="1607"/>
      <c r="Y865" s="1607"/>
      <c r="Z865" s="1607"/>
      <c r="AA865" s="1607"/>
      <c r="AB865" s="1607"/>
      <c r="AC865" s="1607"/>
      <c r="AD865" s="1607"/>
      <c r="AE865" s="1607"/>
      <c r="AF865" s="1607"/>
      <c r="AG865" s="1607"/>
      <c r="AH865" s="1607"/>
      <c r="AI865" s="1607"/>
      <c r="AJ865" s="1607"/>
      <c r="AK865" s="1607"/>
      <c r="AL865" s="1607"/>
      <c r="AM865" s="1607"/>
      <c r="AN865" s="1607"/>
      <c r="AO865" s="1607"/>
      <c r="AP865" s="1607"/>
      <c r="AQ865" s="1607"/>
      <c r="AR865" s="1607"/>
      <c r="AS865" s="1607"/>
      <c r="AT865" s="1607"/>
      <c r="AU865" s="1607"/>
      <c r="AV865" s="1607"/>
      <c r="AW865" s="1607"/>
      <c r="AX865" s="1607"/>
      <c r="AY865" s="1607"/>
      <c r="AZ865" s="1607"/>
      <c r="BA865" s="1607"/>
      <c r="BB865" s="1607"/>
      <c r="BC865" s="1607"/>
      <c r="BD865" s="1607"/>
      <c r="BE865" s="1607"/>
      <c r="BF865" s="1607"/>
      <c r="BG865" s="1607"/>
      <c r="BH865" s="1607"/>
      <c r="BI865" s="1607"/>
      <c r="BJ865" s="1607"/>
      <c r="BK865" s="1607"/>
      <c r="BL865" s="1607"/>
    </row>
    <row r="866">
      <c r="A866" s="1607"/>
      <c r="B866" s="1607"/>
      <c r="C866" s="1607"/>
      <c r="D866" s="1607"/>
      <c r="E866" s="1607"/>
      <c r="F866" s="1607"/>
      <c r="G866" s="1607"/>
      <c r="H866" s="1607"/>
      <c r="I866" s="1607"/>
      <c r="J866" s="1607"/>
      <c r="K866" s="1607"/>
      <c r="L866" s="1607"/>
      <c r="M866" s="1607"/>
      <c r="N866" s="1607"/>
      <c r="O866" s="1607"/>
      <c r="P866" s="1607"/>
      <c r="Q866" s="1607"/>
      <c r="R866" s="1607"/>
      <c r="S866" s="1607"/>
      <c r="T866" s="1607"/>
      <c r="U866" s="1607"/>
      <c r="V866" s="1607"/>
      <c r="W866" s="1607"/>
      <c r="X866" s="1607"/>
      <c r="Y866" s="1607"/>
      <c r="Z866" s="1607"/>
      <c r="AA866" s="1607"/>
      <c r="AB866" s="1607"/>
      <c r="AC866" s="1607"/>
      <c r="AD866" s="1607"/>
      <c r="AE866" s="1607"/>
      <c r="AF866" s="1607"/>
      <c r="AG866" s="1607"/>
      <c r="AH866" s="1607"/>
      <c r="AI866" s="1607"/>
      <c r="AJ866" s="1607"/>
      <c r="AK866" s="1607"/>
      <c r="AL866" s="1607"/>
      <c r="AM866" s="1607"/>
      <c r="AN866" s="1607"/>
      <c r="AO866" s="1607"/>
      <c r="AP866" s="1607"/>
      <c r="AQ866" s="1607"/>
      <c r="AR866" s="1607"/>
      <c r="AS866" s="1607"/>
      <c r="AT866" s="1607"/>
      <c r="AU866" s="1607"/>
      <c r="AV866" s="1607"/>
      <c r="AW866" s="1607"/>
      <c r="AX866" s="1607"/>
      <c r="AY866" s="1607"/>
      <c r="AZ866" s="1607"/>
      <c r="BA866" s="1607"/>
      <c r="BB866" s="1607"/>
      <c r="BC866" s="1607"/>
      <c r="BD866" s="1607"/>
      <c r="BE866" s="1607"/>
      <c r="BF866" s="1607"/>
      <c r="BG866" s="1607"/>
      <c r="BH866" s="1607"/>
      <c r="BI866" s="1607"/>
      <c r="BJ866" s="1607"/>
      <c r="BK866" s="1607"/>
      <c r="BL866" s="1607"/>
    </row>
    <row r="867">
      <c r="A867" s="1607"/>
      <c r="B867" s="1607"/>
      <c r="C867" s="1607"/>
      <c r="D867" s="1607"/>
      <c r="E867" s="1607"/>
      <c r="F867" s="1607"/>
      <c r="G867" s="1607"/>
      <c r="H867" s="1607"/>
      <c r="I867" s="1607"/>
      <c r="J867" s="1607"/>
      <c r="K867" s="1607"/>
      <c r="L867" s="1607"/>
      <c r="M867" s="1607"/>
      <c r="N867" s="1607"/>
      <c r="O867" s="1607"/>
      <c r="P867" s="1607"/>
      <c r="Q867" s="1607"/>
      <c r="R867" s="1607"/>
      <c r="S867" s="1607"/>
      <c r="T867" s="1607"/>
      <c r="U867" s="1607"/>
      <c r="V867" s="1607"/>
      <c r="W867" s="1607"/>
      <c r="X867" s="1607"/>
      <c r="Y867" s="1607"/>
      <c r="Z867" s="1607"/>
      <c r="AA867" s="1607"/>
      <c r="AB867" s="1607"/>
      <c r="AC867" s="1607"/>
      <c r="AD867" s="1607"/>
      <c r="AE867" s="1607"/>
      <c r="AF867" s="1607"/>
      <c r="AG867" s="1607"/>
      <c r="AH867" s="1607"/>
      <c r="AI867" s="1607"/>
      <c r="AJ867" s="1607"/>
      <c r="AK867" s="1607"/>
      <c r="AL867" s="1607"/>
      <c r="AM867" s="1607"/>
      <c r="AN867" s="1607"/>
      <c r="AO867" s="1607"/>
      <c r="AP867" s="1607"/>
      <c r="AQ867" s="1607"/>
      <c r="AR867" s="1607"/>
      <c r="AS867" s="1607"/>
      <c r="AT867" s="1607"/>
      <c r="AU867" s="1607"/>
      <c r="AV867" s="1607"/>
      <c r="AW867" s="1607"/>
      <c r="AX867" s="1607"/>
      <c r="AY867" s="1607"/>
      <c r="AZ867" s="1607"/>
      <c r="BA867" s="1607"/>
      <c r="BB867" s="1607"/>
      <c r="BC867" s="1607"/>
      <c r="BD867" s="1607"/>
      <c r="BE867" s="1607"/>
      <c r="BF867" s="1607"/>
      <c r="BG867" s="1607"/>
      <c r="BH867" s="1607"/>
      <c r="BI867" s="1607"/>
      <c r="BJ867" s="1607"/>
      <c r="BK867" s="1607"/>
      <c r="BL867" s="1607"/>
    </row>
    <row r="868">
      <c r="A868" s="1607"/>
      <c r="B868" s="1607"/>
      <c r="C868" s="1607"/>
      <c r="D868" s="1607"/>
      <c r="E868" s="1607"/>
      <c r="F868" s="1607"/>
      <c r="G868" s="1607"/>
      <c r="H868" s="1607"/>
      <c r="I868" s="1607"/>
      <c r="J868" s="1607"/>
      <c r="K868" s="1607"/>
      <c r="L868" s="1607"/>
      <c r="M868" s="1607"/>
      <c r="N868" s="1607"/>
      <c r="O868" s="1607"/>
      <c r="P868" s="1607"/>
      <c r="Q868" s="1607"/>
      <c r="R868" s="1607"/>
      <c r="S868" s="1607"/>
      <c r="T868" s="1607"/>
      <c r="U868" s="1607"/>
      <c r="V868" s="1607"/>
      <c r="W868" s="1607"/>
      <c r="X868" s="1607"/>
      <c r="Y868" s="1607"/>
      <c r="Z868" s="1607"/>
      <c r="AA868" s="1607"/>
      <c r="AB868" s="1607"/>
      <c r="AC868" s="1607"/>
      <c r="AD868" s="1607"/>
      <c r="AE868" s="1607"/>
      <c r="AF868" s="1607"/>
      <c r="AG868" s="1607"/>
      <c r="AH868" s="1607"/>
      <c r="AI868" s="1607"/>
      <c r="AJ868" s="1607"/>
      <c r="AK868" s="1607"/>
      <c r="AL868" s="1607"/>
      <c r="AM868" s="1607"/>
      <c r="AN868" s="1607"/>
      <c r="AO868" s="1607"/>
      <c r="AP868" s="1607"/>
      <c r="AQ868" s="1607"/>
      <c r="AR868" s="1607"/>
      <c r="AS868" s="1607"/>
      <c r="AT868" s="1607"/>
      <c r="AU868" s="1607"/>
      <c r="AV868" s="1607"/>
      <c r="AW868" s="1607"/>
      <c r="AX868" s="1607"/>
      <c r="AY868" s="1607"/>
      <c r="AZ868" s="1607"/>
      <c r="BA868" s="1607"/>
      <c r="BB868" s="1607"/>
      <c r="BC868" s="1607"/>
      <c r="BD868" s="1607"/>
      <c r="BE868" s="1607"/>
      <c r="BF868" s="1607"/>
      <c r="BG868" s="1607"/>
      <c r="BH868" s="1607"/>
      <c r="BI868" s="1607"/>
      <c r="BJ868" s="1607"/>
      <c r="BK868" s="1607"/>
      <c r="BL868" s="1607"/>
    </row>
    <row r="869">
      <c r="A869" s="1607"/>
      <c r="B869" s="1607"/>
      <c r="C869" s="1607"/>
      <c r="D869" s="1607"/>
      <c r="E869" s="1607"/>
      <c r="F869" s="1607"/>
      <c r="G869" s="1607"/>
      <c r="H869" s="1607"/>
      <c r="I869" s="1607"/>
      <c r="J869" s="1607"/>
      <c r="K869" s="1607"/>
      <c r="L869" s="1607"/>
      <c r="M869" s="1607"/>
      <c r="N869" s="1607"/>
      <c r="O869" s="1607"/>
      <c r="P869" s="1607"/>
      <c r="Q869" s="1607"/>
      <c r="R869" s="1607"/>
      <c r="S869" s="1607"/>
      <c r="T869" s="1607"/>
      <c r="U869" s="1607"/>
      <c r="V869" s="1607"/>
      <c r="W869" s="1607"/>
      <c r="X869" s="1607"/>
      <c r="Y869" s="1607"/>
      <c r="Z869" s="1607"/>
      <c r="AA869" s="1607"/>
      <c r="AB869" s="1607"/>
      <c r="AC869" s="1607"/>
      <c r="AD869" s="1607"/>
      <c r="AE869" s="1607"/>
      <c r="AF869" s="1607"/>
      <c r="AG869" s="1607"/>
      <c r="AH869" s="1607"/>
      <c r="AI869" s="1607"/>
      <c r="AJ869" s="1607"/>
      <c r="AK869" s="1607"/>
      <c r="AL869" s="1607"/>
      <c r="AM869" s="1607"/>
      <c r="AN869" s="1607"/>
      <c r="AO869" s="1607"/>
      <c r="AP869" s="1607"/>
      <c r="AQ869" s="1607"/>
      <c r="AR869" s="1607"/>
      <c r="AS869" s="1607"/>
      <c r="AT869" s="1607"/>
      <c r="AU869" s="1607"/>
      <c r="AV869" s="1607"/>
      <c r="AW869" s="1607"/>
      <c r="AX869" s="1607"/>
      <c r="AY869" s="1607"/>
      <c r="AZ869" s="1607"/>
      <c r="BA869" s="1607"/>
      <c r="BB869" s="1607"/>
      <c r="BC869" s="1607"/>
      <c r="BD869" s="1607"/>
      <c r="BE869" s="1607"/>
      <c r="BF869" s="1607"/>
      <c r="BG869" s="1607"/>
      <c r="BH869" s="1607"/>
      <c r="BI869" s="1607"/>
      <c r="BJ869" s="1607"/>
      <c r="BK869" s="1607"/>
      <c r="BL869" s="1607"/>
    </row>
    <row r="870">
      <c r="A870" s="1607"/>
      <c r="B870" s="1607"/>
      <c r="C870" s="1607"/>
      <c r="D870" s="1607"/>
      <c r="E870" s="1607"/>
      <c r="F870" s="1607"/>
      <c r="G870" s="1607"/>
      <c r="H870" s="1607"/>
      <c r="I870" s="1607"/>
      <c r="J870" s="1607"/>
      <c r="K870" s="1607"/>
      <c r="L870" s="1607"/>
      <c r="M870" s="1607"/>
      <c r="N870" s="1607"/>
      <c r="O870" s="1607"/>
      <c r="P870" s="1607"/>
      <c r="Q870" s="1607"/>
      <c r="R870" s="1607"/>
      <c r="S870" s="1607"/>
      <c r="T870" s="1607"/>
      <c r="U870" s="1607"/>
      <c r="V870" s="1607"/>
      <c r="W870" s="1607"/>
      <c r="X870" s="1607"/>
      <c r="Y870" s="1607"/>
      <c r="Z870" s="1607"/>
      <c r="AA870" s="1607"/>
      <c r="AB870" s="1607"/>
      <c r="AC870" s="1607"/>
      <c r="AD870" s="1607"/>
      <c r="AE870" s="1607"/>
      <c r="AF870" s="1607"/>
      <c r="AG870" s="1607"/>
      <c r="AH870" s="1607"/>
      <c r="AI870" s="1607"/>
      <c r="AJ870" s="1607"/>
      <c r="AK870" s="1607"/>
      <c r="AL870" s="1607"/>
      <c r="AM870" s="1607"/>
      <c r="AN870" s="1607"/>
      <c r="AO870" s="1607"/>
      <c r="AP870" s="1607"/>
      <c r="AQ870" s="1607"/>
      <c r="AR870" s="1607"/>
      <c r="AS870" s="1607"/>
      <c r="AT870" s="1607"/>
      <c r="AU870" s="1607"/>
      <c r="AV870" s="1607"/>
      <c r="AW870" s="1607"/>
      <c r="AX870" s="1607"/>
      <c r="AY870" s="1607"/>
      <c r="AZ870" s="1607"/>
      <c r="BA870" s="1607"/>
      <c r="BB870" s="1607"/>
      <c r="BC870" s="1607"/>
      <c r="BD870" s="1607"/>
      <c r="BE870" s="1607"/>
      <c r="BF870" s="1607"/>
      <c r="BG870" s="1607"/>
      <c r="BH870" s="1607"/>
      <c r="BI870" s="1607"/>
      <c r="BJ870" s="1607"/>
      <c r="BK870" s="1607"/>
      <c r="BL870" s="1607"/>
    </row>
    <row r="871">
      <c r="A871" s="1607"/>
      <c r="B871" s="1607"/>
      <c r="C871" s="1607"/>
      <c r="D871" s="1607"/>
      <c r="E871" s="1607"/>
      <c r="F871" s="1607"/>
      <c r="G871" s="1607"/>
      <c r="H871" s="1607"/>
      <c r="I871" s="1607"/>
      <c r="J871" s="1607"/>
      <c r="K871" s="1607"/>
      <c r="L871" s="1607"/>
      <c r="M871" s="1607"/>
      <c r="N871" s="1607"/>
      <c r="O871" s="1607"/>
      <c r="P871" s="1607"/>
      <c r="Q871" s="1607"/>
      <c r="R871" s="1607"/>
      <c r="S871" s="1607"/>
      <c r="T871" s="1607"/>
      <c r="U871" s="1607"/>
      <c r="V871" s="1607"/>
      <c r="W871" s="1607"/>
      <c r="X871" s="1607"/>
      <c r="Y871" s="1607"/>
      <c r="Z871" s="1607"/>
      <c r="AA871" s="1607"/>
      <c r="AB871" s="1607"/>
      <c r="AC871" s="1607"/>
      <c r="AD871" s="1607"/>
      <c r="AE871" s="1607"/>
      <c r="AF871" s="1607"/>
      <c r="AG871" s="1607"/>
      <c r="AH871" s="1607"/>
      <c r="AI871" s="1607"/>
      <c r="AJ871" s="1607"/>
      <c r="AK871" s="1607"/>
      <c r="AL871" s="1607"/>
      <c r="AM871" s="1607"/>
      <c r="AN871" s="1607"/>
      <c r="AO871" s="1607"/>
      <c r="AP871" s="1607"/>
      <c r="AQ871" s="1607"/>
      <c r="AR871" s="1607"/>
      <c r="AS871" s="1607"/>
      <c r="AT871" s="1607"/>
      <c r="AU871" s="1607"/>
      <c r="AV871" s="1607"/>
      <c r="AW871" s="1607"/>
      <c r="AX871" s="1607"/>
      <c r="AY871" s="1607"/>
      <c r="AZ871" s="1607"/>
      <c r="BA871" s="1607"/>
      <c r="BB871" s="1607"/>
      <c r="BC871" s="1607"/>
      <c r="BD871" s="1607"/>
      <c r="BE871" s="1607"/>
      <c r="BF871" s="1607"/>
      <c r="BG871" s="1607"/>
      <c r="BH871" s="1607"/>
      <c r="BI871" s="1607"/>
      <c r="BJ871" s="1607"/>
      <c r="BK871" s="1607"/>
      <c r="BL871" s="1607"/>
    </row>
    <row r="872">
      <c r="A872" s="1607"/>
      <c r="B872" s="1607"/>
      <c r="C872" s="1607"/>
      <c r="D872" s="1607"/>
      <c r="E872" s="1607"/>
      <c r="F872" s="1607"/>
      <c r="G872" s="1607"/>
      <c r="H872" s="1607"/>
      <c r="I872" s="1607"/>
      <c r="J872" s="1607"/>
      <c r="K872" s="1607"/>
      <c r="L872" s="1607"/>
      <c r="M872" s="1607"/>
      <c r="N872" s="1607"/>
      <c r="O872" s="1607"/>
      <c r="P872" s="1607"/>
      <c r="Q872" s="1607"/>
      <c r="R872" s="1607"/>
      <c r="S872" s="1607"/>
      <c r="T872" s="1607"/>
      <c r="U872" s="1607"/>
      <c r="V872" s="1607"/>
      <c r="W872" s="1607"/>
      <c r="X872" s="1607"/>
      <c r="Y872" s="1607"/>
      <c r="Z872" s="1607"/>
      <c r="AA872" s="1607"/>
      <c r="AB872" s="1607"/>
      <c r="AC872" s="1607"/>
      <c r="AD872" s="1607"/>
      <c r="AE872" s="1607"/>
      <c r="AF872" s="1607"/>
      <c r="AG872" s="1607"/>
      <c r="AH872" s="1607"/>
      <c r="AI872" s="1607"/>
      <c r="AJ872" s="1607"/>
      <c r="AK872" s="1607"/>
      <c r="AL872" s="1607"/>
      <c r="AM872" s="1607"/>
      <c r="AN872" s="1607"/>
      <c r="AO872" s="1607"/>
      <c r="AP872" s="1607"/>
      <c r="AQ872" s="1607"/>
      <c r="AR872" s="1607"/>
      <c r="AS872" s="1607"/>
      <c r="AT872" s="1607"/>
      <c r="AU872" s="1607"/>
      <c r="AV872" s="1607"/>
      <c r="AW872" s="1607"/>
      <c r="AX872" s="1607"/>
      <c r="AY872" s="1607"/>
      <c r="AZ872" s="1607"/>
      <c r="BA872" s="1607"/>
      <c r="BB872" s="1607"/>
      <c r="BC872" s="1607"/>
      <c r="BD872" s="1607"/>
      <c r="BE872" s="1607"/>
      <c r="BF872" s="1607"/>
      <c r="BG872" s="1607"/>
      <c r="BH872" s="1607"/>
      <c r="BI872" s="1607"/>
      <c r="BJ872" s="1607"/>
      <c r="BK872" s="1607"/>
      <c r="BL872" s="1607"/>
    </row>
    <row r="873">
      <c r="A873" s="1607"/>
      <c r="B873" s="1607"/>
      <c r="C873" s="1607"/>
      <c r="D873" s="1607"/>
      <c r="E873" s="1607"/>
      <c r="F873" s="1607"/>
      <c r="G873" s="1607"/>
      <c r="H873" s="1607"/>
      <c r="I873" s="1607"/>
      <c r="J873" s="1607"/>
      <c r="K873" s="1607"/>
      <c r="L873" s="1607"/>
      <c r="M873" s="1607"/>
      <c r="N873" s="1607"/>
      <c r="O873" s="1607"/>
      <c r="P873" s="1607"/>
      <c r="Q873" s="1607"/>
      <c r="R873" s="1607"/>
      <c r="S873" s="1607"/>
      <c r="T873" s="1607"/>
      <c r="U873" s="1607"/>
      <c r="V873" s="1607"/>
      <c r="W873" s="1607"/>
      <c r="X873" s="1607"/>
      <c r="Y873" s="1607"/>
      <c r="Z873" s="1607"/>
      <c r="AA873" s="1607"/>
      <c r="AB873" s="1607"/>
      <c r="AC873" s="1607"/>
      <c r="AD873" s="1607"/>
      <c r="AE873" s="1607"/>
      <c r="AF873" s="1607"/>
      <c r="AG873" s="1607"/>
      <c r="AH873" s="1607"/>
      <c r="AI873" s="1607"/>
      <c r="AJ873" s="1607"/>
      <c r="AK873" s="1607"/>
      <c r="AL873" s="1607"/>
      <c r="AM873" s="1607"/>
      <c r="AN873" s="1607"/>
      <c r="AO873" s="1607"/>
      <c r="AP873" s="1607"/>
      <c r="AQ873" s="1607"/>
      <c r="AR873" s="1607"/>
      <c r="AS873" s="1607"/>
      <c r="AT873" s="1607"/>
      <c r="AU873" s="1607"/>
      <c r="AV873" s="1607"/>
      <c r="AW873" s="1607"/>
      <c r="AX873" s="1607"/>
      <c r="AY873" s="1607"/>
      <c r="AZ873" s="1607"/>
      <c r="BA873" s="1607"/>
      <c r="BB873" s="1607"/>
      <c r="BC873" s="1607"/>
      <c r="BD873" s="1607"/>
      <c r="BE873" s="1607"/>
      <c r="BF873" s="1607"/>
      <c r="BG873" s="1607"/>
      <c r="BH873" s="1607"/>
      <c r="BI873" s="1607"/>
      <c r="BJ873" s="1607"/>
      <c r="BK873" s="1607"/>
      <c r="BL873" s="1607"/>
    </row>
    <row r="874">
      <c r="A874" s="1607"/>
      <c r="B874" s="1607"/>
      <c r="C874" s="1607"/>
      <c r="D874" s="1607"/>
      <c r="E874" s="1607"/>
      <c r="F874" s="1607"/>
      <c r="G874" s="1607"/>
      <c r="H874" s="1607"/>
      <c r="I874" s="1607"/>
      <c r="J874" s="1607"/>
      <c r="K874" s="1607"/>
      <c r="L874" s="1607"/>
      <c r="M874" s="1607"/>
      <c r="N874" s="1607"/>
      <c r="O874" s="1607"/>
      <c r="P874" s="1607"/>
      <c r="Q874" s="1607"/>
      <c r="R874" s="1607"/>
      <c r="S874" s="1607"/>
      <c r="T874" s="1607"/>
      <c r="U874" s="1607"/>
      <c r="V874" s="1607"/>
      <c r="W874" s="1607"/>
      <c r="X874" s="1607"/>
      <c r="Y874" s="1607"/>
      <c r="Z874" s="1607"/>
      <c r="AA874" s="1607"/>
      <c r="AB874" s="1607"/>
      <c r="AC874" s="1607"/>
      <c r="AD874" s="1607"/>
      <c r="AE874" s="1607"/>
      <c r="AF874" s="1607"/>
      <c r="AG874" s="1607"/>
      <c r="AH874" s="1607"/>
      <c r="AI874" s="1607"/>
      <c r="AJ874" s="1607"/>
      <c r="AK874" s="1607"/>
      <c r="AL874" s="1607"/>
      <c r="AM874" s="1607"/>
      <c r="AN874" s="1607"/>
      <c r="AO874" s="1607"/>
      <c r="AP874" s="1607"/>
      <c r="AQ874" s="1607"/>
      <c r="AR874" s="1607"/>
      <c r="AS874" s="1607"/>
      <c r="AT874" s="1607"/>
      <c r="AU874" s="1607"/>
      <c r="AV874" s="1607"/>
      <c r="AW874" s="1607"/>
      <c r="AX874" s="1607"/>
      <c r="AY874" s="1607"/>
      <c r="AZ874" s="1607"/>
      <c r="BA874" s="1607"/>
      <c r="BB874" s="1607"/>
      <c r="BC874" s="1607"/>
      <c r="BD874" s="1607"/>
      <c r="BE874" s="1607"/>
      <c r="BF874" s="1607"/>
      <c r="BG874" s="1607"/>
      <c r="BH874" s="1607"/>
      <c r="BI874" s="1607"/>
      <c r="BJ874" s="1607"/>
      <c r="BK874" s="1607"/>
      <c r="BL874" s="1607"/>
    </row>
    <row r="875">
      <c r="A875" s="1607"/>
      <c r="B875" s="1607"/>
      <c r="C875" s="1607"/>
      <c r="D875" s="1607"/>
      <c r="E875" s="1607"/>
      <c r="F875" s="1607"/>
      <c r="G875" s="1607"/>
      <c r="H875" s="1607"/>
      <c r="I875" s="1607"/>
      <c r="J875" s="1607"/>
      <c r="K875" s="1607"/>
      <c r="L875" s="1607"/>
      <c r="M875" s="1607"/>
      <c r="N875" s="1607"/>
      <c r="O875" s="1607"/>
      <c r="P875" s="1607"/>
      <c r="Q875" s="1607"/>
      <c r="R875" s="1607"/>
      <c r="S875" s="1607"/>
      <c r="T875" s="1607"/>
      <c r="U875" s="1607"/>
      <c r="V875" s="1607"/>
      <c r="W875" s="1607"/>
      <c r="X875" s="1607"/>
      <c r="Y875" s="1607"/>
      <c r="Z875" s="1607"/>
      <c r="AA875" s="1607"/>
      <c r="AB875" s="1607"/>
      <c r="AC875" s="1607"/>
      <c r="AD875" s="1607"/>
      <c r="AE875" s="1607"/>
      <c r="AF875" s="1607"/>
      <c r="AG875" s="1607"/>
      <c r="AH875" s="1607"/>
      <c r="AI875" s="1607"/>
      <c r="AJ875" s="1607"/>
      <c r="AK875" s="1607"/>
      <c r="AL875" s="1607"/>
      <c r="AM875" s="1607"/>
      <c r="AN875" s="1607"/>
      <c r="AO875" s="1607"/>
      <c r="AP875" s="1607"/>
      <c r="AQ875" s="1607"/>
      <c r="AR875" s="1607"/>
      <c r="AS875" s="1607"/>
      <c r="AT875" s="1607"/>
      <c r="AU875" s="1607"/>
      <c r="AV875" s="1607"/>
      <c r="AW875" s="1607"/>
      <c r="AX875" s="1607"/>
      <c r="AY875" s="1607"/>
      <c r="AZ875" s="1607"/>
      <c r="BA875" s="1607"/>
      <c r="BB875" s="1607"/>
      <c r="BC875" s="1607"/>
      <c r="BD875" s="1607"/>
      <c r="BE875" s="1607"/>
      <c r="BF875" s="1607"/>
      <c r="BG875" s="1607"/>
      <c r="BH875" s="1607"/>
      <c r="BI875" s="1607"/>
      <c r="BJ875" s="1607"/>
      <c r="BK875" s="1607"/>
      <c r="BL875" s="1607"/>
    </row>
    <row r="876">
      <c r="A876" s="1607"/>
      <c r="B876" s="1607"/>
      <c r="C876" s="1607"/>
      <c r="D876" s="1607"/>
      <c r="E876" s="1607"/>
      <c r="F876" s="1607"/>
      <c r="G876" s="1607"/>
      <c r="H876" s="1607"/>
      <c r="I876" s="1607"/>
      <c r="J876" s="1607"/>
      <c r="K876" s="1607"/>
      <c r="L876" s="1607"/>
      <c r="M876" s="1607"/>
      <c r="N876" s="1607"/>
      <c r="O876" s="1607"/>
      <c r="P876" s="1607"/>
      <c r="Q876" s="1607"/>
      <c r="R876" s="1607"/>
      <c r="S876" s="1607"/>
      <c r="T876" s="1607"/>
      <c r="U876" s="1607"/>
      <c r="V876" s="1607"/>
      <c r="W876" s="1607"/>
      <c r="X876" s="1607"/>
      <c r="Y876" s="1607"/>
      <c r="Z876" s="1607"/>
      <c r="AA876" s="1607"/>
      <c r="AB876" s="1607"/>
      <c r="AC876" s="1607"/>
      <c r="AD876" s="1607"/>
      <c r="AE876" s="1607"/>
      <c r="AF876" s="1607"/>
      <c r="AG876" s="1607"/>
      <c r="AH876" s="1607"/>
      <c r="AI876" s="1607"/>
      <c r="AJ876" s="1607"/>
      <c r="AK876" s="1607"/>
      <c r="AL876" s="1607"/>
      <c r="AM876" s="1607"/>
      <c r="AN876" s="1607"/>
      <c r="AO876" s="1607"/>
      <c r="AP876" s="1607"/>
      <c r="AQ876" s="1607"/>
      <c r="AR876" s="1607"/>
      <c r="AS876" s="1607"/>
      <c r="AT876" s="1607"/>
      <c r="AU876" s="1607"/>
      <c r="AV876" s="1607"/>
      <c r="AW876" s="1607"/>
      <c r="AX876" s="1607"/>
      <c r="AY876" s="1607"/>
      <c r="AZ876" s="1607"/>
      <c r="BA876" s="1607"/>
      <c r="BB876" s="1607"/>
      <c r="BC876" s="1607"/>
      <c r="BD876" s="1607"/>
      <c r="BE876" s="1607"/>
      <c r="BF876" s="1607"/>
      <c r="BG876" s="1607"/>
      <c r="BH876" s="1607"/>
      <c r="BI876" s="1607"/>
      <c r="BJ876" s="1607"/>
      <c r="BK876" s="1607"/>
      <c r="BL876" s="1607"/>
    </row>
    <row r="877">
      <c r="A877" s="1607"/>
      <c r="B877" s="1607"/>
      <c r="C877" s="1607"/>
      <c r="D877" s="1607"/>
      <c r="E877" s="1607"/>
      <c r="F877" s="1607"/>
      <c r="G877" s="1607"/>
      <c r="H877" s="1607"/>
      <c r="I877" s="1607"/>
      <c r="J877" s="1607"/>
      <c r="K877" s="1607"/>
      <c r="L877" s="1607"/>
      <c r="M877" s="1607"/>
      <c r="N877" s="1607"/>
      <c r="O877" s="1607"/>
      <c r="P877" s="1607"/>
      <c r="Q877" s="1607"/>
      <c r="R877" s="1607"/>
      <c r="S877" s="1607"/>
      <c r="T877" s="1607"/>
      <c r="U877" s="1607"/>
      <c r="V877" s="1607"/>
      <c r="W877" s="1607"/>
      <c r="X877" s="1607"/>
      <c r="Y877" s="1607"/>
      <c r="Z877" s="1607"/>
      <c r="AA877" s="1607"/>
      <c r="AB877" s="1607"/>
      <c r="AC877" s="1607"/>
      <c r="AD877" s="1607"/>
      <c r="AE877" s="1607"/>
      <c r="AF877" s="1607"/>
      <c r="AG877" s="1607"/>
      <c r="AH877" s="1607"/>
      <c r="AI877" s="1607"/>
      <c r="AJ877" s="1607"/>
      <c r="AK877" s="1607"/>
      <c r="AL877" s="1607"/>
      <c r="AM877" s="1607"/>
      <c r="AN877" s="1607"/>
      <c r="AO877" s="1607"/>
      <c r="AP877" s="1607"/>
      <c r="AQ877" s="1607"/>
      <c r="AR877" s="1607"/>
      <c r="AS877" s="1607"/>
      <c r="AT877" s="1607"/>
      <c r="AU877" s="1607"/>
      <c r="AV877" s="1607"/>
      <c r="AW877" s="1607"/>
      <c r="AX877" s="1607"/>
      <c r="AY877" s="1607"/>
      <c r="AZ877" s="1607"/>
      <c r="BA877" s="1607"/>
      <c r="BB877" s="1607"/>
      <c r="BC877" s="1607"/>
      <c r="BD877" s="1607"/>
      <c r="BE877" s="1607"/>
      <c r="BF877" s="1607"/>
      <c r="BG877" s="1607"/>
      <c r="BH877" s="1607"/>
      <c r="BI877" s="1607"/>
      <c r="BJ877" s="1607"/>
      <c r="BK877" s="1607"/>
      <c r="BL877" s="1607"/>
    </row>
    <row r="878">
      <c r="A878" s="1607"/>
      <c r="B878" s="1607"/>
      <c r="C878" s="1607"/>
      <c r="D878" s="1607"/>
      <c r="E878" s="1607"/>
      <c r="F878" s="1607"/>
      <c r="G878" s="1607"/>
      <c r="H878" s="1607"/>
      <c r="I878" s="1607"/>
      <c r="J878" s="1607"/>
      <c r="K878" s="1607"/>
      <c r="L878" s="1607"/>
      <c r="M878" s="1607"/>
      <c r="N878" s="1607"/>
      <c r="O878" s="1607"/>
      <c r="P878" s="1607"/>
      <c r="Q878" s="1607"/>
      <c r="R878" s="1607"/>
      <c r="S878" s="1607"/>
      <c r="T878" s="1607"/>
      <c r="U878" s="1607"/>
      <c r="V878" s="1607"/>
      <c r="W878" s="1607"/>
      <c r="X878" s="1607"/>
      <c r="Y878" s="1607"/>
      <c r="Z878" s="1607"/>
      <c r="AA878" s="1607"/>
      <c r="AB878" s="1607"/>
      <c r="AC878" s="1607"/>
      <c r="AD878" s="1607"/>
      <c r="AE878" s="1607"/>
      <c r="AF878" s="1607"/>
      <c r="AG878" s="1607"/>
      <c r="AH878" s="1607"/>
      <c r="AI878" s="1607"/>
      <c r="AJ878" s="1607"/>
      <c r="AK878" s="1607"/>
      <c r="AL878" s="1607"/>
      <c r="AM878" s="1607"/>
      <c r="AN878" s="1607"/>
      <c r="AO878" s="1607"/>
      <c r="AP878" s="1607"/>
      <c r="AQ878" s="1607"/>
      <c r="AR878" s="1607"/>
      <c r="AS878" s="1607"/>
      <c r="AT878" s="1607"/>
      <c r="AU878" s="1607"/>
      <c r="AV878" s="1607"/>
      <c r="AW878" s="1607"/>
      <c r="AX878" s="1607"/>
      <c r="AY878" s="1607"/>
      <c r="AZ878" s="1607"/>
      <c r="BA878" s="1607"/>
      <c r="BB878" s="1607"/>
      <c r="BC878" s="1607"/>
      <c r="BD878" s="1607"/>
      <c r="BE878" s="1607"/>
      <c r="BF878" s="1607"/>
      <c r="BG878" s="1607"/>
      <c r="BH878" s="1607"/>
      <c r="BI878" s="1607"/>
      <c r="BJ878" s="1607"/>
      <c r="BK878" s="1607"/>
      <c r="BL878" s="1607"/>
    </row>
    <row r="879">
      <c r="A879" s="1607"/>
      <c r="B879" s="1607"/>
      <c r="C879" s="1607"/>
      <c r="D879" s="1607"/>
      <c r="E879" s="1607"/>
      <c r="F879" s="1607"/>
      <c r="G879" s="1607"/>
      <c r="H879" s="1607"/>
      <c r="I879" s="1607"/>
      <c r="J879" s="1607"/>
      <c r="K879" s="1607"/>
      <c r="L879" s="1607"/>
      <c r="M879" s="1607"/>
      <c r="N879" s="1607"/>
      <c r="O879" s="1607"/>
      <c r="P879" s="1607"/>
      <c r="Q879" s="1607"/>
      <c r="R879" s="1607"/>
      <c r="S879" s="1607"/>
      <c r="T879" s="1607"/>
      <c r="U879" s="1607"/>
      <c r="V879" s="1607"/>
      <c r="W879" s="1607"/>
      <c r="X879" s="1607"/>
      <c r="Y879" s="1607"/>
      <c r="Z879" s="1607"/>
      <c r="AA879" s="1607"/>
      <c r="AB879" s="1607"/>
      <c r="AC879" s="1607"/>
      <c r="AD879" s="1607"/>
      <c r="AE879" s="1607"/>
      <c r="AF879" s="1607"/>
      <c r="AG879" s="1607"/>
      <c r="AH879" s="1607"/>
      <c r="AI879" s="1607"/>
      <c r="AJ879" s="1607"/>
      <c r="AK879" s="1607"/>
      <c r="AL879" s="1607"/>
      <c r="AM879" s="1607"/>
      <c r="AN879" s="1607"/>
      <c r="AO879" s="1607"/>
      <c r="AP879" s="1607"/>
      <c r="AQ879" s="1607"/>
      <c r="AR879" s="1607"/>
      <c r="AS879" s="1607"/>
      <c r="AT879" s="1607"/>
      <c r="AU879" s="1607"/>
      <c r="AV879" s="1607"/>
      <c r="AW879" s="1607"/>
      <c r="AX879" s="1607"/>
      <c r="AY879" s="1607"/>
      <c r="AZ879" s="1607"/>
      <c r="BA879" s="1607"/>
      <c r="BB879" s="1607"/>
      <c r="BC879" s="1607"/>
      <c r="BD879" s="1607"/>
      <c r="BE879" s="1607"/>
      <c r="BF879" s="1607"/>
      <c r="BG879" s="1607"/>
      <c r="BH879" s="1607"/>
      <c r="BI879" s="1607"/>
      <c r="BJ879" s="1607"/>
      <c r="BK879" s="1607"/>
      <c r="BL879" s="1607"/>
    </row>
    <row r="880">
      <c r="A880" s="1607"/>
      <c r="B880" s="1607"/>
      <c r="C880" s="1607"/>
      <c r="D880" s="1607"/>
      <c r="E880" s="1607"/>
      <c r="F880" s="1607"/>
      <c r="G880" s="1607"/>
      <c r="H880" s="1607"/>
      <c r="I880" s="1607"/>
      <c r="J880" s="1607"/>
      <c r="K880" s="1607"/>
      <c r="L880" s="1607"/>
      <c r="M880" s="1607"/>
      <c r="N880" s="1607"/>
      <c r="O880" s="1607"/>
      <c r="P880" s="1607"/>
      <c r="Q880" s="1607"/>
      <c r="R880" s="1607"/>
      <c r="S880" s="1607"/>
      <c r="T880" s="1607"/>
      <c r="U880" s="1607"/>
      <c r="V880" s="1607"/>
      <c r="W880" s="1607"/>
      <c r="X880" s="1607"/>
      <c r="Y880" s="1607"/>
      <c r="Z880" s="1607"/>
      <c r="AA880" s="1607"/>
      <c r="AB880" s="1607"/>
      <c r="AC880" s="1607"/>
      <c r="AD880" s="1607"/>
      <c r="AE880" s="1607"/>
      <c r="AF880" s="1607"/>
      <c r="AG880" s="1607"/>
      <c r="AH880" s="1607"/>
      <c r="AI880" s="1607"/>
      <c r="AJ880" s="1607"/>
      <c r="AK880" s="1607"/>
      <c r="AL880" s="1607"/>
      <c r="AM880" s="1607"/>
      <c r="AN880" s="1607"/>
      <c r="AO880" s="1607"/>
      <c r="AP880" s="1607"/>
      <c r="AQ880" s="1607"/>
      <c r="AR880" s="1607"/>
      <c r="AS880" s="1607"/>
      <c r="AT880" s="1607"/>
      <c r="AU880" s="1607"/>
      <c r="AV880" s="1607"/>
      <c r="AW880" s="1607"/>
      <c r="AX880" s="1607"/>
      <c r="AY880" s="1607"/>
      <c r="AZ880" s="1607"/>
      <c r="BA880" s="1607"/>
      <c r="BB880" s="1607"/>
      <c r="BC880" s="1607"/>
      <c r="BD880" s="1607"/>
      <c r="BE880" s="1607"/>
      <c r="BF880" s="1607"/>
      <c r="BG880" s="1607"/>
      <c r="BH880" s="1607"/>
      <c r="BI880" s="1607"/>
      <c r="BJ880" s="1607"/>
      <c r="BK880" s="1607"/>
      <c r="BL880" s="1607"/>
    </row>
    <row r="881">
      <c r="A881" s="1607"/>
      <c r="B881" s="1607"/>
      <c r="C881" s="1607"/>
      <c r="D881" s="1607"/>
      <c r="E881" s="1607"/>
      <c r="F881" s="1607"/>
      <c r="G881" s="1607"/>
      <c r="H881" s="1607"/>
      <c r="I881" s="1607"/>
      <c r="J881" s="1607"/>
      <c r="K881" s="1607"/>
      <c r="L881" s="1607"/>
      <c r="M881" s="1607"/>
      <c r="N881" s="1607"/>
      <c r="O881" s="1607"/>
      <c r="P881" s="1607"/>
      <c r="Q881" s="1607"/>
      <c r="R881" s="1607"/>
      <c r="S881" s="1607"/>
      <c r="T881" s="1607"/>
      <c r="U881" s="1607"/>
      <c r="V881" s="1607"/>
      <c r="W881" s="1607"/>
      <c r="X881" s="1607"/>
      <c r="Y881" s="1607"/>
      <c r="Z881" s="1607"/>
      <c r="AA881" s="1607"/>
      <c r="AB881" s="1607"/>
      <c r="AC881" s="1607"/>
      <c r="AD881" s="1607"/>
      <c r="AE881" s="1607"/>
      <c r="AF881" s="1607"/>
      <c r="AG881" s="1607"/>
      <c r="AH881" s="1607"/>
      <c r="AI881" s="1607"/>
      <c r="AJ881" s="1607"/>
      <c r="AK881" s="1607"/>
      <c r="AL881" s="1607"/>
      <c r="AM881" s="1607"/>
      <c r="AN881" s="1607"/>
      <c r="AO881" s="1607"/>
      <c r="AP881" s="1607"/>
      <c r="AQ881" s="1607"/>
      <c r="AR881" s="1607"/>
      <c r="AS881" s="1607"/>
      <c r="AT881" s="1607"/>
      <c r="AU881" s="1607"/>
      <c r="AV881" s="1607"/>
      <c r="AW881" s="1607"/>
      <c r="AX881" s="1607"/>
      <c r="AY881" s="1607"/>
      <c r="AZ881" s="1607"/>
      <c r="BA881" s="1607"/>
      <c r="BB881" s="1607"/>
      <c r="BC881" s="1607"/>
      <c r="BD881" s="1607"/>
      <c r="BE881" s="1607"/>
      <c r="BF881" s="1607"/>
      <c r="BG881" s="1607"/>
      <c r="BH881" s="1607"/>
      <c r="BI881" s="1607"/>
      <c r="BJ881" s="1607"/>
      <c r="BK881" s="1607"/>
      <c r="BL881" s="1607"/>
    </row>
    <row r="882">
      <c r="A882" s="1607"/>
      <c r="B882" s="1607"/>
      <c r="C882" s="1607"/>
      <c r="D882" s="1607"/>
      <c r="E882" s="1607"/>
      <c r="F882" s="1607"/>
      <c r="G882" s="1607"/>
      <c r="H882" s="1607"/>
      <c r="I882" s="1607"/>
      <c r="J882" s="1607"/>
      <c r="K882" s="1607"/>
      <c r="L882" s="1607"/>
      <c r="M882" s="1607"/>
      <c r="N882" s="1607"/>
      <c r="O882" s="1607"/>
      <c r="P882" s="1607"/>
      <c r="Q882" s="1607"/>
      <c r="R882" s="1607"/>
      <c r="S882" s="1607"/>
      <c r="T882" s="1607"/>
      <c r="U882" s="1607"/>
      <c r="V882" s="1607"/>
      <c r="W882" s="1607"/>
      <c r="X882" s="1607"/>
      <c r="Y882" s="1607"/>
      <c r="Z882" s="1607"/>
      <c r="AA882" s="1607"/>
      <c r="AB882" s="1607"/>
      <c r="AC882" s="1607"/>
      <c r="AD882" s="1607"/>
      <c r="AE882" s="1607"/>
      <c r="AF882" s="1607"/>
      <c r="AG882" s="1607"/>
      <c r="AH882" s="1607"/>
      <c r="AI882" s="1607"/>
      <c r="AJ882" s="1607"/>
      <c r="AK882" s="1607"/>
      <c r="AL882" s="1607"/>
      <c r="AM882" s="1607"/>
      <c r="AN882" s="1607"/>
      <c r="AO882" s="1607"/>
      <c r="AP882" s="1607"/>
      <c r="AQ882" s="1607"/>
      <c r="AR882" s="1607"/>
      <c r="AS882" s="1607"/>
      <c r="AT882" s="1607"/>
      <c r="AU882" s="1607"/>
      <c r="AV882" s="1607"/>
      <c r="AW882" s="1607"/>
      <c r="AX882" s="1607"/>
      <c r="AY882" s="1607"/>
      <c r="AZ882" s="1607"/>
      <c r="BA882" s="1607"/>
      <c r="BB882" s="1607"/>
      <c r="BC882" s="1607"/>
      <c r="BD882" s="1607"/>
      <c r="BE882" s="1607"/>
      <c r="BF882" s="1607"/>
      <c r="BG882" s="1607"/>
      <c r="BH882" s="1607"/>
      <c r="BI882" s="1607"/>
      <c r="BJ882" s="1607"/>
      <c r="BK882" s="1607"/>
      <c r="BL882" s="1607"/>
    </row>
    <row r="883">
      <c r="A883" s="1607"/>
      <c r="B883" s="1607"/>
      <c r="C883" s="1607"/>
      <c r="D883" s="1607"/>
      <c r="E883" s="1607"/>
      <c r="F883" s="1607"/>
      <c r="G883" s="1607"/>
      <c r="H883" s="1607"/>
      <c r="I883" s="1607"/>
      <c r="J883" s="1607"/>
      <c r="K883" s="1607"/>
      <c r="L883" s="1607"/>
      <c r="M883" s="1607"/>
      <c r="N883" s="1607"/>
      <c r="O883" s="1607"/>
      <c r="P883" s="1607"/>
      <c r="Q883" s="1607"/>
      <c r="R883" s="1607"/>
      <c r="S883" s="1607"/>
      <c r="T883" s="1607"/>
      <c r="U883" s="1607"/>
      <c r="V883" s="1607"/>
      <c r="W883" s="1607"/>
      <c r="X883" s="1607"/>
      <c r="Y883" s="1607"/>
      <c r="Z883" s="1607"/>
      <c r="AA883" s="1607"/>
      <c r="AB883" s="1607"/>
      <c r="AC883" s="1607"/>
      <c r="AD883" s="1607"/>
      <c r="AE883" s="1607"/>
      <c r="AF883" s="1607"/>
      <c r="AG883" s="1607"/>
      <c r="AH883" s="1607"/>
      <c r="AI883" s="1607"/>
      <c r="AJ883" s="1607"/>
      <c r="AK883" s="1607"/>
      <c r="AL883" s="1607"/>
      <c r="AM883" s="1607"/>
      <c r="AN883" s="1607"/>
      <c r="AO883" s="1607"/>
      <c r="AP883" s="1607"/>
      <c r="AQ883" s="1607"/>
      <c r="AR883" s="1607"/>
      <c r="AS883" s="1607"/>
      <c r="AT883" s="1607"/>
      <c r="AU883" s="1607"/>
      <c r="AV883" s="1607"/>
      <c r="AW883" s="1607"/>
      <c r="AX883" s="1607"/>
      <c r="AY883" s="1607"/>
      <c r="AZ883" s="1607"/>
      <c r="BA883" s="1607"/>
      <c r="BB883" s="1607"/>
      <c r="BC883" s="1607"/>
      <c r="BD883" s="1607"/>
      <c r="BE883" s="1607"/>
      <c r="BF883" s="1607"/>
      <c r="BG883" s="1607"/>
      <c r="BH883" s="1607"/>
      <c r="BI883" s="1607"/>
      <c r="BJ883" s="1607"/>
      <c r="BK883" s="1607"/>
      <c r="BL883" s="1607"/>
    </row>
    <row r="884">
      <c r="A884" s="1607"/>
      <c r="B884" s="1607"/>
      <c r="C884" s="1607"/>
      <c r="D884" s="1607"/>
      <c r="E884" s="1607"/>
      <c r="F884" s="1607"/>
      <c r="G884" s="1607"/>
      <c r="H884" s="1607"/>
      <c r="I884" s="1607"/>
      <c r="J884" s="1607"/>
      <c r="K884" s="1607"/>
      <c r="L884" s="1607"/>
      <c r="M884" s="1607"/>
      <c r="N884" s="1607"/>
      <c r="O884" s="1607"/>
      <c r="P884" s="1607"/>
      <c r="Q884" s="1607"/>
      <c r="R884" s="1607"/>
      <c r="S884" s="1607"/>
      <c r="T884" s="1607"/>
      <c r="U884" s="1607"/>
      <c r="V884" s="1607"/>
      <c r="W884" s="1607"/>
      <c r="X884" s="1607"/>
      <c r="Y884" s="1607"/>
      <c r="Z884" s="1607"/>
      <c r="AA884" s="1607"/>
      <c r="AB884" s="1607"/>
      <c r="AC884" s="1607"/>
      <c r="AD884" s="1607"/>
      <c r="AE884" s="1607"/>
      <c r="AF884" s="1607"/>
      <c r="AG884" s="1607"/>
      <c r="AH884" s="1607"/>
      <c r="AI884" s="1607"/>
      <c r="AJ884" s="1607"/>
      <c r="AK884" s="1607"/>
      <c r="AL884" s="1607"/>
      <c r="AM884" s="1607"/>
      <c r="AN884" s="1607"/>
      <c r="AO884" s="1607"/>
      <c r="AP884" s="1607"/>
      <c r="AQ884" s="1607"/>
      <c r="AR884" s="1607"/>
      <c r="AS884" s="1607"/>
      <c r="AT884" s="1607"/>
      <c r="AU884" s="1607"/>
      <c r="AV884" s="1607"/>
      <c r="AW884" s="1607"/>
      <c r="AX884" s="1607"/>
      <c r="AY884" s="1607"/>
      <c r="AZ884" s="1607"/>
      <c r="BA884" s="1607"/>
      <c r="BB884" s="1607"/>
      <c r="BC884" s="1607"/>
      <c r="BD884" s="1607"/>
      <c r="BE884" s="1607"/>
      <c r="BF884" s="1607"/>
      <c r="BG884" s="1607"/>
      <c r="BH884" s="1607"/>
      <c r="BI884" s="1607"/>
      <c r="BJ884" s="1607"/>
      <c r="BK884" s="1607"/>
      <c r="BL884" s="1607"/>
    </row>
    <row r="885">
      <c r="A885" s="1607"/>
      <c r="B885" s="1607"/>
      <c r="C885" s="1607"/>
      <c r="D885" s="1607"/>
      <c r="E885" s="1607"/>
      <c r="F885" s="1607"/>
      <c r="G885" s="1607"/>
      <c r="H885" s="1607"/>
      <c r="I885" s="1607"/>
      <c r="J885" s="1607"/>
      <c r="K885" s="1607"/>
      <c r="L885" s="1607"/>
      <c r="M885" s="1607"/>
      <c r="N885" s="1607"/>
      <c r="O885" s="1607"/>
      <c r="P885" s="1607"/>
      <c r="Q885" s="1607"/>
      <c r="R885" s="1607"/>
      <c r="S885" s="1607"/>
      <c r="T885" s="1607"/>
      <c r="U885" s="1607"/>
      <c r="V885" s="1607"/>
      <c r="W885" s="1607"/>
      <c r="X885" s="1607"/>
      <c r="Y885" s="1607"/>
      <c r="Z885" s="1607"/>
      <c r="AA885" s="1607"/>
      <c r="AB885" s="1607"/>
      <c r="AC885" s="1607"/>
      <c r="AD885" s="1607"/>
      <c r="AE885" s="1607"/>
      <c r="AF885" s="1607"/>
      <c r="AG885" s="1607"/>
      <c r="AH885" s="1607"/>
      <c r="AI885" s="1607"/>
      <c r="AJ885" s="1607"/>
      <c r="AK885" s="1607"/>
      <c r="AL885" s="1607"/>
      <c r="AM885" s="1607"/>
      <c r="AN885" s="1607"/>
      <c r="AO885" s="1607"/>
      <c r="AP885" s="1607"/>
      <c r="AQ885" s="1607"/>
      <c r="AR885" s="1607"/>
      <c r="AS885" s="1607"/>
      <c r="AT885" s="1607"/>
      <c r="AU885" s="1607"/>
      <c r="AV885" s="1607"/>
      <c r="AW885" s="1607"/>
      <c r="AX885" s="1607"/>
      <c r="AY885" s="1607"/>
      <c r="AZ885" s="1607"/>
      <c r="BA885" s="1607"/>
      <c r="BB885" s="1607"/>
      <c r="BC885" s="1607"/>
      <c r="BD885" s="1607"/>
      <c r="BE885" s="1607"/>
      <c r="BF885" s="1607"/>
      <c r="BG885" s="1607"/>
      <c r="BH885" s="1607"/>
      <c r="BI885" s="1607"/>
      <c r="BJ885" s="1607"/>
      <c r="BK885" s="1607"/>
      <c r="BL885" s="1607"/>
    </row>
    <row r="886">
      <c r="A886" s="1607"/>
      <c r="B886" s="1607"/>
      <c r="C886" s="1607"/>
      <c r="D886" s="1607"/>
      <c r="E886" s="1607"/>
      <c r="F886" s="1607"/>
      <c r="G886" s="1607"/>
      <c r="H886" s="1607"/>
      <c r="I886" s="1607"/>
      <c r="J886" s="1607"/>
      <c r="K886" s="1607"/>
      <c r="L886" s="1607"/>
      <c r="M886" s="1607"/>
      <c r="N886" s="1607"/>
      <c r="O886" s="1607"/>
      <c r="P886" s="1607"/>
      <c r="Q886" s="1607"/>
      <c r="R886" s="1607"/>
      <c r="S886" s="1607"/>
      <c r="T886" s="1607"/>
      <c r="U886" s="1607"/>
      <c r="V886" s="1607"/>
      <c r="W886" s="1607"/>
      <c r="X886" s="1607"/>
      <c r="Y886" s="1607"/>
      <c r="Z886" s="1607"/>
      <c r="AA886" s="1607"/>
      <c r="AB886" s="1607"/>
      <c r="AC886" s="1607"/>
      <c r="AD886" s="1607"/>
      <c r="AE886" s="1607"/>
      <c r="AF886" s="1607"/>
      <c r="AG886" s="1607"/>
      <c r="AH886" s="1607"/>
      <c r="AI886" s="1607"/>
      <c r="AJ886" s="1607"/>
      <c r="AK886" s="1607"/>
      <c r="AL886" s="1607"/>
      <c r="AM886" s="1607"/>
      <c r="AN886" s="1607"/>
      <c r="AO886" s="1607"/>
      <c r="AP886" s="1607"/>
      <c r="AQ886" s="1607"/>
      <c r="AR886" s="1607"/>
      <c r="AS886" s="1607"/>
      <c r="AT886" s="1607"/>
      <c r="AU886" s="1607"/>
      <c r="AV886" s="1607"/>
      <c r="AW886" s="1607"/>
      <c r="AX886" s="1607"/>
      <c r="AY886" s="1607"/>
      <c r="AZ886" s="1607"/>
      <c r="BA886" s="1607"/>
      <c r="BB886" s="1607"/>
      <c r="BC886" s="1607"/>
      <c r="BD886" s="1607"/>
      <c r="BE886" s="1607"/>
      <c r="BF886" s="1607"/>
      <c r="BG886" s="1607"/>
      <c r="BH886" s="1607"/>
      <c r="BI886" s="1607"/>
      <c r="BJ886" s="1607"/>
      <c r="BK886" s="1607"/>
      <c r="BL886" s="1607"/>
    </row>
    <row r="887">
      <c r="A887" s="1607"/>
      <c r="B887" s="1607"/>
      <c r="C887" s="1607"/>
      <c r="D887" s="1607"/>
      <c r="E887" s="1607"/>
      <c r="F887" s="1607"/>
      <c r="G887" s="1607"/>
      <c r="H887" s="1607"/>
      <c r="I887" s="1607"/>
      <c r="J887" s="1607"/>
      <c r="K887" s="1607"/>
      <c r="L887" s="1607"/>
      <c r="M887" s="1607"/>
      <c r="N887" s="1607"/>
      <c r="O887" s="1607"/>
      <c r="P887" s="1607"/>
      <c r="Q887" s="1607"/>
      <c r="R887" s="1607"/>
      <c r="S887" s="1607"/>
      <c r="T887" s="1607"/>
      <c r="U887" s="1607"/>
      <c r="V887" s="1607"/>
      <c r="W887" s="1607"/>
      <c r="X887" s="1607"/>
      <c r="Y887" s="1607"/>
      <c r="Z887" s="1607"/>
      <c r="AA887" s="1607"/>
      <c r="AB887" s="1607"/>
      <c r="AC887" s="1607"/>
      <c r="AD887" s="1607"/>
      <c r="AE887" s="1607"/>
      <c r="AF887" s="1607"/>
      <c r="AG887" s="1607"/>
      <c r="AH887" s="1607"/>
      <c r="AI887" s="1607"/>
      <c r="AJ887" s="1607"/>
      <c r="AK887" s="1607"/>
      <c r="AL887" s="1607"/>
      <c r="AM887" s="1607"/>
      <c r="AN887" s="1607"/>
      <c r="AO887" s="1607"/>
      <c r="AP887" s="1607"/>
      <c r="AQ887" s="1607"/>
      <c r="AR887" s="1607"/>
      <c r="AS887" s="1607"/>
      <c r="AT887" s="1607"/>
      <c r="AU887" s="1607"/>
      <c r="AV887" s="1607"/>
      <c r="AW887" s="1607"/>
      <c r="AX887" s="1607"/>
      <c r="AY887" s="1607"/>
      <c r="AZ887" s="1607"/>
      <c r="BA887" s="1607"/>
      <c r="BB887" s="1607"/>
      <c r="BC887" s="1607"/>
      <c r="BD887" s="1607"/>
      <c r="BE887" s="1607"/>
      <c r="BF887" s="1607"/>
      <c r="BG887" s="1607"/>
      <c r="BH887" s="1607"/>
      <c r="BI887" s="1607"/>
      <c r="BJ887" s="1607"/>
      <c r="BK887" s="1607"/>
      <c r="BL887" s="1607"/>
    </row>
    <row r="888">
      <c r="A888" s="1607"/>
      <c r="B888" s="1607"/>
      <c r="C888" s="1607"/>
      <c r="D888" s="1607"/>
      <c r="E888" s="1607"/>
      <c r="F888" s="1607"/>
      <c r="G888" s="1607"/>
      <c r="H888" s="1607"/>
      <c r="I888" s="1607"/>
      <c r="J888" s="1607"/>
      <c r="K888" s="1607"/>
      <c r="L888" s="1607"/>
      <c r="M888" s="1607"/>
      <c r="N888" s="1607"/>
      <c r="O888" s="1607"/>
      <c r="P888" s="1607"/>
      <c r="Q888" s="1607"/>
      <c r="R888" s="1607"/>
      <c r="S888" s="1607"/>
      <c r="T888" s="1607"/>
      <c r="U888" s="1607"/>
      <c r="V888" s="1607"/>
      <c r="W888" s="1607"/>
      <c r="X888" s="1607"/>
      <c r="Y888" s="1607"/>
      <c r="Z888" s="1607"/>
      <c r="AA888" s="1607"/>
      <c r="AB888" s="1607"/>
      <c r="AC888" s="1607"/>
      <c r="AD888" s="1607"/>
      <c r="AE888" s="1607"/>
      <c r="AF888" s="1607"/>
      <c r="AG888" s="1607"/>
      <c r="AH888" s="1607"/>
      <c r="AI888" s="1607"/>
      <c r="AJ888" s="1607"/>
      <c r="AK888" s="1607"/>
      <c r="AL888" s="1607"/>
      <c r="AM888" s="1607"/>
      <c r="AN888" s="1607"/>
      <c r="AO888" s="1607"/>
      <c r="AP888" s="1607"/>
      <c r="AQ888" s="1607"/>
      <c r="AR888" s="1607"/>
      <c r="AS888" s="1607"/>
      <c r="AT888" s="1607"/>
      <c r="AU888" s="1607"/>
      <c r="AV888" s="1607"/>
      <c r="AW888" s="1607"/>
      <c r="AX888" s="1607"/>
      <c r="AY888" s="1607"/>
      <c r="AZ888" s="1607"/>
      <c r="BA888" s="1607"/>
      <c r="BB888" s="1607"/>
      <c r="BC888" s="1607"/>
      <c r="BD888" s="1607"/>
      <c r="BE888" s="1607"/>
      <c r="BF888" s="1607"/>
      <c r="BG888" s="1607"/>
      <c r="BH888" s="1607"/>
      <c r="BI888" s="1607"/>
      <c r="BJ888" s="1607"/>
      <c r="BK888" s="1607"/>
      <c r="BL888" s="1607"/>
    </row>
    <row r="889">
      <c r="A889" s="1607"/>
      <c r="B889" s="1607"/>
      <c r="C889" s="1607"/>
      <c r="D889" s="1607"/>
      <c r="E889" s="1607"/>
      <c r="F889" s="1607"/>
      <c r="G889" s="1607"/>
      <c r="H889" s="1607"/>
      <c r="I889" s="1607"/>
      <c r="J889" s="1607"/>
      <c r="K889" s="1607"/>
      <c r="L889" s="1607"/>
      <c r="M889" s="1607"/>
      <c r="N889" s="1607"/>
      <c r="O889" s="1607"/>
      <c r="P889" s="1607"/>
      <c r="Q889" s="1607"/>
      <c r="R889" s="1607"/>
      <c r="S889" s="1607"/>
      <c r="T889" s="1607"/>
      <c r="U889" s="1607"/>
      <c r="V889" s="1607"/>
      <c r="W889" s="1607"/>
      <c r="X889" s="1607"/>
      <c r="Y889" s="1607"/>
      <c r="Z889" s="1607"/>
      <c r="AA889" s="1607"/>
      <c r="AB889" s="1607"/>
      <c r="AC889" s="1607"/>
      <c r="AD889" s="1607"/>
      <c r="AE889" s="1607"/>
      <c r="AF889" s="1607"/>
      <c r="AG889" s="1607"/>
      <c r="AH889" s="1607"/>
      <c r="AI889" s="1607"/>
      <c r="AJ889" s="1607"/>
      <c r="AK889" s="1607"/>
      <c r="AL889" s="1607"/>
      <c r="AM889" s="1607"/>
      <c r="AN889" s="1607"/>
      <c r="AO889" s="1607"/>
      <c r="AP889" s="1607"/>
      <c r="AQ889" s="1607"/>
      <c r="AR889" s="1607"/>
      <c r="AS889" s="1607"/>
      <c r="AT889" s="1607"/>
      <c r="AU889" s="1607"/>
      <c r="AV889" s="1607"/>
      <c r="AW889" s="1607"/>
      <c r="AX889" s="1607"/>
      <c r="AY889" s="1607"/>
      <c r="AZ889" s="1607"/>
      <c r="BA889" s="1607"/>
      <c r="BB889" s="1607"/>
      <c r="BC889" s="1607"/>
      <c r="BD889" s="1607"/>
      <c r="BE889" s="1607"/>
      <c r="BF889" s="1607"/>
      <c r="BG889" s="1607"/>
      <c r="BH889" s="1607"/>
      <c r="BI889" s="1607"/>
      <c r="BJ889" s="1607"/>
      <c r="BK889" s="1607"/>
      <c r="BL889" s="1607"/>
    </row>
    <row r="890">
      <c r="A890" s="1607"/>
      <c r="B890" s="1607"/>
      <c r="C890" s="1607"/>
      <c r="D890" s="1607"/>
      <c r="E890" s="1607"/>
      <c r="F890" s="1607"/>
      <c r="G890" s="1607"/>
      <c r="H890" s="1607"/>
      <c r="I890" s="1607"/>
      <c r="J890" s="1607"/>
      <c r="K890" s="1607"/>
      <c r="L890" s="1607"/>
      <c r="M890" s="1607"/>
      <c r="N890" s="1607"/>
      <c r="O890" s="1607"/>
      <c r="P890" s="1607"/>
      <c r="Q890" s="1607"/>
      <c r="R890" s="1607"/>
      <c r="S890" s="1607"/>
      <c r="T890" s="1607"/>
      <c r="U890" s="1607"/>
      <c r="V890" s="1607"/>
      <c r="W890" s="1607"/>
      <c r="X890" s="1607"/>
      <c r="Y890" s="1607"/>
      <c r="Z890" s="1607"/>
      <c r="AA890" s="1607"/>
      <c r="AB890" s="1607"/>
      <c r="AC890" s="1607"/>
      <c r="AD890" s="1607"/>
      <c r="AE890" s="1607"/>
      <c r="AF890" s="1607"/>
      <c r="AG890" s="1607"/>
      <c r="AH890" s="1607"/>
      <c r="AI890" s="1607"/>
      <c r="AJ890" s="1607"/>
      <c r="AK890" s="1607"/>
      <c r="AL890" s="1607"/>
      <c r="AM890" s="1607"/>
      <c r="AN890" s="1607"/>
      <c r="AO890" s="1607"/>
      <c r="AP890" s="1607"/>
      <c r="AQ890" s="1607"/>
      <c r="AR890" s="1607"/>
      <c r="AS890" s="1607"/>
      <c r="AT890" s="1607"/>
      <c r="AU890" s="1607"/>
      <c r="AV890" s="1607"/>
      <c r="AW890" s="1607"/>
      <c r="AX890" s="1607"/>
      <c r="AY890" s="1607"/>
      <c r="AZ890" s="1607"/>
      <c r="BA890" s="1607"/>
      <c r="BB890" s="1607"/>
      <c r="BC890" s="1607"/>
      <c r="BD890" s="1607"/>
      <c r="BE890" s="1607"/>
      <c r="BF890" s="1607"/>
      <c r="BG890" s="1607"/>
      <c r="BH890" s="1607"/>
      <c r="BI890" s="1607"/>
      <c r="BJ890" s="1607"/>
      <c r="BK890" s="1607"/>
      <c r="BL890" s="1607"/>
    </row>
    <row r="891">
      <c r="A891" s="1607"/>
      <c r="B891" s="1607"/>
      <c r="C891" s="1607"/>
      <c r="D891" s="1607"/>
      <c r="E891" s="1607"/>
      <c r="F891" s="1607"/>
      <c r="G891" s="1607"/>
      <c r="H891" s="1607"/>
      <c r="I891" s="1607"/>
      <c r="J891" s="1607"/>
      <c r="K891" s="1607"/>
      <c r="L891" s="1607"/>
      <c r="M891" s="1607"/>
      <c r="N891" s="1607"/>
      <c r="O891" s="1607"/>
      <c r="P891" s="1607"/>
      <c r="Q891" s="1607"/>
      <c r="R891" s="1607"/>
      <c r="S891" s="1607"/>
      <c r="T891" s="1607"/>
      <c r="U891" s="1607"/>
      <c r="V891" s="1607"/>
      <c r="W891" s="1607"/>
      <c r="X891" s="1607"/>
      <c r="Y891" s="1607"/>
      <c r="Z891" s="1607"/>
      <c r="AA891" s="1607"/>
      <c r="AB891" s="1607"/>
      <c r="AC891" s="1607"/>
      <c r="AD891" s="1607"/>
      <c r="AE891" s="1607"/>
      <c r="AF891" s="1607"/>
      <c r="AG891" s="1607"/>
      <c r="AH891" s="1607"/>
      <c r="AI891" s="1607"/>
      <c r="AJ891" s="1607"/>
      <c r="AK891" s="1607"/>
      <c r="AL891" s="1607"/>
      <c r="AM891" s="1607"/>
      <c r="AN891" s="1607"/>
      <c r="AO891" s="1607"/>
      <c r="AP891" s="1607"/>
      <c r="AQ891" s="1607"/>
      <c r="AR891" s="1607"/>
      <c r="AS891" s="1607"/>
      <c r="AT891" s="1607"/>
      <c r="AU891" s="1607"/>
      <c r="AV891" s="1607"/>
      <c r="AW891" s="1607"/>
      <c r="AX891" s="1607"/>
      <c r="AY891" s="1607"/>
      <c r="AZ891" s="1607"/>
      <c r="BA891" s="1607"/>
      <c r="BB891" s="1607"/>
      <c r="BC891" s="1607"/>
      <c r="BD891" s="1607"/>
      <c r="BE891" s="1607"/>
      <c r="BF891" s="1607"/>
      <c r="BG891" s="1607"/>
      <c r="BH891" s="1607"/>
      <c r="BI891" s="1607"/>
      <c r="BJ891" s="1607"/>
      <c r="BK891" s="1607"/>
      <c r="BL891" s="1607"/>
    </row>
    <row r="892">
      <c r="A892" s="1607"/>
      <c r="B892" s="1607"/>
      <c r="C892" s="1607"/>
      <c r="D892" s="1607"/>
      <c r="E892" s="1607"/>
      <c r="F892" s="1607"/>
      <c r="G892" s="1607"/>
      <c r="H892" s="1607"/>
      <c r="I892" s="1607"/>
      <c r="J892" s="1607"/>
      <c r="K892" s="1607"/>
      <c r="L892" s="1607"/>
      <c r="M892" s="1607"/>
      <c r="N892" s="1607"/>
      <c r="O892" s="1607"/>
      <c r="P892" s="1607"/>
      <c r="Q892" s="1607"/>
      <c r="R892" s="1607"/>
      <c r="S892" s="1607"/>
      <c r="T892" s="1607"/>
      <c r="U892" s="1607"/>
      <c r="V892" s="1607"/>
      <c r="W892" s="1607"/>
      <c r="X892" s="1607"/>
      <c r="Y892" s="1607"/>
      <c r="Z892" s="1607"/>
      <c r="AA892" s="1607"/>
      <c r="AB892" s="1607"/>
      <c r="AC892" s="1607"/>
      <c r="AD892" s="1607"/>
      <c r="AE892" s="1607"/>
      <c r="AF892" s="1607"/>
      <c r="AG892" s="1607"/>
      <c r="AH892" s="1607"/>
      <c r="AI892" s="1607"/>
      <c r="AJ892" s="1607"/>
      <c r="AK892" s="1607"/>
      <c r="AL892" s="1607"/>
      <c r="AM892" s="1607"/>
      <c r="AN892" s="1607"/>
      <c r="AO892" s="1607"/>
      <c r="AP892" s="1607"/>
      <c r="AQ892" s="1607"/>
      <c r="AR892" s="1607"/>
      <c r="AS892" s="1607"/>
      <c r="AT892" s="1607"/>
      <c r="AU892" s="1607"/>
      <c r="AV892" s="1607"/>
      <c r="AW892" s="1607"/>
      <c r="AX892" s="1607"/>
      <c r="AY892" s="1607"/>
      <c r="AZ892" s="1607"/>
      <c r="BA892" s="1607"/>
      <c r="BB892" s="1607"/>
      <c r="BC892" s="1607"/>
      <c r="BD892" s="1607"/>
      <c r="BE892" s="1607"/>
      <c r="BF892" s="1607"/>
      <c r="BG892" s="1607"/>
      <c r="BH892" s="1607"/>
      <c r="BI892" s="1607"/>
      <c r="BJ892" s="1607"/>
      <c r="BK892" s="1607"/>
      <c r="BL892" s="1607"/>
    </row>
    <row r="893">
      <c r="A893" s="1607"/>
      <c r="B893" s="1607"/>
      <c r="C893" s="1607"/>
      <c r="D893" s="1607"/>
      <c r="E893" s="1607"/>
      <c r="F893" s="1607"/>
      <c r="G893" s="1607"/>
      <c r="H893" s="1607"/>
      <c r="I893" s="1607"/>
      <c r="J893" s="1607"/>
      <c r="K893" s="1607"/>
      <c r="L893" s="1607"/>
      <c r="M893" s="1607"/>
      <c r="N893" s="1607"/>
      <c r="O893" s="1607"/>
      <c r="P893" s="1607"/>
      <c r="Q893" s="1607"/>
      <c r="R893" s="1607"/>
      <c r="S893" s="1607"/>
      <c r="T893" s="1607"/>
      <c r="U893" s="1607"/>
      <c r="V893" s="1607"/>
      <c r="W893" s="1607"/>
      <c r="X893" s="1607"/>
      <c r="Y893" s="1607"/>
      <c r="Z893" s="1607"/>
      <c r="AA893" s="1607"/>
      <c r="AB893" s="1607"/>
      <c r="AC893" s="1607"/>
      <c r="AD893" s="1607"/>
      <c r="AE893" s="1607"/>
      <c r="AF893" s="1607"/>
      <c r="AG893" s="1607"/>
      <c r="AH893" s="1607"/>
      <c r="AI893" s="1607"/>
      <c r="AJ893" s="1607"/>
      <c r="AK893" s="1607"/>
      <c r="AL893" s="1607"/>
      <c r="AM893" s="1607"/>
      <c r="AN893" s="1607"/>
      <c r="AO893" s="1607"/>
      <c r="AP893" s="1607"/>
      <c r="AQ893" s="1607"/>
      <c r="AR893" s="1607"/>
      <c r="AS893" s="1607"/>
      <c r="AT893" s="1607"/>
      <c r="AU893" s="1607"/>
      <c r="AV893" s="1607"/>
      <c r="AW893" s="1607"/>
      <c r="AX893" s="1607"/>
      <c r="AY893" s="1607"/>
      <c r="AZ893" s="1607"/>
      <c r="BA893" s="1607"/>
      <c r="BB893" s="1607"/>
      <c r="BC893" s="1607"/>
      <c r="BD893" s="1607"/>
      <c r="BE893" s="1607"/>
      <c r="BF893" s="1607"/>
      <c r="BG893" s="1607"/>
      <c r="BH893" s="1607"/>
      <c r="BI893" s="1607"/>
      <c r="BJ893" s="1607"/>
      <c r="BK893" s="1607"/>
      <c r="BL893" s="1607"/>
    </row>
    <row r="894">
      <c r="A894" s="1607"/>
      <c r="B894" s="1607"/>
      <c r="C894" s="1607"/>
      <c r="D894" s="1607"/>
      <c r="E894" s="1607"/>
      <c r="F894" s="1607"/>
      <c r="G894" s="1607"/>
      <c r="H894" s="1607"/>
      <c r="I894" s="1607"/>
      <c r="J894" s="1607"/>
      <c r="K894" s="1607"/>
      <c r="L894" s="1607"/>
      <c r="M894" s="1607"/>
      <c r="N894" s="1607"/>
      <c r="O894" s="1607"/>
      <c r="P894" s="1607"/>
      <c r="Q894" s="1607"/>
      <c r="R894" s="1607"/>
      <c r="S894" s="1607"/>
      <c r="T894" s="1607"/>
      <c r="U894" s="1607"/>
      <c r="V894" s="1607"/>
      <c r="W894" s="1607"/>
      <c r="X894" s="1607"/>
      <c r="Y894" s="1607"/>
      <c r="Z894" s="1607"/>
      <c r="AA894" s="1607"/>
      <c r="AB894" s="1607"/>
      <c r="AC894" s="1607"/>
      <c r="AD894" s="1607"/>
      <c r="AE894" s="1607"/>
      <c r="AF894" s="1607"/>
      <c r="AG894" s="1607"/>
      <c r="AH894" s="1607"/>
      <c r="AI894" s="1607"/>
      <c r="AJ894" s="1607"/>
      <c r="AK894" s="1607"/>
      <c r="AL894" s="1607"/>
      <c r="AM894" s="1607"/>
      <c r="AN894" s="1607"/>
      <c r="AO894" s="1607"/>
      <c r="AP894" s="1607"/>
      <c r="AQ894" s="1607"/>
      <c r="AR894" s="1607"/>
      <c r="AS894" s="1607"/>
      <c r="AT894" s="1607"/>
      <c r="AU894" s="1607"/>
      <c r="AV894" s="1607"/>
      <c r="AW894" s="1607"/>
      <c r="AX894" s="1607"/>
      <c r="AY894" s="1607"/>
      <c r="AZ894" s="1607"/>
      <c r="BA894" s="1607"/>
      <c r="BB894" s="1607"/>
      <c r="BC894" s="1607"/>
      <c r="BD894" s="1607"/>
      <c r="BE894" s="1607"/>
      <c r="BF894" s="1607"/>
      <c r="BG894" s="1607"/>
      <c r="BH894" s="1607"/>
      <c r="BI894" s="1607"/>
      <c r="BJ894" s="1607"/>
      <c r="BK894" s="1607"/>
      <c r="BL894" s="1607"/>
    </row>
    <row r="895">
      <c r="A895" s="1607"/>
      <c r="B895" s="1607"/>
      <c r="C895" s="1607"/>
      <c r="D895" s="1607"/>
      <c r="E895" s="1607"/>
      <c r="F895" s="1607"/>
      <c r="G895" s="1607"/>
      <c r="H895" s="1607"/>
      <c r="I895" s="1607"/>
      <c r="J895" s="1607"/>
      <c r="K895" s="1607"/>
      <c r="L895" s="1607"/>
      <c r="M895" s="1607"/>
      <c r="N895" s="1607"/>
      <c r="O895" s="1607"/>
      <c r="P895" s="1607"/>
      <c r="Q895" s="1607"/>
      <c r="R895" s="1607"/>
      <c r="S895" s="1607"/>
      <c r="T895" s="1607"/>
      <c r="U895" s="1607"/>
      <c r="V895" s="1607"/>
      <c r="W895" s="1607"/>
      <c r="X895" s="1607"/>
      <c r="Y895" s="1607"/>
      <c r="Z895" s="1607"/>
      <c r="AA895" s="1607"/>
      <c r="AB895" s="1607"/>
      <c r="AC895" s="1607"/>
      <c r="AD895" s="1607"/>
      <c r="AE895" s="1607"/>
      <c r="AF895" s="1607"/>
      <c r="AG895" s="1607"/>
      <c r="AH895" s="1607"/>
      <c r="AI895" s="1607"/>
      <c r="AJ895" s="1607"/>
      <c r="AK895" s="1607"/>
      <c r="AL895" s="1607"/>
      <c r="AM895" s="1607"/>
      <c r="AN895" s="1607"/>
      <c r="AO895" s="1607"/>
      <c r="AP895" s="1607"/>
      <c r="AQ895" s="1607"/>
      <c r="AR895" s="1607"/>
      <c r="AS895" s="1607"/>
      <c r="AT895" s="1607"/>
      <c r="AU895" s="1607"/>
      <c r="AV895" s="1607"/>
      <c r="AW895" s="1607"/>
      <c r="AX895" s="1607"/>
      <c r="AY895" s="1607"/>
      <c r="AZ895" s="1607"/>
      <c r="BA895" s="1607"/>
      <c r="BB895" s="1607"/>
      <c r="BC895" s="1607"/>
      <c r="BD895" s="1607"/>
      <c r="BE895" s="1607"/>
      <c r="BF895" s="1607"/>
      <c r="BG895" s="1607"/>
      <c r="BH895" s="1607"/>
      <c r="BI895" s="1607"/>
      <c r="BJ895" s="1607"/>
      <c r="BK895" s="1607"/>
      <c r="BL895" s="1607"/>
    </row>
    <row r="896">
      <c r="A896" s="1607"/>
      <c r="B896" s="1607"/>
      <c r="C896" s="1607"/>
      <c r="D896" s="1607"/>
      <c r="E896" s="1607"/>
      <c r="F896" s="1607"/>
      <c r="G896" s="1607"/>
      <c r="H896" s="1607"/>
      <c r="I896" s="1607"/>
      <c r="J896" s="1607"/>
      <c r="K896" s="1607"/>
      <c r="L896" s="1607"/>
      <c r="M896" s="1607"/>
      <c r="N896" s="1607"/>
      <c r="O896" s="1607"/>
      <c r="P896" s="1607"/>
      <c r="Q896" s="1607"/>
      <c r="R896" s="1607"/>
      <c r="S896" s="1607"/>
      <c r="T896" s="1607"/>
      <c r="U896" s="1607"/>
      <c r="V896" s="1607"/>
      <c r="W896" s="1607"/>
      <c r="X896" s="1607"/>
      <c r="Y896" s="1607"/>
      <c r="Z896" s="1607"/>
      <c r="AA896" s="1607"/>
      <c r="AB896" s="1607"/>
      <c r="AC896" s="1607"/>
      <c r="AD896" s="1607"/>
      <c r="AE896" s="1607"/>
      <c r="AF896" s="1607"/>
      <c r="AG896" s="1607"/>
      <c r="AH896" s="1607"/>
      <c r="AI896" s="1607"/>
      <c r="AJ896" s="1607"/>
      <c r="AK896" s="1607"/>
      <c r="AL896" s="1607"/>
      <c r="AM896" s="1607"/>
      <c r="AN896" s="1607"/>
      <c r="AO896" s="1607"/>
      <c r="AP896" s="1607"/>
      <c r="AQ896" s="1607"/>
      <c r="AR896" s="1607"/>
      <c r="AS896" s="1607"/>
      <c r="AT896" s="1607"/>
      <c r="AU896" s="1607"/>
      <c r="AV896" s="1607"/>
      <c r="AW896" s="1607"/>
      <c r="AX896" s="1607"/>
      <c r="AY896" s="1607"/>
      <c r="AZ896" s="1607"/>
      <c r="BA896" s="1607"/>
      <c r="BB896" s="1607"/>
      <c r="BC896" s="1607"/>
      <c r="BD896" s="1607"/>
      <c r="BE896" s="1607"/>
      <c r="BF896" s="1607"/>
      <c r="BG896" s="1607"/>
      <c r="BH896" s="1607"/>
      <c r="BI896" s="1607"/>
      <c r="BJ896" s="1607"/>
      <c r="BK896" s="1607"/>
      <c r="BL896" s="1607"/>
    </row>
    <row r="897">
      <c r="A897" s="1607"/>
      <c r="B897" s="1607"/>
      <c r="C897" s="1607"/>
      <c r="D897" s="1607"/>
      <c r="E897" s="1607"/>
      <c r="F897" s="1607"/>
      <c r="G897" s="1607"/>
      <c r="H897" s="1607"/>
      <c r="I897" s="1607"/>
      <c r="J897" s="1607"/>
      <c r="K897" s="1607"/>
      <c r="L897" s="1607"/>
      <c r="M897" s="1607"/>
      <c r="N897" s="1607"/>
      <c r="O897" s="1607"/>
      <c r="P897" s="1607"/>
      <c r="Q897" s="1607"/>
      <c r="R897" s="1607"/>
      <c r="S897" s="1607"/>
      <c r="T897" s="1607"/>
      <c r="U897" s="1607"/>
      <c r="V897" s="1607"/>
      <c r="W897" s="1607"/>
      <c r="X897" s="1607"/>
      <c r="Y897" s="1607"/>
      <c r="Z897" s="1607"/>
      <c r="AA897" s="1607"/>
      <c r="AB897" s="1607"/>
      <c r="AC897" s="1607"/>
      <c r="AD897" s="1607"/>
      <c r="AE897" s="1607"/>
      <c r="AF897" s="1607"/>
      <c r="AG897" s="1607"/>
      <c r="AH897" s="1607"/>
      <c r="AI897" s="1607"/>
      <c r="AJ897" s="1607"/>
      <c r="AK897" s="1607"/>
      <c r="AL897" s="1607"/>
      <c r="AM897" s="1607"/>
      <c r="AN897" s="1607"/>
      <c r="AO897" s="1607"/>
      <c r="AP897" s="1607"/>
      <c r="AQ897" s="1607"/>
      <c r="AR897" s="1607"/>
      <c r="AS897" s="1607"/>
      <c r="AT897" s="1607"/>
      <c r="AU897" s="1607"/>
      <c r="AV897" s="1607"/>
      <c r="AW897" s="1607"/>
      <c r="AX897" s="1607"/>
      <c r="AY897" s="1607"/>
      <c r="AZ897" s="1607"/>
      <c r="BA897" s="1607"/>
      <c r="BB897" s="1607"/>
      <c r="BC897" s="1607"/>
      <c r="BD897" s="1607"/>
      <c r="BE897" s="1607"/>
      <c r="BF897" s="1607"/>
      <c r="BG897" s="1607"/>
      <c r="BH897" s="1607"/>
      <c r="BI897" s="1607"/>
      <c r="BJ897" s="1607"/>
      <c r="BK897" s="1607"/>
      <c r="BL897" s="1607"/>
    </row>
    <row r="898">
      <c r="A898" s="1607"/>
      <c r="B898" s="1607"/>
      <c r="C898" s="1607"/>
      <c r="D898" s="1607"/>
      <c r="E898" s="1607"/>
      <c r="F898" s="1607"/>
      <c r="G898" s="1607"/>
      <c r="H898" s="1607"/>
      <c r="I898" s="1607"/>
      <c r="J898" s="1607"/>
      <c r="K898" s="1607"/>
      <c r="L898" s="1607"/>
      <c r="M898" s="1607"/>
      <c r="N898" s="1607"/>
      <c r="O898" s="1607"/>
      <c r="P898" s="1607"/>
      <c r="Q898" s="1607"/>
      <c r="R898" s="1607"/>
      <c r="S898" s="1607"/>
      <c r="T898" s="1607"/>
      <c r="U898" s="1607"/>
      <c r="V898" s="1607"/>
      <c r="W898" s="1607"/>
      <c r="X898" s="1607"/>
      <c r="Y898" s="1607"/>
      <c r="Z898" s="1607"/>
      <c r="AA898" s="1607"/>
      <c r="AB898" s="1607"/>
      <c r="AC898" s="1607"/>
      <c r="AD898" s="1607"/>
      <c r="AE898" s="1607"/>
      <c r="AF898" s="1607"/>
      <c r="AG898" s="1607"/>
      <c r="AH898" s="1607"/>
      <c r="AI898" s="1607"/>
      <c r="AJ898" s="1607"/>
      <c r="AK898" s="1607"/>
      <c r="AL898" s="1607"/>
      <c r="AM898" s="1607"/>
      <c r="AN898" s="1607"/>
      <c r="AO898" s="1607"/>
      <c r="AP898" s="1607"/>
      <c r="AQ898" s="1607"/>
      <c r="AR898" s="1607"/>
      <c r="AS898" s="1607"/>
      <c r="AT898" s="1607"/>
      <c r="AU898" s="1607"/>
      <c r="AV898" s="1607"/>
      <c r="AW898" s="1607"/>
      <c r="AX898" s="1607"/>
      <c r="AY898" s="1607"/>
      <c r="AZ898" s="1607"/>
      <c r="BA898" s="1607"/>
      <c r="BB898" s="1607"/>
      <c r="BC898" s="1607"/>
      <c r="BD898" s="1607"/>
      <c r="BE898" s="1607"/>
      <c r="BF898" s="1607"/>
      <c r="BG898" s="1607"/>
      <c r="BH898" s="1607"/>
      <c r="BI898" s="1607"/>
      <c r="BJ898" s="1607"/>
      <c r="BK898" s="1607"/>
      <c r="BL898" s="1607"/>
    </row>
    <row r="899">
      <c r="A899" s="1607"/>
      <c r="B899" s="1607"/>
      <c r="C899" s="1607"/>
      <c r="D899" s="1607"/>
      <c r="E899" s="1607"/>
      <c r="F899" s="1607"/>
      <c r="G899" s="1607"/>
      <c r="H899" s="1607"/>
      <c r="I899" s="1607"/>
      <c r="J899" s="1607"/>
      <c r="K899" s="1607"/>
      <c r="L899" s="1607"/>
      <c r="M899" s="1607"/>
      <c r="N899" s="1607"/>
      <c r="O899" s="1607"/>
      <c r="P899" s="1607"/>
      <c r="Q899" s="1607"/>
      <c r="R899" s="1607"/>
      <c r="S899" s="1607"/>
      <c r="T899" s="1607"/>
      <c r="U899" s="1607"/>
      <c r="V899" s="1607"/>
      <c r="W899" s="1607"/>
      <c r="X899" s="1607"/>
      <c r="Y899" s="1607"/>
      <c r="Z899" s="1607"/>
      <c r="AA899" s="1607"/>
      <c r="AB899" s="1607"/>
      <c r="AC899" s="1607"/>
      <c r="AD899" s="1607"/>
      <c r="AE899" s="1607"/>
      <c r="AF899" s="1607"/>
      <c r="AG899" s="1607"/>
      <c r="AH899" s="1607"/>
      <c r="AI899" s="1607"/>
      <c r="AJ899" s="1607"/>
      <c r="AK899" s="1607"/>
      <c r="AL899" s="1607"/>
      <c r="AM899" s="1607"/>
      <c r="AN899" s="1607"/>
      <c r="AO899" s="1607"/>
      <c r="AP899" s="1607"/>
      <c r="AQ899" s="1607"/>
      <c r="AR899" s="1607"/>
      <c r="AS899" s="1607"/>
      <c r="AT899" s="1607"/>
      <c r="AU899" s="1607"/>
      <c r="AV899" s="1607"/>
      <c r="AW899" s="1607"/>
      <c r="AX899" s="1607"/>
      <c r="AY899" s="1607"/>
      <c r="AZ899" s="1607"/>
      <c r="BA899" s="1607"/>
      <c r="BB899" s="1607"/>
      <c r="BC899" s="1607"/>
      <c r="BD899" s="1607"/>
      <c r="BE899" s="1607"/>
      <c r="BF899" s="1607"/>
      <c r="BG899" s="1607"/>
      <c r="BH899" s="1607"/>
      <c r="BI899" s="1607"/>
      <c r="BJ899" s="1607"/>
      <c r="BK899" s="1607"/>
      <c r="BL899" s="1607"/>
    </row>
    <row r="900">
      <c r="A900" s="1607"/>
      <c r="B900" s="1607"/>
      <c r="C900" s="1607"/>
      <c r="D900" s="1607"/>
      <c r="E900" s="1607"/>
      <c r="F900" s="1607"/>
      <c r="G900" s="1607"/>
      <c r="H900" s="1607"/>
      <c r="I900" s="1607"/>
      <c r="J900" s="1607"/>
      <c r="K900" s="1607"/>
      <c r="L900" s="1607"/>
      <c r="M900" s="1607"/>
      <c r="N900" s="1607"/>
      <c r="O900" s="1607"/>
      <c r="P900" s="1607"/>
      <c r="Q900" s="1607"/>
      <c r="R900" s="1607"/>
      <c r="S900" s="1607"/>
      <c r="T900" s="1607"/>
      <c r="U900" s="1607"/>
      <c r="V900" s="1607"/>
      <c r="W900" s="1607"/>
      <c r="X900" s="1607"/>
      <c r="Y900" s="1607"/>
      <c r="Z900" s="1607"/>
      <c r="AA900" s="1607"/>
      <c r="AB900" s="1607"/>
      <c r="AC900" s="1607"/>
      <c r="AD900" s="1607"/>
      <c r="AE900" s="1607"/>
      <c r="AF900" s="1607"/>
      <c r="AG900" s="1607"/>
      <c r="AH900" s="1607"/>
      <c r="AI900" s="1607"/>
      <c r="AJ900" s="1607"/>
      <c r="AK900" s="1607"/>
      <c r="AL900" s="1607"/>
      <c r="AM900" s="1607"/>
      <c r="AN900" s="1607"/>
      <c r="AO900" s="1607"/>
      <c r="AP900" s="1607"/>
      <c r="AQ900" s="1607"/>
      <c r="AR900" s="1607"/>
      <c r="AS900" s="1607"/>
      <c r="AT900" s="1607"/>
      <c r="AU900" s="1607"/>
      <c r="AV900" s="1607"/>
      <c r="AW900" s="1607"/>
      <c r="AX900" s="1607"/>
      <c r="AY900" s="1607"/>
      <c r="AZ900" s="1607"/>
      <c r="BA900" s="1607"/>
      <c r="BB900" s="1607"/>
      <c r="BC900" s="1607"/>
      <c r="BD900" s="1607"/>
      <c r="BE900" s="1607"/>
      <c r="BF900" s="1607"/>
      <c r="BG900" s="1607"/>
      <c r="BH900" s="1607"/>
      <c r="BI900" s="1607"/>
      <c r="BJ900" s="1607"/>
      <c r="BK900" s="1607"/>
      <c r="BL900" s="1607"/>
    </row>
    <row r="901">
      <c r="A901" s="1607"/>
      <c r="B901" s="1607"/>
      <c r="C901" s="1607"/>
      <c r="D901" s="1607"/>
      <c r="E901" s="1607"/>
      <c r="F901" s="1607"/>
      <c r="G901" s="1607"/>
      <c r="H901" s="1607"/>
      <c r="I901" s="1607"/>
      <c r="J901" s="1607"/>
      <c r="K901" s="1607"/>
      <c r="L901" s="1607"/>
      <c r="M901" s="1607"/>
      <c r="N901" s="1607"/>
      <c r="O901" s="1607"/>
      <c r="P901" s="1607"/>
      <c r="Q901" s="1607"/>
      <c r="R901" s="1607"/>
      <c r="S901" s="1607"/>
      <c r="T901" s="1607"/>
      <c r="U901" s="1607"/>
      <c r="V901" s="1607"/>
      <c r="W901" s="1607"/>
      <c r="X901" s="1607"/>
      <c r="Y901" s="1607"/>
      <c r="Z901" s="1607"/>
      <c r="AA901" s="1607"/>
      <c r="AB901" s="1607"/>
      <c r="AC901" s="1607"/>
      <c r="AD901" s="1607"/>
      <c r="AE901" s="1607"/>
      <c r="AF901" s="1607"/>
      <c r="AG901" s="1607"/>
      <c r="AH901" s="1607"/>
      <c r="AI901" s="1607"/>
      <c r="AJ901" s="1607"/>
      <c r="AK901" s="1607"/>
      <c r="AL901" s="1607"/>
      <c r="AM901" s="1607"/>
      <c r="AN901" s="1607"/>
      <c r="AO901" s="1607"/>
      <c r="AP901" s="1607"/>
      <c r="AQ901" s="1607"/>
      <c r="AR901" s="1607"/>
      <c r="AS901" s="1607"/>
      <c r="AT901" s="1607"/>
      <c r="AU901" s="1607"/>
      <c r="AV901" s="1607"/>
      <c r="AW901" s="1607"/>
      <c r="AX901" s="1607"/>
      <c r="AY901" s="1607"/>
      <c r="AZ901" s="1607"/>
      <c r="BA901" s="1607"/>
      <c r="BB901" s="1607"/>
      <c r="BC901" s="1607"/>
      <c r="BD901" s="1607"/>
      <c r="BE901" s="1607"/>
      <c r="BF901" s="1607"/>
      <c r="BG901" s="1607"/>
      <c r="BH901" s="1607"/>
      <c r="BI901" s="1607"/>
      <c r="BJ901" s="1607"/>
      <c r="BK901" s="1607"/>
      <c r="BL901" s="1607"/>
    </row>
    <row r="902">
      <c r="A902" s="1607"/>
      <c r="B902" s="1607"/>
      <c r="C902" s="1607"/>
      <c r="D902" s="1607"/>
      <c r="E902" s="1607"/>
      <c r="F902" s="1607"/>
      <c r="G902" s="1607"/>
      <c r="H902" s="1607"/>
      <c r="I902" s="1607"/>
      <c r="J902" s="1607"/>
      <c r="K902" s="1607"/>
      <c r="L902" s="1607"/>
      <c r="M902" s="1607"/>
      <c r="N902" s="1607"/>
      <c r="O902" s="1607"/>
      <c r="P902" s="1607"/>
      <c r="Q902" s="1607"/>
      <c r="R902" s="1607"/>
      <c r="S902" s="1607"/>
      <c r="T902" s="1607"/>
      <c r="U902" s="1607"/>
      <c r="V902" s="1607"/>
      <c r="W902" s="1607"/>
      <c r="X902" s="1607"/>
      <c r="Y902" s="1607"/>
      <c r="Z902" s="1607"/>
      <c r="AA902" s="1607"/>
      <c r="AB902" s="1607"/>
      <c r="AC902" s="1607"/>
      <c r="AD902" s="1607"/>
      <c r="AE902" s="1607"/>
      <c r="AF902" s="1607"/>
      <c r="AG902" s="1607"/>
      <c r="AH902" s="1607"/>
      <c r="AI902" s="1607"/>
      <c r="AJ902" s="1607"/>
      <c r="AK902" s="1607"/>
      <c r="AL902" s="1607"/>
      <c r="AM902" s="1607"/>
      <c r="AN902" s="1607"/>
      <c r="AO902" s="1607"/>
      <c r="AP902" s="1607"/>
      <c r="AQ902" s="1607"/>
      <c r="AR902" s="1607"/>
      <c r="AS902" s="1607"/>
      <c r="AT902" s="1607"/>
      <c r="AU902" s="1607"/>
      <c r="AV902" s="1607"/>
      <c r="AW902" s="1607"/>
      <c r="AX902" s="1607"/>
      <c r="AY902" s="1607"/>
      <c r="AZ902" s="1607"/>
      <c r="BA902" s="1607"/>
      <c r="BB902" s="1607"/>
      <c r="BC902" s="1607"/>
      <c r="BD902" s="1607"/>
      <c r="BE902" s="1607"/>
      <c r="BF902" s="1607"/>
      <c r="BG902" s="1607"/>
      <c r="BH902" s="1607"/>
      <c r="BI902" s="1607"/>
      <c r="BJ902" s="1607"/>
      <c r="BK902" s="1607"/>
      <c r="BL902" s="1607"/>
    </row>
    <row r="903">
      <c r="A903" s="1607"/>
      <c r="B903" s="1607"/>
      <c r="C903" s="1607"/>
      <c r="D903" s="1607"/>
      <c r="E903" s="1607"/>
      <c r="F903" s="1607"/>
      <c r="G903" s="1607"/>
      <c r="H903" s="1607"/>
      <c r="I903" s="1607"/>
      <c r="J903" s="1607"/>
      <c r="K903" s="1607"/>
      <c r="L903" s="1607"/>
      <c r="M903" s="1607"/>
      <c r="N903" s="1607"/>
      <c r="O903" s="1607"/>
      <c r="P903" s="1607"/>
      <c r="Q903" s="1607"/>
      <c r="R903" s="1607"/>
      <c r="S903" s="1607"/>
      <c r="T903" s="1607"/>
      <c r="U903" s="1607"/>
      <c r="V903" s="1607"/>
      <c r="W903" s="1607"/>
      <c r="X903" s="1607"/>
      <c r="Y903" s="1607"/>
      <c r="Z903" s="1607"/>
      <c r="AA903" s="1607"/>
      <c r="AB903" s="1607"/>
      <c r="AC903" s="1607"/>
      <c r="AD903" s="1607"/>
      <c r="AE903" s="1607"/>
      <c r="AF903" s="1607"/>
      <c r="AG903" s="1607"/>
      <c r="AH903" s="1607"/>
      <c r="AI903" s="1607"/>
      <c r="AJ903" s="1607"/>
      <c r="AK903" s="1607"/>
      <c r="AL903" s="1607"/>
      <c r="AM903" s="1607"/>
      <c r="AN903" s="1607"/>
      <c r="AO903" s="1607"/>
      <c r="AP903" s="1607"/>
      <c r="AQ903" s="1607"/>
      <c r="AR903" s="1607"/>
      <c r="AS903" s="1607"/>
      <c r="AT903" s="1607"/>
      <c r="AU903" s="1607"/>
      <c r="AV903" s="1607"/>
      <c r="AW903" s="1607"/>
      <c r="AX903" s="1607"/>
      <c r="AY903" s="1607"/>
      <c r="AZ903" s="1607"/>
      <c r="BA903" s="1607"/>
      <c r="BB903" s="1607"/>
      <c r="BC903" s="1607"/>
      <c r="BD903" s="1607"/>
      <c r="BE903" s="1607"/>
      <c r="BF903" s="1607"/>
      <c r="BG903" s="1607"/>
      <c r="BH903" s="1607"/>
      <c r="BI903" s="1607"/>
      <c r="BJ903" s="1607"/>
      <c r="BK903" s="1607"/>
      <c r="BL903" s="1607"/>
    </row>
    <row r="904">
      <c r="A904" s="1607"/>
      <c r="B904" s="1607"/>
      <c r="C904" s="1607"/>
      <c r="D904" s="1607"/>
      <c r="E904" s="1607"/>
      <c r="F904" s="1607"/>
      <c r="G904" s="1607"/>
      <c r="H904" s="1607"/>
      <c r="I904" s="1607"/>
      <c r="J904" s="1607"/>
      <c r="K904" s="1607"/>
      <c r="L904" s="1607"/>
      <c r="M904" s="1607"/>
      <c r="N904" s="1607"/>
      <c r="O904" s="1607"/>
      <c r="P904" s="1607"/>
      <c r="Q904" s="1607"/>
      <c r="R904" s="1607"/>
      <c r="S904" s="1607"/>
      <c r="T904" s="1607"/>
      <c r="U904" s="1607"/>
      <c r="V904" s="1607"/>
      <c r="W904" s="1607"/>
      <c r="X904" s="1607"/>
      <c r="Y904" s="1607"/>
      <c r="Z904" s="1607"/>
      <c r="AA904" s="1607"/>
      <c r="AB904" s="1607"/>
      <c r="AC904" s="1607"/>
      <c r="AD904" s="1607"/>
      <c r="AE904" s="1607"/>
      <c r="AF904" s="1607"/>
      <c r="AG904" s="1607"/>
      <c r="AH904" s="1607"/>
      <c r="AI904" s="1607"/>
      <c r="AJ904" s="1607"/>
      <c r="AK904" s="1607"/>
      <c r="AL904" s="1607"/>
      <c r="AM904" s="1607"/>
      <c r="AN904" s="1607"/>
      <c r="AO904" s="1607"/>
      <c r="AP904" s="1607"/>
      <c r="AQ904" s="1607"/>
      <c r="AR904" s="1607"/>
      <c r="AS904" s="1607"/>
      <c r="AT904" s="1607"/>
      <c r="AU904" s="1607"/>
      <c r="AV904" s="1607"/>
      <c r="AW904" s="1607"/>
      <c r="AX904" s="1607"/>
      <c r="AY904" s="1607"/>
      <c r="AZ904" s="1607"/>
      <c r="BA904" s="1607"/>
      <c r="BB904" s="1607"/>
      <c r="BC904" s="1607"/>
      <c r="BD904" s="1607"/>
      <c r="BE904" s="1607"/>
      <c r="BF904" s="1607"/>
      <c r="BG904" s="1607"/>
      <c r="BH904" s="1607"/>
      <c r="BI904" s="1607"/>
      <c r="BJ904" s="1607"/>
      <c r="BK904" s="1607"/>
      <c r="BL904" s="1607"/>
    </row>
    <row r="905">
      <c r="A905" s="1607"/>
      <c r="B905" s="1607"/>
      <c r="C905" s="1607"/>
      <c r="D905" s="1607"/>
      <c r="E905" s="1607"/>
      <c r="F905" s="1607"/>
      <c r="G905" s="1607"/>
      <c r="H905" s="1607"/>
      <c r="I905" s="1607"/>
      <c r="J905" s="1607"/>
      <c r="K905" s="1607"/>
      <c r="L905" s="1607"/>
      <c r="M905" s="1607"/>
      <c r="N905" s="1607"/>
      <c r="O905" s="1607"/>
      <c r="P905" s="1607"/>
      <c r="Q905" s="1607"/>
      <c r="R905" s="1607"/>
      <c r="S905" s="1607"/>
      <c r="T905" s="1607"/>
      <c r="U905" s="1607"/>
      <c r="V905" s="1607"/>
      <c r="W905" s="1607"/>
      <c r="X905" s="1607"/>
      <c r="Y905" s="1607"/>
      <c r="Z905" s="1607"/>
      <c r="AA905" s="1607"/>
      <c r="AB905" s="1607"/>
      <c r="AC905" s="1607"/>
      <c r="AD905" s="1607"/>
      <c r="AE905" s="1607"/>
      <c r="AF905" s="1607"/>
      <c r="AG905" s="1607"/>
      <c r="AH905" s="1607"/>
      <c r="AI905" s="1607"/>
      <c r="AJ905" s="1607"/>
      <c r="AK905" s="1607"/>
      <c r="AL905" s="1607"/>
      <c r="AM905" s="1607"/>
      <c r="AN905" s="1607"/>
      <c r="AO905" s="1607"/>
      <c r="AP905" s="1607"/>
      <c r="AQ905" s="1607"/>
      <c r="AR905" s="1607"/>
      <c r="AS905" s="1607"/>
      <c r="AT905" s="1607"/>
      <c r="AU905" s="1607"/>
      <c r="AV905" s="1607"/>
      <c r="AW905" s="1607"/>
      <c r="AX905" s="1607"/>
      <c r="AY905" s="1607"/>
      <c r="AZ905" s="1607"/>
      <c r="BA905" s="1607"/>
      <c r="BB905" s="1607"/>
      <c r="BC905" s="1607"/>
      <c r="BD905" s="1607"/>
      <c r="BE905" s="1607"/>
      <c r="BF905" s="1607"/>
      <c r="BG905" s="1607"/>
      <c r="BH905" s="1607"/>
      <c r="BI905" s="1607"/>
      <c r="BJ905" s="1607"/>
      <c r="BK905" s="1607"/>
      <c r="BL905" s="1607"/>
    </row>
    <row r="906">
      <c r="A906" s="1607"/>
      <c r="B906" s="1607"/>
      <c r="C906" s="1607"/>
      <c r="D906" s="1607"/>
      <c r="E906" s="1607"/>
      <c r="F906" s="1607"/>
      <c r="G906" s="1607"/>
      <c r="H906" s="1607"/>
      <c r="I906" s="1607"/>
      <c r="J906" s="1607"/>
      <c r="K906" s="1607"/>
      <c r="L906" s="1607"/>
      <c r="M906" s="1607"/>
      <c r="N906" s="1607"/>
      <c r="O906" s="1607"/>
      <c r="P906" s="1607"/>
      <c r="Q906" s="1607"/>
      <c r="R906" s="1607"/>
      <c r="S906" s="1607"/>
      <c r="T906" s="1607"/>
      <c r="U906" s="1607"/>
      <c r="V906" s="1607"/>
      <c r="W906" s="1607"/>
      <c r="X906" s="1607"/>
      <c r="Y906" s="1607"/>
      <c r="Z906" s="1607"/>
      <c r="AA906" s="1607"/>
      <c r="AB906" s="1607"/>
      <c r="AC906" s="1607"/>
      <c r="AD906" s="1607"/>
      <c r="AE906" s="1607"/>
      <c r="AF906" s="1607"/>
      <c r="AG906" s="1607"/>
      <c r="AH906" s="1607"/>
      <c r="AI906" s="1607"/>
      <c r="AJ906" s="1607"/>
      <c r="AK906" s="1607"/>
      <c r="AL906" s="1607"/>
      <c r="AM906" s="1607"/>
      <c r="AN906" s="1607"/>
      <c r="AO906" s="1607"/>
      <c r="AP906" s="1607"/>
      <c r="AQ906" s="1607"/>
      <c r="AR906" s="1607"/>
      <c r="AS906" s="1607"/>
      <c r="AT906" s="1607"/>
      <c r="AU906" s="1607"/>
      <c r="AV906" s="1607"/>
      <c r="AW906" s="1607"/>
      <c r="AX906" s="1607"/>
      <c r="AY906" s="1607"/>
      <c r="AZ906" s="1607"/>
      <c r="BA906" s="1607"/>
      <c r="BB906" s="1607"/>
      <c r="BC906" s="1607"/>
      <c r="BD906" s="1607"/>
      <c r="BE906" s="1607"/>
      <c r="BF906" s="1607"/>
      <c r="BG906" s="1607"/>
      <c r="BH906" s="1607"/>
      <c r="BI906" s="1607"/>
      <c r="BJ906" s="1607"/>
      <c r="BK906" s="1607"/>
      <c r="BL906" s="1607"/>
    </row>
    <row r="907">
      <c r="A907" s="1607"/>
      <c r="B907" s="1607"/>
      <c r="C907" s="1607"/>
      <c r="D907" s="1607"/>
      <c r="E907" s="1607"/>
      <c r="F907" s="1607"/>
      <c r="G907" s="1607"/>
      <c r="H907" s="1607"/>
      <c r="I907" s="1607"/>
      <c r="J907" s="1607"/>
      <c r="K907" s="1607"/>
      <c r="L907" s="1607"/>
      <c r="M907" s="1607"/>
      <c r="N907" s="1607"/>
      <c r="O907" s="1607"/>
      <c r="P907" s="1607"/>
      <c r="Q907" s="1607"/>
      <c r="R907" s="1607"/>
      <c r="S907" s="1607"/>
      <c r="T907" s="1607"/>
      <c r="U907" s="1607"/>
      <c r="V907" s="1607"/>
      <c r="W907" s="1607"/>
      <c r="X907" s="1607"/>
      <c r="Y907" s="1607"/>
      <c r="Z907" s="1607"/>
      <c r="AA907" s="1607"/>
      <c r="AB907" s="1607"/>
      <c r="AC907" s="1607"/>
      <c r="AD907" s="1607"/>
      <c r="AE907" s="1607"/>
      <c r="AF907" s="1607"/>
      <c r="AG907" s="1607"/>
      <c r="AH907" s="1607"/>
      <c r="AI907" s="1607"/>
      <c r="AJ907" s="1607"/>
      <c r="AK907" s="1607"/>
      <c r="AL907" s="1607"/>
      <c r="AM907" s="1607"/>
      <c r="AN907" s="1607"/>
      <c r="AO907" s="1607"/>
      <c r="AP907" s="1607"/>
      <c r="AQ907" s="1607"/>
      <c r="AR907" s="1607"/>
      <c r="AS907" s="1607"/>
      <c r="AT907" s="1607"/>
      <c r="AU907" s="1607"/>
      <c r="AV907" s="1607"/>
      <c r="AW907" s="1607"/>
      <c r="AX907" s="1607"/>
      <c r="AY907" s="1607"/>
      <c r="AZ907" s="1607"/>
      <c r="BA907" s="1607"/>
      <c r="BB907" s="1607"/>
      <c r="BC907" s="1607"/>
      <c r="BD907" s="1607"/>
      <c r="BE907" s="1607"/>
      <c r="BF907" s="1607"/>
      <c r="BG907" s="1607"/>
      <c r="BH907" s="1607"/>
      <c r="BI907" s="1607"/>
      <c r="BJ907" s="1607"/>
      <c r="BK907" s="1607"/>
      <c r="BL907" s="1607"/>
    </row>
    <row r="908">
      <c r="A908" s="1607"/>
      <c r="B908" s="1607"/>
      <c r="C908" s="1607"/>
      <c r="D908" s="1607"/>
      <c r="E908" s="1607"/>
      <c r="F908" s="1607"/>
      <c r="G908" s="1607"/>
      <c r="H908" s="1607"/>
      <c r="I908" s="1607"/>
      <c r="J908" s="1607"/>
      <c r="K908" s="1607"/>
      <c r="L908" s="1607"/>
      <c r="M908" s="1607"/>
      <c r="N908" s="1607"/>
      <c r="O908" s="1607"/>
      <c r="P908" s="1607"/>
      <c r="Q908" s="1607"/>
      <c r="R908" s="1607"/>
      <c r="S908" s="1607"/>
      <c r="T908" s="1607"/>
      <c r="U908" s="1607"/>
      <c r="V908" s="1607"/>
      <c r="W908" s="1607"/>
      <c r="X908" s="1607"/>
      <c r="Y908" s="1607"/>
      <c r="Z908" s="1607"/>
      <c r="AA908" s="1607"/>
      <c r="AB908" s="1607"/>
      <c r="AC908" s="1607"/>
      <c r="AD908" s="1607"/>
      <c r="AE908" s="1607"/>
      <c r="AF908" s="1607"/>
      <c r="AG908" s="1607"/>
      <c r="AH908" s="1607"/>
      <c r="AI908" s="1607"/>
      <c r="AJ908" s="1607"/>
      <c r="AK908" s="1607"/>
      <c r="AL908" s="1607"/>
      <c r="AM908" s="1607"/>
      <c r="AN908" s="1607"/>
      <c r="AO908" s="1607"/>
      <c r="AP908" s="1607"/>
      <c r="AQ908" s="1607"/>
      <c r="AR908" s="1607"/>
      <c r="AS908" s="1607"/>
      <c r="AT908" s="1607"/>
      <c r="AU908" s="1607"/>
      <c r="AV908" s="1607"/>
      <c r="AW908" s="1607"/>
      <c r="AX908" s="1607"/>
      <c r="AY908" s="1607"/>
      <c r="AZ908" s="1607"/>
      <c r="BA908" s="1607"/>
      <c r="BB908" s="1607"/>
      <c r="BC908" s="1607"/>
      <c r="BD908" s="1607"/>
      <c r="BE908" s="1607"/>
      <c r="BF908" s="1607"/>
      <c r="BG908" s="1607"/>
      <c r="BH908" s="1607"/>
      <c r="BI908" s="1607"/>
      <c r="BJ908" s="1607"/>
      <c r="BK908" s="1607"/>
      <c r="BL908" s="1607"/>
    </row>
    <row r="909">
      <c r="A909" s="1607"/>
      <c r="B909" s="1607"/>
      <c r="C909" s="1607"/>
      <c r="D909" s="1607"/>
      <c r="E909" s="1607"/>
      <c r="F909" s="1607"/>
      <c r="G909" s="1607"/>
      <c r="H909" s="1607"/>
      <c r="I909" s="1607"/>
      <c r="J909" s="1607"/>
      <c r="K909" s="1607"/>
      <c r="L909" s="1607"/>
      <c r="M909" s="1607"/>
      <c r="N909" s="1607"/>
      <c r="O909" s="1607"/>
      <c r="P909" s="1607"/>
      <c r="Q909" s="1607"/>
      <c r="R909" s="1607"/>
      <c r="S909" s="1607"/>
      <c r="T909" s="1607"/>
      <c r="U909" s="1607"/>
      <c r="V909" s="1607"/>
      <c r="W909" s="1607"/>
      <c r="X909" s="1607"/>
      <c r="Y909" s="1607"/>
      <c r="Z909" s="1607"/>
      <c r="AA909" s="1607"/>
      <c r="AB909" s="1607"/>
      <c r="AC909" s="1607"/>
      <c r="AD909" s="1607"/>
      <c r="AE909" s="1607"/>
      <c r="AF909" s="1607"/>
      <c r="AG909" s="1607"/>
      <c r="AH909" s="1607"/>
      <c r="AI909" s="1607"/>
      <c r="AJ909" s="1607"/>
      <c r="AK909" s="1607"/>
      <c r="AL909" s="1607"/>
      <c r="AM909" s="1607"/>
      <c r="AN909" s="1607"/>
      <c r="AO909" s="1607"/>
      <c r="AP909" s="1607"/>
      <c r="AQ909" s="1607"/>
      <c r="AR909" s="1607"/>
      <c r="AS909" s="1607"/>
      <c r="AT909" s="1607"/>
      <c r="AU909" s="1607"/>
      <c r="AV909" s="1607"/>
      <c r="AW909" s="1607"/>
      <c r="AX909" s="1607"/>
      <c r="AY909" s="1607"/>
      <c r="AZ909" s="1607"/>
      <c r="BA909" s="1607"/>
      <c r="BB909" s="1607"/>
      <c r="BC909" s="1607"/>
      <c r="BD909" s="1607"/>
      <c r="BE909" s="1607"/>
      <c r="BF909" s="1607"/>
      <c r="BG909" s="1607"/>
      <c r="BH909" s="1607"/>
      <c r="BI909" s="1607"/>
      <c r="BJ909" s="1607"/>
      <c r="BK909" s="1607"/>
      <c r="BL909" s="1607"/>
    </row>
    <row r="910">
      <c r="A910" s="1607"/>
      <c r="B910" s="1607"/>
      <c r="C910" s="1607"/>
      <c r="D910" s="1607"/>
      <c r="E910" s="1607"/>
      <c r="F910" s="1607"/>
      <c r="G910" s="1607"/>
      <c r="H910" s="1607"/>
      <c r="I910" s="1607"/>
      <c r="J910" s="1607"/>
      <c r="K910" s="1607"/>
      <c r="L910" s="1607"/>
      <c r="M910" s="1607"/>
      <c r="N910" s="1607"/>
      <c r="O910" s="1607"/>
      <c r="P910" s="1607"/>
      <c r="Q910" s="1607"/>
      <c r="R910" s="1607"/>
      <c r="S910" s="1607"/>
      <c r="T910" s="1607"/>
      <c r="U910" s="1607"/>
      <c r="V910" s="1607"/>
      <c r="W910" s="1607"/>
      <c r="X910" s="1607"/>
      <c r="Y910" s="1607"/>
      <c r="Z910" s="1607"/>
      <c r="AA910" s="1607"/>
      <c r="AB910" s="1607"/>
      <c r="AC910" s="1607"/>
      <c r="AD910" s="1607"/>
      <c r="AE910" s="1607"/>
      <c r="AF910" s="1607"/>
      <c r="AG910" s="1607"/>
      <c r="AH910" s="1607"/>
      <c r="AI910" s="1607"/>
      <c r="AJ910" s="1607"/>
      <c r="AK910" s="1607"/>
      <c r="AL910" s="1607"/>
      <c r="AM910" s="1607"/>
      <c r="AN910" s="1607"/>
      <c r="AO910" s="1607"/>
      <c r="AP910" s="1607"/>
      <c r="AQ910" s="1607"/>
      <c r="AR910" s="1607"/>
      <c r="AS910" s="1607"/>
      <c r="AT910" s="1607"/>
      <c r="AU910" s="1607"/>
      <c r="AV910" s="1607"/>
      <c r="AW910" s="1607"/>
      <c r="AX910" s="1607"/>
      <c r="AY910" s="1607"/>
      <c r="AZ910" s="1607"/>
      <c r="BA910" s="1607"/>
      <c r="BB910" s="1607"/>
      <c r="BC910" s="1607"/>
      <c r="BD910" s="1607"/>
      <c r="BE910" s="1607"/>
      <c r="BF910" s="1607"/>
      <c r="BG910" s="1607"/>
      <c r="BH910" s="1607"/>
      <c r="BI910" s="1607"/>
      <c r="BJ910" s="1607"/>
      <c r="BK910" s="1607"/>
      <c r="BL910" s="1607"/>
    </row>
    <row r="911">
      <c r="A911" s="1607"/>
      <c r="B911" s="1607"/>
      <c r="C911" s="1607"/>
      <c r="D911" s="1607"/>
      <c r="E911" s="1607"/>
      <c r="F911" s="1607"/>
      <c r="G911" s="1607"/>
      <c r="H911" s="1607"/>
      <c r="I911" s="1607"/>
      <c r="J911" s="1607"/>
      <c r="K911" s="1607"/>
      <c r="L911" s="1607"/>
      <c r="M911" s="1607"/>
      <c r="N911" s="1607"/>
      <c r="O911" s="1607"/>
      <c r="P911" s="1607"/>
      <c r="Q911" s="1607"/>
      <c r="R911" s="1607"/>
      <c r="S911" s="1607"/>
      <c r="T911" s="1607"/>
      <c r="U911" s="1607"/>
      <c r="V911" s="1607"/>
      <c r="W911" s="1607"/>
      <c r="X911" s="1607"/>
      <c r="Y911" s="1607"/>
      <c r="Z911" s="1607"/>
      <c r="AA911" s="1607"/>
      <c r="AB911" s="1607"/>
      <c r="AC911" s="1607"/>
      <c r="AD911" s="1607"/>
      <c r="AE911" s="1607"/>
      <c r="AF911" s="1607"/>
      <c r="AG911" s="1607"/>
      <c r="AH911" s="1607"/>
      <c r="AI911" s="1607"/>
      <c r="AJ911" s="1607"/>
      <c r="AK911" s="1607"/>
      <c r="AL911" s="1607"/>
      <c r="AM911" s="1607"/>
      <c r="AN911" s="1607"/>
      <c r="AO911" s="1607"/>
      <c r="AP911" s="1607"/>
      <c r="AQ911" s="1607"/>
      <c r="AR911" s="1607"/>
      <c r="AS911" s="1607"/>
      <c r="AT911" s="1607"/>
      <c r="AU911" s="1607"/>
      <c r="AV911" s="1607"/>
      <c r="AW911" s="1607"/>
      <c r="AX911" s="1607"/>
      <c r="AY911" s="1607"/>
      <c r="AZ911" s="1607"/>
      <c r="BA911" s="1607"/>
      <c r="BB911" s="1607"/>
      <c r="BC911" s="1607"/>
      <c r="BD911" s="1607"/>
      <c r="BE911" s="1607"/>
      <c r="BF911" s="1607"/>
      <c r="BG911" s="1607"/>
      <c r="BH911" s="1607"/>
      <c r="BI911" s="1607"/>
      <c r="BJ911" s="1607"/>
      <c r="BK911" s="1607"/>
      <c r="BL911" s="1607"/>
    </row>
    <row r="912">
      <c r="A912" s="1607"/>
      <c r="B912" s="1607"/>
      <c r="C912" s="1607"/>
      <c r="D912" s="1607"/>
      <c r="E912" s="1607"/>
      <c r="F912" s="1607"/>
      <c r="G912" s="1607"/>
      <c r="H912" s="1607"/>
      <c r="I912" s="1607"/>
      <c r="J912" s="1607"/>
      <c r="K912" s="1607"/>
      <c r="L912" s="1607"/>
      <c r="M912" s="1607"/>
      <c r="N912" s="1607"/>
      <c r="O912" s="1607"/>
      <c r="P912" s="1607"/>
      <c r="Q912" s="1607"/>
      <c r="R912" s="1607"/>
      <c r="S912" s="1607"/>
      <c r="T912" s="1607"/>
      <c r="U912" s="1607"/>
      <c r="V912" s="1607"/>
      <c r="W912" s="1607"/>
      <c r="X912" s="1607"/>
      <c r="Y912" s="1607"/>
      <c r="Z912" s="1607"/>
      <c r="AA912" s="1607"/>
      <c r="AB912" s="1607"/>
      <c r="AC912" s="1607"/>
      <c r="AD912" s="1607"/>
      <c r="AE912" s="1607"/>
      <c r="AF912" s="1607"/>
      <c r="AG912" s="1607"/>
      <c r="AH912" s="1607"/>
      <c r="AI912" s="1607"/>
      <c r="AJ912" s="1607"/>
      <c r="AK912" s="1607"/>
      <c r="AL912" s="1607"/>
      <c r="AM912" s="1607"/>
      <c r="AN912" s="1607"/>
      <c r="AO912" s="1607"/>
      <c r="AP912" s="1607"/>
      <c r="AQ912" s="1607"/>
      <c r="AR912" s="1607"/>
      <c r="AS912" s="1607"/>
      <c r="AT912" s="1607"/>
      <c r="AU912" s="1607"/>
      <c r="AV912" s="1607"/>
      <c r="AW912" s="1607"/>
      <c r="AX912" s="1607"/>
      <c r="AY912" s="1607"/>
      <c r="AZ912" s="1607"/>
      <c r="BA912" s="1607"/>
      <c r="BB912" s="1607"/>
      <c r="BC912" s="1607"/>
      <c r="BD912" s="1607"/>
      <c r="BE912" s="1607"/>
      <c r="BF912" s="1607"/>
      <c r="BG912" s="1607"/>
      <c r="BH912" s="1607"/>
      <c r="BI912" s="1607"/>
      <c r="BJ912" s="1607"/>
      <c r="BK912" s="1607"/>
      <c r="BL912" s="1607"/>
    </row>
    <row r="913">
      <c r="A913" s="1607"/>
      <c r="B913" s="1607"/>
      <c r="C913" s="1607"/>
      <c r="D913" s="1607"/>
      <c r="E913" s="1607"/>
      <c r="F913" s="1607"/>
      <c r="G913" s="1607"/>
      <c r="H913" s="1607"/>
      <c r="I913" s="1607"/>
      <c r="J913" s="1607"/>
      <c r="K913" s="1607"/>
      <c r="L913" s="1607"/>
      <c r="M913" s="1607"/>
      <c r="N913" s="1607"/>
      <c r="O913" s="1607"/>
      <c r="P913" s="1607"/>
      <c r="Q913" s="1607"/>
      <c r="R913" s="1607"/>
      <c r="S913" s="1607"/>
      <c r="T913" s="1607"/>
      <c r="U913" s="1607"/>
      <c r="V913" s="1607"/>
      <c r="W913" s="1607"/>
      <c r="X913" s="1607"/>
      <c r="Y913" s="1607"/>
      <c r="Z913" s="1607"/>
      <c r="AA913" s="1607"/>
      <c r="AB913" s="1607"/>
      <c r="AC913" s="1607"/>
      <c r="AD913" s="1607"/>
      <c r="AE913" s="1607"/>
      <c r="AF913" s="1607"/>
      <c r="AG913" s="1607"/>
      <c r="AH913" s="1607"/>
      <c r="AI913" s="1607"/>
      <c r="AJ913" s="1607"/>
      <c r="AK913" s="1607"/>
      <c r="AL913" s="1607"/>
      <c r="AM913" s="1607"/>
      <c r="AN913" s="1607"/>
      <c r="AO913" s="1607"/>
      <c r="AP913" s="1607"/>
      <c r="AQ913" s="1607"/>
      <c r="AR913" s="1607"/>
      <c r="AS913" s="1607"/>
      <c r="AT913" s="1607"/>
      <c r="AU913" s="1607"/>
      <c r="AV913" s="1607"/>
      <c r="AW913" s="1607"/>
      <c r="AX913" s="1607"/>
      <c r="AY913" s="1607"/>
      <c r="AZ913" s="1607"/>
      <c r="BA913" s="1607"/>
      <c r="BB913" s="1607"/>
      <c r="BC913" s="1607"/>
      <c r="BD913" s="1607"/>
      <c r="BE913" s="1607"/>
      <c r="BF913" s="1607"/>
      <c r="BG913" s="1607"/>
      <c r="BH913" s="1607"/>
      <c r="BI913" s="1607"/>
      <c r="BJ913" s="1607"/>
      <c r="BK913" s="1607"/>
      <c r="BL913" s="1607"/>
    </row>
    <row r="914">
      <c r="A914" s="1607"/>
      <c r="B914" s="1607"/>
      <c r="C914" s="1607"/>
      <c r="D914" s="1607"/>
      <c r="E914" s="1607"/>
      <c r="F914" s="1607"/>
      <c r="G914" s="1607"/>
      <c r="H914" s="1607"/>
      <c r="I914" s="1607"/>
      <c r="J914" s="1607"/>
      <c r="K914" s="1607"/>
      <c r="L914" s="1607"/>
      <c r="M914" s="1607"/>
      <c r="N914" s="1607"/>
      <c r="O914" s="1607"/>
      <c r="P914" s="1607"/>
      <c r="Q914" s="1607"/>
      <c r="R914" s="1607"/>
      <c r="S914" s="1607"/>
      <c r="T914" s="1607"/>
      <c r="U914" s="1607"/>
      <c r="V914" s="1607"/>
      <c r="W914" s="1607"/>
      <c r="X914" s="1607"/>
      <c r="Y914" s="1607"/>
      <c r="Z914" s="1607"/>
      <c r="AA914" s="1607"/>
      <c r="AB914" s="1607"/>
      <c r="AC914" s="1607"/>
      <c r="AD914" s="1607"/>
      <c r="AE914" s="1607"/>
      <c r="AF914" s="1607"/>
      <c r="AG914" s="1607"/>
      <c r="AH914" s="1607"/>
      <c r="AI914" s="1607"/>
      <c r="AJ914" s="1607"/>
      <c r="AK914" s="1607"/>
      <c r="AL914" s="1607"/>
      <c r="AM914" s="1607"/>
      <c r="AN914" s="1607"/>
      <c r="AO914" s="1607"/>
      <c r="AP914" s="1607"/>
      <c r="AQ914" s="1607"/>
      <c r="AR914" s="1607"/>
      <c r="AS914" s="1607"/>
      <c r="AT914" s="1607"/>
      <c r="AU914" s="1607"/>
      <c r="AV914" s="1607"/>
      <c r="AW914" s="1607"/>
      <c r="AX914" s="1607"/>
      <c r="AY914" s="1607"/>
      <c r="AZ914" s="1607"/>
      <c r="BA914" s="1607"/>
      <c r="BB914" s="1607"/>
      <c r="BC914" s="1607"/>
      <c r="BD914" s="1607"/>
      <c r="BE914" s="1607"/>
      <c r="BF914" s="1607"/>
      <c r="BG914" s="1607"/>
      <c r="BH914" s="1607"/>
      <c r="BI914" s="1607"/>
      <c r="BJ914" s="1607"/>
      <c r="BK914" s="1607"/>
      <c r="BL914" s="1607"/>
    </row>
    <row r="915">
      <c r="A915" s="1607"/>
      <c r="B915" s="1607"/>
      <c r="C915" s="1607"/>
      <c r="D915" s="1607"/>
      <c r="E915" s="1607"/>
      <c r="F915" s="1607"/>
      <c r="G915" s="1607"/>
      <c r="H915" s="1607"/>
      <c r="I915" s="1607"/>
      <c r="J915" s="1607"/>
      <c r="K915" s="1607"/>
      <c r="L915" s="1607"/>
      <c r="M915" s="1607"/>
      <c r="N915" s="1607"/>
      <c r="O915" s="1607"/>
      <c r="P915" s="1607"/>
      <c r="Q915" s="1607"/>
      <c r="R915" s="1607"/>
      <c r="S915" s="1607"/>
      <c r="T915" s="1607"/>
      <c r="U915" s="1607"/>
      <c r="V915" s="1607"/>
      <c r="W915" s="1607"/>
      <c r="X915" s="1607"/>
      <c r="Y915" s="1607"/>
      <c r="Z915" s="1607"/>
      <c r="AA915" s="1607"/>
      <c r="AB915" s="1607"/>
      <c r="AC915" s="1607"/>
      <c r="AD915" s="1607"/>
      <c r="AE915" s="1607"/>
      <c r="AF915" s="1607"/>
      <c r="AG915" s="1607"/>
      <c r="AH915" s="1607"/>
      <c r="AI915" s="1607"/>
      <c r="AJ915" s="1607"/>
      <c r="AK915" s="1607"/>
      <c r="AL915" s="1607"/>
      <c r="AM915" s="1607"/>
      <c r="AN915" s="1607"/>
      <c r="AO915" s="1607"/>
      <c r="AP915" s="1607"/>
      <c r="AQ915" s="1607"/>
      <c r="AR915" s="1607"/>
      <c r="AS915" s="1607"/>
      <c r="AT915" s="1607"/>
      <c r="AU915" s="1607"/>
      <c r="AV915" s="1607"/>
      <c r="AW915" s="1607"/>
      <c r="AX915" s="1607"/>
      <c r="AY915" s="1607"/>
      <c r="AZ915" s="1607"/>
      <c r="BA915" s="1607"/>
      <c r="BB915" s="1607"/>
      <c r="BC915" s="1607"/>
      <c r="BD915" s="1607"/>
      <c r="BE915" s="1607"/>
      <c r="BF915" s="1607"/>
      <c r="BG915" s="1607"/>
      <c r="BH915" s="1607"/>
      <c r="BI915" s="1607"/>
      <c r="BJ915" s="1607"/>
      <c r="BK915" s="1607"/>
      <c r="BL915" s="1607"/>
    </row>
    <row r="916">
      <c r="A916" s="1607"/>
      <c r="B916" s="1607"/>
      <c r="C916" s="1607"/>
      <c r="D916" s="1607"/>
      <c r="E916" s="1607"/>
      <c r="F916" s="1607"/>
      <c r="G916" s="1607"/>
      <c r="H916" s="1607"/>
      <c r="I916" s="1607"/>
      <c r="J916" s="1607"/>
      <c r="K916" s="1607"/>
      <c r="L916" s="1607"/>
      <c r="M916" s="1607"/>
      <c r="N916" s="1607"/>
      <c r="O916" s="1607"/>
      <c r="P916" s="1607"/>
      <c r="Q916" s="1607"/>
      <c r="R916" s="1607"/>
      <c r="S916" s="1607"/>
      <c r="T916" s="1607"/>
      <c r="U916" s="1607"/>
      <c r="V916" s="1607"/>
      <c r="W916" s="1607"/>
      <c r="X916" s="1607"/>
      <c r="Y916" s="1607"/>
      <c r="Z916" s="1607"/>
      <c r="AA916" s="1607"/>
      <c r="AB916" s="1607"/>
      <c r="AC916" s="1607"/>
      <c r="AD916" s="1607"/>
      <c r="AE916" s="1607"/>
      <c r="AF916" s="1607"/>
      <c r="AG916" s="1607"/>
      <c r="AH916" s="1607"/>
      <c r="AI916" s="1607"/>
      <c r="AJ916" s="1607"/>
      <c r="AK916" s="1607"/>
      <c r="AL916" s="1607"/>
      <c r="AM916" s="1607"/>
      <c r="AN916" s="1607"/>
      <c r="AO916" s="1607"/>
      <c r="AP916" s="1607"/>
      <c r="AQ916" s="1607"/>
      <c r="AR916" s="1607"/>
      <c r="AS916" s="1607"/>
      <c r="AT916" s="1607"/>
      <c r="AU916" s="1607"/>
      <c r="AV916" s="1607"/>
      <c r="AW916" s="1607"/>
      <c r="AX916" s="1607"/>
      <c r="AY916" s="1607"/>
      <c r="AZ916" s="1607"/>
      <c r="BA916" s="1607"/>
      <c r="BB916" s="1607"/>
      <c r="BC916" s="1607"/>
      <c r="BD916" s="1607"/>
      <c r="BE916" s="1607"/>
      <c r="BF916" s="1607"/>
      <c r="BG916" s="1607"/>
      <c r="BH916" s="1607"/>
      <c r="BI916" s="1607"/>
      <c r="BJ916" s="1607"/>
      <c r="BK916" s="1607"/>
      <c r="BL916" s="1607"/>
    </row>
    <row r="917">
      <c r="A917" s="1607"/>
      <c r="B917" s="1607"/>
      <c r="C917" s="1607"/>
      <c r="D917" s="1607"/>
      <c r="E917" s="1607"/>
      <c r="F917" s="1607"/>
      <c r="G917" s="1607"/>
      <c r="H917" s="1607"/>
      <c r="I917" s="1607"/>
      <c r="J917" s="1607"/>
      <c r="K917" s="1607"/>
      <c r="L917" s="1607"/>
      <c r="M917" s="1607"/>
      <c r="N917" s="1607"/>
      <c r="O917" s="1607"/>
      <c r="P917" s="1607"/>
      <c r="Q917" s="1607"/>
      <c r="R917" s="1607"/>
      <c r="S917" s="1607"/>
      <c r="T917" s="1607"/>
      <c r="U917" s="1607"/>
      <c r="V917" s="1607"/>
      <c r="W917" s="1607"/>
      <c r="X917" s="1607"/>
      <c r="Y917" s="1607"/>
      <c r="Z917" s="1607"/>
      <c r="AA917" s="1607"/>
      <c r="AB917" s="1607"/>
      <c r="AC917" s="1607"/>
      <c r="AD917" s="1607"/>
      <c r="AE917" s="1607"/>
      <c r="AF917" s="1607"/>
      <c r="AG917" s="1607"/>
      <c r="AH917" s="1607"/>
      <c r="AI917" s="1607"/>
      <c r="AJ917" s="1607"/>
      <c r="AK917" s="1607"/>
      <c r="AL917" s="1607"/>
      <c r="AM917" s="1607"/>
      <c r="AN917" s="1607"/>
      <c r="AO917" s="1607"/>
      <c r="AP917" s="1607"/>
      <c r="AQ917" s="1607"/>
      <c r="AR917" s="1607"/>
      <c r="AS917" s="1607"/>
      <c r="AT917" s="1607"/>
      <c r="AU917" s="1607"/>
      <c r="AV917" s="1607"/>
      <c r="AW917" s="1607"/>
      <c r="AX917" s="1607"/>
      <c r="AY917" s="1607"/>
      <c r="AZ917" s="1607"/>
      <c r="BA917" s="1607"/>
      <c r="BB917" s="1607"/>
      <c r="BC917" s="1607"/>
      <c r="BD917" s="1607"/>
      <c r="BE917" s="1607"/>
      <c r="BF917" s="1607"/>
      <c r="BG917" s="1607"/>
      <c r="BH917" s="1607"/>
      <c r="BI917" s="1607"/>
      <c r="BJ917" s="1607"/>
      <c r="BK917" s="1607"/>
      <c r="BL917" s="1607"/>
    </row>
    <row r="918">
      <c r="A918" s="1607"/>
      <c r="B918" s="1607"/>
      <c r="C918" s="1607"/>
      <c r="D918" s="1607"/>
      <c r="E918" s="1607"/>
      <c r="F918" s="1607"/>
      <c r="G918" s="1607"/>
      <c r="H918" s="1607"/>
      <c r="I918" s="1607"/>
      <c r="J918" s="1607"/>
      <c r="K918" s="1607"/>
      <c r="L918" s="1607"/>
      <c r="M918" s="1607"/>
      <c r="N918" s="1607"/>
      <c r="O918" s="1607"/>
      <c r="P918" s="1607"/>
      <c r="Q918" s="1607"/>
      <c r="R918" s="1607"/>
      <c r="S918" s="1607"/>
      <c r="T918" s="1607"/>
      <c r="U918" s="1607"/>
      <c r="V918" s="1607"/>
      <c r="W918" s="1607"/>
      <c r="X918" s="1607"/>
      <c r="Y918" s="1607"/>
      <c r="Z918" s="1607"/>
      <c r="AA918" s="1607"/>
      <c r="AB918" s="1607"/>
      <c r="AC918" s="1607"/>
      <c r="AD918" s="1607"/>
      <c r="AE918" s="1607"/>
      <c r="AF918" s="1607"/>
      <c r="AG918" s="1607"/>
      <c r="AH918" s="1607"/>
      <c r="AI918" s="1607"/>
      <c r="AJ918" s="1607"/>
      <c r="AK918" s="1607"/>
      <c r="AL918" s="1607"/>
      <c r="AM918" s="1607"/>
      <c r="AN918" s="1607"/>
      <c r="AO918" s="1607"/>
      <c r="AP918" s="1607"/>
      <c r="AQ918" s="1607"/>
      <c r="AR918" s="1607"/>
      <c r="AS918" s="1607"/>
      <c r="AT918" s="1607"/>
      <c r="AU918" s="1607"/>
      <c r="AV918" s="1607"/>
      <c r="AW918" s="1607"/>
      <c r="AX918" s="1607"/>
      <c r="AY918" s="1607"/>
      <c r="AZ918" s="1607"/>
      <c r="BA918" s="1607"/>
      <c r="BB918" s="1607"/>
      <c r="BC918" s="1607"/>
      <c r="BD918" s="1607"/>
      <c r="BE918" s="1607"/>
      <c r="BF918" s="1607"/>
      <c r="BG918" s="1607"/>
      <c r="BH918" s="1607"/>
      <c r="BI918" s="1607"/>
      <c r="BJ918" s="1607"/>
      <c r="BK918" s="1607"/>
      <c r="BL918" s="1607"/>
    </row>
    <row r="919">
      <c r="A919" s="1607"/>
      <c r="B919" s="1607"/>
      <c r="C919" s="1607"/>
      <c r="D919" s="1607"/>
      <c r="E919" s="1607"/>
      <c r="F919" s="1607"/>
      <c r="G919" s="1607"/>
      <c r="H919" s="1607"/>
      <c r="I919" s="1607"/>
      <c r="J919" s="1607"/>
      <c r="K919" s="1607"/>
      <c r="L919" s="1607"/>
      <c r="M919" s="1607"/>
      <c r="N919" s="1607"/>
      <c r="O919" s="1607"/>
      <c r="P919" s="1607"/>
      <c r="Q919" s="1607"/>
      <c r="R919" s="1607"/>
      <c r="S919" s="1607"/>
      <c r="T919" s="1607"/>
      <c r="U919" s="1607"/>
      <c r="V919" s="1607"/>
      <c r="W919" s="1607"/>
      <c r="X919" s="1607"/>
      <c r="Y919" s="1607"/>
      <c r="Z919" s="1607"/>
      <c r="AA919" s="1607"/>
      <c r="AB919" s="1607"/>
      <c r="AC919" s="1607"/>
      <c r="AD919" s="1607"/>
      <c r="AE919" s="1607"/>
      <c r="AF919" s="1607"/>
      <c r="AG919" s="1607"/>
      <c r="AH919" s="1607"/>
      <c r="AI919" s="1607"/>
      <c r="AJ919" s="1607"/>
      <c r="AK919" s="1607"/>
      <c r="AL919" s="1607"/>
      <c r="AM919" s="1607"/>
      <c r="AN919" s="1607"/>
      <c r="AO919" s="1607"/>
      <c r="AP919" s="1607"/>
      <c r="AQ919" s="1607"/>
      <c r="AR919" s="1607"/>
      <c r="AS919" s="1607"/>
      <c r="AT919" s="1607"/>
      <c r="AU919" s="1607"/>
      <c r="AV919" s="1607"/>
      <c r="AW919" s="1607"/>
      <c r="AX919" s="1607"/>
      <c r="AY919" s="1607"/>
      <c r="AZ919" s="1607"/>
      <c r="BA919" s="1607"/>
      <c r="BB919" s="1607"/>
      <c r="BC919" s="1607"/>
      <c r="BD919" s="1607"/>
      <c r="BE919" s="1607"/>
      <c r="BF919" s="1607"/>
      <c r="BG919" s="1607"/>
      <c r="BH919" s="1607"/>
      <c r="BI919" s="1607"/>
      <c r="BJ919" s="1607"/>
      <c r="BK919" s="1607"/>
      <c r="BL919" s="1607"/>
    </row>
    <row r="920">
      <c r="A920" s="1607"/>
      <c r="B920" s="1607"/>
      <c r="C920" s="1607"/>
      <c r="D920" s="1607"/>
      <c r="E920" s="1607"/>
      <c r="F920" s="1607"/>
      <c r="G920" s="1607"/>
      <c r="H920" s="1607"/>
      <c r="I920" s="1607"/>
      <c r="J920" s="1607"/>
      <c r="K920" s="1607"/>
      <c r="L920" s="1607"/>
      <c r="M920" s="1607"/>
      <c r="N920" s="1607"/>
      <c r="O920" s="1607"/>
      <c r="P920" s="1607"/>
      <c r="Q920" s="1607"/>
      <c r="R920" s="1607"/>
      <c r="S920" s="1607"/>
      <c r="T920" s="1607"/>
      <c r="U920" s="1607"/>
      <c r="V920" s="1607"/>
      <c r="W920" s="1607"/>
      <c r="X920" s="1607"/>
      <c r="Y920" s="1607"/>
      <c r="Z920" s="1607"/>
      <c r="AA920" s="1607"/>
      <c r="AB920" s="1607"/>
      <c r="AC920" s="1607"/>
      <c r="AD920" s="1607"/>
      <c r="AE920" s="1607"/>
      <c r="AF920" s="1607"/>
      <c r="AG920" s="1607"/>
      <c r="AH920" s="1607"/>
      <c r="AI920" s="1607"/>
      <c r="AJ920" s="1607"/>
      <c r="AK920" s="1607"/>
      <c r="AL920" s="1607"/>
      <c r="AM920" s="1607"/>
      <c r="AN920" s="1607"/>
      <c r="AO920" s="1607"/>
      <c r="AP920" s="1607"/>
      <c r="AQ920" s="1607"/>
      <c r="AR920" s="1607"/>
      <c r="AS920" s="1607"/>
      <c r="AT920" s="1607"/>
      <c r="AU920" s="1607"/>
      <c r="AV920" s="1607"/>
      <c r="AW920" s="1607"/>
      <c r="AX920" s="1607"/>
      <c r="AY920" s="1607"/>
      <c r="AZ920" s="1607"/>
      <c r="BA920" s="1607"/>
      <c r="BB920" s="1607"/>
      <c r="BC920" s="1607"/>
      <c r="BD920" s="1607"/>
      <c r="BE920" s="1607"/>
      <c r="BF920" s="1607"/>
      <c r="BG920" s="1607"/>
      <c r="BH920" s="1607"/>
      <c r="BI920" s="1607"/>
      <c r="BJ920" s="1607"/>
      <c r="BK920" s="1607"/>
      <c r="BL920" s="1607"/>
    </row>
    <row r="921">
      <c r="A921" s="1607"/>
      <c r="B921" s="1607"/>
      <c r="C921" s="1607"/>
      <c r="D921" s="1607"/>
      <c r="E921" s="1607"/>
      <c r="F921" s="1607"/>
      <c r="G921" s="1607"/>
      <c r="H921" s="1607"/>
      <c r="I921" s="1607"/>
      <c r="J921" s="1607"/>
      <c r="K921" s="1607"/>
      <c r="L921" s="1607"/>
      <c r="M921" s="1607"/>
      <c r="N921" s="1607"/>
      <c r="O921" s="1607"/>
      <c r="P921" s="1607"/>
      <c r="Q921" s="1607"/>
      <c r="R921" s="1607"/>
      <c r="S921" s="1607"/>
      <c r="T921" s="1607"/>
      <c r="U921" s="1607"/>
      <c r="V921" s="1607"/>
      <c r="W921" s="1607"/>
      <c r="X921" s="1607"/>
      <c r="Y921" s="1607"/>
      <c r="Z921" s="1607"/>
      <c r="AA921" s="1607"/>
      <c r="AB921" s="1607"/>
      <c r="AC921" s="1607"/>
      <c r="AD921" s="1607"/>
      <c r="AE921" s="1607"/>
      <c r="AF921" s="1607"/>
      <c r="AG921" s="1607"/>
      <c r="AH921" s="1607"/>
      <c r="AI921" s="1607"/>
      <c r="AJ921" s="1607"/>
      <c r="AK921" s="1607"/>
      <c r="AL921" s="1607"/>
      <c r="AM921" s="1607"/>
      <c r="AN921" s="1607"/>
      <c r="AO921" s="1607"/>
      <c r="AP921" s="1607"/>
      <c r="AQ921" s="1607"/>
      <c r="AR921" s="1607"/>
      <c r="AS921" s="1607"/>
      <c r="AT921" s="1607"/>
      <c r="AU921" s="1607"/>
      <c r="AV921" s="1607"/>
      <c r="AW921" s="1607"/>
      <c r="AX921" s="1607"/>
      <c r="AY921" s="1607"/>
      <c r="AZ921" s="1607"/>
      <c r="BA921" s="1607"/>
      <c r="BB921" s="1607"/>
      <c r="BC921" s="1607"/>
      <c r="BD921" s="1607"/>
      <c r="BE921" s="1607"/>
      <c r="BF921" s="1607"/>
      <c r="BG921" s="1607"/>
      <c r="BH921" s="1607"/>
      <c r="BI921" s="1607"/>
      <c r="BJ921" s="1607"/>
      <c r="BK921" s="1607"/>
      <c r="BL921" s="1607"/>
    </row>
    <row r="922">
      <c r="A922" s="1607"/>
      <c r="B922" s="1607"/>
      <c r="C922" s="1607"/>
      <c r="D922" s="1607"/>
      <c r="E922" s="1607"/>
      <c r="F922" s="1607"/>
      <c r="G922" s="1607"/>
      <c r="H922" s="1607"/>
      <c r="I922" s="1607"/>
      <c r="J922" s="1607"/>
      <c r="K922" s="1607"/>
      <c r="L922" s="1607"/>
      <c r="M922" s="1607"/>
      <c r="N922" s="1607"/>
      <c r="O922" s="1607"/>
      <c r="P922" s="1607"/>
      <c r="Q922" s="1607"/>
      <c r="R922" s="1607"/>
      <c r="S922" s="1607"/>
      <c r="T922" s="1607"/>
      <c r="U922" s="1607"/>
      <c r="V922" s="1607"/>
      <c r="W922" s="1607"/>
      <c r="X922" s="1607"/>
      <c r="Y922" s="1607"/>
      <c r="Z922" s="1607"/>
      <c r="AA922" s="1607"/>
      <c r="AB922" s="1607"/>
      <c r="AC922" s="1607"/>
      <c r="AD922" s="1607"/>
      <c r="AE922" s="1607"/>
      <c r="AF922" s="1607"/>
      <c r="AG922" s="1607"/>
      <c r="AH922" s="1607"/>
      <c r="AI922" s="1607"/>
      <c r="AJ922" s="1607"/>
      <c r="AK922" s="1607"/>
      <c r="AL922" s="1607"/>
      <c r="AM922" s="1607"/>
      <c r="AN922" s="1607"/>
      <c r="AO922" s="1607"/>
      <c r="AP922" s="1607"/>
      <c r="AQ922" s="1607"/>
      <c r="AR922" s="1607"/>
      <c r="AS922" s="1607"/>
      <c r="AT922" s="1607"/>
      <c r="AU922" s="1607"/>
      <c r="AV922" s="1607"/>
      <c r="AW922" s="1607"/>
      <c r="AX922" s="1607"/>
      <c r="AY922" s="1607"/>
      <c r="AZ922" s="1607"/>
      <c r="BA922" s="1607"/>
      <c r="BB922" s="1607"/>
      <c r="BC922" s="1607"/>
      <c r="BD922" s="1607"/>
      <c r="BE922" s="1607"/>
      <c r="BF922" s="1607"/>
      <c r="BG922" s="1607"/>
      <c r="BH922" s="1607"/>
      <c r="BI922" s="1607"/>
      <c r="BJ922" s="1607"/>
      <c r="BK922" s="1607"/>
      <c r="BL922" s="1607"/>
    </row>
    <row r="923">
      <c r="A923" s="1607"/>
      <c r="B923" s="1607"/>
      <c r="C923" s="1607"/>
      <c r="D923" s="1607"/>
      <c r="E923" s="1607"/>
      <c r="F923" s="1607"/>
      <c r="G923" s="1607"/>
      <c r="H923" s="1607"/>
      <c r="I923" s="1607"/>
      <c r="J923" s="1607"/>
      <c r="K923" s="1607"/>
      <c r="L923" s="1607"/>
      <c r="M923" s="1607"/>
      <c r="N923" s="1607"/>
      <c r="O923" s="1607"/>
      <c r="P923" s="1607"/>
      <c r="Q923" s="1607"/>
      <c r="R923" s="1607"/>
      <c r="S923" s="1607"/>
      <c r="T923" s="1607"/>
      <c r="U923" s="1607"/>
      <c r="V923" s="1607"/>
      <c r="W923" s="1607"/>
      <c r="X923" s="1607"/>
      <c r="Y923" s="1607"/>
      <c r="Z923" s="1607"/>
      <c r="AA923" s="1607"/>
      <c r="AB923" s="1607"/>
      <c r="AC923" s="1607"/>
      <c r="AD923" s="1607"/>
      <c r="AE923" s="1607"/>
      <c r="AF923" s="1607"/>
      <c r="AG923" s="1607"/>
      <c r="AH923" s="1607"/>
      <c r="AI923" s="1607"/>
      <c r="AJ923" s="1607"/>
      <c r="AK923" s="1607"/>
      <c r="AL923" s="1607"/>
      <c r="AM923" s="1607"/>
      <c r="AN923" s="1607"/>
      <c r="AO923" s="1607"/>
      <c r="AP923" s="1607"/>
      <c r="AQ923" s="1607"/>
      <c r="AR923" s="1607"/>
      <c r="AS923" s="1607"/>
      <c r="AT923" s="1607"/>
      <c r="AU923" s="1607"/>
      <c r="AV923" s="1607"/>
      <c r="AW923" s="1607"/>
      <c r="AX923" s="1607"/>
      <c r="AY923" s="1607"/>
      <c r="AZ923" s="1607"/>
      <c r="BA923" s="1607"/>
      <c r="BB923" s="1607"/>
      <c r="BC923" s="1607"/>
      <c r="BD923" s="1607"/>
      <c r="BE923" s="1607"/>
      <c r="BF923" s="1607"/>
      <c r="BG923" s="1607"/>
      <c r="BH923" s="1607"/>
      <c r="BI923" s="1607"/>
      <c r="BJ923" s="1607"/>
      <c r="BK923" s="1607"/>
      <c r="BL923" s="1607"/>
    </row>
    <row r="924">
      <c r="A924" s="1607"/>
      <c r="B924" s="1607"/>
      <c r="C924" s="1607"/>
      <c r="D924" s="1607"/>
      <c r="E924" s="1607"/>
      <c r="F924" s="1607"/>
      <c r="G924" s="1607"/>
      <c r="H924" s="1607"/>
      <c r="I924" s="1607"/>
      <c r="J924" s="1607"/>
      <c r="K924" s="1607"/>
      <c r="L924" s="1607"/>
      <c r="M924" s="1607"/>
      <c r="N924" s="1607"/>
      <c r="O924" s="1607"/>
      <c r="P924" s="1607"/>
      <c r="Q924" s="1607"/>
      <c r="R924" s="1607"/>
      <c r="S924" s="1607"/>
      <c r="T924" s="1607"/>
      <c r="U924" s="1607"/>
      <c r="V924" s="1607"/>
      <c r="W924" s="1607"/>
      <c r="X924" s="1607"/>
      <c r="Y924" s="1607"/>
      <c r="Z924" s="1607"/>
      <c r="AA924" s="1607"/>
      <c r="AB924" s="1607"/>
      <c r="AC924" s="1607"/>
      <c r="AD924" s="1607"/>
      <c r="AE924" s="1607"/>
      <c r="AF924" s="1607"/>
      <c r="AG924" s="1607"/>
      <c r="AH924" s="1607"/>
      <c r="AI924" s="1607"/>
      <c r="AJ924" s="1607"/>
      <c r="AK924" s="1607"/>
      <c r="AL924" s="1607"/>
      <c r="AM924" s="1607"/>
      <c r="AN924" s="1607"/>
      <c r="AO924" s="1607"/>
      <c r="AP924" s="1607"/>
      <c r="AQ924" s="1607"/>
      <c r="AR924" s="1607"/>
      <c r="AS924" s="1607"/>
      <c r="AT924" s="1607"/>
      <c r="AU924" s="1607"/>
      <c r="AV924" s="1607"/>
      <c r="AW924" s="1607"/>
      <c r="AX924" s="1607"/>
      <c r="AY924" s="1607"/>
      <c r="AZ924" s="1607"/>
      <c r="BA924" s="1607"/>
      <c r="BB924" s="1607"/>
      <c r="BC924" s="1607"/>
      <c r="BD924" s="1607"/>
      <c r="BE924" s="1607"/>
      <c r="BF924" s="1607"/>
      <c r="BG924" s="1607"/>
      <c r="BH924" s="1607"/>
      <c r="BI924" s="1607"/>
      <c r="BJ924" s="1607"/>
      <c r="BK924" s="1607"/>
      <c r="BL924" s="1607"/>
    </row>
    <row r="925">
      <c r="A925" s="1607"/>
      <c r="B925" s="1607"/>
      <c r="C925" s="1607"/>
      <c r="D925" s="1607"/>
      <c r="E925" s="1607"/>
      <c r="F925" s="1607"/>
      <c r="G925" s="1607"/>
      <c r="H925" s="1607"/>
      <c r="I925" s="1607"/>
      <c r="J925" s="1607"/>
      <c r="K925" s="1607"/>
      <c r="L925" s="1607"/>
      <c r="M925" s="1607"/>
      <c r="N925" s="1607"/>
      <c r="O925" s="1607"/>
      <c r="P925" s="1607"/>
      <c r="Q925" s="1607"/>
      <c r="R925" s="1607"/>
      <c r="S925" s="1607"/>
      <c r="T925" s="1607"/>
      <c r="U925" s="1607"/>
      <c r="V925" s="1607"/>
      <c r="W925" s="1607"/>
      <c r="X925" s="1607"/>
      <c r="Y925" s="1607"/>
      <c r="Z925" s="1607"/>
      <c r="AA925" s="1607"/>
      <c r="AB925" s="1607"/>
      <c r="AC925" s="1607"/>
      <c r="AD925" s="1607"/>
      <c r="AE925" s="1607"/>
      <c r="AF925" s="1607"/>
      <c r="AG925" s="1607"/>
      <c r="AH925" s="1607"/>
      <c r="AI925" s="1607"/>
      <c r="AJ925" s="1607"/>
      <c r="AK925" s="1607"/>
      <c r="AL925" s="1607"/>
      <c r="AM925" s="1607"/>
      <c r="AN925" s="1607"/>
      <c r="AO925" s="1607"/>
      <c r="AP925" s="1607"/>
      <c r="AQ925" s="1607"/>
      <c r="AR925" s="1607"/>
      <c r="AS925" s="1607"/>
      <c r="AT925" s="1607"/>
      <c r="AU925" s="1607"/>
      <c r="AV925" s="1607"/>
      <c r="AW925" s="1607"/>
      <c r="AX925" s="1607"/>
      <c r="AY925" s="1607"/>
      <c r="AZ925" s="1607"/>
      <c r="BA925" s="1607"/>
      <c r="BB925" s="1607"/>
      <c r="BC925" s="1607"/>
      <c r="BD925" s="1607"/>
      <c r="BE925" s="1607"/>
      <c r="BF925" s="1607"/>
      <c r="BG925" s="1607"/>
      <c r="BH925" s="1607"/>
      <c r="BI925" s="1607"/>
      <c r="BJ925" s="1607"/>
      <c r="BK925" s="1607"/>
      <c r="BL925" s="1607"/>
    </row>
    <row r="926">
      <c r="A926" s="1607"/>
      <c r="B926" s="1607"/>
      <c r="C926" s="1607"/>
      <c r="D926" s="1607"/>
      <c r="E926" s="1607"/>
      <c r="F926" s="1607"/>
      <c r="G926" s="1607"/>
      <c r="H926" s="1607"/>
      <c r="I926" s="1607"/>
      <c r="J926" s="1607"/>
      <c r="K926" s="1607"/>
      <c r="L926" s="1607"/>
      <c r="M926" s="1607"/>
      <c r="N926" s="1607"/>
      <c r="O926" s="1607"/>
      <c r="P926" s="1607"/>
      <c r="Q926" s="1607"/>
      <c r="R926" s="1607"/>
      <c r="S926" s="1607"/>
      <c r="T926" s="1607"/>
      <c r="U926" s="1607"/>
      <c r="V926" s="1607"/>
      <c r="W926" s="1607"/>
      <c r="X926" s="1607"/>
      <c r="Y926" s="1607"/>
      <c r="Z926" s="1607"/>
      <c r="AA926" s="1607"/>
      <c r="AB926" s="1607"/>
      <c r="AC926" s="1607"/>
      <c r="AD926" s="1607"/>
      <c r="AE926" s="1607"/>
      <c r="AF926" s="1607"/>
      <c r="AG926" s="1607"/>
      <c r="AH926" s="1607"/>
      <c r="AI926" s="1607"/>
      <c r="AJ926" s="1607"/>
      <c r="AK926" s="1607"/>
      <c r="AL926" s="1607"/>
      <c r="AM926" s="1607"/>
      <c r="AN926" s="1607"/>
      <c r="AO926" s="1607"/>
      <c r="AP926" s="1607"/>
      <c r="AQ926" s="1607"/>
      <c r="AR926" s="1607"/>
      <c r="AS926" s="1607"/>
      <c r="AT926" s="1607"/>
      <c r="AU926" s="1607"/>
      <c r="AV926" s="1607"/>
      <c r="AW926" s="1607"/>
      <c r="AX926" s="1607"/>
      <c r="AY926" s="1607"/>
      <c r="AZ926" s="1607"/>
      <c r="BA926" s="1607"/>
      <c r="BB926" s="1607"/>
      <c r="BC926" s="1607"/>
      <c r="BD926" s="1607"/>
      <c r="BE926" s="1607"/>
      <c r="BF926" s="1607"/>
      <c r="BG926" s="1607"/>
      <c r="BH926" s="1607"/>
      <c r="BI926" s="1607"/>
      <c r="BJ926" s="1607"/>
      <c r="BK926" s="1607"/>
      <c r="BL926" s="1607"/>
    </row>
    <row r="927">
      <c r="A927" s="1607"/>
      <c r="B927" s="1607"/>
      <c r="C927" s="1607"/>
      <c r="D927" s="1607"/>
      <c r="E927" s="1607"/>
      <c r="F927" s="1607"/>
      <c r="G927" s="1607"/>
      <c r="H927" s="1607"/>
      <c r="I927" s="1607"/>
      <c r="J927" s="1607"/>
      <c r="K927" s="1607"/>
      <c r="L927" s="1607"/>
      <c r="M927" s="1607"/>
      <c r="N927" s="1607"/>
      <c r="O927" s="1607"/>
      <c r="P927" s="1607"/>
      <c r="Q927" s="1607"/>
      <c r="R927" s="1607"/>
      <c r="S927" s="1607"/>
      <c r="T927" s="1607"/>
      <c r="U927" s="1607"/>
      <c r="V927" s="1607"/>
      <c r="W927" s="1607"/>
      <c r="X927" s="1607"/>
      <c r="Y927" s="1607"/>
      <c r="Z927" s="1607"/>
      <c r="AA927" s="1607"/>
      <c r="AB927" s="1607"/>
      <c r="AC927" s="1607"/>
      <c r="AD927" s="1607"/>
      <c r="AE927" s="1607"/>
      <c r="AF927" s="1607"/>
      <c r="AG927" s="1607"/>
      <c r="AH927" s="1607"/>
      <c r="AI927" s="1607"/>
      <c r="AJ927" s="1607"/>
      <c r="AK927" s="1607"/>
      <c r="AL927" s="1607"/>
      <c r="AM927" s="1607"/>
      <c r="AN927" s="1607"/>
      <c r="AO927" s="1607"/>
      <c r="AP927" s="1607"/>
      <c r="AQ927" s="1607"/>
      <c r="AR927" s="1607"/>
      <c r="AS927" s="1607"/>
      <c r="AT927" s="1607"/>
      <c r="AU927" s="1607"/>
      <c r="AV927" s="1607"/>
      <c r="AW927" s="1607"/>
      <c r="AX927" s="1607"/>
      <c r="AY927" s="1607"/>
      <c r="AZ927" s="1607"/>
      <c r="BA927" s="1607"/>
      <c r="BB927" s="1607"/>
      <c r="BC927" s="1607"/>
      <c r="BD927" s="1607"/>
      <c r="BE927" s="1607"/>
      <c r="BF927" s="1607"/>
      <c r="BG927" s="1607"/>
      <c r="BH927" s="1607"/>
      <c r="BI927" s="1607"/>
      <c r="BJ927" s="1607"/>
      <c r="BK927" s="1607"/>
      <c r="BL927" s="1607"/>
    </row>
    <row r="928">
      <c r="A928" s="1607"/>
      <c r="B928" s="1607"/>
      <c r="C928" s="1607"/>
      <c r="D928" s="1607"/>
      <c r="E928" s="1607"/>
      <c r="F928" s="1607"/>
      <c r="G928" s="1607"/>
      <c r="H928" s="1607"/>
      <c r="I928" s="1607"/>
      <c r="J928" s="1607"/>
      <c r="K928" s="1607"/>
      <c r="L928" s="1607"/>
      <c r="M928" s="1607"/>
      <c r="N928" s="1607"/>
      <c r="O928" s="1607"/>
      <c r="P928" s="1607"/>
      <c r="Q928" s="1607"/>
      <c r="R928" s="1607"/>
      <c r="S928" s="1607"/>
      <c r="T928" s="1607"/>
      <c r="U928" s="1607"/>
      <c r="V928" s="1607"/>
      <c r="W928" s="1607"/>
      <c r="X928" s="1607"/>
      <c r="Y928" s="1607"/>
      <c r="Z928" s="1607"/>
      <c r="AA928" s="1607"/>
      <c r="AB928" s="1607"/>
      <c r="AC928" s="1607"/>
      <c r="AD928" s="1607"/>
      <c r="AE928" s="1607"/>
      <c r="AF928" s="1607"/>
      <c r="AG928" s="1607"/>
      <c r="AH928" s="1607"/>
      <c r="AI928" s="1607"/>
      <c r="AJ928" s="1607"/>
      <c r="AK928" s="1607"/>
      <c r="AL928" s="1607"/>
      <c r="AM928" s="1607"/>
      <c r="AN928" s="1607"/>
      <c r="AO928" s="1607"/>
      <c r="AP928" s="1607"/>
      <c r="AQ928" s="1607"/>
      <c r="AR928" s="1607"/>
      <c r="AS928" s="1607"/>
      <c r="AT928" s="1607"/>
      <c r="AU928" s="1607"/>
      <c r="AV928" s="1607"/>
      <c r="AW928" s="1607"/>
      <c r="AX928" s="1607"/>
      <c r="AY928" s="1607"/>
      <c r="AZ928" s="1607"/>
      <c r="BA928" s="1607"/>
      <c r="BB928" s="1607"/>
      <c r="BC928" s="1607"/>
      <c r="BD928" s="1607"/>
      <c r="BE928" s="1607"/>
      <c r="BF928" s="1607"/>
      <c r="BG928" s="1607"/>
      <c r="BH928" s="1607"/>
      <c r="BI928" s="1607"/>
      <c r="BJ928" s="1607"/>
      <c r="BK928" s="1607"/>
      <c r="BL928" s="1607"/>
    </row>
    <row r="929">
      <c r="A929" s="1607"/>
      <c r="B929" s="1607"/>
      <c r="C929" s="1607"/>
      <c r="D929" s="1607"/>
      <c r="E929" s="1607"/>
      <c r="F929" s="1607"/>
      <c r="G929" s="1607"/>
      <c r="H929" s="1607"/>
      <c r="I929" s="1607"/>
      <c r="J929" s="1607"/>
      <c r="K929" s="1607"/>
      <c r="L929" s="1607"/>
      <c r="M929" s="1607"/>
      <c r="N929" s="1607"/>
      <c r="O929" s="1607"/>
      <c r="P929" s="1607"/>
      <c r="Q929" s="1607"/>
      <c r="R929" s="1607"/>
      <c r="S929" s="1607"/>
      <c r="T929" s="1607"/>
      <c r="U929" s="1607"/>
      <c r="V929" s="1607"/>
      <c r="W929" s="1607"/>
      <c r="X929" s="1607"/>
      <c r="Y929" s="1607"/>
      <c r="Z929" s="1607"/>
      <c r="AA929" s="1607"/>
      <c r="AB929" s="1607"/>
      <c r="AC929" s="1607"/>
      <c r="AD929" s="1607"/>
      <c r="AE929" s="1607"/>
      <c r="AF929" s="1607"/>
      <c r="AG929" s="1607"/>
      <c r="AH929" s="1607"/>
      <c r="AI929" s="1607"/>
      <c r="AJ929" s="1607"/>
      <c r="AK929" s="1607"/>
      <c r="AL929" s="1607"/>
      <c r="AM929" s="1607"/>
      <c r="AN929" s="1607"/>
      <c r="AO929" s="1607"/>
      <c r="AP929" s="1607"/>
      <c r="AQ929" s="1607"/>
      <c r="AR929" s="1607"/>
      <c r="AS929" s="1607"/>
      <c r="AT929" s="1607"/>
      <c r="AU929" s="1607"/>
      <c r="AV929" s="1607"/>
      <c r="AW929" s="1607"/>
      <c r="AX929" s="1607"/>
      <c r="AY929" s="1607"/>
      <c r="AZ929" s="1607"/>
      <c r="BA929" s="1607"/>
      <c r="BB929" s="1607"/>
      <c r="BC929" s="1607"/>
      <c r="BD929" s="1607"/>
      <c r="BE929" s="1607"/>
      <c r="BF929" s="1607"/>
      <c r="BG929" s="1607"/>
      <c r="BH929" s="1607"/>
      <c r="BI929" s="1607"/>
      <c r="BJ929" s="1607"/>
      <c r="BK929" s="1607"/>
      <c r="BL929" s="1607"/>
    </row>
    <row r="930">
      <c r="A930" s="1607"/>
      <c r="B930" s="1607"/>
      <c r="C930" s="1607"/>
      <c r="D930" s="1607"/>
      <c r="E930" s="1607"/>
      <c r="F930" s="1607"/>
      <c r="G930" s="1607"/>
      <c r="H930" s="1607"/>
      <c r="I930" s="1607"/>
      <c r="J930" s="1607"/>
      <c r="K930" s="1607"/>
      <c r="L930" s="1607"/>
      <c r="M930" s="1607"/>
      <c r="N930" s="1607"/>
      <c r="O930" s="1607"/>
      <c r="P930" s="1607"/>
      <c r="Q930" s="1607"/>
      <c r="R930" s="1607"/>
      <c r="S930" s="1607"/>
      <c r="T930" s="1607"/>
      <c r="U930" s="1607"/>
      <c r="V930" s="1607"/>
      <c r="W930" s="1607"/>
      <c r="X930" s="1607"/>
      <c r="Y930" s="1607"/>
      <c r="Z930" s="1607"/>
      <c r="AA930" s="1607"/>
      <c r="AB930" s="1607"/>
      <c r="AC930" s="1607"/>
      <c r="AD930" s="1607"/>
      <c r="AE930" s="1607"/>
      <c r="AF930" s="1607"/>
      <c r="AG930" s="1607"/>
      <c r="AH930" s="1607"/>
      <c r="AI930" s="1607"/>
      <c r="AJ930" s="1607"/>
      <c r="AK930" s="1607"/>
      <c r="AL930" s="1607"/>
      <c r="AM930" s="1607"/>
      <c r="AN930" s="1607"/>
      <c r="AO930" s="1607"/>
      <c r="AP930" s="1607"/>
      <c r="AQ930" s="1607"/>
      <c r="AR930" s="1607"/>
      <c r="AS930" s="1607"/>
      <c r="AT930" s="1607"/>
      <c r="AU930" s="1607"/>
      <c r="AV930" s="1607"/>
      <c r="AW930" s="1607"/>
      <c r="AX930" s="1607"/>
      <c r="AY930" s="1607"/>
      <c r="AZ930" s="1607"/>
      <c r="BA930" s="1607"/>
      <c r="BB930" s="1607"/>
      <c r="BC930" s="1607"/>
      <c r="BD930" s="1607"/>
      <c r="BE930" s="1607"/>
      <c r="BF930" s="1607"/>
      <c r="BG930" s="1607"/>
      <c r="BH930" s="1607"/>
      <c r="BI930" s="1607"/>
      <c r="BJ930" s="1607"/>
      <c r="BK930" s="1607"/>
      <c r="BL930" s="1607"/>
    </row>
    <row r="931">
      <c r="A931" s="1607"/>
      <c r="B931" s="1607"/>
      <c r="C931" s="1607"/>
      <c r="D931" s="1607"/>
      <c r="E931" s="1607"/>
      <c r="F931" s="1607"/>
      <c r="G931" s="1607"/>
      <c r="H931" s="1607"/>
      <c r="I931" s="1607"/>
      <c r="J931" s="1607"/>
      <c r="K931" s="1607"/>
      <c r="L931" s="1607"/>
      <c r="M931" s="1607"/>
      <c r="N931" s="1607"/>
      <c r="O931" s="1607"/>
      <c r="P931" s="1607"/>
      <c r="Q931" s="1607"/>
      <c r="R931" s="1607"/>
      <c r="S931" s="1607"/>
      <c r="T931" s="1607"/>
      <c r="U931" s="1607"/>
      <c r="V931" s="1607"/>
      <c r="W931" s="1607"/>
      <c r="X931" s="1607"/>
      <c r="Y931" s="1607"/>
      <c r="Z931" s="1607"/>
      <c r="AA931" s="1607"/>
      <c r="AB931" s="1607"/>
      <c r="AC931" s="1607"/>
      <c r="AD931" s="1607"/>
      <c r="AE931" s="1607"/>
      <c r="AF931" s="1607"/>
      <c r="AG931" s="1607"/>
      <c r="AH931" s="1607"/>
      <c r="AI931" s="1607"/>
      <c r="AJ931" s="1607"/>
      <c r="AK931" s="1607"/>
      <c r="AL931" s="1607"/>
      <c r="AM931" s="1607"/>
      <c r="AN931" s="1607"/>
      <c r="AO931" s="1607"/>
      <c r="AP931" s="1607"/>
      <c r="AQ931" s="1607"/>
      <c r="AR931" s="1607"/>
      <c r="AS931" s="1607"/>
      <c r="AT931" s="1607"/>
      <c r="AU931" s="1607"/>
      <c r="AV931" s="1607"/>
      <c r="AW931" s="1607"/>
      <c r="AX931" s="1607"/>
      <c r="AY931" s="1607"/>
      <c r="AZ931" s="1607"/>
      <c r="BA931" s="1607"/>
      <c r="BB931" s="1607"/>
      <c r="BC931" s="1607"/>
      <c r="BD931" s="1607"/>
      <c r="BE931" s="1607"/>
      <c r="BF931" s="1607"/>
      <c r="BG931" s="1607"/>
      <c r="BH931" s="1607"/>
      <c r="BI931" s="1607"/>
      <c r="BJ931" s="1607"/>
      <c r="BK931" s="1607"/>
      <c r="BL931" s="1607"/>
    </row>
    <row r="932">
      <c r="A932" s="1607"/>
      <c r="B932" s="1607"/>
      <c r="C932" s="1607"/>
      <c r="D932" s="1607"/>
      <c r="E932" s="1607"/>
      <c r="F932" s="1607"/>
      <c r="G932" s="1607"/>
      <c r="H932" s="1607"/>
      <c r="I932" s="1607"/>
      <c r="J932" s="1607"/>
      <c r="K932" s="1607"/>
      <c r="L932" s="1607"/>
      <c r="M932" s="1607"/>
      <c r="N932" s="1607"/>
      <c r="O932" s="1607"/>
      <c r="P932" s="1607"/>
      <c r="Q932" s="1607"/>
      <c r="R932" s="1607"/>
      <c r="S932" s="1607"/>
      <c r="T932" s="1607"/>
      <c r="U932" s="1607"/>
      <c r="V932" s="1607"/>
      <c r="W932" s="1607"/>
      <c r="X932" s="1607"/>
      <c r="Y932" s="1607"/>
      <c r="Z932" s="1607"/>
      <c r="AA932" s="1607"/>
      <c r="AB932" s="1607"/>
      <c r="AC932" s="1607"/>
      <c r="AD932" s="1607"/>
      <c r="AE932" s="1607"/>
      <c r="AF932" s="1607"/>
      <c r="AG932" s="1607"/>
      <c r="AH932" s="1607"/>
      <c r="AI932" s="1607"/>
      <c r="AJ932" s="1607"/>
      <c r="AK932" s="1607"/>
      <c r="AL932" s="1607"/>
      <c r="AM932" s="1607"/>
      <c r="AN932" s="1607"/>
      <c r="AO932" s="1607"/>
      <c r="AP932" s="1607"/>
      <c r="AQ932" s="1607"/>
      <c r="AR932" s="1607"/>
      <c r="AS932" s="1607"/>
      <c r="AT932" s="1607"/>
      <c r="AU932" s="1607"/>
      <c r="AV932" s="1607"/>
      <c r="AW932" s="1607"/>
      <c r="AX932" s="1607"/>
      <c r="AY932" s="1607"/>
      <c r="AZ932" s="1607"/>
      <c r="BA932" s="1607"/>
      <c r="BB932" s="1607"/>
      <c r="BC932" s="1607"/>
      <c r="BD932" s="1607"/>
      <c r="BE932" s="1607"/>
      <c r="BF932" s="1607"/>
      <c r="BG932" s="1607"/>
      <c r="BH932" s="1607"/>
      <c r="BI932" s="1607"/>
      <c r="BJ932" s="1607"/>
      <c r="BK932" s="1607"/>
      <c r="BL932" s="1607"/>
    </row>
    <row r="933">
      <c r="A933" s="1607"/>
      <c r="B933" s="1607"/>
      <c r="C933" s="1607"/>
      <c r="D933" s="1607"/>
      <c r="E933" s="1607"/>
      <c r="F933" s="1607"/>
      <c r="G933" s="1607"/>
      <c r="H933" s="1607"/>
      <c r="I933" s="1607"/>
      <c r="J933" s="1607"/>
      <c r="K933" s="1607"/>
      <c r="L933" s="1607"/>
      <c r="M933" s="1607"/>
      <c r="N933" s="1607"/>
      <c r="O933" s="1607"/>
      <c r="P933" s="1607"/>
      <c r="Q933" s="1607"/>
      <c r="R933" s="1607"/>
      <c r="S933" s="1607"/>
      <c r="T933" s="1607"/>
      <c r="U933" s="1607"/>
      <c r="V933" s="1607"/>
      <c r="W933" s="1607"/>
      <c r="X933" s="1607"/>
      <c r="Y933" s="1607"/>
      <c r="Z933" s="1607"/>
      <c r="AA933" s="1607"/>
      <c r="AB933" s="1607"/>
      <c r="AC933" s="1607"/>
      <c r="AD933" s="1607"/>
      <c r="AE933" s="1607"/>
      <c r="AF933" s="1607"/>
      <c r="AG933" s="1607"/>
      <c r="AH933" s="1607"/>
      <c r="AI933" s="1607"/>
      <c r="AJ933" s="1607"/>
      <c r="AK933" s="1607"/>
      <c r="AL933" s="1607"/>
      <c r="AM933" s="1607"/>
      <c r="AN933" s="1607"/>
      <c r="AO933" s="1607"/>
      <c r="AP933" s="1607"/>
      <c r="AQ933" s="1607"/>
      <c r="AR933" s="1607"/>
      <c r="AS933" s="1607"/>
      <c r="AT933" s="1607"/>
      <c r="AU933" s="1607"/>
      <c r="AV933" s="1607"/>
      <c r="AW933" s="1607"/>
      <c r="AX933" s="1607"/>
      <c r="AY933" s="1607"/>
      <c r="AZ933" s="1607"/>
      <c r="BA933" s="1607"/>
      <c r="BB933" s="1607"/>
      <c r="BC933" s="1607"/>
      <c r="BD933" s="1607"/>
      <c r="BE933" s="1607"/>
      <c r="BF933" s="1607"/>
      <c r="BG933" s="1607"/>
      <c r="BH933" s="1607"/>
      <c r="BI933" s="1607"/>
      <c r="BJ933" s="1607"/>
      <c r="BK933" s="1607"/>
      <c r="BL933" s="1607"/>
    </row>
    <row r="934">
      <c r="A934" s="1607"/>
      <c r="B934" s="1607"/>
      <c r="C934" s="1607"/>
      <c r="D934" s="1607"/>
      <c r="E934" s="1607"/>
      <c r="F934" s="1607"/>
      <c r="G934" s="1607"/>
      <c r="H934" s="1607"/>
      <c r="I934" s="1607"/>
      <c r="J934" s="1607"/>
      <c r="K934" s="1607"/>
      <c r="L934" s="1607"/>
      <c r="M934" s="1607"/>
      <c r="N934" s="1607"/>
      <c r="O934" s="1607"/>
      <c r="P934" s="1607"/>
      <c r="Q934" s="1607"/>
      <c r="R934" s="1607"/>
      <c r="S934" s="1607"/>
      <c r="T934" s="1607"/>
      <c r="U934" s="1607"/>
      <c r="V934" s="1607"/>
      <c r="W934" s="1607"/>
      <c r="X934" s="1607"/>
      <c r="Y934" s="1607"/>
      <c r="Z934" s="1607"/>
      <c r="AA934" s="1607"/>
      <c r="AB934" s="1607"/>
      <c r="AC934" s="1607"/>
      <c r="AD934" s="1607"/>
      <c r="AE934" s="1607"/>
      <c r="AF934" s="1607"/>
      <c r="AG934" s="1607"/>
      <c r="AH934" s="1607"/>
      <c r="AI934" s="1607"/>
      <c r="AJ934" s="1607"/>
      <c r="AK934" s="1607"/>
      <c r="AL934" s="1607"/>
      <c r="AM934" s="1607"/>
      <c r="AN934" s="1607"/>
      <c r="AO934" s="1607"/>
      <c r="AP934" s="1607"/>
      <c r="AQ934" s="1607"/>
      <c r="AR934" s="1607"/>
      <c r="AS934" s="1607"/>
      <c r="AT934" s="1607"/>
      <c r="AU934" s="1607"/>
      <c r="AV934" s="1607"/>
      <c r="AW934" s="1607"/>
      <c r="AX934" s="1607"/>
      <c r="AY934" s="1607"/>
      <c r="AZ934" s="1607"/>
      <c r="BA934" s="1607"/>
      <c r="BB934" s="1607"/>
      <c r="BC934" s="1607"/>
      <c r="BD934" s="1607"/>
      <c r="BE934" s="1607"/>
      <c r="BF934" s="1607"/>
      <c r="BG934" s="1607"/>
      <c r="BH934" s="1607"/>
      <c r="BI934" s="1607"/>
      <c r="BJ934" s="1607"/>
      <c r="BK934" s="1607"/>
      <c r="BL934" s="1607"/>
    </row>
    <row r="935">
      <c r="A935" s="1607"/>
      <c r="B935" s="1607"/>
      <c r="C935" s="1607"/>
      <c r="D935" s="1607"/>
      <c r="E935" s="1607"/>
      <c r="F935" s="1607"/>
      <c r="G935" s="1607"/>
      <c r="H935" s="1607"/>
      <c r="I935" s="1607"/>
      <c r="J935" s="1607"/>
      <c r="K935" s="1607"/>
      <c r="L935" s="1607"/>
      <c r="M935" s="1607"/>
      <c r="N935" s="1607"/>
      <c r="O935" s="1607"/>
      <c r="P935" s="1607"/>
      <c r="Q935" s="1607"/>
      <c r="R935" s="1607"/>
      <c r="S935" s="1607"/>
      <c r="T935" s="1607"/>
      <c r="U935" s="1607"/>
      <c r="V935" s="1607"/>
      <c r="W935" s="1607"/>
      <c r="X935" s="1607"/>
      <c r="Y935" s="1607"/>
      <c r="Z935" s="1607"/>
      <c r="AA935" s="1607"/>
      <c r="AB935" s="1607"/>
      <c r="AC935" s="1607"/>
      <c r="AD935" s="1607"/>
      <c r="AE935" s="1607"/>
      <c r="AF935" s="1607"/>
      <c r="AG935" s="1607"/>
      <c r="AH935" s="1607"/>
      <c r="AI935" s="1607"/>
      <c r="AJ935" s="1607"/>
      <c r="AK935" s="1607"/>
      <c r="AL935" s="1607"/>
      <c r="AM935" s="1607"/>
      <c r="AN935" s="1607"/>
      <c r="AO935" s="1607"/>
      <c r="AP935" s="1607"/>
      <c r="AQ935" s="1607"/>
      <c r="AR935" s="1607"/>
      <c r="AS935" s="1607"/>
      <c r="AT935" s="1607"/>
      <c r="AU935" s="1607"/>
      <c r="AV935" s="1607"/>
      <c r="AW935" s="1607"/>
      <c r="AX935" s="1607"/>
      <c r="AY935" s="1607"/>
      <c r="AZ935" s="1607"/>
      <c r="BA935" s="1607"/>
      <c r="BB935" s="1607"/>
      <c r="BC935" s="1607"/>
      <c r="BD935" s="1607"/>
      <c r="BE935" s="1607"/>
      <c r="BF935" s="1607"/>
      <c r="BG935" s="1607"/>
      <c r="BH935" s="1607"/>
      <c r="BI935" s="1607"/>
      <c r="BJ935" s="1607"/>
      <c r="BK935" s="1607"/>
      <c r="BL935" s="1607"/>
    </row>
    <row r="936">
      <c r="A936" s="1607"/>
      <c r="B936" s="1607"/>
      <c r="C936" s="1607"/>
      <c r="D936" s="1607"/>
      <c r="E936" s="1607"/>
      <c r="F936" s="1607"/>
      <c r="G936" s="1607"/>
      <c r="H936" s="1607"/>
      <c r="I936" s="1607"/>
      <c r="J936" s="1607"/>
      <c r="K936" s="1607"/>
      <c r="L936" s="1607"/>
      <c r="M936" s="1607"/>
      <c r="N936" s="1607"/>
      <c r="O936" s="1607"/>
      <c r="P936" s="1607"/>
      <c r="Q936" s="1607"/>
      <c r="R936" s="1607"/>
      <c r="S936" s="1607"/>
      <c r="T936" s="1607"/>
      <c r="U936" s="1607"/>
      <c r="V936" s="1607"/>
      <c r="W936" s="1607"/>
      <c r="X936" s="1607"/>
      <c r="Y936" s="1607"/>
      <c r="Z936" s="1607"/>
      <c r="AA936" s="1607"/>
      <c r="AB936" s="1607"/>
      <c r="AC936" s="1607"/>
      <c r="AD936" s="1607"/>
      <c r="AE936" s="1607"/>
      <c r="AF936" s="1607"/>
      <c r="AG936" s="1607"/>
      <c r="AH936" s="1607"/>
      <c r="AI936" s="1607"/>
      <c r="AJ936" s="1607"/>
      <c r="AK936" s="1607"/>
      <c r="AL936" s="1607"/>
      <c r="AM936" s="1607"/>
      <c r="AN936" s="1607"/>
      <c r="AO936" s="1607"/>
      <c r="AP936" s="1607"/>
      <c r="AQ936" s="1607"/>
      <c r="AR936" s="1607"/>
      <c r="AS936" s="1607"/>
      <c r="AT936" s="1607"/>
      <c r="AU936" s="1607"/>
      <c r="AV936" s="1607"/>
      <c r="AW936" s="1607"/>
      <c r="AX936" s="1607"/>
      <c r="AY936" s="1607"/>
      <c r="AZ936" s="1607"/>
      <c r="BA936" s="1607"/>
      <c r="BB936" s="1607"/>
      <c r="BC936" s="1607"/>
      <c r="BD936" s="1607"/>
      <c r="BE936" s="1607"/>
      <c r="BF936" s="1607"/>
      <c r="BG936" s="1607"/>
      <c r="BH936" s="1607"/>
      <c r="BI936" s="1607"/>
      <c r="BJ936" s="1607"/>
      <c r="BK936" s="1607"/>
      <c r="BL936" s="1607"/>
    </row>
    <row r="937">
      <c r="A937" s="1607"/>
      <c r="B937" s="1607"/>
      <c r="C937" s="1607"/>
      <c r="D937" s="1607"/>
      <c r="E937" s="1607"/>
      <c r="F937" s="1607"/>
      <c r="G937" s="1607"/>
      <c r="H937" s="1607"/>
      <c r="I937" s="1607"/>
      <c r="J937" s="1607"/>
      <c r="K937" s="1607"/>
      <c r="L937" s="1607"/>
      <c r="M937" s="1607"/>
      <c r="N937" s="1607"/>
      <c r="O937" s="1607"/>
      <c r="P937" s="1607"/>
      <c r="Q937" s="1607"/>
      <c r="R937" s="1607"/>
      <c r="S937" s="1607"/>
      <c r="T937" s="1607"/>
      <c r="U937" s="1607"/>
      <c r="V937" s="1607"/>
      <c r="W937" s="1607"/>
      <c r="X937" s="1607"/>
      <c r="Y937" s="1607"/>
      <c r="Z937" s="1607"/>
      <c r="AA937" s="1607"/>
      <c r="AB937" s="1607"/>
      <c r="AC937" s="1607"/>
      <c r="AD937" s="1607"/>
      <c r="AE937" s="1607"/>
      <c r="AF937" s="1607"/>
      <c r="AG937" s="1607"/>
      <c r="AH937" s="1607"/>
      <c r="AI937" s="1607"/>
      <c r="AJ937" s="1607"/>
      <c r="AK937" s="1607"/>
      <c r="AL937" s="1607"/>
      <c r="AM937" s="1607"/>
      <c r="AN937" s="1607"/>
      <c r="AO937" s="1607"/>
      <c r="AP937" s="1607"/>
      <c r="AQ937" s="1607"/>
      <c r="AR937" s="1607"/>
      <c r="AS937" s="1607"/>
      <c r="AT937" s="1607"/>
      <c r="AU937" s="1607"/>
      <c r="AV937" s="1607"/>
      <c r="AW937" s="1607"/>
      <c r="AX937" s="1607"/>
      <c r="AY937" s="1607"/>
      <c r="AZ937" s="1607"/>
      <c r="BA937" s="1607"/>
      <c r="BB937" s="1607"/>
      <c r="BC937" s="1607"/>
      <c r="BD937" s="1607"/>
      <c r="BE937" s="1607"/>
      <c r="BF937" s="1607"/>
      <c r="BG937" s="1607"/>
      <c r="BH937" s="1607"/>
      <c r="BI937" s="1607"/>
      <c r="BJ937" s="1607"/>
      <c r="BK937" s="1607"/>
      <c r="BL937" s="1607"/>
    </row>
    <row r="938">
      <c r="A938" s="1607"/>
      <c r="B938" s="1607"/>
      <c r="C938" s="1607"/>
      <c r="D938" s="1607"/>
      <c r="E938" s="1607"/>
      <c r="F938" s="1607"/>
      <c r="G938" s="1607"/>
      <c r="H938" s="1607"/>
      <c r="I938" s="1607"/>
      <c r="J938" s="1607"/>
      <c r="K938" s="1607"/>
      <c r="L938" s="1607"/>
      <c r="M938" s="1607"/>
      <c r="N938" s="1607"/>
      <c r="O938" s="1607"/>
      <c r="P938" s="1607"/>
      <c r="Q938" s="1607"/>
      <c r="R938" s="1607"/>
      <c r="S938" s="1607"/>
      <c r="T938" s="1607"/>
      <c r="U938" s="1607"/>
      <c r="V938" s="1607"/>
      <c r="W938" s="1607"/>
      <c r="X938" s="1607"/>
      <c r="Y938" s="1607"/>
      <c r="Z938" s="1607"/>
      <c r="AA938" s="1607"/>
      <c r="AB938" s="1607"/>
      <c r="AC938" s="1607"/>
      <c r="AD938" s="1607"/>
      <c r="AE938" s="1607"/>
      <c r="AF938" s="1607"/>
      <c r="AG938" s="1607"/>
      <c r="AH938" s="1607"/>
      <c r="AI938" s="1607"/>
      <c r="AJ938" s="1607"/>
      <c r="AK938" s="1607"/>
      <c r="AL938" s="1607"/>
      <c r="AM938" s="1607"/>
      <c r="AN938" s="1607"/>
      <c r="AO938" s="1607"/>
      <c r="AP938" s="1607"/>
      <c r="AQ938" s="1607"/>
      <c r="AR938" s="1607"/>
      <c r="AS938" s="1607"/>
      <c r="AT938" s="1607"/>
      <c r="AU938" s="1607"/>
      <c r="AV938" s="1607"/>
      <c r="AW938" s="1607"/>
      <c r="AX938" s="1607"/>
      <c r="AY938" s="1607"/>
      <c r="AZ938" s="1607"/>
      <c r="BA938" s="1607"/>
      <c r="BB938" s="1607"/>
      <c r="BC938" s="1607"/>
      <c r="BD938" s="1607"/>
      <c r="BE938" s="1607"/>
      <c r="BF938" s="1607"/>
      <c r="BG938" s="1607"/>
      <c r="BH938" s="1607"/>
      <c r="BI938" s="1607"/>
      <c r="BJ938" s="1607"/>
      <c r="BK938" s="1607"/>
      <c r="BL938" s="1607"/>
    </row>
    <row r="939">
      <c r="A939" s="1607"/>
      <c r="B939" s="1607"/>
      <c r="C939" s="1607"/>
      <c r="D939" s="1607"/>
      <c r="E939" s="1607"/>
      <c r="F939" s="1607"/>
      <c r="G939" s="1607"/>
      <c r="H939" s="1607"/>
      <c r="I939" s="1607"/>
      <c r="J939" s="1607"/>
      <c r="K939" s="1607"/>
      <c r="L939" s="1607"/>
      <c r="M939" s="1607"/>
      <c r="N939" s="1607"/>
      <c r="O939" s="1607"/>
      <c r="P939" s="1607"/>
      <c r="Q939" s="1607"/>
      <c r="R939" s="1607"/>
      <c r="S939" s="1607"/>
      <c r="T939" s="1607"/>
      <c r="U939" s="1607"/>
      <c r="V939" s="1607"/>
      <c r="W939" s="1607"/>
      <c r="X939" s="1607"/>
      <c r="Y939" s="1607"/>
      <c r="Z939" s="1607"/>
      <c r="AA939" s="1607"/>
      <c r="AB939" s="1607"/>
      <c r="AC939" s="1607"/>
      <c r="AD939" s="1607"/>
      <c r="AE939" s="1607"/>
      <c r="AF939" s="1607"/>
      <c r="AG939" s="1607"/>
      <c r="AH939" s="1607"/>
      <c r="AI939" s="1607"/>
      <c r="AJ939" s="1607"/>
      <c r="AK939" s="1607"/>
      <c r="AL939" s="1607"/>
      <c r="AM939" s="1607"/>
      <c r="AN939" s="1607"/>
      <c r="AO939" s="1607"/>
      <c r="AP939" s="1607"/>
      <c r="AQ939" s="1607"/>
      <c r="AR939" s="1607"/>
      <c r="AS939" s="1607"/>
      <c r="AT939" s="1607"/>
      <c r="AU939" s="1607"/>
      <c r="AV939" s="1607"/>
      <c r="AW939" s="1607"/>
      <c r="AX939" s="1607"/>
      <c r="AY939" s="1607"/>
      <c r="AZ939" s="1607"/>
      <c r="BA939" s="1607"/>
      <c r="BB939" s="1607"/>
      <c r="BC939" s="1607"/>
      <c r="BD939" s="1607"/>
      <c r="BE939" s="1607"/>
      <c r="BF939" s="1607"/>
      <c r="BG939" s="1607"/>
      <c r="BH939" s="1607"/>
      <c r="BI939" s="1607"/>
      <c r="BJ939" s="1607"/>
      <c r="BK939" s="1607"/>
      <c r="BL939" s="1607"/>
    </row>
    <row r="940">
      <c r="A940" s="1607"/>
      <c r="B940" s="1607"/>
      <c r="C940" s="1607"/>
      <c r="D940" s="1607"/>
      <c r="E940" s="1607"/>
      <c r="F940" s="1607"/>
      <c r="G940" s="1607"/>
      <c r="H940" s="1607"/>
      <c r="I940" s="1607"/>
      <c r="J940" s="1607"/>
      <c r="K940" s="1607"/>
      <c r="L940" s="1607"/>
      <c r="M940" s="1607"/>
      <c r="N940" s="1607"/>
      <c r="O940" s="1607"/>
      <c r="P940" s="1607"/>
      <c r="Q940" s="1607"/>
      <c r="R940" s="1607"/>
      <c r="S940" s="1607"/>
      <c r="T940" s="1607"/>
      <c r="U940" s="1607"/>
      <c r="V940" s="1607"/>
      <c r="W940" s="1607"/>
      <c r="X940" s="1607"/>
      <c r="Y940" s="1607"/>
      <c r="Z940" s="1607"/>
      <c r="AA940" s="1607"/>
      <c r="AB940" s="1607"/>
      <c r="AC940" s="1607"/>
      <c r="AD940" s="1607"/>
      <c r="AE940" s="1607"/>
      <c r="AF940" s="1607"/>
      <c r="AG940" s="1607"/>
      <c r="AH940" s="1607"/>
      <c r="AI940" s="1607"/>
      <c r="AJ940" s="1607"/>
      <c r="AK940" s="1607"/>
      <c r="AL940" s="1607"/>
      <c r="AM940" s="1607"/>
      <c r="AN940" s="1607"/>
      <c r="AO940" s="1607"/>
      <c r="AP940" s="1607"/>
      <c r="AQ940" s="1607"/>
      <c r="AR940" s="1607"/>
      <c r="AS940" s="1607"/>
      <c r="AT940" s="1607"/>
      <c r="AU940" s="1607"/>
      <c r="AV940" s="1607"/>
      <c r="AW940" s="1607"/>
      <c r="AX940" s="1607"/>
      <c r="AY940" s="1607"/>
      <c r="AZ940" s="1607"/>
      <c r="BA940" s="1607"/>
      <c r="BB940" s="1607"/>
      <c r="BC940" s="1607"/>
      <c r="BD940" s="1607"/>
      <c r="BE940" s="1607"/>
      <c r="BF940" s="1607"/>
      <c r="BG940" s="1607"/>
      <c r="BH940" s="1607"/>
      <c r="BI940" s="1607"/>
      <c r="BJ940" s="1607"/>
      <c r="BK940" s="1607"/>
      <c r="BL940" s="1607"/>
    </row>
    <row r="941">
      <c r="A941" s="1607"/>
      <c r="B941" s="1607"/>
      <c r="C941" s="1607"/>
      <c r="D941" s="1607"/>
      <c r="E941" s="1607"/>
      <c r="F941" s="1607"/>
      <c r="G941" s="1607"/>
      <c r="H941" s="1607"/>
      <c r="I941" s="1607"/>
      <c r="J941" s="1607"/>
      <c r="K941" s="1607"/>
      <c r="L941" s="1607"/>
      <c r="M941" s="1607"/>
      <c r="N941" s="1607"/>
      <c r="O941" s="1607"/>
      <c r="P941" s="1607"/>
      <c r="Q941" s="1607"/>
      <c r="R941" s="1607"/>
      <c r="S941" s="1607"/>
      <c r="T941" s="1607"/>
      <c r="U941" s="1607"/>
      <c r="V941" s="1607"/>
      <c r="W941" s="1607"/>
      <c r="X941" s="1607"/>
      <c r="Y941" s="1607"/>
      <c r="Z941" s="1607"/>
      <c r="AA941" s="1607"/>
      <c r="AB941" s="1607"/>
      <c r="AC941" s="1607"/>
      <c r="AD941" s="1607"/>
      <c r="AE941" s="1607"/>
      <c r="AF941" s="1607"/>
      <c r="AG941" s="1607"/>
      <c r="AH941" s="1607"/>
      <c r="AI941" s="1607"/>
      <c r="AJ941" s="1607"/>
      <c r="AK941" s="1607"/>
      <c r="AL941" s="1607"/>
      <c r="AM941" s="1607"/>
      <c r="AN941" s="1607"/>
      <c r="AO941" s="1607"/>
      <c r="AP941" s="1607"/>
      <c r="AQ941" s="1607"/>
      <c r="AR941" s="1607"/>
      <c r="AS941" s="1607"/>
      <c r="AT941" s="1607"/>
      <c r="AU941" s="1607"/>
      <c r="AV941" s="1607"/>
      <c r="AW941" s="1607"/>
      <c r="AX941" s="1607"/>
      <c r="AY941" s="1607"/>
      <c r="AZ941" s="1607"/>
      <c r="BA941" s="1607"/>
      <c r="BB941" s="1607"/>
      <c r="BC941" s="1607"/>
      <c r="BD941" s="1607"/>
      <c r="BE941" s="1607"/>
      <c r="BF941" s="1607"/>
      <c r="BG941" s="1607"/>
      <c r="BH941" s="1607"/>
      <c r="BI941" s="1607"/>
      <c r="BJ941" s="1607"/>
      <c r="BK941" s="1607"/>
      <c r="BL941" s="1607"/>
    </row>
    <row r="942">
      <c r="A942" s="1607"/>
      <c r="B942" s="1607"/>
      <c r="C942" s="1607"/>
      <c r="D942" s="1607"/>
      <c r="E942" s="1607"/>
      <c r="F942" s="1607"/>
      <c r="G942" s="1607"/>
      <c r="H942" s="1607"/>
      <c r="I942" s="1607"/>
      <c r="J942" s="1607"/>
      <c r="K942" s="1607"/>
      <c r="L942" s="1607"/>
      <c r="M942" s="1607"/>
      <c r="N942" s="1607"/>
      <c r="O942" s="1607"/>
      <c r="P942" s="1607"/>
      <c r="Q942" s="1607"/>
      <c r="R942" s="1607"/>
      <c r="S942" s="1607"/>
      <c r="T942" s="1607"/>
      <c r="U942" s="1607"/>
      <c r="V942" s="1607"/>
      <c r="W942" s="1607"/>
      <c r="X942" s="1607"/>
      <c r="Y942" s="1607"/>
      <c r="Z942" s="1607"/>
      <c r="AA942" s="1607"/>
      <c r="AB942" s="1607"/>
      <c r="AC942" s="1607"/>
      <c r="AD942" s="1607"/>
      <c r="AE942" s="1607"/>
      <c r="AF942" s="1607"/>
      <c r="AG942" s="1607"/>
      <c r="AH942" s="1607"/>
      <c r="AI942" s="1607"/>
      <c r="AJ942" s="1607"/>
      <c r="AK942" s="1607"/>
      <c r="AL942" s="1607"/>
      <c r="AM942" s="1607"/>
      <c r="AN942" s="1607"/>
      <c r="AO942" s="1607"/>
      <c r="AP942" s="1607"/>
      <c r="AQ942" s="1607"/>
      <c r="AR942" s="1607"/>
      <c r="AS942" s="1607"/>
      <c r="AT942" s="1607"/>
      <c r="AU942" s="1607"/>
      <c r="AV942" s="1607"/>
      <c r="AW942" s="1607"/>
      <c r="AX942" s="1607"/>
      <c r="AY942" s="1607"/>
      <c r="AZ942" s="1607"/>
      <c r="BA942" s="1607"/>
      <c r="BB942" s="1607"/>
      <c r="BC942" s="1607"/>
      <c r="BD942" s="1607"/>
      <c r="BE942" s="1607"/>
      <c r="BF942" s="1607"/>
      <c r="BG942" s="1607"/>
      <c r="BH942" s="1607"/>
      <c r="BI942" s="1607"/>
      <c r="BJ942" s="1607"/>
      <c r="BK942" s="1607"/>
      <c r="BL942" s="1607"/>
    </row>
    <row r="943">
      <c r="A943" s="1607"/>
      <c r="B943" s="1607"/>
      <c r="C943" s="1607"/>
      <c r="D943" s="1607"/>
      <c r="E943" s="1607"/>
      <c r="F943" s="1607"/>
      <c r="G943" s="1607"/>
      <c r="H943" s="1607"/>
      <c r="I943" s="1607"/>
      <c r="J943" s="1607"/>
      <c r="K943" s="1607"/>
      <c r="L943" s="1607"/>
      <c r="M943" s="1607"/>
      <c r="N943" s="1607"/>
      <c r="O943" s="1607"/>
      <c r="P943" s="1607"/>
      <c r="Q943" s="1607"/>
      <c r="R943" s="1607"/>
      <c r="S943" s="1607"/>
      <c r="T943" s="1607"/>
      <c r="U943" s="1607"/>
      <c r="V943" s="1607"/>
      <c r="W943" s="1607"/>
      <c r="X943" s="1607"/>
      <c r="Y943" s="1607"/>
      <c r="Z943" s="1607"/>
      <c r="AA943" s="1607"/>
      <c r="AB943" s="1607"/>
      <c r="AC943" s="1607"/>
      <c r="AD943" s="1607"/>
      <c r="AE943" s="1607"/>
      <c r="AF943" s="1607"/>
      <c r="AG943" s="1607"/>
      <c r="AH943" s="1607"/>
      <c r="AI943" s="1607"/>
      <c r="AJ943" s="1607"/>
      <c r="AK943" s="1607"/>
      <c r="AL943" s="1607"/>
      <c r="AM943" s="1607"/>
      <c r="AN943" s="1607"/>
      <c r="AO943" s="1607"/>
      <c r="AP943" s="1607"/>
      <c r="AQ943" s="1607"/>
      <c r="AR943" s="1607"/>
      <c r="AS943" s="1607"/>
      <c r="AT943" s="1607"/>
      <c r="AU943" s="1607"/>
      <c r="AV943" s="1607"/>
      <c r="AW943" s="1607"/>
      <c r="AX943" s="1607"/>
      <c r="AY943" s="1607"/>
      <c r="AZ943" s="1607"/>
      <c r="BA943" s="1607"/>
      <c r="BB943" s="1607"/>
      <c r="BC943" s="1607"/>
      <c r="BD943" s="1607"/>
      <c r="BE943" s="1607"/>
      <c r="BF943" s="1607"/>
      <c r="BG943" s="1607"/>
      <c r="BH943" s="1607"/>
      <c r="BI943" s="1607"/>
      <c r="BJ943" s="1607"/>
      <c r="BK943" s="1607"/>
      <c r="BL943" s="1607"/>
    </row>
    <row r="944">
      <c r="A944" s="1607"/>
      <c r="B944" s="1607"/>
      <c r="C944" s="1607"/>
      <c r="D944" s="1607"/>
      <c r="E944" s="1607"/>
      <c r="F944" s="1607"/>
      <c r="G944" s="1607"/>
      <c r="H944" s="1607"/>
      <c r="I944" s="1607"/>
      <c r="J944" s="1607"/>
      <c r="K944" s="1607"/>
      <c r="L944" s="1607"/>
      <c r="M944" s="1607"/>
      <c r="N944" s="1607"/>
      <c r="O944" s="1607"/>
      <c r="P944" s="1607"/>
      <c r="Q944" s="1607"/>
      <c r="R944" s="1607"/>
      <c r="S944" s="1607"/>
      <c r="T944" s="1607"/>
      <c r="U944" s="1607"/>
      <c r="V944" s="1607"/>
      <c r="W944" s="1607"/>
      <c r="X944" s="1607"/>
      <c r="Y944" s="1607"/>
      <c r="Z944" s="1607"/>
      <c r="AA944" s="1607"/>
      <c r="AB944" s="1607"/>
      <c r="AC944" s="1607"/>
      <c r="AD944" s="1607"/>
      <c r="AE944" s="1607"/>
      <c r="AF944" s="1607"/>
      <c r="AG944" s="1607"/>
      <c r="AH944" s="1607"/>
      <c r="AI944" s="1607"/>
      <c r="AJ944" s="1607"/>
      <c r="AK944" s="1607"/>
      <c r="AL944" s="1607"/>
      <c r="AM944" s="1607"/>
      <c r="AN944" s="1607"/>
      <c r="AO944" s="1607"/>
      <c r="AP944" s="1607"/>
      <c r="AQ944" s="1607"/>
      <c r="AR944" s="1607"/>
      <c r="AS944" s="1607"/>
      <c r="AT944" s="1607"/>
      <c r="AU944" s="1607"/>
      <c r="AV944" s="1607"/>
      <c r="AW944" s="1607"/>
      <c r="AX944" s="1607"/>
      <c r="AY944" s="1607"/>
      <c r="AZ944" s="1607"/>
      <c r="BA944" s="1607"/>
      <c r="BB944" s="1607"/>
      <c r="BC944" s="1607"/>
      <c r="BD944" s="1607"/>
      <c r="BE944" s="1607"/>
      <c r="BF944" s="1607"/>
      <c r="BG944" s="1607"/>
      <c r="BH944" s="1607"/>
      <c r="BI944" s="1607"/>
      <c r="BJ944" s="1607"/>
      <c r="BK944" s="1607"/>
      <c r="BL944" s="1607"/>
    </row>
    <row r="945">
      <c r="A945" s="1607"/>
      <c r="B945" s="1607"/>
      <c r="C945" s="1607"/>
      <c r="D945" s="1607"/>
      <c r="E945" s="1607"/>
      <c r="F945" s="1607"/>
      <c r="G945" s="1607"/>
      <c r="H945" s="1607"/>
      <c r="I945" s="1607"/>
      <c r="J945" s="1607"/>
      <c r="K945" s="1607"/>
      <c r="L945" s="1607"/>
      <c r="M945" s="1607"/>
      <c r="N945" s="1607"/>
      <c r="O945" s="1607"/>
      <c r="P945" s="1607"/>
      <c r="Q945" s="1607"/>
      <c r="R945" s="1607"/>
      <c r="S945" s="1607"/>
      <c r="T945" s="1607"/>
      <c r="U945" s="1607"/>
      <c r="V945" s="1607"/>
      <c r="W945" s="1607"/>
      <c r="X945" s="1607"/>
      <c r="Y945" s="1607"/>
      <c r="Z945" s="1607"/>
      <c r="AA945" s="1607"/>
      <c r="AB945" s="1607"/>
      <c r="AC945" s="1607"/>
      <c r="AD945" s="1607"/>
      <c r="AE945" s="1607"/>
      <c r="AF945" s="1607"/>
      <c r="AG945" s="1607"/>
      <c r="AH945" s="1607"/>
      <c r="AI945" s="1607"/>
      <c r="AJ945" s="1607"/>
      <c r="AK945" s="1607"/>
      <c r="AL945" s="1607"/>
      <c r="AM945" s="1607"/>
      <c r="AN945" s="1607"/>
      <c r="AO945" s="1607"/>
      <c r="AP945" s="1607"/>
      <c r="AQ945" s="1607"/>
      <c r="AR945" s="1607"/>
      <c r="AS945" s="1607"/>
      <c r="AT945" s="1607"/>
      <c r="AU945" s="1607"/>
      <c r="AV945" s="1607"/>
      <c r="AW945" s="1607"/>
      <c r="AX945" s="1607"/>
      <c r="AY945" s="1607"/>
      <c r="AZ945" s="1607"/>
      <c r="BA945" s="1607"/>
      <c r="BB945" s="1607"/>
      <c r="BC945" s="1607"/>
      <c r="BD945" s="1607"/>
      <c r="BE945" s="1607"/>
      <c r="BF945" s="1607"/>
      <c r="BG945" s="1607"/>
      <c r="BH945" s="1607"/>
      <c r="BI945" s="1607"/>
      <c r="BJ945" s="1607"/>
      <c r="BK945" s="1607"/>
      <c r="BL945" s="1607"/>
    </row>
    <row r="946">
      <c r="A946" s="1607"/>
      <c r="B946" s="1607"/>
      <c r="C946" s="1607"/>
      <c r="D946" s="1607"/>
      <c r="E946" s="1607"/>
      <c r="F946" s="1607"/>
      <c r="G946" s="1607"/>
      <c r="H946" s="1607"/>
      <c r="I946" s="1607"/>
      <c r="J946" s="1607"/>
      <c r="K946" s="1607"/>
      <c r="L946" s="1607"/>
      <c r="M946" s="1607"/>
      <c r="N946" s="1607"/>
      <c r="O946" s="1607"/>
      <c r="P946" s="1607"/>
      <c r="Q946" s="1607"/>
      <c r="R946" s="1607"/>
      <c r="S946" s="1607"/>
      <c r="T946" s="1607"/>
      <c r="U946" s="1607"/>
      <c r="V946" s="1607"/>
      <c r="W946" s="1607"/>
      <c r="X946" s="1607"/>
      <c r="Y946" s="1607"/>
      <c r="Z946" s="1607"/>
      <c r="AA946" s="1607"/>
      <c r="AB946" s="1607"/>
      <c r="AC946" s="1607"/>
      <c r="AD946" s="1607"/>
      <c r="AE946" s="1607"/>
      <c r="AF946" s="1607"/>
      <c r="AG946" s="1607"/>
      <c r="AH946" s="1607"/>
      <c r="AI946" s="1607"/>
      <c r="AJ946" s="1607"/>
      <c r="AK946" s="1607"/>
      <c r="AL946" s="1607"/>
      <c r="AM946" s="1607"/>
      <c r="AN946" s="1607"/>
      <c r="AO946" s="1607"/>
      <c r="AP946" s="1607"/>
      <c r="AQ946" s="1607"/>
      <c r="AR946" s="1607"/>
      <c r="AS946" s="1607"/>
      <c r="AT946" s="1607"/>
      <c r="AU946" s="1607"/>
      <c r="AV946" s="1607"/>
      <c r="AW946" s="1607"/>
      <c r="AX946" s="1607"/>
      <c r="AY946" s="1607"/>
      <c r="AZ946" s="1607"/>
      <c r="BA946" s="1607"/>
      <c r="BB946" s="1607"/>
      <c r="BC946" s="1607"/>
      <c r="BD946" s="1607"/>
      <c r="BE946" s="1607"/>
      <c r="BF946" s="1607"/>
      <c r="BG946" s="1607"/>
      <c r="BH946" s="1607"/>
      <c r="BI946" s="1607"/>
      <c r="BJ946" s="1607"/>
      <c r="BK946" s="1607"/>
      <c r="BL946" s="1607"/>
    </row>
    <row r="947">
      <c r="A947" s="1607"/>
      <c r="B947" s="1607"/>
      <c r="C947" s="1607"/>
      <c r="D947" s="1607"/>
      <c r="E947" s="1607"/>
      <c r="F947" s="1607"/>
      <c r="G947" s="1607"/>
      <c r="H947" s="1607"/>
      <c r="I947" s="1607"/>
      <c r="J947" s="1607"/>
      <c r="K947" s="1607"/>
      <c r="L947" s="1607"/>
      <c r="M947" s="1607"/>
      <c r="N947" s="1607"/>
      <c r="O947" s="1607"/>
      <c r="P947" s="1607"/>
      <c r="Q947" s="1607"/>
      <c r="R947" s="1607"/>
      <c r="S947" s="1607"/>
      <c r="T947" s="1607"/>
      <c r="U947" s="1607"/>
      <c r="V947" s="1607"/>
      <c r="W947" s="1607"/>
      <c r="X947" s="1607"/>
      <c r="Y947" s="1607"/>
      <c r="Z947" s="1607"/>
      <c r="AA947" s="1607"/>
      <c r="AB947" s="1607"/>
      <c r="AC947" s="1607"/>
      <c r="AD947" s="1607"/>
      <c r="AE947" s="1607"/>
      <c r="AF947" s="1607"/>
      <c r="AG947" s="1607"/>
      <c r="AH947" s="1607"/>
      <c r="AI947" s="1607"/>
      <c r="AJ947" s="1607"/>
      <c r="AK947" s="1607"/>
      <c r="AL947" s="1607"/>
      <c r="AM947" s="1607"/>
      <c r="AN947" s="1607"/>
      <c r="AO947" s="1607"/>
      <c r="AP947" s="1607"/>
      <c r="AQ947" s="1607"/>
      <c r="AR947" s="1607"/>
      <c r="AS947" s="1607"/>
      <c r="AT947" s="1607"/>
      <c r="AU947" s="1607"/>
      <c r="AV947" s="1607"/>
      <c r="AW947" s="1607"/>
      <c r="AX947" s="1607"/>
      <c r="AY947" s="1607"/>
      <c r="AZ947" s="1607"/>
      <c r="BA947" s="1607"/>
      <c r="BB947" s="1607"/>
      <c r="BC947" s="1607"/>
      <c r="BD947" s="1607"/>
      <c r="BE947" s="1607"/>
      <c r="BF947" s="1607"/>
      <c r="BG947" s="1607"/>
      <c r="BH947" s="1607"/>
      <c r="BI947" s="1607"/>
      <c r="BJ947" s="1607"/>
      <c r="BK947" s="1607"/>
      <c r="BL947" s="1607"/>
    </row>
    <row r="948">
      <c r="A948" s="1607"/>
      <c r="B948" s="1607"/>
      <c r="C948" s="1607"/>
      <c r="D948" s="1607"/>
      <c r="E948" s="1607"/>
      <c r="F948" s="1607"/>
      <c r="G948" s="1607"/>
      <c r="H948" s="1607"/>
      <c r="I948" s="1607"/>
      <c r="J948" s="1607"/>
      <c r="K948" s="1607"/>
      <c r="L948" s="1607"/>
      <c r="M948" s="1607"/>
      <c r="N948" s="1607"/>
      <c r="O948" s="1607"/>
      <c r="P948" s="1607"/>
      <c r="Q948" s="1607"/>
      <c r="R948" s="1607"/>
      <c r="S948" s="1607"/>
      <c r="T948" s="1607"/>
      <c r="U948" s="1607"/>
      <c r="V948" s="1607"/>
      <c r="W948" s="1607"/>
      <c r="X948" s="1607"/>
      <c r="Y948" s="1607"/>
      <c r="Z948" s="1607"/>
      <c r="AA948" s="1607"/>
      <c r="AB948" s="1607"/>
      <c r="AC948" s="1607"/>
      <c r="AD948" s="1607"/>
      <c r="AE948" s="1607"/>
      <c r="AF948" s="1607"/>
      <c r="AG948" s="1607"/>
      <c r="AH948" s="1607"/>
      <c r="AI948" s="1607"/>
      <c r="AJ948" s="1607"/>
      <c r="AK948" s="1607"/>
      <c r="AL948" s="1607"/>
      <c r="AM948" s="1607"/>
      <c r="AN948" s="1607"/>
      <c r="AO948" s="1607"/>
      <c r="AP948" s="1607"/>
      <c r="AQ948" s="1607"/>
      <c r="AR948" s="1607"/>
      <c r="AS948" s="1607"/>
      <c r="AT948" s="1607"/>
      <c r="AU948" s="1607"/>
      <c r="AV948" s="1607"/>
      <c r="AW948" s="1607"/>
      <c r="AX948" s="1607"/>
      <c r="AY948" s="1607"/>
      <c r="AZ948" s="1607"/>
      <c r="BA948" s="1607"/>
      <c r="BB948" s="1607"/>
      <c r="BC948" s="1607"/>
      <c r="BD948" s="1607"/>
      <c r="BE948" s="1607"/>
      <c r="BF948" s="1607"/>
      <c r="BG948" s="1607"/>
      <c r="BH948" s="1607"/>
      <c r="BI948" s="1607"/>
      <c r="BJ948" s="1607"/>
      <c r="BK948" s="1607"/>
      <c r="BL948" s="1607"/>
    </row>
    <row r="949">
      <c r="A949" s="1607"/>
      <c r="B949" s="1607"/>
      <c r="C949" s="1607"/>
      <c r="D949" s="1607"/>
      <c r="E949" s="1607"/>
      <c r="F949" s="1607"/>
      <c r="G949" s="1607"/>
      <c r="H949" s="1607"/>
      <c r="I949" s="1607"/>
      <c r="J949" s="1607"/>
      <c r="K949" s="1607"/>
      <c r="L949" s="1607"/>
      <c r="M949" s="1607"/>
      <c r="N949" s="1607"/>
      <c r="O949" s="1607"/>
      <c r="P949" s="1607"/>
      <c r="Q949" s="1607"/>
      <c r="R949" s="1607"/>
      <c r="S949" s="1607"/>
      <c r="T949" s="1607"/>
      <c r="U949" s="1607"/>
      <c r="V949" s="1607"/>
      <c r="W949" s="1607"/>
      <c r="X949" s="1607"/>
      <c r="Y949" s="1607"/>
      <c r="Z949" s="1607"/>
      <c r="AA949" s="1607"/>
      <c r="AB949" s="1607"/>
      <c r="AC949" s="1607"/>
      <c r="AD949" s="1607"/>
      <c r="AE949" s="1607"/>
      <c r="AF949" s="1607"/>
      <c r="AG949" s="1607"/>
      <c r="AH949" s="1607"/>
      <c r="AI949" s="1607"/>
      <c r="AJ949" s="1607"/>
      <c r="AK949" s="1607"/>
      <c r="AL949" s="1607"/>
      <c r="AM949" s="1607"/>
      <c r="AN949" s="1607"/>
      <c r="AO949" s="1607"/>
      <c r="AP949" s="1607"/>
      <c r="AQ949" s="1607"/>
      <c r="AR949" s="1607"/>
      <c r="AS949" s="1607"/>
      <c r="AT949" s="1607"/>
      <c r="AU949" s="1607"/>
      <c r="AV949" s="1607"/>
      <c r="AW949" s="1607"/>
      <c r="AX949" s="1607"/>
      <c r="AY949" s="1607"/>
      <c r="AZ949" s="1607"/>
      <c r="BA949" s="1607"/>
      <c r="BB949" s="1607"/>
      <c r="BC949" s="1607"/>
      <c r="BD949" s="1607"/>
      <c r="BE949" s="1607"/>
      <c r="BF949" s="1607"/>
      <c r="BG949" s="1607"/>
      <c r="BH949" s="1607"/>
      <c r="BI949" s="1607"/>
      <c r="BJ949" s="1607"/>
      <c r="BK949" s="1607"/>
      <c r="BL949" s="1607"/>
    </row>
    <row r="950">
      <c r="A950" s="1607"/>
      <c r="B950" s="1607"/>
      <c r="C950" s="1607"/>
      <c r="D950" s="1607"/>
      <c r="E950" s="1607"/>
      <c r="F950" s="1607"/>
      <c r="G950" s="1607"/>
      <c r="H950" s="1607"/>
      <c r="I950" s="1607"/>
      <c r="J950" s="1607"/>
      <c r="K950" s="1607"/>
      <c r="L950" s="1607"/>
      <c r="M950" s="1607"/>
      <c r="N950" s="1607"/>
      <c r="O950" s="1607"/>
      <c r="P950" s="1607"/>
      <c r="Q950" s="1607"/>
      <c r="R950" s="1607"/>
      <c r="S950" s="1607"/>
      <c r="T950" s="1607"/>
      <c r="U950" s="1607"/>
      <c r="V950" s="1607"/>
      <c r="W950" s="1607"/>
      <c r="X950" s="1607"/>
      <c r="Y950" s="1607"/>
      <c r="Z950" s="1607"/>
      <c r="AA950" s="1607"/>
      <c r="AB950" s="1607"/>
      <c r="AC950" s="1607"/>
      <c r="AD950" s="1607"/>
      <c r="AE950" s="1607"/>
      <c r="AF950" s="1607"/>
      <c r="AG950" s="1607"/>
      <c r="AH950" s="1607"/>
      <c r="AI950" s="1607"/>
      <c r="AJ950" s="1607"/>
      <c r="AK950" s="1607"/>
      <c r="AL950" s="1607"/>
      <c r="AM950" s="1607"/>
      <c r="AN950" s="1607"/>
      <c r="AO950" s="1607"/>
      <c r="AP950" s="1607"/>
      <c r="AQ950" s="1607"/>
      <c r="AR950" s="1607"/>
      <c r="AS950" s="1607"/>
      <c r="AT950" s="1607"/>
      <c r="AU950" s="1607"/>
      <c r="AV950" s="1607"/>
      <c r="AW950" s="1607"/>
      <c r="AX950" s="1607"/>
      <c r="AY950" s="1607"/>
      <c r="AZ950" s="1607"/>
      <c r="BA950" s="1607"/>
      <c r="BB950" s="1607"/>
      <c r="BC950" s="1607"/>
      <c r="BD950" s="1607"/>
      <c r="BE950" s="1607"/>
      <c r="BF950" s="1607"/>
      <c r="BG950" s="1607"/>
      <c r="BH950" s="1607"/>
      <c r="BI950" s="1607"/>
      <c r="BJ950" s="1607"/>
      <c r="BK950" s="1607"/>
      <c r="BL950" s="1607"/>
    </row>
    <row r="951">
      <c r="A951" s="1607"/>
      <c r="B951" s="1607"/>
      <c r="C951" s="1607"/>
      <c r="D951" s="1607"/>
      <c r="E951" s="1607"/>
      <c r="F951" s="1607"/>
      <c r="G951" s="1607"/>
      <c r="H951" s="1607"/>
      <c r="I951" s="1607"/>
      <c r="J951" s="1607"/>
      <c r="K951" s="1607"/>
      <c r="L951" s="1607"/>
      <c r="M951" s="1607"/>
      <c r="N951" s="1607"/>
      <c r="O951" s="1607"/>
      <c r="P951" s="1607"/>
      <c r="Q951" s="1607"/>
      <c r="R951" s="1607"/>
      <c r="S951" s="1607"/>
      <c r="T951" s="1607"/>
      <c r="U951" s="1607"/>
      <c r="V951" s="1607"/>
      <c r="W951" s="1607"/>
      <c r="X951" s="1607"/>
      <c r="Y951" s="1607"/>
      <c r="Z951" s="1607"/>
      <c r="AA951" s="1607"/>
      <c r="AB951" s="1607"/>
      <c r="AC951" s="1607"/>
      <c r="AD951" s="1607"/>
      <c r="AE951" s="1607"/>
      <c r="AF951" s="1607"/>
      <c r="AG951" s="1607"/>
      <c r="AH951" s="1607"/>
      <c r="AI951" s="1607"/>
      <c r="AJ951" s="1607"/>
      <c r="AK951" s="1607"/>
      <c r="AL951" s="1607"/>
      <c r="AM951" s="1607"/>
      <c r="AN951" s="1607"/>
      <c r="AO951" s="1607"/>
      <c r="AP951" s="1607"/>
      <c r="AQ951" s="1607"/>
      <c r="AR951" s="1607"/>
      <c r="AS951" s="1607"/>
      <c r="AT951" s="1607"/>
      <c r="AU951" s="1607"/>
      <c r="AV951" s="1607"/>
      <c r="AW951" s="1607"/>
      <c r="AX951" s="1607"/>
      <c r="AY951" s="1607"/>
      <c r="AZ951" s="1607"/>
      <c r="BA951" s="1607"/>
      <c r="BB951" s="1607"/>
      <c r="BC951" s="1607"/>
      <c r="BD951" s="1607"/>
      <c r="BE951" s="1607"/>
      <c r="BF951" s="1607"/>
      <c r="BG951" s="1607"/>
      <c r="BH951" s="1607"/>
      <c r="BI951" s="1607"/>
      <c r="BJ951" s="1607"/>
      <c r="BK951" s="1607"/>
      <c r="BL951" s="1607"/>
    </row>
    <row r="952">
      <c r="A952" s="1607"/>
      <c r="B952" s="1607"/>
      <c r="C952" s="1607"/>
      <c r="D952" s="1607"/>
      <c r="E952" s="1607"/>
      <c r="F952" s="1607"/>
      <c r="G952" s="1607"/>
      <c r="H952" s="1607"/>
      <c r="I952" s="1607"/>
      <c r="J952" s="1607"/>
      <c r="K952" s="1607"/>
      <c r="L952" s="1607"/>
      <c r="M952" s="1607"/>
      <c r="N952" s="1607"/>
      <c r="O952" s="1607"/>
      <c r="P952" s="1607"/>
      <c r="Q952" s="1607"/>
      <c r="R952" s="1607"/>
      <c r="S952" s="1607"/>
      <c r="T952" s="1607"/>
      <c r="U952" s="1607"/>
      <c r="V952" s="1607"/>
      <c r="W952" s="1607"/>
      <c r="X952" s="1607"/>
      <c r="Y952" s="1607"/>
      <c r="Z952" s="1607"/>
      <c r="AA952" s="1607"/>
      <c r="AB952" s="1607"/>
      <c r="AC952" s="1607"/>
      <c r="AD952" s="1607"/>
      <c r="AE952" s="1607"/>
      <c r="AF952" s="1607"/>
      <c r="AG952" s="1607"/>
      <c r="AH952" s="1607"/>
      <c r="AI952" s="1607"/>
      <c r="AJ952" s="1607"/>
      <c r="AK952" s="1607"/>
      <c r="AL952" s="1607"/>
      <c r="AM952" s="1607"/>
      <c r="AN952" s="1607"/>
      <c r="AO952" s="1607"/>
      <c r="AP952" s="1607"/>
      <c r="AQ952" s="1607"/>
      <c r="AR952" s="1607"/>
      <c r="AS952" s="1607"/>
      <c r="AT952" s="1607"/>
      <c r="AU952" s="1607"/>
      <c r="AV952" s="1607"/>
      <c r="AW952" s="1607"/>
      <c r="AX952" s="1607"/>
      <c r="AY952" s="1607"/>
      <c r="AZ952" s="1607"/>
      <c r="BA952" s="1607"/>
      <c r="BB952" s="1607"/>
      <c r="BC952" s="1607"/>
      <c r="BD952" s="1607"/>
      <c r="BE952" s="1607"/>
      <c r="BF952" s="1607"/>
      <c r="BG952" s="1607"/>
      <c r="BH952" s="1607"/>
      <c r="BI952" s="1607"/>
      <c r="BJ952" s="1607"/>
      <c r="BK952" s="1607"/>
      <c r="BL952" s="1607"/>
    </row>
    <row r="953">
      <c r="A953" s="1607"/>
      <c r="B953" s="1607"/>
      <c r="C953" s="1607"/>
      <c r="D953" s="1607"/>
      <c r="E953" s="1607"/>
      <c r="F953" s="1607"/>
      <c r="G953" s="1607"/>
      <c r="H953" s="1607"/>
      <c r="I953" s="1607"/>
      <c r="J953" s="1607"/>
      <c r="K953" s="1607"/>
      <c r="L953" s="1607"/>
      <c r="M953" s="1607"/>
      <c r="N953" s="1607"/>
      <c r="O953" s="1607"/>
      <c r="P953" s="1607"/>
      <c r="Q953" s="1607"/>
      <c r="R953" s="1607"/>
      <c r="S953" s="1607"/>
      <c r="T953" s="1607"/>
      <c r="U953" s="1607"/>
      <c r="V953" s="1607"/>
      <c r="W953" s="1607"/>
      <c r="X953" s="1607"/>
      <c r="Y953" s="1607"/>
      <c r="Z953" s="1607"/>
      <c r="AA953" s="1607"/>
      <c r="AB953" s="1607"/>
      <c r="AC953" s="1607"/>
      <c r="AD953" s="1607"/>
      <c r="AE953" s="1607"/>
      <c r="AF953" s="1607"/>
      <c r="AG953" s="1607"/>
      <c r="AH953" s="1607"/>
      <c r="AI953" s="1607"/>
      <c r="AJ953" s="1607"/>
      <c r="AK953" s="1607"/>
      <c r="AL953" s="1607"/>
      <c r="AM953" s="1607"/>
      <c r="AN953" s="1607"/>
      <c r="AO953" s="1607"/>
      <c r="AP953" s="1607"/>
      <c r="AQ953" s="1607"/>
      <c r="AR953" s="1607"/>
      <c r="AS953" s="1607"/>
      <c r="AT953" s="1607"/>
      <c r="AU953" s="1607"/>
      <c r="AV953" s="1607"/>
      <c r="AW953" s="1607"/>
      <c r="AX953" s="1607"/>
      <c r="AY953" s="1607"/>
      <c r="AZ953" s="1607"/>
      <c r="BA953" s="1607"/>
      <c r="BB953" s="1607"/>
      <c r="BC953" s="1607"/>
      <c r="BD953" s="1607"/>
      <c r="BE953" s="1607"/>
      <c r="BF953" s="1607"/>
      <c r="BG953" s="1607"/>
      <c r="BH953" s="1607"/>
      <c r="BI953" s="1607"/>
      <c r="BJ953" s="1607"/>
      <c r="BK953" s="1607"/>
      <c r="BL953" s="1607"/>
    </row>
    <row r="954">
      <c r="A954" s="1607"/>
      <c r="B954" s="1607"/>
      <c r="C954" s="1607"/>
      <c r="D954" s="1607"/>
      <c r="E954" s="1607"/>
      <c r="F954" s="1607"/>
      <c r="G954" s="1607"/>
      <c r="H954" s="1607"/>
      <c r="I954" s="1607"/>
      <c r="J954" s="1607"/>
      <c r="K954" s="1607"/>
      <c r="L954" s="1607"/>
      <c r="M954" s="1607"/>
      <c r="N954" s="1607"/>
      <c r="O954" s="1607"/>
      <c r="P954" s="1607"/>
      <c r="Q954" s="1607"/>
      <c r="R954" s="1607"/>
      <c r="S954" s="1607"/>
      <c r="T954" s="1607"/>
      <c r="U954" s="1607"/>
      <c r="V954" s="1607"/>
      <c r="W954" s="1607"/>
      <c r="X954" s="1607"/>
      <c r="Y954" s="1607"/>
      <c r="Z954" s="1607"/>
      <c r="AA954" s="1607"/>
      <c r="AB954" s="1607"/>
      <c r="AC954" s="1607"/>
      <c r="AD954" s="1607"/>
      <c r="AE954" s="1607"/>
      <c r="AF954" s="1607"/>
      <c r="AG954" s="1607"/>
      <c r="AH954" s="1607"/>
      <c r="AI954" s="1607"/>
      <c r="AJ954" s="1607"/>
      <c r="AK954" s="1607"/>
      <c r="AL954" s="1607"/>
      <c r="AM954" s="1607"/>
      <c r="AN954" s="1607"/>
      <c r="AO954" s="1607"/>
      <c r="AP954" s="1607"/>
      <c r="AQ954" s="1607"/>
      <c r="AR954" s="1607"/>
      <c r="AS954" s="1607"/>
      <c r="AT954" s="1607"/>
      <c r="AU954" s="1607"/>
      <c r="AV954" s="1607"/>
      <c r="AW954" s="1607"/>
      <c r="AX954" s="1607"/>
      <c r="AY954" s="1607"/>
      <c r="AZ954" s="1607"/>
      <c r="BA954" s="1607"/>
      <c r="BB954" s="1607"/>
      <c r="BC954" s="1607"/>
      <c r="BD954" s="1607"/>
      <c r="BE954" s="1607"/>
      <c r="BF954" s="1607"/>
      <c r="BG954" s="1607"/>
      <c r="BH954" s="1607"/>
      <c r="BI954" s="1607"/>
      <c r="BJ954" s="1607"/>
      <c r="BK954" s="1607"/>
      <c r="BL954" s="1607"/>
    </row>
    <row r="955">
      <c r="A955" s="1607"/>
      <c r="B955" s="1607"/>
      <c r="C955" s="1607"/>
      <c r="D955" s="1607"/>
      <c r="E955" s="1607"/>
      <c r="F955" s="1607"/>
      <c r="G955" s="1607"/>
      <c r="H955" s="1607"/>
      <c r="I955" s="1607"/>
      <c r="J955" s="1607"/>
      <c r="K955" s="1607"/>
      <c r="L955" s="1607"/>
      <c r="M955" s="1607"/>
      <c r="N955" s="1607"/>
      <c r="O955" s="1607"/>
      <c r="P955" s="1607"/>
      <c r="Q955" s="1607"/>
      <c r="R955" s="1607"/>
      <c r="S955" s="1607"/>
      <c r="T955" s="1607"/>
      <c r="U955" s="1607"/>
      <c r="V955" s="1607"/>
      <c r="W955" s="1607"/>
      <c r="X955" s="1607"/>
      <c r="Y955" s="1607"/>
      <c r="Z955" s="1607"/>
      <c r="AA955" s="1607"/>
      <c r="AB955" s="1607"/>
      <c r="AC955" s="1607"/>
      <c r="AD955" s="1607"/>
      <c r="AE955" s="1607"/>
      <c r="AF955" s="1607"/>
      <c r="AG955" s="1607"/>
      <c r="AH955" s="1607"/>
      <c r="AI955" s="1607"/>
      <c r="AJ955" s="1607"/>
      <c r="AK955" s="1607"/>
      <c r="AL955" s="1607"/>
      <c r="AM955" s="1607"/>
      <c r="AN955" s="1607"/>
      <c r="AO955" s="1607"/>
      <c r="AP955" s="1607"/>
      <c r="AQ955" s="1607"/>
      <c r="AR955" s="1607"/>
      <c r="AS955" s="1607"/>
      <c r="AT955" s="1607"/>
      <c r="AU955" s="1607"/>
      <c r="AV955" s="1607"/>
      <c r="AW955" s="1607"/>
      <c r="AX955" s="1607"/>
      <c r="AY955" s="1607"/>
      <c r="AZ955" s="1607"/>
      <c r="BA955" s="1607"/>
      <c r="BB955" s="1607"/>
      <c r="BC955" s="1607"/>
      <c r="BD955" s="1607"/>
      <c r="BE955" s="1607"/>
      <c r="BF955" s="1607"/>
      <c r="BG955" s="1607"/>
      <c r="BH955" s="1607"/>
      <c r="BI955" s="1607"/>
      <c r="BJ955" s="1607"/>
      <c r="BK955" s="1607"/>
      <c r="BL955" s="1607"/>
    </row>
    <row r="956">
      <c r="A956" s="1607"/>
      <c r="B956" s="1607"/>
      <c r="C956" s="1607"/>
      <c r="D956" s="1607"/>
      <c r="E956" s="1607"/>
      <c r="F956" s="1607"/>
      <c r="G956" s="1607"/>
      <c r="H956" s="1607"/>
      <c r="I956" s="1607"/>
      <c r="J956" s="1607"/>
      <c r="K956" s="1607"/>
      <c r="L956" s="1607"/>
      <c r="M956" s="1607"/>
      <c r="N956" s="1607"/>
      <c r="O956" s="1607"/>
      <c r="P956" s="1607"/>
      <c r="Q956" s="1607"/>
      <c r="R956" s="1607"/>
      <c r="S956" s="1607"/>
      <c r="T956" s="1607"/>
      <c r="U956" s="1607"/>
      <c r="V956" s="1607"/>
      <c r="W956" s="1607"/>
      <c r="X956" s="1607"/>
      <c r="Y956" s="1607"/>
      <c r="Z956" s="1607"/>
      <c r="AA956" s="1607"/>
      <c r="AB956" s="1607"/>
      <c r="AC956" s="1607"/>
      <c r="AD956" s="1607"/>
      <c r="AE956" s="1607"/>
      <c r="AF956" s="1607"/>
      <c r="AG956" s="1607"/>
      <c r="AH956" s="1607"/>
      <c r="AI956" s="1607"/>
      <c r="AJ956" s="1607"/>
      <c r="AK956" s="1607"/>
      <c r="AL956" s="1607"/>
      <c r="AM956" s="1607"/>
      <c r="AN956" s="1607"/>
      <c r="AO956" s="1607"/>
      <c r="AP956" s="1607"/>
      <c r="AQ956" s="1607"/>
      <c r="AR956" s="1607"/>
      <c r="AS956" s="1607"/>
      <c r="AT956" s="1607"/>
      <c r="AU956" s="1607"/>
      <c r="AV956" s="1607"/>
      <c r="AW956" s="1607"/>
      <c r="AX956" s="1607"/>
      <c r="AY956" s="1607"/>
      <c r="AZ956" s="1607"/>
      <c r="BA956" s="1607"/>
      <c r="BB956" s="1607"/>
      <c r="BC956" s="1607"/>
      <c r="BD956" s="1607"/>
      <c r="BE956" s="1607"/>
      <c r="BF956" s="1607"/>
      <c r="BG956" s="1607"/>
      <c r="BH956" s="1607"/>
      <c r="BI956" s="1607"/>
      <c r="BJ956" s="1607"/>
      <c r="BK956" s="1607"/>
      <c r="BL956" s="1607"/>
    </row>
    <row r="957">
      <c r="A957" s="1607"/>
      <c r="B957" s="1607"/>
      <c r="C957" s="1607"/>
      <c r="D957" s="1607"/>
      <c r="E957" s="1607"/>
      <c r="F957" s="1607"/>
      <c r="G957" s="1607"/>
      <c r="H957" s="1607"/>
      <c r="I957" s="1607"/>
      <c r="J957" s="1607"/>
      <c r="K957" s="1607"/>
      <c r="L957" s="1607"/>
      <c r="M957" s="1607"/>
      <c r="N957" s="1607"/>
      <c r="O957" s="1607"/>
      <c r="P957" s="1607"/>
      <c r="Q957" s="1607"/>
      <c r="R957" s="1607"/>
      <c r="S957" s="1607"/>
      <c r="T957" s="1607"/>
      <c r="U957" s="1607"/>
      <c r="V957" s="1607"/>
      <c r="W957" s="1607"/>
      <c r="X957" s="1607"/>
      <c r="Y957" s="1607"/>
      <c r="Z957" s="1607"/>
      <c r="AA957" s="1607"/>
      <c r="AB957" s="1607"/>
      <c r="AC957" s="1607"/>
      <c r="AD957" s="1607"/>
      <c r="AE957" s="1607"/>
      <c r="AF957" s="1607"/>
      <c r="AG957" s="1607"/>
      <c r="AH957" s="1607"/>
      <c r="AI957" s="1607"/>
      <c r="AJ957" s="1607"/>
      <c r="AK957" s="1607"/>
      <c r="AL957" s="1607"/>
      <c r="AM957" s="1607"/>
      <c r="AN957" s="1607"/>
      <c r="AO957" s="1607"/>
      <c r="AP957" s="1607"/>
      <c r="AQ957" s="1607"/>
      <c r="AR957" s="1607"/>
      <c r="AS957" s="1607"/>
      <c r="AT957" s="1607"/>
      <c r="AU957" s="1607"/>
      <c r="AV957" s="1607"/>
      <c r="AW957" s="1607"/>
      <c r="AX957" s="1607"/>
      <c r="AY957" s="1607"/>
      <c r="AZ957" s="1607"/>
      <c r="BA957" s="1607"/>
      <c r="BB957" s="1607"/>
      <c r="BC957" s="1607"/>
      <c r="BD957" s="1607"/>
      <c r="BE957" s="1607"/>
      <c r="BF957" s="1607"/>
      <c r="BG957" s="1607"/>
      <c r="BH957" s="1607"/>
      <c r="BI957" s="1607"/>
      <c r="BJ957" s="1607"/>
      <c r="BK957" s="1607"/>
      <c r="BL957" s="1607"/>
    </row>
    <row r="958">
      <c r="A958" s="1607"/>
      <c r="B958" s="1607"/>
      <c r="C958" s="1607"/>
      <c r="D958" s="1607"/>
      <c r="E958" s="1607"/>
      <c r="F958" s="1607"/>
      <c r="G958" s="1607"/>
      <c r="H958" s="1607"/>
      <c r="I958" s="1607"/>
      <c r="J958" s="1607"/>
      <c r="K958" s="1607"/>
      <c r="L958" s="1607"/>
      <c r="M958" s="1607"/>
      <c r="N958" s="1607"/>
      <c r="O958" s="1607"/>
      <c r="P958" s="1607"/>
      <c r="Q958" s="1607"/>
      <c r="R958" s="1607"/>
      <c r="S958" s="1607"/>
      <c r="T958" s="1607"/>
      <c r="U958" s="1607"/>
      <c r="V958" s="1607"/>
      <c r="W958" s="1607"/>
      <c r="X958" s="1607"/>
      <c r="Y958" s="1607"/>
      <c r="Z958" s="1607"/>
      <c r="AA958" s="1607"/>
      <c r="AB958" s="1607"/>
      <c r="AC958" s="1607"/>
      <c r="AD958" s="1607"/>
      <c r="AE958" s="1607"/>
      <c r="AF958" s="1607"/>
      <c r="AG958" s="1607"/>
      <c r="AH958" s="1607"/>
      <c r="AI958" s="1607"/>
      <c r="AJ958" s="1607"/>
      <c r="AK958" s="1607"/>
      <c r="AL958" s="1607"/>
      <c r="AM958" s="1607"/>
      <c r="AN958" s="1607"/>
      <c r="AO958" s="1607"/>
      <c r="AP958" s="1607"/>
      <c r="AQ958" s="1607"/>
      <c r="AR958" s="1607"/>
      <c r="AS958" s="1607"/>
      <c r="AT958" s="1607"/>
      <c r="AU958" s="1607"/>
      <c r="AV958" s="1607"/>
      <c r="AW958" s="1607"/>
      <c r="AX958" s="1607"/>
      <c r="AY958" s="1607"/>
      <c r="AZ958" s="1607"/>
      <c r="BA958" s="1607"/>
      <c r="BB958" s="1607"/>
      <c r="BC958" s="1607"/>
      <c r="BD958" s="1607"/>
      <c r="BE958" s="1607"/>
      <c r="BF958" s="1607"/>
      <c r="BG958" s="1607"/>
      <c r="BH958" s="1607"/>
      <c r="BI958" s="1607"/>
      <c r="BJ958" s="1607"/>
      <c r="BK958" s="1607"/>
      <c r="BL958" s="1607"/>
    </row>
    <row r="959">
      <c r="A959" s="1607"/>
      <c r="B959" s="1607"/>
      <c r="C959" s="1607"/>
      <c r="D959" s="1607"/>
      <c r="E959" s="1607"/>
      <c r="F959" s="1607"/>
      <c r="G959" s="1607"/>
      <c r="H959" s="1607"/>
      <c r="I959" s="1607"/>
      <c r="J959" s="1607"/>
      <c r="K959" s="1607"/>
      <c r="L959" s="1607"/>
      <c r="M959" s="1607"/>
      <c r="N959" s="1607"/>
      <c r="O959" s="1607"/>
      <c r="P959" s="1607"/>
      <c r="Q959" s="1607"/>
      <c r="R959" s="1607"/>
      <c r="S959" s="1607"/>
      <c r="T959" s="1607"/>
      <c r="U959" s="1607"/>
      <c r="V959" s="1607"/>
      <c r="W959" s="1607"/>
      <c r="X959" s="1607"/>
      <c r="Y959" s="1607"/>
      <c r="Z959" s="1607"/>
      <c r="AA959" s="1607"/>
      <c r="AB959" s="1607"/>
      <c r="AC959" s="1607"/>
      <c r="AD959" s="1607"/>
      <c r="AE959" s="1607"/>
      <c r="AF959" s="1607"/>
      <c r="AG959" s="1607"/>
      <c r="AH959" s="1607"/>
      <c r="AI959" s="1607"/>
      <c r="AJ959" s="1607"/>
      <c r="AK959" s="1607"/>
      <c r="AL959" s="1607"/>
      <c r="AM959" s="1607"/>
      <c r="AN959" s="1607"/>
      <c r="AO959" s="1607"/>
      <c r="AP959" s="1607"/>
      <c r="AQ959" s="1607"/>
      <c r="AR959" s="1607"/>
      <c r="AS959" s="1607"/>
      <c r="AT959" s="1607"/>
      <c r="AU959" s="1607"/>
      <c r="AV959" s="1607"/>
      <c r="AW959" s="1607"/>
      <c r="AX959" s="1607"/>
      <c r="AY959" s="1607"/>
      <c r="AZ959" s="1607"/>
      <c r="BA959" s="1607"/>
      <c r="BB959" s="1607"/>
      <c r="BC959" s="1607"/>
      <c r="BD959" s="1607"/>
      <c r="BE959" s="1607"/>
      <c r="BF959" s="1607"/>
      <c r="BG959" s="1607"/>
      <c r="BH959" s="1607"/>
      <c r="BI959" s="1607"/>
      <c r="BJ959" s="1607"/>
      <c r="BK959" s="1607"/>
      <c r="BL959" s="1607"/>
    </row>
    <row r="960">
      <c r="A960" s="1607"/>
      <c r="B960" s="1607"/>
      <c r="C960" s="1607"/>
      <c r="D960" s="1607"/>
      <c r="E960" s="1607"/>
      <c r="F960" s="1607"/>
      <c r="G960" s="1607"/>
      <c r="H960" s="1607"/>
      <c r="I960" s="1607"/>
      <c r="J960" s="1607"/>
      <c r="K960" s="1607"/>
      <c r="L960" s="1607"/>
      <c r="M960" s="1607"/>
      <c r="N960" s="1607"/>
      <c r="O960" s="1607"/>
      <c r="P960" s="1607"/>
      <c r="Q960" s="1607"/>
      <c r="R960" s="1607"/>
      <c r="S960" s="1607"/>
      <c r="T960" s="1607"/>
      <c r="U960" s="1607"/>
      <c r="V960" s="1607"/>
      <c r="W960" s="1607"/>
      <c r="X960" s="1607"/>
      <c r="Y960" s="1607"/>
      <c r="Z960" s="1607"/>
      <c r="AA960" s="1607"/>
      <c r="AB960" s="1607"/>
      <c r="AC960" s="1607"/>
      <c r="AD960" s="1607"/>
      <c r="AE960" s="1607"/>
      <c r="AF960" s="1607"/>
      <c r="AG960" s="1607"/>
      <c r="AH960" s="1607"/>
      <c r="AI960" s="1607"/>
      <c r="AJ960" s="1607"/>
      <c r="AK960" s="1607"/>
      <c r="AL960" s="1607"/>
      <c r="AM960" s="1607"/>
      <c r="AN960" s="1607"/>
      <c r="AO960" s="1607"/>
      <c r="AP960" s="1607"/>
      <c r="AQ960" s="1607"/>
      <c r="AR960" s="1607"/>
      <c r="AS960" s="1607"/>
      <c r="AT960" s="1607"/>
      <c r="AU960" s="1607"/>
      <c r="AV960" s="1607"/>
      <c r="AW960" s="1607"/>
      <c r="AX960" s="1607"/>
      <c r="AY960" s="1607"/>
      <c r="AZ960" s="1607"/>
      <c r="BA960" s="1607"/>
      <c r="BB960" s="1607"/>
      <c r="BC960" s="1607"/>
      <c r="BD960" s="1607"/>
      <c r="BE960" s="1607"/>
      <c r="BF960" s="1607"/>
      <c r="BG960" s="1607"/>
      <c r="BH960" s="1607"/>
      <c r="BI960" s="1607"/>
      <c r="BJ960" s="1607"/>
      <c r="BK960" s="1607"/>
      <c r="BL960" s="1607"/>
    </row>
    <row r="961">
      <c r="A961" s="1607"/>
      <c r="B961" s="1607"/>
      <c r="C961" s="1607"/>
      <c r="D961" s="1607"/>
      <c r="E961" s="1607"/>
      <c r="F961" s="1607"/>
      <c r="G961" s="1607"/>
      <c r="H961" s="1607"/>
      <c r="I961" s="1607"/>
      <c r="J961" s="1607"/>
      <c r="K961" s="1607"/>
      <c r="L961" s="1607"/>
      <c r="M961" s="1607"/>
      <c r="N961" s="1607"/>
      <c r="O961" s="1607"/>
      <c r="P961" s="1607"/>
      <c r="Q961" s="1607"/>
      <c r="R961" s="1607"/>
      <c r="S961" s="1607"/>
      <c r="T961" s="1607"/>
      <c r="U961" s="1607"/>
      <c r="V961" s="1607"/>
      <c r="W961" s="1607"/>
      <c r="X961" s="1607"/>
      <c r="Y961" s="1607"/>
      <c r="Z961" s="1607"/>
      <c r="AA961" s="1607"/>
      <c r="AB961" s="1607"/>
      <c r="AC961" s="1607"/>
      <c r="AD961" s="1607"/>
      <c r="AE961" s="1607"/>
      <c r="AF961" s="1607"/>
      <c r="AG961" s="1607"/>
      <c r="AH961" s="1607"/>
      <c r="AI961" s="1607"/>
      <c r="AJ961" s="1607"/>
      <c r="AK961" s="1607"/>
      <c r="AL961" s="1607"/>
      <c r="AM961" s="1607"/>
      <c r="AN961" s="1607"/>
      <c r="AO961" s="1607"/>
      <c r="AP961" s="1607"/>
      <c r="AQ961" s="1607"/>
      <c r="AR961" s="1607"/>
      <c r="AS961" s="1607"/>
      <c r="AT961" s="1607"/>
      <c r="AU961" s="1607"/>
      <c r="AV961" s="1607"/>
      <c r="AW961" s="1607"/>
      <c r="AX961" s="1607"/>
      <c r="AY961" s="1607"/>
      <c r="AZ961" s="1607"/>
      <c r="BA961" s="1607"/>
      <c r="BB961" s="1607"/>
      <c r="BC961" s="1607"/>
      <c r="BD961" s="1607"/>
      <c r="BE961" s="1607"/>
      <c r="BF961" s="1607"/>
      <c r="BG961" s="1607"/>
      <c r="BH961" s="1607"/>
      <c r="BI961" s="1607"/>
      <c r="BJ961" s="1607"/>
      <c r="BK961" s="1607"/>
      <c r="BL961" s="1607"/>
    </row>
    <row r="962">
      <c r="A962" s="1607"/>
      <c r="B962" s="1607"/>
      <c r="C962" s="1607"/>
      <c r="D962" s="1607"/>
      <c r="E962" s="1607"/>
      <c r="F962" s="1607"/>
      <c r="G962" s="1607"/>
      <c r="H962" s="1607"/>
      <c r="I962" s="1607"/>
      <c r="J962" s="1607"/>
      <c r="K962" s="1607"/>
      <c r="L962" s="1607"/>
      <c r="M962" s="1607"/>
      <c r="N962" s="1607"/>
      <c r="O962" s="1607"/>
      <c r="P962" s="1607"/>
      <c r="Q962" s="1607"/>
      <c r="R962" s="1607"/>
      <c r="S962" s="1607"/>
      <c r="T962" s="1607"/>
      <c r="U962" s="1607"/>
      <c r="V962" s="1607"/>
      <c r="W962" s="1607"/>
      <c r="X962" s="1607"/>
      <c r="Y962" s="1607"/>
      <c r="Z962" s="1607"/>
      <c r="AA962" s="1607"/>
      <c r="AB962" s="1607"/>
      <c r="AC962" s="1607"/>
      <c r="AD962" s="1607"/>
      <c r="AE962" s="1607"/>
      <c r="AF962" s="1607"/>
      <c r="AG962" s="1607"/>
      <c r="AH962" s="1607"/>
      <c r="AI962" s="1607"/>
      <c r="AJ962" s="1607"/>
      <c r="AK962" s="1607"/>
      <c r="AL962" s="1607"/>
      <c r="AM962" s="1607"/>
      <c r="AN962" s="1607"/>
      <c r="AO962" s="1607"/>
      <c r="AP962" s="1607"/>
      <c r="AQ962" s="1607"/>
      <c r="AR962" s="1607"/>
      <c r="AS962" s="1607"/>
      <c r="AT962" s="1607"/>
      <c r="AU962" s="1607"/>
      <c r="AV962" s="1607"/>
      <c r="AW962" s="1607"/>
      <c r="AX962" s="1607"/>
      <c r="AY962" s="1607"/>
      <c r="AZ962" s="1607"/>
      <c r="BA962" s="1607"/>
      <c r="BB962" s="1607"/>
      <c r="BC962" s="1607"/>
      <c r="BD962" s="1607"/>
      <c r="BE962" s="1607"/>
      <c r="BF962" s="1607"/>
      <c r="BG962" s="1607"/>
      <c r="BH962" s="1607"/>
      <c r="BI962" s="1607"/>
      <c r="BJ962" s="1607"/>
      <c r="BK962" s="1607"/>
      <c r="BL962" s="1607"/>
    </row>
    <row r="963">
      <c r="A963" s="1607"/>
      <c r="B963" s="1607"/>
      <c r="C963" s="1607"/>
      <c r="D963" s="1607"/>
      <c r="E963" s="1607"/>
      <c r="F963" s="1607"/>
      <c r="G963" s="1607"/>
      <c r="H963" s="1607"/>
      <c r="I963" s="1607"/>
      <c r="J963" s="1607"/>
      <c r="K963" s="1607"/>
      <c r="L963" s="1607"/>
      <c r="M963" s="1607"/>
      <c r="N963" s="1607"/>
      <c r="O963" s="1607"/>
      <c r="P963" s="1607"/>
      <c r="Q963" s="1607"/>
      <c r="R963" s="1607"/>
      <c r="S963" s="1607"/>
      <c r="T963" s="1607"/>
      <c r="U963" s="1607"/>
      <c r="V963" s="1607"/>
      <c r="W963" s="1607"/>
      <c r="X963" s="1607"/>
      <c r="Y963" s="1607"/>
      <c r="Z963" s="1607"/>
      <c r="AA963" s="1607"/>
      <c r="AB963" s="1607"/>
      <c r="AC963" s="1607"/>
      <c r="AD963" s="1607"/>
      <c r="AE963" s="1607"/>
      <c r="AF963" s="1607"/>
      <c r="AG963" s="1607"/>
      <c r="AH963" s="1607"/>
      <c r="AI963" s="1607"/>
      <c r="AJ963" s="1607"/>
      <c r="AK963" s="1607"/>
      <c r="AL963" s="1607"/>
      <c r="AM963" s="1607"/>
      <c r="AN963" s="1607"/>
      <c r="AO963" s="1607"/>
      <c r="AP963" s="1607"/>
      <c r="AQ963" s="1607"/>
      <c r="AR963" s="1607"/>
      <c r="AS963" s="1607"/>
      <c r="AT963" s="1607"/>
      <c r="AU963" s="1607"/>
      <c r="AV963" s="1607"/>
      <c r="AW963" s="1607"/>
      <c r="AX963" s="1607"/>
      <c r="AY963" s="1607"/>
      <c r="AZ963" s="1607"/>
      <c r="BA963" s="1607"/>
      <c r="BB963" s="1607"/>
      <c r="BC963" s="1607"/>
      <c r="BD963" s="1607"/>
      <c r="BE963" s="1607"/>
      <c r="BF963" s="1607"/>
      <c r="BG963" s="1607"/>
      <c r="BH963" s="1607"/>
      <c r="BI963" s="1607"/>
      <c r="BJ963" s="1607"/>
      <c r="BK963" s="1607"/>
      <c r="BL963" s="1607"/>
    </row>
    <row r="964">
      <c r="A964" s="1607"/>
      <c r="B964" s="1607"/>
      <c r="C964" s="1607"/>
      <c r="D964" s="1607"/>
      <c r="E964" s="1607"/>
      <c r="F964" s="1607"/>
      <c r="G964" s="1607"/>
      <c r="H964" s="1607"/>
      <c r="I964" s="1607"/>
      <c r="J964" s="1607"/>
      <c r="K964" s="1607"/>
      <c r="L964" s="1607"/>
      <c r="M964" s="1607"/>
      <c r="N964" s="1607"/>
      <c r="O964" s="1607"/>
      <c r="P964" s="1607"/>
      <c r="Q964" s="1607"/>
      <c r="R964" s="1607"/>
      <c r="S964" s="1607"/>
      <c r="T964" s="1607"/>
      <c r="U964" s="1607"/>
      <c r="V964" s="1607"/>
      <c r="W964" s="1607"/>
      <c r="X964" s="1607"/>
      <c r="Y964" s="1607"/>
      <c r="Z964" s="1607"/>
      <c r="AA964" s="1607"/>
      <c r="AB964" s="1607"/>
      <c r="AC964" s="1607"/>
      <c r="AD964" s="1607"/>
      <c r="AE964" s="1607"/>
      <c r="AF964" s="1607"/>
      <c r="AG964" s="1607"/>
      <c r="AH964" s="1607"/>
      <c r="AI964" s="1607"/>
      <c r="AJ964" s="1607"/>
      <c r="AK964" s="1607"/>
      <c r="AL964" s="1607"/>
      <c r="AM964" s="1607"/>
      <c r="AN964" s="1607"/>
      <c r="AO964" s="1607"/>
      <c r="AP964" s="1607"/>
      <c r="AQ964" s="1607"/>
      <c r="AR964" s="1607"/>
      <c r="AS964" s="1607"/>
      <c r="AT964" s="1607"/>
      <c r="AU964" s="1607"/>
      <c r="AV964" s="1607"/>
      <c r="AW964" s="1607"/>
      <c r="AX964" s="1607"/>
      <c r="AY964" s="1607"/>
      <c r="AZ964" s="1607"/>
      <c r="BA964" s="1607"/>
      <c r="BB964" s="1607"/>
      <c r="BC964" s="1607"/>
      <c r="BD964" s="1607"/>
      <c r="BE964" s="1607"/>
      <c r="BF964" s="1607"/>
      <c r="BG964" s="1607"/>
      <c r="BH964" s="1607"/>
      <c r="BI964" s="1607"/>
      <c r="BJ964" s="1607"/>
      <c r="BK964" s="1607"/>
      <c r="BL964" s="1607"/>
    </row>
    <row r="965">
      <c r="A965" s="1607"/>
      <c r="B965" s="1607"/>
      <c r="C965" s="1607"/>
      <c r="D965" s="1607"/>
      <c r="E965" s="1607"/>
      <c r="F965" s="1607"/>
      <c r="G965" s="1607"/>
      <c r="H965" s="1607"/>
      <c r="I965" s="1607"/>
      <c r="J965" s="1607"/>
      <c r="K965" s="1607"/>
      <c r="L965" s="1607"/>
      <c r="M965" s="1607"/>
      <c r="N965" s="1607"/>
      <c r="O965" s="1607"/>
      <c r="P965" s="1607"/>
      <c r="Q965" s="1607"/>
      <c r="R965" s="1607"/>
      <c r="S965" s="1607"/>
      <c r="T965" s="1607"/>
      <c r="U965" s="1607"/>
      <c r="V965" s="1607"/>
      <c r="W965" s="1607"/>
      <c r="X965" s="1607"/>
      <c r="Y965" s="1607"/>
      <c r="Z965" s="1607"/>
      <c r="AA965" s="1607"/>
      <c r="AB965" s="1607"/>
      <c r="AC965" s="1607"/>
      <c r="AD965" s="1607"/>
      <c r="AE965" s="1607"/>
      <c r="AF965" s="1607"/>
      <c r="AG965" s="1607"/>
      <c r="AH965" s="1607"/>
      <c r="AI965" s="1607"/>
      <c r="AJ965" s="1607"/>
      <c r="AK965" s="1607"/>
      <c r="AL965" s="1607"/>
      <c r="AM965" s="1607"/>
      <c r="AN965" s="1607"/>
      <c r="AO965" s="1607"/>
      <c r="AP965" s="1607"/>
      <c r="AQ965" s="1607"/>
      <c r="AR965" s="1607"/>
      <c r="AS965" s="1607"/>
      <c r="AT965" s="1607"/>
      <c r="AU965" s="1607"/>
      <c r="AV965" s="1607"/>
      <c r="AW965" s="1607"/>
      <c r="AX965" s="1607"/>
      <c r="AY965" s="1607"/>
      <c r="AZ965" s="1607"/>
      <c r="BA965" s="1607"/>
      <c r="BB965" s="1607"/>
      <c r="BC965" s="1607"/>
      <c r="BD965" s="1607"/>
      <c r="BE965" s="1607"/>
      <c r="BF965" s="1607"/>
      <c r="BG965" s="1607"/>
      <c r="BH965" s="1607"/>
      <c r="BI965" s="1607"/>
      <c r="BJ965" s="1607"/>
      <c r="BK965" s="1607"/>
      <c r="BL965" s="1607"/>
    </row>
    <row r="966">
      <c r="A966" s="1607"/>
      <c r="B966" s="1607"/>
      <c r="C966" s="1607"/>
      <c r="D966" s="1607"/>
      <c r="E966" s="1607"/>
      <c r="F966" s="1607"/>
      <c r="G966" s="1607"/>
      <c r="H966" s="1607"/>
      <c r="I966" s="1607"/>
      <c r="J966" s="1607"/>
      <c r="K966" s="1607"/>
      <c r="L966" s="1607"/>
      <c r="M966" s="1607"/>
      <c r="N966" s="1607"/>
      <c r="O966" s="1607"/>
      <c r="P966" s="1607"/>
      <c r="Q966" s="1607"/>
      <c r="R966" s="1607"/>
      <c r="S966" s="1607"/>
      <c r="T966" s="1607"/>
      <c r="U966" s="1607"/>
      <c r="V966" s="1607"/>
      <c r="W966" s="1607"/>
      <c r="X966" s="1607"/>
      <c r="Y966" s="1607"/>
      <c r="Z966" s="1607"/>
      <c r="AA966" s="1607"/>
      <c r="AB966" s="1607"/>
      <c r="AC966" s="1607"/>
      <c r="AD966" s="1607"/>
      <c r="AE966" s="1607"/>
      <c r="AF966" s="1607"/>
      <c r="AG966" s="1607"/>
      <c r="AH966" s="1607"/>
      <c r="AI966" s="1607"/>
      <c r="AJ966" s="1607"/>
      <c r="AK966" s="1607"/>
      <c r="AL966" s="1607"/>
      <c r="AM966" s="1607"/>
      <c r="AN966" s="1607"/>
      <c r="AO966" s="1607"/>
      <c r="AP966" s="1607"/>
      <c r="AQ966" s="1607"/>
      <c r="AR966" s="1607"/>
      <c r="AS966" s="1607"/>
      <c r="AT966" s="1607"/>
      <c r="AU966" s="1607"/>
      <c r="AV966" s="1607"/>
      <c r="AW966" s="1607"/>
      <c r="AX966" s="1607"/>
      <c r="AY966" s="1607"/>
      <c r="AZ966" s="1607"/>
      <c r="BA966" s="1607"/>
      <c r="BB966" s="1607"/>
      <c r="BC966" s="1607"/>
      <c r="BD966" s="1607"/>
      <c r="BE966" s="1607"/>
      <c r="BF966" s="1607"/>
      <c r="BG966" s="1607"/>
      <c r="BH966" s="1607"/>
      <c r="BI966" s="1607"/>
      <c r="BJ966" s="1607"/>
      <c r="BK966" s="1607"/>
      <c r="BL966" s="1607"/>
    </row>
    <row r="967">
      <c r="A967" s="1607"/>
      <c r="B967" s="1607"/>
      <c r="C967" s="1607"/>
      <c r="D967" s="1607"/>
      <c r="E967" s="1607"/>
      <c r="F967" s="1607"/>
      <c r="G967" s="1607"/>
      <c r="H967" s="1607"/>
      <c r="I967" s="1607"/>
      <c r="J967" s="1607"/>
      <c r="K967" s="1607"/>
      <c r="L967" s="1607"/>
      <c r="M967" s="1607"/>
      <c r="N967" s="1607"/>
      <c r="O967" s="1607"/>
      <c r="P967" s="1607"/>
      <c r="Q967" s="1607"/>
      <c r="R967" s="1607"/>
      <c r="S967" s="1607"/>
      <c r="T967" s="1607"/>
      <c r="U967" s="1607"/>
      <c r="V967" s="1607"/>
      <c r="W967" s="1607"/>
      <c r="X967" s="1607"/>
      <c r="Y967" s="1607"/>
      <c r="Z967" s="1607"/>
      <c r="AA967" s="1607"/>
      <c r="AB967" s="1607"/>
      <c r="AC967" s="1607"/>
      <c r="AD967" s="1607"/>
      <c r="AE967" s="1607"/>
      <c r="AF967" s="1607"/>
      <c r="AG967" s="1607"/>
      <c r="AH967" s="1607"/>
      <c r="AI967" s="1607"/>
      <c r="AJ967" s="1607"/>
      <c r="AK967" s="1607"/>
      <c r="AL967" s="1607"/>
      <c r="AM967" s="1607"/>
      <c r="AN967" s="1607"/>
      <c r="AO967" s="1607"/>
      <c r="AP967" s="1607"/>
      <c r="AQ967" s="1607"/>
      <c r="AR967" s="1607"/>
      <c r="AS967" s="1607"/>
      <c r="AT967" s="1607"/>
      <c r="AU967" s="1607"/>
      <c r="AV967" s="1607"/>
      <c r="AW967" s="1607"/>
      <c r="AX967" s="1607"/>
      <c r="AY967" s="1607"/>
      <c r="AZ967" s="1607"/>
      <c r="BA967" s="1607"/>
      <c r="BB967" s="1607"/>
      <c r="BC967" s="1607"/>
      <c r="BD967" s="1607"/>
      <c r="BE967" s="1607"/>
      <c r="BF967" s="1607"/>
      <c r="BG967" s="1607"/>
      <c r="BH967" s="1607"/>
      <c r="BI967" s="1607"/>
      <c r="BJ967" s="1607"/>
      <c r="BK967" s="1607"/>
      <c r="BL967" s="1607"/>
    </row>
    <row r="968">
      <c r="A968" s="1607"/>
      <c r="B968" s="1607"/>
      <c r="C968" s="1607"/>
      <c r="D968" s="1607"/>
      <c r="E968" s="1607"/>
      <c r="F968" s="1607"/>
      <c r="G968" s="1607"/>
      <c r="H968" s="1607"/>
      <c r="I968" s="1607"/>
      <c r="J968" s="1607"/>
      <c r="K968" s="1607"/>
      <c r="L968" s="1607"/>
      <c r="M968" s="1607"/>
      <c r="N968" s="1607"/>
      <c r="O968" s="1607"/>
      <c r="P968" s="1607"/>
      <c r="Q968" s="1607"/>
      <c r="R968" s="1607"/>
      <c r="S968" s="1607"/>
      <c r="T968" s="1607"/>
      <c r="U968" s="1607"/>
      <c r="V968" s="1607"/>
      <c r="W968" s="1607"/>
      <c r="X968" s="1607"/>
      <c r="Y968" s="1607"/>
      <c r="Z968" s="1607"/>
      <c r="AA968" s="1607"/>
      <c r="AB968" s="1607"/>
      <c r="AC968" s="1607"/>
      <c r="AD968" s="1607"/>
      <c r="AE968" s="1607"/>
      <c r="AF968" s="1607"/>
      <c r="AG968" s="1607"/>
      <c r="AH968" s="1607"/>
      <c r="AI968" s="1607"/>
      <c r="AJ968" s="1607"/>
      <c r="AK968" s="1607"/>
      <c r="AL968" s="1607"/>
      <c r="AM968" s="1607"/>
      <c r="AN968" s="1607"/>
      <c r="AO968" s="1607"/>
      <c r="AP968" s="1607"/>
      <c r="AQ968" s="1607"/>
      <c r="AR968" s="1607"/>
      <c r="AS968" s="1607"/>
      <c r="AT968" s="1607"/>
      <c r="AU968" s="1607"/>
      <c r="AV968" s="1607"/>
      <c r="AW968" s="1607"/>
      <c r="AX968" s="1607"/>
      <c r="AY968" s="1607"/>
      <c r="AZ968" s="1607"/>
      <c r="BA968" s="1607"/>
      <c r="BB968" s="1607"/>
      <c r="BC968" s="1607"/>
      <c r="BD968" s="1607"/>
      <c r="BE968" s="1607"/>
      <c r="BF968" s="1607"/>
      <c r="BG968" s="1607"/>
      <c r="BH968" s="1607"/>
      <c r="BI968" s="1607"/>
      <c r="BJ968" s="1607"/>
      <c r="BK968" s="1607"/>
      <c r="BL968" s="1607"/>
    </row>
    <row r="969">
      <c r="A969" s="1607"/>
      <c r="B969" s="1607"/>
      <c r="C969" s="1607"/>
      <c r="D969" s="1607"/>
      <c r="E969" s="1607"/>
      <c r="F969" s="1607"/>
      <c r="G969" s="1607"/>
      <c r="H969" s="1607"/>
      <c r="I969" s="1607"/>
      <c r="J969" s="1607"/>
      <c r="K969" s="1607"/>
      <c r="L969" s="1607"/>
      <c r="M969" s="1607"/>
      <c r="N969" s="1607"/>
      <c r="O969" s="1607"/>
      <c r="P969" s="1607"/>
      <c r="Q969" s="1607"/>
      <c r="R969" s="1607"/>
      <c r="S969" s="1607"/>
      <c r="T969" s="1607"/>
      <c r="U969" s="1607"/>
      <c r="V969" s="1607"/>
      <c r="W969" s="1607"/>
      <c r="X969" s="1607"/>
      <c r="Y969" s="1607"/>
      <c r="Z969" s="1607"/>
      <c r="AA969" s="1607"/>
      <c r="AB969" s="1607"/>
      <c r="AC969" s="1607"/>
      <c r="AD969" s="1607"/>
      <c r="AE969" s="1607"/>
      <c r="AF969" s="1607"/>
      <c r="AG969" s="1607"/>
      <c r="AH969" s="1607"/>
      <c r="AI969" s="1607"/>
      <c r="AJ969" s="1607"/>
      <c r="AK969" s="1607"/>
      <c r="AL969" s="1607"/>
      <c r="AM969" s="1607"/>
      <c r="AN969" s="1607"/>
      <c r="AO969" s="1607"/>
      <c r="AP969" s="1607"/>
      <c r="AQ969" s="1607"/>
      <c r="AR969" s="1607"/>
      <c r="AS969" s="1607"/>
      <c r="AT969" s="1607"/>
      <c r="AU969" s="1607"/>
      <c r="AV969" s="1607"/>
      <c r="AW969" s="1607"/>
      <c r="AX969" s="1607"/>
      <c r="AY969" s="1607"/>
      <c r="AZ969" s="1607"/>
      <c r="BA969" s="1607"/>
      <c r="BB969" s="1607"/>
      <c r="BC969" s="1607"/>
      <c r="BD969" s="1607"/>
      <c r="BE969" s="1607"/>
      <c r="BF969" s="1607"/>
      <c r="BG969" s="1607"/>
      <c r="BH969" s="1607"/>
      <c r="BI969" s="1607"/>
      <c r="BJ969" s="1607"/>
      <c r="BK969" s="1607"/>
      <c r="BL969" s="1607"/>
    </row>
    <row r="970">
      <c r="A970" s="1607"/>
      <c r="B970" s="1607"/>
      <c r="C970" s="1607"/>
      <c r="D970" s="1607"/>
      <c r="E970" s="1607"/>
      <c r="F970" s="1607"/>
      <c r="G970" s="1607"/>
      <c r="H970" s="1607"/>
      <c r="I970" s="1607"/>
      <c r="J970" s="1607"/>
      <c r="K970" s="1607"/>
      <c r="L970" s="1607"/>
      <c r="M970" s="1607"/>
      <c r="N970" s="1607"/>
      <c r="O970" s="1607"/>
      <c r="P970" s="1607"/>
      <c r="Q970" s="1607"/>
      <c r="R970" s="1607"/>
      <c r="S970" s="1607"/>
      <c r="T970" s="1607"/>
      <c r="U970" s="1607"/>
      <c r="V970" s="1607"/>
      <c r="W970" s="1607"/>
      <c r="X970" s="1607"/>
      <c r="Y970" s="1607"/>
      <c r="Z970" s="1607"/>
      <c r="AA970" s="1607"/>
      <c r="AB970" s="1607"/>
      <c r="AC970" s="1607"/>
      <c r="AD970" s="1607"/>
      <c r="AE970" s="1607"/>
      <c r="AF970" s="1607"/>
      <c r="AG970" s="1607"/>
      <c r="AH970" s="1607"/>
      <c r="AI970" s="1607"/>
      <c r="AJ970" s="1607"/>
      <c r="AK970" s="1607"/>
      <c r="AL970" s="1607"/>
      <c r="AM970" s="1607"/>
      <c r="AN970" s="1607"/>
      <c r="AO970" s="1607"/>
      <c r="AP970" s="1607"/>
      <c r="AQ970" s="1607"/>
      <c r="AR970" s="1607"/>
      <c r="AS970" s="1607"/>
      <c r="AT970" s="1607"/>
      <c r="AU970" s="1607"/>
      <c r="AV970" s="1607"/>
      <c r="AW970" s="1607"/>
      <c r="AX970" s="1607"/>
      <c r="AY970" s="1607"/>
      <c r="AZ970" s="1607"/>
      <c r="BA970" s="1607"/>
      <c r="BB970" s="1607"/>
      <c r="BC970" s="1607"/>
      <c r="BD970" s="1607"/>
      <c r="BE970" s="1607"/>
      <c r="BF970" s="1607"/>
      <c r="BG970" s="1607"/>
      <c r="BH970" s="1607"/>
      <c r="BI970" s="1607"/>
      <c r="BJ970" s="1607"/>
      <c r="BK970" s="1607"/>
      <c r="BL970" s="1607"/>
    </row>
    <row r="971">
      <c r="A971" s="1607"/>
      <c r="B971" s="1607"/>
      <c r="C971" s="1607"/>
      <c r="D971" s="1607"/>
      <c r="E971" s="1607"/>
      <c r="F971" s="1607"/>
      <c r="G971" s="1607"/>
      <c r="H971" s="1607"/>
      <c r="I971" s="1607"/>
      <c r="J971" s="1607"/>
      <c r="K971" s="1607"/>
      <c r="L971" s="1607"/>
      <c r="M971" s="1607"/>
      <c r="N971" s="1607"/>
      <c r="O971" s="1607"/>
      <c r="P971" s="1607"/>
      <c r="Q971" s="1607"/>
      <c r="R971" s="1607"/>
      <c r="S971" s="1607"/>
      <c r="T971" s="1607"/>
      <c r="U971" s="1607"/>
      <c r="V971" s="1607"/>
      <c r="W971" s="1607"/>
      <c r="X971" s="1607"/>
      <c r="Y971" s="1607"/>
      <c r="Z971" s="1607"/>
      <c r="AA971" s="1607"/>
      <c r="AB971" s="1607"/>
      <c r="AC971" s="1607"/>
      <c r="AD971" s="1607"/>
      <c r="AE971" s="1607"/>
      <c r="AF971" s="1607"/>
      <c r="AG971" s="1607"/>
      <c r="AH971" s="1607"/>
      <c r="AI971" s="1607"/>
      <c r="AJ971" s="1607"/>
      <c r="AK971" s="1607"/>
      <c r="AL971" s="1607"/>
      <c r="AM971" s="1607"/>
      <c r="AN971" s="1607"/>
      <c r="AO971" s="1607"/>
      <c r="AP971" s="1607"/>
      <c r="AQ971" s="1607"/>
      <c r="AR971" s="1607"/>
      <c r="AS971" s="1607"/>
      <c r="AT971" s="1607"/>
      <c r="AU971" s="1607"/>
      <c r="AV971" s="1607"/>
      <c r="AW971" s="1607"/>
      <c r="AX971" s="1607"/>
      <c r="AY971" s="1607"/>
      <c r="AZ971" s="1607"/>
      <c r="BA971" s="1607"/>
      <c r="BB971" s="1607"/>
      <c r="BC971" s="1607"/>
      <c r="BD971" s="1607"/>
      <c r="BE971" s="1607"/>
      <c r="BF971" s="1607"/>
      <c r="BG971" s="1607"/>
      <c r="BH971" s="1607"/>
      <c r="BI971" s="1607"/>
      <c r="BJ971" s="1607"/>
      <c r="BK971" s="1607"/>
      <c r="BL971" s="1607"/>
    </row>
    <row r="972">
      <c r="A972" s="1607"/>
      <c r="B972" s="1607"/>
      <c r="C972" s="1607"/>
      <c r="D972" s="1607"/>
      <c r="E972" s="1607"/>
      <c r="F972" s="1607"/>
      <c r="G972" s="1607"/>
      <c r="H972" s="1607"/>
      <c r="I972" s="1607"/>
      <c r="J972" s="1607"/>
      <c r="K972" s="1607"/>
      <c r="L972" s="1607"/>
      <c r="M972" s="1607"/>
      <c r="N972" s="1607"/>
      <c r="O972" s="1607"/>
      <c r="P972" s="1607"/>
      <c r="Q972" s="1607"/>
      <c r="R972" s="1607"/>
      <c r="S972" s="1607"/>
      <c r="T972" s="1607"/>
      <c r="U972" s="1607"/>
      <c r="V972" s="1607"/>
      <c r="W972" s="1607"/>
      <c r="X972" s="1607"/>
      <c r="Y972" s="1607"/>
      <c r="Z972" s="1607"/>
      <c r="AA972" s="1607"/>
      <c r="AB972" s="1607"/>
      <c r="AC972" s="1607"/>
      <c r="AD972" s="1607"/>
      <c r="AE972" s="1607"/>
      <c r="AF972" s="1607"/>
      <c r="AG972" s="1607"/>
      <c r="AH972" s="1607"/>
      <c r="AI972" s="1607"/>
      <c r="AJ972" s="1607"/>
      <c r="AK972" s="1607"/>
      <c r="AL972" s="1607"/>
      <c r="AM972" s="1607"/>
      <c r="AN972" s="1607"/>
      <c r="AO972" s="1607"/>
      <c r="AP972" s="1607"/>
      <c r="AQ972" s="1607"/>
      <c r="AR972" s="1607"/>
      <c r="AS972" s="1607"/>
      <c r="AT972" s="1607"/>
      <c r="AU972" s="1607"/>
      <c r="AV972" s="1607"/>
      <c r="AW972" s="1607"/>
      <c r="AX972" s="1607"/>
      <c r="AY972" s="1607"/>
      <c r="AZ972" s="1607"/>
      <c r="BA972" s="1607"/>
      <c r="BB972" s="1607"/>
      <c r="BC972" s="1607"/>
      <c r="BD972" s="1607"/>
      <c r="BE972" s="1607"/>
      <c r="BF972" s="1607"/>
      <c r="BG972" s="1607"/>
      <c r="BH972" s="1607"/>
      <c r="BI972" s="1607"/>
      <c r="BJ972" s="1607"/>
      <c r="BK972" s="1607"/>
      <c r="BL972" s="1607"/>
    </row>
    <row r="973">
      <c r="A973" s="1607"/>
      <c r="B973" s="1607"/>
      <c r="C973" s="1607"/>
      <c r="D973" s="1607"/>
      <c r="E973" s="1607"/>
      <c r="F973" s="1607"/>
      <c r="G973" s="1607"/>
      <c r="H973" s="1607"/>
      <c r="I973" s="1607"/>
      <c r="J973" s="1607"/>
      <c r="K973" s="1607"/>
      <c r="L973" s="1607"/>
      <c r="M973" s="1607"/>
      <c r="N973" s="1607"/>
      <c r="O973" s="1607"/>
      <c r="P973" s="1607"/>
      <c r="Q973" s="1607"/>
      <c r="R973" s="1607"/>
      <c r="S973" s="1607"/>
      <c r="T973" s="1607"/>
      <c r="U973" s="1607"/>
      <c r="V973" s="1607"/>
      <c r="W973" s="1607"/>
      <c r="X973" s="1607"/>
      <c r="Y973" s="1607"/>
      <c r="Z973" s="1607"/>
      <c r="AA973" s="1607"/>
      <c r="AB973" s="1607"/>
      <c r="AC973" s="1607"/>
      <c r="AD973" s="1607"/>
      <c r="AE973" s="1607"/>
      <c r="AF973" s="1607"/>
      <c r="AG973" s="1607"/>
      <c r="AH973" s="1607"/>
      <c r="AI973" s="1607"/>
      <c r="AJ973" s="1607"/>
      <c r="AK973" s="1607"/>
      <c r="AL973" s="1607"/>
      <c r="AM973" s="1607"/>
      <c r="AN973" s="1607"/>
      <c r="AO973" s="1607"/>
      <c r="AP973" s="1607"/>
      <c r="AQ973" s="1607"/>
      <c r="AR973" s="1607"/>
      <c r="AS973" s="1607"/>
      <c r="AT973" s="1607"/>
      <c r="AU973" s="1607"/>
      <c r="AV973" s="1607"/>
      <c r="AW973" s="1607"/>
      <c r="AX973" s="1607"/>
      <c r="AY973" s="1607"/>
      <c r="AZ973" s="1607"/>
      <c r="BA973" s="1607"/>
      <c r="BB973" s="1607"/>
      <c r="BC973" s="1607"/>
      <c r="BD973" s="1607"/>
      <c r="BE973" s="1607"/>
      <c r="BF973" s="1607"/>
      <c r="BG973" s="1607"/>
      <c r="BH973" s="1607"/>
      <c r="BI973" s="1607"/>
      <c r="BJ973" s="1607"/>
      <c r="BK973" s="1607"/>
      <c r="BL973" s="1607"/>
    </row>
    <row r="974">
      <c r="A974" s="1607"/>
      <c r="B974" s="1607"/>
      <c r="C974" s="1607"/>
      <c r="D974" s="1607"/>
      <c r="E974" s="1607"/>
      <c r="F974" s="1607"/>
      <c r="G974" s="1607"/>
      <c r="H974" s="1607"/>
      <c r="I974" s="1607"/>
      <c r="J974" s="1607"/>
      <c r="K974" s="1607"/>
      <c r="L974" s="1607"/>
      <c r="M974" s="1607"/>
      <c r="N974" s="1607"/>
      <c r="O974" s="1607"/>
      <c r="P974" s="1607"/>
      <c r="Q974" s="1607"/>
      <c r="R974" s="1607"/>
      <c r="S974" s="1607"/>
      <c r="T974" s="1607"/>
      <c r="U974" s="1607"/>
      <c r="V974" s="1607"/>
      <c r="W974" s="1607"/>
      <c r="X974" s="1607"/>
      <c r="Y974" s="1607"/>
      <c r="Z974" s="1607"/>
      <c r="AA974" s="1607"/>
      <c r="AB974" s="1607"/>
      <c r="AC974" s="1607"/>
      <c r="AD974" s="1607"/>
      <c r="AE974" s="1607"/>
      <c r="AF974" s="1607"/>
      <c r="AG974" s="1607"/>
      <c r="AH974" s="1607"/>
      <c r="AI974" s="1607"/>
      <c r="AJ974" s="1607"/>
      <c r="AK974" s="1607"/>
      <c r="AL974" s="1607"/>
      <c r="AM974" s="1607"/>
      <c r="AN974" s="1607"/>
      <c r="AO974" s="1607"/>
      <c r="AP974" s="1607"/>
      <c r="AQ974" s="1607"/>
      <c r="AR974" s="1607"/>
      <c r="AS974" s="1607"/>
      <c r="AT974" s="1607"/>
      <c r="AU974" s="1607"/>
      <c r="AV974" s="1607"/>
      <c r="AW974" s="1607"/>
      <c r="AX974" s="1607"/>
      <c r="AY974" s="1607"/>
      <c r="AZ974" s="1607"/>
      <c r="BA974" s="1607"/>
      <c r="BB974" s="1607"/>
      <c r="BC974" s="1607"/>
      <c r="BD974" s="1607"/>
      <c r="BE974" s="1607"/>
      <c r="BF974" s="1607"/>
      <c r="BG974" s="1607"/>
      <c r="BH974" s="1607"/>
      <c r="BI974" s="1607"/>
      <c r="BJ974" s="1607"/>
      <c r="BK974" s="1607"/>
      <c r="BL974" s="1607"/>
    </row>
    <row r="975">
      <c r="A975" s="1607"/>
      <c r="B975" s="1607"/>
      <c r="C975" s="1607"/>
      <c r="D975" s="1607"/>
      <c r="E975" s="1607"/>
      <c r="F975" s="1607"/>
      <c r="G975" s="1607"/>
      <c r="H975" s="1607"/>
      <c r="I975" s="1607"/>
      <c r="J975" s="1607"/>
      <c r="K975" s="1607"/>
      <c r="L975" s="1607"/>
      <c r="M975" s="1607"/>
      <c r="N975" s="1607"/>
      <c r="O975" s="1607"/>
      <c r="P975" s="1607"/>
      <c r="Q975" s="1607"/>
      <c r="R975" s="1607"/>
      <c r="S975" s="1607"/>
      <c r="T975" s="1607"/>
      <c r="U975" s="1607"/>
      <c r="V975" s="1607"/>
      <c r="W975" s="1607"/>
      <c r="X975" s="1607"/>
      <c r="Y975" s="1607"/>
      <c r="Z975" s="1607"/>
      <c r="AA975" s="1607"/>
      <c r="AB975" s="1607"/>
      <c r="AC975" s="1607"/>
      <c r="AD975" s="1607"/>
      <c r="AE975" s="1607"/>
      <c r="AF975" s="1607"/>
      <c r="AG975" s="1607"/>
      <c r="AH975" s="1607"/>
      <c r="AI975" s="1607"/>
      <c r="AJ975" s="1607"/>
      <c r="AK975" s="1607"/>
      <c r="AL975" s="1607"/>
      <c r="AM975" s="1607"/>
      <c r="AN975" s="1607"/>
      <c r="AO975" s="1607"/>
      <c r="AP975" s="1607"/>
      <c r="AQ975" s="1607"/>
      <c r="AR975" s="1607"/>
      <c r="AS975" s="1607"/>
      <c r="AT975" s="1607"/>
      <c r="AU975" s="1607"/>
      <c r="AV975" s="1607"/>
      <c r="AW975" s="1607"/>
      <c r="AX975" s="1607"/>
      <c r="AY975" s="1607"/>
      <c r="AZ975" s="1607"/>
      <c r="BA975" s="1607"/>
      <c r="BB975" s="1607"/>
      <c r="BC975" s="1607"/>
      <c r="BD975" s="1607"/>
      <c r="BE975" s="1607"/>
      <c r="BF975" s="1607"/>
      <c r="BG975" s="1607"/>
      <c r="BH975" s="1607"/>
      <c r="BI975" s="1607"/>
      <c r="BJ975" s="1607"/>
      <c r="BK975" s="1607"/>
      <c r="BL975" s="1607"/>
    </row>
    <row r="976">
      <c r="A976" s="1607"/>
      <c r="B976" s="1607"/>
      <c r="C976" s="1607"/>
      <c r="D976" s="1607"/>
      <c r="E976" s="1607"/>
      <c r="F976" s="1607"/>
      <c r="G976" s="1607"/>
      <c r="H976" s="1607"/>
      <c r="I976" s="1607"/>
      <c r="J976" s="1607"/>
      <c r="K976" s="1607"/>
      <c r="L976" s="1607"/>
      <c r="M976" s="1607"/>
      <c r="N976" s="1607"/>
      <c r="O976" s="1607"/>
      <c r="P976" s="1607"/>
      <c r="Q976" s="1607"/>
      <c r="R976" s="1607"/>
      <c r="S976" s="1607"/>
      <c r="T976" s="1607"/>
      <c r="U976" s="1607"/>
      <c r="V976" s="1607"/>
      <c r="W976" s="1607"/>
      <c r="X976" s="1607"/>
      <c r="Y976" s="1607"/>
      <c r="Z976" s="1607"/>
      <c r="AA976" s="1607"/>
      <c r="AB976" s="1607"/>
      <c r="AC976" s="1607"/>
      <c r="AD976" s="1607"/>
      <c r="AE976" s="1607"/>
      <c r="AF976" s="1607"/>
      <c r="AG976" s="1607"/>
      <c r="AH976" s="1607"/>
      <c r="AI976" s="1607"/>
      <c r="AJ976" s="1607"/>
      <c r="AK976" s="1607"/>
      <c r="AL976" s="1607"/>
      <c r="AM976" s="1607"/>
      <c r="AN976" s="1607"/>
      <c r="AO976" s="1607"/>
      <c r="AP976" s="1607"/>
      <c r="AQ976" s="1607"/>
      <c r="AR976" s="1607"/>
      <c r="AS976" s="1607"/>
      <c r="AT976" s="1607"/>
      <c r="AU976" s="1607"/>
      <c r="AV976" s="1607"/>
      <c r="AW976" s="1607"/>
      <c r="AX976" s="1607"/>
      <c r="AY976" s="1607"/>
      <c r="AZ976" s="1607"/>
      <c r="BA976" s="1607"/>
      <c r="BB976" s="1607"/>
      <c r="BC976" s="1607"/>
      <c r="BD976" s="1607"/>
      <c r="BE976" s="1607"/>
      <c r="BF976" s="1607"/>
      <c r="BG976" s="1607"/>
      <c r="BH976" s="1607"/>
      <c r="BI976" s="1607"/>
      <c r="BJ976" s="1607"/>
      <c r="BK976" s="1607"/>
      <c r="BL976" s="1607"/>
    </row>
    <row r="977">
      <c r="A977" s="1607"/>
      <c r="B977" s="1607"/>
      <c r="C977" s="1607"/>
      <c r="D977" s="1607"/>
      <c r="E977" s="1607"/>
      <c r="F977" s="1607"/>
      <c r="G977" s="1607"/>
      <c r="H977" s="1607"/>
      <c r="I977" s="1607"/>
      <c r="J977" s="1607"/>
      <c r="K977" s="1607"/>
      <c r="L977" s="1607"/>
      <c r="M977" s="1607"/>
      <c r="N977" s="1607"/>
      <c r="O977" s="1607"/>
      <c r="P977" s="1607"/>
      <c r="Q977" s="1607"/>
      <c r="R977" s="1607"/>
      <c r="S977" s="1607"/>
      <c r="T977" s="1607"/>
      <c r="U977" s="1607"/>
      <c r="V977" s="1607"/>
      <c r="W977" s="1607"/>
      <c r="X977" s="1607"/>
      <c r="Y977" s="1607"/>
      <c r="Z977" s="1607"/>
      <c r="AA977" s="1607"/>
      <c r="AB977" s="1607"/>
      <c r="AC977" s="1607"/>
      <c r="AD977" s="1607"/>
      <c r="AE977" s="1607"/>
      <c r="AF977" s="1607"/>
      <c r="AG977" s="1607"/>
      <c r="AH977" s="1607"/>
      <c r="AI977" s="1607"/>
      <c r="AJ977" s="1607"/>
      <c r="AK977" s="1607"/>
      <c r="AL977" s="1607"/>
      <c r="AM977" s="1607"/>
      <c r="AN977" s="1607"/>
      <c r="AO977" s="1607"/>
      <c r="AP977" s="1607"/>
      <c r="AQ977" s="1607"/>
      <c r="AR977" s="1607"/>
      <c r="AS977" s="1607"/>
      <c r="AT977" s="1607"/>
      <c r="AU977" s="1607"/>
      <c r="AV977" s="1607"/>
      <c r="AW977" s="1607"/>
      <c r="AX977" s="1607"/>
      <c r="AY977" s="1607"/>
      <c r="AZ977" s="1607"/>
      <c r="BA977" s="1607"/>
      <c r="BB977" s="1607"/>
      <c r="BC977" s="1607"/>
      <c r="BD977" s="1607"/>
      <c r="BE977" s="1607"/>
      <c r="BF977" s="1607"/>
      <c r="BG977" s="1607"/>
      <c r="BH977" s="1607"/>
      <c r="BI977" s="1607"/>
      <c r="BJ977" s="1607"/>
      <c r="BK977" s="1607"/>
      <c r="BL977" s="1607"/>
    </row>
    <row r="978">
      <c r="A978" s="1607"/>
      <c r="B978" s="1607"/>
      <c r="C978" s="1607"/>
      <c r="D978" s="1607"/>
      <c r="E978" s="1607"/>
      <c r="F978" s="1607"/>
      <c r="G978" s="1607"/>
      <c r="H978" s="1607"/>
      <c r="I978" s="1607"/>
      <c r="J978" s="1607"/>
      <c r="K978" s="1607"/>
      <c r="L978" s="1607"/>
      <c r="M978" s="1607"/>
      <c r="N978" s="1607"/>
      <c r="O978" s="1607"/>
      <c r="P978" s="1607"/>
      <c r="Q978" s="1607"/>
      <c r="R978" s="1607"/>
      <c r="S978" s="1607"/>
      <c r="T978" s="1607"/>
      <c r="U978" s="1607"/>
      <c r="V978" s="1607"/>
      <c r="W978" s="1607"/>
      <c r="X978" s="1607"/>
      <c r="Y978" s="1607"/>
      <c r="Z978" s="1607"/>
      <c r="AA978" s="1607"/>
      <c r="AB978" s="1607"/>
      <c r="AC978" s="1607"/>
      <c r="AD978" s="1607"/>
      <c r="AE978" s="1607"/>
      <c r="AF978" s="1607"/>
      <c r="AG978" s="1607"/>
      <c r="AH978" s="1607"/>
      <c r="AI978" s="1607"/>
      <c r="AJ978" s="1607"/>
      <c r="AK978" s="1607"/>
      <c r="AL978" s="1607"/>
      <c r="AM978" s="1607"/>
      <c r="AN978" s="1607"/>
      <c r="AO978" s="1607"/>
      <c r="AP978" s="1607"/>
      <c r="AQ978" s="1607"/>
      <c r="AR978" s="1607"/>
      <c r="AS978" s="1607"/>
      <c r="AT978" s="1607"/>
      <c r="AU978" s="1607"/>
      <c r="AV978" s="1607"/>
      <c r="AW978" s="1607"/>
      <c r="AX978" s="1607"/>
      <c r="AY978" s="1607"/>
      <c r="AZ978" s="1607"/>
      <c r="BA978" s="1607"/>
      <c r="BB978" s="1607"/>
      <c r="BC978" s="1607"/>
      <c r="BD978" s="1607"/>
      <c r="BE978" s="1607"/>
      <c r="BF978" s="1607"/>
      <c r="BG978" s="1607"/>
      <c r="BH978" s="1607"/>
      <c r="BI978" s="1607"/>
      <c r="BJ978" s="1607"/>
      <c r="BK978" s="1607"/>
      <c r="BL978" s="1607"/>
    </row>
    <row r="979">
      <c r="A979" s="1607"/>
      <c r="B979" s="1607"/>
      <c r="C979" s="1607"/>
      <c r="D979" s="1607"/>
      <c r="E979" s="1607"/>
      <c r="F979" s="1607"/>
      <c r="G979" s="1607"/>
      <c r="H979" s="1607"/>
      <c r="I979" s="1607"/>
      <c r="J979" s="1607"/>
      <c r="K979" s="1607"/>
      <c r="L979" s="1607"/>
      <c r="M979" s="1607"/>
      <c r="N979" s="1607"/>
      <c r="O979" s="1607"/>
      <c r="P979" s="1607"/>
      <c r="Q979" s="1607"/>
      <c r="R979" s="1607"/>
      <c r="S979" s="1607"/>
      <c r="T979" s="1607"/>
      <c r="U979" s="1607"/>
      <c r="V979" s="1607"/>
      <c r="W979" s="1607"/>
      <c r="X979" s="1607"/>
      <c r="Y979" s="1607"/>
      <c r="Z979" s="1607"/>
      <c r="AA979" s="1607"/>
      <c r="AB979" s="1607"/>
      <c r="AC979" s="1607"/>
      <c r="AD979" s="1607"/>
      <c r="AE979" s="1607"/>
      <c r="AF979" s="1607"/>
      <c r="AG979" s="1607"/>
      <c r="AH979" s="1607"/>
      <c r="AI979" s="1607"/>
      <c r="AJ979" s="1607"/>
      <c r="AK979" s="1607"/>
      <c r="AL979" s="1607"/>
      <c r="AM979" s="1607"/>
      <c r="AN979" s="1607"/>
      <c r="AO979" s="1607"/>
      <c r="AP979" s="1607"/>
      <c r="AQ979" s="1607"/>
      <c r="AR979" s="1607"/>
      <c r="AS979" s="1607"/>
      <c r="AT979" s="1607"/>
      <c r="AU979" s="1607"/>
      <c r="AV979" s="1607"/>
      <c r="AW979" s="1607"/>
      <c r="AX979" s="1607"/>
      <c r="AY979" s="1607"/>
      <c r="AZ979" s="1607"/>
      <c r="BA979" s="1607"/>
      <c r="BB979" s="1607"/>
      <c r="BC979" s="1607"/>
      <c r="BD979" s="1607"/>
      <c r="BE979" s="1607"/>
      <c r="BF979" s="1607"/>
      <c r="BG979" s="1607"/>
      <c r="BH979" s="1607"/>
      <c r="BI979" s="1607"/>
      <c r="BJ979" s="1607"/>
      <c r="BK979" s="1607"/>
      <c r="BL979" s="1607"/>
    </row>
    <row r="980">
      <c r="A980" s="1607"/>
      <c r="B980" s="1607"/>
      <c r="C980" s="1607"/>
      <c r="D980" s="1607"/>
      <c r="E980" s="1607"/>
      <c r="F980" s="1607"/>
      <c r="G980" s="1607"/>
      <c r="H980" s="1607"/>
      <c r="I980" s="1607"/>
      <c r="J980" s="1607"/>
      <c r="K980" s="1607"/>
      <c r="L980" s="1607"/>
      <c r="M980" s="1607"/>
      <c r="N980" s="1607"/>
      <c r="O980" s="1607"/>
      <c r="P980" s="1607"/>
      <c r="Q980" s="1607"/>
      <c r="R980" s="1607"/>
      <c r="S980" s="1607"/>
      <c r="T980" s="1607"/>
      <c r="U980" s="1607"/>
      <c r="V980" s="1607"/>
      <c r="W980" s="1607"/>
      <c r="X980" s="1607"/>
      <c r="Y980" s="1607"/>
      <c r="Z980" s="1607"/>
      <c r="AA980" s="1607"/>
      <c r="AB980" s="1607"/>
      <c r="AC980" s="1607"/>
      <c r="AD980" s="1607"/>
      <c r="AE980" s="1607"/>
      <c r="AF980" s="1607"/>
      <c r="AG980" s="1607"/>
      <c r="AH980" s="1607"/>
      <c r="AI980" s="1607"/>
      <c r="AJ980" s="1607"/>
      <c r="AK980" s="1607"/>
      <c r="AL980" s="1607"/>
      <c r="AM980" s="1607"/>
      <c r="AN980" s="1607"/>
      <c r="AO980" s="1607"/>
      <c r="AP980" s="1607"/>
      <c r="AQ980" s="1607"/>
      <c r="AR980" s="1607"/>
      <c r="AS980" s="1607"/>
      <c r="AT980" s="1607"/>
      <c r="AU980" s="1607"/>
      <c r="AV980" s="1607"/>
      <c r="AW980" s="1607"/>
      <c r="AX980" s="1607"/>
      <c r="AY980" s="1607"/>
      <c r="AZ980" s="1607"/>
      <c r="BA980" s="1607"/>
      <c r="BB980" s="1607"/>
      <c r="BC980" s="1607"/>
      <c r="BD980" s="1607"/>
      <c r="BE980" s="1607"/>
      <c r="BF980" s="1607"/>
      <c r="BG980" s="1607"/>
      <c r="BH980" s="1607"/>
      <c r="BI980" s="1607"/>
      <c r="BJ980" s="1607"/>
      <c r="BK980" s="1607"/>
      <c r="BL980" s="1607"/>
    </row>
    <row r="981">
      <c r="A981" s="1607"/>
      <c r="B981" s="1607"/>
      <c r="C981" s="1607"/>
      <c r="D981" s="1607"/>
      <c r="E981" s="1607"/>
      <c r="F981" s="1607"/>
      <c r="G981" s="1607"/>
      <c r="H981" s="1607"/>
      <c r="I981" s="1607"/>
      <c r="J981" s="1607"/>
      <c r="K981" s="1607"/>
      <c r="L981" s="1607"/>
      <c r="M981" s="1607"/>
      <c r="N981" s="1607"/>
      <c r="O981" s="1607"/>
      <c r="P981" s="1607"/>
      <c r="Q981" s="1607"/>
      <c r="R981" s="1607"/>
      <c r="S981" s="1607"/>
      <c r="T981" s="1607"/>
      <c r="U981" s="1607"/>
      <c r="V981" s="1607"/>
      <c r="W981" s="1607"/>
      <c r="X981" s="1607"/>
      <c r="Y981" s="1607"/>
      <c r="Z981" s="1607"/>
      <c r="AA981" s="1607"/>
      <c r="AB981" s="1607"/>
      <c r="AC981" s="1607"/>
      <c r="AD981" s="1607"/>
      <c r="AE981" s="1607"/>
      <c r="AF981" s="1607"/>
      <c r="AG981" s="1607"/>
      <c r="AH981" s="1607"/>
      <c r="AI981" s="1607"/>
      <c r="AJ981" s="1607"/>
      <c r="AK981" s="1607"/>
      <c r="AL981" s="1607"/>
      <c r="AM981" s="1607"/>
      <c r="AN981" s="1607"/>
      <c r="AO981" s="1607"/>
      <c r="AP981" s="1607"/>
      <c r="AQ981" s="1607"/>
      <c r="AR981" s="1607"/>
      <c r="AS981" s="1607"/>
      <c r="AT981" s="1607"/>
      <c r="AU981" s="1607"/>
      <c r="AV981" s="1607"/>
      <c r="AW981" s="1607"/>
      <c r="AX981" s="1607"/>
      <c r="AY981" s="1607"/>
      <c r="AZ981" s="1607"/>
      <c r="BA981" s="1607"/>
      <c r="BB981" s="1607"/>
      <c r="BC981" s="1607"/>
      <c r="BD981" s="1607"/>
      <c r="BE981" s="1607"/>
      <c r="BF981" s="1607"/>
      <c r="BG981" s="1607"/>
      <c r="BH981" s="1607"/>
      <c r="BI981" s="1607"/>
      <c r="BJ981" s="1607"/>
      <c r="BK981" s="1607"/>
      <c r="BL981" s="1607"/>
    </row>
    <row r="982">
      <c r="A982" s="1607"/>
      <c r="B982" s="1607"/>
      <c r="C982" s="1607"/>
      <c r="D982" s="1607"/>
      <c r="E982" s="1607"/>
      <c r="F982" s="1607"/>
      <c r="G982" s="1607"/>
      <c r="H982" s="1607"/>
      <c r="I982" s="1607"/>
      <c r="J982" s="1607"/>
      <c r="K982" s="1607"/>
      <c r="L982" s="1607"/>
      <c r="M982" s="1607"/>
      <c r="N982" s="1607"/>
      <c r="O982" s="1607"/>
      <c r="P982" s="1607"/>
      <c r="Q982" s="1607"/>
      <c r="R982" s="1607"/>
      <c r="S982" s="1607"/>
      <c r="T982" s="1607"/>
      <c r="U982" s="1607"/>
      <c r="V982" s="1607"/>
      <c r="W982" s="1607"/>
      <c r="X982" s="1607"/>
      <c r="Y982" s="1607"/>
      <c r="Z982" s="1607"/>
      <c r="AA982" s="1607"/>
      <c r="AB982" s="1607"/>
      <c r="AC982" s="1607"/>
      <c r="AD982" s="1607"/>
      <c r="AE982" s="1607"/>
      <c r="AF982" s="1607"/>
      <c r="AG982" s="1607"/>
      <c r="AH982" s="1607"/>
      <c r="AI982" s="1607"/>
      <c r="AJ982" s="1607"/>
      <c r="AK982" s="1607"/>
      <c r="AL982" s="1607"/>
      <c r="AM982" s="1607"/>
      <c r="AN982" s="1607"/>
      <c r="AO982" s="1607"/>
      <c r="AP982" s="1607"/>
      <c r="AQ982" s="1607"/>
      <c r="AR982" s="1607"/>
      <c r="AS982" s="1607"/>
      <c r="AT982" s="1607"/>
      <c r="AU982" s="1607"/>
      <c r="AV982" s="1607"/>
      <c r="AW982" s="1607"/>
      <c r="AX982" s="1607"/>
      <c r="AY982" s="1607"/>
      <c r="AZ982" s="1607"/>
      <c r="BA982" s="1607"/>
      <c r="BB982" s="1607"/>
      <c r="BC982" s="1607"/>
      <c r="BD982" s="1607"/>
      <c r="BE982" s="1607"/>
      <c r="BF982" s="1607"/>
      <c r="BG982" s="1607"/>
      <c r="BH982" s="1607"/>
      <c r="BI982" s="1607"/>
      <c r="BJ982" s="1607"/>
      <c r="BK982" s="1607"/>
      <c r="BL982" s="1607"/>
    </row>
    <row r="983">
      <c r="A983" s="1607"/>
      <c r="B983" s="1607"/>
      <c r="C983" s="1607"/>
      <c r="D983" s="1607"/>
      <c r="E983" s="1607"/>
      <c r="F983" s="1607"/>
      <c r="G983" s="1607"/>
      <c r="H983" s="1607"/>
      <c r="I983" s="1607"/>
      <c r="J983" s="1607"/>
      <c r="K983" s="1607"/>
      <c r="L983" s="1607"/>
      <c r="M983" s="1607"/>
      <c r="N983" s="1607"/>
      <c r="O983" s="1607"/>
      <c r="P983" s="1607"/>
      <c r="Q983" s="1607"/>
      <c r="R983" s="1607"/>
      <c r="S983" s="1607"/>
      <c r="T983" s="1607"/>
      <c r="U983" s="1607"/>
      <c r="V983" s="1607"/>
      <c r="W983" s="1607"/>
      <c r="X983" s="1607"/>
      <c r="Y983" s="1607"/>
      <c r="Z983" s="1607"/>
      <c r="AA983" s="1607"/>
      <c r="AB983" s="1607"/>
      <c r="AC983" s="1607"/>
      <c r="AD983" s="1607"/>
      <c r="AE983" s="1607"/>
      <c r="AF983" s="1607"/>
      <c r="AG983" s="1607"/>
      <c r="AH983" s="1607"/>
      <c r="AI983" s="1607"/>
      <c r="AJ983" s="1607"/>
      <c r="AK983" s="1607"/>
      <c r="AL983" s="1607"/>
      <c r="AM983" s="1607"/>
      <c r="AN983" s="1607"/>
      <c r="AO983" s="1607"/>
      <c r="AP983" s="1607"/>
      <c r="AQ983" s="1607"/>
      <c r="AR983" s="1607"/>
      <c r="AS983" s="1607"/>
      <c r="AT983" s="1607"/>
      <c r="AU983" s="1607"/>
      <c r="AV983" s="1607"/>
      <c r="AW983" s="1607"/>
      <c r="AX983" s="1607"/>
      <c r="AY983" s="1607"/>
      <c r="AZ983" s="1607"/>
      <c r="BA983" s="1607"/>
      <c r="BB983" s="1607"/>
      <c r="BC983" s="1607"/>
      <c r="BD983" s="1607"/>
      <c r="BE983" s="1607"/>
      <c r="BF983" s="1607"/>
      <c r="BG983" s="1607"/>
      <c r="BH983" s="1607"/>
      <c r="BI983" s="1607"/>
      <c r="BJ983" s="1607"/>
      <c r="BK983" s="1607"/>
      <c r="BL983" s="1607"/>
    </row>
    <row r="984">
      <c r="A984" s="1607"/>
      <c r="B984" s="1607"/>
      <c r="C984" s="1607"/>
      <c r="D984" s="1607"/>
      <c r="E984" s="1607"/>
      <c r="F984" s="1607"/>
      <c r="G984" s="1607"/>
      <c r="H984" s="1607"/>
      <c r="I984" s="1607"/>
      <c r="J984" s="1607"/>
      <c r="K984" s="1607"/>
      <c r="L984" s="1607"/>
      <c r="M984" s="1607"/>
      <c r="N984" s="1607"/>
      <c r="O984" s="1607"/>
      <c r="P984" s="1607"/>
      <c r="Q984" s="1607"/>
      <c r="R984" s="1607"/>
      <c r="S984" s="1607"/>
      <c r="T984" s="1607"/>
      <c r="U984" s="1607"/>
      <c r="V984" s="1607"/>
      <c r="W984" s="1607"/>
      <c r="X984" s="1607"/>
      <c r="Y984" s="1607"/>
      <c r="Z984" s="1607"/>
      <c r="AA984" s="1607"/>
      <c r="AB984" s="1607"/>
      <c r="AC984" s="1607"/>
      <c r="AD984" s="1607"/>
      <c r="AE984" s="1607"/>
      <c r="AF984" s="1607"/>
      <c r="AG984" s="1607"/>
      <c r="AH984" s="1607"/>
      <c r="AI984" s="1607"/>
      <c r="AJ984" s="1607"/>
      <c r="AK984" s="1607"/>
      <c r="AL984" s="1607"/>
      <c r="AM984" s="1607"/>
      <c r="AN984" s="1607"/>
      <c r="AO984" s="1607"/>
      <c r="AP984" s="1607"/>
      <c r="AQ984" s="1607"/>
      <c r="AR984" s="1607"/>
      <c r="AS984" s="1607"/>
      <c r="AT984" s="1607"/>
      <c r="AU984" s="1607"/>
      <c r="AV984" s="1607"/>
      <c r="AW984" s="1607"/>
      <c r="AX984" s="1607"/>
      <c r="AY984" s="1607"/>
      <c r="AZ984" s="1607"/>
      <c r="BA984" s="1607"/>
      <c r="BB984" s="1607"/>
      <c r="BC984" s="1607"/>
      <c r="BD984" s="1607"/>
      <c r="BE984" s="1607"/>
      <c r="BF984" s="1607"/>
      <c r="BG984" s="1607"/>
      <c r="BH984" s="1607"/>
      <c r="BI984" s="1607"/>
      <c r="BJ984" s="1607"/>
      <c r="BK984" s="1607"/>
      <c r="BL984" s="1607"/>
    </row>
    <row r="985">
      <c r="A985" s="1607"/>
      <c r="B985" s="1607"/>
      <c r="C985" s="1607"/>
      <c r="D985" s="1607"/>
      <c r="E985" s="1607"/>
      <c r="F985" s="1607"/>
      <c r="G985" s="1607"/>
      <c r="H985" s="1607"/>
      <c r="I985" s="1607"/>
      <c r="J985" s="1607"/>
      <c r="K985" s="1607"/>
      <c r="L985" s="1607"/>
      <c r="M985" s="1607"/>
      <c r="N985" s="1607"/>
      <c r="O985" s="1607"/>
      <c r="P985" s="1607"/>
      <c r="Q985" s="1607"/>
      <c r="R985" s="1607"/>
      <c r="S985" s="1607"/>
      <c r="T985" s="1607"/>
      <c r="U985" s="1607"/>
      <c r="V985" s="1607"/>
      <c r="W985" s="1607"/>
      <c r="X985" s="1607"/>
      <c r="Y985" s="1607"/>
      <c r="Z985" s="1607"/>
      <c r="AA985" s="1607"/>
      <c r="AB985" s="1607"/>
      <c r="AC985" s="1607"/>
      <c r="AD985" s="1607"/>
      <c r="AE985" s="1607"/>
      <c r="AF985" s="1607"/>
      <c r="AG985" s="1607"/>
      <c r="AH985" s="1607"/>
      <c r="AI985" s="1607"/>
      <c r="AJ985" s="1607"/>
      <c r="AK985" s="1607"/>
      <c r="AL985" s="1607"/>
      <c r="AM985" s="1607"/>
      <c r="AN985" s="1607"/>
      <c r="AO985" s="1607"/>
      <c r="AP985" s="1607"/>
      <c r="AQ985" s="1607"/>
      <c r="AR985" s="1607"/>
      <c r="AS985" s="1607"/>
      <c r="AT985" s="1607"/>
      <c r="AU985" s="1607"/>
      <c r="AV985" s="1607"/>
      <c r="AW985" s="1607"/>
      <c r="AX985" s="1607"/>
      <c r="AY985" s="1607"/>
      <c r="AZ985" s="1607"/>
      <c r="BA985" s="1607"/>
      <c r="BB985" s="1607"/>
      <c r="BC985" s="1607"/>
      <c r="BD985" s="1607"/>
      <c r="BE985" s="1607"/>
      <c r="BF985" s="1607"/>
      <c r="BG985" s="1607"/>
      <c r="BH985" s="1607"/>
      <c r="BI985" s="1607"/>
      <c r="BJ985" s="1607"/>
      <c r="BK985" s="1607"/>
      <c r="BL985" s="1607"/>
    </row>
    <row r="986">
      <c r="A986" s="1607"/>
      <c r="B986" s="1607"/>
      <c r="C986" s="1607"/>
      <c r="D986" s="1607"/>
      <c r="E986" s="1607"/>
      <c r="F986" s="1607"/>
      <c r="G986" s="1607"/>
      <c r="H986" s="1607"/>
      <c r="I986" s="1607"/>
      <c r="J986" s="1607"/>
      <c r="K986" s="1607"/>
      <c r="L986" s="1607"/>
      <c r="M986" s="1607"/>
      <c r="N986" s="1607"/>
      <c r="O986" s="1607"/>
      <c r="P986" s="1607"/>
      <c r="Q986" s="1607"/>
      <c r="R986" s="1607"/>
      <c r="S986" s="1607"/>
      <c r="T986" s="1607"/>
      <c r="U986" s="1607"/>
      <c r="V986" s="1607"/>
      <c r="W986" s="1607"/>
      <c r="X986" s="1607"/>
      <c r="Y986" s="1607"/>
      <c r="Z986" s="1607"/>
      <c r="AA986" s="1607"/>
      <c r="AB986" s="1607"/>
      <c r="AC986" s="1607"/>
      <c r="AD986" s="1607"/>
      <c r="AE986" s="1607"/>
      <c r="AF986" s="1607"/>
      <c r="AG986" s="1607"/>
      <c r="AH986" s="1607"/>
      <c r="AI986" s="1607"/>
      <c r="AJ986" s="1607"/>
      <c r="AK986" s="1607"/>
      <c r="AL986" s="1607"/>
      <c r="AM986" s="1607"/>
      <c r="AN986" s="1607"/>
      <c r="AO986" s="1607"/>
      <c r="AP986" s="1607"/>
      <c r="AQ986" s="1607"/>
      <c r="AR986" s="1607"/>
      <c r="AS986" s="1607"/>
      <c r="AT986" s="1607"/>
      <c r="AU986" s="1607"/>
      <c r="AV986" s="1607"/>
      <c r="AW986" s="1607"/>
      <c r="AX986" s="1607"/>
      <c r="AY986" s="1607"/>
      <c r="AZ986" s="1607"/>
      <c r="BA986" s="1607"/>
      <c r="BB986" s="1607"/>
      <c r="BC986" s="1607"/>
      <c r="BD986" s="1607"/>
      <c r="BE986" s="1607"/>
      <c r="BF986" s="1607"/>
      <c r="BG986" s="1607"/>
      <c r="BH986" s="1607"/>
      <c r="BI986" s="1607"/>
      <c r="BJ986" s="1607"/>
      <c r="BK986" s="1607"/>
      <c r="BL986" s="1607"/>
    </row>
    <row r="987">
      <c r="A987" s="1607"/>
      <c r="B987" s="1607"/>
      <c r="C987" s="1607"/>
      <c r="D987" s="1607"/>
      <c r="E987" s="1607"/>
      <c r="F987" s="1607"/>
      <c r="G987" s="1607"/>
      <c r="H987" s="1607"/>
      <c r="I987" s="1607"/>
      <c r="J987" s="1607"/>
      <c r="K987" s="1607"/>
      <c r="L987" s="1607"/>
      <c r="M987" s="1607"/>
      <c r="N987" s="1607"/>
      <c r="O987" s="1607"/>
      <c r="P987" s="1607"/>
      <c r="Q987" s="1607"/>
      <c r="R987" s="1607"/>
      <c r="S987" s="1607"/>
      <c r="T987" s="1607"/>
      <c r="U987" s="1607"/>
      <c r="V987" s="1607"/>
      <c r="W987" s="1607"/>
      <c r="X987" s="1607"/>
      <c r="Y987" s="1607"/>
      <c r="Z987" s="1607"/>
      <c r="AA987" s="1607"/>
      <c r="AB987" s="1607"/>
      <c r="AC987" s="1607"/>
      <c r="AD987" s="1607"/>
      <c r="AE987" s="1607"/>
      <c r="AF987" s="1607"/>
      <c r="AG987" s="1607"/>
      <c r="AH987" s="1607"/>
      <c r="AI987" s="1607"/>
      <c r="AJ987" s="1607"/>
      <c r="AK987" s="1607"/>
      <c r="AL987" s="1607"/>
      <c r="AM987" s="1607"/>
      <c r="AN987" s="1607"/>
      <c r="AO987" s="1607"/>
      <c r="AP987" s="1607"/>
      <c r="AQ987" s="1607"/>
      <c r="AR987" s="1607"/>
      <c r="AS987" s="1607"/>
      <c r="AT987" s="1607"/>
      <c r="AU987" s="1607"/>
      <c r="AV987" s="1607"/>
      <c r="AW987" s="1607"/>
      <c r="AX987" s="1607"/>
      <c r="AY987" s="1607"/>
      <c r="AZ987" s="1607"/>
      <c r="BA987" s="1607"/>
      <c r="BB987" s="1607"/>
      <c r="BC987" s="1607"/>
      <c r="BD987" s="1607"/>
      <c r="BE987" s="1607"/>
      <c r="BF987" s="1607"/>
      <c r="BG987" s="1607"/>
      <c r="BH987" s="1607"/>
      <c r="BI987" s="1607"/>
      <c r="BJ987" s="1607"/>
      <c r="BK987" s="1607"/>
      <c r="BL987" s="1607"/>
    </row>
    <row r="988">
      <c r="A988" s="1607"/>
      <c r="B988" s="1607"/>
      <c r="C988" s="1607"/>
      <c r="D988" s="1607"/>
      <c r="E988" s="1607"/>
      <c r="F988" s="1607"/>
      <c r="G988" s="1607"/>
      <c r="H988" s="1607"/>
      <c r="I988" s="1607"/>
      <c r="J988" s="1607"/>
      <c r="K988" s="1607"/>
      <c r="L988" s="1607"/>
      <c r="M988" s="1607"/>
      <c r="N988" s="1607"/>
      <c r="O988" s="1607"/>
      <c r="P988" s="1607"/>
      <c r="Q988" s="1607"/>
      <c r="R988" s="1607"/>
      <c r="S988" s="1607"/>
      <c r="T988" s="1607"/>
      <c r="U988" s="1607"/>
      <c r="V988" s="1607"/>
      <c r="W988" s="1607"/>
      <c r="X988" s="1607"/>
      <c r="Y988" s="1607"/>
      <c r="Z988" s="1607"/>
      <c r="AA988" s="1607"/>
      <c r="AB988" s="1607"/>
      <c r="AC988" s="1607"/>
      <c r="AD988" s="1607"/>
      <c r="AE988" s="1607"/>
      <c r="AF988" s="1607"/>
      <c r="AG988" s="1607"/>
      <c r="AH988" s="1607"/>
      <c r="AI988" s="1607"/>
      <c r="AJ988" s="1607"/>
      <c r="AK988" s="1607"/>
      <c r="AL988" s="1607"/>
      <c r="AM988" s="1607"/>
      <c r="AN988" s="1607"/>
      <c r="AO988" s="1607"/>
      <c r="AP988" s="1607"/>
      <c r="AQ988" s="1607"/>
      <c r="AR988" s="1607"/>
      <c r="AS988" s="1607"/>
      <c r="AT988" s="1607"/>
      <c r="AU988" s="1607"/>
      <c r="AV988" s="1607"/>
      <c r="AW988" s="1607"/>
      <c r="AX988" s="1607"/>
      <c r="AY988" s="1607"/>
      <c r="AZ988" s="1607"/>
      <c r="BA988" s="1607"/>
      <c r="BB988" s="1607"/>
      <c r="BC988" s="1607"/>
      <c r="BD988" s="1607"/>
      <c r="BE988" s="1607"/>
      <c r="BF988" s="1607"/>
      <c r="BG988" s="1607"/>
      <c r="BH988" s="1607"/>
      <c r="BI988" s="1607"/>
      <c r="BJ988" s="1607"/>
      <c r="BK988" s="1607"/>
      <c r="BL988" s="1607"/>
    </row>
    <row r="989">
      <c r="A989" s="1607"/>
      <c r="B989" s="1607"/>
      <c r="C989" s="1607"/>
      <c r="D989" s="1607"/>
      <c r="E989" s="1607"/>
      <c r="F989" s="1607"/>
      <c r="G989" s="1607"/>
      <c r="H989" s="1607"/>
      <c r="I989" s="1607"/>
      <c r="J989" s="1607"/>
      <c r="K989" s="1607"/>
      <c r="L989" s="1607"/>
      <c r="M989" s="1607"/>
      <c r="N989" s="1607"/>
      <c r="O989" s="1607"/>
      <c r="P989" s="1607"/>
      <c r="Q989" s="1607"/>
      <c r="R989" s="1607"/>
      <c r="S989" s="1607"/>
      <c r="T989" s="1607"/>
      <c r="U989" s="1607"/>
      <c r="V989" s="1607"/>
      <c r="W989" s="1607"/>
      <c r="X989" s="1607"/>
      <c r="Y989" s="1607"/>
      <c r="Z989" s="1607"/>
      <c r="AA989" s="1607"/>
      <c r="AB989" s="1607"/>
      <c r="AC989" s="1607"/>
      <c r="AD989" s="1607"/>
      <c r="AE989" s="1607"/>
      <c r="AF989" s="1607"/>
      <c r="AG989" s="1607"/>
      <c r="AH989" s="1607"/>
      <c r="AI989" s="1607"/>
      <c r="AJ989" s="1607"/>
      <c r="AK989" s="1607"/>
      <c r="AL989" s="1607"/>
      <c r="AM989" s="1607"/>
      <c r="AN989" s="1607"/>
      <c r="AO989" s="1607"/>
      <c r="AP989" s="1607"/>
      <c r="AQ989" s="1607"/>
      <c r="AR989" s="1607"/>
      <c r="AS989" s="1607"/>
      <c r="AT989" s="1607"/>
      <c r="AU989" s="1607"/>
      <c r="AV989" s="1607"/>
      <c r="AW989" s="1607"/>
      <c r="AX989" s="1607"/>
      <c r="AY989" s="1607"/>
      <c r="AZ989" s="1607"/>
      <c r="BA989" s="1607"/>
      <c r="BB989" s="1607"/>
      <c r="BC989" s="1607"/>
      <c r="BD989" s="1607"/>
      <c r="BE989" s="1607"/>
      <c r="BF989" s="1607"/>
      <c r="BG989" s="1607"/>
      <c r="BH989" s="1607"/>
      <c r="BI989" s="1607"/>
      <c r="BJ989" s="1607"/>
      <c r="BK989" s="1607"/>
      <c r="BL989" s="1607"/>
    </row>
    <row r="990">
      <c r="A990" s="1607"/>
      <c r="B990" s="1607"/>
      <c r="C990" s="1607"/>
      <c r="D990" s="1607"/>
      <c r="E990" s="1607"/>
      <c r="F990" s="1607"/>
      <c r="G990" s="1607"/>
      <c r="H990" s="1607"/>
      <c r="I990" s="1607"/>
      <c r="J990" s="1607"/>
      <c r="K990" s="1607"/>
      <c r="L990" s="1607"/>
      <c r="M990" s="1607"/>
      <c r="N990" s="1607"/>
      <c r="O990" s="1607"/>
      <c r="P990" s="1607"/>
      <c r="Q990" s="1607"/>
      <c r="R990" s="1607"/>
      <c r="S990" s="1607"/>
      <c r="T990" s="1607"/>
      <c r="U990" s="1607"/>
      <c r="V990" s="1607"/>
      <c r="W990" s="1607"/>
      <c r="X990" s="1607"/>
      <c r="Y990" s="1607"/>
      <c r="Z990" s="1607"/>
      <c r="AA990" s="1607"/>
      <c r="AB990" s="1607"/>
      <c r="AC990" s="1607"/>
      <c r="AD990" s="1607"/>
      <c r="AE990" s="1607"/>
      <c r="AF990" s="1607"/>
      <c r="AG990" s="1607"/>
      <c r="AH990" s="1607"/>
      <c r="AI990" s="1607"/>
      <c r="AJ990" s="1607"/>
      <c r="AK990" s="1607"/>
      <c r="AL990" s="1607"/>
      <c r="AM990" s="1607"/>
      <c r="AN990" s="1607"/>
      <c r="AO990" s="1607"/>
      <c r="AP990" s="1607"/>
      <c r="AQ990" s="1607"/>
      <c r="AR990" s="1607"/>
      <c r="AS990" s="1607"/>
      <c r="AT990" s="1607"/>
      <c r="AU990" s="1607"/>
      <c r="AV990" s="1607"/>
      <c r="AW990" s="1607"/>
      <c r="AX990" s="1607"/>
      <c r="AY990" s="1607"/>
      <c r="AZ990" s="1607"/>
      <c r="BA990" s="1607"/>
      <c r="BB990" s="1607"/>
      <c r="BC990" s="1607"/>
      <c r="BD990" s="1607"/>
      <c r="BE990" s="1607"/>
      <c r="BF990" s="1607"/>
      <c r="BG990" s="1607"/>
      <c r="BH990" s="1607"/>
      <c r="BI990" s="1607"/>
      <c r="BJ990" s="1607"/>
      <c r="BK990" s="1607"/>
      <c r="BL990" s="1607"/>
    </row>
    <row r="991">
      <c r="A991" s="1607"/>
      <c r="B991" s="1607"/>
      <c r="C991" s="1607"/>
      <c r="D991" s="1607"/>
      <c r="E991" s="1607"/>
      <c r="F991" s="1607"/>
      <c r="G991" s="1607"/>
      <c r="H991" s="1607"/>
      <c r="I991" s="1607"/>
      <c r="J991" s="1607"/>
      <c r="K991" s="1607"/>
      <c r="L991" s="1607"/>
      <c r="M991" s="1607"/>
      <c r="N991" s="1607"/>
      <c r="O991" s="1607"/>
      <c r="P991" s="1607"/>
      <c r="Q991" s="1607"/>
      <c r="R991" s="1607"/>
      <c r="S991" s="1607"/>
      <c r="T991" s="1607"/>
      <c r="U991" s="1607"/>
      <c r="V991" s="1607"/>
      <c r="W991" s="1607"/>
      <c r="X991" s="1607"/>
      <c r="Y991" s="1607"/>
      <c r="Z991" s="1607"/>
      <c r="AA991" s="1607"/>
      <c r="AB991" s="1607"/>
      <c r="AC991" s="1607"/>
      <c r="AD991" s="1607"/>
      <c r="AE991" s="1607"/>
      <c r="AF991" s="1607"/>
      <c r="AG991" s="1607"/>
      <c r="AH991" s="1607"/>
      <c r="AI991" s="1607"/>
      <c r="AJ991" s="1607"/>
      <c r="AK991" s="1607"/>
      <c r="AL991" s="1607"/>
      <c r="AM991" s="1607"/>
      <c r="AN991" s="1607"/>
      <c r="AO991" s="1607"/>
      <c r="AP991" s="1607"/>
      <c r="AQ991" s="1607"/>
      <c r="AR991" s="1607"/>
      <c r="AS991" s="1607"/>
      <c r="AT991" s="1607"/>
      <c r="AU991" s="1607"/>
      <c r="AV991" s="1607"/>
      <c r="AW991" s="1607"/>
      <c r="AX991" s="1607"/>
      <c r="AY991" s="1607"/>
      <c r="AZ991" s="1607"/>
      <c r="BA991" s="1607"/>
      <c r="BB991" s="1607"/>
      <c r="BC991" s="1607"/>
      <c r="BD991" s="1607"/>
      <c r="BE991" s="1607"/>
      <c r="BF991" s="1607"/>
      <c r="BG991" s="1607"/>
      <c r="BH991" s="1607"/>
      <c r="BI991" s="1607"/>
      <c r="BJ991" s="1607"/>
      <c r="BK991" s="1607"/>
      <c r="BL991" s="1607"/>
    </row>
    <row r="992">
      <c r="A992" s="1607"/>
      <c r="B992" s="1607"/>
      <c r="C992" s="1607"/>
      <c r="D992" s="1607"/>
      <c r="E992" s="1607"/>
      <c r="F992" s="1607"/>
      <c r="G992" s="1607"/>
      <c r="H992" s="1607"/>
      <c r="I992" s="1607"/>
      <c r="J992" s="1607"/>
      <c r="K992" s="1607"/>
      <c r="L992" s="1607"/>
      <c r="M992" s="1607"/>
      <c r="N992" s="1607"/>
      <c r="O992" s="1607"/>
      <c r="P992" s="1607"/>
      <c r="Q992" s="1607"/>
      <c r="R992" s="1607"/>
      <c r="S992" s="1607"/>
      <c r="T992" s="1607"/>
      <c r="U992" s="1607"/>
      <c r="V992" s="1607"/>
      <c r="W992" s="1607"/>
      <c r="X992" s="1607"/>
      <c r="Y992" s="1607"/>
      <c r="Z992" s="1607"/>
      <c r="AA992" s="1607"/>
      <c r="AB992" s="1607"/>
      <c r="AC992" s="1607"/>
      <c r="AD992" s="1607"/>
      <c r="AE992" s="1607"/>
      <c r="AF992" s="1607"/>
      <c r="AG992" s="1607"/>
      <c r="AH992" s="1607"/>
      <c r="AI992" s="1607"/>
      <c r="AJ992" s="1607"/>
      <c r="AK992" s="1607"/>
      <c r="AL992" s="1607"/>
      <c r="AM992" s="1607"/>
      <c r="AN992" s="1607"/>
      <c r="AO992" s="1607"/>
      <c r="AP992" s="1607"/>
      <c r="AQ992" s="1607"/>
      <c r="AR992" s="1607"/>
      <c r="AS992" s="1607"/>
      <c r="AT992" s="1607"/>
      <c r="AU992" s="1607"/>
      <c r="AV992" s="1607"/>
      <c r="AW992" s="1607"/>
      <c r="AX992" s="1607"/>
      <c r="AY992" s="1607"/>
      <c r="AZ992" s="1607"/>
      <c r="BA992" s="1607"/>
      <c r="BB992" s="1607"/>
      <c r="BC992" s="1607"/>
      <c r="BD992" s="1607"/>
      <c r="BE992" s="1607"/>
      <c r="BF992" s="1607"/>
      <c r="BG992" s="1607"/>
      <c r="BH992" s="1607"/>
      <c r="BI992" s="1607"/>
      <c r="BJ992" s="1607"/>
      <c r="BK992" s="1607"/>
      <c r="BL992" s="1607"/>
    </row>
    <row r="993">
      <c r="A993" s="1607"/>
      <c r="B993" s="1607"/>
      <c r="C993" s="1607"/>
      <c r="D993" s="1607"/>
      <c r="E993" s="1607"/>
      <c r="F993" s="1607"/>
      <c r="G993" s="1607"/>
      <c r="H993" s="1607"/>
      <c r="I993" s="1607"/>
      <c r="J993" s="1607"/>
      <c r="K993" s="1607"/>
      <c r="L993" s="1607"/>
      <c r="M993" s="1607"/>
      <c r="N993" s="1607"/>
      <c r="O993" s="1607"/>
      <c r="P993" s="1607"/>
      <c r="Q993" s="1607"/>
      <c r="R993" s="1607"/>
      <c r="S993" s="1607"/>
      <c r="T993" s="1607"/>
      <c r="U993" s="1607"/>
      <c r="V993" s="1607"/>
      <c r="W993" s="1607"/>
      <c r="X993" s="1607"/>
      <c r="Y993" s="1607"/>
      <c r="Z993" s="1607"/>
      <c r="AA993" s="1607"/>
      <c r="AB993" s="1607"/>
      <c r="AC993" s="1607"/>
      <c r="AD993" s="1607"/>
      <c r="AE993" s="1607"/>
      <c r="AF993" s="1607"/>
      <c r="AG993" s="1607"/>
      <c r="AH993" s="1607"/>
      <c r="AI993" s="1607"/>
      <c r="AJ993" s="1607"/>
      <c r="AK993" s="1607"/>
      <c r="AL993" s="1607"/>
      <c r="AM993" s="1607"/>
      <c r="AN993" s="1607"/>
      <c r="AO993" s="1607"/>
      <c r="AP993" s="1607"/>
      <c r="AQ993" s="1607"/>
      <c r="AR993" s="1607"/>
      <c r="AS993" s="1607"/>
      <c r="AT993" s="1607"/>
      <c r="AU993" s="1607"/>
      <c r="AV993" s="1607"/>
      <c r="AW993" s="1607"/>
      <c r="AX993" s="1607"/>
      <c r="AY993" s="1607"/>
      <c r="AZ993" s="1607"/>
      <c r="BA993" s="1607"/>
      <c r="BB993" s="1607"/>
      <c r="BC993" s="1607"/>
      <c r="BD993" s="1607"/>
      <c r="BE993" s="1607"/>
      <c r="BF993" s="1607"/>
      <c r="BG993" s="1607"/>
      <c r="BH993" s="1607"/>
      <c r="BI993" s="1607"/>
      <c r="BJ993" s="1607"/>
      <c r="BK993" s="1607"/>
      <c r="BL993" s="1607"/>
    </row>
    <row r="994">
      <c r="A994" s="1607"/>
      <c r="B994" s="1607"/>
      <c r="C994" s="1607"/>
      <c r="D994" s="1607"/>
      <c r="E994" s="1607"/>
      <c r="F994" s="1607"/>
      <c r="G994" s="1607"/>
      <c r="H994" s="1607"/>
      <c r="I994" s="1607"/>
      <c r="J994" s="1607"/>
      <c r="K994" s="1607"/>
      <c r="L994" s="1607"/>
      <c r="M994" s="1607"/>
      <c r="N994" s="1607"/>
      <c r="O994" s="1607"/>
      <c r="P994" s="1607"/>
      <c r="Q994" s="1607"/>
      <c r="R994" s="1607"/>
      <c r="S994" s="1607"/>
      <c r="T994" s="1607"/>
      <c r="U994" s="1607"/>
      <c r="V994" s="1607"/>
      <c r="W994" s="1607"/>
      <c r="X994" s="1607"/>
      <c r="Y994" s="1607"/>
      <c r="Z994" s="1607"/>
      <c r="AA994" s="1607"/>
      <c r="AB994" s="1607"/>
      <c r="AC994" s="1607"/>
      <c r="AD994" s="1607"/>
      <c r="AE994" s="1607"/>
      <c r="AF994" s="1607"/>
      <c r="AG994" s="1607"/>
      <c r="AH994" s="1607"/>
      <c r="AI994" s="1607"/>
      <c r="AJ994" s="1607"/>
      <c r="AK994" s="1607"/>
      <c r="AL994" s="1607"/>
      <c r="AM994" s="1607"/>
      <c r="AN994" s="1607"/>
      <c r="AO994" s="1607"/>
      <c r="AP994" s="1607"/>
      <c r="AQ994" s="1607"/>
      <c r="AR994" s="1607"/>
      <c r="AS994" s="1607"/>
      <c r="AT994" s="1607"/>
      <c r="AU994" s="1607"/>
      <c r="AV994" s="1607"/>
      <c r="AW994" s="1607"/>
      <c r="AX994" s="1607"/>
      <c r="AY994" s="1607"/>
      <c r="AZ994" s="1607"/>
      <c r="BA994" s="1607"/>
      <c r="BB994" s="1607"/>
      <c r="BC994" s="1607"/>
      <c r="BD994" s="1607"/>
      <c r="BE994" s="1607"/>
      <c r="BF994" s="1607"/>
      <c r="BG994" s="1607"/>
      <c r="BH994" s="1607"/>
      <c r="BI994" s="1607"/>
      <c r="BJ994" s="1607"/>
      <c r="BK994" s="1607"/>
      <c r="BL994" s="1607"/>
    </row>
    <row r="995">
      <c r="A995" s="1607"/>
      <c r="B995" s="1607"/>
      <c r="C995" s="1607"/>
      <c r="D995" s="1607"/>
      <c r="E995" s="1607"/>
      <c r="F995" s="1607"/>
      <c r="G995" s="1607"/>
      <c r="H995" s="1607"/>
      <c r="I995" s="1607"/>
      <c r="J995" s="1607"/>
      <c r="K995" s="1607"/>
      <c r="L995" s="1607"/>
      <c r="M995" s="1607"/>
      <c r="N995" s="1607"/>
      <c r="O995" s="1607"/>
      <c r="P995" s="1607"/>
      <c r="Q995" s="1607"/>
      <c r="R995" s="1607"/>
      <c r="S995" s="1607"/>
      <c r="T995" s="1607"/>
      <c r="U995" s="1607"/>
      <c r="V995" s="1607"/>
      <c r="W995" s="1607"/>
      <c r="X995" s="1607"/>
      <c r="Y995" s="1607"/>
      <c r="Z995" s="1607"/>
      <c r="AA995" s="1607"/>
      <c r="AB995" s="1607"/>
      <c r="AC995" s="1607"/>
      <c r="AD995" s="1607"/>
      <c r="AE995" s="1607"/>
      <c r="AF995" s="1607"/>
      <c r="AG995" s="1607"/>
      <c r="AH995" s="1607"/>
      <c r="AI995" s="1607"/>
      <c r="AJ995" s="1607"/>
      <c r="AK995" s="1607"/>
      <c r="AL995" s="1607"/>
      <c r="AM995" s="1607"/>
      <c r="AN995" s="1607"/>
      <c r="AO995" s="1607"/>
      <c r="AP995" s="1607"/>
      <c r="AQ995" s="1607"/>
      <c r="AR995" s="1607"/>
      <c r="AS995" s="1607"/>
      <c r="AT995" s="1607"/>
      <c r="AU995" s="1607"/>
      <c r="AV995" s="1607"/>
      <c r="AW995" s="1607"/>
      <c r="AX995" s="1607"/>
      <c r="AY995" s="1607"/>
      <c r="AZ995" s="1607"/>
      <c r="BA995" s="1607"/>
      <c r="BB995" s="1607"/>
      <c r="BC995" s="1607"/>
      <c r="BD995" s="1607"/>
      <c r="BE995" s="1607"/>
      <c r="BF995" s="1607"/>
      <c r="BG995" s="1607"/>
      <c r="BH995" s="1607"/>
      <c r="BI995" s="1607"/>
      <c r="BJ995" s="1607"/>
      <c r="BK995" s="1607"/>
      <c r="BL995" s="1607"/>
    </row>
    <row r="996">
      <c r="A996" s="1607"/>
      <c r="B996" s="1607"/>
      <c r="C996" s="1607"/>
      <c r="D996" s="1607"/>
      <c r="E996" s="1607"/>
      <c r="F996" s="1607"/>
      <c r="G996" s="1607"/>
      <c r="H996" s="1607"/>
      <c r="I996" s="1607"/>
      <c r="J996" s="1607"/>
      <c r="K996" s="1607"/>
      <c r="L996" s="1607"/>
      <c r="M996" s="1607"/>
      <c r="N996" s="1607"/>
      <c r="O996" s="1607"/>
      <c r="P996" s="1607"/>
      <c r="Q996" s="1607"/>
      <c r="R996" s="1607"/>
      <c r="S996" s="1607"/>
      <c r="T996" s="1607"/>
      <c r="U996" s="1607"/>
      <c r="V996" s="1607"/>
      <c r="W996" s="1607"/>
      <c r="X996" s="1607"/>
      <c r="Y996" s="1607"/>
      <c r="Z996" s="1607"/>
      <c r="AA996" s="1607"/>
      <c r="AB996" s="1607"/>
      <c r="AC996" s="1607"/>
      <c r="AD996" s="1607"/>
      <c r="AE996" s="1607"/>
      <c r="AF996" s="1607"/>
      <c r="AG996" s="1607"/>
      <c r="AH996" s="1607"/>
      <c r="AI996" s="1607"/>
      <c r="AJ996" s="1607"/>
      <c r="AK996" s="1607"/>
      <c r="AL996" s="1607"/>
      <c r="AM996" s="1607"/>
      <c r="AN996" s="1607"/>
      <c r="AO996" s="1607"/>
      <c r="AP996" s="1607"/>
      <c r="AQ996" s="1607"/>
      <c r="AR996" s="1607"/>
      <c r="AS996" s="1607"/>
      <c r="AT996" s="1607"/>
      <c r="AU996" s="1607"/>
      <c r="AV996" s="1607"/>
      <c r="AW996" s="1607"/>
      <c r="AX996" s="1607"/>
      <c r="AY996" s="1607"/>
      <c r="AZ996" s="1607"/>
      <c r="BA996" s="1607"/>
      <c r="BB996" s="1607"/>
      <c r="BC996" s="1607"/>
      <c r="BD996" s="1607"/>
      <c r="BE996" s="1607"/>
      <c r="BF996" s="1607"/>
      <c r="BG996" s="1607"/>
      <c r="BH996" s="1607"/>
      <c r="BI996" s="1607"/>
      <c r="BJ996" s="1607"/>
      <c r="BK996" s="1607"/>
      <c r="BL996" s="1607"/>
    </row>
    <row r="997">
      <c r="A997" s="1607"/>
      <c r="B997" s="1607"/>
      <c r="C997" s="1607"/>
      <c r="D997" s="1607"/>
      <c r="E997" s="1607"/>
      <c r="F997" s="1607"/>
      <c r="G997" s="1607"/>
      <c r="H997" s="1607"/>
      <c r="I997" s="1607"/>
      <c r="J997" s="1607"/>
      <c r="K997" s="1607"/>
      <c r="L997" s="1607"/>
      <c r="M997" s="1607"/>
      <c r="N997" s="1607"/>
      <c r="O997" s="1607"/>
      <c r="P997" s="1607"/>
      <c r="Q997" s="1607"/>
      <c r="R997" s="1607"/>
      <c r="S997" s="1607"/>
      <c r="T997" s="1607"/>
      <c r="U997" s="1607"/>
      <c r="V997" s="1607"/>
      <c r="W997" s="1607"/>
      <c r="X997" s="1607"/>
      <c r="Y997" s="1607"/>
      <c r="Z997" s="1607"/>
      <c r="AA997" s="1607"/>
      <c r="AB997" s="1607"/>
      <c r="AC997" s="1607"/>
      <c r="AD997" s="1607"/>
      <c r="AE997" s="1607"/>
      <c r="AF997" s="1607"/>
      <c r="AG997" s="1607"/>
      <c r="AH997" s="1607"/>
      <c r="AI997" s="1607"/>
      <c r="AJ997" s="1607"/>
      <c r="AK997" s="1607"/>
      <c r="AL997" s="1607"/>
      <c r="AM997" s="1607"/>
      <c r="AN997" s="1607"/>
      <c r="AO997" s="1607"/>
      <c r="AP997" s="1607"/>
      <c r="AQ997" s="1607"/>
      <c r="AR997" s="1607"/>
      <c r="AS997" s="1607"/>
      <c r="AT997" s="1607"/>
      <c r="AU997" s="1607"/>
      <c r="AV997" s="1607"/>
      <c r="AW997" s="1607"/>
      <c r="AX997" s="1607"/>
      <c r="AY997" s="1607"/>
      <c r="AZ997" s="1607"/>
      <c r="BA997" s="1607"/>
      <c r="BB997" s="1607"/>
      <c r="BC997" s="1607"/>
      <c r="BD997" s="1607"/>
      <c r="BE997" s="1607"/>
      <c r="BF997" s="1607"/>
      <c r="BG997" s="1607"/>
      <c r="BH997" s="1607"/>
      <c r="BI997" s="1607"/>
      <c r="BJ997" s="1607"/>
      <c r="BK997" s="1607"/>
      <c r="BL997" s="1607"/>
    </row>
    <row r="998">
      <c r="A998" s="1607"/>
      <c r="B998" s="1607"/>
      <c r="C998" s="1607"/>
      <c r="D998" s="1607"/>
      <c r="E998" s="1607"/>
      <c r="F998" s="1607"/>
      <c r="G998" s="1607"/>
      <c r="H998" s="1607"/>
      <c r="I998" s="1607"/>
      <c r="J998" s="1607"/>
      <c r="K998" s="1607"/>
      <c r="L998" s="1607"/>
      <c r="M998" s="1607"/>
      <c r="N998" s="1607"/>
      <c r="O998" s="1607"/>
      <c r="P998" s="1607"/>
      <c r="Q998" s="1607"/>
      <c r="R998" s="1607"/>
      <c r="S998" s="1607"/>
      <c r="T998" s="1607"/>
      <c r="U998" s="1607"/>
      <c r="V998" s="1607"/>
      <c r="W998" s="1607"/>
      <c r="X998" s="1607"/>
      <c r="Y998" s="1607"/>
      <c r="Z998" s="1607"/>
      <c r="AA998" s="1607"/>
      <c r="AB998" s="1607"/>
      <c r="AC998" s="1607"/>
      <c r="AD998" s="1607"/>
      <c r="AE998" s="1607"/>
      <c r="AF998" s="1607"/>
      <c r="AG998" s="1607"/>
      <c r="AH998" s="1607"/>
      <c r="AI998" s="1607"/>
      <c r="AJ998" s="1607"/>
      <c r="AK998" s="1607"/>
      <c r="AL998" s="1607"/>
      <c r="AM998" s="1607"/>
      <c r="AN998" s="1607"/>
      <c r="AO998" s="1607"/>
      <c r="AP998" s="1607"/>
      <c r="AQ998" s="1607"/>
      <c r="AR998" s="1607"/>
      <c r="AS998" s="1607"/>
      <c r="AT998" s="1607"/>
      <c r="AU998" s="1607"/>
      <c r="AV998" s="1607"/>
      <c r="AW998" s="1607"/>
      <c r="AX998" s="1607"/>
      <c r="AY998" s="1607"/>
      <c r="AZ998" s="1607"/>
      <c r="BA998" s="1607"/>
      <c r="BB998" s="1607"/>
      <c r="BC998" s="1607"/>
      <c r="BD998" s="1607"/>
      <c r="BE998" s="1607"/>
      <c r="BF998" s="1607"/>
      <c r="BG998" s="1607"/>
      <c r="BH998" s="1607"/>
      <c r="BI998" s="1607"/>
      <c r="BJ998" s="1607"/>
      <c r="BK998" s="1607"/>
      <c r="BL998" s="1607"/>
    </row>
    <row r="999">
      <c r="A999" s="1607"/>
      <c r="B999" s="1607"/>
      <c r="C999" s="1607"/>
      <c r="D999" s="1607"/>
      <c r="E999" s="1607"/>
      <c r="F999" s="1607"/>
      <c r="G999" s="1607"/>
      <c r="H999" s="1607"/>
      <c r="I999" s="1607"/>
      <c r="J999" s="1607"/>
      <c r="K999" s="1607"/>
      <c r="L999" s="1607"/>
      <c r="M999" s="1607"/>
      <c r="N999" s="1607"/>
      <c r="O999" s="1607"/>
      <c r="P999" s="1607"/>
      <c r="Q999" s="1607"/>
      <c r="R999" s="1607"/>
      <c r="S999" s="1607"/>
      <c r="T999" s="1607"/>
      <c r="U999" s="1607"/>
      <c r="V999" s="1607"/>
      <c r="W999" s="1607"/>
      <c r="X999" s="1607"/>
      <c r="Y999" s="1607"/>
      <c r="Z999" s="1607"/>
      <c r="AA999" s="1607"/>
      <c r="AB999" s="1607"/>
      <c r="AC999" s="1607"/>
      <c r="AD999" s="1607"/>
      <c r="AE999" s="1607"/>
      <c r="AF999" s="1607"/>
      <c r="AG999" s="1607"/>
      <c r="AH999" s="1607"/>
      <c r="AI999" s="1607"/>
      <c r="AJ999" s="1607"/>
      <c r="AK999" s="1607"/>
      <c r="AL999" s="1607"/>
      <c r="AM999" s="1607"/>
      <c r="AN999" s="1607"/>
      <c r="AO999" s="1607"/>
      <c r="AP999" s="1607"/>
      <c r="AQ999" s="1607"/>
      <c r="AR999" s="1607"/>
      <c r="AS999" s="1607"/>
      <c r="AT999" s="1607"/>
      <c r="AU999" s="1607"/>
      <c r="AV999" s="1607"/>
      <c r="AW999" s="1607"/>
      <c r="AX999" s="1607"/>
      <c r="AY999" s="1607"/>
      <c r="AZ999" s="1607"/>
      <c r="BA999" s="1607"/>
      <c r="BB999" s="1607"/>
      <c r="BC999" s="1607"/>
      <c r="BD999" s="1607"/>
      <c r="BE999" s="1607"/>
      <c r="BF999" s="1607"/>
      <c r="BG999" s="1607"/>
      <c r="BH999" s="1607"/>
      <c r="BI999" s="1607"/>
      <c r="BJ999" s="1607"/>
      <c r="BK999" s="1607"/>
      <c r="BL999" s="1607"/>
    </row>
    <row r="1000">
      <c r="A1000" s="1607"/>
      <c r="B1000" s="1607"/>
      <c r="C1000" s="1607"/>
      <c r="D1000" s="1607"/>
      <c r="E1000" s="1607"/>
      <c r="F1000" s="1607"/>
      <c r="G1000" s="1607"/>
      <c r="H1000" s="1607"/>
      <c r="I1000" s="1607"/>
      <c r="J1000" s="1607"/>
      <c r="K1000" s="1607"/>
      <c r="L1000" s="1607"/>
      <c r="M1000" s="1607"/>
      <c r="N1000" s="1607"/>
      <c r="O1000" s="1607"/>
      <c r="P1000" s="1607"/>
      <c r="Q1000" s="1607"/>
      <c r="R1000" s="1607"/>
      <c r="S1000" s="1607"/>
      <c r="T1000" s="1607"/>
      <c r="U1000" s="1607"/>
      <c r="V1000" s="1607"/>
      <c r="W1000" s="1607"/>
      <c r="X1000" s="1607"/>
      <c r="Y1000" s="1607"/>
      <c r="Z1000" s="1607"/>
      <c r="AA1000" s="1607"/>
      <c r="AB1000" s="1607"/>
      <c r="AC1000" s="1607"/>
      <c r="AD1000" s="1607"/>
      <c r="AE1000" s="1607"/>
      <c r="AF1000" s="1607"/>
      <c r="AG1000" s="1607"/>
      <c r="AH1000" s="1607"/>
      <c r="AI1000" s="1607"/>
      <c r="AJ1000" s="1607"/>
      <c r="AK1000" s="1607"/>
      <c r="AL1000" s="1607"/>
      <c r="AM1000" s="1607"/>
      <c r="AN1000" s="1607"/>
      <c r="AO1000" s="1607"/>
      <c r="AP1000" s="1607"/>
      <c r="AQ1000" s="1607"/>
      <c r="AR1000" s="1607"/>
      <c r="AS1000" s="1607"/>
      <c r="AT1000" s="1607"/>
      <c r="AU1000" s="1607"/>
      <c r="AV1000" s="1607"/>
      <c r="AW1000" s="1607"/>
      <c r="AX1000" s="1607"/>
      <c r="AY1000" s="1607"/>
      <c r="AZ1000" s="1607"/>
      <c r="BA1000" s="1607"/>
      <c r="BB1000" s="1607"/>
      <c r="BC1000" s="1607"/>
      <c r="BD1000" s="1607"/>
      <c r="BE1000" s="1607"/>
      <c r="BF1000" s="1607"/>
      <c r="BG1000" s="1607"/>
      <c r="BH1000" s="1607"/>
      <c r="BI1000" s="1607"/>
      <c r="BJ1000" s="1607"/>
      <c r="BK1000" s="1607"/>
      <c r="BL1000" s="1607"/>
    </row>
  </sheetData>
  <mergeCells count="2">
    <mergeCell ref="M2:P2"/>
    <mergeCell ref="Y2:AC2"/>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2">
      <c r="A2" s="1577" t="s">
        <v>5717</v>
      </c>
      <c r="B2" s="1577"/>
      <c r="C2" s="1577"/>
      <c r="D2" s="1577"/>
      <c r="E2" s="1577"/>
      <c r="F2" s="1577"/>
      <c r="G2" s="1577" t="s">
        <v>5718</v>
      </c>
      <c r="H2" s="1577"/>
      <c r="I2" s="1577"/>
      <c r="J2" s="1577"/>
      <c r="K2" s="1577"/>
      <c r="L2" s="1577"/>
      <c r="M2" s="1577" t="s">
        <v>5719</v>
      </c>
      <c r="N2" s="1577"/>
      <c r="O2" s="1577"/>
      <c r="P2" s="1577"/>
      <c r="Q2" s="1577"/>
      <c r="R2" s="1577"/>
      <c r="S2" s="1577" t="s">
        <v>5720</v>
      </c>
      <c r="T2" s="1577"/>
      <c r="U2" s="1577"/>
      <c r="V2" s="1577"/>
      <c r="W2" s="1577"/>
      <c r="X2" s="1577"/>
      <c r="Y2" s="1577" t="s">
        <v>5721</v>
      </c>
      <c r="Z2" s="1577"/>
      <c r="AA2" s="1577"/>
      <c r="AB2" s="1577"/>
      <c r="AC2" s="1577"/>
      <c r="AD2" s="1577"/>
      <c r="AE2" s="1577" t="s">
        <v>5722</v>
      </c>
      <c r="AF2" s="1577"/>
      <c r="AG2" s="1577" t="s">
        <v>5723</v>
      </c>
      <c r="AH2" s="1577"/>
      <c r="AI2" s="1577"/>
      <c r="AJ2" s="1577"/>
      <c r="AK2" s="1577" t="s">
        <v>5724</v>
      </c>
      <c r="AL2" s="1577"/>
      <c r="AM2" s="1577"/>
      <c r="AN2" s="1577"/>
      <c r="AO2" s="1577"/>
      <c r="AP2" s="1577"/>
      <c r="AQ2" s="1577" t="s">
        <v>5725</v>
      </c>
      <c r="AR2" s="1577"/>
      <c r="AS2" s="1577"/>
      <c r="AT2" s="1577"/>
      <c r="AU2" s="1577"/>
    </row>
    <row r="3">
      <c r="A3" s="1577" t="s">
        <v>5692</v>
      </c>
      <c r="B3" s="1577" t="s">
        <v>5290</v>
      </c>
      <c r="C3" s="1577" t="s">
        <v>5693</v>
      </c>
      <c r="D3" s="1577" t="s">
        <v>600</v>
      </c>
      <c r="E3" s="1577" t="s">
        <v>5694</v>
      </c>
      <c r="F3" s="1577"/>
      <c r="G3" s="1577" t="s">
        <v>5692</v>
      </c>
      <c r="H3" s="1577" t="s">
        <v>5290</v>
      </c>
      <c r="I3" s="1577" t="s">
        <v>5693</v>
      </c>
      <c r="J3" s="1577" t="s">
        <v>600</v>
      </c>
      <c r="K3" s="1577" t="s">
        <v>5694</v>
      </c>
      <c r="L3" s="1577"/>
      <c r="M3" s="1577" t="s">
        <v>5692</v>
      </c>
      <c r="N3" s="1577" t="s">
        <v>5290</v>
      </c>
      <c r="O3" s="1577" t="s">
        <v>5693</v>
      </c>
      <c r="P3" s="1577" t="s">
        <v>600</v>
      </c>
      <c r="Q3" s="1577" t="s">
        <v>5694</v>
      </c>
      <c r="R3" s="1577"/>
      <c r="S3" s="1577" t="s">
        <v>5692</v>
      </c>
      <c r="T3" s="1577" t="s">
        <v>5290</v>
      </c>
      <c r="U3" s="1577" t="s">
        <v>5693</v>
      </c>
      <c r="V3" s="1577" t="s">
        <v>600</v>
      </c>
      <c r="W3" s="1577" t="s">
        <v>5694</v>
      </c>
      <c r="X3" s="1577"/>
      <c r="Y3" s="1577" t="s">
        <v>5692</v>
      </c>
      <c r="Z3" s="1577" t="s">
        <v>5290</v>
      </c>
      <c r="AA3" s="1577" t="s">
        <v>5693</v>
      </c>
      <c r="AB3" s="1577" t="s">
        <v>600</v>
      </c>
      <c r="AC3" s="1577" t="s">
        <v>5694</v>
      </c>
      <c r="AD3" s="1577"/>
      <c r="AE3" s="1577" t="s">
        <v>5692</v>
      </c>
      <c r="AF3" s="1577" t="s">
        <v>5290</v>
      </c>
      <c r="AG3" s="1577" t="s">
        <v>5693</v>
      </c>
      <c r="AH3" s="1577" t="s">
        <v>600</v>
      </c>
      <c r="AI3" s="1577" t="s">
        <v>5694</v>
      </c>
      <c r="AJ3" s="1577"/>
      <c r="AK3" s="1577" t="s">
        <v>5692</v>
      </c>
      <c r="AL3" s="1577" t="s">
        <v>5290</v>
      </c>
      <c r="AM3" s="1577" t="s">
        <v>5693</v>
      </c>
      <c r="AN3" s="1577" t="s">
        <v>600</v>
      </c>
      <c r="AO3" s="1577" t="s">
        <v>5694</v>
      </c>
      <c r="AP3" s="1577"/>
      <c r="AQ3" s="1577" t="s">
        <v>5692</v>
      </c>
      <c r="AR3" s="1577" t="s">
        <v>5290</v>
      </c>
      <c r="AS3" s="1577" t="s">
        <v>5693</v>
      </c>
      <c r="AT3" s="1577" t="s">
        <v>600</v>
      </c>
      <c r="AU3" s="1577" t="s">
        <v>5694</v>
      </c>
    </row>
    <row r="4">
      <c r="A4" s="1682">
        <v>45655.0</v>
      </c>
      <c r="B4" s="606" t="s">
        <v>1553</v>
      </c>
      <c r="C4" s="606" t="s">
        <v>5701</v>
      </c>
      <c r="D4" s="606" t="s">
        <v>527</v>
      </c>
      <c r="G4" s="1682">
        <v>45656.0</v>
      </c>
      <c r="H4" s="606" t="s">
        <v>1604</v>
      </c>
      <c r="I4" s="606" t="s">
        <v>2142</v>
      </c>
      <c r="J4" s="606" t="s">
        <v>498</v>
      </c>
      <c r="M4" s="1683">
        <v>45655.0</v>
      </c>
      <c r="N4" s="606" t="s">
        <v>2899</v>
      </c>
      <c r="O4" s="606" t="s">
        <v>5703</v>
      </c>
      <c r="P4" s="606" t="s">
        <v>37</v>
      </c>
      <c r="Q4" s="606">
        <v>57.0</v>
      </c>
      <c r="S4" s="1682">
        <v>45655.0</v>
      </c>
      <c r="T4" s="606" t="s">
        <v>727</v>
      </c>
      <c r="U4" s="606" t="s">
        <v>1520</v>
      </c>
      <c r="V4" s="606" t="s">
        <v>78</v>
      </c>
      <c r="Y4" s="1682">
        <v>45653.0</v>
      </c>
      <c r="Z4" s="606" t="s">
        <v>919</v>
      </c>
      <c r="AA4" s="606" t="s">
        <v>5726</v>
      </c>
      <c r="AB4" s="606" t="s">
        <v>125</v>
      </c>
      <c r="AE4" s="1682">
        <v>45657.104166666664</v>
      </c>
      <c r="AF4" s="606" t="s">
        <v>830</v>
      </c>
      <c r="AG4" s="606" t="s">
        <v>108</v>
      </c>
      <c r="AH4" s="1684" t="s">
        <v>143</v>
      </c>
      <c r="AK4" s="1682">
        <v>45657.53055555555</v>
      </c>
      <c r="AL4" s="606" t="s">
        <v>1264</v>
      </c>
      <c r="AM4" s="1684" t="s">
        <v>5713</v>
      </c>
      <c r="AN4" s="1684" t="s">
        <v>544</v>
      </c>
      <c r="AQ4" s="1685">
        <v>45644.853472222225</v>
      </c>
      <c r="AR4" s="606" t="s">
        <v>1280</v>
      </c>
      <c r="AS4" s="1684" t="s">
        <v>2316</v>
      </c>
      <c r="AT4" s="1684" t="s">
        <v>218</v>
      </c>
    </row>
    <row r="5">
      <c r="A5" s="1682">
        <v>45655.0</v>
      </c>
      <c r="B5" s="606" t="s">
        <v>1190</v>
      </c>
      <c r="C5" s="606" t="s">
        <v>5701</v>
      </c>
      <c r="D5" s="606" t="s">
        <v>457</v>
      </c>
      <c r="G5" s="1682">
        <v>45653.0</v>
      </c>
      <c r="H5" s="606" t="s">
        <v>1190</v>
      </c>
      <c r="I5" s="606" t="s">
        <v>2142</v>
      </c>
      <c r="J5" s="606" t="s">
        <v>516</v>
      </c>
      <c r="M5" s="1683">
        <v>45655.0</v>
      </c>
      <c r="N5" s="606" t="s">
        <v>2899</v>
      </c>
      <c r="O5" s="606" t="s">
        <v>5703</v>
      </c>
      <c r="P5" s="606" t="s">
        <v>3030</v>
      </c>
      <c r="Q5" s="606">
        <v>47.0</v>
      </c>
      <c r="S5" s="1683">
        <v>45652.0</v>
      </c>
      <c r="T5" s="606" t="s">
        <v>727</v>
      </c>
      <c r="U5" s="606" t="s">
        <v>5702</v>
      </c>
      <c r="V5" s="606" t="s">
        <v>473</v>
      </c>
      <c r="W5" s="606">
        <v>53.0</v>
      </c>
      <c r="Y5" s="1682">
        <v>45653.0</v>
      </c>
      <c r="Z5" s="606" t="s">
        <v>667</v>
      </c>
      <c r="AA5" s="606" t="s">
        <v>1524</v>
      </c>
      <c r="AB5" s="606" t="s">
        <v>431</v>
      </c>
      <c r="AE5" s="1682">
        <v>45656.26875</v>
      </c>
      <c r="AF5" s="606" t="s">
        <v>830</v>
      </c>
      <c r="AG5" s="606" t="s">
        <v>5712</v>
      </c>
      <c r="AH5" s="606" t="s">
        <v>129</v>
      </c>
      <c r="AK5" s="1682">
        <v>45650.575</v>
      </c>
      <c r="AL5" s="606" t="s">
        <v>837</v>
      </c>
      <c r="AM5" s="606" t="s">
        <v>555</v>
      </c>
      <c r="AN5" s="606" t="s">
        <v>360</v>
      </c>
      <c r="AQ5" s="1682">
        <v>45638.20625</v>
      </c>
      <c r="AR5" s="606" t="s">
        <v>1326</v>
      </c>
      <c r="AS5" s="606" t="s">
        <v>2316</v>
      </c>
      <c r="AT5" s="606" t="s">
        <v>475</v>
      </c>
    </row>
    <row r="6">
      <c r="A6" s="1682">
        <v>45653.0</v>
      </c>
      <c r="B6" s="606" t="s">
        <v>1116</v>
      </c>
      <c r="C6" s="606" t="s">
        <v>5701</v>
      </c>
      <c r="D6" s="606" t="s">
        <v>311</v>
      </c>
      <c r="G6" s="1682">
        <v>45650.0</v>
      </c>
      <c r="H6" s="606" t="s">
        <v>1190</v>
      </c>
      <c r="I6" s="606" t="s">
        <v>2142</v>
      </c>
      <c r="J6" s="606" t="s">
        <v>369</v>
      </c>
      <c r="M6" s="1683">
        <v>45652.0</v>
      </c>
      <c r="N6" s="606" t="s">
        <v>2899</v>
      </c>
      <c r="O6" s="606" t="s">
        <v>5703</v>
      </c>
      <c r="P6" s="606" t="s">
        <v>577</v>
      </c>
      <c r="Q6" s="606">
        <v>48.3</v>
      </c>
      <c r="S6" s="1682">
        <v>45646.0</v>
      </c>
      <c r="T6" s="606" t="s">
        <v>727</v>
      </c>
      <c r="U6" s="606" t="s">
        <v>1520</v>
      </c>
      <c r="V6" s="606" t="s">
        <v>3106</v>
      </c>
      <c r="Y6" s="1682">
        <v>45640.0</v>
      </c>
      <c r="Z6" s="606" t="s">
        <v>1134</v>
      </c>
      <c r="AA6" s="606" t="s">
        <v>5709</v>
      </c>
      <c r="AB6" s="606" t="s">
        <v>477</v>
      </c>
      <c r="AE6" s="1682">
        <v>45649.97708333333</v>
      </c>
      <c r="AF6" s="606" t="s">
        <v>1569</v>
      </c>
      <c r="AG6" s="606" t="s">
        <v>5712</v>
      </c>
      <c r="AH6" s="606" t="s">
        <v>92</v>
      </c>
      <c r="AK6" s="1682">
        <v>45644.407638888886</v>
      </c>
      <c r="AL6" s="606" t="s">
        <v>1412</v>
      </c>
      <c r="AM6" s="606" t="s">
        <v>5714</v>
      </c>
      <c r="AN6" s="606" t="s">
        <v>194</v>
      </c>
      <c r="AQ6" s="1683">
        <v>45635.0</v>
      </c>
      <c r="AR6" s="606" t="s">
        <v>956</v>
      </c>
      <c r="AS6" s="606" t="s">
        <v>2316</v>
      </c>
      <c r="AT6" s="606" t="s">
        <v>475</v>
      </c>
      <c r="AU6" s="606">
        <v>52.0</v>
      </c>
    </row>
    <row r="7">
      <c r="A7" s="1682">
        <v>45651.0</v>
      </c>
      <c r="B7" s="606" t="s">
        <v>667</v>
      </c>
      <c r="C7" s="606" t="s">
        <v>5701</v>
      </c>
      <c r="D7" s="606" t="s">
        <v>409</v>
      </c>
      <c r="G7" s="1682">
        <v>45648.0</v>
      </c>
      <c r="H7" s="606" t="s">
        <v>667</v>
      </c>
      <c r="I7" s="606" t="s">
        <v>2142</v>
      </c>
      <c r="J7" s="606" t="s">
        <v>437</v>
      </c>
      <c r="M7" s="1683">
        <v>45652.0</v>
      </c>
      <c r="N7" s="606" t="s">
        <v>727</v>
      </c>
      <c r="O7" s="606" t="s">
        <v>5703</v>
      </c>
      <c r="P7" s="606" t="s">
        <v>25</v>
      </c>
      <c r="Q7" s="606">
        <v>50.0</v>
      </c>
      <c r="S7" s="1682">
        <v>45646.0</v>
      </c>
      <c r="T7" s="606" t="s">
        <v>1362</v>
      </c>
      <c r="U7" s="606" t="s">
        <v>5702</v>
      </c>
      <c r="V7" s="606" t="s">
        <v>135</v>
      </c>
      <c r="Y7" s="1683">
        <v>45640.0</v>
      </c>
      <c r="Z7" s="606" t="s">
        <v>1212</v>
      </c>
      <c r="AA7" s="606" t="s">
        <v>1524</v>
      </c>
      <c r="AB7" s="606" t="s">
        <v>478</v>
      </c>
      <c r="AC7" s="606">
        <v>57.0</v>
      </c>
      <c r="AE7" s="1682">
        <v>45645.18680555555</v>
      </c>
      <c r="AF7" s="606" t="s">
        <v>1412</v>
      </c>
      <c r="AG7" s="606" t="s">
        <v>108</v>
      </c>
      <c r="AH7" s="606" t="s">
        <v>195</v>
      </c>
      <c r="AK7" s="1682">
        <v>45641.22777777778</v>
      </c>
      <c r="AL7" s="606" t="s">
        <v>837</v>
      </c>
      <c r="AM7" s="606" t="s">
        <v>555</v>
      </c>
      <c r="AN7" s="606" t="s">
        <v>360</v>
      </c>
      <c r="AQ7" s="1682">
        <v>45633.96388888889</v>
      </c>
      <c r="AR7" s="606" t="s">
        <v>1174</v>
      </c>
      <c r="AS7" s="606" t="s">
        <v>2316</v>
      </c>
      <c r="AT7" s="606" t="s">
        <v>219</v>
      </c>
    </row>
    <row r="8">
      <c r="A8" s="1682">
        <v>45648.0</v>
      </c>
      <c r="B8" s="606" t="s">
        <v>1190</v>
      </c>
      <c r="C8" s="606" t="s">
        <v>2042</v>
      </c>
      <c r="D8" s="606" t="s">
        <v>392</v>
      </c>
      <c r="G8" s="1682">
        <v>45644.0</v>
      </c>
      <c r="H8" s="606" t="s">
        <v>2899</v>
      </c>
      <c r="I8" s="606" t="s">
        <v>2142</v>
      </c>
      <c r="J8" s="606" t="s">
        <v>389</v>
      </c>
      <c r="M8" s="1682">
        <v>45650.0</v>
      </c>
      <c r="N8" s="606" t="s">
        <v>1190</v>
      </c>
      <c r="O8" s="606" t="s">
        <v>5703</v>
      </c>
      <c r="P8" s="606" t="s">
        <v>499</v>
      </c>
      <c r="S8" s="1682">
        <v>45645.0</v>
      </c>
      <c r="T8" s="606" t="s">
        <v>1190</v>
      </c>
      <c r="U8" s="606" t="s">
        <v>5702</v>
      </c>
      <c r="V8" s="606" t="s">
        <v>263</v>
      </c>
      <c r="Y8" s="1682">
        <v>45632.0</v>
      </c>
      <c r="Z8" s="606" t="s">
        <v>667</v>
      </c>
      <c r="AA8" s="606" t="s">
        <v>1524</v>
      </c>
      <c r="AB8" s="606" t="s">
        <v>210</v>
      </c>
      <c r="AE8" s="1682">
        <v>45644.63125</v>
      </c>
      <c r="AF8" s="606" t="s">
        <v>667</v>
      </c>
      <c r="AG8" s="606" t="s">
        <v>5712</v>
      </c>
      <c r="AH8" s="606" t="s">
        <v>205</v>
      </c>
      <c r="AK8" s="1683">
        <v>45634.0</v>
      </c>
      <c r="AL8" s="606" t="s">
        <v>837</v>
      </c>
      <c r="AM8" s="606" t="s">
        <v>2335</v>
      </c>
      <c r="AN8" s="606" t="s">
        <v>194</v>
      </c>
      <c r="AO8" s="606">
        <v>59.0</v>
      </c>
      <c r="AQ8" s="1683">
        <v>45598.0</v>
      </c>
      <c r="AR8" s="606" t="s">
        <v>1174</v>
      </c>
      <c r="AS8" s="606" t="s">
        <v>2316</v>
      </c>
      <c r="AT8" s="606" t="s">
        <v>219</v>
      </c>
    </row>
    <row r="9">
      <c r="A9" s="1683">
        <v>45645.0</v>
      </c>
      <c r="B9" s="606" t="s">
        <v>761</v>
      </c>
      <c r="C9" s="606" t="s">
        <v>5701</v>
      </c>
      <c r="D9" s="606" t="s">
        <v>436</v>
      </c>
      <c r="E9" s="606">
        <v>51.0</v>
      </c>
      <c r="G9" s="1682">
        <v>45643.0</v>
      </c>
      <c r="H9" s="606" t="s">
        <v>1362</v>
      </c>
      <c r="I9" s="606" t="s">
        <v>2142</v>
      </c>
      <c r="J9" s="606" t="s">
        <v>2927</v>
      </c>
      <c r="M9" s="1683">
        <v>45648.0</v>
      </c>
      <c r="N9" s="606" t="s">
        <v>1362</v>
      </c>
      <c r="O9" s="606" t="s">
        <v>5703</v>
      </c>
      <c r="P9" s="606" t="s">
        <v>1361</v>
      </c>
      <c r="Q9" s="606">
        <v>50.8</v>
      </c>
      <c r="S9" s="1683">
        <v>45639.0</v>
      </c>
      <c r="T9" s="606" t="s">
        <v>727</v>
      </c>
      <c r="U9" s="606" t="s">
        <v>5702</v>
      </c>
      <c r="V9" s="606" t="s">
        <v>264</v>
      </c>
      <c r="W9" s="606">
        <v>50.0</v>
      </c>
      <c r="Y9" s="1683">
        <v>45629.0</v>
      </c>
      <c r="Z9" s="606" t="s">
        <v>1151</v>
      </c>
      <c r="AA9" s="606" t="s">
        <v>5727</v>
      </c>
      <c r="AB9" s="606" t="s">
        <v>51</v>
      </c>
      <c r="AC9" s="606">
        <v>58.0</v>
      </c>
      <c r="AE9" s="1682">
        <v>45636.84375</v>
      </c>
      <c r="AF9" s="606" t="s">
        <v>1569</v>
      </c>
      <c r="AG9" s="606" t="s">
        <v>108</v>
      </c>
      <c r="AH9" s="606" t="s">
        <v>54</v>
      </c>
      <c r="AK9" s="1682">
        <v>45622.0</v>
      </c>
      <c r="AL9" s="606" t="s">
        <v>837</v>
      </c>
      <c r="AM9" s="606" t="s">
        <v>555</v>
      </c>
      <c r="AN9" s="606" t="s">
        <v>198</v>
      </c>
      <c r="AQ9" s="1682">
        <v>45586.0</v>
      </c>
      <c r="AR9" s="606" t="s">
        <v>1174</v>
      </c>
      <c r="AS9" s="606" t="s">
        <v>2316</v>
      </c>
      <c r="AT9" s="606" t="s">
        <v>219</v>
      </c>
    </row>
    <row r="10">
      <c r="A10" s="1683">
        <v>45643.0</v>
      </c>
      <c r="B10" s="606" t="s">
        <v>1362</v>
      </c>
      <c r="C10" s="606" t="s">
        <v>5701</v>
      </c>
      <c r="D10" s="606" t="s">
        <v>542</v>
      </c>
      <c r="E10" s="606" t="s">
        <v>5728</v>
      </c>
      <c r="G10" s="1682">
        <v>45640.0</v>
      </c>
      <c r="H10" s="606" t="s">
        <v>1190</v>
      </c>
      <c r="I10" s="606" t="s">
        <v>2142</v>
      </c>
      <c r="J10" s="606" t="s">
        <v>102</v>
      </c>
      <c r="M10" s="1682">
        <v>45645.0</v>
      </c>
      <c r="N10" s="606" t="s">
        <v>2899</v>
      </c>
      <c r="O10" s="606" t="s">
        <v>5703</v>
      </c>
      <c r="P10" s="606" t="s">
        <v>346</v>
      </c>
      <c r="S10" s="1682">
        <v>45638.0</v>
      </c>
      <c r="T10" s="606" t="s">
        <v>727</v>
      </c>
      <c r="U10" s="606" t="s">
        <v>1520</v>
      </c>
      <c r="V10" s="606" t="s">
        <v>2904</v>
      </c>
      <c r="Y10" s="1682">
        <v>45622.0</v>
      </c>
      <c r="Z10" s="606" t="s">
        <v>667</v>
      </c>
      <c r="AA10" s="606" t="s">
        <v>1524</v>
      </c>
      <c r="AB10" s="606" t="s">
        <v>413</v>
      </c>
      <c r="AE10" s="1682">
        <v>45636.645833333336</v>
      </c>
      <c r="AF10" s="606" t="s">
        <v>1569</v>
      </c>
      <c r="AG10" s="606" t="s">
        <v>5712</v>
      </c>
      <c r="AH10" s="606" t="s">
        <v>91</v>
      </c>
      <c r="AK10" s="1682">
        <v>45620.0</v>
      </c>
      <c r="AL10" s="606" t="s">
        <v>1170</v>
      </c>
      <c r="AM10" s="606" t="s">
        <v>5714</v>
      </c>
      <c r="AN10" s="606" t="s">
        <v>484</v>
      </c>
      <c r="AQ10" s="1682">
        <v>45568.0</v>
      </c>
      <c r="AR10" s="606" t="s">
        <v>1280</v>
      </c>
      <c r="AS10" s="606" t="s">
        <v>2316</v>
      </c>
      <c r="AT10" s="606" t="s">
        <v>218</v>
      </c>
    </row>
    <row r="11">
      <c r="A11" s="1682">
        <v>45641.0</v>
      </c>
      <c r="B11" s="606" t="s">
        <v>863</v>
      </c>
      <c r="C11" s="606" t="s">
        <v>5701</v>
      </c>
      <c r="D11" s="606" t="s">
        <v>320</v>
      </c>
      <c r="G11" s="1682">
        <v>45637.0</v>
      </c>
      <c r="H11" s="606" t="s">
        <v>1190</v>
      </c>
      <c r="I11" s="606" t="s">
        <v>2142</v>
      </c>
      <c r="J11" s="606" t="s">
        <v>469</v>
      </c>
      <c r="M11" s="1682">
        <v>45644.0</v>
      </c>
      <c r="N11" s="606" t="s">
        <v>1362</v>
      </c>
      <c r="O11" s="606" t="s">
        <v>5705</v>
      </c>
      <c r="P11" s="606" t="s">
        <v>150</v>
      </c>
      <c r="S11" s="1683">
        <v>45632.0</v>
      </c>
      <c r="T11" s="606" t="s">
        <v>727</v>
      </c>
      <c r="U11" s="606" t="s">
        <v>5702</v>
      </c>
      <c r="V11" s="606" t="s">
        <v>323</v>
      </c>
      <c r="W11" s="606" t="s">
        <v>5729</v>
      </c>
      <c r="Y11" s="1682">
        <v>45615.0</v>
      </c>
      <c r="Z11" s="606" t="s">
        <v>1134</v>
      </c>
      <c r="AA11" s="606" t="s">
        <v>5709</v>
      </c>
      <c r="AB11" s="606" t="s">
        <v>477</v>
      </c>
      <c r="AE11" s="1682">
        <v>45627.854166666664</v>
      </c>
      <c r="AF11" s="606" t="s">
        <v>1412</v>
      </c>
      <c r="AG11" s="606" t="s">
        <v>5712</v>
      </c>
      <c r="AH11" s="606" t="s">
        <v>317</v>
      </c>
      <c r="AK11" s="1682">
        <v>45613.0</v>
      </c>
      <c r="AL11" s="606" t="s">
        <v>1008</v>
      </c>
      <c r="AM11" s="606" t="s">
        <v>2335</v>
      </c>
      <c r="AN11" s="606" t="s">
        <v>533</v>
      </c>
      <c r="AQ11" s="1685">
        <v>45566.0</v>
      </c>
      <c r="AR11" s="606" t="s">
        <v>956</v>
      </c>
      <c r="AS11" s="606" t="s">
        <v>2316</v>
      </c>
      <c r="AT11" s="606" t="s">
        <v>5730</v>
      </c>
      <c r="AU11" s="606">
        <v>45.0</v>
      </c>
    </row>
    <row r="12">
      <c r="A12" s="1683">
        <v>45641.0</v>
      </c>
      <c r="B12" s="606" t="s">
        <v>1190</v>
      </c>
      <c r="C12" s="606" t="s">
        <v>5701</v>
      </c>
      <c r="D12" s="606" t="s">
        <v>266</v>
      </c>
      <c r="E12" s="606" t="s">
        <v>5731</v>
      </c>
      <c r="G12" s="1682">
        <v>45635.0</v>
      </c>
      <c r="H12" s="606" t="s">
        <v>1042</v>
      </c>
      <c r="I12" s="606" t="s">
        <v>2142</v>
      </c>
      <c r="J12" s="606" t="s">
        <v>482</v>
      </c>
      <c r="M12" s="1682">
        <v>45637.0</v>
      </c>
      <c r="N12" s="606" t="s">
        <v>1362</v>
      </c>
      <c r="O12" s="606" t="s">
        <v>5703</v>
      </c>
      <c r="P12" s="606" t="s">
        <v>435</v>
      </c>
      <c r="S12" s="1682">
        <v>45629.0</v>
      </c>
      <c r="T12" s="606" t="s">
        <v>1190</v>
      </c>
      <c r="U12" s="606" t="s">
        <v>5702</v>
      </c>
      <c r="V12" s="606" t="s">
        <v>499</v>
      </c>
      <c r="Y12" s="1682">
        <v>45606.0</v>
      </c>
      <c r="Z12" s="606" t="s">
        <v>667</v>
      </c>
      <c r="AA12" s="606" t="s">
        <v>1524</v>
      </c>
      <c r="AB12" s="606" t="s">
        <v>412</v>
      </c>
      <c r="AE12" s="1682">
        <v>45622.0</v>
      </c>
      <c r="AF12" s="606" t="s">
        <v>1412</v>
      </c>
      <c r="AG12" s="606" t="s">
        <v>108</v>
      </c>
      <c r="AH12" s="606" t="s">
        <v>196</v>
      </c>
      <c r="AK12" s="1682">
        <v>45612.0</v>
      </c>
      <c r="AL12" s="606" t="s">
        <v>837</v>
      </c>
      <c r="AM12" s="606" t="s">
        <v>555</v>
      </c>
      <c r="AN12" s="606" t="s">
        <v>198</v>
      </c>
      <c r="AQ12" s="1682">
        <v>45554.0</v>
      </c>
      <c r="AR12" s="606" t="s">
        <v>1174</v>
      </c>
      <c r="AS12" s="606" t="s">
        <v>2316</v>
      </c>
      <c r="AT12" s="606" t="s">
        <v>219</v>
      </c>
    </row>
    <row r="13">
      <c r="A13" s="1683">
        <v>45641.0</v>
      </c>
      <c r="B13" s="606" t="s">
        <v>1190</v>
      </c>
      <c r="C13" s="606" t="s">
        <v>5701</v>
      </c>
      <c r="D13" s="606" t="s">
        <v>262</v>
      </c>
      <c r="E13" s="606" t="s">
        <v>5731</v>
      </c>
      <c r="G13" s="1683">
        <v>45630.0</v>
      </c>
      <c r="H13" s="606" t="s">
        <v>1190</v>
      </c>
      <c r="I13" s="606" t="s">
        <v>2142</v>
      </c>
      <c r="J13" s="606" t="s">
        <v>456</v>
      </c>
      <c r="K13" s="606">
        <v>49.0</v>
      </c>
      <c r="M13" s="1683">
        <v>45637.0</v>
      </c>
      <c r="N13" s="606" t="s">
        <v>863</v>
      </c>
      <c r="O13" s="606" t="s">
        <v>5703</v>
      </c>
      <c r="P13" s="606" t="s">
        <v>328</v>
      </c>
      <c r="Q13" s="606">
        <v>47.0</v>
      </c>
      <c r="S13" s="1683">
        <v>45627.0</v>
      </c>
      <c r="T13" s="606" t="s">
        <v>727</v>
      </c>
      <c r="U13" s="606" t="s">
        <v>1520</v>
      </c>
      <c r="V13" s="606" t="s">
        <v>550</v>
      </c>
      <c r="W13" s="606">
        <v>65.0</v>
      </c>
      <c r="Y13" s="1685">
        <v>45593.0</v>
      </c>
      <c r="Z13" s="606" t="s">
        <v>1212</v>
      </c>
      <c r="AA13" s="606" t="s">
        <v>1524</v>
      </c>
      <c r="AB13" s="606" t="s">
        <v>51</v>
      </c>
      <c r="AC13" s="606">
        <v>69.0</v>
      </c>
      <c r="AE13" s="1682">
        <v>45621.0</v>
      </c>
      <c r="AF13" s="606" t="s">
        <v>830</v>
      </c>
      <c r="AG13" s="606" t="s">
        <v>5712</v>
      </c>
      <c r="AH13" s="606" t="s">
        <v>133</v>
      </c>
      <c r="AK13" s="1682">
        <v>45605.0</v>
      </c>
      <c r="AL13" s="606" t="s">
        <v>1170</v>
      </c>
      <c r="AM13" s="606" t="s">
        <v>555</v>
      </c>
      <c r="AN13" s="606" t="s">
        <v>484</v>
      </c>
      <c r="AQ13" s="1682">
        <v>45546.0</v>
      </c>
      <c r="AR13" s="606" t="s">
        <v>1280</v>
      </c>
      <c r="AS13" s="606" t="s">
        <v>2316</v>
      </c>
      <c r="AT13" s="606" t="s">
        <v>32</v>
      </c>
    </row>
    <row r="14">
      <c r="A14" s="1682">
        <v>45637.0</v>
      </c>
      <c r="B14" s="606" t="s">
        <v>1280</v>
      </c>
      <c r="C14" s="606" t="s">
        <v>2042</v>
      </c>
      <c r="D14" s="606" t="s">
        <v>19</v>
      </c>
      <c r="G14" s="1682">
        <v>45629.0</v>
      </c>
      <c r="H14" s="606" t="s">
        <v>2899</v>
      </c>
      <c r="I14" s="606" t="s">
        <v>2142</v>
      </c>
      <c r="J14" s="606" t="s">
        <v>5732</v>
      </c>
      <c r="M14" s="1683">
        <v>45635.0</v>
      </c>
      <c r="N14" s="606" t="s">
        <v>1190</v>
      </c>
      <c r="O14" s="606" t="s">
        <v>5703</v>
      </c>
      <c r="P14" s="606" t="s">
        <v>1127</v>
      </c>
      <c r="Q14" s="606">
        <v>54.0</v>
      </c>
      <c r="S14" s="1683">
        <v>45624.0</v>
      </c>
      <c r="T14" s="606" t="s">
        <v>2899</v>
      </c>
      <c r="U14" s="606" t="s">
        <v>5702</v>
      </c>
      <c r="V14" s="606" t="s">
        <v>1361</v>
      </c>
      <c r="W14" s="606">
        <v>48.0</v>
      </c>
      <c r="Y14" s="1682">
        <v>45591.0</v>
      </c>
      <c r="Z14" s="606" t="s">
        <v>1134</v>
      </c>
      <c r="AA14" s="606" t="s">
        <v>5709</v>
      </c>
      <c r="AB14" s="606" t="s">
        <v>573</v>
      </c>
      <c r="AE14" s="1682">
        <v>45615.0</v>
      </c>
      <c r="AF14" s="606" t="s">
        <v>968</v>
      </c>
      <c r="AG14" s="606" t="s">
        <v>5712</v>
      </c>
      <c r="AH14" s="606" t="s">
        <v>49</v>
      </c>
      <c r="AK14" s="1682">
        <v>45588.0</v>
      </c>
      <c r="AL14" s="606" t="s">
        <v>1170</v>
      </c>
      <c r="AM14" s="606" t="s">
        <v>555</v>
      </c>
      <c r="AN14" s="606" t="s">
        <v>484</v>
      </c>
      <c r="AQ14" s="1682">
        <v>45541.0</v>
      </c>
      <c r="AR14" s="606" t="s">
        <v>1466</v>
      </c>
      <c r="AS14" s="606" t="s">
        <v>2316</v>
      </c>
      <c r="AT14" s="606" t="s">
        <v>512</v>
      </c>
    </row>
    <row r="15">
      <c r="A15" s="1682">
        <v>45636.0</v>
      </c>
      <c r="B15" s="606" t="s">
        <v>1116</v>
      </c>
      <c r="C15" s="606" t="s">
        <v>5701</v>
      </c>
      <c r="D15" s="606" t="s">
        <v>294</v>
      </c>
      <c r="G15" s="1682">
        <v>45622.0</v>
      </c>
      <c r="H15" s="606" t="s">
        <v>1190</v>
      </c>
      <c r="I15" s="606" t="s">
        <v>2142</v>
      </c>
      <c r="J15" s="606" t="s">
        <v>141</v>
      </c>
      <c r="M15" s="1683">
        <v>45633.0</v>
      </c>
      <c r="N15" s="606" t="s">
        <v>761</v>
      </c>
      <c r="O15" s="606" t="s">
        <v>5705</v>
      </c>
      <c r="P15" s="606" t="s">
        <v>425</v>
      </c>
      <c r="Q15" s="606">
        <v>49.5</v>
      </c>
      <c r="S15" s="1682">
        <v>45622.0</v>
      </c>
      <c r="T15" s="606" t="s">
        <v>5733</v>
      </c>
      <c r="U15" s="606" t="s">
        <v>5702</v>
      </c>
      <c r="V15" s="606" t="s">
        <v>301</v>
      </c>
      <c r="Y15" s="1682">
        <v>45574.0</v>
      </c>
      <c r="Z15" s="606" t="s">
        <v>667</v>
      </c>
      <c r="AA15" s="606" t="s">
        <v>1524</v>
      </c>
      <c r="AB15" s="606" t="s">
        <v>205</v>
      </c>
      <c r="AE15" s="1682">
        <v>45608.0</v>
      </c>
      <c r="AF15" s="606" t="s">
        <v>667</v>
      </c>
      <c r="AG15" s="606" t="s">
        <v>5712</v>
      </c>
      <c r="AH15" s="606" t="s">
        <v>437</v>
      </c>
      <c r="AK15" s="1682">
        <v>45579.0</v>
      </c>
      <c r="AL15" s="606" t="s">
        <v>1264</v>
      </c>
      <c r="AM15" s="606" t="s">
        <v>555</v>
      </c>
      <c r="AN15" s="606" t="s">
        <v>3234</v>
      </c>
      <c r="AQ15" s="1685">
        <v>45538.0</v>
      </c>
      <c r="AR15" s="606" t="s">
        <v>942</v>
      </c>
      <c r="AS15" s="606" t="s">
        <v>2316</v>
      </c>
      <c r="AT15" s="606" t="s">
        <v>512</v>
      </c>
      <c r="AU15" s="606">
        <v>65.0</v>
      </c>
    </row>
    <row r="16">
      <c r="A16" s="1682">
        <v>45634.0</v>
      </c>
      <c r="B16" s="606" t="s">
        <v>2899</v>
      </c>
      <c r="C16" s="606" t="s">
        <v>5701</v>
      </c>
      <c r="D16" s="606" t="s">
        <v>2911</v>
      </c>
      <c r="G16" s="1682">
        <v>45621.0</v>
      </c>
      <c r="H16" s="606" t="s">
        <v>1362</v>
      </c>
      <c r="I16" s="606" t="s">
        <v>2142</v>
      </c>
      <c r="J16" s="606" t="s">
        <v>135</v>
      </c>
      <c r="M16" s="1682">
        <v>45632.0</v>
      </c>
      <c r="N16" s="606" t="s">
        <v>1362</v>
      </c>
      <c r="O16" s="606" t="s">
        <v>5703</v>
      </c>
      <c r="P16" s="606" t="s">
        <v>5734</v>
      </c>
      <c r="S16" s="1682">
        <v>45622.0</v>
      </c>
      <c r="T16" s="606" t="s">
        <v>1042</v>
      </c>
      <c r="U16" s="606" t="s">
        <v>1520</v>
      </c>
      <c r="V16" s="606" t="s">
        <v>479</v>
      </c>
      <c r="Y16" s="1682">
        <v>45570.0</v>
      </c>
      <c r="Z16" s="606" t="s">
        <v>667</v>
      </c>
      <c r="AA16" s="606" t="s">
        <v>1523</v>
      </c>
      <c r="AB16" s="606" t="s">
        <v>437</v>
      </c>
      <c r="AE16" s="1682">
        <v>45608.0</v>
      </c>
      <c r="AF16" s="606" t="s">
        <v>1569</v>
      </c>
      <c r="AG16" s="606" t="s">
        <v>108</v>
      </c>
      <c r="AH16" s="606" t="s">
        <v>92</v>
      </c>
      <c r="AK16" s="1685">
        <v>45567.0</v>
      </c>
      <c r="AL16" s="606" t="s">
        <v>837</v>
      </c>
      <c r="AM16" s="606" t="s">
        <v>2335</v>
      </c>
      <c r="AN16" s="606" t="s">
        <v>332</v>
      </c>
      <c r="AO16" s="606">
        <v>59.0</v>
      </c>
      <c r="AQ16" s="1682">
        <v>45524.0</v>
      </c>
      <c r="AR16" s="606" t="s">
        <v>1174</v>
      </c>
      <c r="AS16" s="606" t="s">
        <v>2316</v>
      </c>
      <c r="AT16" s="606" t="s">
        <v>219</v>
      </c>
    </row>
    <row r="17">
      <c r="A17" s="1682">
        <v>45632.0</v>
      </c>
      <c r="B17" s="606" t="s">
        <v>1042</v>
      </c>
      <c r="C17" s="606" t="s">
        <v>5701</v>
      </c>
      <c r="D17" s="606" t="s">
        <v>536</v>
      </c>
      <c r="G17" s="1682">
        <v>45619.0</v>
      </c>
      <c r="H17" s="606" t="s">
        <v>1116</v>
      </c>
      <c r="I17" s="606" t="s">
        <v>2142</v>
      </c>
      <c r="J17" s="606" t="s">
        <v>311</v>
      </c>
      <c r="M17" s="1682">
        <v>45631.0</v>
      </c>
      <c r="N17" s="606" t="s">
        <v>1066</v>
      </c>
      <c r="O17" s="606" t="s">
        <v>5703</v>
      </c>
      <c r="P17" s="606" t="s">
        <v>503</v>
      </c>
      <c r="S17" s="1682">
        <v>45620.0</v>
      </c>
      <c r="T17" s="606" t="s">
        <v>1190</v>
      </c>
      <c r="U17" s="606" t="s">
        <v>5702</v>
      </c>
      <c r="V17" s="606" t="s">
        <v>516</v>
      </c>
      <c r="Y17" s="1682">
        <v>45544.0</v>
      </c>
      <c r="Z17" s="606" t="s">
        <v>667</v>
      </c>
      <c r="AA17" s="606" t="s">
        <v>5726</v>
      </c>
      <c r="AB17" s="606" t="s">
        <v>205</v>
      </c>
      <c r="AE17" s="1682">
        <v>45602.0</v>
      </c>
      <c r="AF17" s="606" t="s">
        <v>1569</v>
      </c>
      <c r="AG17" s="606" t="s">
        <v>5712</v>
      </c>
      <c r="AH17" s="606" t="s">
        <v>91</v>
      </c>
      <c r="AK17" s="1682">
        <v>45551.0</v>
      </c>
      <c r="AL17" s="606" t="s">
        <v>754</v>
      </c>
      <c r="AM17" s="606" t="s">
        <v>2335</v>
      </c>
      <c r="AN17" s="606" t="s">
        <v>300</v>
      </c>
      <c r="AQ17" s="1682">
        <v>45520.0</v>
      </c>
      <c r="AR17" s="606" t="s">
        <v>1280</v>
      </c>
      <c r="AS17" s="606" t="s">
        <v>2316</v>
      </c>
      <c r="AT17" s="606" t="s">
        <v>326</v>
      </c>
    </row>
    <row r="18">
      <c r="A18" s="1682">
        <v>45629.0</v>
      </c>
      <c r="B18" s="606" t="s">
        <v>1190</v>
      </c>
      <c r="C18" s="606" t="s">
        <v>5701</v>
      </c>
      <c r="D18" s="606" t="s">
        <v>466</v>
      </c>
      <c r="G18" s="1683">
        <v>45615.0</v>
      </c>
      <c r="H18" s="606" t="s">
        <v>1190</v>
      </c>
      <c r="I18" s="606" t="s">
        <v>2142</v>
      </c>
      <c r="J18" s="606" t="s">
        <v>5036</v>
      </c>
      <c r="K18" s="606">
        <v>53.0</v>
      </c>
      <c r="M18" s="1683">
        <v>45627.0</v>
      </c>
      <c r="N18" s="606" t="s">
        <v>3858</v>
      </c>
      <c r="O18" s="606" t="s">
        <v>5703</v>
      </c>
      <c r="P18" s="606" t="s">
        <v>88</v>
      </c>
      <c r="Q18" s="606" t="s">
        <v>3919</v>
      </c>
      <c r="S18" s="1682">
        <v>45615.0</v>
      </c>
      <c r="T18" s="606" t="s">
        <v>727</v>
      </c>
      <c r="U18" s="606" t="s">
        <v>1520</v>
      </c>
      <c r="V18" s="606" t="s">
        <v>3336</v>
      </c>
      <c r="Y18" s="1682">
        <v>45542.0</v>
      </c>
      <c r="Z18" s="606" t="s">
        <v>5601</v>
      </c>
      <c r="AA18" s="606" t="s">
        <v>1524</v>
      </c>
      <c r="AB18" s="606" t="s">
        <v>479</v>
      </c>
      <c r="AE18" s="1682">
        <v>45594.0</v>
      </c>
      <c r="AF18" s="606" t="s">
        <v>667</v>
      </c>
      <c r="AG18" s="606" t="s">
        <v>5712</v>
      </c>
      <c r="AH18" s="606" t="s">
        <v>210</v>
      </c>
      <c r="AK18" s="1682">
        <v>45548.0</v>
      </c>
      <c r="AL18" s="606" t="s">
        <v>1008</v>
      </c>
      <c r="AM18" s="606" t="s">
        <v>555</v>
      </c>
      <c r="AN18" s="606" t="s">
        <v>334</v>
      </c>
      <c r="AQ18" s="1682">
        <v>45499.0</v>
      </c>
      <c r="AR18" s="606" t="s">
        <v>5735</v>
      </c>
      <c r="AS18" s="606" t="s">
        <v>2316</v>
      </c>
      <c r="AT18" s="606" t="s">
        <v>219</v>
      </c>
    </row>
    <row r="19">
      <c r="A19" s="1682">
        <v>45628.0</v>
      </c>
      <c r="B19" s="606" t="s">
        <v>994</v>
      </c>
      <c r="C19" s="606" t="s">
        <v>2042</v>
      </c>
      <c r="D19" s="606" t="s">
        <v>472</v>
      </c>
      <c r="G19" s="1682">
        <v>45614.0</v>
      </c>
      <c r="H19" s="606" t="s">
        <v>2899</v>
      </c>
      <c r="I19" s="606" t="s">
        <v>2142</v>
      </c>
      <c r="J19" s="606" t="s">
        <v>389</v>
      </c>
      <c r="M19" s="1682">
        <v>45621.611805555556</v>
      </c>
      <c r="N19" s="606" t="s">
        <v>1362</v>
      </c>
      <c r="O19" s="1684" t="s">
        <v>5705</v>
      </c>
      <c r="P19" s="1684" t="s">
        <v>111</v>
      </c>
      <c r="S19" s="1683">
        <v>45614.0</v>
      </c>
      <c r="T19" s="606" t="s">
        <v>2899</v>
      </c>
      <c r="U19" s="606" t="s">
        <v>5702</v>
      </c>
      <c r="V19" s="606" t="s">
        <v>543</v>
      </c>
      <c r="W19" s="606">
        <v>45.0</v>
      </c>
      <c r="Y19" s="1682">
        <v>45534.0</v>
      </c>
      <c r="Z19" s="606" t="s">
        <v>1134</v>
      </c>
      <c r="AA19" s="606" t="s">
        <v>5709</v>
      </c>
      <c r="AB19" s="606" t="s">
        <v>458</v>
      </c>
      <c r="AE19" s="1682">
        <v>45594.0</v>
      </c>
      <c r="AF19" s="606" t="s">
        <v>1569</v>
      </c>
      <c r="AG19" s="606" t="s">
        <v>108</v>
      </c>
      <c r="AH19" s="606" t="s">
        <v>54</v>
      </c>
      <c r="AK19" s="1682">
        <v>45542.0</v>
      </c>
      <c r="AL19" s="606" t="s">
        <v>1264</v>
      </c>
      <c r="AM19" s="606" t="s">
        <v>5713</v>
      </c>
      <c r="AN19" s="606" t="s">
        <v>3241</v>
      </c>
      <c r="AQ19" s="1682">
        <v>45491.0</v>
      </c>
      <c r="AR19" s="606" t="s">
        <v>5736</v>
      </c>
      <c r="AS19" s="606" t="s">
        <v>2316</v>
      </c>
      <c r="AT19" s="606" t="s">
        <v>480</v>
      </c>
    </row>
    <row r="20">
      <c r="A20" s="1682">
        <v>45628.0</v>
      </c>
      <c r="B20" s="606" t="s">
        <v>1190</v>
      </c>
      <c r="C20" s="606" t="s">
        <v>5701</v>
      </c>
      <c r="D20" s="606" t="s">
        <v>45</v>
      </c>
      <c r="G20" s="1682">
        <v>45612.0</v>
      </c>
      <c r="H20" s="606" t="s">
        <v>1362</v>
      </c>
      <c r="I20" s="606" t="s">
        <v>2142</v>
      </c>
      <c r="J20" s="606" t="s">
        <v>5734</v>
      </c>
      <c r="M20" s="1682">
        <v>45617.18680555555</v>
      </c>
      <c r="N20" s="606" t="s">
        <v>707</v>
      </c>
      <c r="O20" s="606" t="s">
        <v>5703</v>
      </c>
      <c r="P20" s="606" t="s">
        <v>25</v>
      </c>
      <c r="S20" s="1682">
        <v>45610.0</v>
      </c>
      <c r="T20" s="606" t="s">
        <v>1066</v>
      </c>
      <c r="U20" s="606" t="s">
        <v>5702</v>
      </c>
      <c r="V20" s="606" t="s">
        <v>395</v>
      </c>
      <c r="Y20" s="1685">
        <v>45518.0</v>
      </c>
      <c r="Z20" s="606" t="s">
        <v>667</v>
      </c>
      <c r="AA20" s="606" t="s">
        <v>1524</v>
      </c>
      <c r="AB20" s="606" t="s">
        <v>414</v>
      </c>
      <c r="AE20" s="1682">
        <v>45587.0</v>
      </c>
      <c r="AF20" s="606" t="s">
        <v>1412</v>
      </c>
      <c r="AG20" s="606" t="s">
        <v>5712</v>
      </c>
      <c r="AH20" s="606" t="s">
        <v>375</v>
      </c>
      <c r="AK20" s="1685">
        <v>45538.0</v>
      </c>
      <c r="AL20" s="606" t="s">
        <v>837</v>
      </c>
      <c r="AM20" s="606" t="s">
        <v>2335</v>
      </c>
      <c r="AN20" s="606" t="s">
        <v>300</v>
      </c>
      <c r="AO20" s="606">
        <v>45.0</v>
      </c>
      <c r="AQ20" s="1682">
        <v>45486.0</v>
      </c>
      <c r="AR20" s="606" t="s">
        <v>761</v>
      </c>
      <c r="AS20" s="606" t="s">
        <v>2316</v>
      </c>
      <c r="AT20" s="606" t="s">
        <v>377</v>
      </c>
    </row>
    <row r="21">
      <c r="A21" s="1682">
        <v>45625.0</v>
      </c>
      <c r="B21" s="606" t="s">
        <v>863</v>
      </c>
      <c r="C21" s="606" t="s">
        <v>5701</v>
      </c>
      <c r="D21" s="606" t="s">
        <v>272</v>
      </c>
      <c r="G21" s="1682">
        <v>45607.0</v>
      </c>
      <c r="H21" s="606" t="s">
        <v>1190</v>
      </c>
      <c r="I21" s="606" t="s">
        <v>2142</v>
      </c>
      <c r="J21" s="606" t="s">
        <v>102</v>
      </c>
      <c r="M21" s="1682">
        <v>45615.02013888889</v>
      </c>
      <c r="N21" s="606" t="s">
        <v>1280</v>
      </c>
      <c r="O21" s="606" t="s">
        <v>5703</v>
      </c>
      <c r="P21" s="606" t="s">
        <v>476</v>
      </c>
      <c r="S21" s="1682">
        <v>45608.0</v>
      </c>
      <c r="T21" s="606" t="s">
        <v>727</v>
      </c>
      <c r="U21" s="606" t="s">
        <v>1520</v>
      </c>
      <c r="V21" s="606" t="s">
        <v>2904</v>
      </c>
      <c r="Y21" s="1682">
        <v>45514.0</v>
      </c>
      <c r="Z21" s="606" t="s">
        <v>667</v>
      </c>
      <c r="AA21" s="606" t="s">
        <v>1523</v>
      </c>
      <c r="AB21" s="606" t="s">
        <v>456</v>
      </c>
      <c r="AE21" s="1682">
        <v>45581.0</v>
      </c>
      <c r="AF21" s="606" t="s">
        <v>968</v>
      </c>
      <c r="AG21" s="606" t="s">
        <v>5712</v>
      </c>
      <c r="AH21" s="606" t="s">
        <v>49</v>
      </c>
      <c r="AK21" s="1685">
        <v>45532.0</v>
      </c>
      <c r="AL21" s="606" t="s">
        <v>1212</v>
      </c>
      <c r="AM21" s="606" t="s">
        <v>5714</v>
      </c>
      <c r="AN21" s="606" t="s">
        <v>359</v>
      </c>
      <c r="AQ21" s="1682">
        <v>45481.0</v>
      </c>
      <c r="AR21" s="606" t="s">
        <v>5736</v>
      </c>
      <c r="AS21" s="606" t="s">
        <v>2316</v>
      </c>
      <c r="AT21" s="606" t="s">
        <v>282</v>
      </c>
    </row>
    <row r="22">
      <c r="A22" s="1683">
        <v>45623.0</v>
      </c>
      <c r="B22" s="606" t="s">
        <v>1190</v>
      </c>
      <c r="C22" s="606" t="s">
        <v>5701</v>
      </c>
      <c r="D22" s="606" t="s">
        <v>37</v>
      </c>
      <c r="E22" s="606" t="s">
        <v>5737</v>
      </c>
      <c r="G22" s="1683">
        <v>45606.0</v>
      </c>
      <c r="H22" s="606" t="s">
        <v>2899</v>
      </c>
      <c r="I22" s="606" t="s">
        <v>2142</v>
      </c>
      <c r="J22" s="606" t="s">
        <v>5738</v>
      </c>
      <c r="K22" s="606">
        <v>52.0</v>
      </c>
      <c r="M22" s="1682">
        <v>45614.589583333334</v>
      </c>
      <c r="N22" s="606" t="s">
        <v>1190</v>
      </c>
      <c r="O22" s="606" t="s">
        <v>5703</v>
      </c>
      <c r="P22" s="606" t="s">
        <v>392</v>
      </c>
      <c r="S22" s="1683">
        <v>45607.0</v>
      </c>
      <c r="T22" s="606" t="s">
        <v>1190</v>
      </c>
      <c r="U22" s="606" t="s">
        <v>5702</v>
      </c>
      <c r="V22" s="606" t="s">
        <v>262</v>
      </c>
      <c r="W22" s="606" t="s">
        <v>5739</v>
      </c>
      <c r="Y22" s="1685">
        <v>45512.0</v>
      </c>
      <c r="Z22" s="606" t="s">
        <v>1212</v>
      </c>
      <c r="AA22" s="606" t="s">
        <v>1524</v>
      </c>
      <c r="AB22" s="606" t="s">
        <v>513</v>
      </c>
      <c r="AC22" s="606">
        <v>56.0</v>
      </c>
      <c r="AE22" s="1685">
        <v>45575.0</v>
      </c>
      <c r="AF22" s="606" t="s">
        <v>1569</v>
      </c>
      <c r="AG22" s="606" t="s">
        <v>108</v>
      </c>
      <c r="AH22" s="606" t="s">
        <v>5740</v>
      </c>
      <c r="AI22" s="606" t="s">
        <v>5741</v>
      </c>
      <c r="AK22" s="1685">
        <v>45513.0</v>
      </c>
      <c r="AL22" s="606" t="s">
        <v>5742</v>
      </c>
      <c r="AM22" s="606" t="s">
        <v>555</v>
      </c>
      <c r="AN22" s="606" t="s">
        <v>533</v>
      </c>
      <c r="AO22" s="606" t="s">
        <v>5743</v>
      </c>
      <c r="AQ22" s="1682">
        <v>45472.0</v>
      </c>
      <c r="AR22" s="606" t="s">
        <v>5735</v>
      </c>
      <c r="AS22" s="606" t="s">
        <v>2316</v>
      </c>
      <c r="AT22" s="606" t="s">
        <v>219</v>
      </c>
    </row>
    <row r="23">
      <c r="A23" s="1683">
        <v>45619.0</v>
      </c>
      <c r="B23" s="606" t="s">
        <v>1362</v>
      </c>
      <c r="C23" s="606" t="s">
        <v>5701</v>
      </c>
      <c r="D23" s="606" t="s">
        <v>3339</v>
      </c>
      <c r="E23" s="606">
        <v>53.0</v>
      </c>
      <c r="G23" s="1682">
        <v>45605.0</v>
      </c>
      <c r="H23" s="606" t="s">
        <v>1362</v>
      </c>
      <c r="I23" s="606" t="s">
        <v>2142</v>
      </c>
      <c r="J23" s="606" t="s">
        <v>111</v>
      </c>
      <c r="M23" s="1682">
        <v>45606.97708333333</v>
      </c>
      <c r="N23" s="606" t="s">
        <v>1280</v>
      </c>
      <c r="O23" s="606" t="s">
        <v>5703</v>
      </c>
      <c r="P23" s="606" t="s">
        <v>584</v>
      </c>
      <c r="S23" s="1683">
        <v>45604.0</v>
      </c>
      <c r="T23" s="606" t="s">
        <v>1190</v>
      </c>
      <c r="U23" s="606" t="s">
        <v>5702</v>
      </c>
      <c r="V23" s="606" t="s">
        <v>577</v>
      </c>
      <c r="W23" s="606">
        <v>47.0</v>
      </c>
      <c r="Y23" s="1685">
        <v>45500.0</v>
      </c>
      <c r="Z23" s="606" t="s">
        <v>667</v>
      </c>
      <c r="AA23" s="606" t="s">
        <v>5726</v>
      </c>
      <c r="AB23" s="606" t="s">
        <v>205</v>
      </c>
      <c r="AE23" s="1682">
        <v>45572.0</v>
      </c>
      <c r="AF23" s="606" t="s">
        <v>1569</v>
      </c>
      <c r="AG23" s="606" t="s">
        <v>5712</v>
      </c>
      <c r="AH23" s="606" t="s">
        <v>92</v>
      </c>
      <c r="AK23" s="1685">
        <v>45506.0</v>
      </c>
      <c r="AL23" s="606" t="s">
        <v>942</v>
      </c>
      <c r="AM23" s="606" t="s">
        <v>5713</v>
      </c>
      <c r="AN23" s="606" t="s">
        <v>61</v>
      </c>
      <c r="AQ23" s="1682">
        <v>45465.0</v>
      </c>
      <c r="AR23" s="606" t="s">
        <v>830</v>
      </c>
      <c r="AS23" s="606" t="s">
        <v>2316</v>
      </c>
      <c r="AT23" s="606" t="s">
        <v>330</v>
      </c>
    </row>
    <row r="24">
      <c r="A24" s="1682">
        <v>45618.0</v>
      </c>
      <c r="B24" s="606" t="s">
        <v>1604</v>
      </c>
      <c r="C24" s="606" t="s">
        <v>5701</v>
      </c>
      <c r="D24" s="606" t="s">
        <v>498</v>
      </c>
      <c r="G24" s="1683">
        <v>45601.0</v>
      </c>
      <c r="H24" s="606" t="s">
        <v>1190</v>
      </c>
      <c r="I24" s="606" t="s">
        <v>2142</v>
      </c>
      <c r="J24" s="606" t="s">
        <v>264</v>
      </c>
      <c r="K24" s="606" t="s">
        <v>5744</v>
      </c>
      <c r="M24" s="1682">
        <v>45604.90972222222</v>
      </c>
      <c r="N24" s="606" t="s">
        <v>1362</v>
      </c>
      <c r="O24" s="606" t="s">
        <v>5703</v>
      </c>
      <c r="P24" s="606" t="s">
        <v>150</v>
      </c>
      <c r="S24" s="1682">
        <v>45599.0</v>
      </c>
      <c r="T24" s="606" t="s">
        <v>1190</v>
      </c>
      <c r="U24" s="606" t="s">
        <v>5702</v>
      </c>
      <c r="V24" s="606" t="s">
        <v>469</v>
      </c>
      <c r="Y24" s="1685">
        <v>45497.0</v>
      </c>
      <c r="Z24" s="606" t="s">
        <v>5303</v>
      </c>
      <c r="AA24" s="606" t="s">
        <v>1524</v>
      </c>
      <c r="AB24" s="606" t="s">
        <v>498</v>
      </c>
      <c r="AC24" s="606">
        <v>75.0</v>
      </c>
      <c r="AE24" s="1685">
        <v>45565.0</v>
      </c>
      <c r="AF24" s="606" t="s">
        <v>1569</v>
      </c>
      <c r="AG24" s="606" t="s">
        <v>5712</v>
      </c>
      <c r="AH24" s="606" t="s">
        <v>5745</v>
      </c>
      <c r="AI24" s="606" t="s">
        <v>1569</v>
      </c>
      <c r="AK24" s="1685">
        <v>45493.0</v>
      </c>
      <c r="AL24" s="606" t="s">
        <v>3116</v>
      </c>
      <c r="AM24" s="606" t="s">
        <v>5714</v>
      </c>
      <c r="AN24" s="606" t="s">
        <v>434</v>
      </c>
      <c r="AQ24" s="1682">
        <v>45456.0</v>
      </c>
      <c r="AR24" s="606" t="s">
        <v>761</v>
      </c>
      <c r="AS24" s="606" t="s">
        <v>2316</v>
      </c>
      <c r="AT24" s="606" t="s">
        <v>244</v>
      </c>
    </row>
    <row r="25">
      <c r="A25" s="1682">
        <v>45617.0</v>
      </c>
      <c r="B25" s="606" t="s">
        <v>1553</v>
      </c>
      <c r="C25" s="606" t="s">
        <v>5701</v>
      </c>
      <c r="D25" s="606" t="s">
        <v>527</v>
      </c>
      <c r="G25" s="1682">
        <v>45601.0</v>
      </c>
      <c r="H25" s="606" t="s">
        <v>1280</v>
      </c>
      <c r="I25" s="606" t="s">
        <v>2142</v>
      </c>
      <c r="J25" s="606" t="s">
        <v>19</v>
      </c>
      <c r="M25" s="1682">
        <v>45604.66111111111</v>
      </c>
      <c r="N25" s="606" t="s">
        <v>2899</v>
      </c>
      <c r="O25" s="606" t="s">
        <v>5705</v>
      </c>
      <c r="P25" s="606" t="s">
        <v>5732</v>
      </c>
      <c r="S25" s="1683">
        <v>45598.0</v>
      </c>
      <c r="T25" s="606" t="s">
        <v>727</v>
      </c>
      <c r="U25" s="606" t="s">
        <v>5702</v>
      </c>
      <c r="V25" s="606" t="s">
        <v>5746</v>
      </c>
      <c r="W25" s="606" t="s">
        <v>5747</v>
      </c>
      <c r="Y25" s="1685">
        <v>45497.0</v>
      </c>
      <c r="Z25" s="606" t="s">
        <v>667</v>
      </c>
      <c r="AA25" s="606" t="s">
        <v>5727</v>
      </c>
      <c r="AB25" s="606" t="s">
        <v>205</v>
      </c>
      <c r="AE25" s="1682">
        <v>45565.0</v>
      </c>
      <c r="AF25" s="606" t="s">
        <v>830</v>
      </c>
      <c r="AG25" s="606" t="s">
        <v>5712</v>
      </c>
      <c r="AH25" s="606" t="s">
        <v>330</v>
      </c>
      <c r="AK25" s="1685">
        <v>45481.0</v>
      </c>
      <c r="AL25" s="606" t="s">
        <v>837</v>
      </c>
      <c r="AM25" s="606" t="s">
        <v>555</v>
      </c>
      <c r="AN25" s="606" t="s">
        <v>751</v>
      </c>
      <c r="AO25" s="606" t="s">
        <v>5748</v>
      </c>
      <c r="AQ25" s="1682">
        <v>45443.0</v>
      </c>
      <c r="AR25" s="606" t="s">
        <v>5735</v>
      </c>
      <c r="AS25" s="606" t="s">
        <v>2316</v>
      </c>
      <c r="AT25" s="606" t="s">
        <v>219</v>
      </c>
    </row>
    <row r="26">
      <c r="A26" s="1682">
        <v>45615.0</v>
      </c>
      <c r="B26" s="606" t="s">
        <v>1042</v>
      </c>
      <c r="C26" s="606" t="s">
        <v>5701</v>
      </c>
      <c r="D26" s="606" t="s">
        <v>478</v>
      </c>
      <c r="G26" s="1685">
        <v>45599.0</v>
      </c>
      <c r="H26" s="606" t="s">
        <v>1190</v>
      </c>
      <c r="I26" s="606" t="s">
        <v>2142</v>
      </c>
      <c r="J26" s="606" t="s">
        <v>323</v>
      </c>
      <c r="K26" s="606" t="s">
        <v>5749</v>
      </c>
      <c r="M26" s="1682">
        <v>45604.17152777778</v>
      </c>
      <c r="N26" s="606" t="s">
        <v>1362</v>
      </c>
      <c r="O26" s="606" t="s">
        <v>5703</v>
      </c>
      <c r="P26" s="606" t="s">
        <v>2927</v>
      </c>
      <c r="S26" s="1682">
        <v>45598.0</v>
      </c>
      <c r="T26" s="606" t="s">
        <v>1280</v>
      </c>
      <c r="U26" s="606" t="s">
        <v>5702</v>
      </c>
      <c r="V26" s="606" t="s">
        <v>309</v>
      </c>
      <c r="Y26" s="1685">
        <v>45493.0</v>
      </c>
      <c r="Z26" s="606" t="s">
        <v>1134</v>
      </c>
      <c r="AA26" s="606" t="s">
        <v>5709</v>
      </c>
      <c r="AB26" s="606" t="s">
        <v>477</v>
      </c>
      <c r="AE26" s="1682">
        <v>45564.0</v>
      </c>
      <c r="AF26" s="606" t="s">
        <v>1412</v>
      </c>
      <c r="AG26" s="606" t="s">
        <v>108</v>
      </c>
      <c r="AH26" s="606" t="s">
        <v>194</v>
      </c>
      <c r="AK26" s="1685">
        <v>45448.0</v>
      </c>
      <c r="AL26" s="606" t="s">
        <v>2899</v>
      </c>
      <c r="AM26" s="606" t="s">
        <v>555</v>
      </c>
      <c r="AN26" s="606" t="s">
        <v>531</v>
      </c>
      <c r="AO26" s="606" t="s">
        <v>5750</v>
      </c>
      <c r="AQ26" s="1682">
        <v>45440.0</v>
      </c>
      <c r="AR26" s="606" t="s">
        <v>1280</v>
      </c>
      <c r="AS26" s="606" t="s">
        <v>2316</v>
      </c>
      <c r="AT26" s="606" t="s">
        <v>315</v>
      </c>
    </row>
    <row r="27">
      <c r="A27" s="1682">
        <v>45611.0</v>
      </c>
      <c r="B27" s="606" t="s">
        <v>1190</v>
      </c>
      <c r="C27" s="606" t="s">
        <v>5701</v>
      </c>
      <c r="D27" s="606" t="s">
        <v>263</v>
      </c>
      <c r="G27" s="1682">
        <v>45593.7125</v>
      </c>
      <c r="H27" s="606" t="s">
        <v>2899</v>
      </c>
      <c r="I27" s="1684" t="s">
        <v>2142</v>
      </c>
      <c r="J27" s="1684" t="s">
        <v>348</v>
      </c>
      <c r="M27" s="1683">
        <v>45602.0</v>
      </c>
      <c r="N27" s="606" t="s">
        <v>2899</v>
      </c>
      <c r="O27" s="606" t="s">
        <v>5703</v>
      </c>
      <c r="P27" s="606" t="s">
        <v>266</v>
      </c>
      <c r="Q27" s="606" t="s">
        <v>5751</v>
      </c>
      <c r="S27" s="1685">
        <v>45593.0</v>
      </c>
      <c r="T27" s="606" t="s">
        <v>2899</v>
      </c>
      <c r="U27" s="606" t="s">
        <v>5702</v>
      </c>
      <c r="V27" s="606" t="s">
        <v>498</v>
      </c>
      <c r="W27" s="606">
        <v>65.0</v>
      </c>
      <c r="Y27" s="1685">
        <v>45484.0</v>
      </c>
      <c r="Z27" s="606" t="s">
        <v>667</v>
      </c>
      <c r="AA27" s="606" t="s">
        <v>1524</v>
      </c>
      <c r="AB27" s="606" t="s">
        <v>5752</v>
      </c>
      <c r="AE27" s="1682">
        <v>45556.0</v>
      </c>
      <c r="AF27" s="606" t="s">
        <v>1569</v>
      </c>
      <c r="AG27" s="606" t="s">
        <v>5712</v>
      </c>
      <c r="AH27" s="606" t="s">
        <v>54</v>
      </c>
      <c r="AK27" s="1685">
        <v>45428.0</v>
      </c>
      <c r="AL27" s="606" t="s">
        <v>1008</v>
      </c>
      <c r="AM27" s="606" t="s">
        <v>5714</v>
      </c>
      <c r="AN27" s="606" t="s">
        <v>533</v>
      </c>
      <c r="AQ27" s="1682">
        <v>45435.0</v>
      </c>
      <c r="AR27" s="606" t="s">
        <v>1280</v>
      </c>
      <c r="AS27" s="606" t="s">
        <v>2316</v>
      </c>
      <c r="AT27" s="606" t="s">
        <v>326</v>
      </c>
    </row>
    <row r="28">
      <c r="A28" s="1683">
        <v>45610.0</v>
      </c>
      <c r="B28" s="606" t="s">
        <v>1190</v>
      </c>
      <c r="C28" s="606" t="s">
        <v>5701</v>
      </c>
      <c r="D28" s="606" t="s">
        <v>542</v>
      </c>
      <c r="E28" s="606" t="s">
        <v>5753</v>
      </c>
      <c r="G28" s="1682">
        <v>45591.60138888889</v>
      </c>
      <c r="H28" s="606" t="s">
        <v>667</v>
      </c>
      <c r="I28" s="606" t="s">
        <v>2142</v>
      </c>
      <c r="J28" s="606" t="s">
        <v>456</v>
      </c>
      <c r="M28" s="1682">
        <v>45600.04791666667</v>
      </c>
      <c r="N28" s="606" t="s">
        <v>1116</v>
      </c>
      <c r="O28" s="606" t="s">
        <v>5703</v>
      </c>
      <c r="P28" s="606" t="s">
        <v>294</v>
      </c>
      <c r="S28" s="1685">
        <v>45592.0</v>
      </c>
      <c r="T28" s="606" t="s">
        <v>727</v>
      </c>
      <c r="U28" s="606" t="s">
        <v>1520</v>
      </c>
      <c r="V28" s="606" t="s">
        <v>1379</v>
      </c>
      <c r="W28" s="606">
        <v>42.5</v>
      </c>
      <c r="Y28" s="1685">
        <v>45478.0</v>
      </c>
      <c r="Z28" s="606" t="s">
        <v>1212</v>
      </c>
      <c r="AA28" s="606" t="s">
        <v>1524</v>
      </c>
      <c r="AB28" s="606" t="s">
        <v>496</v>
      </c>
      <c r="AC28" s="606" t="s">
        <v>5754</v>
      </c>
      <c r="AE28" s="1682">
        <v>45555.0</v>
      </c>
      <c r="AF28" s="606" t="s">
        <v>1569</v>
      </c>
      <c r="AG28" s="606" t="s">
        <v>108</v>
      </c>
      <c r="AH28" s="606" t="s">
        <v>91</v>
      </c>
      <c r="AK28" s="1685">
        <v>45414.0</v>
      </c>
      <c r="AL28" s="606" t="s">
        <v>5755</v>
      </c>
      <c r="AM28" s="606" t="s">
        <v>555</v>
      </c>
      <c r="AN28" s="606" t="s">
        <v>252</v>
      </c>
      <c r="AO28" s="606" t="s">
        <v>5756</v>
      </c>
      <c r="AQ28" s="1682">
        <v>45412.0</v>
      </c>
      <c r="AR28" s="606" t="s">
        <v>1174</v>
      </c>
      <c r="AS28" s="606" t="s">
        <v>2316</v>
      </c>
      <c r="AT28" s="606" t="s">
        <v>219</v>
      </c>
    </row>
    <row r="29">
      <c r="A29" s="1682">
        <v>45610.0</v>
      </c>
      <c r="B29" s="606" t="s">
        <v>1362</v>
      </c>
      <c r="C29" s="606" t="s">
        <v>5701</v>
      </c>
      <c r="D29" s="606" t="s">
        <v>435</v>
      </c>
      <c r="G29" s="1682">
        <v>45588.345138888886</v>
      </c>
      <c r="H29" s="606" t="s">
        <v>1190</v>
      </c>
      <c r="I29" s="606" t="s">
        <v>2142</v>
      </c>
      <c r="J29" s="606" t="s">
        <v>141</v>
      </c>
      <c r="M29" s="1682">
        <v>45598.84166666667</v>
      </c>
      <c r="N29" s="606" t="s">
        <v>1066</v>
      </c>
      <c r="O29" s="606" t="s">
        <v>5703</v>
      </c>
      <c r="P29" s="606" t="s">
        <v>268</v>
      </c>
      <c r="S29" s="1682">
        <v>45592.0</v>
      </c>
      <c r="T29" s="606" t="s">
        <v>1362</v>
      </c>
      <c r="U29" s="606" t="s">
        <v>5702</v>
      </c>
      <c r="V29" s="606" t="s">
        <v>135</v>
      </c>
      <c r="Y29" s="1685">
        <v>45478.0</v>
      </c>
      <c r="Z29" s="606" t="s">
        <v>667</v>
      </c>
      <c r="AA29" s="606" t="s">
        <v>5710</v>
      </c>
      <c r="AB29" s="606" t="s">
        <v>51</v>
      </c>
      <c r="AE29" s="1682">
        <v>45549.0</v>
      </c>
      <c r="AF29" s="606" t="s">
        <v>667</v>
      </c>
      <c r="AG29" s="606" t="s">
        <v>5712</v>
      </c>
      <c r="AH29" s="606" t="s">
        <v>456</v>
      </c>
      <c r="AK29" s="1685">
        <v>45402.0</v>
      </c>
      <c r="AL29" s="606" t="s">
        <v>837</v>
      </c>
      <c r="AM29" s="606" t="s">
        <v>2335</v>
      </c>
      <c r="AN29" s="606" t="s">
        <v>357</v>
      </c>
      <c r="AQ29" s="1682">
        <v>45402.0</v>
      </c>
      <c r="AR29" s="606" t="s">
        <v>919</v>
      </c>
      <c r="AS29" s="606" t="s">
        <v>2316</v>
      </c>
      <c r="AT29" s="606" t="s">
        <v>94</v>
      </c>
    </row>
    <row r="30">
      <c r="A30" s="1682">
        <v>45608.0</v>
      </c>
      <c r="B30" s="606" t="s">
        <v>667</v>
      </c>
      <c r="C30" s="606" t="s">
        <v>5701</v>
      </c>
      <c r="D30" s="606" t="s">
        <v>409</v>
      </c>
      <c r="G30" s="1682">
        <v>45586.44861111111</v>
      </c>
      <c r="H30" s="606" t="s">
        <v>1190</v>
      </c>
      <c r="I30" s="606" t="s">
        <v>2142</v>
      </c>
      <c r="J30" s="606" t="s">
        <v>5757</v>
      </c>
      <c r="M30" s="1683">
        <v>45596.0</v>
      </c>
      <c r="N30" s="606" t="s">
        <v>3858</v>
      </c>
      <c r="O30" s="606" t="s">
        <v>5703</v>
      </c>
      <c r="P30" s="606" t="s">
        <v>87</v>
      </c>
      <c r="Q30" s="606" t="s">
        <v>3919</v>
      </c>
      <c r="S30" s="1682">
        <v>45590.0</v>
      </c>
      <c r="T30" s="606" t="s">
        <v>830</v>
      </c>
      <c r="U30" s="606" t="s">
        <v>5702</v>
      </c>
      <c r="V30" s="606" t="s">
        <v>122</v>
      </c>
      <c r="Y30" s="1685">
        <v>45466.0</v>
      </c>
      <c r="Z30" s="606" t="s">
        <v>667</v>
      </c>
      <c r="AA30" s="606" t="s">
        <v>1524</v>
      </c>
      <c r="AB30" s="606" t="s">
        <v>5036</v>
      </c>
      <c r="AE30" s="1682">
        <v>45543.0</v>
      </c>
      <c r="AF30" s="606" t="s">
        <v>1412</v>
      </c>
      <c r="AG30" s="606" t="s">
        <v>5712</v>
      </c>
      <c r="AH30" s="606" t="s">
        <v>185</v>
      </c>
      <c r="AK30" s="1685">
        <v>45396.0</v>
      </c>
      <c r="AL30" s="606" t="s">
        <v>919</v>
      </c>
      <c r="AM30" s="606" t="s">
        <v>5713</v>
      </c>
      <c r="AN30" s="606" t="s">
        <v>5758</v>
      </c>
      <c r="AQ30" s="1682">
        <v>45386.0</v>
      </c>
      <c r="AR30" s="606" t="s">
        <v>1174</v>
      </c>
      <c r="AS30" s="606" t="s">
        <v>2316</v>
      </c>
      <c r="AT30" s="606" t="s">
        <v>219</v>
      </c>
    </row>
    <row r="31">
      <c r="A31" s="1683">
        <v>45605.0</v>
      </c>
      <c r="B31" s="606" t="s">
        <v>761</v>
      </c>
      <c r="C31" s="606" t="s">
        <v>5701</v>
      </c>
      <c r="D31" s="606" t="s">
        <v>496</v>
      </c>
      <c r="E31" s="606">
        <v>46.0</v>
      </c>
      <c r="G31" s="1682">
        <v>45583.21319444444</v>
      </c>
      <c r="H31" s="606" t="s">
        <v>1190</v>
      </c>
      <c r="I31" s="606" t="s">
        <v>2142</v>
      </c>
      <c r="J31" s="606" t="s">
        <v>516</v>
      </c>
      <c r="M31" s="1682">
        <v>45595.0</v>
      </c>
      <c r="N31" s="606" t="s">
        <v>1362</v>
      </c>
      <c r="O31" s="606" t="s">
        <v>5703</v>
      </c>
      <c r="P31" s="606" t="s">
        <v>5734</v>
      </c>
      <c r="S31" s="1682">
        <v>45586.0</v>
      </c>
      <c r="T31" s="606" t="s">
        <v>727</v>
      </c>
      <c r="U31" s="606" t="s">
        <v>1520</v>
      </c>
      <c r="V31" s="606" t="s">
        <v>532</v>
      </c>
      <c r="Y31" s="1685">
        <v>45459.0</v>
      </c>
      <c r="Z31" s="606" t="s">
        <v>5759</v>
      </c>
      <c r="AA31" s="606" t="s">
        <v>5726</v>
      </c>
      <c r="AB31" s="606" t="s">
        <v>61</v>
      </c>
      <c r="AE31" s="1685">
        <v>45538.0</v>
      </c>
      <c r="AF31" s="606" t="s">
        <v>822</v>
      </c>
      <c r="AG31" s="606" t="s">
        <v>108</v>
      </c>
      <c r="AH31" s="606" t="s">
        <v>413</v>
      </c>
      <c r="AI31" s="606">
        <v>43.0</v>
      </c>
      <c r="AK31" s="1685">
        <v>45377.0</v>
      </c>
      <c r="AL31" s="606" t="s">
        <v>837</v>
      </c>
      <c r="AM31" s="606" t="s">
        <v>5714</v>
      </c>
      <c r="AN31" s="606" t="s">
        <v>357</v>
      </c>
      <c r="AQ31" s="1682">
        <v>45378.0</v>
      </c>
      <c r="AR31" s="606" t="s">
        <v>1280</v>
      </c>
      <c r="AS31" s="606" t="s">
        <v>2316</v>
      </c>
      <c r="AT31" s="606" t="s">
        <v>19</v>
      </c>
    </row>
    <row r="32">
      <c r="A32" s="1682">
        <v>45604.0</v>
      </c>
      <c r="B32" s="606" t="s">
        <v>863</v>
      </c>
      <c r="C32" s="606" t="s">
        <v>2042</v>
      </c>
      <c r="D32" s="606" t="s">
        <v>320</v>
      </c>
      <c r="G32" s="1682">
        <v>45581.416666666664</v>
      </c>
      <c r="H32" s="606" t="s">
        <v>1190</v>
      </c>
      <c r="I32" s="606" t="s">
        <v>2142</v>
      </c>
      <c r="J32" s="606" t="s">
        <v>457</v>
      </c>
      <c r="M32" s="1682">
        <v>45594.0</v>
      </c>
      <c r="N32" s="606" t="s">
        <v>1190</v>
      </c>
      <c r="O32" s="606" t="s">
        <v>5703</v>
      </c>
      <c r="P32" s="606" t="s">
        <v>499</v>
      </c>
      <c r="S32" s="1685">
        <v>45583.0</v>
      </c>
      <c r="T32" s="606" t="s">
        <v>727</v>
      </c>
      <c r="U32" s="606" t="s">
        <v>5702</v>
      </c>
      <c r="V32" s="606" t="s">
        <v>1351</v>
      </c>
      <c r="W32" s="606">
        <v>43.0</v>
      </c>
      <c r="Y32" s="1685">
        <v>45457.0</v>
      </c>
      <c r="Z32" s="606" t="s">
        <v>5303</v>
      </c>
      <c r="AA32" s="606" t="s">
        <v>1524</v>
      </c>
      <c r="AB32" s="606" t="s">
        <v>3339</v>
      </c>
      <c r="AE32" s="1682">
        <v>45537.0</v>
      </c>
      <c r="AF32" s="606" t="s">
        <v>1569</v>
      </c>
      <c r="AG32" s="606" t="s">
        <v>5712</v>
      </c>
      <c r="AH32" s="606" t="s">
        <v>92</v>
      </c>
      <c r="AK32" s="1685">
        <v>45374.0</v>
      </c>
      <c r="AL32" s="606" t="s">
        <v>837</v>
      </c>
      <c r="AM32" s="606" t="s">
        <v>555</v>
      </c>
      <c r="AN32" s="606" t="s">
        <v>513</v>
      </c>
      <c r="AO32" s="606">
        <v>63.0</v>
      </c>
      <c r="AQ32" s="1682">
        <v>45367.0</v>
      </c>
      <c r="AR32" s="606" t="s">
        <v>1280</v>
      </c>
      <c r="AS32" s="606" t="s">
        <v>2316</v>
      </c>
      <c r="AT32" s="606" t="s">
        <v>309</v>
      </c>
    </row>
    <row r="33">
      <c r="A33" s="1682">
        <v>45599.0</v>
      </c>
      <c r="B33" s="606" t="s">
        <v>1190</v>
      </c>
      <c r="C33" s="606" t="s">
        <v>5701</v>
      </c>
      <c r="D33" s="606" t="s">
        <v>466</v>
      </c>
      <c r="G33" s="1682">
        <v>45577.58472222222</v>
      </c>
      <c r="H33" s="606" t="s">
        <v>1190</v>
      </c>
      <c r="I33" s="606" t="s">
        <v>2142</v>
      </c>
      <c r="J33" s="606" t="s">
        <v>263</v>
      </c>
      <c r="M33" s="1682">
        <v>45592.0</v>
      </c>
      <c r="N33" s="606" t="s">
        <v>2899</v>
      </c>
      <c r="O33" s="606" t="s">
        <v>5703</v>
      </c>
      <c r="P33" s="606" t="s">
        <v>2911</v>
      </c>
      <c r="S33" s="1682">
        <v>45580.0</v>
      </c>
      <c r="T33" s="606" t="s">
        <v>727</v>
      </c>
      <c r="U33" s="606" t="s">
        <v>1520</v>
      </c>
      <c r="V33" s="606" t="s">
        <v>2904</v>
      </c>
      <c r="Y33" s="1685">
        <v>45451.0</v>
      </c>
      <c r="Z33" s="606" t="s">
        <v>5303</v>
      </c>
      <c r="AA33" s="606" t="s">
        <v>5709</v>
      </c>
      <c r="AB33" s="606" t="s">
        <v>5760</v>
      </c>
      <c r="AC33" s="606">
        <v>79.0</v>
      </c>
      <c r="AE33" s="1682">
        <v>45531.0</v>
      </c>
      <c r="AF33" s="606" t="s">
        <v>830</v>
      </c>
      <c r="AG33" s="606" t="s">
        <v>108</v>
      </c>
      <c r="AH33" s="606" t="s">
        <v>330</v>
      </c>
      <c r="AK33" s="1685">
        <v>45334.0</v>
      </c>
      <c r="AL33" s="606" t="s">
        <v>919</v>
      </c>
      <c r="AM33" s="606" t="s">
        <v>5713</v>
      </c>
      <c r="AN33" s="606" t="s">
        <v>5761</v>
      </c>
      <c r="AO33" s="606">
        <v>75.0</v>
      </c>
      <c r="AQ33" s="1682">
        <v>45358.0</v>
      </c>
      <c r="AR33" s="606" t="s">
        <v>1174</v>
      </c>
      <c r="AS33" s="606" t="s">
        <v>2316</v>
      </c>
      <c r="AT33" s="606" t="s">
        <v>219</v>
      </c>
    </row>
    <row r="34">
      <c r="A34" s="1685">
        <v>45597.0</v>
      </c>
      <c r="B34" s="606" t="s">
        <v>1227</v>
      </c>
      <c r="C34" s="606" t="s">
        <v>5701</v>
      </c>
      <c r="D34" s="606" t="s">
        <v>821</v>
      </c>
      <c r="E34" s="606">
        <v>60.0</v>
      </c>
      <c r="G34" s="1685">
        <v>45574.0</v>
      </c>
      <c r="H34" s="606" t="s">
        <v>2899</v>
      </c>
      <c r="I34" s="606" t="s">
        <v>2142</v>
      </c>
      <c r="J34" s="606" t="s">
        <v>543</v>
      </c>
      <c r="K34" s="606">
        <v>31.0</v>
      </c>
      <c r="M34" s="1682">
        <v>45591.0</v>
      </c>
      <c r="N34" s="606" t="s">
        <v>5762</v>
      </c>
      <c r="O34" s="606" t="s">
        <v>5705</v>
      </c>
      <c r="P34" s="606" t="s">
        <v>88</v>
      </c>
      <c r="S34" s="1682">
        <v>45580.0</v>
      </c>
      <c r="T34" s="606" t="s">
        <v>1280</v>
      </c>
      <c r="U34" s="606" t="s">
        <v>5702</v>
      </c>
      <c r="V34" s="606" t="s">
        <v>326</v>
      </c>
      <c r="Y34" s="1685">
        <v>45446.0</v>
      </c>
      <c r="Z34" s="606" t="s">
        <v>667</v>
      </c>
      <c r="AA34" s="606" t="s">
        <v>1524</v>
      </c>
      <c r="AB34" s="606" t="s">
        <v>437</v>
      </c>
      <c r="AE34" s="1682">
        <v>45525.0</v>
      </c>
      <c r="AF34" s="606" t="s">
        <v>667</v>
      </c>
      <c r="AG34" s="606" t="s">
        <v>5712</v>
      </c>
      <c r="AH34" s="606" t="s">
        <v>431</v>
      </c>
      <c r="AK34" s="1682">
        <v>45334.0</v>
      </c>
      <c r="AL34" s="606" t="s">
        <v>1212</v>
      </c>
      <c r="AM34" s="606" t="s">
        <v>555</v>
      </c>
      <c r="AN34" s="606" t="s">
        <v>5763</v>
      </c>
      <c r="AQ34" s="1682">
        <v>45352.0</v>
      </c>
      <c r="AR34" s="606" t="s">
        <v>1280</v>
      </c>
      <c r="AS34" s="606" t="s">
        <v>2316</v>
      </c>
      <c r="AT34" s="606" t="s">
        <v>315</v>
      </c>
    </row>
    <row r="35">
      <c r="A35" s="1682">
        <v>45590.0</v>
      </c>
      <c r="B35" s="606" t="s">
        <v>863</v>
      </c>
      <c r="C35" s="606" t="s">
        <v>5701</v>
      </c>
      <c r="D35" s="606" t="s">
        <v>272</v>
      </c>
      <c r="G35" s="1682">
        <v>45572.74236111111</v>
      </c>
      <c r="H35" s="606" t="s">
        <v>1190</v>
      </c>
      <c r="I35" s="606" t="s">
        <v>2142</v>
      </c>
      <c r="J35" s="606" t="s">
        <v>102</v>
      </c>
      <c r="M35" s="1682">
        <v>45584.0</v>
      </c>
      <c r="N35" s="606" t="s">
        <v>2899</v>
      </c>
      <c r="O35" s="606" t="s">
        <v>5703</v>
      </c>
      <c r="P35" s="606" t="s">
        <v>5732</v>
      </c>
      <c r="S35" s="1682">
        <v>45577.0</v>
      </c>
      <c r="T35" s="606" t="s">
        <v>1466</v>
      </c>
      <c r="U35" s="606" t="s">
        <v>5702</v>
      </c>
      <c r="V35" s="606" t="s">
        <v>5764</v>
      </c>
      <c r="Y35" s="1685">
        <v>45436.0</v>
      </c>
      <c r="Z35" s="606" t="s">
        <v>1212</v>
      </c>
      <c r="AA35" s="606" t="s">
        <v>1524</v>
      </c>
      <c r="AB35" s="606" t="s">
        <v>434</v>
      </c>
      <c r="AE35" s="1682">
        <v>45522.0</v>
      </c>
      <c r="AF35" s="606" t="s">
        <v>1569</v>
      </c>
      <c r="AG35" s="606" t="s">
        <v>108</v>
      </c>
      <c r="AH35" s="606" t="s">
        <v>54</v>
      </c>
      <c r="AK35" s="1682">
        <v>45328.0</v>
      </c>
      <c r="AL35" s="606" t="s">
        <v>1170</v>
      </c>
      <c r="AM35" s="606" t="s">
        <v>555</v>
      </c>
      <c r="AN35" s="606" t="s">
        <v>484</v>
      </c>
      <c r="AQ35" s="1682">
        <v>45314.0</v>
      </c>
      <c r="AR35" s="606" t="s">
        <v>1280</v>
      </c>
      <c r="AS35" s="1684" t="s">
        <v>2316</v>
      </c>
      <c r="AT35" s="1684" t="s">
        <v>282</v>
      </c>
    </row>
    <row r="36">
      <c r="A36" s="1682">
        <v>45589.0</v>
      </c>
      <c r="B36" s="606" t="s">
        <v>761</v>
      </c>
      <c r="C36" s="606" t="s">
        <v>5701</v>
      </c>
      <c r="D36" s="606" t="s">
        <v>548</v>
      </c>
      <c r="G36" s="1685">
        <v>45567.0</v>
      </c>
      <c r="H36" s="606" t="s">
        <v>1190</v>
      </c>
      <c r="I36" s="606" t="s">
        <v>2142</v>
      </c>
      <c r="J36" s="606" t="s">
        <v>458</v>
      </c>
      <c r="K36" s="606" t="s">
        <v>5765</v>
      </c>
      <c r="M36" s="1682">
        <v>45583.0</v>
      </c>
      <c r="N36" s="606" t="s">
        <v>1553</v>
      </c>
      <c r="O36" s="606" t="s">
        <v>5703</v>
      </c>
      <c r="P36" s="606" t="s">
        <v>527</v>
      </c>
      <c r="S36" s="1682">
        <v>45574.0</v>
      </c>
      <c r="T36" s="606" t="s">
        <v>1190</v>
      </c>
      <c r="U36" s="606" t="s">
        <v>5702</v>
      </c>
      <c r="V36" s="606" t="s">
        <v>392</v>
      </c>
      <c r="Y36" s="1685">
        <v>45427.0</v>
      </c>
      <c r="Z36" s="606" t="s">
        <v>667</v>
      </c>
      <c r="AA36" s="606" t="s">
        <v>1524</v>
      </c>
      <c r="AB36" s="606" t="s">
        <v>463</v>
      </c>
      <c r="AE36" s="1682">
        <v>45517.0</v>
      </c>
      <c r="AF36" s="606" t="s">
        <v>1569</v>
      </c>
      <c r="AG36" s="606" t="s">
        <v>5712</v>
      </c>
      <c r="AH36" s="606" t="s">
        <v>91</v>
      </c>
      <c r="AK36" s="1685">
        <v>45315.0</v>
      </c>
      <c r="AL36" s="606" t="s">
        <v>1264</v>
      </c>
      <c r="AM36" s="606" t="s">
        <v>5713</v>
      </c>
      <c r="AN36" s="606" t="s">
        <v>341</v>
      </c>
      <c r="AQ36" s="1682">
        <v>45302.90902777778</v>
      </c>
      <c r="AR36" s="606" t="s">
        <v>1174</v>
      </c>
      <c r="AS36" s="606" t="s">
        <v>2316</v>
      </c>
      <c r="AT36" s="606" t="s">
        <v>219</v>
      </c>
    </row>
    <row r="37">
      <c r="A37" s="1682">
        <v>45587.0</v>
      </c>
      <c r="B37" s="606" t="s">
        <v>1190</v>
      </c>
      <c r="C37" s="606" t="s">
        <v>5701</v>
      </c>
      <c r="D37" s="606" t="s">
        <v>45</v>
      </c>
      <c r="G37" s="1682">
        <v>45566.197916666664</v>
      </c>
      <c r="H37" s="606" t="s">
        <v>1362</v>
      </c>
      <c r="I37" s="606" t="s">
        <v>2142</v>
      </c>
      <c r="J37" s="606" t="s">
        <v>2927</v>
      </c>
      <c r="M37" s="1682">
        <v>45582.0</v>
      </c>
      <c r="N37" s="606" t="s">
        <v>1116</v>
      </c>
      <c r="O37" s="606" t="s">
        <v>5703</v>
      </c>
      <c r="P37" s="606" t="s">
        <v>311</v>
      </c>
      <c r="S37" s="1685">
        <v>45573.0</v>
      </c>
      <c r="T37" s="606" t="s">
        <v>1190</v>
      </c>
      <c r="U37" s="606" t="s">
        <v>5702</v>
      </c>
      <c r="V37" s="606" t="s">
        <v>266</v>
      </c>
      <c r="W37" s="606" t="s">
        <v>5766</v>
      </c>
      <c r="Y37" s="1685">
        <v>45414.0</v>
      </c>
      <c r="Z37" s="606" t="s">
        <v>667</v>
      </c>
      <c r="AA37" s="606" t="s">
        <v>1524</v>
      </c>
      <c r="AB37" s="606" t="s">
        <v>412</v>
      </c>
      <c r="AE37" s="1682">
        <v>45512.0</v>
      </c>
      <c r="AF37" s="606" t="s">
        <v>830</v>
      </c>
      <c r="AG37" s="606" t="s">
        <v>108</v>
      </c>
      <c r="AH37" s="606" t="s">
        <v>100</v>
      </c>
      <c r="AK37" s="1682">
        <v>45301.0</v>
      </c>
      <c r="AL37" s="606" t="s">
        <v>1170</v>
      </c>
      <c r="AM37" s="606" t="s">
        <v>555</v>
      </c>
      <c r="AN37" s="606" t="s">
        <v>484</v>
      </c>
    </row>
    <row r="38">
      <c r="A38" s="1682">
        <v>45585.0</v>
      </c>
      <c r="B38" s="606" t="s">
        <v>5601</v>
      </c>
      <c r="C38" s="606" t="s">
        <v>2042</v>
      </c>
      <c r="D38" s="606" t="s">
        <v>536</v>
      </c>
      <c r="G38" s="1682">
        <v>45564.49236111111</v>
      </c>
      <c r="H38" s="606" t="s">
        <v>1190</v>
      </c>
      <c r="I38" s="1684" t="s">
        <v>2142</v>
      </c>
      <c r="J38" s="1684" t="s">
        <v>469</v>
      </c>
      <c r="M38" s="1682">
        <v>45581.0</v>
      </c>
      <c r="N38" s="606" t="s">
        <v>1144</v>
      </c>
      <c r="O38" s="606" t="s">
        <v>5703</v>
      </c>
      <c r="P38" s="606" t="s">
        <v>577</v>
      </c>
      <c r="S38" s="1685">
        <v>45570.0</v>
      </c>
      <c r="T38" s="606" t="s">
        <v>727</v>
      </c>
      <c r="U38" s="606" t="s">
        <v>1520</v>
      </c>
      <c r="V38" s="606" t="s">
        <v>564</v>
      </c>
      <c r="W38" s="606" t="s">
        <v>5767</v>
      </c>
      <c r="Y38" s="1685">
        <v>45403.0</v>
      </c>
      <c r="Z38" s="606" t="s">
        <v>5303</v>
      </c>
      <c r="AA38" s="606" t="s">
        <v>1524</v>
      </c>
      <c r="AB38" s="606" t="s">
        <v>544</v>
      </c>
      <c r="AE38" s="1682">
        <v>45508.0</v>
      </c>
      <c r="AF38" s="606" t="s">
        <v>667</v>
      </c>
      <c r="AG38" s="606" t="s">
        <v>5712</v>
      </c>
      <c r="AH38" s="606" t="s">
        <v>409</v>
      </c>
      <c r="AK38" s="1685">
        <v>45297.0</v>
      </c>
      <c r="AL38" s="606" t="s">
        <v>837</v>
      </c>
      <c r="AM38" s="606" t="s">
        <v>555</v>
      </c>
      <c r="AN38" s="606" t="s">
        <v>3320</v>
      </c>
    </row>
    <row r="39">
      <c r="A39" s="1682">
        <v>45582.0</v>
      </c>
      <c r="B39" s="606" t="s">
        <v>5601</v>
      </c>
      <c r="C39" s="606" t="s">
        <v>5701</v>
      </c>
      <c r="D39" s="606" t="s">
        <v>478</v>
      </c>
      <c r="G39" s="1682">
        <v>45562.885416666664</v>
      </c>
      <c r="H39" s="606" t="s">
        <v>667</v>
      </c>
      <c r="I39" s="606" t="s">
        <v>2142</v>
      </c>
      <c r="J39" s="606" t="s">
        <v>409</v>
      </c>
      <c r="M39" s="1685">
        <v>45579.0</v>
      </c>
      <c r="N39" s="606" t="s">
        <v>1553</v>
      </c>
      <c r="O39" s="606" t="s">
        <v>5703</v>
      </c>
      <c r="P39" s="606" t="s">
        <v>5036</v>
      </c>
      <c r="Q39" s="606">
        <v>33.0</v>
      </c>
      <c r="S39" s="1682">
        <v>45570.0</v>
      </c>
      <c r="T39" s="606" t="s">
        <v>1466</v>
      </c>
      <c r="U39" s="606" t="s">
        <v>5702</v>
      </c>
      <c r="V39" s="606" t="s">
        <v>262</v>
      </c>
      <c r="Y39" s="1685">
        <v>45394.0</v>
      </c>
      <c r="Z39" s="606" t="s">
        <v>1212</v>
      </c>
      <c r="AA39" s="606" t="s">
        <v>1524</v>
      </c>
      <c r="AB39" s="606" t="s">
        <v>420</v>
      </c>
      <c r="AE39" s="1685">
        <v>45502.0</v>
      </c>
      <c r="AF39" s="606" t="s">
        <v>1569</v>
      </c>
      <c r="AG39" s="606" t="s">
        <v>108</v>
      </c>
      <c r="AH39" s="606" t="s">
        <v>185</v>
      </c>
    </row>
    <row r="40">
      <c r="A40" s="1682">
        <v>45581.0</v>
      </c>
      <c r="B40" s="606" t="s">
        <v>1362</v>
      </c>
      <c r="C40" s="606" t="s">
        <v>5701</v>
      </c>
      <c r="D40" s="606" t="s">
        <v>150</v>
      </c>
      <c r="G40" s="1682">
        <v>45557.21875</v>
      </c>
      <c r="H40" s="606" t="s">
        <v>1190</v>
      </c>
      <c r="I40" s="606" t="s">
        <v>2142</v>
      </c>
      <c r="J40" s="606" t="s">
        <v>466</v>
      </c>
      <c r="M40" s="1682">
        <v>45576.0</v>
      </c>
      <c r="N40" s="606" t="s">
        <v>707</v>
      </c>
      <c r="O40" s="606" t="s">
        <v>5703</v>
      </c>
      <c r="P40" s="606" t="s">
        <v>25</v>
      </c>
      <c r="S40" s="1682">
        <v>45568.0</v>
      </c>
      <c r="T40" s="606" t="s">
        <v>5733</v>
      </c>
      <c r="U40" s="606" t="s">
        <v>5702</v>
      </c>
      <c r="V40" s="606" t="s">
        <v>301</v>
      </c>
      <c r="Y40" s="1685">
        <v>45394.0</v>
      </c>
      <c r="Z40" s="606" t="s">
        <v>667</v>
      </c>
      <c r="AA40" s="606" t="s">
        <v>5710</v>
      </c>
      <c r="AB40" s="606" t="s">
        <v>205</v>
      </c>
      <c r="AE40" s="1685">
        <v>45497.0</v>
      </c>
      <c r="AF40" s="606" t="s">
        <v>1569</v>
      </c>
      <c r="AG40" s="606" t="s">
        <v>5712</v>
      </c>
      <c r="AH40" s="606" t="s">
        <v>412</v>
      </c>
    </row>
    <row r="41">
      <c r="A41" s="1682">
        <v>45579.0</v>
      </c>
      <c r="B41" s="606" t="s">
        <v>667</v>
      </c>
      <c r="C41" s="606" t="s">
        <v>5701</v>
      </c>
      <c r="D41" s="606" t="s">
        <v>425</v>
      </c>
      <c r="G41" s="1682">
        <v>45555.38888888889</v>
      </c>
      <c r="H41" s="606" t="s">
        <v>1190</v>
      </c>
      <c r="I41" s="606" t="s">
        <v>2142</v>
      </c>
      <c r="J41" s="606" t="s">
        <v>45</v>
      </c>
      <c r="M41" s="1682">
        <v>45575.0</v>
      </c>
      <c r="N41" s="606" t="s">
        <v>1362</v>
      </c>
      <c r="O41" s="606" t="s">
        <v>5703</v>
      </c>
      <c r="P41" s="606" t="s">
        <v>435</v>
      </c>
      <c r="S41" s="1685">
        <v>45566.0</v>
      </c>
      <c r="T41" s="606" t="s">
        <v>727</v>
      </c>
      <c r="U41" s="606" t="s">
        <v>1520</v>
      </c>
      <c r="V41" s="606" t="s">
        <v>482</v>
      </c>
      <c r="W41" s="606">
        <v>60.0</v>
      </c>
      <c r="Y41" s="1685">
        <v>45392.0</v>
      </c>
      <c r="Z41" s="606" t="s">
        <v>1134</v>
      </c>
      <c r="AA41" s="606" t="s">
        <v>5709</v>
      </c>
      <c r="AB41" s="606" t="s">
        <v>477</v>
      </c>
      <c r="AE41" s="1685">
        <v>45493.0</v>
      </c>
      <c r="AF41" s="606" t="s">
        <v>822</v>
      </c>
      <c r="AG41" s="606" t="s">
        <v>108</v>
      </c>
      <c r="AH41" s="606" t="s">
        <v>157</v>
      </c>
    </row>
    <row r="42">
      <c r="A42" s="1685">
        <v>45577.0</v>
      </c>
      <c r="B42" s="606" t="s">
        <v>822</v>
      </c>
      <c r="C42" s="606" t="s">
        <v>2042</v>
      </c>
      <c r="D42" s="606" t="s">
        <v>78</v>
      </c>
      <c r="E42" s="606" t="s">
        <v>5768</v>
      </c>
      <c r="G42" s="1682">
        <v>45553.47777777778</v>
      </c>
      <c r="H42" s="606" t="s">
        <v>1553</v>
      </c>
      <c r="I42" s="606" t="s">
        <v>2142</v>
      </c>
      <c r="J42" s="606" t="s">
        <v>527</v>
      </c>
      <c r="M42" s="1682">
        <v>45573.0</v>
      </c>
      <c r="N42" s="606" t="s">
        <v>2899</v>
      </c>
      <c r="O42" s="606" t="s">
        <v>5705</v>
      </c>
      <c r="P42" s="606" t="s">
        <v>348</v>
      </c>
      <c r="S42" s="1682">
        <v>45566.0</v>
      </c>
      <c r="T42" s="606" t="s">
        <v>2899</v>
      </c>
      <c r="U42" s="606" t="s">
        <v>5702</v>
      </c>
      <c r="V42" s="606" t="s">
        <v>389</v>
      </c>
      <c r="Y42" s="1685">
        <v>45381.0</v>
      </c>
      <c r="Z42" s="606" t="s">
        <v>5303</v>
      </c>
      <c r="AA42" s="606" t="s">
        <v>1524</v>
      </c>
      <c r="AB42" s="606" t="s">
        <v>1535</v>
      </c>
      <c r="AC42" s="606" t="s">
        <v>5769</v>
      </c>
      <c r="AE42" s="1685">
        <v>45489.0</v>
      </c>
      <c r="AF42" s="606" t="s">
        <v>1569</v>
      </c>
      <c r="AG42" s="606" t="s">
        <v>5712</v>
      </c>
      <c r="AH42" s="606" t="s">
        <v>92</v>
      </c>
    </row>
    <row r="43">
      <c r="A43" s="1685">
        <v>45575.0</v>
      </c>
      <c r="B43" s="606" t="s">
        <v>863</v>
      </c>
      <c r="C43" s="606" t="s">
        <v>5701</v>
      </c>
      <c r="D43" s="606" t="s">
        <v>475</v>
      </c>
      <c r="E43" s="606">
        <v>32.0</v>
      </c>
      <c r="G43" s="1685">
        <v>45549.0</v>
      </c>
      <c r="H43" s="606" t="s">
        <v>2899</v>
      </c>
      <c r="I43" s="606" t="s">
        <v>2142</v>
      </c>
      <c r="J43" s="606" t="s">
        <v>1361</v>
      </c>
      <c r="K43" s="606">
        <v>64.0</v>
      </c>
      <c r="M43" s="1682">
        <v>45573.0</v>
      </c>
      <c r="N43" s="606" t="s">
        <v>1066</v>
      </c>
      <c r="O43" s="606" t="s">
        <v>5703</v>
      </c>
      <c r="P43" s="606" t="s">
        <v>395</v>
      </c>
      <c r="S43" s="1682">
        <v>45563.0</v>
      </c>
      <c r="T43" s="606" t="s">
        <v>1280</v>
      </c>
      <c r="U43" s="606" t="s">
        <v>5702</v>
      </c>
      <c r="V43" s="606" t="s">
        <v>480</v>
      </c>
      <c r="Y43" s="1685">
        <v>45373.0</v>
      </c>
      <c r="Z43" s="606" t="s">
        <v>667</v>
      </c>
      <c r="AA43" s="606" t="s">
        <v>1524</v>
      </c>
      <c r="AB43" s="606" t="s">
        <v>51</v>
      </c>
      <c r="AE43" s="1685">
        <v>45484.0</v>
      </c>
      <c r="AF43" s="606" t="s">
        <v>1569</v>
      </c>
      <c r="AG43" s="606" t="s">
        <v>108</v>
      </c>
      <c r="AH43" s="606" t="s">
        <v>223</v>
      </c>
    </row>
    <row r="44">
      <c r="A44" s="1682">
        <v>45572.0</v>
      </c>
      <c r="B44" s="606" t="s">
        <v>1190</v>
      </c>
      <c r="C44" s="606" t="s">
        <v>5701</v>
      </c>
      <c r="D44" s="606" t="s">
        <v>499</v>
      </c>
      <c r="G44" s="1682">
        <v>45548.489583333336</v>
      </c>
      <c r="H44" s="606" t="s">
        <v>1151</v>
      </c>
      <c r="I44" s="606" t="s">
        <v>2142</v>
      </c>
      <c r="J44" s="606" t="s">
        <v>252</v>
      </c>
      <c r="M44" s="1682">
        <v>45569.0</v>
      </c>
      <c r="N44" s="606" t="s">
        <v>5762</v>
      </c>
      <c r="O44" s="606" t="s">
        <v>5703</v>
      </c>
      <c r="P44" s="606" t="s">
        <v>87</v>
      </c>
      <c r="S44" s="1685">
        <v>45560.0</v>
      </c>
      <c r="T44" s="606" t="s">
        <v>727</v>
      </c>
      <c r="U44" s="606" t="s">
        <v>1520</v>
      </c>
      <c r="V44" s="606" t="s">
        <v>316</v>
      </c>
      <c r="W44" s="606">
        <v>71.0</v>
      </c>
      <c r="Y44" s="1685">
        <v>45362.0</v>
      </c>
      <c r="Z44" s="606" t="s">
        <v>5303</v>
      </c>
      <c r="AA44" s="606" t="s">
        <v>1524</v>
      </c>
      <c r="AB44" s="606" t="s">
        <v>925</v>
      </c>
      <c r="AC44" s="606" t="s">
        <v>5770</v>
      </c>
      <c r="AE44" s="1685">
        <v>45481.0</v>
      </c>
      <c r="AF44" s="606" t="s">
        <v>968</v>
      </c>
      <c r="AG44" s="606" t="s">
        <v>5712</v>
      </c>
      <c r="AH44" s="606" t="s">
        <v>128</v>
      </c>
      <c r="AI44" s="606">
        <v>81.0</v>
      </c>
    </row>
    <row r="45">
      <c r="A45" s="1685">
        <v>45569.0</v>
      </c>
      <c r="B45" s="606" t="s">
        <v>1227</v>
      </c>
      <c r="C45" s="606" t="s">
        <v>5771</v>
      </c>
      <c r="D45" s="606" t="s">
        <v>533</v>
      </c>
      <c r="E45" s="606">
        <v>40.0</v>
      </c>
      <c r="G45" s="1682">
        <v>45546.17847222222</v>
      </c>
      <c r="H45" s="606" t="s">
        <v>1190</v>
      </c>
      <c r="I45" s="606" t="s">
        <v>2142</v>
      </c>
      <c r="J45" s="606" t="s">
        <v>457</v>
      </c>
      <c r="M45" s="1682">
        <v>45568.0</v>
      </c>
      <c r="N45" s="606" t="s">
        <v>2899</v>
      </c>
      <c r="O45" s="606" t="s">
        <v>5703</v>
      </c>
      <c r="P45" s="606" t="s">
        <v>5732</v>
      </c>
      <c r="S45" s="1682">
        <v>45555.0</v>
      </c>
      <c r="T45" s="606" t="s">
        <v>1190</v>
      </c>
      <c r="U45" s="606" t="s">
        <v>5702</v>
      </c>
      <c r="V45" s="606" t="s">
        <v>516</v>
      </c>
      <c r="Y45" s="1685">
        <v>45352.0</v>
      </c>
      <c r="Z45" s="606" t="s">
        <v>1212</v>
      </c>
      <c r="AA45" s="606" t="s">
        <v>1524</v>
      </c>
      <c r="AB45" s="606" t="s">
        <v>3114</v>
      </c>
      <c r="AC45" s="606" t="s">
        <v>5765</v>
      </c>
      <c r="AE45" s="1685">
        <v>45477.0</v>
      </c>
      <c r="AF45" s="606" t="s">
        <v>1569</v>
      </c>
      <c r="AG45" s="606" t="s">
        <v>108</v>
      </c>
      <c r="AH45" s="606" t="s">
        <v>54</v>
      </c>
    </row>
    <row r="46">
      <c r="A46" s="1682">
        <v>45569.0</v>
      </c>
      <c r="B46" s="606" t="s">
        <v>1116</v>
      </c>
      <c r="C46" s="606" t="s">
        <v>5701</v>
      </c>
      <c r="D46" s="606" t="s">
        <v>294</v>
      </c>
      <c r="G46" s="1682">
        <v>45542.436111111114</v>
      </c>
      <c r="H46" s="606" t="s">
        <v>667</v>
      </c>
      <c r="I46" s="606" t="s">
        <v>2142</v>
      </c>
      <c r="J46" s="606" t="s">
        <v>282</v>
      </c>
      <c r="M46" s="1682">
        <v>45567.0</v>
      </c>
      <c r="N46" s="606" t="s">
        <v>1362</v>
      </c>
      <c r="O46" s="606" t="s">
        <v>5703</v>
      </c>
      <c r="P46" s="606" t="s">
        <v>111</v>
      </c>
      <c r="S46" s="1682">
        <v>45554.0</v>
      </c>
      <c r="T46" s="606" t="s">
        <v>1313</v>
      </c>
      <c r="U46" s="606" t="s">
        <v>1520</v>
      </c>
      <c r="V46" s="606" t="s">
        <v>305</v>
      </c>
      <c r="Y46" s="1685">
        <v>45344.0</v>
      </c>
      <c r="Z46" s="606" t="s">
        <v>667</v>
      </c>
      <c r="AA46" s="606" t="s">
        <v>1524</v>
      </c>
      <c r="AB46" s="606" t="s">
        <v>5036</v>
      </c>
      <c r="AE46" s="1685">
        <v>45473.0</v>
      </c>
      <c r="AF46" s="606" t="s">
        <v>1569</v>
      </c>
      <c r="AG46" s="606" t="s">
        <v>5712</v>
      </c>
      <c r="AH46" s="606" t="s">
        <v>91</v>
      </c>
    </row>
    <row r="47">
      <c r="A47" s="1682">
        <v>45567.0</v>
      </c>
      <c r="B47" s="606" t="s">
        <v>1280</v>
      </c>
      <c r="C47" s="606" t="s">
        <v>2042</v>
      </c>
      <c r="D47" s="606" t="s">
        <v>584</v>
      </c>
      <c r="G47" s="1685">
        <v>45541.0</v>
      </c>
      <c r="H47" s="606" t="s">
        <v>1362</v>
      </c>
      <c r="I47" s="606" t="s">
        <v>2142</v>
      </c>
      <c r="J47" s="606" t="s">
        <v>25</v>
      </c>
      <c r="K47" s="606" t="s">
        <v>5756</v>
      </c>
      <c r="M47" s="1685">
        <v>45563.0</v>
      </c>
      <c r="N47" s="606" t="s">
        <v>830</v>
      </c>
      <c r="O47" s="606" t="s">
        <v>5703</v>
      </c>
      <c r="P47" s="606" t="s">
        <v>550</v>
      </c>
      <c r="Q47" s="606">
        <v>58.5</v>
      </c>
      <c r="S47" s="1682">
        <v>45553.0</v>
      </c>
      <c r="T47" s="606" t="s">
        <v>1066</v>
      </c>
      <c r="U47" s="606" t="s">
        <v>5702</v>
      </c>
      <c r="V47" s="606" t="s">
        <v>575</v>
      </c>
      <c r="Y47" s="1685">
        <v>45339.0</v>
      </c>
      <c r="Z47" s="606" t="s">
        <v>667</v>
      </c>
      <c r="AA47" s="606" t="s">
        <v>1523</v>
      </c>
      <c r="AB47" s="606" t="s">
        <v>51</v>
      </c>
      <c r="AE47" s="1685">
        <v>45465.0</v>
      </c>
      <c r="AF47" s="606" t="s">
        <v>1569</v>
      </c>
      <c r="AG47" s="606" t="s">
        <v>108</v>
      </c>
      <c r="AH47" s="606" t="s">
        <v>185</v>
      </c>
    </row>
    <row r="48">
      <c r="A48" s="1685">
        <v>45566.0</v>
      </c>
      <c r="B48" s="606" t="s">
        <v>1190</v>
      </c>
      <c r="C48" s="606" t="s">
        <v>5701</v>
      </c>
      <c r="D48" s="606" t="s">
        <v>5738</v>
      </c>
      <c r="E48" s="606">
        <v>42.0</v>
      </c>
      <c r="G48" s="1682">
        <v>45537.229166666664</v>
      </c>
      <c r="H48" s="606" t="s">
        <v>667</v>
      </c>
      <c r="I48" s="606" t="s">
        <v>2142</v>
      </c>
      <c r="J48" s="606" t="s">
        <v>437</v>
      </c>
      <c r="M48" s="1682">
        <v>45559.0</v>
      </c>
      <c r="N48" s="606" t="s">
        <v>1280</v>
      </c>
      <c r="O48" s="606" t="s">
        <v>5703</v>
      </c>
      <c r="P48" s="606" t="s">
        <v>19</v>
      </c>
      <c r="S48" s="1682">
        <v>45547.0</v>
      </c>
      <c r="T48" s="606" t="s">
        <v>667</v>
      </c>
      <c r="U48" s="606" t="s">
        <v>5702</v>
      </c>
      <c r="V48" s="606" t="s">
        <v>5036</v>
      </c>
      <c r="Y48" s="1685">
        <v>45330.0</v>
      </c>
      <c r="Z48" s="606" t="s">
        <v>5303</v>
      </c>
      <c r="AA48" s="606" t="s">
        <v>1524</v>
      </c>
      <c r="AB48" s="606" t="s">
        <v>5772</v>
      </c>
      <c r="AC48" s="606" t="s">
        <v>5773</v>
      </c>
      <c r="AE48" s="1685">
        <v>45465.0</v>
      </c>
      <c r="AF48" s="606" t="s">
        <v>1569</v>
      </c>
      <c r="AG48" s="606" t="s">
        <v>5712</v>
      </c>
      <c r="AH48" s="606" t="s">
        <v>100</v>
      </c>
    </row>
    <row r="49">
      <c r="A49" s="1682">
        <v>45564.0</v>
      </c>
      <c r="B49" s="606" t="s">
        <v>1190</v>
      </c>
      <c r="C49" s="606" t="s">
        <v>5701</v>
      </c>
      <c r="D49" s="606" t="s">
        <v>369</v>
      </c>
      <c r="G49" s="1685">
        <v>45537.0</v>
      </c>
      <c r="H49" s="606" t="s">
        <v>1190</v>
      </c>
      <c r="I49" s="606" t="s">
        <v>2142</v>
      </c>
      <c r="J49" s="606" t="s">
        <v>425</v>
      </c>
      <c r="K49" s="606">
        <v>71.0</v>
      </c>
      <c r="M49" s="1682">
        <v>45558.0</v>
      </c>
      <c r="N49" s="606" t="s">
        <v>707</v>
      </c>
      <c r="O49" s="606" t="s">
        <v>5703</v>
      </c>
      <c r="P49" s="606" t="s">
        <v>88</v>
      </c>
      <c r="S49" s="1685">
        <v>45545.0</v>
      </c>
      <c r="T49" s="606" t="s">
        <v>727</v>
      </c>
      <c r="U49" s="606" t="s">
        <v>1520</v>
      </c>
      <c r="V49" s="606" t="s">
        <v>542</v>
      </c>
      <c r="W49" s="606">
        <v>50.0</v>
      </c>
      <c r="Y49" s="1685">
        <v>45330.0</v>
      </c>
      <c r="Z49" s="606" t="s">
        <v>667</v>
      </c>
      <c r="AA49" s="606" t="s">
        <v>5726</v>
      </c>
      <c r="AB49" s="606" t="s">
        <v>456</v>
      </c>
      <c r="AE49" s="1685">
        <v>45458.0</v>
      </c>
      <c r="AF49" s="606" t="s">
        <v>1569</v>
      </c>
      <c r="AG49" s="606" t="s">
        <v>108</v>
      </c>
      <c r="AH49" s="606" t="s">
        <v>157</v>
      </c>
    </row>
    <row r="50">
      <c r="A50" s="1685">
        <v>45563.0</v>
      </c>
      <c r="B50" s="606" t="s">
        <v>901</v>
      </c>
      <c r="C50" s="606" t="s">
        <v>5701</v>
      </c>
      <c r="D50" s="606" t="s">
        <v>323</v>
      </c>
      <c r="E50" s="606">
        <v>45.0</v>
      </c>
      <c r="G50" s="1685">
        <v>45533.0</v>
      </c>
      <c r="H50" s="606" t="s">
        <v>901</v>
      </c>
      <c r="I50" s="606" t="s">
        <v>2142</v>
      </c>
      <c r="J50" s="606" t="s">
        <v>323</v>
      </c>
      <c r="K50" s="606">
        <v>43.0</v>
      </c>
      <c r="M50" s="1682">
        <v>45555.0</v>
      </c>
      <c r="N50" s="606" t="s">
        <v>761</v>
      </c>
      <c r="O50" s="606" t="s">
        <v>5703</v>
      </c>
      <c r="P50" s="606" t="s">
        <v>207</v>
      </c>
      <c r="S50" s="1682">
        <v>45543.0</v>
      </c>
      <c r="T50" s="606" t="s">
        <v>727</v>
      </c>
      <c r="U50" s="606" t="s">
        <v>1520</v>
      </c>
      <c r="V50" s="606" t="s">
        <v>2904</v>
      </c>
      <c r="Y50" s="1685">
        <v>45327.0</v>
      </c>
      <c r="Z50" s="606" t="s">
        <v>1569</v>
      </c>
      <c r="AA50" s="606" t="s">
        <v>1641</v>
      </c>
      <c r="AB50" s="606" t="s">
        <v>54</v>
      </c>
      <c r="AE50" s="1685">
        <v>45456.0</v>
      </c>
      <c r="AF50" s="606" t="s">
        <v>667</v>
      </c>
      <c r="AG50" s="606" t="s">
        <v>5712</v>
      </c>
      <c r="AH50" s="606" t="s">
        <v>412</v>
      </c>
    </row>
    <row r="51">
      <c r="A51" s="1682">
        <v>45562.0</v>
      </c>
      <c r="B51" s="606" t="s">
        <v>863</v>
      </c>
      <c r="C51" s="606" t="s">
        <v>5701</v>
      </c>
      <c r="D51" s="606" t="s">
        <v>372</v>
      </c>
      <c r="G51" s="1683">
        <v>45532.0</v>
      </c>
      <c r="H51" s="606" t="s">
        <v>5774</v>
      </c>
      <c r="I51" s="606" t="s">
        <v>2142</v>
      </c>
      <c r="J51" s="606" t="s">
        <v>475</v>
      </c>
      <c r="K51" s="606">
        <v>45.0</v>
      </c>
      <c r="M51" s="1685">
        <v>45551.0</v>
      </c>
      <c r="N51" s="606" t="s">
        <v>3858</v>
      </c>
      <c r="O51" s="606" t="s">
        <v>5703</v>
      </c>
      <c r="P51" s="606" t="s">
        <v>536</v>
      </c>
      <c r="Q51" s="606">
        <v>59.75</v>
      </c>
      <c r="S51" s="1682">
        <v>45543.0</v>
      </c>
      <c r="T51" s="606" t="s">
        <v>5601</v>
      </c>
      <c r="U51" s="606" t="s">
        <v>5702</v>
      </c>
      <c r="V51" s="606" t="s">
        <v>478</v>
      </c>
      <c r="Y51" s="1685">
        <v>45322.0</v>
      </c>
      <c r="Z51" s="606" t="s">
        <v>667</v>
      </c>
      <c r="AA51" s="606" t="s">
        <v>1524</v>
      </c>
      <c r="AB51" s="606" t="s">
        <v>413</v>
      </c>
      <c r="AE51" s="1685">
        <v>45449.0</v>
      </c>
      <c r="AF51" s="606" t="s">
        <v>1569</v>
      </c>
      <c r="AG51" s="606" t="s">
        <v>5712</v>
      </c>
      <c r="AH51" s="606" t="s">
        <v>92</v>
      </c>
    </row>
    <row r="52">
      <c r="A52" s="1682">
        <v>45557.0</v>
      </c>
      <c r="B52" s="606" t="s">
        <v>1190</v>
      </c>
      <c r="C52" s="606" t="s">
        <v>5701</v>
      </c>
      <c r="D52" s="606" t="s">
        <v>499</v>
      </c>
      <c r="G52" s="1685">
        <v>45528.0</v>
      </c>
      <c r="H52" s="606" t="s">
        <v>1466</v>
      </c>
      <c r="I52" s="606" t="s">
        <v>2142</v>
      </c>
      <c r="J52" s="606" t="s">
        <v>550</v>
      </c>
      <c r="K52" s="606" t="s">
        <v>5765</v>
      </c>
      <c r="M52" s="1682">
        <v>45549.0</v>
      </c>
      <c r="N52" s="606" t="s">
        <v>2899</v>
      </c>
      <c r="O52" s="606" t="s">
        <v>5703</v>
      </c>
      <c r="P52" s="606" t="s">
        <v>348</v>
      </c>
      <c r="S52" s="1685">
        <v>45539.0</v>
      </c>
      <c r="T52" s="606" t="s">
        <v>2899</v>
      </c>
      <c r="U52" s="606" t="s">
        <v>5702</v>
      </c>
      <c r="V52" s="606" t="s">
        <v>5764</v>
      </c>
      <c r="W52" s="606" t="s">
        <v>5728</v>
      </c>
      <c r="Y52" s="1685">
        <v>45319.0</v>
      </c>
      <c r="Z52" s="606" t="s">
        <v>1134</v>
      </c>
      <c r="AA52" s="606" t="s">
        <v>5709</v>
      </c>
      <c r="AB52" s="606" t="s">
        <v>329</v>
      </c>
      <c r="AE52" s="1685">
        <v>45445.0</v>
      </c>
      <c r="AF52" s="606" t="s">
        <v>822</v>
      </c>
      <c r="AG52" s="606" t="s">
        <v>108</v>
      </c>
      <c r="AH52" s="606" t="s">
        <v>223</v>
      </c>
    </row>
    <row r="53">
      <c r="A53" s="1682">
        <v>45556.0</v>
      </c>
      <c r="B53" s="606" t="s">
        <v>1280</v>
      </c>
      <c r="C53" s="606" t="s">
        <v>5701</v>
      </c>
      <c r="D53" s="606" t="s">
        <v>309</v>
      </c>
      <c r="G53" s="1682">
        <v>45527.0</v>
      </c>
      <c r="H53" s="606" t="s">
        <v>878</v>
      </c>
      <c r="I53" s="606" t="s">
        <v>2142</v>
      </c>
      <c r="J53" s="606" t="s">
        <v>235</v>
      </c>
      <c r="M53" s="1682">
        <v>45549.0</v>
      </c>
      <c r="N53" s="606" t="s">
        <v>1362</v>
      </c>
      <c r="O53" s="606" t="s">
        <v>5703</v>
      </c>
      <c r="P53" s="606" t="s">
        <v>150</v>
      </c>
      <c r="S53" s="1682">
        <v>45537.0</v>
      </c>
      <c r="T53" s="606" t="s">
        <v>2899</v>
      </c>
      <c r="U53" s="606" t="s">
        <v>5702</v>
      </c>
      <c r="V53" s="606" t="s">
        <v>5732</v>
      </c>
      <c r="Y53" s="1685">
        <v>45310.0</v>
      </c>
      <c r="Z53" s="606" t="s">
        <v>1212</v>
      </c>
      <c r="AA53" s="606" t="s">
        <v>1524</v>
      </c>
      <c r="AB53" s="606" t="s">
        <v>526</v>
      </c>
      <c r="AC53" s="606" t="s">
        <v>5775</v>
      </c>
      <c r="AE53" s="1686">
        <v>45441.0</v>
      </c>
      <c r="AF53" s="606" t="s">
        <v>1569</v>
      </c>
      <c r="AG53" s="606" t="s">
        <v>5712</v>
      </c>
      <c r="AH53" s="606" t="s">
        <v>91</v>
      </c>
    </row>
    <row r="54">
      <c r="A54" s="1685">
        <v>45555.0</v>
      </c>
      <c r="B54" s="606" t="s">
        <v>761</v>
      </c>
      <c r="C54" s="606" t="s">
        <v>5701</v>
      </c>
      <c r="D54" s="606" t="s">
        <v>483</v>
      </c>
      <c r="E54" s="606">
        <v>60.0</v>
      </c>
      <c r="G54" s="1682">
        <v>45524.0</v>
      </c>
      <c r="H54" s="606" t="s">
        <v>1190</v>
      </c>
      <c r="I54" s="606" t="s">
        <v>2142</v>
      </c>
      <c r="J54" s="606" t="s">
        <v>499</v>
      </c>
      <c r="M54" s="1682">
        <v>45548.0</v>
      </c>
      <c r="N54" s="606" t="s">
        <v>1116</v>
      </c>
      <c r="O54" s="606" t="s">
        <v>5703</v>
      </c>
      <c r="P54" s="606" t="s">
        <v>311</v>
      </c>
      <c r="S54" s="1682">
        <v>45535.0</v>
      </c>
      <c r="T54" s="606" t="s">
        <v>1008</v>
      </c>
      <c r="U54" s="606" t="s">
        <v>1520</v>
      </c>
      <c r="V54" s="606" t="s">
        <v>3106</v>
      </c>
      <c r="Y54" s="1685">
        <v>45298.0</v>
      </c>
      <c r="Z54" s="606" t="s">
        <v>5303</v>
      </c>
      <c r="AA54" s="606" t="s">
        <v>1524</v>
      </c>
      <c r="AB54" s="606" t="s">
        <v>5776</v>
      </c>
      <c r="AC54" s="606">
        <v>110.0</v>
      </c>
      <c r="AE54" s="1686">
        <v>45441.0</v>
      </c>
      <c r="AF54" s="606" t="s">
        <v>1569</v>
      </c>
      <c r="AG54" s="606" t="s">
        <v>108</v>
      </c>
      <c r="AH54" s="606" t="s">
        <v>54</v>
      </c>
    </row>
    <row r="55">
      <c r="A55" s="1682">
        <v>45554.0</v>
      </c>
      <c r="B55" s="606" t="s">
        <v>3116</v>
      </c>
      <c r="C55" s="606" t="s">
        <v>5701</v>
      </c>
      <c r="D55" s="606" t="s">
        <v>434</v>
      </c>
      <c r="G55" s="1685">
        <v>45521.0</v>
      </c>
      <c r="H55" s="606" t="s">
        <v>1190</v>
      </c>
      <c r="I55" s="606" t="s">
        <v>2142</v>
      </c>
      <c r="J55" s="606" t="s">
        <v>187</v>
      </c>
      <c r="K55" s="606">
        <v>51.0</v>
      </c>
      <c r="M55" s="1682">
        <v>45547.0</v>
      </c>
      <c r="N55" s="606" t="s">
        <v>968</v>
      </c>
      <c r="O55" s="606" t="s">
        <v>5705</v>
      </c>
      <c r="P55" s="606" t="s">
        <v>505</v>
      </c>
      <c r="S55" s="1682">
        <v>45534.0</v>
      </c>
      <c r="T55" s="606" t="s">
        <v>1362</v>
      </c>
      <c r="U55" s="606" t="s">
        <v>5702</v>
      </c>
      <c r="V55" s="606" t="s">
        <v>2927</v>
      </c>
      <c r="Y55" s="1685">
        <v>45294.0</v>
      </c>
      <c r="Z55" s="606" t="s">
        <v>667</v>
      </c>
      <c r="AA55" s="606" t="s">
        <v>5710</v>
      </c>
      <c r="AB55" s="606" t="s">
        <v>456</v>
      </c>
      <c r="AE55" s="1686">
        <v>45434.0</v>
      </c>
      <c r="AF55" s="606" t="s">
        <v>1569</v>
      </c>
      <c r="AG55" s="606" t="s">
        <v>5712</v>
      </c>
      <c r="AH55" s="606" t="s">
        <v>158</v>
      </c>
    </row>
    <row r="56">
      <c r="A56" s="1682">
        <v>45554.0</v>
      </c>
      <c r="B56" s="606" t="s">
        <v>863</v>
      </c>
      <c r="C56" s="606" t="s">
        <v>5701</v>
      </c>
      <c r="D56" s="606" t="s">
        <v>272</v>
      </c>
      <c r="G56" s="1685">
        <v>45518.0</v>
      </c>
      <c r="H56" s="606" t="s">
        <v>1190</v>
      </c>
      <c r="I56" s="606" t="s">
        <v>2142</v>
      </c>
      <c r="J56" s="606" t="s">
        <v>122</v>
      </c>
      <c r="K56" s="606">
        <v>52.0</v>
      </c>
      <c r="M56" s="1685">
        <v>45543.0</v>
      </c>
      <c r="N56" s="606" t="s">
        <v>1212</v>
      </c>
      <c r="O56" s="606" t="s">
        <v>5703</v>
      </c>
      <c r="P56" s="606" t="s">
        <v>498</v>
      </c>
      <c r="Q56" s="606" t="s">
        <v>5777</v>
      </c>
      <c r="S56" s="1685">
        <v>45533.0</v>
      </c>
      <c r="T56" s="606" t="s">
        <v>727</v>
      </c>
      <c r="U56" s="606" t="s">
        <v>5702</v>
      </c>
      <c r="V56" s="606" t="s">
        <v>1365</v>
      </c>
      <c r="W56" s="606">
        <v>54.0</v>
      </c>
      <c r="AE56" s="1686">
        <v>45429.0</v>
      </c>
      <c r="AF56" s="606" t="s">
        <v>1569</v>
      </c>
      <c r="AG56" s="606" t="s">
        <v>108</v>
      </c>
      <c r="AH56" s="606" t="s">
        <v>185</v>
      </c>
    </row>
    <row r="57">
      <c r="A57" s="1682">
        <v>45549.0</v>
      </c>
      <c r="B57" s="606" t="s">
        <v>1362</v>
      </c>
      <c r="C57" s="606" t="s">
        <v>5701</v>
      </c>
      <c r="D57" s="606" t="s">
        <v>435</v>
      </c>
      <c r="G57" s="1682">
        <v>45517.0</v>
      </c>
      <c r="H57" s="606" t="s">
        <v>1066</v>
      </c>
      <c r="I57" s="606" t="s">
        <v>2142</v>
      </c>
      <c r="J57" s="606" t="s">
        <v>281</v>
      </c>
      <c r="M57" s="1682">
        <v>45542.0</v>
      </c>
      <c r="N57" s="606" t="s">
        <v>1066</v>
      </c>
      <c r="O57" s="606" t="s">
        <v>5703</v>
      </c>
      <c r="P57" s="606" t="s">
        <v>487</v>
      </c>
      <c r="S57" s="1683">
        <v>45530.0</v>
      </c>
      <c r="T57" s="606" t="s">
        <v>1190</v>
      </c>
      <c r="U57" s="606" t="s">
        <v>5702</v>
      </c>
      <c r="V57" s="606" t="s">
        <v>5738</v>
      </c>
      <c r="W57" s="606">
        <v>50.6</v>
      </c>
      <c r="AE57" s="1685">
        <v>45428.0</v>
      </c>
      <c r="AF57" s="606" t="s">
        <v>1569</v>
      </c>
      <c r="AG57" s="606" t="s">
        <v>5712</v>
      </c>
      <c r="AH57" s="606" t="s">
        <v>158</v>
      </c>
    </row>
    <row r="58">
      <c r="A58" s="1682">
        <v>45547.0</v>
      </c>
      <c r="B58" s="606" t="s">
        <v>1190</v>
      </c>
      <c r="C58" s="606" t="s">
        <v>5701</v>
      </c>
      <c r="D58" s="606" t="s">
        <v>141</v>
      </c>
      <c r="G58" s="1682">
        <v>45515.0</v>
      </c>
      <c r="H58" s="606" t="s">
        <v>1190</v>
      </c>
      <c r="I58" s="606" t="s">
        <v>2142</v>
      </c>
      <c r="J58" s="606" t="s">
        <v>469</v>
      </c>
      <c r="M58" s="1685">
        <v>45540.0</v>
      </c>
      <c r="N58" s="606" t="s">
        <v>1362</v>
      </c>
      <c r="O58" s="606" t="s">
        <v>5703</v>
      </c>
      <c r="P58" s="606" t="s">
        <v>531</v>
      </c>
      <c r="Q58" s="606" t="s">
        <v>5778</v>
      </c>
      <c r="S58" s="1685">
        <v>45527.0</v>
      </c>
      <c r="T58" s="606" t="s">
        <v>727</v>
      </c>
      <c r="U58" s="606" t="s">
        <v>1520</v>
      </c>
      <c r="V58" s="606" t="s">
        <v>264</v>
      </c>
      <c r="AE58" s="1686">
        <v>45424.0</v>
      </c>
      <c r="AF58" s="606" t="s">
        <v>1569</v>
      </c>
      <c r="AG58" s="606" t="s">
        <v>5712</v>
      </c>
      <c r="AH58" s="606" t="s">
        <v>100</v>
      </c>
    </row>
    <row r="59">
      <c r="A59" s="1682">
        <v>45546.0</v>
      </c>
      <c r="B59" s="606" t="s">
        <v>1190</v>
      </c>
      <c r="C59" s="606" t="s">
        <v>5701</v>
      </c>
      <c r="D59" s="606" t="s">
        <v>263</v>
      </c>
      <c r="G59" s="1685">
        <v>45511.0</v>
      </c>
      <c r="H59" s="606" t="s">
        <v>994</v>
      </c>
      <c r="I59" s="606" t="s">
        <v>2142</v>
      </c>
      <c r="J59" s="606" t="s">
        <v>5779</v>
      </c>
      <c r="K59" s="606">
        <v>49.5</v>
      </c>
      <c r="M59" s="1682">
        <v>45539.0</v>
      </c>
      <c r="N59" s="606" t="s">
        <v>830</v>
      </c>
      <c r="O59" s="606" t="s">
        <v>5703</v>
      </c>
      <c r="P59" s="606" t="s">
        <v>113</v>
      </c>
      <c r="S59" s="1682">
        <v>45527.0</v>
      </c>
      <c r="T59" s="606" t="s">
        <v>1280</v>
      </c>
      <c r="U59" s="606" t="s">
        <v>5702</v>
      </c>
      <c r="V59" s="606" t="s">
        <v>83</v>
      </c>
      <c r="AE59" s="1686">
        <v>45418.0</v>
      </c>
      <c r="AF59" s="606" t="s">
        <v>667</v>
      </c>
      <c r="AG59" s="606" t="s">
        <v>5712</v>
      </c>
      <c r="AH59" s="606" t="s">
        <v>437</v>
      </c>
    </row>
    <row r="60">
      <c r="A60" s="1682">
        <v>45545.0</v>
      </c>
      <c r="B60" s="606" t="s">
        <v>2899</v>
      </c>
      <c r="C60" s="606" t="s">
        <v>5701</v>
      </c>
      <c r="D60" s="606" t="s">
        <v>2911</v>
      </c>
      <c r="G60" s="1682">
        <v>45509.0</v>
      </c>
      <c r="H60" s="606" t="s">
        <v>1190</v>
      </c>
      <c r="I60" s="606" t="s">
        <v>2142</v>
      </c>
      <c r="J60" s="606" t="s">
        <v>263</v>
      </c>
      <c r="M60" s="1682">
        <v>45538.0</v>
      </c>
      <c r="N60" s="606" t="s">
        <v>1466</v>
      </c>
      <c r="O60" s="606" t="s">
        <v>5703</v>
      </c>
      <c r="P60" s="606" t="s">
        <v>266</v>
      </c>
      <c r="S60" s="1682">
        <v>45523.0</v>
      </c>
      <c r="T60" s="606" t="s">
        <v>830</v>
      </c>
      <c r="U60" s="606" t="s">
        <v>1520</v>
      </c>
      <c r="V60" s="606" t="s">
        <v>152</v>
      </c>
      <c r="AE60" s="1686">
        <v>45417.0</v>
      </c>
      <c r="AF60" s="606" t="s">
        <v>822</v>
      </c>
      <c r="AG60" s="606" t="s">
        <v>108</v>
      </c>
      <c r="AH60" s="606" t="s">
        <v>465</v>
      </c>
    </row>
    <row r="61">
      <c r="A61" s="1682">
        <v>45543.0</v>
      </c>
      <c r="B61" s="606" t="s">
        <v>1280</v>
      </c>
      <c r="C61" s="606" t="s">
        <v>2042</v>
      </c>
      <c r="D61" s="606" t="s">
        <v>508</v>
      </c>
      <c r="G61" s="1682">
        <v>45507.0</v>
      </c>
      <c r="H61" s="606" t="s">
        <v>1280</v>
      </c>
      <c r="I61" s="606" t="s">
        <v>2142</v>
      </c>
      <c r="J61" s="606" t="s">
        <v>218</v>
      </c>
      <c r="M61" s="1685">
        <v>45537.0</v>
      </c>
      <c r="N61" s="606" t="s">
        <v>707</v>
      </c>
      <c r="O61" s="606" t="s">
        <v>5703</v>
      </c>
      <c r="P61" s="606" t="s">
        <v>87</v>
      </c>
      <c r="Q61" s="606" t="s">
        <v>5780</v>
      </c>
      <c r="S61" s="1682">
        <v>45523.0</v>
      </c>
      <c r="T61" s="606" t="s">
        <v>1362</v>
      </c>
      <c r="U61" s="606" t="s">
        <v>5702</v>
      </c>
      <c r="V61" s="606" t="s">
        <v>5734</v>
      </c>
      <c r="AE61" s="1685">
        <v>45411.0</v>
      </c>
      <c r="AF61" s="606" t="s">
        <v>1569</v>
      </c>
      <c r="AG61" s="606" t="s">
        <v>5712</v>
      </c>
      <c r="AH61" s="606" t="s">
        <v>92</v>
      </c>
    </row>
    <row r="62">
      <c r="A62" s="1682">
        <v>45542.0</v>
      </c>
      <c r="B62" s="606" t="s">
        <v>1362</v>
      </c>
      <c r="C62" s="606" t="s">
        <v>5701</v>
      </c>
      <c r="D62" s="606" t="s">
        <v>5734</v>
      </c>
      <c r="G62" s="1685">
        <v>45505.0</v>
      </c>
      <c r="H62" s="606" t="s">
        <v>901</v>
      </c>
      <c r="I62" s="606" t="s">
        <v>2142</v>
      </c>
      <c r="J62" s="606" t="s">
        <v>323</v>
      </c>
      <c r="K62" s="606">
        <v>65.0</v>
      </c>
      <c r="M62" s="1682">
        <v>45537.0</v>
      </c>
      <c r="N62" s="606" t="s">
        <v>1116</v>
      </c>
      <c r="O62" s="606" t="s">
        <v>5703</v>
      </c>
      <c r="P62" s="606" t="s">
        <v>294</v>
      </c>
      <c r="S62" s="1685">
        <v>45521.0</v>
      </c>
      <c r="T62" s="606" t="s">
        <v>727</v>
      </c>
      <c r="U62" s="606" t="s">
        <v>1520</v>
      </c>
      <c r="V62" s="606" t="s">
        <v>1417</v>
      </c>
      <c r="W62" s="606">
        <v>50.5</v>
      </c>
      <c r="AE62" s="1685">
        <v>45408.0</v>
      </c>
      <c r="AF62" s="606" t="s">
        <v>1569</v>
      </c>
      <c r="AG62" s="606" t="s">
        <v>108</v>
      </c>
      <c r="AH62" s="606" t="s">
        <v>54</v>
      </c>
    </row>
    <row r="63">
      <c r="A63" s="1685">
        <v>45541.0</v>
      </c>
      <c r="B63" s="606" t="s">
        <v>863</v>
      </c>
      <c r="C63" s="606" t="s">
        <v>5701</v>
      </c>
      <c r="D63" s="606" t="s">
        <v>577</v>
      </c>
      <c r="E63" s="606">
        <v>58.0</v>
      </c>
      <c r="G63" s="1685">
        <v>45500.0</v>
      </c>
      <c r="H63" s="606" t="s">
        <v>1362</v>
      </c>
      <c r="I63" s="606" t="s">
        <v>2142</v>
      </c>
      <c r="J63" s="606" t="s">
        <v>2927</v>
      </c>
      <c r="M63" s="1682">
        <v>45534.0</v>
      </c>
      <c r="N63" s="606" t="s">
        <v>1362</v>
      </c>
      <c r="O63" s="606" t="s">
        <v>5703</v>
      </c>
      <c r="P63" s="606" t="s">
        <v>111</v>
      </c>
      <c r="S63" s="1682">
        <v>45518.0</v>
      </c>
      <c r="T63" s="606" t="s">
        <v>5733</v>
      </c>
      <c r="U63" s="606" t="s">
        <v>5702</v>
      </c>
      <c r="V63" s="606" t="s">
        <v>301</v>
      </c>
      <c r="AE63" s="1685">
        <v>45404.0</v>
      </c>
      <c r="AF63" s="606" t="s">
        <v>1569</v>
      </c>
      <c r="AG63" s="606" t="s">
        <v>5712</v>
      </c>
      <c r="AH63" s="606" t="s">
        <v>91</v>
      </c>
    </row>
    <row r="64">
      <c r="A64" s="1682">
        <v>45538.0</v>
      </c>
      <c r="B64" s="606" t="s">
        <v>1190</v>
      </c>
      <c r="C64" s="606" t="s">
        <v>5701</v>
      </c>
      <c r="D64" s="606" t="s">
        <v>392</v>
      </c>
      <c r="G64" s="1683">
        <v>45500.0</v>
      </c>
      <c r="H64" s="606" t="s">
        <v>1190</v>
      </c>
      <c r="I64" s="606" t="s">
        <v>2142</v>
      </c>
      <c r="J64" s="606" t="s">
        <v>266</v>
      </c>
      <c r="K64" s="606" t="s">
        <v>5756</v>
      </c>
      <c r="M64" s="1685">
        <v>45533.0</v>
      </c>
      <c r="N64" s="606" t="s">
        <v>2899</v>
      </c>
      <c r="O64" s="606" t="s">
        <v>5703</v>
      </c>
      <c r="P64" s="606" t="s">
        <v>266</v>
      </c>
      <c r="Q64" s="606" t="s">
        <v>5781</v>
      </c>
      <c r="S64" s="1682">
        <v>45515.0</v>
      </c>
      <c r="T64" s="606" t="s">
        <v>727</v>
      </c>
      <c r="U64" s="606" t="s">
        <v>5702</v>
      </c>
      <c r="V64" s="606" t="s">
        <v>532</v>
      </c>
      <c r="AE64" s="1685">
        <v>45398.0</v>
      </c>
      <c r="AF64" s="606" t="s">
        <v>667</v>
      </c>
      <c r="AG64" s="606" t="s">
        <v>5712</v>
      </c>
      <c r="AH64" s="606" t="s">
        <v>291</v>
      </c>
    </row>
    <row r="65">
      <c r="A65" s="1682">
        <v>45532.0</v>
      </c>
      <c r="B65" s="606" t="s">
        <v>863</v>
      </c>
      <c r="C65" s="606" t="s">
        <v>5701</v>
      </c>
      <c r="D65" s="606" t="s">
        <v>372</v>
      </c>
      <c r="G65" s="1685">
        <v>45497.0</v>
      </c>
      <c r="H65" s="606" t="s">
        <v>1190</v>
      </c>
      <c r="I65" s="606" t="s">
        <v>2142</v>
      </c>
      <c r="J65" s="606" t="s">
        <v>516</v>
      </c>
      <c r="M65" s="1682">
        <v>45529.0</v>
      </c>
      <c r="N65" s="606" t="s">
        <v>2899</v>
      </c>
      <c r="O65" s="606" t="s">
        <v>5705</v>
      </c>
      <c r="P65" s="606" t="s">
        <v>348</v>
      </c>
      <c r="S65" s="1685">
        <v>45508.0</v>
      </c>
      <c r="T65" s="606" t="s">
        <v>830</v>
      </c>
      <c r="U65" s="606" t="s">
        <v>5702</v>
      </c>
      <c r="V65" s="606" t="s">
        <v>505</v>
      </c>
      <c r="W65" s="606">
        <v>50.5</v>
      </c>
      <c r="AE65" s="1685">
        <v>45397.0</v>
      </c>
      <c r="AF65" s="606" t="s">
        <v>1569</v>
      </c>
      <c r="AG65" s="606" t="s">
        <v>108</v>
      </c>
      <c r="AH65" s="606" t="s">
        <v>330</v>
      </c>
    </row>
    <row r="66">
      <c r="A66" s="1682">
        <v>45531.0</v>
      </c>
      <c r="B66" s="606" t="s">
        <v>1190</v>
      </c>
      <c r="C66" s="606" t="s">
        <v>5701</v>
      </c>
      <c r="D66" s="606" t="s">
        <v>369</v>
      </c>
      <c r="G66" s="1685">
        <v>45495.0</v>
      </c>
      <c r="H66" s="606" t="s">
        <v>667</v>
      </c>
      <c r="I66" s="606" t="s">
        <v>2142</v>
      </c>
      <c r="J66" s="606" t="s">
        <v>425</v>
      </c>
      <c r="M66" s="1682">
        <v>45528.0</v>
      </c>
      <c r="N66" s="606" t="s">
        <v>1190</v>
      </c>
      <c r="O66" s="606" t="s">
        <v>5703</v>
      </c>
      <c r="P66" s="606" t="s">
        <v>5757</v>
      </c>
      <c r="S66" s="1685">
        <v>45506.0</v>
      </c>
      <c r="T66" s="606" t="s">
        <v>1190</v>
      </c>
      <c r="U66" s="606" t="s">
        <v>5702</v>
      </c>
      <c r="V66" s="606" t="s">
        <v>5036</v>
      </c>
      <c r="W66" s="606">
        <v>53.5</v>
      </c>
      <c r="AE66" s="1685">
        <v>45390.0</v>
      </c>
      <c r="AF66" s="606" t="s">
        <v>1569</v>
      </c>
      <c r="AG66" s="606" t="s">
        <v>5712</v>
      </c>
      <c r="AH66" s="606" t="s">
        <v>196</v>
      </c>
    </row>
    <row r="67">
      <c r="A67" s="1682">
        <v>45529.0</v>
      </c>
      <c r="B67" s="606" t="s">
        <v>830</v>
      </c>
      <c r="C67" s="606" t="s">
        <v>5701</v>
      </c>
      <c r="D67" s="606" t="s">
        <v>102</v>
      </c>
      <c r="G67" s="1685">
        <v>45494.0</v>
      </c>
      <c r="H67" s="606" t="s">
        <v>968</v>
      </c>
      <c r="I67" s="606" t="s">
        <v>2142</v>
      </c>
      <c r="J67" s="606" t="s">
        <v>463</v>
      </c>
      <c r="M67" s="1682">
        <v>45525.0</v>
      </c>
      <c r="N67" s="606" t="s">
        <v>2899</v>
      </c>
      <c r="O67" s="606" t="s">
        <v>5703</v>
      </c>
      <c r="P67" s="606" t="s">
        <v>389</v>
      </c>
      <c r="S67" s="1682">
        <v>45506.0</v>
      </c>
      <c r="T67" s="606" t="s">
        <v>1466</v>
      </c>
      <c r="U67" s="606" t="s">
        <v>1520</v>
      </c>
      <c r="V67" s="606" t="s">
        <v>262</v>
      </c>
      <c r="AE67" s="1685">
        <v>45384.0</v>
      </c>
      <c r="AF67" s="606" t="s">
        <v>1569</v>
      </c>
      <c r="AG67" s="606" t="s">
        <v>108</v>
      </c>
      <c r="AH67" s="606" t="s">
        <v>100</v>
      </c>
    </row>
    <row r="68">
      <c r="A68" s="1682">
        <v>45528.0</v>
      </c>
      <c r="B68" s="606" t="s">
        <v>1362</v>
      </c>
      <c r="C68" s="606" t="s">
        <v>5701</v>
      </c>
      <c r="D68" s="606" t="s">
        <v>150</v>
      </c>
      <c r="G68" s="1685">
        <v>45491.0</v>
      </c>
      <c r="H68" s="606" t="s">
        <v>1190</v>
      </c>
      <c r="I68" s="606" t="s">
        <v>2142</v>
      </c>
      <c r="J68" s="606" t="s">
        <v>3339</v>
      </c>
      <c r="K68" s="606" t="s">
        <v>5782</v>
      </c>
      <c r="M68" s="1682">
        <v>45523.0</v>
      </c>
      <c r="N68" s="606" t="s">
        <v>1362</v>
      </c>
      <c r="O68" s="606" t="s">
        <v>5703</v>
      </c>
      <c r="P68" s="606" t="s">
        <v>135</v>
      </c>
      <c r="S68" s="1682">
        <v>45505.0</v>
      </c>
      <c r="T68" s="606" t="s">
        <v>2899</v>
      </c>
      <c r="U68" s="606" t="s">
        <v>5702</v>
      </c>
      <c r="V68" s="606" t="s">
        <v>5732</v>
      </c>
      <c r="AE68" s="1682">
        <v>45382.0</v>
      </c>
      <c r="AF68" s="606" t="s">
        <v>667</v>
      </c>
      <c r="AG68" s="606" t="s">
        <v>5712</v>
      </c>
      <c r="AH68" s="606" t="s">
        <v>412</v>
      </c>
    </row>
    <row r="69">
      <c r="A69" s="1682">
        <v>45526.0</v>
      </c>
      <c r="B69" s="606" t="s">
        <v>1280</v>
      </c>
      <c r="C69" s="606" t="s">
        <v>5701</v>
      </c>
      <c r="D69" s="606" t="s">
        <v>309</v>
      </c>
      <c r="G69" s="1685">
        <v>45486.0</v>
      </c>
      <c r="H69" s="606" t="s">
        <v>2899</v>
      </c>
      <c r="I69" s="606" t="s">
        <v>2142</v>
      </c>
      <c r="J69" s="606" t="s">
        <v>5732</v>
      </c>
      <c r="M69" s="1685">
        <v>45521.0</v>
      </c>
      <c r="N69" s="606" t="s">
        <v>1190</v>
      </c>
      <c r="O69" s="606" t="s">
        <v>5703</v>
      </c>
      <c r="P69" s="606" t="s">
        <v>527</v>
      </c>
      <c r="Q69" s="606" t="s">
        <v>5749</v>
      </c>
      <c r="S69" s="1683">
        <v>45505.0</v>
      </c>
      <c r="T69" s="606" t="s">
        <v>727</v>
      </c>
      <c r="U69" s="606" t="s">
        <v>1520</v>
      </c>
      <c r="V69" s="606" t="s">
        <v>25</v>
      </c>
      <c r="AE69" s="1685">
        <v>45376.0</v>
      </c>
      <c r="AF69" s="606" t="s">
        <v>1569</v>
      </c>
      <c r="AG69" s="606" t="s">
        <v>5712</v>
      </c>
      <c r="AH69" s="606" t="s">
        <v>92</v>
      </c>
    </row>
    <row r="70">
      <c r="A70" s="1682">
        <v>45524.0</v>
      </c>
      <c r="B70" s="606" t="s">
        <v>863</v>
      </c>
      <c r="C70" s="606" t="s">
        <v>5701</v>
      </c>
      <c r="D70" s="606" t="s">
        <v>275</v>
      </c>
      <c r="G70" s="1685">
        <v>45484.0</v>
      </c>
      <c r="H70" s="606" t="s">
        <v>1190</v>
      </c>
      <c r="I70" s="606" t="s">
        <v>2142</v>
      </c>
      <c r="J70" s="606" t="s">
        <v>469</v>
      </c>
      <c r="M70" s="1682">
        <v>45521.0</v>
      </c>
      <c r="N70" s="606" t="s">
        <v>1553</v>
      </c>
      <c r="O70" s="606" t="s">
        <v>5703</v>
      </c>
      <c r="P70" s="606" t="s">
        <v>527</v>
      </c>
      <c r="S70" s="1685">
        <v>45502.0</v>
      </c>
      <c r="T70" s="606" t="s">
        <v>1190</v>
      </c>
      <c r="U70" s="606" t="s">
        <v>5702</v>
      </c>
      <c r="V70" s="606" t="s">
        <v>392</v>
      </c>
      <c r="AE70" s="1685">
        <v>45375.0</v>
      </c>
      <c r="AF70" s="606" t="s">
        <v>1569</v>
      </c>
      <c r="AG70" s="606" t="s">
        <v>108</v>
      </c>
      <c r="AH70" s="606" t="s">
        <v>245</v>
      </c>
    </row>
    <row r="71">
      <c r="A71" s="1682">
        <v>45521.0</v>
      </c>
      <c r="B71" s="606" t="s">
        <v>1190</v>
      </c>
      <c r="C71" s="606" t="s">
        <v>5701</v>
      </c>
      <c r="D71" s="606" t="s">
        <v>45</v>
      </c>
      <c r="G71" s="1685">
        <v>45481.0</v>
      </c>
      <c r="H71" s="606" t="s">
        <v>1190</v>
      </c>
      <c r="I71" s="606" t="s">
        <v>2142</v>
      </c>
      <c r="J71" s="606" t="s">
        <v>5757</v>
      </c>
      <c r="M71" s="1682">
        <v>45519.0</v>
      </c>
      <c r="N71" s="606" t="s">
        <v>1190</v>
      </c>
      <c r="O71" s="606" t="s">
        <v>5703</v>
      </c>
      <c r="P71" s="606" t="s">
        <v>516</v>
      </c>
      <c r="S71" s="1685">
        <v>45497.0</v>
      </c>
      <c r="T71" s="606" t="s">
        <v>1066</v>
      </c>
      <c r="U71" s="606" t="s">
        <v>5702</v>
      </c>
      <c r="V71" s="606" t="s">
        <v>487</v>
      </c>
      <c r="AE71" s="1685">
        <v>45368.0</v>
      </c>
      <c r="AF71" s="606" t="s">
        <v>1569</v>
      </c>
      <c r="AG71" s="606" t="s">
        <v>5712</v>
      </c>
      <c r="AH71" s="606" t="s">
        <v>91</v>
      </c>
    </row>
    <row r="72">
      <c r="A72" s="1682">
        <v>45519.0</v>
      </c>
      <c r="B72" s="606" t="s">
        <v>5601</v>
      </c>
      <c r="C72" s="606" t="s">
        <v>5701</v>
      </c>
      <c r="D72" s="606" t="s">
        <v>483</v>
      </c>
      <c r="G72" s="1685">
        <v>45480.0</v>
      </c>
      <c r="H72" s="606" t="s">
        <v>727</v>
      </c>
      <c r="I72" s="606" t="s">
        <v>2142</v>
      </c>
      <c r="J72" s="606" t="s">
        <v>532</v>
      </c>
      <c r="M72" s="1685">
        <v>45519.0</v>
      </c>
      <c r="N72" s="606" t="s">
        <v>3858</v>
      </c>
      <c r="O72" s="606" t="s">
        <v>5703</v>
      </c>
      <c r="P72" s="606" t="s">
        <v>88</v>
      </c>
      <c r="S72" s="1685">
        <v>45497.0</v>
      </c>
      <c r="T72" s="606" t="s">
        <v>2899</v>
      </c>
      <c r="U72" s="606" t="s">
        <v>5702</v>
      </c>
      <c r="V72" s="606" t="s">
        <v>3461</v>
      </c>
      <c r="AE72" s="1685">
        <v>45368.0</v>
      </c>
      <c r="AF72" s="606" t="s">
        <v>1569</v>
      </c>
      <c r="AG72" s="606" t="s">
        <v>108</v>
      </c>
      <c r="AH72" s="606" t="s">
        <v>54</v>
      </c>
    </row>
    <row r="73">
      <c r="A73" s="1682">
        <v>45517.0</v>
      </c>
      <c r="B73" s="606" t="s">
        <v>761</v>
      </c>
      <c r="C73" s="606" t="s">
        <v>5701</v>
      </c>
      <c r="D73" s="606" t="s">
        <v>410</v>
      </c>
      <c r="G73" s="1685">
        <v>45478.0</v>
      </c>
      <c r="H73" s="606" t="s">
        <v>2899</v>
      </c>
      <c r="I73" s="606" t="s">
        <v>2142</v>
      </c>
      <c r="J73" s="606" t="s">
        <v>133</v>
      </c>
      <c r="M73" s="1682">
        <v>45517.0</v>
      </c>
      <c r="N73" s="606" t="s">
        <v>1362</v>
      </c>
      <c r="O73" s="606" t="s">
        <v>5703</v>
      </c>
      <c r="P73" s="606" t="s">
        <v>435</v>
      </c>
      <c r="S73" s="1685">
        <v>45494.0</v>
      </c>
      <c r="T73" s="606" t="s">
        <v>727</v>
      </c>
      <c r="U73" s="606" t="s">
        <v>1520</v>
      </c>
      <c r="V73" s="606" t="s">
        <v>2904</v>
      </c>
      <c r="AE73" s="1685">
        <v>45361.0</v>
      </c>
      <c r="AF73" s="606" t="s">
        <v>1569</v>
      </c>
      <c r="AG73" s="606" t="s">
        <v>5712</v>
      </c>
      <c r="AH73" s="606" t="s">
        <v>373</v>
      </c>
    </row>
    <row r="74">
      <c r="A74" s="1682">
        <v>45517.0</v>
      </c>
      <c r="B74" s="606" t="s">
        <v>1280</v>
      </c>
      <c r="C74" s="606" t="s">
        <v>5701</v>
      </c>
      <c r="D74" s="606" t="s">
        <v>19</v>
      </c>
      <c r="G74" s="1685">
        <v>45476.0</v>
      </c>
      <c r="H74" s="606" t="s">
        <v>5601</v>
      </c>
      <c r="I74" s="606" t="s">
        <v>2142</v>
      </c>
      <c r="J74" s="606" t="s">
        <v>19</v>
      </c>
      <c r="M74" s="1682">
        <v>45513.0</v>
      </c>
      <c r="N74" s="606" t="s">
        <v>1066</v>
      </c>
      <c r="O74" s="606" t="s">
        <v>5703</v>
      </c>
      <c r="P74" s="606" t="s">
        <v>575</v>
      </c>
      <c r="S74" s="1685">
        <v>45492.0</v>
      </c>
      <c r="T74" s="606" t="s">
        <v>1190</v>
      </c>
      <c r="U74" s="606" t="s">
        <v>5702</v>
      </c>
      <c r="V74" s="606" t="s">
        <v>369</v>
      </c>
      <c r="AE74" s="1685">
        <v>45353.0</v>
      </c>
      <c r="AF74" s="606" t="s">
        <v>1569</v>
      </c>
      <c r="AG74" s="606" t="s">
        <v>108</v>
      </c>
      <c r="AH74" s="606" t="s">
        <v>196</v>
      </c>
    </row>
    <row r="75">
      <c r="A75" s="1685">
        <v>45515.0</v>
      </c>
      <c r="B75" s="606" t="s">
        <v>968</v>
      </c>
      <c r="C75" s="606" t="s">
        <v>5701</v>
      </c>
      <c r="D75" s="606" t="s">
        <v>272</v>
      </c>
      <c r="E75" s="606">
        <v>49.0</v>
      </c>
      <c r="G75" s="1685">
        <v>45473.0</v>
      </c>
      <c r="H75" s="606" t="s">
        <v>2899</v>
      </c>
      <c r="I75" s="606" t="s">
        <v>2142</v>
      </c>
      <c r="J75" s="606" t="s">
        <v>348</v>
      </c>
      <c r="M75" s="1682">
        <v>45513.0</v>
      </c>
      <c r="N75" s="606" t="s">
        <v>1116</v>
      </c>
      <c r="O75" s="606" t="s">
        <v>5705</v>
      </c>
      <c r="P75" s="606" t="s">
        <v>311</v>
      </c>
      <c r="S75" s="1685">
        <v>45490.0</v>
      </c>
      <c r="T75" s="606" t="s">
        <v>1362</v>
      </c>
      <c r="U75" s="606" t="s">
        <v>5702</v>
      </c>
      <c r="V75" s="606" t="s">
        <v>435</v>
      </c>
      <c r="AE75" s="1685">
        <v>45353.0</v>
      </c>
      <c r="AF75" s="606" t="s">
        <v>1569</v>
      </c>
      <c r="AG75" s="606" t="s">
        <v>5712</v>
      </c>
      <c r="AH75" s="606" t="s">
        <v>112</v>
      </c>
    </row>
    <row r="76">
      <c r="A76" s="1682">
        <v>45512.0</v>
      </c>
      <c r="B76" s="606" t="s">
        <v>2899</v>
      </c>
      <c r="C76" s="606" t="s">
        <v>5701</v>
      </c>
      <c r="D76" s="606" t="s">
        <v>2911</v>
      </c>
      <c r="G76" s="1685">
        <v>45467.0</v>
      </c>
      <c r="H76" s="606" t="s">
        <v>901</v>
      </c>
      <c r="I76" s="606" t="s">
        <v>2142</v>
      </c>
      <c r="J76" s="606" t="s">
        <v>425</v>
      </c>
      <c r="M76" s="1685">
        <v>45510.0</v>
      </c>
      <c r="N76" s="606" t="s">
        <v>1362</v>
      </c>
      <c r="O76" s="606" t="s">
        <v>5703</v>
      </c>
      <c r="P76" s="606" t="s">
        <v>78</v>
      </c>
      <c r="Q76" s="606">
        <v>58.0</v>
      </c>
      <c r="S76" s="1685">
        <v>45489.0</v>
      </c>
      <c r="T76" s="606" t="s">
        <v>1280</v>
      </c>
      <c r="U76" s="606" t="s">
        <v>5702</v>
      </c>
      <c r="V76" s="606" t="s">
        <v>476</v>
      </c>
      <c r="AE76" s="1685">
        <v>45345.0</v>
      </c>
      <c r="AF76" s="606" t="s">
        <v>878</v>
      </c>
      <c r="AG76" s="606" t="s">
        <v>5712</v>
      </c>
      <c r="AH76" s="606" t="s">
        <v>412</v>
      </c>
    </row>
    <row r="77">
      <c r="A77" s="1682">
        <v>45511.0</v>
      </c>
      <c r="B77" s="606" t="s">
        <v>5601</v>
      </c>
      <c r="C77" s="606" t="s">
        <v>2042</v>
      </c>
      <c r="D77" s="606" t="s">
        <v>396</v>
      </c>
      <c r="G77" s="1685">
        <v>45464.0</v>
      </c>
      <c r="H77" s="606" t="s">
        <v>1362</v>
      </c>
      <c r="I77" s="606" t="s">
        <v>2142</v>
      </c>
      <c r="J77" s="606" t="s">
        <v>262</v>
      </c>
      <c r="M77" s="1685">
        <v>45508.0</v>
      </c>
      <c r="N77" s="606" t="s">
        <v>1362</v>
      </c>
      <c r="O77" s="606" t="s">
        <v>5703</v>
      </c>
      <c r="P77" s="606" t="s">
        <v>1376</v>
      </c>
      <c r="Q77" s="606">
        <v>55.0</v>
      </c>
      <c r="S77" s="1685">
        <v>45489.0</v>
      </c>
      <c r="T77" s="606" t="s">
        <v>727</v>
      </c>
      <c r="U77" s="606" t="s">
        <v>1520</v>
      </c>
      <c r="V77" s="606" t="s">
        <v>137</v>
      </c>
      <c r="AE77" s="1685">
        <v>45344.0</v>
      </c>
      <c r="AF77" s="606" t="s">
        <v>667</v>
      </c>
      <c r="AG77" s="606" t="s">
        <v>5712</v>
      </c>
      <c r="AH77" s="606" t="s">
        <v>5036</v>
      </c>
    </row>
    <row r="78">
      <c r="A78" s="1682">
        <v>45509.0</v>
      </c>
      <c r="B78" s="606" t="s">
        <v>919</v>
      </c>
      <c r="C78" s="606" t="s">
        <v>5701</v>
      </c>
      <c r="D78" s="606" t="s">
        <v>3067</v>
      </c>
      <c r="G78" s="1685">
        <v>45460.0</v>
      </c>
      <c r="H78" s="606" t="s">
        <v>2899</v>
      </c>
      <c r="I78" s="606" t="s">
        <v>2142</v>
      </c>
      <c r="J78" s="606" t="s">
        <v>516</v>
      </c>
      <c r="M78" s="1685">
        <v>45505.0</v>
      </c>
      <c r="N78" s="606" t="s">
        <v>707</v>
      </c>
      <c r="O78" s="606" t="s">
        <v>5703</v>
      </c>
      <c r="P78" s="606" t="s">
        <v>243</v>
      </c>
      <c r="Q78" s="606">
        <v>53.0</v>
      </c>
      <c r="S78" s="1685">
        <v>45482.0</v>
      </c>
      <c r="T78" s="606" t="s">
        <v>727</v>
      </c>
      <c r="U78" s="606" t="s">
        <v>5702</v>
      </c>
      <c r="V78" s="606" t="s">
        <v>113</v>
      </c>
      <c r="W78" s="606">
        <v>68.0</v>
      </c>
      <c r="AE78" s="1685">
        <v>45340.0</v>
      </c>
      <c r="AF78" s="606" t="s">
        <v>1569</v>
      </c>
      <c r="AG78" s="606" t="s">
        <v>108</v>
      </c>
      <c r="AH78" s="606" t="s">
        <v>157</v>
      </c>
      <c r="AI78" s="606" t="s">
        <v>5741</v>
      </c>
    </row>
    <row r="79">
      <c r="A79" s="1685">
        <v>45509.0</v>
      </c>
      <c r="B79" s="606" t="s">
        <v>1190</v>
      </c>
      <c r="C79" s="606" t="s">
        <v>5701</v>
      </c>
      <c r="D79" s="606" t="s">
        <v>48</v>
      </c>
      <c r="E79" s="606">
        <v>51.0</v>
      </c>
      <c r="G79" s="1685">
        <v>45458.0</v>
      </c>
      <c r="H79" s="606" t="s">
        <v>1066</v>
      </c>
      <c r="I79" s="606" t="s">
        <v>2142</v>
      </c>
      <c r="J79" s="606" t="s">
        <v>577</v>
      </c>
      <c r="M79" s="1685">
        <v>45503.0</v>
      </c>
      <c r="N79" s="606" t="s">
        <v>942</v>
      </c>
      <c r="O79" s="606" t="s">
        <v>5703</v>
      </c>
      <c r="P79" s="606" t="s">
        <v>475</v>
      </c>
      <c r="Q79" s="606">
        <v>67.0</v>
      </c>
      <c r="S79" s="1685">
        <v>45481.0</v>
      </c>
      <c r="T79" s="606" t="s">
        <v>727</v>
      </c>
      <c r="U79" s="606" t="s">
        <v>1520</v>
      </c>
      <c r="V79" s="606" t="s">
        <v>473</v>
      </c>
      <c r="W79" s="606">
        <v>70.0</v>
      </c>
      <c r="AE79" s="1685">
        <v>45330.0</v>
      </c>
      <c r="AF79" s="606" t="s">
        <v>1569</v>
      </c>
      <c r="AG79" s="606" t="s">
        <v>108</v>
      </c>
      <c r="AH79" s="606" t="s">
        <v>223</v>
      </c>
    </row>
    <row r="80">
      <c r="A80" s="1682">
        <v>45506.0</v>
      </c>
      <c r="B80" s="606" t="s">
        <v>1116</v>
      </c>
      <c r="C80" s="606" t="s">
        <v>5701</v>
      </c>
      <c r="D80" s="606" t="s">
        <v>294</v>
      </c>
      <c r="G80" s="1685">
        <v>45456.0</v>
      </c>
      <c r="H80" s="606" t="s">
        <v>863</v>
      </c>
      <c r="I80" s="606" t="s">
        <v>2142</v>
      </c>
      <c r="J80" s="606" t="s">
        <v>472</v>
      </c>
      <c r="M80" s="1685">
        <v>45503.0</v>
      </c>
      <c r="N80" s="606" t="s">
        <v>3858</v>
      </c>
      <c r="O80" s="606" t="s">
        <v>5703</v>
      </c>
      <c r="P80" s="606" t="s">
        <v>37</v>
      </c>
      <c r="Q80" s="606">
        <v>65.0</v>
      </c>
      <c r="S80" s="1685">
        <v>45475.0</v>
      </c>
      <c r="T80" s="606" t="s">
        <v>727</v>
      </c>
      <c r="U80" s="606" t="s">
        <v>1520</v>
      </c>
      <c r="V80" s="606" t="s">
        <v>564</v>
      </c>
      <c r="W80" s="606" t="s">
        <v>5783</v>
      </c>
      <c r="AE80" s="1685">
        <v>45327.0</v>
      </c>
      <c r="AF80" s="606" t="s">
        <v>655</v>
      </c>
      <c r="AG80" s="606" t="s">
        <v>5712</v>
      </c>
      <c r="AH80" s="606" t="s">
        <v>91</v>
      </c>
    </row>
    <row r="81">
      <c r="A81" s="1682">
        <v>45506.0</v>
      </c>
      <c r="B81" s="606" t="s">
        <v>1362</v>
      </c>
      <c r="C81" s="606" t="s">
        <v>5701</v>
      </c>
      <c r="D81" s="606" t="s">
        <v>111</v>
      </c>
      <c r="G81" s="1685">
        <v>45451.0</v>
      </c>
      <c r="H81" s="606" t="s">
        <v>1190</v>
      </c>
      <c r="I81" s="606" t="s">
        <v>2142</v>
      </c>
      <c r="J81" s="606" t="s">
        <v>111</v>
      </c>
      <c r="M81" s="1685">
        <v>45501.0</v>
      </c>
      <c r="N81" s="606" t="s">
        <v>830</v>
      </c>
      <c r="O81" s="606" t="s">
        <v>5703</v>
      </c>
      <c r="P81" s="606" t="s">
        <v>5784</v>
      </c>
      <c r="Q81" s="606">
        <v>63.0</v>
      </c>
      <c r="S81" s="1685">
        <v>45474.0</v>
      </c>
      <c r="T81" s="606" t="s">
        <v>1190</v>
      </c>
      <c r="U81" s="606" t="s">
        <v>5702</v>
      </c>
      <c r="V81" s="606" t="s">
        <v>505</v>
      </c>
      <c r="W81" s="606">
        <v>74.0</v>
      </c>
      <c r="AE81" s="1685">
        <v>45318.0</v>
      </c>
      <c r="AF81" s="606" t="s">
        <v>830</v>
      </c>
      <c r="AG81" s="606" t="s">
        <v>5712</v>
      </c>
      <c r="AH81" s="606" t="s">
        <v>133</v>
      </c>
    </row>
    <row r="82">
      <c r="A82" s="1685">
        <v>45503.0</v>
      </c>
      <c r="B82" s="606" t="s">
        <v>1227</v>
      </c>
      <c r="C82" s="606" t="s">
        <v>5701</v>
      </c>
      <c r="D82" s="606" t="s">
        <v>531</v>
      </c>
      <c r="G82" s="1685">
        <v>45450.0</v>
      </c>
      <c r="H82" s="606" t="s">
        <v>1280</v>
      </c>
      <c r="I82" s="606" t="s">
        <v>2142</v>
      </c>
      <c r="J82" s="606" t="s">
        <v>496</v>
      </c>
      <c r="M82" s="1685">
        <v>45499.0</v>
      </c>
      <c r="N82" s="606" t="s">
        <v>2899</v>
      </c>
      <c r="O82" s="606" t="s">
        <v>5705</v>
      </c>
      <c r="P82" s="606" t="s">
        <v>348</v>
      </c>
      <c r="S82" s="1685">
        <v>45472.0</v>
      </c>
      <c r="T82" s="606" t="s">
        <v>1362</v>
      </c>
      <c r="U82" s="606" t="s">
        <v>5702</v>
      </c>
      <c r="V82" s="606" t="s">
        <v>499</v>
      </c>
      <c r="AE82" s="1682">
        <v>45310.0</v>
      </c>
      <c r="AF82" s="606" t="s">
        <v>1569</v>
      </c>
      <c r="AG82" s="606" t="s">
        <v>108</v>
      </c>
      <c r="AH82" s="606" t="s">
        <v>156</v>
      </c>
    </row>
    <row r="83">
      <c r="A83" s="1685">
        <v>45503.0</v>
      </c>
      <c r="B83" s="606" t="s">
        <v>1362</v>
      </c>
      <c r="C83" s="606" t="s">
        <v>5701</v>
      </c>
      <c r="D83" s="606" t="s">
        <v>135</v>
      </c>
      <c r="G83" s="1685">
        <v>45447.0</v>
      </c>
      <c r="H83" s="606" t="s">
        <v>5332</v>
      </c>
      <c r="I83" s="606" t="s">
        <v>2142</v>
      </c>
      <c r="J83" s="606" t="s">
        <v>282</v>
      </c>
      <c r="M83" s="1685">
        <v>45497.0</v>
      </c>
      <c r="N83" s="606" t="s">
        <v>968</v>
      </c>
      <c r="O83" s="606" t="s">
        <v>5703</v>
      </c>
      <c r="P83" s="606" t="s">
        <v>317</v>
      </c>
      <c r="Q83" s="606">
        <v>66.0</v>
      </c>
      <c r="S83" s="1685">
        <v>45469.0</v>
      </c>
      <c r="T83" s="606" t="s">
        <v>1362</v>
      </c>
      <c r="U83" s="606" t="s">
        <v>5702</v>
      </c>
      <c r="V83" s="606" t="s">
        <v>435</v>
      </c>
      <c r="AE83" s="1685">
        <v>45305.0</v>
      </c>
      <c r="AF83" s="606" t="s">
        <v>667</v>
      </c>
      <c r="AG83" s="606" t="s">
        <v>5712</v>
      </c>
      <c r="AH83" s="606" t="s">
        <v>412</v>
      </c>
    </row>
    <row r="84">
      <c r="A84" s="1685">
        <v>45501.0</v>
      </c>
      <c r="B84" s="606" t="s">
        <v>1190</v>
      </c>
      <c r="C84" s="606" t="s">
        <v>5701</v>
      </c>
      <c r="D84" s="606" t="s">
        <v>457</v>
      </c>
      <c r="G84" s="1685">
        <v>45445.0</v>
      </c>
      <c r="H84" s="606" t="s">
        <v>667</v>
      </c>
      <c r="I84" s="606" t="s">
        <v>2142</v>
      </c>
      <c r="J84" s="606" t="s">
        <v>205</v>
      </c>
      <c r="M84" s="1685">
        <v>45495.0</v>
      </c>
      <c r="N84" s="606" t="s">
        <v>1362</v>
      </c>
      <c r="O84" s="606" t="s">
        <v>5703</v>
      </c>
      <c r="P84" s="606" t="s">
        <v>150</v>
      </c>
      <c r="S84" s="1685">
        <v>45468.0</v>
      </c>
      <c r="T84" s="606" t="s">
        <v>727</v>
      </c>
      <c r="U84" s="606" t="s">
        <v>1520</v>
      </c>
      <c r="V84" s="606" t="s">
        <v>25</v>
      </c>
      <c r="AE84" s="1685">
        <v>45300.0</v>
      </c>
      <c r="AF84" s="606" t="s">
        <v>968</v>
      </c>
      <c r="AG84" s="606" t="s">
        <v>5712</v>
      </c>
      <c r="AH84" s="606" t="s">
        <v>126</v>
      </c>
    </row>
    <row r="85">
      <c r="A85" s="1685">
        <v>45496.0</v>
      </c>
      <c r="B85" s="606" t="s">
        <v>1144</v>
      </c>
      <c r="C85" s="606" t="s">
        <v>2042</v>
      </c>
      <c r="D85" s="606" t="s">
        <v>577</v>
      </c>
      <c r="G85" s="1685">
        <v>45441.0</v>
      </c>
      <c r="H85" s="606" t="s">
        <v>1190</v>
      </c>
      <c r="I85" s="606" t="s">
        <v>2142</v>
      </c>
      <c r="J85" s="606" t="s">
        <v>469</v>
      </c>
      <c r="M85" s="1685">
        <v>45495.0</v>
      </c>
      <c r="N85" s="606" t="s">
        <v>1134</v>
      </c>
      <c r="O85" s="606" t="s">
        <v>5703</v>
      </c>
      <c r="P85" s="606" t="s">
        <v>123</v>
      </c>
      <c r="S85" s="1685">
        <v>45467.0</v>
      </c>
      <c r="T85" s="606" t="s">
        <v>5785</v>
      </c>
      <c r="U85" s="606" t="s">
        <v>5702</v>
      </c>
      <c r="V85" s="606" t="s">
        <v>301</v>
      </c>
      <c r="AE85" s="1685">
        <v>45294.0</v>
      </c>
      <c r="AF85" s="606" t="s">
        <v>667</v>
      </c>
      <c r="AG85" s="606" t="s">
        <v>5712</v>
      </c>
      <c r="AH85" s="606" t="s">
        <v>437</v>
      </c>
    </row>
    <row r="86">
      <c r="A86" s="1685">
        <v>45496.0</v>
      </c>
      <c r="B86" s="606" t="s">
        <v>5601</v>
      </c>
      <c r="C86" s="606" t="s">
        <v>5701</v>
      </c>
      <c r="D86" s="606" t="s">
        <v>478</v>
      </c>
      <c r="G86" s="1685">
        <v>45439.0</v>
      </c>
      <c r="H86" s="606" t="s">
        <v>5786</v>
      </c>
      <c r="I86" s="606" t="s">
        <v>2142</v>
      </c>
      <c r="J86" s="606" t="s">
        <v>117</v>
      </c>
      <c r="M86" s="1685">
        <v>45491.0</v>
      </c>
      <c r="N86" s="606" t="s">
        <v>3858</v>
      </c>
      <c r="O86" s="606" t="s">
        <v>5703</v>
      </c>
      <c r="P86" s="606" t="s">
        <v>5787</v>
      </c>
      <c r="Q86" s="606" t="s">
        <v>5756</v>
      </c>
      <c r="S86" s="1685">
        <v>45462.0</v>
      </c>
      <c r="T86" s="606" t="s">
        <v>727</v>
      </c>
      <c r="U86" s="606" t="s">
        <v>1520</v>
      </c>
      <c r="V86" s="606" t="s">
        <v>5788</v>
      </c>
      <c r="AE86" s="1685">
        <v>45292.0</v>
      </c>
      <c r="AF86" s="606" t="s">
        <v>5789</v>
      </c>
      <c r="AG86" s="606" t="s">
        <v>108</v>
      </c>
      <c r="AH86" s="606" t="s">
        <v>91</v>
      </c>
    </row>
    <row r="87">
      <c r="A87" s="1685">
        <v>45493.0</v>
      </c>
      <c r="B87" s="606" t="s">
        <v>863</v>
      </c>
      <c r="C87" s="606" t="s">
        <v>5701</v>
      </c>
      <c r="D87" s="606" t="s">
        <v>305</v>
      </c>
      <c r="E87" s="606">
        <v>70.0</v>
      </c>
      <c r="G87" s="1685">
        <v>45437.0</v>
      </c>
      <c r="H87" s="606" t="s">
        <v>5786</v>
      </c>
      <c r="I87" s="606" t="s">
        <v>2142</v>
      </c>
      <c r="J87" s="606" t="s">
        <v>1150</v>
      </c>
      <c r="K87" s="606" t="s">
        <v>5790</v>
      </c>
      <c r="M87" s="1685">
        <v>45491.0</v>
      </c>
      <c r="N87" s="606" t="s">
        <v>968</v>
      </c>
      <c r="O87" s="606" t="s">
        <v>5703</v>
      </c>
      <c r="P87" s="606" t="s">
        <v>993</v>
      </c>
      <c r="Q87" s="606">
        <v>67.0</v>
      </c>
      <c r="S87" s="1685">
        <v>45460.0</v>
      </c>
      <c r="T87" s="606" t="s">
        <v>727</v>
      </c>
      <c r="U87" s="606" t="s">
        <v>1520</v>
      </c>
      <c r="V87" s="606" t="s">
        <v>527</v>
      </c>
    </row>
    <row r="88">
      <c r="A88" s="1685">
        <v>45492.0</v>
      </c>
      <c r="B88" s="606" t="s">
        <v>1190</v>
      </c>
      <c r="C88" s="606" t="s">
        <v>5701</v>
      </c>
      <c r="D88" s="606" t="s">
        <v>499</v>
      </c>
      <c r="G88" s="1685">
        <v>45435.0</v>
      </c>
      <c r="H88" s="606" t="s">
        <v>1190</v>
      </c>
      <c r="I88" s="606" t="s">
        <v>2142</v>
      </c>
      <c r="J88" s="606" t="s">
        <v>141</v>
      </c>
      <c r="M88" s="1685">
        <v>45489.0</v>
      </c>
      <c r="N88" s="606" t="s">
        <v>3858</v>
      </c>
      <c r="O88" s="606" t="s">
        <v>5703</v>
      </c>
      <c r="P88" s="606" t="s">
        <v>88</v>
      </c>
      <c r="S88" s="1685">
        <v>45459.0</v>
      </c>
      <c r="T88" s="606" t="s">
        <v>1280</v>
      </c>
      <c r="U88" s="606" t="s">
        <v>5702</v>
      </c>
      <c r="V88" s="606" t="s">
        <v>218</v>
      </c>
    </row>
    <row r="89">
      <c r="A89" s="1685">
        <v>45490.0</v>
      </c>
      <c r="B89" s="606" t="s">
        <v>1190</v>
      </c>
      <c r="C89" s="606" t="s">
        <v>5701</v>
      </c>
      <c r="D89" s="606" t="s">
        <v>102</v>
      </c>
      <c r="E89" s="606">
        <v>67.0</v>
      </c>
      <c r="G89" s="1685">
        <v>45433.0</v>
      </c>
      <c r="H89" s="606" t="s">
        <v>1190</v>
      </c>
      <c r="I89" s="606" t="s">
        <v>2142</v>
      </c>
      <c r="J89" s="606" t="s">
        <v>263</v>
      </c>
      <c r="M89" s="1685">
        <v>45487.0</v>
      </c>
      <c r="N89" s="606" t="s">
        <v>1362</v>
      </c>
      <c r="O89" s="606" t="s">
        <v>5703</v>
      </c>
      <c r="P89" s="606" t="s">
        <v>5734</v>
      </c>
      <c r="S89" s="1685">
        <v>45453.0</v>
      </c>
      <c r="T89" s="606" t="s">
        <v>727</v>
      </c>
      <c r="U89" s="606" t="s">
        <v>5702</v>
      </c>
      <c r="V89" s="606" t="s">
        <v>148</v>
      </c>
    </row>
    <row r="90">
      <c r="A90" s="1685">
        <v>45489.0</v>
      </c>
      <c r="B90" s="606" t="s">
        <v>5332</v>
      </c>
      <c r="C90" s="606" t="s">
        <v>5701</v>
      </c>
      <c r="D90" s="606" t="s">
        <v>472</v>
      </c>
      <c r="E90" s="606">
        <v>69.0</v>
      </c>
      <c r="G90" s="1685">
        <v>45431.0</v>
      </c>
      <c r="H90" s="606" t="s">
        <v>1190</v>
      </c>
      <c r="I90" s="606" t="s">
        <v>2142</v>
      </c>
      <c r="J90" s="606" t="s">
        <v>499</v>
      </c>
      <c r="M90" s="1685">
        <v>45486.0</v>
      </c>
      <c r="N90" s="606" t="s">
        <v>1190</v>
      </c>
      <c r="O90" s="606" t="s">
        <v>5703</v>
      </c>
      <c r="P90" s="606" t="s">
        <v>45</v>
      </c>
      <c r="S90" s="1685">
        <v>45452.0</v>
      </c>
      <c r="T90" s="606" t="s">
        <v>727</v>
      </c>
      <c r="U90" s="606" t="s">
        <v>1520</v>
      </c>
      <c r="V90" s="606" t="s">
        <v>32</v>
      </c>
    </row>
    <row r="91">
      <c r="A91" s="1685">
        <v>45485.0</v>
      </c>
      <c r="B91" s="606" t="s">
        <v>1362</v>
      </c>
      <c r="C91" s="606" t="s">
        <v>5701</v>
      </c>
      <c r="D91" s="606" t="s">
        <v>437</v>
      </c>
      <c r="E91" s="606" t="s">
        <v>5778</v>
      </c>
      <c r="G91" s="1685">
        <v>45429.0</v>
      </c>
      <c r="H91" s="606" t="s">
        <v>1280</v>
      </c>
      <c r="I91" s="606" t="s">
        <v>2142</v>
      </c>
      <c r="J91" s="606" t="s">
        <v>584</v>
      </c>
      <c r="M91" s="1685">
        <v>45485.0</v>
      </c>
      <c r="N91" s="606" t="s">
        <v>1362</v>
      </c>
      <c r="O91" s="606" t="s">
        <v>5703</v>
      </c>
      <c r="P91" s="606" t="s">
        <v>465</v>
      </c>
      <c r="Q91" s="606">
        <v>67.0</v>
      </c>
      <c r="S91" s="1685">
        <v>45446.0</v>
      </c>
      <c r="T91" s="606" t="s">
        <v>727</v>
      </c>
      <c r="U91" s="606" t="s">
        <v>1520</v>
      </c>
      <c r="V91" s="606" t="s">
        <v>359</v>
      </c>
    </row>
    <row r="92">
      <c r="A92" s="1685">
        <v>45485.0</v>
      </c>
      <c r="B92" s="606" t="s">
        <v>863</v>
      </c>
      <c r="C92" s="606" t="s">
        <v>5701</v>
      </c>
      <c r="D92" s="606" t="s">
        <v>275</v>
      </c>
      <c r="G92" s="1685">
        <v>45426.0</v>
      </c>
      <c r="H92" s="606" t="s">
        <v>830</v>
      </c>
      <c r="I92" s="606" t="s">
        <v>2142</v>
      </c>
      <c r="J92" s="606" t="s">
        <v>477</v>
      </c>
      <c r="K92" s="606">
        <v>63.0</v>
      </c>
      <c r="M92" s="1685">
        <v>45481.0</v>
      </c>
      <c r="N92" s="606" t="s">
        <v>3858</v>
      </c>
      <c r="O92" s="606" t="s">
        <v>5703</v>
      </c>
      <c r="P92" s="606" t="s">
        <v>247</v>
      </c>
      <c r="Q92" s="606">
        <v>64.0</v>
      </c>
      <c r="S92" s="1685">
        <v>45444.0</v>
      </c>
      <c r="T92" s="606" t="s">
        <v>727</v>
      </c>
      <c r="U92" s="606" t="s">
        <v>1520</v>
      </c>
      <c r="V92" s="606" t="s">
        <v>2904</v>
      </c>
    </row>
    <row r="93">
      <c r="A93" s="1685">
        <v>45482.0</v>
      </c>
      <c r="B93" s="606" t="s">
        <v>1190</v>
      </c>
      <c r="C93" s="606" t="s">
        <v>5701</v>
      </c>
      <c r="D93" s="606" t="s">
        <v>141</v>
      </c>
      <c r="G93" s="1685">
        <v>45424.0</v>
      </c>
      <c r="H93" s="606" t="s">
        <v>1190</v>
      </c>
      <c r="I93" s="606" t="s">
        <v>2142</v>
      </c>
      <c r="J93" s="606" t="s">
        <v>369</v>
      </c>
      <c r="M93" s="1685">
        <v>45480.0</v>
      </c>
      <c r="N93" s="606" t="s">
        <v>1066</v>
      </c>
      <c r="O93" s="606" t="s">
        <v>5703</v>
      </c>
      <c r="P93" s="606" t="s">
        <v>575</v>
      </c>
      <c r="S93" s="1685">
        <v>45443.0</v>
      </c>
      <c r="T93" s="606" t="s">
        <v>727</v>
      </c>
      <c r="U93" s="606" t="s">
        <v>5702</v>
      </c>
      <c r="V93" s="606" t="s">
        <v>532</v>
      </c>
    </row>
    <row r="94">
      <c r="A94" s="1685">
        <v>45481.0</v>
      </c>
      <c r="B94" s="606" t="s">
        <v>863</v>
      </c>
      <c r="C94" s="606" t="s">
        <v>2042</v>
      </c>
      <c r="D94" s="606" t="s">
        <v>272</v>
      </c>
      <c r="G94" s="1685">
        <v>45421.0</v>
      </c>
      <c r="H94" s="606" t="s">
        <v>968</v>
      </c>
      <c r="I94" s="606" t="s">
        <v>2142</v>
      </c>
      <c r="J94" s="606" t="s">
        <v>328</v>
      </c>
      <c r="M94" s="1685">
        <v>45479.0</v>
      </c>
      <c r="N94" s="606" t="s">
        <v>1362</v>
      </c>
      <c r="O94" s="606" t="s">
        <v>5703</v>
      </c>
      <c r="P94" s="606" t="s">
        <v>282</v>
      </c>
      <c r="Q94" s="606">
        <v>65.0</v>
      </c>
      <c r="S94" s="1685">
        <v>45439.0</v>
      </c>
      <c r="T94" s="606" t="s">
        <v>5601</v>
      </c>
      <c r="U94" s="606" t="s">
        <v>5702</v>
      </c>
      <c r="V94" s="606" t="s">
        <v>526</v>
      </c>
    </row>
    <row r="95">
      <c r="A95" s="1685">
        <v>45480.0</v>
      </c>
      <c r="B95" s="606" t="s">
        <v>1280</v>
      </c>
      <c r="C95" s="606" t="s">
        <v>5701</v>
      </c>
      <c r="D95" s="606" t="s">
        <v>83</v>
      </c>
      <c r="G95" s="1685">
        <v>45418.0</v>
      </c>
      <c r="H95" s="606" t="s">
        <v>1190</v>
      </c>
      <c r="I95" s="606" t="s">
        <v>2142</v>
      </c>
      <c r="J95" s="606" t="s">
        <v>577</v>
      </c>
      <c r="K95" s="606">
        <v>65.0</v>
      </c>
      <c r="M95" s="1685">
        <v>45479.0</v>
      </c>
      <c r="N95" s="606" t="s">
        <v>3858</v>
      </c>
      <c r="O95" s="606" t="s">
        <v>5703</v>
      </c>
      <c r="P95" s="606" t="s">
        <v>87</v>
      </c>
      <c r="S95" s="1685">
        <v>45437.0</v>
      </c>
      <c r="T95" s="606" t="s">
        <v>2899</v>
      </c>
      <c r="U95" s="606" t="s">
        <v>5702</v>
      </c>
      <c r="V95" s="606" t="s">
        <v>2911</v>
      </c>
    </row>
    <row r="96">
      <c r="A96" s="1685">
        <v>45479.0</v>
      </c>
      <c r="B96" s="606" t="s">
        <v>1116</v>
      </c>
      <c r="C96" s="606" t="s">
        <v>5701</v>
      </c>
      <c r="D96" s="606" t="s">
        <v>311</v>
      </c>
      <c r="G96" s="1685">
        <v>45417.0</v>
      </c>
      <c r="H96" s="606" t="s">
        <v>1190</v>
      </c>
      <c r="I96" s="606" t="s">
        <v>2142</v>
      </c>
      <c r="J96" s="606" t="s">
        <v>577</v>
      </c>
      <c r="K96" s="606">
        <v>65.0</v>
      </c>
      <c r="M96" s="1685">
        <v>45476.0</v>
      </c>
      <c r="N96" s="606" t="s">
        <v>667</v>
      </c>
      <c r="O96" s="606" t="s">
        <v>5705</v>
      </c>
      <c r="P96" s="606" t="s">
        <v>456</v>
      </c>
      <c r="S96" s="1685">
        <v>45435.0</v>
      </c>
      <c r="T96" s="606" t="s">
        <v>727</v>
      </c>
      <c r="U96" s="606" t="s">
        <v>1520</v>
      </c>
      <c r="V96" s="606" t="s">
        <v>123</v>
      </c>
      <c r="W96" s="606" t="s">
        <v>5791</v>
      </c>
    </row>
    <row r="97">
      <c r="A97" s="1685">
        <v>45478.0</v>
      </c>
      <c r="B97" s="606" t="s">
        <v>761</v>
      </c>
      <c r="C97" s="606" t="s">
        <v>5701</v>
      </c>
      <c r="D97" s="606" t="s">
        <v>3175</v>
      </c>
      <c r="E97" s="606" t="s">
        <v>5792</v>
      </c>
      <c r="G97" s="1685">
        <v>45415.0</v>
      </c>
      <c r="H97" s="606" t="s">
        <v>667</v>
      </c>
      <c r="I97" s="606" t="s">
        <v>2142</v>
      </c>
      <c r="J97" s="606" t="s">
        <v>51</v>
      </c>
      <c r="M97" s="1685">
        <v>45476.0</v>
      </c>
      <c r="N97" s="606" t="s">
        <v>2899</v>
      </c>
      <c r="O97" s="606" t="s">
        <v>5703</v>
      </c>
      <c r="P97" s="606" t="s">
        <v>2911</v>
      </c>
      <c r="S97" s="1685">
        <v>45433.0</v>
      </c>
      <c r="T97" s="606" t="s">
        <v>1362</v>
      </c>
      <c r="U97" s="606" t="s">
        <v>5702</v>
      </c>
      <c r="V97" s="606" t="s">
        <v>111</v>
      </c>
    </row>
    <row r="98">
      <c r="A98" s="1682">
        <v>45476.0</v>
      </c>
      <c r="B98" s="606" t="s">
        <v>5601</v>
      </c>
      <c r="C98" s="606" t="s">
        <v>5701</v>
      </c>
      <c r="D98" s="606" t="s">
        <v>526</v>
      </c>
      <c r="G98" s="1685">
        <v>45414.0</v>
      </c>
      <c r="H98" s="606" t="s">
        <v>1190</v>
      </c>
      <c r="I98" s="606" t="s">
        <v>2142</v>
      </c>
      <c r="J98" s="606" t="s">
        <v>457</v>
      </c>
      <c r="M98" s="1685">
        <v>45475.0</v>
      </c>
      <c r="N98" s="606" t="s">
        <v>1362</v>
      </c>
      <c r="O98" s="606" t="s">
        <v>5703</v>
      </c>
      <c r="P98" s="606" t="s">
        <v>1349</v>
      </c>
      <c r="S98" s="1685">
        <v>45432.0</v>
      </c>
      <c r="T98" s="606" t="s">
        <v>727</v>
      </c>
      <c r="U98" s="606" t="s">
        <v>5702</v>
      </c>
      <c r="V98" s="606" t="s">
        <v>425</v>
      </c>
      <c r="W98" s="606">
        <v>70.0</v>
      </c>
    </row>
    <row r="99">
      <c r="A99" s="1682">
        <v>45475.0</v>
      </c>
      <c r="B99" s="606" t="s">
        <v>2899</v>
      </c>
      <c r="C99" s="606" t="s">
        <v>5701</v>
      </c>
      <c r="D99" s="606" t="s">
        <v>122</v>
      </c>
      <c r="E99" s="606">
        <v>70.0</v>
      </c>
      <c r="G99" s="1685">
        <v>45409.0</v>
      </c>
      <c r="H99" s="606" t="s">
        <v>1190</v>
      </c>
      <c r="I99" s="606" t="s">
        <v>2142</v>
      </c>
      <c r="J99" s="606" t="s">
        <v>505</v>
      </c>
      <c r="M99" s="1685">
        <v>45472.0</v>
      </c>
      <c r="N99" s="606" t="s">
        <v>1190</v>
      </c>
      <c r="O99" s="606" t="s">
        <v>5703</v>
      </c>
      <c r="P99" s="606" t="s">
        <v>263</v>
      </c>
      <c r="S99" s="1685">
        <v>45430.0</v>
      </c>
      <c r="T99" s="606" t="s">
        <v>727</v>
      </c>
      <c r="U99" s="606" t="s">
        <v>1520</v>
      </c>
      <c r="V99" s="606" t="s">
        <v>5080</v>
      </c>
    </row>
    <row r="100">
      <c r="A100" s="1685">
        <v>45471.0</v>
      </c>
      <c r="B100" s="606" t="s">
        <v>863</v>
      </c>
      <c r="C100" s="606" t="s">
        <v>5701</v>
      </c>
      <c r="D100" s="606" t="s">
        <v>320</v>
      </c>
      <c r="G100" s="1685">
        <v>45406.0</v>
      </c>
      <c r="H100" s="606" t="s">
        <v>667</v>
      </c>
      <c r="I100" s="606" t="s">
        <v>2142</v>
      </c>
      <c r="J100" s="606" t="s">
        <v>282</v>
      </c>
      <c r="M100" s="1685">
        <v>45471.0</v>
      </c>
      <c r="N100" s="606" t="s">
        <v>727</v>
      </c>
      <c r="O100" s="606" t="s">
        <v>5703</v>
      </c>
      <c r="P100" s="606" t="s">
        <v>323</v>
      </c>
      <c r="S100" s="1685">
        <v>45429.0</v>
      </c>
      <c r="T100" s="606" t="s">
        <v>1066</v>
      </c>
      <c r="U100" s="606" t="s">
        <v>5702</v>
      </c>
      <c r="V100" s="606" t="s">
        <v>395</v>
      </c>
    </row>
    <row r="101">
      <c r="A101" s="1685">
        <v>45469.0</v>
      </c>
      <c r="B101" s="606" t="s">
        <v>1190</v>
      </c>
      <c r="C101" s="606" t="s">
        <v>5701</v>
      </c>
      <c r="D101" s="606" t="s">
        <v>457</v>
      </c>
      <c r="G101" s="1685">
        <v>45402.0</v>
      </c>
      <c r="H101" s="606" t="s">
        <v>1212</v>
      </c>
      <c r="I101" s="606" t="s">
        <v>2142</v>
      </c>
      <c r="J101" s="606" t="s">
        <v>364</v>
      </c>
      <c r="K101" s="606" t="s">
        <v>5756</v>
      </c>
      <c r="M101" s="1685">
        <v>45464.0</v>
      </c>
      <c r="N101" s="606" t="s">
        <v>1362</v>
      </c>
      <c r="O101" s="606" t="s">
        <v>5703</v>
      </c>
      <c r="P101" s="606" t="s">
        <v>135</v>
      </c>
      <c r="S101" s="1685">
        <v>45426.0</v>
      </c>
      <c r="T101" s="606" t="s">
        <v>1190</v>
      </c>
      <c r="U101" s="606" t="s">
        <v>5702</v>
      </c>
      <c r="V101" s="606" t="s">
        <v>262</v>
      </c>
      <c r="W101" s="606">
        <v>64.0</v>
      </c>
    </row>
    <row r="102">
      <c r="A102" s="1685">
        <v>45468.0</v>
      </c>
      <c r="B102" s="606" t="s">
        <v>1362</v>
      </c>
      <c r="C102" s="606" t="s">
        <v>5701</v>
      </c>
      <c r="D102" s="606" t="s">
        <v>389</v>
      </c>
      <c r="G102" s="1685">
        <v>45401.0</v>
      </c>
      <c r="H102" s="606" t="s">
        <v>1144</v>
      </c>
      <c r="I102" s="606" t="s">
        <v>2142</v>
      </c>
      <c r="J102" s="606" t="s">
        <v>5757</v>
      </c>
      <c r="M102" s="1685">
        <v>45463.0</v>
      </c>
      <c r="N102" s="606" t="s">
        <v>5786</v>
      </c>
      <c r="O102" s="606" t="s">
        <v>5703</v>
      </c>
      <c r="P102" s="606" t="s">
        <v>3067</v>
      </c>
      <c r="S102" s="1685">
        <v>45424.0</v>
      </c>
      <c r="T102" s="606" t="s">
        <v>5785</v>
      </c>
      <c r="U102" s="606" t="s">
        <v>5702</v>
      </c>
      <c r="V102" s="606" t="s">
        <v>301</v>
      </c>
      <c r="W102" s="606">
        <v>61.0</v>
      </c>
    </row>
    <row r="103">
      <c r="A103" s="1685">
        <v>45467.0</v>
      </c>
      <c r="B103" s="606" t="s">
        <v>1008</v>
      </c>
      <c r="C103" s="606" t="s">
        <v>2042</v>
      </c>
      <c r="D103" s="606" t="s">
        <v>310</v>
      </c>
      <c r="G103" s="1685">
        <v>45400.0</v>
      </c>
      <c r="H103" s="606" t="s">
        <v>1362</v>
      </c>
      <c r="I103" s="606" t="s">
        <v>2142</v>
      </c>
      <c r="J103" s="606" t="s">
        <v>262</v>
      </c>
      <c r="K103" s="606">
        <v>69.0</v>
      </c>
      <c r="M103" s="1685">
        <v>45462.0</v>
      </c>
      <c r="N103" s="606" t="s">
        <v>1362</v>
      </c>
      <c r="O103" s="606" t="s">
        <v>5703</v>
      </c>
      <c r="P103" s="606" t="s">
        <v>102</v>
      </c>
      <c r="S103" s="1685">
        <v>45420.0</v>
      </c>
      <c r="T103" s="606" t="s">
        <v>727</v>
      </c>
      <c r="U103" s="606" t="s">
        <v>5702</v>
      </c>
      <c r="V103" s="606" t="s">
        <v>993</v>
      </c>
      <c r="W103" s="606">
        <v>63.0</v>
      </c>
    </row>
    <row r="104">
      <c r="A104" s="1685">
        <v>45465.0</v>
      </c>
      <c r="B104" s="606" t="s">
        <v>5601</v>
      </c>
      <c r="C104" s="606" t="s">
        <v>5701</v>
      </c>
      <c r="D104" s="606" t="s">
        <v>549</v>
      </c>
      <c r="G104" s="1685">
        <v>45399.0</v>
      </c>
      <c r="H104" s="606" t="s">
        <v>830</v>
      </c>
      <c r="I104" s="606" t="s">
        <v>2142</v>
      </c>
      <c r="J104" s="606" t="s">
        <v>434</v>
      </c>
      <c r="K104" s="606">
        <v>70.0</v>
      </c>
      <c r="M104" s="1685">
        <v>45462.0</v>
      </c>
      <c r="N104" s="606" t="s">
        <v>1190</v>
      </c>
      <c r="O104" s="606" t="s">
        <v>5705</v>
      </c>
      <c r="P104" s="606" t="s">
        <v>88</v>
      </c>
      <c r="S104" s="1685">
        <v>45419.0</v>
      </c>
      <c r="T104" s="606" t="s">
        <v>727</v>
      </c>
      <c r="U104" s="606" t="s">
        <v>1520</v>
      </c>
      <c r="V104" s="606" t="s">
        <v>113</v>
      </c>
      <c r="W104" s="606" t="s">
        <v>5793</v>
      </c>
    </row>
    <row r="105">
      <c r="A105" s="1685">
        <v>45465.0</v>
      </c>
      <c r="B105" s="606" t="s">
        <v>1362</v>
      </c>
      <c r="C105" s="606" t="s">
        <v>5701</v>
      </c>
      <c r="D105" s="606" t="s">
        <v>435</v>
      </c>
      <c r="G105" s="1685">
        <v>45393.0</v>
      </c>
      <c r="H105" s="606" t="s">
        <v>837</v>
      </c>
      <c r="I105" s="606" t="s">
        <v>2142</v>
      </c>
      <c r="J105" s="606" t="s">
        <v>531</v>
      </c>
      <c r="K105" s="606">
        <v>78.0</v>
      </c>
      <c r="M105" s="1685">
        <v>45461.0</v>
      </c>
      <c r="N105" s="606" t="s">
        <v>1116</v>
      </c>
      <c r="O105" s="606" t="s">
        <v>5703</v>
      </c>
      <c r="P105" s="606" t="s">
        <v>294</v>
      </c>
      <c r="S105" s="1685">
        <v>45416.0</v>
      </c>
      <c r="T105" s="606" t="s">
        <v>727</v>
      </c>
      <c r="U105" s="606" t="s">
        <v>5702</v>
      </c>
      <c r="V105" s="606" t="s">
        <v>118</v>
      </c>
      <c r="W105" s="606" t="s">
        <v>5794</v>
      </c>
    </row>
    <row r="106">
      <c r="A106" s="1685">
        <v>45460.0</v>
      </c>
      <c r="B106" s="606" t="s">
        <v>5332</v>
      </c>
      <c r="C106" s="606" t="s">
        <v>5701</v>
      </c>
      <c r="D106" s="606" t="s">
        <v>498</v>
      </c>
      <c r="G106" s="1685">
        <v>45392.0</v>
      </c>
      <c r="H106" s="606" t="s">
        <v>1466</v>
      </c>
      <c r="I106" s="606" t="s">
        <v>2142</v>
      </c>
      <c r="J106" s="606" t="s">
        <v>263</v>
      </c>
      <c r="M106" s="1685">
        <v>45459.0</v>
      </c>
      <c r="N106" s="606" t="s">
        <v>2899</v>
      </c>
      <c r="O106" s="606" t="s">
        <v>5703</v>
      </c>
      <c r="P106" s="606" t="s">
        <v>5732</v>
      </c>
      <c r="S106" s="1685">
        <v>45414.0</v>
      </c>
      <c r="T106" s="606" t="s">
        <v>727</v>
      </c>
      <c r="U106" s="606" t="s">
        <v>5702</v>
      </c>
      <c r="V106" s="606" t="s">
        <v>479</v>
      </c>
      <c r="W106" s="606">
        <v>65.5</v>
      </c>
    </row>
    <row r="107">
      <c r="A107" s="1685">
        <v>45458.0</v>
      </c>
      <c r="B107" s="606" t="s">
        <v>1280</v>
      </c>
      <c r="C107" s="606" t="s">
        <v>5701</v>
      </c>
      <c r="D107" s="606" t="s">
        <v>266</v>
      </c>
      <c r="G107" s="1685">
        <v>45387.0</v>
      </c>
      <c r="H107" s="606" t="s">
        <v>2884</v>
      </c>
      <c r="I107" s="606" t="s">
        <v>2142</v>
      </c>
      <c r="J107" s="606" t="s">
        <v>549</v>
      </c>
      <c r="K107" s="606">
        <v>69.0</v>
      </c>
      <c r="M107" s="1685">
        <v>45458.0</v>
      </c>
      <c r="N107" s="606" t="s">
        <v>1212</v>
      </c>
      <c r="O107" s="606" t="s">
        <v>5703</v>
      </c>
      <c r="P107" s="606" t="s">
        <v>993</v>
      </c>
      <c r="S107" s="1685">
        <v>45414.0</v>
      </c>
      <c r="T107" s="606" t="s">
        <v>727</v>
      </c>
      <c r="U107" s="606" t="s">
        <v>1520</v>
      </c>
      <c r="V107" s="606" t="s">
        <v>1351</v>
      </c>
      <c r="W107" s="606" t="s">
        <v>5793</v>
      </c>
    </row>
    <row r="108">
      <c r="A108" s="1685">
        <v>45457.0</v>
      </c>
      <c r="B108" s="606" t="s">
        <v>1190</v>
      </c>
      <c r="C108" s="606" t="s">
        <v>5701</v>
      </c>
      <c r="D108" s="606" t="s">
        <v>348</v>
      </c>
      <c r="G108" s="1685">
        <v>45385.0</v>
      </c>
      <c r="H108" s="606" t="s">
        <v>667</v>
      </c>
      <c r="I108" s="606" t="s">
        <v>2142</v>
      </c>
      <c r="J108" s="606" t="s">
        <v>425</v>
      </c>
      <c r="M108" s="1685">
        <v>45456.0</v>
      </c>
      <c r="N108" s="606" t="s">
        <v>1362</v>
      </c>
      <c r="O108" s="606" t="s">
        <v>5703</v>
      </c>
      <c r="P108" s="606" t="s">
        <v>150</v>
      </c>
      <c r="S108" s="1685">
        <v>45414.0</v>
      </c>
      <c r="T108" s="606" t="s">
        <v>727</v>
      </c>
      <c r="U108" s="606" t="s">
        <v>1520</v>
      </c>
      <c r="V108" s="606" t="s">
        <v>25</v>
      </c>
    </row>
    <row r="109">
      <c r="A109" s="1685">
        <v>45455.0</v>
      </c>
      <c r="B109" s="606" t="s">
        <v>1190</v>
      </c>
      <c r="C109" s="606" t="s">
        <v>5701</v>
      </c>
      <c r="D109" s="606" t="s">
        <v>369</v>
      </c>
      <c r="G109" s="1685">
        <v>45383.0</v>
      </c>
      <c r="H109" s="606" t="s">
        <v>1362</v>
      </c>
      <c r="I109" s="606" t="s">
        <v>2142</v>
      </c>
      <c r="J109" s="606" t="s">
        <v>435</v>
      </c>
      <c r="M109" s="1685">
        <v>45454.0</v>
      </c>
      <c r="N109" s="606" t="s">
        <v>1362</v>
      </c>
      <c r="O109" s="606" t="s">
        <v>5703</v>
      </c>
      <c r="P109" s="606" t="s">
        <v>5734</v>
      </c>
      <c r="S109" s="1685">
        <v>45409.0</v>
      </c>
      <c r="T109" s="606" t="s">
        <v>1362</v>
      </c>
      <c r="U109" s="606" t="s">
        <v>5702</v>
      </c>
      <c r="V109" s="606" t="s">
        <v>469</v>
      </c>
    </row>
    <row r="110">
      <c r="A110" s="1685">
        <v>45453.0</v>
      </c>
      <c r="B110" s="606" t="s">
        <v>1362</v>
      </c>
      <c r="C110" s="606" t="s">
        <v>5701</v>
      </c>
      <c r="D110" s="606" t="s">
        <v>477</v>
      </c>
      <c r="G110" s="1685">
        <v>45379.0</v>
      </c>
      <c r="H110" s="606" t="s">
        <v>1362</v>
      </c>
      <c r="I110" s="606" t="s">
        <v>2142</v>
      </c>
      <c r="J110" s="606" t="s">
        <v>498</v>
      </c>
      <c r="M110" s="1685">
        <v>45450.0</v>
      </c>
      <c r="N110" s="606" t="s">
        <v>1190</v>
      </c>
      <c r="O110" s="606" t="s">
        <v>5703</v>
      </c>
      <c r="P110" s="606" t="s">
        <v>45</v>
      </c>
      <c r="S110" s="1685">
        <v>45405.0</v>
      </c>
      <c r="T110" s="606" t="s">
        <v>5785</v>
      </c>
      <c r="U110" s="606" t="s">
        <v>5702</v>
      </c>
      <c r="V110" s="606" t="s">
        <v>272</v>
      </c>
      <c r="W110" s="606">
        <v>71.0</v>
      </c>
    </row>
    <row r="111">
      <c r="A111" s="1685">
        <v>45452.0</v>
      </c>
      <c r="B111" s="606" t="s">
        <v>5601</v>
      </c>
      <c r="C111" s="606" t="s">
        <v>5701</v>
      </c>
      <c r="D111" s="606" t="s">
        <v>478</v>
      </c>
      <c r="G111" s="1685">
        <v>45377.0</v>
      </c>
      <c r="H111" s="606" t="s">
        <v>727</v>
      </c>
      <c r="I111" s="606" t="s">
        <v>2142</v>
      </c>
      <c r="J111" s="606" t="s">
        <v>472</v>
      </c>
      <c r="M111" s="1685">
        <v>45448.0</v>
      </c>
      <c r="N111" s="606" t="s">
        <v>1066</v>
      </c>
      <c r="O111" s="606" t="s">
        <v>5703</v>
      </c>
      <c r="P111" s="606" t="s">
        <v>133</v>
      </c>
      <c r="S111" s="1685">
        <v>45400.0</v>
      </c>
      <c r="T111" s="606" t="s">
        <v>1280</v>
      </c>
      <c r="U111" s="606" t="s">
        <v>5702</v>
      </c>
      <c r="V111" s="606" t="s">
        <v>32</v>
      </c>
    </row>
    <row r="112">
      <c r="A112" s="1685">
        <v>45452.0</v>
      </c>
      <c r="B112" s="606" t="s">
        <v>901</v>
      </c>
      <c r="C112" s="606" t="s">
        <v>5701</v>
      </c>
      <c r="D112" s="606" t="s">
        <v>477</v>
      </c>
      <c r="E112" s="606">
        <v>83.0</v>
      </c>
      <c r="G112" s="1685">
        <v>45376.0</v>
      </c>
      <c r="H112" s="606" t="s">
        <v>1190</v>
      </c>
      <c r="I112" s="606" t="s">
        <v>2142</v>
      </c>
      <c r="J112" s="606" t="s">
        <v>499</v>
      </c>
      <c r="M112" s="1685">
        <v>45447.0</v>
      </c>
      <c r="N112" s="606" t="s">
        <v>830</v>
      </c>
      <c r="O112" s="606" t="s">
        <v>5703</v>
      </c>
      <c r="P112" s="606" t="s">
        <v>247</v>
      </c>
      <c r="S112" s="1685">
        <v>45397.0</v>
      </c>
      <c r="T112" s="606" t="s">
        <v>1066</v>
      </c>
      <c r="U112" s="606" t="s">
        <v>5702</v>
      </c>
      <c r="V112" s="606" t="s">
        <v>395</v>
      </c>
    </row>
    <row r="113">
      <c r="A113" s="1685">
        <v>45452.0</v>
      </c>
      <c r="B113" s="606" t="s">
        <v>761</v>
      </c>
      <c r="C113" s="606" t="s">
        <v>5701</v>
      </c>
      <c r="D113" s="606" t="s">
        <v>2983</v>
      </c>
      <c r="G113" s="1685">
        <v>45372.0</v>
      </c>
      <c r="H113" s="606" t="s">
        <v>1190</v>
      </c>
      <c r="I113" s="606" t="s">
        <v>2142</v>
      </c>
      <c r="J113" s="606" t="s">
        <v>516</v>
      </c>
      <c r="M113" s="1685">
        <v>45446.0</v>
      </c>
      <c r="N113" s="606" t="s">
        <v>3858</v>
      </c>
      <c r="O113" s="606" t="s">
        <v>5705</v>
      </c>
      <c r="P113" s="606" t="s">
        <v>3175</v>
      </c>
      <c r="S113" s="1685">
        <v>45397.0</v>
      </c>
      <c r="T113" s="606" t="s">
        <v>727</v>
      </c>
      <c r="U113" s="606" t="s">
        <v>1520</v>
      </c>
      <c r="V113" s="606" t="s">
        <v>332</v>
      </c>
      <c r="W113" s="606" t="s">
        <v>5697</v>
      </c>
    </row>
    <row r="114">
      <c r="A114" s="1685">
        <v>45448.0</v>
      </c>
      <c r="B114" s="606" t="s">
        <v>1116</v>
      </c>
      <c r="C114" s="606" t="s">
        <v>5701</v>
      </c>
      <c r="D114" s="606" t="s">
        <v>311</v>
      </c>
      <c r="G114" s="1685">
        <v>45367.0</v>
      </c>
      <c r="H114" s="606" t="s">
        <v>1466</v>
      </c>
      <c r="I114" s="606" t="s">
        <v>2142</v>
      </c>
      <c r="J114" s="606" t="s">
        <v>329</v>
      </c>
      <c r="M114" s="1685">
        <v>45446.0</v>
      </c>
      <c r="N114" s="606" t="s">
        <v>1190</v>
      </c>
      <c r="O114" s="606" t="s">
        <v>5703</v>
      </c>
      <c r="P114" s="606" t="s">
        <v>87</v>
      </c>
      <c r="S114" s="1685">
        <v>45396.0</v>
      </c>
      <c r="T114" s="606" t="s">
        <v>1080</v>
      </c>
      <c r="U114" s="606" t="s">
        <v>5702</v>
      </c>
      <c r="V114" s="606" t="s">
        <v>532</v>
      </c>
    </row>
    <row r="115">
      <c r="A115" s="1685">
        <v>45446.0</v>
      </c>
      <c r="B115" s="606" t="s">
        <v>1280</v>
      </c>
      <c r="C115" s="606" t="s">
        <v>5701</v>
      </c>
      <c r="D115" s="606" t="s">
        <v>476</v>
      </c>
      <c r="G115" s="1685">
        <v>45366.0</v>
      </c>
      <c r="H115" s="606" t="s">
        <v>968</v>
      </c>
      <c r="I115" s="606" t="s">
        <v>2142</v>
      </c>
      <c r="J115" s="606" t="s">
        <v>78</v>
      </c>
      <c r="K115" s="606">
        <v>56.0</v>
      </c>
      <c r="M115" s="1685">
        <v>45445.0</v>
      </c>
      <c r="N115" s="606" t="s">
        <v>2899</v>
      </c>
      <c r="O115" s="606" t="s">
        <v>5703</v>
      </c>
      <c r="P115" s="606" t="s">
        <v>3461</v>
      </c>
      <c r="S115" s="1685">
        <v>45393.0</v>
      </c>
      <c r="T115" s="606" t="s">
        <v>2899</v>
      </c>
      <c r="U115" s="606" t="s">
        <v>5702</v>
      </c>
      <c r="V115" s="606" t="s">
        <v>389</v>
      </c>
    </row>
    <row r="116">
      <c r="A116" s="1685">
        <v>45446.0</v>
      </c>
      <c r="B116" s="606" t="s">
        <v>863</v>
      </c>
      <c r="C116" s="606" t="s">
        <v>2042</v>
      </c>
      <c r="D116" s="606" t="s">
        <v>272</v>
      </c>
      <c r="G116" s="1685">
        <v>45363.0</v>
      </c>
      <c r="H116" s="606" t="s">
        <v>2884</v>
      </c>
      <c r="I116" s="606" t="s">
        <v>2142</v>
      </c>
      <c r="J116" s="606" t="s">
        <v>295</v>
      </c>
      <c r="M116" s="1685">
        <v>45443.0</v>
      </c>
      <c r="N116" s="606" t="s">
        <v>1066</v>
      </c>
      <c r="O116" s="606" t="s">
        <v>5703</v>
      </c>
      <c r="P116" s="606" t="s">
        <v>3320</v>
      </c>
      <c r="S116" s="1685">
        <v>45389.0</v>
      </c>
      <c r="T116" s="606" t="s">
        <v>727</v>
      </c>
      <c r="U116" s="606" t="s">
        <v>5702</v>
      </c>
      <c r="V116" s="606" t="s">
        <v>111</v>
      </c>
    </row>
    <row r="117">
      <c r="A117" s="1685">
        <v>45444.0</v>
      </c>
      <c r="B117" s="606" t="s">
        <v>1362</v>
      </c>
      <c r="C117" s="606" t="s">
        <v>5701</v>
      </c>
      <c r="D117" s="606" t="s">
        <v>435</v>
      </c>
      <c r="G117" s="1685">
        <v>45359.0</v>
      </c>
      <c r="H117" s="606" t="s">
        <v>727</v>
      </c>
      <c r="I117" s="606" t="s">
        <v>2142</v>
      </c>
      <c r="J117" s="606" t="s">
        <v>266</v>
      </c>
      <c r="K117" s="606">
        <v>57.0</v>
      </c>
      <c r="M117" s="1685">
        <v>45442.0</v>
      </c>
      <c r="N117" s="606" t="s">
        <v>1362</v>
      </c>
      <c r="O117" s="606" t="s">
        <v>5703</v>
      </c>
      <c r="P117" s="606" t="s">
        <v>267</v>
      </c>
      <c r="S117" s="1685">
        <v>45387.0</v>
      </c>
      <c r="T117" s="606" t="s">
        <v>1008</v>
      </c>
      <c r="U117" s="606" t="s">
        <v>5702</v>
      </c>
      <c r="V117" s="606" t="s">
        <v>712</v>
      </c>
      <c r="W117" s="606">
        <v>76.0</v>
      </c>
    </row>
    <row r="118">
      <c r="A118" s="1685">
        <v>45444.0</v>
      </c>
      <c r="B118" s="606" t="s">
        <v>1066</v>
      </c>
      <c r="C118" s="606" t="s">
        <v>5701</v>
      </c>
      <c r="D118" s="606" t="s">
        <v>323</v>
      </c>
      <c r="G118" s="1685">
        <v>45358.0</v>
      </c>
      <c r="H118" s="606" t="s">
        <v>878</v>
      </c>
      <c r="I118" s="606" t="s">
        <v>2142</v>
      </c>
      <c r="J118" s="606" t="s">
        <v>431</v>
      </c>
      <c r="M118" s="1685">
        <v>45440.0</v>
      </c>
      <c r="N118" s="606" t="s">
        <v>1362</v>
      </c>
      <c r="O118" s="606" t="s">
        <v>5703</v>
      </c>
      <c r="P118" s="606" t="s">
        <v>267</v>
      </c>
      <c r="Q118" s="606" t="s">
        <v>5795</v>
      </c>
      <c r="S118" s="1685">
        <v>45383.0</v>
      </c>
      <c r="T118" s="606" t="s">
        <v>5785</v>
      </c>
      <c r="U118" s="606" t="s">
        <v>5702</v>
      </c>
      <c r="V118" s="606" t="s">
        <v>506</v>
      </c>
      <c r="W118" s="606" t="s">
        <v>5753</v>
      </c>
    </row>
    <row r="119">
      <c r="A119" s="1682">
        <v>45442.572916666664</v>
      </c>
      <c r="B119" s="606" t="s">
        <v>1190</v>
      </c>
      <c r="C119" s="1684" t="s">
        <v>5701</v>
      </c>
      <c r="D119" s="1684" t="s">
        <v>392</v>
      </c>
      <c r="G119" s="1685">
        <v>45358.0</v>
      </c>
      <c r="H119" s="606" t="s">
        <v>901</v>
      </c>
      <c r="I119" s="606" t="s">
        <v>2142</v>
      </c>
      <c r="J119" s="606" t="s">
        <v>266</v>
      </c>
      <c r="K119" s="606">
        <v>59.0</v>
      </c>
      <c r="M119" s="1685">
        <v>45438.0</v>
      </c>
      <c r="N119" s="606" t="s">
        <v>1362</v>
      </c>
      <c r="O119" s="606" t="s">
        <v>5703</v>
      </c>
      <c r="P119" s="606" t="s">
        <v>122</v>
      </c>
      <c r="S119" s="1685">
        <v>45383.0</v>
      </c>
      <c r="T119" s="606" t="s">
        <v>727</v>
      </c>
      <c r="U119" s="606" t="s">
        <v>1520</v>
      </c>
      <c r="V119" s="606" t="s">
        <v>264</v>
      </c>
      <c r="W119" s="606" t="s">
        <v>5697</v>
      </c>
    </row>
    <row r="120">
      <c r="A120" s="1685">
        <v>45442.0</v>
      </c>
      <c r="B120" s="606" t="s">
        <v>830</v>
      </c>
      <c r="C120" s="606" t="s">
        <v>5701</v>
      </c>
      <c r="D120" s="606" t="s">
        <v>364</v>
      </c>
      <c r="E120" s="606">
        <v>70.0</v>
      </c>
      <c r="G120" s="1685">
        <v>45350.0</v>
      </c>
      <c r="H120" s="606" t="s">
        <v>1190</v>
      </c>
      <c r="I120" s="606" t="s">
        <v>2142</v>
      </c>
      <c r="J120" s="606" t="s">
        <v>516</v>
      </c>
      <c r="M120" s="1685">
        <v>45437.0</v>
      </c>
      <c r="N120" s="606" t="s">
        <v>1362</v>
      </c>
      <c r="O120" s="606" t="s">
        <v>5703</v>
      </c>
      <c r="P120" s="606" t="s">
        <v>505</v>
      </c>
      <c r="S120" s="1685">
        <v>45382.0</v>
      </c>
      <c r="T120" s="606" t="s">
        <v>5796</v>
      </c>
      <c r="U120" s="606" t="s">
        <v>5702</v>
      </c>
      <c r="V120" s="606" t="s">
        <v>5797</v>
      </c>
      <c r="W120" s="606" t="s">
        <v>5753</v>
      </c>
    </row>
    <row r="121">
      <c r="A121" s="1682">
        <v>45441.40833333333</v>
      </c>
      <c r="B121" s="606" t="s">
        <v>830</v>
      </c>
      <c r="C121" s="606" t="s">
        <v>5701</v>
      </c>
      <c r="D121" s="606" t="s">
        <v>122</v>
      </c>
      <c r="G121" s="1685">
        <v>45343.0</v>
      </c>
      <c r="H121" s="606" t="s">
        <v>1066</v>
      </c>
      <c r="I121" s="606" t="s">
        <v>2142</v>
      </c>
      <c r="J121" s="606" t="s">
        <v>316</v>
      </c>
      <c r="K121" s="606" t="s">
        <v>5766</v>
      </c>
      <c r="M121" s="1685">
        <v>45435.0</v>
      </c>
      <c r="N121" s="606" t="s">
        <v>3487</v>
      </c>
      <c r="O121" s="606" t="s">
        <v>5703</v>
      </c>
      <c r="P121" s="606" t="s">
        <v>480</v>
      </c>
      <c r="S121" s="1685">
        <v>45380.0</v>
      </c>
      <c r="T121" s="606" t="s">
        <v>727</v>
      </c>
      <c r="U121" s="606" t="s">
        <v>5702</v>
      </c>
      <c r="V121" s="606" t="s">
        <v>5798</v>
      </c>
    </row>
    <row r="122">
      <c r="A122" s="1682">
        <v>45436.04652777778</v>
      </c>
      <c r="B122" s="606" t="s">
        <v>1190</v>
      </c>
      <c r="C122" s="606" t="s">
        <v>5701</v>
      </c>
      <c r="D122" s="606" t="s">
        <v>5757</v>
      </c>
      <c r="G122" s="1685">
        <v>45341.0</v>
      </c>
      <c r="H122" s="606" t="s">
        <v>1190</v>
      </c>
      <c r="I122" s="606" t="s">
        <v>2142</v>
      </c>
      <c r="J122" s="606" t="s">
        <v>137</v>
      </c>
      <c r="M122" s="1685">
        <v>45431.0</v>
      </c>
      <c r="N122" s="606" t="s">
        <v>727</v>
      </c>
      <c r="O122" s="606" t="s">
        <v>5703</v>
      </c>
      <c r="P122" s="606" t="s">
        <v>267</v>
      </c>
      <c r="Q122" s="606" t="s">
        <v>5795</v>
      </c>
      <c r="S122" s="1685">
        <v>45375.0</v>
      </c>
      <c r="T122" s="606" t="s">
        <v>727</v>
      </c>
      <c r="U122" s="606" t="s">
        <v>5702</v>
      </c>
      <c r="V122" s="606" t="s">
        <v>3241</v>
      </c>
    </row>
    <row r="123">
      <c r="A123" s="1682">
        <v>45433.15833333333</v>
      </c>
      <c r="B123" s="606" t="s">
        <v>1280</v>
      </c>
      <c r="C123" s="606" t="s">
        <v>5701</v>
      </c>
      <c r="D123" s="606" t="s">
        <v>19</v>
      </c>
      <c r="G123" s="1685">
        <v>45337.0</v>
      </c>
      <c r="H123" s="606" t="s">
        <v>727</v>
      </c>
      <c r="I123" s="606" t="s">
        <v>2142</v>
      </c>
      <c r="J123" s="606" t="s">
        <v>5799</v>
      </c>
      <c r="K123" s="606" t="s">
        <v>5768</v>
      </c>
      <c r="M123" s="1685">
        <v>45431.0</v>
      </c>
      <c r="N123" s="606" t="s">
        <v>1212</v>
      </c>
      <c r="O123" s="606" t="s">
        <v>5705</v>
      </c>
      <c r="P123" s="606" t="s">
        <v>135</v>
      </c>
      <c r="S123" s="1685">
        <v>45375.0</v>
      </c>
      <c r="T123" s="606" t="s">
        <v>1190</v>
      </c>
      <c r="U123" s="606" t="s">
        <v>5702</v>
      </c>
      <c r="V123" s="606" t="s">
        <v>323</v>
      </c>
    </row>
    <row r="124">
      <c r="A124" s="1682">
        <v>45430.79861111111</v>
      </c>
      <c r="B124" s="606" t="s">
        <v>863</v>
      </c>
      <c r="C124" s="606" t="s">
        <v>5701</v>
      </c>
      <c r="D124" s="606" t="s">
        <v>5800</v>
      </c>
      <c r="G124" s="1685">
        <v>45332.0</v>
      </c>
      <c r="H124" s="606" t="s">
        <v>667</v>
      </c>
      <c r="I124" s="606" t="s">
        <v>2142</v>
      </c>
      <c r="J124" s="606" t="s">
        <v>425</v>
      </c>
      <c r="M124" s="1685">
        <v>45429.0</v>
      </c>
      <c r="N124" s="606" t="s">
        <v>1116</v>
      </c>
      <c r="O124" s="606" t="s">
        <v>5703</v>
      </c>
      <c r="P124" s="606" t="s">
        <v>294</v>
      </c>
      <c r="S124" s="1685">
        <v>45369.0</v>
      </c>
      <c r="T124" s="606" t="s">
        <v>727</v>
      </c>
      <c r="U124" s="606" t="s">
        <v>5702</v>
      </c>
      <c r="V124" s="606" t="s">
        <v>549</v>
      </c>
    </row>
    <row r="125">
      <c r="A125" s="1682">
        <v>45430.59375</v>
      </c>
      <c r="B125" s="606" t="s">
        <v>863</v>
      </c>
      <c r="C125" s="606" t="s">
        <v>5701</v>
      </c>
      <c r="D125" s="606" t="s">
        <v>320</v>
      </c>
      <c r="G125" s="1685">
        <v>45328.0</v>
      </c>
      <c r="H125" s="606" t="s">
        <v>968</v>
      </c>
      <c r="I125" s="606" t="s">
        <v>2142</v>
      </c>
      <c r="J125" s="606" t="s">
        <v>506</v>
      </c>
      <c r="M125" s="1685">
        <v>45427.0</v>
      </c>
      <c r="N125" s="606" t="s">
        <v>707</v>
      </c>
      <c r="O125" s="606" t="s">
        <v>5703</v>
      </c>
      <c r="P125" s="606" t="s">
        <v>88</v>
      </c>
      <c r="S125" s="1685">
        <v>45369.0</v>
      </c>
      <c r="T125" s="606" t="s">
        <v>727</v>
      </c>
      <c r="U125" s="606" t="s">
        <v>5702</v>
      </c>
      <c r="V125" s="606" t="s">
        <v>457</v>
      </c>
    </row>
    <row r="126">
      <c r="A126" s="1682">
        <v>45429.29791666667</v>
      </c>
      <c r="B126" s="606" t="s">
        <v>1190</v>
      </c>
      <c r="C126" s="606" t="s">
        <v>5701</v>
      </c>
      <c r="D126" s="606" t="s">
        <v>516</v>
      </c>
      <c r="G126" s="1685">
        <v>45326.0</v>
      </c>
      <c r="H126" s="606" t="s">
        <v>901</v>
      </c>
      <c r="I126" s="606" t="s">
        <v>2142</v>
      </c>
      <c r="J126" s="606" t="s">
        <v>295</v>
      </c>
      <c r="K126" s="606">
        <v>50.0</v>
      </c>
      <c r="M126" s="1685">
        <v>45426.0</v>
      </c>
      <c r="N126" s="606" t="s">
        <v>2899</v>
      </c>
      <c r="O126" s="606" t="s">
        <v>5703</v>
      </c>
      <c r="P126" s="606" t="s">
        <v>348</v>
      </c>
      <c r="S126" s="1685">
        <v>45365.0</v>
      </c>
      <c r="T126" s="606" t="s">
        <v>727</v>
      </c>
      <c r="U126" s="606" t="s">
        <v>5702</v>
      </c>
      <c r="V126" s="606" t="s">
        <v>488</v>
      </c>
    </row>
    <row r="127">
      <c r="A127" s="1682">
        <v>45428.57708333333</v>
      </c>
      <c r="B127" s="606" t="s">
        <v>5601</v>
      </c>
      <c r="C127" s="606" t="s">
        <v>5701</v>
      </c>
      <c r="D127" s="606" t="s">
        <v>549</v>
      </c>
      <c r="G127" s="1685">
        <v>45324.0</v>
      </c>
      <c r="H127" s="606" t="s">
        <v>1190</v>
      </c>
      <c r="I127" s="606" t="s">
        <v>2142</v>
      </c>
      <c r="J127" s="606" t="s">
        <v>457</v>
      </c>
      <c r="M127" s="1685">
        <v>45426.0</v>
      </c>
      <c r="N127" s="606" t="s">
        <v>1066</v>
      </c>
      <c r="O127" s="606" t="s">
        <v>5703</v>
      </c>
      <c r="P127" s="606" t="s">
        <v>2983</v>
      </c>
      <c r="S127" s="1685">
        <v>45365.0</v>
      </c>
      <c r="T127" s="606" t="s">
        <v>727</v>
      </c>
      <c r="U127" s="606" t="s">
        <v>5702</v>
      </c>
      <c r="V127" s="606" t="s">
        <v>2911</v>
      </c>
    </row>
    <row r="128">
      <c r="A128" s="1682">
        <v>45422.47708333333</v>
      </c>
      <c r="B128" s="606" t="s">
        <v>667</v>
      </c>
      <c r="C128" s="606" t="s">
        <v>2042</v>
      </c>
      <c r="D128" s="606" t="s">
        <v>5036</v>
      </c>
      <c r="G128" s="1685">
        <v>45322.0</v>
      </c>
      <c r="H128" s="606" t="s">
        <v>1190</v>
      </c>
      <c r="I128" s="606" t="s">
        <v>2142</v>
      </c>
      <c r="J128" s="606" t="s">
        <v>457</v>
      </c>
      <c r="K128" s="1682"/>
      <c r="M128" s="1685">
        <v>45425.0</v>
      </c>
      <c r="N128" s="606" t="s">
        <v>1066</v>
      </c>
      <c r="O128" s="606" t="s">
        <v>5703</v>
      </c>
      <c r="P128" s="606" t="s">
        <v>2983</v>
      </c>
      <c r="Q128" s="606">
        <v>58.5</v>
      </c>
      <c r="S128" s="1685">
        <v>45363.0</v>
      </c>
      <c r="T128" s="606" t="s">
        <v>3116</v>
      </c>
      <c r="U128" s="606" t="s">
        <v>1520</v>
      </c>
      <c r="V128" s="606" t="s">
        <v>434</v>
      </c>
    </row>
    <row r="129">
      <c r="A129" s="1682">
        <v>45421.22777777778</v>
      </c>
      <c r="B129" s="606" t="s">
        <v>863</v>
      </c>
      <c r="C129" s="606" t="s">
        <v>5701</v>
      </c>
      <c r="D129" s="606" t="s">
        <v>310</v>
      </c>
      <c r="G129" s="1685">
        <v>45322.0</v>
      </c>
      <c r="H129" s="606" t="s">
        <v>1362</v>
      </c>
      <c r="I129" s="606" t="s">
        <v>2142</v>
      </c>
      <c r="J129" s="606" t="s">
        <v>135</v>
      </c>
      <c r="K129" s="1682"/>
      <c r="M129" s="1685">
        <v>45425.0</v>
      </c>
      <c r="N129" s="606" t="s">
        <v>5801</v>
      </c>
      <c r="O129" s="606" t="s">
        <v>5703</v>
      </c>
      <c r="P129" s="606" t="s">
        <v>712</v>
      </c>
      <c r="Q129" s="606">
        <v>65.0</v>
      </c>
      <c r="S129" s="1685">
        <v>45362.0</v>
      </c>
      <c r="T129" s="606" t="s">
        <v>727</v>
      </c>
      <c r="U129" s="606" t="s">
        <v>1520</v>
      </c>
      <c r="V129" s="606" t="s">
        <v>2904</v>
      </c>
    </row>
    <row r="130">
      <c r="A130" s="1685">
        <v>45421.0</v>
      </c>
      <c r="B130" s="606" t="s">
        <v>761</v>
      </c>
      <c r="C130" s="606" t="s">
        <v>5701</v>
      </c>
      <c r="D130" s="606" t="s">
        <v>266</v>
      </c>
      <c r="E130" s="606">
        <v>63.0</v>
      </c>
      <c r="G130" s="1685">
        <v>45317.0</v>
      </c>
      <c r="H130" s="606" t="s">
        <v>1466</v>
      </c>
      <c r="I130" s="606" t="s">
        <v>2142</v>
      </c>
      <c r="J130" s="606" t="s">
        <v>5788</v>
      </c>
      <c r="K130" s="1682"/>
      <c r="M130" s="1685">
        <v>45424.0</v>
      </c>
      <c r="N130" s="606" t="s">
        <v>1190</v>
      </c>
      <c r="O130" s="606" t="s">
        <v>5703</v>
      </c>
      <c r="P130" s="606" t="s">
        <v>262</v>
      </c>
      <c r="Q130" s="606">
        <v>58.5</v>
      </c>
      <c r="S130" s="1685">
        <v>45362.0</v>
      </c>
      <c r="T130" s="606" t="s">
        <v>727</v>
      </c>
      <c r="U130" s="606" t="s">
        <v>5702</v>
      </c>
      <c r="V130" s="606" t="s">
        <v>102</v>
      </c>
    </row>
    <row r="131">
      <c r="A131" s="1682">
        <v>45415.853472222225</v>
      </c>
      <c r="B131" s="606" t="s">
        <v>1362</v>
      </c>
      <c r="C131" s="606" t="s">
        <v>5701</v>
      </c>
      <c r="D131" s="606" t="s">
        <v>111</v>
      </c>
      <c r="G131" s="1685">
        <v>45314.0</v>
      </c>
      <c r="H131" s="606" t="s">
        <v>1190</v>
      </c>
      <c r="I131" s="606" t="s">
        <v>2142</v>
      </c>
      <c r="J131" s="606" t="s">
        <v>369</v>
      </c>
      <c r="K131" s="1682"/>
      <c r="M131" s="1685">
        <v>45424.0</v>
      </c>
      <c r="N131" s="606" t="s">
        <v>1362</v>
      </c>
      <c r="O131" s="606" t="s">
        <v>5703</v>
      </c>
      <c r="P131" s="606" t="s">
        <v>88</v>
      </c>
      <c r="S131" s="1685">
        <v>45355.0</v>
      </c>
      <c r="T131" s="606" t="s">
        <v>667</v>
      </c>
      <c r="U131" s="606" t="s">
        <v>5702</v>
      </c>
      <c r="V131" s="606" t="s">
        <v>205</v>
      </c>
    </row>
    <row r="132">
      <c r="A132" s="1682">
        <v>45415.49236111111</v>
      </c>
      <c r="B132" s="606" t="s">
        <v>1116</v>
      </c>
      <c r="C132" s="606" t="s">
        <v>2042</v>
      </c>
      <c r="D132" s="606" t="s">
        <v>311</v>
      </c>
      <c r="G132" s="1685">
        <v>45310.0</v>
      </c>
      <c r="H132" s="606" t="s">
        <v>1190</v>
      </c>
      <c r="I132" s="606" t="s">
        <v>2142</v>
      </c>
      <c r="J132" s="606" t="s">
        <v>499</v>
      </c>
      <c r="K132" s="1682"/>
      <c r="M132" s="1685">
        <v>45423.0</v>
      </c>
      <c r="N132" s="606" t="s">
        <v>1362</v>
      </c>
      <c r="O132" s="606" t="s">
        <v>5703</v>
      </c>
      <c r="P132" s="606" t="s">
        <v>150</v>
      </c>
      <c r="S132" s="1685">
        <v>45354.0</v>
      </c>
      <c r="T132" s="606" t="s">
        <v>1280</v>
      </c>
      <c r="U132" s="606" t="s">
        <v>5702</v>
      </c>
      <c r="V132" s="606" t="s">
        <v>32</v>
      </c>
    </row>
    <row r="133">
      <c r="A133" s="1682">
        <v>45414.645833333336</v>
      </c>
      <c r="B133" s="606" t="s">
        <v>1280</v>
      </c>
      <c r="C133" s="606" t="s">
        <v>5701</v>
      </c>
      <c r="D133" s="606" t="s">
        <v>508</v>
      </c>
      <c r="G133" s="1685">
        <v>45308.0</v>
      </c>
      <c r="H133" s="606" t="s">
        <v>1190</v>
      </c>
      <c r="I133" s="606" t="s">
        <v>2142</v>
      </c>
      <c r="J133" s="606" t="s">
        <v>469</v>
      </c>
      <c r="K133" s="1682"/>
      <c r="M133" s="1685">
        <v>45422.0</v>
      </c>
      <c r="N133" s="606" t="s">
        <v>5785</v>
      </c>
      <c r="O133" s="606" t="s">
        <v>5703</v>
      </c>
      <c r="P133" s="606" t="s">
        <v>301</v>
      </c>
      <c r="Q133" s="606">
        <v>61.0</v>
      </c>
      <c r="S133" s="1685">
        <v>45351.0</v>
      </c>
      <c r="T133" s="606" t="s">
        <v>727</v>
      </c>
      <c r="U133" s="606" t="s">
        <v>5702</v>
      </c>
      <c r="V133" s="606" t="s">
        <v>354</v>
      </c>
    </row>
    <row r="134">
      <c r="A134" s="1685">
        <v>45412.0</v>
      </c>
      <c r="B134" s="606" t="s">
        <v>1066</v>
      </c>
      <c r="C134" s="606" t="s">
        <v>5701</v>
      </c>
      <c r="D134" s="606" t="s">
        <v>5256</v>
      </c>
      <c r="G134" s="1685">
        <v>45301.0</v>
      </c>
      <c r="H134" s="606" t="s">
        <v>1190</v>
      </c>
      <c r="I134" s="606" t="s">
        <v>2142</v>
      </c>
      <c r="J134" s="606" t="s">
        <v>498</v>
      </c>
      <c r="K134" s="606" t="s">
        <v>5802</v>
      </c>
      <c r="M134" s="1685">
        <v>45420.0</v>
      </c>
      <c r="N134" s="606" t="s">
        <v>727</v>
      </c>
      <c r="O134" s="606" t="s">
        <v>5703</v>
      </c>
      <c r="P134" s="606" t="s">
        <v>993</v>
      </c>
      <c r="Q134" s="606">
        <v>63.0</v>
      </c>
      <c r="S134" s="1685">
        <v>45350.0</v>
      </c>
      <c r="T134" s="606" t="s">
        <v>1190</v>
      </c>
      <c r="U134" s="606" t="s">
        <v>5702</v>
      </c>
      <c r="V134" s="606" t="s">
        <v>3106</v>
      </c>
    </row>
    <row r="135">
      <c r="A135" s="1685">
        <v>45410.0</v>
      </c>
      <c r="B135" s="606" t="s">
        <v>1116</v>
      </c>
      <c r="C135" s="606" t="s">
        <v>5701</v>
      </c>
      <c r="D135" s="606" t="s">
        <v>295</v>
      </c>
      <c r="G135" s="1685">
        <v>45297.0</v>
      </c>
      <c r="H135" s="606" t="s">
        <v>1190</v>
      </c>
      <c r="I135" s="606" t="s">
        <v>2142</v>
      </c>
      <c r="J135" s="606" t="s">
        <v>3190</v>
      </c>
      <c r="K135" s="606" t="s">
        <v>5803</v>
      </c>
      <c r="M135" s="1685">
        <v>45420.0</v>
      </c>
      <c r="N135" s="606" t="s">
        <v>2899</v>
      </c>
      <c r="O135" s="606" t="s">
        <v>5703</v>
      </c>
      <c r="P135" s="606" t="s">
        <v>102</v>
      </c>
      <c r="S135" s="1685">
        <v>45347.0</v>
      </c>
      <c r="T135" s="606" t="s">
        <v>1362</v>
      </c>
      <c r="U135" s="606" t="s">
        <v>5702</v>
      </c>
      <c r="V135" s="606" t="s">
        <v>135</v>
      </c>
    </row>
    <row r="136">
      <c r="A136" s="1685">
        <v>45410.0</v>
      </c>
      <c r="B136" s="606" t="s">
        <v>727</v>
      </c>
      <c r="C136" s="606" t="s">
        <v>5701</v>
      </c>
      <c r="D136" s="606" t="s">
        <v>247</v>
      </c>
      <c r="E136" s="606">
        <v>65.5</v>
      </c>
      <c r="G136" s="1685">
        <v>45292.0</v>
      </c>
      <c r="H136" s="606" t="s">
        <v>1190</v>
      </c>
      <c r="I136" s="606" t="s">
        <v>2142</v>
      </c>
      <c r="J136" s="606" t="s">
        <v>457</v>
      </c>
      <c r="K136" s="1682"/>
      <c r="M136" s="1685">
        <v>45418.0</v>
      </c>
      <c r="N136" s="606" t="s">
        <v>1362</v>
      </c>
      <c r="O136" s="606" t="s">
        <v>5703</v>
      </c>
      <c r="P136" s="606" t="s">
        <v>5734</v>
      </c>
      <c r="S136" s="1685">
        <v>45346.0</v>
      </c>
      <c r="T136" s="606" t="s">
        <v>727</v>
      </c>
      <c r="U136" s="606" t="s">
        <v>5702</v>
      </c>
      <c r="V136" s="606" t="s">
        <v>340</v>
      </c>
    </row>
    <row r="137">
      <c r="A137" s="1685">
        <v>45408.0</v>
      </c>
      <c r="B137" s="606" t="s">
        <v>863</v>
      </c>
      <c r="C137" s="606" t="s">
        <v>5701</v>
      </c>
      <c r="D137" s="606" t="s">
        <v>371</v>
      </c>
      <c r="M137" s="1685">
        <v>45418.0</v>
      </c>
      <c r="N137" s="606" t="s">
        <v>1190</v>
      </c>
      <c r="O137" s="606" t="s">
        <v>5703</v>
      </c>
      <c r="P137" s="606" t="s">
        <v>87</v>
      </c>
      <c r="S137" s="1685">
        <v>45343.0</v>
      </c>
      <c r="T137" s="606" t="s">
        <v>1190</v>
      </c>
      <c r="U137" s="606" t="s">
        <v>5702</v>
      </c>
      <c r="V137" s="606" t="s">
        <v>498</v>
      </c>
    </row>
    <row r="138">
      <c r="A138" s="1685">
        <v>45405.0</v>
      </c>
      <c r="B138" s="606" t="s">
        <v>1190</v>
      </c>
      <c r="C138" s="606" t="s">
        <v>5701</v>
      </c>
      <c r="D138" s="606" t="s">
        <v>516</v>
      </c>
      <c r="M138" s="1685">
        <v>45417.0</v>
      </c>
      <c r="N138" s="606" t="s">
        <v>707</v>
      </c>
      <c r="O138" s="606" t="s">
        <v>5703</v>
      </c>
      <c r="P138" s="606" t="s">
        <v>3336</v>
      </c>
      <c r="Q138" s="606">
        <v>63.0</v>
      </c>
      <c r="S138" s="1685">
        <v>45343.0</v>
      </c>
      <c r="T138" s="606" t="s">
        <v>727</v>
      </c>
      <c r="U138" s="606" t="s">
        <v>5702</v>
      </c>
      <c r="V138" s="606" t="s">
        <v>247</v>
      </c>
      <c r="W138" s="606" t="s">
        <v>5804</v>
      </c>
    </row>
    <row r="139">
      <c r="A139" s="1685">
        <v>45405.0</v>
      </c>
      <c r="B139" s="606" t="s">
        <v>1190</v>
      </c>
      <c r="C139" s="606" t="s">
        <v>5701</v>
      </c>
      <c r="D139" s="606" t="s">
        <v>499</v>
      </c>
      <c r="M139" s="1685">
        <v>45417.0</v>
      </c>
      <c r="N139" s="606" t="s">
        <v>707</v>
      </c>
      <c r="O139" s="606" t="s">
        <v>5703</v>
      </c>
      <c r="P139" s="606" t="s">
        <v>87</v>
      </c>
      <c r="S139" s="1685">
        <v>45341.0</v>
      </c>
      <c r="T139" s="606" t="s">
        <v>968</v>
      </c>
      <c r="U139" s="606" t="s">
        <v>1520</v>
      </c>
      <c r="V139" s="606" t="s">
        <v>328</v>
      </c>
    </row>
    <row r="140">
      <c r="A140" s="1685">
        <v>45402.0</v>
      </c>
      <c r="B140" s="606" t="s">
        <v>1362</v>
      </c>
      <c r="C140" s="606" t="s">
        <v>5701</v>
      </c>
      <c r="D140" s="606" t="s">
        <v>141</v>
      </c>
      <c r="M140" s="1685">
        <v>45416.0</v>
      </c>
      <c r="N140" s="606" t="s">
        <v>1604</v>
      </c>
      <c r="O140" s="606" t="s">
        <v>5703</v>
      </c>
      <c r="P140" s="606" t="s">
        <v>498</v>
      </c>
      <c r="S140" s="1685">
        <v>45338.0</v>
      </c>
      <c r="T140" s="606" t="s">
        <v>1190</v>
      </c>
      <c r="U140" s="606" t="s">
        <v>5702</v>
      </c>
      <c r="V140" s="606" t="s">
        <v>993</v>
      </c>
    </row>
    <row r="141">
      <c r="A141" s="1685">
        <v>45399.0</v>
      </c>
      <c r="B141" s="606" t="s">
        <v>1280</v>
      </c>
      <c r="C141" s="606" t="s">
        <v>5701</v>
      </c>
      <c r="D141" s="606" t="s">
        <v>476</v>
      </c>
      <c r="M141" s="1685">
        <v>45416.0</v>
      </c>
      <c r="N141" s="606" t="s">
        <v>1227</v>
      </c>
      <c r="O141" s="606" t="s">
        <v>5705</v>
      </c>
      <c r="P141" s="606" t="s">
        <v>472</v>
      </c>
      <c r="S141" s="1685">
        <v>45338.0</v>
      </c>
      <c r="T141" s="606" t="s">
        <v>727</v>
      </c>
      <c r="U141" s="606" t="s">
        <v>5702</v>
      </c>
      <c r="V141" s="606" t="s">
        <v>764</v>
      </c>
      <c r="W141" s="606">
        <v>41.0</v>
      </c>
    </row>
    <row r="142">
      <c r="A142" s="1685">
        <v>45397.0</v>
      </c>
      <c r="B142" s="606" t="s">
        <v>1116</v>
      </c>
      <c r="C142" s="606" t="s">
        <v>5701</v>
      </c>
      <c r="D142" s="606" t="s">
        <v>294</v>
      </c>
      <c r="M142" s="1685">
        <v>45416.0</v>
      </c>
      <c r="N142" s="606" t="s">
        <v>2899</v>
      </c>
      <c r="O142" s="606" t="s">
        <v>5703</v>
      </c>
      <c r="P142" s="606" t="s">
        <v>392</v>
      </c>
      <c r="S142" s="1685">
        <v>45336.0</v>
      </c>
      <c r="T142" s="606" t="s">
        <v>727</v>
      </c>
      <c r="U142" s="606" t="s">
        <v>5702</v>
      </c>
      <c r="V142" s="606" t="s">
        <v>323</v>
      </c>
      <c r="W142" s="606" t="s">
        <v>5768</v>
      </c>
    </row>
    <row r="143">
      <c r="A143" s="1685">
        <v>45395.0</v>
      </c>
      <c r="B143" s="606" t="s">
        <v>761</v>
      </c>
      <c r="C143" s="606" t="s">
        <v>2042</v>
      </c>
      <c r="D143" s="606" t="s">
        <v>5800</v>
      </c>
      <c r="M143" s="1685">
        <v>45415.0</v>
      </c>
      <c r="N143" s="606" t="s">
        <v>707</v>
      </c>
      <c r="O143" s="606" t="s">
        <v>5703</v>
      </c>
      <c r="P143" s="606" t="s">
        <v>498</v>
      </c>
      <c r="Q143" s="606">
        <v>65.0</v>
      </c>
      <c r="S143" s="1685">
        <v>45336.0</v>
      </c>
      <c r="T143" s="606" t="s">
        <v>1066</v>
      </c>
      <c r="U143" s="606" t="s">
        <v>1520</v>
      </c>
      <c r="V143" s="606" t="s">
        <v>262</v>
      </c>
    </row>
    <row r="144">
      <c r="A144" s="1685">
        <v>45395.0</v>
      </c>
      <c r="B144" s="606" t="s">
        <v>1362</v>
      </c>
      <c r="C144" s="606" t="s">
        <v>5701</v>
      </c>
      <c r="D144" s="606" t="s">
        <v>135</v>
      </c>
      <c r="M144" s="1685">
        <v>45415.0</v>
      </c>
      <c r="N144" s="606" t="s">
        <v>707</v>
      </c>
      <c r="O144" s="606" t="s">
        <v>5703</v>
      </c>
      <c r="P144" s="606" t="s">
        <v>3336</v>
      </c>
      <c r="S144" s="1685">
        <v>45334.0</v>
      </c>
      <c r="T144" s="606" t="s">
        <v>727</v>
      </c>
      <c r="U144" s="606" t="s">
        <v>1520</v>
      </c>
      <c r="V144" s="606" t="s">
        <v>267</v>
      </c>
    </row>
    <row r="145">
      <c r="A145" s="1685">
        <v>45393.0</v>
      </c>
      <c r="B145" s="606" t="s">
        <v>1280</v>
      </c>
      <c r="C145" s="606" t="s">
        <v>5701</v>
      </c>
      <c r="D145" s="606" t="s">
        <v>480</v>
      </c>
      <c r="M145" s="1685">
        <v>45414.0</v>
      </c>
      <c r="N145" s="606" t="s">
        <v>1227</v>
      </c>
      <c r="O145" s="606" t="s">
        <v>5705</v>
      </c>
      <c r="P145" s="606" t="s">
        <v>472</v>
      </c>
      <c r="Q145" s="606">
        <v>66.0</v>
      </c>
      <c r="S145" s="1685">
        <v>45332.0</v>
      </c>
      <c r="T145" s="606" t="s">
        <v>727</v>
      </c>
      <c r="U145" s="606" t="s">
        <v>5702</v>
      </c>
      <c r="V145" s="606" t="s">
        <v>499</v>
      </c>
    </row>
    <row r="146">
      <c r="A146" s="1685">
        <v>45393.0</v>
      </c>
      <c r="B146" s="606" t="s">
        <v>1190</v>
      </c>
      <c r="C146" s="606" t="s">
        <v>5701</v>
      </c>
      <c r="D146" s="606" t="s">
        <v>354</v>
      </c>
      <c r="E146" s="606">
        <v>80.0</v>
      </c>
      <c r="M146" s="1685">
        <v>45414.0</v>
      </c>
      <c r="N146" s="606" t="s">
        <v>727</v>
      </c>
      <c r="O146" s="606" t="s">
        <v>5703</v>
      </c>
      <c r="P146" s="606" t="s">
        <v>1211</v>
      </c>
      <c r="Q146" s="606" t="s">
        <v>5756</v>
      </c>
      <c r="S146" s="1685">
        <v>45329.0</v>
      </c>
      <c r="T146" s="606" t="s">
        <v>727</v>
      </c>
      <c r="U146" s="606" t="s">
        <v>5702</v>
      </c>
      <c r="V146" s="606" t="s">
        <v>764</v>
      </c>
    </row>
    <row r="147">
      <c r="A147" s="1685">
        <v>45391.0</v>
      </c>
      <c r="B147" s="606" t="s">
        <v>761</v>
      </c>
      <c r="C147" s="606" t="s">
        <v>5701</v>
      </c>
      <c r="D147" s="606" t="s">
        <v>475</v>
      </c>
      <c r="E147" s="606">
        <v>67.0</v>
      </c>
      <c r="M147" s="1685">
        <v>45413.0</v>
      </c>
      <c r="N147" s="606" t="s">
        <v>727</v>
      </c>
      <c r="O147" s="606" t="s">
        <v>5703</v>
      </c>
      <c r="P147" s="606" t="s">
        <v>479</v>
      </c>
      <c r="Q147" s="606">
        <v>65.5</v>
      </c>
      <c r="S147" s="1685">
        <v>45326.0</v>
      </c>
      <c r="T147" s="606" t="s">
        <v>2899</v>
      </c>
      <c r="U147" s="606" t="s">
        <v>5702</v>
      </c>
      <c r="V147" s="606" t="s">
        <v>348</v>
      </c>
    </row>
    <row r="148">
      <c r="A148" s="1685">
        <v>45389.0</v>
      </c>
      <c r="B148" s="606" t="s">
        <v>919</v>
      </c>
      <c r="C148" s="606" t="s">
        <v>5701</v>
      </c>
      <c r="D148" s="606" t="s">
        <v>266</v>
      </c>
      <c r="E148" s="606">
        <v>68.0</v>
      </c>
      <c r="M148" s="1685">
        <v>45409.0</v>
      </c>
      <c r="N148" s="606" t="s">
        <v>1190</v>
      </c>
      <c r="O148" s="606" t="s">
        <v>5703</v>
      </c>
      <c r="P148" s="606" t="s">
        <v>5226</v>
      </c>
      <c r="S148" s="1685">
        <v>45320.0</v>
      </c>
      <c r="T148" s="606" t="s">
        <v>1190</v>
      </c>
      <c r="U148" s="606" t="s">
        <v>5702</v>
      </c>
      <c r="V148" s="606" t="s">
        <v>141</v>
      </c>
    </row>
    <row r="149">
      <c r="A149" s="1685">
        <v>45388.0</v>
      </c>
      <c r="B149" s="606" t="s">
        <v>1362</v>
      </c>
      <c r="C149" s="606" t="s">
        <v>5701</v>
      </c>
      <c r="D149" s="606" t="s">
        <v>2911</v>
      </c>
      <c r="M149" s="1685">
        <v>45408.0</v>
      </c>
      <c r="N149" s="606" t="s">
        <v>1212</v>
      </c>
      <c r="O149" s="606" t="s">
        <v>5703</v>
      </c>
      <c r="P149" s="606" t="s">
        <v>231</v>
      </c>
      <c r="S149" s="1685">
        <v>45317.0</v>
      </c>
      <c r="T149" s="606" t="s">
        <v>727</v>
      </c>
      <c r="U149" s="606" t="s">
        <v>1520</v>
      </c>
      <c r="V149" s="606" t="s">
        <v>2904</v>
      </c>
      <c r="W149" s="606" t="s">
        <v>5805</v>
      </c>
    </row>
    <row r="150">
      <c r="A150" s="1685">
        <v>45387.0</v>
      </c>
      <c r="B150" s="606" t="s">
        <v>1190</v>
      </c>
      <c r="C150" s="606" t="s">
        <v>5701</v>
      </c>
      <c r="D150" s="606" t="s">
        <v>5256</v>
      </c>
      <c r="M150" s="1685">
        <v>45406.0</v>
      </c>
      <c r="N150" s="606" t="s">
        <v>1190</v>
      </c>
      <c r="O150" s="606" t="s">
        <v>5703</v>
      </c>
      <c r="P150" s="606" t="s">
        <v>435</v>
      </c>
      <c r="S150" s="1685">
        <v>45317.0</v>
      </c>
      <c r="T150" s="606" t="s">
        <v>727</v>
      </c>
      <c r="U150" s="606" t="s">
        <v>5702</v>
      </c>
      <c r="V150" s="606" t="s">
        <v>316</v>
      </c>
    </row>
    <row r="151">
      <c r="A151" s="1685">
        <v>45386.0</v>
      </c>
      <c r="B151" s="606" t="s">
        <v>727</v>
      </c>
      <c r="C151" s="606" t="s">
        <v>2042</v>
      </c>
      <c r="D151" s="606" t="s">
        <v>3106</v>
      </c>
      <c r="E151" s="606">
        <v>78.0</v>
      </c>
      <c r="M151" s="1685">
        <v>45404.0</v>
      </c>
      <c r="N151" s="606" t="s">
        <v>2899</v>
      </c>
      <c r="O151" s="606" t="s">
        <v>5703</v>
      </c>
      <c r="P151" s="606" t="s">
        <v>5732</v>
      </c>
      <c r="S151" s="1685">
        <v>45314.0</v>
      </c>
      <c r="T151" s="606" t="s">
        <v>1066</v>
      </c>
      <c r="U151" s="606" t="s">
        <v>1520</v>
      </c>
      <c r="V151" s="606" t="s">
        <v>3336</v>
      </c>
      <c r="W151" s="606" t="s">
        <v>5806</v>
      </c>
    </row>
    <row r="152">
      <c r="A152" s="1685">
        <v>45383.0</v>
      </c>
      <c r="B152" s="606" t="s">
        <v>667</v>
      </c>
      <c r="C152" s="606" t="s">
        <v>5701</v>
      </c>
      <c r="D152" s="606" t="s">
        <v>463</v>
      </c>
      <c r="M152" s="1685">
        <v>45403.0</v>
      </c>
      <c r="N152" s="606" t="s">
        <v>1362</v>
      </c>
      <c r="O152" s="606" t="s">
        <v>5703</v>
      </c>
      <c r="P152" s="606" t="s">
        <v>323</v>
      </c>
      <c r="S152" s="1685">
        <v>45314.0</v>
      </c>
      <c r="T152" s="606" t="s">
        <v>2899</v>
      </c>
      <c r="U152" s="606" t="s">
        <v>5702</v>
      </c>
      <c r="V152" s="606" t="s">
        <v>392</v>
      </c>
    </row>
    <row r="153">
      <c r="A153" s="1685">
        <v>45383.0</v>
      </c>
      <c r="B153" s="606" t="s">
        <v>1362</v>
      </c>
      <c r="C153" s="606" t="s">
        <v>2042</v>
      </c>
      <c r="D153" s="606" t="s">
        <v>435</v>
      </c>
      <c r="M153" s="1685">
        <v>45402.0</v>
      </c>
      <c r="N153" s="606" t="s">
        <v>3572</v>
      </c>
      <c r="O153" s="606" t="s">
        <v>5703</v>
      </c>
      <c r="P153" s="606" t="s">
        <v>550</v>
      </c>
      <c r="S153" s="1685">
        <v>45307.0</v>
      </c>
      <c r="T153" s="606" t="s">
        <v>727</v>
      </c>
      <c r="U153" s="606" t="s">
        <v>1520</v>
      </c>
      <c r="V153" s="606" t="s">
        <v>264</v>
      </c>
      <c r="W153" s="606">
        <v>144.0</v>
      </c>
    </row>
    <row r="154">
      <c r="A154" s="1685">
        <v>45382.0</v>
      </c>
      <c r="B154" s="606" t="s">
        <v>727</v>
      </c>
      <c r="C154" s="606" t="s">
        <v>5701</v>
      </c>
      <c r="D154" s="606" t="s">
        <v>993</v>
      </c>
      <c r="M154" s="1685">
        <v>45402.0</v>
      </c>
      <c r="N154" s="606" t="s">
        <v>1362</v>
      </c>
      <c r="O154" s="606" t="s">
        <v>5705</v>
      </c>
      <c r="P154" s="606" t="s">
        <v>122</v>
      </c>
      <c r="S154" s="1685">
        <v>45303.0</v>
      </c>
      <c r="T154" s="606" t="s">
        <v>2899</v>
      </c>
      <c r="U154" s="606" t="s">
        <v>5702</v>
      </c>
      <c r="V154" s="606" t="s">
        <v>3461</v>
      </c>
    </row>
    <row r="155">
      <c r="A155" s="1685">
        <v>45380.0</v>
      </c>
      <c r="B155" s="606" t="s">
        <v>727</v>
      </c>
      <c r="C155" s="606" t="s">
        <v>5701</v>
      </c>
      <c r="D155" s="606" t="s">
        <v>533</v>
      </c>
      <c r="E155" s="606">
        <v>75.0</v>
      </c>
      <c r="M155" s="1685">
        <v>45400.0</v>
      </c>
      <c r="N155" s="606" t="s">
        <v>2899</v>
      </c>
      <c r="O155" s="606" t="s">
        <v>5703</v>
      </c>
      <c r="P155" s="606" t="s">
        <v>3461</v>
      </c>
      <c r="S155" s="1685">
        <v>45303.0</v>
      </c>
      <c r="T155" s="606" t="s">
        <v>727</v>
      </c>
      <c r="U155" s="606" t="s">
        <v>1520</v>
      </c>
      <c r="V155" s="606" t="s">
        <v>262</v>
      </c>
      <c r="W155" s="606">
        <v>144.0</v>
      </c>
    </row>
    <row r="156">
      <c r="A156" s="1685">
        <v>45374.0</v>
      </c>
      <c r="B156" s="606" t="s">
        <v>667</v>
      </c>
      <c r="C156" s="606" t="s">
        <v>5701</v>
      </c>
      <c r="D156" s="606" t="s">
        <v>282</v>
      </c>
      <c r="M156" s="1685">
        <v>45397.0</v>
      </c>
      <c r="N156" s="606" t="s">
        <v>901</v>
      </c>
      <c r="O156" s="606" t="s">
        <v>5703</v>
      </c>
      <c r="P156" s="606" t="s">
        <v>5738</v>
      </c>
      <c r="S156" s="1685">
        <v>45303.0</v>
      </c>
      <c r="T156" s="606" t="s">
        <v>727</v>
      </c>
      <c r="U156" s="606" t="s">
        <v>1520</v>
      </c>
      <c r="V156" s="606" t="s">
        <v>262</v>
      </c>
      <c r="W156" s="606">
        <v>144.0</v>
      </c>
    </row>
    <row r="157">
      <c r="A157" s="1685">
        <v>45372.0</v>
      </c>
      <c r="B157" s="606" t="s">
        <v>1362</v>
      </c>
      <c r="C157" s="606" t="s">
        <v>5701</v>
      </c>
      <c r="D157" s="606" t="s">
        <v>135</v>
      </c>
      <c r="M157" s="1685">
        <v>45395.0</v>
      </c>
      <c r="N157" s="606" t="s">
        <v>2899</v>
      </c>
      <c r="O157" s="606" t="s">
        <v>5703</v>
      </c>
      <c r="P157" s="606" t="s">
        <v>102</v>
      </c>
      <c r="S157" s="1685">
        <v>45295.0</v>
      </c>
      <c r="T157" s="606" t="s">
        <v>1190</v>
      </c>
      <c r="U157" s="606" t="s">
        <v>1520</v>
      </c>
      <c r="V157" s="606" t="s">
        <v>267</v>
      </c>
      <c r="W157" s="606" t="s">
        <v>5807</v>
      </c>
    </row>
    <row r="158">
      <c r="A158" s="1685">
        <v>45370.0</v>
      </c>
      <c r="B158" s="606" t="s">
        <v>1190</v>
      </c>
      <c r="C158" s="606" t="s">
        <v>5701</v>
      </c>
      <c r="D158" s="606" t="s">
        <v>141</v>
      </c>
      <c r="M158" s="1685">
        <v>45394.0</v>
      </c>
      <c r="N158" s="606" t="s">
        <v>707</v>
      </c>
      <c r="O158" s="606" t="s">
        <v>5703</v>
      </c>
      <c r="P158" s="606" t="s">
        <v>88</v>
      </c>
      <c r="S158" s="1685">
        <v>45293.0</v>
      </c>
      <c r="T158" s="606" t="s">
        <v>727</v>
      </c>
      <c r="U158" s="606" t="s">
        <v>1520</v>
      </c>
      <c r="V158" s="606" t="s">
        <v>2904</v>
      </c>
    </row>
    <row r="159">
      <c r="A159" s="1685">
        <v>45368.0</v>
      </c>
      <c r="B159" s="606" t="s">
        <v>1362</v>
      </c>
      <c r="C159" s="606" t="s">
        <v>5701</v>
      </c>
      <c r="D159" s="606" t="s">
        <v>137</v>
      </c>
      <c r="M159" s="1685">
        <v>45391.0</v>
      </c>
      <c r="N159" s="606" t="s">
        <v>1362</v>
      </c>
      <c r="O159" s="606" t="s">
        <v>5703</v>
      </c>
      <c r="P159" s="606" t="s">
        <v>150</v>
      </c>
    </row>
    <row r="160">
      <c r="A160" s="1685">
        <v>45368.0</v>
      </c>
      <c r="B160" s="606" t="s">
        <v>1190</v>
      </c>
      <c r="C160" s="606" t="s">
        <v>5701</v>
      </c>
      <c r="D160" s="606" t="s">
        <v>5808</v>
      </c>
      <c r="M160" s="1685">
        <v>45389.0</v>
      </c>
      <c r="N160" s="606" t="s">
        <v>1066</v>
      </c>
      <c r="O160" s="606" t="s">
        <v>5703</v>
      </c>
      <c r="P160" s="606" t="s">
        <v>281</v>
      </c>
    </row>
    <row r="161">
      <c r="A161" s="1685">
        <v>45366.0</v>
      </c>
      <c r="B161" s="606" t="s">
        <v>994</v>
      </c>
      <c r="C161" s="606" t="s">
        <v>5701</v>
      </c>
      <c r="D161" s="606" t="s">
        <v>5256</v>
      </c>
      <c r="E161" s="606" t="s">
        <v>5809</v>
      </c>
      <c r="M161" s="1685">
        <v>45387.0</v>
      </c>
      <c r="N161" s="606" t="s">
        <v>707</v>
      </c>
      <c r="O161" s="606" t="s">
        <v>5703</v>
      </c>
      <c r="P161" s="606" t="s">
        <v>87</v>
      </c>
    </row>
    <row r="162">
      <c r="A162" s="1685">
        <v>45365.0</v>
      </c>
      <c r="B162" s="606" t="s">
        <v>863</v>
      </c>
      <c r="C162" s="606" t="s">
        <v>5701</v>
      </c>
      <c r="D162" s="606" t="s">
        <v>872</v>
      </c>
      <c r="M162" s="1685">
        <v>45386.0</v>
      </c>
      <c r="N162" s="606" t="s">
        <v>5810</v>
      </c>
      <c r="O162" s="606" t="s">
        <v>5703</v>
      </c>
      <c r="P162" s="606" t="s">
        <v>5036</v>
      </c>
    </row>
    <row r="163">
      <c r="A163" s="1685">
        <v>45364.0</v>
      </c>
      <c r="B163" s="606" t="s">
        <v>863</v>
      </c>
      <c r="C163" s="606" t="s">
        <v>5701</v>
      </c>
      <c r="D163" s="606" t="s">
        <v>550</v>
      </c>
      <c r="E163" s="606">
        <v>53.0</v>
      </c>
      <c r="M163" s="1685">
        <v>45385.0</v>
      </c>
      <c r="N163" s="606" t="s">
        <v>707</v>
      </c>
      <c r="O163" s="606" t="s">
        <v>5703</v>
      </c>
      <c r="P163" s="606" t="s">
        <v>137</v>
      </c>
    </row>
    <row r="164">
      <c r="A164" s="1685">
        <v>45359.0</v>
      </c>
      <c r="B164" s="606" t="s">
        <v>1190</v>
      </c>
      <c r="C164" s="606" t="s">
        <v>5701</v>
      </c>
      <c r="D164" s="606" t="s">
        <v>499</v>
      </c>
      <c r="M164" s="1685">
        <v>45385.0</v>
      </c>
      <c r="N164" s="606" t="s">
        <v>1362</v>
      </c>
      <c r="O164" s="606" t="s">
        <v>5703</v>
      </c>
      <c r="P164" s="606" t="s">
        <v>5734</v>
      </c>
    </row>
    <row r="165">
      <c r="A165" s="1685">
        <v>45358.0</v>
      </c>
      <c r="B165" s="606" t="s">
        <v>1116</v>
      </c>
      <c r="C165" s="606" t="s">
        <v>5701</v>
      </c>
      <c r="D165" s="606" t="s">
        <v>5811</v>
      </c>
      <c r="E165" s="606" t="s">
        <v>5744</v>
      </c>
      <c r="M165" s="1685">
        <v>45381.0</v>
      </c>
      <c r="N165" s="606" t="s">
        <v>1190</v>
      </c>
      <c r="O165" s="606" t="s">
        <v>5703</v>
      </c>
      <c r="P165" s="606" t="s">
        <v>392</v>
      </c>
    </row>
    <row r="166">
      <c r="A166" s="1685">
        <v>45358.0</v>
      </c>
      <c r="B166" s="606" t="s">
        <v>830</v>
      </c>
      <c r="C166" s="606" t="s">
        <v>5701</v>
      </c>
      <c r="D166" s="606" t="s">
        <v>5734</v>
      </c>
      <c r="M166" s="1685">
        <v>45380.0</v>
      </c>
      <c r="N166" s="606" t="s">
        <v>2899</v>
      </c>
      <c r="O166" s="606" t="s">
        <v>5705</v>
      </c>
      <c r="P166" s="606" t="s">
        <v>348</v>
      </c>
    </row>
    <row r="167">
      <c r="A167" s="1685">
        <v>45357.0</v>
      </c>
      <c r="B167" s="606" t="s">
        <v>1066</v>
      </c>
      <c r="C167" s="606" t="s">
        <v>5701</v>
      </c>
      <c r="D167" s="606" t="s">
        <v>5787</v>
      </c>
      <c r="M167" s="1685">
        <v>45379.0</v>
      </c>
      <c r="N167" s="606" t="s">
        <v>1190</v>
      </c>
      <c r="O167" s="606" t="s">
        <v>5703</v>
      </c>
      <c r="P167" s="606" t="s">
        <v>499</v>
      </c>
    </row>
    <row r="168">
      <c r="A168" s="1685">
        <v>45356.0</v>
      </c>
      <c r="B168" s="606" t="s">
        <v>761</v>
      </c>
      <c r="C168" s="606" t="s">
        <v>2042</v>
      </c>
      <c r="D168" s="606" t="s">
        <v>5800</v>
      </c>
      <c r="M168" s="1685">
        <v>45376.0</v>
      </c>
      <c r="N168" s="606" t="s">
        <v>1362</v>
      </c>
      <c r="O168" s="606" t="s">
        <v>5703</v>
      </c>
      <c r="P168" s="606" t="s">
        <v>247</v>
      </c>
    </row>
    <row r="169">
      <c r="A169" s="1685">
        <v>45352.0</v>
      </c>
      <c r="B169" s="606" t="s">
        <v>1326</v>
      </c>
      <c r="C169" s="606" t="s">
        <v>5701</v>
      </c>
      <c r="D169" s="606" t="s">
        <v>480</v>
      </c>
      <c r="M169" s="1685">
        <v>45372.0</v>
      </c>
      <c r="N169" s="606" t="s">
        <v>2899</v>
      </c>
      <c r="O169" s="606" t="s">
        <v>5703</v>
      </c>
      <c r="P169" s="606" t="s">
        <v>2898</v>
      </c>
    </row>
    <row r="170">
      <c r="A170" s="1685">
        <v>45352.0</v>
      </c>
      <c r="B170" s="606" t="s">
        <v>1466</v>
      </c>
      <c r="C170" s="606" t="s">
        <v>5701</v>
      </c>
      <c r="D170" s="606" t="s">
        <v>5812</v>
      </c>
      <c r="M170" s="1685">
        <v>45371.0</v>
      </c>
      <c r="N170" s="606" t="s">
        <v>1190</v>
      </c>
      <c r="O170" s="606" t="s">
        <v>5703</v>
      </c>
      <c r="P170" s="606" t="s">
        <v>469</v>
      </c>
    </row>
    <row r="171">
      <c r="A171" s="1685">
        <v>45352.0</v>
      </c>
      <c r="B171" s="606" t="s">
        <v>1227</v>
      </c>
      <c r="C171" s="606" t="s">
        <v>5701</v>
      </c>
      <c r="D171" s="606" t="s">
        <v>116</v>
      </c>
      <c r="E171" s="606" t="s">
        <v>5813</v>
      </c>
      <c r="M171" s="1685">
        <v>45371.0</v>
      </c>
      <c r="N171" s="606" t="s">
        <v>1280</v>
      </c>
      <c r="O171" s="606" t="s">
        <v>5703</v>
      </c>
      <c r="P171" s="606" t="s">
        <v>218</v>
      </c>
    </row>
    <row r="172">
      <c r="A172" s="1685">
        <v>45348.0</v>
      </c>
      <c r="B172" s="606" t="s">
        <v>1134</v>
      </c>
      <c r="C172" s="606" t="s">
        <v>5701</v>
      </c>
      <c r="D172" s="606" t="s">
        <v>5814</v>
      </c>
      <c r="M172" s="1685">
        <v>45370.0</v>
      </c>
      <c r="N172" s="606" t="s">
        <v>1190</v>
      </c>
      <c r="O172" s="606" t="s">
        <v>5703</v>
      </c>
      <c r="P172" s="606" t="s">
        <v>122</v>
      </c>
    </row>
    <row r="173">
      <c r="A173" s="1685">
        <v>45347.0</v>
      </c>
      <c r="B173" s="606" t="s">
        <v>1190</v>
      </c>
      <c r="C173" s="606" t="s">
        <v>5701</v>
      </c>
      <c r="D173" s="606" t="s">
        <v>369</v>
      </c>
      <c r="E173" s="1682"/>
      <c r="M173" s="1685">
        <v>45368.0</v>
      </c>
      <c r="N173" s="606" t="s">
        <v>1116</v>
      </c>
      <c r="O173" s="606" t="s">
        <v>5705</v>
      </c>
      <c r="P173" s="606" t="s">
        <v>294</v>
      </c>
    </row>
    <row r="174">
      <c r="A174" s="1685">
        <v>45344.0</v>
      </c>
      <c r="B174" s="606" t="s">
        <v>1280</v>
      </c>
      <c r="C174" s="606" t="s">
        <v>5701</v>
      </c>
      <c r="D174" s="606" t="s">
        <v>83</v>
      </c>
      <c r="E174" s="1682"/>
      <c r="M174" s="1685">
        <v>45367.0</v>
      </c>
      <c r="N174" s="606" t="s">
        <v>1362</v>
      </c>
      <c r="O174" s="606" t="s">
        <v>5703</v>
      </c>
      <c r="P174" s="606" t="s">
        <v>37</v>
      </c>
    </row>
    <row r="175">
      <c r="A175" s="1685">
        <v>45342.0</v>
      </c>
      <c r="B175" s="606" t="s">
        <v>1190</v>
      </c>
      <c r="C175" s="606" t="s">
        <v>5701</v>
      </c>
      <c r="D175" s="606" t="s">
        <v>435</v>
      </c>
      <c r="E175" s="1682"/>
      <c r="M175" s="1685">
        <v>45365.0</v>
      </c>
      <c r="N175" s="606" t="s">
        <v>1080</v>
      </c>
      <c r="O175" s="606" t="s">
        <v>5703</v>
      </c>
      <c r="P175" s="606" t="s">
        <v>532</v>
      </c>
    </row>
    <row r="176">
      <c r="A176" s="1685">
        <v>45338.0</v>
      </c>
      <c r="B176" s="606" t="s">
        <v>1190</v>
      </c>
      <c r="C176" s="606" t="s">
        <v>5701</v>
      </c>
      <c r="D176" s="606" t="s">
        <v>1361</v>
      </c>
      <c r="E176" s="606">
        <v>52.0</v>
      </c>
      <c r="M176" s="1685">
        <v>45362.0</v>
      </c>
      <c r="N176" s="606" t="s">
        <v>1066</v>
      </c>
      <c r="O176" s="606" t="s">
        <v>5703</v>
      </c>
      <c r="P176" s="606" t="s">
        <v>395</v>
      </c>
    </row>
    <row r="177">
      <c r="A177" s="1685">
        <v>45338.0</v>
      </c>
      <c r="B177" s="606" t="s">
        <v>1190</v>
      </c>
      <c r="C177" s="606" t="s">
        <v>5701</v>
      </c>
      <c r="D177" s="606" t="s">
        <v>5808</v>
      </c>
      <c r="E177" s="1682"/>
      <c r="M177" s="1685">
        <v>45358.0</v>
      </c>
      <c r="N177" s="606" t="s">
        <v>2899</v>
      </c>
      <c r="O177" s="606" t="s">
        <v>5703</v>
      </c>
      <c r="P177" s="606" t="s">
        <v>3461</v>
      </c>
    </row>
    <row r="178">
      <c r="A178" s="1685">
        <v>45336.0</v>
      </c>
      <c r="B178" s="606" t="s">
        <v>1144</v>
      </c>
      <c r="C178" s="606" t="s">
        <v>5701</v>
      </c>
      <c r="D178" s="606" t="s">
        <v>469</v>
      </c>
      <c r="E178" s="1682"/>
      <c r="M178" s="1685">
        <v>45358.0</v>
      </c>
      <c r="N178" s="606" t="s">
        <v>1362</v>
      </c>
      <c r="O178" s="606" t="s">
        <v>5703</v>
      </c>
      <c r="P178" s="606" t="s">
        <v>111</v>
      </c>
    </row>
    <row r="179">
      <c r="A179" s="1685">
        <v>45335.0</v>
      </c>
      <c r="B179" s="606" t="s">
        <v>1116</v>
      </c>
      <c r="C179" s="606" t="s">
        <v>5701</v>
      </c>
      <c r="D179" s="606" t="s">
        <v>294</v>
      </c>
      <c r="E179" s="1682"/>
      <c r="M179" s="1685">
        <v>45358.0</v>
      </c>
      <c r="N179" s="606" t="s">
        <v>1134</v>
      </c>
      <c r="O179" s="606" t="s">
        <v>5705</v>
      </c>
      <c r="P179" s="606" t="s">
        <v>87</v>
      </c>
      <c r="Q179" s="606">
        <v>48.0</v>
      </c>
    </row>
    <row r="180">
      <c r="A180" s="1685">
        <v>45333.0</v>
      </c>
      <c r="B180" s="606" t="s">
        <v>863</v>
      </c>
      <c r="C180" s="606" t="s">
        <v>5701</v>
      </c>
      <c r="D180" s="606" t="s">
        <v>872</v>
      </c>
      <c r="E180" s="1682"/>
      <c r="M180" s="1685">
        <v>45355.0</v>
      </c>
      <c r="N180" s="606" t="s">
        <v>1134</v>
      </c>
      <c r="O180" s="606" t="s">
        <v>5703</v>
      </c>
      <c r="P180" s="606" t="s">
        <v>5815</v>
      </c>
      <c r="Q180" s="606">
        <v>51.0</v>
      </c>
    </row>
    <row r="181">
      <c r="A181" s="1685">
        <v>45327.0</v>
      </c>
      <c r="B181" s="606" t="s">
        <v>761</v>
      </c>
      <c r="C181" s="606" t="s">
        <v>5701</v>
      </c>
      <c r="D181" s="606" t="s">
        <v>308</v>
      </c>
      <c r="E181" s="1682"/>
      <c r="M181" s="1685">
        <v>45354.0</v>
      </c>
      <c r="N181" s="606" t="s">
        <v>2884</v>
      </c>
      <c r="O181" s="606" t="s">
        <v>5703</v>
      </c>
      <c r="P181" s="606" t="s">
        <v>88</v>
      </c>
    </row>
    <row r="182">
      <c r="A182" s="1685">
        <v>45325.0</v>
      </c>
      <c r="B182" s="606" t="s">
        <v>1227</v>
      </c>
      <c r="C182" s="606" t="s">
        <v>2042</v>
      </c>
      <c r="D182" s="606" t="s">
        <v>3336</v>
      </c>
      <c r="E182" s="1682"/>
      <c r="M182" s="1685">
        <v>45353.0</v>
      </c>
      <c r="N182" s="606" t="s">
        <v>1362</v>
      </c>
      <c r="O182" s="606" t="s">
        <v>5703</v>
      </c>
      <c r="P182" s="606" t="s">
        <v>150</v>
      </c>
    </row>
    <row r="183">
      <c r="A183" s="1685">
        <v>45325.0</v>
      </c>
      <c r="B183" s="606" t="s">
        <v>1466</v>
      </c>
      <c r="C183" s="606" t="s">
        <v>5701</v>
      </c>
      <c r="D183" s="606" t="s">
        <v>266</v>
      </c>
      <c r="E183" s="1682"/>
      <c r="M183" s="1685">
        <v>45346.0</v>
      </c>
      <c r="N183" s="606" t="s">
        <v>2899</v>
      </c>
      <c r="O183" s="606" t="s">
        <v>5705</v>
      </c>
      <c r="P183" s="606" t="s">
        <v>210</v>
      </c>
    </row>
    <row r="184">
      <c r="A184" s="1685">
        <v>45323.0</v>
      </c>
      <c r="B184" s="606" t="s">
        <v>761</v>
      </c>
      <c r="C184" s="606" t="s">
        <v>5701</v>
      </c>
      <c r="D184" s="606" t="s">
        <v>5800</v>
      </c>
      <c r="E184" s="1682"/>
      <c r="M184" s="1685">
        <v>45345.0</v>
      </c>
      <c r="N184" s="606" t="s">
        <v>2899</v>
      </c>
      <c r="O184" s="606" t="s">
        <v>5703</v>
      </c>
      <c r="P184" s="606" t="s">
        <v>389</v>
      </c>
    </row>
    <row r="185">
      <c r="A185" s="1685">
        <v>45321.0</v>
      </c>
      <c r="B185" s="606" t="s">
        <v>1008</v>
      </c>
      <c r="C185" s="606" t="s">
        <v>5701</v>
      </c>
      <c r="D185" s="606" t="s">
        <v>5787</v>
      </c>
      <c r="M185" s="1685">
        <v>45343.0</v>
      </c>
      <c r="N185" s="606" t="s">
        <v>1190</v>
      </c>
      <c r="O185" s="606" t="s">
        <v>5703</v>
      </c>
      <c r="P185" s="606" t="s">
        <v>827</v>
      </c>
      <c r="Q185" s="606" t="s">
        <v>5765</v>
      </c>
    </row>
    <row r="186">
      <c r="A186" s="1685">
        <v>45320.0</v>
      </c>
      <c r="B186" s="606" t="s">
        <v>2899</v>
      </c>
      <c r="C186" s="606" t="s">
        <v>5701</v>
      </c>
      <c r="D186" s="606" t="s">
        <v>2911</v>
      </c>
      <c r="M186" s="1685">
        <v>45340.0</v>
      </c>
      <c r="N186" s="606" t="s">
        <v>667</v>
      </c>
      <c r="O186" s="606" t="s">
        <v>5703</v>
      </c>
      <c r="P186" s="606" t="s">
        <v>896</v>
      </c>
    </row>
    <row r="187">
      <c r="A187" s="1685">
        <v>45317.0</v>
      </c>
      <c r="B187" s="606" t="s">
        <v>1362</v>
      </c>
      <c r="C187" s="606" t="s">
        <v>5701</v>
      </c>
      <c r="D187" s="606" t="s">
        <v>243</v>
      </c>
      <c r="E187" s="606" t="s">
        <v>5816</v>
      </c>
      <c r="M187" s="1685">
        <v>45339.0</v>
      </c>
      <c r="N187" s="606" t="s">
        <v>2899</v>
      </c>
      <c r="O187" s="606" t="s">
        <v>5703</v>
      </c>
      <c r="P187" s="606" t="s">
        <v>5732</v>
      </c>
    </row>
    <row r="188">
      <c r="A188" s="1685">
        <v>45316.0</v>
      </c>
      <c r="B188" s="606" t="s">
        <v>5601</v>
      </c>
      <c r="C188" s="606" t="s">
        <v>5701</v>
      </c>
      <c r="D188" s="606" t="s">
        <v>3114</v>
      </c>
      <c r="M188" s="1685">
        <v>45338.0</v>
      </c>
      <c r="N188" s="606" t="s">
        <v>1362</v>
      </c>
      <c r="O188" s="606" t="s">
        <v>5705</v>
      </c>
      <c r="P188" s="606" t="s">
        <v>37</v>
      </c>
      <c r="Q188" s="606">
        <v>40.0</v>
      </c>
    </row>
    <row r="189">
      <c r="A189" s="1685">
        <v>45316.0</v>
      </c>
      <c r="B189" s="606" t="s">
        <v>1280</v>
      </c>
      <c r="C189" s="606" t="s">
        <v>2042</v>
      </c>
      <c r="D189" s="606" t="s">
        <v>19</v>
      </c>
      <c r="M189" s="1685">
        <v>45336.0</v>
      </c>
      <c r="N189" s="606" t="s">
        <v>1066</v>
      </c>
      <c r="O189" s="606" t="s">
        <v>5703</v>
      </c>
      <c r="P189" s="606" t="s">
        <v>268</v>
      </c>
    </row>
    <row r="190">
      <c r="A190" s="1685">
        <v>45315.0</v>
      </c>
      <c r="B190" s="606" t="s">
        <v>901</v>
      </c>
      <c r="C190" s="606" t="s">
        <v>5701</v>
      </c>
      <c r="D190" s="606" t="s">
        <v>5044</v>
      </c>
      <c r="M190" s="1685">
        <v>45336.0</v>
      </c>
      <c r="N190" s="606" t="s">
        <v>707</v>
      </c>
      <c r="O190" s="606" t="s">
        <v>5703</v>
      </c>
      <c r="P190" s="606" t="s">
        <v>243</v>
      </c>
      <c r="Q190" s="606">
        <v>31.0</v>
      </c>
    </row>
    <row r="191">
      <c r="A191" s="1685">
        <v>45313.0</v>
      </c>
      <c r="B191" s="606" t="s">
        <v>994</v>
      </c>
      <c r="C191" s="606" t="s">
        <v>5701</v>
      </c>
      <c r="D191" s="606" t="s">
        <v>153</v>
      </c>
      <c r="M191" s="1685">
        <v>45335.0</v>
      </c>
      <c r="N191" s="606" t="s">
        <v>830</v>
      </c>
      <c r="O191" s="606" t="s">
        <v>5703</v>
      </c>
      <c r="P191" s="606" t="s">
        <v>5734</v>
      </c>
    </row>
    <row r="192">
      <c r="A192" s="1685">
        <v>45311.0</v>
      </c>
      <c r="B192" s="606" t="s">
        <v>1362</v>
      </c>
      <c r="C192" s="606" t="s">
        <v>5701</v>
      </c>
      <c r="D192" s="606" t="s">
        <v>111</v>
      </c>
      <c r="M192" s="1685">
        <v>45333.0</v>
      </c>
      <c r="N192" s="606" t="s">
        <v>1190</v>
      </c>
      <c r="O192" s="606" t="s">
        <v>5703</v>
      </c>
      <c r="P192" s="606" t="s">
        <v>550</v>
      </c>
    </row>
    <row r="193">
      <c r="A193" s="1685">
        <v>45309.0</v>
      </c>
      <c r="B193" s="606" t="s">
        <v>1190</v>
      </c>
      <c r="C193" s="606" t="s">
        <v>5701</v>
      </c>
      <c r="D193" s="606" t="s">
        <v>5817</v>
      </c>
      <c r="M193" s="1685">
        <v>45331.0</v>
      </c>
      <c r="N193" s="606" t="s">
        <v>707</v>
      </c>
      <c r="O193" s="606" t="s">
        <v>5703</v>
      </c>
      <c r="P193" s="606" t="s">
        <v>550</v>
      </c>
      <c r="Q193" s="606">
        <v>40.0</v>
      </c>
    </row>
    <row r="194">
      <c r="A194" s="1685">
        <v>45308.0</v>
      </c>
      <c r="B194" s="606" t="s">
        <v>1190</v>
      </c>
      <c r="C194" s="606" t="s">
        <v>5701</v>
      </c>
      <c r="D194" s="606" t="s">
        <v>469</v>
      </c>
      <c r="M194" s="1685">
        <v>45331.0</v>
      </c>
      <c r="N194" s="606" t="s">
        <v>2899</v>
      </c>
      <c r="O194" s="606" t="s">
        <v>5703</v>
      </c>
      <c r="P194" s="606" t="s">
        <v>3461</v>
      </c>
    </row>
    <row r="195">
      <c r="A195" s="1685">
        <v>45306.0</v>
      </c>
      <c r="B195" s="606" t="s">
        <v>2899</v>
      </c>
      <c r="C195" s="606" t="s">
        <v>5701</v>
      </c>
      <c r="D195" s="606" t="s">
        <v>389</v>
      </c>
      <c r="M195" s="1685">
        <v>45330.0</v>
      </c>
      <c r="N195" s="606" t="s">
        <v>1080</v>
      </c>
      <c r="O195" s="606" t="s">
        <v>5703</v>
      </c>
      <c r="P195" s="606" t="s">
        <v>532</v>
      </c>
    </row>
    <row r="196">
      <c r="A196" s="1685">
        <v>45305.0</v>
      </c>
      <c r="B196" s="606" t="s">
        <v>863</v>
      </c>
      <c r="C196" s="606" t="s">
        <v>5701</v>
      </c>
      <c r="D196" s="606" t="s">
        <v>2983</v>
      </c>
      <c r="M196" s="1685">
        <v>45330.0</v>
      </c>
      <c r="N196" s="606" t="s">
        <v>1362</v>
      </c>
      <c r="O196" s="606" t="s">
        <v>5703</v>
      </c>
      <c r="P196" s="606" t="s">
        <v>5256</v>
      </c>
      <c r="Q196" s="606">
        <v>44.0</v>
      </c>
    </row>
    <row r="197">
      <c r="A197" s="1685">
        <v>45302.0</v>
      </c>
      <c r="B197" s="606" t="s">
        <v>2899</v>
      </c>
      <c r="C197" s="606" t="s">
        <v>5701</v>
      </c>
      <c r="D197" s="606" t="s">
        <v>247</v>
      </c>
      <c r="M197" s="1685">
        <v>45326.0</v>
      </c>
      <c r="N197" s="606" t="s">
        <v>1362</v>
      </c>
      <c r="O197" s="606" t="s">
        <v>5703</v>
      </c>
      <c r="P197" s="606" t="s">
        <v>150</v>
      </c>
    </row>
    <row r="198">
      <c r="A198" s="1685">
        <v>45298.0</v>
      </c>
      <c r="B198" s="606" t="s">
        <v>1008</v>
      </c>
      <c r="C198" s="606" t="s">
        <v>5701</v>
      </c>
      <c r="D198" s="606" t="s">
        <v>550</v>
      </c>
      <c r="M198" s="1685">
        <v>45325.0</v>
      </c>
      <c r="N198" s="606" t="s">
        <v>1190</v>
      </c>
      <c r="O198" s="606" t="s">
        <v>5703</v>
      </c>
      <c r="P198" s="606" t="s">
        <v>5818</v>
      </c>
    </row>
    <row r="199">
      <c r="A199" s="1685">
        <v>45296.0</v>
      </c>
      <c r="B199" s="606" t="s">
        <v>863</v>
      </c>
      <c r="C199" s="606" t="s">
        <v>5701</v>
      </c>
      <c r="D199" s="606" t="s">
        <v>320</v>
      </c>
      <c r="M199" s="1685">
        <v>45324.0</v>
      </c>
      <c r="N199" s="606" t="s">
        <v>1134</v>
      </c>
      <c r="O199" s="606" t="s">
        <v>5703</v>
      </c>
      <c r="P199" s="606" t="s">
        <v>1535</v>
      </c>
    </row>
    <row r="200">
      <c r="A200" s="1685">
        <v>45296.0</v>
      </c>
      <c r="B200" s="606" t="s">
        <v>1280</v>
      </c>
      <c r="C200" s="606" t="s">
        <v>2042</v>
      </c>
      <c r="D200" s="606" t="s">
        <v>305</v>
      </c>
      <c r="E200" s="606">
        <v>128.0</v>
      </c>
      <c r="M200" s="1685">
        <v>45322.0</v>
      </c>
      <c r="N200" s="606" t="s">
        <v>1134</v>
      </c>
      <c r="O200" s="606" t="s">
        <v>5703</v>
      </c>
      <c r="P200" s="606" t="s">
        <v>1535</v>
      </c>
      <c r="Q200" s="606" t="s">
        <v>5773</v>
      </c>
    </row>
    <row r="201">
      <c r="A201" s="1685">
        <v>45296.0</v>
      </c>
      <c r="B201" s="606" t="s">
        <v>1190</v>
      </c>
      <c r="C201" s="606" t="s">
        <v>5701</v>
      </c>
      <c r="D201" s="606" t="s">
        <v>122</v>
      </c>
      <c r="M201" s="1685">
        <v>45314.0</v>
      </c>
      <c r="N201" s="606" t="s">
        <v>1190</v>
      </c>
      <c r="O201" s="606" t="s">
        <v>5703</v>
      </c>
      <c r="P201" s="606" t="s">
        <v>516</v>
      </c>
    </row>
    <row r="202">
      <c r="A202" s="1685">
        <v>45294.0</v>
      </c>
      <c r="B202" s="606" t="s">
        <v>2899</v>
      </c>
      <c r="C202" s="606" t="s">
        <v>5701</v>
      </c>
      <c r="D202" s="606" t="s">
        <v>323</v>
      </c>
      <c r="M202" s="1685">
        <v>45310.0</v>
      </c>
      <c r="N202" s="606" t="s">
        <v>1362</v>
      </c>
      <c r="O202" s="606" t="s">
        <v>5703</v>
      </c>
      <c r="P202" s="606" t="s">
        <v>993</v>
      </c>
    </row>
    <row r="203">
      <c r="A203" s="1685">
        <v>45294.0</v>
      </c>
      <c r="B203" s="606" t="s">
        <v>1280</v>
      </c>
      <c r="C203" s="606" t="s">
        <v>5701</v>
      </c>
      <c r="D203" s="606" t="s">
        <v>309</v>
      </c>
      <c r="M203" s="1685">
        <v>45308.0</v>
      </c>
      <c r="N203" s="606" t="s">
        <v>1227</v>
      </c>
      <c r="O203" s="606" t="s">
        <v>5703</v>
      </c>
      <c r="P203" s="606" t="s">
        <v>37</v>
      </c>
    </row>
    <row r="204">
      <c r="A204" s="1685">
        <v>45293.0</v>
      </c>
      <c r="B204" s="606" t="s">
        <v>1116</v>
      </c>
      <c r="C204" s="606" t="s">
        <v>5701</v>
      </c>
      <c r="D204" s="606" t="s">
        <v>294</v>
      </c>
      <c r="M204" s="1685">
        <v>45307.0</v>
      </c>
      <c r="N204" s="606" t="s">
        <v>1134</v>
      </c>
      <c r="O204" s="606" t="s">
        <v>5703</v>
      </c>
      <c r="P204" s="606" t="s">
        <v>477</v>
      </c>
    </row>
    <row r="205">
      <c r="M205" s="1685">
        <v>45304.0</v>
      </c>
      <c r="N205" s="606" t="s">
        <v>1080</v>
      </c>
      <c r="O205" s="606" t="s">
        <v>5703</v>
      </c>
      <c r="P205" s="606" t="s">
        <v>577</v>
      </c>
    </row>
    <row r="206">
      <c r="M206" s="1685">
        <v>45304.0</v>
      </c>
      <c r="N206" s="606" t="s">
        <v>1190</v>
      </c>
      <c r="O206" s="606" t="s">
        <v>5703</v>
      </c>
      <c r="P206" s="606" t="s">
        <v>87</v>
      </c>
    </row>
    <row r="207">
      <c r="M207" s="1685">
        <v>45303.0</v>
      </c>
      <c r="N207" s="606" t="s">
        <v>667</v>
      </c>
      <c r="O207" s="606" t="s">
        <v>5705</v>
      </c>
      <c r="P207" s="606" t="s">
        <v>431</v>
      </c>
    </row>
    <row r="208">
      <c r="M208" s="1685">
        <v>45301.0</v>
      </c>
      <c r="N208" s="606" t="s">
        <v>1362</v>
      </c>
      <c r="O208" s="606" t="s">
        <v>5703</v>
      </c>
      <c r="P208" s="606" t="s">
        <v>135</v>
      </c>
    </row>
    <row r="209">
      <c r="M209" s="1685">
        <v>45299.0</v>
      </c>
      <c r="N209" s="606" t="s">
        <v>1066</v>
      </c>
      <c r="O209" s="606" t="s">
        <v>5703</v>
      </c>
      <c r="P209" s="606" t="s">
        <v>268</v>
      </c>
    </row>
    <row r="210">
      <c r="M210" s="1685">
        <v>45297.0</v>
      </c>
      <c r="N210" s="606" t="s">
        <v>1134</v>
      </c>
      <c r="O210" s="606" t="s">
        <v>5703</v>
      </c>
      <c r="P210" s="606" t="s">
        <v>255</v>
      </c>
    </row>
    <row r="211">
      <c r="M211" s="1685">
        <v>45295.0</v>
      </c>
      <c r="N211" s="606" t="s">
        <v>761</v>
      </c>
      <c r="O211" s="606" t="s">
        <v>5703</v>
      </c>
      <c r="P211" s="606" t="s">
        <v>5818</v>
      </c>
    </row>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0.0"/>
    <col customWidth="1" min="2" max="2" width="6.29"/>
    <col customWidth="1" min="3" max="3" width="7.0"/>
    <col customWidth="1" min="4" max="5" width="5.43"/>
    <col customWidth="1" min="6" max="6" width="4.0"/>
    <col customWidth="1" min="7" max="7" width="3.14"/>
    <col customWidth="1" min="8" max="8" width="4.0"/>
    <col customWidth="1" min="9" max="9" width="11.14"/>
  </cols>
  <sheetData>
    <row r="1">
      <c r="A1" s="73"/>
      <c r="B1" s="74"/>
      <c r="C1" s="1058"/>
      <c r="D1" s="76"/>
      <c r="E1" s="76"/>
      <c r="F1" s="77"/>
      <c r="G1" s="77"/>
      <c r="H1" s="77"/>
      <c r="I1" s="74"/>
    </row>
    <row r="2">
      <c r="A2" s="88" t="s">
        <v>600</v>
      </c>
      <c r="B2" s="89" t="s">
        <v>601</v>
      </c>
      <c r="C2" s="1061" t="s">
        <v>602</v>
      </c>
      <c r="D2" s="91" t="s">
        <v>603</v>
      </c>
      <c r="E2" s="91" t="s">
        <v>604</v>
      </c>
      <c r="F2" s="78"/>
      <c r="G2" s="78" t="s">
        <v>605</v>
      </c>
      <c r="H2" s="78" t="s">
        <v>606</v>
      </c>
      <c r="I2" s="92" t="s">
        <v>607</v>
      </c>
    </row>
    <row r="3">
      <c r="A3" s="100" t="s">
        <v>54</v>
      </c>
      <c r="B3" s="101">
        <v>42460.0</v>
      </c>
      <c r="C3" s="1045">
        <v>83000.0</v>
      </c>
      <c r="D3" s="103"/>
      <c r="E3" s="103"/>
      <c r="F3" s="104"/>
      <c r="G3" s="104"/>
      <c r="H3" s="104"/>
      <c r="I3" s="105" t="s">
        <v>2881</v>
      </c>
    </row>
    <row r="4">
      <c r="A4" s="147" t="s">
        <v>91</v>
      </c>
      <c r="B4" s="148">
        <v>2023.0</v>
      </c>
      <c r="C4" s="1045">
        <v>91000.0</v>
      </c>
      <c r="D4" s="149"/>
      <c r="E4" s="149"/>
      <c r="F4" s="150"/>
      <c r="G4" s="150"/>
      <c r="H4" s="150"/>
      <c r="I4" s="105" t="s">
        <v>2881</v>
      </c>
    </row>
    <row r="5">
      <c r="A5" s="164" t="s">
        <v>92</v>
      </c>
      <c r="B5" s="165">
        <v>2024.0</v>
      </c>
      <c r="C5" s="1101">
        <v>91000.0</v>
      </c>
      <c r="D5" s="167"/>
      <c r="E5" s="167"/>
      <c r="F5" s="168"/>
      <c r="G5" s="168"/>
      <c r="H5" s="168"/>
      <c r="I5" s="169" t="s">
        <v>2881</v>
      </c>
    </row>
    <row r="6">
      <c r="A6" s="274" t="s">
        <v>210</v>
      </c>
      <c r="B6" s="101">
        <v>42938.0</v>
      </c>
      <c r="C6" s="1045">
        <v>82200.0</v>
      </c>
      <c r="D6" s="275"/>
      <c r="E6" s="275"/>
      <c r="F6" s="150"/>
      <c r="G6" s="150"/>
      <c r="H6" s="150"/>
      <c r="I6" s="157" t="s">
        <v>667</v>
      </c>
    </row>
    <row r="7">
      <c r="A7" s="80" t="s">
        <v>270</v>
      </c>
      <c r="B7" s="183">
        <v>2024.0</v>
      </c>
      <c r="C7" s="1082">
        <v>86700.0</v>
      </c>
      <c r="D7" s="112"/>
      <c r="E7" s="112"/>
      <c r="F7" s="104"/>
      <c r="G7" s="104"/>
      <c r="H7" s="104" t="s">
        <v>666</v>
      </c>
      <c r="I7" s="185" t="s">
        <v>667</v>
      </c>
    </row>
    <row r="8">
      <c r="A8" s="80" t="s">
        <v>282</v>
      </c>
      <c r="B8" s="189">
        <v>37773.0</v>
      </c>
      <c r="C8" s="1083">
        <v>78934.0</v>
      </c>
      <c r="D8" s="112"/>
      <c r="E8" s="112"/>
      <c r="F8" s="104"/>
      <c r="G8" s="104"/>
      <c r="H8" s="104"/>
      <c r="I8" s="185" t="s">
        <v>667</v>
      </c>
    </row>
    <row r="9">
      <c r="A9" s="100" t="s">
        <v>409</v>
      </c>
      <c r="B9" s="189">
        <v>37895.0</v>
      </c>
      <c r="C9" s="1045">
        <v>82000.0</v>
      </c>
      <c r="D9" s="103"/>
      <c r="E9" s="103"/>
      <c r="F9" s="104"/>
      <c r="G9" s="104"/>
      <c r="H9" s="104"/>
      <c r="I9" s="185" t="s">
        <v>667</v>
      </c>
    </row>
    <row r="10">
      <c r="A10" s="100" t="s">
        <v>412</v>
      </c>
      <c r="B10" s="194">
        <v>43435.0</v>
      </c>
      <c r="C10" s="1082">
        <v>83000.0</v>
      </c>
      <c r="D10" s="195"/>
      <c r="E10" s="195"/>
      <c r="F10" s="196"/>
      <c r="G10" s="196"/>
      <c r="H10" s="196"/>
      <c r="I10" s="111" t="s">
        <v>667</v>
      </c>
    </row>
    <row r="11">
      <c r="A11" s="100" t="s">
        <v>413</v>
      </c>
      <c r="B11" s="101">
        <v>42853.0</v>
      </c>
      <c r="C11" s="1045">
        <v>83000.0</v>
      </c>
      <c r="D11" s="103"/>
      <c r="E11" s="103"/>
      <c r="F11" s="104"/>
      <c r="G11" s="104"/>
      <c r="H11" s="104"/>
      <c r="I11" s="111" t="s">
        <v>667</v>
      </c>
    </row>
    <row r="12">
      <c r="A12" s="100" t="s">
        <v>414</v>
      </c>
      <c r="B12" s="101">
        <v>42370.0</v>
      </c>
      <c r="C12" s="1045">
        <v>83000.0</v>
      </c>
      <c r="D12" s="103"/>
      <c r="E12" s="103"/>
      <c r="F12" s="104"/>
      <c r="G12" s="104"/>
      <c r="H12" s="104"/>
      <c r="I12" s="185" t="s">
        <v>667</v>
      </c>
    </row>
    <row r="13">
      <c r="A13" s="100" t="s">
        <v>417</v>
      </c>
      <c r="B13" s="189">
        <v>37981.0</v>
      </c>
      <c r="C13" s="1083">
        <v>78908.0</v>
      </c>
      <c r="D13" s="103"/>
      <c r="E13" s="103"/>
      <c r="F13" s="104"/>
      <c r="G13" s="104"/>
      <c r="H13" s="104"/>
      <c r="I13" s="185" t="s">
        <v>667</v>
      </c>
    </row>
    <row r="14">
      <c r="A14" s="80" t="s">
        <v>419</v>
      </c>
      <c r="B14" s="148">
        <v>2024.0</v>
      </c>
      <c r="C14" s="1045">
        <v>86700.0</v>
      </c>
      <c r="D14" s="103"/>
      <c r="E14" s="103"/>
      <c r="F14" s="104"/>
      <c r="G14" s="104"/>
      <c r="H14" s="104"/>
      <c r="I14" s="185" t="s">
        <v>667</v>
      </c>
    </row>
    <row r="15">
      <c r="A15" s="80" t="s">
        <v>421</v>
      </c>
      <c r="B15" s="148">
        <v>2019.0</v>
      </c>
      <c r="C15" s="1045">
        <v>83000.0</v>
      </c>
      <c r="D15" s="103"/>
      <c r="E15" s="103"/>
      <c r="F15" s="104"/>
      <c r="G15" s="104"/>
      <c r="H15" s="104" t="s">
        <v>689</v>
      </c>
      <c r="I15" s="185" t="s">
        <v>667</v>
      </c>
    </row>
    <row r="16">
      <c r="A16" s="73" t="s">
        <v>429</v>
      </c>
      <c r="B16" s="202">
        <v>2025.0</v>
      </c>
      <c r="C16" s="1249">
        <v>86920.0</v>
      </c>
      <c r="D16" s="103"/>
      <c r="E16" s="103"/>
      <c r="F16" s="104"/>
      <c r="G16" s="104"/>
      <c r="H16" s="104" t="s">
        <v>689</v>
      </c>
      <c r="I16" s="185" t="s">
        <v>667</v>
      </c>
    </row>
    <row r="17">
      <c r="A17" s="100" t="s">
        <v>431</v>
      </c>
      <c r="B17" s="189">
        <v>37681.0</v>
      </c>
      <c r="C17" s="1083">
        <v>78945.0</v>
      </c>
      <c r="D17" s="103"/>
      <c r="E17" s="103"/>
      <c r="F17" s="104"/>
      <c r="G17" s="104"/>
      <c r="H17" s="104"/>
      <c r="I17" s="185" t="s">
        <v>667</v>
      </c>
    </row>
    <row r="18">
      <c r="A18" s="100" t="s">
        <v>437</v>
      </c>
      <c r="B18" s="101">
        <v>43556.0</v>
      </c>
      <c r="C18" s="1045">
        <v>82200.0</v>
      </c>
      <c r="D18" s="103"/>
      <c r="E18" s="103"/>
      <c r="F18" s="104"/>
      <c r="G18" s="104"/>
      <c r="H18" s="104"/>
      <c r="I18" s="185" t="s">
        <v>667</v>
      </c>
    </row>
    <row r="19">
      <c r="A19" s="204" t="s">
        <v>456</v>
      </c>
      <c r="B19" s="101">
        <v>41275.0</v>
      </c>
      <c r="C19" s="1045">
        <v>80000.0</v>
      </c>
      <c r="D19" s="103"/>
      <c r="E19" s="103"/>
      <c r="F19" s="104"/>
      <c r="G19" s="104"/>
      <c r="H19" s="104"/>
      <c r="I19" s="185" t="s">
        <v>667</v>
      </c>
    </row>
    <row r="20">
      <c r="A20" s="1087" t="s">
        <v>485</v>
      </c>
      <c r="B20" s="1088">
        <v>42936.0</v>
      </c>
      <c r="C20" s="1089">
        <v>78700.0</v>
      </c>
      <c r="D20" s="167"/>
      <c r="E20" s="167"/>
      <c r="F20" s="532"/>
      <c r="G20" s="532"/>
      <c r="H20" s="532"/>
      <c r="I20" s="312" t="s">
        <v>667</v>
      </c>
    </row>
    <row r="21">
      <c r="A21" s="230" t="s">
        <v>25</v>
      </c>
      <c r="B21" s="231">
        <v>2008.0</v>
      </c>
      <c r="C21" s="1098">
        <v>84000.0</v>
      </c>
      <c r="D21" s="233"/>
      <c r="E21" s="233"/>
      <c r="F21" s="234"/>
      <c r="G21" s="234"/>
      <c r="H21" s="234"/>
      <c r="I21" s="153" t="s">
        <v>707</v>
      </c>
    </row>
    <row r="22">
      <c r="A22" s="147" t="s">
        <v>87</v>
      </c>
      <c r="B22" s="253">
        <v>2006.0</v>
      </c>
      <c r="C22" s="1045">
        <v>82244.0</v>
      </c>
      <c r="D22" s="112"/>
      <c r="E22" s="112" t="s">
        <v>706</v>
      </c>
      <c r="F22" s="104"/>
      <c r="G22" s="104"/>
      <c r="H22" s="104"/>
      <c r="I22" s="153" t="s">
        <v>707</v>
      </c>
    </row>
    <row r="23">
      <c r="A23" s="147" t="s">
        <v>88</v>
      </c>
      <c r="B23" s="253">
        <v>2006.0</v>
      </c>
      <c r="C23" s="1045">
        <v>82252.0</v>
      </c>
      <c r="D23" s="227"/>
      <c r="E23" s="227" t="s">
        <v>706</v>
      </c>
      <c r="F23" s="207"/>
      <c r="G23" s="207"/>
      <c r="H23" s="207"/>
      <c r="I23" s="153" t="s">
        <v>707</v>
      </c>
    </row>
    <row r="24">
      <c r="A24" s="258" t="s">
        <v>712</v>
      </c>
      <c r="B24" s="259">
        <v>2019.0</v>
      </c>
      <c r="C24" s="1193">
        <v>83000.0</v>
      </c>
      <c r="D24" s="103"/>
      <c r="E24" s="103"/>
      <c r="F24" s="261"/>
      <c r="G24" s="261"/>
      <c r="H24" s="261" t="s">
        <v>689</v>
      </c>
      <c r="I24" s="153" t="s">
        <v>707</v>
      </c>
    </row>
    <row r="25">
      <c r="A25" s="264" t="s">
        <v>197</v>
      </c>
      <c r="B25" s="265">
        <v>2025.0</v>
      </c>
      <c r="C25" s="1193">
        <v>88000.0</v>
      </c>
      <c r="D25" s="103"/>
      <c r="E25" s="112" t="s">
        <v>706</v>
      </c>
      <c r="F25" s="261"/>
      <c r="G25" s="261"/>
      <c r="H25" s="261" t="s">
        <v>666</v>
      </c>
      <c r="I25" s="153" t="s">
        <v>5819</v>
      </c>
    </row>
    <row r="26">
      <c r="A26" s="279" t="s">
        <v>585</v>
      </c>
      <c r="B26" s="280">
        <v>2025.0</v>
      </c>
      <c r="C26" s="1096">
        <v>88000.0</v>
      </c>
      <c r="D26" s="103"/>
      <c r="E26" s="112" t="s">
        <v>706</v>
      </c>
      <c r="F26" s="282"/>
      <c r="G26" s="282"/>
      <c r="H26" s="282"/>
      <c r="I26" s="153" t="s">
        <v>5819</v>
      </c>
    </row>
    <row r="27">
      <c r="A27" s="287" t="s">
        <v>78</v>
      </c>
      <c r="B27" s="288">
        <v>40298.0</v>
      </c>
      <c r="C27" s="1098">
        <v>83270.0</v>
      </c>
      <c r="D27" s="233"/>
      <c r="E27" s="233"/>
      <c r="F27" s="234"/>
      <c r="G27" s="234"/>
      <c r="H27" s="234"/>
      <c r="I27" s="289" t="s">
        <v>727</v>
      </c>
    </row>
    <row r="28">
      <c r="A28" s="147" t="s">
        <v>364</v>
      </c>
      <c r="B28" s="148">
        <v>2016.0</v>
      </c>
      <c r="C28" s="1045">
        <v>84000.0</v>
      </c>
      <c r="D28" s="103"/>
      <c r="E28" s="103"/>
      <c r="F28" s="104"/>
      <c r="G28" s="104"/>
      <c r="H28" s="104"/>
      <c r="I28" s="299" t="s">
        <v>727</v>
      </c>
    </row>
    <row r="29">
      <c r="A29" s="23" t="s">
        <v>502</v>
      </c>
      <c r="B29" s="148">
        <v>2016.0</v>
      </c>
      <c r="C29" s="1157">
        <v>84000.0</v>
      </c>
      <c r="D29" s="1144"/>
      <c r="E29" s="1144"/>
      <c r="F29" s="1158"/>
      <c r="G29" s="1158"/>
      <c r="H29" s="1158"/>
      <c r="I29" s="303" t="s">
        <v>727</v>
      </c>
    </row>
    <row r="30">
      <c r="A30" s="511" t="s">
        <v>571</v>
      </c>
      <c r="B30" s="280">
        <v>2020.0</v>
      </c>
      <c r="C30" s="1101">
        <v>84000.0</v>
      </c>
      <c r="D30" s="175" t="s">
        <v>603</v>
      </c>
      <c r="E30" s="175"/>
      <c r="F30" s="168"/>
      <c r="G30" s="168"/>
      <c r="H30" s="168" t="s">
        <v>689</v>
      </c>
      <c r="I30" s="397" t="s">
        <v>727</v>
      </c>
    </row>
    <row r="31">
      <c r="A31" s="1134" t="s">
        <v>51</v>
      </c>
      <c r="B31" s="1687">
        <v>2012.0</v>
      </c>
      <c r="C31" s="1089">
        <v>83000.0</v>
      </c>
      <c r="D31" s="358"/>
      <c r="E31" s="358"/>
      <c r="F31" s="282"/>
      <c r="G31" s="282"/>
      <c r="H31" s="282"/>
      <c r="I31" s="591" t="s">
        <v>748</v>
      </c>
    </row>
    <row r="32">
      <c r="A32" s="147" t="s">
        <v>329</v>
      </c>
      <c r="B32" s="148">
        <v>2017.0</v>
      </c>
      <c r="C32" s="1045">
        <v>84000.0</v>
      </c>
      <c r="D32" s="149"/>
      <c r="E32" s="149"/>
      <c r="F32" s="150"/>
      <c r="G32" s="150"/>
      <c r="H32" s="150"/>
      <c r="I32" s="321" t="s">
        <v>754</v>
      </c>
    </row>
    <row r="33">
      <c r="A33" s="511" t="s">
        <v>554</v>
      </c>
      <c r="B33" s="280">
        <v>2013.0</v>
      </c>
      <c r="C33" s="1101">
        <v>82000.0</v>
      </c>
      <c r="D33" s="175"/>
      <c r="E33" s="175"/>
      <c r="F33" s="168"/>
      <c r="G33" s="168"/>
      <c r="H33" s="168" t="s">
        <v>689</v>
      </c>
      <c r="I33" s="324" t="s">
        <v>754</v>
      </c>
    </row>
    <row r="34">
      <c r="A34" s="147" t="s">
        <v>84</v>
      </c>
      <c r="B34" s="148">
        <v>2024.0</v>
      </c>
      <c r="C34" s="1045">
        <v>91000.0</v>
      </c>
      <c r="D34" s="149"/>
      <c r="E34" s="149"/>
      <c r="F34" s="150"/>
      <c r="G34" s="150"/>
      <c r="H34" s="150" t="s">
        <v>666</v>
      </c>
      <c r="I34" s="329" t="s">
        <v>761</v>
      </c>
    </row>
    <row r="35">
      <c r="A35" s="1688" t="s">
        <v>2996</v>
      </c>
      <c r="B35" s="101">
        <v>39479.0</v>
      </c>
      <c r="C35" s="1045">
        <v>82383.0</v>
      </c>
      <c r="D35" s="112"/>
      <c r="E35" s="112"/>
      <c r="F35" s="104"/>
      <c r="G35" s="104"/>
      <c r="H35" s="104" t="s">
        <v>689</v>
      </c>
      <c r="I35" s="335" t="s">
        <v>1486</v>
      </c>
    </row>
    <row r="36">
      <c r="A36" s="80" t="s">
        <v>161</v>
      </c>
      <c r="B36" s="101">
        <v>42353.0</v>
      </c>
      <c r="C36" s="1045">
        <v>84000.0</v>
      </c>
      <c r="D36" s="103"/>
      <c r="E36" s="103"/>
      <c r="F36" s="104"/>
      <c r="G36" s="104"/>
      <c r="H36" s="104" t="s">
        <v>689</v>
      </c>
      <c r="I36" s="332" t="s">
        <v>761</v>
      </c>
    </row>
    <row r="37">
      <c r="A37" s="80" t="s">
        <v>207</v>
      </c>
      <c r="B37" s="148">
        <v>2022.0</v>
      </c>
      <c r="C37" s="1045">
        <v>84000.0</v>
      </c>
      <c r="D37" s="103"/>
      <c r="E37" s="103"/>
      <c r="F37" s="104"/>
      <c r="G37" s="104"/>
      <c r="H37" s="104" t="s">
        <v>666</v>
      </c>
      <c r="I37" s="332" t="s">
        <v>761</v>
      </c>
    </row>
    <row r="38">
      <c r="A38" s="73" t="s">
        <v>208</v>
      </c>
      <c r="B38" s="202">
        <v>2025.0</v>
      </c>
      <c r="C38" s="1249">
        <v>86700.0</v>
      </c>
      <c r="D38" s="103"/>
      <c r="E38" s="103"/>
      <c r="F38" s="104"/>
      <c r="G38" s="104"/>
      <c r="H38" s="104"/>
      <c r="I38" s="335" t="s">
        <v>761</v>
      </c>
    </row>
    <row r="39">
      <c r="A39" s="80" t="s">
        <v>244</v>
      </c>
      <c r="B39" s="101">
        <v>43570.0</v>
      </c>
      <c r="C39" s="1045">
        <v>83000.0</v>
      </c>
      <c r="D39" s="103"/>
      <c r="E39" s="103"/>
      <c r="F39" s="104"/>
      <c r="G39" s="104"/>
      <c r="H39" s="104" t="s">
        <v>689</v>
      </c>
      <c r="I39" s="332" t="s">
        <v>761</v>
      </c>
    </row>
    <row r="40">
      <c r="A40" s="298" t="s">
        <v>274</v>
      </c>
      <c r="B40" s="148">
        <v>2021.0</v>
      </c>
      <c r="C40" s="1045">
        <v>84000.0</v>
      </c>
      <c r="D40" s="103"/>
      <c r="E40" s="103"/>
      <c r="F40" s="104"/>
      <c r="G40" s="104"/>
      <c r="H40" s="104" t="s">
        <v>689</v>
      </c>
      <c r="I40" s="332" t="s">
        <v>761</v>
      </c>
    </row>
    <row r="41">
      <c r="A41" s="338" t="s">
        <v>276</v>
      </c>
      <c r="B41" s="148">
        <v>2021.0</v>
      </c>
      <c r="C41" s="1045">
        <v>84000.0</v>
      </c>
      <c r="D41" s="103"/>
      <c r="E41" s="103"/>
      <c r="F41" s="104"/>
      <c r="G41" s="104"/>
      <c r="H41" s="104" t="s">
        <v>689</v>
      </c>
      <c r="I41" s="332" t="s">
        <v>761</v>
      </c>
    </row>
    <row r="42">
      <c r="A42" s="100" t="s">
        <v>291</v>
      </c>
      <c r="B42" s="148">
        <v>2024.0</v>
      </c>
      <c r="C42" s="1045">
        <v>87000.0</v>
      </c>
      <c r="D42" s="103"/>
      <c r="E42" s="103"/>
      <c r="F42" s="104"/>
      <c r="G42" s="104"/>
      <c r="H42" s="104" t="s">
        <v>666</v>
      </c>
      <c r="I42" s="332" t="s">
        <v>761</v>
      </c>
    </row>
    <row r="43">
      <c r="A43" s="338" t="s">
        <v>290</v>
      </c>
      <c r="B43" s="183">
        <v>2021.0</v>
      </c>
      <c r="C43" s="1045">
        <v>84000.0</v>
      </c>
      <c r="D43" s="103"/>
      <c r="E43" s="103"/>
      <c r="F43" s="104"/>
      <c r="G43" s="104"/>
      <c r="H43" s="104" t="s">
        <v>689</v>
      </c>
      <c r="I43" s="332" t="s">
        <v>761</v>
      </c>
    </row>
    <row r="44">
      <c r="A44" s="338" t="s">
        <v>293</v>
      </c>
      <c r="B44" s="183">
        <v>2021.0</v>
      </c>
      <c r="C44" s="1045">
        <v>84000.0</v>
      </c>
      <c r="D44" s="103"/>
      <c r="E44" s="103"/>
      <c r="F44" s="104"/>
      <c r="G44" s="104"/>
      <c r="H44" s="104" t="s">
        <v>689</v>
      </c>
      <c r="I44" s="332" t="s">
        <v>761</v>
      </c>
    </row>
    <row r="45">
      <c r="A45" s="338" t="s">
        <v>296</v>
      </c>
      <c r="B45" s="183">
        <v>2023.0</v>
      </c>
      <c r="C45" s="1045">
        <v>84000.0</v>
      </c>
      <c r="D45" s="103"/>
      <c r="E45" s="103"/>
      <c r="F45" s="104"/>
      <c r="G45" s="104"/>
      <c r="H45" s="104" t="s">
        <v>666</v>
      </c>
      <c r="I45" s="332" t="s">
        <v>761</v>
      </c>
    </row>
    <row r="46">
      <c r="A46" s="298" t="s">
        <v>297</v>
      </c>
      <c r="B46" s="148">
        <v>2023.0</v>
      </c>
      <c r="C46" s="1045">
        <v>86000.0</v>
      </c>
      <c r="D46" s="103"/>
      <c r="E46" s="103"/>
      <c r="F46" s="104"/>
      <c r="G46" s="104"/>
      <c r="H46" s="104" t="s">
        <v>666</v>
      </c>
      <c r="I46" s="332" t="s">
        <v>761</v>
      </c>
    </row>
    <row r="47">
      <c r="A47" s="80" t="s">
        <v>793</v>
      </c>
      <c r="B47" s="148">
        <v>2023.0</v>
      </c>
      <c r="C47" s="1045">
        <v>91000.0</v>
      </c>
      <c r="D47" s="112"/>
      <c r="E47" s="112" t="s">
        <v>706</v>
      </c>
      <c r="F47" s="104"/>
      <c r="G47" s="104"/>
      <c r="H47" s="104" t="s">
        <v>666</v>
      </c>
      <c r="I47" s="332" t="s">
        <v>761</v>
      </c>
    </row>
    <row r="48">
      <c r="A48" s="80" t="s">
        <v>410</v>
      </c>
      <c r="B48" s="148">
        <v>2023.0</v>
      </c>
      <c r="C48" s="1045">
        <v>91000.0</v>
      </c>
      <c r="D48" s="112" t="s">
        <v>603</v>
      </c>
      <c r="E48" s="112" t="s">
        <v>706</v>
      </c>
      <c r="F48" s="104"/>
      <c r="G48" s="104"/>
      <c r="H48" s="104" t="s">
        <v>666</v>
      </c>
      <c r="I48" s="332" t="s">
        <v>761</v>
      </c>
    </row>
    <row r="49">
      <c r="A49" s="80" t="s">
        <v>411</v>
      </c>
      <c r="B49" s="148">
        <v>2023.0</v>
      </c>
      <c r="C49" s="1045">
        <v>84000.0</v>
      </c>
      <c r="D49" s="103"/>
      <c r="E49" s="103"/>
      <c r="F49" s="104"/>
      <c r="G49" s="104"/>
      <c r="H49" s="104" t="s">
        <v>666</v>
      </c>
      <c r="I49" s="332" t="s">
        <v>761</v>
      </c>
    </row>
    <row r="50">
      <c r="A50" s="338" t="s">
        <v>426</v>
      </c>
      <c r="B50" s="148">
        <v>2023.0</v>
      </c>
      <c r="C50" s="1045">
        <v>86000.0</v>
      </c>
      <c r="D50" s="103"/>
      <c r="E50" s="103"/>
      <c r="F50" s="104"/>
      <c r="G50" s="104"/>
      <c r="H50" s="104" t="s">
        <v>666</v>
      </c>
      <c r="I50" s="332" t="s">
        <v>761</v>
      </c>
    </row>
    <row r="51">
      <c r="A51" s="80" t="s">
        <v>430</v>
      </c>
      <c r="B51" s="148">
        <v>2022.0</v>
      </c>
      <c r="C51" s="1045">
        <v>84000.0</v>
      </c>
      <c r="D51" s="103"/>
      <c r="E51" s="103"/>
      <c r="F51" s="104"/>
      <c r="G51" s="104"/>
      <c r="H51" s="104" t="s">
        <v>666</v>
      </c>
      <c r="I51" s="332" t="s">
        <v>761</v>
      </c>
    </row>
    <row r="52">
      <c r="A52" s="338" t="s">
        <v>462</v>
      </c>
      <c r="B52" s="148">
        <v>2023.0</v>
      </c>
      <c r="C52" s="1045">
        <v>86000.0</v>
      </c>
      <c r="D52" s="103"/>
      <c r="E52" s="103"/>
      <c r="F52" s="104"/>
      <c r="G52" s="104"/>
      <c r="H52" s="104" t="s">
        <v>666</v>
      </c>
      <c r="I52" s="332" t="s">
        <v>761</v>
      </c>
    </row>
    <row r="53">
      <c r="A53" s="342" t="s">
        <v>443</v>
      </c>
      <c r="B53" s="202">
        <v>2025.0</v>
      </c>
      <c r="C53" s="1249">
        <v>86000.0</v>
      </c>
      <c r="D53" s="112"/>
      <c r="E53" s="112"/>
      <c r="F53" s="104"/>
      <c r="G53" s="104"/>
      <c r="H53" s="104" t="s">
        <v>666</v>
      </c>
      <c r="I53" s="332" t="s">
        <v>761</v>
      </c>
    </row>
    <row r="54">
      <c r="A54" s="341" t="s">
        <v>377</v>
      </c>
      <c r="B54" s="148">
        <v>2023.0</v>
      </c>
      <c r="C54" s="1045">
        <v>91000.0</v>
      </c>
      <c r="D54" s="112"/>
      <c r="E54" s="112" t="s">
        <v>706</v>
      </c>
      <c r="F54" s="104"/>
      <c r="G54" s="104"/>
      <c r="H54" s="104" t="s">
        <v>666</v>
      </c>
      <c r="I54" s="299" t="s">
        <v>761</v>
      </c>
    </row>
    <row r="55">
      <c r="A55" s="147" t="s">
        <v>490</v>
      </c>
      <c r="B55" s="343">
        <v>2024.0</v>
      </c>
      <c r="C55" s="1111">
        <v>91000.0</v>
      </c>
      <c r="D55" s="345"/>
      <c r="E55" s="345"/>
      <c r="F55" s="346"/>
      <c r="G55" s="346"/>
      <c r="H55" s="346" t="s">
        <v>666</v>
      </c>
      <c r="I55" s="299" t="s">
        <v>761</v>
      </c>
    </row>
    <row r="56">
      <c r="A56" s="350" t="s">
        <v>495</v>
      </c>
      <c r="B56" s="351">
        <v>2024.0</v>
      </c>
      <c r="C56" s="1089">
        <v>86000.0</v>
      </c>
      <c r="D56" s="307"/>
      <c r="E56" s="307"/>
      <c r="F56" s="168"/>
      <c r="G56" s="168"/>
      <c r="H56" s="168"/>
      <c r="I56" s="614" t="s">
        <v>761</v>
      </c>
    </row>
    <row r="57">
      <c r="A57" s="359" t="s">
        <v>471</v>
      </c>
      <c r="B57" s="360">
        <v>2023.0</v>
      </c>
      <c r="C57" s="1089">
        <v>91000.0</v>
      </c>
      <c r="D57" s="361"/>
      <c r="E57" s="361"/>
      <c r="F57" s="362"/>
      <c r="G57" s="362"/>
      <c r="H57" s="362" t="s">
        <v>666</v>
      </c>
      <c r="I57" s="363" t="s">
        <v>818</v>
      </c>
    </row>
    <row r="58">
      <c r="A58" s="230" t="s">
        <v>827</v>
      </c>
      <c r="B58" s="288">
        <v>42741.0</v>
      </c>
      <c r="C58" s="1098">
        <v>84000.0</v>
      </c>
      <c r="D58" s="233"/>
      <c r="E58" s="233"/>
      <c r="F58" s="234"/>
      <c r="G58" s="234"/>
      <c r="H58" s="234"/>
      <c r="I58" s="291" t="s">
        <v>822</v>
      </c>
    </row>
    <row r="59">
      <c r="A59" s="674" t="s">
        <v>821</v>
      </c>
      <c r="B59" s="222">
        <v>41960.0</v>
      </c>
      <c r="C59" s="1101">
        <v>84000.0</v>
      </c>
      <c r="D59" s="223"/>
      <c r="E59" s="223"/>
      <c r="F59" s="168"/>
      <c r="G59" s="168"/>
      <c r="H59" s="168" t="s">
        <v>689</v>
      </c>
      <c r="I59" s="463" t="s">
        <v>822</v>
      </c>
    </row>
    <row r="60">
      <c r="A60" s="375" t="s">
        <v>288</v>
      </c>
      <c r="B60" s="148">
        <v>2021.0</v>
      </c>
      <c r="C60" s="1045">
        <v>84000.0</v>
      </c>
      <c r="D60" s="149"/>
      <c r="E60" s="149"/>
      <c r="F60" s="150"/>
      <c r="G60" s="150"/>
      <c r="H60" s="150" t="s">
        <v>689</v>
      </c>
      <c r="I60" s="315" t="s">
        <v>830</v>
      </c>
    </row>
    <row r="61">
      <c r="A61" s="375" t="s">
        <v>184</v>
      </c>
      <c r="B61" s="202">
        <v>2019.0</v>
      </c>
      <c r="C61" s="1045">
        <v>80000.0</v>
      </c>
      <c r="D61" s="149"/>
      <c r="E61" s="149"/>
      <c r="F61" s="150"/>
      <c r="G61" s="150"/>
      <c r="H61" s="150" t="s">
        <v>689</v>
      </c>
      <c r="I61" s="321" t="s">
        <v>830</v>
      </c>
    </row>
    <row r="62">
      <c r="A62" s="376" t="s">
        <v>569</v>
      </c>
      <c r="B62" s="222">
        <v>42915.0</v>
      </c>
      <c r="C62" s="1101">
        <v>78700.0</v>
      </c>
      <c r="D62" s="223"/>
      <c r="E62" s="223"/>
      <c r="F62" s="168"/>
      <c r="G62" s="168"/>
      <c r="H62" s="168"/>
      <c r="I62" s="224" t="s">
        <v>830</v>
      </c>
    </row>
    <row r="63">
      <c r="A63" s="381" t="s">
        <v>356</v>
      </c>
      <c r="B63" s="202">
        <v>2025.0</v>
      </c>
      <c r="C63" s="1469">
        <v>87000.0</v>
      </c>
      <c r="D63" s="112" t="s">
        <v>603</v>
      </c>
      <c r="E63" s="103"/>
      <c r="F63" s="383"/>
      <c r="G63" s="383"/>
      <c r="H63" s="383"/>
      <c r="I63" s="1689" t="s">
        <v>837</v>
      </c>
    </row>
    <row r="64">
      <c r="A64" s="375" t="s">
        <v>357</v>
      </c>
      <c r="B64" s="148">
        <v>2020.0</v>
      </c>
      <c r="C64" s="1045">
        <v>80000.0</v>
      </c>
      <c r="D64" s="112" t="s">
        <v>603</v>
      </c>
      <c r="E64" s="149"/>
      <c r="F64" s="150"/>
      <c r="G64" s="150"/>
      <c r="H64" s="150" t="s">
        <v>689</v>
      </c>
      <c r="I64" s="329" t="s">
        <v>837</v>
      </c>
    </row>
    <row r="65">
      <c r="A65" s="80" t="s">
        <v>360</v>
      </c>
      <c r="B65" s="101">
        <v>42291.0</v>
      </c>
      <c r="C65" s="1045">
        <v>84000.0</v>
      </c>
      <c r="D65" s="112" t="s">
        <v>603</v>
      </c>
      <c r="E65" s="103"/>
      <c r="F65" s="104"/>
      <c r="G65" s="104"/>
      <c r="H65" s="104"/>
      <c r="I65" s="332" t="s">
        <v>837</v>
      </c>
    </row>
    <row r="66">
      <c r="A66" s="338" t="s">
        <v>365</v>
      </c>
      <c r="B66" s="101">
        <v>42291.0</v>
      </c>
      <c r="C66" s="1045">
        <v>80000.0</v>
      </c>
      <c r="D66" s="112" t="s">
        <v>603</v>
      </c>
      <c r="E66" s="103"/>
      <c r="F66" s="104"/>
      <c r="G66" s="104"/>
      <c r="H66" s="104" t="s">
        <v>689</v>
      </c>
      <c r="I66" s="332" t="s">
        <v>837</v>
      </c>
    </row>
    <row r="67">
      <c r="A67" s="392" t="s">
        <v>387</v>
      </c>
      <c r="B67" s="202">
        <v>2025.0</v>
      </c>
      <c r="C67" s="1249">
        <v>88000.0</v>
      </c>
      <c r="D67" s="112" t="s">
        <v>603</v>
      </c>
      <c r="E67" s="103"/>
      <c r="F67" s="104"/>
      <c r="G67" s="104"/>
      <c r="H67" s="104"/>
      <c r="I67" s="335" t="s">
        <v>837</v>
      </c>
    </row>
    <row r="68">
      <c r="A68" s="392" t="s">
        <v>408</v>
      </c>
      <c r="B68" s="394">
        <v>2024.0</v>
      </c>
      <c r="C68" s="1045">
        <v>89000.0</v>
      </c>
      <c r="D68" s="112" t="s">
        <v>603</v>
      </c>
      <c r="E68" s="103"/>
      <c r="F68" s="104"/>
      <c r="G68" s="104"/>
      <c r="H68" s="104" t="s">
        <v>666</v>
      </c>
      <c r="I68" s="332" t="s">
        <v>837</v>
      </c>
    </row>
    <row r="69">
      <c r="A69" s="375" t="s">
        <v>511</v>
      </c>
      <c r="B69" s="148">
        <v>2021.0</v>
      </c>
      <c r="C69" s="1045">
        <v>84000.0</v>
      </c>
      <c r="D69" s="112" t="s">
        <v>603</v>
      </c>
      <c r="E69" s="103"/>
      <c r="F69" s="104"/>
      <c r="G69" s="104"/>
      <c r="H69" s="104" t="s">
        <v>689</v>
      </c>
      <c r="I69" s="332" t="s">
        <v>837</v>
      </c>
    </row>
    <row r="70">
      <c r="A70" s="80" t="s">
        <v>514</v>
      </c>
      <c r="B70" s="202">
        <v>2020.0</v>
      </c>
      <c r="C70" s="1045">
        <v>84000.0</v>
      </c>
      <c r="D70" s="112" t="s">
        <v>603</v>
      </c>
      <c r="E70" s="103"/>
      <c r="F70" s="104"/>
      <c r="G70" s="104"/>
      <c r="H70" s="104" t="s">
        <v>689</v>
      </c>
      <c r="I70" s="335" t="s">
        <v>837</v>
      </c>
    </row>
    <row r="71">
      <c r="A71" s="396" t="s">
        <v>578</v>
      </c>
      <c r="B71" s="165">
        <v>2021.0</v>
      </c>
      <c r="C71" s="1101">
        <v>84000.0</v>
      </c>
      <c r="D71" s="112" t="s">
        <v>603</v>
      </c>
      <c r="E71" s="223"/>
      <c r="F71" s="168"/>
      <c r="G71" s="168"/>
      <c r="H71" s="168" t="s">
        <v>689</v>
      </c>
      <c r="I71" s="397" t="s">
        <v>837</v>
      </c>
    </row>
    <row r="72">
      <c r="A72" s="274" t="s">
        <v>275</v>
      </c>
      <c r="B72" s="101">
        <v>41645.0</v>
      </c>
      <c r="C72" s="1045">
        <v>84000.0</v>
      </c>
      <c r="D72" s="256"/>
      <c r="E72" s="112" t="s">
        <v>706</v>
      </c>
      <c r="F72" s="150"/>
      <c r="G72" s="150"/>
      <c r="H72" s="150"/>
      <c r="I72" s="321" t="s">
        <v>863</v>
      </c>
    </row>
    <row r="73">
      <c r="A73" s="100" t="s">
        <v>272</v>
      </c>
      <c r="B73" s="101">
        <v>43102.0</v>
      </c>
      <c r="C73" s="1045">
        <v>85000.0</v>
      </c>
      <c r="D73" s="112"/>
      <c r="E73" s="112" t="s">
        <v>706</v>
      </c>
      <c r="F73" s="104"/>
      <c r="G73" s="104"/>
      <c r="H73" s="104" t="s">
        <v>666</v>
      </c>
      <c r="I73" s="401" t="s">
        <v>863</v>
      </c>
    </row>
    <row r="74">
      <c r="A74" s="274" t="s">
        <v>310</v>
      </c>
      <c r="B74" s="148">
        <v>2020.0</v>
      </c>
      <c r="C74" s="1045">
        <v>84000.0</v>
      </c>
      <c r="D74" s="149"/>
      <c r="E74" s="149"/>
      <c r="F74" s="150"/>
      <c r="G74" s="150"/>
      <c r="H74" s="150" t="s">
        <v>689</v>
      </c>
      <c r="I74" s="321" t="s">
        <v>863</v>
      </c>
    </row>
    <row r="75">
      <c r="A75" s="100" t="s">
        <v>320</v>
      </c>
      <c r="B75" s="101">
        <v>41883.0</v>
      </c>
      <c r="C75" s="1045">
        <v>84000.0</v>
      </c>
      <c r="D75" s="103"/>
      <c r="E75" s="103"/>
      <c r="F75" s="104"/>
      <c r="G75" s="104"/>
      <c r="H75" s="104" t="s">
        <v>689</v>
      </c>
      <c r="I75" s="401" t="s">
        <v>863</v>
      </c>
    </row>
    <row r="76">
      <c r="A76" s="80" t="s">
        <v>872</v>
      </c>
      <c r="B76" s="148">
        <v>2020.0</v>
      </c>
      <c r="C76" s="1045">
        <v>84700.0</v>
      </c>
      <c r="D76" s="227"/>
      <c r="E76" s="227" t="s">
        <v>706</v>
      </c>
      <c r="F76" s="104"/>
      <c r="G76" s="104"/>
      <c r="H76" s="104" t="s">
        <v>689</v>
      </c>
      <c r="I76" s="401" t="s">
        <v>863</v>
      </c>
    </row>
    <row r="77">
      <c r="A77" s="396" t="s">
        <v>875</v>
      </c>
      <c r="B77" s="165">
        <v>2023.0</v>
      </c>
      <c r="C77" s="1101">
        <v>86000.0</v>
      </c>
      <c r="D77" s="175"/>
      <c r="E77" s="175" t="s">
        <v>706</v>
      </c>
      <c r="F77" s="168"/>
      <c r="G77" s="168"/>
      <c r="H77" s="168" t="s">
        <v>666</v>
      </c>
      <c r="I77" s="324" t="s">
        <v>863</v>
      </c>
    </row>
    <row r="78">
      <c r="A78" s="375" t="s">
        <v>338</v>
      </c>
      <c r="B78" s="148">
        <v>2023.0</v>
      </c>
      <c r="C78" s="1045">
        <v>86000.0</v>
      </c>
      <c r="D78" s="149"/>
      <c r="E78" s="149"/>
      <c r="F78" s="150"/>
      <c r="G78" s="150"/>
      <c r="H78" s="150" t="s">
        <v>666</v>
      </c>
      <c r="I78" s="321" t="s">
        <v>878</v>
      </c>
    </row>
    <row r="79">
      <c r="A79" s="80" t="s">
        <v>235</v>
      </c>
      <c r="B79" s="148">
        <v>2020.0</v>
      </c>
      <c r="C79" s="1045">
        <v>83000.0</v>
      </c>
      <c r="D79" s="103"/>
      <c r="E79" s="103"/>
      <c r="F79" s="104"/>
      <c r="G79" s="104"/>
      <c r="H79" s="104" t="s">
        <v>689</v>
      </c>
      <c r="I79" s="401" t="s">
        <v>878</v>
      </c>
    </row>
    <row r="80">
      <c r="A80" s="298" t="s">
        <v>340</v>
      </c>
      <c r="B80" s="148">
        <v>2021.0</v>
      </c>
      <c r="C80" s="1045">
        <v>84000.0</v>
      </c>
      <c r="D80" s="103"/>
      <c r="E80" s="103"/>
      <c r="F80" s="104"/>
      <c r="G80" s="104"/>
      <c r="H80" s="104" t="s">
        <v>689</v>
      </c>
      <c r="I80" s="401" t="s">
        <v>878</v>
      </c>
    </row>
    <row r="81">
      <c r="A81" s="80" t="s">
        <v>230</v>
      </c>
      <c r="B81" s="148">
        <v>2023.0</v>
      </c>
      <c r="C81" s="1045">
        <v>86700.0</v>
      </c>
      <c r="D81" s="103"/>
      <c r="E81" s="103"/>
      <c r="F81" s="192"/>
      <c r="G81" s="192"/>
      <c r="H81" s="192" t="s">
        <v>689</v>
      </c>
      <c r="I81" s="401" t="s">
        <v>878</v>
      </c>
    </row>
    <row r="82">
      <c r="A82" s="406" t="s">
        <v>560</v>
      </c>
      <c r="B82" s="148">
        <v>2024.0</v>
      </c>
      <c r="C82" s="1045">
        <v>86000.0</v>
      </c>
      <c r="D82" s="112"/>
      <c r="E82" s="112" t="s">
        <v>706</v>
      </c>
      <c r="F82" s="104"/>
      <c r="G82" s="104"/>
      <c r="H82" s="104" t="s">
        <v>666</v>
      </c>
      <c r="I82" s="401" t="s">
        <v>878</v>
      </c>
    </row>
    <row r="83">
      <c r="A83" s="164" t="s">
        <v>337</v>
      </c>
      <c r="B83" s="280">
        <v>2016.0</v>
      </c>
      <c r="C83" s="1101">
        <v>83000.0</v>
      </c>
      <c r="D83" s="223"/>
      <c r="E83" s="223"/>
      <c r="F83" s="168"/>
      <c r="G83" s="168"/>
      <c r="H83" s="168" t="s">
        <v>689</v>
      </c>
      <c r="I83" s="324" t="s">
        <v>878</v>
      </c>
    </row>
    <row r="84">
      <c r="A84" s="404" t="s">
        <v>317</v>
      </c>
      <c r="B84" s="101">
        <v>42825.0</v>
      </c>
      <c r="C84" s="1045">
        <v>83000.0</v>
      </c>
      <c r="D84" s="112" t="s">
        <v>603</v>
      </c>
      <c r="E84" s="149"/>
      <c r="F84" s="150"/>
      <c r="G84" s="150"/>
      <c r="H84" s="150"/>
      <c r="I84" s="105" t="s">
        <v>893</v>
      </c>
    </row>
    <row r="85">
      <c r="A85" s="100" t="s">
        <v>896</v>
      </c>
      <c r="B85" s="101">
        <v>43617.0</v>
      </c>
      <c r="C85" s="1045">
        <v>82200.0</v>
      </c>
      <c r="D85" s="112" t="s">
        <v>603</v>
      </c>
      <c r="E85" s="103"/>
      <c r="F85" s="104"/>
      <c r="G85" s="104"/>
      <c r="H85" s="104" t="s">
        <v>689</v>
      </c>
      <c r="I85" s="332" t="s">
        <v>893</v>
      </c>
    </row>
    <row r="86">
      <c r="A86" s="1134" t="s">
        <v>1548</v>
      </c>
      <c r="B86" s="222">
        <v>42217.0</v>
      </c>
      <c r="C86" s="1101">
        <v>84000.0</v>
      </c>
      <c r="D86" s="112" t="s">
        <v>603</v>
      </c>
      <c r="E86" s="374"/>
      <c r="F86" s="282"/>
      <c r="G86" s="282"/>
      <c r="H86" s="282"/>
      <c r="I86" s="426" t="s">
        <v>893</v>
      </c>
    </row>
    <row r="87">
      <c r="A87" s="427" t="s">
        <v>155</v>
      </c>
      <c r="B87" s="148">
        <v>2022.0</v>
      </c>
      <c r="C87" s="1045">
        <v>84000.0</v>
      </c>
      <c r="D87" s="149"/>
      <c r="E87" s="149"/>
      <c r="F87" s="150"/>
      <c r="G87" s="150"/>
      <c r="H87" s="150" t="s">
        <v>666</v>
      </c>
      <c r="I87" s="329" t="s">
        <v>901</v>
      </c>
    </row>
    <row r="88">
      <c r="A88" s="429" t="s">
        <v>177</v>
      </c>
      <c r="B88" s="101">
        <v>41635.0</v>
      </c>
      <c r="C88" s="1045">
        <v>84000.0</v>
      </c>
      <c r="D88" s="112" t="s">
        <v>603</v>
      </c>
      <c r="E88" s="103"/>
      <c r="F88" s="104"/>
      <c r="G88" s="104"/>
      <c r="H88" s="104" t="s">
        <v>689</v>
      </c>
      <c r="I88" s="332" t="s">
        <v>901</v>
      </c>
    </row>
    <row r="89">
      <c r="A89" s="430" t="s">
        <v>204</v>
      </c>
      <c r="B89" s="148">
        <v>2020.0</v>
      </c>
      <c r="C89" s="1045">
        <v>82000.0</v>
      </c>
      <c r="D89" s="103"/>
      <c r="E89" s="103"/>
      <c r="F89" s="104"/>
      <c r="G89" s="104"/>
      <c r="H89" s="104" t="s">
        <v>689</v>
      </c>
      <c r="I89" s="332" t="s">
        <v>901</v>
      </c>
    </row>
    <row r="90">
      <c r="A90" s="430" t="s">
        <v>212</v>
      </c>
      <c r="B90" s="101">
        <v>41579.0</v>
      </c>
      <c r="C90" s="1045">
        <v>82200.0</v>
      </c>
      <c r="D90" s="103"/>
      <c r="E90" s="103"/>
      <c r="F90" s="104"/>
      <c r="G90" s="104"/>
      <c r="H90" s="104" t="s">
        <v>689</v>
      </c>
      <c r="I90" s="332" t="s">
        <v>901</v>
      </c>
    </row>
    <row r="91">
      <c r="A91" s="432" t="s">
        <v>213</v>
      </c>
      <c r="B91" s="148">
        <v>2022.0</v>
      </c>
      <c r="C91" s="1045">
        <v>84000.0</v>
      </c>
      <c r="D91" s="103"/>
      <c r="E91" s="103"/>
      <c r="F91" s="104"/>
      <c r="G91" s="104"/>
      <c r="H91" s="104" t="s">
        <v>666</v>
      </c>
      <c r="I91" s="332" t="s">
        <v>901</v>
      </c>
    </row>
    <row r="92">
      <c r="A92" s="430" t="s">
        <v>238</v>
      </c>
      <c r="B92" s="148">
        <v>2021.0</v>
      </c>
      <c r="C92" s="1045">
        <v>86000.0</v>
      </c>
      <c r="D92" s="103"/>
      <c r="E92" s="103"/>
      <c r="F92" s="104"/>
      <c r="G92" s="104"/>
      <c r="H92" s="104" t="s">
        <v>666</v>
      </c>
      <c r="I92" s="332" t="s">
        <v>901</v>
      </c>
    </row>
    <row r="93">
      <c r="A93" s="430" t="s">
        <v>239</v>
      </c>
      <c r="B93" s="148">
        <v>2021.0</v>
      </c>
      <c r="C93" s="1045">
        <v>86000.0</v>
      </c>
      <c r="D93" s="103"/>
      <c r="E93" s="103"/>
      <c r="F93" s="104"/>
      <c r="G93" s="104"/>
      <c r="H93" s="104" t="s">
        <v>666</v>
      </c>
      <c r="I93" s="332" t="s">
        <v>901</v>
      </c>
    </row>
    <row r="94">
      <c r="A94" s="430" t="s">
        <v>518</v>
      </c>
      <c r="B94" s="101">
        <v>43831.0</v>
      </c>
      <c r="C94" s="1045">
        <v>84000.0</v>
      </c>
      <c r="D94" s="103"/>
      <c r="E94" s="103"/>
      <c r="F94" s="104"/>
      <c r="G94" s="104"/>
      <c r="H94" s="104" t="s">
        <v>689</v>
      </c>
      <c r="I94" s="332" t="s">
        <v>901</v>
      </c>
    </row>
    <row r="95">
      <c r="A95" s="221" t="s">
        <v>523</v>
      </c>
      <c r="B95" s="222">
        <v>41275.0</v>
      </c>
      <c r="C95" s="1101">
        <v>83000.0</v>
      </c>
      <c r="D95" s="223"/>
      <c r="E95" s="223"/>
      <c r="F95" s="168"/>
      <c r="G95" s="168"/>
      <c r="H95" s="168"/>
      <c r="I95" s="397" t="s">
        <v>901</v>
      </c>
    </row>
    <row r="96">
      <c r="A96" s="230" t="s">
        <v>94</v>
      </c>
      <c r="B96" s="417">
        <v>2023.0</v>
      </c>
      <c r="C96" s="1098">
        <v>91000.0</v>
      </c>
      <c r="D96" s="112" t="s">
        <v>603</v>
      </c>
      <c r="E96" s="292" t="s">
        <v>706</v>
      </c>
      <c r="F96" s="234"/>
      <c r="G96" s="234"/>
      <c r="H96" s="234" t="s">
        <v>666</v>
      </c>
      <c r="I96" s="578" t="s">
        <v>919</v>
      </c>
    </row>
    <row r="97">
      <c r="A97" s="341" t="s">
        <v>922</v>
      </c>
      <c r="B97" s="101">
        <v>42674.0</v>
      </c>
      <c r="C97" s="1045">
        <v>84000.0</v>
      </c>
      <c r="D97" s="112" t="s">
        <v>603</v>
      </c>
      <c r="E97" s="103"/>
      <c r="F97" s="104"/>
      <c r="G97" s="104"/>
      <c r="H97" s="104" t="s">
        <v>666</v>
      </c>
      <c r="I97" s="401" t="s">
        <v>919</v>
      </c>
    </row>
    <row r="98">
      <c r="A98" s="100" t="s">
        <v>925</v>
      </c>
      <c r="B98" s="101">
        <v>42741.0</v>
      </c>
      <c r="C98" s="1045">
        <v>84000.0</v>
      </c>
      <c r="D98" s="112" t="s">
        <v>603</v>
      </c>
      <c r="E98" s="103"/>
      <c r="F98" s="104"/>
      <c r="G98" s="104"/>
      <c r="H98" s="104" t="s">
        <v>666</v>
      </c>
      <c r="I98" s="401" t="s">
        <v>919</v>
      </c>
    </row>
    <row r="99">
      <c r="A99" s="452" t="s">
        <v>395</v>
      </c>
      <c r="B99" s="194">
        <v>40422.0</v>
      </c>
      <c r="C99" s="1045">
        <v>80199.0</v>
      </c>
      <c r="D99" s="112" t="s">
        <v>603</v>
      </c>
      <c r="E99" s="112"/>
      <c r="F99" s="104"/>
      <c r="G99" s="104"/>
      <c r="H99" s="104"/>
      <c r="I99" s="401" t="s">
        <v>919</v>
      </c>
    </row>
    <row r="100">
      <c r="A100" s="100" t="s">
        <v>3067</v>
      </c>
      <c r="B100" s="101">
        <v>42326.0</v>
      </c>
      <c r="C100" s="1045">
        <v>84000.0</v>
      </c>
      <c r="D100" s="112" t="s">
        <v>603</v>
      </c>
      <c r="E100" s="103"/>
      <c r="F100" s="104"/>
      <c r="G100" s="104"/>
      <c r="H100" s="104"/>
      <c r="I100" s="401" t="s">
        <v>919</v>
      </c>
    </row>
    <row r="101">
      <c r="A101" s="455" t="s">
        <v>497</v>
      </c>
      <c r="B101" s="202">
        <v>2023.0</v>
      </c>
      <c r="C101" s="1249">
        <v>87000.0</v>
      </c>
      <c r="D101" s="112" t="s">
        <v>603</v>
      </c>
      <c r="E101" s="409"/>
      <c r="F101" s="207"/>
      <c r="G101" s="207"/>
      <c r="H101" s="207"/>
      <c r="I101" s="208" t="s">
        <v>919</v>
      </c>
    </row>
    <row r="102">
      <c r="A102" s="458" t="s">
        <v>939</v>
      </c>
      <c r="B102" s="280">
        <v>2016.0</v>
      </c>
      <c r="C102" s="1101">
        <v>84000.0</v>
      </c>
      <c r="D102" s="175" t="s">
        <v>603</v>
      </c>
      <c r="E102" s="223"/>
      <c r="F102" s="168"/>
      <c r="G102" s="168"/>
      <c r="H102" s="168"/>
      <c r="I102" s="324" t="s">
        <v>919</v>
      </c>
    </row>
    <row r="103">
      <c r="A103" s="375" t="s">
        <v>61</v>
      </c>
      <c r="B103" s="101">
        <v>39814.0</v>
      </c>
      <c r="C103" s="1045">
        <v>75000.0</v>
      </c>
      <c r="D103" s="149"/>
      <c r="E103" s="149"/>
      <c r="F103" s="150"/>
      <c r="G103" s="150"/>
      <c r="H103" s="150" t="s">
        <v>689</v>
      </c>
      <c r="I103" s="329" t="s">
        <v>942</v>
      </c>
    </row>
    <row r="104">
      <c r="A104" s="80" t="s">
        <v>242</v>
      </c>
      <c r="B104" s="148">
        <v>2022.0</v>
      </c>
      <c r="C104" s="1045">
        <v>90000.0</v>
      </c>
      <c r="D104" s="103"/>
      <c r="E104" s="103"/>
      <c r="F104" s="104"/>
      <c r="G104" s="104"/>
      <c r="H104" s="104" t="s">
        <v>666</v>
      </c>
      <c r="I104" s="332" t="s">
        <v>942</v>
      </c>
    </row>
    <row r="105">
      <c r="A105" s="80" t="s">
        <v>394</v>
      </c>
      <c r="B105" s="148">
        <v>2022.0</v>
      </c>
      <c r="C105" s="1045">
        <v>90000.0</v>
      </c>
      <c r="D105" s="103"/>
      <c r="E105" s="103"/>
      <c r="F105" s="104"/>
      <c r="G105" s="104"/>
      <c r="H105" s="104" t="s">
        <v>666</v>
      </c>
      <c r="I105" s="332" t="s">
        <v>942</v>
      </c>
    </row>
    <row r="106">
      <c r="A106" s="164" t="s">
        <v>452</v>
      </c>
      <c r="B106" s="165">
        <v>2024.0</v>
      </c>
      <c r="C106" s="1101">
        <v>88000.0</v>
      </c>
      <c r="D106" s="223"/>
      <c r="E106" s="223"/>
      <c r="F106" s="168"/>
      <c r="G106" s="168"/>
      <c r="H106" s="168" t="s">
        <v>666</v>
      </c>
      <c r="I106" s="397" t="s">
        <v>942</v>
      </c>
    </row>
    <row r="107">
      <c r="A107" s="230" t="s">
        <v>178</v>
      </c>
      <c r="B107" s="314">
        <v>41275.0</v>
      </c>
      <c r="C107" s="1098">
        <v>84000.0</v>
      </c>
      <c r="D107" s="112" t="s">
        <v>603</v>
      </c>
      <c r="E107" s="292" t="s">
        <v>706</v>
      </c>
      <c r="F107" s="234"/>
      <c r="G107" s="234"/>
      <c r="H107" s="234" t="s">
        <v>689</v>
      </c>
      <c r="I107" s="418" t="s">
        <v>956</v>
      </c>
    </row>
    <row r="108">
      <c r="A108" s="1142" t="s">
        <v>501</v>
      </c>
      <c r="B108" s="542">
        <v>43123.0</v>
      </c>
      <c r="C108" s="1045">
        <v>78700.0</v>
      </c>
      <c r="D108" s="1690"/>
      <c r="E108" s="1691"/>
      <c r="F108" s="104"/>
      <c r="G108" s="104"/>
      <c r="H108" s="104" t="s">
        <v>689</v>
      </c>
      <c r="I108" s="299" t="s">
        <v>956</v>
      </c>
    </row>
    <row r="109">
      <c r="A109" s="80" t="s">
        <v>415</v>
      </c>
      <c r="B109" s="148">
        <v>2022.0</v>
      </c>
      <c r="C109" s="1045">
        <v>91000.0</v>
      </c>
      <c r="D109" s="103"/>
      <c r="E109" s="103"/>
      <c r="F109" s="104"/>
      <c r="G109" s="104"/>
      <c r="H109" s="104" t="s">
        <v>666</v>
      </c>
      <c r="I109" s="332" t="s">
        <v>956</v>
      </c>
    </row>
    <row r="110">
      <c r="A110" s="80" t="s">
        <v>444</v>
      </c>
      <c r="B110" s="148">
        <v>2023.0</v>
      </c>
      <c r="C110" s="1148">
        <v>91000.0</v>
      </c>
      <c r="D110" s="103"/>
      <c r="E110" s="103"/>
      <c r="F110" s="104"/>
      <c r="G110" s="104"/>
      <c r="H110" s="104" t="s">
        <v>666</v>
      </c>
      <c r="I110" s="332" t="s">
        <v>956</v>
      </c>
    </row>
    <row r="111">
      <c r="A111" s="460" t="s">
        <v>520</v>
      </c>
      <c r="B111" s="202">
        <v>2025.0</v>
      </c>
      <c r="C111" s="1249">
        <v>88000.0</v>
      </c>
      <c r="D111" s="103"/>
      <c r="E111" s="103"/>
      <c r="F111" s="104"/>
      <c r="G111" s="104"/>
      <c r="H111" s="104" t="s">
        <v>666</v>
      </c>
      <c r="I111" s="332" t="s">
        <v>956</v>
      </c>
    </row>
    <row r="112">
      <c r="A112" s="406" t="s">
        <v>574</v>
      </c>
      <c r="B112" s="101">
        <v>43039.0</v>
      </c>
      <c r="C112" s="1045">
        <v>78700.0</v>
      </c>
      <c r="D112" s="112" t="s">
        <v>603</v>
      </c>
      <c r="E112" s="103"/>
      <c r="F112" s="104"/>
      <c r="G112" s="104"/>
      <c r="H112" s="104"/>
      <c r="I112" s="332" t="s">
        <v>956</v>
      </c>
    </row>
    <row r="113">
      <c r="A113" s="461" t="s">
        <v>572</v>
      </c>
      <c r="B113" s="222">
        <v>43104.0</v>
      </c>
      <c r="C113" s="1101">
        <v>78700.0</v>
      </c>
      <c r="D113" s="175" t="s">
        <v>603</v>
      </c>
      <c r="E113" s="223"/>
      <c r="F113" s="168"/>
      <c r="G113" s="168"/>
      <c r="H113" s="168"/>
      <c r="I113" s="397" t="s">
        <v>956</v>
      </c>
    </row>
    <row r="114">
      <c r="A114" s="274" t="s">
        <v>74</v>
      </c>
      <c r="B114" s="148">
        <v>2023.0</v>
      </c>
      <c r="C114" s="1148">
        <v>86700.0</v>
      </c>
      <c r="D114" s="149"/>
      <c r="E114" s="149"/>
      <c r="F114" s="150"/>
      <c r="G114" s="150"/>
      <c r="H114" s="150" t="s">
        <v>666</v>
      </c>
      <c r="I114" s="321" t="s">
        <v>968</v>
      </c>
    </row>
    <row r="115">
      <c r="A115" s="80" t="s">
        <v>971</v>
      </c>
      <c r="B115" s="148">
        <v>2024.0</v>
      </c>
      <c r="C115" s="1148">
        <v>87000.0</v>
      </c>
      <c r="D115" s="103"/>
      <c r="E115" s="103"/>
      <c r="F115" s="104"/>
      <c r="G115" s="104"/>
      <c r="H115" s="104" t="s">
        <v>666</v>
      </c>
      <c r="I115" s="401" t="s">
        <v>968</v>
      </c>
    </row>
    <row r="116">
      <c r="A116" s="80" t="s">
        <v>226</v>
      </c>
      <c r="B116" s="148">
        <v>2021.0</v>
      </c>
      <c r="C116" s="1148">
        <v>84000.0</v>
      </c>
      <c r="D116" s="103"/>
      <c r="E116" s="103"/>
      <c r="F116" s="104"/>
      <c r="G116" s="104"/>
      <c r="H116" s="104" t="s">
        <v>689</v>
      </c>
      <c r="I116" s="401" t="s">
        <v>968</v>
      </c>
    </row>
    <row r="117">
      <c r="A117" s="80" t="s">
        <v>259</v>
      </c>
      <c r="B117" s="202">
        <v>2014.0</v>
      </c>
      <c r="C117" s="1149">
        <v>82400.0</v>
      </c>
      <c r="D117" s="103"/>
      <c r="E117" s="103"/>
      <c r="F117" s="104"/>
      <c r="G117" s="104"/>
      <c r="H117" s="104"/>
      <c r="I117" s="401" t="s">
        <v>968</v>
      </c>
    </row>
    <row r="118">
      <c r="A118" s="80" t="s">
        <v>328</v>
      </c>
      <c r="B118" s="202">
        <v>2017.0</v>
      </c>
      <c r="C118" s="1148">
        <v>84000.0</v>
      </c>
      <c r="D118" s="103"/>
      <c r="E118" s="103"/>
      <c r="F118" s="104"/>
      <c r="G118" s="104"/>
      <c r="H118" s="104" t="s">
        <v>689</v>
      </c>
      <c r="I118" s="401" t="s">
        <v>968</v>
      </c>
    </row>
    <row r="119">
      <c r="A119" s="466" t="s">
        <v>333</v>
      </c>
      <c r="B119" s="202">
        <v>2018.0</v>
      </c>
      <c r="C119" s="1148">
        <v>82200.0</v>
      </c>
      <c r="D119" s="103"/>
      <c r="E119" s="103"/>
      <c r="F119" s="104"/>
      <c r="G119" s="104"/>
      <c r="H119" s="104"/>
      <c r="I119" s="401" t="s">
        <v>968</v>
      </c>
    </row>
    <row r="120">
      <c r="A120" s="80" t="s">
        <v>453</v>
      </c>
      <c r="B120" s="202">
        <v>2009.0</v>
      </c>
      <c r="C120" s="1149">
        <v>83300.0</v>
      </c>
      <c r="D120" s="103"/>
      <c r="E120" s="103"/>
      <c r="F120" s="104"/>
      <c r="G120" s="104"/>
      <c r="H120" s="104" t="s">
        <v>689</v>
      </c>
      <c r="I120" s="401" t="s">
        <v>968</v>
      </c>
    </row>
    <row r="121">
      <c r="A121" s="80" t="s">
        <v>505</v>
      </c>
      <c r="B121" s="202">
        <v>2017.0</v>
      </c>
      <c r="C121" s="1148">
        <v>82200.0</v>
      </c>
      <c r="D121" s="103"/>
      <c r="E121" s="103"/>
      <c r="F121" s="104"/>
      <c r="G121" s="104"/>
      <c r="H121" s="104"/>
      <c r="I121" s="401" t="s">
        <v>968</v>
      </c>
    </row>
    <row r="122">
      <c r="A122" s="80" t="s">
        <v>506</v>
      </c>
      <c r="B122" s="202">
        <v>2019.0</v>
      </c>
      <c r="C122" s="1148">
        <v>82000.0</v>
      </c>
      <c r="D122" s="103"/>
      <c r="E122" s="103"/>
      <c r="F122" s="104"/>
      <c r="G122" s="104"/>
      <c r="H122" s="104" t="s">
        <v>689</v>
      </c>
      <c r="I122" s="401" t="s">
        <v>968</v>
      </c>
    </row>
    <row r="123">
      <c r="A123" s="80" t="s">
        <v>543</v>
      </c>
      <c r="B123" s="202">
        <v>2008.0</v>
      </c>
      <c r="C123" s="1149">
        <v>80100.0</v>
      </c>
      <c r="D123" s="103"/>
      <c r="E123" s="103"/>
      <c r="F123" s="104"/>
      <c r="G123" s="104"/>
      <c r="H123" s="104"/>
      <c r="I123" s="401" t="s">
        <v>968</v>
      </c>
    </row>
    <row r="124">
      <c r="A124" s="164" t="s">
        <v>548</v>
      </c>
      <c r="B124" s="280">
        <v>2013.0</v>
      </c>
      <c r="C124" s="1150">
        <v>83300.0</v>
      </c>
      <c r="D124" s="223"/>
      <c r="E124" s="223"/>
      <c r="F124" s="168"/>
      <c r="G124" s="168"/>
      <c r="H124" s="168" t="s">
        <v>689</v>
      </c>
      <c r="I124" s="324" t="s">
        <v>968</v>
      </c>
    </row>
    <row r="125">
      <c r="A125" s="404" t="s">
        <v>993</v>
      </c>
      <c r="B125" s="202">
        <v>2023.0</v>
      </c>
      <c r="C125" s="1045">
        <v>86700.0</v>
      </c>
      <c r="D125" s="256"/>
      <c r="E125" s="256" t="s">
        <v>706</v>
      </c>
      <c r="F125" s="150"/>
      <c r="G125" s="150"/>
      <c r="H125" s="150" t="s">
        <v>666</v>
      </c>
      <c r="I125" s="321" t="s">
        <v>994</v>
      </c>
    </row>
    <row r="126">
      <c r="A126" s="404" t="s">
        <v>247</v>
      </c>
      <c r="B126" s="202">
        <v>2020.0</v>
      </c>
      <c r="C126" s="1045">
        <v>83000.0</v>
      </c>
      <c r="D126" s="149"/>
      <c r="E126" s="149"/>
      <c r="F126" s="150"/>
      <c r="G126" s="150"/>
      <c r="H126" s="150" t="s">
        <v>689</v>
      </c>
      <c r="I126" s="401" t="s">
        <v>994</v>
      </c>
    </row>
    <row r="127">
      <c r="A127" s="404" t="s">
        <v>472</v>
      </c>
      <c r="B127" s="101">
        <v>42535.0</v>
      </c>
      <c r="C127" s="1045">
        <v>84000.0</v>
      </c>
      <c r="D127" s="256"/>
      <c r="E127" s="256" t="s">
        <v>706</v>
      </c>
      <c r="F127" s="150"/>
      <c r="G127" s="150"/>
      <c r="H127" s="150"/>
      <c r="I127" s="401" t="s">
        <v>994</v>
      </c>
    </row>
    <row r="128">
      <c r="A128" s="80" t="s">
        <v>496</v>
      </c>
      <c r="B128" s="148">
        <v>2020.0</v>
      </c>
      <c r="C128" s="1045">
        <v>82416.0</v>
      </c>
      <c r="D128" s="103"/>
      <c r="E128" s="103"/>
      <c r="F128" s="104"/>
      <c r="G128" s="104"/>
      <c r="H128" s="104" t="s">
        <v>689</v>
      </c>
      <c r="I128" s="401" t="s">
        <v>994</v>
      </c>
    </row>
    <row r="129">
      <c r="A129" s="473" t="s">
        <v>532</v>
      </c>
      <c r="B129" s="222">
        <v>42485.0</v>
      </c>
      <c r="C129" s="1101">
        <v>84000.0</v>
      </c>
      <c r="D129" s="223"/>
      <c r="E129" s="223"/>
      <c r="F129" s="168"/>
      <c r="G129" s="168"/>
      <c r="H129" s="168"/>
      <c r="I129" s="324" t="s">
        <v>994</v>
      </c>
    </row>
    <row r="130">
      <c r="A130" s="711" t="s">
        <v>1004</v>
      </c>
      <c r="B130" s="476">
        <v>42079.0</v>
      </c>
      <c r="C130" s="1063">
        <v>84000.0</v>
      </c>
      <c r="D130" s="175" t="s">
        <v>603</v>
      </c>
      <c r="E130" s="478"/>
      <c r="F130" s="479"/>
      <c r="G130" s="479"/>
      <c r="H130" s="479" t="s">
        <v>666</v>
      </c>
      <c r="I130" s="480" t="s">
        <v>1005</v>
      </c>
    </row>
    <row r="131">
      <c r="A131" s="73" t="s">
        <v>79</v>
      </c>
      <c r="B131" s="101">
        <v>41361.0</v>
      </c>
      <c r="C131" s="1045">
        <v>82000.0</v>
      </c>
      <c r="D131" s="149"/>
      <c r="E131" s="103"/>
      <c r="F131" s="104"/>
      <c r="G131" s="104"/>
      <c r="H131" s="104" t="s">
        <v>689</v>
      </c>
      <c r="I131" s="295" t="s">
        <v>1008</v>
      </c>
    </row>
    <row r="132">
      <c r="A132" s="274" t="s">
        <v>279</v>
      </c>
      <c r="B132" s="148">
        <v>2020.0</v>
      </c>
      <c r="C132" s="1045">
        <v>84000.0</v>
      </c>
      <c r="D132" s="256"/>
      <c r="E132" s="256"/>
      <c r="F132" s="150"/>
      <c r="G132" s="150"/>
      <c r="H132" s="150" t="s">
        <v>689</v>
      </c>
      <c r="I132" s="321" t="s">
        <v>1008</v>
      </c>
    </row>
    <row r="133">
      <c r="A133" s="1154" t="s">
        <v>308</v>
      </c>
      <c r="B133" s="101">
        <v>44007.0</v>
      </c>
      <c r="C133" s="1045">
        <v>84000.0</v>
      </c>
      <c r="D133" s="112"/>
      <c r="E133" s="112" t="s">
        <v>706</v>
      </c>
      <c r="F133" s="104"/>
      <c r="G133" s="104"/>
      <c r="H133" s="104" t="s">
        <v>689</v>
      </c>
      <c r="I133" s="401" t="s">
        <v>1008</v>
      </c>
    </row>
    <row r="134">
      <c r="A134" s="100" t="s">
        <v>306</v>
      </c>
      <c r="B134" s="183">
        <v>2023.0</v>
      </c>
      <c r="C134" s="1082">
        <v>93000.0</v>
      </c>
      <c r="D134" s="620"/>
      <c r="E134" s="620" t="s">
        <v>706</v>
      </c>
      <c r="F134" s="196"/>
      <c r="G134" s="196"/>
      <c r="H134" s="196" t="s">
        <v>666</v>
      </c>
      <c r="I134" s="401" t="s">
        <v>1008</v>
      </c>
    </row>
    <row r="135">
      <c r="A135" s="23" t="s">
        <v>334</v>
      </c>
      <c r="B135" s="148">
        <v>2013.0</v>
      </c>
      <c r="C135" s="1157">
        <v>82000.0</v>
      </c>
      <c r="D135" s="1144"/>
      <c r="E135" s="1144"/>
      <c r="F135" s="1158"/>
      <c r="G135" s="1158"/>
      <c r="H135" s="1158"/>
      <c r="I135" s="108" t="s">
        <v>1008</v>
      </c>
    </row>
    <row r="136">
      <c r="A136" s="147" t="s">
        <v>341</v>
      </c>
      <c r="B136" s="506">
        <v>2020.0</v>
      </c>
      <c r="C136" s="1045">
        <v>84000.0</v>
      </c>
      <c r="D136" s="103"/>
      <c r="E136" s="103"/>
      <c r="F136" s="104"/>
      <c r="G136" s="104"/>
      <c r="H136" s="104" t="s">
        <v>689</v>
      </c>
      <c r="I136" s="295" t="s">
        <v>1008</v>
      </c>
    </row>
    <row r="137">
      <c r="A137" s="80" t="s">
        <v>513</v>
      </c>
      <c r="B137" s="148">
        <v>2020.0</v>
      </c>
      <c r="C137" s="1045">
        <v>84000.0</v>
      </c>
      <c r="D137" s="103"/>
      <c r="E137" s="103"/>
      <c r="F137" s="104"/>
      <c r="G137" s="104"/>
      <c r="H137" s="104" t="s">
        <v>689</v>
      </c>
      <c r="I137" s="401" t="s">
        <v>1008</v>
      </c>
    </row>
    <row r="138">
      <c r="A138" s="100" t="s">
        <v>550</v>
      </c>
      <c r="B138" s="101">
        <v>39722.0</v>
      </c>
      <c r="C138" s="1045">
        <v>80186.0</v>
      </c>
      <c r="D138" s="103"/>
      <c r="E138" s="103"/>
      <c r="F138" s="104"/>
      <c r="G138" s="104"/>
      <c r="H138" s="104"/>
      <c r="I138" s="401" t="s">
        <v>1008</v>
      </c>
    </row>
    <row r="139">
      <c r="A139" s="164" t="s">
        <v>567</v>
      </c>
      <c r="B139" s="165">
        <v>2020.0</v>
      </c>
      <c r="C139" s="1101">
        <v>84000.0</v>
      </c>
      <c r="D139" s="175" t="s">
        <v>603</v>
      </c>
      <c r="E139" s="175"/>
      <c r="F139" s="168"/>
      <c r="G139" s="168"/>
      <c r="H139" s="168" t="s">
        <v>689</v>
      </c>
      <c r="I139" s="529" t="s">
        <v>1008</v>
      </c>
    </row>
    <row r="140">
      <c r="A140" s="515" t="s">
        <v>434</v>
      </c>
      <c r="B140" s="288">
        <v>42197.0</v>
      </c>
      <c r="C140" s="1098">
        <v>84000.0</v>
      </c>
      <c r="D140" s="233"/>
      <c r="E140" s="233"/>
      <c r="F140" s="234"/>
      <c r="G140" s="234"/>
      <c r="H140" s="234"/>
      <c r="I140" s="578" t="s">
        <v>3116</v>
      </c>
    </row>
    <row r="141">
      <c r="A141" s="164" t="s">
        <v>332</v>
      </c>
      <c r="B141" s="222">
        <v>43110.0</v>
      </c>
      <c r="C141" s="1101">
        <v>83000.0</v>
      </c>
      <c r="D141" s="223"/>
      <c r="E141" s="223"/>
      <c r="F141" s="168"/>
      <c r="G141" s="168"/>
      <c r="H141" s="168"/>
      <c r="I141" s="324" t="s">
        <v>3116</v>
      </c>
    </row>
    <row r="142">
      <c r="A142" s="274" t="s">
        <v>478</v>
      </c>
      <c r="B142" s="101">
        <v>42538.0</v>
      </c>
      <c r="C142" s="1045">
        <v>84000.0</v>
      </c>
      <c r="D142" s="112"/>
      <c r="E142" s="112" t="s">
        <v>706</v>
      </c>
      <c r="F142" s="150"/>
      <c r="G142" s="150"/>
      <c r="H142" s="150"/>
      <c r="I142" s="321" t="s">
        <v>1042</v>
      </c>
    </row>
    <row r="143">
      <c r="A143" s="1692" t="s">
        <v>479</v>
      </c>
      <c r="B143" s="101">
        <v>42472.0</v>
      </c>
      <c r="C143" s="1045">
        <v>84000.0</v>
      </c>
      <c r="D143" s="112"/>
      <c r="E143" s="112" t="s">
        <v>706</v>
      </c>
      <c r="F143" s="104"/>
      <c r="G143" s="104"/>
      <c r="H143" s="104"/>
      <c r="I143" s="464" t="s">
        <v>1042</v>
      </c>
    </row>
    <row r="144">
      <c r="A144" s="1692" t="s">
        <v>482</v>
      </c>
      <c r="B144" s="101">
        <v>42439.0</v>
      </c>
      <c r="C144" s="1045">
        <v>84000.0</v>
      </c>
      <c r="D144" s="112"/>
      <c r="E144" s="112" t="s">
        <v>706</v>
      </c>
      <c r="F144" s="104"/>
      <c r="G144" s="104"/>
      <c r="H144" s="104"/>
      <c r="I144" s="464" t="s">
        <v>1042</v>
      </c>
    </row>
    <row r="145">
      <c r="A145" s="100" t="s">
        <v>483</v>
      </c>
      <c r="B145" s="101">
        <v>42571.0</v>
      </c>
      <c r="C145" s="1045">
        <v>84000.0</v>
      </c>
      <c r="D145" s="112"/>
      <c r="E145" s="112" t="s">
        <v>706</v>
      </c>
      <c r="F145" s="104"/>
      <c r="G145" s="104"/>
      <c r="H145" s="104"/>
      <c r="I145" s="464" t="s">
        <v>1042</v>
      </c>
    </row>
    <row r="146">
      <c r="A146" s="80" t="s">
        <v>433</v>
      </c>
      <c r="B146" s="148">
        <v>2024.0</v>
      </c>
      <c r="C146" s="1045">
        <v>93000.0</v>
      </c>
      <c r="D146" s="112"/>
      <c r="E146" s="112" t="s">
        <v>706</v>
      </c>
      <c r="F146" s="104"/>
      <c r="G146" s="104"/>
      <c r="H146" s="104" t="s">
        <v>666</v>
      </c>
      <c r="I146" s="464" t="s">
        <v>1042</v>
      </c>
    </row>
    <row r="147">
      <c r="A147" s="100" t="s">
        <v>436</v>
      </c>
      <c r="B147" s="148">
        <v>2023.0</v>
      </c>
      <c r="C147" s="1045">
        <v>93000.0</v>
      </c>
      <c r="D147" s="112"/>
      <c r="E147" s="112" t="s">
        <v>706</v>
      </c>
      <c r="F147" s="104"/>
      <c r="G147" s="104"/>
      <c r="H147" s="104" t="s">
        <v>666</v>
      </c>
      <c r="I147" s="464" t="s">
        <v>1042</v>
      </c>
    </row>
    <row r="148">
      <c r="A148" s="274" t="s">
        <v>396</v>
      </c>
      <c r="B148" s="101">
        <v>42644.0</v>
      </c>
      <c r="C148" s="1082">
        <v>84000.0</v>
      </c>
      <c r="D148" s="149"/>
      <c r="E148" s="149"/>
      <c r="F148" s="150"/>
      <c r="G148" s="150"/>
      <c r="H148" s="150"/>
      <c r="I148" s="295" t="s">
        <v>1042</v>
      </c>
    </row>
    <row r="149">
      <c r="A149" s="80" t="s">
        <v>536</v>
      </c>
      <c r="B149" s="101">
        <v>42436.0</v>
      </c>
      <c r="C149" s="1045">
        <v>84000.0</v>
      </c>
      <c r="D149" s="103"/>
      <c r="E149" s="103"/>
      <c r="F149" s="104"/>
      <c r="G149" s="104"/>
      <c r="H149" s="104"/>
      <c r="I149" s="464" t="s">
        <v>1042</v>
      </c>
    </row>
    <row r="150">
      <c r="A150" s="164" t="s">
        <v>549</v>
      </c>
      <c r="B150" s="222">
        <v>42550.0</v>
      </c>
      <c r="C150" s="1101">
        <v>84000.0</v>
      </c>
      <c r="D150" s="223"/>
      <c r="E150" s="223"/>
      <c r="F150" s="168"/>
      <c r="G150" s="168"/>
      <c r="H150" s="168"/>
      <c r="I150" s="529" t="s">
        <v>1042</v>
      </c>
    </row>
    <row r="151">
      <c r="A151" s="375" t="s">
        <v>180</v>
      </c>
      <c r="B151" s="101">
        <v>42978.0</v>
      </c>
      <c r="C151" s="1045">
        <v>78700.0</v>
      </c>
      <c r="D151" s="112" t="s">
        <v>603</v>
      </c>
      <c r="E151" s="149"/>
      <c r="F151" s="150"/>
      <c r="G151" s="150"/>
      <c r="H151" s="150" t="s">
        <v>689</v>
      </c>
      <c r="I151" s="321" t="s">
        <v>1061</v>
      </c>
    </row>
    <row r="152">
      <c r="A152" s="396" t="s">
        <v>168</v>
      </c>
      <c r="B152" s="222">
        <v>42886.0</v>
      </c>
      <c r="C152" s="1101">
        <v>78700.0</v>
      </c>
      <c r="D152" s="175" t="s">
        <v>603</v>
      </c>
      <c r="E152" s="223"/>
      <c r="F152" s="168"/>
      <c r="G152" s="168"/>
      <c r="H152" s="168" t="s">
        <v>689</v>
      </c>
      <c r="I152" s="324" t="s">
        <v>1061</v>
      </c>
    </row>
    <row r="153">
      <c r="A153" s="341" t="s">
        <v>268</v>
      </c>
      <c r="B153" s="101">
        <v>39546.0</v>
      </c>
      <c r="C153" s="1045">
        <v>83783.0</v>
      </c>
      <c r="D153" s="149"/>
      <c r="E153" s="149"/>
      <c r="F153" s="150"/>
      <c r="G153" s="150"/>
      <c r="H153" s="150"/>
      <c r="I153" s="534" t="s">
        <v>1066</v>
      </c>
    </row>
    <row r="154">
      <c r="A154" s="537" t="s">
        <v>278</v>
      </c>
      <c r="B154" s="101">
        <v>39600.0</v>
      </c>
      <c r="C154" s="1045">
        <v>82000.0</v>
      </c>
      <c r="D154" s="103"/>
      <c r="E154" s="103"/>
      <c r="F154" s="104"/>
      <c r="G154" s="104"/>
      <c r="H154" s="104"/>
      <c r="I154" s="538" t="s">
        <v>1066</v>
      </c>
    </row>
    <row r="155">
      <c r="A155" s="537" t="s">
        <v>287</v>
      </c>
      <c r="B155" s="542">
        <v>39692.0</v>
      </c>
      <c r="C155" s="1045">
        <v>82791.0</v>
      </c>
      <c r="D155" s="543"/>
      <c r="E155" s="543"/>
      <c r="F155" s="104"/>
      <c r="G155" s="104"/>
      <c r="H155" s="104"/>
      <c r="I155" s="538" t="s">
        <v>1066</v>
      </c>
    </row>
    <row r="156">
      <c r="A156" s="342" t="s">
        <v>281</v>
      </c>
      <c r="B156" s="101">
        <v>39479.0</v>
      </c>
      <c r="C156" s="1045">
        <v>82000.0</v>
      </c>
      <c r="D156" s="103"/>
      <c r="E156" s="103"/>
      <c r="F156" s="104"/>
      <c r="G156" s="104"/>
      <c r="H156" s="104"/>
      <c r="I156" s="538" t="s">
        <v>1066</v>
      </c>
    </row>
    <row r="157">
      <c r="A157" s="80" t="s">
        <v>487</v>
      </c>
      <c r="B157" s="101">
        <v>41518.0</v>
      </c>
      <c r="C157" s="1045">
        <v>84000.0</v>
      </c>
      <c r="D157" s="103"/>
      <c r="E157" s="103"/>
      <c r="F157" s="103"/>
      <c r="G157" s="103"/>
      <c r="H157" s="103"/>
      <c r="I157" s="538" t="s">
        <v>1066</v>
      </c>
    </row>
    <row r="158">
      <c r="A158" s="80" t="s">
        <v>488</v>
      </c>
      <c r="B158" s="542">
        <v>41773.0</v>
      </c>
      <c r="C158" s="1045">
        <v>84000.0</v>
      </c>
      <c r="D158" s="103"/>
      <c r="E158" s="103"/>
      <c r="F158" s="544"/>
      <c r="G158" s="544"/>
      <c r="H158" s="544"/>
      <c r="I158" s="545" t="s">
        <v>1066</v>
      </c>
    </row>
    <row r="159">
      <c r="A159" s="100" t="s">
        <v>503</v>
      </c>
      <c r="B159" s="189">
        <v>37530.0</v>
      </c>
      <c r="C159" s="1045">
        <v>82200.0</v>
      </c>
      <c r="D159" s="103"/>
      <c r="E159" s="103"/>
      <c r="F159" s="104"/>
      <c r="G159" s="104"/>
      <c r="H159" s="104"/>
      <c r="I159" s="538" t="s">
        <v>1066</v>
      </c>
    </row>
    <row r="160">
      <c r="A160" s="546" t="s">
        <v>575</v>
      </c>
      <c r="B160" s="222">
        <v>39539.0</v>
      </c>
      <c r="C160" s="1101">
        <v>82500.0</v>
      </c>
      <c r="D160" s="223"/>
      <c r="E160" s="223"/>
      <c r="F160" s="168"/>
      <c r="G160" s="168"/>
      <c r="H160" s="168" t="s">
        <v>689</v>
      </c>
      <c r="I160" s="547" t="s">
        <v>1066</v>
      </c>
    </row>
    <row r="161">
      <c r="A161" s="274" t="s">
        <v>354</v>
      </c>
      <c r="B161" s="441">
        <v>2023.0</v>
      </c>
      <c r="C161" s="1171">
        <v>93000.0</v>
      </c>
      <c r="D161" s="149"/>
      <c r="E161" s="149"/>
      <c r="F161" s="150"/>
      <c r="G161" s="150"/>
      <c r="H161" s="150" t="s">
        <v>666</v>
      </c>
      <c r="I161" s="321" t="s">
        <v>1080</v>
      </c>
    </row>
    <row r="162">
      <c r="A162" s="80" t="s">
        <v>379</v>
      </c>
      <c r="B162" s="441">
        <v>2023.0</v>
      </c>
      <c r="C162" s="1171">
        <v>93000.0</v>
      </c>
      <c r="D162" s="149"/>
      <c r="E162" s="103"/>
      <c r="F162" s="104"/>
      <c r="G162" s="104"/>
      <c r="H162" s="104" t="s">
        <v>666</v>
      </c>
      <c r="I162" s="401" t="s">
        <v>1080</v>
      </c>
    </row>
    <row r="163">
      <c r="A163" s="80" t="s">
        <v>381</v>
      </c>
      <c r="B163" s="441">
        <v>2023.0</v>
      </c>
      <c r="C163" s="1171">
        <v>93000.0</v>
      </c>
      <c r="D163" s="149"/>
      <c r="E163" s="103"/>
      <c r="F163" s="104"/>
      <c r="G163" s="104"/>
      <c r="H163" s="104" t="s">
        <v>666</v>
      </c>
      <c r="I163" s="401" t="s">
        <v>1080</v>
      </c>
    </row>
    <row r="164">
      <c r="A164" s="80" t="s">
        <v>352</v>
      </c>
      <c r="B164" s="441">
        <v>2024.0</v>
      </c>
      <c r="C164" s="1171">
        <v>93000.0</v>
      </c>
      <c r="D164" s="149"/>
      <c r="E164" s="103"/>
      <c r="F164" s="104"/>
      <c r="G164" s="104"/>
      <c r="H164" s="104" t="s">
        <v>666</v>
      </c>
      <c r="I164" s="401" t="s">
        <v>1080</v>
      </c>
    </row>
    <row r="165">
      <c r="A165" s="100" t="s">
        <v>367</v>
      </c>
      <c r="B165" s="550">
        <v>2023.0</v>
      </c>
      <c r="C165" s="1045">
        <v>93000.0</v>
      </c>
      <c r="D165" s="149"/>
      <c r="E165" s="103"/>
      <c r="F165" s="104"/>
      <c r="G165" s="104"/>
      <c r="H165" s="104" t="s">
        <v>666</v>
      </c>
      <c r="I165" s="295" t="s">
        <v>1080</v>
      </c>
    </row>
    <row r="166">
      <c r="A166" s="80" t="s">
        <v>366</v>
      </c>
      <c r="B166" s="441">
        <v>2024.0</v>
      </c>
      <c r="C166" s="1171">
        <v>93000.0</v>
      </c>
      <c r="D166" s="149"/>
      <c r="E166" s="103"/>
      <c r="F166" s="104"/>
      <c r="G166" s="104"/>
      <c r="H166" s="104" t="s">
        <v>666</v>
      </c>
      <c r="I166" s="401" t="s">
        <v>1080</v>
      </c>
    </row>
    <row r="167">
      <c r="A167" s="557" t="s">
        <v>512</v>
      </c>
      <c r="B167" s="442">
        <v>2020.0</v>
      </c>
      <c r="C167" s="1171">
        <v>84000.0</v>
      </c>
      <c r="D167" s="558"/>
      <c r="E167" s="558"/>
      <c r="F167" s="559"/>
      <c r="G167" s="559"/>
      <c r="H167" s="559" t="s">
        <v>689</v>
      </c>
      <c r="I167" s="208" t="s">
        <v>1080</v>
      </c>
    </row>
    <row r="168">
      <c r="A168" s="100" t="s">
        <v>3159</v>
      </c>
      <c r="B168" s="561">
        <v>42429.0</v>
      </c>
      <c r="C168" s="1193">
        <v>84000.0</v>
      </c>
      <c r="D168" s="103"/>
      <c r="E168" s="103"/>
      <c r="F168" s="1693"/>
      <c r="G168" s="514"/>
      <c r="H168" s="1693"/>
      <c r="I168" s="185" t="s">
        <v>1080</v>
      </c>
    </row>
    <row r="169">
      <c r="A169" s="274" t="s">
        <v>533</v>
      </c>
      <c r="B169" s="101">
        <v>42384.0</v>
      </c>
      <c r="C169" s="1045">
        <v>84000.0</v>
      </c>
      <c r="D169" s="149"/>
      <c r="E169" s="149"/>
      <c r="F169" s="150"/>
      <c r="G169" s="150"/>
      <c r="H169" s="150"/>
      <c r="I169" s="497" t="s">
        <v>1080</v>
      </c>
    </row>
    <row r="170">
      <c r="A170" s="455" t="s">
        <v>407</v>
      </c>
      <c r="B170" s="553">
        <v>2016.0</v>
      </c>
      <c r="C170" s="1171">
        <v>84000.0</v>
      </c>
      <c r="D170" s="409"/>
      <c r="E170" s="409"/>
      <c r="F170" s="207"/>
      <c r="G170" s="207"/>
      <c r="H170" s="207"/>
      <c r="I170" s="208" t="s">
        <v>1080</v>
      </c>
    </row>
    <row r="171">
      <c r="A171" s="515" t="s">
        <v>538</v>
      </c>
      <c r="B171" s="231">
        <v>2016.0</v>
      </c>
      <c r="C171" s="1098">
        <v>84000.0</v>
      </c>
      <c r="D171" s="1694"/>
      <c r="E171" s="1694"/>
      <c r="F171" s="1695"/>
      <c r="G171" s="1696"/>
      <c r="H171" s="1695"/>
      <c r="I171" s="1697" t="s">
        <v>1112</v>
      </c>
    </row>
    <row r="172">
      <c r="A172" s="359" t="s">
        <v>3190</v>
      </c>
      <c r="B172" s="572">
        <v>2016.0</v>
      </c>
      <c r="C172" s="1195">
        <v>84000.0</v>
      </c>
      <c r="D172" s="374"/>
      <c r="E172" s="374"/>
      <c r="F172" s="282"/>
      <c r="G172" s="282"/>
      <c r="H172" s="282"/>
      <c r="I172" s="573" t="s">
        <v>1112</v>
      </c>
    </row>
    <row r="173">
      <c r="A173" s="515" t="s">
        <v>294</v>
      </c>
      <c r="B173" s="231">
        <v>2022.0</v>
      </c>
      <c r="C173" s="1098">
        <v>91000.0</v>
      </c>
      <c r="D173" s="233"/>
      <c r="E173" s="233"/>
      <c r="F173" s="577"/>
      <c r="G173" s="577"/>
      <c r="H173" s="577" t="s">
        <v>1115</v>
      </c>
      <c r="I173" s="578" t="s">
        <v>1116</v>
      </c>
    </row>
    <row r="174">
      <c r="A174" s="473" t="s">
        <v>311</v>
      </c>
      <c r="B174" s="222">
        <v>40961.0</v>
      </c>
      <c r="C174" s="1101">
        <v>78000.0</v>
      </c>
      <c r="D174" s="223"/>
      <c r="E174" s="223"/>
      <c r="F174" s="168"/>
      <c r="G174" s="168"/>
      <c r="H174" s="168" t="s">
        <v>689</v>
      </c>
      <c r="I174" s="324" t="s">
        <v>1116</v>
      </c>
    </row>
    <row r="175">
      <c r="A175" s="341" t="s">
        <v>1122</v>
      </c>
      <c r="B175" s="101">
        <v>42062.0</v>
      </c>
      <c r="C175" s="1045">
        <v>84000.0</v>
      </c>
      <c r="D175" s="149"/>
      <c r="E175" s="149"/>
      <c r="F175" s="150"/>
      <c r="G175" s="150"/>
      <c r="H175" s="150" t="s">
        <v>689</v>
      </c>
      <c r="I175" s="315" t="s">
        <v>1123</v>
      </c>
    </row>
    <row r="176">
      <c r="A176" s="341" t="s">
        <v>1127</v>
      </c>
      <c r="B176" s="101">
        <v>42202.0</v>
      </c>
      <c r="C176" s="1045">
        <v>83000.0</v>
      </c>
      <c r="D176" s="103"/>
      <c r="E176" s="103"/>
      <c r="F176" s="104"/>
      <c r="G176" s="104"/>
      <c r="H176" s="104" t="s">
        <v>689</v>
      </c>
      <c r="I176" s="295" t="s">
        <v>1123</v>
      </c>
    </row>
    <row r="177">
      <c r="A177" s="80" t="s">
        <v>189</v>
      </c>
      <c r="B177" s="101">
        <v>42248.0</v>
      </c>
      <c r="C177" s="1045">
        <v>84000.0</v>
      </c>
      <c r="D177" s="112" t="s">
        <v>603</v>
      </c>
      <c r="E177" s="103"/>
      <c r="F177" s="104"/>
      <c r="G177" s="104"/>
      <c r="H177" s="104"/>
      <c r="I177" s="401" t="s">
        <v>1123</v>
      </c>
    </row>
    <row r="178">
      <c r="A178" s="473" t="s">
        <v>292</v>
      </c>
      <c r="B178" s="222">
        <v>43084.0</v>
      </c>
      <c r="C178" s="1101">
        <v>85000.0</v>
      </c>
      <c r="D178" s="175"/>
      <c r="E178" s="175" t="s">
        <v>706</v>
      </c>
      <c r="F178" s="168"/>
      <c r="G178" s="168"/>
      <c r="H178" s="168" t="s">
        <v>666</v>
      </c>
      <c r="I178" s="529" t="s">
        <v>1123</v>
      </c>
    </row>
    <row r="179">
      <c r="A179" s="341" t="s">
        <v>475</v>
      </c>
      <c r="B179" s="101">
        <v>42583.0</v>
      </c>
      <c r="C179" s="1045">
        <v>84000.0</v>
      </c>
      <c r="D179" s="149"/>
      <c r="E179" s="149" t="s">
        <v>706</v>
      </c>
      <c r="F179" s="150"/>
      <c r="G179" s="150"/>
      <c r="H179" s="150"/>
      <c r="I179" s="315" t="s">
        <v>1134</v>
      </c>
    </row>
    <row r="180">
      <c r="A180" s="341" t="s">
        <v>477</v>
      </c>
      <c r="B180" s="101">
        <v>42887.0</v>
      </c>
      <c r="C180" s="1045">
        <v>84000.0</v>
      </c>
      <c r="D180" s="103"/>
      <c r="E180" s="103" t="s">
        <v>706</v>
      </c>
      <c r="F180" s="104"/>
      <c r="G180" s="104"/>
      <c r="H180" s="104"/>
      <c r="I180" s="295" t="s">
        <v>1134</v>
      </c>
    </row>
    <row r="181">
      <c r="A181" s="1185" t="s">
        <v>573</v>
      </c>
      <c r="B181" s="101">
        <v>42985.0</v>
      </c>
      <c r="C181" s="1045">
        <v>78700.0</v>
      </c>
      <c r="D181" s="112" t="s">
        <v>603</v>
      </c>
      <c r="E181" s="103"/>
      <c r="F181" s="104"/>
      <c r="G181" s="104"/>
      <c r="H181" s="104"/>
      <c r="I181" s="295" t="s">
        <v>5820</v>
      </c>
    </row>
    <row r="182">
      <c r="A182" s="546" t="s">
        <v>458</v>
      </c>
      <c r="B182" s="222">
        <v>42249.0</v>
      </c>
      <c r="C182" s="1101">
        <v>84000.0</v>
      </c>
      <c r="D182" s="223"/>
      <c r="E182" s="223"/>
      <c r="F182" s="168"/>
      <c r="G182" s="168"/>
      <c r="H182" s="168"/>
      <c r="I182" s="324" t="s">
        <v>1134</v>
      </c>
    </row>
    <row r="183">
      <c r="A183" s="274" t="s">
        <v>243</v>
      </c>
      <c r="B183" s="101">
        <v>39888.0</v>
      </c>
      <c r="C183" s="1045">
        <v>82000.0</v>
      </c>
      <c r="D183" s="112" t="s">
        <v>603</v>
      </c>
      <c r="E183" s="149"/>
      <c r="F183" s="150"/>
      <c r="G183" s="150"/>
      <c r="H183" s="150" t="s">
        <v>689</v>
      </c>
      <c r="I183" s="321" t="s">
        <v>1144</v>
      </c>
    </row>
    <row r="184">
      <c r="A184" s="473" t="s">
        <v>577</v>
      </c>
      <c r="B184" s="222">
        <v>39845.0</v>
      </c>
      <c r="C184" s="1101">
        <v>82000.0</v>
      </c>
      <c r="D184" s="223"/>
      <c r="E184" s="223"/>
      <c r="F184" s="168"/>
      <c r="G184" s="168"/>
      <c r="H184" s="168"/>
      <c r="I184" s="324" t="s">
        <v>1144</v>
      </c>
    </row>
    <row r="185">
      <c r="A185" s="147" t="s">
        <v>1150</v>
      </c>
      <c r="B185" s="101">
        <v>40512.0</v>
      </c>
      <c r="C185" s="1045">
        <v>83298.0</v>
      </c>
      <c r="D185" s="149"/>
      <c r="E185" s="149"/>
      <c r="F185" s="150"/>
      <c r="G185" s="150"/>
      <c r="H185" s="150"/>
      <c r="I185" s="321" t="s">
        <v>1151</v>
      </c>
    </row>
    <row r="186">
      <c r="A186" s="100" t="s">
        <v>3175</v>
      </c>
      <c r="B186" s="1698">
        <v>38687.0</v>
      </c>
      <c r="C186" s="1045">
        <v>78913.0</v>
      </c>
      <c r="D186" s="103"/>
      <c r="E186" s="103"/>
      <c r="F186" s="104"/>
      <c r="G186" s="104"/>
      <c r="H186" s="104"/>
      <c r="I186" s="401" t="s">
        <v>1151</v>
      </c>
    </row>
    <row r="187">
      <c r="A187" s="80" t="s">
        <v>250</v>
      </c>
      <c r="B187" s="101">
        <v>41450.0</v>
      </c>
      <c r="C187" s="1045">
        <v>82000.0</v>
      </c>
      <c r="D187" s="103"/>
      <c r="E187" s="103"/>
      <c r="F187" s="104"/>
      <c r="G187" s="104"/>
      <c r="H187" s="104"/>
      <c r="I187" s="401" t="s">
        <v>1151</v>
      </c>
    </row>
    <row r="188">
      <c r="A188" s="100" t="s">
        <v>253</v>
      </c>
      <c r="B188" s="101">
        <v>43102.0</v>
      </c>
      <c r="C188" s="1045">
        <v>84000.0</v>
      </c>
      <c r="D188" s="103"/>
      <c r="E188" s="103"/>
      <c r="F188" s="104"/>
      <c r="G188" s="104"/>
      <c r="H188" s="104" t="s">
        <v>689</v>
      </c>
      <c r="I188" s="401" t="s">
        <v>1151</v>
      </c>
    </row>
    <row r="189">
      <c r="A189" s="100" t="s">
        <v>254</v>
      </c>
      <c r="B189" s="101">
        <v>39736.0</v>
      </c>
      <c r="C189" s="1045">
        <v>82200.0</v>
      </c>
      <c r="D189" s="103"/>
      <c r="E189" s="103"/>
      <c r="F189" s="104"/>
      <c r="G189" s="104"/>
      <c r="H189" s="104"/>
      <c r="I189" s="401" t="s">
        <v>1151</v>
      </c>
    </row>
    <row r="190">
      <c r="A190" s="100" t="s">
        <v>255</v>
      </c>
      <c r="B190" s="101">
        <v>41527.0</v>
      </c>
      <c r="C190" s="1045">
        <v>82000.0</v>
      </c>
      <c r="D190" s="103"/>
      <c r="E190" s="103"/>
      <c r="F190" s="104"/>
      <c r="G190" s="104"/>
      <c r="H190" s="104"/>
      <c r="I190" s="401" t="s">
        <v>1151</v>
      </c>
    </row>
    <row r="191">
      <c r="A191" s="100" t="s">
        <v>256</v>
      </c>
      <c r="B191" s="148">
        <v>2018.0</v>
      </c>
      <c r="C191" s="1045">
        <v>84000.0</v>
      </c>
      <c r="D191" s="103"/>
      <c r="E191" s="103"/>
      <c r="F191" s="104"/>
      <c r="G191" s="104"/>
      <c r="H191" s="104" t="s">
        <v>689</v>
      </c>
      <c r="I191" s="401" t="s">
        <v>1151</v>
      </c>
    </row>
    <row r="192">
      <c r="A192" s="473" t="s">
        <v>252</v>
      </c>
      <c r="B192" s="222">
        <v>41353.0</v>
      </c>
      <c r="C192" s="1101">
        <v>82000.0</v>
      </c>
      <c r="D192" s="223"/>
      <c r="E192" s="223"/>
      <c r="F192" s="168"/>
      <c r="G192" s="168"/>
      <c r="H192" s="168" t="s">
        <v>689</v>
      </c>
      <c r="I192" s="463" t="s">
        <v>1151</v>
      </c>
    </row>
    <row r="193">
      <c r="A193" s="359" t="s">
        <v>163</v>
      </c>
      <c r="B193" s="222">
        <v>42377.0</v>
      </c>
      <c r="C193" s="1101">
        <v>83000.0</v>
      </c>
      <c r="D193" s="358"/>
      <c r="E193" s="358" t="s">
        <v>706</v>
      </c>
      <c r="F193" s="282"/>
      <c r="G193" s="282"/>
      <c r="H193" s="282" t="s">
        <v>689</v>
      </c>
      <c r="I193" s="363" t="s">
        <v>3184</v>
      </c>
    </row>
    <row r="194">
      <c r="A194" s="359" t="s">
        <v>484</v>
      </c>
      <c r="B194" s="360">
        <v>2022.0</v>
      </c>
      <c r="C194" s="1089">
        <v>90000.0</v>
      </c>
      <c r="D194" s="361"/>
      <c r="E194" s="361"/>
      <c r="F194" s="362"/>
      <c r="G194" s="362"/>
      <c r="H194" s="362" t="s">
        <v>666</v>
      </c>
      <c r="I194" s="363" t="s">
        <v>1170</v>
      </c>
    </row>
    <row r="195">
      <c r="A195" s="258" t="s">
        <v>515</v>
      </c>
      <c r="B195" s="189">
        <v>36465.0</v>
      </c>
      <c r="C195" s="1045">
        <v>84000.0</v>
      </c>
      <c r="D195" s="503"/>
      <c r="E195" s="503"/>
      <c r="F195" s="150"/>
      <c r="G195" s="150"/>
      <c r="H195" s="150"/>
      <c r="I195" s="289" t="s">
        <v>1174</v>
      </c>
    </row>
    <row r="196">
      <c r="A196" s="359" t="s">
        <v>219</v>
      </c>
      <c r="B196" s="595">
        <v>36801.0</v>
      </c>
      <c r="C196" s="1101">
        <v>84310.0</v>
      </c>
      <c r="D196" s="374"/>
      <c r="E196" s="374"/>
      <c r="F196" s="282"/>
      <c r="G196" s="282"/>
      <c r="H196" s="282"/>
      <c r="I196" s="363" t="s">
        <v>1174</v>
      </c>
    </row>
    <row r="197">
      <c r="A197" s="404" t="s">
        <v>224</v>
      </c>
      <c r="B197" s="600">
        <v>40848.0</v>
      </c>
      <c r="C197" s="1249">
        <v>78599.89</v>
      </c>
      <c r="D197" s="149"/>
      <c r="E197" s="149"/>
      <c r="F197" s="150"/>
      <c r="G197" s="150"/>
      <c r="H197" s="150"/>
      <c r="I197" s="153" t="s">
        <v>1179</v>
      </c>
    </row>
    <row r="198">
      <c r="A198" s="100" t="s">
        <v>267</v>
      </c>
      <c r="B198" s="506">
        <v>2008.0</v>
      </c>
      <c r="C198" s="1056">
        <v>82200.0</v>
      </c>
      <c r="D198" s="103"/>
      <c r="E198" s="103"/>
      <c r="F198" s="104"/>
      <c r="G198" s="104"/>
      <c r="H198" s="104"/>
      <c r="I198" s="108" t="s">
        <v>1179</v>
      </c>
    </row>
    <row r="199">
      <c r="A199" s="100" t="s">
        <v>460</v>
      </c>
      <c r="B199" s="506">
        <v>2023.0</v>
      </c>
      <c r="C199" s="1056">
        <v>91000.0</v>
      </c>
      <c r="D199" s="103"/>
      <c r="E199" s="103"/>
      <c r="F199" s="104"/>
      <c r="G199" s="104"/>
      <c r="H199" s="104" t="s">
        <v>666</v>
      </c>
      <c r="I199" s="108" t="s">
        <v>1179</v>
      </c>
    </row>
    <row r="200">
      <c r="A200" s="100" t="s">
        <v>425</v>
      </c>
      <c r="B200" s="101">
        <v>39783.0</v>
      </c>
      <c r="C200" s="1083">
        <v>78000.0</v>
      </c>
      <c r="D200" s="103"/>
      <c r="E200" s="103"/>
      <c r="F200" s="104"/>
      <c r="G200" s="104"/>
      <c r="H200" s="104"/>
      <c r="I200" s="108" t="s">
        <v>1179</v>
      </c>
    </row>
    <row r="201">
      <c r="A201" s="100" t="s">
        <v>491</v>
      </c>
      <c r="B201" s="506">
        <v>2024.0</v>
      </c>
      <c r="C201" s="1056">
        <v>91000.0</v>
      </c>
      <c r="D201" s="103"/>
      <c r="E201" s="103"/>
      <c r="F201" s="104"/>
      <c r="G201" s="104"/>
      <c r="H201" s="104" t="s">
        <v>666</v>
      </c>
      <c r="I201" s="108" t="s">
        <v>1179</v>
      </c>
    </row>
    <row r="202">
      <c r="A202" s="100" t="s">
        <v>493</v>
      </c>
      <c r="B202" s="506">
        <v>2024.0</v>
      </c>
      <c r="C202" s="1056">
        <v>91000.0</v>
      </c>
      <c r="D202" s="103"/>
      <c r="E202" s="103"/>
      <c r="F202" s="104"/>
      <c r="G202" s="104"/>
      <c r="H202" s="104" t="s">
        <v>666</v>
      </c>
      <c r="I202" s="108" t="s">
        <v>1179</v>
      </c>
    </row>
    <row r="203">
      <c r="A203" s="473" t="s">
        <v>581</v>
      </c>
      <c r="B203" s="610">
        <v>2002.0</v>
      </c>
      <c r="C203" s="1195">
        <v>78929.0</v>
      </c>
      <c r="D203" s="223"/>
      <c r="E203" s="223"/>
      <c r="F203" s="168"/>
      <c r="G203" s="168"/>
      <c r="H203" s="168"/>
      <c r="I203" s="172" t="s">
        <v>1179</v>
      </c>
    </row>
    <row r="204">
      <c r="A204" s="258" t="s">
        <v>39</v>
      </c>
      <c r="B204" s="101">
        <v>41817.0</v>
      </c>
      <c r="C204" s="1045">
        <v>84000.0</v>
      </c>
      <c r="D204" s="503"/>
      <c r="E204" s="503"/>
      <c r="F204" s="150"/>
      <c r="G204" s="150"/>
      <c r="H204" s="150"/>
      <c r="I204" s="611" t="s">
        <v>1201</v>
      </c>
    </row>
    <row r="205">
      <c r="A205" s="147" t="s">
        <v>1204</v>
      </c>
      <c r="B205" s="101">
        <v>42717.0</v>
      </c>
      <c r="C205" s="1045">
        <v>84000.0</v>
      </c>
      <c r="D205" s="103"/>
      <c r="E205" s="103"/>
      <c r="F205" s="104"/>
      <c r="G205" s="104"/>
      <c r="H205" s="104"/>
      <c r="I205" s="299" t="s">
        <v>1201</v>
      </c>
    </row>
    <row r="206">
      <c r="A206" s="613" t="s">
        <v>1208</v>
      </c>
      <c r="B206" s="222">
        <v>42886.0</v>
      </c>
      <c r="C206" s="1101">
        <v>84000.0</v>
      </c>
      <c r="D206" s="307"/>
      <c r="E206" s="307"/>
      <c r="F206" s="168"/>
      <c r="G206" s="168"/>
      <c r="H206" s="168"/>
      <c r="I206" s="614" t="s">
        <v>1201</v>
      </c>
    </row>
    <row r="207">
      <c r="A207" s="124" t="s">
        <v>1211</v>
      </c>
      <c r="B207" s="101">
        <v>42121.0</v>
      </c>
      <c r="C207" s="1045">
        <v>84000.0</v>
      </c>
      <c r="D207" s="103"/>
      <c r="E207" s="103"/>
      <c r="F207" s="104"/>
      <c r="G207" s="104"/>
      <c r="H207" s="104" t="s">
        <v>666</v>
      </c>
      <c r="I207" s="329" t="s">
        <v>1212</v>
      </c>
    </row>
    <row r="208">
      <c r="A208" s="271" t="s">
        <v>1215</v>
      </c>
      <c r="B208" s="148">
        <v>2022.0</v>
      </c>
      <c r="C208" s="1045">
        <v>91000.0</v>
      </c>
      <c r="D208" s="256"/>
      <c r="E208" s="256" t="s">
        <v>706</v>
      </c>
      <c r="F208" s="150"/>
      <c r="G208" s="150"/>
      <c r="H208" s="150" t="s">
        <v>666</v>
      </c>
      <c r="I208" s="329" t="s">
        <v>1212</v>
      </c>
    </row>
    <row r="209">
      <c r="A209" s="100" t="s">
        <v>231</v>
      </c>
      <c r="B209" s="148">
        <v>2022.0</v>
      </c>
      <c r="C209" s="1045">
        <v>91000.0</v>
      </c>
      <c r="D209" s="103"/>
      <c r="E209" s="103"/>
      <c r="F209" s="104"/>
      <c r="G209" s="104"/>
      <c r="H209" s="104" t="s">
        <v>666</v>
      </c>
      <c r="I209" s="332" t="s">
        <v>1212</v>
      </c>
    </row>
    <row r="210">
      <c r="A210" s="100" t="s">
        <v>359</v>
      </c>
      <c r="B210" s="101">
        <v>42377.0</v>
      </c>
      <c r="C210" s="1045">
        <v>84000.0</v>
      </c>
      <c r="D210" s="103"/>
      <c r="E210" s="103"/>
      <c r="F210" s="104"/>
      <c r="G210" s="104"/>
      <c r="H210" s="104"/>
      <c r="I210" s="332" t="s">
        <v>1212</v>
      </c>
    </row>
    <row r="211">
      <c r="A211" s="341" t="s">
        <v>362</v>
      </c>
      <c r="B211" s="101">
        <v>42339.0</v>
      </c>
      <c r="C211" s="1045">
        <v>84000.0</v>
      </c>
      <c r="D211" s="103"/>
      <c r="E211" s="103"/>
      <c r="F211" s="104"/>
      <c r="G211" s="104"/>
      <c r="H211" s="104"/>
      <c r="I211" s="332" t="s">
        <v>1212</v>
      </c>
    </row>
    <row r="212">
      <c r="A212" s="164" t="s">
        <v>420</v>
      </c>
      <c r="B212" s="165">
        <v>2019.0</v>
      </c>
      <c r="C212" s="1101">
        <v>83000.0</v>
      </c>
      <c r="D212" s="223"/>
      <c r="E212" s="223"/>
      <c r="F212" s="168"/>
      <c r="G212" s="168"/>
      <c r="H212" s="168"/>
      <c r="I212" s="397" t="s">
        <v>1212</v>
      </c>
    </row>
    <row r="213">
      <c r="A213" s="617" t="s">
        <v>85</v>
      </c>
      <c r="B213" s="231">
        <v>2021.0</v>
      </c>
      <c r="C213" s="1098">
        <v>91000.0</v>
      </c>
      <c r="D213" s="292"/>
      <c r="E213" s="292" t="s">
        <v>706</v>
      </c>
      <c r="F213" s="234"/>
      <c r="G213" s="234"/>
      <c r="H213" s="234" t="s">
        <v>666</v>
      </c>
      <c r="I213" s="578" t="s">
        <v>1227</v>
      </c>
    </row>
    <row r="214">
      <c r="A214" s="80" t="s">
        <v>206</v>
      </c>
      <c r="B214" s="148">
        <v>2025.0</v>
      </c>
      <c r="C214" s="1045">
        <v>86700.0</v>
      </c>
      <c r="D214" s="103"/>
      <c r="E214" s="103"/>
      <c r="F214" s="104"/>
      <c r="G214" s="104"/>
      <c r="H214" s="104" t="s">
        <v>666</v>
      </c>
      <c r="I214" s="401" t="s">
        <v>1227</v>
      </c>
    </row>
    <row r="215">
      <c r="A215" s="338" t="s">
        <v>221</v>
      </c>
      <c r="B215" s="101">
        <v>43709.0</v>
      </c>
      <c r="C215" s="1045">
        <v>80000.0</v>
      </c>
      <c r="D215" s="103"/>
      <c r="E215" s="103"/>
      <c r="F215" s="104"/>
      <c r="G215" s="104"/>
      <c r="H215" s="104" t="s">
        <v>689</v>
      </c>
      <c r="I215" s="464" t="s">
        <v>1227</v>
      </c>
    </row>
    <row r="216">
      <c r="A216" s="298" t="s">
        <v>228</v>
      </c>
      <c r="B216" s="101">
        <v>43617.0</v>
      </c>
      <c r="C216" s="1045">
        <v>80000.0</v>
      </c>
      <c r="D216" s="103"/>
      <c r="E216" s="103"/>
      <c r="F216" s="104"/>
      <c r="G216" s="104"/>
      <c r="H216" s="104" t="s">
        <v>689</v>
      </c>
      <c r="I216" s="464" t="s">
        <v>1227</v>
      </c>
    </row>
    <row r="217">
      <c r="A217" s="73" t="s">
        <v>248</v>
      </c>
      <c r="B217" s="148">
        <v>2022.0</v>
      </c>
      <c r="C217" s="1045">
        <v>91000.0</v>
      </c>
      <c r="D217" s="103"/>
      <c r="E217" s="103"/>
      <c r="F217" s="104"/>
      <c r="G217" s="104"/>
      <c r="H217" s="104" t="s">
        <v>666</v>
      </c>
      <c r="I217" s="401" t="s">
        <v>1227</v>
      </c>
    </row>
    <row r="218">
      <c r="A218" s="298" t="s">
        <v>351</v>
      </c>
      <c r="B218" s="550">
        <v>2023.0</v>
      </c>
      <c r="C218" s="1045">
        <v>86000.0</v>
      </c>
      <c r="D218" s="103"/>
      <c r="E218" s="103"/>
      <c r="F218" s="104"/>
      <c r="G218" s="104"/>
      <c r="H218" s="104" t="s">
        <v>666</v>
      </c>
      <c r="I218" s="401" t="s">
        <v>1227</v>
      </c>
    </row>
    <row r="219">
      <c r="A219" s="298" t="s">
        <v>401</v>
      </c>
      <c r="B219" s="550">
        <v>2023.0</v>
      </c>
      <c r="C219" s="1045">
        <v>86000.0</v>
      </c>
      <c r="D219" s="103"/>
      <c r="E219" s="103"/>
      <c r="F219" s="104"/>
      <c r="G219" s="104"/>
      <c r="H219" s="104"/>
      <c r="I219" s="401" t="s">
        <v>1227</v>
      </c>
    </row>
    <row r="220">
      <c r="A220" s="80" t="s">
        <v>416</v>
      </c>
      <c r="B220" s="148">
        <v>2016.0</v>
      </c>
      <c r="C220" s="1045">
        <v>83000.0</v>
      </c>
      <c r="D220" s="103"/>
      <c r="E220" s="103"/>
      <c r="F220" s="104"/>
      <c r="G220" s="104"/>
      <c r="H220" s="104" t="s">
        <v>689</v>
      </c>
      <c r="I220" s="401" t="s">
        <v>1227</v>
      </c>
    </row>
    <row r="221">
      <c r="A221" s="406" t="s">
        <v>423</v>
      </c>
      <c r="B221" s="550">
        <v>2023.0</v>
      </c>
      <c r="C221" s="1045">
        <v>86000.0</v>
      </c>
      <c r="D221" s="103"/>
      <c r="E221" s="103"/>
      <c r="F221" s="104"/>
      <c r="G221" s="104"/>
      <c r="H221" s="104" t="s">
        <v>666</v>
      </c>
      <c r="I221" s="401" t="s">
        <v>1227</v>
      </c>
    </row>
    <row r="222">
      <c r="A222" s="406" t="s">
        <v>440</v>
      </c>
      <c r="B222" s="101">
        <v>43586.0</v>
      </c>
      <c r="C222" s="1171">
        <v>80000.0</v>
      </c>
      <c r="D222" s="103"/>
      <c r="E222" s="103"/>
      <c r="F222" s="104"/>
      <c r="G222" s="104"/>
      <c r="H222" s="104" t="s">
        <v>689</v>
      </c>
      <c r="I222" s="401" t="s">
        <v>1227</v>
      </c>
    </row>
    <row r="223">
      <c r="A223" s="406" t="s">
        <v>461</v>
      </c>
      <c r="B223" s="148">
        <v>2023.0</v>
      </c>
      <c r="C223" s="1045">
        <v>86000.0</v>
      </c>
      <c r="D223" s="103"/>
      <c r="E223" s="103"/>
      <c r="F223" s="104"/>
      <c r="G223" s="104"/>
      <c r="H223" s="104" t="s">
        <v>666</v>
      </c>
      <c r="I223" s="401" t="s">
        <v>1227</v>
      </c>
    </row>
    <row r="224">
      <c r="A224" s="100" t="s">
        <v>489</v>
      </c>
      <c r="B224" s="183">
        <v>2021.0</v>
      </c>
      <c r="C224" s="1082">
        <v>90000.0</v>
      </c>
      <c r="D224" s="195"/>
      <c r="E224" s="195"/>
      <c r="F224" s="196"/>
      <c r="G224" s="196"/>
      <c r="H224" s="196" t="s">
        <v>666</v>
      </c>
      <c r="I224" s="464" t="s">
        <v>1227</v>
      </c>
    </row>
    <row r="225">
      <c r="A225" s="338" t="s">
        <v>540</v>
      </c>
      <c r="B225" s="148">
        <v>2024.0</v>
      </c>
      <c r="C225" s="1045">
        <v>86000.0</v>
      </c>
      <c r="D225" s="103"/>
      <c r="E225" s="103"/>
      <c r="F225" s="104"/>
      <c r="G225" s="104"/>
      <c r="H225" s="104" t="s">
        <v>666</v>
      </c>
      <c r="I225" s="401" t="s">
        <v>1227</v>
      </c>
    </row>
    <row r="226">
      <c r="A226" s="341" t="s">
        <v>3223</v>
      </c>
      <c r="B226" s="148">
        <v>2024.0</v>
      </c>
      <c r="C226" s="1045">
        <v>86000.0</v>
      </c>
      <c r="D226" s="103"/>
      <c r="E226" s="103"/>
      <c r="F226" s="104"/>
      <c r="G226" s="104"/>
      <c r="H226" s="104" t="s">
        <v>666</v>
      </c>
      <c r="I226" s="401" t="s">
        <v>1227</v>
      </c>
    </row>
    <row r="227">
      <c r="A227" s="298" t="s">
        <v>167</v>
      </c>
      <c r="B227" s="101">
        <v>43678.0</v>
      </c>
      <c r="C227" s="1045">
        <v>80000.0</v>
      </c>
      <c r="D227" s="112"/>
      <c r="E227" s="103"/>
      <c r="F227" s="104"/>
      <c r="G227" s="104"/>
      <c r="H227" s="104" t="s">
        <v>689</v>
      </c>
      <c r="I227" s="401" t="s">
        <v>1227</v>
      </c>
    </row>
    <row r="228">
      <c r="A228" s="164" t="s">
        <v>582</v>
      </c>
      <c r="B228" s="280">
        <v>2008.0</v>
      </c>
      <c r="C228" s="1101">
        <v>78500.0</v>
      </c>
      <c r="D228" s="223"/>
      <c r="E228" s="223"/>
      <c r="F228" s="168"/>
      <c r="G228" s="168"/>
      <c r="H228" s="168" t="s">
        <v>689</v>
      </c>
      <c r="I228" s="324" t="s">
        <v>1227</v>
      </c>
    </row>
    <row r="229">
      <c r="A229" s="100" t="s">
        <v>3229</v>
      </c>
      <c r="B229" s="1208">
        <v>39264.0</v>
      </c>
      <c r="C229" s="1249">
        <v>78523.676</v>
      </c>
      <c r="D229" s="103"/>
      <c r="E229" s="103"/>
      <c r="F229" s="104"/>
      <c r="G229" s="104"/>
      <c r="H229" s="104"/>
      <c r="I229" s="401" t="s">
        <v>1264</v>
      </c>
    </row>
    <row r="230">
      <c r="A230" s="100" t="s">
        <v>544</v>
      </c>
      <c r="B230" s="189">
        <v>38139.0</v>
      </c>
      <c r="C230" s="1083">
        <v>78918.0</v>
      </c>
      <c r="D230" s="103"/>
      <c r="E230" s="103"/>
      <c r="F230" s="104"/>
      <c r="G230" s="104"/>
      <c r="H230" s="104"/>
      <c r="I230" s="401" t="s">
        <v>1264</v>
      </c>
    </row>
    <row r="231">
      <c r="A231" s="80" t="s">
        <v>546</v>
      </c>
      <c r="B231" s="189">
        <v>36800.0</v>
      </c>
      <c r="C231" s="1083">
        <v>78874.0</v>
      </c>
      <c r="D231" s="103"/>
      <c r="E231" s="103"/>
      <c r="F231" s="104"/>
      <c r="G231" s="104"/>
      <c r="H231" s="104"/>
      <c r="I231" s="401" t="s">
        <v>1264</v>
      </c>
    </row>
    <row r="232">
      <c r="A232" s="100" t="s">
        <v>557</v>
      </c>
      <c r="B232" s="148">
        <v>2024.0</v>
      </c>
      <c r="C232" s="1045">
        <v>93000.0</v>
      </c>
      <c r="D232" s="103"/>
      <c r="E232" s="103"/>
      <c r="F232" s="104"/>
      <c r="G232" s="104"/>
      <c r="H232" s="104" t="s">
        <v>666</v>
      </c>
      <c r="I232" s="401" t="s">
        <v>1264</v>
      </c>
    </row>
    <row r="233">
      <c r="A233" s="338" t="s">
        <v>3234</v>
      </c>
      <c r="B233" s="101">
        <v>43707.0</v>
      </c>
      <c r="C233" s="1045">
        <v>80550.0</v>
      </c>
      <c r="D233" s="103"/>
      <c r="E233" s="103"/>
      <c r="F233" s="104"/>
      <c r="G233" s="104"/>
      <c r="H233" s="104" t="s">
        <v>689</v>
      </c>
      <c r="I233" s="401" t="s">
        <v>1264</v>
      </c>
    </row>
    <row r="234">
      <c r="A234" s="100" t="s">
        <v>3237</v>
      </c>
      <c r="B234" s="101">
        <v>43553.0</v>
      </c>
      <c r="C234" s="1045">
        <v>84200.0</v>
      </c>
      <c r="D234" s="103"/>
      <c r="E234" s="103"/>
      <c r="F234" s="104"/>
      <c r="G234" s="104"/>
      <c r="H234" s="104" t="s">
        <v>689</v>
      </c>
      <c r="I234" s="401" t="s">
        <v>1264</v>
      </c>
    </row>
    <row r="235">
      <c r="A235" s="100" t="s">
        <v>3241</v>
      </c>
      <c r="B235" s="101">
        <v>43616.0</v>
      </c>
      <c r="C235" s="1045">
        <v>84200.0</v>
      </c>
      <c r="D235" s="103"/>
      <c r="E235" s="103"/>
      <c r="F235" s="104"/>
      <c r="G235" s="104"/>
      <c r="H235" s="104" t="s">
        <v>689</v>
      </c>
      <c r="I235" s="401" t="s">
        <v>1264</v>
      </c>
    </row>
    <row r="236">
      <c r="A236" s="298" t="s">
        <v>3243</v>
      </c>
      <c r="B236" s="101">
        <v>43644.0</v>
      </c>
      <c r="C236" s="1045">
        <v>80550.0</v>
      </c>
      <c r="D236" s="103"/>
      <c r="E236" s="103"/>
      <c r="F236" s="104"/>
      <c r="G236" s="104"/>
      <c r="H236" s="104" t="s">
        <v>689</v>
      </c>
      <c r="I236" s="401" t="s">
        <v>1264</v>
      </c>
    </row>
    <row r="237">
      <c r="A237" s="473" t="s">
        <v>583</v>
      </c>
      <c r="B237" s="222">
        <v>40040.0</v>
      </c>
      <c r="C237" s="1101">
        <v>78000.0</v>
      </c>
      <c r="D237" s="223"/>
      <c r="E237" s="223"/>
      <c r="F237" s="168"/>
      <c r="G237" s="168"/>
      <c r="H237" s="168"/>
      <c r="I237" s="324" t="s">
        <v>1264</v>
      </c>
    </row>
    <row r="238">
      <c r="A238" s="100" t="s">
        <v>19</v>
      </c>
      <c r="B238" s="231">
        <v>2022.0</v>
      </c>
      <c r="C238" s="1098">
        <v>86000.0</v>
      </c>
      <c r="D238" s="292"/>
      <c r="E238" s="292"/>
      <c r="F238" s="234"/>
      <c r="G238" s="234"/>
      <c r="H238" s="234" t="s">
        <v>666</v>
      </c>
      <c r="I238" s="578" t="s">
        <v>1280</v>
      </c>
    </row>
    <row r="239">
      <c r="A239" s="100" t="s">
        <v>32</v>
      </c>
      <c r="B239" s="148">
        <v>2022.0</v>
      </c>
      <c r="C239" s="1045">
        <v>86000.0</v>
      </c>
      <c r="D239" s="103"/>
      <c r="E239" s="103"/>
      <c r="F239" s="104"/>
      <c r="G239" s="104"/>
      <c r="H239" s="104" t="s">
        <v>666</v>
      </c>
      <c r="I239" s="401" t="s">
        <v>1280</v>
      </c>
    </row>
    <row r="240">
      <c r="A240" s="100" t="s">
        <v>83</v>
      </c>
      <c r="B240" s="148">
        <v>2023.0</v>
      </c>
      <c r="C240" s="1249">
        <v>86000.0</v>
      </c>
      <c r="D240" s="103"/>
      <c r="E240" s="103"/>
      <c r="F240" s="104"/>
      <c r="G240" s="104"/>
      <c r="H240" s="104" t="s">
        <v>666</v>
      </c>
      <c r="I240" s="401" t="s">
        <v>1280</v>
      </c>
    </row>
    <row r="241">
      <c r="A241" s="100" t="s">
        <v>218</v>
      </c>
      <c r="B241" s="101">
        <v>42396.0</v>
      </c>
      <c r="C241" s="1045">
        <v>84000.0</v>
      </c>
      <c r="D241" s="103"/>
      <c r="E241" s="103"/>
      <c r="F241" s="104"/>
      <c r="G241" s="104"/>
      <c r="H241" s="104"/>
      <c r="I241" s="401" t="s">
        <v>1280</v>
      </c>
    </row>
    <row r="242">
      <c r="A242" s="100" t="s">
        <v>282</v>
      </c>
      <c r="B242" s="148">
        <v>2022.0</v>
      </c>
      <c r="C242" s="1045">
        <v>86000.0</v>
      </c>
      <c r="D242" s="112"/>
      <c r="E242" s="112" t="s">
        <v>706</v>
      </c>
      <c r="F242" s="104"/>
      <c r="G242" s="104"/>
      <c r="H242" s="104" t="s">
        <v>666</v>
      </c>
      <c r="I242" s="401" t="s">
        <v>1280</v>
      </c>
    </row>
    <row r="243">
      <c r="A243" s="100" t="s">
        <v>309</v>
      </c>
      <c r="B243" s="148">
        <v>2021.0</v>
      </c>
      <c r="C243" s="1045">
        <v>86000.0</v>
      </c>
      <c r="D243" s="112"/>
      <c r="E243" s="112" t="s">
        <v>706</v>
      </c>
      <c r="F243" s="104"/>
      <c r="G243" s="104"/>
      <c r="H243" s="104" t="s">
        <v>666</v>
      </c>
      <c r="I243" s="401" t="s">
        <v>1280</v>
      </c>
    </row>
    <row r="244">
      <c r="A244" s="100" t="s">
        <v>315</v>
      </c>
      <c r="B244" s="148">
        <v>2021.0</v>
      </c>
      <c r="C244" s="1045">
        <v>86000.0</v>
      </c>
      <c r="D244" s="112"/>
      <c r="E244" s="112" t="s">
        <v>706</v>
      </c>
      <c r="F244" s="104"/>
      <c r="G244" s="104"/>
      <c r="H244" s="104" t="s">
        <v>666</v>
      </c>
      <c r="I244" s="401" t="s">
        <v>1280</v>
      </c>
    </row>
    <row r="245">
      <c r="A245" s="100" t="s">
        <v>326</v>
      </c>
      <c r="B245" s="148">
        <v>2021.0</v>
      </c>
      <c r="C245" s="1045">
        <v>86000.0</v>
      </c>
      <c r="D245" s="112"/>
      <c r="E245" s="112" t="s">
        <v>706</v>
      </c>
      <c r="F245" s="192"/>
      <c r="G245" s="192"/>
      <c r="H245" s="192" t="s">
        <v>1296</v>
      </c>
      <c r="I245" s="401" t="s">
        <v>1280</v>
      </c>
    </row>
    <row r="246">
      <c r="A246" s="100" t="s">
        <v>476</v>
      </c>
      <c r="B246" s="101">
        <v>42583.0</v>
      </c>
      <c r="C246" s="1045">
        <v>84000.0</v>
      </c>
      <c r="D246" s="112"/>
      <c r="E246" s="112" t="s">
        <v>706</v>
      </c>
      <c r="F246" s="104"/>
      <c r="G246" s="104"/>
      <c r="H246" s="104"/>
      <c r="I246" s="401" t="s">
        <v>1280</v>
      </c>
    </row>
    <row r="247">
      <c r="A247" s="100" t="s">
        <v>480</v>
      </c>
      <c r="B247" s="101">
        <v>42937.0</v>
      </c>
      <c r="C247" s="1045">
        <v>84000.0</v>
      </c>
      <c r="D247" s="112"/>
      <c r="E247" s="112" t="s">
        <v>706</v>
      </c>
      <c r="F247" s="104"/>
      <c r="G247" s="104"/>
      <c r="H247" s="104"/>
      <c r="I247" s="401" t="s">
        <v>1280</v>
      </c>
    </row>
    <row r="248">
      <c r="A248" s="100" t="s">
        <v>508</v>
      </c>
      <c r="B248" s="148">
        <v>2022.0</v>
      </c>
      <c r="C248" s="1045">
        <v>86000.0</v>
      </c>
      <c r="D248" s="103"/>
      <c r="E248" s="103"/>
      <c r="F248" s="104"/>
      <c r="G248" s="104"/>
      <c r="H248" s="104" t="s">
        <v>666</v>
      </c>
      <c r="I248" s="401" t="s">
        <v>1280</v>
      </c>
    </row>
    <row r="249">
      <c r="A249" s="473" t="s">
        <v>584</v>
      </c>
      <c r="B249" s="165">
        <v>2022.0</v>
      </c>
      <c r="C249" s="1101">
        <v>86000.0</v>
      </c>
      <c r="D249" s="223"/>
      <c r="E249" s="223"/>
      <c r="F249" s="168"/>
      <c r="G249" s="168"/>
      <c r="H249" s="168" t="s">
        <v>666</v>
      </c>
      <c r="I249" s="324" t="s">
        <v>1280</v>
      </c>
    </row>
    <row r="250">
      <c r="A250" s="635"/>
      <c r="B250" s="636" t="s">
        <v>1312</v>
      </c>
      <c r="C250" s="1699"/>
      <c r="D250" s="638"/>
      <c r="E250" s="638"/>
      <c r="F250" s="639"/>
      <c r="G250" s="639"/>
      <c r="H250" s="639"/>
      <c r="I250" s="640"/>
    </row>
    <row r="251">
      <c r="A251" s="653" t="s">
        <v>273</v>
      </c>
      <c r="B251" s="654">
        <v>2024.0</v>
      </c>
      <c r="C251" s="1700">
        <v>93000.0</v>
      </c>
      <c r="D251" s="619"/>
      <c r="E251" s="619" t="s">
        <v>706</v>
      </c>
      <c r="F251" s="655"/>
      <c r="G251" s="655"/>
      <c r="H251" s="655" t="s">
        <v>666</v>
      </c>
      <c r="I251" s="656" t="s">
        <v>1313</v>
      </c>
    </row>
    <row r="252">
      <c r="A252" s="657" t="s">
        <v>300</v>
      </c>
      <c r="B252" s="658">
        <v>2016.0</v>
      </c>
      <c r="C252" s="1700">
        <v>83000.0</v>
      </c>
      <c r="D252" s="659"/>
      <c r="E252" s="659" t="s">
        <v>706</v>
      </c>
      <c r="F252" s="660"/>
      <c r="G252" s="660"/>
      <c r="H252" s="660"/>
      <c r="I252" s="661" t="s">
        <v>1313</v>
      </c>
    </row>
    <row r="253">
      <c r="A253" s="80" t="s">
        <v>301</v>
      </c>
      <c r="B253" s="202">
        <v>2018.0</v>
      </c>
      <c r="C253" s="1045">
        <v>84000.0</v>
      </c>
      <c r="D253" s="256"/>
      <c r="E253" s="256" t="s">
        <v>706</v>
      </c>
      <c r="F253" s="150"/>
      <c r="G253" s="150"/>
      <c r="H253" s="150" t="s">
        <v>666</v>
      </c>
      <c r="I253" s="321" t="s">
        <v>1313</v>
      </c>
    </row>
    <row r="254">
      <c r="A254" s="341" t="s">
        <v>305</v>
      </c>
      <c r="B254" s="183">
        <v>2023.0</v>
      </c>
      <c r="C254" s="1045">
        <v>93000.0</v>
      </c>
      <c r="D254" s="256"/>
      <c r="E254" s="256" t="s">
        <v>706</v>
      </c>
      <c r="F254" s="150"/>
      <c r="G254" s="150"/>
      <c r="H254" s="150" t="s">
        <v>666</v>
      </c>
      <c r="I254" s="321" t="s">
        <v>1313</v>
      </c>
    </row>
    <row r="255">
      <c r="A255" s="80" t="s">
        <v>316</v>
      </c>
      <c r="B255" s="148">
        <v>2018.0</v>
      </c>
      <c r="C255" s="1249">
        <v>86000.0</v>
      </c>
      <c r="D255" s="256"/>
      <c r="E255" s="256" t="s">
        <v>706</v>
      </c>
      <c r="F255" s="192"/>
      <c r="G255" s="192" t="s">
        <v>739</v>
      </c>
      <c r="H255" s="192" t="s">
        <v>1321</v>
      </c>
      <c r="I255" s="401" t="s">
        <v>1313</v>
      </c>
    </row>
    <row r="256">
      <c r="A256" s="80" t="s">
        <v>2983</v>
      </c>
      <c r="B256" s="202">
        <v>2016.0</v>
      </c>
      <c r="C256" s="1045">
        <v>83000.0</v>
      </c>
      <c r="D256" s="112"/>
      <c r="E256" s="112" t="s">
        <v>706</v>
      </c>
      <c r="F256" s="104"/>
      <c r="G256" s="104"/>
      <c r="H256" s="104"/>
      <c r="I256" s="401" t="s">
        <v>1313</v>
      </c>
    </row>
    <row r="257">
      <c r="A257" s="164" t="s">
        <v>324</v>
      </c>
      <c r="B257" s="165">
        <v>2024.0</v>
      </c>
      <c r="C257" s="1101">
        <v>93000.0</v>
      </c>
      <c r="D257" s="175"/>
      <c r="E257" s="175" t="s">
        <v>706</v>
      </c>
      <c r="F257" s="168"/>
      <c r="G257" s="168"/>
      <c r="H257" s="168" t="s">
        <v>666</v>
      </c>
      <c r="I257" s="324" t="s">
        <v>1313</v>
      </c>
    </row>
    <row r="258">
      <c r="A258" s="342" t="s">
        <v>90</v>
      </c>
      <c r="B258" s="202">
        <v>2025.0</v>
      </c>
      <c r="C258" s="1249">
        <v>88000.0</v>
      </c>
      <c r="D258" s="551"/>
      <c r="E258" s="551"/>
      <c r="F258" s="383"/>
      <c r="G258" s="383"/>
      <c r="H258" s="383"/>
      <c r="I258" s="497" t="s">
        <v>5152</v>
      </c>
    </row>
    <row r="259">
      <c r="A259" s="1701" t="s">
        <v>222</v>
      </c>
      <c r="B259" s="280">
        <v>2025.0</v>
      </c>
      <c r="C259" s="1096">
        <v>88000.0</v>
      </c>
      <c r="D259" s="374"/>
      <c r="E259" s="374"/>
      <c r="F259" s="282"/>
      <c r="G259" s="282"/>
      <c r="H259" s="282"/>
      <c r="I259" s="665" t="s">
        <v>5152</v>
      </c>
    </row>
    <row r="260">
      <c r="A260" s="341" t="s">
        <v>1333</v>
      </c>
      <c r="B260" s="148">
        <v>2023.0</v>
      </c>
      <c r="C260" s="1045">
        <v>91000.0</v>
      </c>
      <c r="D260" s="149"/>
      <c r="E260" s="149"/>
      <c r="F260" s="150"/>
      <c r="G260" s="150"/>
      <c r="H260" s="150" t="s">
        <v>666</v>
      </c>
      <c r="I260" s="321" t="s">
        <v>1330</v>
      </c>
    </row>
    <row r="261">
      <c r="A261" s="147" t="s">
        <v>1336</v>
      </c>
      <c r="B261" s="101">
        <v>42443.0</v>
      </c>
      <c r="C261" s="1045">
        <v>84000.0</v>
      </c>
      <c r="D261" s="103"/>
      <c r="E261" s="103"/>
      <c r="F261" s="104"/>
      <c r="G261" s="104"/>
      <c r="H261" s="104" t="s">
        <v>666</v>
      </c>
      <c r="I261" s="401" t="s">
        <v>1330</v>
      </c>
    </row>
    <row r="262">
      <c r="A262" s="147" t="s">
        <v>1339</v>
      </c>
      <c r="B262" s="101">
        <v>42489.0</v>
      </c>
      <c r="C262" s="1045">
        <v>84000.0</v>
      </c>
      <c r="D262" s="103"/>
      <c r="E262" s="103"/>
      <c r="F262" s="104"/>
      <c r="G262" s="104"/>
      <c r="H262" s="104" t="s">
        <v>666</v>
      </c>
      <c r="I262" s="401" t="s">
        <v>1330</v>
      </c>
    </row>
    <row r="263">
      <c r="A263" s="341" t="s">
        <v>1342</v>
      </c>
      <c r="B263" s="101">
        <v>42103.0</v>
      </c>
      <c r="C263" s="1045">
        <v>83000.0</v>
      </c>
      <c r="D263" s="103"/>
      <c r="E263" s="103"/>
      <c r="F263" s="104"/>
      <c r="G263" s="104"/>
      <c r="H263" s="104" t="s">
        <v>689</v>
      </c>
      <c r="I263" s="401" t="s">
        <v>1330</v>
      </c>
    </row>
    <row r="264">
      <c r="A264" s="341" t="s">
        <v>1345</v>
      </c>
      <c r="B264" s="148">
        <v>2022.0</v>
      </c>
      <c r="C264" s="1045">
        <v>91000.0</v>
      </c>
      <c r="D264" s="112"/>
      <c r="E264" s="112" t="s">
        <v>706</v>
      </c>
      <c r="F264" s="104"/>
      <c r="G264" s="104"/>
      <c r="H264" s="104" t="s">
        <v>666</v>
      </c>
      <c r="I264" s="401" t="s">
        <v>1330</v>
      </c>
    </row>
    <row r="265">
      <c r="A265" s="341" t="s">
        <v>3202</v>
      </c>
      <c r="B265" s="101">
        <v>42269.0</v>
      </c>
      <c r="C265" s="1045">
        <v>83000.0</v>
      </c>
      <c r="D265" s="103"/>
      <c r="E265" s="103"/>
      <c r="F265" s="104"/>
      <c r="G265" s="104"/>
      <c r="H265" s="104"/>
      <c r="I265" s="401" t="s">
        <v>1330</v>
      </c>
    </row>
    <row r="266">
      <c r="A266" s="147" t="s">
        <v>751</v>
      </c>
      <c r="B266" s="101">
        <v>42551.0</v>
      </c>
      <c r="C266" s="1045">
        <v>84000.0</v>
      </c>
      <c r="D266" s="103"/>
      <c r="E266" s="103"/>
      <c r="F266" s="104"/>
      <c r="G266" s="104"/>
      <c r="H266" s="104" t="s">
        <v>666</v>
      </c>
      <c r="I266" s="295" t="s">
        <v>5821</v>
      </c>
    </row>
    <row r="267">
      <c r="A267" s="341" t="s">
        <v>1351</v>
      </c>
      <c r="B267" s="101">
        <v>42583.0</v>
      </c>
      <c r="C267" s="1045">
        <v>84000.0</v>
      </c>
      <c r="D267" s="103"/>
      <c r="E267" s="103"/>
      <c r="F267" s="104"/>
      <c r="G267" s="104"/>
      <c r="H267" s="104" t="s">
        <v>666</v>
      </c>
      <c r="I267" s="401" t="s">
        <v>1330</v>
      </c>
    </row>
    <row r="268">
      <c r="A268" s="342" t="s">
        <v>1355</v>
      </c>
      <c r="B268" s="148">
        <v>2015.0</v>
      </c>
      <c r="C268" s="1045">
        <v>83000.0</v>
      </c>
      <c r="D268" s="103"/>
      <c r="E268" s="103"/>
      <c r="F268" s="104"/>
      <c r="G268" s="104"/>
      <c r="H268" s="104" t="s">
        <v>689</v>
      </c>
      <c r="I268" s="401" t="s">
        <v>1330</v>
      </c>
    </row>
    <row r="269">
      <c r="A269" s="147" t="s">
        <v>1358</v>
      </c>
      <c r="B269" s="101">
        <v>42247.0</v>
      </c>
      <c r="C269" s="1045">
        <v>84000.0</v>
      </c>
      <c r="D269" s="103"/>
      <c r="E269" s="103"/>
      <c r="F269" s="104"/>
      <c r="G269" s="104"/>
      <c r="H269" s="104" t="s">
        <v>666</v>
      </c>
      <c r="I269" s="401" t="s">
        <v>1330</v>
      </c>
    </row>
    <row r="270">
      <c r="A270" s="1239" t="s">
        <v>2898</v>
      </c>
      <c r="B270" s="202">
        <v>2008.0</v>
      </c>
      <c r="C270" s="1045">
        <v>84000.0</v>
      </c>
      <c r="D270" s="103"/>
      <c r="E270" s="103"/>
      <c r="F270" s="104"/>
      <c r="G270" s="104"/>
      <c r="H270" s="104" t="s">
        <v>666</v>
      </c>
      <c r="I270" s="401" t="s">
        <v>1330</v>
      </c>
    </row>
    <row r="271">
      <c r="A271" s="147" t="s">
        <v>1365</v>
      </c>
      <c r="B271" s="101">
        <v>42667.0</v>
      </c>
      <c r="C271" s="1045">
        <v>84000.0</v>
      </c>
      <c r="D271" s="103"/>
      <c r="E271" s="103"/>
      <c r="F271" s="104"/>
      <c r="G271" s="104"/>
      <c r="H271" s="104" t="s">
        <v>666</v>
      </c>
      <c r="I271" s="401" t="s">
        <v>1330</v>
      </c>
    </row>
    <row r="272">
      <c r="A272" s="341" t="s">
        <v>1368</v>
      </c>
      <c r="B272" s="101">
        <v>42016.0</v>
      </c>
      <c r="C272" s="1045">
        <v>83000.0</v>
      </c>
      <c r="D272" s="103"/>
      <c r="E272" s="103"/>
      <c r="F272" s="104"/>
      <c r="G272" s="104"/>
      <c r="H272" s="104" t="s">
        <v>689</v>
      </c>
      <c r="I272" s="401" t="s">
        <v>1330</v>
      </c>
    </row>
    <row r="273">
      <c r="A273" s="341" t="s">
        <v>1372</v>
      </c>
      <c r="B273" s="101">
        <v>42016.0</v>
      </c>
      <c r="C273" s="1045">
        <v>83000.0</v>
      </c>
      <c r="D273" s="103"/>
      <c r="E273" s="103"/>
      <c r="F273" s="104"/>
      <c r="G273" s="104"/>
      <c r="H273" s="104" t="s">
        <v>689</v>
      </c>
      <c r="I273" s="401" t="s">
        <v>1330</v>
      </c>
    </row>
    <row r="274">
      <c r="A274" s="147" t="s">
        <v>1376</v>
      </c>
      <c r="B274" s="101">
        <v>42447.0</v>
      </c>
      <c r="C274" s="1045">
        <v>82383.0</v>
      </c>
      <c r="D274" s="103"/>
      <c r="E274" s="103"/>
      <c r="F274" s="104"/>
      <c r="G274" s="104"/>
      <c r="H274" s="104" t="s">
        <v>666</v>
      </c>
      <c r="I274" s="401" t="s">
        <v>1330</v>
      </c>
    </row>
    <row r="275">
      <c r="A275" s="147" t="s">
        <v>1379</v>
      </c>
      <c r="B275" s="101">
        <v>42292.0</v>
      </c>
      <c r="C275" s="1045">
        <v>84000.0</v>
      </c>
      <c r="D275" s="103"/>
      <c r="E275" s="103"/>
      <c r="F275" s="104"/>
      <c r="G275" s="104"/>
      <c r="H275" s="104" t="s">
        <v>666</v>
      </c>
      <c r="I275" s="401" t="s">
        <v>1330</v>
      </c>
    </row>
    <row r="276">
      <c r="A276" s="341" t="s">
        <v>1382</v>
      </c>
      <c r="B276" s="101">
        <v>42184.0</v>
      </c>
      <c r="C276" s="1045">
        <v>83000.0</v>
      </c>
      <c r="D276" s="103"/>
      <c r="E276" s="103"/>
      <c r="F276" s="104"/>
      <c r="G276" s="104"/>
      <c r="H276" s="104" t="s">
        <v>689</v>
      </c>
      <c r="I276" s="401" t="s">
        <v>1330</v>
      </c>
    </row>
    <row r="277">
      <c r="A277" s="341" t="s">
        <v>1385</v>
      </c>
      <c r="B277" s="101">
        <v>42297.0</v>
      </c>
      <c r="C277" s="1045">
        <v>83000.0</v>
      </c>
      <c r="D277" s="103"/>
      <c r="E277" s="103"/>
      <c r="F277" s="104"/>
      <c r="G277" s="104"/>
      <c r="H277" s="104"/>
      <c r="I277" s="401" t="s">
        <v>1330</v>
      </c>
    </row>
    <row r="278">
      <c r="A278" s="341" t="s">
        <v>1393</v>
      </c>
      <c r="B278" s="148">
        <v>2023.0</v>
      </c>
      <c r="C278" s="1045">
        <v>91000.0</v>
      </c>
      <c r="D278" s="103"/>
      <c r="E278" s="103"/>
      <c r="F278" s="104"/>
      <c r="G278" s="104"/>
      <c r="H278" s="104" t="s">
        <v>666</v>
      </c>
      <c r="I278" s="401" t="s">
        <v>1330</v>
      </c>
    </row>
    <row r="279">
      <c r="A279" s="147" t="s">
        <v>732</v>
      </c>
      <c r="B279" s="194">
        <v>42479.0</v>
      </c>
      <c r="C279" s="1082">
        <v>84000.0</v>
      </c>
      <c r="D279" s="195"/>
      <c r="E279" s="195"/>
      <c r="F279" s="196"/>
      <c r="G279" s="196"/>
      <c r="H279" s="196" t="s">
        <v>666</v>
      </c>
      <c r="I279" s="401" t="s">
        <v>1330</v>
      </c>
    </row>
    <row r="280">
      <c r="A280" s="147" t="s">
        <v>1395</v>
      </c>
      <c r="B280" s="101">
        <v>42460.0</v>
      </c>
      <c r="C280" s="1045">
        <v>84000.0</v>
      </c>
      <c r="D280" s="103"/>
      <c r="E280" s="103"/>
      <c r="F280" s="104"/>
      <c r="G280" s="104"/>
      <c r="H280" s="104" t="s">
        <v>666</v>
      </c>
      <c r="I280" s="401" t="s">
        <v>1330</v>
      </c>
    </row>
    <row r="281">
      <c r="A281" s="147" t="s">
        <v>1398</v>
      </c>
      <c r="B281" s="101">
        <v>42501.0</v>
      </c>
      <c r="C281" s="1045">
        <v>84000.0</v>
      </c>
      <c r="D281" s="103"/>
      <c r="E281" s="103"/>
      <c r="F281" s="104"/>
      <c r="G281" s="104"/>
      <c r="H281" s="104" t="s">
        <v>666</v>
      </c>
      <c r="I281" s="401" t="s">
        <v>1330</v>
      </c>
    </row>
    <row r="282">
      <c r="A282" s="147" t="s">
        <v>764</v>
      </c>
      <c r="B282" s="148">
        <v>2020.0</v>
      </c>
      <c r="C282" s="1045">
        <v>83000.0</v>
      </c>
      <c r="D282" s="103"/>
      <c r="E282" s="103"/>
      <c r="F282" s="104"/>
      <c r="G282" s="104"/>
      <c r="H282" s="104" t="s">
        <v>689</v>
      </c>
      <c r="I282" s="401" t="s">
        <v>1330</v>
      </c>
    </row>
    <row r="283">
      <c r="A283" s="147" t="s">
        <v>223</v>
      </c>
      <c r="B283" s="101">
        <v>42752.0</v>
      </c>
      <c r="C283" s="1045">
        <v>83000.0</v>
      </c>
      <c r="D283" s="103"/>
      <c r="E283" s="103"/>
      <c r="F283" s="104"/>
      <c r="G283" s="104"/>
      <c r="H283" s="104"/>
      <c r="I283" s="401" t="s">
        <v>1330</v>
      </c>
    </row>
    <row r="284">
      <c r="A284" s="147" t="s">
        <v>295</v>
      </c>
      <c r="B284" s="148">
        <v>2023.0</v>
      </c>
      <c r="C284" s="1045">
        <v>93000.0</v>
      </c>
      <c r="D284" s="112"/>
      <c r="E284" s="112" t="s">
        <v>706</v>
      </c>
      <c r="F284" s="104"/>
      <c r="G284" s="104"/>
      <c r="H284" s="104" t="s">
        <v>666</v>
      </c>
      <c r="I284" s="401" t="s">
        <v>1404</v>
      </c>
    </row>
    <row r="285">
      <c r="A285" s="147" t="s">
        <v>325</v>
      </c>
      <c r="B285" s="148">
        <v>2021.0</v>
      </c>
      <c r="C285" s="1045">
        <v>86000.0</v>
      </c>
      <c r="D285" s="112"/>
      <c r="E285" s="112" t="s">
        <v>706</v>
      </c>
      <c r="F285" s="104"/>
      <c r="G285" s="104"/>
      <c r="H285" s="104" t="s">
        <v>666</v>
      </c>
      <c r="I285" s="401" t="s">
        <v>1404</v>
      </c>
    </row>
    <row r="286">
      <c r="A286" s="147" t="s">
        <v>330</v>
      </c>
      <c r="B286" s="101">
        <v>43009.0</v>
      </c>
      <c r="C286" s="1045">
        <v>84000.0</v>
      </c>
      <c r="D286" s="103"/>
      <c r="E286" s="103"/>
      <c r="F286" s="104"/>
      <c r="G286" s="104"/>
      <c r="H286" s="104" t="s">
        <v>689</v>
      </c>
      <c r="I286" s="295" t="s">
        <v>5822</v>
      </c>
    </row>
    <row r="287">
      <c r="A287" s="341" t="s">
        <v>403</v>
      </c>
      <c r="B287" s="148">
        <v>2023.0</v>
      </c>
      <c r="C287" s="1045">
        <v>91000.0</v>
      </c>
      <c r="D287" s="112"/>
      <c r="E287" s="112" t="s">
        <v>706</v>
      </c>
      <c r="F287" s="104"/>
      <c r="G287" s="104"/>
      <c r="H287" s="104" t="s">
        <v>666</v>
      </c>
      <c r="I287" s="401" t="s">
        <v>1330</v>
      </c>
    </row>
    <row r="288">
      <c r="A288" s="674" t="s">
        <v>473</v>
      </c>
      <c r="B288" s="222">
        <v>42979.0</v>
      </c>
      <c r="C288" s="1101">
        <v>84000.0</v>
      </c>
      <c r="D288" s="175"/>
      <c r="E288" s="175" t="s">
        <v>706</v>
      </c>
      <c r="F288" s="168"/>
      <c r="G288" s="168"/>
      <c r="H288" s="168"/>
      <c r="I288" s="324" t="s">
        <v>1330</v>
      </c>
    </row>
    <row r="289">
      <c r="A289" s="147" t="s">
        <v>48</v>
      </c>
      <c r="B289" s="101">
        <v>40193.0</v>
      </c>
      <c r="C289" s="1045">
        <v>83278.0</v>
      </c>
      <c r="D289" s="149"/>
      <c r="E289" s="149"/>
      <c r="F289" s="150"/>
      <c r="G289" s="150"/>
      <c r="H289" s="150" t="s">
        <v>689</v>
      </c>
      <c r="I289" s="321" t="s">
        <v>1412</v>
      </c>
    </row>
    <row r="290">
      <c r="A290" s="147" t="s">
        <v>1417</v>
      </c>
      <c r="B290" s="101">
        <v>39931.0</v>
      </c>
      <c r="C290" s="1045">
        <v>83271.0</v>
      </c>
      <c r="D290" s="103"/>
      <c r="E290" s="103"/>
      <c r="F290" s="104"/>
      <c r="G290" s="104"/>
      <c r="H290" s="104"/>
      <c r="I290" s="401" t="s">
        <v>1412</v>
      </c>
    </row>
    <row r="291">
      <c r="A291" s="341" t="s">
        <v>1420</v>
      </c>
      <c r="B291" s="183">
        <v>2007.0</v>
      </c>
      <c r="C291" s="1082">
        <v>80595.0</v>
      </c>
      <c r="D291" s="112" t="s">
        <v>603</v>
      </c>
      <c r="E291" s="103"/>
      <c r="F291" s="104"/>
      <c r="G291" s="104"/>
      <c r="H291" s="104"/>
      <c r="I291" s="401" t="s">
        <v>1412</v>
      </c>
    </row>
    <row r="292">
      <c r="A292" s="452" t="s">
        <v>157</v>
      </c>
      <c r="B292" s="183">
        <v>2023.0</v>
      </c>
      <c r="C292" s="1082">
        <v>84000.0</v>
      </c>
      <c r="D292" s="112" t="s">
        <v>603</v>
      </c>
      <c r="E292" s="103"/>
      <c r="F292" s="104"/>
      <c r="G292" s="104"/>
      <c r="H292" s="104" t="s">
        <v>666</v>
      </c>
      <c r="I292" s="401" t="s">
        <v>1412</v>
      </c>
    </row>
    <row r="293">
      <c r="A293" s="452" t="s">
        <v>158</v>
      </c>
      <c r="B293" s="101">
        <v>42425.0</v>
      </c>
      <c r="C293" s="1045">
        <v>84000.0</v>
      </c>
      <c r="D293" s="112" t="s">
        <v>603</v>
      </c>
      <c r="E293" s="103"/>
      <c r="F293" s="104"/>
      <c r="G293" s="104"/>
      <c r="H293" s="104" t="s">
        <v>689</v>
      </c>
      <c r="I293" s="401" t="s">
        <v>1412</v>
      </c>
    </row>
    <row r="294">
      <c r="A294" s="274" t="s">
        <v>164</v>
      </c>
      <c r="B294" s="101">
        <v>42331.0</v>
      </c>
      <c r="C294" s="1045">
        <v>84000.0</v>
      </c>
      <c r="D294" s="112" t="s">
        <v>603</v>
      </c>
      <c r="E294" s="149"/>
      <c r="F294" s="150"/>
      <c r="G294" s="150"/>
      <c r="H294" s="150"/>
      <c r="I294" s="401" t="s">
        <v>1412</v>
      </c>
    </row>
    <row r="295">
      <c r="A295" s="676" t="s">
        <v>165</v>
      </c>
      <c r="B295" s="194">
        <v>42299.0</v>
      </c>
      <c r="C295" s="1082">
        <v>84000.0</v>
      </c>
      <c r="D295" s="112" t="s">
        <v>603</v>
      </c>
      <c r="E295" s="195"/>
      <c r="F295" s="196"/>
      <c r="G295" s="196"/>
      <c r="H295" s="196" t="s">
        <v>689</v>
      </c>
      <c r="I295" s="401" t="s">
        <v>1412</v>
      </c>
    </row>
    <row r="296">
      <c r="A296" s="452" t="s">
        <v>166</v>
      </c>
      <c r="B296" s="101">
        <v>42290.0</v>
      </c>
      <c r="C296" s="1045">
        <v>84000.0</v>
      </c>
      <c r="D296" s="112" t="s">
        <v>603</v>
      </c>
      <c r="E296" s="103"/>
      <c r="F296" s="104"/>
      <c r="G296" s="104"/>
      <c r="H296" s="104" t="s">
        <v>689</v>
      </c>
      <c r="I296" s="401" t="s">
        <v>1412</v>
      </c>
    </row>
    <row r="297">
      <c r="A297" s="452" t="s">
        <v>185</v>
      </c>
      <c r="B297" s="101">
        <v>42181.0</v>
      </c>
      <c r="C297" s="1045">
        <v>84000.0</v>
      </c>
      <c r="D297" s="112" t="s">
        <v>603</v>
      </c>
      <c r="E297" s="103"/>
      <c r="F297" s="104"/>
      <c r="G297" s="104"/>
      <c r="H297" s="104" t="s">
        <v>689</v>
      </c>
      <c r="I297" s="401" t="s">
        <v>1412</v>
      </c>
    </row>
    <row r="298">
      <c r="A298" s="676" t="s">
        <v>186</v>
      </c>
      <c r="B298" s="101">
        <v>41848.0</v>
      </c>
      <c r="C298" s="1045">
        <v>84000.0</v>
      </c>
      <c r="D298" s="112" t="s">
        <v>603</v>
      </c>
      <c r="E298" s="103"/>
      <c r="F298" s="104"/>
      <c r="G298" s="104"/>
      <c r="H298" s="104" t="s">
        <v>689</v>
      </c>
      <c r="I298" s="401" t="s">
        <v>1412</v>
      </c>
    </row>
    <row r="299">
      <c r="A299" s="448" t="s">
        <v>187</v>
      </c>
      <c r="B299" s="202">
        <v>2015.0</v>
      </c>
      <c r="C299" s="1045">
        <v>84000.0</v>
      </c>
      <c r="D299" s="112" t="s">
        <v>603</v>
      </c>
      <c r="E299" s="103"/>
      <c r="F299" s="104"/>
      <c r="G299" s="104"/>
      <c r="H299" s="104" t="s">
        <v>689</v>
      </c>
      <c r="I299" s="401" t="s">
        <v>1412</v>
      </c>
    </row>
    <row r="300">
      <c r="A300" s="452" t="s">
        <v>192</v>
      </c>
      <c r="B300" s="101">
        <v>42277.0</v>
      </c>
      <c r="C300" s="1045">
        <v>84000.0</v>
      </c>
      <c r="D300" s="112" t="s">
        <v>603</v>
      </c>
      <c r="E300" s="103"/>
      <c r="F300" s="104"/>
      <c r="G300" s="104"/>
      <c r="H300" s="104" t="s">
        <v>689</v>
      </c>
      <c r="I300" s="401" t="s">
        <v>1412</v>
      </c>
    </row>
    <row r="301">
      <c r="A301" s="80" t="s">
        <v>195</v>
      </c>
      <c r="B301" s="101">
        <v>42208.0</v>
      </c>
      <c r="C301" s="1045">
        <v>84000.0</v>
      </c>
      <c r="D301" s="112" t="s">
        <v>603</v>
      </c>
      <c r="E301" s="103"/>
      <c r="F301" s="104"/>
      <c r="G301" s="104"/>
      <c r="H301" s="104"/>
      <c r="I301" s="401" t="s">
        <v>1412</v>
      </c>
    </row>
    <row r="302">
      <c r="A302" s="452" t="s">
        <v>196</v>
      </c>
      <c r="B302" s="101">
        <v>42313.0</v>
      </c>
      <c r="C302" s="1045">
        <v>84000.0</v>
      </c>
      <c r="D302" s="112" t="s">
        <v>603</v>
      </c>
      <c r="E302" s="103"/>
      <c r="F302" s="104"/>
      <c r="G302" s="104"/>
      <c r="H302" s="104" t="s">
        <v>689</v>
      </c>
      <c r="I302" s="401" t="s">
        <v>1412</v>
      </c>
    </row>
    <row r="303">
      <c r="A303" s="100" t="s">
        <v>191</v>
      </c>
      <c r="B303" s="101">
        <v>42179.0</v>
      </c>
      <c r="C303" s="1045">
        <v>84000.0</v>
      </c>
      <c r="D303" s="112" t="s">
        <v>603</v>
      </c>
      <c r="E303" s="103"/>
      <c r="F303" s="104"/>
      <c r="G303" s="104"/>
      <c r="H303" s="104" t="s">
        <v>689</v>
      </c>
      <c r="I303" s="401" t="s">
        <v>1412</v>
      </c>
    </row>
    <row r="304">
      <c r="A304" s="452" t="s">
        <v>194</v>
      </c>
      <c r="B304" s="101">
        <v>42234.0</v>
      </c>
      <c r="C304" s="1045">
        <v>84000.0</v>
      </c>
      <c r="D304" s="112" t="s">
        <v>603</v>
      </c>
      <c r="E304" s="103"/>
      <c r="F304" s="104"/>
      <c r="G304" s="104"/>
      <c r="H304" s="104" t="s">
        <v>689</v>
      </c>
      <c r="I304" s="401" t="s">
        <v>1412</v>
      </c>
    </row>
    <row r="305">
      <c r="A305" s="452" t="s">
        <v>196</v>
      </c>
      <c r="B305" s="101">
        <v>42320.0</v>
      </c>
      <c r="C305" s="1045">
        <v>84000.0</v>
      </c>
      <c r="D305" s="112" t="s">
        <v>603</v>
      </c>
      <c r="E305" s="103"/>
      <c r="F305" s="104"/>
      <c r="G305" s="104"/>
      <c r="H305" s="104" t="s">
        <v>689</v>
      </c>
      <c r="I305" s="401" t="s">
        <v>1412</v>
      </c>
    </row>
    <row r="306">
      <c r="A306" s="452" t="s">
        <v>198</v>
      </c>
      <c r="B306" s="101">
        <v>41908.0</v>
      </c>
      <c r="C306" s="1045">
        <v>84000.0</v>
      </c>
      <c r="D306" s="112" t="s">
        <v>603</v>
      </c>
      <c r="E306" s="103"/>
      <c r="F306" s="104"/>
      <c r="G306" s="104"/>
      <c r="H306" s="104" t="s">
        <v>689</v>
      </c>
      <c r="I306" s="401" t="s">
        <v>1412</v>
      </c>
    </row>
    <row r="307">
      <c r="A307" s="452" t="s">
        <v>199</v>
      </c>
      <c r="B307" s="101">
        <v>42006.0</v>
      </c>
      <c r="C307" s="1045">
        <v>84000.0</v>
      </c>
      <c r="D307" s="112" t="s">
        <v>603</v>
      </c>
      <c r="E307" s="103"/>
      <c r="F307" s="104"/>
      <c r="G307" s="104"/>
      <c r="H307" s="104" t="s">
        <v>689</v>
      </c>
      <c r="I307" s="401" t="s">
        <v>1412</v>
      </c>
    </row>
    <row r="308">
      <c r="A308" s="80" t="s">
        <v>200</v>
      </c>
      <c r="B308" s="101">
        <v>42171.0</v>
      </c>
      <c r="C308" s="1045">
        <v>84000.0</v>
      </c>
      <c r="D308" s="112" t="s">
        <v>603</v>
      </c>
      <c r="E308" s="103"/>
      <c r="F308" s="104"/>
      <c r="G308" s="104"/>
      <c r="H308" s="104" t="s">
        <v>689</v>
      </c>
      <c r="I308" s="401" t="s">
        <v>1412</v>
      </c>
    </row>
    <row r="309">
      <c r="A309" s="452" t="s">
        <v>201</v>
      </c>
      <c r="B309" s="101">
        <v>42308.0</v>
      </c>
      <c r="C309" s="1045">
        <v>84000.0</v>
      </c>
      <c r="D309" s="112" t="s">
        <v>603</v>
      </c>
      <c r="E309" s="103"/>
      <c r="F309" s="104"/>
      <c r="G309" s="104"/>
      <c r="H309" s="104" t="s">
        <v>689</v>
      </c>
      <c r="I309" s="401" t="s">
        <v>1412</v>
      </c>
    </row>
    <row r="310">
      <c r="A310" s="80" t="s">
        <v>202</v>
      </c>
      <c r="B310" s="101">
        <v>42248.0</v>
      </c>
      <c r="C310" s="1045">
        <v>84000.0</v>
      </c>
      <c r="D310" s="112" t="s">
        <v>603</v>
      </c>
      <c r="E310" s="103"/>
      <c r="F310" s="104"/>
      <c r="G310" s="104"/>
      <c r="H310" s="104" t="s">
        <v>689</v>
      </c>
      <c r="I310" s="401" t="s">
        <v>1412</v>
      </c>
    </row>
    <row r="311">
      <c r="A311" s="406" t="s">
        <v>203</v>
      </c>
      <c r="B311" s="148">
        <v>2023.0</v>
      </c>
      <c r="C311" s="1045">
        <v>86000.0</v>
      </c>
      <c r="D311" s="112" t="s">
        <v>603</v>
      </c>
      <c r="E311" s="103"/>
      <c r="F311" s="104"/>
      <c r="G311" s="104"/>
      <c r="H311" s="104" t="s">
        <v>666</v>
      </c>
      <c r="I311" s="401" t="s">
        <v>1412</v>
      </c>
    </row>
    <row r="312">
      <c r="A312" s="100" t="s">
        <v>205</v>
      </c>
      <c r="B312" s="148">
        <v>2021.0</v>
      </c>
      <c r="C312" s="1045">
        <v>84000.0</v>
      </c>
      <c r="D312" s="112"/>
      <c r="E312" s="103"/>
      <c r="F312" s="104"/>
      <c r="G312" s="104"/>
      <c r="H312" s="104" t="s">
        <v>666</v>
      </c>
      <c r="I312" s="401" t="s">
        <v>1412</v>
      </c>
    </row>
    <row r="313">
      <c r="A313" s="406" t="s">
        <v>245</v>
      </c>
      <c r="B313" s="148">
        <v>2020.0</v>
      </c>
      <c r="C313" s="1045">
        <v>80000.0</v>
      </c>
      <c r="D313" s="103"/>
      <c r="E313" s="103"/>
      <c r="F313" s="104"/>
      <c r="G313" s="104"/>
      <c r="H313" s="104" t="s">
        <v>666</v>
      </c>
      <c r="I313" s="401" t="s">
        <v>1412</v>
      </c>
    </row>
    <row r="314">
      <c r="A314" s="406" t="s">
        <v>1460</v>
      </c>
      <c r="B314" s="148">
        <v>2023.0</v>
      </c>
      <c r="C314" s="1045">
        <v>86000.0</v>
      </c>
      <c r="D314" s="227"/>
      <c r="E314" s="227" t="s">
        <v>706</v>
      </c>
      <c r="F314" s="104"/>
      <c r="G314" s="104"/>
      <c r="H314" s="104" t="s">
        <v>666</v>
      </c>
      <c r="I314" s="401" t="s">
        <v>1412</v>
      </c>
    </row>
    <row r="315">
      <c r="A315" s="406" t="s">
        <v>1462</v>
      </c>
      <c r="B315" s="148">
        <v>2023.0</v>
      </c>
      <c r="C315" s="1045">
        <v>86000.0</v>
      </c>
      <c r="D315" s="227"/>
      <c r="E315" s="227" t="s">
        <v>706</v>
      </c>
      <c r="F315" s="104"/>
      <c r="G315" s="104"/>
      <c r="H315" s="104" t="s">
        <v>666</v>
      </c>
      <c r="I315" s="401" t="s">
        <v>1412</v>
      </c>
    </row>
    <row r="316">
      <c r="A316" s="674" t="s">
        <v>531</v>
      </c>
      <c r="B316" s="222">
        <v>42389.0</v>
      </c>
      <c r="C316" s="1101">
        <v>84000.0</v>
      </c>
      <c r="D316" s="223"/>
      <c r="E316" s="223"/>
      <c r="F316" s="168"/>
      <c r="G316" s="168"/>
      <c r="H316" s="168"/>
      <c r="I316" s="324" t="s">
        <v>1412</v>
      </c>
    </row>
    <row r="317">
      <c r="A317" s="515" t="s">
        <v>37</v>
      </c>
      <c r="B317" s="288">
        <v>39783.0</v>
      </c>
      <c r="C317" s="1098">
        <v>82200.0</v>
      </c>
      <c r="D317" s="233"/>
      <c r="E317" s="233"/>
      <c r="F317" s="234"/>
      <c r="G317" s="234"/>
      <c r="H317" s="234"/>
      <c r="I317" s="578" t="s">
        <v>1466</v>
      </c>
    </row>
    <row r="318">
      <c r="A318" s="80" t="s">
        <v>262</v>
      </c>
      <c r="B318" s="148">
        <v>2020.0</v>
      </c>
      <c r="C318" s="1045">
        <v>84000.0</v>
      </c>
      <c r="D318" s="195"/>
      <c r="E318" s="195"/>
      <c r="F318" s="104"/>
      <c r="G318" s="104"/>
      <c r="H318" s="104"/>
      <c r="I318" s="401" t="s">
        <v>1466</v>
      </c>
    </row>
    <row r="319">
      <c r="A319" s="1248" t="s">
        <v>263</v>
      </c>
      <c r="B319" s="148">
        <v>2007.0</v>
      </c>
      <c r="C319" s="1249">
        <v>82000.0</v>
      </c>
      <c r="D319" s="620"/>
      <c r="E319" s="620"/>
      <c r="F319" s="104"/>
      <c r="G319" s="104"/>
      <c r="H319" s="104"/>
      <c r="I319" s="295" t="s">
        <v>1466</v>
      </c>
    </row>
    <row r="320">
      <c r="A320" s="341" t="s">
        <v>264</v>
      </c>
      <c r="B320" s="148">
        <v>2019.0</v>
      </c>
      <c r="C320" s="1045">
        <v>84000.0</v>
      </c>
      <c r="D320" s="195"/>
      <c r="E320" s="195"/>
      <c r="F320" s="104"/>
      <c r="G320" s="104"/>
      <c r="H320" s="104"/>
      <c r="I320" s="401" t="s">
        <v>1466</v>
      </c>
    </row>
    <row r="321">
      <c r="A321" s="690" t="s">
        <v>266</v>
      </c>
      <c r="B321" s="691" t="s">
        <v>1476</v>
      </c>
      <c r="C321" s="25">
        <v>82000.0</v>
      </c>
      <c r="D321" s="195"/>
      <c r="E321" s="195"/>
      <c r="F321" s="604"/>
      <c r="G321" s="103"/>
      <c r="H321" s="604"/>
      <c r="I321" s="295" t="s">
        <v>1466</v>
      </c>
    </row>
    <row r="322">
      <c r="A322" s="341" t="s">
        <v>323</v>
      </c>
      <c r="B322" s="148">
        <v>2020.0</v>
      </c>
      <c r="C322" s="1045">
        <v>84000.0</v>
      </c>
      <c r="D322" s="195"/>
      <c r="E322" s="195"/>
      <c r="F322" s="104"/>
      <c r="G322" s="104"/>
      <c r="H322" s="104"/>
      <c r="I322" s="401" t="s">
        <v>1466</v>
      </c>
    </row>
    <row r="323">
      <c r="A323" s="124" t="s">
        <v>465</v>
      </c>
      <c r="B323" s="101">
        <v>42675.0</v>
      </c>
      <c r="C323" s="1045">
        <v>82200.0</v>
      </c>
      <c r="D323" s="195"/>
      <c r="E323" s="195"/>
      <c r="F323" s="104"/>
      <c r="G323" s="104"/>
      <c r="H323" s="104"/>
      <c r="I323" s="401" t="s">
        <v>1466</v>
      </c>
    </row>
    <row r="324">
      <c r="A324" s="80" t="s">
        <v>564</v>
      </c>
      <c r="B324" s="101">
        <v>39630.0</v>
      </c>
      <c r="C324" s="1045">
        <v>82182.0</v>
      </c>
      <c r="D324" s="103"/>
      <c r="E324" s="103"/>
      <c r="F324" s="104"/>
      <c r="G324" s="104"/>
      <c r="H324" s="104"/>
      <c r="I324" s="401" t="s">
        <v>1466</v>
      </c>
    </row>
    <row r="325">
      <c r="A325" s="80" t="s">
        <v>526</v>
      </c>
      <c r="B325" s="101">
        <v>42517.0</v>
      </c>
      <c r="C325" s="1045">
        <v>84000.0</v>
      </c>
      <c r="D325" s="103"/>
      <c r="E325" s="103"/>
      <c r="F325" s="104"/>
      <c r="G325" s="104"/>
      <c r="H325" s="104"/>
      <c r="I325" s="454" t="s">
        <v>1466</v>
      </c>
    </row>
    <row r="326">
      <c r="A326" s="546" t="s">
        <v>542</v>
      </c>
      <c r="B326" s="222">
        <v>42459.0</v>
      </c>
      <c r="C326" s="1101">
        <v>82200.0</v>
      </c>
      <c r="D326" s="223"/>
      <c r="E326" s="223"/>
      <c r="F326" s="168"/>
      <c r="G326" s="168"/>
      <c r="H326" s="168"/>
      <c r="I326" s="324" t="s">
        <v>1466</v>
      </c>
    </row>
    <row r="327">
      <c r="A327" s="373" t="s">
        <v>534</v>
      </c>
      <c r="B327" s="222">
        <v>39539.0</v>
      </c>
      <c r="C327" s="1101">
        <v>82419.0</v>
      </c>
      <c r="D327" s="361"/>
      <c r="E327" s="361"/>
      <c r="F327" s="282"/>
      <c r="G327" s="282"/>
      <c r="H327" s="282"/>
      <c r="I327" s="1702" t="s">
        <v>2954</v>
      </c>
    </row>
    <row r="328">
      <c r="A328" s="359" t="s">
        <v>216</v>
      </c>
      <c r="B328" s="165">
        <v>2023.0</v>
      </c>
      <c r="C328" s="1101">
        <v>91000.0</v>
      </c>
      <c r="D328" s="374"/>
      <c r="E328" s="374"/>
      <c r="F328" s="282"/>
      <c r="G328" s="282"/>
      <c r="H328" s="282" t="s">
        <v>666</v>
      </c>
      <c r="I328" s="665" t="s">
        <v>5823</v>
      </c>
    </row>
    <row r="329">
      <c r="A329" s="341"/>
      <c r="B329" s="341"/>
      <c r="C329" s="1056"/>
      <c r="D329" s="148"/>
      <c r="E329" s="148"/>
      <c r="F329" s="488"/>
      <c r="G329" s="488"/>
      <c r="H329" s="488"/>
      <c r="I329" s="341"/>
    </row>
    <row r="330">
      <c r="A330" s="341"/>
      <c r="B330" s="341"/>
      <c r="C330" s="1056"/>
      <c r="D330" s="148"/>
      <c r="E330" s="148"/>
      <c r="F330" s="488"/>
      <c r="G330" s="488"/>
      <c r="H330" s="488"/>
      <c r="I330" s="341"/>
    </row>
    <row r="331">
      <c r="A331" s="342" t="s">
        <v>5824</v>
      </c>
      <c r="B331" s="341"/>
      <c r="C331" s="1056"/>
      <c r="D331" s="148"/>
      <c r="E331" s="148"/>
      <c r="F331" s="488"/>
      <c r="G331" s="488"/>
      <c r="H331" s="488"/>
      <c r="I331" s="341"/>
    </row>
    <row r="332">
      <c r="A332" s="1703" t="s">
        <v>600</v>
      </c>
      <c r="B332" s="1704" t="s">
        <v>5825</v>
      </c>
      <c r="C332" s="1705" t="s">
        <v>602</v>
      </c>
      <c r="D332" s="1706" t="s">
        <v>3345</v>
      </c>
      <c r="F332" s="488"/>
      <c r="G332" s="488"/>
      <c r="H332" s="1707"/>
      <c r="I332" s="1706" t="s">
        <v>607</v>
      </c>
    </row>
    <row r="333">
      <c r="A333" s="884" t="s">
        <v>389</v>
      </c>
      <c r="B333" s="1708">
        <v>2006.0</v>
      </c>
      <c r="C333" s="1499">
        <v>83000.0</v>
      </c>
      <c r="D333" s="884"/>
      <c r="E333" s="1382"/>
      <c r="F333" s="216"/>
      <c r="G333" s="216"/>
      <c r="H333" s="1709" t="s">
        <v>666</v>
      </c>
      <c r="I333" s="884" t="s">
        <v>2899</v>
      </c>
    </row>
    <row r="334">
      <c r="A334" s="884" t="s">
        <v>346</v>
      </c>
      <c r="B334" s="1710">
        <v>2009.0</v>
      </c>
      <c r="C334" s="1499">
        <v>82521.0</v>
      </c>
      <c r="D334" s="884"/>
      <c r="E334" s="1382"/>
      <c r="F334" s="216"/>
      <c r="G334" s="216"/>
      <c r="H334" s="884"/>
      <c r="I334" s="884" t="s">
        <v>2899</v>
      </c>
    </row>
    <row r="335">
      <c r="A335" s="884" t="s">
        <v>344</v>
      </c>
      <c r="B335" s="1710">
        <v>2010.0</v>
      </c>
      <c r="C335" s="1499">
        <v>83000.0</v>
      </c>
      <c r="D335" s="884"/>
      <c r="E335" s="1382"/>
      <c r="F335" s="216"/>
      <c r="G335" s="216"/>
      <c r="H335" s="884"/>
      <c r="I335" s="884" t="s">
        <v>2899</v>
      </c>
    </row>
    <row r="336">
      <c r="A336" s="884" t="s">
        <v>348</v>
      </c>
      <c r="B336" s="1710">
        <v>2008.0</v>
      </c>
      <c r="C336" s="1499">
        <v>82500.0</v>
      </c>
      <c r="D336" s="884"/>
      <c r="E336" s="1382"/>
      <c r="F336" s="216"/>
      <c r="G336" s="216"/>
      <c r="H336" s="884"/>
      <c r="I336" s="884" t="s">
        <v>2899</v>
      </c>
    </row>
    <row r="337">
      <c r="A337" s="884" t="s">
        <v>2911</v>
      </c>
      <c r="B337" s="1708">
        <v>2002.0</v>
      </c>
      <c r="C337" s="1499">
        <v>79514.0</v>
      </c>
      <c r="D337" s="884"/>
      <c r="E337" s="1382"/>
      <c r="F337" s="216"/>
      <c r="G337" s="216"/>
      <c r="H337" s="1709" t="s">
        <v>666</v>
      </c>
      <c r="I337" s="884" t="s">
        <v>2899</v>
      </c>
    </row>
    <row r="338">
      <c r="A338" s="884" t="s">
        <v>2924</v>
      </c>
      <c r="B338" s="1710">
        <v>2008.0</v>
      </c>
      <c r="C338" s="1499">
        <v>82000.0</v>
      </c>
      <c r="D338" s="884"/>
      <c r="E338" s="1382"/>
      <c r="F338" s="216"/>
      <c r="G338" s="216"/>
      <c r="H338" s="884"/>
      <c r="I338" s="884" t="s">
        <v>2899</v>
      </c>
    </row>
    <row r="339">
      <c r="A339" s="1711" t="s">
        <v>516</v>
      </c>
      <c r="B339" s="1712">
        <v>2007.0</v>
      </c>
      <c r="C339" s="1713">
        <v>80000.0</v>
      </c>
      <c r="D339" s="1711"/>
      <c r="E339" s="1714"/>
      <c r="F339" s="177"/>
      <c r="G339" s="177"/>
      <c r="H339" s="1715" t="s">
        <v>689</v>
      </c>
      <c r="I339" s="1711" t="s">
        <v>2899</v>
      </c>
    </row>
    <row r="340">
      <c r="A340" s="884" t="s">
        <v>498</v>
      </c>
      <c r="B340" s="1710">
        <v>2008.0</v>
      </c>
      <c r="C340" s="1499">
        <v>82000.0</v>
      </c>
      <c r="D340" s="884"/>
      <c r="E340" s="1382"/>
      <c r="F340" s="216"/>
      <c r="G340" s="216"/>
      <c r="H340" s="1709" t="s">
        <v>689</v>
      </c>
      <c r="I340" s="884" t="s">
        <v>1362</v>
      </c>
    </row>
    <row r="341">
      <c r="A341" s="884" t="s">
        <v>1349</v>
      </c>
      <c r="B341" s="1708">
        <v>2007.0</v>
      </c>
      <c r="C341" s="1499">
        <v>82000.0</v>
      </c>
      <c r="D341" s="884"/>
      <c r="E341" s="1382"/>
      <c r="F341" s="216"/>
      <c r="G341" s="216"/>
      <c r="H341" s="884"/>
      <c r="I341" s="884" t="s">
        <v>1362</v>
      </c>
    </row>
    <row r="342">
      <c r="A342" s="884" t="s">
        <v>2921</v>
      </c>
      <c r="B342" s="1710">
        <v>2008.0</v>
      </c>
      <c r="C342" s="1499">
        <v>82000.0</v>
      </c>
      <c r="D342" s="884"/>
      <c r="E342" s="1382"/>
      <c r="F342" s="216"/>
      <c r="G342" s="216"/>
      <c r="H342" s="884"/>
      <c r="I342" s="884" t="s">
        <v>1362</v>
      </c>
    </row>
    <row r="343">
      <c r="A343" s="884" t="s">
        <v>435</v>
      </c>
      <c r="B343" s="1710">
        <v>2009.0</v>
      </c>
      <c r="C343" s="1499">
        <v>84597.0</v>
      </c>
      <c r="D343" s="884"/>
      <c r="E343" s="1382"/>
      <c r="F343" s="216"/>
      <c r="G343" s="216"/>
      <c r="H343" s="884"/>
      <c r="I343" s="884" t="s">
        <v>1362</v>
      </c>
    </row>
    <row r="344">
      <c r="A344" s="884" t="s">
        <v>1361</v>
      </c>
      <c r="B344" s="1710">
        <v>2008.0</v>
      </c>
      <c r="C344" s="1499">
        <v>83800.0</v>
      </c>
      <c r="D344" s="884"/>
      <c r="E344" s="1382"/>
      <c r="F344" s="216"/>
      <c r="G344" s="216"/>
      <c r="H344" s="1709" t="s">
        <v>689</v>
      </c>
      <c r="I344" s="884" t="s">
        <v>1362</v>
      </c>
    </row>
    <row r="345">
      <c r="A345" s="884" t="s">
        <v>349</v>
      </c>
      <c r="B345" s="1710">
        <v>2010.0</v>
      </c>
      <c r="C345" s="1499">
        <v>82521.0</v>
      </c>
      <c r="D345" s="884"/>
      <c r="E345" s="1382"/>
      <c r="F345" s="216"/>
      <c r="G345" s="216"/>
      <c r="H345" s="884"/>
      <c r="I345" s="884" t="s">
        <v>1362</v>
      </c>
    </row>
    <row r="346">
      <c r="A346" s="1711" t="s">
        <v>499</v>
      </c>
      <c r="B346" s="1716">
        <v>2006.0</v>
      </c>
      <c r="C346" s="1713">
        <v>80701.0</v>
      </c>
      <c r="D346" s="1711"/>
      <c r="E346" s="1714"/>
      <c r="F346" s="177"/>
      <c r="G346" s="177"/>
      <c r="H346" s="1711"/>
      <c r="I346" s="1711" t="s">
        <v>1362</v>
      </c>
    </row>
    <row r="347">
      <c r="A347" s="884" t="s">
        <v>266</v>
      </c>
      <c r="B347" s="1708">
        <v>2007.0</v>
      </c>
      <c r="C347" s="1499">
        <v>82000.0</v>
      </c>
      <c r="D347" s="884"/>
      <c r="E347" s="1382"/>
      <c r="F347" s="216"/>
      <c r="G347" s="216"/>
      <c r="H347" s="884"/>
      <c r="I347" s="884" t="s">
        <v>1190</v>
      </c>
    </row>
    <row r="348">
      <c r="A348" s="884" t="s">
        <v>469</v>
      </c>
      <c r="B348" s="1710">
        <v>2008.0</v>
      </c>
      <c r="C348" s="1499">
        <v>82200.0</v>
      </c>
      <c r="D348" s="884"/>
      <c r="E348" s="1382"/>
      <c r="F348" s="216"/>
      <c r="G348" s="216"/>
      <c r="H348" s="1709" t="s">
        <v>689</v>
      </c>
      <c r="I348" s="884" t="s">
        <v>1190</v>
      </c>
    </row>
    <row r="349">
      <c r="A349" s="884" t="s">
        <v>1390</v>
      </c>
      <c r="B349" s="1710">
        <v>2011.0</v>
      </c>
      <c r="C349" s="1499">
        <v>80000.0</v>
      </c>
      <c r="D349" s="884"/>
      <c r="E349" s="1382"/>
      <c r="F349" s="216"/>
      <c r="G349" s="216"/>
      <c r="H349" s="884"/>
      <c r="I349" s="884" t="s">
        <v>1190</v>
      </c>
    </row>
    <row r="350">
      <c r="A350" s="884" t="s">
        <v>369</v>
      </c>
      <c r="B350" s="1710">
        <v>2010.0</v>
      </c>
      <c r="C350" s="1499">
        <v>80199.0</v>
      </c>
      <c r="D350" s="884"/>
      <c r="E350" s="1382"/>
      <c r="F350" s="216"/>
      <c r="G350" s="216"/>
      <c r="H350" s="1709" t="s">
        <v>689</v>
      </c>
      <c r="I350" s="884" t="s">
        <v>1190</v>
      </c>
    </row>
    <row r="351">
      <c r="A351" s="884" t="s">
        <v>527</v>
      </c>
      <c r="B351" s="1710">
        <v>2008.0</v>
      </c>
      <c r="C351" s="1499">
        <v>84597.0</v>
      </c>
      <c r="D351" s="884"/>
      <c r="E351" s="1382"/>
      <c r="F351" s="216"/>
      <c r="G351" s="216"/>
      <c r="H351" s="1709" t="s">
        <v>689</v>
      </c>
      <c r="I351" s="884" t="s">
        <v>1190</v>
      </c>
    </row>
    <row r="352">
      <c r="A352" s="884" t="s">
        <v>2941</v>
      </c>
      <c r="B352" s="1710">
        <v>2007.0</v>
      </c>
      <c r="C352" s="1499">
        <v>82000.0</v>
      </c>
      <c r="D352" s="884"/>
      <c r="E352" s="1382"/>
      <c r="F352" s="216"/>
      <c r="G352" s="216"/>
      <c r="H352" s="884"/>
      <c r="I352" s="884" t="s">
        <v>1190</v>
      </c>
    </row>
    <row r="353">
      <c r="A353" s="884" t="s">
        <v>466</v>
      </c>
      <c r="B353" s="1708">
        <v>2006.0</v>
      </c>
      <c r="C353" s="1499">
        <v>83000.0</v>
      </c>
      <c r="D353" s="884"/>
      <c r="E353" s="1382"/>
      <c r="F353" s="216"/>
      <c r="G353" s="216"/>
      <c r="H353" s="1709" t="s">
        <v>666</v>
      </c>
      <c r="I353" s="884" t="s">
        <v>1190</v>
      </c>
    </row>
    <row r="354">
      <c r="A354" s="884" t="s">
        <v>45</v>
      </c>
      <c r="B354" s="1710">
        <v>2010.0</v>
      </c>
      <c r="C354" s="1499">
        <v>78908.0</v>
      </c>
      <c r="D354" s="884"/>
      <c r="E354" s="1382"/>
      <c r="F354" s="216"/>
      <c r="G354" s="216"/>
      <c r="H354" s="884"/>
      <c r="I354" s="884" t="s">
        <v>1190</v>
      </c>
    </row>
    <row r="355">
      <c r="A355" s="884" t="s">
        <v>457</v>
      </c>
      <c r="B355" s="1708">
        <v>2001.0</v>
      </c>
      <c r="C355" s="1499">
        <v>81960.0</v>
      </c>
      <c r="D355" s="884"/>
      <c r="E355" s="1382"/>
      <c r="F355" s="216"/>
      <c r="G355" s="216"/>
      <c r="H355" s="1709" t="s">
        <v>666</v>
      </c>
      <c r="I355" s="884" t="s">
        <v>1190</v>
      </c>
    </row>
    <row r="356">
      <c r="A356" s="884" t="s">
        <v>392</v>
      </c>
      <c r="B356" s="1708">
        <v>2007.0</v>
      </c>
      <c r="C356" s="1499">
        <v>83000.0</v>
      </c>
      <c r="D356" s="884"/>
      <c r="E356" s="1382"/>
      <c r="F356" s="216"/>
      <c r="G356" s="216"/>
      <c r="H356" s="1709" t="s">
        <v>666</v>
      </c>
      <c r="I356" s="884" t="s">
        <v>1190</v>
      </c>
    </row>
    <row r="357">
      <c r="A357" s="1717" t="s">
        <v>521</v>
      </c>
      <c r="B357" s="1718">
        <v>39902.0</v>
      </c>
      <c r="C357" s="1475">
        <v>82452.0</v>
      </c>
      <c r="D357" s="884"/>
      <c r="E357" s="1382"/>
      <c r="F357" s="216"/>
      <c r="G357" s="216"/>
      <c r="H357" s="884"/>
      <c r="I357" s="884" t="s">
        <v>1190</v>
      </c>
    </row>
    <row r="358">
      <c r="A358" s="341"/>
      <c r="B358" s="341"/>
      <c r="C358" s="1056"/>
      <c r="D358" s="148"/>
      <c r="E358" s="148"/>
      <c r="F358" s="488"/>
      <c r="G358" s="488"/>
      <c r="H358" s="488"/>
      <c r="I358" s="341"/>
    </row>
    <row r="359">
      <c r="A359" s="341"/>
      <c r="B359" s="341"/>
      <c r="C359" s="1056"/>
      <c r="D359" s="148"/>
      <c r="E359" s="148"/>
      <c r="F359" s="488"/>
      <c r="G359" s="488"/>
      <c r="H359" s="488"/>
      <c r="I359" s="341"/>
    </row>
    <row r="360">
      <c r="A360" s="341"/>
      <c r="B360" s="341"/>
      <c r="C360" s="1056"/>
      <c r="D360" s="148"/>
      <c r="E360" s="148"/>
      <c r="F360" s="488"/>
      <c r="G360" s="488"/>
      <c r="H360" s="488"/>
      <c r="I360" s="341"/>
    </row>
    <row r="361">
      <c r="A361" s="341"/>
      <c r="B361" s="341"/>
      <c r="C361" s="1056"/>
      <c r="D361" s="148"/>
      <c r="E361" s="148"/>
      <c r="F361" s="488"/>
      <c r="G361" s="488"/>
      <c r="H361" s="488"/>
      <c r="I361" s="341"/>
    </row>
    <row r="362">
      <c r="A362" s="341"/>
      <c r="B362" s="341"/>
      <c r="C362" s="1056"/>
      <c r="D362" s="148"/>
      <c r="E362" s="148"/>
      <c r="F362" s="488"/>
      <c r="G362" s="488"/>
      <c r="H362" s="488"/>
      <c r="I362" s="341"/>
    </row>
    <row r="363">
      <c r="A363" s="341"/>
      <c r="B363" s="341"/>
      <c r="C363" s="1056"/>
      <c r="D363" s="148"/>
      <c r="E363" s="148"/>
      <c r="F363" s="488"/>
      <c r="G363" s="488"/>
      <c r="H363" s="488"/>
      <c r="I363" s="341"/>
    </row>
    <row r="364">
      <c r="A364" s="341"/>
      <c r="B364" s="341"/>
      <c r="C364" s="1056"/>
      <c r="D364" s="148"/>
      <c r="E364" s="148"/>
      <c r="F364" s="488"/>
      <c r="G364" s="488"/>
      <c r="H364" s="488"/>
      <c r="I364" s="341"/>
    </row>
    <row r="365">
      <c r="A365" s="341"/>
      <c r="B365" s="341"/>
      <c r="C365" s="1056"/>
      <c r="D365" s="148"/>
      <c r="E365" s="148"/>
      <c r="F365" s="488"/>
      <c r="G365" s="488"/>
      <c r="H365" s="488"/>
      <c r="I365" s="341"/>
    </row>
    <row r="366">
      <c r="A366" s="341"/>
      <c r="B366" s="341"/>
      <c r="C366" s="1056"/>
      <c r="D366" s="148"/>
      <c r="E366" s="148"/>
      <c r="F366" s="488"/>
      <c r="G366" s="488"/>
      <c r="H366" s="488"/>
      <c r="I366" s="341"/>
    </row>
    <row r="367">
      <c r="A367" s="341"/>
      <c r="B367" s="341"/>
      <c r="C367" s="1056"/>
      <c r="D367" s="148"/>
      <c r="E367" s="148"/>
      <c r="F367" s="488"/>
      <c r="G367" s="488"/>
      <c r="H367" s="488"/>
      <c r="I367" s="341"/>
    </row>
    <row r="368">
      <c r="A368" s="341"/>
      <c r="B368" s="341"/>
      <c r="C368" s="1056"/>
      <c r="D368" s="148"/>
      <c r="E368" s="148"/>
      <c r="F368" s="488"/>
      <c r="G368" s="488"/>
      <c r="H368" s="488"/>
      <c r="I368" s="341"/>
    </row>
    <row r="369">
      <c r="A369" s="341"/>
      <c r="B369" s="341"/>
      <c r="C369" s="1056"/>
      <c r="D369" s="148"/>
      <c r="E369" s="148"/>
      <c r="F369" s="488"/>
      <c r="G369" s="488"/>
      <c r="H369" s="488"/>
      <c r="I369" s="341"/>
    </row>
    <row r="370">
      <c r="A370" s="341"/>
      <c r="B370" s="341"/>
      <c r="C370" s="1056"/>
      <c r="D370" s="148"/>
      <c r="E370" s="148"/>
      <c r="F370" s="488"/>
      <c r="G370" s="488"/>
      <c r="H370" s="488"/>
      <c r="I370" s="341"/>
    </row>
    <row r="371">
      <c r="A371" s="341"/>
      <c r="B371" s="341"/>
      <c r="C371" s="1056"/>
      <c r="D371" s="148"/>
      <c r="E371" s="148"/>
      <c r="F371" s="488"/>
      <c r="G371" s="488"/>
      <c r="H371" s="488"/>
      <c r="I371" s="341"/>
    </row>
    <row r="372">
      <c r="A372" s="341"/>
      <c r="B372" s="341"/>
      <c r="C372" s="1056"/>
      <c r="D372" s="148"/>
      <c r="E372" s="148"/>
      <c r="F372" s="488"/>
      <c r="G372" s="488"/>
      <c r="H372" s="488"/>
      <c r="I372" s="341"/>
    </row>
    <row r="373">
      <c r="A373" s="341"/>
      <c r="B373" s="341"/>
      <c r="C373" s="1056"/>
      <c r="D373" s="148"/>
      <c r="E373" s="148"/>
      <c r="F373" s="488"/>
      <c r="G373" s="488"/>
      <c r="H373" s="488"/>
      <c r="I373" s="341"/>
    </row>
    <row r="374">
      <c r="A374" s="341"/>
      <c r="B374" s="341"/>
      <c r="C374" s="1056"/>
      <c r="D374" s="148"/>
      <c r="E374" s="148"/>
      <c r="F374" s="488"/>
      <c r="G374" s="488"/>
      <c r="H374" s="488"/>
      <c r="I374" s="341"/>
    </row>
    <row r="375">
      <c r="A375" s="341"/>
      <c r="B375" s="341"/>
      <c r="C375" s="1056"/>
      <c r="D375" s="148"/>
      <c r="E375" s="148"/>
      <c r="F375" s="488"/>
      <c r="G375" s="488"/>
      <c r="H375" s="488"/>
      <c r="I375" s="341"/>
    </row>
    <row r="376">
      <c r="A376" s="341"/>
      <c r="B376" s="341"/>
      <c r="C376" s="1056"/>
      <c r="D376" s="148"/>
      <c r="E376" s="148"/>
      <c r="F376" s="488"/>
      <c r="G376" s="488"/>
      <c r="H376" s="488"/>
      <c r="I376" s="341"/>
    </row>
    <row r="377">
      <c r="A377" s="341"/>
      <c r="B377" s="341"/>
      <c r="C377" s="1056"/>
      <c r="D377" s="148"/>
      <c r="E377" s="148"/>
      <c r="F377" s="488"/>
      <c r="G377" s="488"/>
      <c r="H377" s="488"/>
      <c r="I377" s="341"/>
    </row>
    <row r="378">
      <c r="A378" s="341"/>
      <c r="B378" s="341"/>
      <c r="C378" s="1056"/>
      <c r="D378" s="148"/>
      <c r="E378" s="148"/>
      <c r="F378" s="488"/>
      <c r="G378" s="488"/>
      <c r="H378" s="488"/>
      <c r="I378" s="341"/>
    </row>
    <row r="379">
      <c r="A379" s="341"/>
      <c r="B379" s="341"/>
      <c r="C379" s="1056"/>
      <c r="D379" s="148"/>
      <c r="E379" s="148"/>
      <c r="F379" s="488"/>
      <c r="G379" s="488"/>
      <c r="H379" s="488"/>
      <c r="I379" s="341"/>
    </row>
    <row r="380">
      <c r="A380" s="341"/>
      <c r="B380" s="341"/>
      <c r="C380" s="1056"/>
      <c r="D380" s="148"/>
      <c r="E380" s="148"/>
      <c r="F380" s="488"/>
      <c r="G380" s="488"/>
      <c r="H380" s="488"/>
      <c r="I380" s="341"/>
    </row>
    <row r="381">
      <c r="A381" s="341"/>
      <c r="B381" s="341"/>
      <c r="C381" s="1056"/>
      <c r="D381" s="148"/>
      <c r="E381" s="148"/>
      <c r="F381" s="488"/>
      <c r="G381" s="488"/>
      <c r="H381" s="488"/>
      <c r="I381" s="341"/>
    </row>
    <row r="382">
      <c r="A382" s="341"/>
      <c r="B382" s="341"/>
      <c r="C382" s="1056"/>
      <c r="D382" s="148"/>
      <c r="E382" s="148"/>
      <c r="F382" s="488"/>
      <c r="G382" s="488"/>
      <c r="H382" s="488"/>
      <c r="I382" s="341"/>
    </row>
    <row r="383">
      <c r="A383" s="341"/>
      <c r="B383" s="341"/>
      <c r="C383" s="1056"/>
      <c r="D383" s="148"/>
      <c r="E383" s="148"/>
      <c r="F383" s="488"/>
      <c r="G383" s="488"/>
      <c r="H383" s="488"/>
      <c r="I383" s="341"/>
    </row>
    <row r="384">
      <c r="A384" s="341"/>
      <c r="B384" s="341"/>
      <c r="C384" s="1056"/>
      <c r="D384" s="148"/>
      <c r="E384" s="148"/>
      <c r="F384" s="488"/>
      <c r="G384" s="488"/>
      <c r="H384" s="488"/>
      <c r="I384" s="341"/>
    </row>
    <row r="385">
      <c r="A385" s="341"/>
      <c r="B385" s="341"/>
      <c r="C385" s="1056"/>
      <c r="D385" s="148"/>
      <c r="E385" s="148"/>
      <c r="F385" s="488"/>
      <c r="G385" s="488"/>
      <c r="H385" s="488"/>
      <c r="I385" s="341"/>
    </row>
    <row r="386">
      <c r="A386" s="341"/>
      <c r="B386" s="341"/>
      <c r="C386" s="1056"/>
      <c r="D386" s="148"/>
      <c r="E386" s="148"/>
      <c r="F386" s="488"/>
      <c r="G386" s="488"/>
      <c r="H386" s="488"/>
      <c r="I386" s="341"/>
    </row>
    <row r="387">
      <c r="A387" s="341"/>
      <c r="B387" s="341"/>
      <c r="C387" s="1056"/>
      <c r="D387" s="148"/>
      <c r="E387" s="148"/>
      <c r="F387" s="488"/>
      <c r="G387" s="488"/>
      <c r="H387" s="488"/>
      <c r="I387" s="341"/>
    </row>
    <row r="388">
      <c r="A388" s="341"/>
      <c r="B388" s="341"/>
      <c r="C388" s="1056"/>
      <c r="D388" s="148"/>
      <c r="E388" s="148"/>
      <c r="F388" s="488"/>
      <c r="G388" s="488"/>
      <c r="H388" s="488"/>
      <c r="I388" s="341"/>
    </row>
    <row r="389">
      <c r="A389" s="341"/>
      <c r="B389" s="341"/>
      <c r="C389" s="1056"/>
      <c r="D389" s="148"/>
      <c r="E389" s="148"/>
      <c r="F389" s="488"/>
      <c r="G389" s="488"/>
      <c r="H389" s="488"/>
      <c r="I389" s="341"/>
    </row>
    <row r="390">
      <c r="A390" s="341"/>
      <c r="B390" s="341"/>
      <c r="C390" s="1056"/>
      <c r="D390" s="148"/>
      <c r="E390" s="148"/>
      <c r="F390" s="488"/>
      <c r="G390" s="488"/>
      <c r="H390" s="488"/>
      <c r="I390" s="341"/>
    </row>
    <row r="391">
      <c r="A391" s="341"/>
      <c r="B391" s="341"/>
      <c r="C391" s="1056"/>
      <c r="D391" s="148"/>
      <c r="E391" s="148"/>
      <c r="F391" s="488"/>
      <c r="G391" s="488"/>
      <c r="H391" s="488"/>
      <c r="I391" s="341"/>
    </row>
    <row r="392">
      <c r="A392" s="341"/>
      <c r="B392" s="341"/>
      <c r="C392" s="1056"/>
      <c r="D392" s="148"/>
      <c r="E392" s="148"/>
      <c r="F392" s="488"/>
      <c r="G392" s="488"/>
      <c r="H392" s="488"/>
      <c r="I392" s="341"/>
    </row>
    <row r="393">
      <c r="A393" s="341"/>
      <c r="B393" s="341"/>
      <c r="C393" s="1056"/>
      <c r="D393" s="148"/>
      <c r="E393" s="148"/>
      <c r="F393" s="488"/>
      <c r="G393" s="488"/>
      <c r="H393" s="488"/>
      <c r="I393" s="341"/>
    </row>
    <row r="394">
      <c r="A394" s="341"/>
      <c r="B394" s="341"/>
      <c r="C394" s="1056"/>
      <c r="D394" s="148"/>
      <c r="E394" s="148"/>
      <c r="F394" s="488"/>
      <c r="G394" s="488"/>
      <c r="H394" s="488"/>
      <c r="I394" s="341"/>
    </row>
    <row r="395">
      <c r="A395" s="341"/>
      <c r="B395" s="341"/>
      <c r="C395" s="1056"/>
      <c r="D395" s="148"/>
      <c r="E395" s="148"/>
      <c r="F395" s="488"/>
      <c r="G395" s="488"/>
      <c r="H395" s="488"/>
      <c r="I395" s="341"/>
    </row>
    <row r="396">
      <c r="A396" s="341"/>
      <c r="B396" s="341"/>
      <c r="C396" s="1056"/>
      <c r="D396" s="148"/>
      <c r="E396" s="148"/>
      <c r="F396" s="488"/>
      <c r="G396" s="488"/>
      <c r="H396" s="488"/>
      <c r="I396" s="341"/>
    </row>
    <row r="397">
      <c r="A397" s="341"/>
      <c r="B397" s="341"/>
      <c r="C397" s="1056"/>
      <c r="D397" s="148"/>
      <c r="E397" s="148"/>
      <c r="F397" s="488"/>
      <c r="G397" s="488"/>
      <c r="H397" s="488"/>
      <c r="I397" s="341"/>
    </row>
    <row r="398">
      <c r="A398" s="341"/>
      <c r="B398" s="341"/>
      <c r="C398" s="1056"/>
      <c r="D398" s="148"/>
      <c r="E398" s="148"/>
      <c r="F398" s="488"/>
      <c r="G398" s="488"/>
      <c r="H398" s="488"/>
      <c r="I398" s="341"/>
    </row>
    <row r="399">
      <c r="A399" s="341"/>
      <c r="B399" s="341"/>
      <c r="C399" s="1056"/>
      <c r="D399" s="148"/>
      <c r="E399" s="148"/>
      <c r="F399" s="488"/>
      <c r="G399" s="488"/>
      <c r="H399" s="488"/>
      <c r="I399" s="341"/>
    </row>
    <row r="400">
      <c r="A400" s="341"/>
      <c r="B400" s="341"/>
      <c r="C400" s="1056"/>
      <c r="D400" s="148"/>
      <c r="E400" s="148"/>
      <c r="F400" s="488"/>
      <c r="G400" s="488"/>
      <c r="H400" s="488"/>
      <c r="I400" s="341"/>
    </row>
    <row r="401">
      <c r="A401" s="341"/>
      <c r="B401" s="341"/>
      <c r="C401" s="1056"/>
      <c r="D401" s="148"/>
      <c r="E401" s="148"/>
      <c r="F401" s="488"/>
      <c r="G401" s="488"/>
      <c r="H401" s="488"/>
      <c r="I401" s="341"/>
    </row>
    <row r="402">
      <c r="A402" s="341"/>
      <c r="B402" s="341"/>
      <c r="C402" s="1056"/>
      <c r="D402" s="148"/>
      <c r="E402" s="148"/>
      <c r="F402" s="488"/>
      <c r="G402" s="488"/>
      <c r="H402" s="488"/>
      <c r="I402" s="341"/>
    </row>
    <row r="403">
      <c r="A403" s="341"/>
      <c r="B403" s="341"/>
      <c r="C403" s="1056"/>
      <c r="D403" s="148"/>
      <c r="E403" s="148"/>
      <c r="F403" s="488"/>
      <c r="G403" s="488"/>
      <c r="H403" s="488"/>
      <c r="I403" s="341"/>
    </row>
    <row r="404">
      <c r="A404" s="341"/>
      <c r="B404" s="341"/>
      <c r="C404" s="1056"/>
      <c r="D404" s="148"/>
      <c r="E404" s="148"/>
      <c r="F404" s="488"/>
      <c r="G404" s="488"/>
      <c r="H404" s="488"/>
      <c r="I404" s="341"/>
    </row>
    <row r="405">
      <c r="A405" s="341"/>
      <c r="B405" s="341"/>
      <c r="C405" s="1056"/>
      <c r="D405" s="148"/>
      <c r="E405" s="148"/>
      <c r="F405" s="488"/>
      <c r="G405" s="488"/>
      <c r="H405" s="488"/>
      <c r="I405" s="341"/>
    </row>
    <row r="406">
      <c r="A406" s="341"/>
      <c r="B406" s="341"/>
      <c r="C406" s="1056"/>
      <c r="D406" s="148"/>
      <c r="E406" s="148"/>
      <c r="F406" s="488"/>
      <c r="G406" s="488"/>
      <c r="H406" s="488"/>
      <c r="I406" s="341"/>
    </row>
    <row r="407">
      <c r="A407" s="341"/>
      <c r="B407" s="341"/>
      <c r="C407" s="1056"/>
      <c r="D407" s="148"/>
      <c r="E407" s="148"/>
      <c r="F407" s="488"/>
      <c r="G407" s="488"/>
      <c r="H407" s="488"/>
      <c r="I407" s="341"/>
    </row>
    <row r="408">
      <c r="A408" s="341"/>
      <c r="B408" s="341"/>
      <c r="C408" s="1056"/>
      <c r="D408" s="148"/>
      <c r="E408" s="148"/>
      <c r="F408" s="488"/>
      <c r="G408" s="488"/>
      <c r="H408" s="488"/>
      <c r="I408" s="341"/>
    </row>
    <row r="409">
      <c r="A409" s="341"/>
      <c r="B409" s="341"/>
      <c r="C409" s="1056"/>
      <c r="D409" s="148"/>
      <c r="E409" s="148"/>
      <c r="F409" s="488"/>
      <c r="G409" s="488"/>
      <c r="H409" s="488"/>
      <c r="I409" s="341"/>
    </row>
    <row r="410">
      <c r="A410" s="341"/>
      <c r="B410" s="341"/>
      <c r="C410" s="1056"/>
      <c r="D410" s="148"/>
      <c r="E410" s="148"/>
      <c r="F410" s="488"/>
      <c r="G410" s="488"/>
      <c r="H410" s="488"/>
      <c r="I410" s="341"/>
    </row>
    <row r="411">
      <c r="A411" s="341"/>
      <c r="B411" s="341"/>
      <c r="C411" s="1056"/>
      <c r="D411" s="148"/>
      <c r="E411" s="148"/>
      <c r="F411" s="488"/>
      <c r="G411" s="488"/>
      <c r="H411" s="488"/>
      <c r="I411" s="341"/>
    </row>
    <row r="412">
      <c r="A412" s="341"/>
      <c r="B412" s="341"/>
      <c r="C412" s="1056"/>
      <c r="D412" s="148"/>
      <c r="E412" s="148"/>
      <c r="F412" s="488"/>
      <c r="G412" s="488"/>
      <c r="H412" s="488"/>
      <c r="I412" s="341"/>
    </row>
    <row r="413">
      <c r="A413" s="341"/>
      <c r="B413" s="341"/>
      <c r="C413" s="1056"/>
      <c r="D413" s="148"/>
      <c r="E413" s="148"/>
      <c r="F413" s="488"/>
      <c r="G413" s="488"/>
      <c r="H413" s="488"/>
      <c r="I413" s="341"/>
    </row>
    <row r="414">
      <c r="A414" s="341"/>
      <c r="B414" s="341"/>
      <c r="C414" s="1056"/>
      <c r="D414" s="148"/>
      <c r="E414" s="148"/>
      <c r="F414" s="488"/>
      <c r="G414" s="488"/>
      <c r="H414" s="488"/>
      <c r="I414" s="341"/>
    </row>
    <row r="415">
      <c r="A415" s="341"/>
      <c r="B415" s="341"/>
      <c r="C415" s="1056"/>
      <c r="D415" s="148"/>
      <c r="E415" s="148"/>
      <c r="F415" s="488"/>
      <c r="G415" s="488"/>
      <c r="H415" s="488"/>
      <c r="I415" s="341"/>
    </row>
    <row r="416">
      <c r="A416" s="341"/>
      <c r="B416" s="341"/>
      <c r="C416" s="1056"/>
      <c r="D416" s="148"/>
      <c r="E416" s="148"/>
      <c r="F416" s="488"/>
      <c r="G416" s="488"/>
      <c r="H416" s="488"/>
      <c r="I416" s="341"/>
    </row>
    <row r="417">
      <c r="A417" s="341"/>
      <c r="B417" s="341"/>
      <c r="C417" s="1056"/>
      <c r="D417" s="148"/>
      <c r="E417" s="148"/>
      <c r="F417" s="488"/>
      <c r="G417" s="488"/>
      <c r="H417" s="488"/>
      <c r="I417" s="341"/>
    </row>
    <row r="418">
      <c r="A418" s="341"/>
      <c r="B418" s="341"/>
      <c r="C418" s="1056"/>
      <c r="D418" s="148"/>
      <c r="E418" s="148"/>
      <c r="F418" s="488"/>
      <c r="G418" s="488"/>
      <c r="H418" s="488"/>
      <c r="I418" s="341"/>
    </row>
    <row r="419">
      <c r="A419" s="341"/>
      <c r="B419" s="341"/>
      <c r="C419" s="1056"/>
      <c r="D419" s="148"/>
      <c r="E419" s="148"/>
      <c r="F419" s="488"/>
      <c r="G419" s="488"/>
      <c r="H419" s="488"/>
      <c r="I419" s="341"/>
    </row>
    <row r="420">
      <c r="A420" s="341"/>
      <c r="B420" s="341"/>
      <c r="C420" s="1056"/>
      <c r="D420" s="148"/>
      <c r="E420" s="148"/>
      <c r="F420" s="488"/>
      <c r="G420" s="488"/>
      <c r="H420" s="488"/>
      <c r="I420" s="341"/>
    </row>
    <row r="421">
      <c r="A421" s="341"/>
      <c r="B421" s="341"/>
      <c r="C421" s="1056"/>
      <c r="D421" s="148"/>
      <c r="E421" s="148"/>
      <c r="F421" s="488"/>
      <c r="G421" s="488"/>
      <c r="H421" s="488"/>
      <c r="I421" s="341"/>
    </row>
    <row r="422">
      <c r="A422" s="341"/>
      <c r="B422" s="341"/>
      <c r="C422" s="1056"/>
      <c r="D422" s="148"/>
      <c r="E422" s="148"/>
      <c r="F422" s="488"/>
      <c r="G422" s="488"/>
      <c r="H422" s="488"/>
      <c r="I422" s="341"/>
    </row>
    <row r="423">
      <c r="A423" s="341"/>
      <c r="B423" s="341"/>
      <c r="C423" s="1056"/>
      <c r="D423" s="148"/>
      <c r="E423" s="148"/>
      <c r="F423" s="488"/>
      <c r="G423" s="488"/>
      <c r="H423" s="488"/>
      <c r="I423" s="341"/>
    </row>
    <row r="424">
      <c r="A424" s="341"/>
      <c r="B424" s="341"/>
      <c r="C424" s="1056"/>
      <c r="D424" s="148"/>
      <c r="E424" s="148"/>
      <c r="F424" s="488"/>
      <c r="G424" s="488"/>
      <c r="H424" s="488"/>
      <c r="I424" s="341"/>
    </row>
    <row r="425">
      <c r="A425" s="341"/>
      <c r="B425" s="341"/>
      <c r="C425" s="1056"/>
      <c r="D425" s="148"/>
      <c r="E425" s="148"/>
      <c r="F425" s="488"/>
      <c r="G425" s="488"/>
      <c r="H425" s="488"/>
      <c r="I425" s="341"/>
    </row>
    <row r="426">
      <c r="A426" s="341"/>
      <c r="B426" s="341"/>
      <c r="C426" s="1056"/>
      <c r="D426" s="148"/>
      <c r="E426" s="148"/>
      <c r="F426" s="488"/>
      <c r="G426" s="488"/>
      <c r="H426" s="488"/>
      <c r="I426" s="341"/>
    </row>
    <row r="427">
      <c r="A427" s="341"/>
      <c r="B427" s="341"/>
      <c r="C427" s="1056"/>
      <c r="D427" s="148"/>
      <c r="E427" s="148"/>
      <c r="F427" s="488"/>
      <c r="G427" s="488"/>
      <c r="H427" s="488"/>
      <c r="I427" s="341"/>
    </row>
    <row r="428">
      <c r="A428" s="341"/>
      <c r="B428" s="341"/>
      <c r="C428" s="1056"/>
      <c r="D428" s="148"/>
      <c r="E428" s="148"/>
      <c r="F428" s="488"/>
      <c r="G428" s="488"/>
      <c r="H428" s="488"/>
      <c r="I428" s="341"/>
    </row>
    <row r="429">
      <c r="A429" s="341"/>
      <c r="B429" s="341"/>
      <c r="C429" s="1056"/>
      <c r="D429" s="148"/>
      <c r="E429" s="148"/>
      <c r="F429" s="488"/>
      <c r="G429" s="488"/>
      <c r="H429" s="488"/>
      <c r="I429" s="341"/>
    </row>
    <row r="430">
      <c r="A430" s="341"/>
      <c r="B430" s="341"/>
      <c r="C430" s="1056"/>
      <c r="D430" s="148"/>
      <c r="E430" s="148"/>
      <c r="F430" s="488"/>
      <c r="G430" s="488"/>
      <c r="H430" s="488"/>
      <c r="I430" s="341"/>
    </row>
    <row r="431">
      <c r="A431" s="341"/>
      <c r="B431" s="341"/>
      <c r="C431" s="1056"/>
      <c r="D431" s="148"/>
      <c r="E431" s="148"/>
      <c r="F431" s="488"/>
      <c r="G431" s="488"/>
      <c r="H431" s="488"/>
      <c r="I431" s="341"/>
    </row>
    <row r="432">
      <c r="A432" s="341"/>
      <c r="B432" s="341"/>
      <c r="C432" s="1056"/>
      <c r="D432" s="148"/>
      <c r="E432" s="148"/>
      <c r="F432" s="488"/>
      <c r="G432" s="488"/>
      <c r="H432" s="488"/>
      <c r="I432" s="341"/>
    </row>
    <row r="433">
      <c r="A433" s="341"/>
      <c r="B433" s="341"/>
      <c r="C433" s="1056"/>
      <c r="D433" s="148"/>
      <c r="E433" s="148"/>
      <c r="F433" s="488"/>
      <c r="G433" s="488"/>
      <c r="H433" s="488"/>
      <c r="I433" s="341"/>
    </row>
    <row r="434">
      <c r="A434" s="341"/>
      <c r="B434" s="341"/>
      <c r="C434" s="1056"/>
      <c r="D434" s="148"/>
      <c r="E434" s="148"/>
      <c r="F434" s="488"/>
      <c r="G434" s="488"/>
      <c r="H434" s="488"/>
      <c r="I434" s="341"/>
    </row>
    <row r="435">
      <c r="A435" s="341"/>
      <c r="B435" s="341"/>
      <c r="C435" s="1056"/>
      <c r="D435" s="148"/>
      <c r="E435" s="148"/>
      <c r="F435" s="488"/>
      <c r="G435" s="488"/>
      <c r="H435" s="488"/>
      <c r="I435" s="341"/>
    </row>
    <row r="436">
      <c r="A436" s="341"/>
      <c r="B436" s="341"/>
      <c r="C436" s="1056"/>
      <c r="D436" s="148"/>
      <c r="E436" s="148"/>
      <c r="F436" s="488"/>
      <c r="G436" s="488"/>
      <c r="H436" s="488"/>
      <c r="I436" s="341"/>
    </row>
    <row r="437">
      <c r="A437" s="341"/>
      <c r="B437" s="341"/>
      <c r="C437" s="1056"/>
      <c r="D437" s="148"/>
      <c r="E437" s="148"/>
      <c r="F437" s="488"/>
      <c r="G437" s="488"/>
      <c r="H437" s="488"/>
      <c r="I437" s="341"/>
    </row>
    <row r="438">
      <c r="A438" s="341"/>
      <c r="B438" s="341"/>
      <c r="C438" s="1056"/>
      <c r="D438" s="148"/>
      <c r="E438" s="148"/>
      <c r="F438" s="488"/>
      <c r="G438" s="488"/>
      <c r="H438" s="488"/>
      <c r="I438" s="341"/>
    </row>
    <row r="439">
      <c r="A439" s="341"/>
      <c r="B439" s="341"/>
      <c r="C439" s="1056"/>
      <c r="D439" s="148"/>
      <c r="E439" s="148"/>
      <c r="F439" s="488"/>
      <c r="G439" s="488"/>
      <c r="H439" s="488"/>
      <c r="I439" s="341"/>
    </row>
    <row r="440">
      <c r="A440" s="341"/>
      <c r="B440" s="341"/>
      <c r="C440" s="1056"/>
      <c r="D440" s="148"/>
      <c r="E440" s="148"/>
      <c r="F440" s="488"/>
      <c r="G440" s="488"/>
      <c r="H440" s="488"/>
      <c r="I440" s="341"/>
    </row>
    <row r="441">
      <c r="A441" s="341"/>
      <c r="B441" s="341"/>
      <c r="C441" s="1056"/>
      <c r="D441" s="148"/>
      <c r="E441" s="148"/>
      <c r="F441" s="488"/>
      <c r="G441" s="488"/>
      <c r="H441" s="488"/>
      <c r="I441" s="341"/>
    </row>
    <row r="442">
      <c r="A442" s="341"/>
      <c r="B442" s="341"/>
      <c r="C442" s="1056"/>
      <c r="D442" s="148"/>
      <c r="E442" s="148"/>
      <c r="F442" s="488"/>
      <c r="G442" s="488"/>
      <c r="H442" s="488"/>
      <c r="I442" s="341"/>
    </row>
    <row r="443">
      <c r="A443" s="341"/>
      <c r="B443" s="341"/>
      <c r="C443" s="1056"/>
      <c r="D443" s="148"/>
      <c r="E443" s="148"/>
      <c r="F443" s="488"/>
      <c r="G443" s="488"/>
      <c r="H443" s="488"/>
      <c r="I443" s="341"/>
    </row>
    <row r="444">
      <c r="A444" s="341"/>
      <c r="B444" s="341"/>
      <c r="C444" s="1056"/>
      <c r="D444" s="148"/>
      <c r="E444" s="148"/>
      <c r="F444" s="488"/>
      <c r="G444" s="488"/>
      <c r="H444" s="488"/>
      <c r="I444" s="341"/>
    </row>
    <row r="445">
      <c r="A445" s="341"/>
      <c r="B445" s="341"/>
      <c r="C445" s="1056"/>
      <c r="D445" s="148"/>
      <c r="E445" s="148"/>
      <c r="F445" s="488"/>
      <c r="G445" s="488"/>
      <c r="H445" s="488"/>
      <c r="I445" s="341"/>
    </row>
    <row r="446">
      <c r="A446" s="341"/>
      <c r="B446" s="341"/>
      <c r="C446" s="1056"/>
      <c r="D446" s="148"/>
      <c r="E446" s="148"/>
      <c r="F446" s="488"/>
      <c r="G446" s="488"/>
      <c r="H446" s="488"/>
      <c r="I446" s="341"/>
    </row>
    <row r="447">
      <c r="A447" s="341"/>
      <c r="B447" s="341"/>
      <c r="C447" s="1056"/>
      <c r="D447" s="148"/>
      <c r="E447" s="148"/>
      <c r="F447" s="488"/>
      <c r="G447" s="488"/>
      <c r="H447" s="488"/>
      <c r="I447" s="341"/>
    </row>
    <row r="448">
      <c r="A448" s="341"/>
      <c r="B448" s="341"/>
      <c r="C448" s="1056"/>
      <c r="D448" s="148"/>
      <c r="E448" s="148"/>
      <c r="F448" s="488"/>
      <c r="G448" s="488"/>
      <c r="H448" s="488"/>
      <c r="I448" s="341"/>
    </row>
    <row r="449">
      <c r="A449" s="341"/>
      <c r="B449" s="341"/>
      <c r="C449" s="1056"/>
      <c r="D449" s="148"/>
      <c r="E449" s="148"/>
      <c r="F449" s="488"/>
      <c r="G449" s="488"/>
      <c r="H449" s="488"/>
      <c r="I449" s="341"/>
    </row>
    <row r="450">
      <c r="A450" s="341"/>
      <c r="B450" s="341"/>
      <c r="C450" s="1056"/>
      <c r="D450" s="148"/>
      <c r="E450" s="148"/>
      <c r="F450" s="488"/>
      <c r="G450" s="488"/>
      <c r="H450" s="488"/>
      <c r="I450" s="341"/>
    </row>
    <row r="451">
      <c r="A451" s="341"/>
      <c r="B451" s="341"/>
      <c r="C451" s="1056"/>
      <c r="D451" s="148"/>
      <c r="E451" s="148"/>
      <c r="F451" s="488"/>
      <c r="G451" s="488"/>
      <c r="H451" s="488"/>
      <c r="I451" s="341"/>
    </row>
    <row r="452">
      <c r="A452" s="341"/>
      <c r="B452" s="341"/>
      <c r="C452" s="1056"/>
      <c r="D452" s="148"/>
      <c r="E452" s="148"/>
      <c r="F452" s="488"/>
      <c r="G452" s="488"/>
      <c r="H452" s="488"/>
      <c r="I452" s="341"/>
    </row>
    <row r="453">
      <c r="A453" s="341"/>
      <c r="B453" s="341"/>
      <c r="C453" s="1056"/>
      <c r="D453" s="148"/>
      <c r="E453" s="148"/>
      <c r="F453" s="488"/>
      <c r="G453" s="488"/>
      <c r="H453" s="488"/>
      <c r="I453" s="341"/>
    </row>
    <row r="454">
      <c r="A454" s="341"/>
      <c r="B454" s="341"/>
      <c r="C454" s="1056"/>
      <c r="D454" s="148"/>
      <c r="E454" s="148"/>
      <c r="F454" s="488"/>
      <c r="G454" s="488"/>
      <c r="H454" s="488"/>
      <c r="I454" s="341"/>
    </row>
    <row r="455">
      <c r="A455" s="341"/>
      <c r="B455" s="341"/>
      <c r="C455" s="1056"/>
      <c r="D455" s="148"/>
      <c r="E455" s="148"/>
      <c r="F455" s="488"/>
      <c r="G455" s="488"/>
      <c r="H455" s="488"/>
      <c r="I455" s="341"/>
    </row>
    <row r="456">
      <c r="A456" s="341"/>
      <c r="B456" s="341"/>
      <c r="C456" s="1056"/>
      <c r="D456" s="148"/>
      <c r="E456" s="148"/>
      <c r="F456" s="488"/>
      <c r="G456" s="488"/>
      <c r="H456" s="488"/>
      <c r="I456" s="341"/>
    </row>
    <row r="457">
      <c r="A457" s="341"/>
      <c r="B457" s="341"/>
      <c r="C457" s="1056"/>
      <c r="D457" s="148"/>
      <c r="E457" s="148"/>
      <c r="F457" s="488"/>
      <c r="G457" s="488"/>
      <c r="H457" s="488"/>
      <c r="I457" s="341"/>
    </row>
    <row r="458">
      <c r="A458" s="341"/>
      <c r="B458" s="341"/>
      <c r="C458" s="1056"/>
      <c r="D458" s="148"/>
      <c r="E458" s="148"/>
      <c r="F458" s="488"/>
      <c r="G458" s="488"/>
      <c r="H458" s="488"/>
      <c r="I458" s="341"/>
    </row>
    <row r="459">
      <c r="A459" s="341"/>
      <c r="B459" s="341"/>
      <c r="C459" s="1056"/>
      <c r="D459" s="148"/>
      <c r="E459" s="148"/>
      <c r="F459" s="488"/>
      <c r="G459" s="488"/>
      <c r="H459" s="488"/>
      <c r="I459" s="341"/>
    </row>
    <row r="460">
      <c r="A460" s="341"/>
      <c r="B460" s="341"/>
      <c r="C460" s="1056"/>
      <c r="D460" s="148"/>
      <c r="E460" s="148"/>
      <c r="F460" s="488"/>
      <c r="G460" s="488"/>
      <c r="H460" s="488"/>
      <c r="I460" s="341"/>
    </row>
    <row r="461">
      <c r="A461" s="341"/>
      <c r="B461" s="341"/>
      <c r="C461" s="1056"/>
      <c r="D461" s="148"/>
      <c r="E461" s="148"/>
      <c r="F461" s="488"/>
      <c r="G461" s="488"/>
      <c r="H461" s="488"/>
      <c r="I461" s="341"/>
    </row>
    <row r="462">
      <c r="A462" s="341"/>
      <c r="B462" s="341"/>
      <c r="C462" s="1056"/>
      <c r="D462" s="148"/>
      <c r="E462" s="148"/>
      <c r="F462" s="488"/>
      <c r="G462" s="488"/>
      <c r="H462" s="488"/>
      <c r="I462" s="341"/>
    </row>
    <row r="463">
      <c r="A463" s="341"/>
      <c r="B463" s="341"/>
      <c r="C463" s="1056"/>
      <c r="D463" s="148"/>
      <c r="E463" s="148"/>
      <c r="F463" s="488"/>
      <c r="G463" s="488"/>
      <c r="H463" s="488"/>
      <c r="I463" s="341"/>
    </row>
    <row r="464">
      <c r="A464" s="341"/>
      <c r="B464" s="341"/>
      <c r="C464" s="1056"/>
      <c r="D464" s="148"/>
      <c r="E464" s="148"/>
      <c r="F464" s="488"/>
      <c r="G464" s="488"/>
      <c r="H464" s="488"/>
      <c r="I464" s="341"/>
    </row>
    <row r="465">
      <c r="A465" s="341"/>
      <c r="B465" s="341"/>
      <c r="C465" s="1056"/>
      <c r="D465" s="148"/>
      <c r="E465" s="148"/>
      <c r="F465" s="488"/>
      <c r="G465" s="488"/>
      <c r="H465" s="488"/>
      <c r="I465" s="341"/>
    </row>
    <row r="466">
      <c r="A466" s="341"/>
      <c r="B466" s="341"/>
      <c r="C466" s="1056"/>
      <c r="D466" s="148"/>
      <c r="E466" s="148"/>
      <c r="F466" s="488"/>
      <c r="G466" s="488"/>
      <c r="H466" s="488"/>
      <c r="I466" s="341"/>
    </row>
    <row r="467">
      <c r="A467" s="341"/>
      <c r="B467" s="341"/>
      <c r="C467" s="1056"/>
      <c r="D467" s="148"/>
      <c r="E467" s="148"/>
      <c r="F467" s="488"/>
      <c r="G467" s="488"/>
      <c r="H467" s="488"/>
      <c r="I467" s="341"/>
    </row>
    <row r="468">
      <c r="A468" s="341"/>
      <c r="B468" s="341"/>
      <c r="C468" s="1056"/>
      <c r="D468" s="148"/>
      <c r="E468" s="148"/>
      <c r="F468" s="488"/>
      <c r="G468" s="488"/>
      <c r="H468" s="488"/>
      <c r="I468" s="341"/>
    </row>
    <row r="469">
      <c r="A469" s="341"/>
      <c r="B469" s="341"/>
      <c r="C469" s="1056"/>
      <c r="D469" s="148"/>
      <c r="E469" s="148"/>
      <c r="F469" s="488"/>
      <c r="G469" s="488"/>
      <c r="H469" s="488"/>
      <c r="I469" s="341"/>
    </row>
    <row r="470">
      <c r="A470" s="341"/>
      <c r="B470" s="341"/>
      <c r="C470" s="1056"/>
      <c r="D470" s="148"/>
      <c r="E470" s="148"/>
      <c r="F470" s="488"/>
      <c r="G470" s="488"/>
      <c r="H470" s="488"/>
      <c r="I470" s="341"/>
    </row>
    <row r="471">
      <c r="A471" s="341"/>
      <c r="B471" s="341"/>
      <c r="C471" s="1056"/>
      <c r="D471" s="148"/>
      <c r="E471" s="148"/>
      <c r="F471" s="488"/>
      <c r="G471" s="488"/>
      <c r="H471" s="488"/>
      <c r="I471" s="341"/>
    </row>
    <row r="472">
      <c r="A472" s="341"/>
      <c r="B472" s="341"/>
      <c r="C472" s="1056"/>
      <c r="D472" s="148"/>
      <c r="E472" s="148"/>
      <c r="F472" s="488"/>
      <c r="G472" s="488"/>
      <c r="H472" s="488"/>
      <c r="I472" s="341"/>
    </row>
    <row r="473">
      <c r="A473" s="341"/>
      <c r="B473" s="341"/>
      <c r="C473" s="1056"/>
      <c r="D473" s="148"/>
      <c r="E473" s="148"/>
      <c r="F473" s="488"/>
      <c r="G473" s="488"/>
      <c r="H473" s="488"/>
      <c r="I473" s="341"/>
    </row>
    <row r="474">
      <c r="A474" s="341"/>
      <c r="B474" s="341"/>
      <c r="C474" s="1056"/>
      <c r="D474" s="148"/>
      <c r="E474" s="148"/>
      <c r="F474" s="488"/>
      <c r="G474" s="488"/>
      <c r="H474" s="488"/>
      <c r="I474" s="341"/>
    </row>
    <row r="475">
      <c r="A475" s="341"/>
      <c r="B475" s="341"/>
      <c r="C475" s="1056"/>
      <c r="D475" s="148"/>
      <c r="E475" s="148"/>
      <c r="F475" s="488"/>
      <c r="G475" s="488"/>
      <c r="H475" s="488"/>
      <c r="I475" s="341"/>
    </row>
    <row r="476">
      <c r="A476" s="341"/>
      <c r="B476" s="341"/>
      <c r="C476" s="1056"/>
      <c r="D476" s="148"/>
      <c r="E476" s="148"/>
      <c r="F476" s="488"/>
      <c r="G476" s="488"/>
      <c r="H476" s="488"/>
      <c r="I476" s="341"/>
    </row>
    <row r="477">
      <c r="A477" s="341"/>
      <c r="B477" s="341"/>
      <c r="C477" s="1056"/>
      <c r="D477" s="148"/>
      <c r="E477" s="148"/>
      <c r="F477" s="488"/>
      <c r="G477" s="488"/>
      <c r="H477" s="488"/>
      <c r="I477" s="341"/>
    </row>
    <row r="478">
      <c r="A478" s="341"/>
      <c r="B478" s="341"/>
      <c r="C478" s="1056"/>
      <c r="D478" s="148"/>
      <c r="E478" s="148"/>
      <c r="F478" s="488"/>
      <c r="G478" s="488"/>
      <c r="H478" s="488"/>
      <c r="I478" s="341"/>
    </row>
    <row r="479">
      <c r="A479" s="341"/>
      <c r="B479" s="341"/>
      <c r="C479" s="1056"/>
      <c r="D479" s="148"/>
      <c r="E479" s="148"/>
      <c r="F479" s="488"/>
      <c r="G479" s="488"/>
      <c r="H479" s="488"/>
      <c r="I479" s="341"/>
    </row>
    <row r="480">
      <c r="A480" s="341"/>
      <c r="B480" s="341"/>
      <c r="C480" s="1056"/>
      <c r="D480" s="148"/>
      <c r="E480" s="148"/>
      <c r="F480" s="488"/>
      <c r="G480" s="488"/>
      <c r="H480" s="488"/>
      <c r="I480" s="341"/>
    </row>
    <row r="481">
      <c r="A481" s="341"/>
      <c r="B481" s="341"/>
      <c r="C481" s="1056"/>
      <c r="D481" s="148"/>
      <c r="E481" s="148"/>
      <c r="F481" s="488"/>
      <c r="G481" s="488"/>
      <c r="H481" s="488"/>
      <c r="I481" s="341"/>
    </row>
    <row r="482">
      <c r="A482" s="341"/>
      <c r="B482" s="341"/>
      <c r="C482" s="1056"/>
      <c r="D482" s="148"/>
      <c r="E482" s="148"/>
      <c r="F482" s="488"/>
      <c r="G482" s="488"/>
      <c r="H482" s="488"/>
      <c r="I482" s="341"/>
    </row>
    <row r="483">
      <c r="A483" s="341"/>
      <c r="B483" s="341"/>
      <c r="C483" s="1056"/>
      <c r="D483" s="148"/>
      <c r="E483" s="148"/>
      <c r="F483" s="488"/>
      <c r="G483" s="488"/>
      <c r="H483" s="488"/>
      <c r="I483" s="341"/>
    </row>
    <row r="484">
      <c r="A484" s="341"/>
      <c r="B484" s="341"/>
      <c r="C484" s="1056"/>
      <c r="D484" s="148"/>
      <c r="E484" s="148"/>
      <c r="F484" s="488"/>
      <c r="G484" s="488"/>
      <c r="H484" s="488"/>
      <c r="I484" s="341"/>
    </row>
    <row r="485">
      <c r="A485" s="341"/>
      <c r="B485" s="341"/>
      <c r="C485" s="1056"/>
      <c r="D485" s="148"/>
      <c r="E485" s="148"/>
      <c r="F485" s="488"/>
      <c r="G485" s="488"/>
      <c r="H485" s="488"/>
      <c r="I485" s="341"/>
    </row>
    <row r="486">
      <c r="A486" s="341"/>
      <c r="B486" s="341"/>
      <c r="C486" s="1056"/>
      <c r="D486" s="148"/>
      <c r="E486" s="148"/>
      <c r="F486" s="488"/>
      <c r="G486" s="488"/>
      <c r="H486" s="488"/>
      <c r="I486" s="341"/>
    </row>
    <row r="487">
      <c r="A487" s="341"/>
      <c r="B487" s="341"/>
      <c r="C487" s="1056"/>
      <c r="D487" s="148"/>
      <c r="E487" s="148"/>
      <c r="F487" s="488"/>
      <c r="G487" s="488"/>
      <c r="H487" s="488"/>
      <c r="I487" s="341"/>
    </row>
    <row r="488">
      <c r="A488" s="341"/>
      <c r="B488" s="341"/>
      <c r="C488" s="1056"/>
      <c r="D488" s="148"/>
      <c r="E488" s="148"/>
      <c r="F488" s="488"/>
      <c r="G488" s="488"/>
      <c r="H488" s="488"/>
      <c r="I488" s="341"/>
    </row>
    <row r="489">
      <c r="A489" s="341"/>
      <c r="B489" s="341"/>
      <c r="C489" s="1056"/>
      <c r="D489" s="148"/>
      <c r="E489" s="148"/>
      <c r="F489" s="488"/>
      <c r="G489" s="488"/>
      <c r="H489" s="488"/>
      <c r="I489" s="341"/>
    </row>
    <row r="490">
      <c r="A490" s="341"/>
      <c r="B490" s="341"/>
      <c r="C490" s="1056"/>
      <c r="D490" s="148"/>
      <c r="E490" s="148"/>
      <c r="F490" s="488"/>
      <c r="G490" s="488"/>
      <c r="H490" s="488"/>
      <c r="I490" s="341"/>
    </row>
    <row r="491">
      <c r="A491" s="341"/>
      <c r="B491" s="341"/>
      <c r="C491" s="1056"/>
      <c r="D491" s="148"/>
      <c r="E491" s="148"/>
      <c r="F491" s="488"/>
      <c r="G491" s="488"/>
      <c r="H491" s="488"/>
      <c r="I491" s="341"/>
    </row>
    <row r="492">
      <c r="A492" s="341"/>
      <c r="B492" s="341"/>
      <c r="C492" s="1056"/>
      <c r="D492" s="148"/>
      <c r="E492" s="148"/>
      <c r="F492" s="488"/>
      <c r="G492" s="488"/>
      <c r="H492" s="488"/>
      <c r="I492" s="341"/>
    </row>
    <row r="493">
      <c r="A493" s="341"/>
      <c r="B493" s="341"/>
      <c r="C493" s="1056"/>
      <c r="D493" s="148"/>
      <c r="E493" s="148"/>
      <c r="F493" s="488"/>
      <c r="G493" s="488"/>
      <c r="H493" s="488"/>
      <c r="I493" s="341"/>
    </row>
    <row r="494">
      <c r="A494" s="341"/>
      <c r="B494" s="341"/>
      <c r="C494" s="1056"/>
      <c r="D494" s="148"/>
      <c r="E494" s="148"/>
      <c r="F494" s="488"/>
      <c r="G494" s="488"/>
      <c r="H494" s="488"/>
      <c r="I494" s="341"/>
    </row>
    <row r="495">
      <c r="A495" s="341"/>
      <c r="B495" s="341"/>
      <c r="C495" s="1056"/>
      <c r="D495" s="148"/>
      <c r="E495" s="148"/>
      <c r="F495" s="488"/>
      <c r="G495" s="488"/>
      <c r="H495" s="488"/>
      <c r="I495" s="341"/>
    </row>
    <row r="496">
      <c r="A496" s="341"/>
      <c r="B496" s="341"/>
      <c r="C496" s="1056"/>
      <c r="D496" s="148"/>
      <c r="E496" s="148"/>
      <c r="F496" s="488"/>
      <c r="G496" s="488"/>
      <c r="H496" s="488"/>
      <c r="I496" s="341"/>
    </row>
    <row r="497">
      <c r="A497" s="341"/>
      <c r="B497" s="341"/>
      <c r="C497" s="1056"/>
      <c r="D497" s="148"/>
      <c r="E497" s="148"/>
      <c r="F497" s="488"/>
      <c r="G497" s="488"/>
      <c r="H497" s="488"/>
      <c r="I497" s="341"/>
    </row>
    <row r="498">
      <c r="A498" s="341"/>
      <c r="B498" s="341"/>
      <c r="C498" s="1056"/>
      <c r="D498" s="148"/>
      <c r="E498" s="148"/>
      <c r="F498" s="488"/>
      <c r="G498" s="488"/>
      <c r="H498" s="488"/>
      <c r="I498" s="341"/>
    </row>
    <row r="499">
      <c r="A499" s="341"/>
      <c r="B499" s="341"/>
      <c r="C499" s="1056"/>
      <c r="D499" s="148"/>
      <c r="E499" s="148"/>
      <c r="F499" s="488"/>
      <c r="G499" s="488"/>
      <c r="H499" s="488"/>
      <c r="I499" s="341"/>
    </row>
    <row r="500">
      <c r="A500" s="341"/>
      <c r="B500" s="341"/>
      <c r="C500" s="1056"/>
      <c r="D500" s="148"/>
      <c r="E500" s="148"/>
      <c r="F500" s="488"/>
      <c r="G500" s="488"/>
      <c r="H500" s="488"/>
      <c r="I500" s="341"/>
    </row>
    <row r="501">
      <c r="A501" s="341"/>
      <c r="B501" s="341"/>
      <c r="C501" s="1056"/>
      <c r="D501" s="148"/>
      <c r="E501" s="148"/>
      <c r="F501" s="488"/>
      <c r="G501" s="488"/>
      <c r="H501" s="488"/>
      <c r="I501" s="341"/>
    </row>
    <row r="502">
      <c r="A502" s="341"/>
      <c r="B502" s="341"/>
      <c r="C502" s="1056"/>
      <c r="D502" s="148"/>
      <c r="E502" s="148"/>
      <c r="F502" s="488"/>
      <c r="G502" s="488"/>
      <c r="H502" s="488"/>
      <c r="I502" s="341"/>
    </row>
    <row r="503">
      <c r="A503" s="341"/>
      <c r="B503" s="341"/>
      <c r="C503" s="1056"/>
      <c r="D503" s="148"/>
      <c r="E503" s="148"/>
      <c r="F503" s="488"/>
      <c r="G503" s="488"/>
      <c r="H503" s="488"/>
      <c r="I503" s="341"/>
    </row>
    <row r="504">
      <c r="A504" s="341"/>
      <c r="B504" s="341"/>
      <c r="C504" s="1056"/>
      <c r="D504" s="148"/>
      <c r="E504" s="148"/>
      <c r="F504" s="488"/>
      <c r="G504" s="488"/>
      <c r="H504" s="488"/>
      <c r="I504" s="341"/>
    </row>
    <row r="505">
      <c r="A505" s="341"/>
      <c r="B505" s="341"/>
      <c r="C505" s="1056"/>
      <c r="D505" s="148"/>
      <c r="E505" s="148"/>
      <c r="F505" s="488"/>
      <c r="G505" s="488"/>
      <c r="H505" s="488"/>
      <c r="I505" s="341"/>
    </row>
    <row r="506">
      <c r="A506" s="341"/>
      <c r="B506" s="341"/>
      <c r="C506" s="1056"/>
      <c r="D506" s="148"/>
      <c r="E506" s="148"/>
      <c r="F506" s="488"/>
      <c r="G506" s="488"/>
      <c r="H506" s="488"/>
      <c r="I506" s="341"/>
    </row>
    <row r="507">
      <c r="A507" s="341"/>
      <c r="B507" s="341"/>
      <c r="C507" s="1056"/>
      <c r="D507" s="148"/>
      <c r="E507" s="148"/>
      <c r="F507" s="488"/>
      <c r="G507" s="488"/>
      <c r="H507" s="488"/>
      <c r="I507" s="341"/>
    </row>
    <row r="508">
      <c r="A508" s="341"/>
      <c r="B508" s="341"/>
      <c r="C508" s="1056"/>
      <c r="D508" s="148"/>
      <c r="E508" s="148"/>
      <c r="F508" s="488"/>
      <c r="G508" s="488"/>
      <c r="H508" s="488"/>
      <c r="I508" s="341"/>
    </row>
    <row r="509">
      <c r="A509" s="341"/>
      <c r="B509" s="341"/>
      <c r="C509" s="1056"/>
      <c r="D509" s="148"/>
      <c r="E509" s="148"/>
      <c r="F509" s="488"/>
      <c r="G509" s="488"/>
      <c r="H509" s="488"/>
      <c r="I509" s="341"/>
    </row>
    <row r="510">
      <c r="A510" s="341"/>
      <c r="B510" s="341"/>
      <c r="C510" s="1056"/>
      <c r="D510" s="148"/>
      <c r="E510" s="148"/>
      <c r="F510" s="488"/>
      <c r="G510" s="488"/>
      <c r="H510" s="488"/>
      <c r="I510" s="341"/>
    </row>
    <row r="511">
      <c r="A511" s="341"/>
      <c r="B511" s="341"/>
      <c r="C511" s="1056"/>
      <c r="D511" s="148"/>
      <c r="E511" s="148"/>
      <c r="F511" s="488"/>
      <c r="G511" s="488"/>
      <c r="H511" s="488"/>
      <c r="I511" s="341"/>
    </row>
    <row r="512">
      <c r="A512" s="341"/>
      <c r="B512" s="341"/>
      <c r="C512" s="1056"/>
      <c r="D512" s="148"/>
      <c r="E512" s="148"/>
      <c r="F512" s="488"/>
      <c r="G512" s="488"/>
      <c r="H512" s="488"/>
      <c r="I512" s="341"/>
    </row>
    <row r="513">
      <c r="A513" s="341"/>
      <c r="B513" s="341"/>
      <c r="C513" s="1056"/>
      <c r="D513" s="148"/>
      <c r="E513" s="148"/>
      <c r="F513" s="488"/>
      <c r="G513" s="488"/>
      <c r="H513" s="488"/>
      <c r="I513" s="341"/>
    </row>
    <row r="514">
      <c r="A514" s="341"/>
      <c r="B514" s="341"/>
      <c r="C514" s="1056"/>
      <c r="D514" s="148"/>
      <c r="E514" s="148"/>
      <c r="F514" s="488"/>
      <c r="G514" s="488"/>
      <c r="H514" s="488"/>
      <c r="I514" s="341"/>
    </row>
    <row r="515">
      <c r="A515" s="341"/>
      <c r="B515" s="341"/>
      <c r="C515" s="1056"/>
      <c r="D515" s="148"/>
      <c r="E515" s="148"/>
      <c r="F515" s="488"/>
      <c r="G515" s="488"/>
      <c r="H515" s="488"/>
      <c r="I515" s="341"/>
    </row>
    <row r="516">
      <c r="A516" s="341"/>
      <c r="B516" s="341"/>
      <c r="C516" s="1056"/>
      <c r="D516" s="148"/>
      <c r="E516" s="148"/>
      <c r="F516" s="488"/>
      <c r="G516" s="488"/>
      <c r="H516" s="488"/>
      <c r="I516" s="341"/>
    </row>
    <row r="517">
      <c r="A517" s="341"/>
      <c r="B517" s="341"/>
      <c r="C517" s="1056"/>
      <c r="D517" s="148"/>
      <c r="E517" s="148"/>
      <c r="F517" s="488"/>
      <c r="G517" s="488"/>
      <c r="H517" s="488"/>
      <c r="I517" s="341"/>
    </row>
    <row r="518">
      <c r="A518" s="341"/>
      <c r="B518" s="341"/>
      <c r="C518" s="1056"/>
      <c r="D518" s="148"/>
      <c r="E518" s="148"/>
      <c r="F518" s="488"/>
      <c r="G518" s="488"/>
      <c r="H518" s="488"/>
      <c r="I518" s="341"/>
    </row>
    <row r="519">
      <c r="A519" s="341"/>
      <c r="B519" s="341"/>
      <c r="C519" s="1056"/>
      <c r="D519" s="148"/>
      <c r="E519" s="148"/>
      <c r="F519" s="488"/>
      <c r="G519" s="488"/>
      <c r="H519" s="488"/>
      <c r="I519" s="341"/>
    </row>
    <row r="520">
      <c r="A520" s="341"/>
      <c r="B520" s="341"/>
      <c r="C520" s="1056"/>
      <c r="D520" s="148"/>
      <c r="E520" s="148"/>
      <c r="F520" s="488"/>
      <c r="G520" s="488"/>
      <c r="H520" s="488"/>
      <c r="I520" s="341"/>
    </row>
    <row r="521">
      <c r="A521" s="341"/>
      <c r="B521" s="341"/>
      <c r="C521" s="1056"/>
      <c r="D521" s="148"/>
      <c r="E521" s="148"/>
      <c r="F521" s="488"/>
      <c r="G521" s="488"/>
      <c r="H521" s="488"/>
      <c r="I521" s="341"/>
    </row>
    <row r="522">
      <c r="A522" s="341"/>
      <c r="B522" s="341"/>
      <c r="C522" s="1056"/>
      <c r="D522" s="148"/>
      <c r="E522" s="148"/>
      <c r="F522" s="488"/>
      <c r="G522" s="488"/>
      <c r="H522" s="488"/>
      <c r="I522" s="341"/>
    </row>
    <row r="523">
      <c r="A523" s="341"/>
      <c r="B523" s="341"/>
      <c r="C523" s="1056"/>
      <c r="D523" s="148"/>
      <c r="E523" s="148"/>
      <c r="F523" s="488"/>
      <c r="G523" s="488"/>
      <c r="H523" s="488"/>
      <c r="I523" s="341"/>
    </row>
    <row r="524">
      <c r="A524" s="341"/>
      <c r="B524" s="341"/>
      <c r="C524" s="1056"/>
      <c r="D524" s="148"/>
      <c r="E524" s="148"/>
      <c r="F524" s="488"/>
      <c r="G524" s="488"/>
      <c r="H524" s="488"/>
      <c r="I524" s="341"/>
    </row>
    <row r="525">
      <c r="A525" s="341"/>
      <c r="B525" s="341"/>
      <c r="C525" s="1056"/>
      <c r="D525" s="148"/>
      <c r="E525" s="148"/>
      <c r="F525" s="488"/>
      <c r="G525" s="488"/>
      <c r="H525" s="488"/>
      <c r="I525" s="341"/>
    </row>
    <row r="526">
      <c r="A526" s="341"/>
      <c r="B526" s="341"/>
      <c r="C526" s="1056"/>
      <c r="D526" s="148"/>
      <c r="E526" s="148"/>
      <c r="F526" s="488"/>
      <c r="G526" s="488"/>
      <c r="H526" s="488"/>
      <c r="I526" s="341"/>
    </row>
    <row r="527">
      <c r="A527" s="341"/>
      <c r="B527" s="341"/>
      <c r="C527" s="1056"/>
      <c r="D527" s="148"/>
      <c r="E527" s="148"/>
      <c r="F527" s="488"/>
      <c r="G527" s="488"/>
      <c r="H527" s="488"/>
      <c r="I527" s="341"/>
    </row>
    <row r="528">
      <c r="A528" s="341"/>
      <c r="B528" s="341"/>
      <c r="C528" s="1056"/>
      <c r="D528" s="148"/>
      <c r="E528" s="148"/>
      <c r="F528" s="488"/>
      <c r="G528" s="488"/>
      <c r="H528" s="488"/>
      <c r="I528" s="341"/>
    </row>
    <row r="529">
      <c r="A529" s="341"/>
      <c r="B529" s="341"/>
      <c r="C529" s="1056"/>
      <c r="D529" s="148"/>
      <c r="E529" s="148"/>
      <c r="F529" s="488"/>
      <c r="G529" s="488"/>
      <c r="H529" s="488"/>
      <c r="I529" s="341"/>
    </row>
    <row r="530">
      <c r="A530" s="341"/>
      <c r="B530" s="341"/>
      <c r="C530" s="1056"/>
      <c r="D530" s="148"/>
      <c r="E530" s="148"/>
      <c r="F530" s="488"/>
      <c r="G530" s="488"/>
      <c r="H530" s="488"/>
      <c r="I530" s="341"/>
    </row>
    <row r="531">
      <c r="A531" s="341"/>
      <c r="B531" s="341"/>
      <c r="C531" s="1056"/>
      <c r="D531" s="148"/>
      <c r="E531" s="148"/>
      <c r="F531" s="488"/>
      <c r="G531" s="488"/>
      <c r="H531" s="488"/>
      <c r="I531" s="341"/>
    </row>
    <row r="532">
      <c r="A532" s="341"/>
      <c r="B532" s="341"/>
      <c r="C532" s="1056"/>
      <c r="D532" s="148"/>
      <c r="E532" s="148"/>
      <c r="F532" s="488"/>
      <c r="G532" s="488"/>
      <c r="H532" s="488"/>
      <c r="I532" s="341"/>
    </row>
    <row r="533">
      <c r="A533" s="341"/>
      <c r="B533" s="341"/>
      <c r="C533" s="1056"/>
      <c r="D533" s="148"/>
      <c r="E533" s="148"/>
      <c r="F533" s="488"/>
      <c r="G533" s="488"/>
      <c r="H533" s="488"/>
      <c r="I533" s="341"/>
    </row>
    <row r="534">
      <c r="A534" s="341"/>
      <c r="B534" s="341"/>
      <c r="C534" s="1056"/>
      <c r="D534" s="148"/>
      <c r="E534" s="148"/>
      <c r="F534" s="488"/>
      <c r="G534" s="488"/>
      <c r="H534" s="488"/>
      <c r="I534" s="341"/>
    </row>
    <row r="535">
      <c r="A535" s="341"/>
      <c r="B535" s="341"/>
      <c r="C535" s="1056"/>
      <c r="D535" s="148"/>
      <c r="E535" s="148"/>
      <c r="F535" s="488"/>
      <c r="G535" s="488"/>
      <c r="H535" s="488"/>
      <c r="I535" s="341"/>
    </row>
    <row r="536">
      <c r="A536" s="341"/>
      <c r="B536" s="341"/>
      <c r="C536" s="1056"/>
      <c r="D536" s="148"/>
      <c r="E536" s="148"/>
      <c r="F536" s="488"/>
      <c r="G536" s="488"/>
      <c r="H536" s="488"/>
      <c r="I536" s="341"/>
    </row>
    <row r="537">
      <c r="A537" s="341"/>
      <c r="B537" s="341"/>
      <c r="C537" s="1056"/>
      <c r="D537" s="148"/>
      <c r="E537" s="148"/>
      <c r="F537" s="488"/>
      <c r="G537" s="488"/>
      <c r="H537" s="488"/>
      <c r="I537" s="341"/>
    </row>
    <row r="538">
      <c r="A538" s="341"/>
      <c r="B538" s="341"/>
      <c r="C538" s="1056"/>
      <c r="D538" s="148"/>
      <c r="E538" s="148"/>
      <c r="F538" s="488"/>
      <c r="G538" s="488"/>
      <c r="H538" s="488"/>
      <c r="I538" s="341"/>
    </row>
    <row r="539">
      <c r="A539" s="341"/>
      <c r="B539" s="341"/>
      <c r="C539" s="1056"/>
      <c r="D539" s="148"/>
      <c r="E539" s="148"/>
      <c r="F539" s="488"/>
      <c r="G539" s="488"/>
      <c r="H539" s="488"/>
      <c r="I539" s="341"/>
    </row>
    <row r="540">
      <c r="A540" s="341"/>
      <c r="B540" s="341"/>
      <c r="C540" s="1056"/>
      <c r="D540" s="148"/>
      <c r="E540" s="148"/>
      <c r="F540" s="488"/>
      <c r="G540" s="488"/>
      <c r="H540" s="488"/>
      <c r="I540" s="341"/>
    </row>
    <row r="541">
      <c r="A541" s="341"/>
      <c r="B541" s="341"/>
      <c r="C541" s="1056"/>
      <c r="D541" s="148"/>
      <c r="E541" s="148"/>
      <c r="F541" s="488"/>
      <c r="G541" s="488"/>
      <c r="H541" s="488"/>
      <c r="I541" s="341"/>
    </row>
    <row r="542">
      <c r="A542" s="341"/>
      <c r="B542" s="341"/>
      <c r="C542" s="1056"/>
      <c r="D542" s="148"/>
      <c r="E542" s="148"/>
      <c r="F542" s="488"/>
      <c r="G542" s="488"/>
      <c r="H542" s="488"/>
      <c r="I542" s="341"/>
    </row>
    <row r="543">
      <c r="A543" s="341"/>
      <c r="B543" s="341"/>
      <c r="C543" s="1056"/>
      <c r="D543" s="148"/>
      <c r="E543" s="148"/>
      <c r="F543" s="488"/>
      <c r="G543" s="488"/>
      <c r="H543" s="488"/>
      <c r="I543" s="341"/>
    </row>
    <row r="544">
      <c r="A544" s="341"/>
      <c r="B544" s="341"/>
      <c r="C544" s="1056"/>
      <c r="D544" s="148"/>
      <c r="E544" s="148"/>
      <c r="F544" s="488"/>
      <c r="G544" s="488"/>
      <c r="H544" s="488"/>
      <c r="I544" s="341"/>
    </row>
    <row r="545">
      <c r="A545" s="341"/>
      <c r="B545" s="341"/>
      <c r="C545" s="1056"/>
      <c r="D545" s="148"/>
      <c r="E545" s="148"/>
      <c r="F545" s="488"/>
      <c r="G545" s="488"/>
      <c r="H545" s="488"/>
      <c r="I545" s="341"/>
    </row>
    <row r="546">
      <c r="A546" s="341"/>
      <c r="B546" s="341"/>
      <c r="C546" s="1056"/>
      <c r="D546" s="148"/>
      <c r="E546" s="148"/>
      <c r="F546" s="488"/>
      <c r="G546" s="488"/>
      <c r="H546" s="488"/>
      <c r="I546" s="341"/>
    </row>
    <row r="547">
      <c r="A547" s="341"/>
      <c r="B547" s="341"/>
      <c r="C547" s="1056"/>
      <c r="D547" s="148"/>
      <c r="E547" s="148"/>
      <c r="F547" s="488"/>
      <c r="G547" s="488"/>
      <c r="H547" s="488"/>
      <c r="I547" s="341"/>
    </row>
    <row r="548">
      <c r="A548" s="341"/>
      <c r="B548" s="341"/>
      <c r="C548" s="1056"/>
      <c r="D548" s="148"/>
      <c r="E548" s="148"/>
      <c r="F548" s="488"/>
      <c r="G548" s="488"/>
      <c r="H548" s="488"/>
      <c r="I548" s="341"/>
    </row>
    <row r="549">
      <c r="A549" s="341"/>
      <c r="B549" s="341"/>
      <c r="C549" s="1056"/>
      <c r="D549" s="148"/>
      <c r="E549" s="148"/>
      <c r="F549" s="488"/>
      <c r="G549" s="488"/>
      <c r="H549" s="488"/>
      <c r="I549" s="341"/>
    </row>
    <row r="550">
      <c r="A550" s="341"/>
      <c r="B550" s="341"/>
      <c r="C550" s="1056"/>
      <c r="D550" s="148"/>
      <c r="E550" s="148"/>
      <c r="F550" s="488"/>
      <c r="G550" s="488"/>
      <c r="H550" s="488"/>
      <c r="I550" s="341"/>
    </row>
    <row r="551">
      <c r="A551" s="341"/>
      <c r="B551" s="341"/>
      <c r="C551" s="1056"/>
      <c r="D551" s="148"/>
      <c r="E551" s="148"/>
      <c r="F551" s="488"/>
      <c r="G551" s="488"/>
      <c r="H551" s="488"/>
      <c r="I551" s="341"/>
    </row>
    <row r="552">
      <c r="A552" s="341"/>
      <c r="B552" s="341"/>
      <c r="C552" s="1056"/>
      <c r="D552" s="148"/>
      <c r="E552" s="148"/>
      <c r="F552" s="488"/>
      <c r="G552" s="488"/>
      <c r="H552" s="488"/>
      <c r="I552" s="341"/>
    </row>
    <row r="553">
      <c r="A553" s="341"/>
      <c r="B553" s="341"/>
      <c r="C553" s="1056"/>
      <c r="D553" s="148"/>
      <c r="E553" s="148"/>
      <c r="F553" s="488"/>
      <c r="G553" s="488"/>
      <c r="H553" s="488"/>
      <c r="I553" s="341"/>
    </row>
    <row r="554">
      <c r="A554" s="341"/>
      <c r="B554" s="341"/>
      <c r="C554" s="1056"/>
      <c r="D554" s="148"/>
      <c r="E554" s="148"/>
      <c r="F554" s="488"/>
      <c r="G554" s="488"/>
      <c r="H554" s="488"/>
      <c r="I554" s="341"/>
    </row>
    <row r="555">
      <c r="A555" s="341"/>
      <c r="B555" s="341"/>
      <c r="C555" s="1056"/>
      <c r="D555" s="148"/>
      <c r="E555" s="148"/>
      <c r="F555" s="488"/>
      <c r="G555" s="488"/>
      <c r="H555" s="488"/>
      <c r="I555" s="341"/>
    </row>
    <row r="556">
      <c r="A556" s="341"/>
      <c r="B556" s="341"/>
      <c r="C556" s="1056"/>
      <c r="D556" s="148"/>
      <c r="E556" s="148"/>
      <c r="F556" s="488"/>
      <c r="G556" s="488"/>
      <c r="H556" s="488"/>
      <c r="I556" s="341"/>
    </row>
    <row r="557">
      <c r="A557" s="341"/>
      <c r="B557" s="341"/>
      <c r="C557" s="1056"/>
      <c r="D557" s="148"/>
      <c r="E557" s="148"/>
      <c r="F557" s="488"/>
      <c r="G557" s="488"/>
      <c r="H557" s="488"/>
      <c r="I557" s="341"/>
    </row>
    <row r="558">
      <c r="A558" s="341"/>
      <c r="B558" s="341"/>
      <c r="C558" s="1056"/>
      <c r="D558" s="148"/>
      <c r="E558" s="148"/>
      <c r="F558" s="488"/>
      <c r="G558" s="488"/>
      <c r="H558" s="488"/>
      <c r="I558" s="341"/>
    </row>
    <row r="559">
      <c r="A559" s="341"/>
      <c r="B559" s="341"/>
      <c r="C559" s="1056"/>
      <c r="D559" s="148"/>
      <c r="E559" s="148"/>
      <c r="F559" s="488"/>
      <c r="G559" s="488"/>
      <c r="H559" s="488"/>
      <c r="I559" s="341"/>
    </row>
    <row r="560">
      <c r="A560" s="341"/>
      <c r="B560" s="341"/>
      <c r="C560" s="1056"/>
      <c r="D560" s="148"/>
      <c r="E560" s="148"/>
      <c r="F560" s="488"/>
      <c r="G560" s="488"/>
      <c r="H560" s="488"/>
      <c r="I560" s="341"/>
    </row>
    <row r="561">
      <c r="A561" s="341"/>
      <c r="B561" s="341"/>
      <c r="C561" s="1056"/>
      <c r="D561" s="148"/>
      <c r="E561" s="148"/>
      <c r="F561" s="488"/>
      <c r="G561" s="488"/>
      <c r="H561" s="488"/>
      <c r="I561" s="341"/>
    </row>
    <row r="562">
      <c r="A562" s="341"/>
      <c r="B562" s="341"/>
      <c r="C562" s="1056"/>
      <c r="D562" s="148"/>
      <c r="E562" s="148"/>
      <c r="F562" s="488"/>
      <c r="G562" s="488"/>
      <c r="H562" s="488"/>
      <c r="I562" s="341"/>
    </row>
    <row r="563">
      <c r="A563" s="341"/>
      <c r="B563" s="341"/>
      <c r="C563" s="1056"/>
      <c r="D563" s="148"/>
      <c r="E563" s="148"/>
      <c r="F563" s="488"/>
      <c r="G563" s="488"/>
      <c r="H563" s="488"/>
      <c r="I563" s="341"/>
    </row>
    <row r="564">
      <c r="A564" s="341"/>
      <c r="B564" s="341"/>
      <c r="C564" s="1056"/>
      <c r="D564" s="148"/>
      <c r="E564" s="148"/>
      <c r="F564" s="488"/>
      <c r="G564" s="488"/>
      <c r="H564" s="488"/>
      <c r="I564" s="341"/>
    </row>
    <row r="565">
      <c r="A565" s="341"/>
      <c r="B565" s="341"/>
      <c r="C565" s="1056"/>
      <c r="D565" s="148"/>
      <c r="E565" s="148"/>
      <c r="F565" s="488"/>
      <c r="G565" s="488"/>
      <c r="H565" s="488"/>
      <c r="I565" s="341"/>
    </row>
    <row r="566">
      <c r="A566" s="341"/>
      <c r="B566" s="341"/>
      <c r="C566" s="1056"/>
      <c r="D566" s="148"/>
      <c r="E566" s="148"/>
      <c r="F566" s="488"/>
      <c r="G566" s="488"/>
      <c r="H566" s="488"/>
      <c r="I566" s="341"/>
    </row>
    <row r="567">
      <c r="A567" s="341"/>
      <c r="B567" s="341"/>
      <c r="C567" s="1056"/>
      <c r="D567" s="148"/>
      <c r="E567" s="148"/>
      <c r="F567" s="488"/>
      <c r="G567" s="488"/>
      <c r="H567" s="488"/>
      <c r="I567" s="341"/>
    </row>
    <row r="568">
      <c r="A568" s="341"/>
      <c r="B568" s="341"/>
      <c r="C568" s="1056"/>
      <c r="D568" s="148"/>
      <c r="E568" s="148"/>
      <c r="F568" s="488"/>
      <c r="G568" s="488"/>
      <c r="H568" s="488"/>
      <c r="I568" s="341"/>
    </row>
    <row r="569">
      <c r="A569" s="341"/>
      <c r="B569" s="341"/>
      <c r="C569" s="1056"/>
      <c r="D569" s="148"/>
      <c r="E569" s="148"/>
      <c r="F569" s="488"/>
      <c r="G569" s="488"/>
      <c r="H569" s="488"/>
      <c r="I569" s="341"/>
    </row>
    <row r="570">
      <c r="A570" s="341"/>
      <c r="B570" s="341"/>
      <c r="C570" s="1056"/>
      <c r="D570" s="148"/>
      <c r="E570" s="148"/>
      <c r="F570" s="488"/>
      <c r="G570" s="488"/>
      <c r="H570" s="488"/>
      <c r="I570" s="341"/>
    </row>
    <row r="571">
      <c r="A571" s="341"/>
      <c r="B571" s="341"/>
      <c r="C571" s="1056"/>
      <c r="D571" s="148"/>
      <c r="E571" s="148"/>
      <c r="F571" s="488"/>
      <c r="G571" s="488"/>
      <c r="H571" s="488"/>
      <c r="I571" s="341"/>
    </row>
    <row r="572">
      <c r="A572" s="341"/>
      <c r="B572" s="341"/>
      <c r="C572" s="1056"/>
      <c r="D572" s="148"/>
      <c r="E572" s="148"/>
      <c r="F572" s="488"/>
      <c r="G572" s="488"/>
      <c r="H572" s="488"/>
      <c r="I572" s="341"/>
    </row>
    <row r="573">
      <c r="A573" s="341"/>
      <c r="B573" s="341"/>
      <c r="C573" s="1056"/>
      <c r="D573" s="148"/>
      <c r="E573" s="148"/>
      <c r="F573" s="488"/>
      <c r="G573" s="488"/>
      <c r="H573" s="488"/>
      <c r="I573" s="341"/>
    </row>
    <row r="574">
      <c r="A574" s="341"/>
      <c r="B574" s="341"/>
      <c r="C574" s="1056"/>
      <c r="D574" s="148"/>
      <c r="E574" s="148"/>
      <c r="F574" s="488"/>
      <c r="G574" s="488"/>
      <c r="H574" s="488"/>
      <c r="I574" s="341"/>
    </row>
    <row r="575">
      <c r="A575" s="341"/>
      <c r="B575" s="341"/>
      <c r="C575" s="1056"/>
      <c r="D575" s="148"/>
      <c r="E575" s="148"/>
      <c r="F575" s="488"/>
      <c r="G575" s="488"/>
      <c r="H575" s="488"/>
      <c r="I575" s="341"/>
    </row>
    <row r="576">
      <c r="A576" s="341"/>
      <c r="B576" s="341"/>
      <c r="C576" s="1056"/>
      <c r="D576" s="148"/>
      <c r="E576" s="148"/>
      <c r="F576" s="488"/>
      <c r="G576" s="488"/>
      <c r="H576" s="488"/>
      <c r="I576" s="341"/>
    </row>
    <row r="577">
      <c r="A577" s="341"/>
      <c r="B577" s="341"/>
      <c r="C577" s="1056"/>
      <c r="D577" s="148"/>
      <c r="E577" s="148"/>
      <c r="F577" s="488"/>
      <c r="G577" s="488"/>
      <c r="H577" s="488"/>
      <c r="I577" s="341"/>
    </row>
    <row r="578">
      <c r="A578" s="341"/>
      <c r="B578" s="341"/>
      <c r="C578" s="1056"/>
      <c r="D578" s="148"/>
      <c r="E578" s="148"/>
      <c r="F578" s="488"/>
      <c r="G578" s="488"/>
      <c r="H578" s="488"/>
      <c r="I578" s="341"/>
    </row>
    <row r="579">
      <c r="A579" s="341"/>
      <c r="B579" s="341"/>
      <c r="C579" s="1056"/>
      <c r="D579" s="148"/>
      <c r="E579" s="148"/>
      <c r="F579" s="488"/>
      <c r="G579" s="488"/>
      <c r="H579" s="488"/>
      <c r="I579" s="341"/>
    </row>
    <row r="580">
      <c r="A580" s="341"/>
      <c r="B580" s="341"/>
      <c r="C580" s="1056"/>
      <c r="D580" s="148"/>
      <c r="E580" s="148"/>
      <c r="F580" s="488"/>
      <c r="G580" s="488"/>
      <c r="H580" s="488"/>
      <c r="I580" s="341"/>
    </row>
    <row r="581">
      <c r="A581" s="341"/>
      <c r="B581" s="341"/>
      <c r="C581" s="1056"/>
      <c r="D581" s="148"/>
      <c r="E581" s="148"/>
      <c r="F581" s="488"/>
      <c r="G581" s="488"/>
      <c r="H581" s="488"/>
      <c r="I581" s="341"/>
    </row>
    <row r="582">
      <c r="A582" s="341"/>
      <c r="B582" s="341"/>
      <c r="C582" s="1056"/>
      <c r="D582" s="148"/>
      <c r="E582" s="148"/>
      <c r="F582" s="488"/>
      <c r="G582" s="488"/>
      <c r="H582" s="488"/>
      <c r="I582" s="341"/>
    </row>
    <row r="583">
      <c r="A583" s="341"/>
      <c r="B583" s="341"/>
      <c r="C583" s="1056"/>
      <c r="D583" s="148"/>
      <c r="E583" s="148"/>
      <c r="F583" s="488"/>
      <c r="G583" s="488"/>
      <c r="H583" s="488"/>
      <c r="I583" s="341"/>
    </row>
    <row r="584">
      <c r="A584" s="341"/>
      <c r="B584" s="341"/>
      <c r="C584" s="1056"/>
      <c r="D584" s="148"/>
      <c r="E584" s="148"/>
      <c r="F584" s="488"/>
      <c r="G584" s="488"/>
      <c r="H584" s="488"/>
      <c r="I584" s="341"/>
    </row>
    <row r="585">
      <c r="A585" s="341"/>
      <c r="B585" s="341"/>
      <c r="C585" s="1056"/>
      <c r="D585" s="148"/>
      <c r="E585" s="148"/>
      <c r="F585" s="488"/>
      <c r="G585" s="488"/>
      <c r="H585" s="488"/>
      <c r="I585" s="341"/>
    </row>
    <row r="586">
      <c r="A586" s="341"/>
      <c r="B586" s="341"/>
      <c r="C586" s="1056"/>
      <c r="D586" s="148"/>
      <c r="E586" s="148"/>
      <c r="F586" s="488"/>
      <c r="G586" s="488"/>
      <c r="H586" s="488"/>
      <c r="I586" s="341"/>
    </row>
    <row r="587">
      <c r="A587" s="341"/>
      <c r="B587" s="341"/>
      <c r="C587" s="1056"/>
      <c r="D587" s="148"/>
      <c r="E587" s="148"/>
      <c r="F587" s="488"/>
      <c r="G587" s="488"/>
      <c r="H587" s="488"/>
      <c r="I587" s="341"/>
    </row>
    <row r="588">
      <c r="A588" s="341"/>
      <c r="B588" s="341"/>
      <c r="C588" s="1056"/>
      <c r="D588" s="148"/>
      <c r="E588" s="148"/>
      <c r="F588" s="488"/>
      <c r="G588" s="488"/>
      <c r="H588" s="488"/>
      <c r="I588" s="341"/>
    </row>
    <row r="589">
      <c r="A589" s="341"/>
      <c r="B589" s="341"/>
      <c r="C589" s="1056"/>
      <c r="D589" s="148"/>
      <c r="E589" s="148"/>
      <c r="F589" s="488"/>
      <c r="G589" s="488"/>
      <c r="H589" s="488"/>
      <c r="I589" s="341"/>
    </row>
    <row r="590">
      <c r="A590" s="341"/>
      <c r="B590" s="341"/>
      <c r="C590" s="1056"/>
      <c r="D590" s="148"/>
      <c r="E590" s="148"/>
      <c r="F590" s="488"/>
      <c r="G590" s="488"/>
      <c r="H590" s="488"/>
      <c r="I590" s="341"/>
    </row>
    <row r="591">
      <c r="A591" s="341"/>
      <c r="B591" s="341"/>
      <c r="C591" s="1056"/>
      <c r="D591" s="148"/>
      <c r="E591" s="148"/>
      <c r="F591" s="488"/>
      <c r="G591" s="488"/>
      <c r="H591" s="488"/>
      <c r="I591" s="341"/>
    </row>
    <row r="592">
      <c r="A592" s="341"/>
      <c r="B592" s="341"/>
      <c r="C592" s="1056"/>
      <c r="D592" s="148"/>
      <c r="E592" s="148"/>
      <c r="F592" s="488"/>
      <c r="G592" s="488"/>
      <c r="H592" s="488"/>
      <c r="I592" s="341"/>
    </row>
    <row r="593">
      <c r="A593" s="341"/>
      <c r="B593" s="341"/>
      <c r="C593" s="1056"/>
      <c r="D593" s="148"/>
      <c r="E593" s="148"/>
      <c r="F593" s="488"/>
      <c r="G593" s="488"/>
      <c r="H593" s="488"/>
      <c r="I593" s="341"/>
    </row>
    <row r="594">
      <c r="A594" s="341"/>
      <c r="B594" s="341"/>
      <c r="C594" s="1056"/>
      <c r="D594" s="148"/>
      <c r="E594" s="148"/>
      <c r="F594" s="488"/>
      <c r="G594" s="488"/>
      <c r="H594" s="488"/>
      <c r="I594" s="341"/>
    </row>
    <row r="595">
      <c r="A595" s="341"/>
      <c r="B595" s="341"/>
      <c r="C595" s="1056"/>
      <c r="D595" s="148"/>
      <c r="E595" s="148"/>
      <c r="F595" s="488"/>
      <c r="G595" s="488"/>
      <c r="H595" s="488"/>
      <c r="I595" s="341"/>
    </row>
    <row r="596">
      <c r="A596" s="341"/>
      <c r="B596" s="341"/>
      <c r="C596" s="1056"/>
      <c r="D596" s="148"/>
      <c r="E596" s="148"/>
      <c r="F596" s="488"/>
      <c r="G596" s="488"/>
      <c r="H596" s="488"/>
      <c r="I596" s="341"/>
    </row>
    <row r="597">
      <c r="A597" s="341"/>
      <c r="B597" s="341"/>
      <c r="C597" s="1056"/>
      <c r="D597" s="148"/>
      <c r="E597" s="148"/>
      <c r="F597" s="488"/>
      <c r="G597" s="488"/>
      <c r="H597" s="488"/>
      <c r="I597" s="341"/>
    </row>
    <row r="598">
      <c r="A598" s="341"/>
      <c r="B598" s="341"/>
      <c r="C598" s="1056"/>
      <c r="D598" s="148"/>
      <c r="E598" s="148"/>
      <c r="F598" s="488"/>
      <c r="G598" s="488"/>
      <c r="H598" s="488"/>
      <c r="I598" s="341"/>
    </row>
    <row r="599">
      <c r="A599" s="341"/>
      <c r="B599" s="341"/>
      <c r="C599" s="1056"/>
      <c r="D599" s="148"/>
      <c r="E599" s="148"/>
      <c r="F599" s="488"/>
      <c r="G599" s="488"/>
      <c r="H599" s="488"/>
      <c r="I599" s="341"/>
    </row>
    <row r="600">
      <c r="A600" s="341"/>
      <c r="B600" s="341"/>
      <c r="C600" s="1056"/>
      <c r="D600" s="148"/>
      <c r="E600" s="148"/>
      <c r="F600" s="488"/>
      <c r="G600" s="488"/>
      <c r="H600" s="488"/>
      <c r="I600" s="341"/>
    </row>
    <row r="601">
      <c r="A601" s="341"/>
      <c r="B601" s="341"/>
      <c r="C601" s="1056"/>
      <c r="D601" s="148"/>
      <c r="E601" s="148"/>
      <c r="F601" s="488"/>
      <c r="G601" s="488"/>
      <c r="H601" s="488"/>
      <c r="I601" s="341"/>
    </row>
    <row r="602">
      <c r="A602" s="341"/>
      <c r="B602" s="341"/>
      <c r="C602" s="1056"/>
      <c r="D602" s="148"/>
      <c r="E602" s="148"/>
      <c r="F602" s="488"/>
      <c r="G602" s="488"/>
      <c r="H602" s="488"/>
      <c r="I602" s="341"/>
    </row>
    <row r="603">
      <c r="A603" s="341"/>
      <c r="B603" s="341"/>
      <c r="C603" s="1056"/>
      <c r="D603" s="148"/>
      <c r="E603" s="148"/>
      <c r="F603" s="488"/>
      <c r="G603" s="488"/>
      <c r="H603" s="488"/>
      <c r="I603" s="341"/>
    </row>
    <row r="604">
      <c r="A604" s="341"/>
      <c r="B604" s="341"/>
      <c r="C604" s="1056"/>
      <c r="D604" s="148"/>
      <c r="E604" s="148"/>
      <c r="F604" s="488"/>
      <c r="G604" s="488"/>
      <c r="H604" s="488"/>
      <c r="I604" s="341"/>
    </row>
    <row r="605">
      <c r="A605" s="341"/>
      <c r="B605" s="341"/>
      <c r="C605" s="1056"/>
      <c r="D605" s="148"/>
      <c r="E605" s="148"/>
      <c r="F605" s="488"/>
      <c r="G605" s="488"/>
      <c r="H605" s="488"/>
      <c r="I605" s="341"/>
    </row>
    <row r="606">
      <c r="A606" s="341"/>
      <c r="B606" s="341"/>
      <c r="C606" s="1056"/>
      <c r="D606" s="148"/>
      <c r="E606" s="148"/>
      <c r="F606" s="488"/>
      <c r="G606" s="488"/>
      <c r="H606" s="488"/>
      <c r="I606" s="341"/>
    </row>
    <row r="607">
      <c r="A607" s="341"/>
      <c r="B607" s="341"/>
      <c r="C607" s="1056"/>
      <c r="D607" s="148"/>
      <c r="E607" s="148"/>
      <c r="F607" s="488"/>
      <c r="G607" s="488"/>
      <c r="H607" s="488"/>
      <c r="I607" s="341"/>
    </row>
    <row r="608">
      <c r="A608" s="341"/>
      <c r="B608" s="341"/>
      <c r="C608" s="1056"/>
      <c r="D608" s="148"/>
      <c r="E608" s="148"/>
      <c r="F608" s="488"/>
      <c r="G608" s="488"/>
      <c r="H608" s="488"/>
      <c r="I608" s="341"/>
    </row>
    <row r="609">
      <c r="A609" s="341"/>
      <c r="B609" s="341"/>
      <c r="C609" s="1056"/>
      <c r="D609" s="148"/>
      <c r="E609" s="148"/>
      <c r="F609" s="488"/>
      <c r="G609" s="488"/>
      <c r="H609" s="488"/>
      <c r="I609" s="341"/>
    </row>
    <row r="610">
      <c r="A610" s="341"/>
      <c r="B610" s="341"/>
      <c r="C610" s="1056"/>
      <c r="D610" s="148"/>
      <c r="E610" s="148"/>
      <c r="F610" s="488"/>
      <c r="G610" s="488"/>
      <c r="H610" s="488"/>
      <c r="I610" s="341"/>
    </row>
    <row r="611">
      <c r="A611" s="341"/>
      <c r="B611" s="341"/>
      <c r="C611" s="1056"/>
      <c r="D611" s="148"/>
      <c r="E611" s="148"/>
      <c r="F611" s="488"/>
      <c r="G611" s="488"/>
      <c r="H611" s="488"/>
      <c r="I611" s="341"/>
    </row>
    <row r="612">
      <c r="A612" s="341"/>
      <c r="B612" s="341"/>
      <c r="C612" s="1056"/>
      <c r="D612" s="148"/>
      <c r="E612" s="148"/>
      <c r="F612" s="488"/>
      <c r="G612" s="488"/>
      <c r="H612" s="488"/>
      <c r="I612" s="341"/>
    </row>
    <row r="613">
      <c r="A613" s="341"/>
      <c r="B613" s="341"/>
      <c r="C613" s="1056"/>
      <c r="D613" s="148"/>
      <c r="E613" s="148"/>
      <c r="F613" s="488"/>
      <c r="G613" s="488"/>
      <c r="H613" s="488"/>
      <c r="I613" s="341"/>
    </row>
    <row r="614">
      <c r="A614" s="341"/>
      <c r="B614" s="341"/>
      <c r="C614" s="1056"/>
      <c r="D614" s="148"/>
      <c r="E614" s="148"/>
      <c r="F614" s="488"/>
      <c r="G614" s="488"/>
      <c r="H614" s="488"/>
      <c r="I614" s="341"/>
    </row>
    <row r="615">
      <c r="A615" s="341"/>
      <c r="B615" s="341"/>
      <c r="C615" s="1056"/>
      <c r="D615" s="148"/>
      <c r="E615" s="148"/>
      <c r="F615" s="488"/>
      <c r="G615" s="488"/>
      <c r="H615" s="488"/>
      <c r="I615" s="341"/>
    </row>
    <row r="616">
      <c r="A616" s="341"/>
      <c r="B616" s="341"/>
      <c r="C616" s="1056"/>
      <c r="D616" s="148"/>
      <c r="E616" s="148"/>
      <c r="F616" s="488"/>
      <c r="G616" s="488"/>
      <c r="H616" s="488"/>
      <c r="I616" s="341"/>
    </row>
    <row r="617">
      <c r="A617" s="341"/>
      <c r="B617" s="341"/>
      <c r="C617" s="1056"/>
      <c r="D617" s="148"/>
      <c r="E617" s="148"/>
      <c r="F617" s="488"/>
      <c r="G617" s="488"/>
      <c r="H617" s="488"/>
      <c r="I617" s="341"/>
    </row>
    <row r="618">
      <c r="A618" s="341"/>
      <c r="B618" s="341"/>
      <c r="C618" s="1056"/>
      <c r="D618" s="148"/>
      <c r="E618" s="148"/>
      <c r="F618" s="488"/>
      <c r="G618" s="488"/>
      <c r="H618" s="488"/>
      <c r="I618" s="341"/>
    </row>
    <row r="619">
      <c r="A619" s="341"/>
      <c r="B619" s="341"/>
      <c r="C619" s="1056"/>
      <c r="D619" s="148"/>
      <c r="E619" s="148"/>
      <c r="F619" s="488"/>
      <c r="G619" s="488"/>
      <c r="H619" s="488"/>
      <c r="I619" s="341"/>
    </row>
    <row r="620">
      <c r="A620" s="341"/>
      <c r="B620" s="341"/>
      <c r="C620" s="1056"/>
      <c r="D620" s="148"/>
      <c r="E620" s="148"/>
      <c r="F620" s="488"/>
      <c r="G620" s="488"/>
      <c r="H620" s="488"/>
      <c r="I620" s="341"/>
    </row>
    <row r="621">
      <c r="A621" s="341"/>
      <c r="B621" s="341"/>
      <c r="C621" s="1056"/>
      <c r="D621" s="148"/>
      <c r="E621" s="148"/>
      <c r="F621" s="488"/>
      <c r="G621" s="488"/>
      <c r="H621" s="488"/>
      <c r="I621" s="341"/>
    </row>
    <row r="622">
      <c r="A622" s="341"/>
      <c r="B622" s="341"/>
      <c r="C622" s="1056"/>
      <c r="D622" s="148"/>
      <c r="E622" s="148"/>
      <c r="F622" s="488"/>
      <c r="G622" s="488"/>
      <c r="H622" s="488"/>
      <c r="I622" s="341"/>
    </row>
    <row r="623">
      <c r="A623" s="341"/>
      <c r="B623" s="341"/>
      <c r="C623" s="1056"/>
      <c r="D623" s="148"/>
      <c r="E623" s="148"/>
      <c r="F623" s="488"/>
      <c r="G623" s="488"/>
      <c r="H623" s="488"/>
      <c r="I623" s="341"/>
    </row>
    <row r="624">
      <c r="A624" s="341"/>
      <c r="B624" s="341"/>
      <c r="C624" s="1056"/>
      <c r="D624" s="148"/>
      <c r="E624" s="148"/>
      <c r="F624" s="488"/>
      <c r="G624" s="488"/>
      <c r="H624" s="488"/>
      <c r="I624" s="341"/>
    </row>
    <row r="625">
      <c r="A625" s="341"/>
      <c r="B625" s="341"/>
      <c r="C625" s="1056"/>
      <c r="D625" s="148"/>
      <c r="E625" s="148"/>
      <c r="F625" s="488"/>
      <c r="G625" s="488"/>
      <c r="H625" s="488"/>
      <c r="I625" s="341"/>
    </row>
    <row r="626">
      <c r="A626" s="341"/>
      <c r="B626" s="341"/>
      <c r="C626" s="1056"/>
      <c r="D626" s="148"/>
      <c r="E626" s="148"/>
      <c r="F626" s="488"/>
      <c r="G626" s="488"/>
      <c r="H626" s="488"/>
      <c r="I626" s="341"/>
    </row>
    <row r="627">
      <c r="A627" s="341"/>
      <c r="B627" s="341"/>
      <c r="C627" s="1056"/>
      <c r="D627" s="148"/>
      <c r="E627" s="148"/>
      <c r="F627" s="488"/>
      <c r="G627" s="488"/>
      <c r="H627" s="488"/>
      <c r="I627" s="341"/>
    </row>
    <row r="628">
      <c r="A628" s="341"/>
      <c r="B628" s="341"/>
      <c r="C628" s="1056"/>
      <c r="D628" s="148"/>
      <c r="E628" s="148"/>
      <c r="F628" s="488"/>
      <c r="G628" s="488"/>
      <c r="H628" s="488"/>
      <c r="I628" s="341"/>
    </row>
    <row r="629">
      <c r="A629" s="341"/>
      <c r="B629" s="341"/>
      <c r="C629" s="1056"/>
      <c r="D629" s="148"/>
      <c r="E629" s="148"/>
      <c r="F629" s="488"/>
      <c r="G629" s="488"/>
      <c r="H629" s="488"/>
      <c r="I629" s="341"/>
    </row>
    <row r="630">
      <c r="A630" s="341"/>
      <c r="B630" s="341"/>
      <c r="C630" s="1056"/>
      <c r="D630" s="148"/>
      <c r="E630" s="148"/>
      <c r="F630" s="488"/>
      <c r="G630" s="488"/>
      <c r="H630" s="488"/>
      <c r="I630" s="341"/>
    </row>
    <row r="631">
      <c r="A631" s="341"/>
      <c r="B631" s="341"/>
      <c r="C631" s="1056"/>
      <c r="D631" s="148"/>
      <c r="E631" s="148"/>
      <c r="F631" s="488"/>
      <c r="G631" s="488"/>
      <c r="H631" s="488"/>
      <c r="I631" s="341"/>
    </row>
    <row r="632">
      <c r="A632" s="341"/>
      <c r="B632" s="341"/>
      <c r="C632" s="1056"/>
      <c r="D632" s="148"/>
      <c r="E632" s="148"/>
      <c r="F632" s="488"/>
      <c r="G632" s="488"/>
      <c r="H632" s="488"/>
      <c r="I632" s="341"/>
    </row>
    <row r="633">
      <c r="A633" s="341"/>
      <c r="B633" s="341"/>
      <c r="C633" s="1056"/>
      <c r="D633" s="148"/>
      <c r="E633" s="148"/>
      <c r="F633" s="488"/>
      <c r="G633" s="488"/>
      <c r="H633" s="488"/>
      <c r="I633" s="341"/>
    </row>
    <row r="634">
      <c r="A634" s="341"/>
      <c r="B634" s="341"/>
      <c r="C634" s="1056"/>
      <c r="D634" s="148"/>
      <c r="E634" s="148"/>
      <c r="F634" s="488"/>
      <c r="G634" s="488"/>
      <c r="H634" s="488"/>
      <c r="I634" s="341"/>
    </row>
    <row r="635">
      <c r="A635" s="341"/>
      <c r="B635" s="341"/>
      <c r="C635" s="1056"/>
      <c r="D635" s="148"/>
      <c r="E635" s="148"/>
      <c r="F635" s="488"/>
      <c r="G635" s="488"/>
      <c r="H635" s="488"/>
      <c r="I635" s="341"/>
    </row>
    <row r="636">
      <c r="A636" s="341"/>
      <c r="B636" s="341"/>
      <c r="C636" s="1056"/>
      <c r="D636" s="148"/>
      <c r="E636" s="148"/>
      <c r="F636" s="488"/>
      <c r="G636" s="488"/>
      <c r="H636" s="488"/>
      <c r="I636" s="341"/>
    </row>
    <row r="637">
      <c r="A637" s="341"/>
      <c r="B637" s="341"/>
      <c r="C637" s="1056"/>
      <c r="D637" s="148"/>
      <c r="E637" s="148"/>
      <c r="F637" s="488"/>
      <c r="G637" s="488"/>
      <c r="H637" s="488"/>
      <c r="I637" s="341"/>
    </row>
    <row r="638">
      <c r="A638" s="341"/>
      <c r="B638" s="341"/>
      <c r="C638" s="1056"/>
      <c r="D638" s="148"/>
      <c r="E638" s="148"/>
      <c r="F638" s="488"/>
      <c r="G638" s="488"/>
      <c r="H638" s="488"/>
      <c r="I638" s="341"/>
    </row>
    <row r="639">
      <c r="A639" s="341"/>
      <c r="B639" s="341"/>
      <c r="C639" s="1056"/>
      <c r="D639" s="148"/>
      <c r="E639" s="148"/>
      <c r="F639" s="488"/>
      <c r="G639" s="488"/>
      <c r="H639" s="488"/>
      <c r="I639" s="341"/>
    </row>
    <row r="640">
      <c r="A640" s="341"/>
      <c r="B640" s="341"/>
      <c r="C640" s="1056"/>
      <c r="D640" s="148"/>
      <c r="E640" s="148"/>
      <c r="F640" s="488"/>
      <c r="G640" s="488"/>
      <c r="H640" s="488"/>
      <c r="I640" s="341"/>
    </row>
    <row r="641">
      <c r="A641" s="341"/>
      <c r="B641" s="341"/>
      <c r="C641" s="1056"/>
      <c r="D641" s="148"/>
      <c r="E641" s="148"/>
      <c r="F641" s="488"/>
      <c r="G641" s="488"/>
      <c r="H641" s="488"/>
      <c r="I641" s="341"/>
    </row>
    <row r="642">
      <c r="A642" s="341"/>
      <c r="B642" s="341"/>
      <c r="C642" s="1056"/>
      <c r="D642" s="148"/>
      <c r="E642" s="148"/>
      <c r="F642" s="488"/>
      <c r="G642" s="488"/>
      <c r="H642" s="488"/>
      <c r="I642" s="341"/>
    </row>
    <row r="643">
      <c r="A643" s="341"/>
      <c r="B643" s="341"/>
      <c r="C643" s="1056"/>
      <c r="D643" s="148"/>
      <c r="E643" s="148"/>
      <c r="F643" s="488"/>
      <c r="G643" s="488"/>
      <c r="H643" s="488"/>
      <c r="I643" s="341"/>
    </row>
    <row r="644">
      <c r="A644" s="341"/>
      <c r="B644" s="341"/>
      <c r="C644" s="1056"/>
      <c r="D644" s="148"/>
      <c r="E644" s="148"/>
      <c r="F644" s="488"/>
      <c r="G644" s="488"/>
      <c r="H644" s="488"/>
      <c r="I644" s="341"/>
    </row>
    <row r="645">
      <c r="A645" s="341"/>
      <c r="B645" s="341"/>
      <c r="C645" s="1056"/>
      <c r="D645" s="148"/>
      <c r="E645" s="148"/>
      <c r="F645" s="488"/>
      <c r="G645" s="488"/>
      <c r="H645" s="488"/>
      <c r="I645" s="341"/>
    </row>
    <row r="646">
      <c r="A646" s="341"/>
      <c r="B646" s="341"/>
      <c r="C646" s="1056"/>
      <c r="D646" s="148"/>
      <c r="E646" s="148"/>
      <c r="F646" s="488"/>
      <c r="G646" s="488"/>
      <c r="H646" s="488"/>
      <c r="I646" s="341"/>
    </row>
    <row r="647">
      <c r="A647" s="341"/>
      <c r="B647" s="341"/>
      <c r="C647" s="1056"/>
      <c r="D647" s="148"/>
      <c r="E647" s="148"/>
      <c r="F647" s="488"/>
      <c r="G647" s="488"/>
      <c r="H647" s="488"/>
      <c r="I647" s="341"/>
    </row>
    <row r="648">
      <c r="A648" s="341"/>
      <c r="B648" s="341"/>
      <c r="C648" s="1056"/>
      <c r="D648" s="148"/>
      <c r="E648" s="148"/>
      <c r="F648" s="488"/>
      <c r="G648" s="488"/>
      <c r="H648" s="488"/>
      <c r="I648" s="341"/>
    </row>
    <row r="649">
      <c r="A649" s="341"/>
      <c r="B649" s="341"/>
      <c r="C649" s="1056"/>
      <c r="D649" s="148"/>
      <c r="E649" s="148"/>
      <c r="F649" s="488"/>
      <c r="G649" s="488"/>
      <c r="H649" s="488"/>
      <c r="I649" s="341"/>
    </row>
    <row r="650">
      <c r="A650" s="341"/>
      <c r="B650" s="341"/>
      <c r="C650" s="1056"/>
      <c r="D650" s="148"/>
      <c r="E650" s="148"/>
      <c r="F650" s="488"/>
      <c r="G650" s="488"/>
      <c r="H650" s="488"/>
      <c r="I650" s="341"/>
    </row>
    <row r="651">
      <c r="A651" s="341"/>
      <c r="B651" s="341"/>
      <c r="C651" s="1056"/>
      <c r="D651" s="148"/>
      <c r="E651" s="148"/>
      <c r="F651" s="488"/>
      <c r="G651" s="488"/>
      <c r="H651" s="488"/>
      <c r="I651" s="341"/>
    </row>
    <row r="652">
      <c r="A652" s="341"/>
      <c r="B652" s="341"/>
      <c r="C652" s="1056"/>
      <c r="D652" s="148"/>
      <c r="E652" s="148"/>
      <c r="F652" s="488"/>
      <c r="G652" s="488"/>
      <c r="H652" s="488"/>
      <c r="I652" s="341"/>
    </row>
    <row r="653">
      <c r="A653" s="341"/>
      <c r="B653" s="341"/>
      <c r="C653" s="1056"/>
      <c r="D653" s="148"/>
      <c r="E653" s="148"/>
      <c r="F653" s="488"/>
      <c r="G653" s="488"/>
      <c r="H653" s="488"/>
      <c r="I653" s="341"/>
    </row>
    <row r="654">
      <c r="A654" s="341"/>
      <c r="B654" s="341"/>
      <c r="C654" s="1056"/>
      <c r="D654" s="148"/>
      <c r="E654" s="148"/>
      <c r="F654" s="488"/>
      <c r="G654" s="488"/>
      <c r="H654" s="488"/>
      <c r="I654" s="341"/>
    </row>
    <row r="655">
      <c r="A655" s="341"/>
      <c r="B655" s="341"/>
      <c r="C655" s="1056"/>
      <c r="D655" s="148"/>
      <c r="E655" s="148"/>
      <c r="F655" s="488"/>
      <c r="G655" s="488"/>
      <c r="H655" s="488"/>
      <c r="I655" s="341"/>
    </row>
    <row r="656">
      <c r="A656" s="341"/>
      <c r="B656" s="341"/>
      <c r="C656" s="1056"/>
      <c r="D656" s="148"/>
      <c r="E656" s="148"/>
      <c r="F656" s="488"/>
      <c r="G656" s="488"/>
      <c r="H656" s="488"/>
      <c r="I656" s="341"/>
    </row>
    <row r="657">
      <c r="A657" s="341"/>
      <c r="B657" s="341"/>
      <c r="C657" s="1056"/>
      <c r="D657" s="148"/>
      <c r="E657" s="148"/>
      <c r="F657" s="488"/>
      <c r="G657" s="488"/>
      <c r="H657" s="488"/>
      <c r="I657" s="341"/>
    </row>
    <row r="658">
      <c r="A658" s="341"/>
      <c r="B658" s="341"/>
      <c r="C658" s="1056"/>
      <c r="D658" s="148"/>
      <c r="E658" s="148"/>
      <c r="F658" s="488"/>
      <c r="G658" s="488"/>
      <c r="H658" s="488"/>
      <c r="I658" s="341"/>
    </row>
    <row r="659">
      <c r="A659" s="341"/>
      <c r="B659" s="341"/>
      <c r="C659" s="1056"/>
      <c r="D659" s="148"/>
      <c r="E659" s="148"/>
      <c r="F659" s="488"/>
      <c r="G659" s="488"/>
      <c r="H659" s="488"/>
      <c r="I659" s="341"/>
    </row>
    <row r="660">
      <c r="A660" s="341"/>
      <c r="B660" s="341"/>
      <c r="C660" s="1056"/>
      <c r="D660" s="148"/>
      <c r="E660" s="148"/>
      <c r="F660" s="488"/>
      <c r="G660" s="488"/>
      <c r="H660" s="488"/>
      <c r="I660" s="341"/>
    </row>
    <row r="661">
      <c r="A661" s="341"/>
      <c r="B661" s="341"/>
      <c r="C661" s="1056"/>
      <c r="D661" s="148"/>
      <c r="E661" s="148"/>
      <c r="F661" s="488"/>
      <c r="G661" s="488"/>
      <c r="H661" s="488"/>
      <c r="I661" s="341"/>
    </row>
    <row r="662">
      <c r="A662" s="341"/>
      <c r="B662" s="341"/>
      <c r="C662" s="1056"/>
      <c r="D662" s="148"/>
      <c r="E662" s="148"/>
      <c r="F662" s="488"/>
      <c r="G662" s="488"/>
      <c r="H662" s="488"/>
      <c r="I662" s="341"/>
    </row>
    <row r="663">
      <c r="A663" s="341"/>
      <c r="B663" s="341"/>
      <c r="C663" s="1056"/>
      <c r="D663" s="148"/>
      <c r="E663" s="148"/>
      <c r="F663" s="488"/>
      <c r="G663" s="488"/>
      <c r="H663" s="488"/>
      <c r="I663" s="341"/>
    </row>
    <row r="664">
      <c r="A664" s="341"/>
      <c r="B664" s="341"/>
      <c r="C664" s="1056"/>
      <c r="D664" s="148"/>
      <c r="E664" s="148"/>
      <c r="F664" s="488"/>
      <c r="G664" s="488"/>
      <c r="H664" s="488"/>
      <c r="I664" s="341"/>
    </row>
    <row r="665">
      <c r="A665" s="341"/>
      <c r="B665" s="341"/>
      <c r="C665" s="1056"/>
      <c r="D665" s="148"/>
      <c r="E665" s="148"/>
      <c r="F665" s="488"/>
      <c r="G665" s="488"/>
      <c r="H665" s="488"/>
      <c r="I665" s="341"/>
    </row>
    <row r="666">
      <c r="A666" s="341"/>
      <c r="B666" s="341"/>
      <c r="C666" s="1056"/>
      <c r="D666" s="148"/>
      <c r="E666" s="148"/>
      <c r="F666" s="488"/>
      <c r="G666" s="488"/>
      <c r="H666" s="488"/>
      <c r="I666" s="341"/>
    </row>
    <row r="667">
      <c r="A667" s="341"/>
      <c r="B667" s="341"/>
      <c r="C667" s="1056"/>
      <c r="D667" s="148"/>
      <c r="E667" s="148"/>
      <c r="F667" s="488"/>
      <c r="G667" s="488"/>
      <c r="H667" s="488"/>
      <c r="I667" s="341"/>
    </row>
    <row r="668">
      <c r="A668" s="341"/>
      <c r="B668" s="341"/>
      <c r="C668" s="1056"/>
      <c r="D668" s="148"/>
      <c r="E668" s="148"/>
      <c r="F668" s="488"/>
      <c r="G668" s="488"/>
      <c r="H668" s="488"/>
      <c r="I668" s="341"/>
    </row>
    <row r="669">
      <c r="A669" s="341"/>
      <c r="B669" s="341"/>
      <c r="C669" s="1056"/>
      <c r="D669" s="148"/>
      <c r="E669" s="148"/>
      <c r="F669" s="488"/>
      <c r="G669" s="488"/>
      <c r="H669" s="488"/>
      <c r="I669" s="341"/>
    </row>
    <row r="670">
      <c r="A670" s="341"/>
      <c r="B670" s="341"/>
      <c r="C670" s="1056"/>
      <c r="D670" s="148"/>
      <c r="E670" s="148"/>
      <c r="F670" s="488"/>
      <c r="G670" s="488"/>
      <c r="H670" s="488"/>
      <c r="I670" s="341"/>
    </row>
    <row r="671">
      <c r="A671" s="341"/>
      <c r="B671" s="341"/>
      <c r="C671" s="1056"/>
      <c r="D671" s="148"/>
      <c r="E671" s="148"/>
      <c r="F671" s="488"/>
      <c r="G671" s="488"/>
      <c r="H671" s="488"/>
      <c r="I671" s="341"/>
    </row>
    <row r="672">
      <c r="A672" s="341"/>
      <c r="B672" s="341"/>
      <c r="C672" s="1056"/>
      <c r="D672" s="148"/>
      <c r="E672" s="148"/>
      <c r="F672" s="488"/>
      <c r="G672" s="488"/>
      <c r="H672" s="488"/>
      <c r="I672" s="341"/>
    </row>
    <row r="673">
      <c r="A673" s="341"/>
      <c r="B673" s="341"/>
      <c r="C673" s="1056"/>
      <c r="D673" s="148"/>
      <c r="E673" s="148"/>
      <c r="F673" s="488"/>
      <c r="G673" s="488"/>
      <c r="H673" s="488"/>
      <c r="I673" s="341"/>
    </row>
    <row r="674">
      <c r="A674" s="341"/>
      <c r="B674" s="341"/>
      <c r="C674" s="1056"/>
      <c r="D674" s="148"/>
      <c r="E674" s="148"/>
      <c r="F674" s="488"/>
      <c r="G674" s="488"/>
      <c r="H674" s="488"/>
      <c r="I674" s="341"/>
    </row>
    <row r="675">
      <c r="A675" s="341"/>
      <c r="B675" s="341"/>
      <c r="C675" s="1056"/>
      <c r="D675" s="148"/>
      <c r="E675" s="148"/>
      <c r="F675" s="488"/>
      <c r="G675" s="488"/>
      <c r="H675" s="488"/>
      <c r="I675" s="341"/>
    </row>
    <row r="676">
      <c r="A676" s="341"/>
      <c r="B676" s="341"/>
      <c r="C676" s="1056"/>
      <c r="D676" s="148"/>
      <c r="E676" s="148"/>
      <c r="F676" s="488"/>
      <c r="G676" s="488"/>
      <c r="H676" s="488"/>
      <c r="I676" s="341"/>
    </row>
    <row r="677">
      <c r="A677" s="341"/>
      <c r="B677" s="341"/>
      <c r="C677" s="1056"/>
      <c r="D677" s="148"/>
      <c r="E677" s="148"/>
      <c r="F677" s="488"/>
      <c r="G677" s="488"/>
      <c r="H677" s="488"/>
      <c r="I677" s="341"/>
    </row>
    <row r="678">
      <c r="A678" s="341"/>
      <c r="B678" s="341"/>
      <c r="C678" s="1056"/>
      <c r="D678" s="148"/>
      <c r="E678" s="148"/>
      <c r="F678" s="488"/>
      <c r="G678" s="488"/>
      <c r="H678" s="488"/>
      <c r="I678" s="341"/>
    </row>
    <row r="679">
      <c r="A679" s="341"/>
      <c r="B679" s="341"/>
      <c r="C679" s="1056"/>
      <c r="D679" s="148"/>
      <c r="E679" s="148"/>
      <c r="F679" s="488"/>
      <c r="G679" s="488"/>
      <c r="H679" s="488"/>
      <c r="I679" s="341"/>
    </row>
    <row r="680">
      <c r="A680" s="341"/>
      <c r="B680" s="341"/>
      <c r="C680" s="1056"/>
      <c r="D680" s="148"/>
      <c r="E680" s="148"/>
      <c r="F680" s="488"/>
      <c r="G680" s="488"/>
      <c r="H680" s="488"/>
      <c r="I680" s="341"/>
    </row>
    <row r="681">
      <c r="A681" s="341"/>
      <c r="B681" s="341"/>
      <c r="C681" s="1056"/>
      <c r="D681" s="148"/>
      <c r="E681" s="148"/>
      <c r="F681" s="488"/>
      <c r="G681" s="488"/>
      <c r="H681" s="488"/>
      <c r="I681" s="341"/>
    </row>
    <row r="682">
      <c r="A682" s="341"/>
      <c r="B682" s="341"/>
      <c r="C682" s="1056"/>
      <c r="D682" s="148"/>
      <c r="E682" s="148"/>
      <c r="F682" s="488"/>
      <c r="G682" s="488"/>
      <c r="H682" s="488"/>
      <c r="I682" s="341"/>
    </row>
    <row r="683">
      <c r="A683" s="341"/>
      <c r="B683" s="341"/>
      <c r="C683" s="1056"/>
      <c r="D683" s="148"/>
      <c r="E683" s="148"/>
      <c r="F683" s="488"/>
      <c r="G683" s="488"/>
      <c r="H683" s="488"/>
      <c r="I683" s="341"/>
    </row>
    <row r="684">
      <c r="A684" s="341"/>
      <c r="B684" s="341"/>
      <c r="C684" s="1056"/>
      <c r="D684" s="148"/>
      <c r="E684" s="148"/>
      <c r="F684" s="488"/>
      <c r="G684" s="488"/>
      <c r="H684" s="488"/>
      <c r="I684" s="341"/>
    </row>
    <row r="685">
      <c r="A685" s="341"/>
      <c r="B685" s="341"/>
      <c r="C685" s="1056"/>
      <c r="D685" s="148"/>
      <c r="E685" s="148"/>
      <c r="F685" s="488"/>
      <c r="G685" s="488"/>
      <c r="H685" s="488"/>
      <c r="I685" s="341"/>
    </row>
    <row r="686">
      <c r="A686" s="341"/>
      <c r="B686" s="341"/>
      <c r="C686" s="1056"/>
      <c r="D686" s="148"/>
      <c r="E686" s="148"/>
      <c r="F686" s="488"/>
      <c r="G686" s="488"/>
      <c r="H686" s="488"/>
      <c r="I686" s="341"/>
    </row>
    <row r="687">
      <c r="A687" s="341"/>
      <c r="B687" s="341"/>
      <c r="C687" s="1056"/>
      <c r="D687" s="148"/>
      <c r="E687" s="148"/>
      <c r="F687" s="488"/>
      <c r="G687" s="488"/>
      <c r="H687" s="488"/>
      <c r="I687" s="341"/>
    </row>
    <row r="688">
      <c r="A688" s="341"/>
      <c r="B688" s="341"/>
      <c r="C688" s="1056"/>
      <c r="D688" s="148"/>
      <c r="E688" s="148"/>
      <c r="F688" s="488"/>
      <c r="G688" s="488"/>
      <c r="H688" s="488"/>
      <c r="I688" s="341"/>
    </row>
    <row r="689">
      <c r="A689" s="341"/>
      <c r="B689" s="341"/>
      <c r="C689" s="1056"/>
      <c r="D689" s="148"/>
      <c r="E689" s="148"/>
      <c r="F689" s="488"/>
      <c r="G689" s="488"/>
      <c r="H689" s="488"/>
      <c r="I689" s="341"/>
    </row>
    <row r="690">
      <c r="A690" s="341"/>
      <c r="B690" s="341"/>
      <c r="C690" s="1056"/>
      <c r="D690" s="148"/>
      <c r="E690" s="148"/>
      <c r="F690" s="488"/>
      <c r="G690" s="488"/>
      <c r="H690" s="488"/>
      <c r="I690" s="341"/>
    </row>
    <row r="691">
      <c r="A691" s="341"/>
      <c r="B691" s="341"/>
      <c r="C691" s="1056"/>
      <c r="D691" s="148"/>
      <c r="E691" s="148"/>
      <c r="F691" s="488"/>
      <c r="G691" s="488"/>
      <c r="H691" s="488"/>
      <c r="I691" s="341"/>
    </row>
    <row r="692">
      <c r="A692" s="341"/>
      <c r="B692" s="341"/>
      <c r="C692" s="1056"/>
      <c r="D692" s="148"/>
      <c r="E692" s="148"/>
      <c r="F692" s="488"/>
      <c r="G692" s="488"/>
      <c r="H692" s="488"/>
      <c r="I692" s="341"/>
    </row>
    <row r="693">
      <c r="A693" s="341"/>
      <c r="B693" s="341"/>
      <c r="C693" s="1056"/>
      <c r="D693" s="148"/>
      <c r="E693" s="148"/>
      <c r="F693" s="488"/>
      <c r="G693" s="488"/>
      <c r="H693" s="488"/>
      <c r="I693" s="341"/>
    </row>
    <row r="694">
      <c r="A694" s="341"/>
      <c r="B694" s="341"/>
      <c r="C694" s="1056"/>
      <c r="D694" s="148"/>
      <c r="E694" s="148"/>
      <c r="F694" s="488"/>
      <c r="G694" s="488"/>
      <c r="H694" s="488"/>
      <c r="I694" s="341"/>
    </row>
    <row r="695">
      <c r="A695" s="341"/>
      <c r="B695" s="341"/>
      <c r="C695" s="1056"/>
      <c r="D695" s="148"/>
      <c r="E695" s="148"/>
      <c r="F695" s="488"/>
      <c r="G695" s="488"/>
      <c r="H695" s="488"/>
      <c r="I695" s="341"/>
    </row>
    <row r="696">
      <c r="A696" s="341"/>
      <c r="B696" s="341"/>
      <c r="C696" s="1056"/>
      <c r="D696" s="148"/>
      <c r="E696" s="148"/>
      <c r="F696" s="488"/>
      <c r="G696" s="488"/>
      <c r="H696" s="488"/>
      <c r="I696" s="341"/>
    </row>
    <row r="697">
      <c r="A697" s="341"/>
      <c r="B697" s="341"/>
      <c r="C697" s="1056"/>
      <c r="D697" s="148"/>
      <c r="E697" s="148"/>
      <c r="F697" s="488"/>
      <c r="G697" s="488"/>
      <c r="H697" s="488"/>
      <c r="I697" s="341"/>
    </row>
    <row r="698">
      <c r="A698" s="341"/>
      <c r="B698" s="341"/>
      <c r="C698" s="1056"/>
      <c r="D698" s="148"/>
      <c r="E698" s="148"/>
      <c r="F698" s="488"/>
      <c r="G698" s="488"/>
      <c r="H698" s="488"/>
      <c r="I698" s="341"/>
    </row>
    <row r="699">
      <c r="A699" s="341"/>
      <c r="B699" s="341"/>
      <c r="C699" s="1056"/>
      <c r="D699" s="148"/>
      <c r="E699" s="148"/>
      <c r="F699" s="488"/>
      <c r="G699" s="488"/>
      <c r="H699" s="488"/>
      <c r="I699" s="341"/>
    </row>
    <row r="700">
      <c r="A700" s="341"/>
      <c r="B700" s="341"/>
      <c r="C700" s="1056"/>
      <c r="D700" s="148"/>
      <c r="E700" s="148"/>
      <c r="F700" s="488"/>
      <c r="G700" s="488"/>
      <c r="H700" s="488"/>
      <c r="I700" s="341"/>
    </row>
    <row r="701">
      <c r="A701" s="341"/>
      <c r="B701" s="341"/>
      <c r="C701" s="1056"/>
      <c r="D701" s="148"/>
      <c r="E701" s="148"/>
      <c r="F701" s="488"/>
      <c r="G701" s="488"/>
      <c r="H701" s="488"/>
      <c r="I701" s="341"/>
    </row>
    <row r="702">
      <c r="A702" s="341"/>
      <c r="B702" s="341"/>
      <c r="C702" s="1056"/>
      <c r="D702" s="148"/>
      <c r="E702" s="148"/>
      <c r="F702" s="488"/>
      <c r="G702" s="488"/>
      <c r="H702" s="488"/>
      <c r="I702" s="341"/>
    </row>
    <row r="703">
      <c r="A703" s="341"/>
      <c r="B703" s="341"/>
      <c r="C703" s="1056"/>
      <c r="D703" s="148"/>
      <c r="E703" s="148"/>
      <c r="F703" s="488"/>
      <c r="G703" s="488"/>
      <c r="H703" s="488"/>
      <c r="I703" s="341"/>
    </row>
    <row r="704">
      <c r="A704" s="341"/>
      <c r="B704" s="341"/>
      <c r="C704" s="1056"/>
      <c r="D704" s="148"/>
      <c r="E704" s="148"/>
      <c r="F704" s="488"/>
      <c r="G704" s="488"/>
      <c r="H704" s="488"/>
      <c r="I704" s="341"/>
    </row>
    <row r="705">
      <c r="A705" s="341"/>
      <c r="B705" s="341"/>
      <c r="C705" s="1056"/>
      <c r="D705" s="148"/>
      <c r="E705" s="148"/>
      <c r="F705" s="488"/>
      <c r="G705" s="488"/>
      <c r="H705" s="488"/>
      <c r="I705" s="341"/>
    </row>
    <row r="706">
      <c r="A706" s="341"/>
      <c r="B706" s="341"/>
      <c r="C706" s="1056"/>
      <c r="D706" s="148"/>
      <c r="E706" s="148"/>
      <c r="F706" s="488"/>
      <c r="G706" s="488"/>
      <c r="H706" s="488"/>
      <c r="I706" s="341"/>
    </row>
    <row r="707">
      <c r="A707" s="341"/>
      <c r="B707" s="341"/>
      <c r="C707" s="1056"/>
      <c r="D707" s="148"/>
      <c r="E707" s="148"/>
      <c r="F707" s="488"/>
      <c r="G707" s="488"/>
      <c r="H707" s="488"/>
      <c r="I707" s="341"/>
    </row>
    <row r="708">
      <c r="A708" s="341"/>
      <c r="B708" s="341"/>
      <c r="C708" s="1056"/>
      <c r="D708" s="148"/>
      <c r="E708" s="148"/>
      <c r="F708" s="488"/>
      <c r="G708" s="488"/>
      <c r="H708" s="488"/>
      <c r="I708" s="341"/>
    </row>
    <row r="709">
      <c r="A709" s="341"/>
      <c r="B709" s="341"/>
      <c r="C709" s="1056"/>
      <c r="D709" s="148"/>
      <c r="E709" s="148"/>
      <c r="F709" s="488"/>
      <c r="G709" s="488"/>
      <c r="H709" s="488"/>
      <c r="I709" s="341"/>
    </row>
    <row r="710">
      <c r="A710" s="341"/>
      <c r="B710" s="341"/>
      <c r="C710" s="1056"/>
      <c r="D710" s="148"/>
      <c r="E710" s="148"/>
      <c r="F710" s="488"/>
      <c r="G710" s="488"/>
      <c r="H710" s="488"/>
      <c r="I710" s="341"/>
    </row>
    <row r="711">
      <c r="A711" s="341"/>
      <c r="B711" s="341"/>
      <c r="C711" s="1056"/>
      <c r="D711" s="148"/>
      <c r="E711" s="148"/>
      <c r="F711" s="488"/>
      <c r="G711" s="488"/>
      <c r="H711" s="488"/>
      <c r="I711" s="341"/>
    </row>
    <row r="712">
      <c r="A712" s="341"/>
      <c r="B712" s="341"/>
      <c r="C712" s="1056"/>
      <c r="D712" s="148"/>
      <c r="E712" s="148"/>
      <c r="F712" s="488"/>
      <c r="G712" s="488"/>
      <c r="H712" s="488"/>
      <c r="I712" s="341"/>
    </row>
    <row r="713">
      <c r="A713" s="341"/>
      <c r="B713" s="341"/>
      <c r="C713" s="1056"/>
      <c r="D713" s="148"/>
      <c r="E713" s="148"/>
      <c r="F713" s="488"/>
      <c r="G713" s="488"/>
      <c r="H713" s="488"/>
      <c r="I713" s="341"/>
    </row>
    <row r="714">
      <c r="A714" s="341"/>
      <c r="B714" s="341"/>
      <c r="C714" s="1056"/>
      <c r="D714" s="148"/>
      <c r="E714" s="148"/>
      <c r="F714" s="488"/>
      <c r="G714" s="488"/>
      <c r="H714" s="488"/>
      <c r="I714" s="341"/>
    </row>
    <row r="715">
      <c r="A715" s="341"/>
      <c r="B715" s="341"/>
      <c r="C715" s="1056"/>
      <c r="D715" s="148"/>
      <c r="E715" s="148"/>
      <c r="F715" s="488"/>
      <c r="G715" s="488"/>
      <c r="H715" s="488"/>
      <c r="I715" s="341"/>
    </row>
    <row r="716">
      <c r="A716" s="341"/>
      <c r="B716" s="341"/>
      <c r="C716" s="1056"/>
      <c r="D716" s="148"/>
      <c r="E716" s="148"/>
      <c r="F716" s="488"/>
      <c r="G716" s="488"/>
      <c r="H716" s="488"/>
      <c r="I716" s="341"/>
    </row>
    <row r="717">
      <c r="A717" s="341"/>
      <c r="B717" s="341"/>
      <c r="C717" s="1056"/>
      <c r="D717" s="148"/>
      <c r="E717" s="148"/>
      <c r="F717" s="488"/>
      <c r="G717" s="488"/>
      <c r="H717" s="488"/>
      <c r="I717" s="341"/>
    </row>
    <row r="718">
      <c r="A718" s="341"/>
      <c r="B718" s="341"/>
      <c r="C718" s="1056"/>
      <c r="D718" s="148"/>
      <c r="E718" s="148"/>
      <c r="F718" s="488"/>
      <c r="G718" s="488"/>
      <c r="H718" s="488"/>
      <c r="I718" s="341"/>
    </row>
    <row r="719">
      <c r="A719" s="341"/>
      <c r="B719" s="341"/>
      <c r="C719" s="1056"/>
      <c r="D719" s="148"/>
      <c r="E719" s="148"/>
      <c r="F719" s="488"/>
      <c r="G719" s="488"/>
      <c r="H719" s="488"/>
      <c r="I719" s="341"/>
    </row>
    <row r="720">
      <c r="A720" s="341"/>
      <c r="B720" s="341"/>
      <c r="C720" s="1056"/>
      <c r="D720" s="148"/>
      <c r="E720" s="148"/>
      <c r="F720" s="488"/>
      <c r="G720" s="488"/>
      <c r="H720" s="488"/>
      <c r="I720" s="341"/>
    </row>
    <row r="721">
      <c r="A721" s="341"/>
      <c r="B721" s="341"/>
      <c r="C721" s="1056"/>
      <c r="D721" s="148"/>
      <c r="E721" s="148"/>
      <c r="F721" s="488"/>
      <c r="G721" s="488"/>
      <c r="H721" s="488"/>
      <c r="I721" s="341"/>
    </row>
    <row r="722">
      <c r="A722" s="341"/>
      <c r="B722" s="341"/>
      <c r="C722" s="1056"/>
      <c r="D722" s="148"/>
      <c r="E722" s="148"/>
      <c r="F722" s="488"/>
      <c r="G722" s="488"/>
      <c r="H722" s="488"/>
      <c r="I722" s="341"/>
    </row>
    <row r="723">
      <c r="A723" s="341"/>
      <c r="B723" s="341"/>
      <c r="C723" s="1056"/>
      <c r="D723" s="148"/>
      <c r="E723" s="148"/>
      <c r="F723" s="488"/>
      <c r="G723" s="488"/>
      <c r="H723" s="488"/>
      <c r="I723" s="341"/>
    </row>
    <row r="724">
      <c r="A724" s="341"/>
      <c r="B724" s="341"/>
      <c r="C724" s="1056"/>
      <c r="D724" s="148"/>
      <c r="E724" s="148"/>
      <c r="F724" s="488"/>
      <c r="G724" s="488"/>
      <c r="H724" s="488"/>
      <c r="I724" s="341"/>
    </row>
    <row r="725">
      <c r="A725" s="341"/>
      <c r="B725" s="341"/>
      <c r="C725" s="1056"/>
      <c r="D725" s="148"/>
      <c r="E725" s="148"/>
      <c r="F725" s="488"/>
      <c r="G725" s="488"/>
      <c r="H725" s="488"/>
      <c r="I725" s="341"/>
    </row>
    <row r="726">
      <c r="A726" s="341"/>
      <c r="B726" s="341"/>
      <c r="C726" s="1056"/>
      <c r="D726" s="148"/>
      <c r="E726" s="148"/>
      <c r="F726" s="488"/>
      <c r="G726" s="488"/>
      <c r="H726" s="488"/>
      <c r="I726" s="341"/>
    </row>
    <row r="727">
      <c r="A727" s="341"/>
      <c r="B727" s="341"/>
      <c r="C727" s="1056"/>
      <c r="D727" s="148"/>
      <c r="E727" s="148"/>
      <c r="F727" s="488"/>
      <c r="G727" s="488"/>
      <c r="H727" s="488"/>
      <c r="I727" s="341"/>
    </row>
    <row r="728">
      <c r="A728" s="341"/>
      <c r="B728" s="341"/>
      <c r="C728" s="1056"/>
      <c r="D728" s="148"/>
      <c r="E728" s="148"/>
      <c r="F728" s="488"/>
      <c r="G728" s="488"/>
      <c r="H728" s="488"/>
      <c r="I728" s="341"/>
    </row>
    <row r="729">
      <c r="A729" s="341"/>
      <c r="B729" s="341"/>
      <c r="C729" s="1056"/>
      <c r="D729" s="148"/>
      <c r="E729" s="148"/>
      <c r="F729" s="488"/>
      <c r="G729" s="488"/>
      <c r="H729" s="488"/>
      <c r="I729" s="341"/>
    </row>
    <row r="730">
      <c r="A730" s="341"/>
      <c r="B730" s="341"/>
      <c r="C730" s="1056"/>
      <c r="D730" s="148"/>
      <c r="E730" s="148"/>
      <c r="F730" s="488"/>
      <c r="G730" s="488"/>
      <c r="H730" s="488"/>
      <c r="I730" s="341"/>
    </row>
    <row r="731">
      <c r="A731" s="341"/>
      <c r="B731" s="341"/>
      <c r="C731" s="1056"/>
      <c r="D731" s="148"/>
      <c r="E731" s="148"/>
      <c r="F731" s="488"/>
      <c r="G731" s="488"/>
      <c r="H731" s="488"/>
      <c r="I731" s="341"/>
    </row>
    <row r="732">
      <c r="A732" s="341"/>
      <c r="B732" s="341"/>
      <c r="C732" s="1056"/>
      <c r="D732" s="148"/>
      <c r="E732" s="148"/>
      <c r="F732" s="488"/>
      <c r="G732" s="488"/>
      <c r="H732" s="488"/>
      <c r="I732" s="341"/>
    </row>
    <row r="733">
      <c r="A733" s="341"/>
      <c r="B733" s="341"/>
      <c r="C733" s="1056"/>
      <c r="D733" s="148"/>
      <c r="E733" s="148"/>
      <c r="F733" s="488"/>
      <c r="G733" s="488"/>
      <c r="H733" s="488"/>
      <c r="I733" s="341"/>
    </row>
    <row r="734">
      <c r="A734" s="341"/>
      <c r="B734" s="341"/>
      <c r="C734" s="1056"/>
      <c r="D734" s="148"/>
      <c r="E734" s="148"/>
      <c r="F734" s="488"/>
      <c r="G734" s="488"/>
      <c r="H734" s="488"/>
      <c r="I734" s="341"/>
    </row>
    <row r="735">
      <c r="A735" s="341"/>
      <c r="B735" s="341"/>
      <c r="C735" s="1056"/>
      <c r="D735" s="148"/>
      <c r="E735" s="148"/>
      <c r="F735" s="488"/>
      <c r="G735" s="488"/>
      <c r="H735" s="488"/>
      <c r="I735" s="341"/>
    </row>
    <row r="736">
      <c r="A736" s="341"/>
      <c r="B736" s="341"/>
      <c r="C736" s="1056"/>
      <c r="D736" s="148"/>
      <c r="E736" s="148"/>
      <c r="F736" s="488"/>
      <c r="G736" s="488"/>
      <c r="H736" s="488"/>
      <c r="I736" s="341"/>
    </row>
    <row r="737">
      <c r="A737" s="341"/>
      <c r="B737" s="341"/>
      <c r="C737" s="1056"/>
      <c r="D737" s="148"/>
      <c r="E737" s="148"/>
      <c r="F737" s="488"/>
      <c r="G737" s="488"/>
      <c r="H737" s="488"/>
      <c r="I737" s="341"/>
    </row>
    <row r="738">
      <c r="A738" s="341"/>
      <c r="B738" s="341"/>
      <c r="C738" s="1056"/>
      <c r="D738" s="148"/>
      <c r="E738" s="148"/>
      <c r="F738" s="488"/>
      <c r="G738" s="488"/>
      <c r="H738" s="488"/>
      <c r="I738" s="341"/>
    </row>
    <row r="739">
      <c r="A739" s="341"/>
      <c r="B739" s="341"/>
      <c r="C739" s="1056"/>
      <c r="D739" s="148"/>
      <c r="E739" s="148"/>
      <c r="F739" s="488"/>
      <c r="G739" s="488"/>
      <c r="H739" s="488"/>
      <c r="I739" s="341"/>
    </row>
    <row r="740">
      <c r="A740" s="341"/>
      <c r="B740" s="341"/>
      <c r="C740" s="1056"/>
      <c r="D740" s="148"/>
      <c r="E740" s="148"/>
      <c r="F740" s="488"/>
      <c r="G740" s="488"/>
      <c r="H740" s="488"/>
      <c r="I740" s="341"/>
    </row>
    <row r="741">
      <c r="A741" s="341"/>
      <c r="B741" s="341"/>
      <c r="C741" s="1056"/>
      <c r="D741" s="148"/>
      <c r="E741" s="148"/>
      <c r="F741" s="488"/>
      <c r="G741" s="488"/>
      <c r="H741" s="488"/>
      <c r="I741" s="341"/>
    </row>
    <row r="742">
      <c r="A742" s="341"/>
      <c r="B742" s="341"/>
      <c r="C742" s="1056"/>
      <c r="D742" s="148"/>
      <c r="E742" s="148"/>
      <c r="F742" s="488"/>
      <c r="G742" s="488"/>
      <c r="H742" s="488"/>
      <c r="I742" s="341"/>
    </row>
    <row r="743">
      <c r="A743" s="341"/>
      <c r="B743" s="341"/>
      <c r="C743" s="1056"/>
      <c r="D743" s="148"/>
      <c r="E743" s="148"/>
      <c r="F743" s="488"/>
      <c r="G743" s="488"/>
      <c r="H743" s="488"/>
      <c r="I743" s="341"/>
    </row>
    <row r="744">
      <c r="A744" s="341"/>
      <c r="B744" s="341"/>
      <c r="C744" s="1056"/>
      <c r="D744" s="148"/>
      <c r="E744" s="148"/>
      <c r="F744" s="488"/>
      <c r="G744" s="488"/>
      <c r="H744" s="488"/>
      <c r="I744" s="341"/>
    </row>
    <row r="745">
      <c r="A745" s="341"/>
      <c r="B745" s="341"/>
      <c r="C745" s="1056"/>
      <c r="D745" s="148"/>
      <c r="E745" s="148"/>
      <c r="F745" s="488"/>
      <c r="G745" s="488"/>
      <c r="H745" s="488"/>
      <c r="I745" s="341"/>
    </row>
    <row r="746">
      <c r="A746" s="341"/>
      <c r="B746" s="341"/>
      <c r="C746" s="1056"/>
      <c r="D746" s="148"/>
      <c r="E746" s="148"/>
      <c r="F746" s="488"/>
      <c r="G746" s="488"/>
      <c r="H746" s="488"/>
      <c r="I746" s="341"/>
    </row>
    <row r="747">
      <c r="A747" s="341"/>
      <c r="B747" s="341"/>
      <c r="C747" s="1056"/>
      <c r="D747" s="148"/>
      <c r="E747" s="148"/>
      <c r="F747" s="488"/>
      <c r="G747" s="488"/>
      <c r="H747" s="488"/>
      <c r="I747" s="341"/>
    </row>
    <row r="748">
      <c r="A748" s="341"/>
      <c r="B748" s="341"/>
      <c r="C748" s="1056"/>
      <c r="D748" s="148"/>
      <c r="E748" s="148"/>
      <c r="F748" s="488"/>
      <c r="G748" s="488"/>
      <c r="H748" s="488"/>
      <c r="I748" s="341"/>
    </row>
    <row r="749">
      <c r="A749" s="341"/>
      <c r="B749" s="341"/>
      <c r="C749" s="1056"/>
      <c r="D749" s="148"/>
      <c r="E749" s="148"/>
      <c r="F749" s="488"/>
      <c r="G749" s="488"/>
      <c r="H749" s="488"/>
      <c r="I749" s="341"/>
    </row>
    <row r="750">
      <c r="A750" s="341"/>
      <c r="B750" s="341"/>
      <c r="C750" s="1056"/>
      <c r="D750" s="148"/>
      <c r="E750" s="148"/>
      <c r="F750" s="488"/>
      <c r="G750" s="488"/>
      <c r="H750" s="488"/>
      <c r="I750" s="341"/>
    </row>
    <row r="751">
      <c r="A751" s="341"/>
      <c r="B751" s="341"/>
      <c r="C751" s="1056"/>
      <c r="D751" s="148"/>
      <c r="E751" s="148"/>
      <c r="F751" s="488"/>
      <c r="G751" s="488"/>
      <c r="H751" s="488"/>
      <c r="I751" s="341"/>
    </row>
    <row r="752">
      <c r="A752" s="341"/>
      <c r="B752" s="341"/>
      <c r="C752" s="1056"/>
      <c r="D752" s="148"/>
      <c r="E752" s="148"/>
      <c r="F752" s="488"/>
      <c r="G752" s="488"/>
      <c r="H752" s="488"/>
      <c r="I752" s="341"/>
    </row>
    <row r="753">
      <c r="A753" s="341"/>
      <c r="B753" s="341"/>
      <c r="C753" s="1056"/>
      <c r="D753" s="148"/>
      <c r="E753" s="148"/>
      <c r="F753" s="488"/>
      <c r="G753" s="488"/>
      <c r="H753" s="488"/>
      <c r="I753" s="341"/>
    </row>
    <row r="754">
      <c r="A754" s="341"/>
      <c r="B754" s="341"/>
      <c r="C754" s="1056"/>
      <c r="D754" s="148"/>
      <c r="E754" s="148"/>
      <c r="F754" s="488"/>
      <c r="G754" s="488"/>
      <c r="H754" s="488"/>
      <c r="I754" s="341"/>
    </row>
    <row r="755">
      <c r="A755" s="341"/>
      <c r="B755" s="341"/>
      <c r="C755" s="1056"/>
      <c r="D755" s="148"/>
      <c r="E755" s="148"/>
      <c r="F755" s="488"/>
      <c r="G755" s="488"/>
      <c r="H755" s="488"/>
      <c r="I755" s="341"/>
    </row>
    <row r="756">
      <c r="A756" s="341"/>
      <c r="B756" s="341"/>
      <c r="C756" s="1056"/>
      <c r="D756" s="148"/>
      <c r="E756" s="148"/>
      <c r="F756" s="488"/>
      <c r="G756" s="488"/>
      <c r="H756" s="488"/>
      <c r="I756" s="341"/>
    </row>
    <row r="757">
      <c r="A757" s="341"/>
      <c r="B757" s="341"/>
      <c r="C757" s="1056"/>
      <c r="D757" s="148"/>
      <c r="E757" s="148"/>
      <c r="F757" s="488"/>
      <c r="G757" s="488"/>
      <c r="H757" s="488"/>
      <c r="I757" s="341"/>
    </row>
    <row r="758">
      <c r="A758" s="341"/>
      <c r="B758" s="341"/>
      <c r="C758" s="1056"/>
      <c r="D758" s="148"/>
      <c r="E758" s="148"/>
      <c r="F758" s="488"/>
      <c r="G758" s="488"/>
      <c r="H758" s="488"/>
      <c r="I758" s="341"/>
    </row>
    <row r="759">
      <c r="A759" s="341"/>
      <c r="B759" s="341"/>
      <c r="C759" s="1056"/>
      <c r="D759" s="148"/>
      <c r="E759" s="148"/>
      <c r="F759" s="488"/>
      <c r="G759" s="488"/>
      <c r="H759" s="488"/>
      <c r="I759" s="341"/>
    </row>
    <row r="760">
      <c r="A760" s="341"/>
      <c r="B760" s="341"/>
      <c r="C760" s="1056"/>
      <c r="D760" s="148"/>
      <c r="E760" s="148"/>
      <c r="F760" s="488"/>
      <c r="G760" s="488"/>
      <c r="H760" s="488"/>
      <c r="I760" s="341"/>
    </row>
    <row r="761">
      <c r="A761" s="341"/>
      <c r="B761" s="341"/>
      <c r="C761" s="1056"/>
      <c r="D761" s="148"/>
      <c r="E761" s="148"/>
      <c r="F761" s="488"/>
      <c r="G761" s="488"/>
      <c r="H761" s="488"/>
      <c r="I761" s="341"/>
    </row>
    <row r="762">
      <c r="A762" s="341"/>
      <c r="B762" s="341"/>
      <c r="C762" s="1056"/>
      <c r="D762" s="148"/>
      <c r="E762" s="148"/>
      <c r="F762" s="488"/>
      <c r="G762" s="488"/>
      <c r="H762" s="488"/>
      <c r="I762" s="341"/>
    </row>
    <row r="763">
      <c r="A763" s="341"/>
      <c r="B763" s="341"/>
      <c r="C763" s="1056"/>
      <c r="D763" s="148"/>
      <c r="E763" s="148"/>
      <c r="F763" s="488"/>
      <c r="G763" s="488"/>
      <c r="H763" s="488"/>
      <c r="I763" s="341"/>
    </row>
    <row r="764">
      <c r="A764" s="341"/>
      <c r="B764" s="341"/>
      <c r="C764" s="1056"/>
      <c r="D764" s="148"/>
      <c r="E764" s="148"/>
      <c r="F764" s="488"/>
      <c r="G764" s="488"/>
      <c r="H764" s="488"/>
      <c r="I764" s="341"/>
    </row>
    <row r="765">
      <c r="A765" s="341"/>
      <c r="B765" s="341"/>
      <c r="C765" s="1056"/>
      <c r="D765" s="148"/>
      <c r="E765" s="148"/>
      <c r="F765" s="488"/>
      <c r="G765" s="488"/>
      <c r="H765" s="488"/>
      <c r="I765" s="341"/>
    </row>
    <row r="766">
      <c r="A766" s="341"/>
      <c r="B766" s="341"/>
      <c r="C766" s="1056"/>
      <c r="D766" s="148"/>
      <c r="E766" s="148"/>
      <c r="F766" s="488"/>
      <c r="G766" s="488"/>
      <c r="H766" s="488"/>
      <c r="I766" s="341"/>
    </row>
    <row r="767">
      <c r="A767" s="341"/>
      <c r="B767" s="341"/>
      <c r="C767" s="1056"/>
      <c r="D767" s="148"/>
      <c r="E767" s="148"/>
      <c r="F767" s="488"/>
      <c r="G767" s="488"/>
      <c r="H767" s="488"/>
      <c r="I767" s="341"/>
    </row>
    <row r="768">
      <c r="A768" s="341"/>
      <c r="B768" s="341"/>
      <c r="C768" s="1056"/>
      <c r="D768" s="148"/>
      <c r="E768" s="148"/>
      <c r="F768" s="488"/>
      <c r="G768" s="488"/>
      <c r="H768" s="488"/>
      <c r="I768" s="341"/>
    </row>
    <row r="769">
      <c r="A769" s="341"/>
      <c r="B769" s="341"/>
      <c r="C769" s="1056"/>
      <c r="D769" s="148"/>
      <c r="E769" s="148"/>
      <c r="F769" s="488"/>
      <c r="G769" s="488"/>
      <c r="H769" s="488"/>
      <c r="I769" s="341"/>
    </row>
    <row r="770">
      <c r="A770" s="341"/>
      <c r="B770" s="341"/>
      <c r="C770" s="1056"/>
      <c r="D770" s="148"/>
      <c r="E770" s="148"/>
      <c r="F770" s="488"/>
      <c r="G770" s="488"/>
      <c r="H770" s="488"/>
      <c r="I770" s="341"/>
    </row>
    <row r="771">
      <c r="A771" s="341"/>
      <c r="B771" s="341"/>
      <c r="C771" s="1056"/>
      <c r="D771" s="148"/>
      <c r="E771" s="148"/>
      <c r="F771" s="488"/>
      <c r="G771" s="488"/>
      <c r="H771" s="488"/>
      <c r="I771" s="341"/>
    </row>
    <row r="772">
      <c r="A772" s="606"/>
      <c r="B772" s="606"/>
    </row>
    <row r="773">
      <c r="A773" s="606"/>
      <c r="B773" s="606"/>
    </row>
    <row r="774">
      <c r="A774" s="606"/>
      <c r="B774" s="606"/>
    </row>
    <row r="775">
      <c r="A775" s="606"/>
      <c r="B775" s="606"/>
    </row>
    <row r="776">
      <c r="A776" s="606"/>
      <c r="B776" s="606"/>
    </row>
    <row r="777">
      <c r="A777" s="606"/>
      <c r="B777" s="606"/>
    </row>
    <row r="778">
      <c r="A778" s="606"/>
      <c r="B778" s="606"/>
    </row>
    <row r="779">
      <c r="A779" s="606"/>
      <c r="B779" s="606"/>
    </row>
    <row r="780">
      <c r="A780" s="606"/>
      <c r="B780" s="606"/>
    </row>
    <row r="781">
      <c r="A781" s="606"/>
      <c r="B781" s="606"/>
    </row>
    <row r="782">
      <c r="A782" s="606"/>
      <c r="B782" s="606"/>
    </row>
    <row r="783">
      <c r="A783" s="606"/>
      <c r="B783" s="606"/>
    </row>
    <row r="784">
      <c r="A784" s="606"/>
      <c r="B784" s="606"/>
    </row>
    <row r="785">
      <c r="A785" s="606"/>
      <c r="B785" s="606"/>
    </row>
    <row r="786">
      <c r="A786" s="606"/>
      <c r="B786" s="606"/>
    </row>
    <row r="787">
      <c r="A787" s="606"/>
      <c r="B787" s="606"/>
    </row>
    <row r="788">
      <c r="A788" s="606"/>
      <c r="B788" s="606"/>
    </row>
    <row r="789">
      <c r="A789" s="606"/>
      <c r="B789" s="606"/>
    </row>
    <row r="790">
      <c r="A790" s="606"/>
      <c r="B790" s="606"/>
    </row>
    <row r="791">
      <c r="A791" s="606"/>
      <c r="B791" s="606"/>
    </row>
    <row r="792">
      <c r="A792" s="606"/>
      <c r="B792" s="606"/>
    </row>
    <row r="793">
      <c r="A793" s="606"/>
      <c r="B793" s="606"/>
    </row>
    <row r="794">
      <c r="A794" s="606"/>
      <c r="B794" s="606"/>
    </row>
    <row r="795">
      <c r="A795" s="606"/>
      <c r="B795" s="606"/>
    </row>
    <row r="796">
      <c r="A796" s="606"/>
      <c r="B796" s="606"/>
    </row>
    <row r="797">
      <c r="A797" s="606"/>
      <c r="B797" s="606"/>
    </row>
    <row r="798">
      <c r="A798" s="606"/>
      <c r="B798" s="606"/>
    </row>
    <row r="799">
      <c r="A799" s="606"/>
      <c r="B799" s="606"/>
    </row>
    <row r="800">
      <c r="A800" s="606"/>
      <c r="B800" s="606"/>
    </row>
    <row r="801">
      <c r="A801" s="606"/>
      <c r="B801" s="606"/>
    </row>
    <row r="802">
      <c r="A802" s="606"/>
      <c r="B802" s="606"/>
    </row>
    <row r="803">
      <c r="A803" s="606"/>
      <c r="B803" s="606"/>
    </row>
    <row r="804">
      <c r="A804" s="606"/>
      <c r="B804" s="606"/>
    </row>
    <row r="805">
      <c r="A805" s="606"/>
      <c r="B805" s="606"/>
    </row>
    <row r="806">
      <c r="A806" s="606"/>
      <c r="B806" s="606"/>
    </row>
    <row r="807">
      <c r="A807" s="606"/>
      <c r="B807" s="606"/>
    </row>
    <row r="808">
      <c r="A808" s="606"/>
      <c r="B808" s="606"/>
    </row>
    <row r="809">
      <c r="A809" s="606"/>
      <c r="B809" s="606"/>
    </row>
    <row r="810">
      <c r="A810" s="606"/>
      <c r="B810" s="606"/>
    </row>
    <row r="811">
      <c r="A811" s="606"/>
      <c r="B811" s="606"/>
    </row>
    <row r="812">
      <c r="A812" s="606"/>
      <c r="B812" s="606"/>
    </row>
    <row r="813">
      <c r="A813" s="606"/>
      <c r="B813" s="606"/>
    </row>
    <row r="814">
      <c r="A814" s="606"/>
      <c r="B814" s="606"/>
    </row>
    <row r="815">
      <c r="A815" s="606"/>
      <c r="B815" s="606"/>
    </row>
    <row r="816">
      <c r="A816" s="606"/>
      <c r="B816" s="606"/>
    </row>
    <row r="817">
      <c r="A817" s="606"/>
      <c r="B817" s="606"/>
    </row>
    <row r="818">
      <c r="A818" s="606"/>
      <c r="B818" s="606"/>
    </row>
    <row r="819">
      <c r="A819" s="606"/>
      <c r="B819" s="606"/>
    </row>
    <row r="820">
      <c r="A820" s="606"/>
      <c r="B820" s="606"/>
    </row>
    <row r="821">
      <c r="A821" s="606"/>
      <c r="B821" s="606"/>
    </row>
    <row r="822">
      <c r="A822" s="606"/>
      <c r="B822" s="606"/>
    </row>
    <row r="823">
      <c r="A823" s="606"/>
      <c r="B823" s="606"/>
    </row>
    <row r="824">
      <c r="A824" s="606"/>
      <c r="B824" s="606"/>
    </row>
    <row r="825">
      <c r="A825" s="606"/>
      <c r="B825" s="606"/>
    </row>
    <row r="826">
      <c r="A826" s="606"/>
      <c r="B826" s="606"/>
    </row>
    <row r="827">
      <c r="A827" s="606"/>
      <c r="B827" s="606"/>
    </row>
    <row r="828">
      <c r="A828" s="606"/>
      <c r="B828" s="606"/>
    </row>
    <row r="829">
      <c r="A829" s="606"/>
      <c r="B829" s="606"/>
    </row>
    <row r="830">
      <c r="A830" s="606"/>
      <c r="B830" s="606"/>
    </row>
    <row r="831">
      <c r="A831" s="606"/>
      <c r="B831" s="606"/>
    </row>
    <row r="832">
      <c r="A832" s="606"/>
      <c r="B832" s="606"/>
    </row>
    <row r="833">
      <c r="A833" s="606"/>
      <c r="B833" s="606"/>
    </row>
    <row r="834">
      <c r="A834" s="606"/>
      <c r="B834" s="606"/>
    </row>
    <row r="835">
      <c r="A835" s="606"/>
      <c r="B835" s="606"/>
    </row>
    <row r="836">
      <c r="A836" s="606"/>
      <c r="B836" s="606"/>
    </row>
    <row r="837">
      <c r="A837" s="606"/>
      <c r="B837" s="606"/>
    </row>
    <row r="838">
      <c r="A838" s="606"/>
      <c r="B838" s="606"/>
    </row>
    <row r="839">
      <c r="A839" s="606"/>
      <c r="B839" s="606"/>
    </row>
    <row r="840">
      <c r="A840" s="606"/>
      <c r="B840" s="606"/>
    </row>
    <row r="841">
      <c r="A841" s="606"/>
      <c r="B841" s="606"/>
    </row>
    <row r="842">
      <c r="A842" s="606"/>
      <c r="B842" s="606"/>
    </row>
    <row r="843">
      <c r="A843" s="606"/>
      <c r="B843" s="606"/>
    </row>
    <row r="844">
      <c r="A844" s="606"/>
      <c r="B844" s="606"/>
    </row>
    <row r="845">
      <c r="A845" s="606"/>
      <c r="B845" s="606"/>
    </row>
    <row r="846">
      <c r="A846" s="606"/>
      <c r="B846" s="606"/>
    </row>
    <row r="847">
      <c r="A847" s="606"/>
      <c r="B847" s="606"/>
    </row>
    <row r="848">
      <c r="A848" s="606"/>
      <c r="B848" s="606"/>
    </row>
    <row r="849">
      <c r="A849" s="606"/>
      <c r="B849" s="606"/>
    </row>
    <row r="850">
      <c r="A850" s="606"/>
      <c r="B850" s="606"/>
    </row>
    <row r="851">
      <c r="A851" s="606"/>
      <c r="B851" s="606"/>
    </row>
    <row r="852">
      <c r="A852" s="606"/>
      <c r="B852" s="606"/>
    </row>
    <row r="853">
      <c r="A853" s="606"/>
      <c r="B853" s="606"/>
    </row>
    <row r="854">
      <c r="A854" s="606"/>
      <c r="B854" s="606"/>
    </row>
    <row r="855">
      <c r="A855" s="606"/>
      <c r="B855" s="606"/>
    </row>
    <row r="856">
      <c r="A856" s="606"/>
      <c r="B856" s="606"/>
    </row>
    <row r="857">
      <c r="A857" s="606"/>
      <c r="B857" s="606"/>
    </row>
    <row r="858">
      <c r="A858" s="606"/>
      <c r="B858" s="606"/>
    </row>
    <row r="859">
      <c r="A859" s="606"/>
      <c r="B859" s="606"/>
    </row>
    <row r="860">
      <c r="A860" s="606"/>
      <c r="B860" s="606"/>
    </row>
    <row r="861">
      <c r="A861" s="606"/>
      <c r="B861" s="606"/>
    </row>
    <row r="862">
      <c r="A862" s="606"/>
      <c r="B862" s="606"/>
    </row>
    <row r="863">
      <c r="A863" s="606"/>
      <c r="B863" s="606"/>
    </row>
    <row r="864">
      <c r="A864" s="606"/>
      <c r="B864" s="606"/>
    </row>
    <row r="865">
      <c r="A865" s="606"/>
      <c r="B865" s="606"/>
    </row>
    <row r="866">
      <c r="A866" s="606"/>
      <c r="B866" s="606"/>
    </row>
    <row r="867">
      <c r="A867" s="606"/>
      <c r="B867" s="606"/>
    </row>
    <row r="868">
      <c r="A868" s="606"/>
      <c r="B868" s="606"/>
    </row>
    <row r="869">
      <c r="A869" s="606"/>
      <c r="B869" s="606"/>
    </row>
    <row r="870">
      <c r="A870" s="606"/>
      <c r="B870" s="606"/>
    </row>
    <row r="871">
      <c r="A871" s="606"/>
      <c r="B871" s="606"/>
    </row>
    <row r="872">
      <c r="A872" s="606"/>
      <c r="B872" s="606"/>
    </row>
    <row r="873">
      <c r="A873" s="606"/>
      <c r="B873" s="606"/>
    </row>
    <row r="874">
      <c r="A874" s="606"/>
      <c r="B874" s="606"/>
    </row>
    <row r="875">
      <c r="A875" s="606"/>
      <c r="B875" s="606"/>
    </row>
    <row r="876">
      <c r="A876" s="606"/>
      <c r="B876" s="606"/>
    </row>
    <row r="877">
      <c r="A877" s="606"/>
      <c r="B877" s="606"/>
    </row>
    <row r="878">
      <c r="A878" s="606"/>
      <c r="B878" s="606"/>
    </row>
    <row r="879">
      <c r="A879" s="606"/>
      <c r="B879" s="606"/>
    </row>
    <row r="880">
      <c r="A880" s="606"/>
      <c r="B880" s="606"/>
    </row>
    <row r="881">
      <c r="A881" s="606"/>
      <c r="B881" s="606"/>
    </row>
    <row r="882">
      <c r="A882" s="606"/>
      <c r="B882" s="606"/>
    </row>
    <row r="883">
      <c r="A883" s="606"/>
      <c r="B883" s="606"/>
    </row>
    <row r="884">
      <c r="A884" s="606"/>
      <c r="B884" s="606"/>
    </row>
    <row r="885">
      <c r="A885" s="606"/>
      <c r="B885" s="606"/>
    </row>
    <row r="886">
      <c r="A886" s="606"/>
      <c r="B886" s="606"/>
    </row>
    <row r="887">
      <c r="A887" s="606"/>
      <c r="B887" s="606"/>
    </row>
    <row r="888">
      <c r="A888" s="606"/>
      <c r="B888" s="606"/>
    </row>
    <row r="889">
      <c r="A889" s="606"/>
      <c r="B889" s="606"/>
    </row>
    <row r="890">
      <c r="A890" s="606"/>
      <c r="B890" s="606"/>
    </row>
    <row r="891">
      <c r="A891" s="606"/>
      <c r="B891" s="606"/>
    </row>
    <row r="892">
      <c r="A892" s="606"/>
      <c r="B892" s="606"/>
    </row>
    <row r="893">
      <c r="A893" s="606"/>
      <c r="B893" s="606"/>
    </row>
    <row r="894">
      <c r="A894" s="606"/>
      <c r="B894" s="606"/>
    </row>
    <row r="895">
      <c r="A895" s="606"/>
      <c r="B895" s="606"/>
    </row>
    <row r="896">
      <c r="A896" s="606"/>
      <c r="B896" s="606"/>
    </row>
    <row r="897">
      <c r="A897" s="606"/>
      <c r="B897" s="606"/>
    </row>
    <row r="898">
      <c r="A898" s="606"/>
      <c r="B898" s="606"/>
    </row>
    <row r="899">
      <c r="A899" s="606"/>
      <c r="B899" s="606"/>
    </row>
    <row r="900">
      <c r="A900" s="606"/>
      <c r="B900" s="606"/>
    </row>
    <row r="901">
      <c r="A901" s="606"/>
      <c r="B901" s="606"/>
    </row>
    <row r="902">
      <c r="A902" s="606"/>
      <c r="B902" s="606"/>
    </row>
    <row r="903">
      <c r="A903" s="606"/>
      <c r="B903" s="606"/>
    </row>
    <row r="904">
      <c r="A904" s="606"/>
      <c r="B904" s="606"/>
    </row>
    <row r="905">
      <c r="A905" s="606"/>
      <c r="B905" s="606"/>
    </row>
    <row r="906">
      <c r="A906" s="606"/>
      <c r="B906" s="606"/>
    </row>
    <row r="907">
      <c r="A907" s="606"/>
      <c r="B907" s="606"/>
    </row>
    <row r="908">
      <c r="A908" s="606"/>
      <c r="B908" s="606"/>
    </row>
    <row r="909">
      <c r="A909" s="606"/>
      <c r="B909" s="606"/>
    </row>
    <row r="910">
      <c r="A910" s="606"/>
      <c r="B910" s="606"/>
    </row>
    <row r="911">
      <c r="A911" s="606"/>
      <c r="B911" s="606"/>
    </row>
    <row r="912">
      <c r="A912" s="606"/>
      <c r="B912" s="606"/>
    </row>
    <row r="913">
      <c r="A913" s="606"/>
      <c r="B913" s="606"/>
    </row>
    <row r="914">
      <c r="A914" s="606"/>
      <c r="B914" s="606"/>
    </row>
    <row r="915">
      <c r="A915" s="606"/>
      <c r="B915" s="606"/>
    </row>
    <row r="916">
      <c r="A916" s="606"/>
      <c r="B916" s="606"/>
    </row>
    <row r="917">
      <c r="A917" s="606"/>
      <c r="B917" s="606"/>
    </row>
    <row r="918">
      <c r="A918" s="606"/>
      <c r="B918" s="606"/>
    </row>
    <row r="919">
      <c r="A919" s="606"/>
      <c r="B919" s="606"/>
    </row>
    <row r="920">
      <c r="A920" s="606"/>
      <c r="B920" s="606"/>
    </row>
    <row r="921">
      <c r="A921" s="606"/>
      <c r="B921" s="606"/>
    </row>
    <row r="922">
      <c r="A922" s="606"/>
      <c r="B922" s="606"/>
    </row>
    <row r="923">
      <c r="A923" s="606"/>
      <c r="B923" s="606"/>
    </row>
    <row r="924">
      <c r="A924" s="606"/>
      <c r="B924" s="606"/>
    </row>
    <row r="925">
      <c r="A925" s="606"/>
      <c r="B925" s="606"/>
    </row>
    <row r="926">
      <c r="A926" s="606"/>
      <c r="B926" s="606"/>
    </row>
    <row r="927">
      <c r="A927" s="606"/>
      <c r="B927" s="606"/>
    </row>
    <row r="928">
      <c r="A928" s="606"/>
      <c r="B928" s="606"/>
    </row>
    <row r="929">
      <c r="A929" s="606"/>
      <c r="B929" s="606"/>
    </row>
    <row r="930">
      <c r="A930" s="606"/>
      <c r="B930" s="606"/>
    </row>
    <row r="931">
      <c r="A931" s="606"/>
      <c r="B931" s="606"/>
    </row>
    <row r="932">
      <c r="A932" s="606"/>
      <c r="B932" s="606"/>
    </row>
    <row r="933">
      <c r="A933" s="606"/>
      <c r="B933" s="606"/>
    </row>
    <row r="934">
      <c r="A934" s="606"/>
      <c r="B934" s="606"/>
    </row>
    <row r="935">
      <c r="A935" s="606"/>
      <c r="B935" s="606"/>
    </row>
    <row r="936">
      <c r="A936" s="606"/>
      <c r="B936" s="606"/>
    </row>
    <row r="937">
      <c r="A937" s="606"/>
      <c r="B937" s="606"/>
    </row>
    <row r="938">
      <c r="A938" s="606"/>
      <c r="B938" s="606"/>
    </row>
    <row r="939">
      <c r="A939" s="606"/>
      <c r="B939" s="606"/>
    </row>
    <row r="940">
      <c r="A940" s="606"/>
      <c r="B940" s="606"/>
    </row>
    <row r="941">
      <c r="A941" s="606"/>
      <c r="B941" s="606"/>
    </row>
    <row r="942">
      <c r="A942" s="606"/>
      <c r="B942" s="606"/>
    </row>
    <row r="943">
      <c r="A943" s="606"/>
      <c r="B943" s="606"/>
    </row>
    <row r="944">
      <c r="A944" s="606"/>
      <c r="B944" s="606"/>
    </row>
    <row r="945">
      <c r="A945" s="606"/>
      <c r="B945" s="606"/>
    </row>
    <row r="946">
      <c r="A946" s="606"/>
      <c r="B946" s="606"/>
    </row>
    <row r="947">
      <c r="A947" s="606"/>
      <c r="B947" s="606"/>
    </row>
    <row r="948">
      <c r="A948" s="606"/>
      <c r="B948" s="606"/>
    </row>
    <row r="949">
      <c r="A949" s="606"/>
      <c r="B949" s="606"/>
    </row>
    <row r="950">
      <c r="A950" s="606"/>
      <c r="B950" s="606"/>
    </row>
    <row r="951">
      <c r="A951" s="606"/>
      <c r="B951" s="606"/>
    </row>
    <row r="952">
      <c r="A952" s="606"/>
      <c r="B952" s="606"/>
    </row>
    <row r="953">
      <c r="A953" s="606"/>
      <c r="B953" s="606"/>
    </row>
    <row r="954">
      <c r="A954" s="606"/>
      <c r="B954" s="606"/>
    </row>
    <row r="955">
      <c r="A955" s="606"/>
      <c r="B955" s="606"/>
    </row>
    <row r="956">
      <c r="A956" s="606"/>
      <c r="B956" s="606"/>
    </row>
    <row r="957">
      <c r="A957" s="606"/>
      <c r="B957" s="606"/>
    </row>
    <row r="958">
      <c r="A958" s="606"/>
      <c r="B958" s="606"/>
    </row>
    <row r="959">
      <c r="A959" s="606"/>
      <c r="B959" s="606"/>
    </row>
    <row r="960">
      <c r="A960" s="606"/>
      <c r="B960" s="606"/>
    </row>
    <row r="961">
      <c r="A961" s="606"/>
      <c r="B961" s="606"/>
    </row>
    <row r="962">
      <c r="A962" s="606"/>
      <c r="B962" s="606"/>
    </row>
    <row r="963">
      <c r="A963" s="606"/>
      <c r="B963" s="606"/>
    </row>
    <row r="964">
      <c r="A964" s="606"/>
      <c r="B964" s="606"/>
    </row>
    <row r="965">
      <c r="A965" s="606"/>
      <c r="B965" s="606"/>
    </row>
    <row r="966">
      <c r="A966" s="606"/>
      <c r="B966" s="606"/>
    </row>
    <row r="967">
      <c r="A967" s="606"/>
      <c r="B967" s="606"/>
    </row>
    <row r="968">
      <c r="A968" s="606"/>
      <c r="B968" s="606"/>
    </row>
    <row r="969">
      <c r="A969" s="606"/>
      <c r="B969" s="606"/>
    </row>
    <row r="970">
      <c r="A970" s="606"/>
      <c r="B970" s="606"/>
    </row>
    <row r="971">
      <c r="A971" s="606"/>
      <c r="B971" s="606"/>
    </row>
    <row r="972">
      <c r="A972" s="606"/>
      <c r="B972" s="606"/>
    </row>
    <row r="973">
      <c r="A973" s="606"/>
      <c r="B973" s="606"/>
    </row>
    <row r="974">
      <c r="A974" s="606"/>
      <c r="B974" s="606"/>
    </row>
    <row r="975">
      <c r="A975" s="606"/>
      <c r="B975" s="606"/>
    </row>
    <row r="976">
      <c r="A976" s="606"/>
      <c r="B976" s="606"/>
    </row>
    <row r="977">
      <c r="A977" s="606"/>
      <c r="B977" s="606"/>
    </row>
    <row r="978">
      <c r="A978" s="606"/>
      <c r="B978" s="606"/>
    </row>
    <row r="979">
      <c r="A979" s="606"/>
      <c r="B979" s="606"/>
    </row>
    <row r="980">
      <c r="A980" s="606"/>
      <c r="B980" s="606"/>
    </row>
    <row r="981">
      <c r="A981" s="606"/>
      <c r="B981" s="606"/>
    </row>
    <row r="982">
      <c r="A982" s="606"/>
      <c r="B982" s="606"/>
    </row>
    <row r="983">
      <c r="A983" s="606"/>
      <c r="B983" s="606"/>
    </row>
    <row r="984">
      <c r="A984" s="606"/>
      <c r="B984" s="606"/>
    </row>
    <row r="985">
      <c r="A985" s="606"/>
      <c r="B985" s="606"/>
    </row>
    <row r="986">
      <c r="A986" s="606"/>
      <c r="B986" s="606"/>
    </row>
    <row r="987">
      <c r="A987" s="606"/>
      <c r="B987" s="606"/>
    </row>
    <row r="988">
      <c r="A988" s="606"/>
      <c r="B988" s="606"/>
    </row>
    <row r="989">
      <c r="A989" s="606"/>
      <c r="B989" s="606"/>
    </row>
    <row r="990">
      <c r="A990" s="606"/>
      <c r="B990" s="606"/>
    </row>
    <row r="991">
      <c r="A991" s="606"/>
      <c r="B991" s="606"/>
    </row>
  </sheetData>
  <conditionalFormatting sqref="E24:H25 E403:H404">
    <cfRule type="cellIs" dxfId="7" priority="1" operator="equal">
      <formula>"Cape"</formula>
    </cfRule>
  </conditionalFormatting>
  <conditionalFormatting sqref="E24:H25 E403:H404">
    <cfRule type="cellIs" dxfId="5" priority="2" operator="equal">
      <formula>"Cape?"</formula>
    </cfRule>
  </conditionalFormatting>
  <conditionalFormatting sqref="E3:E320 G3:G320 F157 H157 E322:E331 G322:G771 H332:H357 E358:E771 F536 H536">
    <cfRule type="containsText" dxfId="8" priority="3" operator="containsText" text="DT">
      <formula>NOT(ISERROR(SEARCH(("DT"),(E3))))</formula>
    </cfRule>
  </conditionalFormatting>
  <conditionalFormatting sqref="D3:D334 F157 H157 D382:D726 F536 H536">
    <cfRule type="containsText" dxfId="9" priority="4" operator="containsText" text="US">
      <formula>NOT(ISERROR(SEARCH(("US"),(D3))))</formula>
    </cfRule>
  </conditionalFormatting>
  <conditionalFormatting sqref="E1:E331 H332:H357 E358:E771">
    <cfRule type="cellIs" dxfId="10" priority="5" operator="equal">
      <formula>"C"</formula>
    </cfRule>
  </conditionalFormatting>
  <printOptions/>
  <pageMargins bottom="0.75" footer="0.0" header="0.0" left="0.7" right="0.7" top="0.75"/>
  <pageSetup orientation="landscape"/>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4.14"/>
    <col customWidth="1" min="5" max="5" width="18.57"/>
    <col customWidth="1" min="10" max="10" width="22.14"/>
    <col customWidth="1" min="17" max="17" width="21.86"/>
    <col customWidth="1" min="18" max="18" width="21.43"/>
  </cols>
  <sheetData>
    <row r="1">
      <c r="A1" s="1285" t="s">
        <v>600</v>
      </c>
      <c r="B1" s="1286" t="s">
        <v>601</v>
      </c>
      <c r="C1" s="1287" t="s">
        <v>602</v>
      </c>
      <c r="D1" s="1285" t="s">
        <v>3451</v>
      </c>
      <c r="E1" s="1285" t="s">
        <v>5826</v>
      </c>
      <c r="F1" s="1297" t="s">
        <v>3346</v>
      </c>
      <c r="G1" s="1294" t="s">
        <v>3455</v>
      </c>
      <c r="H1" s="1294" t="s">
        <v>2892</v>
      </c>
      <c r="I1" s="1287" t="s">
        <v>2893</v>
      </c>
      <c r="J1" s="1287" t="s">
        <v>2894</v>
      </c>
    </row>
    <row r="2">
      <c r="A2" s="1719" t="s">
        <v>5827</v>
      </c>
      <c r="B2" s="1719"/>
      <c r="F2" s="1072"/>
      <c r="J2" s="1344"/>
    </row>
    <row r="3" ht="15.0" customHeight="1">
      <c r="A3" s="606" t="s">
        <v>576</v>
      </c>
      <c r="B3" s="1427">
        <v>1982.0</v>
      </c>
      <c r="C3" s="25">
        <v>75684.0</v>
      </c>
      <c r="D3" s="606" t="s">
        <v>3488</v>
      </c>
      <c r="E3" s="23" t="s">
        <v>5828</v>
      </c>
      <c r="F3" s="1430" t="s">
        <v>3487</v>
      </c>
      <c r="G3" s="1154" t="s">
        <v>1687</v>
      </c>
      <c r="H3" s="25"/>
      <c r="I3" s="1720">
        <v>43758.0</v>
      </c>
      <c r="J3" s="25" t="s">
        <v>1611</v>
      </c>
      <c r="Q3" s="7"/>
      <c r="R3" s="7"/>
    </row>
    <row r="4" ht="15.0" customHeight="1">
      <c r="A4" s="606" t="s">
        <v>474</v>
      </c>
      <c r="B4" s="1427">
        <v>1990.0</v>
      </c>
      <c r="C4" s="1344">
        <v>78500.0</v>
      </c>
      <c r="D4" s="606" t="s">
        <v>3174</v>
      </c>
      <c r="E4" s="606" t="s">
        <v>5829</v>
      </c>
      <c r="F4" s="1072"/>
      <c r="J4" s="1344"/>
      <c r="Q4" s="1721"/>
      <c r="R4" s="1722"/>
    </row>
    <row r="5" ht="15.0" customHeight="1">
      <c r="A5" s="606" t="s">
        <v>450</v>
      </c>
      <c r="B5" s="1427">
        <v>1991.0</v>
      </c>
      <c r="C5" s="1344">
        <v>78000.0</v>
      </c>
      <c r="D5" s="606" t="s">
        <v>3174</v>
      </c>
      <c r="E5" s="606" t="s">
        <v>5830</v>
      </c>
      <c r="F5" s="1072"/>
      <c r="J5" s="1344"/>
      <c r="Q5" s="1721"/>
      <c r="R5" s="1722"/>
    </row>
    <row r="6" ht="15.0" customHeight="1">
      <c r="A6" s="606" t="s">
        <v>449</v>
      </c>
      <c r="B6" s="1427">
        <v>1992.0</v>
      </c>
      <c r="C6" s="1344">
        <v>75000.0</v>
      </c>
      <c r="D6" s="606" t="s">
        <v>3174</v>
      </c>
      <c r="E6" s="606" t="s">
        <v>5829</v>
      </c>
      <c r="F6" s="1072"/>
      <c r="J6" s="1344"/>
      <c r="Q6" s="1721"/>
      <c r="R6" s="1722"/>
    </row>
    <row r="7" ht="15.0" customHeight="1">
      <c r="A7" s="606" t="s">
        <v>3533</v>
      </c>
      <c r="B7" s="1005">
        <v>36192.0</v>
      </c>
      <c r="C7" s="25">
        <v>78498.0</v>
      </c>
      <c r="D7" s="606" t="s">
        <v>3141</v>
      </c>
      <c r="E7" s="23" t="s">
        <v>5831</v>
      </c>
      <c r="F7" s="1430" t="s">
        <v>5832</v>
      </c>
      <c r="G7" s="1154" t="s">
        <v>570</v>
      </c>
      <c r="H7" s="25"/>
      <c r="I7" s="1720"/>
      <c r="J7" s="25" t="s">
        <v>2907</v>
      </c>
      <c r="Q7" s="1721"/>
      <c r="R7" s="1722"/>
    </row>
    <row r="8">
      <c r="A8" s="1316" t="s">
        <v>515</v>
      </c>
      <c r="B8" s="1723">
        <v>36465.0</v>
      </c>
      <c r="C8" s="25">
        <v>84000.0</v>
      </c>
      <c r="D8" s="23" t="s">
        <v>1264</v>
      </c>
      <c r="E8" s="23"/>
      <c r="F8" s="1430" t="s">
        <v>5833</v>
      </c>
      <c r="G8" s="1154" t="s">
        <v>1687</v>
      </c>
      <c r="H8" s="25"/>
      <c r="I8" s="1720"/>
      <c r="J8" s="1724">
        <v>45261.0</v>
      </c>
    </row>
    <row r="9" ht="15.0" customHeight="1">
      <c r="C9" s="1344"/>
      <c r="F9" s="1072"/>
      <c r="J9" s="1344"/>
      <c r="Q9" s="1721"/>
      <c r="R9" s="1722"/>
    </row>
    <row r="10" ht="15.0" customHeight="1">
      <c r="C10" s="1344"/>
      <c r="F10" s="1072"/>
      <c r="J10" s="1344"/>
      <c r="Q10" s="1721"/>
      <c r="R10" s="1722"/>
    </row>
    <row r="11" ht="15.0" customHeight="1">
      <c r="A11" s="1719" t="s">
        <v>5834</v>
      </c>
      <c r="B11" s="1719"/>
      <c r="F11" s="1072"/>
      <c r="J11" s="1344"/>
      <c r="Q11" s="1721"/>
      <c r="R11" s="1722"/>
    </row>
    <row r="12" ht="15.0" customHeight="1">
      <c r="A12" s="1172" t="s">
        <v>219</v>
      </c>
      <c r="B12" s="1427">
        <v>2000.0</v>
      </c>
      <c r="C12" s="25">
        <v>82623.0</v>
      </c>
      <c r="D12" s="606" t="s">
        <v>1174</v>
      </c>
      <c r="F12" s="1072"/>
      <c r="J12" s="1344"/>
      <c r="Q12" s="7"/>
      <c r="R12" s="1722"/>
    </row>
    <row r="13" ht="15.0" customHeight="1">
      <c r="A13" s="1172" t="s">
        <v>486</v>
      </c>
      <c r="B13" s="1427">
        <v>2000.0</v>
      </c>
      <c r="C13" s="25">
        <v>77105.0</v>
      </c>
      <c r="D13" s="606" t="s">
        <v>942</v>
      </c>
      <c r="F13" s="1072"/>
      <c r="J13" s="1344"/>
      <c r="Q13" s="7"/>
      <c r="R13" s="1722"/>
    </row>
    <row r="14" ht="15.0" customHeight="1">
      <c r="A14" s="1172" t="s">
        <v>457</v>
      </c>
      <c r="B14" s="1427">
        <v>2001.0</v>
      </c>
      <c r="C14" s="25">
        <v>82200.0</v>
      </c>
      <c r="D14" s="606" t="s">
        <v>1190</v>
      </c>
      <c r="F14" s="1072"/>
      <c r="J14" s="1725">
        <v>46054.0</v>
      </c>
      <c r="Q14" s="7"/>
      <c r="R14" s="1722"/>
    </row>
    <row r="15" ht="15.0" customHeight="1">
      <c r="A15" s="1172" t="s">
        <v>3461</v>
      </c>
      <c r="B15" s="1427">
        <v>2001.0</v>
      </c>
      <c r="C15" s="25">
        <v>84333.0</v>
      </c>
      <c r="D15" s="606" t="s">
        <v>2899</v>
      </c>
      <c r="F15" s="1072"/>
      <c r="J15" s="1725">
        <v>45444.0</v>
      </c>
      <c r="Q15" s="7"/>
      <c r="R15" s="1722"/>
    </row>
    <row r="16" ht="15.0" customHeight="1">
      <c r="A16" s="1172" t="s">
        <v>2911</v>
      </c>
      <c r="B16" s="1427">
        <v>2002.0</v>
      </c>
      <c r="C16" s="25">
        <v>79334.0</v>
      </c>
      <c r="D16" s="606" t="s">
        <v>2899</v>
      </c>
      <c r="F16" s="1072"/>
      <c r="J16" s="1725">
        <v>45992.0</v>
      </c>
      <c r="Q16" s="7"/>
      <c r="R16" s="1722"/>
    </row>
    <row r="17" ht="15.0" customHeight="1">
      <c r="A17" s="1172" t="s">
        <v>546</v>
      </c>
      <c r="B17" s="1005">
        <v>36800.0</v>
      </c>
      <c r="C17" s="25">
        <v>78874.0</v>
      </c>
      <c r="D17" s="23" t="s">
        <v>1264</v>
      </c>
      <c r="F17" s="1072"/>
      <c r="G17" s="1154" t="s">
        <v>1687</v>
      </c>
      <c r="H17" s="25"/>
      <c r="I17" s="1720"/>
      <c r="J17" s="1724">
        <v>45992.0</v>
      </c>
      <c r="Q17" s="7"/>
      <c r="R17" s="1722"/>
    </row>
    <row r="18" ht="15.0" customHeight="1">
      <c r="A18" s="1172" t="s">
        <v>5036</v>
      </c>
      <c r="B18" s="1005">
        <v>36923.0</v>
      </c>
      <c r="C18" s="25">
        <v>78912.0</v>
      </c>
      <c r="D18" s="23" t="s">
        <v>667</v>
      </c>
      <c r="F18" s="1072"/>
      <c r="G18" s="1154" t="s">
        <v>1687</v>
      </c>
      <c r="H18" s="25"/>
      <c r="I18" s="1720">
        <v>44550.0</v>
      </c>
      <c r="J18" s="1724">
        <v>45748.0</v>
      </c>
      <c r="Q18" s="7"/>
      <c r="R18" s="1722"/>
    </row>
    <row r="19" ht="15.0" customHeight="1">
      <c r="A19" s="1172" t="s">
        <v>581</v>
      </c>
      <c r="B19" s="1005">
        <v>37257.0</v>
      </c>
      <c r="C19" s="25">
        <v>78929.0</v>
      </c>
      <c r="D19" s="23" t="s">
        <v>1553</v>
      </c>
      <c r="F19" s="1072"/>
      <c r="G19" s="1154" t="s">
        <v>1687</v>
      </c>
      <c r="H19" s="25"/>
      <c r="I19" s="1720"/>
      <c r="J19" s="1724">
        <v>45627.0</v>
      </c>
      <c r="Q19" s="7"/>
      <c r="R19" s="1722"/>
    </row>
    <row r="20" ht="15.0" customHeight="1">
      <c r="A20" s="1172" t="s">
        <v>503</v>
      </c>
      <c r="B20" s="1005">
        <v>37530.0</v>
      </c>
      <c r="C20" s="25">
        <v>82200.0</v>
      </c>
      <c r="D20" s="606" t="s">
        <v>1066</v>
      </c>
      <c r="F20" s="1072" t="s">
        <v>5832</v>
      </c>
      <c r="G20" s="1154" t="s">
        <v>1687</v>
      </c>
      <c r="H20" s="25"/>
      <c r="I20" s="1720"/>
      <c r="J20" s="1724">
        <v>45597.0</v>
      </c>
      <c r="Q20" s="7"/>
      <c r="R20" s="1722"/>
    </row>
    <row r="21" ht="15.0" customHeight="1">
      <c r="A21" s="606" t="s">
        <v>5757</v>
      </c>
      <c r="B21" s="1005">
        <v>37622.0</v>
      </c>
      <c r="C21" s="25">
        <v>82557.0</v>
      </c>
      <c r="D21" s="606" t="s">
        <v>1190</v>
      </c>
      <c r="F21" s="1072"/>
      <c r="J21" s="1725">
        <v>45505.0</v>
      </c>
      <c r="Q21" s="7"/>
      <c r="R21" s="1722"/>
    </row>
    <row r="22" ht="15.0" customHeight="1">
      <c r="A22" s="1316" t="s">
        <v>431</v>
      </c>
      <c r="B22" s="1005">
        <v>37681.0</v>
      </c>
      <c r="C22" s="25">
        <v>78945.0</v>
      </c>
      <c r="D22" s="606" t="s">
        <v>667</v>
      </c>
      <c r="F22" s="1072"/>
      <c r="G22" s="606" t="s">
        <v>1687</v>
      </c>
      <c r="H22" s="606"/>
      <c r="I22" s="1726"/>
      <c r="J22" s="1725">
        <v>45627.0</v>
      </c>
      <c r="Q22" s="7"/>
      <c r="R22" s="1722"/>
    </row>
    <row r="23" ht="15.0" customHeight="1">
      <c r="A23" s="1316" t="s">
        <v>282</v>
      </c>
      <c r="B23" s="1005">
        <v>37773.0</v>
      </c>
      <c r="C23" s="25">
        <v>78934.0</v>
      </c>
      <c r="D23" s="606" t="s">
        <v>667</v>
      </c>
      <c r="F23" s="1072"/>
      <c r="G23" s="606" t="s">
        <v>1687</v>
      </c>
      <c r="H23" s="606"/>
      <c r="I23" s="1727">
        <v>44217.0</v>
      </c>
      <c r="J23" s="1344"/>
      <c r="Q23" s="7"/>
      <c r="R23" s="1722"/>
    </row>
    <row r="24" ht="15.0" customHeight="1">
      <c r="A24" s="1316" t="s">
        <v>409</v>
      </c>
      <c r="B24" s="1005">
        <v>37895.0</v>
      </c>
      <c r="C24" s="25">
        <v>82000.0</v>
      </c>
      <c r="D24" s="606" t="s">
        <v>667</v>
      </c>
      <c r="F24" s="1072"/>
      <c r="G24" s="606" t="s">
        <v>2964</v>
      </c>
      <c r="H24" s="606"/>
      <c r="I24" s="1726"/>
      <c r="J24" s="1725">
        <v>45658.0</v>
      </c>
      <c r="Q24" s="7"/>
      <c r="R24" s="1722"/>
    </row>
    <row r="25">
      <c r="A25" s="1316" t="s">
        <v>417</v>
      </c>
      <c r="B25" s="1005">
        <v>37981.0</v>
      </c>
      <c r="C25" s="25">
        <v>78908.0</v>
      </c>
      <c r="D25" s="606" t="s">
        <v>667</v>
      </c>
      <c r="F25" s="1072"/>
      <c r="G25" s="606" t="s">
        <v>1687</v>
      </c>
      <c r="H25" s="606"/>
      <c r="I25" s="1726"/>
      <c r="J25" s="1725">
        <v>45627.0</v>
      </c>
    </row>
    <row r="26">
      <c r="A26" s="1316" t="s">
        <v>544</v>
      </c>
      <c r="B26" s="1005">
        <v>38139.0</v>
      </c>
      <c r="C26" s="1344">
        <v>78918.0</v>
      </c>
      <c r="D26" s="606" t="s">
        <v>878</v>
      </c>
      <c r="F26" s="1072"/>
      <c r="G26" s="606" t="s">
        <v>1687</v>
      </c>
      <c r="H26" s="606"/>
      <c r="I26" s="1726"/>
      <c r="J26" s="1725">
        <v>46447.0</v>
      </c>
    </row>
    <row r="27">
      <c r="F27" s="1072"/>
    </row>
    <row r="28" ht="15.0" customHeight="1">
      <c r="F28" s="1072"/>
      <c r="Q28" s="7"/>
      <c r="R28" s="7"/>
    </row>
    <row r="29" ht="15.0" customHeight="1">
      <c r="F29" s="1072"/>
      <c r="Q29" s="1721"/>
      <c r="R29" s="1722"/>
    </row>
    <row r="30">
      <c r="F30" s="1072"/>
    </row>
    <row r="31">
      <c r="F31" s="1072"/>
      <c r="Q31" s="1721"/>
      <c r="R31" s="1722"/>
    </row>
    <row r="32">
      <c r="F32" s="1072"/>
    </row>
    <row r="33">
      <c r="F33" s="1072"/>
      <c r="Q33" s="1721"/>
      <c r="R33" s="1722"/>
    </row>
    <row r="34">
      <c r="F34" s="1072"/>
    </row>
    <row r="35">
      <c r="F35" s="1072"/>
      <c r="Q35" s="7"/>
      <c r="R35" s="1722"/>
    </row>
    <row r="36">
      <c r="F36" s="1072"/>
    </row>
    <row r="37">
      <c r="F37" s="1072"/>
    </row>
    <row r="38">
      <c r="F38" s="1072"/>
      <c r="Q38" s="1721"/>
      <c r="R38" s="1722"/>
    </row>
    <row r="39">
      <c r="F39" s="1072"/>
    </row>
    <row r="40">
      <c r="F40" s="1072"/>
    </row>
    <row r="41">
      <c r="F41" s="1072"/>
    </row>
    <row r="42">
      <c r="F42" s="1072"/>
    </row>
    <row r="43">
      <c r="F43" s="1072"/>
    </row>
    <row r="44">
      <c r="F44" s="1072"/>
      <c r="Q44" s="7"/>
      <c r="R44" s="1722"/>
    </row>
    <row r="45">
      <c r="F45" s="1072"/>
      <c r="I45" s="1172"/>
      <c r="J45" s="1005"/>
      <c r="K45" s="25"/>
      <c r="L45" s="23"/>
      <c r="N45" s="1072"/>
      <c r="O45" s="1154"/>
      <c r="P45" s="25"/>
      <c r="Q45" s="1720"/>
      <c r="R45" s="25"/>
    </row>
    <row r="46">
      <c r="F46" s="1072"/>
      <c r="Q46" s="7"/>
      <c r="R46" s="1722"/>
    </row>
    <row r="47">
      <c r="F47" s="1072"/>
    </row>
    <row r="48">
      <c r="F48" s="1072"/>
    </row>
    <row r="49">
      <c r="F49" s="1072"/>
    </row>
    <row r="50">
      <c r="F50" s="1072"/>
    </row>
    <row r="51">
      <c r="F51" s="1072"/>
    </row>
    <row r="52">
      <c r="F52" s="1072"/>
    </row>
    <row r="53">
      <c r="F53" s="1072"/>
    </row>
    <row r="54">
      <c r="F54" s="1072"/>
    </row>
    <row r="55">
      <c r="F55" s="1072"/>
    </row>
    <row r="56">
      <c r="F56" s="1072"/>
    </row>
    <row r="57">
      <c r="F57" s="1072"/>
    </row>
    <row r="58">
      <c r="F58" s="1072"/>
    </row>
    <row r="59">
      <c r="F59" s="1072"/>
    </row>
    <row r="60">
      <c r="F60" s="1072"/>
    </row>
    <row r="61">
      <c r="F61" s="1072"/>
    </row>
    <row r="62">
      <c r="F62" s="1072"/>
    </row>
    <row r="63">
      <c r="F63" s="1072"/>
    </row>
    <row r="64">
      <c r="F64" s="1072"/>
    </row>
    <row r="65">
      <c r="F65" s="1072"/>
    </row>
    <row r="66">
      <c r="F66" s="1072"/>
    </row>
    <row r="67">
      <c r="F67" s="1072"/>
    </row>
    <row r="68">
      <c r="F68" s="1072"/>
    </row>
    <row r="69">
      <c r="F69" s="1072"/>
    </row>
    <row r="70">
      <c r="F70" s="1072"/>
    </row>
    <row r="71">
      <c r="F71" s="1072"/>
    </row>
    <row r="72">
      <c r="F72" s="1072"/>
    </row>
    <row r="73">
      <c r="F73" s="1072"/>
    </row>
    <row r="74">
      <c r="F74" s="1072"/>
    </row>
    <row r="75">
      <c r="F75" s="1072"/>
    </row>
    <row r="76">
      <c r="F76" s="1072"/>
    </row>
    <row r="77">
      <c r="F77" s="1072"/>
    </row>
    <row r="78">
      <c r="F78" s="1072"/>
    </row>
    <row r="79">
      <c r="F79" s="1072"/>
    </row>
    <row r="80">
      <c r="F80" s="1072"/>
    </row>
    <row r="81">
      <c r="F81" s="1072"/>
    </row>
    <row r="82">
      <c r="F82" s="1072"/>
    </row>
    <row r="83">
      <c r="F83" s="1072"/>
    </row>
    <row r="84">
      <c r="F84" s="1072"/>
    </row>
    <row r="85">
      <c r="F85" s="1072"/>
    </row>
    <row r="86">
      <c r="F86" s="1072"/>
    </row>
    <row r="87">
      <c r="F87" s="1072"/>
    </row>
    <row r="88">
      <c r="F88" s="1072"/>
    </row>
    <row r="89">
      <c r="F89" s="1072"/>
    </row>
    <row r="90">
      <c r="F90" s="1072"/>
    </row>
    <row r="91">
      <c r="F91" s="1072"/>
    </row>
    <row r="92">
      <c r="F92" s="1072"/>
    </row>
    <row r="93">
      <c r="F93" s="1072"/>
    </row>
    <row r="94">
      <c r="F94" s="1072"/>
    </row>
    <row r="95">
      <c r="F95" s="1072"/>
    </row>
    <row r="96">
      <c r="F96" s="1072"/>
    </row>
    <row r="97">
      <c r="F97" s="1072"/>
    </row>
    <row r="98">
      <c r="F98" s="1072"/>
    </row>
    <row r="99">
      <c r="F99" s="1072"/>
    </row>
    <row r="100">
      <c r="F100" s="1072"/>
    </row>
    <row r="101">
      <c r="F101" s="1072"/>
    </row>
    <row r="102">
      <c r="F102" s="1072"/>
    </row>
    <row r="103">
      <c r="F103" s="1072"/>
    </row>
    <row r="104">
      <c r="F104" s="1072"/>
    </row>
    <row r="105">
      <c r="F105" s="1072"/>
    </row>
    <row r="106">
      <c r="F106" s="1072"/>
    </row>
    <row r="107">
      <c r="F107" s="1072"/>
    </row>
    <row r="108">
      <c r="F108" s="1072"/>
    </row>
    <row r="109">
      <c r="F109" s="1072"/>
    </row>
    <row r="110">
      <c r="F110" s="1072"/>
    </row>
    <row r="111">
      <c r="F111" s="1072"/>
    </row>
    <row r="112">
      <c r="F112" s="1072"/>
    </row>
    <row r="113">
      <c r="F113" s="1072"/>
    </row>
    <row r="114">
      <c r="F114" s="1072"/>
    </row>
    <row r="115">
      <c r="F115" s="1072"/>
    </row>
    <row r="116">
      <c r="F116" s="1072"/>
    </row>
    <row r="117">
      <c r="F117" s="1072"/>
    </row>
    <row r="118">
      <c r="F118" s="1072"/>
    </row>
    <row r="119">
      <c r="F119" s="1072"/>
    </row>
    <row r="120">
      <c r="F120" s="1072"/>
    </row>
    <row r="121">
      <c r="F121" s="1072"/>
    </row>
    <row r="122">
      <c r="F122" s="1072"/>
    </row>
    <row r="123">
      <c r="F123" s="1072"/>
    </row>
    <row r="124">
      <c r="F124" s="1072"/>
    </row>
    <row r="125">
      <c r="F125" s="1072"/>
    </row>
    <row r="126">
      <c r="F126" s="1072"/>
    </row>
    <row r="127">
      <c r="F127" s="1072"/>
    </row>
    <row r="128">
      <c r="F128" s="1072"/>
    </row>
    <row r="129">
      <c r="F129" s="1072"/>
    </row>
    <row r="130">
      <c r="F130" s="1072"/>
    </row>
    <row r="131">
      <c r="F131" s="1072"/>
    </row>
    <row r="132">
      <c r="F132" s="1072"/>
    </row>
    <row r="133">
      <c r="F133" s="1072"/>
    </row>
    <row r="134">
      <c r="F134" s="1072"/>
    </row>
    <row r="135">
      <c r="F135" s="1072"/>
    </row>
    <row r="136">
      <c r="F136" s="1072"/>
    </row>
    <row r="137">
      <c r="F137" s="1072"/>
    </row>
    <row r="138">
      <c r="F138" s="1072"/>
    </row>
    <row r="139">
      <c r="F139" s="1072"/>
    </row>
    <row r="140">
      <c r="F140" s="1072"/>
    </row>
    <row r="141">
      <c r="F141" s="1072"/>
    </row>
    <row r="142">
      <c r="F142" s="1072"/>
    </row>
    <row r="143">
      <c r="F143" s="1072"/>
    </row>
    <row r="144">
      <c r="F144" s="1072"/>
    </row>
    <row r="145">
      <c r="F145" s="1072"/>
    </row>
    <row r="146">
      <c r="F146" s="1072"/>
    </row>
    <row r="147">
      <c r="F147" s="1072"/>
    </row>
    <row r="148">
      <c r="F148" s="1072"/>
    </row>
    <row r="149">
      <c r="F149" s="1072"/>
    </row>
    <row r="150">
      <c r="F150" s="1072"/>
    </row>
    <row r="151">
      <c r="F151" s="1072"/>
    </row>
    <row r="152">
      <c r="F152" s="1072"/>
    </row>
    <row r="153">
      <c r="F153" s="1072"/>
    </row>
    <row r="154">
      <c r="F154" s="1072"/>
    </row>
    <row r="155">
      <c r="F155" s="1072"/>
    </row>
    <row r="156">
      <c r="F156" s="1072"/>
    </row>
    <row r="157">
      <c r="F157" s="1072"/>
    </row>
    <row r="158">
      <c r="F158" s="1072"/>
    </row>
    <row r="159">
      <c r="F159" s="1072"/>
    </row>
    <row r="160">
      <c r="F160" s="1072"/>
    </row>
    <row r="161">
      <c r="F161" s="1072"/>
    </row>
    <row r="162">
      <c r="F162" s="1072"/>
    </row>
    <row r="163">
      <c r="F163" s="1072"/>
    </row>
    <row r="164">
      <c r="F164" s="1072"/>
    </row>
    <row r="165">
      <c r="F165" s="1072"/>
    </row>
    <row r="166">
      <c r="F166" s="1072"/>
    </row>
    <row r="167">
      <c r="F167" s="1072"/>
    </row>
    <row r="168">
      <c r="F168" s="1072"/>
    </row>
    <row r="169">
      <c r="F169" s="1072"/>
    </row>
    <row r="170">
      <c r="F170" s="1072"/>
    </row>
    <row r="171">
      <c r="F171" s="1072"/>
    </row>
    <row r="172">
      <c r="F172" s="1072"/>
    </row>
    <row r="173">
      <c r="F173" s="1072"/>
    </row>
    <row r="174">
      <c r="F174" s="1072"/>
    </row>
    <row r="175">
      <c r="F175" s="1072"/>
    </row>
    <row r="176">
      <c r="F176" s="1072"/>
    </row>
    <row r="177">
      <c r="F177" s="1072"/>
    </row>
    <row r="178">
      <c r="F178" s="1072"/>
    </row>
    <row r="179">
      <c r="F179" s="1072"/>
    </row>
    <row r="180">
      <c r="F180" s="1072"/>
    </row>
    <row r="181">
      <c r="F181" s="1072"/>
    </row>
    <row r="182">
      <c r="F182" s="1072"/>
    </row>
    <row r="183">
      <c r="F183" s="1072"/>
    </row>
    <row r="184">
      <c r="F184" s="1072"/>
    </row>
    <row r="185">
      <c r="F185" s="1072"/>
    </row>
    <row r="186">
      <c r="F186" s="1072"/>
    </row>
    <row r="187">
      <c r="F187" s="1072"/>
    </row>
    <row r="188">
      <c r="F188" s="1072"/>
    </row>
    <row r="189">
      <c r="F189" s="1072"/>
    </row>
    <row r="190">
      <c r="F190" s="1072"/>
    </row>
    <row r="191">
      <c r="F191" s="1072"/>
    </row>
    <row r="192">
      <c r="F192" s="1072"/>
    </row>
    <row r="193">
      <c r="F193" s="1072"/>
    </row>
    <row r="194">
      <c r="F194" s="1072"/>
    </row>
    <row r="195">
      <c r="F195" s="1072"/>
    </row>
    <row r="196">
      <c r="F196" s="1072"/>
    </row>
    <row r="197">
      <c r="F197" s="1072"/>
    </row>
    <row r="198">
      <c r="F198" s="1072"/>
    </row>
    <row r="199">
      <c r="F199" s="1072"/>
    </row>
    <row r="200">
      <c r="F200" s="1072"/>
    </row>
    <row r="201">
      <c r="F201" s="1072"/>
    </row>
    <row r="202">
      <c r="F202" s="1072"/>
    </row>
    <row r="203">
      <c r="F203" s="1072"/>
    </row>
    <row r="204">
      <c r="F204" s="1072"/>
    </row>
    <row r="205">
      <c r="F205" s="1072"/>
    </row>
    <row r="206">
      <c r="F206" s="1072"/>
    </row>
    <row r="207">
      <c r="F207" s="1072"/>
    </row>
    <row r="208">
      <c r="F208" s="1072"/>
    </row>
    <row r="209">
      <c r="F209" s="1072"/>
    </row>
    <row r="210">
      <c r="F210" s="1072"/>
    </row>
    <row r="211">
      <c r="F211" s="1072"/>
    </row>
    <row r="212">
      <c r="F212" s="1072"/>
    </row>
    <row r="213">
      <c r="F213" s="1072"/>
    </row>
    <row r="214">
      <c r="F214" s="1072"/>
    </row>
    <row r="215">
      <c r="F215" s="1072"/>
    </row>
    <row r="216">
      <c r="F216" s="1072"/>
    </row>
    <row r="217">
      <c r="F217" s="1072"/>
    </row>
    <row r="218">
      <c r="F218" s="1072"/>
    </row>
    <row r="219">
      <c r="F219" s="1072"/>
    </row>
    <row r="220">
      <c r="F220" s="1072"/>
    </row>
    <row r="221">
      <c r="F221" s="1072"/>
    </row>
    <row r="222">
      <c r="F222" s="1072"/>
    </row>
    <row r="223">
      <c r="F223" s="1072"/>
    </row>
    <row r="224">
      <c r="F224" s="1072"/>
    </row>
    <row r="225">
      <c r="F225" s="1072"/>
    </row>
    <row r="226">
      <c r="F226" s="1072"/>
    </row>
    <row r="227">
      <c r="F227" s="1072"/>
    </row>
    <row r="228">
      <c r="F228" s="1072"/>
    </row>
    <row r="229">
      <c r="F229" s="1072"/>
    </row>
    <row r="230">
      <c r="F230" s="1072"/>
    </row>
    <row r="231">
      <c r="F231" s="1072"/>
    </row>
    <row r="232">
      <c r="F232" s="1072"/>
    </row>
    <row r="233">
      <c r="F233" s="1072"/>
    </row>
    <row r="234">
      <c r="F234" s="1072"/>
    </row>
    <row r="235">
      <c r="F235" s="1072"/>
    </row>
    <row r="236">
      <c r="F236" s="1072"/>
    </row>
    <row r="237">
      <c r="F237" s="1072"/>
    </row>
    <row r="238">
      <c r="F238" s="1072"/>
    </row>
    <row r="239">
      <c r="F239" s="1072"/>
    </row>
    <row r="240">
      <c r="F240" s="1072"/>
    </row>
    <row r="241">
      <c r="F241" s="1072"/>
    </row>
    <row r="242">
      <c r="F242" s="1072"/>
    </row>
    <row r="243">
      <c r="F243" s="1072"/>
    </row>
    <row r="244">
      <c r="F244" s="1072"/>
    </row>
    <row r="245">
      <c r="F245" s="1072"/>
    </row>
    <row r="246">
      <c r="F246" s="1072"/>
    </row>
    <row r="247">
      <c r="F247" s="1072"/>
    </row>
    <row r="248">
      <c r="F248" s="1072"/>
    </row>
    <row r="249">
      <c r="F249" s="1072"/>
    </row>
    <row r="250">
      <c r="F250" s="1072"/>
    </row>
    <row r="251">
      <c r="F251" s="1072"/>
    </row>
    <row r="252">
      <c r="F252" s="1072"/>
    </row>
    <row r="253">
      <c r="F253" s="1072"/>
    </row>
    <row r="254">
      <c r="F254" s="1072"/>
    </row>
    <row r="255">
      <c r="F255" s="1072"/>
    </row>
    <row r="256">
      <c r="F256" s="1072"/>
    </row>
    <row r="257">
      <c r="F257" s="1072"/>
    </row>
    <row r="258">
      <c r="F258" s="1072"/>
    </row>
    <row r="259">
      <c r="F259" s="1072"/>
    </row>
    <row r="260">
      <c r="F260" s="1072"/>
    </row>
    <row r="261">
      <c r="F261" s="1072"/>
    </row>
    <row r="262">
      <c r="F262" s="1072"/>
    </row>
    <row r="263">
      <c r="F263" s="1072"/>
    </row>
    <row r="264">
      <c r="F264" s="1072"/>
    </row>
    <row r="265">
      <c r="F265" s="1072"/>
    </row>
    <row r="266">
      <c r="F266" s="1072"/>
    </row>
    <row r="267">
      <c r="F267" s="1072"/>
    </row>
    <row r="268">
      <c r="F268" s="1072"/>
    </row>
    <row r="269">
      <c r="F269" s="1072"/>
    </row>
    <row r="270">
      <c r="F270" s="1072"/>
    </row>
    <row r="271">
      <c r="F271" s="1072"/>
    </row>
    <row r="272">
      <c r="F272" s="1072"/>
    </row>
    <row r="273">
      <c r="F273" s="1072"/>
    </row>
    <row r="274">
      <c r="F274" s="1072"/>
    </row>
    <row r="275">
      <c r="F275" s="1072"/>
    </row>
    <row r="276">
      <c r="F276" s="1072"/>
    </row>
    <row r="277">
      <c r="F277" s="1072"/>
    </row>
    <row r="278">
      <c r="F278" s="1072"/>
    </row>
    <row r="279">
      <c r="F279" s="1072"/>
    </row>
    <row r="280">
      <c r="F280" s="1072"/>
    </row>
    <row r="281">
      <c r="F281" s="1072"/>
    </row>
    <row r="282">
      <c r="F282" s="1072"/>
    </row>
    <row r="283">
      <c r="F283" s="1072"/>
    </row>
    <row r="284">
      <c r="F284" s="1072"/>
    </row>
    <row r="285">
      <c r="F285" s="1072"/>
    </row>
    <row r="286">
      <c r="F286" s="1072"/>
    </row>
    <row r="287">
      <c r="F287" s="1072"/>
    </row>
    <row r="288">
      <c r="F288" s="1072"/>
    </row>
    <row r="289">
      <c r="F289" s="1072"/>
    </row>
    <row r="290">
      <c r="F290" s="1072"/>
    </row>
    <row r="291">
      <c r="F291" s="1072"/>
    </row>
    <row r="292">
      <c r="F292" s="1072"/>
    </row>
    <row r="293">
      <c r="F293" s="1072"/>
    </row>
    <row r="294">
      <c r="F294" s="1072"/>
    </row>
    <row r="295">
      <c r="F295" s="1072"/>
    </row>
    <row r="296">
      <c r="F296" s="1072"/>
    </row>
    <row r="297">
      <c r="F297" s="1072"/>
    </row>
    <row r="298">
      <c r="F298" s="1072"/>
    </row>
    <row r="299">
      <c r="F299" s="1072"/>
    </row>
    <row r="300">
      <c r="F300" s="1072"/>
    </row>
    <row r="301">
      <c r="F301" s="1072"/>
    </row>
    <row r="302">
      <c r="F302" s="1072"/>
    </row>
    <row r="303">
      <c r="F303" s="1072"/>
    </row>
    <row r="304">
      <c r="F304" s="1072"/>
    </row>
    <row r="305">
      <c r="F305" s="1072"/>
    </row>
    <row r="306">
      <c r="F306" s="1072"/>
    </row>
    <row r="307">
      <c r="F307" s="1072"/>
    </row>
    <row r="308">
      <c r="F308" s="1072"/>
    </row>
    <row r="309">
      <c r="F309" s="1072"/>
    </row>
    <row r="310">
      <c r="F310" s="1072"/>
    </row>
    <row r="311">
      <c r="F311" s="1072"/>
    </row>
    <row r="312">
      <c r="F312" s="1072"/>
    </row>
    <row r="313">
      <c r="F313" s="1072"/>
    </row>
    <row r="314">
      <c r="F314" s="1072"/>
    </row>
    <row r="315">
      <c r="F315" s="1072"/>
    </row>
    <row r="316">
      <c r="F316" s="1072"/>
    </row>
    <row r="317">
      <c r="F317" s="1072"/>
    </row>
    <row r="318">
      <c r="F318" s="1072"/>
    </row>
    <row r="319">
      <c r="F319" s="1072"/>
    </row>
    <row r="320">
      <c r="F320" s="1072"/>
    </row>
    <row r="321">
      <c r="F321" s="1072"/>
    </row>
    <row r="322">
      <c r="F322" s="1072"/>
    </row>
    <row r="323">
      <c r="F323" s="1072"/>
    </row>
    <row r="324">
      <c r="F324" s="1072"/>
    </row>
    <row r="325">
      <c r="F325" s="1072"/>
    </row>
    <row r="326">
      <c r="F326" s="1072"/>
    </row>
    <row r="327">
      <c r="F327" s="1072"/>
    </row>
    <row r="328">
      <c r="F328" s="1072"/>
    </row>
    <row r="329">
      <c r="F329" s="1072"/>
    </row>
    <row r="330">
      <c r="F330" s="1072"/>
    </row>
    <row r="331">
      <c r="F331" s="1072"/>
    </row>
    <row r="332">
      <c r="F332" s="1072"/>
    </row>
    <row r="333">
      <c r="F333" s="1072"/>
    </row>
    <row r="334">
      <c r="F334" s="1072"/>
    </row>
    <row r="335">
      <c r="F335" s="1072"/>
    </row>
    <row r="336">
      <c r="F336" s="1072"/>
    </row>
    <row r="337">
      <c r="F337" s="1072"/>
    </row>
    <row r="338">
      <c r="F338" s="1072"/>
    </row>
    <row r="339">
      <c r="F339" s="1072"/>
    </row>
    <row r="340">
      <c r="F340" s="1072"/>
    </row>
    <row r="341">
      <c r="F341" s="1072"/>
    </row>
    <row r="342">
      <c r="F342" s="1072"/>
    </row>
    <row r="343">
      <c r="F343" s="1072"/>
    </row>
    <row r="344">
      <c r="F344" s="1072"/>
    </row>
    <row r="345">
      <c r="F345" s="1072"/>
    </row>
    <row r="346">
      <c r="F346" s="1072"/>
    </row>
    <row r="347">
      <c r="F347" s="1072"/>
    </row>
    <row r="348">
      <c r="F348" s="1072"/>
    </row>
    <row r="349">
      <c r="F349" s="1072"/>
    </row>
    <row r="350">
      <c r="F350" s="1072"/>
    </row>
    <row r="351">
      <c r="F351" s="1072"/>
    </row>
    <row r="352">
      <c r="F352" s="1072"/>
    </row>
    <row r="353">
      <c r="F353" s="1072"/>
    </row>
    <row r="354">
      <c r="F354" s="1072"/>
    </row>
    <row r="355">
      <c r="F355" s="1072"/>
    </row>
    <row r="356">
      <c r="F356" s="1072"/>
    </row>
    <row r="357">
      <c r="F357" s="1072"/>
    </row>
    <row r="358">
      <c r="F358" s="1072"/>
    </row>
    <row r="359">
      <c r="F359" s="1072"/>
    </row>
    <row r="360">
      <c r="F360" s="1072"/>
    </row>
    <row r="361">
      <c r="F361" s="1072"/>
    </row>
    <row r="362">
      <c r="F362" s="1072"/>
    </row>
    <row r="363">
      <c r="F363" s="1072"/>
    </row>
    <row r="364">
      <c r="F364" s="1072"/>
    </row>
    <row r="365">
      <c r="F365" s="1072"/>
    </row>
    <row r="366">
      <c r="F366" s="1072"/>
    </row>
    <row r="367">
      <c r="F367" s="1072"/>
    </row>
    <row r="368">
      <c r="F368" s="1072"/>
    </row>
    <row r="369">
      <c r="F369" s="1072"/>
    </row>
    <row r="370">
      <c r="F370" s="1072"/>
    </row>
    <row r="371">
      <c r="F371" s="1072"/>
    </row>
    <row r="372">
      <c r="F372" s="1072"/>
    </row>
    <row r="373">
      <c r="F373" s="1072"/>
    </row>
    <row r="374">
      <c r="F374" s="1072"/>
    </row>
    <row r="375">
      <c r="F375" s="1072"/>
    </row>
    <row r="376">
      <c r="F376" s="1072"/>
    </row>
    <row r="377">
      <c r="F377" s="1072"/>
    </row>
    <row r="378">
      <c r="F378" s="1072"/>
    </row>
    <row r="379">
      <c r="F379" s="1072"/>
    </row>
    <row r="380">
      <c r="F380" s="1072"/>
    </row>
    <row r="381">
      <c r="F381" s="1072"/>
    </row>
    <row r="382">
      <c r="F382" s="1072"/>
    </row>
    <row r="383">
      <c r="F383" s="1072"/>
    </row>
    <row r="384">
      <c r="F384" s="1072"/>
    </row>
    <row r="385">
      <c r="F385" s="1072"/>
    </row>
    <row r="386">
      <c r="F386" s="1072"/>
    </row>
    <row r="387">
      <c r="F387" s="1072"/>
    </row>
    <row r="388">
      <c r="F388" s="1072"/>
    </row>
    <row r="389">
      <c r="F389" s="1072"/>
    </row>
    <row r="390">
      <c r="F390" s="1072"/>
    </row>
    <row r="391">
      <c r="F391" s="1072"/>
    </row>
    <row r="392">
      <c r="F392" s="1072"/>
    </row>
    <row r="393">
      <c r="F393" s="1072"/>
    </row>
    <row r="394">
      <c r="F394" s="1072"/>
    </row>
    <row r="395">
      <c r="F395" s="1072"/>
    </row>
    <row r="396">
      <c r="F396" s="1072"/>
    </row>
    <row r="397">
      <c r="F397" s="1072"/>
    </row>
    <row r="398">
      <c r="F398" s="1072"/>
    </row>
    <row r="399">
      <c r="F399" s="1072"/>
    </row>
    <row r="400">
      <c r="F400" s="1072"/>
    </row>
    <row r="401">
      <c r="F401" s="1072"/>
    </row>
    <row r="402">
      <c r="F402" s="1072"/>
    </row>
    <row r="403">
      <c r="F403" s="1072"/>
    </row>
    <row r="404">
      <c r="F404" s="1072"/>
    </row>
    <row r="405">
      <c r="F405" s="1072"/>
    </row>
    <row r="406">
      <c r="F406" s="1072"/>
    </row>
    <row r="407">
      <c r="F407" s="1072"/>
    </row>
    <row r="408">
      <c r="F408" s="1072"/>
    </row>
    <row r="409">
      <c r="F409" s="1072"/>
    </row>
    <row r="410">
      <c r="F410" s="1072"/>
    </row>
    <row r="411">
      <c r="F411" s="1072"/>
    </row>
    <row r="412">
      <c r="F412" s="1072"/>
    </row>
    <row r="413">
      <c r="F413" s="1072"/>
    </row>
    <row r="414">
      <c r="F414" s="1072"/>
    </row>
    <row r="415">
      <c r="F415" s="1072"/>
    </row>
    <row r="416">
      <c r="F416" s="1072"/>
    </row>
    <row r="417">
      <c r="F417" s="1072"/>
    </row>
    <row r="418">
      <c r="F418" s="1072"/>
    </row>
    <row r="419">
      <c r="F419" s="1072"/>
    </row>
    <row r="420">
      <c r="F420" s="1072"/>
    </row>
    <row r="421">
      <c r="F421" s="1072"/>
    </row>
    <row r="422">
      <c r="F422" s="1072"/>
    </row>
    <row r="423">
      <c r="F423" s="1072"/>
    </row>
    <row r="424">
      <c r="F424" s="1072"/>
    </row>
    <row r="425">
      <c r="F425" s="1072"/>
    </row>
    <row r="426">
      <c r="F426" s="1072"/>
    </row>
    <row r="427">
      <c r="F427" s="1072"/>
    </row>
    <row r="428">
      <c r="F428" s="1072"/>
    </row>
    <row r="429">
      <c r="F429" s="1072"/>
    </row>
    <row r="430">
      <c r="F430" s="1072"/>
    </row>
    <row r="431">
      <c r="F431" s="1072"/>
    </row>
    <row r="432">
      <c r="F432" s="1072"/>
    </row>
    <row r="433">
      <c r="F433" s="1072"/>
    </row>
    <row r="434">
      <c r="F434" s="1072"/>
    </row>
    <row r="435">
      <c r="F435" s="1072"/>
    </row>
    <row r="436">
      <c r="F436" s="1072"/>
    </row>
    <row r="437">
      <c r="F437" s="1072"/>
    </row>
    <row r="438">
      <c r="F438" s="1072"/>
    </row>
    <row r="439">
      <c r="F439" s="1072"/>
    </row>
    <row r="440">
      <c r="F440" s="1072"/>
    </row>
    <row r="441">
      <c r="F441" s="1072"/>
    </row>
    <row r="442">
      <c r="F442" s="1072"/>
    </row>
    <row r="443">
      <c r="F443" s="1072"/>
    </row>
    <row r="444">
      <c r="F444" s="1072"/>
    </row>
    <row r="445">
      <c r="F445" s="1072"/>
    </row>
    <row r="446">
      <c r="F446" s="1072"/>
    </row>
    <row r="447">
      <c r="F447" s="1072"/>
    </row>
    <row r="448">
      <c r="F448" s="1072"/>
    </row>
    <row r="449">
      <c r="F449" s="1072"/>
    </row>
    <row r="450">
      <c r="F450" s="1072"/>
    </row>
    <row r="451">
      <c r="F451" s="1072"/>
    </row>
    <row r="452">
      <c r="F452" s="1072"/>
    </row>
    <row r="453">
      <c r="F453" s="1072"/>
    </row>
    <row r="454">
      <c r="F454" s="1072"/>
    </row>
    <row r="455">
      <c r="F455" s="1072"/>
    </row>
    <row r="456">
      <c r="F456" s="1072"/>
    </row>
    <row r="457">
      <c r="F457" s="1072"/>
    </row>
    <row r="458">
      <c r="F458" s="1072"/>
    </row>
    <row r="459">
      <c r="F459" s="1072"/>
    </row>
    <row r="460">
      <c r="F460" s="1072"/>
    </row>
    <row r="461">
      <c r="F461" s="1072"/>
    </row>
    <row r="462">
      <c r="F462" s="1072"/>
    </row>
    <row r="463">
      <c r="F463" s="1072"/>
    </row>
    <row r="464">
      <c r="F464" s="1072"/>
    </row>
    <row r="465">
      <c r="F465" s="1072"/>
    </row>
    <row r="466">
      <c r="F466" s="1072"/>
    </row>
    <row r="467">
      <c r="F467" s="1072"/>
    </row>
    <row r="468">
      <c r="F468" s="1072"/>
    </row>
    <row r="469">
      <c r="F469" s="1072"/>
    </row>
    <row r="470">
      <c r="F470" s="1072"/>
    </row>
    <row r="471">
      <c r="F471" s="1072"/>
    </row>
    <row r="472">
      <c r="F472" s="1072"/>
    </row>
    <row r="473">
      <c r="F473" s="1072"/>
    </row>
    <row r="474">
      <c r="F474" s="1072"/>
    </row>
    <row r="475">
      <c r="F475" s="1072"/>
    </row>
    <row r="476">
      <c r="F476" s="1072"/>
    </row>
    <row r="477">
      <c r="F477" s="1072"/>
    </row>
    <row r="478">
      <c r="F478" s="1072"/>
    </row>
    <row r="479">
      <c r="F479" s="1072"/>
    </row>
    <row r="480">
      <c r="F480" s="1072"/>
    </row>
    <row r="481">
      <c r="F481" s="1072"/>
    </row>
    <row r="482">
      <c r="F482" s="1072"/>
    </row>
    <row r="483">
      <c r="F483" s="1072"/>
    </row>
    <row r="484">
      <c r="F484" s="1072"/>
    </row>
    <row r="485">
      <c r="F485" s="1072"/>
    </row>
    <row r="486">
      <c r="F486" s="1072"/>
    </row>
    <row r="487">
      <c r="F487" s="1072"/>
    </row>
    <row r="488">
      <c r="F488" s="1072"/>
    </row>
    <row r="489">
      <c r="F489" s="1072"/>
    </row>
    <row r="490">
      <c r="F490" s="1072"/>
    </row>
    <row r="491">
      <c r="F491" s="1072"/>
    </row>
    <row r="492">
      <c r="F492" s="1072"/>
    </row>
    <row r="493">
      <c r="F493" s="1072"/>
    </row>
    <row r="494">
      <c r="F494" s="1072"/>
    </row>
    <row r="495">
      <c r="F495" s="1072"/>
    </row>
    <row r="496">
      <c r="F496" s="1072"/>
    </row>
    <row r="497">
      <c r="F497" s="1072"/>
    </row>
    <row r="498">
      <c r="F498" s="1072"/>
    </row>
    <row r="499">
      <c r="F499" s="1072"/>
    </row>
    <row r="500">
      <c r="F500" s="1072"/>
    </row>
    <row r="501">
      <c r="F501" s="1072"/>
    </row>
    <row r="502">
      <c r="F502" s="1072"/>
    </row>
    <row r="503">
      <c r="F503" s="1072"/>
    </row>
    <row r="504">
      <c r="F504" s="1072"/>
    </row>
    <row r="505">
      <c r="F505" s="1072"/>
    </row>
    <row r="506">
      <c r="F506" s="1072"/>
    </row>
    <row r="507">
      <c r="F507" s="1072"/>
    </row>
    <row r="508">
      <c r="F508" s="1072"/>
    </row>
    <row r="509">
      <c r="F509" s="1072"/>
    </row>
    <row r="510">
      <c r="F510" s="1072"/>
    </row>
    <row r="511">
      <c r="F511" s="1072"/>
    </row>
    <row r="512">
      <c r="F512" s="1072"/>
    </row>
    <row r="513">
      <c r="F513" s="1072"/>
    </row>
    <row r="514">
      <c r="F514" s="1072"/>
    </row>
    <row r="515">
      <c r="F515" s="1072"/>
    </row>
    <row r="516">
      <c r="F516" s="1072"/>
    </row>
    <row r="517">
      <c r="F517" s="1072"/>
    </row>
    <row r="518">
      <c r="F518" s="1072"/>
    </row>
    <row r="519">
      <c r="F519" s="1072"/>
    </row>
    <row r="520">
      <c r="F520" s="1072"/>
    </row>
    <row r="521">
      <c r="F521" s="1072"/>
    </row>
    <row r="522">
      <c r="F522" s="1072"/>
    </row>
    <row r="523">
      <c r="F523" s="1072"/>
    </row>
    <row r="524">
      <c r="F524" s="1072"/>
    </row>
    <row r="525">
      <c r="F525" s="1072"/>
    </row>
    <row r="526">
      <c r="F526" s="1072"/>
    </row>
    <row r="527">
      <c r="F527" s="1072"/>
    </row>
    <row r="528">
      <c r="F528" s="1072"/>
    </row>
    <row r="529">
      <c r="F529" s="1072"/>
    </row>
    <row r="530">
      <c r="F530" s="1072"/>
    </row>
    <row r="531">
      <c r="F531" s="1072"/>
    </row>
    <row r="532">
      <c r="F532" s="1072"/>
    </row>
    <row r="533">
      <c r="F533" s="1072"/>
    </row>
    <row r="534">
      <c r="F534" s="1072"/>
    </row>
    <row r="535">
      <c r="F535" s="1072"/>
    </row>
    <row r="536">
      <c r="F536" s="1072"/>
    </row>
    <row r="537">
      <c r="F537" s="1072"/>
    </row>
    <row r="538">
      <c r="F538" s="1072"/>
    </row>
    <row r="539">
      <c r="F539" s="1072"/>
    </row>
    <row r="540">
      <c r="F540" s="1072"/>
    </row>
    <row r="541">
      <c r="F541" s="1072"/>
    </row>
    <row r="542">
      <c r="F542" s="1072"/>
    </row>
    <row r="543">
      <c r="F543" s="1072"/>
    </row>
    <row r="544">
      <c r="F544" s="1072"/>
    </row>
    <row r="545">
      <c r="F545" s="1072"/>
    </row>
    <row r="546">
      <c r="F546" s="1072"/>
    </row>
    <row r="547">
      <c r="F547" s="1072"/>
    </row>
    <row r="548">
      <c r="F548" s="1072"/>
    </row>
    <row r="549">
      <c r="F549" s="1072"/>
    </row>
    <row r="550">
      <c r="F550" s="1072"/>
    </row>
    <row r="551">
      <c r="F551" s="1072"/>
    </row>
    <row r="552">
      <c r="F552" s="1072"/>
    </row>
    <row r="553">
      <c r="F553" s="1072"/>
    </row>
    <row r="554">
      <c r="F554" s="1072"/>
    </row>
    <row r="555">
      <c r="F555" s="1072"/>
    </row>
    <row r="556">
      <c r="F556" s="1072"/>
    </row>
    <row r="557">
      <c r="F557" s="1072"/>
    </row>
    <row r="558">
      <c r="F558" s="1072"/>
    </row>
    <row r="559">
      <c r="F559" s="1072"/>
    </row>
    <row r="560">
      <c r="F560" s="1072"/>
    </row>
    <row r="561">
      <c r="F561" s="1072"/>
    </row>
    <row r="562">
      <c r="F562" s="1072"/>
    </row>
    <row r="563">
      <c r="F563" s="1072"/>
    </row>
    <row r="564">
      <c r="F564" s="1072"/>
    </row>
    <row r="565">
      <c r="F565" s="1072"/>
    </row>
    <row r="566">
      <c r="F566" s="1072"/>
    </row>
    <row r="567">
      <c r="F567" s="1072"/>
    </row>
    <row r="568">
      <c r="F568" s="1072"/>
    </row>
    <row r="569">
      <c r="F569" s="1072"/>
    </row>
    <row r="570">
      <c r="F570" s="1072"/>
    </row>
    <row r="571">
      <c r="F571" s="1072"/>
    </row>
    <row r="572">
      <c r="F572" s="1072"/>
    </row>
    <row r="573">
      <c r="F573" s="1072"/>
    </row>
    <row r="574">
      <c r="F574" s="1072"/>
    </row>
    <row r="575">
      <c r="F575" s="1072"/>
    </row>
    <row r="576">
      <c r="F576" s="1072"/>
    </row>
    <row r="577">
      <c r="F577" s="1072"/>
    </row>
    <row r="578">
      <c r="F578" s="1072"/>
    </row>
    <row r="579">
      <c r="F579" s="1072"/>
    </row>
    <row r="580">
      <c r="F580" s="1072"/>
    </row>
    <row r="581">
      <c r="F581" s="1072"/>
    </row>
    <row r="582">
      <c r="F582" s="1072"/>
    </row>
    <row r="583">
      <c r="F583" s="1072"/>
    </row>
    <row r="584">
      <c r="F584" s="1072"/>
    </row>
    <row r="585">
      <c r="F585" s="1072"/>
    </row>
    <row r="586">
      <c r="F586" s="1072"/>
    </row>
    <row r="587">
      <c r="F587" s="1072"/>
    </row>
    <row r="588">
      <c r="F588" s="1072"/>
    </row>
    <row r="589">
      <c r="F589" s="1072"/>
    </row>
    <row r="590">
      <c r="F590" s="1072"/>
    </row>
    <row r="591">
      <c r="F591" s="1072"/>
    </row>
    <row r="592">
      <c r="F592" s="1072"/>
    </row>
    <row r="593">
      <c r="F593" s="1072"/>
    </row>
    <row r="594">
      <c r="F594" s="1072"/>
    </row>
    <row r="595">
      <c r="F595" s="1072"/>
    </row>
    <row r="596">
      <c r="F596" s="1072"/>
    </row>
    <row r="597">
      <c r="F597" s="1072"/>
    </row>
    <row r="598">
      <c r="F598" s="1072"/>
    </row>
    <row r="599">
      <c r="F599" s="1072"/>
    </row>
    <row r="600">
      <c r="F600" s="1072"/>
    </row>
    <row r="601">
      <c r="F601" s="1072"/>
    </row>
    <row r="602">
      <c r="F602" s="1072"/>
    </row>
    <row r="603">
      <c r="F603" s="1072"/>
    </row>
    <row r="604">
      <c r="F604" s="1072"/>
    </row>
    <row r="605">
      <c r="F605" s="1072"/>
    </row>
    <row r="606">
      <c r="F606" s="1072"/>
    </row>
    <row r="607">
      <c r="F607" s="1072"/>
    </row>
    <row r="608">
      <c r="F608" s="1072"/>
    </row>
    <row r="609">
      <c r="F609" s="1072"/>
    </row>
    <row r="610">
      <c r="F610" s="1072"/>
    </row>
    <row r="611">
      <c r="F611" s="1072"/>
    </row>
    <row r="612">
      <c r="F612" s="1072"/>
    </row>
    <row r="613">
      <c r="F613" s="1072"/>
    </row>
    <row r="614">
      <c r="F614" s="1072"/>
    </row>
    <row r="615">
      <c r="F615" s="1072"/>
    </row>
    <row r="616">
      <c r="F616" s="1072"/>
    </row>
    <row r="617">
      <c r="F617" s="1072"/>
    </row>
    <row r="618">
      <c r="F618" s="1072"/>
    </row>
    <row r="619">
      <c r="F619" s="1072"/>
    </row>
    <row r="620">
      <c r="F620" s="1072"/>
    </row>
    <row r="621">
      <c r="F621" s="1072"/>
    </row>
    <row r="622">
      <c r="F622" s="1072"/>
    </row>
    <row r="623">
      <c r="F623" s="1072"/>
    </row>
    <row r="624">
      <c r="F624" s="1072"/>
    </row>
    <row r="625">
      <c r="F625" s="1072"/>
    </row>
    <row r="626">
      <c r="F626" s="1072"/>
    </row>
    <row r="627">
      <c r="F627" s="1072"/>
    </row>
    <row r="628">
      <c r="F628" s="1072"/>
    </row>
    <row r="629">
      <c r="F629" s="1072"/>
    </row>
    <row r="630">
      <c r="F630" s="1072"/>
    </row>
    <row r="631">
      <c r="F631" s="1072"/>
    </row>
    <row r="632">
      <c r="F632" s="1072"/>
    </row>
    <row r="633">
      <c r="F633" s="1072"/>
    </row>
    <row r="634">
      <c r="F634" s="1072"/>
    </row>
    <row r="635">
      <c r="F635" s="1072"/>
    </row>
    <row r="636">
      <c r="F636" s="1072"/>
    </row>
    <row r="637">
      <c r="F637" s="1072"/>
    </row>
    <row r="638">
      <c r="F638" s="1072"/>
    </row>
    <row r="639">
      <c r="F639" s="1072"/>
    </row>
    <row r="640">
      <c r="F640" s="1072"/>
    </row>
    <row r="641">
      <c r="F641" s="1072"/>
    </row>
    <row r="642">
      <c r="F642" s="1072"/>
    </row>
    <row r="643">
      <c r="F643" s="1072"/>
    </row>
    <row r="644">
      <c r="F644" s="1072"/>
    </row>
    <row r="645">
      <c r="F645" s="1072"/>
    </row>
    <row r="646">
      <c r="F646" s="1072"/>
    </row>
    <row r="647">
      <c r="F647" s="1072"/>
    </row>
    <row r="648">
      <c r="F648" s="1072"/>
    </row>
    <row r="649">
      <c r="F649" s="1072"/>
    </row>
    <row r="650">
      <c r="F650" s="1072"/>
    </row>
    <row r="651">
      <c r="F651" s="1072"/>
    </row>
    <row r="652">
      <c r="F652" s="1072"/>
    </row>
    <row r="653">
      <c r="F653" s="1072"/>
    </row>
    <row r="654">
      <c r="F654" s="1072"/>
    </row>
    <row r="655">
      <c r="F655" s="1072"/>
    </row>
    <row r="656">
      <c r="F656" s="1072"/>
    </row>
    <row r="657">
      <c r="F657" s="1072"/>
    </row>
    <row r="658">
      <c r="F658" s="1072"/>
    </row>
    <row r="659">
      <c r="F659" s="1072"/>
    </row>
    <row r="660">
      <c r="F660" s="1072"/>
    </row>
    <row r="661">
      <c r="F661" s="1072"/>
    </row>
    <row r="662">
      <c r="F662" s="1072"/>
    </row>
    <row r="663">
      <c r="F663" s="1072"/>
    </row>
    <row r="664">
      <c r="F664" s="1072"/>
    </row>
    <row r="665">
      <c r="F665" s="1072"/>
    </row>
    <row r="666">
      <c r="F666" s="1072"/>
    </row>
    <row r="667">
      <c r="F667" s="1072"/>
    </row>
    <row r="668">
      <c r="F668" s="1072"/>
    </row>
    <row r="669">
      <c r="F669" s="1072"/>
    </row>
    <row r="670">
      <c r="F670" s="1072"/>
    </row>
    <row r="671">
      <c r="F671" s="1072"/>
    </row>
    <row r="672">
      <c r="F672" s="1072"/>
    </row>
    <row r="673">
      <c r="F673" s="1072"/>
    </row>
    <row r="674">
      <c r="F674" s="1072"/>
    </row>
    <row r="675">
      <c r="F675" s="1072"/>
    </row>
    <row r="676">
      <c r="F676" s="1072"/>
    </row>
    <row r="677">
      <c r="F677" s="1072"/>
    </row>
    <row r="678">
      <c r="F678" s="1072"/>
    </row>
    <row r="679">
      <c r="F679" s="1072"/>
    </row>
    <row r="680">
      <c r="F680" s="1072"/>
    </row>
    <row r="681">
      <c r="F681" s="1072"/>
    </row>
    <row r="682">
      <c r="F682" s="1072"/>
    </row>
    <row r="683">
      <c r="F683" s="1072"/>
    </row>
    <row r="684">
      <c r="F684" s="1072"/>
    </row>
    <row r="685">
      <c r="F685" s="1072"/>
    </row>
    <row r="686">
      <c r="F686" s="1072"/>
    </row>
    <row r="687">
      <c r="F687" s="1072"/>
    </row>
    <row r="688">
      <c r="F688" s="1072"/>
    </row>
    <row r="689">
      <c r="F689" s="1072"/>
    </row>
    <row r="690">
      <c r="F690" s="1072"/>
    </row>
    <row r="691">
      <c r="F691" s="1072"/>
    </row>
    <row r="692">
      <c r="F692" s="1072"/>
    </row>
    <row r="693">
      <c r="F693" s="1072"/>
    </row>
    <row r="694">
      <c r="F694" s="1072"/>
    </row>
    <row r="695">
      <c r="F695" s="1072"/>
    </row>
    <row r="696">
      <c r="F696" s="1072"/>
    </row>
    <row r="697">
      <c r="F697" s="1072"/>
    </row>
    <row r="698">
      <c r="F698" s="1072"/>
    </row>
    <row r="699">
      <c r="F699" s="1072"/>
    </row>
    <row r="700">
      <c r="F700" s="1072"/>
    </row>
    <row r="701">
      <c r="F701" s="1072"/>
    </row>
    <row r="702">
      <c r="F702" s="1072"/>
    </row>
    <row r="703">
      <c r="F703" s="1072"/>
    </row>
    <row r="704">
      <c r="F704" s="1072"/>
    </row>
    <row r="705">
      <c r="F705" s="1072"/>
    </row>
    <row r="706">
      <c r="F706" s="1072"/>
    </row>
    <row r="707">
      <c r="F707" s="1072"/>
    </row>
    <row r="708">
      <c r="F708" s="1072"/>
    </row>
    <row r="709">
      <c r="F709" s="1072"/>
    </row>
    <row r="710">
      <c r="F710" s="1072"/>
    </row>
    <row r="711">
      <c r="F711" s="1072"/>
    </row>
    <row r="712">
      <c r="F712" s="1072"/>
    </row>
    <row r="713">
      <c r="F713" s="1072"/>
    </row>
    <row r="714">
      <c r="F714" s="1072"/>
    </row>
    <row r="715">
      <c r="F715" s="1072"/>
    </row>
    <row r="716">
      <c r="F716" s="1072"/>
    </row>
    <row r="717">
      <c r="F717" s="1072"/>
    </row>
    <row r="718">
      <c r="F718" s="1072"/>
    </row>
    <row r="719">
      <c r="F719" s="1072"/>
    </row>
    <row r="720">
      <c r="F720" s="1072"/>
    </row>
    <row r="721">
      <c r="F721" s="1072"/>
    </row>
    <row r="722">
      <c r="F722" s="1072"/>
    </row>
    <row r="723">
      <c r="F723" s="1072"/>
    </row>
    <row r="724">
      <c r="F724" s="1072"/>
    </row>
    <row r="725">
      <c r="F725" s="1072"/>
    </row>
    <row r="726">
      <c r="F726" s="1072"/>
    </row>
    <row r="727">
      <c r="F727" s="1072"/>
    </row>
    <row r="728">
      <c r="F728" s="1072"/>
    </row>
    <row r="729">
      <c r="F729" s="1072"/>
    </row>
    <row r="730">
      <c r="F730" s="1072"/>
    </row>
    <row r="731">
      <c r="F731" s="1072"/>
    </row>
    <row r="732">
      <c r="F732" s="1072"/>
    </row>
    <row r="733">
      <c r="F733" s="1072"/>
    </row>
    <row r="734">
      <c r="F734" s="1072"/>
    </row>
    <row r="735">
      <c r="F735" s="1072"/>
    </row>
    <row r="736">
      <c r="F736" s="1072"/>
    </row>
    <row r="737">
      <c r="F737" s="1072"/>
    </row>
    <row r="738">
      <c r="F738" s="1072"/>
    </row>
    <row r="739">
      <c r="F739" s="1072"/>
    </row>
    <row r="740">
      <c r="F740" s="1072"/>
    </row>
    <row r="741">
      <c r="F741" s="1072"/>
    </row>
    <row r="742">
      <c r="F742" s="1072"/>
    </row>
    <row r="743">
      <c r="F743" s="1072"/>
    </row>
    <row r="744">
      <c r="F744" s="1072"/>
    </row>
    <row r="745">
      <c r="F745" s="1072"/>
    </row>
    <row r="746">
      <c r="F746" s="1072"/>
    </row>
    <row r="747">
      <c r="F747" s="1072"/>
    </row>
    <row r="748">
      <c r="F748" s="1072"/>
    </row>
    <row r="749">
      <c r="F749" s="1072"/>
    </row>
    <row r="750">
      <c r="F750" s="1072"/>
    </row>
    <row r="751">
      <c r="F751" s="1072"/>
    </row>
    <row r="752">
      <c r="F752" s="1072"/>
    </row>
    <row r="753">
      <c r="F753" s="1072"/>
    </row>
    <row r="754">
      <c r="F754" s="1072"/>
    </row>
    <row r="755">
      <c r="F755" s="1072"/>
    </row>
    <row r="756">
      <c r="F756" s="1072"/>
    </row>
    <row r="757">
      <c r="F757" s="1072"/>
    </row>
    <row r="758">
      <c r="F758" s="1072"/>
    </row>
    <row r="759">
      <c r="F759" s="1072"/>
    </row>
    <row r="760">
      <c r="F760" s="1072"/>
    </row>
    <row r="761">
      <c r="F761" s="1072"/>
    </row>
    <row r="762">
      <c r="F762" s="1072"/>
    </row>
    <row r="763">
      <c r="F763" s="1072"/>
    </row>
    <row r="764">
      <c r="F764" s="1072"/>
    </row>
    <row r="765">
      <c r="F765" s="1072"/>
    </row>
    <row r="766">
      <c r="F766" s="1072"/>
    </row>
    <row r="767">
      <c r="F767" s="1072"/>
    </row>
    <row r="768">
      <c r="F768" s="1072"/>
    </row>
    <row r="769">
      <c r="F769" s="1072"/>
    </row>
    <row r="770">
      <c r="F770" s="1072"/>
    </row>
    <row r="771">
      <c r="F771" s="1072"/>
    </row>
    <row r="772">
      <c r="F772" s="1072"/>
    </row>
    <row r="773">
      <c r="F773" s="1072"/>
    </row>
    <row r="774">
      <c r="F774" s="1072"/>
    </row>
    <row r="775">
      <c r="F775" s="1072"/>
    </row>
    <row r="776">
      <c r="F776" s="1072"/>
    </row>
    <row r="777">
      <c r="F777" s="1072"/>
    </row>
    <row r="778">
      <c r="F778" s="1072"/>
    </row>
    <row r="779">
      <c r="F779" s="1072"/>
    </row>
    <row r="780">
      <c r="F780" s="1072"/>
    </row>
    <row r="781">
      <c r="F781" s="1072"/>
    </row>
    <row r="782">
      <c r="F782" s="1072"/>
    </row>
    <row r="783">
      <c r="F783" s="1072"/>
    </row>
    <row r="784">
      <c r="F784" s="1072"/>
    </row>
    <row r="785">
      <c r="F785" s="1072"/>
    </row>
    <row r="786">
      <c r="F786" s="1072"/>
    </row>
    <row r="787">
      <c r="F787" s="1072"/>
    </row>
    <row r="788">
      <c r="F788" s="1072"/>
    </row>
    <row r="789">
      <c r="F789" s="1072"/>
    </row>
    <row r="790">
      <c r="F790" s="1072"/>
    </row>
    <row r="791">
      <c r="F791" s="1072"/>
    </row>
    <row r="792">
      <c r="F792" s="1072"/>
    </row>
    <row r="793">
      <c r="F793" s="1072"/>
    </row>
    <row r="794">
      <c r="F794" s="1072"/>
    </row>
    <row r="795">
      <c r="F795" s="1072"/>
    </row>
    <row r="796">
      <c r="F796" s="1072"/>
    </row>
    <row r="797">
      <c r="F797" s="1072"/>
    </row>
    <row r="798">
      <c r="F798" s="1072"/>
    </row>
    <row r="799">
      <c r="F799" s="1072"/>
    </row>
    <row r="800">
      <c r="F800" s="1072"/>
    </row>
    <row r="801">
      <c r="F801" s="1072"/>
    </row>
    <row r="802">
      <c r="F802" s="1072"/>
    </row>
    <row r="803">
      <c r="F803" s="1072"/>
    </row>
    <row r="804">
      <c r="F804" s="1072"/>
    </row>
    <row r="805">
      <c r="F805" s="1072"/>
    </row>
    <row r="806">
      <c r="F806" s="1072"/>
    </row>
    <row r="807">
      <c r="F807" s="1072"/>
    </row>
    <row r="808">
      <c r="F808" s="1072"/>
    </row>
    <row r="809">
      <c r="F809" s="1072"/>
    </row>
    <row r="810">
      <c r="F810" s="1072"/>
    </row>
    <row r="811">
      <c r="F811" s="1072"/>
    </row>
    <row r="812">
      <c r="F812" s="1072"/>
    </row>
    <row r="813">
      <c r="F813" s="1072"/>
    </row>
    <row r="814">
      <c r="F814" s="1072"/>
    </row>
    <row r="815">
      <c r="F815" s="1072"/>
    </row>
    <row r="816">
      <c r="F816" s="1072"/>
    </row>
    <row r="817">
      <c r="F817" s="1072"/>
    </row>
    <row r="818">
      <c r="F818" s="1072"/>
    </row>
    <row r="819">
      <c r="F819" s="1072"/>
    </row>
    <row r="820">
      <c r="F820" s="1072"/>
    </row>
    <row r="821">
      <c r="F821" s="1072"/>
    </row>
    <row r="822">
      <c r="F822" s="1072"/>
    </row>
    <row r="823">
      <c r="F823" s="1072"/>
    </row>
    <row r="824">
      <c r="F824" s="1072"/>
    </row>
    <row r="825">
      <c r="F825" s="1072"/>
    </row>
    <row r="826">
      <c r="F826" s="1072"/>
    </row>
    <row r="827">
      <c r="F827" s="1072"/>
    </row>
    <row r="828">
      <c r="F828" s="1072"/>
    </row>
    <row r="829">
      <c r="F829" s="1072"/>
    </row>
    <row r="830">
      <c r="F830" s="1072"/>
    </row>
    <row r="831">
      <c r="F831" s="1072"/>
    </row>
    <row r="832">
      <c r="F832" s="1072"/>
    </row>
    <row r="833">
      <c r="F833" s="1072"/>
    </row>
    <row r="834">
      <c r="F834" s="1072"/>
    </row>
    <row r="835">
      <c r="F835" s="1072"/>
    </row>
    <row r="836">
      <c r="F836" s="1072"/>
    </row>
    <row r="837">
      <c r="F837" s="1072"/>
    </row>
    <row r="838">
      <c r="F838" s="1072"/>
    </row>
    <row r="839">
      <c r="F839" s="1072"/>
    </row>
    <row r="840">
      <c r="F840" s="1072"/>
    </row>
    <row r="841">
      <c r="F841" s="1072"/>
    </row>
    <row r="842">
      <c r="F842" s="1072"/>
    </row>
    <row r="843">
      <c r="F843" s="1072"/>
    </row>
    <row r="844">
      <c r="F844" s="1072"/>
    </row>
    <row r="845">
      <c r="F845" s="1072"/>
    </row>
    <row r="846">
      <c r="F846" s="1072"/>
    </row>
    <row r="847">
      <c r="F847" s="1072"/>
    </row>
    <row r="848">
      <c r="F848" s="1072"/>
    </row>
    <row r="849">
      <c r="F849" s="1072"/>
    </row>
    <row r="850">
      <c r="F850" s="1072"/>
    </row>
    <row r="851">
      <c r="F851" s="1072"/>
    </row>
    <row r="852">
      <c r="F852" s="1072"/>
    </row>
    <row r="853">
      <c r="F853" s="1072"/>
    </row>
    <row r="854">
      <c r="F854" s="1072"/>
    </row>
    <row r="855">
      <c r="F855" s="1072"/>
    </row>
    <row r="856">
      <c r="F856" s="1072"/>
    </row>
    <row r="857">
      <c r="F857" s="1072"/>
    </row>
    <row r="858">
      <c r="F858" s="1072"/>
    </row>
    <row r="859">
      <c r="F859" s="1072"/>
    </row>
    <row r="860">
      <c r="F860" s="1072"/>
    </row>
    <row r="861">
      <c r="F861" s="1072"/>
    </row>
    <row r="862">
      <c r="F862" s="1072"/>
    </row>
    <row r="863">
      <c r="F863" s="1072"/>
    </row>
    <row r="864">
      <c r="F864" s="1072"/>
    </row>
    <row r="865">
      <c r="F865" s="1072"/>
    </row>
    <row r="866">
      <c r="F866" s="1072"/>
    </row>
    <row r="867">
      <c r="F867" s="1072"/>
    </row>
    <row r="868">
      <c r="F868" s="1072"/>
    </row>
    <row r="869">
      <c r="F869" s="1072"/>
    </row>
    <row r="870">
      <c r="F870" s="1072"/>
    </row>
    <row r="871">
      <c r="F871" s="1072"/>
    </row>
    <row r="872">
      <c r="F872" s="1072"/>
    </row>
    <row r="873">
      <c r="F873" s="1072"/>
    </row>
    <row r="874">
      <c r="F874" s="1072"/>
    </row>
    <row r="875">
      <c r="F875" s="1072"/>
    </row>
    <row r="876">
      <c r="F876" s="1072"/>
    </row>
    <row r="877">
      <c r="F877" s="1072"/>
    </row>
    <row r="878">
      <c r="F878" s="1072"/>
    </row>
    <row r="879">
      <c r="F879" s="1072"/>
    </row>
    <row r="880">
      <c r="F880" s="1072"/>
    </row>
    <row r="881">
      <c r="F881" s="1072"/>
    </row>
    <row r="882">
      <c r="F882" s="1072"/>
    </row>
    <row r="883">
      <c r="F883" s="1072"/>
    </row>
    <row r="884">
      <c r="F884" s="1072"/>
    </row>
    <row r="885">
      <c r="F885" s="1072"/>
    </row>
    <row r="886">
      <c r="F886" s="1072"/>
    </row>
    <row r="887">
      <c r="F887" s="1072"/>
    </row>
    <row r="888">
      <c r="F888" s="1072"/>
    </row>
    <row r="889">
      <c r="F889" s="1072"/>
    </row>
    <row r="890">
      <c r="F890" s="1072"/>
    </row>
    <row r="891">
      <c r="F891" s="1072"/>
    </row>
    <row r="892">
      <c r="F892" s="1072"/>
    </row>
    <row r="893">
      <c r="F893" s="1072"/>
    </row>
    <row r="894">
      <c r="F894" s="1072"/>
    </row>
    <row r="895">
      <c r="F895" s="1072"/>
    </row>
    <row r="896">
      <c r="F896" s="1072"/>
    </row>
    <row r="897">
      <c r="F897" s="1072"/>
    </row>
    <row r="898">
      <c r="F898" s="1072"/>
    </row>
    <row r="899">
      <c r="F899" s="1072"/>
    </row>
    <row r="900">
      <c r="F900" s="1072"/>
    </row>
    <row r="901">
      <c r="F901" s="1072"/>
    </row>
    <row r="902">
      <c r="F902" s="1072"/>
    </row>
    <row r="903">
      <c r="F903" s="1072"/>
    </row>
    <row r="904">
      <c r="F904" s="1072"/>
    </row>
    <row r="905">
      <c r="F905" s="1072"/>
    </row>
    <row r="906">
      <c r="F906" s="1072"/>
    </row>
    <row r="907">
      <c r="F907" s="1072"/>
    </row>
    <row r="908">
      <c r="F908" s="1072"/>
    </row>
    <row r="909">
      <c r="F909" s="1072"/>
    </row>
    <row r="910">
      <c r="F910" s="1072"/>
    </row>
    <row r="911">
      <c r="F911" s="1072"/>
    </row>
    <row r="912">
      <c r="F912" s="1072"/>
    </row>
    <row r="913">
      <c r="F913" s="1072"/>
    </row>
    <row r="914">
      <c r="F914" s="1072"/>
    </row>
    <row r="915">
      <c r="F915" s="1072"/>
    </row>
    <row r="916">
      <c r="F916" s="1072"/>
    </row>
    <row r="917">
      <c r="F917" s="1072"/>
    </row>
    <row r="918">
      <c r="F918" s="1072"/>
    </row>
    <row r="919">
      <c r="F919" s="1072"/>
    </row>
    <row r="920">
      <c r="F920" s="1072"/>
    </row>
    <row r="921">
      <c r="F921" s="1072"/>
    </row>
    <row r="922">
      <c r="F922" s="1072"/>
    </row>
    <row r="923">
      <c r="F923" s="1072"/>
    </row>
    <row r="924">
      <c r="F924" s="1072"/>
    </row>
    <row r="925">
      <c r="F925" s="1072"/>
    </row>
    <row r="926">
      <c r="F926" s="1072"/>
    </row>
    <row r="927">
      <c r="F927" s="1072"/>
    </row>
    <row r="928">
      <c r="F928" s="1072"/>
    </row>
    <row r="929">
      <c r="F929" s="1072"/>
    </row>
    <row r="930">
      <c r="F930" s="1072"/>
    </row>
    <row r="931">
      <c r="F931" s="1072"/>
    </row>
    <row r="932">
      <c r="F932" s="1072"/>
    </row>
    <row r="933">
      <c r="F933" s="1072"/>
    </row>
    <row r="934">
      <c r="F934" s="1072"/>
    </row>
    <row r="935">
      <c r="F935" s="1072"/>
    </row>
    <row r="936">
      <c r="F936" s="1072"/>
    </row>
    <row r="937">
      <c r="F937" s="1072"/>
    </row>
    <row r="938">
      <c r="F938" s="1072"/>
    </row>
    <row r="939">
      <c r="F939" s="1072"/>
    </row>
    <row r="940">
      <c r="F940" s="1072"/>
    </row>
    <row r="941">
      <c r="F941" s="1072"/>
    </row>
    <row r="942">
      <c r="F942" s="1072"/>
    </row>
    <row r="943">
      <c r="F943" s="1072"/>
    </row>
    <row r="944">
      <c r="F944" s="1072"/>
    </row>
    <row r="945">
      <c r="F945" s="1072"/>
    </row>
    <row r="946">
      <c r="F946" s="1072"/>
    </row>
    <row r="947">
      <c r="F947" s="1072"/>
    </row>
    <row r="948">
      <c r="F948" s="1072"/>
    </row>
    <row r="949">
      <c r="F949" s="1072"/>
    </row>
    <row r="950">
      <c r="F950" s="1072"/>
    </row>
    <row r="951">
      <c r="F951" s="1072"/>
    </row>
    <row r="952">
      <c r="F952" s="1072"/>
    </row>
    <row r="953">
      <c r="F953" s="1072"/>
    </row>
    <row r="954">
      <c r="F954" s="1072"/>
    </row>
    <row r="955">
      <c r="F955" s="1072"/>
    </row>
    <row r="956">
      <c r="F956" s="1072"/>
    </row>
    <row r="957">
      <c r="F957" s="1072"/>
    </row>
    <row r="958">
      <c r="F958" s="1072"/>
    </row>
    <row r="959">
      <c r="F959" s="1072"/>
    </row>
    <row r="960">
      <c r="F960" s="1072"/>
    </row>
    <row r="961">
      <c r="F961" s="1072"/>
    </row>
    <row r="962">
      <c r="F962" s="1072"/>
    </row>
    <row r="963">
      <c r="F963" s="1072"/>
    </row>
    <row r="964">
      <c r="F964" s="1072"/>
    </row>
    <row r="965">
      <c r="F965" s="1072"/>
    </row>
    <row r="966">
      <c r="F966" s="1072"/>
    </row>
    <row r="967">
      <c r="F967" s="1072"/>
    </row>
    <row r="968">
      <c r="F968" s="1072"/>
    </row>
    <row r="969">
      <c r="F969" s="1072"/>
    </row>
    <row r="970">
      <c r="F970" s="1072"/>
    </row>
    <row r="971">
      <c r="F971" s="1072"/>
    </row>
    <row r="972">
      <c r="F972" s="1072"/>
    </row>
    <row r="973">
      <c r="F973" s="1072"/>
    </row>
    <row r="974">
      <c r="F974" s="1072"/>
    </row>
    <row r="975">
      <c r="F975" s="1072"/>
    </row>
    <row r="976">
      <c r="F976" s="1072"/>
    </row>
    <row r="977">
      <c r="F977" s="1072"/>
    </row>
    <row r="978">
      <c r="F978" s="1072"/>
    </row>
    <row r="979">
      <c r="F979" s="1072"/>
    </row>
    <row r="980">
      <c r="F980" s="1072"/>
    </row>
    <row r="981">
      <c r="F981" s="1072"/>
    </row>
    <row r="982">
      <c r="F982" s="1072"/>
    </row>
    <row r="983">
      <c r="F983" s="1072"/>
    </row>
    <row r="984">
      <c r="F984" s="1072"/>
    </row>
    <row r="985">
      <c r="F985" s="1072"/>
    </row>
    <row r="986">
      <c r="F986" s="1072"/>
    </row>
  </sheetData>
  <conditionalFormatting sqref="A3 A12:A21 I45">
    <cfRule type="expression" dxfId="22" priority="1">
      <formula>COUNTIF(INDIRECT("Highlighter!F1:F100"), A3)&gt;0</formula>
    </cfRule>
  </conditionalFormatting>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